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ohsuitg-my.sharepoint.com/personal/burnsidm_ohsu_edu/Documents/Documents/"/>
    </mc:Choice>
  </mc:AlternateContent>
  <xr:revisionPtr revIDLastSave="207" documentId="8_{45B3EC6F-CB03-4355-994C-CCA7AAF9C071}" xr6:coauthVersionLast="47" xr6:coauthVersionMax="47" xr10:uidLastSave="{8FD4D18F-180B-41EE-8602-A0DEF689CEF4}"/>
  <bookViews>
    <workbookView xWindow="-110" yWindow="-110" windowWidth="19420" windowHeight="10300" xr2:uid="{782C65AF-7822-43C4-AC2B-076C61F7A989}"/>
  </bookViews>
  <sheets>
    <sheet name="CORYNEBACTERIUM-PANGENOME_gene_" sheetId="1" r:id="rId1"/>
  </sheets>
  <definedNames>
    <definedName name="_xlnm._FilterDatabase" localSheetId="0" hidden="1">'CORYNEBACTERIUM-PANGENOME_gene_'!$A$1:$AF$11976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F1563" i="1" l="1"/>
  <c r="AF4248" i="1"/>
  <c r="AF4264" i="1"/>
  <c r="AF4265" i="1"/>
  <c r="AF4266" i="1"/>
  <c r="AF4267" i="1"/>
  <c r="AF4268" i="1"/>
  <c r="AF4269" i="1"/>
  <c r="AF4270" i="1"/>
  <c r="AF4271" i="1"/>
  <c r="AF4272" i="1"/>
  <c r="AF4274" i="1"/>
  <c r="AF857" i="1"/>
  <c r="AF858" i="1"/>
  <c r="AF859" i="1"/>
  <c r="AF860" i="1"/>
  <c r="AF4285" i="1"/>
  <c r="AF4289" i="1"/>
  <c r="AF7" i="1"/>
  <c r="AF9" i="1"/>
  <c r="AF2166" i="1"/>
  <c r="AF2168" i="1"/>
  <c r="AF4302" i="1"/>
  <c r="AF4305" i="1"/>
  <c r="AF4306" i="1"/>
  <c r="AF4309" i="1"/>
  <c r="AF4314" i="1"/>
  <c r="AF4316" i="1"/>
  <c r="AF3493" i="1"/>
  <c r="AF3494" i="1"/>
  <c r="AF3496" i="1"/>
  <c r="AF862" i="1"/>
  <c r="AF864" i="1"/>
  <c r="AF4327" i="1"/>
  <c r="AF2033" i="1"/>
  <c r="AF2034" i="1"/>
  <c r="AF816" i="1"/>
  <c r="AF21" i="1"/>
  <c r="AF22" i="1"/>
  <c r="AF23" i="1"/>
  <c r="AF24" i="1"/>
  <c r="AF871" i="1"/>
  <c r="AF873" i="1"/>
  <c r="AF11364" i="1"/>
  <c r="AF2192" i="1"/>
  <c r="AF2193" i="1"/>
  <c r="AF2241" i="1"/>
  <c r="AF2684" i="1"/>
  <c r="AF1490" i="1"/>
  <c r="AF2253" i="1"/>
  <c r="AF4367" i="1"/>
  <c r="AF4368" i="1"/>
  <c r="AF4369" i="1"/>
  <c r="AF4372" i="1"/>
  <c r="AF4375" i="1"/>
  <c r="AF4377" i="1"/>
  <c r="AF360" i="1"/>
  <c r="AF2051" i="1"/>
  <c r="AF2052" i="1"/>
  <c r="AF2410" i="1"/>
  <c r="AF4384" i="1"/>
  <c r="AF769" i="1"/>
  <c r="AF770" i="1"/>
  <c r="AF2262" i="1"/>
  <c r="AF2263" i="1"/>
  <c r="AF10991" i="1"/>
  <c r="AF3551" i="1"/>
  <c r="AF3552" i="1"/>
  <c r="AF36" i="1"/>
  <c r="AF37" i="1"/>
  <c r="AF38" i="1"/>
  <c r="AF39" i="1"/>
  <c r="AF491" i="1"/>
  <c r="AF492" i="1"/>
  <c r="AF493" i="1"/>
  <c r="AF494" i="1"/>
  <c r="AF1501" i="1"/>
  <c r="AF1502" i="1"/>
  <c r="AF1421" i="1"/>
  <c r="AF1422" i="1"/>
  <c r="AF1423" i="1"/>
  <c r="AF1424" i="1"/>
  <c r="AF4174" i="1"/>
  <c r="AF2701" i="1"/>
  <c r="AF2702" i="1"/>
  <c r="AF2203" i="1"/>
  <c r="AF878" i="1"/>
  <c r="AF879" i="1"/>
  <c r="AF140" i="1"/>
  <c r="AF2056" i="1"/>
  <c r="AF2057" i="1"/>
  <c r="AF11134" i="1"/>
  <c r="AF3588" i="1"/>
  <c r="AF3589" i="1"/>
  <c r="AF2390" i="1"/>
  <c r="AF3314" i="1"/>
  <c r="AF3315" i="1"/>
  <c r="AF3257" i="1"/>
  <c r="AF3260" i="1"/>
  <c r="AF3261" i="1"/>
  <c r="AF1789" i="1"/>
  <c r="AF1790" i="1"/>
  <c r="AF3471" i="1"/>
  <c r="AF886" i="1"/>
  <c r="AF887" i="1"/>
  <c r="AF1445" i="1"/>
  <c r="AF2066" i="1"/>
  <c r="AF2067" i="1"/>
  <c r="AF833" i="1"/>
  <c r="AF834" i="1"/>
  <c r="AF1792" i="1"/>
  <c r="AF1793" i="1"/>
  <c r="AF1236" i="1"/>
  <c r="AF3329" i="1"/>
  <c r="AF3330" i="1"/>
  <c r="AF3622" i="1"/>
  <c r="AF3623" i="1"/>
  <c r="AF1890" i="1"/>
  <c r="AF1891" i="1"/>
  <c r="AF1892" i="1"/>
  <c r="AF1893" i="1"/>
  <c r="AF3262" i="1"/>
  <c r="AF3265" i="1"/>
  <c r="AF3266" i="1"/>
  <c r="AF3334" i="1"/>
  <c r="AF3335" i="1"/>
  <c r="AF1796" i="1"/>
  <c r="AF1797" i="1"/>
  <c r="AF1798" i="1"/>
  <c r="AF2641" i="1"/>
  <c r="AF2642" i="1"/>
  <c r="AF10140" i="1"/>
  <c r="AF1523" i="1"/>
  <c r="AF782" i="1"/>
  <c r="AF783" i="1"/>
  <c r="AF2716" i="1"/>
  <c r="AF2717" i="1"/>
  <c r="AF1129" i="1"/>
  <c r="AF1130" i="1"/>
  <c r="AF11777" i="1"/>
  <c r="AF3506" i="1"/>
  <c r="AF3507" i="1"/>
  <c r="AF1142" i="1"/>
  <c r="AF1143" i="1"/>
  <c r="AF11361" i="1"/>
  <c r="AF11851" i="1"/>
  <c r="AF1901" i="1"/>
  <c r="AF1902" i="1"/>
  <c r="AF3919" i="1"/>
  <c r="AF1904" i="1"/>
  <c r="AF1905" i="1"/>
  <c r="AF1906" i="1"/>
  <c r="AF1907" i="1"/>
  <c r="AF1081" i="1"/>
  <c r="AF1082" i="1"/>
  <c r="AF904" i="1"/>
  <c r="AF4432" i="1"/>
  <c r="AF4433" i="1"/>
  <c r="AF4434" i="1"/>
  <c r="AF1431" i="1"/>
  <c r="AF1432" i="1"/>
  <c r="AF4435" i="1"/>
  <c r="AF4438" i="1"/>
  <c r="AF4439" i="1"/>
  <c r="AF2954" i="1"/>
  <c r="AF2280" i="1"/>
  <c r="AF2281" i="1"/>
  <c r="AF1803" i="1"/>
  <c r="AF1806" i="1"/>
  <c r="AF1807" i="1"/>
  <c r="AF4440" i="1"/>
  <c r="AF4441" i="1"/>
  <c r="AF4442" i="1"/>
  <c r="AF425" i="1"/>
  <c r="AF426" i="1"/>
  <c r="AF792" i="1"/>
  <c r="AF793" i="1"/>
  <c r="AF3061" i="1"/>
  <c r="AF86" i="1"/>
  <c r="AF87" i="1"/>
  <c r="AF3155" i="1"/>
  <c r="AF3156" i="1"/>
  <c r="AF5979" i="1"/>
  <c r="AF515" i="1"/>
  <c r="AF3989" i="1"/>
  <c r="AF2624" i="1"/>
  <c r="AF2625" i="1"/>
  <c r="AF2090" i="1"/>
  <c r="AF1091" i="1"/>
  <c r="AF11232" i="1"/>
  <c r="AF3735" i="1"/>
  <c r="AF3736" i="1"/>
  <c r="AF11877" i="1"/>
  <c r="AF2462" i="1"/>
  <c r="AF2463" i="1"/>
  <c r="AF2761" i="1"/>
  <c r="AF2762" i="1"/>
  <c r="AF2763" i="1"/>
  <c r="AF2764" i="1"/>
  <c r="AF523" i="1"/>
  <c r="AF524" i="1"/>
  <c r="AF3446" i="1"/>
  <c r="AF2766" i="1"/>
  <c r="AF2767" i="1"/>
  <c r="AF1643" i="1"/>
  <c r="AF2083" i="1"/>
  <c r="AF2084" i="1"/>
  <c r="AF3382" i="1"/>
  <c r="AF3383" i="1"/>
  <c r="AF427" i="1"/>
  <c r="AF1177" i="1"/>
  <c r="AF1178" i="1"/>
  <c r="AF1179" i="1"/>
  <c r="AF1180" i="1"/>
  <c r="AF3277" i="1"/>
  <c r="AF3366" i="1"/>
  <c r="AF113" i="1"/>
  <c r="AF114" i="1"/>
  <c r="AF924" i="1"/>
  <c r="AF925" i="1"/>
  <c r="AF927" i="1"/>
  <c r="AF928" i="1"/>
  <c r="AF2779" i="1"/>
  <c r="AF4470" i="1"/>
  <c r="AF533" i="1"/>
  <c r="AF534" i="1"/>
  <c r="AF118" i="1"/>
  <c r="AF119" i="1"/>
  <c r="AF1623" i="1"/>
  <c r="AF3394" i="1"/>
  <c r="AF3395" i="1"/>
  <c r="AF1443" i="1"/>
  <c r="AF1444" i="1"/>
  <c r="AF2322" i="1"/>
  <c r="AF2323" i="1"/>
  <c r="AF11875" i="1"/>
  <c r="AF4485" i="1"/>
  <c r="AF536" i="1"/>
  <c r="AF537" i="1"/>
  <c r="AF772" i="1"/>
  <c r="AF773" i="1"/>
  <c r="AF2633" i="1"/>
  <c r="AF2634" i="1"/>
  <c r="AF3412" i="1"/>
  <c r="AF3413" i="1"/>
  <c r="AF2476" i="1"/>
  <c r="AF2959" i="1"/>
  <c r="AF2960" i="1"/>
  <c r="AF4500" i="1"/>
  <c r="AF4501" i="1"/>
  <c r="AF4502" i="1"/>
  <c r="AF2962" i="1"/>
  <c r="AF2963" i="1"/>
  <c r="AF1209" i="1"/>
  <c r="AF1210" i="1"/>
  <c r="AF4179" i="1"/>
  <c r="AF1214" i="1"/>
  <c r="AF1215" i="1"/>
  <c r="AF2481" i="1"/>
  <c r="AF2484" i="1"/>
  <c r="AF2485" i="1"/>
  <c r="AF20" i="1"/>
  <c r="AF578" i="1"/>
  <c r="AF579" i="1"/>
  <c r="AF4513" i="1"/>
  <c r="AF4514" i="1"/>
  <c r="AF2104" i="1"/>
  <c r="AF2105" i="1"/>
  <c r="AF3835" i="1"/>
  <c r="AF3836" i="1"/>
  <c r="AF451" i="1"/>
  <c r="AF1219" i="1"/>
  <c r="AF1220" i="1"/>
  <c r="AF3247" i="1"/>
  <c r="AF3248" i="1"/>
  <c r="AF3249" i="1"/>
  <c r="AF11678" i="1"/>
  <c r="AF1222" i="1"/>
  <c r="AF1223" i="1"/>
  <c r="AF2785" i="1"/>
  <c r="AF2786" i="1"/>
  <c r="AF2787" i="1"/>
  <c r="AF1227" i="1"/>
  <c r="AF1228" i="1"/>
  <c r="AF591" i="1"/>
  <c r="AF592" i="1"/>
  <c r="AF593" i="1"/>
  <c r="AF594" i="1"/>
  <c r="AF4516" i="1"/>
  <c r="AF4519" i="1"/>
  <c r="AF11445" i="1"/>
  <c r="AF952" i="1"/>
  <c r="AF953" i="1"/>
  <c r="AF4520" i="1"/>
  <c r="AF4526" i="1"/>
  <c r="AF4527" i="1"/>
  <c r="AF2487" i="1"/>
  <c r="AF2488" i="1"/>
  <c r="AF4536" i="1"/>
  <c r="AF4537" i="1"/>
  <c r="AF4538" i="1"/>
  <c r="AF4539" i="1"/>
  <c r="AF4540" i="1"/>
  <c r="AF2801" i="1"/>
  <c r="AF2802" i="1"/>
  <c r="AF2803" i="1"/>
  <c r="AF2804" i="1"/>
  <c r="AF1606" i="1"/>
  <c r="AF1607" i="1"/>
  <c r="AF11857" i="1"/>
  <c r="AF1660" i="1"/>
  <c r="AF2979" i="1"/>
  <c r="AF2980" i="1"/>
  <c r="AF2174" i="1"/>
  <c r="AF2175" i="1"/>
  <c r="AF2961" i="1"/>
  <c r="AF3434" i="1"/>
  <c r="AF3435" i="1"/>
  <c r="AF6078" i="1"/>
  <c r="AF3912" i="1"/>
  <c r="AF3913" i="1"/>
  <c r="AF1772" i="1"/>
  <c r="AF1773" i="1"/>
  <c r="AF2805" i="1"/>
  <c r="AF2269" i="1"/>
  <c r="AF3287" i="1"/>
  <c r="AF3288" i="1"/>
  <c r="AF3289" i="1"/>
  <c r="AF173" i="1"/>
  <c r="AF174" i="1"/>
  <c r="AF3491" i="1"/>
  <c r="AF1453" i="1"/>
  <c r="AF1454" i="1"/>
  <c r="AF3950" i="1"/>
  <c r="AF3951" i="1"/>
  <c r="AF3952" i="1"/>
  <c r="AF3953" i="1"/>
  <c r="AF2628" i="1"/>
  <c r="AF2629" i="1"/>
  <c r="AF1461" i="1"/>
  <c r="AF1462" i="1"/>
  <c r="AF2989" i="1"/>
  <c r="AF2990" i="1"/>
  <c r="AF4553" i="1"/>
  <c r="AF4554" i="1"/>
  <c r="AF4563" i="1"/>
  <c r="AF4564" i="1"/>
  <c r="AF625" i="1"/>
  <c r="AF628" i="1"/>
  <c r="AF629" i="1"/>
  <c r="AF11494" i="1"/>
  <c r="AF2114" i="1"/>
  <c r="AF2115" i="1"/>
  <c r="AF2966" i="1"/>
  <c r="AF636" i="1"/>
  <c r="AF637" i="1"/>
  <c r="AF638" i="1"/>
  <c r="AF639" i="1"/>
  <c r="AF211" i="1"/>
  <c r="AF212" i="1"/>
  <c r="AF213" i="1"/>
  <c r="AF214" i="1"/>
  <c r="AF2818" i="1"/>
  <c r="AF2819" i="1"/>
  <c r="AF1262" i="1"/>
  <c r="AF1263" i="1"/>
  <c r="AF4581" i="1"/>
  <c r="AF4582" i="1"/>
  <c r="AF2820" i="1"/>
  <c r="AF2126" i="1"/>
  <c r="AF2127" i="1"/>
  <c r="AF226" i="1"/>
  <c r="AF227" i="1"/>
  <c r="AF228" i="1"/>
  <c r="AF229" i="1"/>
  <c r="AF1649" i="1"/>
  <c r="AF1650" i="1"/>
  <c r="AF1954" i="1"/>
  <c r="AF1955" i="1"/>
  <c r="AF4590" i="1"/>
  <c r="AF246" i="1"/>
  <c r="AF247" i="1"/>
  <c r="AF6114" i="1"/>
  <c r="AF11379" i="1"/>
  <c r="AF3293" i="1"/>
  <c r="AF1666" i="1"/>
  <c r="AF1667" i="1"/>
  <c r="AF994" i="1"/>
  <c r="AF995" i="1"/>
  <c r="AF1277" i="1"/>
  <c r="AF1278" i="1"/>
  <c r="AF2826" i="1"/>
  <c r="AF2827" i="1"/>
  <c r="AF258" i="1"/>
  <c r="AF259" i="1"/>
  <c r="AF2517" i="1"/>
  <c r="AF2518" i="1"/>
  <c r="AF1287" i="1"/>
  <c r="AF1288" i="1"/>
  <c r="AF2522" i="1"/>
  <c r="AF2523" i="1"/>
  <c r="AF2835" i="1"/>
  <c r="AF2836" i="1"/>
  <c r="AF2837" i="1"/>
  <c r="AF4606" i="1"/>
  <c r="AF4607" i="1"/>
  <c r="AF2840" i="1"/>
  <c r="AF2843" i="1"/>
  <c r="AF2844" i="1"/>
  <c r="AF1673" i="1"/>
  <c r="AF1674" i="1"/>
  <c r="AF355" i="1"/>
  <c r="AF2362" i="1"/>
  <c r="AF1471" i="1"/>
  <c r="AF1472" i="1"/>
  <c r="AF4615" i="1"/>
  <c r="AF4616" i="1"/>
  <c r="AF2845" i="1"/>
  <c r="AF2846" i="1"/>
  <c r="AF2847" i="1"/>
  <c r="AF11683" i="1"/>
  <c r="AF4065" i="1"/>
  <c r="AF4066" i="1"/>
  <c r="AF4618" i="1"/>
  <c r="AF4619" i="1"/>
  <c r="AF11883" i="1"/>
  <c r="AF11884" i="1"/>
  <c r="AF6318" i="1"/>
  <c r="AF1299" i="1"/>
  <c r="AF1300" i="1"/>
  <c r="AF2539" i="1"/>
  <c r="AF2540" i="1"/>
  <c r="AF3406" i="1"/>
  <c r="AF4092" i="1"/>
  <c r="AF4093" i="1"/>
  <c r="AF1969" i="1"/>
  <c r="AF1970" i="1"/>
  <c r="AF3160" i="1"/>
  <c r="AF3161" i="1"/>
  <c r="AF2863" i="1"/>
  <c r="AF2864" i="1"/>
  <c r="AF2893" i="1"/>
  <c r="AF2164" i="1"/>
  <c r="AF1681" i="1"/>
  <c r="AF1682" i="1"/>
  <c r="AF1006" i="1"/>
  <c r="AF294" i="1"/>
  <c r="AF11891" i="1"/>
  <c r="AF11892" i="1"/>
  <c r="AF11893" i="1"/>
  <c r="AF11894" i="1"/>
  <c r="AF2661" i="1"/>
  <c r="AF2662" i="1"/>
  <c r="AF3467" i="1"/>
  <c r="AF3468" i="1"/>
  <c r="AF3469" i="1"/>
  <c r="AF3470" i="1"/>
  <c r="AF4110" i="1"/>
  <c r="AF4111" i="1"/>
  <c r="AF4112" i="1"/>
  <c r="AF4113" i="1"/>
  <c r="AF296" i="1"/>
  <c r="AF297" i="1"/>
  <c r="AF4120" i="1"/>
  <c r="AF4121" i="1"/>
  <c r="AF11895" i="1"/>
  <c r="AF2144" i="1"/>
  <c r="AF2145" i="1"/>
  <c r="AF3474" i="1"/>
  <c r="AF3475" i="1"/>
  <c r="AF1314" i="1"/>
  <c r="AF1315" i="1"/>
  <c r="AF2870" i="1"/>
  <c r="AF2561" i="1"/>
  <c r="AF2564" i="1"/>
  <c r="AF2565" i="1"/>
  <c r="AF3477" i="1"/>
  <c r="AF3478" i="1"/>
  <c r="AF2636" i="1"/>
  <c r="AF2637" i="1"/>
  <c r="AF1984" i="1"/>
  <c r="AF1985" i="1"/>
  <c r="AF1986" i="1"/>
  <c r="AF1987" i="1"/>
  <c r="AF306" i="1"/>
  <c r="AF307" i="1"/>
  <c r="AF308" i="1"/>
  <c r="AF309" i="1"/>
  <c r="AF3165" i="1"/>
  <c r="AF2875" i="1"/>
  <c r="AF2878" i="1"/>
  <c r="AF2879" i="1"/>
  <c r="AF1989" i="1"/>
  <c r="AF1990" i="1"/>
  <c r="AF1991" i="1"/>
  <c r="AF1992" i="1"/>
  <c r="AF11844" i="1"/>
  <c r="AF1049" i="1"/>
  <c r="AF1050" i="1"/>
  <c r="AF1993" i="1"/>
  <c r="AF1697" i="1"/>
  <c r="AF1698" i="1"/>
  <c r="AF1699" i="1"/>
  <c r="AF11902" i="1"/>
  <c r="AF11903" i="1"/>
  <c r="AF11904" i="1"/>
  <c r="AF323" i="1"/>
  <c r="AF324" i="1"/>
  <c r="AF4135" i="1"/>
  <c r="AF4136" i="1"/>
  <c r="AF4137" i="1"/>
  <c r="AF4138" i="1"/>
  <c r="AF3052" i="1"/>
  <c r="AF3053" i="1"/>
  <c r="AF331" i="1"/>
  <c r="AF332" i="1"/>
  <c r="AF4150" i="1"/>
  <c r="AF4151" i="1"/>
  <c r="AF4152" i="1"/>
  <c r="AF4153" i="1"/>
  <c r="AF2152" i="1"/>
  <c r="AF2591" i="1"/>
  <c r="AF2592" i="1"/>
  <c r="AF2593" i="1"/>
  <c r="AF346" i="1"/>
  <c r="AF347" i="1"/>
  <c r="AF2154" i="1"/>
  <c r="AF2155" i="1"/>
  <c r="AF1052" i="1"/>
  <c r="AF1053" i="1"/>
  <c r="AF1054" i="1"/>
  <c r="AF1055" i="1"/>
  <c r="AF2609" i="1"/>
  <c r="AF2610" i="1"/>
  <c r="AF1473" i="1"/>
  <c r="AF2382" i="1"/>
  <c r="AF2383" i="1"/>
  <c r="AF2004" i="1"/>
  <c r="AF2005" i="1"/>
  <c r="AF1088" i="1"/>
  <c r="AF1089" i="1"/>
  <c r="AF3484" i="1"/>
  <c r="AF3485" i="1"/>
  <c r="AF2014" i="1"/>
  <c r="AF2016" i="1"/>
  <c r="AF2017" i="1"/>
  <c r="AF3136" i="1"/>
  <c r="AF3649" i="1"/>
  <c r="AF361" i="1"/>
  <c r="AF362" i="1"/>
  <c r="AF819" i="1"/>
  <c r="AF820" i="1"/>
  <c r="AF368" i="1"/>
  <c r="AF369" i="1"/>
  <c r="AF3376" i="1"/>
  <c r="AF373" i="1"/>
  <c r="AF374" i="1"/>
  <c r="AF4185" i="1"/>
  <c r="AF4186" i="1"/>
  <c r="AF3087" i="1"/>
  <c r="AF3088" i="1"/>
  <c r="AF3089" i="1"/>
  <c r="AF3090" i="1"/>
  <c r="AF3162" i="1"/>
  <c r="AF2023" i="1"/>
  <c r="AF1390" i="1"/>
  <c r="AF4192" i="1"/>
  <c r="AF4193" i="1"/>
  <c r="AF376" i="1"/>
  <c r="AF377" i="1"/>
  <c r="AF378" i="1"/>
  <c r="AF379" i="1"/>
  <c r="AF744" i="1"/>
  <c r="AF1352" i="1"/>
  <c r="AF1353" i="1"/>
  <c r="AF1354" i="1"/>
  <c r="AF1355" i="1"/>
  <c r="AF11918" i="1"/>
  <c r="AF11919" i="1"/>
  <c r="AF5031" i="1"/>
  <c r="AF5032" i="1"/>
  <c r="AF4639" i="1"/>
  <c r="AF4645" i="1"/>
  <c r="AF4695" i="1"/>
  <c r="AF4696" i="1"/>
  <c r="AF4697" i="1"/>
  <c r="AF5159" i="1"/>
  <c r="AF5160" i="1"/>
  <c r="AF4790" i="1"/>
  <c r="AF4793" i="1"/>
  <c r="AF4794" i="1"/>
  <c r="AF5016" i="1"/>
  <c r="AF5017" i="1"/>
  <c r="AF5351" i="1"/>
  <c r="AF5352" i="1"/>
  <c r="AF30" i="1"/>
  <c r="AF5365" i="1"/>
  <c r="AF5366" i="1"/>
  <c r="AF4841" i="1"/>
  <c r="AF4842" i="1"/>
  <c r="AF5180" i="1"/>
  <c r="AF5181" i="1"/>
  <c r="AF5371" i="1"/>
  <c r="AF4805" i="1"/>
  <c r="AF4806" i="1"/>
  <c r="AF4897" i="1"/>
  <c r="AF4898" i="1"/>
  <c r="AF5234" i="1"/>
  <c r="AF5235" i="1"/>
  <c r="AF4913" i="1"/>
  <c r="AF4914" i="1"/>
  <c r="AF4740" i="1"/>
  <c r="AF4741" i="1"/>
  <c r="AF4929" i="1"/>
  <c r="AF4930" i="1"/>
  <c r="AF4935" i="1"/>
  <c r="AF4936" i="1"/>
  <c r="AF4941" i="1"/>
  <c r="AF4942" i="1"/>
  <c r="AF4953" i="1"/>
  <c r="AF4954" i="1"/>
  <c r="AF4957" i="1"/>
  <c r="AF4958" i="1"/>
  <c r="AF4690" i="1"/>
  <c r="AF4691" i="1"/>
  <c r="AF4993" i="1"/>
  <c r="AF4994" i="1"/>
  <c r="AF5003" i="1"/>
  <c r="AF5004" i="1"/>
  <c r="AF5011" i="1"/>
  <c r="AF5012" i="1"/>
  <c r="AF5033" i="1"/>
  <c r="AF5035" i="1"/>
  <c r="AF4855" i="1"/>
  <c r="AF4856" i="1"/>
  <c r="AF5260" i="1"/>
  <c r="AF5265" i="1"/>
  <c r="AF4893" i="1"/>
  <c r="AF4894" i="1"/>
  <c r="AF5087" i="1"/>
  <c r="AF5088" i="1"/>
  <c r="AF5278" i="1"/>
  <c r="AF5279" i="1"/>
  <c r="AF5083" i="1"/>
  <c r="AF5285" i="1"/>
  <c r="AF5287" i="1"/>
  <c r="AF5288" i="1"/>
  <c r="AF5289" i="1"/>
  <c r="AF5298" i="1"/>
  <c r="AF5299" i="1"/>
  <c r="AF5169" i="1"/>
  <c r="AF5170" i="1"/>
  <c r="AF5219" i="1"/>
  <c r="AF5220" i="1"/>
  <c r="AF5223" i="1"/>
  <c r="AF5224" i="1"/>
  <c r="AF5239" i="1"/>
  <c r="AF5240" i="1"/>
  <c r="AF5099" i="1"/>
  <c r="AF5257" i="1"/>
  <c r="AF5258" i="1"/>
  <c r="AF5263" i="1"/>
  <c r="AF5264" i="1"/>
  <c r="AF5232" i="1"/>
  <c r="AF5233" i="1"/>
  <c r="AF4703" i="1"/>
  <c r="AF4704" i="1"/>
  <c r="AF4918" i="1"/>
  <c r="AF4919" i="1"/>
  <c r="AF4922" i="1"/>
  <c r="AF4923" i="1"/>
  <c r="AF4871" i="1"/>
  <c r="AF4872" i="1"/>
  <c r="AF5104" i="1"/>
  <c r="AF5105" i="1"/>
  <c r="AF4723" i="1"/>
  <c r="AF4724" i="1"/>
  <c r="AF2284" i="1"/>
  <c r="AF5317" i="1"/>
  <c r="AF5136" i="1"/>
  <c r="AF5145" i="1"/>
  <c r="AF5146" i="1"/>
  <c r="AF4963" i="1"/>
  <c r="AF4964" i="1"/>
  <c r="AF5326" i="1"/>
  <c r="AF5327" i="1"/>
  <c r="AF5369" i="1"/>
  <c r="AF5370" i="1"/>
  <c r="AF5377" i="1"/>
  <c r="AF5378" i="1"/>
  <c r="AF5380" i="1"/>
  <c r="AF5384" i="1"/>
  <c r="AF5385" i="1"/>
  <c r="AF5387" i="1"/>
  <c r="AF4887" i="1"/>
  <c r="AF4888" i="1"/>
  <c r="AF5393" i="1"/>
  <c r="AF5394" i="1"/>
  <c r="AF5430" i="1"/>
  <c r="AF5431" i="1"/>
  <c r="AF5432" i="1"/>
  <c r="AF5427" i="1"/>
  <c r="AF5428" i="1"/>
  <c r="AF5451" i="1"/>
  <c r="AF5452" i="1"/>
  <c r="AF5465" i="1"/>
  <c r="AF5466" i="1"/>
  <c r="AF5469" i="1"/>
  <c r="AF5472" i="1"/>
  <c r="AF5483" i="1"/>
  <c r="AF5484" i="1"/>
  <c r="AF5505" i="1"/>
  <c r="AF5525" i="1"/>
  <c r="AF5545" i="1"/>
  <c r="AF5546" i="1"/>
  <c r="AF5549" i="1"/>
  <c r="AF5550" i="1"/>
  <c r="AF5597" i="1"/>
  <c r="AF5598" i="1"/>
  <c r="AF5609" i="1"/>
  <c r="AF5612" i="1"/>
  <c r="AF5613" i="1"/>
  <c r="AF5614" i="1"/>
  <c r="AF5639" i="1"/>
  <c r="AF5640" i="1"/>
  <c r="AF5643" i="1"/>
  <c r="AF5649" i="1"/>
  <c r="AF5650" i="1"/>
  <c r="AF5679" i="1"/>
  <c r="AF5680" i="1"/>
  <c r="AF5681" i="1"/>
  <c r="AF5682" i="1"/>
  <c r="AF5686" i="1"/>
  <c r="AF5690" i="1"/>
  <c r="AF5709" i="1"/>
  <c r="AF5710" i="1"/>
  <c r="AF5715" i="1"/>
  <c r="AF5716" i="1"/>
  <c r="AF5739" i="1"/>
  <c r="AF5740" i="1"/>
  <c r="AF5743" i="1"/>
  <c r="AF5744" i="1"/>
  <c r="AF5758" i="1"/>
  <c r="AF5760" i="1"/>
  <c r="AF5763" i="1"/>
  <c r="AF5790" i="1"/>
  <c r="AF5792" i="1"/>
  <c r="AF5810" i="1"/>
  <c r="AF5812" i="1"/>
  <c r="AF5817" i="1"/>
  <c r="AF5818" i="1"/>
  <c r="AF5839" i="1"/>
  <c r="AF5840" i="1"/>
  <c r="AF5843" i="1"/>
  <c r="AF5844" i="1"/>
  <c r="AF5855" i="1"/>
  <c r="AF5871" i="1"/>
  <c r="AF5879" i="1"/>
  <c r="AF5880" i="1"/>
  <c r="AF5885" i="1"/>
  <c r="AF5886" i="1"/>
  <c r="AF5962" i="1"/>
  <c r="AF5963" i="1"/>
  <c r="AF5956" i="1"/>
  <c r="AF5957" i="1"/>
  <c r="AF5914" i="1"/>
  <c r="AF5915" i="1"/>
  <c r="AF5982" i="1"/>
  <c r="AF6002" i="1"/>
  <c r="AF6003" i="1"/>
  <c r="AF5994" i="1"/>
  <c r="AF2163" i="1"/>
  <c r="AF385" i="1"/>
  <c r="AF6010" i="1"/>
  <c r="AF6011" i="1"/>
  <c r="AF6018" i="1"/>
  <c r="AF3071" i="1"/>
  <c r="AF6004" i="1"/>
  <c r="AF6046" i="1"/>
  <c r="AF6047" i="1"/>
  <c r="AF6068" i="1"/>
  <c r="AF11965" i="1"/>
  <c r="AF6094" i="1"/>
  <c r="AF6095" i="1"/>
  <c r="AF6097" i="1"/>
  <c r="AF6098" i="1"/>
  <c r="AF6113" i="1"/>
  <c r="AF6120" i="1"/>
  <c r="AF6122" i="1"/>
  <c r="AF6140" i="1"/>
  <c r="AF6142" i="1"/>
  <c r="AF6143" i="1"/>
  <c r="AF6151" i="1"/>
  <c r="AF6152" i="1"/>
  <c r="AF6157" i="1"/>
  <c r="AF6158" i="1"/>
  <c r="AF6172" i="1"/>
  <c r="AF6173" i="1"/>
  <c r="AF11614" i="1"/>
  <c r="AF6193" i="1"/>
  <c r="AF6211" i="1"/>
  <c r="AF6214" i="1"/>
  <c r="AF6215" i="1"/>
  <c r="AF5553" i="1"/>
  <c r="AF6232" i="1"/>
  <c r="AF6243" i="1"/>
  <c r="AF6244" i="1"/>
  <c r="AF6247" i="1"/>
  <c r="AF6250" i="1"/>
  <c r="AF6251" i="1"/>
  <c r="AF6259" i="1"/>
  <c r="AF6265" i="1"/>
  <c r="AF6266" i="1"/>
  <c r="AF6269" i="1"/>
  <c r="AF6274" i="1"/>
  <c r="AF6275" i="1"/>
  <c r="AF6277" i="1"/>
  <c r="AF6295" i="1"/>
  <c r="AF6300" i="1"/>
  <c r="AF6304" i="1"/>
  <c r="AF6308" i="1"/>
  <c r="AF6315" i="1"/>
  <c r="AF6321" i="1"/>
  <c r="AF6330" i="1"/>
  <c r="AF6334" i="1"/>
  <c r="AF6335" i="1"/>
  <c r="AF6344" i="1"/>
  <c r="AF6355" i="1"/>
  <c r="AF6357" i="1"/>
  <c r="AF6358" i="1"/>
  <c r="AF6362" i="1"/>
  <c r="AF6376" i="1"/>
  <c r="AF11720" i="1"/>
  <c r="AF3844" i="1"/>
  <c r="AF6433" i="1"/>
  <c r="AF6440" i="1"/>
  <c r="AF6442" i="1"/>
  <c r="AF6443" i="1"/>
  <c r="AF6463" i="1"/>
  <c r="AF6464" i="1"/>
  <c r="AF7888" i="1"/>
  <c r="AF7920" i="1"/>
  <c r="AF7934" i="1"/>
  <c r="AF7946" i="1"/>
  <c r="AF7965" i="1"/>
  <c r="AF8009" i="1"/>
  <c r="AF8011" i="1"/>
  <c r="AF8017" i="1"/>
  <c r="AF8020" i="1"/>
  <c r="AF8072" i="1"/>
  <c r="AF8127" i="1"/>
  <c r="AF8174" i="1"/>
  <c r="AF8255" i="1"/>
  <c r="AF8285" i="1"/>
  <c r="AF8308" i="1"/>
  <c r="AF8321" i="1"/>
  <c r="AF8387" i="1"/>
  <c r="AF8530" i="1"/>
  <c r="AF8599" i="1"/>
  <c r="AF8634" i="1"/>
  <c r="AF8638" i="1"/>
  <c r="AF8711" i="1"/>
  <c r="AF8825" i="1"/>
  <c r="AF8858" i="1"/>
  <c r="AF8905" i="1"/>
  <c r="AF8939" i="1"/>
  <c r="AF8951" i="1"/>
  <c r="AF8959" i="1"/>
  <c r="AF8986" i="1"/>
  <c r="AF9006" i="1"/>
  <c r="AF9014" i="1"/>
  <c r="AF9103" i="1"/>
  <c r="AF9129" i="1"/>
  <c r="AF9133" i="1"/>
  <c r="AF9213" i="1"/>
  <c r="AF9221" i="1"/>
  <c r="AF9225" i="1"/>
  <c r="AF9289" i="1"/>
  <c r="AF9301" i="1"/>
  <c r="AF9348" i="1"/>
  <c r="AF9353" i="1"/>
  <c r="AF9359" i="1"/>
  <c r="AF9416" i="1"/>
  <c r="AF9459" i="1"/>
  <c r="AF9505" i="1"/>
  <c r="AF9563" i="1"/>
  <c r="AF9567" i="1"/>
  <c r="AF9574" i="1"/>
  <c r="AF9617" i="1"/>
  <c r="AF9626" i="1"/>
  <c r="AF9706" i="1"/>
  <c r="AF9710" i="1"/>
  <c r="AF9720" i="1"/>
  <c r="AF9762" i="1"/>
  <c r="AF9804" i="1"/>
  <c r="AF9832" i="1"/>
  <c r="AF9837" i="1"/>
  <c r="AF9929" i="1"/>
  <c r="AF9958" i="1"/>
  <c r="AF9961" i="1"/>
  <c r="AF9971" i="1"/>
  <c r="AF10010" i="1"/>
  <c r="AF10037" i="1"/>
  <c r="AF10065" i="1"/>
  <c r="AF10089" i="1"/>
  <c r="AF10093" i="1"/>
  <c r="AF10159" i="1"/>
  <c r="AF10162" i="1"/>
  <c r="AF10166" i="1"/>
  <c r="AF10204" i="1"/>
  <c r="AF10216" i="1"/>
  <c r="AF10233" i="1"/>
  <c r="AF10330" i="1"/>
  <c r="AF10570" i="1"/>
  <c r="AF10598" i="1"/>
  <c r="AF10625" i="1"/>
  <c r="AF10654" i="1"/>
  <c r="AF10688" i="1"/>
  <c r="AF10707" i="1"/>
  <c r="AF10723" i="1"/>
  <c r="AF10803" i="1"/>
  <c r="AF10811" i="1"/>
  <c r="AF10813" i="1"/>
  <c r="AF10820" i="1"/>
  <c r="AF10825" i="1"/>
  <c r="AF10832" i="1"/>
  <c r="AF10843" i="1"/>
</calcChain>
</file>

<file path=xl/sharedStrings.xml><?xml version="1.0" encoding="utf-8"?>
<sst xmlns="http://schemas.openxmlformats.org/spreadsheetml/2006/main" count="138476" uniqueCount="24733">
  <si>
    <t>unique_id</t>
  </si>
  <si>
    <t>gene_cluster_id</t>
  </si>
  <si>
    <t>bin_name</t>
  </si>
  <si>
    <t>genome_name</t>
  </si>
  <si>
    <t>gene_callers_id</t>
  </si>
  <si>
    <t>num_genomes_gene_cluster_has_hits</t>
  </si>
  <si>
    <t>num_genes_in_gene_cluster</t>
  </si>
  <si>
    <t>max_num_paralogs</t>
  </si>
  <si>
    <t>SCG</t>
  </si>
  <si>
    <t>functional_homogeneity_index</t>
  </si>
  <si>
    <t>geometric_homogeneity_index</t>
  </si>
  <si>
    <t>combined_homogeneity_index</t>
  </si>
  <si>
    <t>AAI_min</t>
  </si>
  <si>
    <t>AAI_max</t>
  </si>
  <si>
    <t>AAI_avg</t>
  </si>
  <si>
    <t>Pfam_ACC</t>
  </si>
  <si>
    <t>Pfam</t>
  </si>
  <si>
    <t>COG20_CATEGORY_ACC</t>
  </si>
  <si>
    <t>COG20_CATEGORY</t>
  </si>
  <si>
    <t>KOfam_ACC</t>
  </si>
  <si>
    <t>KOfam</t>
  </si>
  <si>
    <t>COG20_FUNCTION_ACC</t>
  </si>
  <si>
    <t>COG20_FUNCTION</t>
  </si>
  <si>
    <t>COG20_PATHWAY_ACC</t>
  </si>
  <si>
    <t>COG20_PATHWAY</t>
  </si>
  <si>
    <t>KEGG_Module_ACC</t>
  </si>
  <si>
    <t>KEGG_Module</t>
  </si>
  <si>
    <t>KEGG_Class_ACC</t>
  </si>
  <si>
    <t>KEGG_Class</t>
  </si>
  <si>
    <t>KEGG_BRITE_ACC</t>
  </si>
  <si>
    <t>KEGG_BRITE</t>
  </si>
  <si>
    <t>aa_sequence</t>
  </si>
  <si>
    <t>GC_00000001</t>
  </si>
  <si>
    <t>c-mat1_c-mat2</t>
  </si>
  <si>
    <t>Corynebacterium_matruchotii_1</t>
  </si>
  <si>
    <t>------------------------MVMAKDIFQRVADEARPPAVLGRYPGI--PDYFPEVLLNDLVESGAWLDLELKRPFLALWVNDESFDDPD-LDDPIEILTNSDARKFAAMDPVVDLESLRGMKV--KLVYDD---------------</t>
  </si>
  <si>
    <t>--------------------------MAKDIFQRVADEARPPAIWGR-PGCDPPDYAVYVLLDDLVESGAWLDLELKRPFLALWVNDEDFDNPD-LDDPIVALGQSDLRKFAAIDPVVDLESLRGMKV--KLFYDDEV-------------</t>
  </si>
  <si>
    <t>------------------------MVMAKGLFQRVADEARPPAVLGRYPGM--PDYFTEVLLDDLVESGAWLDLELKIPFLALWVNDEDFDFPD-WNDPLIAIDQVNVRKFAAMDPVVDLESLRGMKV----YVIEPYIR-----------</t>
  </si>
  <si>
    <t>------------------------MVMAKSLSQRVADEARPPAVLGRYPGM--RDYYTEVLLDDLVESGAWLDLELKRPFLAVWVNDEDFDNTDSWREPIIGRTQKNVRKFAAMDPVVDLESLRGMQV--KLFYDD---------------</t>
  </si>
  <si>
    <t>------------------------MVMAKRLFQRVADEARPPAVLGRY-GL--YEDFEQVLLDDLVESGAWLDLELKRPFLALWVNDKDFDNPD-WADPIIALGQENVRKFAAMDPVVDLESLRGMRV----YHIEPYVR-----------</t>
  </si>
  <si>
    <t>--------------------------MAKRLFQQVADEARPPAILGR-PGCGPPDYFTDVLLDDLVESGAWLDLELKIPFLALWVNSEDFDNPD-WEDPIIGLTQKNLRKFAAMAPAVDLESLRGMKV----YHIEPYVR-----------</t>
  </si>
  <si>
    <t>--------------------------MAKDLLQRVADEARPPAVWGRY-GM--FENADDVLLDDLVKSGAWLDLELKKQLLALWVNDEDFDNTDSWKEPIIGRTQKNIRKFAAMDPVVDLESLRGMKV--KLVYDD---------------</t>
  </si>
  <si>
    <t>--------------------------MTKNLFQRVADEAKPPAIWGR-PGCGPPDYAAYVLLDDLVNSHAWLDLELKRPFLAAWVNDEDFDNPD-WADPIIALDQENLRKFAAMDPVVDLESLRGMKV----YVIEPYLR-----------</t>
  </si>
  <si>
    <t>--------------------------MAKRLFQRVADEAKPPAIWGR-PGCGPPDYAAYVLLDDLVNSHAWLDLELKRPFLAAWVNDEDFDNTDSWREPIIGLTQKNIRKFAAMDPIVDLESLRGMKV----YVIEPYFR-----------</t>
  </si>
  <si>
    <t>----------------------------------------------------MYENDDQVLLDDLVESGAWLDLELKIPFLALWVNDEDFDNTDNWKDPITAIDQANVRKFAAMDPVVDLESLRGMKV--KLFYDD---------------</t>
  </si>
  <si>
    <t>Corynebacterium_matruchotii_2</t>
  </si>
  <si>
    <t>--------------------------MAKDLFHRVADEARPPAVLGRYPGI--ADYFVEVLLNDLVESGAWLDLELKRPFLALWVNEEDFDNPD-LDDPIEILTNSDAHKFAAMDPVVDLESLRGMKV--KLVYDD---------------</t>
  </si>
  <si>
    <t>--------------------------MAKSLSQRVADEARPPAVLGRYPGM--RDYYTEVLLDDLVESGAWLDLELKRPFLATWVNDEDFDNPD-WEDPIIGRTQKNVRKFAAMDPVVDLESLRGMKV--KVFYDD---------------</t>
  </si>
  <si>
    <t>--------------------------MAKDIFQRVADEARPPAIWGR-PGCGPPDYAVYVLLDDLVESGAWLDLELKRPFLALWVNDQDFDNPD-LDDPIVALGQSDLRKFAAMDPVVDLESLRGMHV--KLVYDDEV-------------</t>
  </si>
  <si>
    <t>--------------------------MTKLLFQRVADEARPPAILGR-PGCGPPDYFTEVLLHDLVESGAWLDLELKRPFLALWVNDEDFDNPD-VDDPIEILTNADAHKFAAMDPVVDLESLRGMRV----YHDKPYFR-----------</t>
  </si>
  <si>
    <t>MAFESATRWVVWYLKNFLQRIQLVMVMAKGLFQRVADEARPPAVLGRYPGM--RDYFTEVLLDDLVESGAWLDLELKIPFLALWVNDRDFDNPD-WEDPIIGLTQKNVRKFAAMDPVVDLESLRGMKV----YVIEPYIR-----------</t>
  </si>
  <si>
    <t>--------------------------MAKRLFQRVADEAKPPAIWGR-PGCGPPDYFVEVLLHDLVESGAWLDLELKRPFLAIWVNEESFDDPD-VDDPIEILTNADAHKFAAMEPVVDLESLRGMRV----CVIEPYIR-----------</t>
  </si>
  <si>
    <t>-------------------------MMVKLLFQRVADEARPPAVLGRYPGM--PDYFTEVLLDDLVESGAWLDLELKRPFLALWVNDEDFDNPD-WEDPIIGRTQKNVRKFAAMDPVVDLESLRGMRV----FHDEPYFR-----------</t>
  </si>
  <si>
    <t>--------------------------MAKDLFDRVADEARPPAVLGRYPGI--SDYTGDLLLDDLVNSGAWLDLELKRPYLALWVNDKEFDNPD-WDDPIIGLTQRNVRKFAAMDPVVDLESLRGMKV----YVIEPYIR-----------</t>
  </si>
  <si>
    <t>------------------------MIMAKSLSQRVADEARPPAVLGRYPGM--RDYYAEVLLDDLVESGAWLDLELKRPFLATWVNDEDFDNPDSWREPIIGRTQKNVRKFAAMAPVVDLESLRGMQV--KLFYDD---------------</t>
  </si>
  <si>
    <t>------------------------MVMAKSLFQRVADEARPPAVLGRY-GL--YEDFEQVLLDDLVESGAWLDLELKRPFLALWVNEEDFDNPD-WADPIIAIDQENVRKFAAMDPVVDLESLRGMRV----YHIEPYVR-----------</t>
  </si>
  <si>
    <t>GC_00000002</t>
  </si>
  <si>
    <t>c-arg_c-dur_c-durJJ1</t>
  </si>
  <si>
    <t>Corynebacterium_argentoratense</t>
  </si>
  <si>
    <t>MAKAGLWAVTDAEERKHGERTGLDTLVVHAVNGGR</t>
  </si>
  <si>
    <t>Corynebacterium_durum</t>
  </si>
  <si>
    <t>MAKAGYWAVTDAEERKHGERTGLDTLVVHAVNGGR</t>
  </si>
  <si>
    <t>Corynebacterium_durum_JJ1</t>
  </si>
  <si>
    <t>GC_00000003</t>
  </si>
  <si>
    <t>PF13359.12</t>
  </si>
  <si>
    <t>DDE superfamily endonuclease</t>
  </si>
  <si>
    <t>MTCTLTTDNLLTLANIITTSNIPHHHPPSLGVFTSVQVTMLYLQGNLRQQTLAGIFGTSQPTISRAINTVFNILDVVLPPPPRPKDLRPQRLCVLDGTLVPCWWWKNARNLYSGKHHKAGHNLQVLTDQAGEIFYISPPLPGSTHDITAIRNTGLFGHMQPWHCTADKGYVGLGCDTPFKRRPGKPLLGWQ--------------------------------------------------------------</t>
  </si>
  <si>
    <t>GC_00000004</t>
  </si>
  <si>
    <t>c-dur_c-durJJ1</t>
  </si>
  <si>
    <t>MRVSGWLPLAGTLGLCVRGSGVESPAVDGESPVPEDMWLGCVRIFPSSSGLVESAVNLPGPPGKPEYLA</t>
  </si>
  <si>
    <t>MRVSGWLPLAGTLGLCVRGSGVESPAVDGDSPVPEDMWLGCVRIFPSSSGLVESAVNLPGPPGKPEYLA</t>
  </si>
  <si>
    <t>GC_00000005</t>
  </si>
  <si>
    <t>all</t>
  </si>
  <si>
    <t>PF01039.27</t>
  </si>
  <si>
    <t>Carboxyl transferase domain</t>
  </si>
  <si>
    <t>I</t>
  </si>
  <si>
    <t>Lipid transport and metabolism</t>
  </si>
  <si>
    <t>K27094</t>
  </si>
  <si>
    <t>propionyl-CoA/long-chain acyl-CoA carboxylase carboxyl transferase subunit [EC:6.4.1.3 6.4.1.- 2.1.3.15]</t>
  </si>
  <si>
    <t>COG4799</t>
  </si>
  <si>
    <t>Acetyl-CoA carboxylase, carboxyltransferase component (MmdA) (PDB:1OD2)</t>
  </si>
  <si>
    <t>M00741|M00887</t>
  </si>
  <si>
    <t>Propanoyl-CoA metabolism, propanoyl-CoA =&gt; succinyl-CoA|Mycolic acid biosynthesis, meromycolic acid + alpha-carboxyacyl-CoA + trehalose =&gt; TMM =&gt; TDM/mAGP/GMM</t>
  </si>
  <si>
    <t>Pathway modules; Carbohydrate metabolism; Other carbohydrate metabolism|Pathway modules; Lipid metabolism; Fatty acid metabolism</t>
  </si>
  <si>
    <t>ko00001|ko00001|ko00001|ko00001|ko01000|ko01000</t>
  </si>
  <si>
    <t>KEGG Orthology (KO)&gt;&gt;&gt;09100 Metabolism&gt;&gt;&gt;09101 Carbohydrate metabolism&gt;&gt;&gt;00630 Glyoxylate and dicarboxylate metabolism [PATH:ko00630]|KEGG Orthology (KO)&gt;&gt;&gt;09100 Metabolism&gt;&gt;&gt;09101 Carbohydrate metabolism&gt;&gt;&gt;00640 Propanoate metabolism [PATH:ko00640]|KEGG Orthology (KO)&gt;&gt;&gt;09100 Metabolism&gt;&gt;&gt;09103 Lipid metabolism&gt;&gt;&gt;00074 Mycolic acid biosynthesis [PATH:ko00074]|KEGG Orthology (KO)&gt;&gt;&gt;09100 Metabolism&gt;&gt;&gt;09105 Amino acid metabolism&gt;&gt;&gt;00280 Valine, leucine and isoleucine degradation [PATH:ko00280]|Enzymes&gt;&gt;&gt;2. Transferases&gt;&gt;&gt;2.1  Transferring one-carbon groups&gt;&gt;&gt;2.1.3  Carboxy- and carbamoyltransferases&gt;&gt;&gt;2.1.3.15  acetyl-CoA carboxytransferase|Enzymes&gt;&gt;&gt;6. Ligases&gt;&gt;&gt;6.4  Forming carbon-carbon bonds&gt;&gt;&gt;6.4.1  Ligases that form carbon-carbon bonds (only sub-subclass identified to date)&gt;&gt;&gt;6.4.1.3  propionyl-CoA carboxylase</t>
  </si>
  <si>
    <t>----MTAAQINDASDKPDLTTTAGKLANLRSRIAEAHAPMGQAAIEKSHEAGKKTARERIEYLLDEGSFIEVDALARHRSKNFGLDAKRPITDGVVTGYGTIDGRKVCVFSQDGAVFGGALGEVYGEKIVKIMDLAIKTGVPLIGINEGAGARIQEGVVSLGLYSQIFFRNTQASGVIPQISLIMGACAGGHVYSPALTDFIIMVDKTSKMFITGPDVIKTVTGEEVTQEELGGASTHMSMSGTSHYTAADDADA</t>
  </si>
  <si>
    <t>---------------------------------------MGLRAVDKVHEADRLTARERLDYLLDEGSFVETDQLARHRTHAFGMFSKRPTGDGIITGWGTIDGREVCIFSQDGTVFGGALGEVYGEKMIKIQQLAVDTGRPLIGLYEGAGARIQDGAVSLDLIAQTFYHNVRASGVVPQISVIMGACAGGNAYSPALTDFVVMVDKTSKMFVTGPDVIKTVTGEDITQEELGGASTHMELAGNTHYTASSDEEA</t>
  </si>
  <si>
    <t>--MTTATQNHTEGTTAPDLTTTAGKLADLRSRLAETNAPMGQAAIERSHDAGKKTARERIEYLLDDDSFVEVDALARHRSKNFGLDAKRPVTDGVVTGYGTIDGRKVCVFSQDGAIFGGALGEVYGEKIVKIMDLAIKTGVPLIGINEGAGARIHEGVVSLGLYSQIFFRNTQASGVIPQISLIMGACAGGHVYSPALTDFIIMVDKTSKMFITGPDVIKTVTGEEVTQEELGGANTHMSMSGTSHYTASDDADA</t>
  </si>
  <si>
    <t>---MTISSPLIDVASLPDINTTAGKLADLKARRAEATYPMGRRAVDKVHQADRLTARERLDFLLDEGSFIETDQLARHRTHAFGMGTKRPATDGIVTGWGTIDGREVCVFSQDGTVFGGALGEVYGEKMVKIMELAVQTGRPLIGLYEGAGARIQDGAVSLDLIAQTFYHNINASGVVPQISVIMGACAGGNAYSPALTDFVVMVDKTSKMFVTGPDVIKTVTSEDISQEDLGGASIHMETAGNSHFTAESDEEA</t>
  </si>
  <si>
    <t>---MTISSPLIDVASLPDINTTAGKLADLKARRAEATYPMGRRAVDKVHQADRLTARERLDFLLDEGSFIETDQLARHRTHAFGMGAKRPATDGIVTGWGTIDGREVCVFSQDGTVFGGALGEVYGEKMVKIMELAVQTGRPLIGLYEGAGARIQDGAVSLDLIAQTFYHNINASGVVPQISVIMGACAGGNAYSPALTDFVVMVDKTSKMFVTGPDVIKTVTSEDISQEDLGGASIHMETAGNSHFTAESDEEA</t>
  </si>
  <si>
    <t>MTAATISQPGTTGAAAPDLTTTAGKLADLRARIAETHTPMGQASVDRVHDAGKKTARERIEYLLDDGSFVEVDALARHRSKNFGLDAKRPITDGVVTGYGTIDGRKVCVFSQDGAIFGGALGEVYGEKIVKIMDLAIKTGVPLIGINEGAGARIQEGVVSLGLYAQIFYRNTLASGVIPQISLIMGACAGGHVYSPALTDFIIMVDKTSKMFITGPDVIKTVTGEIVTQEELGGAHTHMGTSGTSHYTASDDADALDWVRDLVGYLPANNRAEAPREPADIMVGSVQENITDSDLELDTIIPDSPNQPYDMKDIITHVVDDGDFFEIQEGYAGNIIIGFGRVEGRSVGVVANQPTEFAGCLDIRAAEKAARFIRTCDAFNIPIIEFVDVPGFLPGTSEEYNGIIRRGAKLLYAYSEATVGKITVITRKSYGGAYCVMGSKDMGADLVFAWPTAQIAVMGAAGAVGFIYRKEIKAAADRGEDVV---AVAKKYEQEYETTLVNPYMAAERGFVDAVIPPSETRGQIIEGLRLLDRKVVNMPAKKHGNIPL</t>
  </si>
  <si>
    <t>---MTISSPLIDVASLPDVSTTAGKIADLKARRIDAASPVGRAAQKKVRDNGRLTARDRLDYLLDPHSFVEIDQLARHRTYDFGMRSKRPATDGIITGWGTIDGREVCVFSQDGTVFGGALGEVYGEKMCKLMELAVTTGRPLIGLYEGAGARIQDGAVSLDLIAQTFYHNINASGVVPQISVIMGSCAGGNAYSPALTDFVVMVDKTSKMFVTGPDVIKTVTSEDISQEELGGASVHMRQAGNSHYTASSDEDA</t>
  </si>
  <si>
    <t>GC_00000006</t>
  </si>
  <si>
    <t>PF00118.29</t>
  </si>
  <si>
    <t>TCP-1/cpn60 chaperonin family</t>
  </si>
  <si>
    <t>O</t>
  </si>
  <si>
    <t>Posttranslational modification, protein turnover, chaperones</t>
  </si>
  <si>
    <t>K04077</t>
  </si>
  <si>
    <t>chaperonin GroEL [EC:5.6.1.7]</t>
  </si>
  <si>
    <t>COG0459</t>
  </si>
  <si>
    <t>Chaperonin GroEL (HSP60 family) (GroEL) (PDB:1AON)</t>
  </si>
  <si>
    <t>ko00001|ko01000|ko03019|ko03110|ko03029|ko04147|ko04147|ko04147|ko04147|ko04147</t>
  </si>
  <si>
    <t>KEGG Orthology (KO)&gt;&gt;&gt;09120 Genetic Information Processing&gt;&gt;&gt;09123 Folding, sorting and degradation&gt;&gt;&gt;03018 RNA degradation [PATH:ko03018]|Enzymes&gt;&gt;&gt;5. Isomerases&gt;&gt;&gt;5.6  Isomerases altering macromolecular conformation&gt;&gt;&gt;5.6.1  Enzymes altering polypeptide conformation or assembly&gt;&gt;&gt;5.6.1.7  chaperonin ATPase|Messenger RNA biogenesis&gt;&gt;&gt;Prokaryotic type&gt;&gt;&gt;Bacterial mRNA degradation factors&gt;&gt;&gt;Other RNA degradation factors&gt;&gt;&gt;Chaperones|Chaperones and folding catalysts&gt;&gt;&gt;Heat shock proteins&gt;&gt;&gt;HSP60 / Chaperonin|Mitochondrial biogenesis&gt;&gt;&gt;Mitochondrial protein import machinery&gt;&gt;&gt;Matrix&gt;&gt;&gt;Other matrix factors|Exosome&gt;&gt;&gt;Exosomal proteins&gt;&gt;&gt;Exosomal proteins of haemopoietic cells  (B-cell, T-cell, DC-cell, reticulocyte, and mast cell)|Exosome&gt;&gt;&gt;Exosomal proteins&gt;&gt;&gt;Exosomal proteins of other body fluids (saliva and urine)|Exosome&gt;&gt;&gt;Exosomal proteins&gt;&gt;&gt;Exosomal proteins of breast cancer cells|Exosome&gt;&gt;&gt;Exosomal proteins&gt;&gt;&gt;Exosomal proteins of colorectal cancer cells|Exosome&gt;&gt;&gt;Exosomal proteins&gt;&gt;&gt;Exosomal proteins of bladder cancer cells</t>
  </si>
  <si>
    <t>MAKIIAFDEEARRGLEKGLNILADAVKVTLGPKGRNVVLEKSWGAPTITNDGVSIAREIELEDPYEKIGAELVKEVAKKTDDVAGDGTTTATVLAQALVREGLRNVAAGSNPMGIKRGIEQAVAKVTEQLLSSAKEIETEEEIAATAGISAADPAIGAKIAQAMYAVGGGKLNKESVITVEESNTFGVELDVTEGMRFDKGYISGYFATDMERQEAVLEDPYILLVSSKISNIKDLLPLLEKVMQTGKPLLIIAEDVEGEALSTLVVNKIRGTFKSVAVKAPGFGDRRKAQLQDMAILTGGQVISEEVGLSLETADIPLLGRARKVVVTKDDTTIVEGAGSAEQIQGRVNQIRAEIDNSDSEYDREKLQERLAKLAGGVAVIKVGAATEVELKERKHRIEDAVRNAKAAVEEGIVAGGGVALLQASHVLDSDLD-LVGDEATGVKIVREALSAPLKQIAFNAGLEPGVVADKVASLPNGEGLNAATGEYVDLMAAGINDPVKVTRSALQNAASIAALFLTTEAVVADKPQ-PAGAAMPGADEMGGMGGF</t>
  </si>
  <si>
    <t>MAKLIAFDQEARKGIQAGVDTLADAVKVTLGPRGRNVVLDKAYGGPTVTNDGVTIARDIDVEDPFENLGAQLVKSVAVKTNDIAGDGTTTATLLAQALIHEGLRVVAAGANPIELNRGIAAGAEKTVELLLARATEVSDKQEIANVATVSSRDPEVGEMVAAAMDKVG-----KDGVVTVEESQSIETTADITEGVSFDKGFLSPYFITDVDAQQAVLDDALVLLVRNKISSLPDFLPALEKIVESGKQVLIIAEDIEGEPLQMLVVNSIRKTLKVVAVKSPYFGDRRKAFMDDLAVVTAATVVDPEVGVNLNEIGMDAFGAARRITVTKDRTVIVDGAGTHEALEARRSQIRREIDNTDSTWDREKAQERLAKLSGGIAVIKVGAATETEVGERKLRVEDAINAAKAAADEGIIAGGGSVLVQIAAELDEYADQFEGDAQIGVKALARALRKPAYWIASNAGLDGSVVVSKIAQLPNGEGFNAATLEYGNLIEQGIIDPVKVTHSAVVNATSVARMVLTTEASVVEKPA-EEAPAAEAHHHHH-----</t>
  </si>
  <si>
    <t>MAKIIAFDEEARRGLENGLNTLADAVKVTLGPKGRNVVLEKSWGAPTITNDGVSIAREIELEDPYEKIGAELVKEVAKKTDDVAGDGTTTATVLAQALVREGLRNVAAGSNPMGIKRGIEQAVSKVTDQLLSGAKEVETEEQIAATAGISAADPAIGKKIAEAMYAVGNGQLNKESVITVEESNTFGVELEVTEGMRFDKGYISGYFATDMERLEAVLEDPYVLLVSSKISNIKDLLPLLEKVMQTGKPLLIIAEDVEGEALSTLVVNKIRGTFKSVAVKAPGFGERRKAQLQDIAILTGGQVISEEVGLSLETADLPMLGRARKVVVTKDDTTIVEGAGDAQQIEGRVNQIRAEIDNSDSEYDREKLQERLAKLAGGVAVIKVGAATEVELKERKHRIEDAVRNAKAAVEEGIVAGGGVALLQAAHVLNDDLG-LTGDEATGVKIVRTALSAPLKQIALNAGFEPGVVADKVASLPAGEGLNAATGDYVDLMAAGINDPVKVTRSALQNAASIAALFLTTEAVVADKPQ-PAGAATPGADEMGGMGGF</t>
  </si>
  <si>
    <t>MAKLIAFDEQARKGIQAGVDTLADAVKVTLGPRGRNVVLDKAFGGPTVTNDGVTIARDIDVEDPFENLGAQLVKSVAVKTNDLAGDGTTTATLLAQSLIKEGLRNVAAGANPIELNRGIAAAADKTVEELLKRATEVSNPTEIANVATVSSRDPEIGDMVAAAMEKVG-----KDGVVTVEESQTMETTLDITEGVSFDKGFLSPYFITDIDAQQAVLNDALVLLVRNKISSLPDFLPVLEKIVESGKQVLIVAEDIEGEPLQMLVVNSIRKTLKVVAVKSPYFGDRRKAFMDDLAVVTNATVVDPEVGVNLSEVTIAEFGAARRVTVTKDQTVIVDGAGSAEDVENRRNQIRREIEKTDSTWDREKAEERLAKLSGGIAVIKVGAATETEVGERKLRVEDAINAAKAAAQEGVIAGGGSVLVQIAQELNTFAEGFEGDAKVGVLALARALTKPTYWIADNAGVDGAVVVARTAELPNGDGFNAATLEYGNLIEQGIIDPVKVTHSAVVNATSVARMVLTTEASVVEKPA-EEEPHAGHAHHHH-----</t>
  </si>
  <si>
    <t>MAKIIAFDEEARRGLERGLNTLADAVKVTLGPKGRNVVLEKSWGAPTITNDGVSIAREIELEEPYEKIGAELVKEVAKKTDDVAGDGTTTATVLAQALVREGLRNVAAGSNPMGIKRGIEKAVDAVTKQLLDSAKEVETEEQIAATAGISAADPAIGAQIAKAMYAVGGGKLNKESVITVEESNTFGVELEVTEGMRFDKGYISGYFATDMERLEAVLEDPYILLVSAKVSNIKDLLPLLEKVMQTGKPLLIIAEDVEGEALSTLVVNKIRGTFKSVAVKAPGFGDRRKAQLQDMAILTGGQVISEEVGLSLETADLPLLGRARKVVVTKDDTTIVEGAGSQDQIQGRVNQIRAEIENSDSEYDREKLHERLAKLAGGVAVIKVGAATEVELKERKHRIEDAVRNAKAAVEEGIVAGGGVSLLQAAHVLENDLD-LNGDEATGVKIVREALSAPLKQIAFNAGFEPGVVADKVSHLPAGEGLNAATGEYVDLMAAGINDPVKVTRSALQNAASIAALFLTTEAVVADKPEPPAAPAVPGADEMGGM-GF</t>
  </si>
  <si>
    <t>MAKLIAFNQEAREGILQGVNTLADVVKVTLGPRGRNVVLDKPFGSPTVTNDGVTIARDIDIEEPFENLGVQLVKSVAVKTNDIAGDGTTTATLLAQALITEGLRNVAAGANPIELNHGIEIGAEKVIELLKGRATEVSSSEDIANVATVSSRDPEVGNMVAAAMEKVG-----KDGVVSVEESQSLESYLDVTEGVSFEKGFLSPYFITDVDSQKAELDDALVLLVRNKISSLPDFLPLLEKVVESNKPVLIIAEDVEGEPLQALVVNSIRKILKAVAVKAPYFGERRKAFLDDLAVVTGATVIDPEVGVNMHDADLSVFGSARRVTVTKDETIIVDGAGTAAELEKRRDQIRAEIAKTESSWDREKAEERLAKLSGGVAVVKVGAATETEISERKLRVEDAINSARAAVQEGIIAGGGSVLVQIAQELRSYADEFSGDTQVGVLALAKALVKPTFWIAENAGVDGSVVVSRVADLKNGFGFNAATLGYDDLLAAGIIDPVKVTHSAVVNATSVARMVLTTEASVVDKPQPPAPPAPGGHGHHH-----</t>
  </si>
  <si>
    <t>GC_00000007</t>
  </si>
  <si>
    <t>PF04539.22</t>
  </si>
  <si>
    <t>Sigma-70 region 3</t>
  </si>
  <si>
    <t>K</t>
  </si>
  <si>
    <t>Transcription</t>
  </si>
  <si>
    <t>K03087</t>
  </si>
  <si>
    <t>RNA polymerase nonessential primary-like sigma factor</t>
  </si>
  <si>
    <t>COG0568</t>
  </si>
  <si>
    <t>DNA-directed RNA polymerase, sigma subunit (sigma70/sigma32) (RpoD) (PDB:1SIG)</t>
  </si>
  <si>
    <t>RNA polymerase</t>
  </si>
  <si>
    <t>ko00001|ko00001|ko03021</t>
  </si>
  <si>
    <t>KEGG Orthology (KO)&gt;&gt;&gt;09140 Cellular Processes&gt;&gt;&gt;09145 Cellular community - prokaryotes&gt;&gt;&gt;05111 Biofilm formation - Vibrio cholerae [PATH:ko05111]|KEGG Orthology (KO)&gt;&gt;&gt;09140 Cellular Processes&gt;&gt;&gt;09145 Cellular community - prokaryotes&gt;&gt;&gt;02026 Biofilm formation - Escherichia coli [PATH:ko02026]|Transcription machinery&gt;&gt;&gt;Prokaryotic type&gt;&gt;&gt;Bacterial type&gt;&gt;&gt;RNA polymerase&gt;&gt;&gt;Sigma factors</t>
  </si>
  <si>
    <t>MSA-----------------------------------------------------------------------------------------------------------------------------------------------------------------------------------------------------------------------VATQTASDT-------------ESLPAVDG--------------------------TEEVDRGS-----------RRGHTNDN--PSADLVRVYLNGIGKTALLSAEDEVELARTIEVGLYAEHLLNNPGDKP---------LTRAKRRDLNIIAKQGRAARTHLLEANLRLVVSLAKRYTGRGMPLLDLIQEGNLGLIRAMEKFDYTKGFKFSTYATWWIRQAITRGMADQSRTIRLPVHLVEQVNKLSRIRREMYQHLGREATNEELAEESGIDESKIELLLRQSRDPVSLDMPVGADEEAPLGDFIEDSDAADAESAVVASLRHSDIRAVIDSLEQREQDVIIMRYGLDDGVPRTLDQIGRRYGLSRERVRQIEREVMAKLRDGERADRLRAYAF</t>
  </si>
  <si>
    <t>K03086</t>
  </si>
  <si>
    <t>RNA polymerase primary sigma factor</t>
  </si>
  <si>
    <t>ko03021</t>
  </si>
  <si>
    <t>Transcription machinery&gt;&gt;&gt;Prokaryotic type&gt;&gt;&gt;Bacterial type&gt;&gt;&gt;RNA polymerase&gt;&gt;&gt;Sigma factors</t>
  </si>
  <si>
    <t>MAATEASKKATAQH----TTDDADTAAGSASASRTVAKKTAKKAVKK-----------------------------AAKKTVAKK-AAKKTAKKATTAAPKKAVKKTAKKANQPANSSIEAADVTDAPASNGGAATDAPAKKTAKKATKKTTSGTGTKATKKT-A-KKAAKKTTAKSAAAEDTNATAVVRKAKGLVDGADGDDV-DNDVLDP---D--LQDDTLDDDLDAPIEDDSDDEYTDLPADDDNEDTD---------------DS----DDEEDDGSSVWDEDESAALRQARKDAELTASADSVRAYLKQIGKVALLDAEQEVSLAKRIEAGLYATYRMELM-EDPETPTKE--RLSPAMKRDLRAIARDGRKAKNHLLEANLRLVVSLAKRYTGRGMAFLDLIQEGNLGLIRAVEKFDYTKGYKFSTYATWWIRQAITRAMADQARTIRIPVHMVEVINKLGRIQRELLQDLGREPTPLELAKEMDITEDKVLEIQQYAREPISLDQTIGDEGDSQLGDFIEDSEAVVAVDAVSFTLLQDQLQDVLKTLSEREAGVVRLRFGLTDGMPRTLDEIGQVYGVTRERIRQIESKTMSKLRHPSRSQVLRDYLE</t>
  </si>
  <si>
    <t>------------------------------------------------------------------------------------------------------------------------------------------------------------------------------------------------------------------------------------------------MTLPSTQDFD-----</t>
  </si>
  <si>
    <t>MAATDRSDLA--------QSEGAANSAQGTAVKKTAAKKSAVKKTAR-----------------------------------------------------KSARKASPRAARSAAADSVSTPETTADAAEGAAPAKKAAVKKTAKKAAKKTAKKTAKKTTRKSAAKKTAVKKTSPKKVAAKKADDAVVDEIVDSTTLDASADSMGDEQDFDGAIDNDGIDTDSIDDD------DDADFLGNPLPADDDHEDIDDDLDDMGDRSATEDSDS----EDEDDDGSSVWDEDESAALRQARKDAELTASADSVRAYLKQIGKVALLNAEQEVSLAKRIEAGLYATYRMEQM-EEAYAAGDKDAKLTPAVKRDLRAIARDGRKAKNHLLEANLRLVVSLAKRYTGRGMAFLDLIQEGNLGLIRAVEKFDYTKGYKFSTYATWWIRQAITRAMADQARTIRIPVHMVEVINKLGRIQRELLQDLGREPTPYELSKEMDITEEKVLEIQQYAREPISLDQTIGDEGDSQLGDFIEDSEAVVAVDAVSFTLLQDQLQDVLHTLSDREAGVVKLRFGLTDGMPRTLDEIGQVYGVTRERIRQIESKTMSKLRHPSRSQVLRDYLE</t>
  </si>
  <si>
    <t>MTSSALKEFD---------------------------------------------------------------------------------------------------------------------------------------------------------------------------------------------------NEEDLDVVMGD--EPTDLVDDD----------------PGADDILDPTDEESAF---------------DLAVDRGS-----------RRGQNNDN--PSADLVRVYLNGIGKTALLTAEDEVHLAQTIEVGLYAEYLLTDS-DEP---------LTRAKKRDLKVLVKEGRKARSHLLEANLRLVVSLAKRYTGRGMPLLDLIQEGNLGLIRAMEKFDYAKGFKFSTYATWWIRQAITRGMADQSRTIRLPVHLVEQVNKLSRIKREMYQQLGREATNEELAEESGIDESKIELLLRQSRDPVSLDMPVGADEEAPLGDFIEDSEAADAESAVVASLRHSDIRDVIGTLEDREQDVIRMRYGLDDGVPRTLDQIGRQFGLSRERVRQIEREVMRKLRDGQRAEKLREYAM</t>
  </si>
  <si>
    <t>ko00001|ko03021</t>
  </si>
  <si>
    <t>KEGG Orthology (KO)&gt;&gt;&gt;09140 Cellular Processes&gt;&gt;&gt;09142 Cell motility&gt;&gt;&gt;02040 Flagellar assembly [PATH:ko02040]|Transcription machinery&gt;&gt;&gt;Prokaryotic type&gt;&gt;&gt;Bacterial type&gt;&gt;&gt;RNA polymerase&gt;&gt;&gt;Sigma factors</t>
  </si>
  <si>
    <t>MAATENSDTSATARIGGSSTEGAASSGTPQPATKKVAKKTARKATARKAAPRTPTPATPEAPAAGASAGESTTTAPTARRSAAKK-TTKKTAAKKSVAKKTTAKKTTRKAAPKKAAATDATEVTAAADVAATADTPTAPAKKTAKKVTKKTAKKTTKKATKKT-TRKTAAKKTTAKKTAAKKT--AAKKTAAKKTTRKAAVTAA-KKQAVAPKSIK--MDDDLIEDE-DSLLEPDSDFDLTNGLSNSDVDGYEDDQDAVIDPHLSDDDDAMPPVDEEDEDSSSVWDEDESAALRQARKDAELTASADSVRAYLKQIGKVALLNAEQEVSLAKRIEAGLYADYRMKQM-EKAYSNGDKEAKLTPAVKRDLRAIARDGRKAKNHLLEANLRLVVSLAKRYTGRGMAFLDLIQEGNLGLIRAVEKFDYTKGYKFSTYATWWIRQAITRAMADQARTIRIPVHMVEVINKLGRIQRELLQDLGREPTPYELSKEMDITEDKVLEIQQYAREPISLDQTIGDEGDSQLGDFIEDSEAVIAVDAVSFTLLQDQLQDVLHTLSEREAGVVKLRFGLTDGMPRTLDEIGQVYGVTRERIRQIESKTMSKLRHPSRSQVLRDYLD</t>
  </si>
  <si>
    <t>MAATENSDTSATARIGGSSTEGAASSGTPQPATKKVAKKTARKATARKAAPRTATPATPEAPAAGVSAGESTTTAPAARRSAAKKTTTKKTAAKKSVAKKTTAKKTTRKAAPKKAAATDATEVTAVADVAATADTPTAPAKKTAKKVTKKTAKKTTKKATKKT-TRKTAAKKTTAKKTAAKKT--AAKKTAAKKTTRKAAVTAA-KKQAVAPKSIK--MDDDLIEDE-DSLLEPDSDFDLTNGLSNSDVDGYEDDQDAVIDPHLSDDDDAMPPVDEEDEDSSSVWDEDESAALRQARKDAELTASADSVRAYLKQIGKVALLNAEQEVSLAKRIEAGLYADYRMKQM-EKAYSNGDKEAKLTPAVKRDLRAIARDGRKAKNHLLEANLRLVVSLAKRYTGRGMAFLDLIQEGNLGLIRAVEKFDYTKGYKFSTYATWWIRQAITRAMADQARTIRIPVHMVEVINKLGRIQRELLQDLGREPTPYELSKEMDITEDKVLEIQQYAREPISLDQTIGDEGDSQLGDFIEDSEAVIAVDAVSFTLLQDQLQDVLHTLSEREAGVVKLRFGLTDGMPRTLDEIGQVYGVTRERIRQIESKTMSKLRHPSRSQVLRDYLD</t>
  </si>
  <si>
    <t>GC_00000008</t>
  </si>
  <si>
    <t>PF00756.26</t>
  </si>
  <si>
    <t>Putative esterase</t>
  </si>
  <si>
    <t>V</t>
  </si>
  <si>
    <t>Defense mechanisms</t>
  </si>
  <si>
    <t>K18851</t>
  </si>
  <si>
    <t>diacylglycerol O-acyltransferase / trehalose O-mycolyltransferase / mycolyltransferase Ag85 [EC:2.3.1.20 2.3.1.122 2.3.1.-]</t>
  </si>
  <si>
    <t>COG0627</t>
  </si>
  <si>
    <t>S-formylglutathione hydrolase FrmB (FrmB) (PDB:1DQY)</t>
  </si>
  <si>
    <t>M00887</t>
  </si>
  <si>
    <t>Mycolic acid biosynthesis, meromycolic acid + alpha-carboxyacyl-CoA + trehalose =&gt; TMM =&gt; TDM/mAGP/GMM</t>
  </si>
  <si>
    <t>Pathway modules; Lipid metabolism; Fatty acid metabolism</t>
  </si>
  <si>
    <t>ko00001|ko00001|ko00001|ko01000|ko01000</t>
  </si>
  <si>
    <t>KEGG Orthology (KO)&gt;&gt;&gt;09100 Metabolism&gt;&gt;&gt;09103 Lipid metabolism&gt;&gt;&gt;00074 Mycolic acid biosynthesis [PATH:ko00074]|KEGG Orthology (KO)&gt;&gt;&gt;09100 Metabolism&gt;&gt;&gt;09103 Lipid metabolism&gt;&gt;&gt;00561 Glycerolipid metabolism [PATH:ko00561]|KEGG Orthology (KO)&gt;&gt;&gt;09100 Metabolism&gt;&gt;&gt;09107 Glycan biosynthesis and metabolism&gt;&gt;&gt;00572 Arabinogalactan biosynthesis - Mycobacterium [PATH:ko00572]|Enzymes&gt;&gt;&gt;2. Transferases&gt;&gt;&gt;2.3  Acyltransferases&gt;&gt;&gt;2.3.1  Transferring groups other than aminoacyl groups&gt;&gt;&gt;2.3.1.20  diacylglycerol O-acyltransferase|Enzymes&gt;&gt;&gt;2. Transferases&gt;&gt;&gt;2.3  Acyltransferases&gt;&gt;&gt;2.3.1  Transferring groups other than aminoacyl groups&gt;&gt;&gt;2.3.1.122  trehalose O-mycolyltransferase</t>
  </si>
  <si>
    <t>---MKKFAVTALLTAALVA------AAPSAHA--MPAAELAGDTPRATVTIGEKALDKDPTWRETVKNYPGRVKEVWAHSPSMN-RDIPLLVITPADNSVPRPILYILNGGDGGEGRANWVAQTDIINFYLDKNVNVVIPMSGKFSYYTDWVGENASLGGKQMWETFMTKELPEPLEKALGANERRAIAGMSMSATTTLLYAEHHPGFYDAIGSYSGCAQTNDGLGEFGAMLTLNRGNATLEQMWGPKGSPNRIY</t>
  </si>
  <si>
    <t>MKAFRHIAATAAASALIVG---SALAAPTALAG-TKAAELAGNTPQATVTVGARNVDPVPMWREKVAEHPDRVKEMWAHSPSMD-RDVPLFVITAKDNSQPRPTIYLLNGADGGEGKANWVMQTDVVDFYMDKNVNVVIPMSGQFSYYTDWEQENANLGGKQKWETFLTKELPGPLEKTLKASDKRAIMGMSMTGTTSLLYAEHYPGFYDAVGSFSGCAQTSEGLPLQYVRITLDRGQAVPEQMWGPLGTEKWAYNDALINAEKLRGTPMYISNASGLAGPGDLWSSPRTGGDSNLVG-----VYVIQGGAIEGATNACTHDLKARLDAAGIGAEWNFRPTGTHQWEYWKQDLRDSWPTIAKAFGME-</t>
  </si>
  <si>
    <t>MKTFRHVAAAVTAGALLVG---SALAAPTALAG-KSAAEQAGGTTQATVTVGERNVDPAPMWREKVAEHPDRVKEMWAYSPSMN-RHVPLFVITPKDNSQPRPTIYMLNGGDGGEGRANWVMQTDIVDFYMDKNVNVVIPMAGKFSYYTDWEQDVEALGGKQTWETFLTKELPGPLEKTLKASDKRAIAGMSMTATTSLLYAEHHPGFYDAAGSFSGCAQTSEGLPLQYIRMTLDRAPATPEQMWGPLGTEKWAYNDALINAEKLRGTPLYVSNASGLAGQADLWSSPRTGGNSANVG-----VYVVEGGAIEAATNACTHDLKARLDAAGIGADWNFRPTGTHSWNYWQEDLRGSWETFARAFGM--</t>
  </si>
  <si>
    <t>MSTFRRIAVSAAATSFAAGMLLTAALAPSATAGPKTAVEQAGNASQATVTIGERAVDPAPLWREKVAEHPDRVKEMWAYSPSMD-RHVPLFVITPKDNSQPRPTIYLLNGADGGEGKANWVMQTDIVDFYMDKNVNVVIPMSGQYSYYTDWVSENANLGGKQTWETFLTKELPGPLEKTLKASNQRAIAGMSMTATTSLLYAEHHPGFYDAVGSFSGCAQTSEGPALEYVRTVLSRGKATPEEMWGPVGTETWAYNDALINAEKLRGTPMYVSNGSGVAGQSDMVSSPHMHGDPVFAA-----GTVIIGGAIEGATNLCTHDLKARLDAAGIGADWNFHPTGTHSWGYWQDDLRGSWPTFARAFGMQP</t>
  </si>
  <si>
    <t>MKLTRTLAATIAALSLFAA------TPHAAFASEVTPAQIAGNTPQSVIKVGKKE-GEDPAWRKKLDANDNRVTEMWATSPAMDNREVPLVVIKAADAN--RPVLYLLNGADGGEGNANWIAQTDVINFYKEKNINVVIPMAGKFSYYTDWVSDSAKLGGKQKWETFLTKELPSPLEKLLKGNGKRAIAGMSMSATSSMLLAEHNPKFYDGVASFSGCYASSKPIPAEFVNVTLNRGGSSREQMWGPLGGPEWQRNDVHVQAEGLRGSQIYVSNGTGLAGEWDMPNGPKLRKADPLVASVSSSILVVEGGTIEAATNACTHDLKQKLESMKIPANFVLRNTGTHSWSYWEQDLRDSWPTFEKAFS---</t>
  </si>
  <si>
    <t>GC_00000009</t>
  </si>
  <si>
    <t>PF01182.26</t>
  </si>
  <si>
    <t>Glucosamine-6-phosphate isomerases/6-phosphogluconolactonase</t>
  </si>
  <si>
    <t>M</t>
  </si>
  <si>
    <t>Cell wall/membrane/envelope biogenesis</t>
  </si>
  <si>
    <t>K02003</t>
  </si>
  <si>
    <t>putative ABC transport system ATP-binding protein</t>
  </si>
  <si>
    <t>COG1136</t>
  </si>
  <si>
    <t>ABC-type lipoprotein export system, ATPase component (LolD) (PDB:5GKO)</t>
  </si>
  <si>
    <t>M00004|M00006|M00008</t>
  </si>
  <si>
    <t>Pentose phosphate pathway (Pentose phosphate cycle)|Pentose phosphate pathway, oxidative phase, glucose 6P =&gt; ribulose 5P|Entner-Doudoroff pathway, glucose-6P =&gt; glyceraldehyde-3P + pyruvate</t>
  </si>
  <si>
    <t>Pathway modules; Carbohydrate metabolism; Central carbohydrate metabolism|Pathway modules; Carbohydrate metabolism; Central carbohydrate metabolism|Pathway modules; Carbohydrate metabolism; Central carbohydrate metabolism</t>
  </si>
  <si>
    <t>ko02000</t>
  </si>
  <si>
    <t>Transporters&gt;&gt;&gt;ABC transporters, prokaryotic type&gt;&gt;&gt;ABC-2 type and other transporters&gt;&gt;&gt;Putative ABC transporter</t>
  </si>
  <si>
    <t>MSTTEAPAPQVSTFADLDQLVDAAARQFVELACSTLDNRPPEESFNVVFTGGTAGIATLRRIAELDAASRAQADNFPIASIDWSRVQVFFGDERDVAVSDPESNEGQAREALLDHVDIPESNIHGWGLDGSAEELVERAVAYAETLLEFAPNGFDLHLLGMGHEGHINSLFPGSAATKEQGALTMAVTDSPKPP--ACRGTLTFPAINSADHVWLLISGSQKAEAASQAIAGADRNQWPVGEARGRIETTVFISEDAQYAAPKADIAARADNVVKRYGKDDTAVTALGGVNIEFHKGEFTAIMGPSGSGKSTLMHCMAGLDSVTEGHTYIGDTDLSTLKDKQITTLRRDRLGFVFQSFNLVPTLSAAENITLPVDIAGRKVDEQWFEEVTTRLGLDKRLKHRPNELSGGQQQRVAVARALISRPEIIFGDEPTGNLDSNASSEVLGILRAAVDDLGQTVVIVTHDPKAASYADRVVFLADGQLVEDIRQPSVDDILKVMAKIEEV-</t>
  </si>
  <si>
    <t>PF00005.33</t>
  </si>
  <si>
    <t>ABC transporter</t>
  </si>
  <si>
    <t>---------------------------------------------------------------------------------------------------------------MVEPVSTPSS--------------------------------------------------------------------APQPPQQPSRPSHTLP--------------------------------------------------</t>
  </si>
  <si>
    <t>---------------------------------------------------------------------------------------------------------------MSRVVKAKDA--------------------------------------------------------------------------------------------------------------------------------------</t>
  </si>
  <si>
    <t>GC_00000010</t>
  </si>
  <si>
    <t>MVDFTRSGIPGFSVTDSFADVKQRLDDVREDHDFGYESVRGYLELGGNRYLAGIDQNPVTHGIESVELRELFNGDTFEGIALGEMSAQEFAGELVKIGSVPIMEIEMVWWPVERVSFFLYEDVPSAIGWWGKDLTNDELKAIFSGRIEDLDPNVYHFYKP--</t>
  </si>
  <si>
    <t>-MDFKKTGIPQYSINDSFRKFQESLDNV---TTIGFGSIRGDLVLDGNNYLIGVDQNEITGEVECVEVASLFHGDTFEGIDLTNMPAESLAQELAKIGSTPIVEIDNIWWPKERMAFYVYENIPSTICWWGNT-TDAEVQEIFSQGQ---------------</t>
  </si>
  <si>
    <t>-MDFKKTGIPQYSINDPFHKFQESLENV---TTIGFRAIRGNLVLDGNNYLIGVDQNEITGEVACVEVAILFHGDTFEGIDLTNMSAESFAQELAKIGSTPIMEIDNVWWPKERMGFYVYENTPSTICWWGNT-TDIEIQEIFSQGQ---------------</t>
  </si>
  <si>
    <t>-MDFTRSGIPGFSVTDSFADVKQHLDDVCGHNDFGFESVRGYLELEGKRYFMGVDQNEVTHGIECVEVRGLFEGDTFEGIALGEMLAQEFAGELAKVGSTPIMEDYTIWWPDERVSFYVYEDVPSTICWWGNDLTNDEVKAIFSGKIEDLDPNQYHLYSPE-</t>
  </si>
  <si>
    <t>MVDFTRSGIPGFSVTDSFADVKQRLDDVREDHDFGYESVRGYLELGGNRYLAGIDQNPVTHGIESVELRELFNGDTFEGIALGEMSAQEFAGELVKIGSVPIMEIEMVWWPVERVSFFLYEDVPSAIGWWGKDLTIDKVKAIFAGRIEDLNPNVYHFYKP--</t>
  </si>
  <si>
    <t>-MDFKKTGIPQYSINDPFHKFQESLENV---TTIGFGSIRGYLVLDGNNYLIGVDQNEITGEVECVEVASLFHGDTFEGIDLTNMSAESFAQELAKIGSTPIVEIDNVWWPKERMGFYVYENTPSTICWWGNT-TDIEVQEILSQGQEDFLV----------</t>
  </si>
  <si>
    <t>-MDFKKTGIPQYSINDPFRKFQESLENV---TTIGFGSIRGYLVLDGNNYLIGVDQNEITGEVACVEVASLFHGDTFEGIDLTNMSAESFAQELAKIGSTPVVEIDNVWWPKERMAFYVYKNTPRTVCWWGNT-TDIEIQEIFSQRQEDFPA----------</t>
  </si>
  <si>
    <t>GC_00000011</t>
  </si>
  <si>
    <t>PF07992.20</t>
  </si>
  <si>
    <t>Pyridine nucleotide-disulphide oxidoreductase</t>
  </si>
  <si>
    <t>E|R</t>
  </si>
  <si>
    <t>Amino acid transport and metabolism|General function prediction only</t>
  </si>
  <si>
    <t>K00528</t>
  </si>
  <si>
    <t>ferredoxin/flavodoxin---NADP+ reductase [EC:1.18.1.2 1.19.1.1]</t>
  </si>
  <si>
    <t>COG0493</t>
  </si>
  <si>
    <t>NADPH-dependent glutamate synthase beta chain or related oxidoreductase (GltD) (PDB:1H7X)</t>
  </si>
  <si>
    <t>Glutamine biosynthesis</t>
  </si>
  <si>
    <t>ko00001|ko01000|ko01000</t>
  </si>
  <si>
    <t>KEGG Orthology (KO)&gt;&gt;&gt;09190 Not Included in Pathway or Brite&gt;&gt;&gt;09191 Unclassified: metabolism&gt;&gt;&gt;99980 Enzymes with EC numbers|Enzymes&gt;&gt;&gt;1. Oxidoreductases&gt;&gt;&gt;1.18  Acting on iron-sulfur proteins as donors&gt;&gt;&gt;1.18.1  With NAD+ or NADP+ as acceptor&gt;&gt;&gt;1.18.1.2  ferredoxin---NADP+ reductase|Enzymes&gt;&gt;&gt;1. Oxidoreductases&gt;&gt;&gt;1.19  Acting on reduced flavodoxin as donor&gt;&gt;&gt;1.19.1  With NAD+ or NADP+ as acceptor&gt;&gt;&gt;1.19.1.1  flavodoxin---NADP+ reductase</t>
  </si>
  <si>
    <t>---MRPLRVAVIGSGPAGIYASDLLMKSDRDVRVDLFERMPAPFGLIRYGVAPDHPRIKGIVNALYKVMEKPELRLLGNVDVGKDVTVSELQQFYDAVVFATGATADRDLNIPGIDLEGSHGAAEFVGFYDGNPEFPRTWDLSAEKVAVIGVGNVGLDVARVLAKTGEELHVTEIPDNVYETLKNNKATEVHVFGRRGPAQAKFTPLELKELDHSPTIEVVVNPEDIDYDEASEAARRESKSQDLVCQTLEQYAI</t>
  </si>
  <si>
    <t>--MTHPLRVAIVGAGPAGIYASDLLIKSAADVSIDLFEQMPAPFGLIRYGVAPDHPRIKGIVKSLHNVLDKPEVRLLANITIVRDITVDELRSHYDAVVFSTGAVGDRDLGIPGADLEGSFGAGEFVGFYDGNPHFARSWDLSAQSVSVVGVGNVGLDVARILAKTGDELLVTEIPDNVYQSLKNNKATDVHVFGRRGPAHVKFTPQELKELDHSPTINVEVDPNDIDYDAASEEARRSSKSQDLVCSILENYAI</t>
  </si>
  <si>
    <t>--MSRPLRVAVIGAGPAGIYASDLLMKSDTDVLIDLYERMPAPFGLIRYGVAPDHPRIKGIVTSLHKVLDKPELRLLGNIDIGNEVTVDELREYYDAIIFSTGATGDRNLDIPGADLEGSFGAGEFVGFYDGNPDFERSWDLSAESVAVVGVGNVGLDVARILAKTGDELHVTEIPDNVYQSLKNNKAKEVHVFGRRGPAQAKFTPLELKELDHSPTIEVIVNPEDIIYDDASEQARRSSKTQDLVCNVLEQYAI</t>
  </si>
  <si>
    <t>--MTHPLRVAIVGAGPAGIYAADLLIKSAADVSIDLFEQMPAPFGLIRYGVAPDHPRIKGIVKSLHNVLDKPEVRLLANITIGRDITVDELRSHYDAVVFSTGAVGDRDLGIPGADLEGSFGAGEFVGFYDGNPHFARSWDLSAQSVAVVGVGNVGLDVARILAKTGDELLVTEIPDNVYQSLKNNKATDVHVFGRRGPAHVKFTPQELKELDHSPTINVVVDPNDIDYDAASEEARRSSKSQDLVCSILENYAI</t>
  </si>
  <si>
    <t>MTSPTDLRVAVIGAGPAGIYASDLLAKQG--VNIDLFEQMPAPFGLIRYGVAPDHPRIKGIIASLHRVLDTPTIRLLGNIHIGEDITIAQLHEYYDAVLLATGAVADRDLGIPGENLNGSYGAADFVGFYDGNPRFHRTWNLTATHIAIIGVGNVALDISRILAKTANELHTTEIPDNVYQTLKTNQATHIHIFGRRGPAQAKFTPLELKELDHSPSINVVVDPEDIDYDEASIAARRASKSQDLVCQTLEQYAMREPKDAPHTLHIHLFENPVEILGEDGNVVGLRTERMELDGTGHVQGTGKFTEWPVQAVYRAVGYRSEAITAVPFDHGTAVIPNDGGHVVD-PAGEIVPGVYVTGWIKRGPVGLIGNTKSDAKETTDMLIADALAGRLTP--RTATGDITEYLEAQGIPYTTWDGWHKLDAHERSLGSAEGRERKKVVEWDEMVAHSRS-----</t>
  </si>
  <si>
    <t>MNSSRPLRVAVIGSGPAGIYASDLLMKSGRTVEIDLFEQMPAPFGLIRYGVAPDHPRIKGIVNSLHAVMEKPNVRFLGNIEIGTTITVEKLHEYYDAIVFATGAVADRDLDIPGENLNGSYGAADFVGFYDGNPRFHRTWNLTATHIAIIGVGNVALDISRILAKTANELHTTEIPDNVYQTLKTNQATHIHIFGRRGPAQAKFTPLELKELDHSRTIEVIVNPEDIDYDEASINARRASKSQDLVCQTLEQYAMRDPKGAPHKLTIHFLESPVEILGEDGNVVGLRTERMELDGTGNVTGTGKFTEWPVQAVYRAVGYRSDPVPEVPFDQAKAVIPNDGGHVLD-DSGNPIPGLYATGWIKRGPVGLIGNTKSDAKETIEMLLADYDAGNLPEPLHPDPSDIITYLTDHDVDYTTWAGWHRLDNAERELGAPEGRERKKIVEWEDMVVHARHQSHD-</t>
  </si>
  <si>
    <t>MTSPTDLRVAVIGAGPAGIYASDLLAKQG--VNIDLFEQMPAPFGLIRYGVAPDHPRIKGIIASLHRVLDTPTIRLLGNIHIGEDITIAQLHEYYDAVLLATGAVADRDLDIPGENLNGSYGAADFVGFYDGNPRFHRTWNLTATHVAIIGVGNVALDISRILAKTANELHTTEIPDNVYQTLKTNQATHIHIFGRRGPAQAKFTPLELKELDHSPSINVVVDPEDIDYDEASIAARHASKSQDLVCQTLEQYAMREPKDAPHTLHIHLFENPVEILGEDGNVVGLRTERMELDGTGHVQGTGKFTEWPVQAVYRAVGYRSEAITAVPFDHGTAVIPNDGGHVVD-PAGEIVPGVYVTGWIKRGPVGLIGNTKSDAKETTDMLIADALAGRLTP--RTATGDITEYLEAQGIPYTTWDGWHKLDAHERSLGSAEGRERKKVVEWDEMVAHSRS-----</t>
  </si>
  <si>
    <t>MNSSRPLRVAVIGSGPAGIYASDLLMKSGRTVEIDLFEQMPAPFGLIRYGVAPDHPRIKGIVNSLHAVMEKPNVRFLGNIEIGTTITVEKLHEYYDAIVFATGAVADRDLDIPGENLNGSYGAADFVGFYDGNPRFHRTWNLTATHVAIIGVGNVALDISRILAKTANELHTTEIPDNVYQTLKTNQATHIHIFGRRGPAQAKFTPLELKELDHSRTIEVIVNPEDIDYDEASINARRASKSQDLVCQTLEQYAMRDPKGAPHKLTIHFLESPVEILGEDGNVVGLRTERMELDGTGNVTGTGKFTEWPVQAVYRAVGYRSDPVPEVPFDQAKAVIPNDGGHVLD-DSGNPIPGLYATGWIKRGPVGLIGNTKSDAKETIEMLLADYDAGNLPEPLHPDPSDIITYLTDHDVDYTTWAGWHRLDNAERELGAPEGRERKKIVEWEDMVVHARHQSHD-</t>
  </si>
  <si>
    <t>GC_00000012</t>
  </si>
  <si>
    <t>PF02224.24</t>
  </si>
  <si>
    <t>Cytidylate kinase</t>
  </si>
  <si>
    <t>F|J</t>
  </si>
  <si>
    <t>Nucleotide transport and metabolism|Translation, ribosomal structure and biogenesis</t>
  </si>
  <si>
    <t>K03977</t>
  </si>
  <si>
    <t>GTPase</t>
  </si>
  <si>
    <t>COG0283|COG1160</t>
  </si>
  <si>
    <t>Cytidylate kinase (Cmk) (PDB:3R20) (PUBMED:19111750;25691594;28928205)|Double Era-like domain GTPase Der (Der) (PDB:1MKY)</t>
  </si>
  <si>
    <t>ko03009</t>
  </si>
  <si>
    <t>Ribosome biogenesis&gt;&gt;&gt;Prokaryotic type&gt;&gt;&gt;GTPases</t>
  </si>
  <si>
    <t>MPGDGLIIAVDGPSGTGKSSACRAVAEALDAHYLDTGAMYRVATLHVLRSGIDPSDVEAVIEATKNLPLSVNDDPRSTEVLLGGEDVQDEIRGPEVTAHVSAVAAIPEVRNNLVQLQRDLADGAHRCVVEGRDIGTVVLADAPLKLFLTASAEVRARRRFDQDTAAGRDVIFEDVLADVERRDHLDSTRATSPLIPAEDAHIVDTSEMTLDEVIDLIIDAAVDSDPSMDDADFDDDVALAFDGEDSSSLLASEDLSEDQWRALEANFGIEADD-PIEEALPTVAIVGRPNVGKSTLVNRFLGRREAVVEDFPGVTRDRISYLADWGGHRYWVQDTGGWDPDAKGIHAAIARQAEVAMDTADVIVFVVDTKVGVTETDEVMARKLQRAEVPVIVVANKFDSDSQYGDVAEFWSLGLGEPWPVSAQHGRGGADVLDQVLASFPEEPRNKSITEGPRRVALVGKPNVGKSSLLNKITGEERSVVDNVAGTTVDPVDSLVQLDQKLWKFVDTAGLRRKVKNAQGHEFYASLRTRAAIDAAEVCVFLLDASEPVSEQDQRVLNMVIEAGKALVIAFNKWDLMDEDRRELLDREIDLQLAHISWARRINISAKTGRALQRLEPAMIEALESWDQRVTTGQLNNWLRQVIAQNPPPMRGGRLPRVLFVTQASTRPPVIVLFTTGFLEAGYRRYLERKFRETFGFEGSPVRIAVRVREKRKRK-</t>
  </si>
  <si>
    <t>F</t>
  </si>
  <si>
    <t>Nucleotide transport and metabolism</t>
  </si>
  <si>
    <t>K00945</t>
  </si>
  <si>
    <t>CMP/dCMP kinase [EC:2.7.4.25]</t>
  </si>
  <si>
    <t>COG0283</t>
  </si>
  <si>
    <t>Cytidylate kinase (Cmk) (PDB:3R20) (PUBMED:19111750;25691594;28928205)</t>
  </si>
  <si>
    <t>ko00001|ko01000</t>
  </si>
  <si>
    <t>KEGG Orthology (KO)&gt;&gt;&gt;09100 Metabolism&gt;&gt;&gt;09104 Nucleotide metabolism&gt;&gt;&gt;00240 Pyrimidine metabolism [PATH:ko00240]|Enzymes&gt;&gt;&gt;2. Transferases&gt;&gt;&gt;2.7  Transferring phosphorus-containing groups&gt;&gt;&gt;2.7.4  Phosphotransferases with a phosphate group as acceptor&gt;&gt;&gt;2.7.4.25  (d)CMP kinase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</si>
  <si>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</si>
  <si>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PF01926.29</t>
  </si>
  <si>
    <t>50S ribosome-binding GTPase</t>
  </si>
  <si>
    <t>J</t>
  </si>
  <si>
    <t>Translation, ribosomal structure and biogenesis</t>
  </si>
  <si>
    <t>COG1160</t>
  </si>
  <si>
    <t>Double Era-like domain GTPase Der (Der) (PDB:1MKY)</t>
  </si>
  <si>
    <t>-----------------------------------------------------------------------MSDNQETPEYVEEFDTFDE---------------------------------------------------------------------FDED---------------------------------------------------------------DFGEPDYGDDYA--------------ADA</t>
  </si>
  <si>
    <t>---------------------------------------------------------------------------MTAQNLV-----------------------------------------------------------------------------------------------------------------------------------------------------------------------------</t>
  </si>
  <si>
    <t>---------------------------------------------------------------------------MSSEENAMGI--------------------------------------------------------------------------PDES---------------------------------------------------------------EFLNPHFGEDFS-----------------</t>
  </si>
  <si>
    <t>---------------------------------------------------------------------------MSSEENAMGI--------------------------------------------------------------------------PDES---------------------------------------------------------------EFLDPHFGEDFS-----------------</t>
  </si>
  <si>
    <t>GC_00000013</t>
  </si>
  <si>
    <t>PF00291.31</t>
  </si>
  <si>
    <t>Pyridoxal-phosphate dependent enzyme</t>
  </si>
  <si>
    <t>E</t>
  </si>
  <si>
    <t>Amino acid transport and metabolism</t>
  </si>
  <si>
    <t>K01696</t>
  </si>
  <si>
    <t>tryptophan synthase beta chain [EC:4.2.1.20]</t>
  </si>
  <si>
    <t>COG0133</t>
  </si>
  <si>
    <t>Tryptophan synthase beta chain (TrpB) (PDB:2DH5)</t>
  </si>
  <si>
    <t>Aromatic amino acid biosynthesis</t>
  </si>
  <si>
    <t>M00023</t>
  </si>
  <si>
    <t>Tryptophan biosynthesis, chorismate =&gt; tryptophan</t>
  </si>
  <si>
    <t>Pathway modules; Amino acid metabolism; Aromatic amino acid metabolism</t>
  </si>
  <si>
    <t>ko00001|ko00001|ko01000</t>
  </si>
  <si>
    <t>KEGG Orthology (KO)&gt;&gt;&gt;09100 Metabolism&gt;&gt;&gt;09105 Amino acid metabolism&gt;&gt;&gt;00260 Glycine, serine and threonine metabolism [PATH:ko00260]|KEGG Orthology (KO)&gt;&gt;&gt;09100 Metabolism&gt;&gt;&gt;09105 Amino acid metabolism&gt;&gt;&gt;00400 Phenylalanine, tyrosine and tryptophan biosynthesis [PATH:ko00400]|Enzymes&gt;&gt;&gt;4. Lyases&gt;&gt;&gt;4.2  Carbon-oxygen lyases&gt;&gt;&gt;4.2.1  Hydro-lyases&gt;&gt;&gt;4.2.1.20  tryptophan synthase</t>
  </si>
  <si>
    <t>MNEHLNPSGNPDGVAPILNPYFGEFGGQYVPELLIPALDQLEKAFVDAMDDEDFWEELRGYFRDYLGRPTPLTECSNLPLDRTLDLSAPASRVGERSEWTHRAGEGKVRIFLKREDLVHGGAHKTNQVIGQALLAKRMGKTRIIAETGAGQHGTATALACALLGLDCVIYMGAEDVARQQPNVYRMELMGAKVVAVDSGSGT-LKDAVNEALRDWTATFHESHYLLGTAAGPHPFPTIVREFHRVISTEARAQVIEKTGGLPDVVVACVGGGSNAIGIFSDFIDDE----GVELIGVEPAGEGLDTGHHGAPIHAGDIGILHGARSYLMRTSDGQVEESYSISAGLDYPGVGPQHAHLHKSGRAQYVGISDREALRAFQVLSRHEGIIPALESSHALAYALKRADKAVEEGKELTIVVSLSGRGDKDVDHIRRTL--------------ESHPEWVYNPEEN---------------------</t>
  </si>
  <si>
    <t>-------MSHPHRDT-LLNAYFGEFGGQYVPDMLYPVLDELEQAYVDAINDPTFAEELVNLYVDYLGRPTPITECANLPLE--------------------GHGKGKARIFLKREDLVHGGAHKGNQVIAQALLAKRLGKTRLIAETGAGQHGTATAMVAALFGMKCTIYMGARDVARQQPNVYRMRLMGAEVVPVEEANGNGLENAIDVALMDWVNSYKDTHYLLGTAAGPHPFPTLVKEFQAVISRESREQMM</t>
  </si>
  <si>
    <t>MPEQSHAIDHNGGHT-LLPAYFGEFGGQYVPELLIPALDQLERAFVEAMDDPSFREELAGYLRDYLGRPTPLTECSNLPLP--------------------GKGKGYARIFLKREDLVHGGAHKTNQVLGQALLAKRMGKTRIIAETGAGQHGTATALACALLGLDCVIYMGTEDVARQQPNVYRMELMGARVIPVNSGSGT-LKDAVNEALRDWTATFHESHYLLGTAAGPHPFPTIVREFHRVISEEAKAQMLERTGGLPDVVTACVGGGSNAIGMFAEFIDEP----SVELVGVEPAGEGLDSGKHGAPIYEGHIGILHGARSYLMRTSDGQVEESYSISAGLDYPGVGPQHAHLHATGRAQYVGITDAEALEAFQLLSRHEGIIPALESSHALAYALKRAALAEEAGEHITILVSLSGRGDKDVDHIRRTL--------------AEHPEYVVKDTHR---------------------</t>
  </si>
  <si>
    <t>MSEQSHTIDHNGGHT-LLPAYFGEFGGQYVPELLIPALDQLEHAFVEAMDDPSFREELAGYLRDYLGRPTPLTECSNLPLP--------------------GKGKGYARIFLKREDLVHGGAHKTNQVLGQALLAKRMGKTRIIAETGAGQHGTATALACALLGLDCVIYMGTEDVARQQPNVYRMELMGARVIPVNSGSGT-LKDAVNEALRDWTATFHESHYLLGTAAGPHPFPTIVREFHRIISEEAKAQMLERTGGLPDMVTACVGGGSNAIGMFAEFIDEP----SVELVGVEPAGEGLDSGKHGAPIHEGHIGILHGARSYLMRTSDGQVEESYSISAGLDYPGVGPQHAHLHATGRAQYVGITDAEALEAFQLLSRHEGIIPALESSHALAYALKRAALAEEAGEHITILVSLSGRGDKDVDHIRRTL--------------AEHPEYVVKDSHR---------------------</t>
  </si>
  <si>
    <t>-------------MT-LLPAYFGEFGGQFVPESLIPALDQLEQAFVDAQNDPEFHKEFAGYLRDYLGRPTPLTECSNLPLA--------------------GAGRGYARIFLKREDLVHGGAHKTNQVIGQALLAKRMGKTRIIAETGAGQHGTATALACALLGLDCVIYMGEKDVARQQPNVYRMQLMGAKVVPVDSGSGT-LKDAVNEALRDWTATFHESHYLLGTAAGPHPFPTIVREFHKVISAEAKAQLL</t>
  </si>
  <si>
    <t>GC_00000014</t>
  </si>
  <si>
    <t>MAPLLPKLRGHFAEFLNHSSPERLSILNQTTCVGFRYGPCTHIARGFSRQHRHIKHPQQSGYASRLTLICRTDLPILRATRLHHNPLSGLDYQSVSPHRLATNDQDPTHHTPTNTQRVNINGSGWLVQPSHHWSRIHGYGTINPLSIDYACRPRLRSRLTLGRLASPRNP</t>
  </si>
  <si>
    <t>MAPLLPKLRGHFAEFLNHSSPERLSILNQTTCVGFRYGPCTHIARGFSRQHRHIKHPQQSGYASRLTLKCRTDLPILRATRLHHNPLSGLDYQSVSPHRLATNDQDPTHHTPTNTQRVNINGSGWLVQPSHHWSRIHGYGTINPLSIDYACRPRLRSRLTLGRLASPRNP</t>
  </si>
  <si>
    <t>MAPLLPKLRGHFAEFLNHSSPERLSILNQTTCVGFRYGPCTHIARGFSRQHRHIKHPQQSGYASRLTLICRTDLPILRATRLHHNPISGLDYQSVSPHRLATNDQDPTHHTPTNTQRVTINGSGWLVQPSHHWSRIHGYGTINPLSIDYACRPRLRSRLTLGRLASPRNP</t>
  </si>
  <si>
    <t>GC_00000015</t>
  </si>
  <si>
    <t>P|H</t>
  </si>
  <si>
    <t>Inorganic ion transport and metabolism|Coenzyme transport and metabolism</t>
  </si>
  <si>
    <t>K02013</t>
  </si>
  <si>
    <t>iron complex transport system ATP-binding protein [EC:7.2.2.-]</t>
  </si>
  <si>
    <t>COG1120</t>
  </si>
  <si>
    <t>ABC-type cobalamin/Fe3+-siderophores transport system, ATPase component (FepC) (PDB:2NQ2)</t>
  </si>
  <si>
    <t>Transporters&gt;&gt;&gt;ABC transporters, prokaryotic type&gt;&gt;&gt;Metallic cation, iron-siderophore and vitamin B12 transporters&gt;&gt;&gt;Iron complex transporter</t>
  </si>
  <si>
    <t>--MTNTTVGLRAEDVRLAYGERVVIDGVSVAIPQGAFTVIIGPNACGKSTLLRALARLLPPERGRVLLDGRDIHSLSTKVVARRVGFLPQQQTAPGDLRVRDLVMSGRFPHQSFFSRISNDDVACVQRAMELTGVLDLQERKVEELSGGQRQRAWLATAIAQDTEILLLDEPTTYLDLVHQLEVLRLCASI-QKEGRTVVAVLHDLNLAARCADHVIVMSA----GEVIGQGTPREVYTEQMLERAFGLDCRIID</t>
  </si>
  <si>
    <t>K23188</t>
  </si>
  <si>
    <t>iron-siderophore transport system ATP-binding protein [EC:7.2.2.17 7.2.2.-]</t>
  </si>
  <si>
    <t>------MGRIVAKDLTISYGTRSIIQGLDIAIPDNKITTIIGPNGCGKSTLLKALCTLLPYS-GVVELSGKDITTYRRRDRARQLTLLPQHPTAPDGLTVKQLISRGRHPHQSWLQQWSADDDEHVQQALKITNLVGLEERRLAELSGGQRQRVWIAMVLAQDTPTLLLDEPTTYLDLTHSLDVLKLVRRLGEQDGKTVVMVLHDLNLAARFSDHVVVMGAVDGHGVICAEGAPAAVITPKLLGDVFDLDAEVIT</t>
  </si>
  <si>
    <t>------MSRLAATGLRVGYGPKTIIDSLDVAIPDTQVTTIIGPNGCGKSTLLRAMANLLPTQAGEVTLDGTPIRALRRRDLARSLGVLPQTPVAPDGLIVSDLVARGRHPHQAWYRQWSSDDKDEVMTALRMTKVDDLADRTVDSLSGGQRQRVWISLVLAQQTDILFLDEPTTYLDLSHSIEVLELVHRLSREHGRTIVMVLHDLNLALRYSDNLVVMRD----GSLKAVGKPRDVISPELLKQVFDLDAVVVE</t>
  </si>
  <si>
    <t>MTTATTTPALQARNLSVGYGGANIITDLNVSIPTGEFTVIVGPNACGKSTLLRSLARVLPAQ-GTVLLQGEDIHSMGTKEIARIMGLLPQSPTAPDGIVVYDLISRGRYPHQGILGRWTHEDEVAVERAMEKARVSGLRDKRIDELSGGQRQRVWLAMVLAQDTPVVLLDEPTTYLDITHQVEVLNLARDL-QQQGVTVVAVLHELTLAFRYATNLVVMKQ----GTIVAEGQVTEVVTESLLKEVYALDCRLVDDPETGRPIVVPKA--------</t>
  </si>
  <si>
    <t>MTTATTTPALQARNLSVGYGGANIITDLNVSIPTGEFTVIVGPNACGKSTLLRSLARVLPAQ-GTVLLQGEDIHSMGTKEIARIMGLLPQSPTAPDGIVVYDLISRGRYPHQGILGRWTHEDEVAVERAMAKARVSGLRDKRIDELSGGQRQRVWLAMVLAQDTPVVLLDEPTTYLDITHQVEVLNLARDL-QQQGVTVVAVLHELTLAFRYATNLVVMKQ----GTIVAEGQVTEVVTESLLKEVYALDCRLVDDPETGRPIVVPKA--------</t>
  </si>
  <si>
    <t>GC_00000016</t>
  </si>
  <si>
    <t>----------------------------------------------------------------------------------------------------------------------------------------------------MIFPDITEVQECFRAGDDAKLLDVFQRFISSDEWPT-KCYEWGEENADEYSAFVQHIVPLLP-PSTPMEVVLILCEDYLLELVYLPNSIDIGVKVLVDFWNRKRAVE</t>
  </si>
  <si>
    <t>MLTESDLVEIMGYYHAGDNSKLLDVFQRFDLHDWVTECNEWKRKHAQEFSDFLQHVISILPSEYTSMGDVLTLCENYARALAYLPAAPDCAAQTIVKFWNRKRLGEEESMVIYFSLLMRKLDSACIAENTKNAVDIADRINEKHQWRLIVLPHIEEVKECFRAGDDAKLIEAFQRLIALGDWYG-SYYGWSEENAEECSAFVQRIIPLLP-PSTPMDVVLALCENYLLELTYLPHAIDISVKLLVDFWNRKRAVEDREAIEFLSALLAHPDGDHAAEIAQSAV-GVGEKLNG----------</t>
  </si>
  <si>
    <t>----------------------------------------------------------------------------------------------------------------------------------------------------MIFPDITEVQECFRAGDDAKLLDVFQRFISSDEWPT-KCYEWGEENAEEYSAFIQHIVPLLP-PSTPMEVVLILCEDYLLELVYLPNSIDIGVKVLVDFWNRKRAVE</t>
  </si>
  <si>
    <t>MLTESDLVEIMGYYHAGDNSKLLDAFQRFDLHDWVTECNEWKRKHAQEFSDFLQHVISILPSEYTSMGDVLTLCENYARALAYLPAAPDCAAQTIVKFWNRKRLGEEESMVIYFSLLMRKLDSACIAENAKNAVDIADRINEKHQWRLIVLPHIEEVKECFRAGDDAKLLDAFQRLIALGDWYG-SFYGWGEENAEECSAFVQRIVPLLP-PSTPMDVVIALCDNYLLELVCLPHAIDISVKLFVDFLNRKRAAEDREAIELLSALSAHPDGDHAAEIAQSAV-GIGDRLNG----------</t>
  </si>
  <si>
    <t>GC_00000017</t>
  </si>
  <si>
    <t>c-dur_c-durJJ1_c-mat1_c-mat2</t>
  </si>
  <si>
    <t>PF13569.11</t>
  </si>
  <si>
    <t>Domain of unknown function (DUF4132)</t>
  </si>
  <si>
    <t>MSTHDSPSGSTTAEEQVEEHWVDGGDYSFRINGDT-IIARNAKGRVLKTVPPKAKKTETYEKLESLRSYLHQHDVQCADTVREWFLKGLPVPVTVIAAVWIDPAWRYYLNDLVIS-TDDGTVGLLRAASKEHGLQLVDLDGETVDIPYSQETVITIPHPAVMDDVDDWREFAVELGVNQGLDQLFRDLYIKPSDDDGLYAAVHKYEGATYSLASRLVGRSRGGGFAATLNTVSLTVMEDGIETVAMLDVDAWDPLDEAVLYRLTFSRDGHDIALNDVGPIAWSEGIRMCEFVYAGRTLQEKQD--</t>
  </si>
  <si>
    <t>MSENKEKVATINNQAEDNDGWIDAGEYSLKLEGDV-IIARNAKGKVLKTVPAKAKKLEQYDQLDGLRAFLAQHDEHCLDTVRRWFLSSLPVPLSVIIAVWPDPSWRKYLADVIVS--DGSITGFLRAVN-DDGIQVVDLDGETTTIDYSDAALVTIPHPAVTENLDEWREFAVELGVHQGLDQLFRDVYIKPADEDGQKAAVKAYVGATYERSSHLMGRGRGGGFVTTMGEVSLRVHEGGETITASLDVSAWDPTESAELGKLSFSVHGEDLELDKVGPIAWSEGIRMCEFIYAGRSVKENK---</t>
  </si>
  <si>
    <t>MSTHDSPSGSTTAEEQVEEHWVDGGDYSFRISGDT-IIARNAKGRVLKTVPPKAKKTEIYEKLESLRSYLHQHDVQCADTVREWFLKGLPVPVTVIAAVWIDPAWRYYLNDLVIS-TDDGTVGLLRAASKEHGLQLVDLDGETVDIPYSQETVITIPHPAVMDDVDDWREFAVELGVNQGLDQLFRDLYIKPSDDDGLYAAVHKYEGATYSLASHLVGRSRGGGFAATLNTVSLTVMEDGIETVAMLDVDAWDPLDEAVLYRLTFSRDGHDIALNDVGPIAWSEGIRMCEFVYAGRTVQEKQD--</t>
  </si>
  <si>
    <t>MSENKEKVATINNQAEDNDGWIDAGEYSLKLEGDV-IIARNAKGKVLKTVPAKAKKLEQYDQLDGLRAFLAQHDEHCLDTVRRWFLSSLPVPLSVIIAVWPDPSWRKYLADVIVS--DGSIAGFLRAVN-DDGIQVVDLDGETTTIDYSDAALVIIPHPAVTENLDEWREFAVELGVHQGLDQLFRDVYIKPADEDGQKAAVKAYVGATYERSSHLMGRGRGGGFVTTMGEVSLRVHEGGETITASLDVSAWDPTESAELGKLSFSVHGEDLELDKVGPIAWSEGIRMCEFIYAGRSVKENK---</t>
  </si>
  <si>
    <t>-------------MNTDDLAWLDAGDYSFALGPDNKIIARNAAGRVLKTVPAKARKLPEFDMLDGQRVTLEQHEQSNRDQVQEWFLQGNTIPVLVVHAVWKDALWRKYFQGLIVS--HESESGMLQEVT-DTSLQLVDLDGETIEIPVTDSGVLTILHPALIDEVEQWREFASELGVHQGLDQLFRDVYFKPADAESQRKAVNAYSGGKYARCSHLLGRGRGGGFRTTLGEVAVIVHDSGQEVTASLDVNGWDPS</t>
  </si>
  <si>
    <t>-------------MNTDDLAWLDAGDYSFALGPDNKIIARNAAGRVLKTVPAKARKLPEFDMLDGQRVTLEQHEQSNRDQVQEWFLQGDTIPVLVVHAVWKDALWRKYFQGLIVS--HESESGMLQEVT-DTSLQLVDLDGETIEIPVTDSGVLTILHPALIDEVEQWREFASELGVHQGLDQLFRDVYFKPADAESQRKAVNAYSGGKYARCSHLLGRGRGGGFRTTLGEVAVIVHDSGQEVTASLDVNSWDPS</t>
  </si>
  <si>
    <t>GC_00000018</t>
  </si>
  <si>
    <t>c-dur_c-mat1_c-mat2</t>
  </si>
  <si>
    <t>R</t>
  </si>
  <si>
    <t>General function prediction only</t>
  </si>
  <si>
    <t>COG3209</t>
  </si>
  <si>
    <t>Uncharacterized conserved protein RhaS, contains 28 RHS repeats (RhsA) (PDB:4IGL)</t>
  </si>
  <si>
    <t>PF05593.20</t>
  </si>
  <si>
    <t>RHS Repeat</t>
  </si>
  <si>
    <t>MPVLPLKPFLAYKQNEFRIGGNPAEVFEFARRWRVFAENALTTAASLRMINDGGFLGDEGDRYRELIHGEFPNHLTITGEAHRGVSQAVTQYAEALTSAQTQMNALIVVALADHTAVQTAVANYNLCEANVVRAAATAKVATATAIATATLPGVNAITASTATAAQSELAAAQAAFEAAKAEHLRATTVFNADVTKGAGIKTTLSTEVQATVTAIRSQARKRFEENPNWVKEKWEAFKDWVTKHSEEISDISDALQLIGALLAF--TPL-APLGGLLIGLGVLLKGLLWLTGNCSWGEFGFDLITSLPGGKILK-------ALKGTRPVKSLSKAAKAAK----------------------AKAGKHGAKLASRGNKCKHPGMEPVDMATGAMIDFTTDIHIDGILPMVVARNTDSGMDTSRVFGPGWNTTLDCRIEILPGQILMMTPDGALLEFPPTPVDGTEVGDKGSPWRMCFVDGAYRVRNISEGITYVFGVTGSEAHDGKPCYRPDGPVPDYTITGDAPKNYVYRLDEETGELTRRERTIDDDAQHHDGVAGKEHSDGRAESVTDTSTSDDSTGDSASDVHNSAAPVNDSAISQNSPDKNQARTDKPQSDAANPRDDS------NTNADDPGVWEASNSFVNMLSPGSVADTFNLGVEVQLSTVIHHSGAWIEYDYEQSTGHLVTMRRSDGTVLEFKWHNRISRLLSIWVRNEETHPGSEPFRLASYNYDGKGRLLKVINSAAGALRYYYDDQHRPFRWTDRNGHSYHYRFDDKGRVVAQVGTGGMFPNVAVWLKDTGDDAPEDGTVCVALECAGKFHGNPTEIGDTCVNEYFDRLDKLPLANLLREKGLQDAGLTGRGRTSVRDDASWSLSDELLHDEFLGDIRPTVYRSTPTGDVWRVITPEGVVTDRDYDEHHQIIRETSNTGVVTTIGRDEYGTITRIDFGDGTAETITPGAWGEPLQVTGRDGLTTEYEVDAAGMVTSITDPLGVVTRFEYDWRVTGIVPKATITPSGLVRSMECDNAGRPIASTDPAGRRSSVTRDVRGLVTEVIDPVGNVTTVEYSPEGWVTRVVNPDGSWRSGTYDGEGNLTQTMNETGAKTTTRYTVFDQVSEVVSPNGGVTRYTYNTQMEPITVTNADGHTWRFEYDLDGEVIKETDYNGLVTETHRSQDGLRVDIVDGEGTITTHYDIFGLLTE-VHEIDDVVRFTRDKLGEITQVSNKWSTVNYQHDEYNRPISEVTTLYSGEQSTITLHYDADATIDAVTHVLPDGQEVTETPSYDEYGQLQRLTHYINKRECAIMSFGVDDIGRRSWCGIDSVVRKFEFDNRHRITSDTMVKL----------------------------------GGNTATSIIDRVFSWRVDDVLEQVKDTVRDITIDYAVDSSGRVTGVTHTDAAQDQ--------------------------------KSSESYGFSRAGMLTKLHPDTSAKWADDVDSYGGTMPRQIGRTSFTYDKAGRVTQTVTKRLSKKPLVKHFYYGSGTQPVGYEDSDHPGVGWRYLYDGLGRRVGKEQIDTATGDVLSRVVFMHQGNRLFGEQYTVNSHDPHVVGSGKLWPVDPLTGDVMGQIEF--------------------------------------------------------------TNPNSVDGWSQDQVDAVFYAMVSDLTGAPKELVDITTGGIVGYSKQSLFGKRQWFGGKSSPLLFAGQYEDAESGWVYNRFRYYNAAFGVYNAQDPLGVGPNLASAQAYVDNPTTWVDIYGLQSHKKNRRKGTIPQKSKRGRSQN------------------------------------------PPGPQKIFP-----------------------------RPSSTPPD-----------YVTEFSYHAEQVRMKERAVFEERVRDVVTSRRKFEWQADKGTWKITDKDAKLVVCITD-------------DGKVVTVMRP----------</t>
  </si>
  <si>
    <t>MPVLPLKPFLAYKQNEFRIGGNPAEVFEFARRWRVFAENALTTAASLRAINDGGFLGDEGDRYRELIHGEFPNHLTITGEAHRGVSTAVTQYAEALTSAQTQMNALTAIAMVDHTAVQTAVANYNLCEANVVRAAATAKVATATAVATAALPGVNAITASTATAAQSELAAAQAAFEAAKAEHLRATTVFDADVAKGAGIKSTLSMEVDTAVAWIKTQARRRFEENPSWLQEKWEAFKDWVTKHSKEIGDISDALQLIGGLLAL--FPPLAPLGGLLVGLGVLLKGLLWLTGNCSWGEFMFDLVTCLPGGKILK-------ALKGTRPVKSLSKAAKAAK----------------------AKAGKHGAKLLSRGSKCKHPGLEPVDMATGAMIDSATDIHIDGILPMVVARNTDSDMDTSRIFGPGWNTTLDCRIEILPDQVLMMTPDGALLEFPPAPVDGSEVGDKGSPWRLCFVDGAYRVRNIQEGVTYVFGIAGSEAQGGEPCYRPEGPVPDYTITGDVPKNYVYRLDEETGGLTRRERTIDDVS--HDGVAGKDRSDG----------GADSTGDSASDVHNSAAPVNNSAISQNSSDKNQANTDKPQSSADNPQDVL------DTDAGGPDVCETSNSFVNMLSPGSVADTFNLGVEVQLSTMVHHSGAWIEYNYEQETGHLVAMRRSDGTVLELKWHNRISRLLSIWVRNEETHPGEEPFRLASYNYDGKGRLLKVINSAAGALRYFYDDQHRPFRWTDRNGHSYHYRFDDKGRVTAQVGTGGMFPNVAVWLKDTGDDAPEDGTVCVALECAGEFHGNPTEIGDTCIHEYFDRLDKLPLANLLREKGLQGAGLTGRGRAGTRDNEPWTIPDELLRDEFLGDIRPTVYRSTPTGDVWRIITPEGVVTDREYDEHHQIIRETSNTGVVTAIERDEYGTITRIDFGDGTTETITPGAWGEPLQVTGRDGLTTEYEVDAAGMVTSITDPLGVVTRFEYEWRATGIVPKATITPNGLVRMMECDNAGRPVASTDPAGRRSSVTRDVRGLVTEVIDPVGNMTTIEYSPEGWVTKVINPDGSERSATYDGEGNLIEAMNEVGATTTTRYTVFDEVSEVVSPNGGITRYTYNTQMEPVAVTNADGHTWQLSYNLDGCVVKETDYNSLVTKSRVTPDGSRLDTTTGAGTVTTLFDPYGRMTETLDDQGNTTTYQRDALGKITKITNRWCTTDYSYDEYGRSLTETTTLYSGESHTMAFSYGQLGGVEMITHTLPDGKQVSETPLFDDEGVLRNSTYTLNNVEVASLSFGVDDTGRRSWSHVGSLVRSFDYDYNHRLVRDRVYTLTPGSSGNHDSAA----------YYADNAGSSQHQDEYHAVGVVDRVFTWRADDVITQITDRIQGVNTSYDVDPMGRVTHVTHQPQQSGVSLGSHDSYSAQTSSNQSYQSG-----------GGEESYSYSQAGVLTKLHPDTATRWADDVDTYGGTMPRQVGRTRFTYDKAGRVTQTVTKRLSKKPLVKHFYYELGTQPVGYEDSDHPGVGWRYLYDGVRRRVGKEQINTTTGEVTSRVMFLHEGDMLFGEYHAVNVIDPRAVGSARLWPADPGTGEILGQITINTNTDTTGSMTGHGGGNGHH--GFGGVMGADNSADDPYSQHNSHNNGGYSDGLYHRDDSTT-DGAGGVLGWPQERVDAVFYSMVCDLAGAPKELIDPVTGEVVGYATYTLFGKRHWAGMVSTPLLFTGQYEDTESGWVYNRFRYYDPHAGVYNAQDPLGLLANLGTAQGYVTNPVTWVDVLGLKGCYR-KITPSLRLKIMDSLSA----------IAYNEGDRIMKWNEGHKALNVAAMLTKDGRVYYAAGATGDLI----------------KPLPKGVVKGTIIKSADAPYTTETGEVIYN----ATLAMPYEERLPFHAERILERYARQNG--------LEPVEFYSGIEFCGIPENVGDPYGPGSCAEYFFKQGYVQLTEFTFSKL------</t>
  </si>
  <si>
    <t>MPVLPLKPFLLYQQNEFRIGGNPAEVFEFARRWRVFAENALTTAASLRMINDGGFLGDEGDRYRELIHGEFPKHLTITGEAHGGVSTAVTKYAEALTSAQTQMNALAATAAIDHTAVQTAVANYNLCEANVVRAAATAKIATATAVATAAVPGVNAVTASTATAAQSELAAAQAAFEAAKAEHLRATTVFDADVAKGAGIKSALSTEVQATVTAIRSQARKRFEENPNWVEEKWEAFKDWVSKHADLLRDISDVLQSIGGLLAS--LPILNGLGLSLKTLGLELKGLLCLTGNCSWQEFASDMTTFLPRGKILD-------TLKGTRPGKALSEALGAAK----------------------EKLGLNGPKNLCRGNECKLPGMEPVDMTTGAMIDSATDVRISGMLPMVVARDTDSGMDTSRVFGPGWNTTLDCRIEILPGQILMMTPDGALLEFPPAPVDGSEVGDAGRPWRLCFVDGAYRVRNIQEGVTYVFGVAGSEAHEGMPCYRPEGPVPDYTITGDAPKNYVYCLDEETGELTRRERTIDDDTQHHDGVADKTHAHDMNNA--DMNGGADSTGVSTSDVHNSATPVNDSTVSQNSPDNDQANTDKPQSSADNPQDDSGIADNADTNADDPGVWEASNSFVNMLSPGSVADTFNLGVEVQLSTVVHHSGAWIEYNYEQSTGHLVAMRRSDGTVLEFKWHNRISRLLSIWVRNEETHPGSEPFRLASYNYDGKGRLLKVINSAAGALRYYYDDQHRPFRWTDRNGHSYHYRFDEKGRVIAQVGSGGMFPNVAVWLPDEGDDAPEDGIVCVALECAGEFHGNPTEIGDTCINEYFDRLDQLPLANLLREKGLQGVGLTGRGRTSTRDDASWSLSDELLHDEFLGDIRPTVYRSTPTGDVWRIITPEGIITDREYDEHHQIIRETSNTGVVTQIDRDEYGTITRIDFGDGTTETITPGAWGEPIQVTSRDGLITEYEVDAAGMVTSITDPLGVVTRFEYDWRATGIVPQATITPSGLVRMTECDNAGRPVASTNPAGRRSSVTRDVRGLVTEVIDPVGNVTTIEYSPEGWVTRVVNPDGSERSGTYDGEGNLIEAMNEAGATTTTRYTVFDKVSDVTLPNGGITRYTYNTQMEPITVTNADGHTWQLSYDLDGSIVQEVDYNGLITQSHTTPDRQRLDTTTGAGTMTTLFDPYGRITETLDGQGNTTTYQRDALGKITKITNRWCTTDYSYDEYGRSLTETTTLYSGESHTMAFTYGRLGGVEAITHTLPDGKQVSETPLFDEQGVLRNSTYTLGNTEIASLSFGVDDTGRRSWAHVGSIIRSFDYDQNSRLVRDRVHALTPGNNSNNNSHGVGPVNTATGLNDAGSHDSSQHQDEHSAVGVIDRVFTWRADDVITQITDQIRGVETSYDVDPMGRVTRVTHQHTSGTATQNMPQGDRAGASPRAQYPQASSSQSNQCGMPGGEESYSYSQAGVLTKLHPDVTKRWADDVDTYGGTMPHQVGRTKFTYDKAGRVTQTVTKRLSKKPLVKHFYYDNGTQPVGYEDSDHPGVGWRYLYDGVCRRVGKEQINTTTGEVTSRIMFLHEGDMLFGEYHTVNTMNLHMVGSAVLWPTDPGTGEILGQITINTNTNTTGSTAHQDGGTGYYPGGYSGGTGADNSADDPYNQHNNP-HGGYSDGPYHHGASTTGDGAGGVLGWPQQRVDAVFYSMVCDLAGAPKELINPTTGEVVGYATYTLFGKRHWAGMVSTPLLFTGQYEDTESGWVYNRFRYYDPHAGVYNAQDPLGLLANLGTAQGYVTNPVIWFDVFGLQSCENNRENNELWEKLEEERGQHDGTVPMDHIVGGRVRDNVVSGYHSFEKRTEVADMIKSGEAALPPGGKTFFPQFKDGDEGLKEWL---GDANKGVVHDTIFNPDRVEPNGRWGTVLYKKVTLPENAIVPKDFEPNSGSRTVELAVYIGKARTIPESQLQPGQLQPTFKINSVFPTQGDGVTEVLA------DGKVVNKGFP--KVGDGND-</t>
  </si>
  <si>
    <t>MPVLPLKPFLAYKESEFKIGGNTAEVFDFARRWKTFADNALTCASNLRSMNDGGFLGSEGDRYKQLINSDFPSHLTTTGEAHNGVSTAVHQYAEALTTAQTQMNTLITTASVNHAAVQTAVANYNACEINLARAVVTAQAATTTAAATAVVPGVNVATASAAATAQTDLTAAQTAFEAAKTEHTRATTTFNADVTTASTIKSTLSTAVNSAVTSIRSQAKKRFEENPGWLEEKWNDFKDWVSEHADVLSMISDVLQTIGGLLMMIPFPIFTAIGAALLVVGVGLKAILALTGNCSLLEFAFDVATCVPGGKALKALKAGGTALKGAKPAKAISKASSTASKASKASSTASKASKASNAASKGEKSAQKASKTASRGNSCKSPGGEPIDMATGEMINFVTDVHIDGMLPMVVDRNNSSDLDTSMVFGPGWNTSLDTRIEVCPDKILMMSPDGAILEFPPAPADGAEVVANGRPWRLSFVDGAYRVRNIQEGITWVFAVTGSEFGDR----RPDAPIQDFNVTGDAPKNVVHQVEDT---------------------------------------------------------------------------------------------------------EVSNSFVNVLSPGSVADAFGLSVEIRLSSIVHHSGAWIEYDYEQTTGHLVSMRRSDGTTLEFKWHNRVHRLLSIWVKNEETHPDEEPMRLASYNYDGKGRLLKVINSAAGALRYYYDDADRPCRWTDRNGYSYYYRFDDQGRVVSQVGTGGMFPNVVVWLPDEGEDAPEDGTVCVILECAGEFHGDPAEIGDSCINEYFDRLENLPLANLLREKGLVGAGLTGRGRTSARDDETWTIPEELLHDEFLGDIRPTVYRSTPAGDVWRIVTAEGIVTDWDHDQHHQITRQMTNTGVVTVLERDEYGTITQIDYGDGTTETIVPGAWGEPVRVIGRDGLTTEYEVDPAGFVTAVTDPAGIRLEYEYEWRATGLVPLAMIDPQGLVQVTECDNAGRPLVSVDPAGRRSSVIRDVRGFIVETIDPVGNVTKVEYSPEGWATKIINPDGSERSASYDGEGNQITATNEAGVTTTAKYTVFDKVSEIVAADGGVTRYTYNTQMEPITVTNADGHAWRFEYDWDGEVIKETDYNGLVTETRRSRDGLRADIINGEGIVTTHYDAFGRLTE-VHEIDDVVRFTRDKLGEITQVSNKWSTVDYQHDEYGRTISETTTLYSGEQTTINLSHNPNGVIDSVSHVLPDERVISEKTRFSEGGDVCELAYSLDGKEVAVAGLGVDALGRRSWISMDSTVRKLKFDKRSRVVSETMVKLG---------------------------------GEAATTSIVDRAFSWRVDDVLEQVKDAVRDTTTDYVVDSLGRITGVTHVDAARDQ--------------------------------KPSESYEFSRAGMVTKLHPDITAKWADDVDLYGGTMPRQIGRTTFTYDKAGRVTQTVTKRLSKKPLVKHFYYGSGTQPVGYEDSDHPGVGWRYLYDGLDRRVGKEQIDTVTGDVLSRTVFMHQGNRLFGEQRTVNAHEPRLVGSGKLWPVDSWTGDVMGQIEI-------------------------------------------------------------AASSGPVDGWSQDQVDAVFYAMISDFAGAPRELVDVTTGGIVGYSKQSLFGKRTWFGEKSSPLLFAGQYEDAESGWVYNRFRYYNAAFGMYNAQDPLGVGPNLASAQAYVDNPTTWVDVYGLSHSQPSKKAQQLAQNRAQGKKAE-------------------------------ADVRKVMQEELDAANKADPA----------------GAGKRGIGEQVAMKTSDGSPTRPDFTITNGQNQYKVFEVKSGNAGLSNGQTAMQRDLSSGK----------PVEVRATSRGEGIGLSQGDKFTGTYSVVRPDQPGALNNLRQTLQQFWSPPAK</t>
  </si>
  <si>
    <t>MPVLPLKPFLAYKESEFKIGGNTAEVFDFARRWKTFADNALTCASNLRSINDGGFLGSEGDRYKQLINSDFPSHLTTTGEAHNGVSTAVHQYAEALTTAQTQMNTLITTASVNHAAVQTAVANYNACEINLARAVVTAQAATTTAAATAVVPGVNVATASAAATAQTDLTAAQTAFEAAKTEHTRATTTFNADVTTASTIKSTLSTAVNSAVTSIRSQAKKRFEENPGWLEEKWNDFKDWVSEHADVLSMISDVLQTIGGLLMMIPFPIFTAIGAALLVVGVGLKAILALTGNCSLLEFAFDVATCVPGGKALKALKAGGTALKGAKPAKAISKASSTASKASKASSTASKASKASNAASKGEKSAQKASKTASRGNSCKSPGGEPIDMATGEMINFVTDVHIDGMLPMVVDRNNSSDLDTSMVFGPGWNTSLDTRIEVCPDKILMMSPDGAILEFPPAPADGAEVVANGRPWRLSFVDGAYRVRNIQEGITWVFAVTGSEFGDR----RPDAPIQDFNVTGDAPKNVVHQVEDT---------------------------------------------------------------------------------------------------------EVSNSFVNVLSPGSVADAFGLSVEIRLSSIVHHSGAWIEYDYEQTTGHLVSMRRSDGTTLEFKWHNRVHRLLSIWVKNEETHPDEEPMRLASYNYDGKGRLLKVINSAAGALRYYYDDADRPCRWTDRNGYSYYYRFDDQGRVVSQVGSGGMFPNVVIWLPDTGDDAPEDGTVCVILECAGEFHGDPAEIGDSCINEYFDRLENLPLANLLREKGLVGAGLTGRGRTSARDDETWTIPEELLHDEFLGDIRPTVYRSTPAGDVWRIVTAEGIVTDWDHDQHHQITRQMTNTGVVTVLERDEYGTITQIDYGDGTTETIVPGAWGEPVRVIGRDGLTTEYEVDPAGFVTAVTDPAGIRLEYEYEWRATGLVPLAMIDPQGLVQVTECDNAGRPLVSVDPAGRRSSVIRDVRGFIVETIDPVGNVTKVEYSPEGWATKIINPDGSERSASYDGEGNQITATNEAGVTTTAKYTVFDKVSEIVAADGGVTRYTYNTQMEPITVTNADGHAWRFEYDWDGEVIKETDYNGLVTETRRSRDGLRADIINGEGIVTTHYDAFGRLTE-VHEIDDVVRFTRDKLGEITQVSNKWSTVDYQHDEYGRTISETTTLYSGEQTTINLSHNPNGVIDSVSHVLPDERVISEKTRFSEGGDVCELAYSLDGKEVAVAGLGVDALGRRSWITVDSTVRKLKFDKRSRVVSETMVKLG---------------------------------GEAATTSIVDRAFSWRVDDVLEQVKDAVRDTTTDYVVDSLGRITSVTHVDAARDQ--------------------------------KPSESYGFSRAGMLTKLHPDTSAKWADDVDLYGGTMPRQIGRTTFTYDKAGRVTQTVTKRLSKKPLVKHFYYGSGTQPVGYEDSDHPGVGWRYLYDGLDRRVGKEQIDTVTGDVLSRTVFMHQGNRLFGEQRTVNAHEPRLVGSGKLWPVDSWTGDVMGQIEI-------------------------------------------------------------AASSGPVDGWSQDQVDAVFYAMISDFAGAPRELVDVTTGGIVGYSKQSLFGKRTWFGEKSSPLLFAGQYEDAESGWVYNRFRYYNAAFGMYNAQDPLGVGPNLASAQAYVDNPTTWVDVYGLSHSQPSKKAQQLAQNRAQGKKAE-------------------------------ADVRKVMQEELDAANKADPA----------------GAGKRGIGEQVAMKTSDGSPTRPDFTITNGQNQYKVFEVKSGNAGLSNGQTAMQRDLSSGK----------PVEVRATSRGEGIGLSQGDKFTGTYSVVRPDQPGALNNLRQTLQQFWSPPAK</t>
  </si>
  <si>
    <t>MP-----------------------------------------------------------------------DYTITGDAP---------------------------------------KNYVYC------------------------------------------------LDEETGEVIRRERTIED-------------------------------ESHDNAVDE----------DHSDGVADKTHA------------------------------------------------------HGR-----------------DNSTSDTHDSAD----------------------DQVNSTNPQN-----------------------------------------DSDTNADAG------------------------------------------------------------------------------------------GP---------------------------------------------------------------------------------------------------------------------------GVWEASNSFVNMLSPGSVADTFNLGVEVQLSTVIHHSGAWIEYNYEQETGHLVTMRRSDGTVLEFKWHNRISRLLSIWVKNEETHPGEEPFRLASYNYDGKGRLLKVINSAAGALRYFYDDEHRPTRWTDRNGHSYHYRFDDQGRVIAQVGTGGMFPNVAVWLKDTGDDAPEDGTVCVALECAGKFHGNPAEIGDTCINEYFDRLGKLPLANLLREKGLQGVGLTGRGRTSTRDDKPWALPEELLRDEFLGDIRPTVYRSTPAGDVWRIITPEGVVTDREYDQHHQIVKEISNTGVVTTIGRDEYGTITRIDYGDGTTETITPGAWGEPLQITSRDGLTTEYEVDAAGMVTSITDPLGVVTRFEYDWRATGIVPQATITPSGLVRSMECDNAGRPVASTDPAGRRSSVTRDVRGLVTEVIDPVGNVTTIEYSPEGWVTRVVNPDGSWRSGTYDGEGNLTQTMNETGATTTTRYTVFDKVSSVTLPNGGITRYVYNTQMEPIMVTNADGHTWQLHYDLDGSIIKEVDYNGLITQSHTTPDGQRLDTITGAGTVTTMFDPYGRMTETFDDQGNTTTYQRDALGKITKVTNQWCTTDYSYDEYGRSLTETTTLYSGESHTMAFTYGRLGGVEAITHMLPDGKQVLETPIFDDEGVLRNSTYTLGNTEVASLSFGVDDTGRRSWAHVGSLVRSFDYDQNSRLVRDQVHALTPENNSSNNSHGVGPVNTATGLNDAGSAGSSQHQDEYHAVGVIDRVFTWRADDVITQITDRIRGVETSYDVDPMGRVTRVTHQQAGGTATQNMPQTREKRA--------------------GREESYSYSQAGVLTKLHPDTATRWADDVDTYGGTMPHQVGRTKFTYDKAGRVTQTVTKRLSKKPLVKHFYYDNGTQPVGYEDSDHPGVGWRYLYDGLCRRVGKEQINTTTGEVTSRVMFLHEGDVLFGEYHAVNTMNPHMVGSAVLWPTDPGTGEILGQITI----NTTGSMTGQDGGNGYYPGGNGGSTGADNSADDPYYQHNNP-HGGYSDGLYHHDDSTTGDGAGGVLGWPQQRVDAVFYSMVCDLAGAPKELIDPMTGEVVGYATYTLFGKRHWAGMVSTPLLFTGQYEDTESGWVYNRFRYYDPHAGVYNAQDPLGLLANLGTTQGYVTNPVIWVDVLGLQSCENNRENNELWEKLERERGQHDGTVPMDHIVGGRVRDNVVSGYHSFEKRTEVANMIKNREAELPPGGKTFFPEFKDGDEGLKEWLSGDGGANKGVVDDIIFHPDRVEPNGRWGTVLYKKVTLPENAIVPEEFKPNSGSRTVELAVYIGKARTIPESQLQPGQLQPTFKINSVFPVQGDGVTEVLA------DGTIANRGFPLKDLGDGNG-</t>
  </si>
  <si>
    <t>PF20148.4</t>
  </si>
  <si>
    <t>Domain of unknown function (DUF6531)</t>
  </si>
  <si>
    <t>MPVLPLKPFLLYQQNEFRIGGNPAEVFEFARRWRVFAENALTTAASLRMINDGGFLGDEGDRYRELIHGEFPKHLTITGEAHGGVSTAVTKYAEALTTAQTQMNALTATAAIDHTAVQTAVTNYNLCEANMIRAAATAKLATATAVATAAVPGVNAVTASTATAAQSELAAAQAAFEAAKAEHLRATTVFDADVAKGAGIKATLSTEVQATVTAIRSQARKRFEENPNWVEEKWEAFKDWVSKHADLLRDISNALQSIGGLLVS--SPI---FGMPLKTLGLELKGLLCLTGNCSWQEFASDMTTFLPRGKILD-------ALKGTRPGKALSEALGAAK----------------------EKLGLNGPKNLCRGNECKLPGMEPVDMATGAMIDSATDIHIGGMLPMVVARNTDSGMDTSRVFGPGWNTTLDCRIEILPGQILMMTPDGALLEFPPAPVDG-------------------------------------------------GP--------------------------------------------------------------------------------------------------------------------------------------------------------------------------------------------RWEMRAAR---------------------------------------------------------------------------------------------GD--------CV----------------------------------------------------------SW----------------------------------------------------TGRTGCV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SKKAL-----------------------------------------------------------------------------------------------------------------------------------------------------------------------------------LMC--------LV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</si>
  <si>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GC_00000019</t>
  </si>
  <si>
    <t>PF00455.28</t>
  </si>
  <si>
    <t>DeoR C terminal sensor domain</t>
  </si>
  <si>
    <t>K|G</t>
  </si>
  <si>
    <t>Transcription|Carbohydrate transport and metabolism</t>
  </si>
  <si>
    <t>K03436</t>
  </si>
  <si>
    <t>DeoR family transcriptional regulator, fructose operon transcriptional repressor</t>
  </si>
  <si>
    <t>COG1349</t>
  </si>
  <si>
    <t>DNA-binding transcriptional regulator of sugar metabolism, DeoR/GlpR family (GlpR)</t>
  </si>
  <si>
    <t>ko03000</t>
  </si>
  <si>
    <t>Transcription factors&gt;&gt;&gt;Prokaryotic type&gt;&gt;&gt;Helix-turn-helix&gt;&gt;&gt;DeoR family</t>
  </si>
  <si>
    <t>MLTVHERRAEITALASNQGHASVAELAERFSVTPETIRRDLKYLESSGLVHRVHGGAVTNHTLRSDEQPFWVSEKSHSAEKKAIAQAAMPFIPTQS-GSIVIDSGTSTAAVALLMADSYRGQRWTIVTNSLPVGILLSTAGIPGVNLLGGTMRAYTQAVVGEQAVATLKSLRADVAIMGTNALSVHHGLSTPDPSEAAIKREMISSANKVVVLCDSSKFEQDYLVTFADLSDIDVVITDAHASEHFLSALRNNDIQVVIS-</t>
  </si>
  <si>
    <t>-MYSEERRRQIASLTAVEGRVNVTELAARFDVTAETIRRDLAVLDREGVVHRVHGGAVANQTFQTTEYSVDARLRSASGAKSSIAHAALQFLPEAPGGGIFLDAGTTTAAFAELITMQPAAKQWSIVTNSLSIALTLANSGLDEIQLLGGSVRGITQAVVGNAALRTLALMRAEVAFIGTNALTVDHGLSTADSQEAAIKSAMITNARKVVVLCDSTKMGTDYLVSFGSVDDIDVIITDANAPESFVKALRDRNV</t>
  </si>
  <si>
    <t>GC_00000020</t>
  </si>
  <si>
    <t>PF13407.12</t>
  </si>
  <si>
    <t>Periplasmic binding protein domain</t>
  </si>
  <si>
    <t>G</t>
  </si>
  <si>
    <t>Carbohydrate transport and metabolism</t>
  </si>
  <si>
    <t>COG1879</t>
  </si>
  <si>
    <t>ABC-type sugar transport system, periplasmic component, contains N-terminal xre family HTH domain (RbsB) (PDB:1BA2)</t>
  </si>
  <si>
    <t>--------------------------------------------------------------------------------------------------------------------------------------------------------------------------------------------------------------------------MATNLLQAHPNVKAIFAENDEMALGALEALGARAGSD</t>
  </si>
  <si>
    <t>K10439</t>
  </si>
  <si>
    <t>ribose transport system substrate-binding protein</t>
  </si>
  <si>
    <t>ko00001|ko00001|ko02000</t>
  </si>
  <si>
    <t>KEGG Orthology (KO)&gt;&gt;&gt;09130 Environmental Information Processing&gt;&gt;&gt;09131 Membrane transport&gt;&gt;&gt;02010 ABC transporters [PATH:ko02010]|KEGG Orthology (KO)&gt;&gt;&gt;09140 Cellular Processes&gt;&gt;&gt;09142 Cell motility&gt;&gt;&gt;02030 Bacterial chemotaxis [PATH:ko02030]|Transporters&gt;&gt;&gt;ABC transporters, prokaryotic type&gt;&gt;&gt;Saccharide, polyol, and lipid transporters&gt;&gt;&gt;Ribose transporter</t>
  </si>
  <si>
    <t>MFTKKTLKKVTAVSAALVLAFGAAACNRDSGDSGSGGG--------DNSVTLALSTRTNPFFVQLQEGAQKKADELGIKLNIQDASDDAAKQNDQLNNAATTGSKVVIVNPTDSDAVVAAVQALNNANIPVVAVDRSASGGTVDSFIASDNVAGGKQAADALAQSIGDEGEVLVLQGIAGSSASRDRGKGFTDGIATHPNVRVVGQQTANFDRTEGLNVTTNLLQAHPDVKAIFAENDEMALGAIEALGERAGRDIKVIGFDGTEDGLKAVTDGKMAATIGQQPAKLGAQAVEQASKLLKKEQAQSEIHVEVVTVTQDNVKDFGK</t>
  </si>
  <si>
    <t>MFSTKLRKTLAVVASATLLCTSLTACNRDSGGNNAAGD------SANKSITFALSTQANSFMVKMREGAQKKADELGLTINFQDASDDSATQANQLANAAATGAGAVIVNPTDSDAMAPAVKQLTDAKIPVVAVDRAVNNAEVSSYIASDNVGGGKQAAKALSEAIHGEGEILVLQGKTGSSASRERGQGFDEGLKDSPNIKVVAKQTAEFERVKGLDVTTNLLQAHPNVKAIFAENDEMALGAIEALGDKAGKDVIVVGFDGVEDALKAIKEGTMYASIAQQPADMAAQAVVEASKLLKGEAATKEMQVDVVTVTKDNVDKFSG</t>
  </si>
  <si>
    <t>MFSTKLRKTLAVIASATLLCTSLTACNRDSGGNNATGDHTATGSASAKTITFALSTQANPFFVQMRESAQKKADELGLAINFQDAADDSATQSNQLANAAASGTGVVIINPTDSDAMASAVQQLVDEKIPVVAVDRAVNNANVASYIASDNETGGKQAAKVLSDAINGEGEILVLQGKTGSSASRERGKGFDEGLKDNPNIKVVAKQTAEFERAKGLDVTTNLLQAHPNVKAIFAENDEMALGAIEALGSKAGKDVKVIGFDGAEDALKAIKDGRMYASIAQQPVKMAEQAVIEASKLLKGETATKKMQVEVVAATKENVDKFSS</t>
  </si>
  <si>
    <t>MFSTKLRKTLAVVASATLLCAGLAACNRDSGGNNATGDHTTTGSASAKTITFALSTQANPFFVQMRESAQKKADELGLAINFQDAADDSATQSNQLANAAASGTGVVIINPTDSDAMAPAVQQLVDEKIPVVAVDRAVNNANVASYIASDNETGGKQAAKVLSDAINGEGEILVLQGKTGSSASRERGKGFDEGLKDNPNIKVVAKQTAEFERAKGLDVTTNLLQAHPNVKAIFAENDEMALGAIEALGSKAGKDVKVIGFDGAEDALKAIKDGRMYASIAQQPVKMAEQAVIEASKLLKGETATKKMQVEVVAATKENVDKFSS</t>
  </si>
  <si>
    <t>GC_00000021</t>
  </si>
  <si>
    <t>MTYSIYNFLRNTKEKTKSLDQMASYIHHNTNMKVYLFLTLENYAEFEAIQEHHHGRIVWAVNAAGTGPFEALDPYSFDGLVEFDGKDVDIDPGGAFYSTDISFDGLAIMADTVDFPEKAKEVLVPDAADFPESFDDYLLMIQEQDDDPDPIEAKVLAAGALLVYSLNISDTVQGETPGELFLSESVCIGDARGEALMYQFFDPNDADR</t>
  </si>
  <si>
    <t>MTYLIYSFLRNTKEKTKALDQMASYIHHNTDMKVYLFLTLENYAEFEVIQEHHHGRIVWAVNAASTVPFGALDPYSFDGLVEFDGKDVDIDPGGAFYSTDFSFDGLAIMADAVDFPEKAKEVLVPDAADFPESFDDYLLMVQEQDDDLDPIEAKVLAAGALLVYSLDISDTVQGETPGELFLSESVCVGDARGEALMYRFFDPNDADR</t>
  </si>
  <si>
    <t>MEYTEHRFRRIVAEETKPLEQMASYIHQNTDMKLYLLLTLEDYAEFEAIQKHYYGRIQWVVNGAEISPFGSILPPSFYGLVEFDGKDANINPAKAFYSTRISFDGMVILADTPDFPEKAKEVFF--AGEFPETFDEYLLAVQAEEGN-HPIEPDLLAAGASLIYSLNLSDTITGDAPGEVFLSESAFISDARGEELMYQFFDPNDTDY</t>
  </si>
  <si>
    <t>MAYSIYNFLRNTKEETKALDQMASYIHHNTDMKVYLFLTLENYAEFEAIQEHYHGRVVWAVNAADTGPFGALDPYSFDGLVEFDGKDVDIDPGGAFYSTDFSFDGLAIMADMVDFPEKVKEVLVSDAADFPESFDDYLLMVQEQDDDPDPIEAKVLAAGALLVYSLNISDTVQGETPGELFLSESVCIGDARGEAFMYQFFDPNDADR</t>
  </si>
  <si>
    <t>MAYSIHNFLRKTTEKTKALDQMASYIRQNTDMKVYLFLNLDNYADFEAIQEHYHGRIKWVVNSVETCPFGFLESCPFYGLVEFDGKDANIDPGGAFYSTLTSFEGTVIMADIVDFSEKAKEILAPNAADFPESFDDYLRMIQEQDDDPDPIEADLLTAGASLVYSLDLSDTVSGDAPGELFLSESVCIGDTRGEALMYQFFDPNNADQ</t>
  </si>
  <si>
    <t>MEYSQHRFRRIVAEKTKPLEQMASYIHQNTDMKLYLLLTLEDYAEFEAIQKHYYGRIQWVVNGAEISPFGSILPPSFYGLVEFDGKDANINPAKAFYSTRISFDGMVILADTPDFPEKAKEVFF--AGEFPETFDEYLLAVQAEEGN-HPIEPDLLAAGASLIYSLNLSDTITGDAPGEVFLSESAFISDARGEELMYQFFDPNDTDY</t>
  </si>
  <si>
    <t>GC_00000022</t>
  </si>
  <si>
    <t>PF01497.23</t>
  </si>
  <si>
    <t>Periplasmic binding protein</t>
  </si>
  <si>
    <t>P</t>
  </si>
  <si>
    <t>Inorganic ion transport and metabolism</t>
  </si>
  <si>
    <t>K02016</t>
  </si>
  <si>
    <t>iron complex transport system substrate-binding protein</t>
  </si>
  <si>
    <t>COG0614</t>
  </si>
  <si>
    <t>ABC-type Fe3+-hydroxamate transport system, periplasmic component (FepB) (PDB:1ESZ)</t>
  </si>
  <si>
    <t>MNTSTQRSRKIAVSASGLALCGLLAACSGNTAQDASGSASTQAQGEGAPVTIVNCGEDVTYDHAGSLMVNDSNILAAVYAAGAGDKVKAVTSVNKDKDVLVEKYG-KIADR-DELSDQAAGLEQIIAEAPDVYVAGWNYGMDDANGVNPESLASHGIGAYVLTESCRQSDGTKRGTVEPWQAVREDLNNLGTAFGDEETAKKVIEDQDSRLDKLKAAPQADTKPVAFVFDQGRD-GVFTSGRFGGPEAIITAAGATNAAGDVDDTWTTVSWEKLASTSPDVFVFVDYPGQNLEEKIEMLKTNPVTKDLPAVKEERFVNLPYVMWTSGPLNIDAAELVRKALEGYNLVPASDIQAQFQLPASVAGQNYWNSK</t>
  </si>
  <si>
    <t>------MKKYIAI----LCGIGILAAG---CGTTGNNEASTSANGG---VTLKNCGEEVTYQHHDKLWVHDGSIISIALGAGAGDKINWVSSMQKDKDILRAKYG-DIVDRLDEAAEKTPSLEEVVSKKPDIMVAGWNYGFSESNDLNPERLKSQGIDSYILTESCRQGSTGKRGVVEPWQAVRDDVGNLGKIAGSEATATQVIDDMDTRLDNLKAAPQAEKKPTVFVFDSVKDGGIFTSGKFGGPQAIIEAAGG</t>
  </si>
  <si>
    <t>------MKKYLAV----LCGVGILAAG---CGTTGNNEASTSANGG---VTLTNCGEEVTYSKTDSLFVNDGNIIATVLSAGGKDKIKNVSSLQRDVDILKAKYGAETIDGLDAVSKEYPSLEEVVSKQPNVYVAGWGYGLSESKNMTPETLKEQGIGTYAITESCKQQGTDKRGTIDPWTAVSEDLKNIGTLAGDADTAREVVADQDARLTTLRSAEQPEKKPTAFVFDSATD-TIFTSGKFGAPQAIIDAAGA</t>
  </si>
  <si>
    <t>----MRWKQPLAV----LALAALTVTGLTSCAQQSAKTGTTDAAGG---ITLTNCGEEVTYPSADKLMVNDGNIIAMVLAAGGRDHIKWVSSLEDDADILKAKYG-KDAEGLDDIAPEAPSLEEVVAKKPDVMVAGWNYGFSDGKNLTPDALKQHGIGSYILTESCRQPGSEKRGVVDPWKAVEEDVTNMGKLTGHEDTAAAVVKDQQDRLSALAAAERPETVPNTFVFDTARE-GIFTSGRFGGPQAIIEAAGG</t>
  </si>
  <si>
    <t>----MRWKQPLAV----LALAALTVTGLTSCAQQSAKTGTTDAAGG---ITLTNCGEEVTYPSADKLMVNDGNIIAMVLAAGGRDHIKWVSSLEDDADILKAKYG-KDAEGLDDIAPEAPSLEEVVAKKPDVMVAGWNYGFSDGKNLTPDALKQHGIGSYILTESCRQAGSEKRGVVDPWKAVEEDVTNMGKLTGHEDTAAAVVKDQQDRLSALAAAERPETVPNTFVFDTARE-GIFTSGRFGGPQAIIEAAGG</t>
  </si>
  <si>
    <t>GC_00000023</t>
  </si>
  <si>
    <t>PF13439.12</t>
  </si>
  <si>
    <t>Glycosyltransferase Family 4</t>
  </si>
  <si>
    <t>K19002</t>
  </si>
  <si>
    <t>1,2-diacylglycerol 3-alpha-glucosyltransferase [EC:2.4.1.337]</t>
  </si>
  <si>
    <t>COG0438</t>
  </si>
  <si>
    <t>Glycosyltransferase involved in cell wall bisynthesis (RfaB) (PDB:2IV7)</t>
  </si>
  <si>
    <t>ko00001|ko00001|ko01000|ko01003</t>
  </si>
  <si>
    <t>KEGG Orthology (KO)&gt;&gt;&gt;09100 Metabolism&gt;&gt;&gt;09103 Lipid metabolism&gt;&gt;&gt;00561 Glycerolipid metabolism [PATH:ko00561]|KEGG Orthology (KO)&gt;&gt;&gt;09100 Metabolism&gt;&gt;&gt;09107 Glycan biosynthesis and metabolism&gt;&gt;&gt;00552 Teichoic acid biosynthesis [PATH:ko00552]|Enzymes&gt;&gt;&gt;2. Transferases&gt;&gt;&gt;2.4  Glycosyltransferases&gt;&gt;&gt;2.4.1  Hexosyltransferases&gt;&gt;&gt;2.4.1.337  1,2-diacylglycerol 3-alpha-glucosyltransferase|Glycosyltransferases&gt;&gt;&gt;Glycolipid biosynthesis&gt;&gt;&gt;Glycoglycerolipid</t>
  </si>
  <si>
    <t>MHGIVRFMHIAVFTDYYLPTLGGVQTSIKAQKDTLEAAGHTVTVFCPLHEPSDDPTVVRLPTSSVIKPDGYPFCWPPRKVINAGVSSIEKLGDIDIIHVHSEMGAAFAGVRASEIFNIPLVQSMHTRIDAYVRDVLPMPHVSSIWLAWMHKHFVPRSSISLEQASYTRTRLARRMWRVMVSQANHAQHVIVPSHHFAQKLQDQGVTKPLTVLSNGLDPSLVDKLHTSSPRHYSPSE-DLRILWCSRMSNEKRPLVFLKAMKQLPDSVTVDMYGDGPNLPSVRRYIKHHRLGDRVHLHGGVPQSTVVEAMRDHHIFVLSSYDFDNQPMTLLEATAAGTPVVYCDADLGEVIPDDGGLLTNKPSANNIAEAIRYLLENPSQVSAMSSHMLSSQAQTVQSPFTEQLLRIY-ESLR----</t>
  </si>
  <si>
    <t>PF00534.26</t>
  </si>
  <si>
    <t>Glycosyl transferases group 1</t>
  </si>
  <si>
    <t>-------MHIAVFTDYYLPTLGGVQTSIKAQKDTLEKAGHKVTIFCPLHQTSTDPSIVRLPTSTRFKPDNYPFAWSPDAVIDASISHIRELGDVDIIHIHSEMAAAIGGIHAGQSLRIPIVQTMHGRVDVYTKNVLPLPSVSTFILASLHRRSIALAD--------------------------------IPLTHAPASLGACGV--------------------------------------------------</t>
  </si>
  <si>
    <t>-------MHIAVFTDYYLPTLGGVQTSIKAQKDTLEAAGHRVTVFCPLHEPSGDLTVVQLPTSKVIKPDNYPYTWPPKRAKRFAQNYMDSIEPVDVVHVHSEMAAAAAGVHVARSRGLPLVQTMHGRVDVYTQCVLPFPAATSVLLSWLYNRNNPVRPVTLRDAPYTRTALARRMWRLMVNQANYADHVIVPSHHFAHKLQYQGVNKPLTVLSNGLESTLLSQLRAIKPREYAGGDTEFRIMWCGRVSQEKRPID</t>
  </si>
  <si>
    <t>-------MHIAVFTDYYLPTLGGVQTSIKAQKDTLEAAGHRVTVFCPLHEPSGDLTVVQLPTSKVIKPDNYPYTWPPKRAKRFAQNYMDSIEPVDVVHVHSEMAAAAAGVHVARSRGLPLVQTMHGRVDVYTQCVLPFPAATSVLLSWLYNRNNPVRPVTLRDAPYTRTALARRMWRLMVNQANYADHVIVPSHHFAHKLQYQGVNKPLTVLSNGLESTLLSQLRAIKPREYTGGDTEFRIMWCGRVSQEKRPID</t>
  </si>
  <si>
    <t>GC_00000024</t>
  </si>
  <si>
    <t>PF13245.12</t>
  </si>
  <si>
    <t>AAA domain</t>
  </si>
  <si>
    <t>L</t>
  </si>
  <si>
    <t>Replication, recombination and repair</t>
  </si>
  <si>
    <t>COG3973</t>
  </si>
  <si>
    <t>DNA helicase IV (HelD)</t>
  </si>
  <si>
    <t>MVG-------VGRQKTSVVLAEEQDYVDGLFARIDEDVSKAQAALRDVMLRVDRCDPDPEDLIRRETEYHSLNAKLDTLALAQIGLVFGRIDLCPTPSEADGDTDPAASTAGSDPV-YIGRLGIVDREDNYRTLLLDWRAPMARPFYLATTAHPESVVRRRHIRTKGRTVTDINDEILVADSSCLSDVDSSTVDLSIGGETALMRALSAARGTHMNSIVETIQREQDAIIRDPSRGVMVVQGGPGTGKTAVALHRVAYVLYTWREQLEKTGVLILGPNRRFLDYISRVLPELGETGVVLSTVGEMYPGVVPTIEDSLLTREIKGSEEMAYILSEAVKAYQVVPDEALEFRAADMNVRVDAAMVKRARTRARRSRKPHNHARSVFVDELCSLVARACAEDIGADPLGG-NLLSAGDIAQLHDDLKADERFMDMC-DTLWPVVTPERVLVDLLGSRERIAQVCAEYDEDTQTALYREGADETRWSSSDAALLDELAVLLGDAPTRGDAQKVAAR--TAVEEAQDALDVLRSSEHADLDDGFDAEILSAYDVIDAQALAARQEEQDVRSTAQRAVADREWAYGHVVVDEAQELTPMEWRMVFRRCPSRWMTLVGDADQTSSPAGMDAWSD-IADLSGCRLRTHELTVNYRTPATIMDVAARY-----GSATASQSIREGGMVV-FYPEGTDPHCV------KVGDGLVAVIDSSNVEQFKGLEFDHVIVVNPTQIAE-SPQGRNNLYVALTRATHSLHIIGELP----</t>
  </si>
  <si>
    <t>PF01443.25</t>
  </si>
  <si>
    <t>Viral superfamily 1 RNA helicase core domain</t>
  </si>
  <si>
    <t>MVESTEHTDHAGHSAHAADIAVEQAYVDELFARIDADVIAANARLRDVMLRVDRATPDPEALVEREVEYHALNDKLDTLTVAQLGLVFGRITL-------DGEQ-------GDDDVRYIGRIGIDAPEDHYRTLLLDWRAPMARPFYIATTANPEGVTTRRHIRTTGRTVVDIHDEQLVGEAS-----DESASDVV--SESALLRALNAARTAHMGNIVETIQREQDDIIRDPERGVMVVEGGPGTGKTAVALHRVAYLLYTWRDVLARSGVLIVGPNRAFLDYISRVLPELGETGVVLTTVGEMYPGVTPVGTDSLLAREVKGSAEMVHILRAAVQAYQTVPAEPIPLFVDGLTLHLTPAMVTTARGRARRSGLPHNQARAIFWDQALDLLAHAMADMIGADPLGGTNLLSSGDIAQLHEDL-ADEFVVDSALDELWPELTPQNVLEELLESPERISIAAADYDEETQSALYRE--DGAAWSAADAALLDELAQLLGTDDPEQERKAAEQRWQEQIEEAQDALDILTGSASQDLDDGFDAEILMAHDVIDAETLAQRQEIRDNRSTAERAKADRLWAYGHVVVDEAQELSPMEWRMIMRRCPSRWMTLVGDTAQTGSPAGVDSWTDTLEPYVKNRFRRHQLTVNYRTPADIMDVANTLLPMIAPTQTPSQAVRSTGIPVRFLPSGTEVSSLIDALRTEHPERLTAHIDADNVAEIKGLEYDHVVLVEPQEIVNNSPQGWQDLYVALTRATQSLTIVGEMPTTEL</t>
  </si>
  <si>
    <t>MVESTEHPDHAGHSAHAADIAVEQAYVDELFARIDADVVAANERLRDVMLRVDRATPDPEALVEREVEYHALNDKLDTLTVAQLGLVFGRITL-------DSEQ-------GDDDVRYIGRMGIDAPEDHYRTLLLDWRAPMARPFYIATTANPEGVTERRHIRTTGRTVVDIHDERLVGDAS-----DESASDVV--SESALLRALNAARTAHMGNIVETIQREQDDIIRDPERGVMVVEGGPGTGKTAVALHRVAYLLYTWRDVLARSGVLIVGPNRAFLDYISRVLPELGETGVVLTTVGEMYPGVTPTGTDSLLAREVKGSAEMVHILRAAVQAYQTVPAEPVPLFVDGLTLHLTPAMVTTARGRARRSGLPHNQARAIFRDQALDLLAHAMADMIGADPLGGTNLLSSGDIAQLHEDL-ADEFVVDSALDELWPELTPQNVLEELLESPERISVAAADYDEETQSALYRE--DGSAWSAADAALLDELAQLLGTDDPEQERKAAEQRWQEQIEEAQDALDILTGSASQDLDDGFDAEILMAHDVIDAETLAQRQEIRDIRSTAERAKADRLWAYGHVVVDEAQELSPMEWRMIMRRCPSRWMTLVGDTAQTGSPAGVDSWTDTLEPYVQNRFRRHQLTVNYRTPADIMHVANTLLPMIAPTQTPSQAVRSTGIPVRFLPSGTEVSPLIDALRTEHPDRLTAHIDADNVAEIKGLEYDHVVLVEPQEIVDNSPQGWQDLYVALTRATQSLTVVGEMPTTEL</t>
  </si>
  <si>
    <t>--------------MVCDVVALEQGFVDGLFGVLDARVRVAQERLVAVQLQGD----DVDALVEREVEYHGLVGRLDELRVAELGLVFGRLDM------------------VGGECRYVGRVGLVD--DGGRVLLVDWRAPMARPFYMATTAQPVGVERRRHIRMRGRVVVGVTDEVLSGVDV------GGVGDLGVVGESALFRAMRAARTGRMGSIVSTIQREQDVIIRDESRGVMVVEGGPGTGKTA-----</t>
  </si>
  <si>
    <t>PF00580.27</t>
  </si>
  <si>
    <t>UvrD/REP helicase N-terminal domain</t>
  </si>
  <si>
    <t>----------------------------------------------------------------------------------------------------------------------------------------------------------------------------------------------------------------------MGSIVSTIQREQDVIIRDESRGVMVVEGGPGTGKTAVALHR</t>
  </si>
  <si>
    <t>--------------MVCDVVALEQGFVDGLFGVLDARVRVAQERLVAVQLQGD----DVDALVEREVEYHGLVGRLDELRVAELGLVFGRLDM------------------VGGECRYVGRVGLVD--DGGRVLLVDWRAPMARPFYVATTAQPWGWRRRRHIRMRGRVVVGVTDEVLSGVDV----------------------------------------------------------GGVG----------</t>
  </si>
  <si>
    <t>-------------------------------------------------------------------------------MLPELG--------------------------------------------------------------------------------------------------------------------------------------------------------------------------</t>
  </si>
  <si>
    <t>GC_00000025</t>
  </si>
  <si>
    <t>MYSEYMFWRRMPDEKNMLTALRHQVAQDTSLHLYIFFKFETLQKFSDMTHQYCGTLLWHKDFTDTPLGFLMRKPIVGLVEFDCSDPENDPAGAFFHSLNTALGSRVMVSDDPTFPDKAKPLLVYDYSPATFIGTNEERPGPFNIDKELVNAGALLTYTVEIYDQPDDKEDYWMEFLCVNDSRDELY</t>
  </si>
  <si>
    <t>MYSKYMFWRRMPDEKNMLTVLRHQVAQDANLHFYIFFKFKTLQKFSNMTRQYGGALLWHWDFTDTPLGFLFRKPIVGLVEFDCSDPESDPAGAFFHSLNTALGSRVMVSDDPTFPEKAKPLLVYDYSPATFIGTEEERPGPFYITDELMNIGVLLTYKVEIYDQPDDKEDYWMEFLCVNDSRDELY</t>
  </si>
  <si>
    <t>MYSTYEFWRKKRDEKNMLTVLRHQVAQDTSLHFYIFFKFETLQKFSDMTHQYGGALL---------------------------------------------------------------------------------------------------------------------------------</t>
  </si>
  <si>
    <t>MYSTYKFWRKKPDEKHMLTALRHQVAQDASLHFYIFFKFETLQKFSDMTHQYGGALLWHKDFTDTPLGFLFRKPIIGLVEFDCSDPKSDPAGAFFHSLNTALGSRVMVSDDPTFPDKAKPLLTYDYSPATFIGTEEEKPKTFNITDELINAGALLTYRVEIYDQPVGKASYWMEFLCVNDSRDELY</t>
  </si>
  <si>
    <t>MYSKYMFWRRMPDEKHMLTALRHQVAQDTSLHLYIFFKFETLQKFSDMTRQYGGVLLWHWDFTDTPLGFLMRKPIVGLVEFDCSDPKSDPAGAFFHSLNTALGSRAMVSDDPTFPDKAKPLLAYDYSPATFMGTEEEKPKTFNITDELINAGALLTYRVEIYDQPDDKEDYWMEFLCVNDSRDELY</t>
  </si>
  <si>
    <t>MYSEYMFWRRMPDEKNMLTTLRHQVAQDASLHFYIFFKFETLQKFSDMTHQYGGALLWHWDFTDTPLGFLFRKPIVGLVEFDCSDPKSDPAGAFFHSLNTALGSRAMVSDDLTFPDKAKPLLVYDYSPATFMGTEEERPGPFNIDEELINAGALLTYVVEIYDQPDDKEDYWMEYLCVNDSRDELY</t>
  </si>
  <si>
    <t>GC_00000026</t>
  </si>
  <si>
    <t>MHYRELAANQRGFLLRSQLTEEEIKEARDTGFIINEHL----LYTKQGFETQLSESSTSDIYYWLWLLAFPTIPPEQRNPMPYMAGSAALDIRGIGRIGSGDPMYVITPPELMPYANVEEKVTDEFIVDDNIQPTDWSLIDDTPVENILPALRRYLLTTDDFEDSADATLGAYHHGCSWDELAEVLEVCTGQWTIYETGEKAKTGKEVLDQFLNEYASPATSKDEEDDYDY--DEDDDW--</t>
  </si>
  <si>
    <t>MGYREIAARQRGFLLRSQLTEEEIQEARETRFIINEHL----LHTKQAFETQLSGYSTSDIYYWAWLLAFPTIPPEQRNPMPYMAGSAALDIRGIGRIGSGDPIYVVAPPELMAYADTTEGVS-EFIVDDNIQPTDWSLIDDTPVENTLPALRKYLMTNDDFEYSADATLDAHYYGCSWDELAEVLEVCTRRWT-DENGRKPQTGKEVLDHFLNEYASPATSKDEEDDYDY--DEDDDW--</t>
  </si>
  <si>
    <t>MSYWELAAQQHGFLLRSQLTAEEIQDAHQTGFIIDDYP----LQSEYVFPTQLSSTATNYGYYWLWLLAFPTVPPEQRNPMPYFAGGAALDVQQIGWGSRESPVFIVMPLQLTPYINADDGIVDDFIVDAKIQPTDWSLVDGIPVENILPALQKYLLSNDDFENAADAVFDAHDKGCSWEDLASVLEVCTGLWPNRETGKTPQTGKEVLEHFFQEYALPDPDPEDDDYEDFTEDEDDTWWS</t>
  </si>
  <si>
    <t>MSYREIAARQRGFLLRSQLTEEEIQEARETGFIIEEDLEATSLHSEHIFRTQLSEYSYNDGDYWLWLLAFPTVPPERRNPMPYYAGARALQIRGIGRIGSGDPTRISTPPELMPYINTKDFAVEKFVVDDNIQLTDWSLVDDIPVENILPALRKYLMTTDDFEDSADATLDAYDEGCSWDELAEVLEVCTGQWTIYETGEKAKTGREVLDQFLNEYASPSTDADDDEEDDY--DDDDDW--</t>
  </si>
  <si>
    <t>MSYREIAARQRGFLLRSQLTEEEIKEARETGFIINEHL----LYTKQGFETQLSGSSTSDTYYWLWLLAFPTIPPEQRNPMPYMAGSAALRIRGIGRIGSGDPMYVITPPELMPYANIEEKVTDEFIVDDNIQPTDWSLVDNTPVENILPALRKYLMTTDDFEDSADATLDAYDEGCSWDELAEVLEVCTGQWTIYETGEKAKTGREVLDQFLNEYASPSTDADDDEEDDY--DDDDDW--</t>
  </si>
  <si>
    <t>MSYRDLAAQQRGFLLRSQLSEEEIQEARDTGFIIEGGF----LDSNNGFYTQLSGHSPNDSSYWLWLLAFPAIPPERRNPMPYVASSEALQIRGIGRIGSGDPACIITPPELMPYANIEEGVTDEFIVDDNIQPTDWSLVDDIPTENILPALRKYLMTTDDFEYAADATLDAHYYGCSWEELAEVLEVCAGTWT-DKNGRKPRTGKEVLDHFLSEYASPYPNTNKDYD-----DDDDDW--</t>
  </si>
  <si>
    <t>MFYE-----------------------------------------------------------W-WLAAFPTIPPEQRHPMPYLAGSEALDIRGIGRIGSGDPTCIITPPELMPYANTEEKVTDEFIVDDNIQPTDWSLVDNTPVENILPALRRYLMTTDDFEDSADATLGAYHHGCSWDELAEVLEVCTGQWTIYETGEKAKTGREVLDQFLNEYASPATSKDEEDDYDY--DEDNDW--</t>
  </si>
  <si>
    <t>GC_00000027</t>
  </si>
  <si>
    <t>PF08338.16</t>
  </si>
  <si>
    <t>Domain of unknown function (DUF1731)</t>
  </si>
  <si>
    <t>R|R</t>
  </si>
  <si>
    <t>General function prediction only|General function prediction only</t>
  </si>
  <si>
    <t>K07071</t>
  </si>
  <si>
    <t>uncharacterized protein</t>
  </si>
  <si>
    <t>COG1090|COG4276</t>
  </si>
  <si>
    <t>NAD dependent epimerase/dehydratase family enzyme (YfcH) (PDB:4B4O)|Ligand-binding SRPBCC domain (SRPBCC)</t>
  </si>
  <si>
    <t>ko00001</t>
  </si>
  <si>
    <t>KEGG Orthology (KO)&gt;&gt;&gt;09190 Not Included in Pathway or Brite&gt;&gt;&gt;09194 Poorly characterized&gt;&gt;&gt;99997 Function unknown</t>
  </si>
  <si>
    <t>MGGVSIETSHFIPYPRTIVWDWHSMPGAVVRLTPRNVPMQPVQQADNLASGLTRFSLPAGLVWDAQHELAGYRKGHQFVDVCTSAPIKLFSQWRHVHTFKD---EGPSGTTITDSVSTRVP--ARALKSLFAFRQHALLGDLNALARINATAPESMYADPSTDSEALPSVLSLGLPDNRRLRPLTVAVTGSRGLVGRALTAQLTTAGHKVIQLVRGDAKPGQ-------------RHWTPQRPDPDLLDDVDVLVHLAGEPLLGRFNDEHKKAIYDSRVYPTSKLAEVVASSPRCATMVCASSIGFYGA----DRGEEKLSEDSSAGEGFLATMVQDWEDACEPAREAGKRVVNIRTGVILAANGGVLAVLKMLFSAGLGGPFGERNPWFSWISLDDLTDIYLRAAIDPAIEGPVNATAPNPVPNTKMVSALGAELNRPTIIPIPSIGPKLLLGTEGAEELALANQRVLPSRYLELGHEFRHSAIETCLAHELGGQELLNNDQGSNDAD-----------------------</t>
  </si>
  <si>
    <t>---MSFTASHVLPFDREFVWDWHTRKGAAARLIPPFFPMHPVKEAKRLSDGTTTYSLPAGLRWVSRHDLSAYRRGHRFSEVCVSSPIRSIADWRHTHSFADV--EG--GTLITDDIHTRAP--SGPLKSFLAYRQHQLLGDLSFLSRIAALVDAP---------------------------PLTVGVTGSRSLIGRAVTAQLRTAGHTVVQIVREKMRPGR-------------RLWEPFHPAQDLLDGIDVVV</t>
  </si>
  <si>
    <t>---MTFTTSHILPFDQKLVWDWHTRPGAVKRLTPPFVPMSVEEEATSLADGTTTFLLPGKLQWVAQHQSSGYIPERRFTDVCVSPVVKRAGGWRHTHTFADTP-EG--TTLITDYVDSRIPISHKKLCSVFAYRQHQLYHDLAFSSSLALTSPST--------------------------KPLTIAVTGASGLVGRALTAQLTTLGHAVIPLVRKASHLASTTKHAAHPHSHLPRFWDPVNPAPDLLDGVDVLV</t>
  </si>
  <si>
    <t>---MSFTTSHVLPFDRELVWDWHTRKGAAARLIPPFFPMHPVKEAKRLSDGTTTYSLPAGLRWVSRHDLSAYRRGHRFSEVCVSSPIRSIADWRHTHSFADV--EG--GTLITDDIHTRAP--SGPLKSFLAYRQHQLLGDLSFLSRIAALVDAP---------------------------PLTVGVTGSRSLIGRAVTAQLRTAGHTVVQIVREKMRPGR-------------RLWEPFHPAQDLLDGIDVVV</t>
  </si>
  <si>
    <t>PF01370.27</t>
  </si>
  <si>
    <t>NAD dependent epimerase/dehydratase family</t>
  </si>
  <si>
    <t>GC_00000028</t>
  </si>
  <si>
    <t>COG3839</t>
  </si>
  <si>
    <t>ABC-type sugar transport system, ATPase component MalK (MalK) (PDB:2ONK)</t>
  </si>
  <si>
    <t>MAEVRFDNVTIRYPGADSPTVEGLNLSIPDGEFLVLVGPSGCGKSTSLRAIAGLEEVESGAIYIDGEDVTGWEPAQRDIAMVFQNYALYPHMTVAGNMAFALKLAGEDKSVIERKVAEAAELLGLTPYLDRRPKDLSGGQRQRVAMGRAIVRNPKVFLMDEPLSNLDAQLRVQTRTELAALQRRLGTTTIYVTHDQVEAMTMGDRVAVLKDGELQQVAPPRELYDRPANAFVASFIGSPSMSLMP-----SEHPSLGQVI--------------------MGVRPEHVRV-VDPSAAGEPAASAGTGSEGVSLDVVVDIVEELGSESYVYAHPSGGGD----------------LTIVAKLHSGPSPAPGTELQFKFDHAHAHFFNPETGVRVDA</t>
  </si>
  <si>
    <t>K10112</t>
  </si>
  <si>
    <t>multiple sugar transport system ATP-binding protein [EC:7.5.2.-]</t>
  </si>
  <si>
    <t>ko00001|ko02000|ko02000|ko02000|ko02000|ko02000|ko02000|ko02000|ko02000|ko02000|ko02000|ko02000|ko02000|ko02000|ko02000|ko02000|ko02000|ko02000</t>
  </si>
  <si>
    <t>KEGG Orthology (KO)&gt;&gt;&gt;09130 Environmental Information Processing&gt;&gt;&gt;09131 Membrane transport&gt;&gt;&gt;02010 ABC transporters [PATH:ko02010]|Transporters&gt;&gt;&gt;ABC transporters, prokaryotic type&gt;&gt;&gt;Saccharide, polyol, and lipid transporters&gt;&gt;&gt;Maltose/maltodextrin transporter|Transporters&gt;&gt;&gt;ABC transporters, prokaryotic type&gt;&gt;&gt;Saccharide, polyol, and lipid transporters&gt;&gt;&gt;Maltose transporter|Transporters&gt;&gt;&gt;ABC transporters, prokaryotic type&gt;&gt;&gt;Saccharide, polyol, and lipid transporters&gt;&gt;&gt;Arabinogalactan oligomer/maltooligosaccharide transport system|Transporters&gt;&gt;&gt;ABC transporters, prokaryotic type&gt;&gt;&gt;Saccharide, polyol, and lipid transporters&gt;&gt;&gt;Raffinose/stachyose/melibiose transporter|Transporters&gt;&gt;&gt;ABC transporters, prokaryotic type&gt;&gt;&gt;Saccharide, polyol, and lipid transporters&gt;&gt;&gt;Alpha-glucoside transporter|Transporters&gt;&gt;&gt;ABC transporters, prokaryotic type&gt;&gt;&gt;Saccharide, polyol, and lipid transporters&gt;&gt;&gt;Glucose/mannose transporter|Transporters&gt;&gt;&gt;ABC transporters, prokaryotic type&gt;&gt;&gt;Saccharide, polyol, and lipid transporters&gt;&gt;&gt;Trehalose/maltose transporter|Transporters&gt;&gt;&gt;ABC transporters, prokaryotic type&gt;&gt;&gt;Saccharide, polyol, and lipid transporters&gt;&gt;&gt;Cellobiose transporter|Transporters&gt;&gt;&gt;ABC transporters, prokaryotic type&gt;&gt;&gt;Saccharide, polyol, and lipid transporters&gt;&gt;&gt;N,N'-Diacetylchitobiose transporter|Transporters&gt;&gt;&gt;ABC transporters, prokaryotic type&gt;&gt;&gt;Saccharide, polyol, and lipid transporters&gt;&gt;&gt;L-Arabinose/D-xylose transporter|Transporters&gt;&gt;&gt;ABC transporters, prokaryotic type&gt;&gt;&gt;Saccharide, polyol, and lipid transporters&gt;&gt;&gt;Fructooligosaccharide transporter|Transporters&gt;&gt;&gt;ABC transporters, prokaryotic type&gt;&gt;&gt;Saccharide, polyol, and lipid transporters&gt;&gt;&gt;Fructooligosaccharide transporter|Transporters&gt;&gt;&gt;ABC transporters, prokaryotic type&gt;&gt;&gt;Saccharide, polyol, and lipid transporters&gt;&gt;&gt;Putative sorbitol/mannitol transporter|Transporters&gt;&gt;&gt;ABC transporters, prokaryotic type&gt;&gt;&gt;Saccharide, polyol, and lipid transporters&gt;&gt;&gt;Arabinooligosaccharide transporter|Transporters&gt;&gt;&gt;ABC transporters, prokaryotic type&gt;&gt;&gt;Saccharide, polyol, and lipid transporters&gt;&gt;&gt;Polygalacturonan/rhamnogalacturonan transporter|Transporters&gt;&gt;&gt;ABC transporters, prokaryotic type&gt;&gt;&gt;Saccharide, polyol, and lipid transporters&gt;&gt;&gt;Pectin-derived oligosaccharide transporter|Transporters&gt;&gt;&gt;ABC transporters, prokaryotic type&gt;&gt;&gt;Saccharide, polyol, and lipid transporters&gt;&gt;&gt;Putative multiple sugar transporter</t>
  </si>
  <si>
    <t>MATVTFDNVTRIYPGNDKPSVDKVNLEIRDGEFLVLVGPSGCGKSTTLRMLAGLEEVNSGRILIGDRDVTTVPPKERDIAMVFQNYALYPHMTVRDNMGFALKMAKMDKAEIATRVESAALSLGLTDLLDRLPKALSGGQRQRVAMGRAIVRRPKVFLMDEPLSNLDAKLRVQTRTQIAALQRELGVTTMYVTHDQTEALTMGDRIAVIKDGVLQQVGTPREMYETPANEFVAGFIGSPAMNLGTFMLSGDGYATLGNARIRLSEATHNAITADDHAQIVIGFRPEALEI-VEPGD-N-------------TIPIKIEVVEELGSDSYIYGHLHGGGDLGSGTDTNPDKESTDKIIIRAEPHTAPSV--GSVVHVRIKPGGQHNFSKATGLRLPD</t>
  </si>
  <si>
    <t>MATVTFDNVTRIYPGNDKPSVDKVNLEIRDGEFLVLVGPSGCGKSTTLRMLAGLEEVNSGRILIGDRDVTTVPPKERDIAMVFQNYALYPHMTVRDNMGFALKMAKMDKAEIATRVESAALSLGLTDLLDRLPKALSGGQRQRVAMGRAIVRRPKVFLMDEPLSNLDAKLRVQTRTQIAALQRELGVTTMYVTHDQTEALTMGDRIAVIKDGVLQQVGTPREMYETPANEFVAGFIGSPAMNLGTFMLSGDGYATLGNARIRLSEATHNAITADDHAQIVIGFRPEALEI-VEPSD-N-------------TIPIKIEVVEELGSDSYIYGHLHGGGDLGSGTDTNPDKESTDKIIIRAEPHTAPSV--GSVVHVRIKPGGQHNFSKATGLRLPD</t>
  </si>
  <si>
    <t>MASVTYEAVTLVYPNAKAPTVNNFDLEVADGEFLVLVGPSGCGKSTTLRMLAGLEDVTAGRILIGDTDVTTAPPKERDIAMVFQNYALYPHMSVRENMGFALKIAGMPKDQIDKQVETMAKRLDLLPYLDRKPKALSGGQRQRVAMGRAIVRKPKVFLMDEPLSNLDAKLRVQTRTEIAALQRELGVTTLYVTHDQTEALTMGDRIAVLNGGILQQAGSPRELYDAPQNVFVAGFIGSPAMNLLECTKDEDHIAHYGDARIPIPAVSETEVT--------VGFRPESIEL-VSDSEPN-------------TIPIKLDFVEELGSDSYLYGHITGTPE------------GSTQVVVRTLPNSAPAP--GSVFHVRINPDEHHVFATATGERLPV</t>
  </si>
  <si>
    <t>MATVVFDSVTITYPGATRPSVDRLNLAIDDGEFLVLVGPSGCGKSTSLRALAGLEPVTSGQVSIGGKDVTGLEPAARDIAMVFQNYALYPHMNVRKNIGYPLRLAKMPKAEIAAKVEETARVLGLSELLDRKPKDLSGGQRQRVAMGRALVRNPQVFLLDEPLSNLDAKLRVHMRTEVAALQRRLGVTTVYVTHDQVEAMTLGDRVAVLKDGVLQQVAAPQELYDRPVNMFVAGFIGSPAMNLFP-------GVVFGREVI-------------------MGVRPADMWVGVDPSTAA-------------SISGTVVLVEELGSERFV--HVRAANN----------------VMLVARAKQSPPV--GCEIQVGFDPDMAHLFDPISGIRV--</t>
  </si>
  <si>
    <t>MASVTYEAVTLVYPNAKAPTVNNFDLEVADGEFLVLVGPSGCGKSTTLRMLAGLEDVTAGRILIGDTDVTTAPPKERDIAMVFQNYALYPHMSVRENMGFALKIAGMPKDQIDKQVETMAKRLDLLPYLDRKPKALSGGQRQRVAMGRAIVRKPKVFLMDEPLSNLDAKLRVQTRTEIAALQRELGVTTLYVTHDQTEALTMGDRIAVLNGGILQQAGSPRELYDAPQNVFVAGFIGSPAMNLLECTKDEDHIAHYGDARIPIPAVSETEVT--------VGFRPESIEL-VSDSEPN-------------TIPIKLDFVEELGSDSYLYGHITGTPE------------DSTQVVVRTLPNSAPAP--GSVFHVRINPDEHHVFATATGERLPV</t>
  </si>
  <si>
    <t>MATVVFDSVTITYPGATRPSVDRLDLAIDDGEFLVLVGPSGCGKSTSLRALAGLEPVTSGQVSIGGKDVTGLEPAARDIAMVFQNYALYPHMNVRKNIGYPLRLAKMPKAEIAAKVEETARVLGLSELLDRKPKDLSGGQRQRVAMGRALVRNPQVFLLDEPLSNLDAKLRVHMRTEVAALQRRLGVTTVYVTHDQVEAMTLGDRVAVLKDGVLQQVAAPRELYDRPVNMFVAGFIGSPAMNLFP-------GVVFGREVI-------------------MGVRPADMWVGVGPSAAA-------------SISGTVVLVEELGSERFV--HIRAAGD----------------VMLVARAKQSPPV--GCEIQVGFDPDMAHLFDPISGIRV--</t>
  </si>
  <si>
    <t>GC_00000029</t>
  </si>
  <si>
    <t>PF00496.27</t>
  </si>
  <si>
    <t>Bacterial extracellular solute-binding proteins, family 5 Middle</t>
  </si>
  <si>
    <t>K13889</t>
  </si>
  <si>
    <t>glutathione transport system substrate-binding protein</t>
  </si>
  <si>
    <t>COG0747</t>
  </si>
  <si>
    <t>ABC-type transport system, periplasmic component (DdpA) (PDB:3RQT)</t>
  </si>
  <si>
    <t>ko00001|ko02000</t>
  </si>
  <si>
    <t>KEGG Orthology (KO)&gt;&gt;&gt;09130 Environmental Information Processing&gt;&gt;&gt;09131 Membrane transport&gt;&gt;&gt;02010 ABC transporters [PATH:ko02010]|Transporters&gt;&gt;&gt;ABC transporters, prokaryotic type&gt;&gt;&gt;Peptide and nickel transporters&gt;&gt;&gt;Glutathione transporter</t>
  </si>
  <si>
    <t>--MKKRYGLAVIALLSAAALTLSGCSGTKQQEASSDSAGGVHINLKGDYNPMERDQIKDGGELTLPIYEISEQSNSLHANSVLDTLTLWRWYNPQPVLFDGDGTWHPNPAYLTNVNAEEVDGKTVVTYDINPDAVFNDGTPIDWRAFETTWKVSNGENKDFSVSSTDGYELIESVTAGESDKQAVVTFKQPFAWWQALFNQIMHPSVSDPQIFNEGYLKNPHPEWGSGPFKVDTFDYNSGIVTFVPNEKWWGEKP</t>
  </si>
  <si>
    <t>-MVRKRYCAAIVAVVSAAALVLAGCSQSSQQEASSDSAGGVEIKLSGDYNPLERDQIKDGGELTLPIGEVTEQSNASHGNAVVDTNTLWYWYNPQLMLADGDGTPHPNPAYLTNVSAEEVDGKTVVTYDLNPDAVFNDGTAFDWHVFENTWKMSNGENPDVSINATDGYDLIESVTAGESDKQVVVTFKQPYPWWQALFSVPLHPAVADAQTFNEGYLKNPHPEWGSGPYKVDQFDYNSGTVSFVPNEKWWGEKP</t>
  </si>
  <si>
    <t>MVVKNPYRMTVVAALAAAALVLGGCSGSSNGPASTDSAGGVEIKPTGDYNPLERDQIRDGGELNLAVSAVAEQSNPSHGNAVVDTTNLWYWYNPQLVLLDGDGSWHPNPTYLTNIKDEVVDGKTVVTYDINPDATYNDGTPLDWRVFENTWKLSNGENKDIVVNSTDGYDLIESVAAGESDKQVVVTFKQTYPWWPALFSILMHPGVADAQTFNEGYLKNPHPEWGAGPYKVDKYDYNSSTVSFVPNEKWWGEKPKLDRVTFRQMESQATINAFQAGEIDATDVATKDTLAIAKSMKDIDIRGALRPKQYFGMFNSKAPGLEDVKVREALFTGIDRSTLAQIQFNGLDYTEQLPGSIVLYQTQPGYEDNFSPVVQYDQEKAKQLLDDAGWAVGSDGIREKEGKKLALRYVSFGDSQLVKSTAAAMQKMLKDLGVDLSIVEKPSSEFSRVFADRDFDVVTMSITSSEPFGVTYFKYTYGSDSQLNKSGTGTPEFDAKIAELEQIPDREEQTRKANELEREAFGQYGIMPYANGPQLVASKKTLANFGATSFAFPAKENIGWAK</t>
  </si>
  <si>
    <t>--MKKRYGLAVIALLSAAALTLSGCSGTKQQEASSDSAGGVHINLKGDYNSMERDQIKDGGELTLPIYEISEQSNSLHANSVMDTLTLWRWYNPQPVLFDGDGTWHPNPDYLTNVKDEEVDGKTVVTYDINPDAVFNDGTPIDWRAFETTWKVSNGENKDFSVSSTDGYELIESVTAGESDKQAVVTFKQPFAWWQALFNQFMHPAVSDPQTFNEGYLKNPHPEWGAGPFKVDTFDYNGGTVTFVPNENWWGEKP</t>
  </si>
  <si>
    <t>--MRRSSVMSVVAVVAATGLLLGGCT-SDKKNANSGPAATVEIKPTGDYNPLERDQIKDGGELTLPILEVPEQSNSLHGNAIVDGTTLWRWYNPQMTLADGDGTWHPNPAYLTNVNAEEVDGKTVVTYDINPDAVFNDGTPIDWRVFETMWKFNNAENPDVVANSTDGYDQIESVTAGESDKQAVVTYKQAYPWWQALFDRVLHPSVADAQTFNEGYLKNPHPEWGAGPYKVDQFDYNSGTVSFVPNEKWWGEKP</t>
  </si>
  <si>
    <t>MVVKNPYRMTVVAALAAAALVLGGCSGSSNGPASTDSAGGVEIKPTGDYNPLERDQIRDGGELNLAVSAVAEQSNPSHGNAVLDTTNLWYWYNPQLVLLDGDGSWHPNPTYLTNIKDEVVDGKTVVTYDINPDATYNDGTPLDWRVFENTWKLSNGENKDIVVNSTDGYDLIESVAAGESDKQVVVTFKQTYPWWPALFSILMHPGVADAQTFNEGYLKNPHPEWGAGPYKVDKYDYNSSTVSFVPNEKWWGEKPKLDRVTFRQMESQATINAFQAGEIDATDVATKDTLAIAKSMKDVDIRGALRPKQYFGMFNSKAPGLEDVKVREALFTGIDRSTLAQIQFNGLDYTEQLPGSIVLYQTQQGYEDNFSPVVQYDQGKAKQLLDDAGWAVGSDGIREKDGKKLALRYVSFGDSQLVKSTAAAMQKMLKDLGVDLSIVEKPSSEFSRVFADRDFDVVTMSITSSEPFGVTYFKYTYGSDSQLNKSGTGTPEFDAKIAELEQIPDREEQTRKANELEREAFGQYGIMPYANGPQLVASKKTLANFGATSFAFPAKENIGWAK</t>
  </si>
  <si>
    <t>GC_00000030</t>
  </si>
  <si>
    <t>PF02463.25</t>
  </si>
  <si>
    <t>RecF/RecN/SMC N terminal domain</t>
  </si>
  <si>
    <t>K03631</t>
  </si>
  <si>
    <t>DNA repair protein RecN (Recombination protein N)</t>
  </si>
  <si>
    <t>COG0497</t>
  </si>
  <si>
    <t>DNA repair ATPase RecN (RecN) (PDB:4AD8)</t>
  </si>
  <si>
    <t>ko03400|ko03400</t>
  </si>
  <si>
    <t>DNA repair and recombination proteins&gt;&gt;&gt;Prokaryotic type&gt;&gt;&gt;TLS (translesion DNA synthesis) factors&gt;&gt;&gt;Other SOS response factors|DNA repair and recombination proteins&gt;&gt;&gt;Prokaryotic type&gt;&gt;&gt;DSBR (double strand breaks repair)&gt;&gt;&gt;HR (homologous recombination)&gt;&gt;&gt;RecFOR pathway proteins</t>
  </si>
  <si>
    <t>MLTEITIDNLGVISHATAEFSSGLSVVTGETGAGKTMVVSSLRLLCGSRADASRVRSGADRAVVEGRFSTSGLGDAARGRAEAVVEGAGGVADDNGEFIALRTVTSAGRSKAHLGGRSVPAAALKEFSEQLITVHGQNDQLRLLAADQQRAAV---DAQVGDVFNRYEAAWSEYRRLAKDLQERTLKRRELAQEIDRLRFAIDEIDAVAPASGEDAELVELIRRLQDVDTVREQAVTALHAIDGAD---GGGFDDSSPASDLLGQAAAAL-AGDDPELAQLSEQLSDITSQLGDISVALGSFLSGLPSDPSELDRLLQRQGEIKSLTRKYAPDCEGVVAWRAKAAQRLEKIDVSSDALDKLEKEVQSAHKEALALAKQLSKARQGVAARLSKQVTAELAGLAMGKSRFEVAVSTVE-LGPHGIDEVEFRLASMPGAEARPLASSASGGELSRVMLALELFQGADTRGATLVFDEVDAGVGGVAAVEIGRRLAQLAKNNQVIVVTHLPQVAAYADMHLHVSKHVGDDTVTSGVEELSRERRIEELSRMLAGLADTETGRAHAEELLDRAQQECAEMRAG</t>
  </si>
  <si>
    <t>MLAEISIENLGVISASSAELSSGLTVLTGETGAGKTMVVSGLRLLCGGRADASRVRTGAQHAVVEGRFLLDALPADAAHTIQDLVESAGGRADENGEFIASRQVNSTGRSKAHLGGRSVPAATLQDFTAELLTIHGQNDQLRLLSPERQLAALDRFDPDVAELVDSYRTVYGAWRTLAKDLKERTMKRRELAQEVDRLQFAINEIDEVAPEPGEDTVLIQDIRRLQDIDTLREQATLALVAIDGGGALFGFDQDDESVASDLLGRAENALNSSDDEELKALGNRLGDLTATLSDISAELGAFLSALPADSQALENMLLRQQQLKLLTRKYAADIDGVLAWRDKAEAKLSSIDVSSEAVEKLKKDTAAAEKKMLAAAKKLTKARTAAAEKLGVLVTEELQGLAMAKSRFEVAVRSIA-PSSDGADEVEFLLAPNREAESRPLATSASGGELSRVMLALEVILGAGTKGTTLVFDEIDAGVGGRAAVEIGRRLARLAVHNQVIVVTHLPQVAAYADTHLHVAKDVGDSSVTSGVDTLTGDRRVEELARMLAGLEDTETGRAHAQELLLKAQDERAAF---</t>
  </si>
  <si>
    <t>MLAEISIENLGVISASSAELSSGLTVLTGETGAGKTMVVSGLRLLCGGRADASRVRTGAQHAVVEGRFLLDALPADAAHTIQDLVESAGGRADENGEFIASRQVNSTGRSKAHLGGRSVPAATLQDFTAELLTIHGQNDQLRLLSPERQLAALDRFDPDVAELVDSYRTVYGAWRTLAKDLKERTMKRRELAQEVDRLQFAINEIDEVAPELGEDTVLIQDIRRLQDIDTLREQATLALVAIDGGGALFGFDQDDESVASDLLGRAENALNSSDDEELKALGNRLGDLTATLSDISAELGAFLSALPADSQALENMLLRQQQLKLLTRKYAADIDGVLAWRDKAEAKLSSIDVSSEAVEKLKKDTAAAEKKMLAVAKKLTKARTTAAEKLGALVTEELQGLAMAKSRFEVAVRSIA-PSSDGADEVEFLLAPNREAEPRPLATSASGGELSRVMLALEVILGAGTKGTTLVFDEIDAGVGGRAAVEIGRRLARLAVHNQVIVVTHLPQVAAYADTHLHVAKDVGDSSVTSGVDTLTGDRRVEELARMLAGLEDTETGRAHAQELLLKAQDERATF---</t>
  </si>
  <si>
    <t>PF13476.12</t>
  </si>
  <si>
    <t>MLADIAIENLGVISRAAMELSPGLTVLTGETGAGKTMVVTGLRLLVGGRADASRVRSGAAQAAVEGRFVLDGVDSEVAGAARDVVVSAGGRLDEGGEVIVSRTVSVGGRSKAHLGGRLVPAAALQEFSAELLTIHGQNDQLRLLAPEEQLAAVDRCDPKIAELLVGYREAFGRWRRLVRDLRSRTESRRELAQEADRLQFAISEIRGVDPQPGEDVELVSLIRRLQDVDELRHQASVALGVIDG-----DFG-SEMAGASDLVGQAVSALQKSGDEKLQELAVRLGAVTAELGEVSAELGSFLSNLSGDPAELEGLLLRQQELKGLTRKYAPDVDGVLEWLRKAEVKLAGIDTSPEAVERLQAEVKSAEAEVWRIAGELSAARGRAARRLGESVTAELRGLAMAKAVFSASVSQVAVPGKLGVDVVEFLLSVGASGEARPVASSAS---------------GVSCRG---------------------------------------------------------------------------------------------------------------</t>
  </si>
  <si>
    <t>MLADIAIENLGVISRAAMELSPGLTVLTGETGAGKTMVVTGLRLLVGGRADASRVRSGAAQAAVEGRFVLDGVDSEVAGAARDVVVSAGGRLDEGGEVIVSRTVSVGGRSKAHLGGRLVPAAALQEFSAELLTIHGQNDQLRLLAPEEQLAAVDRCDPKIAELLVGYREAFGRWRRLVRDLRSRTESRRELAQEADRLQFAISEIRGVDPQPGEDVELVSLIRRLQDVDELRHQASVALGVIDG-----DFG-SEMAGASDLVGQAVSALQKSGDEKLQELAVRLGAVTAELGEVSAELGSFLSNLSGDPAELEGLLLRQQELKGLTRKYAPDVDGVLEWLRKAEVKLAGIDTSPEAVERLQAEVKSAEAEVWRIAGELSAARGRAARRLGESVTAELRGLAMAKAVFSVSVSQVAVPGKLGVDVVEFLLSVGASGRRGRWRRRRR---------------GVSCRG---------------------------------------------------------------------------------------------------------------</t>
  </si>
  <si>
    <t>GC_00000031</t>
  </si>
  <si>
    <t>K15580</t>
  </si>
  <si>
    <t>oligopeptide transport system substrate-binding protein</t>
  </si>
  <si>
    <t>COG4166</t>
  </si>
  <si>
    <t>ABC-type oligopeptide transport system, periplasmic component (OppA) (PDB:1B05)</t>
  </si>
  <si>
    <t>KEGG Orthology (KO)&gt;&gt;&gt;09130 Environmental Information Processing&gt;&gt;&gt;09131 Membrane transport&gt;&gt;&gt;02010 ABC transporters [PATH:ko02010]|KEGG Orthology (KO)&gt;&gt;&gt;09140 Cellular Processes&gt;&gt;&gt;09145 Cellular community - prokaryotes&gt;&gt;&gt;02024 Quorum sensing [PATH:ko02024]|Transporters&gt;&gt;&gt;ABC transporters, prokaryotic type&gt;&gt;&gt;Peptide and nickel transporters&gt;&gt;&gt;Oligopeptide transporter</t>
  </si>
  <si>
    <t>MHNTTSSPARTHRGVIKKTAALLAASALTFGLAACSSDDSGNA-------IVYVNGTEPQRLLIPGDTSENGGGRIVDMLYSGLVYYDANGIVHNELAESIDLEGDKTYKVTLKPDKKFADGTPVKASNFVDAWNHVVANDQMTESFFAPIEGY-SEDATELSGLKVLDDRTFTITLNQPEADFPTRLGYNAFFPLPDNAYDDEEAFGRNPNGNGPYKLEAWDGSQSISLVPNENYDGPRKPKNDGVMFTFYARPDAAYADLLSDNLDVLDAIPTGSLANYQDELPGRSVSQPVAAYQELSLPEREAHFAG-EEGRLRRKALSMSIDRDSITNKLFYGTRTPARDFTSPVIDGYNPNLKGNEVLMYNPEEAKKLWAQADAISPYDGTLEIAYDVDGGHQEWVDAVANQIRNNLGIEAVGHPYPDFKSYRNDIKSKTIKGAFRTGWFADYPGLGNFLVPNFVSTSSSNDSGYNNPEFDALMTKAAGQPTPEESNKLYNEGQEIMLQDLPAIPLWYPNVVGGWSNNVDNVTFNWKSLPEYYAITKN</t>
  </si>
  <si>
    <t>K02035</t>
  </si>
  <si>
    <t>peptide/nickel transport system substrate-binding protein</t>
  </si>
  <si>
    <t>KEGG Orthology (KO)&gt;&gt;&gt;09140 Cellular Processes&gt;&gt;&gt;09145 Cellular community - prokaryotes&gt;&gt;&gt;02024 Quorum sensing [PATH:ko02024]|Transporters&gt;&gt;&gt;ABC transporters, prokaryotic type&gt;&gt;&gt;Peptide and nickel transporters&gt;&gt;&gt;Peptides/nickel transporter</t>
  </si>
  <si>
    <t>-------------MNGAKAIALGTAALALIGLSACSTDTSDEGATG--HNYVTAYGCEPKRGLVPADTNEICGTRVVRSIFAGLVSVDEKGDPHNDLAEDISLEGDRTYHVTLKDGLKFSDGSPLTSHNFVDAWNFAVANDLVSAKFLKPIKGY-ADSVEKLEGLSVQDDRHFTIELGQPQSDFLLALSYHAYFPMPDSALEDIKAYGENPIGAGPYKLTDWQHESTLTIVPNENYTGEFKPRNDGIKFVMYPKL</t>
  </si>
  <si>
    <t>GC_00000032</t>
  </si>
  <si>
    <t>PF03816.19</t>
  </si>
  <si>
    <t>LytR_cpsA_psr family</t>
  </si>
  <si>
    <t>K27775</t>
  </si>
  <si>
    <t>cell wall biosynthesis protein</t>
  </si>
  <si>
    <t>COG1316</t>
  </si>
  <si>
    <t>Anionic cell wall polymer biosynthesis enzyme TagV/TagU,  LytR-Cps2A-Psr (LCP) family (peptidoglycan teichoic acid transferase) (Cps2a) (PDB:2XXP) (PUBMED:29107701)</t>
  </si>
  <si>
    <t>KEGG Orthology (KO)&gt;&gt;&gt;09100 Metabolism&gt;&gt;&gt;09107 Glycan biosynthesis and metabolism&gt;&gt;&gt;00572 Arabinogalactan biosynthesis - Mycobacterium [PATH:ko00572]</t>
  </si>
  <si>
    <t>MSDDRPTSQRRTRAIQAPPSVDAAVRQTGPKGVRAVLAFLAVVVLALSGFGYSVFGSVTNT---AHDLSLGGGKGSKFGHAADGALDILLVGIDSRTDAQGNPLSPQEIEILRAGDEENENTDTLMVIRVPNDGSSATAISIPRDTYIHDDEFGNMKINGVYGAHKSDKKAELFDSGLTDETKLENQSKQAGRQALISAISDLTGITVDRYAEVGLLGFVLLTDAVGGVDVCLNEAVNDEFSGANFPAGRQRLNGPDALSFVRQRHGLPRGDLDRIVRQQAYMASLVNSVLSTNTLSNPSKLNELGDAARRSLTIDSDWDIMGLATQLSNLAGGNVQFNTIPVTSIDGVGDYGESVVTVDSDQVHEFFRDLLGPKENAEQKNDKNNKGNKEDTPADPILGLDVHVLNASTTTGMASRIGTALQKKGYQIGDIGNAPAGLYAETQVLTADADDPLVKDLARTLGNVPIVVTGSLEKGEAVVVAAADYNGPIANDQKVANSEEFQAVDDSATDGSAGSGTVAGIPGTEEEIVSPTISAGGDGPRCVN</t>
  </si>
  <si>
    <t>----MADKYRRGRDIKAAPTQTVNLRQKGPAPVRGLLIFLSVLVLGLSGAGYYVAGNTFSK-----GPTIGGD-KSTFGQAADGATDILLVGSDSRSDAEGNALTPDEINMLRAGDEENDNTDTIMVIRIPNDGSSATAVSIPRDTYIHDAKNGNMKINGVYGTYKNERKAELSQKGGIEGAKLEEESKNAGRKALMDTVSNLSGIKIEHYAEVGLLGFVLLTDAVGGVDVCLNEAVDDEFSGAKFKAGRQTLNG</t>
  </si>
  <si>
    <t>----MADKYRRGRDIKAAPTQTVNLRQKGPAPVLGLLIFLSVLVLGLSGAGYYVAGNTFSK-----GPTIGGD-KSTFGQAADGATDILLVGSDSRSDAEGNALTPDEINMLRAGDEENDNTDTIMVIRIPNDGSSATAVSIPRDTYIHDAKNGNMKINGVYGTYKNEKKAELSQKGGIEGAKLEKESKEAGQRALMDTVSNLSGIKIEHYAEVGLLGFVLLTDAVGGVDVCLNEAVDDEFSGAKFKAGRQTLNG</t>
  </si>
  <si>
    <t>----MGSKTRRNRPIRTPSSYGPDTLQQGHTAVKALVSFMSALVLVVSGVGYFAIGRVQSNIASAGSLDLGAA---GLTDALDGAIDILMVGNDSRSDAQGNPLTPQEIELLHAGDEEADNTDTIMVIRIPNDGKSATAISIPRDTYIHDEVAGNTKINGVYSAYKAEEKERLLQSGQQDGPELEEKAKDAGRKGLIKAIHELSGITVDHYAEVGLLGFVLLTDAVGGVEVCLKEATKDEFSGANFPAGKQTLTG</t>
  </si>
  <si>
    <t>----MGSKTRRNRPIRTPSSYGPDTLQQGHTAVKALVSFMSALVLIVSGVGYFAIGRVQSNIASAGSLDLGAA---GLTDALDGAIDILMVGNDSRSDAQGNPLTPQEIELLHAGDEEADNTDTIMVIRIPNDGKSATAISIPRDTYIHDEVAGNTKINGVYSAYKAEEKERLLQSGQQDGPELEEKAKDAGRKGLIKAIHELSGITVDHYAEVGLLGFVLLTDAVGGVEVCLKEATKDEFSGADFPAGKQTLTG</t>
  </si>
  <si>
    <t>GC_00000033</t>
  </si>
  <si>
    <t>MYFGFSPELNAAIDAGLAKYGPLELAKRFMFHYMRENGVTYGDAWQCVIDLSESSFEDPAYIRKVEQFYAKYAKIMDEESAATVEENIRCSAKNDVLSSIVNGSEFPISRLPYGICNTAKGLCWDEERIQDNFAELDNETGIPDFHPPAITFSTPIASLADARKAVAARKDLDRPLTLLDTWGFESPTQFLVVAILSQDYS-AWEHLVPNQPFYNCIVDKTDGAVYTTDMKNAEVFKHFGEDGMRVVSMTGGDKVLWHEWSRTMLETLPPYPGENWF-</t>
  </si>
  <si>
    <t>MYFGFSPELNAAIDAGVAKYGPLELAKRFMFHYMRENGVTYGDAWQCVIELSESSCEDPTYIRKVEQFYAKYAEIIDEDSADTVEEYIRCSVKNDILSSIVDGSECPISQLPYGICDNVKGLCWDEERIQDSFAELDNETGIPDFHPPAITFSTPIKSLDDARKAVAARKDLDRPLTLFDTWGFESPTQFLVVAILFQDQP-AREYTVPNQPPYNCIVDKTDGAVYTTDMKNAEVFKHFGEDGMRVVSMTGRDKVLWHEWSCTMLETLPTYPGESY--</t>
  </si>
  <si>
    <t>MYFGFSPELNAAIDAGAAKYGPLELSKRFLFHYMRENGVTYGDAWQCVMDLSESFSEDSAYIRKVEQISAKYAEIIDEDSAATIDEDIRITAKHHATRGILYGVGDPISQLPHNACYSVKGFCWDEERIQDSFAELDRETGMPDFRPPAVTFSTPIVSLDDARKAVAARKDLDRPLVLFDTWGFESPTQFLVVAILFQDWP-I--------PPYNCIVDKKDGAVYTTDEKNAQVFKHFGEDGIRVVSMTGKDKVLWHEWSRTMLETLPPYPGEGY--</t>
  </si>
  <si>
    <t>MYFGFSPELNAAIDAGLAKYGPVELAKRFMFHYMRENGVTYGDAWQCVIELSESSFEDPVYIRKVEQFYAKYAKIMDEESAATVEEDIRCSAKNNVLSSIVNGSEFPISELPYNAICSVQGLCWDEERIQNSFAELDNETGIPDFYPPAITFSTPIASLDDARKAVAARKDLDRPLTLLDTWGFESPTQFLVVAILFQDWP-I--------PPYNCIVDKTDGKVYTTDMKNAEVFKHFGEDGMRVVSMTGRDKVLWHEWSRTMLETLPPYPGESY--</t>
  </si>
  <si>
    <t>MYSGFSPELNAAIEAGVAKYGPLELSKRFLFHYMRENGVTYGDAWQCVMELSESSFEDPVYFRKVEQIYAKYAKIVDEDSAGTEEESIRCFTKNDVLISVLYSSEYPISQLPYDICDNVKGLCWDEERIQDSFAELDNETGIPDFHPPAITFSTPIKSLDDARKAVAARKDLDRPLTLLDTWGFESPTQFLVVAILFQDWP-I--------PPYNCIVDKTDGKVYTTDMKNAEVFKHFGEDGIRVVSMTGKDKVLWHEWSRTMLETLPPYPGENWLT</t>
  </si>
  <si>
    <t>MYFGFSPELNAAIDAGVTKYGPLELTKRFLFHYMRENGVTYGDAWQCVMDLSESFSEDSAYIRKVEQISAKYAEIIDEDSAATIDEDIRITAKHHATRGILYGVGDPISQLPHNACYSVKGFCWDEERIQNSFAELDNETGIPDFHPPAITFSTPIVSLGDARKAVASRRDLDRPLALCDTWGFESPTQFLVVAILFQDWP-I--------PPYNCIVDKTDGMVYTTDEKNAEVFKHFGEDGIRVVSMTGKDKVLWHEWSRTMLETLPPYPGESY--</t>
  </si>
  <si>
    <t>MRVGFPSELNAAIDAGVAKYGPVELAKRFMFHYMRKNGVTYGDAWQCVIELSESSFEDPTYIRKVEQFYAKYAEIMDEESAATVEEDIRFTAKNDVLSSIVNGSEFPISQLPYGICNTAKGFCWDYERIQNSFAELDHETGIPDFHPPVITFSTPIASLDDARKAVAARKDLDRPLALFDTWGFESPTQFLVVAIPFQDYSGTGEYTVPNQPFYNCIVDKTDGKAYTTDLKNTDIFAHFGKNGVRVVSMTGKDKVLWHEWSRMMLEMLPPYPGESY--</t>
  </si>
  <si>
    <t>GC_00000034</t>
  </si>
  <si>
    <t>PF06737.19</t>
  </si>
  <si>
    <t>Transglycosylase-like domain</t>
  </si>
  <si>
    <t>K21687</t>
  </si>
  <si>
    <t>resuscitation-promoting factor RpfA</t>
  </si>
  <si>
    <t>COG1652</t>
  </si>
  <si>
    <t>Cytoplasmic potassium-binding protein Kbp/XkdP/YgaU, contains LysM domain (XkdP) (PDB:5FIM) (PUBMED:27112601)</t>
  </si>
  <si>
    <t>KEGG Orthology (KO)&gt;&gt;&gt;09190 Not Included in Pathway or Brite&gt;&gt;&gt;09191 Unclassified: metabolism&gt;&gt;&gt;99986 Glycan metabolism</t>
  </si>
  <si>
    <t>MARHAAKNSSVATKLAATTVALGTAATILAPNASAAPDSDWDRLAQCEAGGNWQINTGNGYHGGLQFSPSTWRAYGGGQFAPFAFQATREQQIAIAEKVLAGQGWGAWPSCSARLGLSSAPTLRDVQAAPA---------------------------------------------------------------------------------------------------------------VQAVERAVERAVEASSETSSLPSDALFKQLQDAFNRAGIQMPAFITSYYNANRSEFNNFYNANRGTIEALLANN</t>
  </si>
  <si>
    <t>MARHAAATKSTFAKLAASTVALGTAATIMSPTASAAPDSDWDRLAQCEAGGNWSINTGNGFHGGLQFSPSTWNAYGGNRYAPNAYQATREQQIAVAEKVLAGQGWGAWPSCSRKLGLSAGATPRD-EAQPA-----------------------------------------------------------------------------------------------------------------ASTPAAPQNNTSDSAAV----DSLYDAISSAFSSRGMEVPSQVTALYNANRHDFNNFYNANRGTIDAMLAH-</t>
  </si>
  <si>
    <t>MARHAAATKSTFAKLAASTVALGTAATIMSPTASAAPDSDWDRLAQCEAGGNWSINTGNGFHGGLQFSPSTWNAYGGNRYAPNAYQATREQQIAVAEKVLAGQGWGAWPSCSRKLGLSAGATPRD-EAHPDKPADQGKPADQNKPADQGKPTDQGKPADQG------------------------KPADQGKPANQGKPTDQGKPADQNKPADQGKPANQGKPTDQGKPADQNKPADQDKQPAKPAEPSKPQEGDDTTQTTQDQDTSPDNTLSSALSSRGMEVSDQAAAPYNANLHD---FHHSNGAAIDAMLSH-</t>
  </si>
  <si>
    <t>MARHAAATKSTFAKLAASTVALGTAATIMSPTASAAPDSDWDRLAQCEAGGNWSINTGNGFHGGLQFSPSTWNAYGGNRYAPNAYQATREQQIAVAEKVLAGQGWGAWPSCSRKLGLSAGATPRD-EAQPA-----------------------------------------------------------------------------------------------------------------ASTPAAPQNNTSDSAAV----DSLYDAISSAFSSRGMEVPSQVTALYNANRHDFNNFYNANRGTIDAMLAR-</t>
  </si>
  <si>
    <t>MARHAAATKSTFAKLAASTVALGTAATIMSPTASAAPDSDWDRLAQCEAGGNWSINTGNGFHGGLQFSPSTWNAYGGNRYAPNAYQATREQQIAVAEKVLAGQGWGAWPSCSRKLGLSAGATPRD-EAHPDKPADQGKPADQNKPADQGKPTDQGKPADQGKPADQGKPANQGKPTDQGKPADQNKPADQGKPANQGKPTDQGKPADQNKPADQGKPANQGKPTDQGKPADQNKPADQDKQPAKPAEPSKPQEGDDTTQTTQDQDTSPDNTLSSALSSRGMEVSDQAAAPYNANLHD---FHHSNGAAIDAMLSH-</t>
  </si>
  <si>
    <t>MARHARKTASKFAKFAASTVAVGTASAIFSPAAHAAPDSDWDRLAQCESGGNWAINTGNGFHGGLQFTASTWNAHGGQQYAPYAYQASREQQITVAERVLASQGWGAWPACSAKLGLNSAPTPRDTVSNAP-------------------------------------------------------------------------------------------------------------SPVQQAVENAIANAQNDAQANTLASDAVYGLVKDRLASYGIQVPGEVHAFYTANRGDFNAFYTANRQIIDTAVRG-</t>
  </si>
  <si>
    <t>MARHARKTASKFAKFAASTVAVGTASAIFSPAAHAAPDSDWDRLAQCESGGNWAINTGNGFHGGLQFTASTWNAHGGQQYAPYAYQASREQQIAVAERVLASQGWGAWPACSAKLGLNSAPTPRDTVSNAP-------------------------------------------------------------------------------------------------------------SPVQQAVENAIANAQNDAQANTLASDAIYGLVKDRLASYGIQVPGEVHAFYTANRGDFNAFYTANRQIIDTAVRG-</t>
  </si>
  <si>
    <t>GC_00000035</t>
  </si>
  <si>
    <t>MKKTSRIATACVAGALATGMLTVPASAQSAYMEPTASSQVVGDAVVGSATLPWRVLTPLTNGTPLEYPVDTATFFSAMPFMIAASLFSKQCHLSDVRGCHP----</t>
  </si>
  <si>
    <t>MKMRSRIATACIAGVLATGLATAPAHAQG--VEPSGSSQAIGDALVGSAELPFRAILPLVQGSSLESPAKAVATLSLIPVSLIASLFSKQCHLGDTRGCVAQAQR</t>
  </si>
  <si>
    <t>MKKTSRFAAACVAGALATGLAVAPASAQD--FAPSSSSQAIGDALVNSTEPLFRLV-PLFNGTPLQAPADGVAVVQ-----------------------------</t>
  </si>
  <si>
    <t>GC_00000036</t>
  </si>
  <si>
    <t>PF04072.20</t>
  </si>
  <si>
    <t>Leucine carboxyl methyltransferase</t>
  </si>
  <si>
    <t>Q</t>
  </si>
  <si>
    <t>Secondary metabolites biosynthesis, transport and catabolism</t>
  </si>
  <si>
    <t>COG3315</t>
  </si>
  <si>
    <t>O-Methyltransferase involved in polyketide biosynthesis (YktD) (PDB:1RJD)</t>
  </si>
  <si>
    <t>MDNVSQTLFYPLLGRALASRQWPDLFPDPWARQAEEIARKEGTTAKAMEGFPTIIYGLRHRISVLEITRYLDEHPGAAVVNIGCGLDSLAQDLGGYDCTIYNLDFPDVIDMRARWIPRAENEKELPYSATDLEWIDHVDASRGVIAVAAGVFFYLDIDDVRALVTAMAERFPGGRLTYDAESPSMTERSERMVAKNGTPTPMPFKLKDPYTPRTWSDNIADVHVTFNFLDYFPRSLRRQLPLFTFRFGMFMIKLVRGMYQVTIDFKG</t>
  </si>
  <si>
    <t>MDNVSQTLFYPLFGRAQASDRWPELFPDPWAHKAMEIATQEGTTAQPMDGFPELVYGLRHMILVQEARAYLETHPGAAVVNIGCGLDMLAEDLSGHECTIYNLDFPDVIELRHRWVPKADNEIDLPYSATNHEWLSKVDASRGVIALAGGVFFYFQVADVSSLIDAFGTAFPGGRMVYDAESPDATKRSERMLEKKGTPAEMPFKVKDPYSPRKWSTTVTNVTVEFSFLNRLAPKLRSQLPM-SYRLIFLMLKWNKGMYFVRVDF--</t>
  </si>
  <si>
    <t>MEDVSQTLFYPLLGRAKAASQWPDLFPDPWATQAAHIAAAEKTPAQPLGTFPTLCYGLRHLFTVREITQYLDTHPGAAVVNIGCGLDVLSEDLAGYDCTIYNLDFPDVIDMRHRWVPKADNEIDLPYSATDHEWLTKVSGEKGIIAVAPGVFYYLPIPEVAALVDAFGQAFPGGRLVYETESPMVMRGSEKQIARHGTPASMPFKVKDPYTPQDWSDAVRDYHVTFNFLDYLTDEQRKQIPS-QYRILFGFFERIRGIYVVNMGF--</t>
  </si>
  <si>
    <t>MDNVSQTLFYPLFGRAQASDRWPELFPDPWAHKAMEIAAQEGTTAQPMDGFPELVYGLRHMILVQEARAYLETHPGAAVVNIGCGLDMLAEDLSGHECTIYNLDLPDVIELRHRWVPKADNEIDLPYSATNHEWLSKVDASRGVIALAGGVFFYFQVADVSSLIDAFGTAFPGGRMVYDAESPDATKRSERMLEKKGTPAEMPFKVKDPYSPRKWSTTVTNVTVEFSFLDRLAPKLRSQLPM-SYRLIFLMLKWNKGMYFVRVDF--</t>
  </si>
  <si>
    <t>MEDVSQTLFYPLLGRAKAASQWPDLFPDPWATQAAHIAAAEKTPAQPLGTFPTLCYGLRHLFTIREITQYLDTHPGAAVVNIGCGLDVLSEDLAGYDCTIYNLDFPDVIDMRHRWVPKADNEIDLPYSATDHEWLTKVSGDKGVIAVAPGVFYYLPIPEVAALVDAFGQAFPGGRLVYETESPMVMRGSEKQIARHGTPASMPFKVKDPYTPQDWSDAVRDYHVTFNFLDYLTDEQRKQIPS-QYRILFGFFERIRGIYVVNMGF--</t>
  </si>
  <si>
    <t>GC_00000037</t>
  </si>
  <si>
    <t>PF00209.24</t>
  </si>
  <si>
    <t>Sodium:neurotransmitter symporter family</t>
  </si>
  <si>
    <t>K03308</t>
  </si>
  <si>
    <t>neurotransmitter:Na+ symporter, NSS family</t>
  </si>
  <si>
    <t>COG0733</t>
  </si>
  <si>
    <t>Na+-dependent transporter, SNF family (YocR) (PDB:2A65)</t>
  </si>
  <si>
    <t>KEGG Orthology (KO)&gt;&gt;&gt;09190 Not Included in Pathway or Brite&gt;&gt;&gt;09193 Unclassified: signaling and cellular processes&gt;&gt;&gt;99977 Transport</t>
  </si>
  <si>
    <t>MAAQEVSSPERREVFSSRMAFLLAAIGSAVGLGNIWRFPYVAYESGGGAFLVPYLLALLTAGIPLLFLDYALGHRYRGAAPLAFRRIKSWAEPVGWIQTGICFFITIYYAAIIAWAALYTVKSLNKAWGEVPQDYFFKSFLRMDDSQTFSTSIVPQIAVALAIVWIVAILVLAMGVDSGIGRASKIFMPILTVLFLIVVIAALFLPGAGTGLDALFTPRWEALKDPSIWVAAYGQIFFSLSVGFGIMLTYSSYLKPRTNLTGTGLVTGFANSSFELLAGIGVFAALGFMANQQNVAVDEVVSSGIGLAFIAFPTIINNMPMGAIFGTLFFGSLTIAGFTSLFSLLEVVVSGVKDKLNLERKTAAIGVGVAMALLSLALFSTTSGLVTLDIMDKFTNNVGIVAIALISIVVIDWILRRIDELALHLNAVSSFKVGTIWRICVVNVTTIVLGYTLLQELISLIKEPYGGYSHTQVLLYGWGVLAVVVLGSFMISVMPWKGNQPLQGPPGSDFGV----DPNSLELSVERPQKYVPDNG-DAVPATKEA--------</t>
  </si>
  <si>
    <t>-----MSQAPARATWTGRSMFLFAAIGSAIGLGNIWRFPYIAYDNGGGAFLLPYVVALITAGVPVLVLDYVLGHRFRGSAPLVWRRISARTEAIGWVQTIITYIIAVYYAVILAWSTIYTWFSLKLAWGEDPEAFFVGDFLHADNESINSTTVVWPIAITLAVIWVLIVAVMALGIRKGTGMLSSVFVPTLIVLFLILVGRSLFLPGAGEGLEAFFTPRWSALADPTVWMAAYGQIFYSLAIAFGIMMTQASYLK</t>
  </si>
  <si>
    <t>---MADQTSPRREVFSTRIAFLLAAIGSAVGLGNIWRFPYVAYDNGGGAFLVPYMIALLTAGIPLLFLDYSLGHRFRGSAPLVFRRIRSWAEPVGWIQVGIAFFITIYYAAIIGWAGLYTVKSFNKAWGDMPEDYFMKDFLQADTSQTVSTEIVPQIAIALALVWVLAIIVMAMGVDEGIGKISKVFMPLLTVLFIIVVIQALFLDGAAEGLNAFFTPNWDALRNPTVWVAAYGQIFFSLSVGFGIMLTYSSYLK</t>
  </si>
  <si>
    <t>-MTQEAAPTQRREVFSTRWVFVLAAIGSAVGLGNIWRFPYVAFENGGGAFLIPYLIALLTAGIPLLFLDYAMGHRYRGSAPLIFRRFKKWSEPAGWIQVGICFFITIYYAAIIAWAALYTIKSITLAWGDQPEQYFQKEFLHQDATHVLSTEFVWPIFIALAVVWIASIIVLAMGVDSGIGKASKIFMPILTVLFVIVVIRALFLEGSADGLNAFFTPNWSALSNPSVWVAAYGQIFYSLSVSFGIMMTYASYLK</t>
  </si>
  <si>
    <t>GC_00000038</t>
  </si>
  <si>
    <t>PF10502.14</t>
  </si>
  <si>
    <t xml:space="preserve">Signal peptidase, peptidase S26 </t>
  </si>
  <si>
    <t>U</t>
  </si>
  <si>
    <t>Intracellular trafficking, secretion, and vesicular transport</t>
  </si>
  <si>
    <t>K03100</t>
  </si>
  <si>
    <t>signal peptidase I [EC:3.4.21.89]</t>
  </si>
  <si>
    <t>COG0681</t>
  </si>
  <si>
    <t>Signal peptidase I (LepB) (PDB:1B12) (PUBMED:1925027)</t>
  </si>
  <si>
    <t>ko00001|ko01000|ko01002</t>
  </si>
  <si>
    <t>KEGG Orthology (KO)&gt;&gt;&gt;09120 Genetic Information Processing&gt;&gt;&gt;09123 Folding, sorting and degradation&gt;&gt;&gt;03060 Protein export [PATH:ko03060]|Enzymes&gt;&gt;&gt;3. Hydrolases&gt;&gt;&gt;3.4  Acting on peptide bonds (peptidases)&gt;&gt;&gt;3.4.21  Serine endopeptidases&gt;&gt;&gt;3.4.21.89  signal peptidase I|Peptidases and inhibitors&gt;&gt;&gt;Serine peptidases&gt;&gt;&gt;Family S26: signal peptidase I family</t>
  </si>
  <si>
    <t>U|O|U</t>
  </si>
  <si>
    <t>Intracellular trafficking, secretion, and vesicular transport|Posttranslational modification, protein turnover, chaperones|Intracellular trafficking, secretion, and vesicular transport</t>
  </si>
  <si>
    <t>COG0681|COG4959</t>
  </si>
  <si>
    <t>Signal peptidase I (LepB) (PDB:1B12) (PUBMED:1925027)|Type IV secretory pathway, protease TraF (TraF) (PDB:1B12)</t>
  </si>
  <si>
    <t>MNQQESSDNNEETTDASPSHAVETSEETGAKSGRKSARNREKPRDKTAEKPEKKPTPWYIEIPVVILITVIFMSLLQTFVGRLYLIPSSSMEPTLHGCTGCVGDRIVVEKITYRFSDPKPGDVIVFEGTPSWNASFVPHYATNPIMRGLETVGTWLGFAAPGENNLVKRVIATGGQTVQCLQGDPGIMVNGKKVDDSYILNPPQNPIDHRVGSDACGGNYFGPITVPQGRLFMMGDNRTNSSDSRYHLGDEYQGTIPLENVKGKVQWIILPFNHIGSVADPNIQG</t>
  </si>
  <si>
    <t>MNQQESSDNNEETTDASPSHAVETSEETGAKSGRKSARNREKPRDKTAEKPEKKPTPWYIEIPVVILITVIFMSLLQTFVGRLYLIPSSSMEPTLHGCTGCVGDRIVVEKITYRFSDPKPGDVIVFEGTPSWNASFVPHYATNPIMRGLETVGTWLGFAAP-----------------------------------------------------------------------------------------------------GRITWS---------------NG</t>
  </si>
  <si>
    <t>GC_00000039</t>
  </si>
  <si>
    <t>PF08719.17</t>
  </si>
  <si>
    <t>NADAR domain</t>
  </si>
  <si>
    <t>H|V</t>
  </si>
  <si>
    <t>Coenzyme transport and metabolism|Defense mechanisms</t>
  </si>
  <si>
    <t>K09935</t>
  </si>
  <si>
    <t>N-glycosidase YbiA [EC:3.2.2.-]</t>
  </si>
  <si>
    <t>COG3236</t>
  </si>
  <si>
    <t>N-glycosidase YbiA/RibX (riboflavin biosynthesis, damage control), NADAR superfamily (RibX) (PDB:2B3W) (PUBMED:22399070;25431972)</t>
  </si>
  <si>
    <t>KEGG Orthology (KO)&gt;&gt;&gt;09190 Not Included in Pathway or Brite&gt;&gt;&gt;09191 Unclassified: metabolism&gt;&gt;&gt;99980 Enzymes with EC numbers</t>
  </si>
  <si>
    <t>MDTHPHEIRFYSTNDDYGYMSNFAAYSFELDGTTWPTSEHYFQAMKFNDATIQKNIRRLASPMLAARAGWDRKKPLCKDWESVKERIMYDAVLAKFTQNPDIAAELIATGNAILIEHTTKDSYWADGGDGSGKNRLGVILMRVRGELTHADGTR</t>
  </si>
  <si>
    <t>----MDTIYFYTANDPYGELSNFARYGFYKDDVYWRTAEHYFQAQKFEDEKLREKIRRTPSPLKAAGIGRDRSNPLRADWEEVKDDVMYTAVLAKFQHNKDLAELLLATGDAMLVEHTGKDAYWGDGGDGSGVNRLGGILMRVREELSSP----</t>
  </si>
  <si>
    <t>MDTHPHEIRFYSTNDDYGYMSNFAAYSFELDGTTWPTSEHYFQAMKFNDATIQKNIRRLASPMLAARAGWDRKKPLRKDWESVKERIMYDAVLAKFTQNPDIAAELIATGNAILIEHTTKDSYWADGGDGSGKNRLGVILMRVRGELTHADGTR</t>
  </si>
  <si>
    <t>----MDTIYFYTANDPYGELSNFARYGFYKDDVYWRTAEHYFQAQKFEDEKLREKIRRTPSPLKAAVIGRNRSNPLRADWEEVKDDVMYTAVLAKFQHNKDLAELLLATGDAMLVEHTGKDAYWGDGGDGSGLNRLGGILMRVREELAAL----</t>
  </si>
  <si>
    <t>----MNEIRFYRAHDDYGFLSNFAAYPFELDGKRWPTSEHYFQAMKFLNPETQNLIRSLDTPGRAAKVGR-REKPLRKDWESVKDQVMFDAVLAKFTQNPDIARKLLSTGDAYLIEHTKNDSYWADGGDGSGKNRLGEVLMAVRDSLRA-----</t>
  </si>
  <si>
    <t>GC_00000040</t>
  </si>
  <si>
    <t>PF03136.20</t>
  </si>
  <si>
    <t>Pup-ligase protein</t>
  </si>
  <si>
    <t>K20814</t>
  </si>
  <si>
    <t>Pup amidohydrolase [EC:3.5.1.119]</t>
  </si>
  <si>
    <t>COG1222</t>
  </si>
  <si>
    <t>ATP-dependent 26S proteasome regulatory subunit (RPT1) (PDB:5EQT)</t>
  </si>
  <si>
    <t>ko01000|ko03051</t>
  </si>
  <si>
    <t>Enzymes&gt;&gt;&gt;3. Hydrolases&gt;&gt;&gt;3.5  Acting on carbon-nitrogen bonds, other than peptide bonds&gt;&gt;&gt;3.5.1  In linear amides&gt;&gt;&gt;3.5.1.119  Pup amidohydrolase|Proteasome&gt;&gt;&gt;Prokaryotic proteasome&gt;&gt;&gt;Bacterial regulatory particles</t>
  </si>
  <si>
    <t>MVGFIGTETEYGIATPTDPYASPIATSTHAIVAYSLKHQHARTRWDFASESPLRDTRGFDLRRYHSAPVIDPHALGVANLVLTNGARFYVDHAHPEYSAPETTNAFDAMLYDAAGDRIMHDAVREVAAHSERNHSVLEGHPPCPPLKIYKNNVDGKGASYGTHENYCYDRNAVEFDDLAASLIPFFVCRQVVIGAGRVGLGERSQEAGFQISQRADYIETTVSLETTLNRGIINTRDEPHGDPEAIGRLHVIIGDANMSQVSNVLKLGMTKLVLSAIEQGARFDDVALADPVAAVKVVSRDLDCRASLELADGRRLTALEILAVYRDRVEQTLGETLDVHDRRVLDLWDEVC-AKLAVDPLSTSDMLDWTAKLALIRRYVDRGLAMDDPKVALIDLQYSDIDESKGLYYALVRKGLMRTLVTADDIARAMAEPPADTRAWIRGTVLRCFGDAVVAAN----WDNVVVDVSRLKGSSSGDDAAGVDAVEKTVSLTSLCCGTRAEV--MGE-TPTD-DSTALSERAADWIRQRAV-</t>
  </si>
  <si>
    <t>MPRFMGTETEYGISTPTDPMLSPIITSTHAVVAFAGKDR--RAQWDFGPESPLKDSRGFDLRRYHTVPTIDPDALGVANVMTANGSRFYVDHAHPEYSAPETTNAFDAMLYDAAGDVVLNQAVAAVATQTAAGRSVLKDHDPCPPLKIYKNNVDGKGASYGAHENYMYSRGT-DFEVLAQALIPFFVARQVITGAGRVGIGPAGQTPGFQISQRADYIEQEISLETTLNRGIINTRDEPHTDAERWGRLHVIIGDANMSHTAMVLKLGMTSLVLDSIESGTNFTDLRLVDPVGDVRRVSRDLQCTARLTLVDGRELTAIDILRAYRDRVSASS-----DVDEQVLRLWDEVM-DLLADDPLSTSHLLDWTAKYALLNSYANRGVSWDDPKMALIDLQYSDIDPAKSLYHALVRKNRMRTLVSAEQIAQAAAHPPADSRAFFRGHMMTRFRDRIAAAN----WDSIVVELA--------------DGSLVRILMTNLGGLTKQQVAAMCD-TATTVDDLVAALRSAGLTEFEPVT</t>
  </si>
  <si>
    <t>--MIFGTETEYGISTPTHPTLSPIITSTHAVVAFSQGQG---ARWDFSAEHPLRDSRGFDLKRYRTVPVVDPNALNIANVVLENGGRFYVDHAHPEYSSPETTNPYQALVYDAAGDHILRTAVERVAAFTSRNHSILDHHDPCPPLKIYKNNVDGKGASYGSHENYLYHRTT-DFDTLAQALIPFFVARQIICGAGRVGKGEHGETPGYQISQRADYIEQEISLETTLNRGIINTRDEPHARTNTYGRLHVINGD</t>
  </si>
  <si>
    <t>--MIFGTETEYGISTPTHPTLSPIITSTHAVVAFSQGQG---ARWDFSAEHPLRDSRGFDLKRYRTVPVVDPNALNIANVVLENGGRFYVDHAHPEYSSPETTNPYQALVYDAAGDHILRTAVERVAAFTSRNHSILDHHDPCPPLKIYKNNVDGKGASYGSHENYLYHRTT-DFDTLAQALIPFFVARQIICGAGRVGKGEHGETPGYQISQRADYIEQEISLETTLNRGIINTRDEPHARTTTYGRLHVINGD</t>
  </si>
  <si>
    <t>GC_00000041</t>
  </si>
  <si>
    <t>PF01425.27</t>
  </si>
  <si>
    <t>Amidase</t>
  </si>
  <si>
    <t>K02433</t>
  </si>
  <si>
    <t>aspartyl-tRNA(Asn)/glutamyl-tRNA(Gln) amidotransferase subunit A [EC:6.3.5.6 6.3.5.7]</t>
  </si>
  <si>
    <t>COG0154</t>
  </si>
  <si>
    <t>Asp-tRNAAsn/Glu-tRNAGln amidotransferase A subunit or related amidase (GatA) (PDB:3H0L)</t>
  </si>
  <si>
    <t>Aminoacyl-tRNA synthetases</t>
  </si>
  <si>
    <t>ko00001|ko00001|ko00001|ko00001|ko00001|ko01000</t>
  </si>
  <si>
    <t>KEGG Orthology (KO)&gt;&gt;&gt;09100 Metabolism&gt;&gt;&gt;09105 Amino acid metabolism&gt;&gt;&gt;00330 Arginine and proline metabolism [PATH:ko00330]|KEGG Orthology (KO)&gt;&gt;&gt;09100 Metabolism&gt;&gt;&gt;09105 Amino acid metabolism&gt;&gt;&gt;00360 Phenylalanine metabolism [PATH:ko00360]|KEGG Orthology (KO)&gt;&gt;&gt;09100 Metabolism&gt;&gt;&gt;09105 Amino acid metabolism&gt;&gt;&gt;00380 Tryptophan metabolism [PATH:ko00380]|KEGG Orthology (KO)&gt;&gt;&gt;09100 Metabolism&gt;&gt;&gt;09111 Xenobiotics biodegradation and metabolism&gt;&gt;&gt;00627 Aminobenzoate degradation [PATH:ko00627]|KEGG Orthology (KO)&gt;&gt;&gt;09100 Metabolism&gt;&gt;&gt;09111 Xenobiotics biodegradation and metabolism&gt;&gt;&gt;00643 Styrene degradation [PATH:ko00643]|Enzymes&gt;&gt;&gt;3. Hydrolases&gt;&gt;&gt;3.5  Acting on carbon-nitrogen bonds, other than peptide bonds&gt;&gt;&gt;3.5.1  In linear amides&gt;&gt;&gt;3.5.1.4  amidase</t>
  </si>
  <si>
    <t>MTESTYL-ASQSPSELTRMTAAELADKIHSREVSSVEVTQAHLDRIDAVDSDLHAFLHVGAEAALEAASRVDATLDAGEAPASPLAGVPLALKDVFTTTDAPTTCASKILEGYVAPYDATVTRKIREAGIPILGKTNMDEFAMGSSTENSAYGPTHNPWDVERTAGGSGGGSSAALAAGEAPLAIGTDTGGSIRQPAALTNTVGVKPTYGTVSRYGLVACASSLDQGGPTARTVLDTALLHEVIAGHDPFDATSVNKPVAPVVAAAREGANGDLKGVRVGVVKQFDREGYQPGVLEQFHKAVDQLTSQGAEVVEVDCPHFDDALAAYYLILPCEVSSNLARFDGMRYGQRVGDDGTRSAEEVMAMTRAAGFGPEVKRRIILGTYALSVGYYDAYYLQAQRVRTLIAQDFAAAYEKCDVLVSPTTPTTAFKLGEKVSDPLAMYNFDLCTLPLNLAGLCGMSVPAGLASDTGLPVGLQIMAPAFADDRLYKVGAAFEAGQN</t>
  </si>
  <si>
    <t>MSENKYLVGAEGASELTAMTAAELAEKIHSREVSSVEVTQAHLDRIADVDGDIHAFLHVGAEEALDAARAVDESLAAGEAPASALAGVPLALKDVFTTTDAPTTCGSKMLEGYMAPYDATVTRRIREAGIPILGKTNMDEFAMGSSTENSAYGPTHNPWDVTRTAGGSGGGSSAALAAGEAPLAIGTDTGGSIRQPAALTNTVGVKPTYGTVSRYGLVACASSLDQGGPTARTVLDTALLHEVIAGSDHFDATSVDRPVAPVVEAARAGMTGDLSGVRIGVVKQFDRDGYQQGVLEQFHKAVSQLESQGATVVEVDCPHFDSALAAYYLILPCEVSSNLARFDGMRYGLRVGDDGTHSAEEVMAMTRAAGFGPEVKRRIILGTYALSVGYYDAYYLQAQRVRTLIAQDFAAAFETCDVLVSPTTPTTAFKLGEKVSDPMAMYNFDLCTLPLNLAGLSGMSVPAGLASDTGLPVGLQIMAPAFADDRLYKVGAAFEAGQH</t>
  </si>
  <si>
    <t>-MTNKYLVGAAGSSELTSMTAADLAQKIHARELSSEEVTQAHLDRIADIDGDIHAFLHVGADEALAAARQVDEQLDSGARPASPLAGVPLALKDLFTTTDAPTTCGSKILEGYMSPYDATVTKRIREAGIPILGKTNTDEFAMGSSTENSAYGPTHNPWDLERTAGGSGGGSSAALASGEAPLAIGTDTGGSIRQPAALTSTVGVKPTYGTVSRYGLVACASSLDQGGPTARTVLDTALLHEVIAGPDPYDATSV</t>
  </si>
  <si>
    <t>-MTNKYLVGAAGSSELTSMTAADLAQKIHARELSSEEVTQAHLDRIADIDGDIHAFLHVGADEALAAARQVDEQLDSGARPASPLAGVPLALKDLFTTTDAPTTCGSKILEGYMSPYDATVTKRIREAGIPILGKTNTDEFAMGSSTENSAYGPTHNPWDLERTAGGSGGGSSAALASGEAPLAIGTDTGGSIRQPAALTSTVGVKPTYGTVSRYGLVACASSLDQGGPTARTVFDTALLHEVIAGPDPYDATSV</t>
  </si>
  <si>
    <t>GC_00000042</t>
  </si>
  <si>
    <t>PF13365.12</t>
  </si>
  <si>
    <t>Trypsin-like peptidase domain</t>
  </si>
  <si>
    <t>K03558</t>
  </si>
  <si>
    <t>membrane protein required for colicin V production</t>
  </si>
  <si>
    <t>COG0265</t>
  </si>
  <si>
    <t>Periplasmic serine protease, S1-C subfamily, contain C-terminal PDZ domain (DegQ) (PDB:2HGA) (PUBMED:29686141)</t>
  </si>
  <si>
    <t>KEGG Orthology (KO)&gt;&gt;&gt;09190 Not Included in Pathway or Brite&gt;&gt;&gt;09194 Poorly characterized&gt;&gt;&gt;99996 General function prediction only</t>
  </si>
  <si>
    <t>-MLSSGQFALVDAAIALLLLYAVFNGWRQGAVASVLSTVGLLAGLICGVGLAPAVMSLTDATAIRLLLACGTIIMLVGLGNLIGGLAGASLRDNMRMKRSLKIDSAVGAVFQVCAVLIVTWLVAIPIAGASLGRLSTDVRRSAVLGVVDRYAPQSWAQWPTRLSAMLSDTGLPPLVSPFESTESKEVAAPKVKVDDVALVERLRPSVIHVVADADQCRRRLLGSGFVSGPDEVITNAHVVAGSAAVRLDTVLGMK</t>
  </si>
  <si>
    <t>--MTHNPGVLTDGLLVIALLLALWGGWRQGAFASVLSTIGVVFGLICGAGLAPKIMGLTDSTALRFLLGLGTVVLLVGMGNLVGGLLGAGVRDNMRLKSAQRIDSTIGAVFQALATLIVAWLVAIPLATGGTSAVAQGVRQSHILGFVDNFTPSFMGQLPAKISAMLNESGLPPLISPFEDHVTREVEAPAIKVDNVALVEQLRPSVIHILGDAQQCRRRLMGSGFVAAPDMVITNAHVVAGTDTVHLDTALGVK</t>
  </si>
  <si>
    <t>MGSVSTSSLIVDGFIILVVGFAIYAGWRQGAFASVLSTIGVIAGLVCGAAFAPFVMQLTNSVAIRFLLALGIIILLVAIGSLVGGSLGSSLRERIQLRSSLIIDSVIGAVFQALAMLIATWLVAIPLVAGLPGSAANGIRNSFILGRVDAVAPSMLANLPSRVSAMLSDTGLPPLISPFSTSKNVAVDAPAIAVEDVALVERVRPSVIHVVGESQACGRRLMGSGFVADKEHVITNAHVVAGTEEVWLDTVLGTFKADVVFYDPQLDIAVLRSEELTMAPLQWASATAVTGEDAIVMGFPNSGPFEAAPARISERLKIAGPNIYATGRVEREAYTARGSIRQGNSGGPMLNLDGQ--VLGVVFGASADESDIGYALTADEVKEAIGNIAALDTPVGTQECVVR</t>
  </si>
  <si>
    <t>PF02674.22</t>
  </si>
  <si>
    <t>Colicin V production protein</t>
  </si>
  <si>
    <t>MGSVSTSSLIVDGFIILVVGFAIYAGWRQGAFASVLSTIGVIAGLVCGAAFAPFVMQLTNSVAIRFLLALGIIILLVAIGSLVGGSLGSSLRERIQLRSSLIIDSVIGAVFQALAMLIATWLVAIPLVAGLPGSAANGIRNSFILGRVDAVAPSMLANLPSRVSAMLSDTGLPPLISPFSTSKNVAVDAPAIAVEDVALVERVRPSVIHVVGESQACGRRLMGSGFVADK-----------------------------------------------------------------------------------------------------------------------------------------------------------------------------</t>
  </si>
  <si>
    <t>GC_00000043</t>
  </si>
  <si>
    <t>PF01070.24</t>
  </si>
  <si>
    <t>FMN-dependent dehydrogenase</t>
  </si>
  <si>
    <t>C|I|R</t>
  </si>
  <si>
    <t>Energy production and conversion|Lipid transport and metabolism|General function prediction only</t>
  </si>
  <si>
    <t>K00101</t>
  </si>
  <si>
    <t>L-lactate dehydrogenase (cytochrome) [EC:1.1.2.3]</t>
  </si>
  <si>
    <t>COG1304</t>
  </si>
  <si>
    <t>FMN-dependent dehydrogenase, includes L-lactate dehydrogenase and type II isopentenyl diphosphate isomerase (LldD) (PDB:6AI7)</t>
  </si>
  <si>
    <t>Isoprenoid biosynthesis</t>
  </si>
  <si>
    <t>KEGG Orthology (KO)&gt;&gt;&gt;09100 Metabolism&gt;&gt;&gt;09101 Carbohydrate metabolism&gt;&gt;&gt;00620 Pyruvate metabolism [PATH:ko00620]|Enzymes&gt;&gt;&gt;1. Oxidoreductases&gt;&gt;&gt;1.1  Acting on the CH-OH group of donors&gt;&gt;&gt;1.1.2  With a cytochrome as acceptor&gt;&gt;&gt;1.1.2.3  L-lactate dehydrogenase (cytochrome)</t>
  </si>
  <si>
    <t>MSPSRPTPPALKRRVPKYSDLAPLMQFAKPTLDFKERRLSKAANVWDLRAIAKRRTPTAPFDYVDGAAEDEISINKARRAFREIEFQPGVLRNVADADLSTTIFGREWSMPLAIAPTGFTRMMHSEGEYGGSAAAADAGIAYTLSTMGTASMEDVAAHAPEGERWFQLYLWRDRERSKELVQRAADAGFSTLVVTVDTAVAGARLRDVRNGMTIPPQLTAKTVVDAAYRPEWWFNFLTHEPLSFASLSRHSGTVASLADRMFDPTLTFDDLDWIRDLCKGNLVVKGLQTVEDARRCADHGADGLVVSNHGGRQLDRAPVPLHLLPQ-VREALPDMVLGLDTGIMSGADVLAAVAHGADFCFIGRAYLYGLMAGGKEGVDRTLEIMRDEMTRTCKLLGVNKLDELTPEHVKLNASV------------</t>
  </si>
  <si>
    <t>-------------------------------------------------------------------------------------------------------------MPLAIAPTRFTRMMHTEGECAGAIAAQHAGIPFSLSTMATTSIEEVAAAAPNGRRWFQLYLWK------------------------------------------------------------------------TSATKHTN---</t>
  </si>
  <si>
    <t>-------MAKVRRQVPHPDEIFELLKFKKPDLNLKHARLEKAQTIEDLRKIAKRRTPSAAFDYTDGAADDEISMNRARQAFKDVEFHPSILNDVTNVDTSCEIFGGPSALPFGIAPTGFTRLMQTEGELAGASAAGKAGIPFCLSTLGTTSIEDVKAANPHGRNMFQLYVMRQREISYGLVERAAKAGFDTLFFTVDTPVAGARLRDKRNGFSIPPQISLGTVLNAIPRPWWWWDFITTPTLSFASLSSTGGTVG</t>
  </si>
  <si>
    <t>-------MAKVQRQLPHPTELFDLIKFKKLDLNLKRARLSDAQTIDDLRKIAKRRTPAAAFDYTDGAADDEISMNRARQAFKDVEFHPSILNDVSNVDTSCEVFGGPSALPFGIAPTGFTRLMQTEGELAGASAAGKAGIPFCLSTLGTTSIEDVKAANPHGRNFFQLYVMRQREISYGLVKRAAEAGFDTLFFTVDTPIAGARLRDKRNGFSIPPQISLGTVANAIPRPWWWVDFLTTPTLSFASLSSTGGTVG</t>
  </si>
  <si>
    <t>GC_00000044</t>
  </si>
  <si>
    <t>PF08044.16</t>
  </si>
  <si>
    <t>DUF1707 SHOCT-like domain</t>
  </si>
  <si>
    <t>COG2314</t>
  </si>
  <si>
    <t>Uncharacterized membrane protein YozV, TM2 domain, contains pTyr (TM2) (PUBMED:27148221)</t>
  </si>
  <si>
    <t>MTSSVPPI----NPRNQDYRIGDAERQKAMDDLGKHFAAGRLDITEYDNRLTNVAEATMMSDLIPIFSDLPAITDANTPVTIPHAAGLPDEAAFTSNEIEENYRSGKRIKLGITMLMLLPFLAT--MPANTFVSGIAFSVFLATVIMLYVLKLGPKSWHQPSPRTLARQRQRQIAQAEAMKVQALQLANAQQMAQQRALRQQRQAEITDAALDVANQYIQRLRNRH-HPS</t>
  </si>
  <si>
    <t>MNQPLNPLSPQNNPSNQDYRIGDAERQKAMDDLGKHFAAGRLDITEYDNRLTNVAEATMRSDLIPIFSDLPAITDANTPVTIPHAAGLPDEVTFTSSEIEENYRSGKRIRLGITLLMFLPFFAT--FHLETLISGITFIAFLATFIMLYILKLGPKSWHQPSPRALARQRQRQIAQAQAMQVQAMELANAQQMAQQRLVRQQRQAEITNAALEVTNQYVQRLRNR--HSR</t>
  </si>
  <si>
    <t>MSQPFNPRSPQNNPRNRDYRIGDAERQKAMDDLGKHFTAGRLDITEYDNRLTNVAEAIMWSDLIPIFSDLPAITDTNTSAAIPHATGIPEEDKFSRSEIEESYRSGRRIKLGVMILTFMAAVSSTLILQDKLVAFTMMMTFLAMFVLLYVMKLGPKSWHQPSPRALARQRRRQIAQAQAMQVQAMQLAHAQQMAQQRALRQQQQAEITNAALEVTNQYVQRLRNRNRYRR</t>
  </si>
  <si>
    <t>MNQPLNPLSPQNNPSNQDYRIGDAERQKAMDDLGKHFAAGRLDITEYDNRLTNVAEATMRSDLIPIFSDLPAITDANTPVTIPHAAGLPDEVTFTSSEIEESYRSGKRIKLGIMLLMLLPCLAA--PPTNTLISGITGIAFLATFIMLYILKLGPKSWHQPSPRTLARQRQRQIAQAQAMQVQAMELANAQQMAQQRALRQQRQAEITDAALEVTNQYVQRLRNR--HSR</t>
  </si>
  <si>
    <t>MSQPFNPRSPQNNPRNRDYRIGDAERQKAMDDLGKHFTAGRLDITEYDNRLTNVAEATMRSDLIPIFSDLPAITDTNTSAAIPHATGIPEEDKFSRSEIEESYRSGRRIKLGVMILMFMAAVSSTLILQDKLVAFTMMMTFLATFVLLYVMKLGPKSWHQPSPRALARQRRRQIAQAQAMQVQAMQLAHAQQMAQQRLVRQQQQAEITNAALEVTNQYVQRLRNRNRYRR</t>
  </si>
  <si>
    <t>GC_00000045</t>
  </si>
  <si>
    <t>PF12250.14</t>
  </si>
  <si>
    <t>Arabinofuranosyltransferase N terminal</t>
  </si>
  <si>
    <t>K13686</t>
  </si>
  <si>
    <t>galactan 5-O-arabinofuranosyltransferase [EC:2.4.2.46]</t>
  </si>
  <si>
    <t>ko00001|ko01000|ko01003</t>
  </si>
  <si>
    <t>KEGG Orthology (KO)&gt;&gt;&gt;09100 Metabolism&gt;&gt;&gt;09107 Glycan biosynthesis and metabolism&gt;&gt;&gt;00572 Arabinogalactan biosynthesis - Mycobacterium [PATH:ko00572]|Enzymes&gt;&gt;&gt;2. Transferases&gt;&gt;&gt;2.4  Glycosyltransferases&gt;&gt;&gt;2.4.2  Pentosyltransferases&gt;&gt;&gt;2.4.2.46  galactan 5-O-arabinofuranosyltransferase|Glycosyltransferases&gt;&gt;&gt;Polysaccharide&gt;&gt;&gt;Bacterial polysaccharide (excluding LPS)</t>
  </si>
  <si>
    <t>--MTPSTPLRL-------------PARSVCEDYDLDRHDMPRTLLGILAAGLGAAILTLLAWKILKTTSLPAFANSEQTKALATAGAVIIVAVASGCAVLGH-----------------------------------------KRRTRPYTLFCHAVLYLSPAALVITTLGIPLSATRLYLDGINVDQGFRTQFLTWMGYTIHLSDMNYIDMPSYYPGAWFWIGGRLANLLGLAGWEVFQPWALISLATAGSILV</t>
  </si>
  <si>
    <t>MTHTATSASGSSRGHEAKLASTSGPDRGRHEAYETDIVSRGWTTLGIVAAAFGGGLFTLLCWFVLKQTHLPAFGGSYVSRAVGNAGTIAVLIVTMVLVYFWLRDEHNSGNTSAADVSESHDAHTSRNPDDARTTTSRDADVTTRKRPRWRTWLTYVVCYLSPAALVVTTIGVPLAATKLYLDGVTVDQGFRTEYLTRMTDSMQLKDMSYIDMPPYYPAGWFWLGGRFANLIGLPGWEAFQPWALVSISAAACMLVPVWQRLCGSLPVATGIALVNVCVVLVMSAEEPYAAIIALGTPAATIVAGRAVRGSVYSMAGAILFLGASASMYTLYTAAIALSVVVVAAVLAAGAHRTLMPLLHLLTVGVGSIAVAAIVWGPYVMAVYRGRPQSGATAMHYLPNEGTQIPMPMLSFSVIGALCMCGLVYLVVRAVDRDVRAMGAALVVFYGWIVASMVATLTGNTLLGFRLDALIAMQLATAGVLALAEIRLVGVAR-LYPRLVGRSRGRTVTLVMVILLGFGGLSYAQTISNRNHDAIDLAYTDTDGNGERADRFPADSGAHYAEIDRVIQKD-GYVPRETVVLTDERNFMAFYPYHGFQSFTSHYANPLGEFSMRNHVIEEWATQSWTSLADPRRFRESLDESDKQWRSPDVFIFTGDVDD---------KSKGWMYDIAEDIYPNNPNVRFRGVWFNPAVFLNNPEHWNVTQVGPFVVVTRINHGS</t>
  </si>
  <si>
    <t>MTHTATSASGSSRGHEAKLASTSGPDRGRHEAYETDIVSRGWTTLGIVAAAFGGGLFTLLCWFVLKQTHLPAFGGSYVSRAVGNAGTIAVLIVTMVLVYFWLRDEHNSGNTSAADVSESHDAHTSRNPDDARTTTSRDADVTTRKRPRWRTWLTYVVCYLSPAALVVTTIGVPLAATKLYLDGVTVDQGFRTEYLTRMTDSMQLKDMSYIDMPPYYPAGWFWLGGRFANLIGLPGWEAFQPWALVSISAAACMLVPVWQRLCGSLPVATGIALVNVCVVLVMSAEEPYAAIIALGTPAATIVAGRAVRGSVYSMAGAILFLGASASMYTLYTAAIALSVVVVAAVLAAGAHRTLMPLLHLLTVGVGSIAVAAIVWGPYVMAVYRGRPQSGATAMHYLPNEGTQIPMPMLSFSVIGALCMCGLVYLVVRAVDRDVRAMGAALVVFYGWIVASMVATLTGNTLLGFRLDALIAMQLATAGVLALAEIRLVGVAR-LYPRLVGRSRGRTVTLVMVILLGFGGLSYAQTISNRNHDAIDLAYTDTDGNGERADRFPADSGAHYAEIDRVIQKD-GYVPRETVVLTDERNFMAFYPYHGFQSFTSHYANPLGEFSMRNHVIEEWATQSWTSLADPRRFRESLDESGKQWRSPDVFIFTGDVDD---------KSKGWMYDIAEDIYPNNPNVRFRGVWFNPAVFLNNPEHWNVTQVGPFVVVTRINHGS</t>
  </si>
  <si>
    <t>PF12249.13</t>
  </si>
  <si>
    <t>Arabinofuranosyltransferase A C terminal</t>
  </si>
  <si>
    <t>MTLTESGQRDF-------------VDTSRLQEYGPDVLSTPRTVVGIIAAALGGAVFMLGCWFALKTTHLPAFGPSNVTKAVGTFGTVLVLLTTAGLTLLWVLDEKKQ-----------------------------------QPHPRWRTWITYVVSYLSPAALIVTTLAIHLAATRLYLDGITVDQGFRTQFMTRMADGWNLSDMNYIDMPTFYPAMWFWFGGRLANLLGIPGWEVFQPWALISLAAAGSTLVPVWQRLVGSLPVATAIALVSTCVTLVMSAEEPYAAIISLGVPAAVVAARRALVGRNMAMVGLIVYLGCSASSYTLYTAVVALSTMVIAALFS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WC---------------------------------------------------</t>
  </si>
  <si>
    <t>MTLTESGQRDF-------------VDTSRLQEYGPDVLSTPRTVVGIIAAALGGAVFTLGCWFALKTTHLPAFGPSNVTKAVGTFGTVLVLLTVAGLTLLWVLDEKKQ-----------------------------------QPHPRWRTWITYVVSYLSPAALIVTTLAIHLAATRLYLDGITVDQGFRTQFMTRMADGWGLSDMNYIDMPTFYPAMWFWFGGRLANLLGIPGWEVFQPWALISLAAAGSTLVPVWQRLVGSLPVATAIALVSTCVTLVMSAEEPYAAIISLGVPAAVVAARRALVGRNMAMVGLIVYLGCSASSYTLYTAVVALSTMVIAALFSGVVLKSITPIIRLVIIGVGSMAIAAIWWAPYFLAILQGRPVSGATASHYLPLEGTRVPLPMLAPSVIGLLCLIGLVYLIVRSSNYDVRMLGVALLVFYGWVALSMVFTLIGSTLLGFRMDVVIATTLATAGVLGVAELRIYAIHQWLFPQEFDVKTSRMITCVFLAILMVGGLSYAQNIPNQNADPIERAYSDTDGYGERADRYPPDSTQYYKQVAEFIDKHMGLQRNETVVLTDELNFMSYYPYRGFQAFTSHYANPLGEFDVRNQTITEWALGSWENANTPEKFLAKMLEA--KWRAPQAFVFRADLESYKQDKAAGKDSSGWVYDLAEDIYPNNPNVRFHGLRFNPEVFVGDGTEWEVKQIGPFVVAVR-SFAR</t>
  </si>
  <si>
    <t>GC_00000046</t>
  </si>
  <si>
    <t>PF00766.25</t>
  </si>
  <si>
    <t>Electron transfer flavoprotein FAD-binding domain</t>
  </si>
  <si>
    <t>C</t>
  </si>
  <si>
    <t>Energy production and conversion</t>
  </si>
  <si>
    <t>K03522</t>
  </si>
  <si>
    <t>electron transfer flavoprotein alpha subunit</t>
  </si>
  <si>
    <t>COG2025</t>
  </si>
  <si>
    <t>Electron transfer flavoprotein, alpha subunit FixB (FixB) (PDB:1EFP)</t>
  </si>
  <si>
    <t>ko04147</t>
  </si>
  <si>
    <t>Exosome&gt;&gt;&gt;Exosomal proteins&gt;&gt;&gt;Exosomal proteins of breast cancer cells</t>
  </si>
  <si>
    <t>MTNVYVLAESAAHS--AITAEMITVARNLGDVTAVLVDAP----ELAEEITQLGAQRVVHV---NSQGRVLLPAVDALQTLAAAQPGPIIVPGHATGNEIAGRLAARLASGVLRDVVGVNPDRTAQQSIFGDTVSVSAAVGGECPVYTLRPGA--VPAELVPAADVTIETLELAGPGALDATVESFTPAVHGDRPELTEAKVVVAGGRGVG-EDGFATLVEPLADVFGAAIGATRDVVDQGWADGSMQVGQTGVTVSPDLYIALGISGAIQHKSGMQTSKTIVAINNDEDAHIFDIADLGLVANVEDVVPVLIERLK---</t>
  </si>
  <si>
    <t>MSFAYILVEHSNGELDPVTAELITAGRAFGVVSAVVVGTPGTAAAFTPQLAEWGAAQIVAAETPSADSRVVIPATDALSILAGANPAPLLIAAGVTGNEIAGRLAARLASGALYDVVGVNADGTAAMSIFGDTVAVTAAASGNSPIYTLRRGV--VDAAPEAAAGELV-ALELPGANATEPVVTGFTPAERGNRPDLAQAKVVVAGGRGVGSAEGFTDIVEPLADALGGAVGVTRDVVDSGYYPGQFQIGQTGVTVSPDLYIGLGVSGAIQHKSGMQTAKKIIVINNDEDAPLFEIADLGVVGDLFDITPKLIEEIKKRG</t>
  </si>
  <si>
    <t>MSFAYILVEHSNGELDPVTAELITAGRAFGVVSAVVVGTPGTAAAFTPQLAEWGAAQIVAAETPSADSRVVIPATDALSILAGANPAPLLIAAGVTGNEIAGRLAARLASGALYDVVGVNADGTAAMSIFGDTVAVTAAASGNSPIYTLRPGA--VDAAPEAAAGELV-ALELPDANATEPVVTGFTPAERGNRPDLAQAKVVVAGGRGVGSAEGFTDIVEPLADALGGAVGVTRDVVDSGYYPGQFQIGQTGVTVSPDLYIGLGVSGAIQHKSGMQTAKKIIVINNDEDAPLFEIADLGVVGDLFDIAPKLIEEIKKRG</t>
  </si>
  <si>
    <t>MSTAYVLVEYDGDQVLPITGELITAAKVFESVTAVVVGPAGAHEPLVPQLAALGADAIVAAVGADTAQRVVLPATDALSMLAAGAPGPILVGAGVTGNEIAGRLAARLASGVLCDVVQVNSDLTALMSIFGDAIEVSTAVGGSSPIYTMRHGATEVPAKPTPGAGVVS-TFELPAASEKDVTVTKFVPAVKGDRPDLTNAKVVVAGGRGVDSEENFHTEVEALADALGGAVGATRDVVDLGWYDPIYQIGQTGVTVSPDVYIGLGVSGAIQHTSGMQTAKKIIVINNDEDAPFFHIADLGVVGDLHEIVPLIVEELAKRK</t>
  </si>
  <si>
    <t>PF01012.27</t>
  </si>
  <si>
    <t>Electron transfer flavoprotein domain</t>
  </si>
  <si>
    <t>MSTAYVLVEYDGDQVLPITGELITAAKVFESVTAVVVGAAGAHEPLVSQLAALGADAIVAAVGADTAQRVVLPAADALSMLAAGAPGPILVGAGVTGNEIAGRLAARLASGVLCDVVQVNSDLTALMSIFGDAIEVSTAVGGSSPIYTMRHGATEVPAKPT----------------------------------------------RG------------PV------------------WSA---------------------------HSNCRQPRRKT--------------------------------------</t>
  </si>
  <si>
    <t>GC_00000047</t>
  </si>
  <si>
    <t>MLF-EEVFEEPIDVFYQRWSKLADHMLADPDLNMYLCISDYPFVETARLRDISGLIPRWYGYFPTKEQELFMRAARRGDIGVFMFDKTARYPNALYQAMGGKIWVGDSIVVTNDPDFPTNVMDAMIHMSQHSPADPGVEQQFMLGSKSFKLSFDYSDLPGMVHGHILANNEIMWNIFHGME---</t>
  </si>
  <si>
    <t>MLFSDDEFEEPVDVFYQRWSKLADHMLADPDLNMYLCVIQYPFVGGARLREAPDLIPKWCGYFPTEKQEMFMRVARRGDIGVFMFDKTAQYPNALHRTMDDLMWVRESIVVTNDPDFPTNVMDEMICLSQCVPAGPGVKPSFMLGSKSFRFTFVHSDFPGMVYGHIKTNNETMWNIFQGIE---</t>
  </si>
  <si>
    <t>MSLLEEDFEEPIDVFYQRWSKLADHMLADPDLNMYLCVIQYPFVRGTRLKEAPDLIPKWCGYFPTEEQEMFMRFGRYGDTGVFMFDKTAQYPNALYRTINDLMWVGESIVVTNDPDFPTNVMDEMICLSQCVRDESGGEQPFMLGSKSFRFTFEYSDLPGMVYGYIETNNETMWNIFQGIEAAL</t>
  </si>
  <si>
    <t>MLFSDDEFEELIGVFYQRLSKLADHMLADPDLNMYLCVIQYPFVKGARLKEAPDLIPKWCGYFPTEKQEMFMRFGRYGDTGVFMFNKTAQYPNALYRTMSSLMWVGESIVVTNDPDFPTNVMDEMIHLSQCVRDEPKGEWSFMLGSKSFVLSLDYDDHPEMVYGHIKTNNEIMWNIFQGIE---</t>
  </si>
  <si>
    <t>MSLLEEDFEEPIDVFYQRWSKLADHMLADPDLNMYLCISDYPFVETARLRDISGLIPRWYGYFPTKEQEMFMRAARRGDIGVFMFDKTARYPNALYHAMGGKIWVGDSIVVTNDQDFPTNVMDTMIHMSQHSPVEPGVEQQFMLGSKSFKLSFEHSDLPGMVYGHILANNEIMRNIFHGME---</t>
  </si>
  <si>
    <t>MLFSDDGVEEPVDVFYQRWSKLADHMLADPDLNMYLCVIQYPFVGGTRLREAPDLIPKWCGYFPTEKQEMFMRVGRYGDTGVFMFDKTAQYPNALYRTMRGLMWVGESIVVTNDPDFPTNVMDAMIRRSQCLPAKPGGEQPFMLGSKSFRISLDYDDLPEMVYRYIETNNEIMWNIFQGIE---</t>
  </si>
  <si>
    <t>GC_00000048</t>
  </si>
  <si>
    <t>PF08840.17</t>
  </si>
  <si>
    <t>BAAT / Acyl-CoA thioester hydrolase C terminal</t>
  </si>
  <si>
    <t>COG0657</t>
  </si>
  <si>
    <t>Acetyl esterase/lipase (Aes) (PDB:1EVQ)</t>
  </si>
  <si>
    <t>MCHTKQTTNTPPLQHALFIDATSRISLCSMRRSRKMLVRIISVVAVACLIVVGTSAYNFYHYRRPGDNPRDPATITAKGDVEPVSGDYLRGFYYPAHGDTHPGTVVVFSGSDGGNNDNMARQIRDGGYNVLGLYFFGQPGQQQYLSDVPLEFFDEVLAWIKEHGDVQAPITVLGLSKGAELVANLAIRYPEINNIVLYAPAAYNYQGL-NFRQRNA-LPSFTWRREPVDYARLPFFPSTTVRLFMNLPVSYRKTYEISLAEASNRDAARIPIEKFSGHGLLFAGDQDAMWQSDSAVQELSERNKNLEGVIYPGAGHLFSTDIDQEYGRIWPTMLGGTVDGNRAAKIQSDKLLFERLDAWHMDT</t>
  </si>
  <si>
    <t>-----------------------------MRKITKNLLRVLGVITVLVFTAVGVSAYNYHHYKRRGPDPRDSSVVAARGGVTPVSGTYMRGFYYPAHGAAHPGTVVVFKGSDGSNNDELARQVRDQGYNVLGLYFFGQPGQQQYLANVPLEFFDEVLAWINDHGDVQEPITVMGVSKGAELVANLAVRYPEIDNIVLYTPTAYNYQGL-NYQWEPS--PSFAWRGEPVDYVRLRFLPSSMVRSVMNLPVSYRKTS</t>
  </si>
  <si>
    <t>-----------------------------MRKLLRILLRCVGVVVALCLVLAGVIAYNHNRYKVPGENPRDSSVVAQQGDVESVTGNYLRGFYYPAHGTARPGTVVVFGGSEGSNNNDAARALQDQGYNVLGLYFFGQPGQQAELVKVPLDFFQEALDWLKQHQH-QGPLTVLGVSKGAELVANLAVRYPEIDNIVVFTPSAYTYQGLGDYRNGAS--SSFTWKGEPVPYVPLRMPLRTTIRSILALPVSYRETY</t>
  </si>
  <si>
    <t>-----------------------------MRKITKNLLRVLGVITVLVFTAVGVSAYNYHHYKRRGPDPRDSSVVAARGGVTPVSGTYMRGFYYPAHGAAHPGTVVVFKGSDGSNNDELARQVRDQGYNVLGLYFFGQPGQQQYLANVPLEFFDEVLAWINDHGDVQEPITVMGVSKGAELVANLAIRYPEIDNIVLYTPTAYNYQGI-NYQWEPS--PSFTWRGEPVDYVRLRFLPSSMVRSVMNLPVSYRKTS</t>
  </si>
  <si>
    <t>-----------------------------MRKLLRILLRCVSVVVALCLVLAGVIAYNHNRYKMPGENPRDSSVVAQQGDVESVTGNYLRGFYYPAHGTARPGTIVVFGGSEGSNNNDAARALQHQGYNVLGLYFFGQPGQQAELVKVPLDFFQEALDWLKQHQH-QGPLTVLGVSKGAELVANLAVRYPEIDNIVVFTPSAYTYQGLGDYRNGAS--SSFTWKGEPVPYVPLRMPLRTTIRSILALPVSYRETY</t>
  </si>
  <si>
    <t>GC_00000049</t>
  </si>
  <si>
    <t>MQIVNDAEELGKILRIRNRIAASQSVLSRKWISDTGVFVMAAENAVHFVDGEDDILADAFRAEASGRLIGVRNDHDITE-DHAVIVEPTPED-FDLLGREFIGQFFLLFSEDERHAVLFTAAGEYKLIAGPLPFLRRVFPDLSAQKREFIEFKNEELSYPHTAWVELVLENAVRFMDWLD</t>
  </si>
  <si>
    <t>MKIIGDPQELQRIMVVRNR--------------------IAAENIVNFVDGEDDIVAHAFSAETSGWLIGVRNDYDIHE-DHAVIVEPAPKD-FDLLGREFIGQGFLLFSEDERPAVLFMAA-DYKLIAGTLSFLHRVFPDLSMQNREFIELKNEELSRPHFVGYEQTLETATRFIDWLD</t>
  </si>
  <si>
    <t>GC_00000050</t>
  </si>
  <si>
    <t>-MKKNIIIVLVLSLWFMSAYWLGSYYLRAQVVGVAVQKYVDVLDAESTDPQCTLEHCPNSSKSLPGMPADRDLFTENERFIVENK-GFRGPAASTRFLVKHTKKQSDGTVEAIVGTTVTKCYSSGLFEESYGSSSDIHRIILAPSTIKGQYVVIADKLFGETENPISPYAPTLYKGNRKADPPCSVGSR--</t>
  </si>
  <si>
    <t>MKKKNIFIILIVSLLFISAYWLASYYRLAQVAGVAIQKYVDVLDAESTDPQCTLEHCPNSSKSLPGMPEDRALFTSNERFNVEMKYSPTGPATATEFAVKHVTKKDNGMVEAIAYATTTKCYYPGS-ARPYGSATDLFRITLAPSTIKGEYVVIEDKRLGDTENPV-PYARTLYRSKDKGDPSCS------</t>
  </si>
  <si>
    <t>-MKKNIIIVLVLSLWFTSAYWLGSYYRRAQVAGVAIQKYVDVLDAESTDPQCTLEHCPNSSKSLPGMPEDRALFTSNERFNMEVK----GPATTTEFAIKQVTKKNDGTVEAMAYVTTTKCYFPED-ARPYGSATDLLLITLAPSTIKGEYVVIEDKRIGDTEDPLPPHAPTLYRGNRKADPPCSVGSR--</t>
  </si>
  <si>
    <t>-MKKNIIIVLVLSLWFMSAYWLASYYRLAQVAGVAIQKYVDVLDAESTDPQCTLEHCPNSSKSLPGMPEDRALFTSNERFNVEMKYSPTGPATATEFAVKHVTKKDNGMVEAIAYATTTKCYYPGS-ARPYGSATDLFRITLAPSTIKGEYVVIEDKRLGDTENPV-PYARTLYRSKDKGHPSCS------</t>
  </si>
  <si>
    <t>GC_00000051</t>
  </si>
  <si>
    <t>PF03180.19</t>
  </si>
  <si>
    <t>NlpA lipoprotein</t>
  </si>
  <si>
    <t>K02073</t>
  </si>
  <si>
    <t>D-methionine transport system substrate-binding protein</t>
  </si>
  <si>
    <t>COG1464</t>
  </si>
  <si>
    <t>ABC-type metal ion transport system, periplasmic component/surface antigen (NlpA) (PDB:1P99)</t>
  </si>
  <si>
    <t>KEGG Orthology (KO)&gt;&gt;&gt;09130 Environmental Information Processing&gt;&gt;&gt;09131 Membrane transport&gt;&gt;&gt;02010 ABC transporters [PATH:ko02010]|Transporters&gt;&gt;&gt;ABC transporters, prokaryotic type&gt;&gt;&gt;Phosphate and amino acid transporters&gt;&gt;&gt;D-Methionine transporter</t>
  </si>
  <si>
    <t>MTNSTTRRFTRITGLVA-AAAISVSTLAACS------HDDQNLKLRVGTTEASSKAWQVIEQQADAAGLDLEVVDFSDYSTPNKALSEGTIDANAFQHLKFLAQYNKGENDNLVPVASTYIVPLSVFWKGHDSIDGIEGETIAIPSDPTNQARAINVLATAGLLKLKEE--GLITPNPSDIDEAASKVKVNPIAPEQTTVAYGEGKPAVINNNFLGRAGIDPESAAYKDNPTGETSDPYINVIATREENQDDPAIQKFIEIYHTPEVAEAQAEDTNGTSIRVNRPKAELIEILKKLS-----</t>
  </si>
  <si>
    <t>----MGIRFTRLIAATA-ATVIAATSLVACSSNSNSTSANGETTIRIGTTDAEKKAWEVFEQKAKENGIKLEVTSFGDYNTPNLALSQDQIDVNLFQHLKFLAEYNVANKDNLTPVGATEIVPLALFWKDHTGLDGIDGQEVAIPNDPSNQGRAINVLVQAKLVTLKDDTKNTVTPTPEDIDQDKSKVKVVPVDAAETTVAYGEGKPAIINNTYLDRANIDPKLSVFADDPKSEVAEPYINAFVVKHDRKDEEVF</t>
  </si>
  <si>
    <t>----MGIRFTRLIAATA-ATVIAATSLVACSSNSNSTSANGETTIRIGTTDAEKKAWEVFEQKAKENGIKLEVTSFGDYNTPNLALSQDQIDVNLFQHLKFLAEYNVANKDNLTPVGATEIVPLALFWKDHTGLDGIDGQEVAIPNDPSNQGRAINVLVQAKLVTLKDDTKNTVTPTPEDIDPDKSKVKVVPVDAAETTVAYGEGKPAIINNTYLDRANIDPKLSVFADDPKSEVAEPYINAFVVKHDRKDEEVF</t>
  </si>
  <si>
    <t>GC_00000052</t>
  </si>
  <si>
    <t>PF02222.28</t>
  </si>
  <si>
    <t>ATP-grasp domain</t>
  </si>
  <si>
    <t>K01589</t>
  </si>
  <si>
    <t>5-(carboxyamino)imidazole ribonucleotide synthase [EC:6.3.4.18]</t>
  </si>
  <si>
    <t>COG0026</t>
  </si>
  <si>
    <t>Phosphoribosylaminoimidazole carboxylase (NCAIR synthetase) (PurK) (PDB:1B6R)</t>
  </si>
  <si>
    <t>Purine biosynthesis</t>
  </si>
  <si>
    <t>M00048</t>
  </si>
  <si>
    <t>De novo purine biosynthesis, PRPP + glutamine =&gt; IMP</t>
  </si>
  <si>
    <t>Pathway modules; Nucleotide metabolism; Purine metabolism</t>
  </si>
  <si>
    <t>KEGG Orthology (KO)&gt;&gt;&gt;09100 Metabolism&gt;&gt;&gt;09104 Nucleotide metabolism&gt;&gt;&gt;00230 Purine metabolism [PATH:ko00230]|Enzymes&gt;&gt;&gt;6. Ligases&gt;&gt;&gt;6.3  Forming carbon-nitrogen bonds&gt;&gt;&gt;6.3.4  Other carbon-nitrogen ligases&gt;&gt;&gt;6.3.4.18  5-(carboxyamino)imidazole ribonucleotide synthase</t>
  </si>
  <si>
    <t>MCVAIVERVTNLPNTVDNVSAHAPGMPVVAVVGDGQLARMMQTEAVELGQSIRLLAGALDASAAQVAADVVLGDYTNLDDLRRAARGASVVTFDHEHVPTEHLTTLISEGINVQPGPHALVNAQDKLVMRERLQGMGAPVPPFVAIETAQDALDFYRQVDGAVCLKARRGGYDGKGVWFPHGAEELEQLVEDLLGQGVPLMAEKKVELVRELSAMVARTPSGEVASWPVVESVQVGGVCAEAVAPAPDLREDRASQS--------------RELAVQIATELGVTGVLAVELFEDAE-----GIWVNELAMRPHNTGHWTQDGCVTSQFEQHLRAVLDLPLGSTDMLAETTVMANVLGGPDDPDMPMPQRMAEVWRRFPDAKIHLYGKTWRPGRKIGHVNVSGNSPAASAALRRRAQLAAHFLVHAVWADGYVS</t>
  </si>
  <si>
    <t>MCVAIVERVTNLPNTVDNVSAHAPGMPVVAVVGDGQLARMMQTEAVELGQSIRLLAGALDASAAQVAADVVLGDYTNLDDLRRAARGASVVTFDHEHVPTEHLTTLIAEGINVQPGPHALVNAQDKLVMRERLQGMGAPVPPFVAIETAQDALDFYRQVDGAVCLKARRGGYDGKGVWFPHGAEELEQLVEDLLGQGVPLMAEKKVELVRELSAMVARTPSGEVASWPVVESVQVGGVCAEAVAPAPDLREDRASQS--------------RELAVQIATELGVTGVLAVELFEDAE-----GIWVNELAMRPHNTGHWTQDGCVTSQFEQHLRAVLDLPLGSTDMLAETTVMANVLGGPDDPDMPMPQRMAEVWRRFPDAKIHLYGKTWRPGRKIGHVNVSGNSPAASAALRRRAQLAAHFLVHAVWADGYVS</t>
  </si>
  <si>
    <t>-------------------------MPIVAVIGDGQLARMMHTAAIELGISLRLLAGTRDASAAQVTSDVFLGDYTNLNDLRHTVTGADVMTFDHEHVPTEHLTTLIAEGVNVQPQPTALVNAQDKLVMRQHLAALGAPVPRFVAIESVADIEAFWRQVDGEVCLKARRGGYDGHGVWFPKSEGECVELVTRLLDAGMLLMAEQKVRLVRELSAMVARTPGGVTQPWPVVESVQVDGICTEAIAPAPGLSAELQQ</t>
  </si>
  <si>
    <t>-------------------------MPIVAVIGDGQLARMMHTAAIELGISLRLLAGTRDASAAQVTSDVFLGDYTNLDDLRRTVTGADVMTFDHEHVPTEHLTTLIAEGVNVQPQPTALVNAQDKLVMRQHLAALGAPVPRFVAIESVADIEAFWRQVDGEVCLKARRGGYDGHGVWFPKSEGECVELVTRLLDAGMLLMAEQKVRLVRELSAMVARTPSGATQPWPVVESVQVDGICKEAIAPAPG-------</t>
  </si>
  <si>
    <t>-------------------------MSA---------------------------------------------------ELQQEA--------------------------------------------------------------------------------------------------------------------------------------------------------------------------</t>
  </si>
  <si>
    <t>GC_00000053</t>
  </si>
  <si>
    <t>PF00115.25</t>
  </si>
  <si>
    <t>Cytochrome C and Quinol oxidase polypeptide I</t>
  </si>
  <si>
    <t>K02274</t>
  </si>
  <si>
    <t>cytochrome c oxidase subunit I [EC:7.1.1.9]</t>
  </si>
  <si>
    <t>COG0843</t>
  </si>
  <si>
    <t>Heme/copper-type cytochrome/quinol oxidase, subunit 1 (CyoB) (PDB:1AR1)</t>
  </si>
  <si>
    <t>M00155</t>
  </si>
  <si>
    <t>Cytochrome c oxidase, prokaryotes</t>
  </si>
  <si>
    <t>Pathway modules; Energy metabolism; ATP synthesis</t>
  </si>
  <si>
    <t>KEGG Orthology (KO)&gt;&gt;&gt;09100 Metabolism&gt;&gt;&gt;09102 Energy metabolism&gt;&gt;&gt;00190 Oxidative phosphorylation [PATH:ko00190]|Enzymes&gt;&gt;&gt;7. Translocases&gt;&gt;&gt;7.1  Catalysing the translocation of protons&gt;&gt;&gt;7.1.1  Linked to oxidoreductase reactions&gt;&gt;&gt;7.1.1.9  cytochrome-c oxidase</t>
  </si>
  <si>
    <t>MTAVAPKGDHEVFPARPAPTGNTRKGGFAWKMLTTTDHKTLGIMYIIMSFMFFFLGGFMALLIRAELYHPGLQFLTNEQFNQLFTMHGTVMLLLYGTPVVWGFANYIMPLQIGAPDVAFPRLNALGFWFTTIGGVMMLSGFLTPGGAADFGWTMYSPLSDAIHSPGVGSDMWILGVGVGGIGTIASAVNMITTILCLRAPGMTMFRLPIFTWNILITSLLVLMIFPMLTAAALGVLYDRKLGGHIYDPANGGSILWQHLFWFFGHPEVYVLALPFFGIVSEIFPVFSRKPMFGYAGLVFATSSIATLSMAVWAHHMFVTGAILLPFFSFMTFLISVPTGVKFFNWVGTMWRGHITWETPMIFAFGFIVTFLFGGMTGIMLASPPLDFHVSDTYFVVAHFHYTLFGTIVFASLAGVYFWFPKMTGRMLDERLGKIHFWLMFVGFHGTFLIQHWLGNEGMPRRYADYLDSDGFTTLNQISTVFSFVLGISFIPFIWNAFKSWRYGEVVTVDDPWGYGNSLEWATSCPPPRHNFTSLPRIRSERPAFELHYPHMVERMRAEAHVGHATKEVLKRDADDMKREEKALKNS</t>
  </si>
  <si>
    <t>MTAVVPKGDHEVAPARPAPTGSGRKGSLAWKMLTTTDHKMLGLMYIIMAFCFFFLGGFMALLIRAELFSPGLQYLSNEQFNQLFTMHGTVMLLLYGTPVVWGFANYVMPLQIGAPDVAFPRLNAFGFWLTAVGGILMLSGFFTPGGAADFGWTMYSPLSDSIHSPGVGSDMWILGVGVGGIGTIVSAINMITTILCLRAPGMTMFRLPIFTWNIFVTSILALLIFPMLTAAALGVLYDRKLGGHIYDPANGGAVLWQHLFWFFGHPEVYVLALPFFGIVSEIVPVFSRKPMFGYAGLVFATLSIATLSMAVWAHHMFVTGAILLPFFSFMTFLISVPTGVKFFNWLGTMWRGHLTWETPMIFAFGFMVSFLFGGLTGVMMASPPLDFHISDTYFIVAHFHYTLFGTIVFASYGGVYFWFPKMTGRMLDERLGKIHFWMTFLGFHGTFLIQHWLGNMGMPRRYADYLESDGFTLFNQISTIAAFILGASVIPFIWNIFKSWRYGEVVTVDDPWGYGNSLEWATSCPPPRHNFVSLPRIRSERPAFELHYPHMVERMRAEAHVGRH----------------------</t>
  </si>
  <si>
    <t>MTAVVPKGDHEVAPARPAPTGSGRKGSLAWKMLTTTDHKMLGLMYIIMAFCFFFLGGFMALLIRAELFSPGLQYLSNEQFNQLFTMHGTVMLLLYGTPVVWGFANYVMPLQIGAPDVAFPRLNAFGFWLTAVGGILMLSGFFTPGGAADFGWTMYSPLSDSIHSPGVGSDMWILGVGVGGIGTIVSAINMITTILCLRAPGMTMFRLPIFTWNIFVTSILALLIFPMLTAAALGVLYDRKLGGHIYDPANGGAVLWQHLFWFFGHPEVYVLALPFFGIVSEIVPVFSRKPMFGYAGLVFATLSIATLSMAVWAHHMFVTGAILLPFFSFMTFLISVPTGVKFFNWVGTMWRGHLTWETPMIFAFGFMVSFLFGGLTGVMMASPPLDFHISDTYFIVAHFHYTLFGTIVFASYGGVYFWFPKMTGRMLDERLGKIHFWMTFLGFHGTFLIQHWLGNMGMPRRYADYLESDGFTLFNQISTIAAFILGASVIPFIWNIFKSWRYGEVVTVDDPWGYGNSLEWATSCPPPRHNFVSLPRIRSERPAFELHYPHMVERMRAEAHVGRH----------------------</t>
  </si>
  <si>
    <t>MTAVAPRQENYSQPTRPAPTGEARIGSLAWKMLTTTDHKQLGIMYIIMSFSFFFLGGFMALLIRAELFTPGLQFLSNEQFNQLFTMHGTVMLLLFGTPVVWGFANYILPLQIGAPDVAFPRLNAFGFWITLIGGIAMLAGFLTPGGAADFGWTMYMPLADSIHSPGVGSDMWIIGVGATGVGTVASAINMITTMLTMRAPGMTLFRMPIFCWNIFVASVIVLMIFPLLLSAALGVLYDRKLGGHIYDPGNGGAVLWQHLFWFFGHPEVYVLALPFFGIVSEIVPVFSRKPMFGYVGLVFATLSIGTLSMAVWAHHMFVTGAILLPFFSFMTFLISVPTGVKFFNWLGTMWKGHISWETPMMWSVGFLTTFLFGGLTGIMLASPPLDFHLAESYFLIAHFHYTLFGTVVFAACAGVYFWFPKMTGRMLDERLGKVHFWITFVGFHGTFLIQHWVGNMGMPRRYADYLESDGFTTLNQISTVFSFLLGMSVIPFIWNVFKSWRYGEIVTVDDPWGYGNSLEWATSCPPPRHNFVSMPRIRSERPAFELHYPHMVERMRREAHTGHHTEPVTKKPAAVAK---------</t>
  </si>
  <si>
    <t>--------------------------------------------------------------------------------------------------------------------------------------------------------------------------MWIIGVGATGVGTVLSAINMITTMLTMRAPGMTLFRMPIFCWNIFVASVIVLMIFPLLLSAALGVLYDRKLGGHIYDPGNGGAVL</t>
  </si>
  <si>
    <t>MTAVAPRQENYSQPTRPAPTGEARIGSLAWKMLTTTDHKQLGIMYIIMSFSFFFLGGFMALLIRAELFTPGLQFLSNEQFNQLFTMHGTVMLLLFGTPVVWGFANYILPLQIGAPDVAFPRLNAFGFWITLIGGIAMLAGFLTP-----------------------------------------------------------------------------------------------------------------------------------------VAPQTSAGP-------------------------------------------CTCP------------------WRTP---------------------STRPAS-----------------------APTCGSLVWAPPVS--------------------------------------------------------------------------------------------------APCSPPST---------------------------------------------------------</t>
  </si>
  <si>
    <t>GC_00000054</t>
  </si>
  <si>
    <t>PF08213.16</t>
  </si>
  <si>
    <t>Mitochondrial mRNA-processing protein COX24, C-terminal</t>
  </si>
  <si>
    <t>MGSVIKKRRKRMSKKKHRKMLRRTRVQRRKLGK</t>
  </si>
  <si>
    <t>MGSVIKKRRKRMSKKKHRKLLRRTRVQRRKLGK</t>
  </si>
  <si>
    <t>GC_00000055</t>
  </si>
  <si>
    <t>PF00444.23</t>
  </si>
  <si>
    <t>Ribosomal protein L36</t>
  </si>
  <si>
    <t>K02919</t>
  </si>
  <si>
    <t>large subunit ribosomal protein L36</t>
  </si>
  <si>
    <t>COG0257</t>
  </si>
  <si>
    <t>Ribosomal protein L36 (RpmJ) (PDB:1DFE) (PUBMED:21627333)</t>
  </si>
  <si>
    <t>Ribosome 50S subunit</t>
  </si>
  <si>
    <t>ko00001|ko03011|ko03011</t>
  </si>
  <si>
    <t>KEGG Orthology (KO)&gt;&gt;&gt;09120 Genetic Information Processing&gt;&gt;&gt;09122 Translation&gt;&gt;&gt;03010 Ribosome [PATH:ko03010]|Ribosome&gt;&gt;&gt;Ribosomal proteins&gt;&gt;&gt;Mitochondria/ Chloroplast&gt;&gt;&gt;Large subunit|Ribosome&gt;&gt;&gt;Ribosomal proteins&gt;&gt;&gt;Bacteria&gt;&gt;&gt;Large subunit</t>
  </si>
  <si>
    <t>MKVRKSLRSLKNKPGAQVVRRRGKVYVINKKEPRFKARQG</t>
  </si>
  <si>
    <t>MKVRKSLRSLKNKPGAQIVRRRGKVYVINKKEPRFKARQG</t>
  </si>
  <si>
    <t>GC_00000056</t>
  </si>
  <si>
    <t>PF00338.27</t>
  </si>
  <si>
    <t>Ribosomal protein S10p/S20e</t>
  </si>
  <si>
    <t>K02946</t>
  </si>
  <si>
    <t>small subunit ribosomal protein S10</t>
  </si>
  <si>
    <t>COG0051</t>
  </si>
  <si>
    <t>Ribosomal protein S10 (RpsJ) (PDB:4V4H)</t>
  </si>
  <si>
    <t>Ribosome 30S subunit</t>
  </si>
  <si>
    <t>ko00001|ko03011|ko03011|ko03011</t>
  </si>
  <si>
    <t>KEGG Orthology (KO)&gt;&gt;&gt;09120 Genetic Information Processing&gt;&gt;&gt;09122 Translation&gt;&gt;&gt;03010 Ribosome [PATH:ko03010]|Ribosome&gt;&gt;&gt;Ribosomal proteins&gt;&gt;&gt;Mitochondria/ Chloroplast&gt;&gt;&gt;Small subunit|Ribosome&gt;&gt;&gt;Ribosomal proteins&gt;&gt;&gt;Bacteria&gt;&gt;&gt;Small subunit|Ribosome&gt;&gt;&gt;Ribosomal proteins&gt;&gt;&gt;Archaea&gt;&gt;&gt;Small subunit</t>
  </si>
  <si>
    <t>MAGQKIRIRLKAYDHEAIDASARKIVETVTRTGARVVGPVPLPTEKNVYAVIRSPHKYKDSREHFEMRTHKRLIDILDPTPKTVDALMRIDLPASVDVNIQ</t>
  </si>
  <si>
    <t>MAGQKIRIRLKAYDHEAIDVSARKIVETVTRTGARVVGPVPLPTEKNVYAVIRSPHKYKDSREHFEMRTHKRLIDILDPTPKTVDALMRIDLPASVDVNIA</t>
  </si>
  <si>
    <t>GC_00000057</t>
  </si>
  <si>
    <t>PF01176.25</t>
  </si>
  <si>
    <t>Translation initiation factor 1A / IF-1</t>
  </si>
  <si>
    <t>K02518</t>
  </si>
  <si>
    <t>translation initiation factor IF-1</t>
  </si>
  <si>
    <t>COG0361</t>
  </si>
  <si>
    <t>Translation initiation factor IF-1 (InfA) (PDB:5FIM)</t>
  </si>
  <si>
    <t>Translation factors</t>
  </si>
  <si>
    <t>ko03012</t>
  </si>
  <si>
    <t>Translation factors&gt;&gt;&gt;Prokaryotic type&gt;&gt;&gt;Initiation factors</t>
  </si>
  <si>
    <t>MAKKEGAIEVEGRIVEPLPNAMFRVELDNGHKVLAHISGKMRQHYIRILPEDRVVVELSPYDLTRGRIVYRYK</t>
  </si>
  <si>
    <t>MAKKEGAIEVEGRIIEPLPNAMFRVELDNGHKVLAHISGKMRQHYIRILPEDRVVVELSPYDLTRGRIVYRYK</t>
  </si>
  <si>
    <t>GC_00000058</t>
  </si>
  <si>
    <t>PF14017.11</t>
  </si>
  <si>
    <t>Protein of unknown function (DUF4233)</t>
  </si>
  <si>
    <t>MSDKVDGGFGGSAGGTGADGSAGSSEYGPLGPGHTPVKDPLKGLRGVMAGTLVMESIALLLVLTVIARIDEGAYWTTFNWVYVTVVGVAMFVVAFLQKRRWALAANAVLQVFAV-AGFFVHPSMGIMALIFAAVWWYIFYLRKNLIARMKRGLLTTQHT</t>
  </si>
  <si>
    <t>MSGARGDDSVDASGAAGSADAVG--EYGPLGPGHAPVKDPLKGLRGVMAGAMGMEATTFYLALTVILRVDGGAYWTTVNWVSITVLATLMLVMSFFQGKSWAVPVNIGLQVVAL-FGFIIHPAVGVVAVLFAVVWWYILYLRRNLLERMKRGLLTTQHT</t>
  </si>
  <si>
    <t>MSGARGDDSVDASGAAGSAAAVG--EYGPLGPGHAPVKDPLKGLRGVMAGAMGMEATTFYLALTVILRVDGGAYWTTVNWVSITVLATLMLVMSFFQGKSWAVPVNIGLQVVAL-FGFIIHPAVGVVAVLFAVVWWYILYLRRNLLERMKRGLLTTQHT</t>
  </si>
  <si>
    <t>GC_00000059</t>
  </si>
  <si>
    <t>PF00480.26</t>
  </si>
  <si>
    <t>ROK family</t>
  </si>
  <si>
    <t>G|K</t>
  </si>
  <si>
    <t>Carbohydrate transport and metabolism|Transcription</t>
  </si>
  <si>
    <t>K25026</t>
  </si>
  <si>
    <t>glucokinase [EC:2.7.1.2]</t>
  </si>
  <si>
    <t>COG1940</t>
  </si>
  <si>
    <t>Sugar kinase of the NBD/HSP70 family, may contain an N-terminal HTH domain (NagC) (PDB:1WOQ)</t>
  </si>
  <si>
    <t>M00001|M00549|M00909</t>
  </si>
  <si>
    <t>Glycolysis (Embden-Meyerhof pathway), glucose =&gt; pyruvate|Nucleotide sugar biosynthesis, glucose =&gt; UDP-glucose|UDP-N-acetyl-D-glucosamine biosynthesis, prokaryotes, glucose =&gt; UDP-GlcNAc</t>
  </si>
  <si>
    <t>Pathway modules; Carbohydrate metabolism; Central carbohydrate metabolism|Pathway modules; Carbohydrate metabolism; Other carbohydrate metabolism|Pathway modules; Carbohydrate metabolism; Other carbohydrate metabolism</t>
  </si>
  <si>
    <t>ko00001|ko00001|ko00001|ko00001|ko00001|ko00001|ko01000</t>
  </si>
  <si>
    <t>KEGG Orthology (KO)&gt;&gt;&gt;09100 Metabolism&gt;&gt;&gt;09101 Carbohydrate metabolism&gt;&gt;&gt;00010 Glycolysis / Gluconeogenesis [PATH:ko00010]|KEGG Orthology (KO)&gt;&gt;&gt;09100 Metabolism&gt;&gt;&gt;09101 Carbohydrate metabolism&gt;&gt;&gt;00052 Galactose metabolism [PATH:ko00052]|KEGG Orthology (KO)&gt;&gt;&gt;09100 Metabolism&gt;&gt;&gt;09101 Carbohydrate metabolism&gt;&gt;&gt;00500 Starch and sucrose metabolism [PATH:ko00500]|KEGG Orthology (KO)&gt;&gt;&gt;09100 Metabolism&gt;&gt;&gt;09101 Carbohydrate metabolism&gt;&gt;&gt;00520 Amino sugar and nucleotide sugar metabolism [PATH:ko00520]|KEGG Orthology (KO)&gt;&gt;&gt;09100 Metabolism&gt;&gt;&gt;09110 Biosynthesis of other secondary metabolites&gt;&gt;&gt;00521 Streptomycin biosynthesis [PATH:ko00521]|KEGG Orthology (KO)&gt;&gt;&gt;09100 Metabolism&gt;&gt;&gt;09110 Biosynthesis of other secondary metabolites&gt;&gt;&gt;00524 Neomycin, kanamycin and gentamicin biosynthesis [PATH:ko00524]|Enzymes&gt;&gt;&gt;2. Transferases&gt;&gt;&gt;2.7  Transferring phosphorus-containing groups&gt;&gt;&gt;2.7.1  Phosphotransferases with an alcohol group as acceptor&gt;&gt;&gt;2.7.1.2  glucokinase</t>
  </si>
  <si>
    <t>--MNTGSVTIGFDIGGTNLRGGVVDAHGHIIDMHAIPTPRTAEGLEQGIISITQKLQREHNVQAIGVAVAGFLDAECSTVRFAPHLPWRDRNVKQVLEAALDMPVTLEHDANSAAWGEYIFGAARGARIWSLFSLGTGIGGAIMIDGTLFRGAYGTAPEYGHLQVVPNGRPCACGKTGCLERYCSGTALVTTAMENASNFDSPLAQTCMRAPGQVTGHTIFDAAEAGDPLGVHAVGEFADWLGLGLGIVGDVIDP</t>
  </si>
  <si>
    <t>MSQQPGPLTIGFDIGGTNLRGAVVNGRGQIIDSAHVPTPDSPKGLEEGISFVVKQLRANYDVDAVGLAIAGFLDPECTMVRFAPHLAWRDAPVKEILEDRLALPVRLEHDANAAAWGEYRFGAAKDASVWALFAIGTGIGGALMINGEIYRGAFGTAPEFGHLTVVPEGRECACGKRGCLERYCSGTALEHTAKELMDS--GAFGE---YPPGRMTGRMVMAEAKKGDPMALAAVEQFATWLGEGLSIVADVLDPELIVIGGGVSTDAALYLDMARKEFAQRIVGSGHRPMARLSTVELGADAGMIGVADLARQLTV------</t>
  </si>
  <si>
    <t>GC_00000060</t>
  </si>
  <si>
    <t>PF02467.21</t>
  </si>
  <si>
    <t>Transcription factor WhiB</t>
  </si>
  <si>
    <t>K18955</t>
  </si>
  <si>
    <t>WhiB family transcriptional regulator, redox-sensing transcriptional regulator</t>
  </si>
  <si>
    <t>Transcription factors&gt;&gt;&gt;Prokaryotic type&gt;&gt;&gt;Other transcription factors&gt;&gt;&gt;Others</t>
  </si>
  <si>
    <t>MDWRHQAVCRDEDPELFFPVGNSGPALSQIASAKLVCNRCPVTTQCLNWALETGQDSGVWGGMSEDERRALKRRKNRGRGRARVTI</t>
  </si>
  <si>
    <t>COG1595</t>
  </si>
  <si>
    <t>DNA-directed RNA polymerase specialized sigma subunit, sigma24 family (RpoE) (PDB:2Q1Z)</t>
  </si>
  <si>
    <t>MDWRHKAVCRDEDPELFFPVGNSGPALAQIATAKMVCNRCPVTSQCLAWALETGQDAGVWGGMSEDERRALKRRKNRGRGRTRAAV</t>
  </si>
  <si>
    <t>MDWRHKAVCRDEDPELFFPVGNSGPALAQVAAAKKVCNRCPVTSQCLAWALETGQDAGVWGGMSEDERRALKRRKNRGRGRARISI</t>
  </si>
  <si>
    <t>GC_00000061</t>
  </si>
  <si>
    <t>PF00860.26</t>
  </si>
  <si>
    <t>Permease family</t>
  </si>
  <si>
    <t>K06901</t>
  </si>
  <si>
    <t>adenine/guanine/hypoxanthine permease</t>
  </si>
  <si>
    <t>COG2252</t>
  </si>
  <si>
    <t>Xanthine/guanine/uracil/vitamin C permease GhxP/GhxQ, nucleobase:cation symporter 2 ( NCS2) family (NCS2) (PUBMED:24169576;24214977)</t>
  </si>
  <si>
    <t>Transporters&gt;&gt;&gt;Other transporters&gt;&gt;&gt;Electrochemical potential-driven transporters [TC:2]</t>
  </si>
  <si>
    <t>---------MQQALDRYFHISERGSTVGTEVRGGLVTFFAMAYIIILNPLILGTTEDITGQALGGARVAAVTALAAGAMTILFGLFARYPFGIATGLGINTLVAVTLVATEGLTWPEAMGLVVIDGIIIVLLAVSGFRVAVFNAIPRELKAAMGVGIGLFIAMIGLVDSGFVRRIPDAAGTTVPVGLGINGSIASWPTFVFVCGLIICGVLVARNTRGGLFIGIVVTTVIGMIVEALTGAGPSFVDGKPNPTGWS</t>
  </si>
  <si>
    <t>MTGSSSSAQGTSTLDRFFHITERGSTVATEVRAGLVTFFAMAYIIILNPLIIGTTEDHTGHALGIPQVAAATALAAGVMTIAFGLIARYPFGIATGLGINTLVAVTLVSGEGLTWPEAMGLVVIDGIIIVLLAISGFRVAVFNAIPRELKAAMGVGIGLFIAMIGLVDAGFVRRIPDAAGTTVPVGLGINGSIASWPTFVFVVGLIMCGILVAKQVRGGLFIGIVLTTVLGMIIEAATGAGPSVVDGKPNPTGWNLAVPTIPSSFGGLPDLSLVGAVDLIGAFSRIGVLSASLLVFTLVLANFFDAMGTMTALGKQAGLVDEDGNLPDMKKALIVEGAGAIVGGGVSASSNTVYVDSAAGIADGARTGLANVVTGVLFLLAMFLTPLYEIVPIEAASPVLVIVGALMMAQIKDIDFSQFHIALPAFLTIIIMPFTYSIANGIGVGFITYVLVAVATGRAKTVHWLLWLIAVLFLVYFAIDPVMSAVG</t>
  </si>
  <si>
    <t>-MAKTTAVDTPSALDRYFEISKRGSTVSTEIRAGVVTFFAMAYIIILNPLILGTGADSNGTVLGVPQVAAATALAAGVMTIAFGAIAKYPFGIATGLGINTLVAVTLVATEGLTWPEAMGLVVLDGVIIVALALSGFRMAVFNAIPREIKAAMGVGIGMFIAMIGLVDAGFVRRIPDSAHTTVPVGLGTGGSISSWPTFVFVIGLVICGILVARRVRGGLFIGIVVTTIIAMIVEAITHAGPSVVDGKSVPTGWN</t>
  </si>
  <si>
    <t>GC_00000062</t>
  </si>
  <si>
    <t>PF01592.21</t>
  </si>
  <si>
    <t>NifU-like N terminal domain</t>
  </si>
  <si>
    <t>K04488</t>
  </si>
  <si>
    <t>nitrogen fixation protein NifU and related proteins</t>
  </si>
  <si>
    <t>COG0822</t>
  </si>
  <si>
    <t>Fe-S cluster assembly scaffold protein IscU, NifU family (IscU) (PDB:1Q48)</t>
  </si>
  <si>
    <t>KEGG Orthology (KO)&gt;&gt;&gt;09190 Not Included in Pathway or Brite&gt;&gt;&gt;09191 Unclassified: metabolism&gt;&gt;&gt;99982 Energy metabolism</t>
  </si>
  <si>
    <t>MNIEQMYQEVILDHYRHPQHAGLRDNFNAEVHHVNTSCGDELTLRVHLSKDGTTVEDISYDAEGCSISQASTSVMAEEIIGRPVEEAMAKLAEFEKMITSRGKEQGDEDLIGDGVAFSGVAQYPARVKCALLGWKAFQAATAEALDEQ-</t>
  </si>
  <si>
    <t>MKLEQMYQEVILDHYRHPQHRGLRDPFDAEVHHVNTSCGDELTLRVKLSADGTVVDDVSYEAEGCSISQASTSVMAEEIVGRPVEEAMDKLAEFERMITSRGQVDGDEEIIGDGVAFSGVSQYPARVKCALLGWKAFQAATADALEDK-</t>
  </si>
  <si>
    <t>MNLESMYQEVILDHYKNPTHAGLKAPFDAEVHHVNPSCGDELTLRVKLSDDKQTVVDVSYEATGCSISQASVSVMAEEIVGKPLPEALDKLAEFEKMITSRGHYAGDDEIIGDGIAFSGVSQYPARVKCALLGWKAFQAAAAESMEEQE</t>
  </si>
  <si>
    <t>GC_00000063</t>
  </si>
  <si>
    <t>PF00268.27</t>
  </si>
  <si>
    <t>Ribonucleotide reductase, small chain</t>
  </si>
  <si>
    <t>K00526</t>
  </si>
  <si>
    <t>ribonucleoside-diphosphate reductase beta chain [EC:1.17.4.1]</t>
  </si>
  <si>
    <t>COG0208</t>
  </si>
  <si>
    <t>Ribonucleotide reductase beta subunit, ferritin-like domain (NrdB) (PDB:1AV8)</t>
  </si>
  <si>
    <t>Pyrimidine salvage</t>
  </si>
  <si>
    <t>M00053|M00938</t>
  </si>
  <si>
    <t>Deoxyribonucleotide biosynthesis, ADP/GDP/CDP/UDP =&gt; dATP/dGTP/dCTP/dUTP|Pyrimidine deoxyribonucleotide biosynthesis, UDP =&gt; dTTP</t>
  </si>
  <si>
    <t>Pathway modules; Nucleotide metabolism; Purine metabolism|Pathway modules; Nucleotide metabolism; Pyrimidine metabolism</t>
  </si>
  <si>
    <t>ko00001|ko00001|ko01000|ko03400</t>
  </si>
  <si>
    <t>KEGG Orthology (KO)&gt;&gt;&gt;09100 Metabolism&gt;&gt;&gt;09104 Nucleotide metabolism&gt;&gt;&gt;00230 Purine metabolism [PATH:ko00230]|KEGG Orthology (KO)&gt;&gt;&gt;09100 Metabolism&gt;&gt;&gt;09104 Nucleotide metabolism&gt;&gt;&gt;00240 Pyrimidine metabolism [PATH:ko00240]|Enzymes&gt;&gt;&gt;1. Oxidoreductases&gt;&gt;&gt;1.17  Acting on CH or CH2 groups&gt;&gt;&gt;1.17.4  With a disulfide as acceptor&gt;&gt;&gt;1.17.4.1  ribonucleoside-diphosphate reductase|DNA repair and recombination proteins&gt;&gt;&gt;Prokaryotic type&gt;&gt;&gt;Other factors with a suspected DNA repair function&gt;&gt;&gt;Modulation of nucleotide pools</t>
  </si>
  <si>
    <t>-MAPNHTPISPAQHEAHPEDRKAPILAINWNTIPDDKDLEVWDRLTGNFWLPEKVPLSNDIKSWNTLNELEQQTTMRVFTGLTMLDTIQGTVGAVSLLPDAVTPHEEAVLTNIAFMESVHAKSYSSIFMTLASTPEINDAFRWSEENENLQRKGHIILDYYEGDDPLKRKVASTLLESFLFYSGFYLPMYWSSHAKLTNTADVIRLIIRDEAVHGYYIGYKYQRGLEKLSQAERDEQKEWTFDLLYDLYENEIQY</t>
  </si>
  <si>
    <t>MTAKKLTAATPAHRESHPESRNSPISAINWNTIPDEKDLEVWDRLTGNFWLPEKVPLSNDIKSWNTLNALEQETTMRVFTGLTMLDTIQGTVGAVSLIPDALTPHEEAVLTNIAFMESVHAKSYSSIFMTLASTPEINDAFRWSEENENLQKKAEIILSYYEGDAPLKRKVASTLLESFLFYSGFYLPMHWSSHAKLTNTADVIRLIIRDEAVHGYYIGYKYQKGLEALTEAEREEMKEYTFELLYDLYENETQYTEDLYDELGWTEDVKRFLRYNANKALNNLGYEGLFPADDTRVSPAILSALSPSSDENHDFFSGSGSSYVIGKAEATEDDDWDF</t>
  </si>
  <si>
    <t>--------MLNSDEDQYLATHKEPVHAVNWNTIPDEKDLEVWDRLTGNFWLPEKVPVSNDLKSWSTLNDLEKQTTMRVFTGLTLLDTIQGTVGAVSMLPDAVTLHEEAVLTNIAFMESVHAKSYSNIFMTLASTKEINEAFRWSEENENLQKKAKIILTYYDGADPLKRKVASTLLESFLFYSGFYLPMYWSSHAKLTNTADIIRLIIRDEAVHGYYIGYKFQQALAKESPARQEELKEYTFDVLYELYENEIAY</t>
  </si>
  <si>
    <t>--------MLNSDEDQYLATHKEPVHAVNWNTIPDEKDLEVWDRLTGNFWLPEKVPVSNDLKSWSTLNELEKQTTMRVFTGLTLLDTIQGTVGAVSMLPDAVTLHEEAVLTNIAFMESVHAKSYSNIFMTLASTKEINEAFRWSEENENLQKKAKIILTYYDGADPLKRKVASTLLESFLFYSGFYLPMYWSSHAKLTNTADIIRLIIRDEAVHGYYIGYKFQQALAKESPARQEELKEYTFDVLYELYENEIAY</t>
  </si>
  <si>
    <t>GC_00000064</t>
  </si>
  <si>
    <t>PF01502.23</t>
  </si>
  <si>
    <t>Phosphoribosyl-AMP cyclohydrolase</t>
  </si>
  <si>
    <t>K01496</t>
  </si>
  <si>
    <t>phosphoribosyl-AMP cyclohydrolase [EC:3.5.4.19]</t>
  </si>
  <si>
    <t>COG0139</t>
  </si>
  <si>
    <t>Phosphoribosyl-AMP cyclohydrolase (HisI1) (PDB:1ZPS)</t>
  </si>
  <si>
    <t>Histidine biosynthesis</t>
  </si>
  <si>
    <t>M00026</t>
  </si>
  <si>
    <t>Histidine biosynthesis, PRPP =&gt; histidine</t>
  </si>
  <si>
    <t>Pathway modules; Amino acid metabolism; Histidine metabolism</t>
  </si>
  <si>
    <t>KEGG Orthology (KO)&gt;&gt;&gt;09100 Metabolism&gt;&gt;&gt;09105 Amino acid metabolism&gt;&gt;&gt;00340 Histidine metabolism [PATH:ko00340]|Enzymes&gt;&gt;&gt;3. Hydrolases&gt;&gt;&gt;3.5  Acting on carbon-nitrogen bonds, other than peptide bonds&gt;&gt;&gt;3.5.4  In cyclic amidines&gt;&gt;&gt;3.5.4.19  phosphoribosyl-AMP cyclohydrolase</t>
  </si>
  <si>
    <t>MLVDQSYCPQHPEDADLVRAIGAEAASKLRFNDAGLIPVVVQDAESERVLMLAWMDAHALAYSLCSRRGTYFSRSRNEYWIKGLTSGHVQSVVSIDADCDGDTLLMRVVQTGAACHTGARSCFEVLPLLGEADH</t>
  </si>
  <si>
    <t>---MSSQTPDDPSTYELDPTI----AQRLRFNDAGLIPVIVQAAGTKEVLMMAWMDQHALAYSLATRRGTYFSRSRNEYWIKGLTSGHVQEVVGIRADCDGDTLLMEVHQTGAACHTGTRTCFDA-DLLG----</t>
  </si>
  <si>
    <t>--MNSSMNQNNPETYQLDPAI----AARVRFNDQGLVPAIAQAADTGEVLMLAWMDDHALAYTLATRRGTYYSRSRQEYWIKGATSGHTQQVESVSLDCDGDTVLLRVYQRGGACHTGDRTCFDA-DRLA----</t>
  </si>
  <si>
    <t>--MNPSMNQNSPETYQLDPAI----AARVRFNDQGLVPAIAQAADTGEVLMLAWMDDHALAYTLATRRGTYYSRSRQEYWIKGATSGHTQQVESVSLDCDGDTVLLRVYQRGGACHTGDRTCFDA-DRLA----</t>
  </si>
  <si>
    <t>GC_00000065</t>
  </si>
  <si>
    <t>PF02776.23</t>
  </si>
  <si>
    <t>Thiamine pyrophosphate enzyme, N-terminal TPP binding domain</t>
  </si>
  <si>
    <t>H</t>
  </si>
  <si>
    <t>Coenzyme transport and metabolism</t>
  </si>
  <si>
    <t>K02551</t>
  </si>
  <si>
    <t>2-succinyl-5-enolpyruvyl-6-hydroxy-3-cyclohexene-1-carboxylate synthase [EC:2.2.1.9]</t>
  </si>
  <si>
    <t>COG1165</t>
  </si>
  <si>
    <t>2-succinyl-5-enolpyruvyl-6-hydroxy-3-cyclohexene-1-carboxylate synthase (MenD) (PDB:5Z2P)</t>
  </si>
  <si>
    <t>Menaquinone biosynthesis</t>
  </si>
  <si>
    <t>M00116|M00932</t>
  </si>
  <si>
    <t>Menaquinone biosynthesis, chorismate (+ polyprenyl-PP) =&gt; menaquinol|Phylloquinone biosynthesis, chorismate (+ phytyl-PP) =&gt; phylloquinol</t>
  </si>
  <si>
    <t>Pathway modules; Metabolism of cofactors and vitamins; Cofactor and vitamin metabolism|Pathway modules; Metabolism of cofactors and vitamins; Cofactor and vitamin metabolism</t>
  </si>
  <si>
    <t>KEGG Orthology (KO)&gt;&gt;&gt;09100 Metabolism&gt;&gt;&gt;09108 Metabolism of cofactors and vitamins&gt;&gt;&gt;00130 Ubiquinone and other terpenoid-quinone biosynthesis [PATH:ko00130]|Enzymes&gt;&gt;&gt;2. Transferases&gt;&gt;&gt;2.2  Transferring aldehyde or ketonic groups&gt;&gt;&gt;2.2.1  Transketolases and transaldolases&gt;&gt;&gt;2.2.1.9  2-succinyl-5-enolpyruvyl-6-hydroxy-3-cyclohexene-1-carboxylic-acid synthase</t>
  </si>
  <si>
    <t>--------------------MDSCVDVGIAPVVPSVVA------AAVVLDAAVAAGVREVVVCPGSRSAPLALCAARDPRVRVHTRIDERSAAFFALGMARVTGRPAVVVMTSGTAVANCLPAVIEAAHAHVPLVVASADRPARLVGTGASQTIDQVGMFGGFAECVNVEPLPKRLSEDDAAEFTHAVSMLRTQVDHAFAQVGPQHPLQLNLQFDQPLVGSVDAATAWVRENLP-AADDATSSPAKTHGGQWIDH</t>
  </si>
  <si>
    <t>MTRFLFCCKNTRSAAGIRGLDTHAPAVKVVSMTPSQTSLQDSPRVAQVIAAELARHVTDVVVCPGSRNAPLSLALAARLDLRIHVRIDERSAAFLALGMARVQRRAVPVVMTSGTAVANCLPAVVEAHYSNTPMLVVSADRPARLVGTGASQTINQQGIFGEFAPTVH---LPAGVGDGEAKQATLKALELGVA--------------QLNVALEAPLVG----------KELPLNPEPVSKEFVRPR---RVDHGEVALDLSENTLVIAGDEAWEVPGLEDVPTIAEPTAPAPYHPVHPLAAGVFAREQLSADGYVVDAKPTQVVVVGHPTLHRDVFALMKDPNIRLVCLSQSSQVTDPYHRADAVGTTVKVSGQCSDRWLRLCEAASDMAAQAVRDTLEEDH-GFTGLHVAAGVADTLAVGDSLVLGASNPVRDASFVGLPFDGVDTYAPRGAAGIDGTVAQAVGVALATQARCPDEPRAPRMVALMGDVTFLHDAGGLLVCEGSARPENLTIVVANDNGCGIFEALEMGAPDMRPQFERLFGTPHGVELGDVARGYGADFLQVDTLPALIDALVDTAERPSPSVLVIEAVTTRSTRRALHASIADKVAM</t>
  </si>
  <si>
    <t>---------------------------MTAYSQPHSSQ-----PIAEAIVADIAHYVDDVVICPGSRNSALSLALIARPDVRVHVRIDERSAAFLAVGIARVTKRHVGVVTTSGTAVANCLPAVLEAQNAHIPLAIISADRPDYLVGTGANQTIEQRGLLG--LETYD---IADQHDLGDVFQHHQQV--------------------HINVRLAAPLV-----------EALPQPPQPVVKTPTPTF---IVDH</t>
  </si>
  <si>
    <t>---------------------------MTAYSQPHSSQ-----PIAEAIVADIAHYVDDVVICPGSRNSALSLALIARPDVRVHVRIDERSAAFLAVGIARVTGRHVGVVTTSGTAVANCLPAVLEAQNAHIPLAIISADRPDYLVGTGANQTIEQRGLLG--LETYD---IADQHDLGDVFQHHQQV--------------------HINVRLAAPLV-----------EGLPQPPQPVVKIPTPTF---IVDH</t>
  </si>
  <si>
    <t>GC_00000066</t>
  </si>
  <si>
    <t>PF02542.21</t>
  </si>
  <si>
    <t>YgbB family</t>
  </si>
  <si>
    <t>K01770</t>
  </si>
  <si>
    <t>2-C-methyl-D-erythritol 2,4-cyclodiphosphate synthase [EC:4.6.1.12]</t>
  </si>
  <si>
    <t>COG0245</t>
  </si>
  <si>
    <t>2C-methyl-D-erythritol 2,4-cyclodiphosphate synthase (IspF) (PDB:1GX1)</t>
  </si>
  <si>
    <t>M00096</t>
  </si>
  <si>
    <t>C5 isoprenoid biosynthesis, non-mevalonate pathway</t>
  </si>
  <si>
    <t>Pathway modules; Biosynthesis of terpenoids and polyketides; Terpenoid backbone biosynthesis</t>
  </si>
  <si>
    <t>KEGG Orthology (KO)&gt;&gt;&gt;09100 Metabolism&gt;&gt;&gt;09109 Metabolism of terpenoids and polyketides&gt;&gt;&gt;00900 Terpenoid backbone biosynthesis [PATH:ko00900]|Enzymes&gt;&gt;&gt;4. Lyases&gt;&gt;&gt;4.6  Phosphorus-oxygen lyases&gt;&gt;&gt;4.6.1  Phosphorus-oxygen lyases (only sub-subclass identified to date)&gt;&gt;&gt;4.6.1.12  2-C-methyl-D-erythritol 2,4-cyclodiphosphate synthase</t>
  </si>
  <si>
    <t>MNTAAGLPRVGTAFDAHQVEAGKPCWIAGLLFEGVDGCEGHSDGDVVTHAVIDAVLAASGLGDLGSFVGVGRPEYDGVSGEQLLRELRELLDRESVVVGNVSAQLIANSPKMSARRVEAEERLSELLGAPVSVSATTTDHMGFTGEGRGRAAIATALVYRGV--</t>
  </si>
  <si>
    <t>--MTNIIPRVGIATDAHRIEPGKPCWIACLLFDAADGCEGHSDGDVVAHAVVDALLSASGLGDLGSFVGVGRPEYDNVSGTQLLTECRELLDSHGFTIGNVAVQLVGNTPKMGPRRAEAEGIMGELIGAPVSVSATTTDGLGFTGRGEGRAAIATAVLWK----</t>
  </si>
  <si>
    <t>GC_00000067</t>
  </si>
  <si>
    <t>PF00889.24</t>
  </si>
  <si>
    <t>Elongation factor TS</t>
  </si>
  <si>
    <t>K02357</t>
  </si>
  <si>
    <t>elongation factor Ts</t>
  </si>
  <si>
    <t>COG0264</t>
  </si>
  <si>
    <t>Translation elongation factor EF-Ts (Tsf) (PDB:1EFU)</t>
  </si>
  <si>
    <t>ko03012|ko03012|ko03029</t>
  </si>
  <si>
    <t>Translation factors&gt;&gt;&gt;Eukaryotic type&gt;&gt;&gt;Elongation factors|Translation factors&gt;&gt;&gt;Prokaryotic type&gt;&gt;&gt;Elongation factors|Mitochondrial biogenesis&gt;&gt;&gt;Mitochondrial DNA transcription, translation, and replication factors&gt;&gt;&gt;Mitochondrial transcription and translation factors&gt;&gt;&gt;Mitochondrial translation factors</t>
  </si>
  <si>
    <t>MANFTAADVKKLREITGSGMVDCKKALAETDGDFDKAIEILRIKGAKDVGKRAERTAAEGLIAVSGNTMVEVNSETDFVAKNQEFKDFAAKIAAAAAAVKANTVEELKAAEVDGKKAEDAVLELSAKIGEKLELRRAATIEGDKVAVYLHHRAADLPPAVGVLVAYEGEGEAAEQAAHAAAMQVAAMKARYLNREDVPAEVVEKEREIAEATSREEGKPEAALPKIVEGRLNGFFKDVCLNEQASVTDNKKSVKQVMDEAGVKLTGFVRYEVGQHS</t>
  </si>
  <si>
    <t>MANYTAADVKKLREITGAGMLDCKKALAETDGDFDKAVEILRIKGAKDVGKRAERTAAEGLVAVSGNTIVEINSETDFVAKNSEFKEFAAKIAAAAAAVKANTVEELHNAEVEGKKAVDAIQELSAKIGEKLELRRAATLEGDKLAVYLHHRAADLPPAVGVLVTYTGEGDAAAEAAHGAAMQVAAMKATYLNREDVPAEVVEKERATQEKITREEGKPEAALPKIVEGRMNGFYKDVVLNEQASVADSKKTVKQVMDDAGVTLTGFVRFEVGQHN</t>
  </si>
  <si>
    <t>MANFTAADVKKLREVTGAGMSDCKKALVETDGDFDKAVEILRIKGAKDVGKRAERNALEGLIAVSGTTLVEVNAETDFVAKSAEFIEFAQKVADAAAAAKANTPEELAAVEVDGKPAGEAILELSAKIGEKMQLRRVATLEGDHVSVYLHQRAAGLPPAVGVLVAYKGDGADAEAAAHNAALQVAALKARYLTREDVPAEVVDKERAIAEEITRQEGKPEQAIPKIVEGRLNGFYKDVVLLEQPSVADNKKSVKQLMDAADATLTGFVRFEVGQN-</t>
  </si>
  <si>
    <t>MANFTAADVKKLREVTGAGMSDCKKALVETDGDFDKAVEILRIKGAKDVGKRAERNALEGLIAVSGTTLVEVNAETDFVAKSAEFIEFAQKVADAAAAAKANTPEELAAVEVDGKPAGEAILELSAKIGEKMQLRRVATLEGDHVSVYLHQRAAGLPPAVGVLVAYKGDGADAEAAAHNAALQVAALKARYLTREDVPAEVVDKERAIAEEITRQEGKPEQAIPKIVEGRLNGFYKDVVLLEQPSVADNKKSVKQLMDAAGATLTGFVRFEVGQN-</t>
  </si>
  <si>
    <t>GC_00000068</t>
  </si>
  <si>
    <t>PF01458.23</t>
  </si>
  <si>
    <t>SUF system FeS cluster assembly, SufBD core domain</t>
  </si>
  <si>
    <t>K09014</t>
  </si>
  <si>
    <t>Fe-S cluster assembly protein SufB</t>
  </si>
  <si>
    <t>COG0719</t>
  </si>
  <si>
    <t>Fe-S cluster assembly scaffold protein SufB (SufB) (PDB:1VH4)</t>
  </si>
  <si>
    <t>MTQSQTTVDAPKTDEEIIQSIGAYNYGWHDPDIAGASAQRGLNAHVVADISAKKNEPQWMLDTRLKALSIFDKKPLPTWGADLSDIDFDNIKYFVRSTEKQATSWEELPEDIKNTYDKLGIPEAEKQRLVAGVAAQYESEVVYHQIREDLEEKGVIFVDTDTALREHEELFKEYFGTVIPAGDNKFSALNTAVWSGGSFIYVPKGVHVDIPLQAYFRINTENMGQFERTLIIVDEDAYVHYVEGCTAPIYKSDSLHSAVVEIIVKKGGRCRYTTIQNWSNNVYNLVTKRTKCEEGATMEWVDGNIGSKVTMKYPAVWMTGPHAKGEVLSVAMAGEGQFQDTGAKMVHMAPHTSSNIVSKSVARGGGRAAYRGLVQINKDAHHSTSNVECDALLVDNISRSDTYPYNDIRNDHVSLGHEATVSQVSEDQLFYLMSRGIPEDEAMAMIVRGFVEPIAKELPMEYALELNRLIELQMEGSVG</t>
  </si>
  <si>
    <t>MTQANPA--APQTDEEIIQSIGAYNYGWHDSDDAGASARRGLDEEVVADISAKKNEPEWMLENRLKALSIFEKKPLPTWGADLSDIDFDNIKYFVRSTEQQATTWEDLPEDIKNTYDRLGIPEAEKQRLVAGVAAQYESEVVYHQIRQDLEEKGVIFLDTDTALREHEELFREYFGTVIPAGDNKFAALNTAVWSGGSFVYVPKGVHVDIPLQAYFRINTENMGQFERTLIIVDEDAYVHYVEGCTAPIYKSDSLHSAVVEIIVKKGGRCRYTTIQNWSNNVYNLVTKRTKCEEGATMEWVDGNIGSKVTMKYPAVWMTGPHAKGEVLSVAFAGEGQFQDTGAKMVHMAPYTSSNIVSKSVARSGGRAAYRGLVQINKDAHHSTSNVECDALLVDNISRSDTYPYNDIRNDHVSLGHEATVSQVSEDQLFYLMSRGIAEDEAMAMIVRGFVEPIAKELPMEYALELNRLIELQMEGSVG</t>
  </si>
  <si>
    <t>MTQ-------PATDDEIIESIGPYNYGWHDSDEAGQKARRGLSEEVVRDISAKKNEPEWMLEHRLKALSLFEKKPLPTWGADLSEIDFDNIKYFVRSTEKQAESWEELPEDIKHTYDRLGIPEAEKQRLVAGVAAQYESEVVYHQIREDLERQGVIFLDTDTALKEHPDLVQEYFGTIIPPGDNKFAALNTAVWSGGSFVYVPKGVHVEIPLQAYFRINTENMGQFERTLIIVDEDAYVHYVEGCTAPIYKTDSLHSAVVEIIVKKGGRCRYTTIQNWSNNVYNLVTKRTKCEEGATMEWVDGNIGSKVSMKYPAVWMTGPHAKGEVLSVAFAGEGQFQDTGAKMVHMAPHTSSNIVSKSVARGGGRAAYRGLVRINANAHHSTSNVECDALLVDSISRTDTYPYNDIRNDHVSLGHEATVSQVSEEQLFYLMSRGIKEDEAMAMIVRGFVEPIAKELPMEYALELNRLIELQMEGSVG</t>
  </si>
  <si>
    <t>GC_00000069</t>
  </si>
  <si>
    <t>PF06039.21</t>
  </si>
  <si>
    <t>Malate:quinone oxidoreductase (Mqo)</t>
  </si>
  <si>
    <t>K00116</t>
  </si>
  <si>
    <t>malate dehydrogenase (quinone) [EC:1.1.5.4]</t>
  </si>
  <si>
    <t>COG0579</t>
  </si>
  <si>
    <t>L-2-hydroxyglutarate oxidase LhgO (LhgO) (PDB:3DME)</t>
  </si>
  <si>
    <t>M00009|M00011|M00982</t>
  </si>
  <si>
    <t>Citrate cycle (TCA cycle, Krebs cycle)|Citrate cycle, second carbon oxidation, 2-oxoglutarate =&gt; oxaloacetate|Methylcitrate cycle</t>
  </si>
  <si>
    <t>Pathway modules; Carbohydrate metabolism; Central carbohydrate metabolism|Pathway modules; Carbohydrate metabolism; Central carbohydrate metabolism|Pathway modules; Carbohydrate metabolism; Other carbohydrate metabolism</t>
  </si>
  <si>
    <t>KEGG Orthology (KO)&gt;&gt;&gt;09100 Metabolism&gt;&gt;&gt;09101 Carbohydrate metabolism&gt;&gt;&gt;00020 Citrate cycle (TCA cycle) [PATH:ko00020]|KEGG Orthology (KO)&gt;&gt;&gt;09100 Metabolism&gt;&gt;&gt;09101 Carbohydrate metabolism&gt;&gt;&gt;00620 Pyruvate metabolism [PATH:ko00620]|Enzymes&gt;&gt;&gt;1. Oxidoreductases&gt;&gt;&gt;1.1  Acting on the CH-OH group of donors&gt;&gt;&gt;1.1.5  With a quinone or similar compound as acceptor&gt;&gt;&gt;1.1.5.4  malate dehydrogenase (quinone)</t>
  </si>
  <si>
    <t>-----------------MATTQTQ------------------------------------------------------TAEVDVALIGAGIMSATLGAMLKQLEPTWSQVVFERLDAPAEESSSPWNNAGTGHSALCELNYTPEVAGKVQTAKAIAVNEKFQVARQFLANQLEQGVLSDARDFINQVPHVSFGHGADQVEYLKKRYETLSKHPLFPGMEYTEDPDKFSEFLPLMGTGRDF-SEGVAISWTEVGTD</t>
  </si>
  <si>
    <t>MHTLGVWAVLVLHKASTSATTGYQNGGESGMPGWIFLPSFQGMSYPQRIKRKVCSRWLIVVVKEVKIVSDSMNSAVKGTDEADVVLVGAGIMSATLGAMLRELEPGWSQIIFERLDGPAEESSSPWNNAGTGHSALCELNYTPEVKGKIQTAKAIAVNEKFQISRQFWSHQVDKGVLPHPEGFIHPVPHVSFGQGDTQVAYLRKRYEALNGHPLFPNMKFTDDPDEFAQFLPLMAKGRDFNAEKVAVSWTNEGTDINYGGLAKQFLATAEKDGTDIRYGHEVKDIKPDGSRWKVTVKNRHTGDISVVRANFVFVGAGGMALPLLQKSTIPEVRGFGGFPVSGQWLRCTNEELIEQHNAKVYGQASVGAPPMSVPHLDTRVIDGKKGLLFGPYAGWTPKFLKQGSWTDLPKTLRPTNLMSMLAVGFQELGLTKYLIQELRKDEAAKVEALRQYMPSARKEDWEIVVAGQRVQVIKPIVGPRFGSLEFGTALINNSEGTIAGLLGASPGASIAPAAMLELLERCFGHKMVEWGDKIKEMVPSYGVKLSTNKKLFEQVWERTQRTLKLED</t>
  </si>
  <si>
    <t>--------------MSDSAISATA------------------------------------------------------AAEVDVALIGAGIMSATLGAFLRTLEPQWSQIVFERLDAPAEESSSPWNNAGTGHSALCELNYTPEVRGRVEISKAVAVNEKFQVSRQFWSYQVNQGVLPDPREWINPVPHVSFGRGEEQVNYLRKRYEKLANHPLFPNMRFADDRQKFEEMLPLMAEGRPE-TDKVAISWTDAGTD</t>
  </si>
  <si>
    <t>GC_00000070</t>
  </si>
  <si>
    <t>PF01479.30</t>
  </si>
  <si>
    <t>S4 domain</t>
  </si>
  <si>
    <t>K04762</t>
  </si>
  <si>
    <t>ribosome-associated heat shock protein Hsp15</t>
  </si>
  <si>
    <t>COG1188</t>
  </si>
  <si>
    <t>Ribosomal 50S subunit-recycling heat shock protein, contains S4 domain (HslR) (PDB:3BBU)</t>
  </si>
  <si>
    <t>ko03110</t>
  </si>
  <si>
    <t>Chaperones and folding catalysts&gt;&gt;&gt;Heat shock proteins&gt;&gt;&gt;HSP15</t>
  </si>
  <si>
    <t>MAEFDTSLFTQPVRIDSWVWAVRLIKTRSQSAAECKAGHVKLNGTTVKPSQQVVPGDIITLWHDHRNMKVEVVATISKRVGAPIARTCYIDHSPPPPPKELLMSMPRRDRGAGRPTKKERRELDRLRGRR</t>
  </si>
  <si>
    <t>GC_00000071</t>
  </si>
  <si>
    <t>PF00208.27</t>
  </si>
  <si>
    <t>Glutamate/Leucine/Phenylalanine/Valine dehydrogenase</t>
  </si>
  <si>
    <t>K00262</t>
  </si>
  <si>
    <t>glutamate dehydrogenase (NADP+) [EC:1.4.1.4]</t>
  </si>
  <si>
    <t>COG0334</t>
  </si>
  <si>
    <t>Glutamate dehydrogenase/leucine dehydrogenase (GdhA) (PDB:1B3B) (PUBMED:24391520)</t>
  </si>
  <si>
    <t>ko00001|ko00001|ko00001|ko01000</t>
  </si>
  <si>
    <t>KEGG Orthology (KO)&gt;&gt;&gt;09100 Metabolism&gt;&gt;&gt;09102 Energy metabolism&gt;&gt;&gt;00910 Nitrogen metabolism [PATH:ko00910]|KEGG Orthology (KO)&gt;&gt;&gt;09100 Metabolism&gt;&gt;&gt;09105 Amino acid metabolism&gt;&gt;&gt;00250 Alanine, aspartate and glutamate metabolism [PATH:ko00250]|KEGG Orthology (KO)&gt;&gt;&gt;09100 Metabolism&gt;&gt;&gt;09105 Amino acid metabolism&gt;&gt;&gt;00220 Arginine biosynthesis [PATH:ko00220]|Enzymes&gt;&gt;&gt;1. Oxidoreductases&gt;&gt;&gt;1.4  Acting on the CH-NH2 group of donors&gt;&gt;&gt;1.4.1  With NAD+ or NADP+ as acceptor&gt;&gt;&gt;1.4.1.4  glutamate dehydrogenase (NADP+)</t>
  </si>
  <si>
    <t>-MTRAD-TANMTVEEQVASYYDMLLKRNAGEPEFHQAVAEVLDSLKIVLEKDPHYADYGLIQRLCEPERQIMFRVPWVDDEGVVQVNRGFRVQFNSAIGPYKGGLRFHPSVNLGIIKFLGFEQIFKNSLTGLPIGGGKGGSDFDPKGKSDAEIMRFCQSFMTELYRHIGEYRDVPAGDIGVGGREIGYLFGQYRRLANQHESGVLTGKGLTWGGSLVRTEATGYGLVYFTKEMLAAHGASFSGSKVIVSGSGNVA</t>
  </si>
  <si>
    <t>MGVRGDWKNNMSVDEQVSSYYDMLLKRNAGEPEFHQAVAEVLDSLKIVLNKDPHYADYGLIQRLCEPERQLIFRVPWVDDNGDVQVNRGFRVQFNSALGPYKGGLRFHPSVNLGIIKFLGFEQIFKNSLTGLPIGGGKGGSDFDPKGKSDAEIMRFCQSFMTELHRHIGEYRDVPAGDIGVGGREIGYLFGQYRRLANKHESGVLTGKGLTWGGSLVRTEATGYGLAYFTNEMLKAHGAEFTGSKVIVSGSGNVAIYAIEKAQELGATVIAFSDSSGWVHTPNGVDVAKLKDVKEVRRERVSTYADEVESATYHPEGSIWELPCDIALPCATQNELDGAAARTLADNGCKFVAEGANMPSTADAIEVYRERGIHFGPGKAANAGGVATSALEMQQNACRDSWSFDYTDKRLHDIMSNIFKTCAATAKEYGHDGDYVIGANIAGFKKVADAMLAQGVI</t>
  </si>
  <si>
    <t>---------MTTAEERVSEYYELLVRRNAGEPEFHQAVAEVLASLKIVLDKDPHYADYGLIQRLCEPERQFMFRVPWVDDQGVVQVNRGFRVQFNSALGPYKGGLRFHPSVNLGIIKFLGFEQIFKNSLTGLPIGGGKGGADFDPKGKSDAEIMRFCQSFMTELHHHIGEYRDVPAGDIGVGGREIGYLFGMYRRLSNQHEAGVLTGKGLTWGGSLVRTEATGYGCVYFTQEMMKSHGDSFDGAKVAVSGSGNVA</t>
  </si>
  <si>
    <t>GC_00000072</t>
  </si>
  <si>
    <t>PF01817.26</t>
  </si>
  <si>
    <t>Chorismate mutase type II</t>
  </si>
  <si>
    <t>K04093</t>
  </si>
  <si>
    <t>chorismate mutase [EC:5.4.99.5]</t>
  </si>
  <si>
    <t>COG1605</t>
  </si>
  <si>
    <t>Chorismate mutase (PheA) (PDB:1ECM)</t>
  </si>
  <si>
    <t>M00024|M00025</t>
  </si>
  <si>
    <t>Phenylalanine biosynthesis, chorismate =&gt; phenylpyruvate =&gt; phenylalanine|Tyrosine biosynthesis, chorismate =&gt; HPP =&gt; tyrosine</t>
  </si>
  <si>
    <t>Pathway modules; Amino acid metabolism; Aromatic amino acid metabolism|Pathway modules; Amino acid metabolism; Aromatic amino acid metabolism</t>
  </si>
  <si>
    <t>KEGG Orthology (KO)&gt;&gt;&gt;09100 Metabolism&gt;&gt;&gt;09105 Amino acid metabolism&gt;&gt;&gt;00400 Phenylalanine, tyrosine and tryptophan biosynthesis [PATH:ko00400]|Enzymes&gt;&gt;&gt;5. Isomerases&gt;&gt;&gt;5.4  Intramolecular transferases&gt;&gt;&gt;5.4.99  Transferring other groups&gt;&gt;&gt;5.4.99.5  chorismate mutase</t>
  </si>
  <si>
    <t>MSLDADNSFTPRMPTGTDDPLSDAEIKQYRAEIDRLDKEIIAAVKRRQTVSQAIGRTRMGSGGTKLVHTREVQIINQFREEIGEEGPGLAAILLRMGRGKLG</t>
  </si>
  <si>
    <t>GC_00000073</t>
  </si>
  <si>
    <t>PF00977.27</t>
  </si>
  <si>
    <t>Histidine biosynthesis protein</t>
  </si>
  <si>
    <t>K02500</t>
  </si>
  <si>
    <t>imidazole glycerol-phosphate synthase subunit HisF [EC:4.3.2.10]</t>
  </si>
  <si>
    <t>COG0107</t>
  </si>
  <si>
    <t>Imidazole glycerol phosphate synthase subunit HisF (HisF) (PDB:1OX4)</t>
  </si>
  <si>
    <t>KEGG Orthology (KO)&gt;&gt;&gt;09100 Metabolism&gt;&gt;&gt;09105 Amino acid metabolism&gt;&gt;&gt;00340 Histidine metabolism [PATH:ko00340]|Enzymes&gt;&gt;&gt;4. Lyases&gt;&gt;&gt;4.3  Carbon-nitrogen lyases&gt;&gt;&gt;4.3.2  Amidine-lyases&gt;&gt;&gt;4.3.2.10  imidazole glycerol-phosphate synthase</t>
  </si>
  <si>
    <t>MGIAVRVIPCLDVDNGRVVKGVNFDNLRDAGDPVELAARYDAEGADELTFLDVSASKAGRDTMLDVVRRTAEQVFIPLTVGGGVRTADDVDQLLRAGADKISVNTAAIARPELLRELSERFGAQCIVLSVDARRVPEGGVPQ-PSGFEVTTHGGSRSAGIDAVEWARRGEELGVGEILLNSMDGDGTKDGFDLELISKVREVVSVPVIASGGAGRAQHCSPAVAAGADAVLAASIFHFGEVSIAECKRDIEASGYEVRG</t>
  </si>
  <si>
    <t>MSVAVRIIPCLDVDNGRVVKGVNFQNLRDAGDPVELAARYDAEGADELTFLDVSASKAGRGTMLDVVRRTAEQVFIPLTVGGGVRSVEDVDQLLRAGADKVSVNTSAIARPELLRELSERFGAQCIVLSVDARRATGPDADDMPSGFEVTTHGGSRSAGIDAIEWARTGQELGVGEILLNSMDGDGTKEGFDLELIRKVREAVHLPIIASGGAGAVEHFPPAVAAGADAALAATIFHFGEVAITDCKHAIANAGYEVRL</t>
  </si>
  <si>
    <t>MAVAIRVIPCLDVDNGRVVKGVNFTGLKDAGDPVELAARYDREGADELTFLDVSASVAGRGTMLDVVRRTAEQVFIPLTVGGGVRSVDDVDQLLRAGADKVSINTSAIARPELLRELAARFGSQCIVLSVDARRAQGQ-----PSGFEVTTHGGSKSAGIDAIDWARRGAELGAGEILLNSMDGDGTKAGFDLELIAKVRDAVTIPIIASGGAGRPDHFPPAINAGADAVLAASIFHFGEVSIEEVKTSLAQAGYEVRR</t>
  </si>
  <si>
    <t>MAVAIRVIPCLDVDNGRVVKGVNFTGLKDAGDPVELAARYDREGADELTFLDVSASVAGRGTMLDVVRRTAEQVFIPLTVGGGVRSVDDVDQLLRAGADKVSINTSAIARPELLRELAARFGSQCIVLSVDARRAQGQ-----PSGFEVTTHGGSKSAGIDAIDWARRGAELGAGEILLNSMDGDGTKAGFDLELIAKVRDAVTIPIIASGGAGRPDHFPPAINAGADAVLAASIFHFGEVTIEDVKTSLAQAGYEVRR</t>
  </si>
  <si>
    <t>GC_00000074</t>
  </si>
  <si>
    <t>PF01197.23</t>
  </si>
  <si>
    <t>Ribosomal protein L31</t>
  </si>
  <si>
    <t>K02909</t>
  </si>
  <si>
    <t>large subunit ribosomal protein L31</t>
  </si>
  <si>
    <t>COG0254</t>
  </si>
  <si>
    <t>Ribosomal protein L31 (RpmE) (PDB:1VS6)</t>
  </si>
  <si>
    <t>MKKDIHPDYHPVVFQDAGTGHQFLTRSTAKSDRTTQWEDGNEYPLIVVDVTSESHPFWTGAQRVMDTAGRVEKFQRRYGNRARRAKKA</t>
  </si>
  <si>
    <t>MKKDIHPDYHPVVFQDAGTGHQFLTRSTATSNRTVQWEDGNEYPLIVVDVTSESHPFWTGAQRLMDTAGRVEKFQRRYGGLARRAKKS</t>
  </si>
  <si>
    <t>MKKDIHPDYHPVVFQDAGTGFQFLTRSTVKSNRTIEWEDGNEYPLIVVDVTSESHPFWTGAQRVMDTAGRVEKFQRRFGGMARRAKKS</t>
  </si>
  <si>
    <t>GC_00000075</t>
  </si>
  <si>
    <t>PF01411.24</t>
  </si>
  <si>
    <t>tRNA synthetases class II (A)</t>
  </si>
  <si>
    <t>K01872</t>
  </si>
  <si>
    <t>alanyl-tRNA synthetase [EC:6.1.1.7]</t>
  </si>
  <si>
    <t>COG0013</t>
  </si>
  <si>
    <t>Alanyl-tRNA synthetase (AlaS) (PDB:2ZZE)</t>
  </si>
  <si>
    <t>ko00001|ko01000|ko01007|ko03016|ko03016</t>
  </si>
  <si>
    <t>KEGG Orthology (KO)&gt;&gt;&gt;09120 Genetic Information Processing&gt;&gt;&gt;09122 Translation&gt;&gt;&gt;00970 Aminoacyl-tRNA biosynthesis [PATH:ko00970]|Enzymes&gt;&gt;&gt;6. Ligases&gt;&gt;&gt;6.1  Forming carbon-oxygen bonds&gt;&gt;&gt;6.1.1  Ligases forming aminoacyl-tRNA and related compounds&gt;&gt;&gt;6.1.1.7  alanine---tRNA ligase|Amino acid related enzymes&gt;&gt;&gt;Aminoacyl-tRNA synthetase&gt;&gt;&gt;Class II (C/G)|Transfer RNA biogenesis&gt;&gt;&gt;Eukaryotic type&gt;&gt;&gt;Aminoacyl-tRNA synthetases (AARSs)&gt;&gt;&gt;Other AARSs|Transfer RNA biogenesis&gt;&gt;&gt;Prokaryotic type&gt;&gt;&gt;Aminoacyl-tRNA synthetases (AARSs)&gt;&gt;&gt;Other AARSs</t>
  </si>
  <si>
    <t>----------------MQTHEIRERFIQHFVKAGHQEVPSASLILDDPNLLFVNAGMVPFKPYFLGQQNPPFPNGTATSIQKCVRTLDIEEVGITTRHNTFFQMAGNFSFGQYFKEGAITHAWGLLTGSLEEGGFGLDPERLWVTVYLDDDEAADIWEKKIGLPADRIQRLGMADNYWSMGIPGPCGPCSEIYYDRGPEYGKEGGPIADDNRYMEIWNLVFMQNERGEGIGKDNFEILGPLPKKNIDTGLGVERV</t>
  </si>
  <si>
    <t>----------------MQTHEIRDRFIQHFVNEGHTEVPSASLILDDPNLLFVNAGMVPFKPYFLGQQNPPFPNGTATSIQKCVRTLDIEEVGITTRHNTFFQMAGNFSFGQYFKEGAIKNAWSLLTSSVEDGGYGLDPERLWVTVYLEDDEAADIWEKKIGLPAERIQRLGMADNYWSMGIPGPCGPSSEIYYDRGPEYGKEGGPVVDDSRYMEIWNLVFMEKERGEGTGKDNFEIVGDLPKKNIDTGLGVERV</t>
  </si>
  <si>
    <t>----------------MQTHEIRERFTHHFVKAGHEAVPSASLILDDPNLLFVNAGMVPFKPYFLGQQTPPFPNGTATSIQKCVRTLDIEEVGITTRHNTFFQMAGNFSFGQYFKEGAITHAWSLLTSPIDEGGYGFDPEKIWVTVYLDDDEAANIWENVVGIPAERIQRLGMADNFWSMGIPGPCGPSSEIYYDRGPEYGNEGGPAADDSRYLEIWNLVFMEKERGAGTGKDNFEILGPLPKKNIDTGMGVERI</t>
  </si>
  <si>
    <t>MGVGAKLDNSVRTLTTVQTHEIRERFTHHFVKAGHEAVPSASLILDDPNLLFVNAGMVPFKPYFLGQQTPPFPNGTATSIQKCVRTLDIEEVGITTRHNTFFQMAGNFSFGQYFKEGAITHAWSLLTSPIDEGGYGFDPEKIWVTVYLDDDEAANIWENVVGIPAERIQRLGMADNFWSMGIPGPCGPSSEIYYDRGPEYGNEGGPAADDSRYLEIWNLVFMEKERGAGTGKDNFEILGPLPKKNIDTGMGVERIACLLQGVDNVYETDLLRPVIDEAQRLTGATYGANHEDDIRFRVIADHSRTAMMIILDGVTPGNEGRGYILRRLLRRIIRSARLLGATGKTMESFMNTIMDTMTPSYPEIADNRERIQRVAITEETAFLKTLESGTELFETTAAKIKQEGKTTVAGADAFALHDTYGFPIDLTLEMAAEAGLQVDTEGFDKLMAEQRARAKADSQAKKHGHTDLSIYRDWVDNHPTEFIGYDELTAQSHVIGLLSDGKKVSEVSAGHDVEVILDASTFYAEAGGQIGDRGTMTLGDSLLRVNDVQKIGKKLWVHRATVETGGFALGDTVTAAVDPAWRHAARQAHSATHLIHAALREVLGPTAVQAGSMNKPGYLRFDFNYTEQLTPEQLEHIELITNQAVDADWQVNTIETTLDEAKTMGAMALFGENYGNIVRVVEIGGPFSMELCGGTHVAHSSQIGPVSILGESSIGSGARRIEAYSGLDSFKYLSKERTLVAGLASALKAPSAEVPDRIAQLTTKLKEAEKTIENLRKAELLAQGSRLVARAHLPNGITVASAVLPDGTTAGDLRTLAADVKNHLA--GEAGVVLLASSTSDGKVPFVVAATKEAIARGANAGTIVKTLNPYIDGRGGGKPDMAQGSGS--NPDGLPEGLK----AASDHIATL</t>
  </si>
  <si>
    <t>GC_00000076</t>
  </si>
  <si>
    <t>PF00218.27</t>
  </si>
  <si>
    <t>Indole-3-glycerol phosphate synthase</t>
  </si>
  <si>
    <t>K01609</t>
  </si>
  <si>
    <t>indole-3-glycerol phosphate synthase [EC:4.1.1.48]</t>
  </si>
  <si>
    <t>COG0134</t>
  </si>
  <si>
    <t>Indole-3-glycerol phosphate synthase (TrpC) (PDB:6BMA)</t>
  </si>
  <si>
    <t>KEGG Orthology (KO)&gt;&gt;&gt;09100 Metabolism&gt;&gt;&gt;09105 Amino acid metabolism&gt;&gt;&gt;00400 Phenylalanine, tyrosine and tryptophan biosynthesis [PATH:ko00400]|Enzymes&gt;&gt;&gt;4. Lyases&gt;&gt;&gt;4.1  Carbon-carbon lyases&gt;&gt;&gt;4.1.1  Carboxy-lyases&gt;&gt;&gt;4.1.1.48  indole-3-glycerol-phosphate synthase</t>
  </si>
  <si>
    <t>MATVFEQIVRGVKEDVEQRRARVPMDRMKELSQSVRPPRDVMGVLRQPGCGVIAEIKRASPTLGPLPPISSVAELAHQFELGGAWMVGCQTESRRFQGSLDDLKAVADAVSVPVMCRDFIVDPYQIHEARFYGADMIPLHVGLLEPAQLSALIDRVHSLSMVALVEVQNAEEATRAMHAGARVIGVNARNLASLTLNREAFIDIAPGLPDDVVKIALSGVRSAADLLTYAGAGADAVVVGTELVTAQVPSTLVRQLSAAGAHPCCPSVD</t>
  </si>
  <si>
    <t>MTTVFDQFLAGVRADINAREARLSFQDIKALSASVPPPRDALGALLQRGCGVIAEIKRATPAKGTIAWFDSPKDVAVQFEAGGAQVISCHTGRHGYGGSFQDLDVVKSAVGVPVMCKDLIIDPYQVHEARYFGADMVALVASVLDQSRLESLLDRVESLGMTALVEVHTTEDATRAISAGARVVGINARNAHTMTVDRDTFSEIAPGLPSGTVRVAMSGVRTVADLMRYAGAGADAVIVGEELVTAANPREACRKLVAAGQHPACPSMN</t>
  </si>
  <si>
    <t>MTTVFDQFLAGVRADINAREARLSFQDIKALSASVPPPRDALGALLQRGCGVIAEIKRATPAKGTIAWFDSPKDVAVQFEAGGAQVISCHTGRHGYGGSFQDLDVVKSAVGVPVMCKDLIIDPYQVHEARYFGADMVALVASVLDQSRLESLLDRVESLGMTALVEVHTTEDATRAISAGARVVGINARNAHTMTVDRDTFSEIAPGLPSRTVRVAMSGVRTVADLMRYAGAGADAVIVGEELVTAANPREVCRKLVAAGQHPACPSMN</t>
  </si>
  <si>
    <t>MTTVFDAIIAGVRENVAARESVVPFRAIKAQSHDCEPPRDARSALLQPGCKLIAEVKHPTPELHIHTTPLDPVRLAQAFEQSGAALIACHTEQLRFHSSLAEMAAVRHAVGVPILCRDLIVEPYQIHEARYFGADMIPLRVDTLGQAQLESLLDRVESLGMQALVEIRNPEEADRAMQAGATIIGVNSRDFQTVAQGRIAFSEIAPGLPATVVKIALSGVRYASELYEFAARGADAVVVGQPLMTGESVRSVTRSLAAAAQHPACPRR-</t>
  </si>
  <si>
    <t>GC_00000077</t>
  </si>
  <si>
    <t>PF00294.29</t>
  </si>
  <si>
    <t>pfkB family carbohydrate kinase</t>
  </si>
  <si>
    <t>K00852</t>
  </si>
  <si>
    <t>ribokinase [EC:2.7.1.15]</t>
  </si>
  <si>
    <t>COG0524</t>
  </si>
  <si>
    <t>Sugar or nucleoside kinase, ribokinase family (RbsK) (PDB:2QCV)</t>
  </si>
  <si>
    <t>Glycolysis</t>
  </si>
  <si>
    <t>KEGG Orthology (KO)&gt;&gt;&gt;09100 Metabolism&gt;&gt;&gt;09101 Carbohydrate metabolism&gt;&gt;&gt;00030 Pentose phosphate pathway [PATH:ko00030]|Enzymes&gt;&gt;&gt;2. Transferases&gt;&gt;&gt;2.7  Transferring phosphorus-containing groups&gt;&gt;&gt;2.7.1  Phosphotransferases with an alcohol group as acceptor&gt;&gt;&gt;2.7.1.15  ribokinase</t>
  </si>
  <si>
    <t>MSSSVSPKTAAPSVDVVVVGSINADQVVRVPRHPKPGETLLGSSLTHTAGGKGANQAVAAALQGARVAFVGAYGCDAYADVALEFLRSSGVYLAATRELDTNTGFAAIQVSDDGENSIVVIPGANEQVDAAFVSDNGSVIDDAAMVLLQGEVPASGFAQAVDMAVAAGRRVVVNLAPVIEVDREALLAADPLMVNEHEGGLVLEQLGLPVPAG----DAARVAALLEAGFASVVMTLGARGALVASADAPEPVAVASPKVTAVDTTGAGDCFAGAFVAHMAAHPDQCDLVAAAEHAVRVAAFSVQHPGAQVSYPDKEAELPC-</t>
  </si>
  <si>
    <t>GC_00000078</t>
  </si>
  <si>
    <t>PF03992.22</t>
  </si>
  <si>
    <t>Antibiotic biosynthesis monooxygenase</t>
  </si>
  <si>
    <t>COG1359</t>
  </si>
  <si>
    <t>Quinol monooxygenase YgiN (YgiN) (PDB:1R6Y) (PUBMED:15613473)</t>
  </si>
  <si>
    <t>-----------MILINVKFTPLPDNVATFPELVRDFTQATRAEDGCLFFEWYRSTERLNEYILVEGFKDDAAEAHVGSEHFKAACELFPTILEKTPEIINTLIEGKTHWDEMAEFQVQ-</t>
  </si>
  <si>
    <t>MLQRDLAILGGMILINVKFKVRPEYVETFRDEAAEFTNATRAEPGCLFYEWYRSTDRPDEYVLVEGFQDDAAEAHVNSEHFKKATELFPTLLVETPTIINTLIPGKTEWDEMAEFKVN-</t>
  </si>
  <si>
    <t>K11530</t>
  </si>
  <si>
    <t>(4S)-4-hydroxy-5-phosphonooxypentane-2,3-dione isomerase [EC:5.3.1.32]</t>
  </si>
  <si>
    <t>KEGG Orthology (KO)&gt;&gt;&gt;09140 Cellular Processes&gt;&gt;&gt;09145 Cellular community - prokaryotes&gt;&gt;&gt;02024 Quorum sensing [PATH:ko02024]|Enzymes&gt;&gt;&gt;5. Isomerases&gt;&gt;&gt;5.3  Intramolecular oxidoreductases&gt;&gt;&gt;5.3.1  Interconverting aldoses and ketoses, and related compounds&gt;&gt;&gt;5.3.1.32  (4S)-4-hydroxy-5-phosphooxypentane-2,3-dione isomerase</t>
  </si>
  <si>
    <t>GC_00000079</t>
  </si>
  <si>
    <t>PF12698.13</t>
  </si>
  <si>
    <t>ABC-2 family transporter protein</t>
  </si>
  <si>
    <t>COG0842</t>
  </si>
  <si>
    <t>ABC-type multidrug transport system, permease component (YadH)</t>
  </si>
  <si>
    <t>MTTPITHGSGRFDNVSFAPDPRRASTASMVRAQTAIESKLFLRHGEQQLLSLVIPFVSLVTLTVFDVVEMG--LDVVFPLTLAISAMSSGFTGQAIAVAFDRRYGALKRIGASGVPPWTIIAGKVAAVLAVAAVQTLILGVTAVVLGWRAAPVDVALAAVVLILGVAAFCALGLLLGGTLGSEFVLAFGNLLWFLFVGIASYATIRLGATPPLWLELVPSVALAEGLESAFAGHVPVAECVIIGAWALVGSVAATRLFKFT-</t>
  </si>
  <si>
    <t>PF01061.29</t>
  </si>
  <si>
    <t>ABC-2 type transporter</t>
  </si>
  <si>
    <t>GC_00000080</t>
  </si>
  <si>
    <t>PF01765.24</t>
  </si>
  <si>
    <t>Ribosome recycling factor</t>
  </si>
  <si>
    <t>K02838</t>
  </si>
  <si>
    <t>ribosome recycling factor</t>
  </si>
  <si>
    <t>COG0233</t>
  </si>
  <si>
    <t>Ribosome recycling factor (Frr) (PDB:1DD5)</t>
  </si>
  <si>
    <t>ko03012|ko03012</t>
  </si>
  <si>
    <t>Translation factors&gt;&gt;&gt;Eukaryotic type&gt;&gt;&gt;Release factors|Translation factors&gt;&gt;&gt;Prokaryotic type&gt;&gt;&gt;Release factors</t>
  </si>
  <si>
    <t>MIDDILLESEDRMIHSVEHAREDLTTIRTGRANPAMFNGVMAEYYGTMTPITQMATISVPEPRMMIIKPYEMSVMADIENAIRNSDLGVNPTNDGQVLRVTIPQLTEERRRDLVKVAKSKGEDAKIAIRNIRRKGMDQLKRIQKDGAAGEDEVQAAEKELDKVTAKYVAQVDEVVALKEKELLEV</t>
  </si>
  <si>
    <t>MIDDTLLDCEERMTNSVEHAREELTTIRTGRANPAMFNGVLAEYYGTMTPITQMATISVPEPRMLLIKPYEMSAMGDIENAIRNSDLGVNPTNDGQVLRVTIPQLTEERRRDMVKLARSKGEDAKIAIRNVRRKGMEELKRIQKDGEAGEDEVQAAEKELDKVTHKYVAQVDELVAKKEKELMDV</t>
  </si>
  <si>
    <t>MIDDTLLDCEERMTNSVEHAREELTTIRTGRANPAMFNGVLAEYYGTMTPITQMATISVPEPRMLLIKPYEMSAMSDIENAIRNSDLGVNPTNDGQVLRVTIPQLTEERRRDMVKLARSKGEDAKIAIRNVRRKGMEELKRIQKDGEAGEDEVQAAEKELDKVTHKYVAQVDELVAKKEKELMDV</t>
  </si>
  <si>
    <t>MIDEILLECEEHMSTTVDRTREELTTIRTGRANPAMFNGVVADYYGVPTPITQMATVSVPEARMMLIKPYEMSMMGVIENAIRNSDLGVNPTNDGQVLRVTIPQLTEERRRDMVKLAKSKGEDGKIAIRNVRRKGMDQLKKIHKDGDAGEDEVQAAEKELDKVTQKYVAAVDEVVQKKEAELMEV</t>
  </si>
  <si>
    <t>GC_00000081</t>
  </si>
  <si>
    <t>PF02878.22</t>
  </si>
  <si>
    <t>Phosphoglucomutase/phosphomannomutase, alpha/beta/alpha domain I</t>
  </si>
  <si>
    <t>K01835</t>
  </si>
  <si>
    <t>phosphoglucomutase [EC:5.4.2.2]</t>
  </si>
  <si>
    <t>COG0033</t>
  </si>
  <si>
    <t>Phosphoglucomutase/phosphomannomutase (Pgm) (PDB:1C47) (PUBMED:30938049)</t>
  </si>
  <si>
    <t>M00855|M00549</t>
  </si>
  <si>
    <t>Glycogen degradation, glycogen =&gt; glucose-6P|Nucleotide sugar biosynthesis, glucose =&gt; UDP-glucose</t>
  </si>
  <si>
    <t>Pathway modules; Carbohydrate metabolism; Other carbohydrate metabolism|Pathway modules; Carbohydrate metabolism; Other carbohydrate metabolism</t>
  </si>
  <si>
    <t>ko00001|ko00001|ko00001|ko00001|ko00001|ko00001|ko00001|ko01000</t>
  </si>
  <si>
    <t>KEGG Orthology (KO)&gt;&gt;&gt;09100 Metabolism&gt;&gt;&gt;09101 Carbohydrate metabolism&gt;&gt;&gt;00010 Glycolysis / Gluconeogenesis [PATH:ko00010]|KEGG Orthology (KO)&gt;&gt;&gt;09100 Metabolism&gt;&gt;&gt;09101 Carbohydrate metabolism&gt;&gt;&gt;00030 Pentose phosphate pathway [PATH:ko00030]|KEGG Orthology (KO)&gt;&gt;&gt;09100 Metabolism&gt;&gt;&gt;09101 Carbohydrate metabolism&gt;&gt;&gt;00052 Galactose metabolism [PATH:ko00052]|KEGG Orthology (KO)&gt;&gt;&gt;09100 Metabolism&gt;&gt;&gt;09101 Carbohydrate metabolism&gt;&gt;&gt;00500 Starch and sucrose metabolism [PATH:ko00500]|KEGG Orthology (KO)&gt;&gt;&gt;09100 Metabolism&gt;&gt;&gt;09101 Carbohydrate metabolism&gt;&gt;&gt;00520 Amino sugar and nucleotide sugar metabolism [PATH:ko00520]|KEGG Orthology (KO)&gt;&gt;&gt;09100 Metabolism&gt;&gt;&gt;09104 Nucleotide metabolism&gt;&gt;&gt;00230 Purine metabolism [PATH:ko00230]|KEGG Orthology (KO)&gt;&gt;&gt;09100 Metabolism&gt;&gt;&gt;09110 Biosynthesis of other secondary metabolites&gt;&gt;&gt;00521 Streptomycin biosynthesis [PATH:ko00521]|Enzymes&gt;&gt;&gt;5. Isomerases&gt;&gt;&gt;5.4  Intramolecular transferases&gt;&gt;&gt;5.4.2  Phosphotransferases (phosphomutases)&gt;&gt;&gt;5.4.2.2  phosphoglucomutase (alpha-D-glucose-1,6-bisphosphate-dependent)</t>
  </si>
  <si>
    <t>MPDPRAGQPARPEDLIDVAQLVTAYFTLSPDPENPDQQVVFGTSGHRGSALDGAFNEAHILATTQAIVDYRRGQRIGGPVFIGRDTHALSEPAMVSALEVLLANDVEVIVDAAGRYTPTPAVSHAILAHNAALEGGVLGVSPKRADGIVITPSHNPPRDGGFKYNPPNGGPADTDATDWIAARANEYVRAGLDGVKRTSVAGVRDPRCQLFDFRSHYVADLPDVVDVEAIAASGLSIGADPMGGASVDYWGAIAEAHGLNLTVVNPLVDPTWRFMTLDTDGQIRMDCSSPDSMASLVANRGTFDLATGNDADADRHGIVTPDAGLMNPNHYLAVAIDYLFAHRPGWGENTAVGKTLVSSSMIDRVVANLGRTLVEVPVGFKWFVPGLIDGSVGFGGEESAGASFLRKGGTVWSTDKDGIILDLLAAEITARTGLTPSQRYAQLEAQFGAPVYARTDAPANREQKAVLKKLSPEQVTATELAGEPIIAKLTSAPGNGAPIGGLKVVTDNAWFAARPSGTEDKYKIYAESFNGEEHLAVVQQEAQALVSAVLGS</t>
  </si>
  <si>
    <t>MAHERAGLVAEDRDLIDIAEVVTAYYTRIPDVENPDQQVAFGTSGHRGSSLDSAFNENHIHATTQAIVDYRTQQGINGPIFIGRDTHALSEPAMVSALEVLLANDVAVLVDDRGRYTPTPAVSHAILAHNAKLPGGVTGTDPKRADGIVITPSHNPPRDGGFKYNPPNGGPADTDATDWIANRANELLRAGLTGVKRVPVSGVLDSRCTPYNYLDTYIADLPNVVNIEAIRSSGLSIGADPMGGASVDYWGAIADAHRLNLTVVNPKVDATWRFMTLDTDGKIRMDCSSPNSMASLVHNRSKFDIATGNDADADRHGIVTPDFGLMNPNHYLAVAIEYLFGNRPGWSPETAVGKTLVSSSMIDRVVGALGRRLEEVPVGFKWFVPGLIDGTIGFGGEESAGASFLRHDGTVWSTDKDGIILDLLASEITAVTGKTPSQRYAELAEQYGAPVYARTDANATREQKAVLKALSPEQVTATTLAGEEITAKLTHAPGNGAPIGGLKVCTENAWFAARPSGTEDKYKIYAESFLGEEHLAKVQSEAAELVDDVLGG</t>
  </si>
  <si>
    <t>MAHERAGLVAEDRDLIDIAEVVTAYYTRIPDVENPDQQVAFGTSGHRGSSLDSAFNENHIHATTQAIVDYRTQQGINGPIFIGRDTHALSEPAMVSALEVLLANDVPVLVDDRGRYTPTPAVSHAILAHNAKLPGGVTGTDSKRADGIVITPSHNPPRDGGFKYNPPNGGPADTDATDWIANRANELLRAGLTGVKRVPVSGVLDSRCTPYNYLDTYIADLPNVVNIEAIRSSGLSIGADPMGGASVDYWGAIADAHRLNLTVVNPKVDATWRFMTLDTDGKIRMDCSSPNSMASLVHNRSKFDIATGNDADSDRHGIVTPDFGLMNPNHYLAVAIEYLFGNRPGWSPETAVGKTLVSSSMIDRVVGALGRRLEEVPVGFKWFVPGLIDGTIGFGGEESAGASFLRHDGTVWSTDKDGIILDLLASEITAVTGKTPSQRYAELAEQYGAPVYARTDANATREQKAVLKALSPEQVTATTLAGEEITAKLTHAPGNGAPIGGLKVCTENAWFAARPSGTEDKYKIYAESFLGEEHLAKVQSEAAELVDDVLGG</t>
  </si>
  <si>
    <t>MAHERAGQVALPEDLIDIAEVVTAYYTRVPNPDNPDQQVVFGTSGHRGASLDNAFNENHILATTQAIVDYRNAQGIGGPIFIGRDTHALSEPAQISAMEVLLANNVEVLVDDRGRYTPTPAVSHAILAYNSRLSGGVTGTDPKRADGIVITPSHNPPRDGGFKYNPPNGGPADTDATDWIAERANNLLRGGLKDVKRVSVSGVLDPKATKYNYMDTYVADLPNVVNLDVIRESGLSIGADPMGGASVDYWGAIAEAHKLNLTVVNPLVDATWRFMTLDTDGKIRMDCSSPNSMASLVRNRDKYDIATGNDADSDRHGIVTPDYGLMNPNHYLSVAIDYLFAHRPGWSTD-AVGKTLVSSSMIDRVVAALGKKLVEVPVGFKWFVPGLIDGSIGFGGEESAGASFLRHNGTVWSTDKDGIILDLLASEITAVTGKTPSQRYAELASEYGAPAYARTDADATREQKAILKALSPDQVTATELAGEPIIDKLTKAPGNGAPLGGLKVVTESAWFAARPSGTEDKYKIYAESFRGAEHLAEVQKAAQELVSSVLGV</t>
  </si>
  <si>
    <t>GC_00000082</t>
  </si>
  <si>
    <t>PF03840.19</t>
  </si>
  <si>
    <t>Preprotein translocase SecG subunit</t>
  </si>
  <si>
    <t>K03075</t>
  </si>
  <si>
    <t>preprotein translocase subunit SecG</t>
  </si>
  <si>
    <t>COG1314</t>
  </si>
  <si>
    <t>Protein translocase subunit SecG (SecG) (PDB:2AKH)</t>
  </si>
  <si>
    <t>ko00001|ko00001|ko00001|ko02044</t>
  </si>
  <si>
    <t>KEGG Orthology (KO)&gt;&gt;&gt;09120 Genetic Information Processing&gt;&gt;&gt;09123 Folding, sorting and degradation&gt;&gt;&gt;03060 Protein export [PATH:ko03060]|KEGG Orthology (KO)&gt;&gt;&gt;09130 Environmental Information Processing&gt;&gt;&gt;09131 Membrane transport&gt;&gt;&gt;03070 Bacterial secretion system [PATH:ko03070]|KEGG Orthology (KO)&gt;&gt;&gt;09140 Cellular Processes&gt;&gt;&gt;09145 Cellular community - prokaryotes&gt;&gt;&gt;02024 Quorum sensing [PATH:ko02024]|Secretion system&gt;&gt;&gt;Sec (secretion) system&gt;&gt;&gt;Prokaryotic Sec-SRP core components</t>
  </si>
  <si>
    <t>MALTLQIILVVSSLAMTMFVLLHKGKGGGLSSLFGGGVQSNLSGSTVVEKNLDRMTIIMAIIWIACIIGLNLLQAYA-</t>
  </si>
  <si>
    <t>MALTLQIILVLSCLVLTMFVLLHKGKGGGLSSLFGGGVQSNLSGSTVVEKNLNRVTILTAIVWLVCIIGLNLIQAYAS</t>
  </si>
  <si>
    <t>MTLALQIILVLSCVLMTLFVLLHRGKGGGLSSLFGGGVQSNLSGSTVVEKNLDRFTIITGIVWLACIVALNLMQVYS-</t>
  </si>
  <si>
    <t>GC_00000083</t>
  </si>
  <si>
    <t>PF02277.22</t>
  </si>
  <si>
    <t>Phosphoribosyltransferase</t>
  </si>
  <si>
    <t>K00768</t>
  </si>
  <si>
    <t>nicotinate-nucleotide--dimethylbenzimidazole phosphoribosyltransferase [EC:2.4.2.21]</t>
  </si>
  <si>
    <t>COG2038</t>
  </si>
  <si>
    <t>NaMN:DMB phosphoribosyltransferase (CobT) (PDB:1D0S)</t>
  </si>
  <si>
    <t>Cobalamine/B12 biosynthesis</t>
  </si>
  <si>
    <t>M00122</t>
  </si>
  <si>
    <t>Cobalamin biosynthesis, cobyrinate a,c-diamide =&gt; cobalamin</t>
  </si>
  <si>
    <t>Pathway modules; Metabolism of cofactors and vitamins; Cofactor and vitamin metabolism</t>
  </si>
  <si>
    <t>KEGG Orthology (KO)&gt;&gt;&gt;09100 Metabolism&gt;&gt;&gt;09108 Metabolism of cofactors and vitamins&gt;&gt;&gt;00860 Porphyrin metabolism [PATH:ko00860]|Enzymes&gt;&gt;&gt;2. Transferases&gt;&gt;&gt;2.4  Glycosyltransferases&gt;&gt;&gt;2.4.2  Pentosyltransferases&gt;&gt;&gt;2.4.2.21  nicotinate-nucleotide---dimethylbenzimidazole phosphoribosyltransferase</t>
  </si>
  <si>
    <t>MVPAELFAKVEAPNAEVEQQARDRQLTLTKPAGSLGRLEDLGVWISACQGQCPPHSIDNPRIVVFAGDHGVAQHGVSAYPSEVSLQMAANIQAGGAAINVLGRAAGASVRVVDVSLDHDVWGD-----ERVSRSCGSIDREDAMDDDQVIRSLQIGQRVADQEVDSGVDLLIAGDLGIGNTTPAAALIGAMTSTEPVVVVGRGTGIDDEGWKRKVTAVRDAMYRVRAIKHDPIAVLKAISSPDLAAMAGFLAQAAVRRTPVLLDGVVVTSAALMANKLAPGARKWWVAGHKGAEPAHILALNSLHLDPLLDFGMRLGEGSGAAAALPLVKAATDIMTDMATFESAGVSEKD</t>
  </si>
  <si>
    <t>MQPAEFFPKVTPPSLKAADAAREFQLTLTKPTGSLARLEDLGVWLASCQDQVPPKKLTQPRMVIFAGDHGVATKKVSPYPKEVSIQMAANIKAGGGGINAIANESGIGIRVVDISLDHDEDVDVVGLQERVRRSCGSIDVEDAMTEAELVAAINVGKRIADEEVDNGADLLMAGDLGIGNTSPSAVIIGLLTGQEPVVVTGRGSGVNDEGWKRKVAVVRDAMFRARKDKGDVLTLMRKVTSPELAAMAAFLAQAAVRRTPIVLDGVVVTAAALLAERLAPGARAWMQAGHRSAEPAHTFALESLKLEPLLDLGLRLGEGSGAAAAFPLVRMATNIMNDMATFESAQVSNKE</t>
  </si>
  <si>
    <t>MQPAEFFPKVTPPSLKAADAAREFQLTLTKPTGSLARLEDLGVWLASCQDQVPPKKLTQPRMVIFAGDHGVATKKVSPYPKEVSIQMAANIKAGGGGINAIANESGIGIRVVDISLDHDEDVDVVGLQERVRRSCGSIDIEDAMTEAELVAAINVGKRIADEEVDNGADLLMAGDLGIGNTSPSAVIIGLLTGQEPVVVTGRGSGVNDEGWKRKVAVVRDAMFRARKDKGDVLTLMRKVTSPELAAMAAFLAQSAVRRTPIVLDGVVVTAAALLAERLAPGARAWMQAGHRSAEPAHTFALESLKLEPLLDLGLRLGEGSGAAAAFPLVRMATNIMNDMATFESAQVSNKE</t>
  </si>
  <si>
    <t>GC_00000084</t>
  </si>
  <si>
    <t>PF07991.19</t>
  </si>
  <si>
    <t>Acetohydroxy acid isomeroreductase, NADPH-binding domain</t>
  </si>
  <si>
    <t>E|H</t>
  </si>
  <si>
    <t>Amino acid transport and metabolism|Coenzyme transport and metabolism</t>
  </si>
  <si>
    <t>K00053</t>
  </si>
  <si>
    <t>ketol-acid reductoisomerase [EC:1.1.1.86]</t>
  </si>
  <si>
    <t>COG0059</t>
  </si>
  <si>
    <t>Ketol-acid reductoisomerase (IlvC) (PDB:1NP3)</t>
  </si>
  <si>
    <t>Isoleucine, leucine, valine biosynthesis</t>
  </si>
  <si>
    <t>M00019|M00570</t>
  </si>
  <si>
    <t>Valine/isoleucine biosynthesis, pyruvate =&gt; valine / 2-oxobutanoate =&gt; isoleucine|Isoleucine biosynthesis, threonine =&gt; 2-oxobutanoate =&gt; isoleucine</t>
  </si>
  <si>
    <t>Pathway modules; Amino acid metabolism; Branched-chain amino acid metabolism|Pathway modules; Amino acid metabolism; Branched-chain amino acid metabolism</t>
  </si>
  <si>
    <t>KEGG Orthology (KO)&gt;&gt;&gt;09100 Metabolism&gt;&gt;&gt;09105 Amino acid metabolism&gt;&gt;&gt;00290 Valine, leucine and isoleucine biosynthesis [PATH:ko00290]|KEGG Orthology (KO)&gt;&gt;&gt;09100 Metabolism&gt;&gt;&gt;09108 Metabolism of cofactors and vitamins&gt;&gt;&gt;00770 Pantothenate and CoA biosynthesis [PATH:ko00770]|Enzymes&gt;&gt;&gt;1. Oxidoreductases&gt;&gt;&gt;1.1  Acting on the CH-OH group of donors&gt;&gt;&gt;1.1.1  With NAD+ or NADP+ as acceptor&gt;&gt;&gt;1.1.1.86  ketol-acid reductoisomerase (NADP+)</t>
  </si>
  <si>
    <t>MAIELLYDADADLSLIQGRKVAIIGYGSQGHAHAQCLRDSGVEVVVGLREGSKSAAKAEEAGFTVKSNADAAAWADVVMLLAPDTSQAKIYSDDIAPNLKDGDAIFFGHGLNVHFDLIKPADNITVGMVAPKGPGHLVRRQFVDGKGVPCLIAVDQDPKGEGKALALSYAAAIGGARAGVIPTTFKEEVETDLFGEQVVLCGGLEYLMMAGFEVLTEAGYAPEMAYFEVLHEMKLIVDLIWEGGLANMNYSISDTAEFGGYVAGPRIIDADTKQRMKDVLADIQDGTFVKQLIANVEGGNKDLEAKRAAVNAHPIEETGKKLRDLMSWVKNPLDATA</t>
  </si>
  <si>
    <t>MAIEVLYDADADLSLIQGRKVAIIGYGSQGHAHAQCLRDSGVEVVIGLREGSKSAEKAKEAGFTVKSNAEAAEWADLIMLLAPDTSQANIFTTDIEPHLKDGDAIFFGHGLNIHFELIKPAANITVGMVAPKGPGHLVRRQFVDGKGVPCLIAVAQDPTSNGKELALSYAAAIGGARAGVIPTTFREETETDLFGEQAVLCGGLEYLMMTGFEVLTEAGYSPEMAYFEVLHEMKLIVDLIWEGGIGNMNYSISDTAEFGGYIAGPQIIDAGTKERMKKVLADIQDGSFVKKLIANVEGGNKELEAMRAKIGEHPIEKTGEKLRDLMSWVKNPLNETA</t>
  </si>
  <si>
    <t>MAIEVLYDADADLSLIQGRKVAVLGYGSQGHAHAQNLRDSGVEVVVGLREGSKSAEKAKEAGFKVLSNADATAWADVIMVLIPDTSQAKVYKEEIEPNLSDGNALLFGHGLNIHFHLIEPAANITVGMVAPKGPGHLVRRQFVDGKGVPCLIAVEQDPKGEGKALCLSYAAAIGGARAGVIPTTFEAETVTDLFGEQAVLCGGIEELIKVGFEVLTEAGYEPEMAYFECLHEMKLIVDLMFEGGISNMNYSISDTAEFGGYLSGPRLIDESAKQRMRDILSDIQDGTFTKRLLANIEGGNKELEELRAKNANHPIEKVGDKLRDLMSWVKNPLDETA</t>
  </si>
  <si>
    <t>GC_00000085</t>
  </si>
  <si>
    <t>PF00381.24</t>
  </si>
  <si>
    <t>PTS HPr component phosphorylation site</t>
  </si>
  <si>
    <t>T|G</t>
  </si>
  <si>
    <t>Signal transduction mechanisms|Carbohydrate transport and metabolism</t>
  </si>
  <si>
    <t>K02784</t>
  </si>
  <si>
    <t>phosphocarrier protein HPr</t>
  </si>
  <si>
    <t>COG1925</t>
  </si>
  <si>
    <t>HPr or related phosphotransfer protein (PtsH) (PDB:1CM2)</t>
  </si>
  <si>
    <t>KEGG Orthology (KO)&gt;&gt;&gt;09130 Environmental Information Processing&gt;&gt;&gt;09131 Membrane transport&gt;&gt;&gt;02060 Phosphotransferase system (PTS) [PATH:ko02060]|Transporters&gt;&gt;&gt;Phosphotransferase system (PTS)&gt;&gt;&gt;Enzyme I and HPr&gt;&gt;&gt;Phosphocarrier protein HPr [TC:8.A.8]</t>
  </si>
  <si>
    <t>MVSKTVTVGSTVGLHARPATIIAEAAGEYDEDIYLAILGEEDEEDPTEAASSLMIMALGAEHGDQVVVTSENAEAVEAIAALIEKNLDEE</t>
  </si>
  <si>
    <t>MASKTVIVGSAVGLHARPASIIADAAGEYDEDIFLSKVGEEDDEEPTEAASSLMIMAMGAEKGDQVVVTSDNAEAVEKIAGLIERDLDAE</t>
  </si>
  <si>
    <t>MASKTVVVGSQVGLHARPASIIAEAAGEYDEEIFLFLEGEEDDE--TDAASSLMIMALGAEKGDKVTVKSDNAEAVEKIAALIEQDLDAQ</t>
  </si>
  <si>
    <t>GC_00000086</t>
  </si>
  <si>
    <t>PF00696.33</t>
  </si>
  <si>
    <t>Amino acid kinase family</t>
  </si>
  <si>
    <t>K00928</t>
  </si>
  <si>
    <t>aspartate kinase [EC:2.7.2.4]</t>
  </si>
  <si>
    <t>COG0527</t>
  </si>
  <si>
    <t>Aspartate kinase (MetL1) (PDB:2CDQ)</t>
  </si>
  <si>
    <t>Lysine biosynthesis</t>
  </si>
  <si>
    <t>M00018|M00033|M00017|M00016|M00525|M00526|M00527</t>
  </si>
  <si>
    <t>Threonine biosynthesis, aspartate =&gt; homoserine =&gt; threonine|Ectoine biosynthesis, aspartate =&gt; ectoine|Methionine biosynthesis, aspartate =&gt; homoserine =&gt; methionine|Lysine biosynthesis, succinyl-DAP pathway, aspartate =&gt; lysine|Lysine biosynthesis, acetyl-DAP pathway, aspartate =&gt; lysine|Lysine biosynthesis, DAP dehydrogenase pathway, aspartate =&gt; lysine|Lysine biosynthesis, DAP aminotransferase pathway, aspartate =&gt; lysine</t>
  </si>
  <si>
    <t>Pathway modules; Amino acid metabolism; Serine and threonine metabolism|Pathway modules; Amino acid metabolism; Serine and threonine metabolism|Pathway modules; Amino acid metabolism; Cysteine and methionine metabolism|Pathway modules; Amino acid metabolism; Lysine metabolism|Pathway modules; Amino acid metabolism; Lysine metabolism|Pathway modules; Amino acid metabolism; Lysine metabolism|Pathway modules; Amino acid metabolism; Lysine metabolism</t>
  </si>
  <si>
    <t>ko00001|ko00001|ko00001|ko00001|ko01000</t>
  </si>
  <si>
    <t>KEGG Orthology (KO)&gt;&gt;&gt;09100 Metabolism&gt;&gt;&gt;09105 Amino acid metabolism&gt;&gt;&gt;00260 Glycine, serine and threonine metabolism [PATH:ko00260]|KEGG Orthology (KO)&gt;&gt;&gt;09100 Metabolism&gt;&gt;&gt;09105 Amino acid metabolism&gt;&gt;&gt;00270 Cysteine and methionine metabolism [PATH:ko00270]|KEGG Orthology (KO)&gt;&gt;&gt;09100 Metabolism&gt;&gt;&gt;09105 Amino acid metabolism&gt;&gt;&gt;00300 Lysine biosynthesis [PATH:ko00300]|KEGG Orthology (KO)&gt;&gt;&gt;09100 Metabolism&gt;&gt;&gt;09110 Biosynthesis of other secondary metabolites&gt;&gt;&gt;00261 Monobactam biosynthesis [PATH:ko00261]|Enzymes&gt;&gt;&gt;2. Transferases&gt;&gt;&gt;2.7  Transferring phosphorus-containing groups&gt;&gt;&gt;2.7.2  Phosphotransferases with a carboxy group as acceptor&gt;&gt;&gt;2.7.2.4  aspartate kinase</t>
  </si>
  <si>
    <t>MALIVQKYGGSSLESPERIRSVAERIVATKKRGHDVVVVCSAMGDTTDELLDLAAAVNPVPPAREMDMLLTAGERISNALVAMAIESYGAKAQSFTGSQAGVLTTERHGNARIVDVTPERVREALDEGKICLVAGFQGVNKDTRDVTTLGRGGSDTTAVALAAALKADVCEIYSDVDGVYTADPRIVPNAQKLEKISFEEMLELAAVGSKILVLRSVEYARAFDVPIRVRSSYSNDPGTLVAGSMEEIPVEEATLVGVATDTSEAKVTVLGIPDTVGEAAKLFRVLADNEINIDMVLQNVSSLEDNRTDITFTCPRADGPRAMELLKRLQSEGTCENLLYDDQIGKVSLIGAGMKSHPGVTAVFCEALRDAGVNIELISTSEIRISVILREADVKTAAKTLHDAFELGGEEEATVYAGTGR</t>
  </si>
  <si>
    <t>MALIVQKYGGSSLESAERIRRVAERIVATKKQGNDVVVVCSAMGDTTDELLDLAAQVNPVPPAREMDMLLTAGERISNALVAMAIESFGAEAQSFTGSQAGVLTTERHGNARIVDVTPGRVREALDNGKICLVAGFQGVNKDTRDVTTLGRGGSDTTAVALAAALKADVCEIYSDVDGVYTADPRIVPNAQKLEKLSFEEMLELAAVGSKILVLRSVEYARAFDVPLRVRSSYSNDPGTLVAGSMEDIPVEEAVLTGVATDNSEAKVTVLGLQDSPGEAAKVFRVLADSEINIDMVLQNISSLEDNCTDITFTCPRADGPRAMELLKKLQVDGVCKNVLYDDQIGKVSLVGAGMRSHPGVTAVFCEAVRDAGVNIELISTSEIRISVLIREADMAKAARAIHDAFDLGGDTEAVVYAGTGR</t>
  </si>
  <si>
    <t>MALIVQKYGGSSLESAERIRRVAERIVATKKQGHDVVVVCSAMGDTTDDLLDLAAQVNPVPPAREMDMLLTAGERISNALVAMAIASFGAEAQSFTGSQAGVLTTERHGNARIVDVTPGRVRDALDQGKICLVAGFQGVNKDTRDVTTLGRGGSDTTAVALAAALGADVCEIYSDVDGVYTADPRLVPDAQKLDQLSFEEMLELAASGSKILVLRSVEYARAFNVPIRVRSSYSNDPGTLVSGSMEDIPMEEAVLTGVATDNSEAKLSVLGIPDNPGEAAKVFRVLADAEINIDMVIQNISSLADNRTDITFTCPRADGPRAVELLMRLQNDGTCRNVLYDDQIGKVSLVGAGMRSHPGVTATFCEALRDAGVNIELINTSEIRISVLIRETDLAKSAKALHEAFELGGDKQAVVYAGTGR</t>
  </si>
  <si>
    <t>MALIVQKYGGSSLESAERIRRVAERIVATKKQGHDVVVVCSAMGDTTDDLLDLAAQVNPVPPAREMDMLLTAGERISNALVAMAIASFGAEAQSFTGSQAGVLTTERHGNARIVDVTPGRVRDALDQGKICLVAGFQGVNKDTRDVTTLGRGGSDTTAVALAAALGADVCEIYSDVDGVYTADPRLVPDAQKLNQLSFEEMLELAASGSKILVLRSVEYARAFNVPIRVRSSYSNDPGTLVSGSMEDIPMEEAVLTGVATDNSEAKLSVLGIPDNPGEAAKVFRVLADAEINIDMVIQNISSLADNRTDITFTCPRADGPRAVELLMRLQNDGTCRNVLYDDQIGKVSLVGAGMRSHPGVTATFCEALRDAGVNIELINTSEIRISVLIRETDLAKSAKALHEAFELGGDKQAVVYAGTGR</t>
  </si>
  <si>
    <t>GC_00000087</t>
  </si>
  <si>
    <t>PF00490.27</t>
  </si>
  <si>
    <t>Delta-aminolevulinic acid dehydratase</t>
  </si>
  <si>
    <t>K01698</t>
  </si>
  <si>
    <t>porphobilinogen synthase [EC:4.2.1.24]</t>
  </si>
  <si>
    <t>COG0113</t>
  </si>
  <si>
    <t>Delta-aminolevulinic acid dehydratase, porphobilinogen synthase (HemB) (PDB:1I8J)</t>
  </si>
  <si>
    <t>Heme biosynthesis</t>
  </si>
  <si>
    <t>M00846|M00868|M00121|M00926</t>
  </si>
  <si>
    <t>Siroheme biosynthesis, glutamyl-tRNA =&gt; siroheme|Heme biosynthesis, animals and fungi, glycine =&gt; heme|Heme biosynthesis, plants and bacteria, glutamate =&gt; heme|Heme biosynthesis, bacteria, glutamyl-tRNA =&gt; coproporphyrin III =&gt; heme</t>
  </si>
  <si>
    <t>Pathway modules; Metabolism of cofactors and vitamins; Cofactor and vitamin metabolism|Pathway modules; Metabolism of cofactors and vitamins; Cofactor and vitamin metabolism|Pathway modules; Metabolism of cofactors and vitamins; Cofactor and vitamin metabolism|Pathway modules; Metabolism of cofactors and vitamins; Cofactor and vitamin metabolism</t>
  </si>
  <si>
    <t>ko00001|ko01000|ko04147</t>
  </si>
  <si>
    <t>KEGG Orthology (KO)&gt;&gt;&gt;09100 Metabolism&gt;&gt;&gt;09108 Metabolism of cofactors and vitamins&gt;&gt;&gt;00860 Porphyrin metabolism [PATH:ko00860]|Enzymes&gt;&gt;&gt;4. Lyases&gt;&gt;&gt;4.2  Carbon-oxygen lyases&gt;&gt;&gt;4.2.1  Hydro-lyases&gt;&gt;&gt;4.2.1.24  porphobilinogen synthase|Exosome&gt;&gt;&gt;Exosomal proteins&gt;&gt;&gt;Exosomal proteins of other body fluids (saliva and urine)</t>
  </si>
  <si>
    <t>MISDKGSSNASYDAAHAAHATSRGIVRRPRRLRSTPAMRGLVSETRLHPSDFILPMFVTT-ESEAIEITSMPGVMRHSMDTLLKAIDDAASVGVRCIDLFGVPADDTKDALGSQAWAEDGILNRAIAAVRQRFGDDVIVMTDTCLDEFTDHGHCGVLTQDRWGRSVVDNDATLDLYVNMALAQAHAGAHMVSPSGMMDGQIDAIREGLDDHGHTDVAIMAYSAKYASAFFGPFRDAVGSSLQGDRRTYQQDPGNARESLLEVELDVAEGADIVMVKPALPYLDVLRTVADTSPVPVAAYQVSGEYAMIKAASNNGWVDGDAVMMEALTSIKRAGADMILTYAAVDAARELRRQAGL</t>
  </si>
  <si>
    <t>------------------------MIRRPRRLRQHPAMRELVAETSLGASDLILPLFYAD---VNREIPSMPGVFQHDRDSMLRAVHDALDAGVRCVDVFGVPTD--KDDIGSGAWDPEGILNRGVRALREEFGNDIMVMADTCLDEFTSHGHCGVVTED----GVVDNDATLPLYQKMAVAQAEAGAHIVSPSGMMDGQVAAIRHALDDAGYIDVAIMAYSAKYASAFYGPFRDAVGSSLHGDRTTYQQDPANA</t>
  </si>
  <si>
    <t>MTDNHEPTNGGF------------PLRRPRRLRTTPIMRDMVAETHVAPADLIYPLFIADGITACREISSMPGQYQHTIHTLKNIVEQSIDAGIRCIDLFGVPLDSDKDAYGSQAWSETGVLNAAIAELRQEFGNDILIMADTCLDEFTDHGHCGVLAEDRWGNTYVDNDKTLALYQKMAVSQAAAGAHIVSPSGMMDGQIAYIRQALDQAGYQDVAIMAYSAKYASAFYGPFREAVGSSLDGDRRAYQQDPANLKESLLEASLDIAEGADFVMVKPAMPYLDVIAAVAQRSLVPVAAYQVSGEYAMLHAAARNGWLNLDTVIMESLTSIKRAGANQILTYFALDAARMLRY----</t>
  </si>
  <si>
    <t>GC_00000088</t>
  </si>
  <si>
    <t>PF00849.27</t>
  </si>
  <si>
    <t>RNA pseudouridylate synthase</t>
  </si>
  <si>
    <t>K06180</t>
  </si>
  <si>
    <t>23S rRNA pseudouridine1911/1915/1917 synthase [EC:5.4.99.23]</t>
  </si>
  <si>
    <t>COG0564</t>
  </si>
  <si>
    <t>Pseudouridine synthase RluA, 23S rRNA- or tRNA-specific (RluA) (PDB:2I82)</t>
  </si>
  <si>
    <t>23S rRNA modification</t>
  </si>
  <si>
    <t>ko01000|ko03009</t>
  </si>
  <si>
    <t>Enzymes&gt;&gt;&gt;5. Isomerases&gt;&gt;&gt;5.4  Intramolecular transferases&gt;&gt;&gt;5.4.99  Transferring other groups&gt;&gt;&gt;5.4.99.23  23S rRNA pseudouridine1911/1915/1917 synthase|Ribosome biogenesis&gt;&gt;&gt;Prokaryotic type&gt;&gt;&gt;rRNA modification factors&gt;&gt;&gt;23S rRNA modification factors</t>
  </si>
  <si>
    <t>--MSQIRTLPIPEGLDGMRVDAAVSKLCGISRTAAAELAQSGQITVDGVEVGKSDRLSADCMLEVSLPEPKK-VMPKVEPVEGMDIIYSDEDIIVVDKPVGVAAHPTVGWEGPTVVGGLAAAGFRVSTSGPPERQGIVQRLDVGTSGVMVVAASERAYTQLKRAFRDRTPEKTYHALVQGHPDPLTGTIEAPIGRHPSAGWRFAVTTDGKHSVTHYETIEAFREAALLKIHLETGRTHQIRVHFSALHHPCCGDP</t>
  </si>
  <si>
    <t>MSNRESRHLMVPEGLDGMRVDAALAKLLGISRTVAAELAQAGDVLVDGAAVGKSDRLAADTWLDVTLPAAPEPLLPKAEPVEGMDILHSDDDIIVVNKPVGVAAHPTVGWEGPSVIGGLAAAGYRISTSGPPERKGIVQRLDVGTSGVMVVAASERAYTVLKRAFRDRSVTKTYHALVQGHPDPLQGTIEAPIGRHPSAGWRFAVTTDGKHSVTHYNTLEAFREATLLEIHLETGRTHQIRVHFSALHHPCCGDPMYGSDPALSARLGLDRQWLHAVSLGFTHPADGRYVEFHAPYPDDLQGALDVLRQG-</t>
  </si>
  <si>
    <t>MSNRESRHLMVPEGLDGMRVDAALAKLLGISRTVAAELAQAGDVLVDGAVVGKSDRLAADTWLDVTLPAAPEPLLPKAEPVEGMDILYSDDDIIVVNKPVGVAAHPTVGWEGPSVIGGLAAAGYRISTSGPPERKGIVQRLDVGTSGVMVVAASERAYTVLKRAFRDRSVTKTYHALVQGHPDPLQGTIEAPIGRHPSAGWRFAVTTDGKHSVTHYNTLEAFREATLLEIHLETGRTHQIRVHFSALHHPCCGDPMYGSDPALSARLGLDRQWLHAVSLGFTHPADGRYVEFHAPYPDDLQGALDVLRQG-</t>
  </si>
  <si>
    <t>-MSRETRSLPVPEGLADMRVDVALSKLFGLSRTVSADLATKGDVLIDGKPATKSDKITDGAWLEVLLPEPQKPLVPTEELVDGLEILYADEDLIAVDKPVGVAAHPTVGWDGPTVVGGLAAAGYRISTSGPPERNGIVQRLDVGTSGVMVVAASERGYSVLKRAFKERTVSKTYHALVQGHMDPLAGTIEANIGRHPSSGWKFAVTSDGKHAVTHYETLEAFVAASLLEVHLETGRTHQIRVHMSALHHPCCGDP</t>
  </si>
  <si>
    <t>GC_00000089</t>
  </si>
  <si>
    <t>PF17837.6</t>
  </si>
  <si>
    <t>4'-phosphopantetheinyl transferase N-terminal domain</t>
  </si>
  <si>
    <t>K02362</t>
  </si>
  <si>
    <t>enterobactin synthetase component D / holo-[acyl-carrier protein] synthase [EC:6.3.2.14 2.7.8.7]</t>
  </si>
  <si>
    <t>COG2977</t>
  </si>
  <si>
    <t>4'-phosphopantetheinyl transferase EntD (siderophore biosynthesis) (EntD) (PDB:4QJK)</t>
  </si>
  <si>
    <t>ko00001|ko00001|ko01000|ko01000|ko01008</t>
  </si>
  <si>
    <t>KEGG Orthology (KO)&gt;&gt;&gt;09100 Metabolism&gt;&gt;&gt;09103 Lipid metabolism&gt;&gt;&gt;00074 Mycolic acid biosynthesis [PATH:ko00074]|KEGG Orthology (KO)&gt;&gt;&gt;09100 Metabolism&gt;&gt;&gt;09109 Metabolism of terpenoids and polyketides&gt;&gt;&gt;01053 Biosynthesis of siderophore group nonribosomal peptides [PATH:ko01053]|Enzymes&gt;&gt;&gt;2. Transferases&gt;&gt;&gt;2.7  Transferring phosphorus-containing groups&gt;&gt;&gt;2.7.8  Transferases for other substituted phosphate groups&gt;&gt;&gt;2.7.8.7  holo-[acyl-carrier-protein] synthase|Enzymes&gt;&gt;&gt;6. Ligases&gt;&gt;&gt;6.3  Forming carbon-nitrogen bonds&gt;&gt;&gt;6.3.2  Acid-D-amino-acid ligases (peptide synthases)&gt;&gt;&gt;6.3.2.14  enterobactin synthase|Polyketide biosynthesis proteins&gt;&gt;&gt;Nonribosomal peptide synthetase (NRPS)&gt;&gt;&gt;Iterative NRPS&gt;&gt;&gt;Enterobactin synthetase</t>
  </si>
  <si>
    <t>MLDPSLFPGSARYCYLTST------PGDMSNFEALHPAEKALVAHAAPRRKAEFGDGRWCAHQALAELGRDSGEPILRGDKGMPLWPASVSGSLTHTEGFRAAVVAPRLLVRSMGLDAEIATALPEGVLGSIARDSELTQLSRLRAAGVNCPDTILFCAKEATYKAWFPLTHRWLGFEQAEVDIREDGTFISYLLVRPTPVPFISGQWVIRDGLVLASTAVV----</t>
  </si>
  <si>
    <t>MLDASLFPPSAKFCWMRTAVPRHGAPTDLTRYLSLHPLEQALVTHSVDKRKAEFGDARWCAHQALEALGRDSSKPILRGERGMPLWPSSVSGSLTHTDGFRAAVAAPRLLVHSMGLDAEPAEPLPEGVLGSIARDSELPQLDQLRSGGLDCADRLLFCAKEATYKAWFPLTHRWLGFDQAEIDIRPDGSFVSYLLIRPTPIPFISGRWIIRDGFLVAATAVGEMPS</t>
  </si>
  <si>
    <t>MVDPSLFPESAKFCTMNVA----NHSTDLTRFNMLHPLERALVAHAVDIRKAEFGDARWCAHQALADLGRDSSQPILRGERGMPLWPSAVSGSLTHTNGFRAAVVAPRLLVRSMGLDVEVAEPLPEGVIHSVALPTEIAQLERLQSRGVDCATKLLFCVKEATYKAWFPLTHRWLGFEQAEIDVRDDGTCTSYLLVRPTPVPLIEGRWQITNGYIVVATYVT----</t>
  </si>
  <si>
    <t>GC_00000090</t>
  </si>
  <si>
    <t>PF00149.33</t>
  </si>
  <si>
    <t>Calcineurin-like phosphoesterase</t>
  </si>
  <si>
    <t>T</t>
  </si>
  <si>
    <t>Signal transduction mechanisms</t>
  </si>
  <si>
    <t>COG1409</t>
  </si>
  <si>
    <t>3',5'-cyclic AMP phosphodiesterase CpdA (CpdA) (PDB:2ZO9)</t>
  </si>
  <si>
    <t>MSLKPTNSDDAAGVAGARRTLWAVSDLHAAVKANADAIDAIHPRNPGDWLIVAGDVAERTAVVVDVLKTLRQRFARVLWVPGNHELFCRATDVDKGRAKYDALVQACRDIDVLTPEDPYPVFGGVTIALLFTLYDYSFRPQGYSIENAVQAAHDRQVMMTDEFAIAPFVDIRAWCWDRLAYSIKRLSKVEGPTILINHWPLVIEPVQKMAYPELGLWCGSRHTRGWATRYNAQCVIYGHLHMPGTVVVDGVKHHEVSLGYPREWQSNLEGRQWPFPVMEVGDA--</t>
  </si>
  <si>
    <t>----------------MTRTLWAVSDLHAAVKANTKAIDSIRPTNPGDWLIVAGDVAERTEKVLKVLTKLRKRFACVIWVPGNHELFSRSTDTCQGRAKYDELVEGCRRIDVLTPEDPFPVFGGVTIVPLFTLYDYSFRKPGFTVEQALQAADDRQVVLTDQFAIAPFVDIRAWCWDRLAYSIKRLSRVTGPTILVNHWPLVSEPLRRLAWPELSLWCGTRHTRNWAKRYNAQRVIYGHLHIPTTIIVDDIPHVE</t>
  </si>
  <si>
    <t>----------------MTHTLWAVSDLHAAVRDNSQHIMSIHPADPSDWLIVAGDVAERNNVIIDVLAMLRSRFAKVIWVPGNHELFSRTSDRFRGRDKYNELVDLCRRIDVLTPEDPYPMFHGVTIVPLFTLYDYSFRQPGLGVEEAVQSARDKGIMLTDEFAIAPFVDVRGWCWDRLAYSIKRLSRTTGPTILVNHWPLVVEPVNQVRFTEIGLWCGTRHTRSWARRYDAQVVIYGHLHMPGEMVVEGVRHVE</t>
  </si>
  <si>
    <t>GC_00000091</t>
  </si>
  <si>
    <t>PF07724.20</t>
  </si>
  <si>
    <t>AAA domain (Cdc48 subfamily)</t>
  </si>
  <si>
    <t>K03696</t>
  </si>
  <si>
    <t>ATP-dependent Clp protease ATP-binding subunit ClpC</t>
  </si>
  <si>
    <t>COG0542</t>
  </si>
  <si>
    <t>ATP-dependent Clp protease, ATP-binding subunit ClpA (ClpA) (PDB:1KSF)</t>
  </si>
  <si>
    <t>Chaperones and folding catalysts&gt;&gt;&gt;Heat shock proteins&gt;&gt;&gt;HSP100</t>
  </si>
  <si>
    <t>MFERFTDRARRVIVLAQNEARMLNHSYIGTEHILLGLIHEGEGVAAKALESLGISLAAVRQEVEEIIGHGTTPPKGHIPFTPRAKKVLELSLREGLQMGHKYIGTEFLLLGLIREGEGVAAQVLVKLGADLPRVRQQVIQLLSGYEG-NGGSPEV--EDSG-DTVGAGSGSRTMGGPASSG--GVGERSNSLVLDQFGRNLTQAAKDGKLDPVVGREKEIERIMQVLSRRTKNNPVLIGEPGVGKTAVVEGLALDIVNGRVPETLRDKQLYSLDLGSLVAGSRYRGDFEERLKKVLKEINQRGDIILFIDEIHTLVGAGAAEGAIDAASLLKPKLARGELQTIGATTLDEYRKHIEKDAALERRFQPVNVPEPSVDLTIEILKGLRDRYEAHHRVSITDSALAAAANLSHRYINDRFLPDKAVDLIDEAGARMRIKRLTAPQSLRDVDEKIADVRRQKEAAIDAQDFEKAAGLRDTERQLHEERAEKEKAWRNGELEEILEVGEEQIAEVLGNWTGIPVVQLTEEESSRLLKMEEELHKRIIGQDDAVKTVSRAIRRTRAGLKDPKRPSGSFIFAGPSGVGKTELSKALAEFLFGDEEALIQIDMGEFHDKFTASRLFGAPPGYVGYDEGGQLTEKVRRKPFSVILFDEIEKAHKEIYNTLLQVLEEGRLTDGQGRVVDFKNTVMIFTSNLGTQDISKAVGMGFSGTGEQDETGRYERMKNKVHDELKKHFRPEFLNRIDDVVVFHQLTQDQIVDMVDLLLGRVSKALGEKDMGLEVSDQAKQLLAKRGFDPVLGARPLRRTIQREIEDALSEKILFGEIGAGEIVVVDVE---GEDPTSAKATLTFSAKPKPLPELSDVSHEVADAIRQVSDASEQPVPEDSTAEQLEIDNAIALADEESDGDSN</t>
  </si>
  <si>
    <t>MFERFTDRARRVIVLAQEEARSFNHNYIGTEHILLGLIQEGECVAAKALESMGISLEAVRQEVEEIIGRGSQPHVGHIPFTPRAKKVLELSLREGLQMGHKYIGTEFLLLGLIREGEGVAAQVLVKLGADLPRVRQQVIQLLSGYEGGEGGTPEAPQQSSGSDAVGAGASP---GGRVQS---SVGERSNSLVLDQFGRNLTQAARDGKLDPVVGREKEIERVMQVLSRRTKNNPVLIGEPGVGKTAVVEGLALDIVNGKVPETLKDKQLYSLDLGSLVAGSRYRGDFEERLKKVLKEINQRGDIILFIDEIHTLVGAGAAEGAIDAASLLKPKLARGELQTIGATTLDEYRKHIEKDAALERRFQPVQVPEPSVELTIDILKGLRDRYEAHHRVSITDGALAAAANLSDRYINDRYLPDKAVDLIDEAGARMRIKRMTAPAGLREVDERIAAVRREKEAAIDAQDFEKAAGLRDQERRLGEERSEKEKQWRAGDLEEIAEVGEEQIAEVLGTWTGIPVFKLTEEESSRLLHMEEELHKRIIGQDDAVKSVSRAIRRTRAGLKDPRRPSGSFIFAGPSGVGKTELSKALAEFLFGEDDALIQIDMGEFHDRFTASRLFGAPPGYVGYEEGGQLTEKVRRKPFSVVLFDEIEKAHKEIYNTLLQVLEDGRLTDGQGRVVDFKNTVLIFTSNLGTQDISKAVGMGFSSVGETDAEGQYERMKQKVNDELKKHFRPEFLNRIDDIVVFHQLTQEEIIKMVDLLVGRVSKALKAKDMDLELTDNAKKLLAKRGFDPVLGARPLRRTIQREIEDVLSEKILFGEVGAGEIITVDVDNWDGESKGTE-AQFTFTPRPKPLPDGGDFGEISVEAAEAVVAADSDL----------------------------</t>
  </si>
  <si>
    <t>MFERFTDRARRVIVLAQEEARGLNHNYIGTEHILLGLIHEGEGVAAKALESMGISLEAVRQEVEEIIGQGTEPPVGHIPFTPRAKKVLELSLREGLQMGHKYIGTEFLLLGLIREGEGVAAQVLVKLGADLPRVRQQVIQLLSGYEGGD--SPENTSNDSN-DAIGAGAGP---GASSSRGSRGAGERSTSLVLDQFGRNLTQAAKEGKLDPVVGREQEIERIMQVLSRRTKNNPVLIGEPGVGKTAVVEGLALDIVNGKVPETLKDKQVYSLDLGSLVAGSRYRGDFEERLKKVLKEINQRGDIILFIDEIHTLVGAGAAEGAIDAASLLKPKLARGELQTIGATTLDEYRKHIEKDAALERRFQPVQVPEPSVEMTINILKGLRDRYEAHHRVSITDGALTAAANLSDRYINDRFLPDKAVDLIDEAGARMRIKRMTAPEGIREMDERITKVRRQKEAAIDAQDFEKAAGLRDQERQLTEERREKEKQWRAGELDDIAEVGEEQIAEVLAHWTGIPVFKLTEEESSRLLNMEDELHKRIIGQEDAVKAVSRAIRRTRAGLKDPRRPSGSFIFAGPSGVGKTELSKALANFLFGEDDALIQIDMGEFHDRFTASRLFGAPPGYVGYEEGGQLTEKVRRKPFSVVLFDEIEKAHKEIYNTLLQVLEDGRLTDGQGRIVDFKNTVLIFTSNLGTQDISKAVGMGFSAVGEHDADGQYERMKNKVNDELKKHFRPEFLNRIDDIVVFHQLTKEQIVEMVDLLVSRVEKALAAKDMGIELTEQAKNLLAARGFDPVLGARPLRRTIQREIEDVLSEKILFGEVGAGEIVTVDVEGWDGDAKHNDKATFVFTPRPKPLPEELELQSTAPAAVEAKPVGASDSAAGTSTSDSVTPRHAAED----------</t>
  </si>
  <si>
    <t>MFERFTDRARRVIVLAQEEARGLNHNYIGTEHILLGLIHEGEGVAAKALESMGISLEAVRQEVEEIIGQGTEPPVGHIPFTPRAKKVLELSLREGLQMGHKYIGTEFLLLGLIREGEGVAAQVLVKLGADLPRVRQQVIQLLSGYEGGD--SPENTSNDSN-DAIGAGAGP---GASSSRGSRGAGERSTSLVLDQFGRNLTQAAKEGKLDPVVGREQEIERIMQVLSRRTKNNPVLIGEPGVGKTAVVEGLALDIVNGKVPETLKDKQVYSLDLGSLVAGSRYRGDFEERLKKVLKEINQRGDIILFIDEIHTLVGAGAAEGAIDAASLLKPKLARGELQTIGATTLDEYRKHIEKDAALERRFQPVQVPEPSVEMTINILKGLRDRYEAHHRVSITDGALTAAANLSDRYINDRFLPDKAVDLIDEAGARMRIKRMTAPEGIREMDERITKVRRQKEAAIDAQDFEKAAGLRDQERQLTEERREKEKQWRAGELDDIAEVGEEQIAEVLAHWTGIPVFKLTEEESSRLLNMEDELHKRIIGQEDAVKAVSRAIRRTRAGLKDPRRPSGSFIFAGPSGVGKTELSKALANFLFGEDDALIQIDMGEFHDRFTASRLFGAPPGYVGYEEGGQLTEKVRRKPFSVVLFDEIEKAHKEIYNTLLQVLEDGRLTDGQGRIVDFKNTVLIFTSNLGTQDISKAVGMGFSAVGEHDADGQYERMKNKVNDELKKHFRPEFLNRIDDIVVFHQLTKEQIVEMVDLLVGRVEKALAAKDMGIELTEQAKNLLAARGFDPVLGARPLRRTIQREIEDVLSEKILFGEVGAGEIVTVDVEGWDGDAKHNDKATFVFTPRPKPLPEELELQATAPAAVEAKPVGASDSAAGTSTSDSVTPRHAAED----------</t>
  </si>
  <si>
    <t>GC_00000092</t>
  </si>
  <si>
    <t>PF12705.13</t>
  </si>
  <si>
    <t>PD-(D/E)XK nuclease superfamily</t>
  </si>
  <si>
    <t>K07465</t>
  </si>
  <si>
    <t>putative RecB family exonuclease</t>
  </si>
  <si>
    <t>COG2887</t>
  </si>
  <si>
    <t>RecB family exonuclease (Slr0479)</t>
  </si>
  <si>
    <t>KEGG Orthology (KO)&gt;&gt;&gt;09190 Not Included in Pathway or Brite&gt;&gt;&gt;09192 Unclassified: genetic information processing&gt;&gt;&gt;99976 Replication and repair</t>
  </si>
  <si>
    <t>MPSADSAPTDEPTNSSTPALTKKRKRAPLALSPSRCGDYLQCPLLFRFRALDRLPEPKTVAQVKGTLVHAVLEEMHKLPREQRLYPAAVKQLKPTWADMCAKDKDLLELVPEEELYDFLVECRSLLRGYFEMENPQGFDAYATEMYVDTVLPNGVPVRGFIDRVDVAPTGQVRVVDYKTGKKPLPRYSDQAKFQMRFYALVYWRLYGRIPDQLRLMYLKVMDSMFLAPSKEELEYFERDLADLWAKIQADIEAGQFKTKTSKLCGWCPHQSLCPEFGGTPPEFVR-P-----</t>
  </si>
  <si>
    <t>-------------------MTHPR---PLALSPSRAGDYQQCPLLYRFRAIDRLPEPKTVAQVKGTLVHAVLEEMHKLPRQDRLYPAAVKRLKPNWTTMCQADPELTDLVSDADLYDFLVECRALLRGYFEMENPQGFDAHECEMYVDTVLPNGVPVRGFIDRVDIAPTGQVRVVDYKTGKKPKPQWSQQAQFQMRFYALVYWRLFDVVPTQLRLMYLKVIDSMFLTPSTEELEFFERDLGDLWAKIEGDGRAGT</t>
  </si>
  <si>
    <t>-------------------MTRPR---PLALSPSRAGDYQQCPLLYRFRAIDRLPEPKTVAQVKGTLVHAVLEEMHKLPRQDRLYPAAVKRLKPNWTTMCQADPELTDLVSDADLYDFLVECRALLRGYFEMENPQGFDAHECEMYVDTVLPNGVPVRGFIDRVDIAPTGQVRVVDYKTGKKPKPQWSQQAQFQMRFYALVYWRLFDVVPTQLRLMYLKVIDSMFLTPSTEELEFFERDLGDLWAKIEGDGRAGT</t>
  </si>
  <si>
    <t>-----------------------------------------------------------MAQVRGTLVHACLEDMHLWERPERTYPAVVKRLRPNWADMCGEDPSLLELVPEGEVYEFLVGCRSLLKGYFLMENPQGFDALACEKFVDAVLPNGVPVRGFIDRVDVAPTGEVRVVDYKTGKKPLPRYSGQAKFQMRFYALVWWRTQGVIPHQLRLMYLKVADSLYLAPSREELEFFERDLGDLWGKILGDISAGV</t>
  </si>
  <si>
    <t>GC_00000093</t>
  </si>
  <si>
    <t>PF01040.23</t>
  </si>
  <si>
    <t>UbiA prenyltransferase family</t>
  </si>
  <si>
    <t>K02548</t>
  </si>
  <si>
    <t>1,4-dihydroxy-2-naphthoate polyprenyltransferase [EC:2.5.1.74]</t>
  </si>
  <si>
    <t>COG1575</t>
  </si>
  <si>
    <t>1,4-dihydroxy-2-naphthoate polyprenyltransferase (MenA)</t>
  </si>
  <si>
    <t>M00116</t>
  </si>
  <si>
    <t>Menaquinone biosynthesis, chorismate (+ polyprenyl-PP) =&gt; menaquinol</t>
  </si>
  <si>
    <t>ko00001|ko01000|ko01006</t>
  </si>
  <si>
    <t>KEGG Orthology (KO)&gt;&gt;&gt;09100 Metabolism&gt;&gt;&gt;09108 Metabolism of cofactors and vitamins&gt;&gt;&gt;00130 Ubiquinone and other terpenoid-quinone biosynthesis [PATH:ko00130]|Enzymes&gt;&gt;&gt;2. Transferases&gt;&gt;&gt;2.5  Transferring alkyl or aryl groups, other than methyl groups&gt;&gt;&gt;2.5.1  Transferring alkyl or aryl groups, other than methyl groups (only sub-subclass identified to date)&gt;&gt;&gt;2.5.1.74  1,4-dihydroxy-2-naphthoate polyprenyltransferase|Prenyltransferases&gt;&gt;&gt;Compound prenylation&gt;&gt;&gt;DHNA octaprenyltransferase</t>
  </si>
  <si>
    <t>-----MASAQQWFQGARPHTWANAFAPVVAGSGAATASLYGVDVSGRQEVVGAWGSAASGWGDQLLRALLAAVVAWALIVGVNFANDYSDGVRGTDDDRTGPLRLTASGAASPGSVKRAAFAAFGVAGVAGVVLSLLSAWWLVVVGALCIVAAWFYTGGKNPYGYRGLGEVSVFVFFGLVAVLGTQFTQAGVVSWQGVLCAVSVGAMSSAVNLVNNLRDIPSDSEAGKITLAVRLGDVWTRRVWLVLVCVPVVAS</t>
  </si>
  <si>
    <t>MPESSRASFHDWLQGARPHTWANAFAPVVAGTGAA-----------------AWSGNASIY-----RAMLAMVVAWALIVGVNYANDYSDGIRGTDDDRQGPQRLTGSGLAKPEHVKYAAFGAFALASVAGTLLSVMSSWWLIAVGALCILAAWFYTGGKHPYGYAGWGECAVFVFFGLVAVCGTEYTQAGRFTWVGVTCAVSIGCFSAAVNLANNLRDIPSDTDSGKRTLAVRLGDRGTRRLWLGLVAVPYLSTLVLATQCVP-TLAALAALLLTRLAASPVMRGATGPALIPVLGLTGRAMLAWSVLTAAALAFSAGA</t>
  </si>
  <si>
    <t>-----------------MHLW---------------------------------------------RAFLAGVVAWSLIIGVNYANDYSDGIRGTDNTRSGPLRLVGSGIAQPLQVKLAAFGAFGVAAVAGTVLSLLSSWWLILVGMVCIVAAWFYTGGKNPYGYSGWGEIAVFVFFGLVAVLGTQFTQAGRVDVAGVVGACAIGAMSASINLVNNLRDIPTDSQTGKITLAVRLGDAKTRVLYYLLVISPLVVT</t>
  </si>
  <si>
    <t>-----------------MHLW---------------------------------------------RAFLAGVVAWSLIIGVNYANDYSDGIRGTDNTRSGPLRLVGSGIAQPLQVKLAAFGAFGVAAVAGTVLSLLSSWWLILVGMVCIVAAWFYTGGKNPYGYSGWGEIAVFVFFGLVAVLGTQFTQAGRVDIAGVVGACAIGAMSASINLVNNLRDIPTDSQTGKITLAVRLGDAKTRVLYYLLVISPLVVT</t>
  </si>
  <si>
    <t>GC_00000094</t>
  </si>
  <si>
    <t>PF04167.18</t>
  </si>
  <si>
    <t>Protein of unknown function (DUF402)</t>
  </si>
  <si>
    <t>K09146</t>
  </si>
  <si>
    <t>COG2306</t>
  </si>
  <si>
    <t>Predicted RNA-binding protein, associated with RNAse of E/G family, DUF402 domain (PDB:2P12) (PUBMED:15126500)</t>
  </si>
  <si>
    <t>MTHIHPVKQETFAVDRDINIDPKGFKRAVDTYRITDFGLYMARGANHPNFGYLESWLLPQLGLRANRFHYRD-------TAECPREDFYFDIADISR----DGNTWTTRDLYVDLISHVGSPIDVDDIDELAAATSEKLITAEEAERAIETTLAAVDGITRHNDDPMAWLRSQGIDLDWAESVELT-PVG-</t>
  </si>
  <si>
    <t>MVDLHPVKSETFLVPERINIDPKGFKRAVDTYTETDFGLYMARGADHPDFGYLESWLLPELNLRVSIFHFRDKDKSDSSTSGTTRSDYYVDIVDIAVDTANDTSTWHTRDLYVDLSCVMGEPVDVLDIDELAASTSAGIITADEAERAIEATLTAVDGITRHGDNILEWLAAQGYPLTWADNVTLTSPMST</t>
  </si>
  <si>
    <t>MTNLHPVKEETFNLKANTNIDPKGFLRRVDTYRETEFGLYMARGADHPNFGYLESWLLPELGLRANIFHYRD--------GVTEREDIYIDVVEISV----ENDVWTTRDLYVDLIWNNGNGVEVVDIDELAAATSAGLISAEDAERAIEVTLAAVEGITRHNDSPAQWLKSQGITIDWAKNVTLV-PVP-</t>
  </si>
  <si>
    <t>GC_00000095</t>
  </si>
  <si>
    <t>PF00528.27</t>
  </si>
  <si>
    <t>Binding-protein-dependent transport system inner membrane component</t>
  </si>
  <si>
    <t>K02072</t>
  </si>
  <si>
    <t>D-methionine transport system permease protein</t>
  </si>
  <si>
    <t>COG2011</t>
  </si>
  <si>
    <t>ABC-type methionine transport system, permease component (MetP) (PDB:6CVL)</t>
  </si>
  <si>
    <t>MNVTYVA---TNWDRLTPK-LEEAIVDTLYMVVSTLIIAGIIGLGLGVLLYTTRSRGILSNKGMYSLLNVVVNLIRPIPFIILLAALGPVTRGVVGTTIGTNAAMFVMIVAASFGIARIVEQNLVSIDPGVIEAARAMGASPWQIIRTVIIPEALGPLVLGYTFAFIAVVDMSAMAGYVGGGGLGNFAITYGYQAFDWNVTWVATAVIIVIVQVAQLFGNWLSKKIMRR</t>
  </si>
  <si>
    <t>MINDILE-------VFSGEDFSTAFGETLVMVSLTILIGGIAGLALGTLLYTTRENGVLSNKFVYTILNILVNFVRPIPFIILIAAIGPLTRSVIGTTIGTEAAIFVMSIAATFGVARIVEQNLVSIDPGVIEAARAMGASPLQIIVSVIIREALGPLILGFTFIFIAVVDMSAMAGYIGGGGLGDFAITYGYNAFNPTITLAGTIVIILIVQVAQLLGNFLSKKIMRR</t>
  </si>
  <si>
    <t>MTTAILAAGETNWNRLAGP-FQEAIVDTLVMVGTTLVIGGLCGLILGMLLYTTRAGGILQNKFIFGLLNILVNFVRPIPFIILLVTLGPLTKALVGSQIGRDAAIVGMSVAATFGVARIVEQNLVTIDPGMIEAARAMGASPWQIITGVIIREALGPLVLGYTFCFIAIVDMSAMAGYIGGGGLGDFAITKGYRAFNLEVTYVTTFMIIIIVQIAQLLGNWLSRKIMRR</t>
  </si>
  <si>
    <t>GC_00000096</t>
  </si>
  <si>
    <t>PF12811.12</t>
  </si>
  <si>
    <t xml:space="preserve">Bax inhibitor 1 like </t>
  </si>
  <si>
    <t>S</t>
  </si>
  <si>
    <t>Function unknown</t>
  </si>
  <si>
    <t>COG4760</t>
  </si>
  <si>
    <t>Uncharacterized membrane protein, YccA/Bax inhibitor family</t>
  </si>
  <si>
    <t>MRSSN-PVFKDLTANGGAPQQYGNPYGNPYGAGAGFGQQNPYQQS---PFG-AGVGQQPGFPGAVAPAERAMTVDDVISKTGITLGVIIAVAIVNFFIGTV-APGLAMGLALIGAIGGLITVLVSTFGKKYGSAAVTLTYAVFEGLLVGGISYMFASMTVSS----VSAGVLIGQAVLGTLGVFAGMLYVYKTGAVKVTPKFTRLLMGGFIGVLVLMLGNFVGSFF-GFNVLRDGGPLSIVFSLVCIGLAAMSFLQDFDNADKLVRAGAPAKMAWGVALGLAVTLVWLYTEILRLLSYFNNR</t>
  </si>
  <si>
    <t>MRSSN-PVFSSLTSS-----RNRSAYQN------------PYQQM---PYG----GQQV------QTSDRAMTVDDVIAKTSITLGIIITFAVINFAISTF-SPALAVLLTIVGGIGGFITVLVSTFGKKYGSAPVTIIYAVFEGLFVGGVSLLFTGLLGNSLGKNIDAGVMIGQAVLGTIGVFIGMLFVYKTGAVKVTPRFNRILTGCIIGVVVLSVGNVLLYMFTGSNPLTDGGPLAIVFSLVCIVLAALSFLQDFDMADSLVRAGAPSKMAWGVALGLAVTLVWLYTEILRLLSYFRN-</t>
  </si>
  <si>
    <t>MRSSNNPVLKSLSEV-----RTTNYYGG-------------YQQQAHDPYGQYGAPQQP------LQAERPMTVDDVVTNTGITLGVIIALAAVNFGIATFVNVQLALFLTLIGAIGGLVTVLVGTFGKKYGSKAITLTYAAFEGLFVGGISVVLSGFIVGK----QNAGLLIGEAIIGTLGVFLGMLYVYKTGAVKVTPRFNRIMTGALIGVLVLMLGNMVGAMFFGFNPLRDGGPIAIAFSLVCIVLAALSFISDFDVAEQLIREGAPARYSWGVAMGLAVTLVWLYTEILRLLSYFQSR</t>
  </si>
  <si>
    <t>MRSSNNPVLKSLSEV-----RTTNYYGG-------------YQQQAHDPYGQYGAPQQP------LQAERPMTVDDVVTNTGITLGVIIALAAVNFGIAAFVNVKLSLLLTLIGAIGGLVTVLVGTFGKKYGSKAITLTYAAFEGLFVGGISVVLSGFIVGK----QNAGLLIGEAIIGTLGVFLGMLYVYKTGAVKVTPRFNRIMTGALIGVLVLMLGNMVGAMFFGFNPLRDGGPIAIAFSLVCIVLAALSFISDFDVAEQLIREGAPARYSWGVAMGLAVTLVWLYTEILRLLSYFQSR</t>
  </si>
  <si>
    <t>GC_00000097</t>
  </si>
  <si>
    <t>PF03193.22</t>
  </si>
  <si>
    <t>RsgA GTPase</t>
  </si>
  <si>
    <t>K06949</t>
  </si>
  <si>
    <t>ribosome biogenesis GTPase / thiamine phosphate phosphatase [EC:3.6.1.- 3.1.3.100]</t>
  </si>
  <si>
    <t>COG1162</t>
  </si>
  <si>
    <t>Ribosome biogenesis GTPase RsgA (RsgA) (PDB:1T9H)</t>
  </si>
  <si>
    <t>ko00001|ko01000|ko03009</t>
  </si>
  <si>
    <t>KEGG Orthology (KO)&gt;&gt;&gt;09100 Metabolism&gt;&gt;&gt;09108 Metabolism of cofactors and vitamins&gt;&gt;&gt;00730 Thiamine metabolism [PATH:ko00730]|Enzymes&gt;&gt;&gt;3. Hydrolases&gt;&gt;&gt;3.1  Acting on ester bonds&gt;&gt;&gt;3.1.3  Phosphoric-monoester hydrolases&gt;&gt;&gt;3.1.3.100  thiamine phosphate phosphatase|Ribosome biogenesis&gt;&gt;&gt;Prokaryotic type&gt;&gt;&gt;GTPases</t>
  </si>
  <si>
    <t>MARSRGMRRWDESDVRVRPGKGSRPRTKDRPSHDDAVFGMVVSKDRGRWGVQLDE-SAGGARVVAMRAREMGRTAVVVGDRVGLVGDTSGRKGSLARIVKLEERSSVLRRTADDTDPYERVVVANADQLLIVSAVADPPPRTGFVERALVAAFVGGLSPVLCLTKSDLADPTAFAEEFEALDVPVVVCGINDDLAPVRDVVNNHVTALIGHSGVGKSTLVNRLVPTAERATGEVSGVGKGRHTSTQSVALQLPDGGWIVDTPGIRSFGLAHVDADAVIDVFDDLRQQAEDCPRGCSH----AEPGCALD--ELDGSSGRRVTAVRALITALRTNVDWE</t>
  </si>
  <si>
    <t>MAK-RAHRDWDESDVKIRPGKGSRPRTKDRPAHNNAQYGMVVTKDRGRWGVVLDDAPAGQAPTVCMRARELGRTDIVVGDRVGIVGDTSGHPGTLARIVRLDERTSVLRRTADDTDPYERIVVANADQLLIVSAVADPPPRSGFVERALIAAFVGGLNPVICLTKTDLASPDAFAAKFADLDVPVITCGTHDPISHVHDVVDGHITALIGHSGVGKSTLVNRLVPDADRATGEVSGIGKGRHTSTQSIALRLRAGGWIIDTPGIRSFGLAHVDADTVIAVFDDLAAAADNCPRGCTHMGPPADPECALD--ELAGASAHRTHAVRTLLGALRTNEEWM</t>
  </si>
  <si>
    <t>-----MTRSWDESDVKIRPSKRSRPRTKDRPKHDDAKFGMVITKDRGRWGVVLDDQSAQDNPIVCMRARELGRTPIEVGDRVGIVGDTSGRKDTLARIVKLAERQSVLRRTADDTDPYERIVVANAEQLLIVCAVADPPPRTGFVERALVAAFVGNLQPIICLTKSDLADPTQFATEFDALNVPVVICGINDHLEPILDIVSGHVTALIGHSGVGKSTLVNRIIPHAQRETGEVSGVGKGRHTSTQTVALRLPTD</t>
  </si>
  <si>
    <t>-----MTRSWDESDVKIRPSKRSRPRTKDRPKHDDAKFGMVITKDRGRWGVVLDDQSAQENPIVCMRARELGRTPIEVGDRVGIVGDTSGRKDTLARIVKLAERQSVLRRTADDTDPYERIVVANAEQLLIVCAVADPPPRTGFVERALVAAFVGNLQPIICLTKSDLADPTQFATEFDALNVPVVICGINDHLEPILDIVSGHVTALIGHSGVGKSTLVNRIIPHAQRETGEVSGVGKGRHTSTQTVALRLPTD</t>
  </si>
  <si>
    <t>GC_00000098</t>
  </si>
  <si>
    <t>PF01409.25</t>
  </si>
  <si>
    <t>tRNA synthetases class II core domain (F)</t>
  </si>
  <si>
    <t>K01889</t>
  </si>
  <si>
    <t>phenylalanyl-tRNA synthetase alpha chain [EC:6.1.1.20]</t>
  </si>
  <si>
    <t>COG0016</t>
  </si>
  <si>
    <t>Phenylalanyl-tRNA synthetase alpha subunit (PheS) (PDB:3L4G)</t>
  </si>
  <si>
    <t>KEGG Orthology (KO)&gt;&gt;&gt;09120 Genetic Information Processing&gt;&gt;&gt;09122 Translation&gt;&gt;&gt;00970 Aminoacyl-tRNA biosynthesis [PATH:ko00970]|Enzymes&gt;&gt;&gt;6. Ligases&gt;&gt;&gt;6.1  Forming carbon-oxygen bonds&gt;&gt;&gt;6.1.1  Ligases forming aminoacyl-tRNA and related compounds&gt;&gt;&gt;6.1.1.20  phenylalanine---tRNA ligase|Amino acid related enzymes&gt;&gt;&gt;Aminoacyl-tRNA synthetase&gt;&gt;&gt;Class II (U)|Transfer RNA biogenesis&gt;&gt;&gt;Eukaryotic type&gt;&gt;&gt;Aminoacyl-tRNA synthetases (AARSs)&gt;&gt;&gt;Other AARSs|Transfer RNA biogenesis&gt;&gt;&gt;Prokaryotic type&gt;&gt;&gt;Aminoacyl-tRNA synthetases (AARSs)&gt;&gt;&gt;Other AARSs</t>
  </si>
  <si>
    <t>MSEDFSAHLTEEKLNAAAQQALQAFEAADNLEELSEARRAHLGDDAFIPTARKTLGSLPKEQRKDAGRLVNMARGAVEKAFAETKVRLEEKRNAEVLVAERVDVTVPTRRQQLGALHPITQLSEQISDIFIGMGWEIADGPEVEAEYFNFDSLNFLPDHPARTLQDTFHIAPHGSKQVLRTHTSPVQMRTMLSRDVPMYIACPGRVFRTDELDATHTPVFHQVEGLAVDKGLTMAHLRGTLDHLAKTLFGPDTHTRMRANYFPFTEPSAEVDVWFPNKKGGAGWIEWGGCGMVNPNVLRAAGIDPEVYTGFAFGMGLERTLQFCNGLSDMRDMVEGDVRFTLPFGIQA</t>
  </si>
  <si>
    <t>-----MPQLTEASLNSAAESAVQAFEAADSLDSLADARRMHLGDDAPLSLARRALGSLPKDQRKDAGRLVNMARGRVEKRFAQVKEALEAKRNAEVLRLERVDVTVPTTRKRTGALHPITALSEQIADIFVGMGWEIAEGPEVEAEYFNFDSLNFLPDHPARTLQDTFHIAPEGSRQVLRTHTSPVQMRTLLDRELPVYVACPGRVFRTDELDATHTPVFHQVEGLAVDKGLTMAHLRGTLDHLAKTLFGPETRT</t>
  </si>
  <si>
    <t>-----MPQLTEASLNSAAESAVQAFEAADSLDSLADARRMHLGDDAPLSLARRALGSLPKDQRKDAGRLVNMARGRVEKRFAEVKEALEAKRNAEVLRLERVDVTVPTTRKRTGALHPITALSEQIADIFVGMGWEIAEGPEVEAEYFNFDSLNFLPDHPARTLQDTFHIAPEGSRQVLRTHTSPVQMRTLLDRELPVYVACPGRVFRTDELDATHTPVFHQVEGLAVDKGLTMAHLRGTLDHLAKTLFGPETRT</t>
  </si>
  <si>
    <t>-----MSELTE-----AVEAARQAFAAATNLEELAVARREHLGDDAPISQARRALGSLPKNERKDAGRLVNQARGEAEKAYATAKTALEEKRNAEVLIAERVDVTVPTTRRQVGALHPITTLLETITDIFVSMGYEVADGPEVEAEYFNFDSLNFVPDHPARTLQDTFHVSHEGSRQVLRTHTSPVQMRTMLSQDLPIYVVAPGRVFRTDELDATHTPVFHQVEGLAVAEGLTMAHLRGTLDHLAKALFGAETRT</t>
  </si>
  <si>
    <t>GC_00000099</t>
  </si>
  <si>
    <t>PF00436.31</t>
  </si>
  <si>
    <t>Single-strand binding protein family</t>
  </si>
  <si>
    <t>K03111</t>
  </si>
  <si>
    <t>single-strand DNA-binding protein</t>
  </si>
  <si>
    <t>COG0629</t>
  </si>
  <si>
    <t>Single-stranded DNA-binding protein (Ssb) (PDB:1EQQ)</t>
  </si>
  <si>
    <t>ko00001|ko00001|ko00001|ko03032|ko03400|ko03400|ko03029</t>
  </si>
  <si>
    <t>KEGG Orthology (KO)&gt;&gt;&gt;09120 Genetic Information Processing&gt;&gt;&gt;09124 Replication and repair&gt;&gt;&gt;03030 DNA replication [PATH:ko03030]|KEGG Orthology (KO)&gt;&gt;&gt;09120 Genetic Information Processing&gt;&gt;&gt;09124 Replication and repair&gt;&gt;&gt;03430 Mismatch repair [PATH:ko03430]|KEGG Orthology (KO)&gt;&gt;&gt;09120 Genetic Information Processing&gt;&gt;&gt;09124 Replication and repair&gt;&gt;&gt;03440 Homologous recombination [PATH:ko03440]|DNA replication proteins&gt;&gt;&gt;Prokaryotic type&gt;&gt;&gt;DNA Replication Initiation Factors&gt;&gt;&gt;Initiation factors (bacterial)|DNA repair and recombination proteins&gt;&gt;&gt;Prokaryotic type&gt;&gt;&gt;TLS (translesion DNA synthesis) factors&gt;&gt;&gt;Other SOS response factors|DNA repair and recombination proteins&gt;&gt;&gt;Prokaryotic type&gt;&gt;&gt;SSBR (single strand breaks repair)&gt;&gt;&gt;MMR (mismatch excision repair)&gt;&gt;&gt;Other MMR factors|Mitochondrial biogenesis&gt;&gt;&gt;Mitochondrial DNA transcription, translation, and replication factors&gt;&gt;&gt;Mitochondrial DNA replication factors&gt;&gt;&gt;Other Mitochondrial DNA replication factors</t>
  </si>
  <si>
    <t>MAQGETQITVVGNLVADPELRFTASNVAVANFRIASTPRRFNRQTNQWEDGEALYLTCNVWRQVAENVANTLTKGMRVIVTGRLRQRSYDTREGERRSVMEIEVDEVGPSLQYATAQVQRVSRGEGNSG---------------------------GFQQQQSGGFGGPAPQAS-------GGNQNMSAVPDNDPWNSA-PASGGFAG-ADDEPPF</t>
  </si>
  <si>
    <t>MAQGETSITVVGNLVADPELRFTPAGAAVANFRIASTPRRFNRQTSQWEDGEAMYLTCNVWRQAAENVAESLSKGMRVIVQGRLRQRSYESREGERRSIFEVEVDEVGPSLSFATAQVTRASRGGGQGGYGNQGGGQSMGGQGQMNQGTMNQG---QQQQPNHGGFGGGGNTGGFG-----GGNPQQQA-PDNDPWNSA-PASGGFGGPADDEPPF</t>
  </si>
  <si>
    <t>MASGDVNITVVGNVVADPELRFTSTGAAVATFRVASTPRRYDSQSGQWVDGEALFLTCNVWRQVAENIAETLTKGMRVIVTGRLRSRSYDTQNGDRRTVMELEVDEVGPSLRYATAQVTRNPRGEGGGNYGGGFGGNQGGGMRQQQQAPAQQQSAPQQQQQMQPQYSQPQQQQSQQQPQQRSSQQQQQP-PANDPWSSAPPANGGFGG-ADDEPPF</t>
  </si>
  <si>
    <t>GC_00000100</t>
  </si>
  <si>
    <t>PF00254.34</t>
  </si>
  <si>
    <t>FKBP-type peptidyl-prolyl cis-trans isomerase</t>
  </si>
  <si>
    <t>K01802</t>
  </si>
  <si>
    <t>peptidylprolyl isomerase [EC:5.2.1.8]</t>
  </si>
  <si>
    <t>COG0545</t>
  </si>
  <si>
    <t>FKBP-type peptidyl-prolyl cis-trans isomerase (FkpA) (PDB:1A7X)</t>
  </si>
  <si>
    <t>KEGG Orthology (KO)&gt;&gt;&gt;09190 Not Included in Pathway or Brite&gt;&gt;&gt;09191 Unclassified: metabolism&gt;&gt;&gt;99980 Enzymes with EC numbers|Enzymes&gt;&gt;&gt;5. Isomerases&gt;&gt;&gt;5.2  cis-trans-Isomerases&gt;&gt;&gt;5.2.1  cis-trans Isomerases (only sub-subclass identified to date)&gt;&gt;&gt;5.2.1.8  peptidylprolyl isomerase</t>
  </si>
  <si>
    <t>MSDMEKPQLEAGDPKALPTELVVEDIIVGDGEEATPGANVEVHYVGVDYADGAEFDSSWDRGQSISFPLRGLIQGWQDGIPGMKVGGRRKLIIPPALAYGEEGGFHPLAGKTLIFMIDLIDVK</t>
  </si>
  <si>
    <t>---MEKPVIERPTGPK-PDDVVITDITVGDGDEAQANGMVKVHYVGVDFDSGQEFDSSWDRGEPIEFPLSNLIAGWQEGIVGMRVGGRRQLVIPPEAAYGPEGGGHPLSGRTLVFVIDLLAV-</t>
  </si>
  <si>
    <t>GC_00000101</t>
  </si>
  <si>
    <t>PF00902.23</t>
  </si>
  <si>
    <t>Sec-independent protein translocase protein (TatC)</t>
  </si>
  <si>
    <t>K03118</t>
  </si>
  <si>
    <t>sec-independent protein translocase protein TatC</t>
  </si>
  <si>
    <t>COG0805</t>
  </si>
  <si>
    <t>Twin-arginine protein secretion pathway component TatC (TatC) (PDB:4B4A)</t>
  </si>
  <si>
    <t>ko00001|ko00001|ko02044</t>
  </si>
  <si>
    <t>KEGG Orthology (KO)&gt;&gt;&gt;09120 Genetic Information Processing&gt;&gt;&gt;09123 Folding, sorting and degradation&gt;&gt;&gt;03060 Protein export [PATH:ko03060]|KEGG Orthology (KO)&gt;&gt;&gt;09130 Environmental Information Processing&gt;&gt;&gt;09131 Membrane transport&gt;&gt;&gt;03070 Bacterial secretion system [PATH:ko03070]|Secretion system&gt;&gt;&gt;Twin-arginine translocation (Tat) system&gt;&gt;&gt;Twin-arginine translocation (Tat) pathway protein</t>
  </si>
  <si>
    <t>--MAKKNPEGNMPLLEHIQEFRARLIVSLIALAAGTVLGYIWYGTNVGPIPSLGELLRTPYCDIDPAKRLSFGPEDECRLLATSPFEMFLLRLKVGALAGTVLSCPVWLGQFWGFVTPGLEKKERRFTLLFISLGVVLFVAGTILAYVCIPLGLNFLTGIGEETQVAALTGREYFNFLLQMLILFGFSFELPLVVVMLNLVGVLRYSMLKGKRRVMILAIFVLAAFITPGQDPFGLFGLGVALSILMEVSLQFCR</t>
  </si>
  <si>
    <t>-----------MSLVEHIQELRLRLLISLAALAVGTIVGFIWYQQSLFGLPTLGDILRGPYCNLPDTARADLSADGECKLLATGPFDMFMLRLKVGALAGSVFASPVWLAQVWFFITPGLKKNEQRWTFSFVAIAVMLFVFGAILAYFVVAYGLEFLLTIGDETQVAALSGTQYYKFLLALLLIFGVSFEVPLILAMLNIVGLVSYQQLKEKRRLIIFLLFVFAAFMTPGQDPVSMAVLATALTLLVECAIQFAR</t>
  </si>
  <si>
    <t>MTKKPQNPTGDMTLVEHLKELRRRVIIALIAFAIGTIIGFIWYGTSPSPIPTLGDILRGPYCSLPADKRAAFTLDGECRLIATMPFEAFSLRLKIGSLAGAVLSSPIWLYQLWAFITPGLHKNEKRTTTIFVTIAVTLFTAGATLAYFVVHYGLEFLLTIGGEFQVTALSGERYFNFLLALLIIFGVSFEVPLVIAMLNIVGILPYDMVKNKRRLIIVILFIFAAIMTPGQDPYSMLALALALTLLVELSLQFTRINDKRRGCNRPDWLNTDDEHASPLTTPTKPPNPQPTQKQPINN--------PTNFDDII</t>
  </si>
  <si>
    <t>GC_00000102</t>
  </si>
  <si>
    <t>PF02283.22</t>
  </si>
  <si>
    <t>Cobinamide kinase / cobinamide phosphate guanyltransferase</t>
  </si>
  <si>
    <t>K02231</t>
  </si>
  <si>
    <t>adenosylcobinamide kinase / adenosylcobinamide-phosphate guanylyltransferase [EC:2.7.1.156 2.7.7.62]</t>
  </si>
  <si>
    <t>COG2087</t>
  </si>
  <si>
    <t>Adenosyl cobinamide kinase/adenosyl cobinamide phosphate guanylyltransferase (CobU) (PDB:1C9K)</t>
  </si>
  <si>
    <t>KEGG Orthology (KO)&gt;&gt;&gt;09100 Metabolism&gt;&gt;&gt;09108 Metabolism of cofactors and vitamins&gt;&gt;&gt;00860 Porphyrin metabolism [PATH:ko00860]|Enzymes&gt;&gt;&gt;2. Transferases&gt;&gt;&gt;2.7  Transferring phosphorus-containing groups&gt;&gt;&gt;2.7.1  Phosphotransferases with an alcohol group as acceptor&gt;&gt;&gt;2.7.1.156  adenosylcobinamide kinase|Enzymes&gt;&gt;&gt;2. Transferases&gt;&gt;&gt;2.7  Transferring phosphorus-containing groups&gt;&gt;&gt;2.7.7  Nucleotidyltransferases&gt;&gt;&gt;2.7.7.62  adenosylcobinamide-phosphate guanylyltransferase</t>
  </si>
  <si>
    <t>MRTLVLGGARSGKSLFAEELVAGRSCLYIATARPWPGDTDFAERINQHVQRRPLHWATEDQRDLLDVLDALDDRDQADPRGVILVDDLGTWLTHLLDSAGAWDQPRGSISEHTNRLLDILST--CKQDIILVSPEVGMGVIPESRAGRLFRDEIGTLNQRIADICERVVLSIAGQSIIIKDTPVD</t>
  </si>
  <si>
    <t>MRTLVLGGARSGKSVFAEELCADEDVCYVATARPWPGDTDFSQRIAEHVKRRPTHWTTEDRIDAATVL-------ANPPCRTVLVDDLGTWLTHTLDDAQAWDAPRGTITPQVQRLIAAVDSFPISNNLILVSPEVGMGVIPEHRSGRLFRDEIGALNGTLAALCERVTLVVAGIPLTLK--P--</t>
  </si>
  <si>
    <t>MRTLVLGGARSGKSAFAEQLVITTDCLYVATARPWSDDTDFAERIHQHQSRRPPAWRTEDQKDVIEVL------HATTPEATILVDDLGTWVTHTIDAHHAWDCPRGTMAAHYADLVKGIAAFPPHRDLIIVSPEVGMGIIPEHRAGRLFRDELGFLNAQVAQACDQVFFVVAGLPLQLK--PGR</t>
  </si>
  <si>
    <t>MRTLILGGARSGKSAFAEQLVITTDCLYVATARPWSNDADFAERIHQHQNRRPPAWRTEDQKDVIEVL------HATTPEATILVDDLGTWVTHTIDAHHAWDCPRGTMAAHYADLVKGIAAFPPHRDLIIVSPEVGMGIIPEHRAGRLFRDELGFLNAQVAQACDQVFFVVAGLPLQLK--PSR</t>
  </si>
  <si>
    <t>GC_00000103</t>
  </si>
  <si>
    <t>PF00166.26</t>
  </si>
  <si>
    <t>Chaperonin 10 Kd subunit</t>
  </si>
  <si>
    <t>K04078</t>
  </si>
  <si>
    <t>chaperonin GroES</t>
  </si>
  <si>
    <t>COG0234</t>
  </si>
  <si>
    <t>Co-chaperonin GroES (HSP10) (GroES)</t>
  </si>
  <si>
    <t>ko03110|ko03029</t>
  </si>
  <si>
    <t>Chaperones and folding catalysts&gt;&gt;&gt;Heat shock proteins&gt;&gt;&gt;HSP10|Mitochondrial biogenesis&gt;&gt;&gt;Mitochondrial protein import machinery&gt;&gt;&gt;Matrix&gt;&gt;&gt;Other matrix factors</t>
  </si>
  <si>
    <t>MANVNIKPLEDKILVQINEAETTTASGLVIPDSAKEKPQEATVIAVGTGRFDESGNRIPVDVNEGDVVIFSKYGGTEIKYQGQEYLILAQRDILAVIEK</t>
  </si>
  <si>
    <t>MSNVNIKPLEDKILVQINEAETTTASGLVIPDSAKEKPQEATVIAVGAGRFDEKGERVPMDVKEGDVVIFSKYGGTEIKYQGEEYLILAQRDILAIVEK</t>
  </si>
  <si>
    <t>MAKVNIKPLEDRVLIQIKEAESTTASGLVIPDSAKEKPQEGVVIAAGPGRFDGD-DRVPMDIKVGDTVVFSKYGGTELKYDGEEYLLLNSRDVLAIIEK</t>
  </si>
  <si>
    <t>GC_00000104</t>
  </si>
  <si>
    <t>PF01177.27</t>
  </si>
  <si>
    <t>Asp/Glu/Hydantoin racemase</t>
  </si>
  <si>
    <t>K01776</t>
  </si>
  <si>
    <t>glutamate racemase [EC:5.1.1.3]</t>
  </si>
  <si>
    <t>COG0796</t>
  </si>
  <si>
    <t>Glutamate racemase (MurI) (PDB:1B73)</t>
  </si>
  <si>
    <t>Mureine biosynthesis</t>
  </si>
  <si>
    <t>ko00001|ko01000|ko01011</t>
  </si>
  <si>
    <t>KEGG Orthology (KO)&gt;&gt;&gt;09100 Metabolism&gt;&gt;&gt;09106 Metabolism of other amino acids&gt;&gt;&gt;00470 D-Amino acid metabolism [PATH:ko00470]|Enzymes&gt;&gt;&gt;5. Isomerases&gt;&gt;&gt;5.1  Racemases and epimerases&gt;&gt;&gt;5.1.1  Acting on amino acids and derivatives&gt;&gt;&gt;5.1.1.3  glutamate racemase|Peptidoglycan biosynthesis and degradation proteins&gt;&gt;&gt;Precursor biosynthesis&gt;&gt;&gt;Racemase</t>
  </si>
  <si>
    <t>MSTGNTDNTSHADHADNADNNAPIGIFDSGVGGLTVARSIVDQLPGESIVYIGDTKNGPYGPLPIQQTREHAMAIADELVERGCKMIVIACNTASAAFLRDARERYDVPVVEVIVPAVRRAVAATRNGKIGVIGTIGTVNSGAYQDLFNASPHVECYAQACPRFVDFVEKGITSGRQILGIAQAYVEPLQQHGVDTLVLGCTHYPLLSGVIQLAMGDGVTLVSSAEETAKDVFKILSETDMLADPD----HVARRTFESTGDPEIFAQLAGRFLGPAVTQVSQLKGM</t>
  </si>
  <si>
    <t>----------------MAERNAPIGIFDSGVGGLTVARAIVDQLPDESIIYIGDTANGPYGPQPISRVREHATRIADELVARGCKMLVIACNTASAAFLRDARERYDIPVVEVILPAVRRAVATTRNGKIGVIGTQGTVNSGAYQDLFAASPHVTAYAQACPRFVDFVERGITSGRQILGIAQAYVEPLQAAGVDTLVLGCTHYPLLSGVIQLAMGEHVTLVSSAEETAKDVVRILSENDMLAERDGDGAEPVVR</t>
  </si>
  <si>
    <t>GC_00000105</t>
  </si>
  <si>
    <t>PF00581.25</t>
  </si>
  <si>
    <t>Rhodanese-like domain</t>
  </si>
  <si>
    <t>K01011</t>
  </si>
  <si>
    <t>thiosulfate/3-mercaptopyruvate sulfurtransferase [EC:2.8.1.1 2.8.1.2]</t>
  </si>
  <si>
    <t>COG2897</t>
  </si>
  <si>
    <t>3-mercaptopyruvate sulfurtransferase SseA, contains two rhodanese domains (SseA) (PDB:1BOH)</t>
  </si>
  <si>
    <t>KEGG Orthology (KO)&gt;&gt;&gt;09100 Metabolism&gt;&gt;&gt;09102 Energy metabolism&gt;&gt;&gt;00920 Sulfur metabolism [PATH:ko00920]|KEGG Orthology (KO)&gt;&gt;&gt;09100 Metabolism&gt;&gt;&gt;09105 Amino acid metabolism&gt;&gt;&gt;00270 Cysteine and methionine metabolism [PATH:ko00270]|KEGG Orthology (KO)&gt;&gt;&gt;09120 Genetic Information Processing&gt;&gt;&gt;09123 Folding, sorting and degradation&gt;&gt;&gt;04122 Sulfur relay system [PATH:ko04122]|Enzymes&gt;&gt;&gt;2. Transferases&gt;&gt;&gt;2.8  Transferring sulfur-containing groups&gt;&gt;&gt;2.8.1  Sulfurtransferases&gt;&gt;&gt;2.8.1.1  thiosulfate sulfurtransferase|Enzymes&gt;&gt;&gt;2. Transferases&gt;&gt;&gt;2.8  Transferring sulfur-containing groups&gt;&gt;&gt;2.8.1  Sulfurtransferases&gt;&gt;&gt;2.8.1.2  3-mercaptopyruvate sulfurtransferase</t>
  </si>
  <si>
    <t>MTATIISTDELEYRVRTGKKQIVLASLWEPDEHSNYEHFKAGHIPTARFCDTALALADIPSASKGRNPLPTKTILERWFKYWGLDDTHEVIVYDDKRGFFAARAWWTLKWAGVSNVRILDGGQQEWVRRDYPMAAGPGNPCVYDNIVPSSGHMPTATIQDVKAHTGLLIDARETNRFAGRKEYLDLKAGHIPGAINIPTRAVMNPKQSFKPAEELREIFASHGVTRDTIADAIIYSGSGNHSAQVIAAMNIAGLGTPRHYVGGWSQWCANRNNPVERGV</t>
  </si>
  <si>
    <t>MTATIISTDELEYRVRTGKKQIVLASLWEPDEHSNYEHFKAGHIPTARFCDTALALADIPSASKGRNPLPTKTILERWFKYWGLDDTHEVIVYDDKRGFFAARAWWTLKWAGVSNVRILDGGQQEWVRRDYPMAAGPGNPCVYDNIVPSSGHMPTATIQDVKAHTGLLIDARETNRFAGRKEYLDLKAGHIPGAINIPTRSVMNPKQSFKPAEELREIFANHGVTRDTIADAIIYSGSGNHSAQVIAAMNIAGLGTPRHYVGGWSQWCANRNNPVERGV</t>
  </si>
  <si>
    <t>GC_00000106</t>
  </si>
  <si>
    <t>PF00164.32</t>
  </si>
  <si>
    <t>Ribosomal protein S12/S23</t>
  </si>
  <si>
    <t>K02950</t>
  </si>
  <si>
    <t>small subunit ribosomal protein S12</t>
  </si>
  <si>
    <t>COG0048</t>
  </si>
  <si>
    <t>Ribosomal protein S12 (RpsL) (PDB:4V4H)</t>
  </si>
  <si>
    <t>MEHAESAPIITPIKQERRFMPTIQQLVRKGRQDKTAKVKTAALKGSPQRRGVCTRVYTTTPKKPNSALRKVARVRLTSGVEVSAYIPGEGHNLQEHSMVLVRGGRVKDLPGVRYKIVRGTLDTQGVKDRKQARSRYGAKKEK</t>
  </si>
  <si>
    <t>GC_00000107</t>
  </si>
  <si>
    <t>PF17964.7</t>
  </si>
  <si>
    <t>Bacterial Ig domain</t>
  </si>
  <si>
    <t>COG1376</t>
  </si>
  <si>
    <t>Lipoprotein-anchoring transpeptidase ErfK/SrfK (ErfK) (PDB:4LZH)</t>
  </si>
  <si>
    <t>MFFIHNREVQRVKFFNRSRPAIAAALTC-AMLVLAGCTIDRGSQEE-------AAAASSEKKLPPVASVDNGETDVNPAEPITVKALSGTLSDVTMTNQDGKVIESKLSADKKSWTTDEPLGFYRTYTIVAHDTEGGTSTIEFSTTEPAAVADAYLSPLADSTVGIGQVISIHFTQSIVDRKAAQDTVSITTNPPVEGAFYWLNDQELRWRPKDFWTPGTTVDVDVKAYGANLGGGIYGDGDNHTNFTIGDAVIATADDNTKQITVTRNGEVIKTMPTSMGSAKFPTPNGTYVVGDRNADLIMDSSTYGLAIDAPDGYRTDVKFATQMSWSGIYVHAAPWSVWAQGSQNTSHGCLNVSTDNAQWFFNNMKRGDPVIVKNTIGGTLSGYDGLGDWNIPWAEWSAGNADD----</t>
  </si>
  <si>
    <t>-----------MPGLRPLTALGAVGLLA-GALILGGCAAGQNSGDKAVD--AAAEASKSAENKKPEANVKDGQKDVNPAKPITVKIGDGELSTVTMTNEDGKVVEASLDKDKKKWETTEPLGYSRTYTLTIEAKGEKKQEMSFSTIDATNTTTAALSPLPESTVGVGQTIGIKFDTNIENRQAAQDAITVKTEPKVEGQFFWLNNSEVRWRPKDFWEPGTKVDVKVDIYGVDLGGGVYGEENNNTNFTIGDKVVA</t>
  </si>
  <si>
    <t>-----------MPGLRPLTALGAVGLLA-GALILGGCAAGQNSGDKAVD--AAAEASKSAENKKPEASVKDGQKDVNPAKPITVKIGDGELSTVTMTNEDGKVVEASLDKDKKKWETTEPLGYSRTYTLTIEAKGEKKQEMSFSTIDATNTTNAALSPLPESTVGVGQTIGIKFDTNIENRQAAQDAITVKTEPKVEGQFFWLNNSEVRWRPKDFWEPGTKVDVKVDIYGVDLGGGVYGEENNNTNFTIGDKVVA</t>
  </si>
  <si>
    <t>-----------MKVSRRSAKKTIVAFLCSSALLLGACTVEQGSATDVGDKSSAAKASEAPKVNAPKASVKDGATGVSPRDTVEVKSQDKGLKKVSMTNEDGNEVKGKLSDDKMSWSTAEELGFNRNYTITAEDKNGKKSTTKFSTIEANNLAENSLSPLDGSTVGVAQTIGVRFDSIVRDRKAVEKAIKIETEPKVEGAFYWISNQEVRWRPEKFWEPGTKVKVDADLYGVKIGDSSYASNGNKASFTIGNKVEA</t>
  </si>
  <si>
    <t>GC_00000108</t>
  </si>
  <si>
    <t>PF07685.20</t>
  </si>
  <si>
    <t>CobB/CobQ-like glutamine amidotransferase domain</t>
  </si>
  <si>
    <t>K07009</t>
  </si>
  <si>
    <t>lipid II isoglutaminyl synthase (glutamine-hydrolysing) [EC:6.3.5.13]</t>
  </si>
  <si>
    <t>COG3442</t>
  </si>
  <si>
    <t>Glutamine amidotransferase related to the GATase domain of CobQ (PDB:5N9M)</t>
  </si>
  <si>
    <t>KEGG Orthology (KO)&gt;&gt;&gt;09100 Metabolism&gt;&gt;&gt;09107 Glycan biosynthesis and metabolism&gt;&gt;&gt;00550 Peptidoglycan biosynthesis [PATH:ko00550]|Enzymes&gt;&gt;&gt;6. Ligases&gt;&gt;&gt;6.3  Forming carbon-nitrogen bonds&gt;&gt;&gt;6.3.5  Carbon-nitrogen ligases with glutamine as amido-N-donor&gt;&gt;&gt;6.3.5.13  lipid II isoglutaminyl synthase (glutamine-hydrolysing)</t>
  </si>
  <si>
    <t>--MLTIGLVLPDVLGTYGDDGNALVLRQRARMRGIDAEVKQLRYGDAIPESLDIYTVGGGEDTAQILAAQHLAADGGLKRASEAGRPILAICAGLQVLGTNFRAAGRMVDGLGLIDATTSSLGKRTIGEVASIPL-ID-----GLTAPLTGFENHMGATILGSDASPLGRLTRGVGNCDAHG------SRSPDDVGVEGATQGSIIATYMHGPALARNPELADLLLARAMGVAVDELAPLDIDCVDQLRKERLR-</t>
  </si>
  <si>
    <t>MSELTIGLILPDVLGTYGDNGNALVLRGRARKRGIDTEVVTIKLGEPVPTNLDLYCVGGGEDTAQILAAKHLTEHRGLIEAANLGRPIFAICAGLQVLGESFRADGRIVDGVGLIDATTSSLGKRTIGELISTPAGIP-----ELTDTLTGFENHMGATILGPDAAPLGRVIRGVGNCDAHGATADGSAEADGQVGAEGVVQGSIIATYMHGPALARNPQLADLLLARAMGVELSSLEPLDIPEVEQLRKERLR-</t>
  </si>
  <si>
    <t>MSTLQIGLVLPDVLGTYGDDGNALVLRQRARMRGFDANIVRIHLGDPIPTSLDVYCLGGGEDTAQILAAEHINTDGGLHKAAAAGRPILAICAGLQVLGESFRADNRMVTGAGLIDATTGSLKKRFIGELQSTPHPNDGGITAGLTEPLTGFGNHFGSSILGSDAKPLGIVTHGVGNSDT------------EQPTYEGAVQGSIICTYMHGPVLARNPQLADLLLAWALDMPMSELQPLDLPVVDKLRRERLQR</t>
  </si>
  <si>
    <t>GC_00000109</t>
  </si>
  <si>
    <t>PF00009.33</t>
  </si>
  <si>
    <t>Elongation factor Tu GTP binding domain</t>
  </si>
  <si>
    <t>K06207</t>
  </si>
  <si>
    <t>GTP-binding protein</t>
  </si>
  <si>
    <t>COG1217</t>
  </si>
  <si>
    <t>Predicted membrane GTPase TypA/BipA involved in stress response (TypA) (PDB:5A9V)</t>
  </si>
  <si>
    <t>KEGG Orthology (KO)&gt;&gt;&gt;09190 Not Included in Pathway or Brite&gt;&gt;&gt;09193 Unclassified: signaling and cellular processes&gt;&gt;&gt;99995 Signaling proteins</t>
  </si>
  <si>
    <t>----MTQTEFRNVAIVAHVDHGKTTLVDAMLRQSGAFDAHAELVDRVMDSGDLEKEKGITILAKNTAIRRHGAGKDGRDLIINVIDTPGHADFGGEVERALSMVDGVVLLIDASEGPLPQTRFVLGKALAAKMPVIIVVNKTDRPDARIDEVVEEAHDLLLELASTIEDEEAAAAAENLLDLPVLYASGREGKASTTNPGNGNVPEAEDLQELFDVLYDVLPEPTAELDAPLQAHVTNLDSSSFLGRIGLVRVHA</t>
  </si>
  <si>
    <t>MTAPVTNTEFRNVAIVAHVDHGKTTLVDAMLRQSGAFDAHAELVDRVMDSGDLEKEKGITILAKNTAIRRKGVGKDGQDLIINVIDTPGHADFGGEVERALSMVDGVVLLIDASEGPLPQTRFVLGKALAAKMPVIIVVNKTDRPDARIDEVVEEAHDLLLELASTLEDPEAQEAAETLLDLPVLYASGREGKASTTNPGNGNVPDADNLQELFDVLYDVLPEPSADIDGALQAHVTNLDSSSFLGRIGLVRVHAGILRKGQQVAWIHYDSDGNQHTKTAKISELLRTEGVNRVPATE-VIAGDIAAVSGIEEIMIGDTLADVENPVALPRITVDEPAISMTIGVNTSPLAGRGGGDKLTARMVKARLDQELIGNVSIRVLPTERPDAWEVQGRGEMALSVLVETMRREGFELTVGKPQVVPKTIDGVLHEPYEHMVIDVPAEHQGAVTQLMAARKGQMVSMDNTGTDWVRMEFKVPARGLIGFRTTFLTETRGTGIANHYSDGYEPWAGEIKDRAQGSLVADRSGQITAYALQQLADRGSFFVEPGTEAYEGMVVGSNNREEDMDINITREKKLTNMRSATSEATVTLAKARNLSLDEAMEFCGQDECVEVTPETIRVRKVILNATDRARARSREKQRNK</t>
  </si>
  <si>
    <t>----MSHPEFRNVAIVAHVDHGKTTLVNAMLEQSGVFGDHGEVADRVMDSGDLEKEKGITILAKNTAIRRKGLGKDGNDLIINVIDTPGHADFGGEVERGLSMVDGVVLLVDASEGPLPQTRFVLGKALAAKMPVIIVVNKTDRPDARIDEVVEESQDLLLELASALDDPEAAAAAETLLDLPVLYASGREGKASTENPGNGNVPDAADLQALFDVIHEVLPEPSATIDAPLQAHVTNLDSSSFLGRIALVRIHA</t>
  </si>
  <si>
    <t>GC_00000110</t>
  </si>
  <si>
    <t>PF00420.29</t>
  </si>
  <si>
    <t>NADH-ubiquinone/plastoquinone oxidoreductase chain 4L</t>
  </si>
  <si>
    <t>K05567</t>
  </si>
  <si>
    <t>multicomponent Na+:H+ antiporter subunit C</t>
  </si>
  <si>
    <t>COG1006</t>
  </si>
  <si>
    <t>Multisubunit Na+/H+ antiporter, MnhC subunit (MnhC) (PDB:6CFW)</t>
  </si>
  <si>
    <t>MIIALTIAVLMAGGVYLALQRGMVRIVIGMGLISHATNLIILAAGIGAWRGEPFAGRTSIDDAADPLPQAFVLTAIVITMATTAFMLALAALGRSDDTRSAEDPEHESSLDSRARKASPISPHTRRGRRVHAVHEAERQRHEKQKQHKQQKAKHEDGQKQQDGAGSGAQGAEH</t>
  </si>
  <si>
    <t>MIIAVTIAVLVAGGVYMILQRGMVRIVFGMGLVSHATNLLILATGIGAWRSEPFAERTPLSDAADPLPQAFVLTAIVITMATTAFMLTLAALGRSDDTRTVEDPEEESPLETRGRTAS--------------VSESAVAKEEQR-----------------------------</t>
  </si>
  <si>
    <t>MIIPLSIAILAGGGVYLVMQRSMLRIIVGMTLFSHATNLFIMSTGTTTWRGEPFPSLTDLQDAADPVPQAFVLTAIVIAMATTTYMLTLSGLGSSDDTTAHAVADEDSPLQTLGRSTTMAE---------LAAADAHAAKQEQVAYRRAQEAQRKEGH---------------</t>
  </si>
  <si>
    <t>GC_00000111</t>
  </si>
  <si>
    <t>PF03699.18</t>
  </si>
  <si>
    <t>Uncharacterised protein family (UPF0182)</t>
  </si>
  <si>
    <t>K09118</t>
  </si>
  <si>
    <t>COG1615</t>
  </si>
  <si>
    <t>Uncharacterized membrane protein, UPF0182 family</t>
  </si>
  <si>
    <t>MSFSLSRPNAQTSRRVKIVSTLAAVVALLIVIAPTLVDLYARWEWFREVDYTSVFSTVWVSRIVLFLVAGLIGGLGAYLAAALAFRFRPSRGFADSGDSVGIEDLFGKGGLGSLGGGLSGRFARGEGSEQRTDDAGLEGLTVPDDFGATTGGAESP-LVIYQEAIAQGLRKVMRAVVVVFAVFVGFMGETQWRRVLMYFHGGDFDRVDPQFSKDMGFYAFQLPFIQMLLSMASLIIFVMVVISVIFHYILGGIRPGEQLAGGKMSVTRAARLQLATFAGLWMLVRAASYWFDRYNLLSAHNGMFDGGSYTDINAVLPAKMLLTIIACVVAAAFFSAIVLNDLRIPAVATVLMLLSAFVIGGAWPGLVEKFEVSPNRQEKESEYIGRNIEATRWAYGLTDDKVTYERDWGDKGASAEAVASDAATLGNIRLLDPEILSATFTQQQQLKNFYGFPKTLNVDRYTVDGQLRDYVVAAREINANDLRDNQKDWINRHTVYTHGNGFIAAPANRVDEAVLDAGSTRGGYPIYQVSDLNGVGEGA--------KEMGLELEQPRIYYGPVIADVPSQQDYAIVGVSNG--PVEYDTEFSNYTYEGKGGVPIGNIFKRALFAAKYGELKLILSDRIDGSSKIIFDRDPRSRVEAVAPWLTTDSATYPAVVDGRIKWIVDGYTTLSNLPYSQRTSLKESTRDSLNPTGNLQTNM-NSDLGYIRNSVKATVDAYDGTVELYEFDDKDPVLKAWEGVFPDTVKPKSDIPDQLRDHLRYPEDMFKVQRDLITKYHVDDPRVFFTSDAFWSVVKDPNSTTKIDAEHESDAKPNQPPYYVVAADPKTGKPSYQVISPLRGLSREFLAAHMSVSSDPDNYGHITMRVLSTKSTTPGPAQAQDTMMSSDQIARDRSLWENSVTLKNGNLLTLPVGGGEILYVEPLYSERKDQNSAFPKLLRVLVSYNGKVGYAPTIAEALAQVGIDPRETSDLDEVVATGGAGEVAKVSDAIKADEEPAGASKGDDAAGVKNVGGLPV---ATGDAAKALDAVNKALADLDAAKGKSFEEYGKALDALDRAVKEYQRYQ------</t>
  </si>
  <si>
    <t>MATGLTPPSPSIKRPPRILTIIIAVVAVIGLVGPLLVSYYTDWLWFGEVQFRSVFTTVLVTRLVLFFVFALVTAAIVWLAGYVAYRNRPD---------------------------LMTEF-----------------------------GVSSP-IVEYRRIMERSVRKILVTLPILAGAVAGAIGQNSWQTVQMFLNGQSFGQRDPQFNMDYGFYAFTLPMLRLVIGSFSVLLLVAFVIMLIGNYLLGGIRVGNQALGVKSSITTAARVQLMVVLGLWMLLRVVSYWLDRFDLLSSQQAMFTGAGYTSIHAILPAKILLMVIAVVVAAAFFSAIVLRDMRIPALATVLMLFSSLIIGVAWPYVVEQFSVQPNRAEKETPYIGRNIEATRYAYGLTDDKVTYMNNWGAQGATDEEVASDANTLSNIRLLDPEILSPTFTQQQQLKNFYGFPKSLTMDRYNVDGELRDYVVAAREMDPQALSDNQRDWVNRHTVYTHGNGFIAAPANKVDEVARDVGSTRGGFPVYTVSDLQSIERNASSPDAESPDKLGINVTQPRMYFGPVIANVPENLDYAIVGKAGGENSFEYDTDTSNFTYDGNGGVNISNPVNRAAFALQYQEMKLLLSDRIGDGSKIIFNRDPRARVEKVAPWLTTDTTTYPTVIDGRIKWIVDGYTTLENLPYSQRTSLTEATEDAINPTGTTQQML-TEQVGYIRNSVKAVVDAYDGSVELYEFDEQDPVLKAWKGVFPGTVKPKSEISDELRDHLRYPEDLFKVQRSLITKYHVNDPRQFFTNDAFWSVPGDPT------VENENRQSLNQPPYYIVAADPETKKPSFQLITPFRGLKREFLAAHMSVSSDPDNYGKITVRVLPTDTQTQGPKQAQDTMMSSDQVARDRSLWKGTNDLKNGNLLTLPVGGGQILYVEPIYSQRRDQTSAFPKLLRVLVSYNGKVGYAPTIAEALSQVGIDPREASDVEDA--------VAAGADTT--------ANKGDDAQGNNNDTQQPASAPAASSEGEALDRVNKALDGLQEAKGKSFEEYGKAIDELDRAVDEYRKIKGGGGQ-</t>
  </si>
  <si>
    <t>MATGSTPSAPQIGRPPKLVSIIVLAVFILGTIIPTFIGFYTDWLWFGEVNFRSVFNKVILTRIALFVAFGLIAAAAVWITATITQKGRQS---------------------------DETRF-----------------------------FDSSPQLIAYRKNLERSTIRLMRFLPVLFGVIAGFFGQQSWRVVQLFLNRQDFGVADQQFGVDYGFYAFVLPMLRLTLSTLSLLLIISFLIALIGHYLLGNIIIGSQAAGQRGSISRYARIQLAVTAGLWMIVKSVGYWLDRFDLLMSRDETFYGASYTDIKAVLPAKIILMVIAALVAVSFFSVIVLKDLRIPAMTTVLMLLSSMVIGYAWPAMMERFSVQPNRAEKESEYISRNIESTRYAYGLTEDKVTYQENWGAKGATKEAVASDVATVSNIRLLDPEIISPTFTQLQQLKNFYGFPESLAMDRYNIDNELRDFVVAAREINPNSLRENQKNWINRHTVYTHGNGFVAARANQVDEVARDVGSARGGYPVFTVSDLQTTDENA--------KKLGIVVNEPRIYYGPLIASARDGKDYAVVGSETG-NSVEYDTDSSTYTYEGKGGVDIGNVFNRAAFAARYQEMNLILSERVNSNSKILFERDPRQRVHKVAPWLSTDSTTYPAVIDGRIKWIVDGYTTLNSLPYASPTSLSAATNDTSGDVGSTQRALVSDEIGYIRNSVKAVVDAYDGSVDLYQFDEEDPVLKAWMGVFPGTVKAKGEISKELMDHLRYPQDMFKVQRGILTRYHVNDARDFFTNDRFWSVPDDPS------VAEANRAA--QPPFYVVAADPETGKPSFQLITPFRGLNRQYLAAHMSVSSDPDNYGKITVRVLPTDTLTQGPQQAQDTMISSDQVARDQTLWKETTDLRNGNLLTLPVGGGEILYVEPIYSKRKGQESAFPKLLRVLVSYKGQVGYAATVSEALAQVGIDPRAAQDLDEV------QDIEKVKQET--------SKNQDDNNSQQQAAEVPTPNTATPNEAEAVKGINDALNKVKEARNGSHEDYGKALDELDRAVEEYQKTQQSQQQE</t>
  </si>
  <si>
    <t>GC_00000112</t>
  </si>
  <si>
    <t>PF02601.20</t>
  </si>
  <si>
    <t>Exonuclease VII, large subunit</t>
  </si>
  <si>
    <t>K03601</t>
  </si>
  <si>
    <t>exodeoxyribonuclease VII large subunit [EC:3.1.11.6]</t>
  </si>
  <si>
    <t>COG1570</t>
  </si>
  <si>
    <t>Exonuclease VII, large subunit (XseA)</t>
  </si>
  <si>
    <t>ko00001|ko01000|ko03400</t>
  </si>
  <si>
    <t>KEGG Orthology (KO)&gt;&gt;&gt;09120 Genetic Information Processing&gt;&gt;&gt;09124 Replication and repair&gt;&gt;&gt;03430 Mismatch repair [PATH:ko03430]|Enzymes&gt;&gt;&gt;3. Hydrolases&gt;&gt;&gt;3.1  Acting on ester bonds&gt;&gt;&gt;3.1.11  Exodeoxyribonucleases producing 5'-phosphomonoesters&gt;&gt;&gt;3.1.11.6  exodeoxyribonuclease VII|DNA repair and recombination proteins&gt;&gt;&gt;Prokaryotic type&gt;&gt;&gt;SSBR (single strand breaks repair)&gt;&gt;&gt;MMR (mismatch excision repair)&gt;&gt;&gt;DNA exonucleases</t>
  </si>
  <si>
    <t>MSD--TTPESPWPVRDLNTRVKQWIERLGHVWVEGQLAQINYKPSWKLSYVTLRDPQAEASVQLTCPSSLLRDMD--LSDGDRVVVYGKPAFYAGRGSFSLWVTQIRRVGVGELLARINALREALAREGLFDPERKKPLPFLPRRVGLITGRGSAAERDVLAVARDRWPEVDFEVINTAVQGPSAVPEIVKALKVLDDAAGVDVIIIARGGGSVEDLLPFSEEALQRAVATCSTPVVSAIGHEPDNPILDNVADVRAATPTDAAKRVVPDVLAERELVAQLRARGRQAVVGYVNNQADYVGQLASRPVLADPYTPIHRHAEELDGWRRRLRREVVSLVESQSNDVASLRARVKALGPAATLARGYAVVQVRDPDAPKQQGADAYSVVTSIGDVAPGSQLRVRVGDGSMGAAVLNVTPAD</t>
  </si>
  <si>
    <t>MSNEPTSAENPWPVREVNSKVKAWIERLGSVWVEGQLAQVNIKPSWRFSYLTLRDVEAEMSLQVTCDTALLQNAPAPLRDGDRVVVYGKPTFFTGRGSFSLRATEIRPVGVGELLARIERLRQQLASEGLFDASRKLPLPYLPRCIGLITGRGSAAERDVLSVAEDRWPHVNFKVINTAVQGAPAVPEVIAALEALDADPEVDVIIIARGGGSVEDLLPFSEEALQRAVSRARTPVVSAIGHEPDNPVLDNVADLRAATPTDAAKRVVPDAREELLRLDQLRQRAAAALRGWVDRQQQNLQALRSRPVLADPFTPITRQEEEVQRALTMVRRDITYLLNSHESQVRALRAQVSALGPSATLARGYSVVQVIPRDGSEPE------VVTSYEQAPPGSQLRIRVADGSVTAASIAHSPAD</t>
  </si>
  <si>
    <t>MANH-TTPETAWPVRELNSKVKGWIERLGYVWVEGQITQYKANNRWKFSYLTLRDPEIEASIQITCNTTLLTSADNPIAQGDRVVVYGKPSFYEGRGSFSLWVTEIRPVGIGAMLARIEQLRRRLATEGLFDDSRKHPLPFLPNNIGLITGRGSAAERDVLSVSQGRWPDVQFTIINTAVQGARAVPEIIAALTELDANPDVDVIIIARGGGSVEDLLPFSEEALQYAVAECRTPVVSAIGHEPDNPILDNVADLRAATPTDAAKRVVPDVLAELQQVRELRGRAAAALRGWVSREQQQLTAIRSRPVLNDPLTGLRQRWIDVHQHITAARREIQHLLTTETNQVTALRTQVATLGPAATLARGYAVVQVVPRDGRPAE------VVMSIDQSPPGSQLRIRVGDGSITAAAMQTTPAD</t>
  </si>
  <si>
    <t>MANH-TTPETAWPVRELNSKVKGWIERLGYVWVEGQITQYKANNRWKFSYLTLRDPEIEASIQITCNTTLLTSADNPIAQGDRVVVYGKPSFYEGRGSFSLWVTEIRPVGIGAMLARIEQLRRRLATEGLFDDSRKHPLPFLPNNIGLITGRGSAAERDVLSVSQGRWPDVQFTIINTTVQGARAVPEIIAALTELDANPDVDVIIIARGGGSVEDLLPFSEEALQYAVAECRTPVVSAIGHEPDNPILDNVADLRAATPTDAAKRVVPDVLAELQQVRELRGRAAAALRGWVSREQQQLTAIRSRPVLNDPLTGLRQRWIDVHQHITAARREIQHLLTTETNQVTALRTQVATLGPAATLARGYAVVQVVPRDGRPAE------VVMSIDQSPPGSQLRIRVGDGSITAAAMQTTPAD</t>
  </si>
  <si>
    <t>GC_00000113</t>
  </si>
  <si>
    <t>PF00300.27</t>
  </si>
  <si>
    <t>Histidine phosphatase superfamily (branch 1)</t>
  </si>
  <si>
    <t>COG0406</t>
  </si>
  <si>
    <t>Broad specificity phosphatase PhoE (PhoE) (PDB:1EBB)</t>
  </si>
  <si>
    <t>MTHTLVHLVRHGEVHNPEKILYGRIPGYHLSARGHTQAATTARAFTTHDVIHLAASPLQRAQETAQPFTEITGLPITTDEDLIEAGNQLEGLKIKGINSALWNPTYWPLLKDPTEPSWGEPYSDILERMWRAILNARDAAEGHEAILISHQLPIVCVQRFAQGLPLAHNPASRQCNLASVTSLGFEDNILTDIYYTEPAQEL---</t>
  </si>
  <si>
    <t>MSTTIVHLIRHGEVHNPEKILYGRLPGYRLSTRGRNQAARTAASLRGHDVVYLAASPLQRAQETAQPCAQTFNLGIVVDEGLIEAGNQLEGLRVRGWRSQLWNPVRWPMLRDPSLPSWGEHYTDIAERMMDSVERARLEAEGHEAVLVSHQLPIVCVQRAVMELPLAHNPGSRQCDLASVTSLVFHDEVITDIYYTEPAREKRHA</t>
  </si>
  <si>
    <t>MSHTIIHLVRHGEVYNPDRILYGRIPDYHLSARGQSMAAATAQSFANHDIALLWSSPLERAQETAGPISETTGVDITLDDRLIEAGNRFEGLRVNSWRSQLINPIRWPLMWNPALPSWGEHYVDIAARMMDAVDSARRQAAGHEGILVTHQLPIVCVQRTVLGQPLAHNPSNRVCDLASVTSLVFRGDQLVDYRYNEPAQEI---</t>
  </si>
  <si>
    <t>GC_00000114</t>
  </si>
  <si>
    <t>PF04542.20</t>
  </si>
  <si>
    <t xml:space="preserve">Sigma-70 region 2 </t>
  </si>
  <si>
    <t>K03088</t>
  </si>
  <si>
    <t>RNA polymerase sigma-70 factor, ECF subfamily</t>
  </si>
  <si>
    <t>MKRDTRT----AAAPAHTHNRAVPVATPAGSTGGTEAFDKGEGTMSSWSDIVSQHADSVYRLAYRLSGNEQDAEDLTQETFMRVFRSLDRYKPGTFEGWLHRICSNLFLDMARHRSVIRMEALPEDYERIASTDLGPEQAYHHINMDPALEKALNSLAPEFRVALVLCDVMGLSYDDIADTLGVKLGTVRSRIHRGRTQLRAALEA----DTAAKELIP-AYPR</t>
  </si>
  <si>
    <t>MHNNTMTSTHQAEFTDPTINAGSDDTVPFATLSGTAAFDAGQGDMPTWAELVEEHADSVYRLAYRLSGNQYDAEDLTQETFMRVFRSLKNYQPGTFEGWLHRITTNLFLDMVRRRAKIRMEALPEDYDRVPGNDLTPEQAFTVSNLDPALQKALDELSPDFRVAVVLCDVVGMSYDEIADTLGVKMGTVRSRIHRGRSQLRASLEAAAESSESAQLLLPMRY--</t>
  </si>
  <si>
    <t>MRQKSTA----QDFPHEAFDHE-DDTLEGQDLQGTAAFDAGVGDMPSWGDIVAQHADSVYRLAYRLSGNQHDAEDLTQETFMRVFRSIKNYQPGTFEGWLHRITTNLFLDMVRHRSKISMESLPEDYERVPGTDMTPEQVYTEANLDPALQEALDSLAPDFKVAVVLCDVVGMSYDEIADTLGVKMGTVRSRIHRGRSQLRAALEAKAEVDNDAKLLIP-QY-R</t>
  </si>
  <si>
    <t>MRQKSTA----QDFPHEAFDHE-DDTLEGQDLQGTAAFDAGVGDMPSWGDIVAQHADSVYRLAYRLSGNQHDAEDLTQETFMRVFRSIKNYQPGTFEGWLHRITTNLFLDMVRHRSKISMESLPEDYERVPGTDMTPEQVYTEANLDPALQEALDSLAPDFKVAVVLCDVMGMSYDEIADTLGVKMGTVRSRIHRGRSQLRAALEAKAEVDNDAKLLIP-QY-R</t>
  </si>
  <si>
    <t>GC_00000115</t>
  </si>
  <si>
    <t>PF02401.23</t>
  </si>
  <si>
    <t>LytB protein</t>
  </si>
  <si>
    <t>K03527</t>
  </si>
  <si>
    <t>4-hydroxy-3-methylbut-2-en-1-yl diphosphate reductase [EC:1.17.7.4]</t>
  </si>
  <si>
    <t>COG0761</t>
  </si>
  <si>
    <t>4-Hydroxy-3-methylbut-2-enyl diphosphate reductase IspH (IspH) (PDB:3DNF)</t>
  </si>
  <si>
    <t>KEGG Orthology (KO)&gt;&gt;&gt;09100 Metabolism&gt;&gt;&gt;09109 Metabolism of terpenoids and polyketides&gt;&gt;&gt;00900 Terpenoid backbone biosynthesis [PATH:ko00900]|Enzymes&gt;&gt;&gt;1. Oxidoreductases&gt;&gt;&gt;1.17  Acting on CH or CH2 groups&gt;&gt;&gt;1.17.7  With an iron-sulfur protein as acceptor&gt;&gt;&gt;1.17.7.4  4-hydroxy-3-methylbut-2-en-1-yl diphosphate reductase</t>
  </si>
  <si>
    <t>----MTDTAKKVLLAAPRGYCAGVDRAVETVERALEKYGAPVYVRKEIVHNRYVVDTLAERGAIFVDETTEVPEGAHLVFSAHGVSPAVHSEAKELSLHTLDATCPLVTKVHNEVKRFAKAGYQILLIGHEGHEEVEGTAGEAPDVVHLVDGVEGVERL-EFSDD-DKLIWLSQTTLSVDETMTIVQLLKQKFPNLQDPPSDDICYATQNRQVAVKAIASQCDLVIVVGSQNSSNSKRLVEVALQNGAAASYLVD</t>
  </si>
  <si>
    <t>MTTPEAADAKKVLLAAPRGYCAGVDRAVETVERALEKYGAPVYVRKEIVHNRYVVDTLAERGAIFVDETTEVPEGSHLVFSAHGVSPAVHAEAKALSLETLDATCPLVTKVHNEVKRFARDGYQILLIGHEGHEEVEGTAGEAPDVVHLVDGAASVDSL-DFGPE-DKLVWLSQTTLSVDETMEIVQLLKAKFPHITDPPSDDICYATQNRQVAVKAIAERSDLVIVVGSQNSSNSKRLVEVALQGGADASYLVDYAHQVKPEWLDGVTTVGVTSGASVPEILVQDVIKLLDDHGFHTVEEVTTAAEKLVFSLPRVLRPA-RTPSGR</t>
  </si>
  <si>
    <t>-----------------------MDRAVETVERALEKYGAPVYVRKEIVHNRYVVETLTERGAIFVQETDEVPEGAHVIFSAHGVSPAVHAEAAKLSLKTLDATCPLVTKVHNEAKRFAKHGYHILLVGHEGHEEVEGTAGEAPEVTHLVDGVAGVAKLPEFLHEVENLVWLSQTTLSVDETMEIVTELHNRFPQLQDPPSDDICYATQNRQGAVKVISENADLVIVVGSRNSSNSKRLVEVALQAGAKRSYLVD</t>
  </si>
  <si>
    <t>GC_00000116</t>
  </si>
  <si>
    <t>PF05103.18</t>
  </si>
  <si>
    <t>DivIVA protein</t>
  </si>
  <si>
    <t>D</t>
  </si>
  <si>
    <t>Cell cycle control, cell division, chromosome partitioning</t>
  </si>
  <si>
    <t>K04074</t>
  </si>
  <si>
    <t>cell division initiation protein</t>
  </si>
  <si>
    <t>COG3599</t>
  </si>
  <si>
    <t>Cell division septum initiation protein DivIVA, interacts with FtsZ and MinD (DivIVA) (PDB:2WUJ)</t>
  </si>
  <si>
    <t>ko03036</t>
  </si>
  <si>
    <t>Chromosome and associated proteins&gt;&gt;&gt;Prokaryotic type&gt;&gt;&gt;Chromosome partitioning proteins&gt;&gt;&gt;Inhibitors of FtsZ assembly</t>
  </si>
  <si>
    <t>MPLTQADVHNVAFNKPPIGKRGYNEDEVDQFLDLVEDTLGALYDENEDLRKQV-------------AAGGGSAAPAVDEAAVTRRVEEKLRAEYDAKFADYKKSVDAKAAAAQPVPSASKGDDVATAKLEAELKATKQQLEAARKDAEAARAEATAAKQAAQDAKASASANSSQPAKLVGGEGEPATAETHMQAARVLSLAQEMADRLTSDAHTESQALKDKARAEAEKAVSEANASSQQTLANAQRESESKLAEAKARAEKAIAEATERSESMLADAKRRSEAMLSDATSKSAAQLKAAEDKANALQADAERKHTEIMATVKKQQSALEARIQELRTFEREYRTRLKTYLESQLEELATRGTAAPNDG---NN-</t>
  </si>
  <si>
    <t>MPLTPADVHNVAFAKPPIGKRGYNEDEVDQFLDLVEDTLGQLLDENEDLRQQVEELNNELAQAGSGATSGRSSAASVDTAAIRREVEEELRAEYEKKLAQAR----------------------------AETAKAQDELQLAQAQAQAAREEAAAVQRHSSSSVADV--------------DGIATAETHMQAARVLGLAQEMADRLTNDARTESQTMLDEARAAAEKTITEANSSAQATLAAAKRESEATLADARSTADQLVSEATQRSSTMIAQAEQKSNAMIADASARSDAQLRQANDKANALQADAERKHTEIMATVKKQQTALEGRIAELRTFEREYRTRLKTYLESQLEDLSTRGSAAPHGGVEANS-</t>
  </si>
  <si>
    <t>MPLTPADVHNVAFSKPPIGKRGYNEDEVDQFLDLVEDTLAEIQEENDDLRQQTDELKSELEQARAGGGGGGGA----DEAAIRARVEAQLKQQFN-----------------------------------AELAAAKAETERAKEEARAAKAEAEAAKKAAEGAMVPS--------------GETAHPETHMQAAKVLGLAQEMADRMTTEAQAESRSMLEDARTAAEKQISSAEATARAT-----------LDDARMRAEKQVNEATATAERLVNEARIQAEKTISEANARAEAQIKAAEDKANALQADAERRHTEIMATVTQQKNALETRIAELRTFEREYRTRLRTMLQTQLEELDARGSAQP--GPQSNNK</t>
  </si>
  <si>
    <t>GC_00000117</t>
  </si>
  <si>
    <t>PF12802.13</t>
  </si>
  <si>
    <t>MarR family</t>
  </si>
  <si>
    <t>K06075</t>
  </si>
  <si>
    <t>MarR family transcriptional regulator, transcriptional regulator for hemolysin</t>
  </si>
  <si>
    <t>COG1846</t>
  </si>
  <si>
    <t>DNA-binding transcriptional regulator, MarR family (MarR) (PDB:1JGS)</t>
  </si>
  <si>
    <t>Transcription factors&gt;&gt;&gt;Prokaryotic type&gt;&gt;&gt;Helix-turn-helix&gt;&gt;&gt;MarR family</t>
  </si>
  <si>
    <t>MGGRWASDVVVYGQPIYDLTMPGLPEIPTLLLESPSFQLERLRRRTRDEVEKSLVDYDTTLREYWALTALVAGDAASQSTLASILAVDASDMVRLIDSMEKHGWAKRERDPKDRRRQIVAATKRGRKVHEELAELVSHAEDRALDDSTSKQLKHLRKLAASIIAAEEE</t>
  </si>
  <si>
    <t>PF01047.28</t>
  </si>
  <si>
    <t>GC_00000118</t>
  </si>
  <si>
    <t>PF00196.25</t>
  </si>
  <si>
    <t>Bacterial regulatory proteins, luxR family</t>
  </si>
  <si>
    <t>T|K</t>
  </si>
  <si>
    <t>Signal transduction mechanisms|Transcription</t>
  </si>
  <si>
    <t>COG2197</t>
  </si>
  <si>
    <t>DNA-binding response regulator, NarL/FixJ family, contains REC and HTH domains (CitB) (PDB:1A04)</t>
  </si>
  <si>
    <t>MTDTMIRVLLADDHEIVRLGLRAVLEDANDIEVVGEVSTAEAAIAAAQAGGIDVILMDLRFGAGAEGTLVSTGADATAAIKRTMKNPPNVLVVTNYDTDADILGAIEAGAVGYLLKDAPPADLLAAVRSAAEGDSTLSPVVANRLMTRVRTPRTSLTPRELEVLKLVAAGSSNRDIGKVLFLSEATVKSHLVHIYDKLGVRSRTSAVAAAREQGVL</t>
  </si>
  <si>
    <t>GC_00000119</t>
  </si>
  <si>
    <t>PF07681.17</t>
  </si>
  <si>
    <t>DoxX</t>
  </si>
  <si>
    <t>K15977</t>
  </si>
  <si>
    <t>putative oxidoreductase</t>
  </si>
  <si>
    <t>COG2259</t>
  </si>
  <si>
    <t>Uncharacterized membrane protein YphA, DoxX/SURF4 family (DoxX)</t>
  </si>
  <si>
    <t>KEGG Orthology (KO)&gt;&gt;&gt;09190 Not Included in Pathway or Brite&gt;&gt;&gt;09191 Unclassified: metabolism&gt;&gt;&gt;99999 Others</t>
  </si>
  <si>
    <t>---------------MNKPAVRDGALFVLRLVLGFVFIAHGWQILFADGAAATAQIFAAAGVPQAQMSAWVAGVSQLVGGSMLIVGLLTTAVAGALALLVLAAAYFVHFDHGVFVTNNGFEYVLVLMASLMMIVVFGSGRASLDAVLG---</t>
  </si>
  <si>
    <t>MEGFRAHCLTGSLSAMDKPVVRDAALLIFRATLGLIFVAHGWQKLFMDGPVETAGKLSAAGIPQAKLSAYIVGGGELLGGALLVVGLLTTLAAGALALLMLAALYFVHLNSGLFIADGGFEYVLVLIVSLLMIVVFGSGRASIDGVLSR--</t>
  </si>
  <si>
    <t>GC_00000120</t>
  </si>
  <si>
    <t>PF06071.19</t>
  </si>
  <si>
    <t>Protein of unknown function (DUF933)</t>
  </si>
  <si>
    <t>K06942</t>
  </si>
  <si>
    <t>ribosome-binding ATPase</t>
  </si>
  <si>
    <t>COG0012</t>
  </si>
  <si>
    <t>Ribosome-binding ATPase YchF, GTP1/OBG family (GTP1) (PDB:2DWQ) (PUBMED:21527254)</t>
  </si>
  <si>
    <t>Ribosome biogenesis&gt;&gt;&gt;Prokaryotic type&gt;&gt;&gt;Other maturation factors</t>
  </si>
  <si>
    <t>-------------MVSWLIVLAPVSLTLGIVGLPNVGKSTLFNALTRNDVLSANYPFATIEPNVGLVELPDSRLSKLAEIFGSERILPATVSFVDIAGIVKGASEGEGLGNKFLANIREADAICQVVRAFADGDVIHVDGRVDPRSDMSVIETELILADLQTIEKALPRLEKEAKKDKSKASEVEAVKKAQAILEDDRTLFAA--QSEVDLAALRELHLLTAKPFLYVFNSDEAVLTDEAKKAELRELVAPADCV</t>
  </si>
  <si>
    <t>-----------------------MTLTLGIVGLPNVGKSTLFNALTRNDVLAANYPFATIEPNVGLVELPDPRLNKLAEIFGSEVIKPATVSFVDIAGIVKGASENEGLGNKFLANIREADAICQVVRAFSDDDVIHVDGRVDPSSDIAVIETELILADLQTIEKALPRLEKEAKRDKEKAGEVAAVKRAQTILEDGRTLFSAAGNGEIELATLRELHLLTAKPFLYVFNSDEGVLTDAARKDELRALVAPADCV</t>
  </si>
  <si>
    <t>MGASLVDGRRRGWAPISVIKFVPVSLTLGIVGLPNVGKSTLFNALTRSDVLAANYPFATIDPNIGLVELPDARLARLAEIFSSERILPATVSFVDIAGIVKGASHGEGRGNAFLANIREADAICQVVRAFADENVIHVDGKVNPTSDIDTINTELILADLQTIEKALPRLEKEARKNKELADTVAATKTAQTILEDGRTLYSAARSGEIDLALVRDLHLMTAKPFLYVFNSDEAVLTDEAKKQELRDLVAPADCVFLDAKTEAELLELDDDEAQELLESIGQTEPGLHSLAKAGFHTLGLQTYLTAGPKEARAWTIHQGDTAPRAAGVIHTDFEQAFIKAEIVSFDDLDAAGSMAAARAAGKVRQEGKEYVMADGDVVEFKSGRASGGKKK</t>
  </si>
  <si>
    <t>MGALLVDDRRRGWAPISVIKFVPVSLTLGIVGLPNVGKSTLFNALTRSDVLAANYPFATIDPNIGLVELPDARLARLAEIFSSERILPATVSFVDIAGIVKGASHGEGRGNAFLANIREADAICQVVRAFADENVIHVDGKVNPTSDIDTINTELILADLQTIEKALPRLEKEARKNKELADTVAATKTAQTILEDGRTLYSAARSGEIDLALVRDLHLMTAKPFLYVFNSDEAVLTDEAKKQELRDLVAPADCVFLDAKTEAELLELDDDEAQELLESIGQTEPGLHSLAKAGFNTLGLQTYLTAGPKEARAWTIHQGDTAPKAAGVIHTDFEQAFIKAEIVSFDDLDAAGSMAAARAAGKVRQEGKEYVMADGDVVEFKSGRASGGKKK</t>
  </si>
  <si>
    <t>GC_00000121</t>
  </si>
  <si>
    <t>MSEITNAQLLEKLEAVQARLAVVESELQELKQRSQQEIPEDVLLAISAAVSAYLGNKGKVKAVHFSRHRTWAAQGRQAVQTLSRKL</t>
  </si>
  <si>
    <t>MQELSQEQLLELVKSLSTRLDAVESELADLKARSDSEISEDVLLAISAAVSAYMGNKGKVRAVHFSRHRTWAAQGRQAVQVRTRRL</t>
  </si>
  <si>
    <t>MSELTNQELVELVQKLSARLDQAEAEIAELRKRSDASIPEDVIIAISAAVSAFMGNKGKVKAVHYLRHRTWAAQGRQSVQQRMLEN</t>
  </si>
  <si>
    <t>MSELTNQELVELVHKLSARLDQAEAEIAELRKRSDASIPEDVIIAISAAVSAFMGNKGKVKAVHYLRHRTWAAQGRQSVQQRMLEN</t>
  </si>
  <si>
    <t>GC_00000122</t>
  </si>
  <si>
    <t>PF00535.33</t>
  </si>
  <si>
    <t>Glycosyl transferase family 2</t>
  </si>
  <si>
    <t>K22907</t>
  </si>
  <si>
    <t>polyprenyl-phospho-N-acetylgalactosaminyl synthase</t>
  </si>
  <si>
    <t>COG0463</t>
  </si>
  <si>
    <t>Glycosyltransferase involved in cell wall bisynthesis (WcaA) (PDB:5MLZ)</t>
  </si>
  <si>
    <t>MTMRYQLNSNNSADFSDTWLIIPCYNEGQVIQGVIENARAVFPNIVAVNDGSHDDSAYRIHAGGAHLVNHPVNLGQGASIQTGVEYARQQPGARYFVTFDADGQHQVKDVIRMVQRLRTEPLDIIVGTRFGRPKSDHDQVPWIKRLVLQTVVLLSRKTRKLGLTDAHNGLRAFNRRVADELNIRMNGMSHASEIVSQIVDNQWRVSEEPVDILYTEYSMSKGQSLINGVNILADGLLVKENLI</t>
  </si>
  <si>
    <t>GC_00000123</t>
  </si>
  <si>
    <t>PF03947.24</t>
  </si>
  <si>
    <t>Ribosomal Proteins L2, C-terminal domain</t>
  </si>
  <si>
    <t>K02886</t>
  </si>
  <si>
    <t>large subunit ribosomal protein L2</t>
  </si>
  <si>
    <t>COG0090</t>
  </si>
  <si>
    <t>Ribosomal protein L2 (RplB) (PDB:1VS6)</t>
  </si>
  <si>
    <t>KEGG Orthology (KO)&gt;&gt;&gt;09120 Genetic Information Processing&gt;&gt;&gt;09122 Translation&gt;&gt;&gt;03010 Ribosome [PATH:ko03010]|Ribosome&gt;&gt;&gt;Ribosomal proteins&gt;&gt;&gt;Mitochondria/ Chloroplast&gt;&gt;&gt;Large subunit|Ribosome&gt;&gt;&gt;Ribosomal proteins&gt;&gt;&gt;Bacteria&gt;&gt;&gt;Large subunit|Ribosome&gt;&gt;&gt;Ribosomal proteins&gt;&gt;&gt;Archaea&gt;&gt;&gt;Large subunit</t>
  </si>
  <si>
    <t>MAIRKYKPTTPGRRQSSVSEFEEITRSTPEKSLLRPLHKTGGRNVHGHITTRHKGGGHKRRYRLIDFRRNDKDGITAKVAHIEYDPNRTANIALLHYADGEKRYIIAPKGLKQGAIVESGPNADIKPGNNLPLRNIPAGATVHCVELKPGGGAKMARSAGTSIQLLGKEGRYAILRMPSSEIRRVDIRCRATVGEVGNADQINIRWGKAGRMRWKGVRPTVRGVVMNPVDHPHGGGEGKTSGGRHPVSPWGKPEGRTRKPNRPSDKLIMRRRRSNKNKKR</t>
  </si>
  <si>
    <t>MAIRKYKPTTPGRRNSSVSGFDEITRSKPEKSLLRPLHKTGGRNSHGHITTRHKGGGHKRRYRLIDFRRNDKDGIPAKVAHIEYDPNRTANIALLHYRDGEKRYIIAPKGVTQGTIIESGPNADIKPGNNLPLRNIPAGAMIHCVELQPGAGAKLARSAGASIQLLGKEGRYAVLRMPSTEIRRVDIRCRATVGEVGNADQINVRWGKAGRMRWKGVRPTVRGVVMNPVDHPHGGGEGKTSGGRHPVSPWGKPEGRTRKPNRPSDRLIVRRRRTNKNKKR</t>
  </si>
  <si>
    <t>MAIRKYKPTTPGRRQSSVSMFEEITRSKPEKSLVRPLPKKGGRNVHGHITVRHKGGGHKRRYRIIDFRRNDKDGIPAKVAHIEYDPNRTANIALLHYIDGEKRYIVAPKGLYQGQMLEAGPNADIKVGNNLPLRNIPAGTLIHCVELKPGAGAKLARSAGSSIQLLGKAGHYAVLRMPSSEIRRVDIRCRATVGEVGNADQINIRWGKAGRMRWKGVRPTVRGVVMNPVDHPHGGGEGKTSGGRHPVSPWGKKEGRTRNPNRYSNNMIVQRRRSNKNKKR</t>
  </si>
  <si>
    <t>GC_00000124</t>
  </si>
  <si>
    <t>PF02381.23</t>
  </si>
  <si>
    <t>MraZ protein, putative antitoxin-like</t>
  </si>
  <si>
    <t>K03925</t>
  </si>
  <si>
    <t>transcriptional regulator MraZ</t>
  </si>
  <si>
    <t>COG2001</t>
  </si>
  <si>
    <t>MraZ, DNA-binding transcriptional regulator and inhibitor of RsmH methyltransferase activity (MraZ) (PDB:1N0E)</t>
  </si>
  <si>
    <t>MFLGTYNPKLDDKGRLTLPAKFREELAGGLMVTKGQDHSLAVYPREEFAARARKAAAISRSNPEARAFIRNLAASADEQRPDGHGRITISPGHREYAGLSKECVVIGSVDFLEIWDAEAWKQYQETTEDAFSAGQDVALDGLL</t>
  </si>
  <si>
    <t>MFLGTYTPKLDDKGRLTLPAKFREELAGGLMITKGQDHSLAVYPREEFAARARKAAAVSRTNPEARAFIRNLAASADEQRPDGHGRITLSAAHRQYAGLTKECVVIGSVDFLEIWDAEAWATYQAETEAAFSAAEDDVLGGLL</t>
  </si>
  <si>
    <t>MFLGTYTPKLDDKGRLTLPAKFREELAGGLMVTKGQDHSLAVYPKEEFVRIARKAAQLPRSNPAARAFIRNLTASADEQRPDGQGRITITPDHRKYAGLTKECVVIGAMDFLEIWDAEAWARYQADTESAFADASDDFLDGLL</t>
  </si>
  <si>
    <t>GC_00000125</t>
  </si>
  <si>
    <t>PF04997.17</t>
  </si>
  <si>
    <t>RNA polymerase Rpb1, domain 1</t>
  </si>
  <si>
    <t>K03046</t>
  </si>
  <si>
    <t>DNA-directed RNA polymerase subunit beta' [EC:2.7.7.6]</t>
  </si>
  <si>
    <t>COG0086</t>
  </si>
  <si>
    <t>DNA-directed RNA polymerase, beta' subunit/160 kD subunit (RpoC) (PDB:1NT9)</t>
  </si>
  <si>
    <t>ko00001|ko01000|ko03021|ko03400</t>
  </si>
  <si>
    <t>KEGG Orthology (KO)&gt;&gt;&gt;09120 Genetic Information Processing&gt;&gt;&gt;09121 Transcription&gt;&gt;&gt;03020 RNA polymerase [PATH:ko03020]|Enzymes&gt;&gt;&gt;2. Transferases&gt;&gt;&gt;2.7  Transferring phosphorus-containing groups&gt;&gt;&gt;2.7.7  Nucleotidyltransferases&gt;&gt;&gt;2.7.7.6  DNA-directed RNA polymerase|Transcription machinery&gt;&gt;&gt;Prokaryotic type&gt;&gt;&gt;Bacterial type&gt;&gt;&gt;RNA polymerase&gt;&gt;&gt;Core subunits|DNA repair and recombination proteins&gt;&gt;&gt;Prokaryotic type&gt;&gt;&gt;SSBR (single strand breaks repair)&gt;&gt;&gt;NER (nucleotide excision repair)&gt;&gt;&gt;TCR (transcription coupled repair) factors&gt;&gt;&gt;DNA-directed RNA polymerase complex (RNAP)</t>
  </si>
  <si>
    <t>----------------------MLDVNYFDELRIGLATADDIRRWSKGEVKKPETINYRTLKPEKDGLFCERIFGPTRDWECACGKYKRVRYKGIICERCGVEVTKSKVRRERMGHIELAAPVTHIWYFKGVPSRLGYLLDLAPKELERIIYFAANIITSVDDEARHNDLSTLEAEMLLEKKDVEADAESDIADRAAKLEADLAELEAAGAKADARRKVQNAAEKEMTHIRERAEREVARLEEIWQTFVKLAPKQ</t>
  </si>
  <si>
    <t>----------------------MLDVNFFDELRIGLATADDIRRWSKGEVKKPETINYRTLKPEKDGLFCERIFGPTRDWECACGKYKRVRYKGIICERCGVEVTKSKVRRERMGHIELAAPVTHIWYFKGVPSRLGYLLDLAPKDLERIIYFAANIITSVDEEARHNDLTTLEAEMLLEKKDVEADSESELAERAQKLEEDLAELEAAGAKADARRKVQNAADKEMQHIRERAQREIDRLDEIWNTFVKLAPKQ</t>
  </si>
  <si>
    <t>MSVPTLTLPNGISPHFFKKGSYVLDVNFFEELRIGLATADDIRRWSKGEVKKPETINYRTLKPEKDGLFCERIFGPTRDWECACGKYKRVRYKGIICERCGVEVTKSKVRRERMGHIELAAPVTHIWYFKGVPSRLGYLLDLAPKDLERIIYFAANIITSVDDEARHNDLTTLEAEMLLEKKDVEADAESELAERAQKLEEDLAELEAAGAKADARRKVQNAADKEMQHIRERMEREIDRLEEIWQTFVKLSPKQMIIDETIYEELVDRYEDYFTGGMGAEAIQTLIRNFDLDAEAEELRTIIAEGKGQKKMRALKRLKVVAAFQRSGNDPAGMVLDCIPVIPPELRPMVQLDGGRFATSDLNDLYRRVINRNNRLKRMIDLGAPEIIVNNEKRMLQESVDALFDNGRRGRPVTGPGNRPLKSLSDLLKGKQGRFRQNLLGKRVDYSGRSVIIVGPQLKLHECGLPKLMALELFKPFVMKRLVEHDFAQNIKSAKRMVERHRPEVWDVLEEAIAEHPVMLNRAPTLHRLGIQAFEPKLIEGKAIQLHPLACEAFNADFDGDQMAVHLPLSAEAQAEARILMLASNNILSPASGKPLAMPRLDMVTGLYYLTMDKREDEFGGQGAYRPATADGPATGVYSSVAEAIMAKDRGVLGLQAKIKVRISHLRPPADIEAEHFPDGWEQGQTWLAETTLGRILFNELLPWNYPYLEGVMVRKGGGTDKIMLGDVINDLAAKYPMITVAQTMDKMKDAGFYWATRSGVTIAMSDVLVLDNKEEMLESYEAEAQEIERKYWEQGALTTRDRYERLVELWKHATDTVGKAVEELYPDDNPIPMIVKSGAAGNMRQIWTLAGMKGMVVNSKGDYITRPIKTSFREGLSVLEYFNNSHGSRKGLADTALRTADSGYLTRRLVDVAQDVIVREEDCGTAQGIRVPISEEVKDVEGNVVGYTPHPMIETSVSGRALAKAVTQGD-EVLAEAGDYLTDELVTKLVNAGVDQVRVRSVLTCQTATGVCAKCYGISMASGKQVDIGEAVGIVAAQSIGEPGTQLTMRTFHQGGVGGDITGGLPRVQELFEARVPKNRAPIASVAGTVHLEDEGNFYTLTISPDDGSDDVVYEKLSKRQGLANVRVPMSSNPGAWIERTLAEGDHVNVGDRLLRGPADPHDVLEILGRRGVEQHLVDEVQAVYRAQGVAIHDKHIEIIIRQMLRRGTVIESGSTEFLPGTLVDLAEAKAANTEAIKAGGRAAELRSEIMGITKASLATESWLSAASFQETTRVLTDAAINKRSDKLIGLKENVIIGKLIPAGTGIARYRNIAVKPTEAARNAAYSIPTYGDAIYGDDGYGDFTGASVPLDEAFDM</t>
  </si>
  <si>
    <t>GC_00000126</t>
  </si>
  <si>
    <t>PF00484.24</t>
  </si>
  <si>
    <t>Carbonic anhydrase</t>
  </si>
  <si>
    <t>K01673</t>
  </si>
  <si>
    <t>carbonic anhydrase [EC:4.2.1.1]</t>
  </si>
  <si>
    <t>COG0288</t>
  </si>
  <si>
    <t>Carbonic anhydrase (CynT) (PDB:1EKJ) (PUBMED:22081392)</t>
  </si>
  <si>
    <t>KEGG Orthology (KO)&gt;&gt;&gt;09100 Metabolism&gt;&gt;&gt;09102 Energy metabolism&gt;&gt;&gt;00910 Nitrogen metabolism [PATH:ko00910]|Enzymes&gt;&gt;&gt;4. Lyases&gt;&gt;&gt;4.2  Carbon-oxygen lyases&gt;&gt;&gt;4.2.1  Hydro-lyases&gt;&gt;&gt;4.2.1.1  carbonic anhydrase</t>
  </si>
  <si>
    <t>MTTTPSSPSEARNPKLVWDNLLAGNARFAAGKPLHPNQSVNRREELRMGQSPRAAVFTCGDSRVPVELLFDVGLGDIFTIRTAGEVVDAAVLASLEFAVEALDVEVLVVLGHESCGAVKAAAAVALDGAEVPTGHQRTIVEQIMPSILSAKSAGKHTPFDFERAHAEAIRSKIMGISPVIKEAVKSGKTAFIAAHYSLADGSIDYLSVEGV--</t>
  </si>
  <si>
    <t>MTTTPSSPSEARNPKLVWDNLLAGNARFAAGKPLHPNQSVNRREELRMGQSPRAAVFTCGDSRVPVELLFDVGLGDIFTIRTAGEVVDAAVLASLEFAVEALAVEVLVVLGHESCGAVKAAAAVALDGAEVPTGHQRTIVEQIMPSILSAKSAGKHTPFDFERAHAEAIRSKIMGISPVIKEAVKSGKTAFIAAHYSLADGSIDYLSVEGV--</t>
  </si>
  <si>
    <t>GC_00000127</t>
  </si>
  <si>
    <t>PF02410.21</t>
  </si>
  <si>
    <t xml:space="preserve">Ribosomal silencing factor during starvation </t>
  </si>
  <si>
    <t>K09710</t>
  </si>
  <si>
    <t>ribosome-associated protein</t>
  </si>
  <si>
    <t>COG0799</t>
  </si>
  <si>
    <t>Ribosomal silencing factor RsfS, regulates association of 30S and 50S subunits (RsfS) (PDB:6SJ6)</t>
  </si>
  <si>
    <t>MSAHEKSIELATIAAHAAAEKLAEEIAVIDVSEQLVITDCFVIVSAPTERQVGAIVDEVEDKLREAGVKPIRREGVREGRWALLDYGEIVVHIMRDEERDFYGLDRLWRDCPYLQIEGIDMPERPAAWADEVNVREVSSIDEIPLAENEPDRDEL</t>
  </si>
  <si>
    <t>MTASDHAVKLASIAALAADEKLAQEIAVIDVSEQLVITDCFVIASGETDRQVSAIVDEVEDKLREAGARPIRKEGVREGRWALLDYGELVVHVQRAEEREFYGLDRLWRDCPLIEVEGVEPLERPASWADDVDVRAVTSIDEIPLADTEPDADEL</t>
  </si>
  <si>
    <t>MTTSEDTKELAIVAARAAHEKLATDIALIDVSSVMDICEIFVVASADNERQVRAIVDEVEDELAKLGHEPKRREGNRENRWVLLDYGMLVIHVQRGTEREYYRLDQLYRDCPLIDVPGLETMVRPDDWSSEVDVRTVESLDDIPLADPEPE-EEL</t>
  </si>
  <si>
    <t>GC_00000128</t>
  </si>
  <si>
    <t>PF14801.12</t>
  </si>
  <si>
    <t xml:space="preserve">TrmI-like N-terminal </t>
  </si>
  <si>
    <t>K07442</t>
  </si>
  <si>
    <t>tRNA (adenine57-N1/adenine58-N1)-methyltransferase catalytic subunit [EC:2.1.1.219 2.1.1.220]</t>
  </si>
  <si>
    <t>COG2519</t>
  </si>
  <si>
    <t>tRNA A58 N-methylase Trm61 (Gcd14) (PDB:1I9G)</t>
  </si>
  <si>
    <t>tRNA modification</t>
  </si>
  <si>
    <t>ko01000|ko01000|ko03016</t>
  </si>
  <si>
    <t>Enzymes&gt;&gt;&gt;2. Transferases&gt;&gt;&gt;2.1  Transferring one-carbon groups&gt;&gt;&gt;2.1.1  Methyltransferases&gt;&gt;&gt;2.1.1.219  tRNA (adenine57-N1/adenine58-N1)-methyltransferase|Enzymes&gt;&gt;&gt;2. Transferases&gt;&gt;&gt;2.1  Transferring one-carbon groups&gt;&gt;&gt;2.1.1  Methyltransferases&gt;&gt;&gt;2.1.1.220  tRNA (adenine58-N1)-methyltransferase|Transfer RNA biogenesis&gt;&gt;&gt;Eukaryotic type&gt;&gt;&gt;tRNA modification factors&gt;&gt;&gt;Methyltransferases</t>
  </si>
  <si>
    <t>MAYSGPFQPGDRVQLTDAKRRHFTITLEPGETFFTHKGGIAHDDIIGADEGTVVVSQTGGQYLCFRHLMVDHVLSMPRGAAVIYPKDSAQILVEGDIFPGARVLEAGAGSGALSMSLLRMIGEHGELISYEIREDHLEYAEKNVSEYLGGHPDNWDLRLGDLTQVGLKDLDGKPVDRVILDMLEPWECLDTVAEILVPGGVFMTYVATVPQLMKVMEGIREKKCFTEPRAWESLVREWKVEGLATRPEHRMNAHTAFLVWARRLADGVVAPRPQRRARK</t>
  </si>
  <si>
    <t>MAYSGPFQPGDRVQLTDAKRRHFTIVLQPGEQFFTHKGSIAHDDVIGQHEGTVVLSSQGGEYLCFRHLMVDHVLSMPRGAAVIYPKDSAQIMVEGDIFPGARVLEAGAGSGALSMSLLRAIGEHGQLISYEIRQDHLDYAEDNVTEFFGGHPKNWSLRLGDLRDVHLDDLDGMPVDRIILDMLEPWECLDTVRELLLPGGVFMTYVATVPQLMKVMEGIRQQKCFTEPRAWESLVREWKVDGLATRPEHRMNAHTAFLVWARRLADGTVAPRPQRRARR</t>
  </si>
  <si>
    <t>MAYSGPFQPGDRVQLTDPKRRHLTITLQPDAKLSTHKGIINHNDIIGADEGTIVTSEQGTEYLCFRHLLVDHILSMPRGAAVIYPKDSAQILTEGDIFPGARVLEAGAGSGALTISLLRAVGDTGQVISYEIRPDHLEYAEKNVDQYFGTRPPNWDPRLGDLRATTLDDLDGQPVDRVLLDMLEPWECLTVAKQLLVPGGVLMAYVATVPQLMNVMEGIREQQCFTEPRAWESLVREWRVEGLATRPEHRMNAHTAFLIWARRLADGVTPPRPQRRARK</t>
  </si>
  <si>
    <t>MAYSGPFQPGDRVQLTDPKRRHLTITLQPDAKLSTHKGIINHNDIIGADEGTIVKSEQGTEYLCFRHLLVDHILSMPRGAAVIYPKDSAQILTEGDIFPGARVLEAGAGSGALTISLLRAVGDTGQVISYEIRPDHLEYAEKNVDQYFGTRPPNWDPRLGDLRATTLDDLDGQPVDRVLLDMLEPWECLTVAKQLLVPGGVLMAYVATVPQLMNVMEGIREQQCFTEPRAWESLVREWRVEGLATRPEHRMNAHTAFLIWARRLADGVTPPRPQRRARK</t>
  </si>
  <si>
    <t>GC_00000129</t>
  </si>
  <si>
    <t>PF00905.27</t>
  </si>
  <si>
    <t>Penicillin binding protein transpeptidase domain</t>
  </si>
  <si>
    <t>D|M</t>
  </si>
  <si>
    <t>Cell cycle control, cell division, chromosome partitioning|Cell wall/membrane/envelope biogenesis</t>
  </si>
  <si>
    <t>K05364</t>
  </si>
  <si>
    <t>penicillin-binding protein A</t>
  </si>
  <si>
    <t>COG0768</t>
  </si>
  <si>
    <t>Cell division protein FtsI, peptidoglycan transpeptidase (Penicillin-binding protein 2) (FtsI) (PDB:6HZQ)</t>
  </si>
  <si>
    <t>ko00001|ko01011</t>
  </si>
  <si>
    <t>KEGG Orthology (KO)&gt;&gt;&gt;09100 Metabolism&gt;&gt;&gt;09107 Glycan biosynthesis and metabolism&gt;&gt;&gt;00550 Peptidoglycan biosynthesis [PATH:ko00550]|Peptidoglycan biosynthesis and degradation proteins&gt;&gt;&gt;Peptidoglycan biosynthesis and degradation&gt;&gt;&gt;DD-Transpeptidase (Class B PBP)</t>
  </si>
  <si>
    <t>--MNRSIRLTSLFTLLMSVVLLANLEYVQVFSG--YADDPRNKRTYYRSLDTPRGQISAGGLVLATS---DENG---RHYPTNPLVFGPVEGYLSETYGLSGLELGYNDVLDGS--AVFNASLTERLMGKKPAGANIDLTLQPALQNVAFHQLADMNYDGAVVAIRPSSGEILAMASTPSYDPALIVDPETSEQTWAGYLDNPASPLLNHATQETLPPGSTFKVITTAAALSQG-WNADSTVTASPEITLPNTTT</t>
  </si>
  <si>
    <t>MTMNKPIRNIMFFALIMVIILMANLSIVHVFKEDEYANNPLNRRMFIKAKLQPRGQISAGGIVLAESKQEEENGFYHREYPNQSQQFGIVEGYLSDVYGSNGIESSYNDILSGT--ANSPKLWWKKLISNEKVVGNVELTLIPSVQQTAYSKMSDAGYEGAVVAIKPSTGEVLAMASTPSYDSAKIADENTAEQAWKQYTEDEGSPLLNHATQDILPPGSTFKVITTAAALASGKYNPSSTLTGESQITLPGTTSTLENYGGQTCAGSHQVSLLTAFQYSCNTAFVQMSIDVGTDELRTAAAAFGVEEQYDLGLPMSKGTLGPIPDNAALGQSSIGQRDVSMSVLQNAVVAATVANGGVRMEPHVVSKVRANDLSILSETKPKELSHDIKPETAETLTQLMRASEQHTSGGSSSLNIASKTGTAEHGEDSRNSNPHAWYIAFAPGE--DIAVAVVVKNGGDRGQAATGGSVAAPIGRAVISAVQAANAQGGK</t>
  </si>
  <si>
    <t>GC_00000130</t>
  </si>
  <si>
    <t>PF01327.26</t>
  </si>
  <si>
    <t>Polypeptide deformylase</t>
  </si>
  <si>
    <t>K01462</t>
  </si>
  <si>
    <t>peptide deformylase [EC:3.5.1.88]</t>
  </si>
  <si>
    <t>COG0242</t>
  </si>
  <si>
    <t>Peptide deformylase (Def) (PDB:1BS4)</t>
  </si>
  <si>
    <t>KEGG Orthology (KO)&gt;&gt;&gt;09190 Not Included in Pathway or Brite&gt;&gt;&gt;09191 Unclassified: metabolism&gt;&gt;&gt;99980 Enzymes with EC numbers|Enzymes&gt;&gt;&gt;3. Hydrolases&gt;&gt;&gt;3.5  Acting on carbon-nitrogen bonds, other than peptide bonds&gt;&gt;&gt;3.5.1  In linear amides&gt;&gt;&gt;3.5.1.88  peptide deformylase</t>
  </si>
  <si>
    <t>MTIRAIVINGDPVLHTPTAPVERFDDELRQLVDDMFDTMDRAHGVGLAANQIGVGLRVFVFDCPT------------DLDDPSAPNLRGVVINPKLEVNGEPE-------KDEEGCLSLPGASFPTERMSWARVTGVDVAGEPVAYEGSGFFARCLQHECGHLDGFVYTDVLKGRWKKAAAKAIRREGWT-DAGLTWMPGVDPDPFGHED---------</t>
  </si>
  <si>
    <t>MTVRPIVIHGDPVLHNPTSPVSESPSELAQLITDMYETMDAAHGVGLAANQIGVGKRLFVYDCPDVDGPEGTEKSQEDIDAQGGPMRRGCVINPVLETSTIPTGMP--DDDDDEGCLSVPGESFPTGRADWARVTGTDEHGNPVTIEGYGFFARCLQHEVGHLDGFLYTDVLTGRWKRMAKKTIKANSWT-EPGRTWMPGVDPDPFGHDDVPDDPHAEN</t>
  </si>
  <si>
    <t>MTVRPIVIHGDPVLHNPTSPVSESPSELAQLITDMYETMDAAHGVGLAANQIGVGKRLFVYDCPDVDGPEGTEKSQEDIDAQGGPMRRGCVINPVLETSTIPTGMP--DDDDDEGCLSVPGESFPTGRADWARVTGTDEHGNPVTIEGYGFFARCLQHEVGHLDGFLYTDVLTGRWKRMAKKTIKANSWT-EPGRTWMPGVDPDPFGHDDVPDGPHAEN</t>
  </si>
  <si>
    <t>----------------MTEPI----DTLRELIDDMFETMEKAHGVGLAANQIGVGKRIFVYNCPD----------------DEGVIHRGCFINPVLETSDIPEGMPAVDGSDDEGCLSLPGLSFPTGRATWAKVTGLNENGEEVSEEGTGFLARCFQHEVGHLDGFVYADVLQGRWKRAGKKAIKREGWTPDAGLTWMPGVDPDPFGHDDV--------</t>
  </si>
  <si>
    <t>GC_00000131</t>
  </si>
  <si>
    <t>PF00462.30</t>
  </si>
  <si>
    <t>Glutaredoxin</t>
  </si>
  <si>
    <t>K06191</t>
  </si>
  <si>
    <t>glutaredoxin-like protein NrdH</t>
  </si>
  <si>
    <t>COG0695</t>
  </si>
  <si>
    <t>Glutaredoxin (GrxC) (PDB:1AAZ)</t>
  </si>
  <si>
    <t>KEGG Orthology (KO)&gt;&gt;&gt;09190 Not Included in Pathway or Brite&gt;&gt;&gt;09192 Unclassified: genetic information processing&gt;&gt;&gt;99975 Protein processing</t>
  </si>
  <si>
    <t>MAITVYSKPACVQCTATKKALDRAGLEYTVVDISLDDEARDYVMALGYLQAPVVEAGGEHWSGFRPERIRSLAAQVA</t>
  </si>
  <si>
    <t>MAITVYSKPACMQCTATKKALDRAGLDYTLVDISMDDEARDYVLALGYLQAPVVEANGEHWSGFRPERIRSLVAAVA</t>
  </si>
  <si>
    <t>MSIKLFTKPACMQCNATKKALDRAGLDYEVVDISLDPAAREYVLSLGYMQAPVVEVDGDHWSGFRPERISSLASTVA</t>
  </si>
  <si>
    <t>GC_00000132</t>
  </si>
  <si>
    <t>PF04417.17</t>
  </si>
  <si>
    <t>Protein of unknown function (DUF501)</t>
  </si>
  <si>
    <t>K09009</t>
  </si>
  <si>
    <t>COG1507</t>
  </si>
  <si>
    <t>Uncharacterized conserved protein, DUF501 family</t>
  </si>
  <si>
    <t>-------------MPDTSHVDPQDLATVAEQLGRQPRGVVEISYRSPDGVPGVVKTRPRLDDGTPFPTLYYLTDPRLTAEASRLEVAQVMKWMTSRLASDAELAADYQAAHEHFLAVRNEMEDLGTDFSGGGMPDRVKCLHVLIAYALAEGPERVRLGTEAVALAAENPDLRGSAIPADWPTAAELGIDTSLFED---------------</t>
  </si>
  <si>
    <t>MRVRETMNPMDVTPVPPSPVSSDDLTIIAAQLGRQPRGVIAIAYRCPDGVPGVVTTSPRLPDGTPFPTLYYLTDPRLTAEASRLEVAHVMNWMTDRLNTDLELRADYQRAHDYYLAKRNALADLGTDFSGGGMPDRVKCLHVLIAYALAEGPDHFRLGTEAVALAADHANLRGTAIPATWPTCAELGITLSDFDFSNAEAPKTLNTTKGK</t>
  </si>
  <si>
    <t>GC_00000133</t>
  </si>
  <si>
    <t>PF18357.7</t>
  </si>
  <si>
    <t>Diphteria toxin repressor SH3 domain</t>
  </si>
  <si>
    <t>K26252</t>
  </si>
  <si>
    <t>DtxR family transcriptional regulator, iron-dependent repressor</t>
  </si>
  <si>
    <t>COG1321</t>
  </si>
  <si>
    <t>Mn-dependent transcriptional regulator MntR, DtxR family (MntR) (PDB:1B1B)</t>
  </si>
  <si>
    <t>Transcription factors&gt;&gt;&gt;Prokaryotic type&gt;&gt;&gt;Helix-turn-helix&gt;&gt;&gt;Other families</t>
  </si>
  <si>
    <t>MKDLVDTTEMYLRTIYELEEEGITPLRARIAERLEQSGPTVSQTVARMERDGLVIVAGDRSLKMTTDGRRLATAVMRKHRLAERLLTDIIGLDIAKVHDEACRWEHVMSDEVERRLVEVLPSYDRSPFGNPIPGLSELTHDDVEEASPGIRLNDLPD-GQDFRVRIVQLNEILQVDDEQYRELTNAGITVGAEVDVLYARGLVRVTTDVATIDLDEDLSHAIRVDFVD</t>
  </si>
  <si>
    <t>MKDLVDTTEMYLRTIYELEEEGVTPLRARIAERLEQSGPTVSQTVARMERDGLVVVAPDRSLQMTDKGRRLATAVMRKHRLAELLLTDIIGLDIHRVHAEACRWEHVMSDEVEQCLVSKLDNIERSPFGNPIPGLSDLGIESPDIL-PGKRIIDLPE-DTPIKARVVQINEILQVDDKQFNALSSAGIMVGSDIEVSHHNGVVQLLHKDNAVELDEDLSHAIRIEER-</t>
  </si>
  <si>
    <t>MKDLVDTTEMYLRTIYELEEEGITPIRARIAERLEQSGPTVSQTVGRMERDGLVVVTGDRSLRMTPEGRSLAIAVMRKHRLAERLLTDIIGLDIRKVHDEACRWEHVMSDEVERRLVEVLDTYDRSPFGNPIPGLQALGVDQADFVDPGLRTIDTEESDIPRRVRITQINEILQVDSEQFKEMLDAGMTVGAEVDFEHINGQIRLINGDKVVDLVDDLAHAVRVQEI-</t>
  </si>
  <si>
    <t>GC_00000134</t>
  </si>
  <si>
    <t>PF02896.24</t>
  </si>
  <si>
    <t>PEP-utilising enzyme, PEP-binding domain</t>
  </si>
  <si>
    <t>K08483</t>
  </si>
  <si>
    <t>phosphoenolpyruvate-protein phosphotransferase (PTS system enzyme I) [EC:2.7.3.9]</t>
  </si>
  <si>
    <t>COG1080</t>
  </si>
  <si>
    <t>Phosphoenolpyruvate-protein kinase (PTS system EI component in bacteria) (PtsA) (PDB:1EZA)</t>
  </si>
  <si>
    <t>ko00001|ko01000|ko02000</t>
  </si>
  <si>
    <t>KEGG Orthology (KO)&gt;&gt;&gt;09130 Environmental Information Processing&gt;&gt;&gt;09131 Membrane transport&gt;&gt;&gt;02060 Phosphotransferase system (PTS) [PATH:ko02060]|Enzymes&gt;&gt;&gt;2. Transferases&gt;&gt;&gt;2.7  Transferring phosphorus-containing groups&gt;&gt;&gt;2.7.3  Phosphotransferases with a nitrogenous group as acceptor&gt;&gt;&gt;2.7.3.9  phosphoenolpyruvate---protein phosphotransferase|Transporters&gt;&gt;&gt;Phosphotransferase system (PTS)&gt;&gt;&gt;Enzyme I and HPr&gt;&gt;&gt;Enzyme I [TC:8.A.7]</t>
  </si>
  <si>
    <t>MNNVTRDTTIKGTAVVPGISYAEAVWIHPRPELPQAGAVVAEEGRAEEFERFEKAANTVAERLDERAAAAEGAAKEVLSATAGMVRDRGWRKAVKKNINSGHPADYAVVAATTKFISMFEAAGGVMAERVTDLRDIRDRVIAELRGEQEPGLPSVSGPVVLCADDLSPADTAALDTSLFTALVTELGGPTSHTAIIARQLNVPCIVAVGEKLHQIEPGTKVLVDGSLGTLTLDADPDTATAAVHEYKLFAERVASWRGPARTKDGHRVQLLANVQDGNAARVAA-STQAEGIGLFRTEMCFLSAVEEPSVEQQAAVYAKVLEQFPTSKVVVRSLDAGSDKPVAFASMADEMNPALGVRGLRVARANEPLLTRQLDAIAKATQELGRGDDA-PTWVMAPMVATAREARWFADLCEERGLIPGAMIEVPAAALMADKIMPHLRFVSIGTNDLTQYTMAADRMSPQLAYLTDPWQPAVLRLIEHTCNQGKKFDTAVGVCGEAAADPLLACVLTGLGVTSLSAASTAIAGVGAQLASLTLEDCQQAARIALDSEGATEARSAVREFIQGL--</t>
  </si>
  <si>
    <t>MSKVSDDTVITGTGVVPGVRYAEAVWIRPRPALPTSGPVVEAGEREAEYERFTTAADTVAERLSSRSEAADGAAKEVLNATAGMVRDRGWRKAVNKNIKSGHPAEYAVVAATTKFISMFEAAGGVMAERVTDLRDIRDRVIAELRGEEEPGLPQVNGEVVLFADDLSPADTAALDTNHFVALVTELGGPTSHTAIIARQLNVPCIVAVGSNLNDIKAGDKVLVDGALGTITLNADPEIAVAAVAESKLLAERIAQWRGPAETKDGHRVQLLANVQDGNAARIAS-DTQAEGIGLFRTEMCFLSALEEPSVDEQAEVYKKVLERFPNSKVVVRSLDAGSDKPVAFATMADEMNPALGVRGLRVARANEPLLTRQLDAIAKAVKELGRDENA-PTWVMAPMVATAREAKWFAGLCAERGLVAGAMIEVPAAALMADKIMPHLDFVSIGTNDLTQYTMAADRMSPQLAYLTDPWQPAVLRLIQHTCEEGKRTNTAVGVCGEAAADPLLACVLVGLGVNSLSSASTAIAGVGAQLSAIDFDTCVKAAEAAINAEGATEARQKVRDILQP---</t>
  </si>
  <si>
    <t>MKNVSVDTVLKGTAVVPGVRYAPAVWISPRPKLPKAGQVVAENQREAELSRFNDAADVVAERLLQRSAHAKGAAAEVLKATAGMVNDRGWRKAVRKGITGGHPAEYAVVAATTKFVTMFEAAGGVMAERTTDLRDIRDRVIAQLRGEPEPGLPDVTERVVLFADDLSPADTAALNVDLFVGLVTELGGPTSHTAIIARQLNVPCIVAAGSQIHSVVAGTPVLVDGSLGTISLGADPETAVQAEQESKMQAERVAQWRGPAKTKDGHHVQLLANVQDGKAARIAATESQAEGIGLFRTELCFLSATTEPSVKEQAEVYKKVLEQFPNSKVVVRSLDAGSDKPVAFASMADEMNPALGVRGLRVARANEALLTRQLDAIAKAASELGRTEETAPTWVMAPMVATAREAQWFAGLCGDRGLTAGAMIEVPAASLMADKIMPHLRFVSIGTNDLTQYTMAADRMSPQLAYLTDPWQPAVLRLIDHTCKEGKKFNTAVGVCGEAAADPLLACVLTGLGVNSLSAASTAIAGVGAQLAAVDLETCQKAAEVALNAEGATNARALVRELLLGDKA</t>
  </si>
  <si>
    <t>MKNVSVDTVLKGTAVVPGVRYAPAVWISPRPKLPKAGQVVAENQREAELSRFNDAADVVAERLLQRSAHAKGAAAEVLKATAGMVNDRGWRKAVRKGITGGHPAEYAVVAATTKFVTMFEAAGGVMAERTTDLRDIRDRVIAQLRGEPEPGLPDVTERVVLFADDLSPADTAALNVDLFVGLVTELGGPTSHTAIIARQLNVPCIVAAGSQIHSVVAGTPVLVDGSLGTISLGADPETAVQAEQESKMQAERVAQWRGPAKTKDGHHVQLLANVQDGKAARIAATESQAEGIGLFRTELCFLNATTEPSVKEQAEVYKKVLEQFPNSKVVVRSLDAGSDKPVAFASMADEMNPALGVRGLRVARANEALLTRQLDAIAKAASELGRTEETAPTWVMAPMVATAREAQWFAGLCGDRGLTAGAMIEVPAASLMADKIMPHLRFVSIGTNDLTQYTMAADRMSPQLAYLTDPWQPAVLRLIDHTCKEGKKFNTAVGVCGEAAADPLLACVLTGLGVNSLSAASTAIAGVGAQLAAVDLETCQKAAEVALNAEGATNARALVRELLLGDKA</t>
  </si>
  <si>
    <t>GC_00000135</t>
  </si>
  <si>
    <t>PF00120.29</t>
  </si>
  <si>
    <t>Glutamine synthetase, catalytic domain</t>
  </si>
  <si>
    <t>K01915</t>
  </si>
  <si>
    <t>glutamine synthetase [EC:6.3.1.2]</t>
  </si>
  <si>
    <t>COG0174</t>
  </si>
  <si>
    <t>Glutamine synthetase (GlnA) (PDB:1F1H)</t>
  </si>
  <si>
    <t>M00978</t>
  </si>
  <si>
    <t>Ornithine-ammonia cycle</t>
  </si>
  <si>
    <t>Pathway modules; Amino acid metabolism; Arginine and proline metabolism</t>
  </si>
  <si>
    <t>ko00001|ko00001|ko00001|ko00001|ko00001|ko00001|ko00001|ko01000|ko04147</t>
  </si>
  <si>
    <t>KEGG Orthology (KO)&gt;&gt;&gt;09100 Metabolism&gt;&gt;&gt;09101 Carbohydrate metabolism&gt;&gt;&gt;00630 Glyoxylate and dicarboxylate metabolism [PATH:ko00630]|KEGG Orthology (KO)&gt;&gt;&gt;09100 Metabolism&gt;&gt;&gt;09102 Energy metabolism&gt;&gt;&gt;00910 Nitrogen metabolism [PATH:ko00910]|KEGG Orthology (KO)&gt;&gt;&gt;09100 Metabolism&gt;&gt;&gt;09105 Amino acid metabolism&gt;&gt;&gt;00250 Alanine, aspartate and glutamate metabolism [PATH:ko00250]|KEGG Orthology (KO)&gt;&gt;&gt;09100 Metabolism&gt;&gt;&gt;09105 Amino acid metabolism&gt;&gt;&gt;00220 Arginine biosynthesis [PATH:ko00220]|KEGG Orthology (KO)&gt;&gt;&gt;09130 Environmental Information Processing&gt;&gt;&gt;09132 Signal transduction&gt;&gt;&gt;02020 Two-component system [PATH:ko02020]|KEGG Orthology (KO)&gt;&gt;&gt;09130 Environmental Information Processing&gt;&gt;&gt;09132 Signal transduction&gt;&gt;&gt;04075 Plant hormone signal transduction [PATH:ko04075]|KEGG Orthology (KO)&gt;&gt;&gt;09140 Cellular Processes&gt;&gt;&gt;09143 Cell growth and death&gt;&gt;&gt;04217 Necroptosis [PATH:ko04217]|Enzymes&gt;&gt;&gt;6. Ligases&gt;&gt;&gt;6.3  Forming carbon-nitrogen bonds&gt;&gt;&gt;6.3.1  Acid-D-ammonia (or amine) ligases (amide synthases)&gt;&gt;&gt;6.3.1.2  glutamine synthetase|Exosome&gt;&gt;&gt;Exosomal proteins&gt;&gt;&gt;Exosomal proteins of other body fluids (saliva and urine)</t>
  </si>
  <si>
    <t>MAFETTEDVVKYIKDNDVEYVDMRFTDVPGTEQRMTIPAHTFTEEAAEEGFAFDGSSVIGFTSIDESDMNLHPDVATAYVDPFRRAKTLNMKFFVHDPFTREPFSRDPRNVARKAEEYLASTGIADTCFFGAEAEFYLFDKVSFTADAHTAHYDIDSDTGWWNRGEDVNLDGSLNKAYKTRFKGGYGQASPMDQYQDLRDEMCSLLRGVGFDIERQHPEVGTGTQQEINYKFNTLLAAADDLQTFKYFVKNAAFRAGKTATFMPKPLAGDNGSGMHAHQSLWMDGTPLFHDEAGYAGLSDMARYYIGGILHHAGAVLAFTNPTLNSYHRLVPGYEAPINLVYSQRNRSAAVRIPITGSNPKAKRIEFRAPDPSGNPYFGFAAMMLAGLDGIKNRIEPHAPVDKDLYELPPEEAASIPQAPTSLEASLAALAEDHDFLTEGDVFSEDLIDTYIKLKYDNEITPSRMRPTPLEFELYYDC</t>
  </si>
  <si>
    <t>MAFNTTEDVIKYIKDEGIEFLDVRFTDVPGQEQHFSIPASEFTEDVAEEGLAFDGSSIVGFTSIDESDMNLLPDVTTAMVDPFRKAKTLNMKFFVHDPFTREPFSRDPRNVARKAEEYLAATGIADTCFFGAEAEFYLFDSISYSTDVNAAFYEIGSDRGWWSRGDATNLDGSPNLGYKTRLKGGYFPTAPYDAVVDLRDDMTLNLINSGFQIERFHHEVGTGGQQEINYRFNTMLHAADDLQTFKYIIKNTAVQHGKTVTFMPKPIAGDNGSGMHAHQSLWKDGTPLFHDESGYAGLSDMARYYIGGILHHAGAVMAFTNPTLNSYHRLVPGYEAPINLVYSQRNRSAAVRIPITGSNPKAKRIEFRAPDPSGNPYLGFAAMMLAGLDGIKNRIEPHAPVDKDLYELPPEEAASIPQAPTSLEASLAALEEDHDFLTDGDVFTEDLIETYIKLKHDNEIDPVRLRPTPQEFEMYYDC</t>
  </si>
  <si>
    <t>MAFHSADEALKFIQDENVEFIDIRFTDVPGTEQHFTIPAHILDADALTDGLAFDGSSIRGFTSIDESDMNLIADLATAQVDPFRAAKTLNIKFFVVDPFTQEPFSRDPRTVALKAEEYLASTGIADTCFFGAEAEFYLFDSVRYSTDAHAGFYEVDSVEGWWNRGKKHELNGEPNLGYKTRMKGGYFPLPPYDKAEDVRDNMVQVLLECGFDLERFHHEVG-GGQQEINYKFNTLLHAADDLQTFKYIIKNVAFRHGKTATFMPKPLAGDNGSGMHAHQSLWKDGKPLFHDESGYAGLSDIARYYIGGILHHAAAVLAFTNPTLNSYHRLVPGFEAPINLVYSQRNRSAAVRIPITGSNPKAKRIEFRAPDPSGNPYFGFAAMMLAGLDGIKNRIEPHAPVDKDLYELPPEEAASIPQAPGSLEESLTALADNHDFLTDNGVFTEDLIDTYIKLKYDHEIDPVRLRPTPQEFELYFDC</t>
  </si>
  <si>
    <t>MAFHSADEALKFIQDENVEFIDIRFTDVPGTEQHFTIPAHILDADALTDGLAFDGSSIRGFTSIDESDMNLIADLATAQVDPFRAAKTLNIKFFVVDPFTQEPFSRDPRTVALKAEEYLASTGIADTCFFGAEAEFYLFDSVRYSTDAHAGFYEVDSVEGWWNRGKKHELNGEPNLGYKTRMKGGYFPLPPYDKAEDVRDNMVQVLLECGFDLERFHHEVG-GGQQEINYKFNTLLHAADDLQTFKYIIKNVAFRHGKTATFMPKPLAGDNGSGMHAHQSLWKDGKPLFHDESGYAGLSDIARYYIGGILHHAAAVLAFTNPTLNSYHRLVPGFEAPINLVYSQRNRSAAVRIPITGSNPKAKRIEFRAPDPSGNPYFGFAAMMLAGLDGIKNRIEPHAPVDKDLYELPPEEAASIPQAPGSLEESLKALADNHDFLTDNGVFTEDLIDTYIKLKYDHEIDPVRLRPTPQEFELYFDC</t>
  </si>
  <si>
    <t>GC_00000136</t>
  </si>
  <si>
    <t>PF02863.23</t>
  </si>
  <si>
    <t>Arginine repressor, C-terminal domain</t>
  </si>
  <si>
    <t>K03402</t>
  </si>
  <si>
    <t>transcriptional regulator of arginine metabolism</t>
  </si>
  <si>
    <t>COG1438</t>
  </si>
  <si>
    <t>Arginine repressor (ArgR) (PDB:1AOY)</t>
  </si>
  <si>
    <t>MPGNTTTGPHPVSRATRQAKILDLLDQYRISSQVQLSELLLDENIDVTQATLSRDLDELGAKKIRVGVGR-SFYTVSPVESTAFEALSGPHDKLRRVLGDLLVSADHSANMTVLRTPPGAAQYLASFIDRVSMPEVVGTIAGDDTVFVLAREPMTGQELGELFSKLASER</t>
  </si>
  <si>
    <t>GC_00000137</t>
  </si>
  <si>
    <t>PF01127.27</t>
  </si>
  <si>
    <t>Succinate dehydrogenase/Fumarate reductase transmembrane subunit</t>
  </si>
  <si>
    <t>K00241</t>
  </si>
  <si>
    <t>succinate dehydrogenase cytochrome b subunit</t>
  </si>
  <si>
    <t>M00009|M00011|M00982|M00173|M00376|M00374|M00149|M00613|M00614</t>
  </si>
  <si>
    <t>Citrate cycle (TCA cycle, Krebs cycle)|Citrate cycle, second carbon oxidation, 2-oxoglutarate =&gt; oxaloacetate|Methylcitrate cycle|Reductive citrate cycle (Arnon-Buchanan cycle)|3-Hydroxypropionate bi-cycle|Dicarboxylate-hydroxybutyrate cycle|Succinate dehydrogenase, prokaryotes|Anoxygenic photosynthesis in green nonsulfur bacteria|Anoxygenic photosynthesis in green sulfur bacteria</t>
  </si>
  <si>
    <t>Pathway modules; Carbohydrate metabolism; Central carbohydrate metabolism|Pathway modules; Carbohydrate metabolism; Central carbohydrate metabolism|Pathway modules; Carbohydrate metabolism; Other carbohydrate metabolism|Pathway modules; Energy metabolism; Carbon fixation|Pathway modules; Energy metabolism; Carbon fixation|Pathway modules; Energy metabolism; Carbon fixation|Pathway modules; Energy metabolism; ATP synthesis|Signature modules; Module set; Metabolic capacity|Signature modules; Module set; Metabolic capacity</t>
  </si>
  <si>
    <t>ko00001|ko00001|ko00001|ko00001</t>
  </si>
  <si>
    <t>KEGG Orthology (KO)&gt;&gt;&gt;09100 Metabolism&gt;&gt;&gt;09101 Carbohydrate metabolism&gt;&gt;&gt;00020 Citrate cycle (TCA cycle) [PATH:ko00020]|KEGG Orthology (KO)&gt;&gt;&gt;09100 Metabolism&gt;&gt;&gt;09101 Carbohydrate metabolism&gt;&gt;&gt;00650 Butanoate metabolism [PATH:ko00650]|KEGG Orthology (KO)&gt;&gt;&gt;09100 Metabolism&gt;&gt;&gt;09102 Energy metabolism&gt;&gt;&gt;00190 Oxidative phosphorylation [PATH:ko00190]|KEGG Orthology (KO)&gt;&gt;&gt;09100 Metabolism&gt;&gt;&gt;09102 Energy metabolism&gt;&gt;&gt;00720 Other carbon fixation pathways [PATH:ko00720]</t>
  </si>
  <si>
    <t>MTITFNDRDAIVHGKITEKPLRERPSYPTWAMKLTMAITGLIFGGFVLVHMIGNLKIFLPEH-DGKPAIDVYGEFLRTVGEPLFPREGILWIFRIVLLVALVLHVYCAFALVGRAHQSRGKFRRTNLMGGHQSFAARTMIVTGLVLLLFILFHIADLTLGVAPAASDSFHHGDVYANLVASFSRWPVAIFYILAMLFLFMHLSHGIWTAVSDLGITGKRTRAVMLFISYLVPALVMVGNISIPLAIATGLIS</t>
  </si>
  <si>
    <t>MTVKYDDRDAIAHGKITEKPLRERPKFPTWALKLTMAITGLIFGGFVLIHMIGNLKVFMPKHDDGHYPIDQYGEFLREVGYPLIPHEGVLWIFRITLLASLILHVYGAFAITGRAHQSRGKIRRTNLMGGLNSFTARTMIVTGIVLLAFIIFHILDLTMGVAPAASDTFEHGAIYANLVASFSRWPVAIFYIIAMVVLFLHLTHGIWTAVSDLGITGKRTRAVLLFVSYLVPAMVMVGNISIPLAIACGWIS</t>
  </si>
  <si>
    <t>MTVNNIDRDAIAHGKITEKPLRDRPKHPTWVLKLSMAVTGLLFAAFVVFHMVGNLKVFLPAYEDGSRPINVYGKWLREMFYPLLPHEAMLWIFRIVLLAAIILHIYGAFVLTGRSRKSRGKFRRTNLIGGMNSFTSKTMLVTGIVLLAFIIFHILDLTLGVAPAAPTAFEHGHIYANMIASFSRWPVAIFYILAMVVLFLHLSHGIYLAVSDLGITGKRTRAVMLALSYLVPAVVMIGNISIPLSIALGLIH</t>
  </si>
  <si>
    <t>GC_00000138</t>
  </si>
  <si>
    <t>PF01168.26</t>
  </si>
  <si>
    <t>Alanine racemase, N-terminal domain</t>
  </si>
  <si>
    <t>K01775</t>
  </si>
  <si>
    <t>alanine racemase [EC:5.1.1.1]</t>
  </si>
  <si>
    <t>COG0787</t>
  </si>
  <si>
    <t>Alanine racemase (Alr) (PDB:1BD0)</t>
  </si>
  <si>
    <t>ko03016</t>
  </si>
  <si>
    <t>Transfer RNA biogenesis&gt;&gt;&gt;Prokaryotic type&gt;&gt;&gt;tRNA modification factors&gt;&gt;&gt;Other tRNA modification factors</t>
  </si>
  <si>
    <t>MASWWVLEWLAMDMAYTEINLDAIASNTRVLCDAARERGAQLMAVVKADGYNHGAVDVARVMVDNGADQLGVATLAEAHALRDAGIDVPVLCWIWSPEQDVEAAVSRGITLGVPSVRHARRAVEAADVVGGEVPVTVKVDTGLNRSGVDEAEWVECFGLLAAAPRVRVTGVFSHFSCADGGDDAAVAATDAQIAVFERAIGCARECGLEVPVNHIANSPAVLSRPDAYFDMVRPGVALYGIDPLEEPTELSARLRPAMSWAGRVTVVKPIARGEGTSYGLTWVAPTDGFTAVVPIGYADGLVRAAQGALEVTIAGRRYPQVGRVCMDQIVVWLGDNAHGVAPGDEAVVFGSGDRGEMTADQLARGVGTIAYELVCSPKGRTVRHVLRSRRCESMADTQALGREIGAQLVAGDVIILDGPLGAGKTTFTQGVAQGLQVKGRVTSPTFVIAREHRSLVGGPSLVHVDAYRLFGEDPEGHSDASADPWGALDALDLDSELDEAVVVAEWGGGLVEALSDSYVLVSFDRESAVVADPESEARLITWRRVGRG--</t>
  </si>
  <si>
    <t>PF02367.23</t>
  </si>
  <si>
    <t>Threonylcarbamoyl adenosine biosynthesis protein TsaE</t>
  </si>
  <si>
    <t>K06925</t>
  </si>
  <si>
    <t>tRNA threonylcarbamoyladenosine biosynthesis protein TsaE</t>
  </si>
  <si>
    <t>COG0802</t>
  </si>
  <si>
    <t>tRNA A37 threonylcarbamoyladenosine biosynthesis protein TsaE (TsaE) (PDB:1FL9)</t>
  </si>
  <si>
    <t>---------------------------------------------MKAD--------------------------------------------------------------------------------------------------------------------------------------------------------------------------------------------------------------</t>
  </si>
  <si>
    <t>GC_00000139</t>
  </si>
  <si>
    <t>PF05258.17</t>
  </si>
  <si>
    <t>Dna[CI] antecedent, DciA</t>
  </si>
  <si>
    <t>COG5512</t>
  </si>
  <si>
    <t>Predicted  nucleic acid-binding protein, contains Zn-ribbon domain (includes truncated derivatives)</t>
  </si>
  <si>
    <t>MSSDTGSVDNNQQPDQDGVSAAFARLMQQAQAK--RTTDSKSVGGAQQSSTPCAMKAMKARNAMDAAAGRSRRRPTGKDGRALPYR-RDPLAFGVTLEREIKRRGWKKDIAGGWVHAHWDELVGEKIAQHTRVEMLKDKQLFITCDSTSWASNLRLMQRQILQVIAEKVGSDVIVELKIFGPKAPSWRKGPLHVKGRGPRDTYG</t>
  </si>
  <si>
    <t>GC_00000140</t>
  </si>
  <si>
    <t>PF00202.27</t>
  </si>
  <si>
    <t>Aminotransferase class-III</t>
  </si>
  <si>
    <t>K01845</t>
  </si>
  <si>
    <t>glutamate-1-semialdehyde 2,1-aminomutase [EC:5.4.3.8]</t>
  </si>
  <si>
    <t>COG0001</t>
  </si>
  <si>
    <t>Glutamate-1-semialdehyde aminotransferase (HemL) (PDB:2CFB)</t>
  </si>
  <si>
    <t>M00846|M00121|M00926</t>
  </si>
  <si>
    <t>Siroheme biosynthesis, glutamyl-tRNA =&gt; siroheme|Heme biosynthesis, plants and bacteria, glutamate =&gt; heme|Heme biosynthesis, bacteria, glutamyl-tRNA =&gt; coproporphyrin III =&gt; heme</t>
  </si>
  <si>
    <t>Pathway modules; Metabolism of cofactors and vitamins; Cofactor and vitamin metabolism|Pathway modules; Metabolism of cofactors and vitamins; Cofactor and vitamin metabolism|Pathway modules; Metabolism of cofactors and vitamins; Cofactor and vitamin metabolism</t>
  </si>
  <si>
    <t>ko00001|ko01000|ko01007</t>
  </si>
  <si>
    <t>KEGG Orthology (KO)&gt;&gt;&gt;09100 Metabolism&gt;&gt;&gt;09108 Metabolism of cofactors and vitamins&gt;&gt;&gt;00860 Porphyrin metabolism [PATH:ko00860]|Enzymes&gt;&gt;&gt;5. Isomerases&gt;&gt;&gt;5.4  Intramolecular transferases&gt;&gt;&gt;5.4.3  Transferring amino groups&gt;&gt;&gt;5.4.3.8  glutamate-1-semialdehyde 2,1-aminomutase|Amino acid related enzymes&gt;&gt;&gt;Aminotransferase (transaminase)&gt;&gt;&gt;Class III</t>
  </si>
  <si>
    <t>--MNAMHTRSRELLDKARQLTPGGVNSPVRAFNSVGGQARFIASAQGSKLYDVDGNTYIDLFCSWGPMLMGNAHPAIVEAVQQAATRGLSYGAPTEAEILLAEEIVSRTAAEEVRLVNSGTEATMSAVRLARGYTGRNKILKFEGCYHGHVDSLLVSAGSGVLDYSEPNSPGVTPGTAADTIVVPYNDIDAVRAAFNEHGDTIACIIAEAAAGNMGTVAPLPGFNQQLKDIAHAHGALLILDEVMTGFRTSFQGW</t>
  </si>
  <si>
    <t>MVAMTNTSLSAEWFDRARTLTPGGVNSPVRAFGSVGGQARFIASAAGSTLVDVDGNEYVDLFCSWGPMLMGNAHPEVVEAVTKAAEKGLSFGAPTTAEVELAAMVVDRTSVEEVRLVNSGTEATMSAVRLARGFTGRPKVVKFEGCYHGHVDSLLVSAGSGVATLSLPDSPGVTGATAGDTIVVPYNDSEAVRQVFADNPDSIACVITEAAAGNMGTVAPLPGFNESLRDIAHEYGALLIMDEVMTGFRTSYSGWFGVDGVAGDITTFGKVISGGLPAAAFGGRRDIMNYLAPQGPVYQAGTLSGNPVAVAAGMASLRLATPEVYRAVDKHADLLSNLVSTALSKEGVAHHIQQASNMLSVRFADGEGHNFADMKAADTFRFPAFFHALLDNGVFVSPSVFETWFVSSALTDNDFDKIEKALVPAAKAAAAAHDTNA</t>
  </si>
  <si>
    <t>-------------------------------------------------------------------MLLGNAHPEILAAVTEAMVDGLSFGAPTEAEIDLAEMIVDRTSVAKVRMVNSGTEATMSAVRLARGFTGRPKILKFEGCYHGHVDALLAAAGSGVATFALPDSPGVTGATAADTIVVPYNDIQAVKRAFAEHEGQIAAVITEAAAGNMGTVAPHDNFNARLKDLCHSNGALLILDEVMTGFRTSYSGW</t>
  </si>
  <si>
    <t>-------------MERAQHVIPGGVNSPVRAFGSVGGQARFIAKAHGSKLYDVDGNQYVDLVNSWGPMLLGNAHPEILAAVTETMANGLSFGAPTEAEIDLAEMIVDRTSVAKVRMVNSGTEATMSAVRLARGFTGRPKILKFEGCYHGHVDALLAAAGSGVATFALPDSPGVTGATAADTIVVPYNDIQAVEQAFAENEGQIAAVITEAAAGNMGTVAPHDNFNARLKDLCHSNGALLILDEVMTGFRTSYSGW</t>
  </si>
  <si>
    <t>GC_00000141</t>
  </si>
  <si>
    <t>PF01642.28</t>
  </si>
  <si>
    <t>Methylmalonyl-CoA mutase</t>
  </si>
  <si>
    <t>I|I</t>
  </si>
  <si>
    <t>Lipid transport and metabolism|Lipid transport and metabolism</t>
  </si>
  <si>
    <t>K01847</t>
  </si>
  <si>
    <t>methylmalonyl-CoA mutase [EC:5.4.99.2]</t>
  </si>
  <si>
    <t>COG1884|COG2185</t>
  </si>
  <si>
    <t>Methylmalonyl-CoA mutase, N-terminal domain/subunit (Sbm) (PDB:6OXC)|Methylmalonyl-CoA mutase, C-terminal domain/subunit (cobalamin-binding) (Sbm) (PDB:1B1A)</t>
  </si>
  <si>
    <t>M00373|M00741|M00376|M00613</t>
  </si>
  <si>
    <t>Ethylmalonyl pathway|Propanoyl-CoA metabolism, propanoyl-CoA =&gt; succinyl-CoA|3-Hydroxypropionate bi-cycle|Anoxygenic photosynthesis in green nonsulfur bacteria</t>
  </si>
  <si>
    <t>Pathway modules; Carbohydrate metabolism; Other carbohydrate metabolism|Pathway modules; Carbohydrate metabolism; Other carbohydrate metabolism|Pathway modules; Energy metabolism; Carbon fixation|Signature modules; Module set; Metabolic capacity</t>
  </si>
  <si>
    <t>KEGG Orthology (KO)&gt;&gt;&gt;09100 Metabolism&gt;&gt;&gt;09101 Carbohydrate metabolism&gt;&gt;&gt;00630 Glyoxylate and dicarboxylate metabolism [PATH:ko00630]|KEGG Orthology (KO)&gt;&gt;&gt;09100 Metabolism&gt;&gt;&gt;09101 Carbohydrate metabolism&gt;&gt;&gt;00640 Propanoate metabolism [PATH:ko00640]|KEGG Orthology (KO)&gt;&gt;&gt;09100 Metabolism&gt;&gt;&gt;09102 Energy metabolism&gt;&gt;&gt;00720 Other carbon fixation pathways [PATH:ko00720]|KEGG Orthology (KO)&gt;&gt;&gt;09100 Metabolism&gt;&gt;&gt;09105 Amino acid metabolism&gt;&gt;&gt;00280 Valine, leucine and isoleucine degradation [PATH:ko00280]|Enzymes&gt;&gt;&gt;5. Isomerases&gt;&gt;&gt;5.4  Intramolecular transferases&gt;&gt;&gt;5.4.99  Transferring other groups&gt;&gt;&gt;5.4.99.2  methylmalonyl-CoA mutase</t>
  </si>
  <si>
    <t>MSTIPNFSSTPRVDEAAAQAAAGAHPYEGQEVWSTPEGIDVKRVFDRADRNATLEETDERPAHPLDSFPGMAPFMRGPYPTMYTNQPWTIRQYAGFSTAAESNAFYRRNLAAGQKGLSVAFDLATHRGYDSDNERVVGDVGMAGVAIDSILDMRQLFEGIDLGSVSVSMTMNGAVLPVLALYIVTAEEQGVTPDRLAGTIQNDILKEFMVRNTYIYPPNPSMRIISNIFEYTSMMMPRFNSISISGYHIQEAGATADLELAYTLADGVEYIRAGKDVGLDVDKFAPRLSFFWGISMYTFMEIAKLRAGRLLWSELVAKFDNKNPKSQSLRTHSQTSGWSLTAQDVFNNVPRTCIEAMAATQGHTQSLHTNALDEALALPTDFSARIARNTQLLLQQESGTVRPVDPWAGSYYIEWLTNELANRARKHIEEVEAAGGMAEATIKGIPKLRIEESAARTQARIDSGRQALIGVNKYIVDEDEQIEVLKVDNTKVRAEQLDKLERLRAERDEEACQAALDALEAAARLETREPGDLNTNLLKLAVDAARAKATVGEISFALEKVFGRHEAEIRTLSGVYKEEVAKEGTVSNVAKAIAMADAFEAEEGRRPRIFIAKMGQDGHDRGQKVVASAYADLGMDVDVGPLFQTPAEAARAAVDADVHVVGVSSLAAGHLTLVPALKEELAKLGREDIMIVVGGVIPPGDFQELYDDGAAAIYPPGTVIADSAIDMITKLAASLGLELDVEEA-----</t>
  </si>
  <si>
    <t>MTTIPNFADIQRTPDTVTTTSA---PSASEQIWSTPEGIDVKRVFTRADRDEAAAGNDERAPHPLDSFPGMPPFMRGPYPTMYTNQPWTIRQYAGFSTAAESNAFYRRNLAAGQKGLSVAFDLATHRGYDSDNERVVGDVGMAGVAIDSILDMRQLFEGIDLGSVSVSMTMNGAVLPVLALYIVAAEEQGVPPEKLAGTIQNDILKEFMVRNTYIYPPKPSMRIISNIFEYTSMMMPRFNSISISGYHIQEAGATADLELAYTLADGIEYIRAGMDVGLDVDKFAPRLSFFWGISMYTFMEIAKMRAGRLLWSELVAKFDPKNPKSQSLRTHSQTSGWSLTAQDVYNNVPRTCIEAMAATQGHTQSLHTNALDEALALPTDFSARIARNTQLLLQQESNTVRPVDPWAGSYYIEWLTNELANRARAHIEEVEAAGGMAQATIEGIPKLRIEESAARTQARIDSGRQALIGVNKYVVEEDEQIEVLKVDNTKVRAEQLEKLERLRAERDEEACQAALDALTAAAAREDKEAGDLSQNLLKLSVDAARAKATVGEISYALEKVFGRHEAEIRTLSGVYKEEVGKEGTVSNVQKAIAMADAFEAEEGRRPRIFIAKMGQDGHDRGQKVIASAYADLGMDVDVGPLFQTPAEAARSAADADVHVVGVSSLAAGHLTLVPALKEELAKLGREDIMIVVGGVIPPGDFQELYDDGAAAIYPPGTVIADSAIDMLTKLSANLGFDLDVDA------</t>
  </si>
  <si>
    <t>MSTIPNFANYPAQSDATPTEAD--VTYLRDQVWETPEGIDVPRVFDRADRNNAVADDQ------LDSFPGMPPFMRGPYPTMYTNQPWTIRQYAGFSTAAESNAFYRRNLAAGQKGLSVAFDLATHRGYDSDNERVLGDVGMAGVAIDSILDMRQLFEGIDLGNVSVSMTMNGAVLPVLALYIVAAEEQGVPPEKLAGTIQNDILKEFMVRNTYIYPPKPSMRIISNIFEYTSMKMPRFNSISISGYHIQEAGATADLELAYTLADGVEYIRAGKDVGLDVDKFAPRLSFFWGISMYTFMEIAKLRAGRLLWSELVAKFGPKNPKSQSLRTHSQTSGWSLTAQDVFNNVPRTCIEAMAATQGHTQSLHTNALDEALALPTDFSARIARNTQLLLQQESGTVRPVDPWAGSYYIEWLTEQLAERARAHIEEVEAAGGMAQATIEGIPKLRIEESAARTQARIDSGRQALIGVNKYVVPEDEQIEVLKVDNTKVRAEQLAKLKQLRAERDEAAVQAALEALTAAAAKEDKEPGNLDENLLKLSVDAARAKATVGEISYALEKVFGRHEAEIRTLSGVYKDEVGKEGAVGNVEKAIAMADAFEAEEGRRPRIYIAKMGQDGHDRGQKVVASAYADLGMDVDVGPLFQTPAEAARAAVDSDVHVVGVSSLAAGHLTLVPALKEELAKLGREDIMIVVGGVIPPGDFQELYDDGAVAIYPPGTVIADSAIDMLTKLSKQLGLDLDVPDDTASAS</t>
  </si>
  <si>
    <t>GC_00000142</t>
  </si>
  <si>
    <t>PF16321.10</t>
  </si>
  <si>
    <t>Sigma 54 modulation/S30EA ribosomal protein C terminus</t>
  </si>
  <si>
    <t>K05808</t>
  </si>
  <si>
    <t>ribosome hibernation promoting factor</t>
  </si>
  <si>
    <t>COG1544</t>
  </si>
  <si>
    <t>Ribosome-associated translation inhibitor RaiA (RaiA) (PDB:1IMU)</t>
  </si>
  <si>
    <t>MTTPADKNNVLSPDVKVNITGRNVEVPDHFAERVHSKLAKIARLDPTLTFFHVELQHEPNPRRADESDKIQITATGKGHIARAEAKEDSFYAALETALSRMERSLRKVKARRKISRSGHRTPMPTDQVAVELAAQAAKM--EAPKGEFDEDPYADLVEEVKLGQVVRRKEHPATPMSVDDALSEMELVGHDFYLFLDEETGRPSVVYRRHAYDYGLIALA--</t>
  </si>
  <si>
    <t>MTIPAENNDVLRPDTQVTITGRNVEVPDHFAERVHAKLAKIARLDPTLTFFHVELQHEPNPRRADESDKIQITATGKGHIARAEAKEDSFYAALETALARMERSLRKVKARRRISRSGHRAPKGVGEVAADLVADATAAVSQQPEGKFDVDPYEDSVTDVVPGQVVRTKEHSSTPMSVDDALSEMELVGHDFYLFVNEETGRPSVVYRRHAFDYGLISLAE-</t>
  </si>
  <si>
    <t>MTTPA-GNESLNPDFKVTITGRNVEVPEHFAERVHSKLAKIARLDPTLTFFHVELQHERNPRRADESDRIQITATGKGHIARAEAKEDSFYAALETVLSRMERSLRKVKERRSISLSGHRAPIGTGEAAKGLVKEADKV--QAAGSKYDHDPYADQVEDVLPGQVVRTKEHVANPMSVDDALSEMELVGHDFYLFINKENNQPSVVYRRHAFDYGLISIVPE</t>
  </si>
  <si>
    <t>GC_00000143</t>
  </si>
  <si>
    <t>PF00285.26</t>
  </si>
  <si>
    <t>Citrate synthase, C-terminal domain</t>
  </si>
  <si>
    <t>K01647</t>
  </si>
  <si>
    <t>citrate synthase [EC:2.3.3.1]</t>
  </si>
  <si>
    <t>COG0372</t>
  </si>
  <si>
    <t>Citrate synthase (GltA) (PDB:3TQG) (PUBMED:25211225)</t>
  </si>
  <si>
    <t>TCA cycle</t>
  </si>
  <si>
    <t>M00009|M00010|M00012|M00740</t>
  </si>
  <si>
    <t>Citrate cycle (TCA cycle, Krebs cycle)|Citrate cycle, first carbon oxidation, oxaloacetate =&gt; 2-oxoglutarate|Glyoxylate cycle|Methylaspartate cycle</t>
  </si>
  <si>
    <t>Pathway modules; Carbohydrate metabolism; Central carbohydrate metabolism|Pathway modules; Carbohydrate metabolism; Central carbohydrate metabolism|Pathway modules; Carbohydrate metabolism; Other carbohydrate metabolism|Pathway modules; Carbohydrate metabolism; Other carbohydrate metabolism</t>
  </si>
  <si>
    <t>KEGG Orthology (KO)&gt;&gt;&gt;09100 Metabolism&gt;&gt;&gt;09101 Carbohydrate metabolism&gt;&gt;&gt;00020 Citrate cycle (TCA cycle) [PATH:ko00020]|KEGG Orthology (KO)&gt;&gt;&gt;09100 Metabolism&gt;&gt;&gt;09101 Carbohydrate metabolism&gt;&gt;&gt;00630 Glyoxylate and dicarboxylate metabolism [PATH:ko00630]|Enzymes&gt;&gt;&gt;2. Transferases&gt;&gt;&gt;2.3  Acyltransferases&gt;&gt;&gt;2.3.3  Acyl groups converted into alkyl groups on transfer&gt;&gt;&gt;2.3.3.1  citrate (Si)-synthase</t>
  </si>
  <si>
    <t>MATENKDKAILSYPGGEYEMDIVRATEGNDGIALGKLRDATGLVTYDPGYVSTGSTESAITYIDGEEGILRYRGYAIEDLAEKTTFNEVSYLLIHGELPTQEQLLAFNDEVRHHTLLDEGFKKQFSVFPRDAHPMAVLASSLNILSTYYQDELDPLNPDHLEKATVRLMAKVPMLAAYAHRARHGEPYMYPDNSLNARENFLRMMFGFPTEPYEVDPLLVKALDQLLILHADHEQNCSTSTVRMVASAQANMFVSVAAGINALSGPLHGGANQAVLEMLDEIKANGGDATDFMNRVKNKEPGVRLMGFGHRVYKNYDPRASIIKKTAHEVLEKLGGDDTLELAMNLEEIALADDYFISRKLYPNVDFYTGLIYRAMGFPTDFFTVLFAMGRLPGWIAQYRELVENPASKIYRPRQIYTGEALRSFVPRDQRK</t>
  </si>
  <si>
    <t>MATEN-NKAVLHYPGGEFEMDIISATEGNDGIALGKMLSETGLVTYDPGYVSTGSTQSAITFIDGDKGILRYRGYSIEDLAEHATFNEVSYLLIKGELPTQEQLLHFNDSVRHHTLLDEDFKAQFRVFPRDAHPMAVLASSINILSTYYQNELSPLDEEHLDLATARLLAKVPMLAAYAHRARNGQPYMYPDNSLNARENFLRMMFGFPTEPYDVDPLLVKALDQLLILHADHEQNCSTSTVRMVASAQANMFVSVAAGINALSGPLHGGANQAVLEMLDEIHARGGDATDFMNRVKNKEPGVRLMGFGHRVYKNYDPRAAIIKKTAHEVLEKLGGDSLLELALNLEEIALADDYFISRRLYPNVDFYTGLIYRAMGFPTDFFTVLFAMGRLPGWIAQYRELVENPASKIYRPRQIYAGEGYRAFVPRNER-</t>
  </si>
  <si>
    <t>MTANN-EKAVLHYPGGEYEMDIIRSTEGYSGVVLGNMLAETNLVSFDPGYVSTGSTESKITYIDGEQGILRHRGYDIADLAQNATFNEVCYLLIKGKLPNQQELEHFNSEIRHHTLLDEDFKAQFKIFPRNAHPMSVLASSVNILSTYYQDQLDPLDEAQLDKASVRLLAKVPMLAAYAYRASKGAPYMYPDNSLNARKNFLRMMFGYPTEPYEVDPVVSKALDKLLILHADHEQNCSTSTVRMIASAQANMFVAVAGGINALSGPLHGGANQAVLEMLEKIAANGGDATDFMNRVKNKEKGVRLMGFGHRVYKNYDPRAAIVKETAHQILNHLGGDHLLDLAMKLEEIALNDEYFISRKLYPNVDFYTGLIYRAMGFPTDFFTVLFAIGRLPGWIAQYREQLAT-TTKINRPRQIYTGEVHRVVIPRSERD</t>
  </si>
  <si>
    <t>MTANN-EKAVLHYPGGEYEMDIIRSTEGYSGVVLGNMLAETNLVSFDPGYVSTGSTESKITYIDGEQGILRHRGYDIADLAQNATFNEVCYLLIKGKLPNQQELEHFNSEIRHHTLLDEDFKAQFKIFPRNAHPMSVLASSVNILSTYYQDQLDPLDEAQLDKASVRLLAKVPMLAAYAYRASKGAPYMYPDNSLNARKNFLRMMFGYPTEPYEVDPVVSKALDKLLILHADHEQNCSTSTVRMIASAQANMFVAVAGGINALSGPLHGGANQAVLEMLEKIAANGGDATDFMNRVKNKEKGVRLMGFGHRVYKNYDPRAAIVKETAHQILNHLGGDHLLDLAMKLEEIALHDEYFISRKLYPNVDFYTGLIYRAMGFPTDFFTVLFAIGRLPGWIAQYREQLAT-TTKINRPRQIYTGETHRVVIPRSERD</t>
  </si>
  <si>
    <t>GC_00000144</t>
  </si>
  <si>
    <t>PF05221.23</t>
  </si>
  <si>
    <t>S-adenosyl-L-homocysteine hydrolase</t>
  </si>
  <si>
    <t>K01251</t>
  </si>
  <si>
    <t>adenosylhomocysteinase [EC:3.13.2.1]</t>
  </si>
  <si>
    <t>COG0499</t>
  </si>
  <si>
    <t>S-adenosylhomocysteine hydrolase (SAM1) (PDB:1A7A)</t>
  </si>
  <si>
    <t>M00035</t>
  </si>
  <si>
    <t>Methionine degradation</t>
  </si>
  <si>
    <t>Pathway modules; Amino acid metabolism; Cysteine and methionine metabolism</t>
  </si>
  <si>
    <t>ko00001|ko00001|ko01000|ko01009|ko04147</t>
  </si>
  <si>
    <t>KEGG Orthology (KO)&gt;&gt;&gt;09100 Metabolism&gt;&gt;&gt;09105 Amino acid metabolism&gt;&gt;&gt;00270 Cysteine and methionine metabolism [PATH:ko00270]|KEGG Orthology (KO)&gt;&gt;&gt;09100 Metabolism&gt;&gt;&gt;09108 Metabolism of cofactors and vitamins&gt;&gt;&gt;00670 One carbon pool by folate [PATH:ko00670]|Enzymes&gt;&gt;&gt;3. Hydrolases&gt;&gt;&gt;3.13  Acting on carbon-sulfur bonds&gt;&gt;&gt;3.13.2  Thioether and trialkylsulfonium hydrolases&gt;&gt;&gt;3.13.2.1  adenosylhomocysteinase|Protein phosphatases and associated proteins&gt;&gt;&gt;Protein serine/threonine phosphatases&gt;&gt;&gt;Phosphoprotein phosphatases (PPPs)&gt;&gt;&gt;Protein phosphatase-1&gt;&gt;&gt;PP1-interacting proteins (PIPs)|Exosome&gt;&gt;&gt;Exosomal proteins&gt;&gt;&gt;Exosomal proteins of other body fluids (saliva and urine)</t>
  </si>
  <si>
    <t>MPHGTQNSTNTDAFTDFRVADLSLADAGRHQIRLAEYEMPGLMELRREYAEEQPLKGARIAGSIHMTVQTAVLIETLTALGADVRWASCNIFSTQDEAAAAVVVGD-GTVEQPNGVPVFAWKGETLDEYWWCLDQIFSWGADAEGNEILPNMILDDGGDATMAVIRGRQYENDRRVPEATADSSDEHIAFLGMLREVLEREPGRWGRIAEAVRGVTEETTTGVHRLYHFAEEGTLPFPAMNVNDAVTKSKFDNKYGTRHSLIDGINRATDMLMGGKSVLICGYGDVGKGCAEAMAGQGARVKVTEADPINALQALMDGFPVVHVDDAIADADIVITATGNLGIITFEQMLKMKDHAVLGNIGHFDNEIDMHSLLHRDDVQRVHIKPQVDEFILPNGTAIIVLSEGRLLNLGNATGHPSFVMSTSFADQTIAQIELFNNHANYDKQVYRLPKILDEKVARIHVEALGGTLTELTKEQAEYIGVDVAGPYKPEHYRY</t>
  </si>
  <si>
    <t>--------------MNFKVADLTLADAGRHQIRLAEYEMPGLMELRREYGPEQPLKGARIAGSIHMTVQTAVLIETLVALGAQVRWASCNIFSTQDEAAAAVVVGQ-GTPEDPQGVPVFAWKGETLDEYWWCLDQIFTWGTDDQGNEILPNMILDDGGDATMAVIRGTQFEEAGVVPATQPDDSDEYIAFLGMLRESVAKDKSRWTRIGKAVKGVTEETTTGVHRLYHFAEEGVLPFPAMNVNDAVTKSKFDNKY</t>
  </si>
  <si>
    <t>------------MTFDYKVADLSLAELGRHQIRLAEYEMPGLMQLRAEYADEQPLRGARIAGSIHMTVQTAVLIETLVALGAEVRWASCNIFSTQDEAAAAVVVGKDGTPDNPAGVPVFAWKGETLPEYWWCINQIFSW-----GDGVFPNMILDDGGDATMAVIRGKQWEEAGFVPATEIGDSDEFIAFKDTLRNVLATEGPKWATIAETVKGVTEETTTGVHRLYHFAEEGVLPFPAMNVNDAVTKSKFDNKY</t>
  </si>
  <si>
    <t>GC_00000145</t>
  </si>
  <si>
    <t>PF00327.25</t>
  </si>
  <si>
    <t>Ribosomal protein L30p/L7e</t>
  </si>
  <si>
    <t>K02907</t>
  </si>
  <si>
    <t>large subunit ribosomal protein L30</t>
  </si>
  <si>
    <t>COG1841</t>
  </si>
  <si>
    <t>Ribosomal protein L30/L7E (RpmD) (PDB:1VS6)</t>
  </si>
  <si>
    <t>MALKITQLKGTVGAKQNQKDSLRSLGLKRIRQSVVRPDTPEVRGMINVVRHMVVVEEVAGE</t>
  </si>
  <si>
    <t>MALKITQVKGTVGARHYQKESLRCLGLRRIHQSVVRPDNSQVRGWINVVRHLVDVEEVAGE</t>
  </si>
  <si>
    <t>MALKITQKKGLVGANPKQRKNMQSLGLRRINHSVVRQDTPIVRGMIQVVRHLVVVEEVAGE</t>
  </si>
  <si>
    <t>GC_00000146</t>
  </si>
  <si>
    <t>PF00829.26</t>
  </si>
  <si>
    <t>Ribosomal prokaryotic L21 protein</t>
  </si>
  <si>
    <t>K02888</t>
  </si>
  <si>
    <t>large subunit ribosomal protein L21</t>
  </si>
  <si>
    <t>COG0261</t>
  </si>
  <si>
    <t>Ribosomal protein L21 (RplU) (PDB:1VS6)</t>
  </si>
  <si>
    <t>MYAIVKTGGKQYKVAEGDLVKVEKIEGEPGSSVALTPVLLVDGANVTSAADALAKVNVTAEIVEHAKGPKIKILKYKNKTGYKKRQGHRQPVTVLKVTGIK</t>
  </si>
  <si>
    <t>MYAIVKTGGKQYKVAEGDLVKVEKIEGEPGSSVALTPILLVDGAEVTTSADKLAKVSVSAEIVEQTKGPKIKILKYKNKTGYKKRQGHRQPLTVLKVTGIK</t>
  </si>
  <si>
    <t>MYAIVKTGGRQYKVAEGDIVKVEKIEGELGSSVALTPVLLVDGATVTTKADELAKVKVSAEIIDSVKGPKIKILKYKNKTGYKKRQGHRQPLTVLKITGIK</t>
  </si>
  <si>
    <t>GC_00000147</t>
  </si>
  <si>
    <t>K07684</t>
  </si>
  <si>
    <t>two-component system, NarL family, nitrate/nitrite response regulator NarL</t>
  </si>
  <si>
    <t>ko00001|ko02022</t>
  </si>
  <si>
    <t>KEGG Orthology (KO)&gt;&gt;&gt;09130 Environmental Information Processing&gt;&gt;&gt;09132 Signal transduction&gt;&gt;&gt;02020 Two-component system [PATH:ko02020]|Two-component system&gt;&gt;&gt;NarL family&gt;&gt;&gt;NarX-NarL (nitrate respiration)</t>
  </si>
  <si>
    <t>MEGMLSVFLVDDHSVFRSGVRAELS--QAVNIVGEAGGVTEAIAGICTTHPDVVLLDVHMPDGGGQAVIQGVDTPTT-----FLALSVSDAAEDVISVIRAGARGYVTKTISGPELIDAVRRVHDGDAVFSPRLAGFVLDAFCAPDKHVGVGVVDAPEKDAAVEERVAAGESAHEDMEDPDDDVLDALTRRELEVLRLLARGYTYKEIAADLFISVKTVETHSSNILRKTQQSNRHALTRWAHSRDLD</t>
  </si>
  <si>
    <t>MEGMLSVFLVDDHSVFRSGVRAELS--QAVNIVGEAGGVTEAIAGICTTHPDVVLLDVHMPDGGGQAVIQGVDTPTT-----FLALSVSDAAEDVISVIRAGARGYVTKTISGPELIDAVRRVHDGDAVFSPRLAGFVLDAFCAPDKHVGVGVVDAPEKDAAVEERVAAGEPAHEDMEDPDDDVLDALTRRELEVLRLLARGYTYKEIAADLFISVKTVETHSSNILRKTQQSNRHALTRWAHSRDLD</t>
  </si>
  <si>
    <t>GC_00000148</t>
  </si>
  <si>
    <t>PF02575.21</t>
  </si>
  <si>
    <t>YbaB/EbfC DNA-binding family</t>
  </si>
  <si>
    <t>K09747</t>
  </si>
  <si>
    <t>nucleoid-associated protein EbfC</t>
  </si>
  <si>
    <t>COG0718</t>
  </si>
  <si>
    <t>DNA-binding nucleoid-associated protein YbaB/EfbC (YbaB) (PDB:1J8B) (PUBMED:19594923;22544270)</t>
  </si>
  <si>
    <t>KEGG Orthology (KO)&gt;&gt;&gt;09190 Not Included in Pathway or Brite&gt;&gt;&gt;09192 Unclassified: genetic information processing&gt;&gt;&gt;99998 Others</t>
  </si>
  <si>
    <t>MTQP-DMNQLIQQAQQMQAQLQAAQQEILNSSVEGEAGNGLVKVTMHGNGTISDVRIDPQVVDPEDIDTLQDLITGALQDAHTKVSKLAEEKMGPLSKGFGNDALGGL-F</t>
  </si>
  <si>
    <t>MTEPNDMAALMAQAQEMKAQLDQAQQEIMAASVVGEAGNGLVKATMGGNGQISDLVIDPKVVDPEDVDTLQDLILGALADAHQKVAALAEEKIGPLSQGF-----QGM-F</t>
  </si>
  <si>
    <t>GC_00000149</t>
  </si>
  <si>
    <t>PF07332.16</t>
  </si>
  <si>
    <t>Putative Actinobacterial Holin-X, holin superfamily III</t>
  </si>
  <si>
    <t>COG5393</t>
  </si>
  <si>
    <t>Uncharacterized membrane protein YqjE (YqjE)</t>
  </si>
  <si>
    <t>MAPLAVTKKYSGRKTHVSNDEGMFTGAKK---PQVNSIPLSDVDTNT--KGSIGELVSNATEQISSLMRAEIELAKAEIQVEAKKGAIGGGLFTVAGVIALYSSFFFFFALAEVLKIWLWAWAAYLIIFFAMLLFAALLAFIGFRKVKQIKAPKKTIESVAELRALRPGNAEAALNARSTDR--</t>
  </si>
  <si>
    <t>GC_00000150</t>
  </si>
  <si>
    <t>PF12823.12</t>
  </si>
  <si>
    <t>Domain of unknown function (DUF3817)</t>
  </si>
  <si>
    <t>F|F</t>
  </si>
  <si>
    <t>Nucleotide transport and metabolism|Nucleotide transport and metabolism</t>
  </si>
  <si>
    <t>COG0518|COG0519</t>
  </si>
  <si>
    <t>GMP synthase, glutamine amidotransferase domain (GuaA1) (PDB:4WIM)|GMP synthase, PP-ATPase domain/subunit (GuaA2) (PDB:4WIM)</t>
  </si>
  <si>
    <t>Purine biosynthesis|Purine biosynthesis</t>
  </si>
  <si>
    <t>MTNTANSQPNNLEPTPATTADGVPITEDRQRRVSQALTLFSVAAWVTGIWLLILTGRMILEYLVGIDMPAWTRIIGQLHGLFYMLYLVATLNLGTKARWQPVRWILTALAGTIPFLSFVVEHNRRKEVRAQFHLA--</t>
  </si>
  <si>
    <t>------------MTTPS-------VNPDRARRVAQALRFFSIAAWVTGVWLLILCTRMVLEYIVGIDMPTWTRIIGQLHGLFYMVYLITTLNLGVKARWEPVKWITTALAGTIPFLSFVIEAKRRKEVTAAFNL---</t>
  </si>
  <si>
    <t>GC_00000151</t>
  </si>
  <si>
    <t>PF19460.4</t>
  </si>
  <si>
    <t>Family of unknown function (DUF5997)</t>
  </si>
  <si>
    <t>MKPRTAAKKLGIYLPASPEEFQATGLSHEQFIELQANPPEWLSELRRTGPHPRPVVAQKLGITIAALKRNDMDKPLTTADIKALLEDQPEWLRTARTQLAEQREENA----KNKDA</t>
  </si>
  <si>
    <t>MKPQTAAKKLGIYLPATPEEFQNTALTHQEFVELQSNPPEWLTNLRRNGPHPRPVVAQKLGITIAALKRNDLDKPLTTADIKALLENQPDWLRAARTAMAEKREEQRGKELRNLGK</t>
  </si>
  <si>
    <t>MKPQTAAKKLGIYLPAAPEEFQATAITHAELAKLHTDPPEWLQTLRRTGPHPRPVVAQKLGITIAALKRNGMDKPLTTAEIKALLENQPDWLREARTAHAENRTATS----EETD-</t>
  </si>
  <si>
    <t>MKPQTAAKKLGIYLPAAPEEFQATAITHAELAKLHTDPPEWLQTLRRTGPHPRPVVAQKLGITIAALKRNGMDKPLTTAEIKALLENQPDWLREARTAHAENRTAAS----EETD-</t>
  </si>
  <si>
    <t>GC_00000152</t>
  </si>
  <si>
    <t>PF05140.19</t>
  </si>
  <si>
    <t xml:space="preserve">ResB-like family </t>
  </si>
  <si>
    <t>C|O</t>
  </si>
  <si>
    <t>Energy production and conversion|Posttranslational modification, protein turnover, chaperones</t>
  </si>
  <si>
    <t>K07399</t>
  </si>
  <si>
    <t>cytochrome c biogenesis protein</t>
  </si>
  <si>
    <t>COG1333</t>
  </si>
  <si>
    <t>Cytochrome c biogenesis protein ResB (ResB)</t>
  </si>
  <si>
    <t>-------MKKY---PQLAWRWLTSMRTALVLLFLLAIAAIPGALLPQRSLNESKVAEYIANGGKTAEIYDKLQLFDVFSSTWFTAIYILLFISLIGCIIPRTIDHYRASRNAPVRAPLRMQRLPHRAFGTPTHPGTPEEILDHAQQQLKGWRTARYTGEQDRAGHPSLSAERGYSREICNLIFHLGLVGMLASIGLGKMYYYEGQAIVVTNTGVSANGAPNPTENSEFCNTALANYDSVRAGALFKNSDLTPFCI</t>
  </si>
  <si>
    <t>MSAQNPWLRRALSGPRWLWRWLTSMRTALVLLFLLALGAIPGALLPQRSLNADKVDEYIANNGRVGEIYDKLQLYDVFSSVWFTAIYVLLFVSLIGCILPRSWEHYRAMKTPPVRAPKNMARLPLHASGVVDCA--VDEVVQ--PGMLKGWRVARYTPEEDRAGATSLSAEKGYIREFFNLVFHLGLVGILVAVGLGRMLYYEGQVVVVAG-----------TENSQFCNTAVANYDSFRFGALFDGGKLKPFCVKVEDFSADYLPNGQAKMFTSDVRWAEGDQVFTDTNEWEQYRLRVNHPLRIAGDRVYLQGHGYAPRFTVTWPNGESRTQMVQFRPDDPTFFLSSGVLRFDPPAGMYSDLFERRQKQLAIQGLFAPTAEFSGGEGDIMSSSFPAMRNPGVAIDVYRGNAGLDDGRGQSIYSLDPRLAHSGELQKIERVNLMEGESVTLDDGTVVRFDGANEFANLQVSHDPAQVWVLVAAVVTLIGLVGSVSVKRRRVWVRMQPDTAGGTAVSIGGLARTDRAGWGAEFERIQRAILRL-PEESSEELEEDDEDND--</t>
  </si>
  <si>
    <t>-------MKILLAAIKKAWHWLTSMRTALALMFLLALGAAPGALLPQRSLNEDNVTEYLKNNGKIAEIYDKLQLFDVFSSTWFNSIAVLLFISLIGCILPRSLDHYKQLKTRPVRAPKNLSRLPLNAVGTVNKS--LPEVEQHITTLFKGWHLAAYTKEEDRAGQRSFSAEKGYSRELYNLLFHLGLVGMLVAMAIGRMVYYEGQVIVIAS--------DRDDVNSQFCNTATANFDSFRAGLLFDGTGLNTYCL</t>
  </si>
  <si>
    <t>-------MKILLAAIKKAWHWLTSMRTALALMFLLALGAAPGALLPQRSLNEDNVTEYLKNNGKIAEIYDKLQLFDVFSSTWFNSIAVLLFISLIGCILPRSLDHYKQLKTRPVRAPKNLSRLPLNAVGIVNKP--LPEVEQHITTLFKGWHLAAYTKEEDRAGQRSFSAEKGYSRELYNLLFHLGLVGMLVAMAIGRMVYYEGQVIVIAS--------DRDDVNSQFCNTATANFDSFRAGLLFDGTGLNTYCL</t>
  </si>
  <si>
    <t>GC_00000153</t>
  </si>
  <si>
    <t>PF01451.26</t>
  </si>
  <si>
    <t>Low molecular weight phosphotyrosine protein phosphatase</t>
  </si>
  <si>
    <t>K25307</t>
  </si>
  <si>
    <t>low molecular weight protein-tyrosine phosphatase [EC:3.1.3.48]</t>
  </si>
  <si>
    <t>COG0394</t>
  </si>
  <si>
    <t>Protein-tyrosine-phosphatase (Wzb) (PDB:4D74) (PUBMED:26641313)</t>
  </si>
  <si>
    <t>KEGG Orthology (KO)&gt;&gt;&gt;09130 Environmental Information Processing&gt;&gt;&gt;09132 Signal transduction&gt;&gt;&gt;02020 Two-component system [PATH:ko02020]|Enzymes&gt;&gt;&gt;3. Hydrolases&gt;&gt;&gt;3.1  Acting on ester bonds&gt;&gt;&gt;3.1.3  Phosphoric-monoester hydrolases&gt;&gt;&gt;3.1.3.48  protein-tyrosine-phosphatase</t>
  </si>
  <si>
    <t>MTGHTESLYIVFVCTGNICRSPMADVIFRDALDDAHLTDDVLVRSCGIGGWHVGQSADRRAIAELQASGHDGTQHRAAQLGPEHDDADLFVALDNGHIHDLVRHGIPSEKIRLLRSFDPSSPRGAD--VDDPYYSNAAAFTEVRTQIDAAMPGMIDWVKERLEHSSKR</t>
  </si>
  <si>
    <t>----------------------MGDVILNQAVAAAGLADSVTVDSCGTGGWHVGQGADRRALTELAKAGYDGSAHRAAQFDDSHAAADLIIAMDDRHVQWLTTIGVEPERIRLLRSFDPAAVTAGDLNVEDPYYGYASDFELARTQIEAAVPGILDWIRHALE-----</t>
  </si>
  <si>
    <t>----------------------MGDVILNQAVAAAGLADSVTVDSCGTGGWHVGQGADRRALTELAKAGYDGSAHRAAQFDDSHAAADLIIAMDDRHVQWLTTIGVEPGRIRLLRSFDPASVAAGDLNVEDPYYGYASDFELARTQIEAAVPGILDWIRHELE-----</t>
  </si>
  <si>
    <t>GC_00000154</t>
  </si>
  <si>
    <t>PF01936.24</t>
  </si>
  <si>
    <t>NYN domain</t>
  </si>
  <si>
    <t>K06860</t>
  </si>
  <si>
    <t>putative heme uptake system protein</t>
  </si>
  <si>
    <t>COG1432</t>
  </si>
  <si>
    <t>NYN domain, predicted PIN-related RNAse, tRNA/rRNA maturation (LabA) (PDB:2QIP)</t>
  </si>
  <si>
    <t>----------MSFDTYP------APS---------NDI---------ALLIWDAPNIDMGLGSILGGRPSANYRPRFDAVGRWLLERSEELSEDLDVPISPEATVFTNVTPGAADGIRSWVEALRNVGFAVFAKPKLTDDSDVDPDMLNHIDARHNQGVLRSVFVASADGQNFKPTLDRLVDDGVHVCVVGFQEHVSWAVTDDRYEFCDLEDIPGVFREPLPRVSLDSLPEGGAWLQPFRPLSSL-----</t>
  </si>
  <si>
    <t>MTSMIDTIHEHSSGSFP------CSTPVFVPHPTDNDATSHHAKPQGLLLIWDAPNLDMGLGAILGGRPTAAYRPRFDAIGRWLLDRSQQLSEQLETRIEPEATVFTNVAPGGADVVRPWVEALRNVGFAVFAKPKLDDDTDVDPDMLAHIRRRHSEGVLKGIIVASADGQNFRDELEQLATTGIPTTVLGFHEHASWAVASETLEFVDLEEIPGVFREPLPRISLDNLPEEGAWLQPFRPLSSLLSGRP</t>
  </si>
  <si>
    <t>---------MSSNEFYPGNPAHAARSTAETPEPMGDDT---------LLLVWDAPNIDMGLGAILGARPTAAHRPRFDAIGRWVLGRAGELAHHTGVRIAAEATVFTNVAPNGTDAIRPWVEALRNVGFAVFAKPKLTEDTDVDPDMVAHIRHRHAEGVLRGVIVASADGQNFRELLTELADEGIPVTILGFHEHTSWAVNSEIFTFVDLEEIPGVFREPLPRISLDNLPATGAWLQPFRPLSMLLSDK-</t>
  </si>
  <si>
    <t>GC_00000155</t>
  </si>
  <si>
    <t>PF00211.25</t>
  </si>
  <si>
    <t>Adenylate and Guanylate cyclase catalytic domain</t>
  </si>
  <si>
    <t>K01768</t>
  </si>
  <si>
    <t>adenylate cyclase [EC:4.6.1.1]</t>
  </si>
  <si>
    <t>COG2114</t>
  </si>
  <si>
    <t>Adenylate cyclase, class 3 (AcyC) (PDB:1AB8)</t>
  </si>
  <si>
    <t>KEGG Orthology (KO)&gt;&gt;&gt;09100 Metabolism&gt;&gt;&gt;09104 Nucleotide metabolism&gt;&gt;&gt;00230 Purine metabolism [PATH:ko00230]|KEGG Orthology (KO)&gt;&gt;&gt;09140 Cellular Processes&gt;&gt;&gt;09143 Cell growth and death&gt;&gt;&gt;04113 Meiosis - yeast [PATH:ko04113]|KEGG Orthology (KO)&gt;&gt;&gt;09140 Cellular Processes&gt;&gt;&gt;09145 Cellular community - prokaryotes&gt;&gt;&gt;02025 Biofilm formation - Pseudomonas aeruginosa [PATH:ko02025]|Enzymes&gt;&gt;&gt;4. Lyases&gt;&gt;&gt;4.6  Phosphorus-oxygen lyases&gt;&gt;&gt;4.6.1  Phosphorus-oxygen lyases (only sub-subclass identified to date)&gt;&gt;&gt;4.6.1.1  adenylate cyclase</t>
  </si>
  <si>
    <t>----------MRRILQSVKWLWSTSWPAYAASVLASNVLGALALMAFLKFLMPLPAVDE--FSSAARERLTMIGVGYLIFAVFAGIVVTGWLFLPVLRWQRNPDDHDPNMVRNLVMRIPVYQAGLCGIVWLVGIAIVGVASWILDPRLALITVLTTALGGVLIVMMTYLEAARLVRPIAAAALARRFEDSTLEPPIRQRVLATWAVSTGIPVVGIILLVIGHHFGYFSATPGHFTEYATNGDSAERIIPAIIALS</t>
  </si>
  <si>
    <t>----------MRRFAQVMKWLWGTSWPLYAATVLGSNVLGALAIMLFVRYLLPIPEIAN--FGTD-SNYLRIAGIVYVVLAVFAGVAVTLRLFLPVLRWQHKPDEHDPNMVRNLVLRIPVYQAVLCAVVWLIGVSIVTVVAASTSSRLAFVVALATILGGAIVVLLTYLEAELLVRPIAAKALAQGFADSTLEPPVRVRMQLTWIVTSGVPILGMLLMMVGQRVQYFHH-------------DSSSILPGIIALG</t>
  </si>
  <si>
    <t>----------MRRFAQVMKWLWGTSWPLYAATVLGSNVLGALAIMLFVRYLLPIPEIAN--FGTD-SNYLRIAGIVYVVLAVFAGVAVTLRLFLPVLRWQHKPDEHDPNMVRNLVLRIPVYQAVLCAVVWLIGVSIVTVVAASTSSRLAFVVALATILGGAIVVLLTYLEAELLVRPIAAKALAQGFADSTLEPPVRVRMQLTWIVTSGVPILGMLLMVVGQRVRYFHH-------------DSSSILPGIIALG</t>
  </si>
  <si>
    <t>MCGFAVKVVSMQRLWRAIRWLGGTSWPLYTAAVLGTNLLAAVGVIAFLEFLLPLSVIDPDIIPLQVSGTVLGVGVAYIVVAAIISIVTSFALFRPVLDWQRHPDRHDPNMVRNLVMRIPFYQTVLTSLVWVVGIAIITGFATRGSSTLAITVGVTTSLGGAMAAMVTYLEAERLVRPVAALVLARRFEDSTLEPPVTYRLRSTWLLTSAAPIGGVLLLVWAHYTQFFPA-------------SLAQLLPAIVVLCLTSLVLGFIGTTLVVMSVVDPITELQRAIYRVRRGETDVAVDIYDGAELGVLQAGFNEMMRGLQERQRVRDIFGRYVGMEVARRALEERPELGGEDREVAVIFVDVIGSTTFAVTHEPEEVVVELNKFFEHVVAVVHRNKGIINKFQGDAALAVFGAPITLSDAAGHALKAARELRQELQHMRLQAGIGVAAGHVVAGHIGGHDRFEYTVIGDAVNTAARLTEIAKGTPGRVITNASTLAKANEAEQARWTLMKSVELRGRNMMTQIARPIRPTLADRS</t>
  </si>
  <si>
    <t>GC_00000156</t>
  </si>
  <si>
    <t>PF01000.31</t>
  </si>
  <si>
    <t>RNA polymerase Rpb3/RpoA insert domain</t>
  </si>
  <si>
    <t>K03040</t>
  </si>
  <si>
    <t>DNA-directed RNA polymerase subunit alpha [EC:2.7.7.6]</t>
  </si>
  <si>
    <t>COG0202</t>
  </si>
  <si>
    <t>DNA-directed RNA polymerase, alpha subunit/40 kD subunit (RpoA) (PDB:4KN7)</t>
  </si>
  <si>
    <t>MLISQRPKLTEEVIDSARSKFTIEPLEPGFGYTLGNSLRRTLLSSIPGAAVTSVKIDGVLHEFTTITGVKEDVSDIILNIKGLVLSSDSDEPVVMYLRKEGEGEVTAADIQPPAGVEIHNPDLHIATLNEQGKLDIELVVERGRGYVPATMYGSTG----EIGRIPVDQIYSPVLKVTYKVEATRVEQRTDFDKLIIDVETKNSITARDALASAGKTLVELFGLARELNTAAEGIEIGPSPIEGEHIAAYGMPIEDLNFSVRSYNCLKRQEIHTVGELADCTESDLLDIRNFGQKSINEVKIKLASLGLTLADAPEDFDPTTIEGYDAATGDFVDPDADDTE</t>
  </si>
  <si>
    <t>MLISQRPILREEYVDTARSRFIIEPLEPGFGYTLGNSLRRTLLSSIPGAAVTSVKIEGALHEFTTINGVKEDLSEIILNIKGLVLSSDSDEPVVMYLRKEGPGVVTAADIQPPAGVEVHNPDMHIATLNDTGVLEIEMVVERGRGYVPASMSVTNG----EIGRIPVDQIYSPVLKVSYKVEATRVEQRTDFDKLIIDVETKNSISARDALASAGKTLVELFGLARELNVAAEGIEVGPSPVETEHIASYSMPIEDLNFSVRSYNCLKRQEIHTVGELAECTESDLLDIRNFGQKSINEVKIKLAGLGLTLKDAPEDFDPSTIEGYDAETGDFIDFDAEDTE</t>
  </si>
  <si>
    <t>MLISHRPRLTEYPVDNSRSRFVIEPLEPGFGYTLGNSLRRTLLSSIPGAAVTSVKIDGVLHEFTTITGVKEDVSDILLNIKGLAISSDSDEPVVMYLRAEGAGEVTAGTIEPPAGVEIHNPDLHIATLNDQGRLEIEMVVERGRGYVPVSSSTTTNSGTTEIGRIQVDQIYSPVLKVSYNVEATRVEQRTDFDKLTIDVETKNSISPRNAFASAGKTLVELFGLARELNVSAEGIEVGPSPQETEHIAAYGMPIEELRFSVRSYNCLKRQEIHTVGELAECTESDLLDIRNFGQKSINEVKIKLAGLGLTLKDAPEDFDPTQLEGYDAETGDYIDTDPEDE-</t>
  </si>
  <si>
    <t>GC_00000157</t>
  </si>
  <si>
    <t>PF16999.10</t>
  </si>
  <si>
    <t>Vacuolar (H+)-ATPase G subunit</t>
  </si>
  <si>
    <t>PF00430.23</t>
  </si>
  <si>
    <t>ATP synthase B/B' CF(0)</t>
  </si>
  <si>
    <t>MLNVMYRVFECLDELVRNVEQAYGVPMTSNCMVPRNEMLALLDDLRNALPVEIDDAQDVLDQQEHILSEAQDRATQLVDDATNEANSTVSQARHDAENMISDAETRAKTTVAKAQDEADRIVDNAQRDADDHLARAQSEAQRMIDSGNEQYQRSIDEGLAEQHRLVSEAEVVRRANEEAHRIVDAAHADSNRLRNECDEFVDAKLAEFEEVLSTTLRAVSRDRSALRKGAGVGGRRDETG-------RGRASDRSTS--YSS-----------DRG---</t>
  </si>
  <si>
    <t>MLNVMYRVFECLDELVRNVEQAYGVPMTSNCMVPRNEMLALLDDLRNALPVEIDDAQDVLDQQEHILSEAQDRATQLVDDATNEANSTVSQARHDAENMISDAETRAKTTVAKAQDEADRIVDNAQRDADDHLARAQSEAQRMIDSGNEQYQRSIDEGLAEQHRLVSEAEVVRRANEEAHRIVDAAHADSNRLRNECDEFVDAKLAEFEEVLSTTLRAVSRDRSALRKGAGVGGRRDETG-------RGRTSDRSTS--YSS-----------DRG---</t>
  </si>
  <si>
    <t>GC_00000158</t>
  </si>
  <si>
    <t>PF02617.22</t>
  </si>
  <si>
    <t>ATP-dependent Clp protease adaptor protein ClpS</t>
  </si>
  <si>
    <t>K06891</t>
  </si>
  <si>
    <t>COG2127</t>
  </si>
  <si>
    <t>ATP-dependent Clp protease adapter protein ClpS (ClpS) (PDB:1LZW)</t>
  </si>
  <si>
    <t>------MTSATEKTPAAPRLAQGNGASPTPL--------------LEEVVEVAPSENLPWMCIVWDDPVNLMSYVTYVFISILGYDPKRAHELMMQVHTEGKAVVSSGERDKVESDVKKLHAAGLWATMQQA-</t>
  </si>
  <si>
    <t>MKTLRKTTTLPQRGDGDPRARINSEFDPPPTAITLSSPMATPGVEQELEVDMATSENLPWVCIVWDDPVNLMSYVTYVFQTVLGYDKKRAMELMMQVHTEGKAAVSSGEKDKVEADVKKLHTHGLWATMQQAG</t>
  </si>
  <si>
    <t>GC_00000159</t>
  </si>
  <si>
    <t>PF12270.13</t>
  </si>
  <si>
    <t>Cytochrome c oxidase subunit IV</t>
  </si>
  <si>
    <t>K27109</t>
  </si>
  <si>
    <t>cytochrome c oxidase subunit IV [EC:7.1.1.9]</t>
  </si>
  <si>
    <t>MRTSAKIFYGITVFMALVTVIYIVATEKVHDSGNI-------QGLEWAGATGLALAAALSLMLGGYLHFTERRIDILPEDWEEAEVEDGAGMLGFFSPGSIWPFVMTVGVAIMGYGIAFMAYWLLLLGAVVLIFGGISLNLQYGLPKEKH</t>
  </si>
  <si>
    <t>MKSSAKIFYGLTVFMGIMAVIYIVATRNVSDTGSV-------QGLEWAGATGLALAAGLTLMLGAYFHFTERRIDILPQDWEEAEIEDGAGMLGFFSPGSIWPFVMCVGIGIMGYAIAFMAYWLLLLGAVILIWSGIMLNLQYIMPKEKH</t>
  </si>
  <si>
    <t>MRGGAKIMYSIAVFLVIVSVLYFLGTMYINDSGNLYRAGGGSYNYEWAGGVSIVLAGALALMLGGYLHFTEKRIDVLPEDWEEAEIADGSGTLGFFSPHSIWPFAMSMAVAVLGFGIVFMHYWLIALGAIFLIYTTVMLNLQYGLPKEKH</t>
  </si>
  <si>
    <t>MRGGAKIMYSMAVFLVIVSVLYFLGTMYINDSGNLYRAGGGSYNYEWAGGVSIVLAGALALMLGGYLHFTEKRIDVLPEDWEEAEIADGSGTLGFFSPHSIWPFAMSMAVAVLGFGIVFMHYWLIALGAIFLIYTTVMLNLQYGLPKEKH</t>
  </si>
  <si>
    <t>GC_00000160</t>
  </si>
  <si>
    <t>PF02570.20</t>
  </si>
  <si>
    <t>Precorrin-8X methylmutase</t>
  </si>
  <si>
    <t>K06042</t>
  </si>
  <si>
    <t>precorrin-8X/cobalt-precorrin-8 methylmutase [EC:5.4.99.61 5.4.99.60]</t>
  </si>
  <si>
    <t>COG2082</t>
  </si>
  <si>
    <t>Precorrin-8X methylmutase CbiC/CobH (CobH) (PDB:1F2V)</t>
  </si>
  <si>
    <t>M00924|M00925</t>
  </si>
  <si>
    <t>Cobalamin biosynthesis, anaerobic, uroporphyrinogen III =&gt; sirohydrochlorin =&gt; cobyrinate a,c-diamide|Cobalamin biosynthesis, aerobic, uroporphyrinogen III =&gt; precorrin 2 =&gt; cobyrinate a,c-diamide</t>
  </si>
  <si>
    <t>KEGG Orthology (KO)&gt;&gt;&gt;09100 Metabolism&gt;&gt;&gt;09108 Metabolism of cofactors and vitamins&gt;&gt;&gt;00860 Porphyrin metabolism [PATH:ko00860]|Enzymes&gt;&gt;&gt;5. Isomerases&gt;&gt;&gt;5.4  Intramolecular transferases&gt;&gt;&gt;5.4.99  Transferring other groups&gt;&gt;&gt;5.4.99.60  cobalt-precorrin-8 methylmutase|Enzymes&gt;&gt;&gt;5. Isomerases&gt;&gt;&gt;5.4  Intramolecular transferases&gt;&gt;&gt;5.4.99  Transferring other groups&gt;&gt;&gt;5.4.99.61  precorrin-8X methylmutase</t>
  </si>
  <si>
    <t>MNHNSSEQFGPHNYITDGAEIYRRSFAMIREESNLSGFDPAQQTVAVRMIHAAGQTDLAGDIEFSPNLVPAARRALEQGAPIISDVNMVASGVTRKRLPADNPVVCLLKDPRTPELAAQLGTTRTAAAMQLAGDMLDGAVVAIGNAPTALFHLLNWFADADARGIARPRPAAVLGIPVGFVGAEESKQALSDVAADLGLEFVTVHGRRGGSAITCAALNALAAEKEIM---</t>
  </si>
  <si>
    <t>----------MYSYVTDGNEIYRRSFAMIREESDLGRFDAAQAQVAVRMIHAAGQTDLASDIEFSAGVVPAARAALSAGRPILCDVNMVASGVTRRRLPADNQVLCLLKDPRVPELAARLGTTRTAAAVELWAEHLEGSVVAVGNAPTALFHLLKWLSDDP----ARPRPAAVLGIPVGFVGAAESKAALASDAQALGIEFVTVHGRRGGSAITCAAINALATEQEIME--</t>
  </si>
  <si>
    <t>GC_00000161</t>
  </si>
  <si>
    <t>PF01098.24</t>
  </si>
  <si>
    <t>Cell cycle protein</t>
  </si>
  <si>
    <t>COG0772</t>
  </si>
  <si>
    <t>Peptodoglycan polymerase FtsW/RodA/SpoVE (FtsW) (PDB:6BAR) (PUBMED:30692671)</t>
  </si>
  <si>
    <t>MSAKHESRGVSFNPRWAELRLLLLSAVVLAITLSNLD----IESFKMFGWVIGGYIGVFTLAHVALCFVAPRADQIMLPVAAALNALGVVIIYRLN----PNLAAKQVMWALLAVVMMVVLLFILRDHRSLGRFSYILGLLGLVLLTLPMVWP-TSMDADANIWISIGPFSVQPGEFSKILLLLFFAQLLVNKRALFTVAGYHFMGMEFPRLRDLGPILLVWAVALMIMAGENDFGPALLLFGTVLGMLFLATGRVSWLLIGVVLVAIGGTGVYQISSKIQARVQNFINPFDNYDSTGYQLSQALFGLNFGGVSGTGLGKGYPNEVPVAVSDFILAAVGEELGLVGLAAILMLFAIFITRGMRVALQCRDSFGKLVASGLSLTIAIQVFVVVGGISALLPMTGLTTPFMSAGGSSLLANYMLLAIILRISDAANSPAAHSGSGSHSPAGATAGQVSAAAGGAR</t>
  </si>
  <si>
    <t>K03588</t>
  </si>
  <si>
    <t>cell division protein FtsW</t>
  </si>
  <si>
    <t>ko00001|ko03036|ko02000</t>
  </si>
  <si>
    <t>KEGG Orthology (KO)&gt;&gt;&gt;09140 Cellular Processes&gt;&gt;&gt;09143 Cell growth and death&gt;&gt;&gt;04112 Cell cycle - Caulobacter [PATH:ko04112]|Chromosome and associated proteins&gt;&gt;&gt;Prokaryotic type&gt;&gt;&gt;Chromosome partitioning proteins&gt;&gt;&gt;Divisome proteins|Transporters&gt;&gt;&gt;Other transporters&gt;&gt;&gt;Electrochemical potential-driven transporters [TC:2]</t>
  </si>
  <si>
    <t>MSMWQRVSM-----RRVEFGLLLLGALIMAVTVVNLELSQGNELSSSVLWVIGGYFGVFSIAHLALCFLAPYADQLMLPVAALLNGLGLIMINRLDVARGTSMAPKQVMWALVAIVLMIVVLLVVRDYRTLSRYSFLLGLVGLVLLALPMVWP-SGTNADAKLWISIGPFSLQPGEFSKILLLLFFAQLLVNKRALFQVAGARFLGLVFPRFRDLAPILGVWAVALLIMAGENDFGPALLLFSTVLGMLYLATGRSSWLIIGTVLVAIGGFGVYQISDKIQSRVHNFMDPIGHYDTTGYQLSQALFGMSFGGITGTGLGQGYPQQVPVAESDFILAALGEELGLVGLAGVLVLFAIFVSRGFRTALLTRDSYGKLVASGLSLTLAIQVFVVVAGISALMPMTGLTTPFMSQGGSSLMANYILLALILRISDTAQ-------QSMIAPAVEASNSEPVEEGAVR</t>
  </si>
  <si>
    <t>MNIFRRIIG-----RGTEFALLLAATIIITVVMLNLYTAQGIKLNSDIGWVIGGFIGVFTIAHLTLCFLAPQADQFMLPVAALVNGLGLAMIHRIDLAEDTHLVSRQVMWMVVGIGLLITVLVFLRDHRSLQRYSYVLGAIGLFLLAMPLWWPFKGAHSDAKIWVSFGPISLQPGEFSKILLLLFFAQLLVTKRTLFNLAGKRFLGLEFPRLRDLAPILGVWGFAILIMAGENDFGPALLLFSTVLGMLYLSTNRVSWLLIGTVLVVVGGTAVYQVSSKIQDRFSNFLDPIGNYDTTGYQLSQALFGMSTGGVTGSGFGSGFPQNVPVAESDFILAAIGEEMGLVGLAAVLILFTIFISRGMNIALKAKDVYGKLLASGLSLTLAVQIFVVTAGISALMPMTGLTTPFMSQGGSSLMANYILLAIMLRISDASR-------TGSMGQQVVK-----------R</t>
  </si>
  <si>
    <t>GC_00000162</t>
  </si>
  <si>
    <t>PF01245.26</t>
  </si>
  <si>
    <t>Ribosomal protein L19</t>
  </si>
  <si>
    <t>K02884</t>
  </si>
  <si>
    <t>large subunit ribosomal protein L19</t>
  </si>
  <si>
    <t>COG0335</t>
  </si>
  <si>
    <t>Ribosomal protein L19 (RplS) (PDB:1VS6) (PUBMED:27941785)</t>
  </si>
  <si>
    <t>MNILDSVDAAQLRDDIPDFRPGDTLNVHVKVIEGDKSRVQVFKGVVIRRQNGGIRETFTVRKVSFGIGVERTFPVHSPNIDHIEVVSRGKVRRAKLYYLRELRGKAAKIKEKR--</t>
  </si>
  <si>
    <t>MNILDKVDAAQLRDDIPKFRPGDTVNVHVKVIEGDKSRIQVFKGVVIRRQNGGIRETFTVRKISFGIGVERTFPVHSPNIDKIEVVSRGKVRRAKLYYLRNLRGKAAKIKEYREQ</t>
  </si>
  <si>
    <t>MNILDKVDAASLRDDIPTFHPGDTLNVHVKVIEGTKSRIQVFKGVVIRRQGSGVRETFTVRKISFGIGVERTFPVHSPNIDKIEVVSRGKVRRAKLYYLRDLRGKAAKIKEKR--</t>
  </si>
  <si>
    <t>GC_00000163</t>
  </si>
  <si>
    <t>PF00578.27</t>
  </si>
  <si>
    <t>AhpC/TSA family</t>
  </si>
  <si>
    <t>K24126</t>
  </si>
  <si>
    <t>lipoyl-dependent peroxiredoxin subunit C [EC:1.11.1.28]</t>
  </si>
  <si>
    <t>COG0450</t>
  </si>
  <si>
    <t>Alkyl hydroperoxide reductase subunit AhpC (peroxiredoxin) (AhpC) (PDB:2RII)</t>
  </si>
  <si>
    <t>KEGG Orthology (KO)&gt;&gt;&gt;09190 Not Included in Pathway or Brite&gt;&gt;&gt;09191 Unclassified: metabolism&gt;&gt;&gt;99980 Enzymes with EC numbers|Enzymes&gt;&gt;&gt;1. Oxidoreductases&gt;&gt;&gt;1.11  Acting on a peroxide as acceptor&gt;&gt;&gt;1.11.1  Peroxidases&gt;&gt;&gt;1.11.1.28  lipoyl-dependent peroxiredoxin</t>
  </si>
  <si>
    <t>MALLTIGDKFPEFTLTALKGGDLHNIEASQPEDYFETVTNTSYPGKWLVVFFYPKDFTFVCPTEIAAFGKLNEDFEDRDTQVLGGSIDNEFCHFNWRATHPELKEVPFPMFADVKHDLIKALGVENADGVADRATFIIDPDGIIQFVSVTPDAVGRNVDEVLRVLDALQSEEVCACNWQKNDPTKNINKMEQLQEGLK</t>
  </si>
  <si>
    <t>MALLTIGDTFPEFSLTALKGGDLHDVEASQPEDYFETVTSSSYPGKWLVVFFYPKDFTFVCPTEIAAFGKLDEEFQDRDAQILGGSVDNEFSHFNWRATHPELKTVPFPMFSDIKHDLIKALGVENADGVADRATFIIDPDGIIQFVSVTPDAVGRNVDEVLRVLDALQSEEVCACNWQKNDPTKNINKMEELQEGLK</t>
  </si>
  <si>
    <t>MPILTVGDQFPEFTLTALKGGNLHEANVAAPEDYFETVSLDKYEGKWKVVFFYPKDFTFVCPTEIAAFGKLNEDFEDRDTQVLGGSTDNEFCHFNWRATHPELKDIPFPMFSDIKHDLIRALGVENATGAADRATYIIDPDGIIQFVSVTPDAVGRNVDEVLRVLDALQSEEVCACNWQKNDPTKNIDRFAELQKGLN</t>
  </si>
  <si>
    <t>GC_00000164</t>
  </si>
  <si>
    <t>PF02518.31</t>
  </si>
  <si>
    <t>Histidine kinase-, DNA gyrase B-, and HSP90-like ATPase</t>
  </si>
  <si>
    <t>K07654</t>
  </si>
  <si>
    <t>two-component system, OmpR family, sensor histidine kinase MtrB [EC:2.7.13.3]</t>
  </si>
  <si>
    <t>COG0642</t>
  </si>
  <si>
    <t>Signal transduction histidine kinase (BaeS) (PDB:1JOY)</t>
  </si>
  <si>
    <t>ko00001|ko01000|ko01001|ko02022</t>
  </si>
  <si>
    <t>KEGG Orthology (KO)&gt;&gt;&gt;09130 Environmental Information Processing&gt;&gt;&gt;09132 Signal transduction&gt;&gt;&gt;02020 Two-component system [PATH:ko02020]|Enzymes&gt;&gt;&gt;2. Transferases&gt;&gt;&gt;2.7  Transferring phosphorus-containing groups&gt;&gt;&gt;2.7.13  Protein-histidine kinases&gt;&gt;&gt;2.7.13.3  histidine kinase|Protein kinases&gt;&gt;&gt;Histidine kinases&gt;&gt;&gt;OmpR family|Two-component system&gt;&gt;&gt;OmpR family&gt;&gt;&gt;MtrB-MtrA (osmotic stress response)</t>
  </si>
  <si>
    <t>MLSFFRRIRHLIERLGHRASHAWRTSLQVRVIGTIVSASLTVVLILGFAMISIVAQRLADSKLDIANSEIDRARQTVQEQINATDSSNSVRVRLNSARAALTNK-AATGPEAGAVFEPVLLVDQNG-RITTSPDGYRIPEQLRHFVSQGQISYMYTTINRAEDNSVKALIIGTPTESEIAGLQLYLVLPLENEEATMRLMRGLLSTGGVVLVVLLVGIAWLLTQQVTVPVRSASRIAQRFAAGHLRERMLVEGEDEMARLAMSFNAMAESLSKQIRQLEDYGNLQRQFTSDVSHELRTPLTTVRMAADMIADNKDELDPYTARASELMVRELDRFESLLADLLEISRHDAGMADLSEESIDARNVLSSAWQQTEHLAEELGVAVEFTVPEQPVTLVGDARRIERILRNLLANAIDHSEAKPVEVTLASSDDAVAVTVADHGVGLKPGQEDLVFNRFWRADPSRKRHSGGTGLGLAISHEDAALHGGFVDAIGEPGVGSMFRLVLPITPGAAIGTVPLELMVP-------------------------------------------------------------------------------------PAVPP---------NTEDRSAPTGGQS---------</t>
  </si>
  <si>
    <t>----------------------------MRVIGSILASSVVVVLLLGFSMINVVTQRLVDAKVDVASSEIDRARTTVERQISETDTSNSLQVRLNSARSAISMRDSSTGQDSAAVFEPVILVNNNDGTITTAPEGYRIPEPLRNFVSQNQVSYQFSTIDRVDGSRYKALIIGTPTESDIPGLQLYLVMPLDNEEATLALMRGLLSAGGVCLIVLLMGIAWLTTQQVTGPVRSASRIAQRFAAGHLRERMVVDGED</t>
  </si>
  <si>
    <t>------------------------------------------MIALAYILVSIVTQRLIDAKVDVAKTEIDRARVTVEQQLSATSMSSSTQVRINSARAALTAR-SNGSSDSQAVYEPILVVDSPGDAIIKAPENAQIPDRLRSFVSQGQVAYQFATPTREDNSTYKAIIIGTPTKADIPHLQVYLVLSMESEQATLSLLRGVFTTAAITLAVLLVAITWLLTQQVITPVRSASRIAERFAAGHLRERMGVDGEH</t>
  </si>
  <si>
    <t>GC_00000165</t>
  </si>
  <si>
    <t>PF12089.13</t>
  </si>
  <si>
    <t>Transmembrane domain of unknown function (DUF3566)</t>
  </si>
  <si>
    <t>MANTRVLVRRIAPVSAFRTALALSLAGLAAWMICVVLLYFGLDAAGIWAKVNSIIGGTGGSQVVGFGVVISVAAILGVLMSVLFIVLAPLTAVMYNAIVDLFGGVSVTLSEQPRGKRL</t>
  </si>
  <si>
    <t>MATRKVTVHRISPMSMFRTALALSLAGLVAWILCVVILFLGMQLTGVLGRVND---GFGGSGFLSFGTVLSIAALIGAINALLVTALAPIGAVLYNSFVDLFGGLVVETKDGANS---</t>
  </si>
  <si>
    <t>MATRKVTVHRISPMSMFRTALALSLAGLVAWILCVVILFLGMQLTGVLGRVND---GFGGGGFLSFGTVLSIAALIGAINALLVTVLAPIGAVLYNSFVDLFGGLVVETKDGANS---</t>
  </si>
  <si>
    <t>MATREYTVQRIAPMSAFRTAFSLSIIGLAAWIICAVVLYLGMAAFGVWDQVNQVIGGVGGDQTLSFGVVMSLVALIGAIFAIFFSALAPLTAVLYNAVVDLFGGIRVTLRYEAE----</t>
  </si>
  <si>
    <t>GC_00000166</t>
  </si>
  <si>
    <t>PF03948.19</t>
  </si>
  <si>
    <t>Ribosomal protein L9, C-terminal domain</t>
  </si>
  <si>
    <t>K02939</t>
  </si>
  <si>
    <t>large subunit ribosomal protein L9</t>
  </si>
  <si>
    <t>COG0359</t>
  </si>
  <si>
    <t>Ribosomal protein L9 (RplI) (PDB:1VS6) (PUBMED:27112601)</t>
  </si>
  <si>
    <t>MKLILTAAVDNLGVPGDVVEVKAGYGRNYLLPRGFAIVATRGAEKQIEGIKRAQAEREIRDLDHAREVKAQLEALEGVSVEVRTAENGKLFGSVKAEDIVAAVKAAGGPSLSKHSVLLKKGHVKSVGAYDVDVKLQGDISAKVNFKVVAA</t>
  </si>
  <si>
    <t>MKLILTAAVDNLGVPGDIVEVKNGYGRNYLLPQGYAIIANRGAEKEAESIRRAREARAIRDLDHAREVKEQLENLTGVSIAVRTSDKGKLFGSVTVEDIAAAVKKAGGPSLDKTAIELPKRHVKNTGSYAVNVKLHGDIAATVNFEVVAA</t>
  </si>
  <si>
    <t>MKLILTAAVENLGVPGDIVEVKNGYGRNYLLPRNLAIVATRGAEKQIATMKRAQEERAIRDLDHAREVKERLEALTDVSISVRTSEKGKIFGSVSADNIAAAIKAAGGPKLDKRSIELQKGAVKTVGSYSVNVKLHSDIAATVNFQVVAA</t>
  </si>
  <si>
    <t>MKLILTAAVENLGVPGDIVEVKNGYGRNYLLPRNLAIVATRGAEKQIATMKRAQEERAIRDLDHAREVKEQLEALTDVSISVRTSEKGKIFGSVSADNIAAAIKAAGGPKLDKRSIELQKGAVKTVGSYSVNVKLHSDIAATVNFQVVAA</t>
  </si>
  <si>
    <t>GC_00000167</t>
  </si>
  <si>
    <t>PF00027.35</t>
  </si>
  <si>
    <t>Cyclic nucleotide-binding domain</t>
  </si>
  <si>
    <t>K10914</t>
  </si>
  <si>
    <t>CRP/FNR family transcriptional regulator, cyclic AMP receptor protein</t>
  </si>
  <si>
    <t>COG0664</t>
  </si>
  <si>
    <t>cAMP-binding domain of CRP or a regulatory subunit of cAMP-dependent protein kinases (Crp) (PDB:1FT9)</t>
  </si>
  <si>
    <t>ko00001|ko00001|ko00001|ko00001|ko00001|ko03000</t>
  </si>
  <si>
    <t>KEGG Orthology (KO)&gt;&gt;&gt;09130 Environmental Information Processing&gt;&gt;&gt;09132 Signal transduction&gt;&gt;&gt;02020 Two-component system [PATH:ko02020]|KEGG Orthology (KO)&gt;&gt;&gt;09140 Cellular Processes&gt;&gt;&gt;09145 Cellular community - prokaryotes&gt;&gt;&gt;02024 Quorum sensing [PATH:ko02024]|KEGG Orthology (KO)&gt;&gt;&gt;09140 Cellular Processes&gt;&gt;&gt;09145 Cellular community - prokaryotes&gt;&gt;&gt;05111 Biofilm formation - Vibrio cholerae [PATH:ko05111]|KEGG Orthology (KO)&gt;&gt;&gt;09140 Cellular Processes&gt;&gt;&gt;09145 Cellular community - prokaryotes&gt;&gt;&gt;02025 Biofilm formation - Pseudomonas aeruginosa [PATH:ko02025]|KEGG Orthology (KO)&gt;&gt;&gt;09140 Cellular Processes&gt;&gt;&gt;09145 Cellular community - prokaryotes&gt;&gt;&gt;02026 Biofilm formation - Escherichia coli [PATH:ko02026]|Transcription factors&gt;&gt;&gt;Prokaryotic type&gt;&gt;&gt;Helix-turn-helix&gt;&gt;&gt;CRP/FNR family</t>
  </si>
  <si>
    <t>MEAVQEILSRAGIFQGVDPVAVTNLIQDLETVRYPRGTTIFEEGEPGDRLYIITVGKVKLARHAPDGRENLLTVMGPSDMFGELSIFDPGPRTSSAVCVTEVQAATMNSGMLHRWIREHPEISEQLLRVLARRLRRTNASLADLIFTDVPGRVAKTLLQLANRFGSQEGSALRVNHDLTQEEIAQLVGASRETVNKALATFAHRGWIRLEGKSVLISDTEHLAKRAR</t>
  </si>
  <si>
    <t>MEAIQEILSRAGIFQGVDPVAVGNLIQELETVRFPRGATIFEEGEPGDRLYIITSGKVKLARHAPDGRENLLTVMGPSDMFGELSIFDPGPRTSSAVCVTEVHAATMNSDVLRTWISEHPEISEQLLRVLARRLRRTNASLADLIFTDVPGRVAKTLLQLANRFGTQEAGALRVNHDLTQEEIAQLVGASRETVNKALATFAHRGWIRLEGKSVLICDTEHLAKRAR</t>
  </si>
  <si>
    <t>MEGVHDILSRAGIFQGVDPVAVTNLIEDLESVRYPRGATIFEEGEPGDRLYIITAGKVKLARHAPDGRENLLTVMGPSDMFGELSIFDPGPRTSSAVCVTEVHAATMNSEMLRKWIADHPEISEQLLRVLARRLRRTNSALADLIFTDVPGRVAKTLLQLANRFGTQEGGALRVNHDLTQEEIAQLVGASRETVNKALATFAYRGWIRLEGKSVLIIDTEHLAKRAR</t>
  </si>
  <si>
    <t>GC_00000168</t>
  </si>
  <si>
    <t>PF13649.12</t>
  </si>
  <si>
    <t>Methyltransferase domain</t>
  </si>
  <si>
    <t>COG2226</t>
  </si>
  <si>
    <t>Ubiquinone/menaquinone biosynthesis C-methylase UbiE/MenG (UbiE) (PDB:4OBW)</t>
  </si>
  <si>
    <t>Biotin biosynthesis</t>
  </si>
  <si>
    <t>MSDSTSSKP------LAGHWLLAKVGKKVLRPGGLETTRWLIEQLPIRDQRVVEFAPGLGVTAQEILQKKPSTYTGVDADPHAVDTTKQTLAGIVEKSPTSPANVEIINGSAAETGLPDDSADIVVGEAMLTMQTDKHKLEIMQEATRILAPGGYYAIHELGLTPDELDSEVKTEIQRALARAIKVNARPLTTAEWTEIAEQAGFTVVGVYHAPMALLEPRRMIADEGPLRTAKIVFNILRQPDIRRRILTMRSTFREHANHMNAIGMVLK---------------------------------------------------------------------------------------------------------------------------------------------------------RT---</t>
  </si>
  <si>
    <t>MSDSTSSKP------LAGHWLLAKVGKKVLRPGGLETTRWLIEQLPIRDQRIVEFAPGLGVTAQEILQKKPSTYTGVDADPHAVDTTKQTLAEIVEKSPTPPANVEIINGSAAETGLPDNSADIVVGEAMLTMQTDKHKLEIMQEAARILAPGGYYAIHELGLTPDELDSEVKTEIQRALARAIKVNARPLTTAEWTEIAEQAGFTVVGVYHAPMALLEPRRMIADEGPLRTAKIVFNILRQPDIRRRILTMRNTFREHANHMNAIGMVLK---------------------------------------------------------------------------------------------------------------------------------------------------------RN---</t>
  </si>
  <si>
    <t>PF08241.18</t>
  </si>
  <si>
    <t>MAHEASSKRDRDEAHLQGHWLLAKLGKKVLRPGGKKLTNWMIDNANPTNKRVVEFAPGLGITAAEILDRNPKTYTGVDQDPDAATATTLSTKQA-----RLGIPTEVINGVASDTGLPAGSADLVVGEAMLTMQGEKGKAAIVSEANRILATGGRYAIHELLLTPNNVDQTVADNLRKALATTIKVNARPLTATEWSELLENNGFKVLSIKVAPMGLLQPKQMIEDEGP-RVLKIMFNLARNPQARKRVLAMRKVFSENAQNLGAISIIAEKISDVKPAETAASEAPEPEASPKVTESKPQDSKPAADDPKANDSKAETPSKPAAPNEAAAPSKTAADKVVEPSKAETAKTTAPKATAHKATSTTAETEAAAPKVEASKKAEATPANSAQAGADTSKKPEDKKPEAAQDATPKKAVPKPHDPRTRNKKS</t>
  </si>
  <si>
    <t>GC_00000169</t>
  </si>
  <si>
    <t>PF00831.28</t>
  </si>
  <si>
    <t>Ribosomal L29 protein</t>
  </si>
  <si>
    <t>K02904</t>
  </si>
  <si>
    <t>large subunit ribosomal protein L29</t>
  </si>
  <si>
    <t>COG0255</t>
  </si>
  <si>
    <t>Ribosomal protein L29 (RpmC) (PDB:1VS6)</t>
  </si>
  <si>
    <t>MATGTPAFELRELSEEELVTRLKDCKEELFNLRFQMATGQLTNNRRLRTVKRDIARIYTVIRERELGLSVVPGAEA</t>
  </si>
  <si>
    <t>MAAGTPAYELRELNSEELTTRLREAKEELFNLRFQMATGQLTNNRRLRTVKRDIARIYTVIRERELGLSVVPGAEA</t>
  </si>
  <si>
    <t>MANGTPAHELRELSAKELENRLAEAKEELFNLRFQAATGQLTNNRRLRTVKHDIARIYTVIRERELGLSVVPGAEA</t>
  </si>
  <si>
    <t>GC_00000170</t>
  </si>
  <si>
    <t>PF01680.23</t>
  </si>
  <si>
    <t>SOR/SNZ family</t>
  </si>
  <si>
    <t>K06215</t>
  </si>
  <si>
    <t>pyridoxal 5'-phosphate synthase pdxS subunit [EC:4.3.3.6]</t>
  </si>
  <si>
    <t>COG0214</t>
  </si>
  <si>
    <t>Pyridoxal 5'-phosphate synthase subunit PdxS (PdxS) (PDB:2NV2)</t>
  </si>
  <si>
    <t>Pyridoxal phosphate biosynthesis</t>
  </si>
  <si>
    <t>M00916</t>
  </si>
  <si>
    <t>Pyridoxal-P biosynthesis, R5P + glyceraldehyde-3P + glutamine =&gt; pyridoxal-P</t>
  </si>
  <si>
    <t>KEGG Orthology (KO)&gt;&gt;&gt;09100 Metabolism&gt;&gt;&gt;09108 Metabolism of cofactors and vitamins&gt;&gt;&gt;00750 Vitamin B6 metabolism [PATH:ko00750]|Enzymes&gt;&gt;&gt;4. Lyases&gt;&gt;&gt;4.3  Carbon-nitrogen lyases&gt;&gt;&gt;4.3.3  Amine-lyases&gt;&gt;&gt;4.3.3.6  pyridoxal 5'-phosphate synthase (glutamine hydrolysing)</t>
  </si>
  <si>
    <t>MSTSADQAANNAPNRGTARVKRGLAEMLKGGVIMDVVTPEQAKIAEDAGATAVMALERVPADIRAQGGVSRMSDPDMIEGIINAVSIPVMAKARIGHFVEAQVLESLGVDFIDESEVLTPADYTNHIDKFDFTVPFVCGATNLGEALRRINEGAAMIRSKGEAGTGDVSNAVTHMRTIRAEINRLRSMAEDELYVAAKELQAPYELVREVAETGTLPVVLFTAGGIATPADAAMMMQLGADGVFVGSGIFKSGDPEKRARAIVQATQNFDDPATVARVSRGLGEAMVGINVDEIPQPHRLAERGW</t>
  </si>
  <si>
    <t>MSTN--------PTHGTARVKRGLAEMLKGGVIMDVVTPEQAKIAEDAGATAVMALERVPADIRAQGGVSRMSDPDMIEGIINAVSIPVMAKARIGHFVEAQVLQSLGVDFIDESEVLTPADYSNHIDKFDFTVPFVCGATNLGEALRRINEGAAMIRSKGEAGTGDVSNAVTHMRTIRAEINRLKSMAEDELYVAAKELQAPYELVREVAETGKLPVVLFTAGGIATPADAAMMMQLGAEGVFVGSGIFKSGDPEKRARAIVQATQNYEDPATISQVSRGLGEAMVGINVDDIPVPHRLAERGW</t>
  </si>
  <si>
    <t>MSTN--------PTHGTARVKRGLAEMLKGGVIMDVVTPEQAKIAEDAGATAVMALERVPADIRAQGGVSRMSDPDMIEGIINAVSIPVMAKARIGHFVEAQVLQSLGVDFIDESEVLTPADYSNHIDKFDFTVPFVCGATNLGEALRRINEGAAMIRSKGEAGTGDVSNAVTHMRTIRAEINRLKSMAEDELYVAAKELQAPYELVREVAETGKLPVVLFTAGGIATPADAAMMMQLGAEGVFVGSGIFKSGDPEKRARAIVQATQNYEDPATIAQVSRGLGEAMVGINVDDIPVPHRLAERGW</t>
  </si>
  <si>
    <t>---------------MSIRVNREPAQSLKGGVIMDVVTPEQAKIAEAAGAVAVMALERVPADIRAQGGVARMSDPGMIAEIQEAVSIPVMAKARIGHFVEAQILAELGIDFIDESEVLTPADYVNHINKWELSIPTLCGATNLGEALRRIAEGAAMIRSKGEAGTGDVSEAVRHLRTILNEIHRLRTLDKDELFVAAKDLQAPYDLVQEVAETGKLPVPMFVAGGVSTPADAALVMQIGAEGVFVGSGIFKSGNP</t>
  </si>
  <si>
    <t>GC_00000171</t>
  </si>
  <si>
    <t>PF00717.28</t>
  </si>
  <si>
    <t>Peptidase S24-like</t>
  </si>
  <si>
    <t>K|T</t>
  </si>
  <si>
    <t>Transcription|Signal transduction mechanisms</t>
  </si>
  <si>
    <t>K01356</t>
  </si>
  <si>
    <t>repressor LexA [EC:3.4.21.88]</t>
  </si>
  <si>
    <t>COG1974</t>
  </si>
  <si>
    <t>SOS-response transcriptional repressor LexA (RecA-mediated autopeptidase) (LexA) (PDB:1AY9)</t>
  </si>
  <si>
    <t>ko01000|ko01002|ko03400</t>
  </si>
  <si>
    <t>Enzymes&gt;&gt;&gt;3. Hydrolases&gt;&gt;&gt;3.4  Acting on peptide bonds (peptidases)&gt;&gt;&gt;3.4.21  Serine endopeptidases&gt;&gt;&gt;3.4.21.88  repressor LexA|Peptidases and inhibitors&gt;&gt;&gt;Serine peptidases&gt;&gt;&gt;Family S24: LexA family|DNA repair and recombination proteins&gt;&gt;&gt;Prokaryotic type&gt;&gt;&gt;TLS (translesion DNA synthesis) factors&gt;&gt;&gt;Other SOS response factors</t>
  </si>
  <si>
    <t>MGRRPK---------SADAPLTPRQRRVLEVINDSIAITGYPPSIREIGNATGLQSTSSVAYQLRELEKKGYLRRDPQKPRALDVHSVRPVPKETRPRTSGMTGGAVPAYGYQEGADLSHHVP-PHYIPVIGQVAAGDPILAHQDIEEFFPMPATVLGGGEFYMLRVVGESMRDAGILPDDWVVVRAQVTAEPGDYVIALIDGEATVKEFHRDDTGIWLIPHNPAFEPIP-AMNSRILGKVVSVFRKM</t>
  </si>
  <si>
    <t>MARKPKKVSVVSNSKPEAEQLSDRQRRILQVIRDAVVLRGYPPSIREIGDAAGLQSTSSVAYQLKELERKGFLRRDPNKPRAVD---VRAIPGEELKKTATAGKGRKAPTATVTGQSTVEAAN-TSYVPLVGSIAAGNPILAEQNISLYYPLPQEIVGDGELFMLQVVGESMRDAGIFDGDWVVLRSQKVVDKGDFVAAMIDGEATVKEFHQDQSGMWLLPHNDSFDPIAVSPETEIIGKVVSVMRKL</t>
  </si>
  <si>
    <t>GC_00000172</t>
  </si>
  <si>
    <t>PF06262.17</t>
  </si>
  <si>
    <t>Zincin-like metallopeptidase</t>
  </si>
  <si>
    <t>COG3824</t>
  </si>
  <si>
    <t>Predicted Zn-dependent protease, minimal metalloprotease (MMP)-like domain (PDB:3E11)</t>
  </si>
  <si>
    <t>MVEVSDERFDQLVEQAIELIPRELRRHVDNVAMFVDDYNPDSPYILGLYDGVALTERTSDYSMHLPPSITLYAEALKDFCASEEQLREQIAITVVHEVAHHFGIDDDRLHELGWG</t>
  </si>
  <si>
    <t>MIEVSDERFEELVEQGLDRIPDEFLRHLTNVVILIGEYNERSPHILGLYEGVALTRKTANHTGHLPDTITIYKNALEDHCNSEEELVHQVAVTVIHEVGHHFGLDDADLHRLGWG</t>
  </si>
  <si>
    <t>MMEISDERFEELVDQALAQIPDEVHEHIKNVVFLIEDYNPRSPYILGQYTGVALPKRTFDHTGFLPDTIAIYRQALKDYCWSEDELIEQVRITVMHEIGHYFGLDEDDLHRLGYG</t>
  </si>
  <si>
    <t>GC_00000173</t>
  </si>
  <si>
    <t>K00721</t>
  </si>
  <si>
    <t>dolichol-phosphate mannosyltransferase [EC:2.4.1.83]</t>
  </si>
  <si>
    <t>KEGG Orthology (KO)&gt;&gt;&gt;09100 Metabolism&gt;&gt;&gt;09107 Glycan biosynthesis and metabolism&gt;&gt;&gt;00510 N-Glycan biosynthesis [PATH:ko00510]|Enzymes&gt;&gt;&gt;2. Transferases&gt;&gt;&gt;2.4  Glycosyltransferases&gt;&gt;&gt;2.4.1  Hexosyltransferases&gt;&gt;&gt;2.4.1.83  dolichyl-phosphate beta-D-mannosyltransferase|Glycosyltransferases&gt;&gt;&gt;N-Glycan biosynthesis&gt;&gt;&gt;Dol-P-Man biosyntheisis</t>
  </si>
  <si>
    <t>-----MKTLVIIPTYNELENLPLITGRVRKAAPKVDVLIVDDNSPDGTGERADRMAESDEHIHVLHREGKGGLCGAYVAGFQWGLEKGYDVLCEMDADGSHAPEQLHLLLEEIDNGADLVIGSRYIPGGKVVNWPKKRWVLSKGGNIYISLALGAGLSDMTAGYRAYRRELLEALDLDELSNAGYIFQVDLAWRAVHGGYDVREVPITFTEREIGESKLDGSFVKDSLLEVTKWGAAHRGEQISEAFKETKKIAT</t>
  </si>
  <si>
    <t>MSKPSDRTLVIIPTYNERDNLPLITQRVRSAAPDVDILIVDDNSPDGTGDLADDFASNDEQIFVLHREGKGGLCGAYVAGFQWGLERDYQVLCEMDADGSHAPEQLHLLLAEVDRGAELVIGSRYIPGGKVVNWPKKRWLLSKGGNIYISVALGAGLSDMTAGYRAYRRSLIEALDLNELSNAGYIFQVDLAWRAVREGFDVREVPITFTEREIGESKLDGSFVKDSLLEVTKWGAAHRGEQLREISKETKKLVAHSVKKLRKKYNI</t>
  </si>
  <si>
    <t>-----MKTLVIIPTYNELQNLPLITSRVRAAAPEVDILVVDDNSPDGTGEAADKLAAEDSKIHVLHRAGKGGLCGAYVAGFRWGLEQDFDVLCEMDADGSHAPEELHRLLEQIALGADLVIGSRYVPGGKVVNWPKQRWVLSKGGNVYISVALGAGLKDMTAGYRAFRRQVLETVDLDELSNAGYIFQVDMAWRVVQEGFDVREVPITFTERAIGESKLDGSFVKDSLLEVTKWGIRHRKQQVTGLAREMRRLGA</t>
  </si>
  <si>
    <t>GC_00000174</t>
  </si>
  <si>
    <t>PF13793.12</t>
  </si>
  <si>
    <t>N-terminal domain of ribose phosphate pyrophosphokinase</t>
  </si>
  <si>
    <t>K00948</t>
  </si>
  <si>
    <t>ribose-phosphate pyrophosphokinase [EC:2.7.6.1]</t>
  </si>
  <si>
    <t>COG0462</t>
  </si>
  <si>
    <t>Phosphoribosylpyrophosphate synthetase (PrsA) (PDB:1DKR)</t>
  </si>
  <si>
    <t>Histidine biosynthesis, Purine biosynthesis</t>
  </si>
  <si>
    <t>M00005</t>
  </si>
  <si>
    <t>PRPP biosynthesis, ribose 5P =&gt; PRPP</t>
  </si>
  <si>
    <t>Pathway modules; Carbohydrate metabolism; Central carbohydrate metabolism</t>
  </si>
  <si>
    <t>KEGG Orthology (KO)&gt;&gt;&gt;09100 Metabolism&gt;&gt;&gt;09101 Carbohydrate metabolism&gt;&gt;&gt;00030 Pentose phosphate pathway [PATH:ko00030]|KEGG Orthology (KO)&gt;&gt;&gt;09100 Metabolism&gt;&gt;&gt;09104 Nucleotide metabolism&gt;&gt;&gt;00230 Purine metabolism [PATH:ko00230]|Enzymes&gt;&gt;&gt;2. Transferases&gt;&gt;&gt;2.7  Transferring phosphorus-containing groups&gt;&gt;&gt;2.7.6  Diphosphotransferases&gt;&gt;&gt;2.7.6.1  ribose-phosphate diphosphokinase</t>
  </si>
  <si>
    <t>MMTDNWVDNKRNLMLFSGRAHPELGEAVAKNLGIDLTPMTARDFANGEIFVRFEESVRGCDAFVLQSHTQPLNKWLMEQLIMIDALKRGSAKRITAILPFYPYARQDKKHRGREPISARLVADLLYAAGADRIVSVDLHTDQIQGFFDGPVDHMHAMPILTDYIKKNYSLDNIAVVSPDAGRVKVAEKWANILGDAPLAFVHKTRSVDVANQVVANRVVGDVTGRTCVLLDDMIDTGGTIAGAVGVLRDAGAKDVIIACTHGVFSDPARERLSQCGAKEVITTDTLPQNTEGWDNLTVLSIAPLLAKTIREIFENGSVTTLFEGQA</t>
  </si>
  <si>
    <t>-MTAHWIDNQKNLMLFSGRAHPGLGEAVAKELGVKLTPMTARDFANGEIFVRFEESVRGCDAFVLQSHTQPLNKWLMEQLLMIDALKRGSAKRITAILPFYPYARQDKKHRGREPISARLVADMLYTAGADRIISVDLHTDQIQGFFDGPVDHMHAMPILTDYIKSKYPLDNICVVSPDAGRVKVAEKWANTLGDAPLAFVHKTRSVDVANEIVANRVVGDVSGRTCVLLDDMIDTGGTIAGAVGVLREAGAADV</t>
  </si>
  <si>
    <t>MTDSKWSNTKKHLMLFSGRAHPELGKAVSRELGVELVPTVARDFANGEIFVRFEQSVRGSDAFVIQSHTQPLNKWLMEQLIMIDALKRGSAKHITAILPFYPYARQDKKHRGREPISARLIADLLKAAGADRIVSVDLHTDQIQGFFDGPVDHMHAMPILTDYIKANYSLENMVVVSPDAGRVKVAEKWANILGDSPLAFVHKTRSTEVANQVVANRVVGDVAGKTAVLLDDMIDTGGTIAGAVGVLRDAGAEDVIIACTHGVFSGPARERLSQCGAKEVITTDTLPQDTEGWDNLTVLSIAPLLAKTIHEIFENGSVTDLFEGQA</t>
  </si>
  <si>
    <t>GC_00000175</t>
  </si>
  <si>
    <t>PF00994.29</t>
  </si>
  <si>
    <t>Probable molybdopterin binding domain</t>
  </si>
  <si>
    <t>COG0521</t>
  </si>
  <si>
    <t>Molybdopterin biosynthesis enzyme MoaB/MogA (MoaB) (PDB:1DI6) (PUBMED:32239579)</t>
  </si>
  <si>
    <t>Molybdopterin biosynthesis</t>
  </si>
  <si>
    <t>------------MTGQTGHLGS-------------------LEDIVEPDDNLLRE------TEAESTIPPVRRAIVVLVSDSAMDSDDRTGDLVTELLSEDNFEVDGVVSVAAKRSTIRKAIETAVVGGADLVVTIGGTGAGPRNKTPDATRAVLDQILPGIAQALRASGLACGAIDACTSRGIAGVSGSTVIVNLAPSRAAIRDGMATLGPLVHHVIDQLQQWTCD-</t>
  </si>
  <si>
    <t>MDPRDVFAEPDMMTNSDAALGVTDVTEVDVTDVADPDSTARLDGIGEPDEAFFRAEAAVEQARAEGKRVAPRRALVVLVGDHKLDSGPDTDRLVAELLSEGGFVVDAVVEVRSKRSQIRKAIEMGVIGGADLVLTVGGTGVGPRDKTPEATRELLDQAVPGVVQALRSSGLHCGAVDAAVSRGLSGVSGSTVVVNMAGSRLAIRDGMATLTPLVHHLVDQLRRVVMS-</t>
  </si>
  <si>
    <t>GC_00000176</t>
  </si>
  <si>
    <t>PF00733.27</t>
  </si>
  <si>
    <t>Asparagine synthase</t>
  </si>
  <si>
    <t>K01953</t>
  </si>
  <si>
    <t>asparagine synthase (glutamine-hydrolysing) [EC:6.3.5.4]</t>
  </si>
  <si>
    <t>COG0367</t>
  </si>
  <si>
    <t>Asparagine synthetase B (glutamine-hydrolyzing) (AsnB) (PDB:2ETD) (PUBMED:25951518)</t>
  </si>
  <si>
    <t>Asparagine biosynthesis</t>
  </si>
  <si>
    <t>KEGG Orthology (KO)&gt;&gt;&gt;09100 Metabolism&gt;&gt;&gt;09105 Amino acid metabolism&gt;&gt;&gt;00250 Alanine, aspartate and glutamate metabolism [PATH:ko00250]|Enzymes&gt;&gt;&gt;6. Ligases&gt;&gt;&gt;6.3  Forming carbon-nitrogen bonds&gt;&gt;&gt;6.3.5  Carbon-nitrogen ligases with glutamine as amido-N-donor&gt;&gt;&gt;6.3.5.4  asparagine synthase (glutamine-hydrolysing)|Peptidases and inhibitors&gt;&gt;&gt;Cysteine peptidases&gt;&gt;&gt;Family C44</t>
  </si>
  <si>
    <t>MCGLLGMLTSHCNAASFAPAIEHALPCMRHRGPDEAGTWHDDHAVFGFNRLSIIDLKHSHQPLQWGPEDQPDRYAMTFNGEIYNYIELREELNTLGYQFNTSGDGEPIVVGFHHWGPDVVKHLRGMFGVAIWDSIEQKLFLARDPFGIKPLYYSTTDAGTVFASEKKCILDMAGAIDLDLSLDHRAIEHYVDLQYTPEPESLHAGIRRLESGTYAFVTPGGTVDSTRYFEPKFKTTPVPKDKEQDLFDRIAAALEDSVAKHMRADVTVGSFLSGGIDSTAIATLAKRHNPNLLTFTTGFEREGYSEVDVAAESAAAIGAEHIVKVVSPEEYADAVPKIMWYLDDPVADPSLVPLYFVAAEARKHVKVVLSGEGADELFGGYTIYKEPLSLAPFDKVPAPLLKGLNRLSRVLREGMKGKSLLERGTTPMEKRYYGNARSFNYEQLSRVLIDARPEWDHTDVTAPIYAKSRDMDPVARMQHLDLFTWMRGDILVKADKITMANSLELRVPFLDREVFAVAETIPYDLKITEGTTKYALRKAMEQIVPAHVLHRKKLGFPVPMRHWLAGDELHGWALEQITASGTEHIFNKPAVLEMLEEHRQGVSDHSRRLWTVLSFMIWHGIFVEHRIDPGIEERDYPVEL</t>
  </si>
  <si>
    <t>MCGLLGMLTAHHNAVDFVPAIERALPCMRHRGPDEAGSWHDTDAVFGFNRLSIIDIAHSHQPLQWGPEGEPDRYAMTFNGEIYNYVELRKELQDLGYTFNTSGDGEPILVGYHHWGKDVVKHLRGMFGIAIWDTKEKQLFLARDPFGIKPLYYATTDKGTVFASEKKCILEMAPELGLDLSVDYRAVEHYVDLQYVPEPESLHTHIRRLESGCIGTVTQEGVVKQERYFKPQFNVRGVVKGEEQVLFDRIARALEDSVEKHMRADVTVGSFLSGGIDSTAIAALAKRHNPNLLTFTTGFEREGYSEVDVAAESAAAIGVEHIVKIVSPEEYADAIPKIMWYLDDPVADPSLVPLYFVAAEARKHVKVVLSGEGADELFGGYTIYKEPLSLAPFEKIPSPLLKGLRKLSTVLPDGVKGKSLLQRGTTPMEERYYGNARSFSWEQLKRVMPGAKPEWDHRDVTASIYAHSRDMDPVARMQHLDLFTWMRGDILVKADKMTMANSLELRVPFLDREVFAVAETIPHGLKITEGTTKYALRRAMEQIVPAHVLNRRKLGFPVPMRHWLAGDELYGWAQDTINASQTEDYFDKQALLQMLKEHRDGVSDHSRRLWTVLAFMVWHGIFVEKRIVPNIEEREYPVEL</t>
  </si>
  <si>
    <t>MCGLLGMLTATSNAAQFVDAIETALPCMRHRGPDEAGTWHDDDAVFGFNRLSIIDLEHSHQPLRWGPADQPDRYAMTFNGEIYNYIELRKELTELGYAFNTEGDGEPIVVGYHHWGADVVRHLRGMFGIAIWDSVERQLFLARDPFGIKPLYYATTDKGTVFASEKKCILEMADDIGLLLELDKHAVEHYIDLQYVPEPESLHKGIRRLESGCTAIVQPGGELKQTRYFRPQFPAQFVPKSKEQDLFDRIARALEDSVEKHMRADVTVGSFLSGGIDSTAIAALAKRHNPNLLTFTTGFEREGYSEVDVAAESAKAIGVEHIVKIVSPEEYVNAIPKIMWYLDDPVADPSLVPLYFVAQEARKHVKVVLSGEGADELFGGYTIYKEPLSLKPFEYMPSPLRKGMHYLSEMLPHGVKGKSLLERGSMTMEERYYGNARSFNFEQMQRVIPWATREWDHREVTAPIYAQSTHMDPVARMQHLDLFTWMRGDILVKADKINMAHSLELRVPFLDKVVFEVAETIPYDLKVSHGTTKYALRKAMEQIVPAHVLNRRKLGFPVPMRHWLAGDELFGWALDTINDSQTDDIFNKKALVEMMQEHRNEVIDHSRRLWTVLAFMIWYGIFVEKRIDPGIEEKEYPVYL</t>
  </si>
  <si>
    <t>MCGLLGMLTANSNAAQFVDAIETALPCMRHRGPDEAGTWHDDDAVFGFNRLSIIDLEHSHQPLRWGPADQPDRYAMTFNGEIYNYIELRKELTELGYAFNTEGDGEPIVVGYHHWGADVVRHLRGMFGIAIWDSVERQLFLARDPFGIKPLYYATTDKGTVFASEKKCILEMADDIGLLLELDKHAVEHYIDLQYVPEPESLHKGIRRLESGCTAIVQPGGELKQTRYFRPQFPAQFVPKSKEQDLFDRIARALEDSVEKHMRADVTVGSFLSGGIDSTAIAALAKRHNPNLLTFTTGFEREGYSEVDVAAESAKAIGVEHIVKIVSPEEYVNAIPKIMWYLDDPVADPSLVPLYFVAQEARKHVKVVLSGEGADELFGGYTIYKEPLSLKPFEYMPSPLRKGMHYLSEMLPHGVKGKSLLERGSMTMEERYYGNARSFNFEQMQRVIPWATREWDHREVTAPIYAQSTHMDPVARMQHLDLFTWMRGDILVKADKINMAHSLELRVPFLDKVVFEVAETIPYDLKVSHGTTKYALRKAMEQIVPAHVLNRRKLGFPVPMRHWLASDELFGWALDTINDSQTDDIFNKKALVEMMQEHRNEVIDHSRRLWTVLAFMIWYGIFVEKRIDPGIEEKEYPVYL</t>
  </si>
  <si>
    <t>GC_00000177</t>
  </si>
  <si>
    <t>PF01202.28</t>
  </si>
  <si>
    <t>Shikimate kinase</t>
  </si>
  <si>
    <t>K00891</t>
  </si>
  <si>
    <t>shikimate kinase [EC:2.7.1.71]</t>
  </si>
  <si>
    <t>COG0703</t>
  </si>
  <si>
    <t>Shikimate kinase (AroK) (PDB:1E6C)</t>
  </si>
  <si>
    <t>M00022</t>
  </si>
  <si>
    <t>Shikimate pathway, phosphoenolpyruvate + erythrose-4P =&gt; chorismate</t>
  </si>
  <si>
    <t>KEGG Orthology (KO)&gt;&gt;&gt;09100 Metabolism&gt;&gt;&gt;09105 Amino acid metabolism&gt;&gt;&gt;00400 Phenylalanine, tyrosine and tryptophan biosynthesis [PATH:ko00400]|Enzymes&gt;&gt;&gt;2. Transferases&gt;&gt;&gt;2.7  Transferring phosphorus-containing groups&gt;&gt;&gt;2.7.1  Phosphotransferases with an alcohol group as acceptor&gt;&gt;&gt;2.7.1.71  shikimate kinase</t>
  </si>
  <si>
    <t>--MSQPRVVLVGPPGAGKTTIGRRLARALNTTHVDSDALIEQDQGKPCGEVYSDLGEEQFRELEAQHVAQALQHDGVVSLGGGAVVTDSTRALLANHEVVWVDVSVEEGVRRTNQTPTRPVVTGAPGIDPAVRYQQLVDERAPLYREVSGFKARTDHRTPQKVVADILRYLETIS--------------</t>
  </si>
  <si>
    <t>MQHLKPHVVLVGPPGAGKTTIGRRLAHTLNTVLIDTDHMIEEATGKTCGAVFSELGEPEFRRLEAEQVAVALQQRGVISLGGGAVLTESNRNLLVDHPVVWIDMSAEEGVRRTQGDDSRPILAAE---DPLAHFTKLLATRRPFYSQVADLHVSTDKRTPQQLVADIMAYLETTAC-------------</t>
  </si>
  <si>
    <t>GC_00000178</t>
  </si>
  <si>
    <t>MGAWDDIIFRQEFTVDFLDEIDSLDPDDQVEAIGDACTLAQGLSGGDLSGDEDYVRGLCAATIAAIWAGAPYSAGDVVEEYPFIRTLIGHGDEVLNEAALELLENV------DMDVDIEAYIEALS</t>
  </si>
  <si>
    <t>PF14078.11</t>
  </si>
  <si>
    <t>Domain of unknown function (DUF4259)</t>
  </si>
  <si>
    <t>MGAWDDAIFSEEVNVDFLDELANLDEEDVLEAVEDACTV---VAKQDSVSDDEVKNALCAATIAAIWAGAPFSAGEVADTYTFIREMRGSGSDQLREVALDVLENA------DVDEDLDVYIEALT</t>
  </si>
  <si>
    <t>MSTWDIEIFSREANTDFLDELATLDDEDIVEAVEDSCKL---VLSSAKLSAEEQENGLCAATIAAIWAGAPFSASEVADEYPFLRELVGHISEELSEAASAVLEAARDETEEDSDLDIEPFIEALE</t>
  </si>
  <si>
    <t>MSTWDIEIFSREANTDFLDELATLDDEDIVEAVEDSCKL---VLSSTKLSAEEQENGLCAATIAAIWAGAPFSASEVADEYPFLRELVGHISEELSEAASAVLEAARDETEEDSDLDIEPFIEALE</t>
  </si>
  <si>
    <t>GC_00000179</t>
  </si>
  <si>
    <t>PF00366.26</t>
  </si>
  <si>
    <t>Ribosomal protein S17</t>
  </si>
  <si>
    <t>K02961</t>
  </si>
  <si>
    <t>small subunit ribosomal protein S17</t>
  </si>
  <si>
    <t>COG0186</t>
  </si>
  <si>
    <t>Ribosomal protein S17 (RpsQ) (PDB:4V4H)</t>
  </si>
  <si>
    <t>MSEANVNKKEKGARKVRTGYVVSTKMQKTCVVELEDRKRHGLYGKTIRTNSKVKVHDENETAGVGDLVRVEETRPLSKDKHFRLVEIVEKAR</t>
  </si>
  <si>
    <t>MSEANVDKKVKGARKVRTGYVVSDKMQKTIVVELEDRKPHPLYKKTMRTNSKVKVHDENETAGVGDLVRIEETRPLSKDKHFRLVEIIEKAR</t>
  </si>
  <si>
    <t>MSEANVNKKTKGSRKVRTGYVVSDKMQKTIVVELEDRKQHALYGKTIRTNSKVKVHDENEIAGVGDLVRIEETRPLSKDKHFRLVEIVEKAR</t>
  </si>
  <si>
    <t>MSEANVNKKTKGSRKVRTGYVVSDKMQKTIVVELEDRKQHALYGKTIRTNSKVKVHDENEIAGIGDLVRIEETRPLSKDKHFRLVEIVEKAR</t>
  </si>
  <si>
    <t>GC_00000180</t>
  </si>
  <si>
    <t>PF00440.29</t>
  </si>
  <si>
    <t>Bacterial regulatory proteins, tetR family</t>
  </si>
  <si>
    <t>K21962</t>
  </si>
  <si>
    <t>TetR/AcrR family transcriptional regulator, transcriptional repressor of aconitase</t>
  </si>
  <si>
    <t>COG1309</t>
  </si>
  <si>
    <t>DNA-binding protein, AcrR family, includes nucleoid occlusion protein SlmA (AcrR) (PDB:2QOP)</t>
  </si>
  <si>
    <t>Transcription factors&gt;&gt;&gt;Prokaryotic type&gt;&gt;&gt;Helix-turn-helix&gt;&gt;&gt;TetR/AcrR family</t>
  </si>
  <si>
    <t>MPKVSDADLNQRRHDILEGARRCFAEYGYEGATVRRLEIATGKSRGAIFHHFTDKENLFLALAREDAARMAEVVAGEGLVEVMRDMLTHPERYDWLSTRLEITRLLRTDAAFSARWREHQAVLDDAVRVRLQANAAAGRMRDDVPVGVLQVYLDTVMDGFISRLASGENTSELVQVLDLVEDSVRRH----</t>
  </si>
  <si>
    <t>MPKVSSSDLTQRRKDILEGARRCFAEHGYEGATVRRLEEATGKSRGAIFHHFADKENLFLALAREDSRRMADVVAREGLVEVMRDMLAHPERYDWLLTRLEITRLRRTDPVFQARWQEHQAILDDAVHRRLQSNANAGRMRTDVPVEVLHTFLETVMDGFISRMASGASTENLTQVLDVVEDSVRSNRR--</t>
  </si>
  <si>
    <t>MPKVSSSDLTQRRKDILEGARRCFAEHGYEGATVRRLEEATGKSRGAIFHHFADKENLFLALAREDSRRMADVVAREGLVEVMRDMLAHPERYDWLLTRLEITRLRRTDPVFQARWQEHQAILDDAVHRRLQSNANAGRMRTDVPVEVLHTFLETVMDGFISRMVSGASTENLTQVLDVVEDSVRSNRR--</t>
  </si>
  <si>
    <t>MPVVSSSELSQRRQEILDGARRCFAEHGYEGATVRRLEETIGKSRGAIFHHFGDKENLFLALAREDAARMAEVVAANGLVEVMRDMLKHPERHDWLATRLEITKMLRTDPTFRMRWQEHQKVLDDAVRARLTANARRGGLRSDVEIGVIHTYLETVLDGFITRLASGAPTDDLEAVLHLVESSVRSQSSVE</t>
  </si>
  <si>
    <t>GC_00000181</t>
  </si>
  <si>
    <t>PF01255.24</t>
  </si>
  <si>
    <t>Putative undecaprenyl diphosphate synthase</t>
  </si>
  <si>
    <t>K00806</t>
  </si>
  <si>
    <t>undecaprenyl diphosphate synthase [EC:2.5.1.31]</t>
  </si>
  <si>
    <t>COG0020</t>
  </si>
  <si>
    <t>Undecaprenyl pyrophosphate synthase (UppS) (PDB:1X07)</t>
  </si>
  <si>
    <t>ko00001|ko00001|ko01000|ko01006</t>
  </si>
  <si>
    <t>KEGG Orthology (KO)&gt;&gt;&gt;09100 Metabolism&gt;&gt;&gt;09107 Glycan biosynthesis and metabolism&gt;&gt;&gt;00550 Peptidoglycan biosynthesis [PATH:ko00550]|KEGG Orthology (KO)&gt;&gt;&gt;09100 Metabolism&gt;&gt;&gt;09109 Metabolism of terpenoids and polyketides&gt;&gt;&gt;00900 Terpenoid backbone biosynthesis [PATH:ko00900]|Enzymes&gt;&gt;&gt;2. Transferases&gt;&gt;&gt;2.5  Transferring alkyl or aryl groups, other than methyl groups&gt;&gt;&gt;2.5.1  Transferring alkyl or aryl groups, other than methyl groups (only sub-subclass identified to date)&gt;&gt;&gt;2.5.1.31  ditrans,polycis-undecaprenyl-diphosphate synthase [(2E,6E)-farnesyl-diphosphate specific]|Prenyltransferases&gt;&gt;&gt;Terpene biosynthesis&gt;&gt;&gt;Prenyl diphosphate synthase</t>
  </si>
  <si>
    <t>MTVFSTTPAVPDEFLPTHVALVMDGNGRWAQERGLPRTEGHKRGEAVLLSIVDACLELGIPYLSAYAFSTENWRRSVGEVRFLMGFNRDVLRRQRDGLHDKGVRIRWVGRRPRLWRSVIRELETAEELTKDNTAMTLAMCVNYGGRAEIVDAARSIAALAAEGKLRPEDINEKNFADFLDEPDMPDVDLFLRPSGEKRTSNFLLWQSAYAEMVYQDKLFPDFTPDDLYAAVLEYARRDRRFGGVK</t>
  </si>
  <si>
    <t>MTEELTPPNIPVEFRPRHIALVMDGNGRWAEQRGLKRTEGHKRGEAVLLDMVAACQALDIPYLSAYAFSTENWRRSADEVRFLMGFNRDVLTRQKMWLHERGVKVRWVGRRPRLWRSVLRELESAEELTKNNTSMTLFMCVNYGGRAEIIDGVREIVRKAQRGEIRPDDITEKNFHTFLDEPTMPDVDLFLRPSGEKRTSNFLLWQSAYAEMVYQNKLFPDYTPQDLFDAVEEYAKRDRRFGGTK</t>
  </si>
  <si>
    <t>GC_00000182</t>
  </si>
  <si>
    <t>K14136</t>
  </si>
  <si>
    <t>decaprenyl-phosphate phosphoribosyltransferase [EC:2.4.2.45]</t>
  </si>
  <si>
    <t>COG0382</t>
  </si>
  <si>
    <t>4-hydroxybenzoate polyprenyltransferase (UbiA) (PDB:4OD4) (PUBMED:28830929)</t>
  </si>
  <si>
    <t>Ubiquinone biosynthesis</t>
  </si>
  <si>
    <t>ko01000|ko01006</t>
  </si>
  <si>
    <t>Enzymes&gt;&gt;&gt;2. Transferases&gt;&gt;&gt;2.4  Glycosyltransferases&gt;&gt;&gt;2.4.2  Pentosyltransferases&gt;&gt;&gt;2.4.2.45  decaprenyl-phosphate phosphoribosyltransferase|Prenyltransferases&gt;&gt;&gt;Compound prenylation&gt;&gt;&gt;DPPR synthase</t>
  </si>
  <si>
    <t>-------------MSTG-L-----GSEPHTRG-----------------IEPTEG-------KPPKGLVDGMIKALRPKQWVKNVLVLAAPAAAGSEVLLNGRTLADVGIAFVAFCFAASSIYLINDARDVEADRAHPKKRFRPIAAGVLPVNVAYVMAVVLIIAALGVSLLATAGHALGIVVAVYIALQLGYCFSWKHQPVLDIALVSSGFMLRAMAGGVAGGIDLSQWFLLVAAFGSLFMASGKRYSEILLAQ</t>
  </si>
  <si>
    <t>----------MTKEQAGIL-----GSEPHTGGL---------------AIPSTKH-------KPPKNLADGMIKALRPRQWVKNVLVLAAPMAAGSDVLLNRRTIIDVAIAFAVFCMAASAIYLVNDAKDVEADRAHPTKQFRPIAAGVLPVGLAYGMAVLLIAGSVGVSLLASSGRNLAIVMAIYIVLQLGYCFGWKHLPVIDIALVSSGFMLRAMAGGVAAGITLSQWFLLVAAFGSLFMASGKRYAEILLAE</t>
  </si>
  <si>
    <t>MSEKPEKSESEADTQAGSLPEAEAGSEVAEAGAAEVAVDDAAQPPATPATPAAESADDTHGKKPPKNLVDAIIKGLRPKQWVKNVLVLAAPLSAGAAKLFATSTLVDVAIAFVAFCFAASSIYLINDARDIEADRAHPTKRFRPIASGMLPQKLAYVLAVVLILAAVVVSYLASSGHGLVIVMVVYIVLQLGYCFGWKHQPVIDIALVSSGFMLRAMAGGVAAGIYLSQWFLLVAAFGSLFMAAGKRYAEILLAQESGAKIRKALEGYTVTYLRFVWTLAATSVVIAYALWGFEMARQAAGTAAVWYQVSMVPFTVAILRYAADVDRGAGGAPDELALSDRTLQILAVAWLACIGVAVYLVPVLG</t>
  </si>
  <si>
    <t>GC_00000183</t>
  </si>
  <si>
    <t>PF06738.18</t>
  </si>
  <si>
    <t>Putative threonine/serine exporter</t>
  </si>
  <si>
    <t>S|S</t>
  </si>
  <si>
    <t>Function unknown|Function unknown</t>
  </si>
  <si>
    <t>COG2966|COG3610</t>
  </si>
  <si>
    <t>Uncharacterized membrane protein YjjP, DUF1212 family (YjjP)|Uncharacterized membrane protein YjjB, DUF3815 family (YjjB)</t>
  </si>
  <si>
    <t>MQLAKFLDPRRVRDLLSRRDTSEAVLHPDAATIDLVKAAPPPSPLAPVDLTDPGQVSGVMDIAARIGGILLSSGTSNSDAKEQIHAVASAYGLHYCHVDITLNTITVFTIVGTSNRAPISVFRVVRKLTIDFSKLSEVDRLIRSIQAGATPPEVAEKALDELIAAPPPFGLKMSLFGWSLMAAAVAVLLGGNALVAAISAASALVIMGGSAWLDSKRLPVFFQNIYGGFVATMPAAVMYHFVISQGFQLAPGQIIASGIVVMLAGLTLVQALQDGITGAPVTAGARFFETMLLTGGIVAGVGIGLEVSAYLGISLPLYETSPTTGFSSATVKVISGAIASAGFTIACYSEWSSVFISGLASVTGSGIYYLVLLPQGLGPVVGIGIAATMIGLFGGLLARRFRVPPLITAVAGITPLLPGLAIYRGMYAIMHDQMVVGYSAMTLALAIATSLAAGVVLGEWVARKLRRPPMFRPYQTMQRLRSSPFKRPVA----</t>
  </si>
  <si>
    <t>--MSTVVD--RVRALFSRRGR--------IATIDAAKAAPPPSPLAPVDLTDPAQVSGVMDIAARIGDILLSSGTGNNDVKAQIHAVASAYGLHYSHVDITLNTITIFTHIGTAQKIPVSIFRVVRRLSVDFSKLSEVDRLIRSIQAGATPPDVAEKILDELSSAPPRYGRRMSLFGWALMAAAVAVMLGGGLLVAATSFISAVVIVGGANWLDEQRLPMFFQNVYGGIVATVPAALTYRLALESGLNLAPGQVV</t>
  </si>
  <si>
    <t>--MSSVFT--VLRRLATGGGR--------IATIDAAKAAPPPSPLAPVDLTDPAQVAGVMDLAARVGDILLASGTSNRDTVVQVHAVASAYGLHYMHVDITLNTITVFTTIGVERKLPVSVFRVVSNMRTDFSKLSEVDRLIRSIQAGATSPDIATKILDGLYRSPASYGFKTSLVGWGGLAALVSVMIGGGWLPAVVSFLIGVVIIGMDAVLRRQKLPPFFHNVFGGFIATLSAAVAYSWSPD---NVTPSHII</t>
  </si>
  <si>
    <t>--MSSVFT--VLRRLATGGGR--------IATIDAAKAAPPPSPLAPVDLTDPAQVAGVMDLAARVGDILLASGTSNRDTVVQVHAVASAYGLHYMHVDITLNTITVFTTIGVERKLPVSVFRVVSNMRTDFSKLSEVDRLIRSIQAGATSPDIATKILDGLYRSPASYGFKTSLVGWGGLAALVSVMIGGGWLPAVVSFLIGVVIIGMDAVLRRQKLPPFFHNVFGGFIATLLAAVAYSWSPD---NVTPSHII</t>
  </si>
  <si>
    <t>GC_00000184</t>
  </si>
  <si>
    <t>PF17863.7</t>
  </si>
  <si>
    <t>AAA lid domain</t>
  </si>
  <si>
    <t>K03405</t>
  </si>
  <si>
    <t>magnesium chelatase subunit I [EC:6.6.1.1]</t>
  </si>
  <si>
    <t>COG1239</t>
  </si>
  <si>
    <t>Mg-chelatase subunit ChlI (ChlI) (PDB:1G8P)</t>
  </si>
  <si>
    <t>KEGG Orthology (KO)&gt;&gt;&gt;09100 Metabolism&gt;&gt;&gt;09108 Metabolism of cofactors and vitamins&gt;&gt;&gt;00860 Porphyrin metabolism [PATH:ko00860]|Enzymes&gt;&gt;&gt;6. Ligases&gt;&gt;&gt;6.6  Forming nitrogen-metal bonds&gt;&gt;&gt;6.6.1  Forming coordination complexes&gt;&gt;&gt;6.6.1.1  magnesium chelatase</t>
  </si>
  <si>
    <t>------MQYPFTAVVGQERLRLALILNMINPAIGGVLVRGEKGTAKTTTIRGFADII-DGPLVNLPIGATEDRVVGSLDMETVLTTGRAEYKPGLLAQAHGGILYVDEVNLLADHLVDALLDAAATGQVTVERDGLSHTTPARFVLVGSMNPEEGELRPQLLDRFGLAVDVVASREVPVRAEIMRRRLAFEADPAAFVAQHREEEIALAEQLQAARLTVGDVVLSDAGLEQIASVCAAFDVDGMRADLVIARAAT</t>
  </si>
  <si>
    <t>MNTTPVPGYPFSAVVGQDQLRLALILTAIAPRIGGVVVRGEKGTAKTTTVRAFSALLGDAPLVNLPIGATEDRVVGSLNVEKILTTGHAEYQPGLLAQADGGVLYVDEVNLLADHLVDALLDAAATGAVTIERDGISHTSSANFVLVGTMNPEEGELRPQLLDRFGLAVDVAASRDVEVRAEIMRRRLDYENDPHAFAERWAEEDAGVATQITAARALSP--VLTPTNLARIAHLCASFDVDGMRADLVIARTAVAHAAWSGRETVEGEDIRVAAELALPHRRRRDPFDEPGLDQEQLDEAMDEARDQHPEPESEENPQVE-----------PPESTGESNEPTSDGEAGSADNGAPFRS</t>
  </si>
  <si>
    <t>MSDIIAAKYPFSAVVGQDQLQLSLILTAIAPRIGGVVIRGEKGTAKTTTVRAFAALLGDAPLVNLPIGATEDRVVGALDLETILTQGKATYRPGLLAEANNGVLYVDEVNLLADHIVDALLDAAATGTVTIERDGISHSAPANFVLVGTMNPEEGELRPQLLDRFGLSVDVAASRDVTVRTEIIKRRLAFEDQPETFVARWHDHDTTIADRIHNAKNLLPTISLTQTNLERIAHLCAAFDVDGMRADLVIARTACAHAAWENRTQVTDEDIRVAAELALPHRRRRNPFDEPGIDSDQLDDIMEEAQQQHPEPEPEEQPNPNTGENSDETPETPPESTNTDNQTSNE-EVTSAEQGAPFRR</t>
  </si>
  <si>
    <t>GC_00000185</t>
  </si>
  <si>
    <t>M|R</t>
  </si>
  <si>
    <t>Cell wall/membrane/envelope biogenesis|General function prediction only</t>
  </si>
  <si>
    <t>COG0810|COG1432</t>
  </si>
  <si>
    <t>Periplasmic protein TonB, links inner and outer membranes (TonB) (PDB:1IHR)|NYN domain, predicted PIN-related RNAse, tRNA/rRNA maturation (LabA) (PDB:2QIP)</t>
  </si>
  <si>
    <t>-------------------MLERTQVYVDTSYLLASFYNSWATGARAQLEIDLPEVVAVLGKMVEDQLQQPVQRQYWYDGIPDSGPHRYQRALRTCDGVQLRAGQLIEWGERRTQKAVDTRLVADLVIAGLGRHCSDIVLVSGDADMIPGVEEATAAGLRVHLYGFGWDSMSSALRHACDTTTILDPREDFADCMRIEPLEGPLPAGPVDDNDDSNPQTQEDATEEVPTNSAPVPHDADKPVDEDATAIDPAPTV</t>
  </si>
  <si>
    <t>MLEVTTYLDALADERKLGAMLERTLVFVDTSYLLASFYNSWEIGARAQLEIDLPEVVAVLGNMIQTQLDQPVHRQLWYDGIPESGPHRYQRALRTCDGVQLRAGQLIEWGERRTQKAVDTRLVADMVLASVRGHCSDIVLVSGDADMIPGVQEATNAGIRVHLYGFGWDSMSSALRHACDTTTILDPREDFSDSMQLEVLEGPLP--PSVRNKQDNDDMCDDDNSTPLDMEETYIQESATITAVEVSV----PTPPSDAKDSDSVSSQQSEQ------------------------------ALPANKAADSTAGNSPTTTHDVQGAQGSTDKPADTSGKLPNGKTIPTPGE---VAKTPAEQPAQSTSNSARPAPNPSMMAPRRKLRSRYVPLPNEVWASAGFQTPFDVGQQYASWWYENAATNEQRDQAHLLSGGGLPPEVDRPLLQFACETLHEYTLTDAQRVSLRDGFHSGIRGVLINLNKRGN</t>
  </si>
  <si>
    <t>GC_00000186</t>
  </si>
  <si>
    <t>PF13406.11</t>
  </si>
  <si>
    <t>Transglycosylase SLT domain</t>
  </si>
  <si>
    <t>COG2951</t>
  </si>
  <si>
    <t>Membrane-bound lytic murein transglycosylase B (MltB) (PDB:1D0K)</t>
  </si>
  <si>
    <t>------MRRVVGCGLASVLAIVLVITVVGWLLSTLDVSNPTRTLQPVPQDVPPAAGAAVPDININESGRTSLKLAFWADPIAEKTGIPSDALKAYGNAALIAQESWPSCHVTWNTLAGIGHVETRHGTYSGKLFGGSKIDANGFIDPPIIGVQLNGSPGFAEIKDTDHGALDGDSEFDRAVGPMQFIPGSWGIYGRDADGDGTANPNQIDDAALSAANLLCAHNRDLSTPEGWTEAIRSYNSSSEYLVNVRNAAA</t>
  </si>
  <si>
    <t>MGSIGGVRRVAGCGCGVVLAVIMVVAFVGWSMSLLEGSSPIRELKPVPRDVPPARAAEVPQIDLNAAGRTSNQLAEWAAPIAADTSISEAAVQAYGNAELIAAQSWPGCHLSWGTLAGIGYVETRHGTYTGTLFNARKIDDNGYVLPAIIGVPLDGSPGFAEIKDTDQGKMDGDKEYDRAVGPMQFIPTSWEKYGRDANGDGVADPNQIDDAALAAANLLC-DGRDLATAEGWKQAIGSYNSSDEYLANVRNAAASYALRQPAF</t>
  </si>
  <si>
    <t>GC_00000187</t>
  </si>
  <si>
    <t>PF00132.30</t>
  </si>
  <si>
    <t>Bacterial transferase hexapeptide (six repeats)</t>
  </si>
  <si>
    <t>K01726</t>
  </si>
  <si>
    <t>gamma-carbonic anhydrase [EC:4.2.1.-]</t>
  </si>
  <si>
    <t>COG0663</t>
  </si>
  <si>
    <t>Carbonic anhydrase or acetyltransferase, isoleucine patch superfamily (PaaY) (PDB:6IVE)</t>
  </si>
  <si>
    <t>MQPGNPSQPLIIPINGHTPKIHPTAWIAPNATIIGDVEIGPDSSVFYGCVLRGDIGPIRIGARTNIQDNSTMHVDADAPCILGDDVTVGHMALLHGTTVGNGTLVGMKATLLSHSVVGEGALVAAGAVVLEHGEVPDRTLAAGVPAKVCRELSAEESQAFIPHAGRYVETARMHAQQLADMASGVQEVEH-</t>
  </si>
  <si>
    <t>GC_00000188</t>
  </si>
  <si>
    <t>PF00163.24</t>
  </si>
  <si>
    <t>Ribosomal protein S4/S9 N-terminal domain</t>
  </si>
  <si>
    <t>K02986</t>
  </si>
  <si>
    <t>small subunit ribosomal protein S4</t>
  </si>
  <si>
    <t>COG0522</t>
  </si>
  <si>
    <t>Ribosomal protein S4 or related protein (RpsD) (PDB:4V4H)</t>
  </si>
  <si>
    <t>MARYTGPATRKSRRLRVDLVGGDMSFERRPYPPGQAGRARIKESEYLLQLQEKQKARFTYGVMEKQFRRYYAEANRQPGKTGENLVILLESRLDNVIYRAGLARTRRQARQLVSHGHFLVNGKKVNVPSFQVSQYDIIDVREKSRKMLWFEEAQDNLVDA--VVPAWLQVVPSTLRILVHQLPERAQIDVPLQEQLIVEFYSK</t>
  </si>
  <si>
    <t>MARYTGPATRKSRRLRVDLVGGSKSFEKRPYPPGQAGRARIKESEYLLQLQEKQKARFTYGVMEKQFRRYYAEANRLPGKTGDNLVILLESRLDNVVYRAGLARTRRQARQLVSHGHFTVNGKKVNVPSFQVSQYDIIDVREKSRKMLWFEEAQENLVDA--IVPAWLQVVPSTLRILVHQLPERAQIDVPLQEQLIVEFYSK</t>
  </si>
  <si>
    <t>MARYTGPVTRKSRRLRVDLVGGSKAYDKRPYPPGQAGRNRIKESEYLLQLQEKQKAKYTYGVLEKQFRRYYAEANRMPGKTGENLVILLEARLDNVVYRAGLARTRRQARQLVSHGHFLVNGKKVNVPSYRVSQYDIIDVRDKSRTMLWFEEATENLVDADKVIPAWLQVVPSTLRILVHQLPERAQIDVPLQEQLIVELYSK</t>
  </si>
  <si>
    <t>MARYTGPVTRKSRRLRVDLVGGSKAYDKRPYPPGQAGRNRIKESEYLLQLQEKQKAKYTYGVLEKQFRRYYAEANRMPGKTGENLVILLEARLDNVVYRAGLARTRRQARQLVSHGHFLVNGKKVNVPSYRVSQYDIIDVRDKSHTMLWFEEATENLVDADKVIPAWLQVVPSTLRILVHQLPERAQIDVPLQEQLIVELYSK</t>
  </si>
  <si>
    <t>GC_00000189</t>
  </si>
  <si>
    <t>PF13397.12</t>
  </si>
  <si>
    <t>RNA polymerase-binding protein</t>
  </si>
  <si>
    <t>MADRVLRGSRMGAVSYETDRDHDLAPRQMVRYRTDNGEIFEVPFADDAEIPSEWSCKNGMTGTLMEGEGLEAKPVKPPRTHWDMLRERRSIEELDELLEERIENLRKRRRNAARLLKQQQEEATAAQVEASK--</t>
  </si>
  <si>
    <t>MADRVLRGSRMGAVSYETDRDHDLAPRQIVKYRTEVGDVFEVPFADDAEIPGTWMCKNGQMGTLMEGEGIDAKPAKPPRTHWDMLRERRSIEELDVLLEERIEQLRKRRRNAARLLKQQQEEAEKNAAAEKSKA</t>
  </si>
  <si>
    <t>MADRVLRGSRMGAVSYETDRDHDLAPRQMVRYKTETNEVFEVPFAHDAEIPGEWLCKNGQVGILMEGEGIEAKPSKPARTHWDMLRERRSIEDLDILLEERIEQLRKRRRNAARLLKQQQQEEAAAAAAAEQ--</t>
  </si>
  <si>
    <t>GC_00000190</t>
  </si>
  <si>
    <t>PF07478.18</t>
  </si>
  <si>
    <t>D-ala D-ala ligase C-terminus</t>
  </si>
  <si>
    <t>K01921</t>
  </si>
  <si>
    <t>D-alanine-D-alanine ligase [EC:6.3.2.4]</t>
  </si>
  <si>
    <t>COG1181</t>
  </si>
  <si>
    <t>D-alanine-D-alanine ligase or related ATP-grasp enzyme (DdlA) (PDB:1E4E)</t>
  </si>
  <si>
    <t>ko00001|ko00001|ko01000|ko01011</t>
  </si>
  <si>
    <t>KEGG Orthology (KO)&gt;&gt;&gt;09100 Metabolism&gt;&gt;&gt;09106 Metabolism of other amino acids&gt;&gt;&gt;00470 D-Amino acid metabolism [PATH:ko00470]|KEGG Orthology (KO)&gt;&gt;&gt;09100 Metabolism&gt;&gt;&gt;09107 Glycan biosynthesis and metabolism&gt;&gt;&gt;00550 Peptidoglycan biosynthesis [PATH:ko00550]|Enzymes&gt;&gt;&gt;6. Ligases&gt;&gt;&gt;6.3  Forming carbon-nitrogen bonds&gt;&gt;&gt;6.3.2  Acid-D-amino-acid ligases (peptide synthases)&gt;&gt;&gt;6.3.2.4  D-alanine---D-alanine ligase|Peptidoglycan biosynthesis and degradation proteins&gt;&gt;&gt;Precursor biosynthesis&gt;&gt;&gt;Amino acid ligase</t>
  </si>
  <si>
    <t>MTEQSAKNSSAPIRVAIIYGGRSSEHSVSCVTAGAIMSHLDPDAYEVFPVGITREGVWTVGQRDVTKLVVDGRTLPEVELTEAITLALDPVHKGQFTT----SDGQLLFEADVVFPCLHGPFGEDGTIQGLFELSGVAYVGPGVLASAACMDKEYTKKILGAAGLAIGREHILYPGDSTDLGQQLREELGLPVFVKPARGGSSIGISRVTSWENFDDAVTLAREHDAKVIIESEIIGDEVEVGVLELPDGRVIASVPAQLQGTDEGEEGFYDFDTKYLDNVVAPLIPAPIGEEATSQLKNQAITAFRALGCRGLSRVDFFLTDNGPVVNEVNTMPGFTPISMYPQVLQASGYSYQQLLDILIERALSTN</t>
  </si>
  <si>
    <t>-----MSLTTKPIKIAIIYGGRSSEHSVSCISAGAIMSHLDPEKYELYPIGITQQGTWTVGESDPEKLRSTNGAMPTVTLTKEVSLAADPARRGQFRF----ADGSEHVTVDVIFPVLHGLYGEDGTIQGLFELSGVPYVGTGVLSSACGMDKEYTKKLLAAEGLPVGKEVIL--RGEETLTQADCQLLGLPVYVKPARGGSSIGISRVTRWEDMDAALREARQYDTKVIVESEIIGDEVECGVLEYPDGTVVAS</t>
  </si>
  <si>
    <t>GC_00000191</t>
  </si>
  <si>
    <t>PF06781.17</t>
  </si>
  <si>
    <t>Cell division protein CrgA</t>
  </si>
  <si>
    <t>MPKAKVTKNA-PVSTTPANRTPVKINSSGTPLWYKIIMFGLMLAGLLWLVVQYIFGPEIAWMAKLNAWNYLIGFGLFIMGLLMTTGWR</t>
  </si>
  <si>
    <t>MPKSKVTKSSSPAPVTSASRTPVKINTSGTPMWYKIIMFAFMIVGLLWLVVNYLAGPDIDFMLQLGAWNYLIGFTLLIIGLLMTMGWR</t>
  </si>
  <si>
    <t>MPKSKIVKGSLPVSSTTTNRTPVKINSSGTPLWYKIIMFGLMAAGLLWLIVNYLAGPQIPFMLHLGPWNYGIGFGLFIVGLLMTMGWR</t>
  </si>
  <si>
    <t>MPKSKIVKGSLPVSSTTTNRTPVKINSSGTPLWYKIIMFGLMAAGLLWLIVNYLAGPQIPFMLQLGPWNYGIGFGLFIVGLLMTMGWR</t>
  </si>
  <si>
    <t>GC_00000192</t>
  </si>
  <si>
    <t>PF01614.24</t>
  </si>
  <si>
    <t>Bacterial transcriptional regulator IclR C-terminal</t>
  </si>
  <si>
    <t>COG1414</t>
  </si>
  <si>
    <t>DNA-binding transcriptional regulator, IclR family (IclR) (PDB:1MKM)</t>
  </si>
  <si>
    <t>MSPGKSRVPAAANTLAILQVLTAADVPMSAARITQETGLPRSTVYHLLSVMEQAGFVVHLAEEQAYGLGVAAYEMASSYSRQQPLVRVGRRYAAALAMQVGGSTHISRLSGS-EVVYLLEERAPDAVRLLTDVGVRLDAYRTASGKAMMAYLPAAEVKAAVGVHGVGG-RDFSEFEHDLCIVRQRGWAEETGLVSPGQESLAVPLFDHLGRASSSLALTYRQGSLAESKKQQLLAEMVETAGKIASTVYGSNVLHLHSLGSQTI</t>
  </si>
  <si>
    <t>---MASKVPAAAQTLQILALLSHIDVPISAARIQAELGLPRSTTYHLLTVMRDAGFVTYLPDTRTYGLGLAAYSMASAYTTQQPLVRATAKHARELAKLVGGSAHVGRLVGG-EVVYLLEERSPRGVSLITDVGVRLPAAATASGRAMLAQLPAAELKALYGVVGHGSYREWL---VPITEAKHRGWGSESEEVSPGQESLAVAVVDHMGRPAAALAVTFRVGSLDKNRVNEVIEQLQSRAAMLESALFGR----</t>
  </si>
  <si>
    <t>---MASKVPAAAQTLQILALLSHIDVPISAARIQAELGLPRSTTYHLLTVMRDAGFVTYLPDTRTYGLGLAAYSMASAYTTQQPLVRATAKHARELAKLVGGSAHVGRLVGG-EVVYLLEERSPRGVSLITDVGVRLPAAATASGRAMLAQLPAAELKALYGVVGHGSYREWL---VPITEAQHRGWGSESEEVSPGQESLAVAVVDHMGRPAAALAVTFRVGSLDKNRVNEVIEQLQSRAAMLESALFGR----</t>
  </si>
  <si>
    <t>----MSKVPAATHTLAILRLLMTTDAPISAARIATQLRLPRSTTYQLLKVMVDAGFVMHLKSHRTYGLGAAAYSLAQAYSTQQPLVRASTRHAQALAKLAGGSAHVSRLSSGMEVLYVLEERSTAAVSLITDVGVRLAAERTASGRAMLAALPDAELKARVDAAGLG--RQWQKIHTMVQQVRLRGWAEETEEVSVGQSSIAAAVLDHTGRPAAALAVTFTPG-VGVDKHAELVAETCRRAQQVHTTLFGAA---</t>
  </si>
  <si>
    <t>GC_00000193</t>
  </si>
  <si>
    <t>PF00830.24</t>
  </si>
  <si>
    <t>Ribosomal L28 family</t>
  </si>
  <si>
    <t>K02902</t>
  </si>
  <si>
    <t>large subunit ribosomal protein L28</t>
  </si>
  <si>
    <t>COG0227</t>
  </si>
  <si>
    <t>Ribosomal protein L28 (RpmB) (PDB:2JZ6)</t>
  </si>
  <si>
    <t>MSAICQVTGRKPGFGKSVSHSHRRTNRRWNVNVQRRKFFVPSLGRTVTLTVSTKGLKVIDRDGIEAVVAQIRARGEKV</t>
  </si>
  <si>
    <t>MSAICQVTGRKPGFGKSVSHSHRRTNRRWNPNVQRRRFYLPSEGRTITLTVSTKGLKVIDRDGIEAVVAKIRARGEKV</t>
  </si>
  <si>
    <t>MSAICQVTGRKPGYGKSVSHSHRRTSRRWNPNVQRRKFYLPSEGRTITLTVSTKGLKVIDRDGIESVVAKIRARGEKV</t>
  </si>
  <si>
    <t>GC_00000194</t>
  </si>
  <si>
    <t>PF02729.26</t>
  </si>
  <si>
    <t>Aspartate/ornithine carbamoyltransferase, carbamoyl-P binding domain</t>
  </si>
  <si>
    <t>K00609</t>
  </si>
  <si>
    <t>aspartate carbamoyltransferase catalytic subunit [EC:2.1.3.2]</t>
  </si>
  <si>
    <t>COG0540</t>
  </si>
  <si>
    <t>Aspartate carbamoyltransferase, catalytic subunit (PyrB) (PDB:1NBE)</t>
  </si>
  <si>
    <t>Pyrimidine biosynthesis</t>
  </si>
  <si>
    <t>M00051</t>
  </si>
  <si>
    <t>De novo pyrimidine biosynthesis, glutamine (+ PRPP) =&gt; UMP</t>
  </si>
  <si>
    <t>Pathway modules; Nucleotide metabolism; Pyrimidine metabolism</t>
  </si>
  <si>
    <t>KEGG Orthology (KO)&gt;&gt;&gt;09100 Metabolism&gt;&gt;&gt;09104 Nucleotide metabolism&gt;&gt;&gt;00240 Pyrimidine metabolism [PATH:ko00240]|KEGG Orthology (KO)&gt;&gt;&gt;09100 Metabolism&gt;&gt;&gt;09105 Amino acid metabolism&gt;&gt;&gt;00250 Alanine, aspartate and glutamate metabolism [PATH:ko00250]|Enzymes&gt;&gt;&gt;2. Transferases&gt;&gt;&gt;2.1  Transferring one-carbon groups&gt;&gt;&gt;2.1.3  Carboxy- and carbamoyltransferases&gt;&gt;&gt;2.1.3.2  aspartate carbamoyltransferase</t>
  </si>
  <si>
    <t>MKHLLNIGDLSADEIIGLMDEADRFREALSDREVKKLPTLRGRTIFTLFYENSTRTRSSFETAGKWMSADVINISASSSSVKKGESLKDTGLTLRSIGADAIIIRHPSSGAAQQLSEWVVDPATGVGPSVINAGDGAHQHPTQALLDAVTMRQRLGRIEGLKVVIVGDCLHSRVVRSNVDLLTTLGAEVVLVAPPTLMPAGVDTWPVRTSFDMDSELHDADVVMMLRVQQERMLGGFFPSHREYATLYGLSKERLARLQPHAVVMHPGPMLRGMEINYAVADAPQSAVLQQVNNGVHVRMAVLFSLLVGGNTSEGTF</t>
  </si>
  <si>
    <t>MKHLLSIADLSRDEIVGLMDEADRFREALLDREVKKLPTLRGRTIFTMFYENSTRTRASFETAGKWMSADVINVSSSGSSVKKGESLKDTAATLTAIGADAIIMRHPSSGAAAQVAGWL------DGPSVINAGDGAHQHPTQALLDAVTMRQRLGTIEGRKVVIVGDCLHSRVVRSNVDLLSTLGAEVVLVAPPTLLPTGVENWPVRTSYTMDSEIADADAVMMLRVQQERMHGGFFPTQREYATLYGMSKERLARIPEHAIVMHPGPMLRGMEINYEVADAPQTAVLQQVSNGVHVRMAVLFTLLVGTDNA----</t>
  </si>
  <si>
    <t>MKHLLSIGDLGKDDIIGLMDEADRFREALEGRELKKLPTLRGRTIFTLFYENSTRTRSSFETAGKWMSADVINISASSSSVRKGESLQDTGLTLSAIGADALIIRHSSSGAAQQLAQWV--APGGNGPSVINAGDGAHQHPTQALLDAVTMRQRIGEISGKKIVIVGDCLHSRVVRSNVDLLSTLGAEVVLVAPPTLMPTGVENWPVRVSYTMDSEIADADVVMMLRVQQERMQGGFFPSHREYSTLYGMSKERESRLKDSAIIMHPGPMLRGMEINYTVADASRTAVLQQVSNGVHVRMAVLFTLIASTDSP--GF</t>
  </si>
  <si>
    <t>MKHLLSIGDLGKDDIIGLMDEADRFREALEGRELKKLPTLRGRTIFTLFYENSTRTRSSFETAGKWMSADVINISASSSSVRKGESLQDTGLTLSAIGADALIIRHSSSGAAQQLAQWV--APGGNGPSVINAGDGAHQHPTQALLDAVTMRQRIGEISGKKIVIVGDCLHSRVVRSNVDLLSTLGAEVVLVAPPTLMPTGVENWPVRVSYTMDPEIADADVVMMLRVQQERMQGGFFPSHREYSTLYGMSKERESRMKDSAIIMHPGPMLRGMEINYTVADAPRTAVLQQVSNGVHVRMAVLFTLIASTDSP--GF</t>
  </si>
  <si>
    <t>GC_00000195</t>
  </si>
  <si>
    <t>PF09285.17</t>
  </si>
  <si>
    <t>Elongation factor P, C-terminal</t>
  </si>
  <si>
    <t>K02356</t>
  </si>
  <si>
    <t>elongation factor P</t>
  </si>
  <si>
    <t>COG0231</t>
  </si>
  <si>
    <t>Translation elongation factor P (EF-P)/translation initiation factor 5A (eIF-5A) (Efp) (PDB:1UEB)</t>
  </si>
  <si>
    <t>Translation factors&gt;&gt;&gt;Prokaryotic type&gt;&gt;&gt;Elongation factors</t>
  </si>
  <si>
    <t>MATTADFKNGLVLKIDNKLQQIIEFQHVKPGKGPAFVRTKLKDVVSGKVTDKTFNAGVKVETATVDRRDMQYLYNDGTSFVVMDTKTYEQIELAPHLFGDAGRFLLEETTVQVSFHEGEPLFAELPISVELKVEHTDPGLQGDRSTGGTKPATLETGAEIQVPLFIETGNVLKVDTRTGEYLSRVNN</t>
  </si>
  <si>
    <t>MATTADFKNGLVLKVDNKLQQIIEFQHVKPGKGPAFVRTKLKDVVSGKVVDKTFNAGVKVETATVDRRDMTYLYNDGTNYVFMDAKTYEQLELEPHLVGEGAKFLLDGSVVQVSFHEEEPLFVELPVSVELRVEHTDPGLQGDRSTGGTKPATLETGAEIQVPLFIETGNVLKVDTRDGSYISRVNN</t>
  </si>
  <si>
    <t>MATTADFKNGLVLKIDNKLQQIVEFQHVKPGKGPAFVRTKLKDVVTGKVTDKTFNAGVKVETATVDRRDMTYLYHDGSSYVVMDEKTYEQLELAEHIFGNSAKFLLENTTVQVSFHEGEPLFAELPISLDLTVSHTEPGLQGDRSSGGTKPATLETGAEIQVPLFIETGNVVKVDTRDGSYLSRVNN</t>
  </si>
  <si>
    <t>GC_00000196</t>
  </si>
  <si>
    <t>PF20154.4</t>
  </si>
  <si>
    <t>Apolipoprotein N-acyltransferase N-terminal domain</t>
  </si>
  <si>
    <t>K03820</t>
  </si>
  <si>
    <t>apolipoprotein N-acyltransferase [EC:2.3.1.269]</t>
  </si>
  <si>
    <t>COG0815</t>
  </si>
  <si>
    <t>Apolipoprotein N-acyltransferase (Lnt) (PDB:6NWR)</t>
  </si>
  <si>
    <t>KEGG Orthology (KO)&gt;&gt;&gt;09190 Not Included in Pathway or Brite&gt;&gt;&gt;09191 Unclassified: metabolism&gt;&gt;&gt;99980 Enzymes with EC numbers|Enzymes&gt;&gt;&gt;2. Transferases&gt;&gt;&gt;2.3  Acyltransferases&gt;&gt;&gt;2.3.1  Transferring groups other than aminoacyl groups&gt;&gt;&gt;2.3.1.269  apolipoprotein N-acyltransferase</t>
  </si>
  <si>
    <t>MTSRSTGVAISAARGLLAALSGWMVFMSYAPHSHWRLGIIGITLLLVAAAPWGCDDRPRLRVGALVGLIHGLTLYLFLLPWIGVFVGKMPYIALAITESLYSIPIGLFAAAATSLAYRRRYWALAAFALMFCATEWLRSTWPFGGFAWGRISWGQVDGPLVGFAALGGPSLVTTATVACSAALFVLVSAALRLRGQPSARPAKSSIIAPTAVSLASLLAVVGSGAWLTIDQDSSAQAAETSDDVLKVAAVQGNVPRMGLDFNAQRRAVLNNHVKQTEGI--DQPVDLVVWPENASDVNPFSDPTAMASITRAVNHANAPTLVGTLTRDP-EDHNTVVVFDPTTGPGERHYKKYLQPFGEYMPYRSFFRLFSSYVDQAGNFVPGDGNGVVHINHNGHQLGVGVSTCYEVAFDAAGRDAVKAGAEILTTPTNNATFGFTDMTYQQLAMSRLRARELDRSVIVAATSGSSAIILPNGQVTQQSGIFEAATLIDSVPLRTTVTFAARYGNVVEYLTMVFGWLSAIAALLAARRADAD--</t>
  </si>
  <si>
    <t>MRKR-----ILALRLGVAALSGVSVYLSYAPIGWWPAAIVGMALFYLCLAP-----QVSVRVGALLGFVHGLSLYLFLLPWIGEFVGNLPYVALAVTEALYSIAVG---AGGAVLMKRRMHW---AFPLWFVSVEWLRSTWPFGGFAWGRIAWGQVGGPLQYLAPYGGPALVSVATLACATGL-ALCLLRPRLLG----------------AALLVVPLALGGAASISRGGGEVGQ--------VTVAAIQGNVPRLGLDFNEQRRAVLSNHVKQTEAL--NQQVDLVVWPENASDVNPFADAGAMSMINQAVQSAHAPILVGTLTRDDVGPRNTMVVFDPETGQGEYHHKKYLQPFGEYMPYRSFFRLFSSYVDMAGNFQPGDGTGVVHMK----GIPVGVSTCYEVAFDAAGRDAVHNGAQILTVPTNNATFGFTDMTYQQLAMSRMRALELDRAVVIAATSGVSAIVLPSGEVTQKTSIFTNGTLVETLPLKDSSTFAARAGKYVEHVLSIMGVLFLIAALWKRRSAQGD--</t>
  </si>
  <si>
    <t>PF00795.27</t>
  </si>
  <si>
    <t>Carbon-nitrogen hydrolase</t>
  </si>
  <si>
    <t>GC_00000197</t>
  </si>
  <si>
    <t>PF01551.29</t>
  </si>
  <si>
    <t>Peptidase family M23</t>
  </si>
  <si>
    <t>COG0739</t>
  </si>
  <si>
    <t>Murein DD-endopeptidase MepM and murein hydrolase activator NlpD, contains LysM domain (NlpD) (PDB:2GU1)</t>
  </si>
  <si>
    <t>MKANTTSVRKTAGAHRKHHSSATTKGRVALVAVATGAVSTAGAAGAAAAHASAPQQEVREAQDIALTTSSSEPINGAPQILAIADFKPMANLSDQLNKAIQYNAERVAADLAARAPQ--AAKPAEGVLTSPFGPRWGSFHSGIDIANSLGTPIVAALDGEVIDAGPASGYGQWVRLRHEDGTITVYGHMETIDVTVGQHVTAGQKIAGMGSRGFSTGVHLHFEAHPGGGAAVDPIPWLAERGITI-</t>
  </si>
  <si>
    <t>MQQNAK--RKTGGAHRKQTVSPAAKSRVALLAMATGAVSTAGAGGAAAAHAQANTTENHSIELASDASSSSLPLDAAPQILSISEFKPVSNLSEQLTKAIHYNEERVAADEAARAPQ--VAAPTQGTFTSPFGPRWGTMHNGIDIANNIGTPINAVMDGTVIDSGPASGYGQWIRLRHDDGTITVYGHMETLDVSVGEHVTAGQKIAGMGSRGFSTGSHLHFEVHPGGGGPVDPVPWLAERGISV-</t>
  </si>
  <si>
    <t>MQTRRP---LINGKHRKQTNP--IKGRVAFVAAATGVVSTAGATGAAIAHTT--DTGISEISLAAEDTPNAE--EGAPQILDIAEFKPVSNLQDQLNKAVQYSNDLAKADEEARKPKISVSRPTDGILTSGYGMRWGSLHAGVDLANAIGTPILAVMDGTVIDSGPASGYGNWIRIKHDDGSMSVYGHMETLDVKVGERVKAGQKIAGMGNRGFSTGPHLHFEIHPDGNAAVDPVPWFNEHGISLS</t>
  </si>
  <si>
    <t>GC_00000198</t>
  </si>
  <si>
    <t>PF06271.18</t>
  </si>
  <si>
    <t>RDD family</t>
  </si>
  <si>
    <t>COG1714</t>
  </si>
  <si>
    <t>Uncharacterized membrane protein YckC, RDD family (YckC)</t>
  </si>
  <si>
    <t>MAKRDRSTGRTWLDGPTIPAPYDDD-TPAKWPGEKLGLPQTGPGALASVARRAGGVAIDWVICWIIAGFLHMFTTYLGD--TATLTLMLFVLLGIISVALFARTPGQALLGMGVARVDQRDQRVGLARAAARTLLTIFVLPAAMVDTDGRGMHDRATGTAVILG</t>
  </si>
  <si>
    <t>MAKRDRSTGRTWLDGPTIPAPYDDD-TPAKWPGEKLGLPQTGPGALASVARRAGGVAIDWVICWIVAGFLHMFTTYLGD--TATLTLMLFVILGIISVALFARTPGQALLGMGVARVDQRDQRVGLARAAARTLLTIFVLPAAMVDTDGRGMHDRATGTAVILG</t>
  </si>
  <si>
    <t>GC_00000199</t>
  </si>
  <si>
    <t>PF00749.27</t>
  </si>
  <si>
    <t>tRNA synthetases class I (E and Q), catalytic domain</t>
  </si>
  <si>
    <t>K01885</t>
  </si>
  <si>
    <t>glutamyl-tRNA synthetase [EC:6.1.1.17]</t>
  </si>
  <si>
    <t>COG0008</t>
  </si>
  <si>
    <t>Glutamyl- or glutaminyl-tRNA synthetase (GlnS) (PDB:1EUQ)</t>
  </si>
  <si>
    <t>M00121</t>
  </si>
  <si>
    <t>Heme biosynthesis, plants and bacteria, glutamate =&gt; heme</t>
  </si>
  <si>
    <t>ko00001|ko00001|ko01000|ko01007|ko03016|ko03016|ko02048</t>
  </si>
  <si>
    <t>KEGG Orthology (KO)&gt;&gt;&gt;09100 Metabolism&gt;&gt;&gt;09108 Metabolism of cofactors and vitamins&gt;&gt;&gt;00860 Porphyrin metabolism [PATH:ko00860]|KEGG Orthology (KO)&gt;&gt;&gt;09120 Genetic Information Processing&gt;&gt;&gt;09122 Translation&gt;&gt;&gt;00970 Aminoacyl-tRNA biosynthesis [PATH:ko00970]|Enzymes&gt;&gt;&gt;6. Ligases&gt;&gt;&gt;6.1  Forming carbon-oxygen bonds&gt;&gt;&gt;6.1.1  Ligases forming aminoacyl-tRNA and related compounds&gt;&gt;&gt;6.1.1.17  glutamate---tRNA ligase|Amino acid related enzymes&gt;&gt;&gt;Aminoacyl-tRNA synthetase&gt;&gt;&gt;Class I (A)|Transfer RNA biogenesis&gt;&gt;&gt;Eukaryotic type&gt;&gt;&gt;Aminoacyl-tRNA synthetases (AARSs)&gt;&gt;&gt;Multi-aminoacyl-tRNA synthetase complex (MSC)|Transfer RNA biogenesis&gt;&gt;&gt;Prokaryotic type&gt;&gt;&gt;Aminoacyl-tRNA synthetases (AARSs)&gt;&gt;&gt;Other AARSs|Prokaryotic defense system&gt;&gt;&gt;Toxin-antitoxin system (TA system)&gt;&gt;&gt;Type II TA system&gt;&gt;&gt;Type II TA system related factors</t>
  </si>
  <si>
    <t>MSDVRVRFCPSPTGTPHVGMVRTALFNWAYARHTGGKLIFRIEDTDAERDSEESYQAIIDSLKWLHMDWDEGVEKGGPNEPYRQSQRMDIYLDVLEKLKVAGEIYPAYSTAEEVKQRHIDAGRDPQLGYDNFDRDLTEEQIAAFEAEGRKPVWRLRMPNKVWKWNDLVRGEIEFKPETQPDYVVARSNGAPLYTLVNPVDDALMGITHVLRGEDLLPSTPRQLALYEALIRIGVAERTPEFGHLPFVMGEGNKKLSKRDPQSNLFNHRDAGIIPEGMLNYLALLGWSLSKDQDIFSIDELVANFDVADVLGNPARFDQKKLEAINADHIRLLELDDFTTRLRTYLEEYKDFPADYPADKFAFAAEQVQTRIKKLEDAWGLLKFLVTADEDIKLDDKAAKKNLNDDAVQPLTEAINVLEGVDDFTTDAIEKALSAKLIEELELKPRKAYGALRVAVSGEAISPPLFESMELLGKESTLNRLRSCLAQTPWGSESAQG-</t>
  </si>
  <si>
    <t>MSDVRVRFCPSPTGTPHVGMVRTALFNWAYARHTGGKLIFRIEDTDAARDSEESYQAIIDSLTWLGMDWDEGVVTGGPNEPYRQSQRMDIYLDVLEKLKDAGEVYPSYSTPEEVEERHKAAGRDPKLGYDNYDRELTADQIAAFEAEGRKPVWRLRMPDHDWEWTDLVRGDISFKASTQPDYVVARSNGAPLYTLVNPVDDALMGITHVLRGEDLLPSTPRQLALYDALKRIGVAAHTPEFGHLPFVMGEGNKKLSKRDPQSNLFNHRDAGIIPEGMLNYLALLGWSLDSDRDIFSVSELIDAFDVADVLSNPARFDQKKLEAINADHIRLLPLEDFSARLRTYLEDYKGFPASYPDDKFRFVAELVQTRIKKLDDAWDLVRFLIVSDEELVLDEKSARKNLKEDAVQPLEVAISVLSDVPDWDTASIESALQKALIEDLGLKPRKAYGALRVGISGQAISPPLFESMELLGRESTLARLRAAREVTPYSAE-----</t>
  </si>
  <si>
    <t>MSEVRVRFCPSPTGTPHVGMVRTALFNWAYARHTGGKLIFRIEDTDAARDSEESYQAIVDSLTWLGMDWDEGVEKGGPHAPYRQSQRMDIYADVLEKLKQGGFVYPAYSTAEEVEARHKAAGRDPKLGYDNYDRDLTDAQIAAFEAEGRKPVWRLRMPDTDWVWTDLVRGDIEFKAGSQPDFVVARSNGAPLYTLVNPVDDAIMGVTHVLRGEDLLPSTPRQLALYEALKAIGVAHHTPQFGHLPFVMGEGSKKLSKRDPQSDLFHHRRAGIIPEGMLNYLALLGWSLSHERDIFSVAELIENFDVTDVLANPARFDQKKLEAINADHIRQLPLDDFTRRLRDYLAEYYDFPADYSEQKFTLLAELVQTRIKTLSDAWGLVKFLVTADEDLTLDEKSAKKNLKETAIQPLDAGITALELVDDWNTAAIESALSTALIEDLGLKPRVAYGALRVGISGQAVSPPLFESMELLGKESTLARLRAARAVTPFVPNTSAGS</t>
  </si>
  <si>
    <t>MSEVRVRFCPSPTGTPHVGMVRTALFNWAYARHTGGKLIFRIEDTDAARDSEESYQAIVDSLTWLGMDWDEGVEKGGPHAPYRQSQRMDIYTDVLEKLKQGGFVYPAYSTAEEVEARHKAAGRDPKLGYDNYDRDLTEAQITAFEAEGRKPVWRLRMPDTDWAWTDLVRGDIEFKAGSQPDFVVARSNGAPLYTLVNPVDDAIMGVTHVLRGEDLLPSTPRQLALYEALKAIGVAHHTPQFGHLPFVMGEGNKKLSKRDPQSDLFHHRSAGIIPEGMLNYLALLGWSLSHERDIFSMAELIENFDVTDVLANPARFDQKKLEAINADHIRQLPLDDFTRRLRDYLAEYYDFPADYPEQKFALLAELVQTRIKTLSDAWGLVKFLVTADEDLTLDEKSAKKNLKETAIQPLDAGIAALELVDDWNTAAIESALSTALIEDLGLKPRVAYGALRVGISGQAVSPPLFESMELLGKESTLARLRAARAVTPFVPDTSSGS</t>
  </si>
  <si>
    <t>GC_00000200</t>
  </si>
  <si>
    <t>PF04012.17</t>
  </si>
  <si>
    <t>PspA/IM30 family</t>
  </si>
  <si>
    <t>K03969</t>
  </si>
  <si>
    <t>phage shock protein A</t>
  </si>
  <si>
    <t>COG1842</t>
  </si>
  <si>
    <t>Phage shock protein A (PspA) (PDB:4WHE)</t>
  </si>
  <si>
    <t>MANPFSKAWKYFLALFDSKIEENADPKIQIQQAIEAEQKQHQELTRQAAAVIGNQRQLEMQLNRQLTEIEKLKGNTRQAIQLADKARADGNEAKAVEYTNAAEAFAAQLVTAEQSVEDTKQLHDQALQQAQSAKKAVERNSMALQQKVAERTKLLSQLEQAKMQEKVADSLKSMDALTASGDTPNLDQVREKIERRYANALGQAELAESSVQGRMAEIEAAGVELAGHSRLEQIRAEMNSGSSTPAVGKAPEQQAIQGTQQ--------PVEDPVERRLRELREQG</t>
  </si>
  <si>
    <t>MANPFSKAWKYLMALFDSKIEEHADPKVQIQQAIEDAQRQHQELSQQAAAVIGNQRQLEMQLNRRLAEIEKLQGNTRQALQLADKARAEGNEAKAVEYENAAEAFAAQLVTAEQAVEDTKQLHDQSLQQAAQAKRAVERNAMSLQQKVAERTKLLSQLEQAKMQEKVSESLKSMNSLTANDNSPNLDQVREKIERRYANALGQAELAENSIQGRMAEVEQAGVQLAGHARLEQIRAQMGGGDA--ITGSSSQQQAITGGAAADGSAAGAPSSDAVAQRMRELRGE-</t>
  </si>
  <si>
    <t>MANPFVKAWKYFMALFDSKIDEHADPKVQIQQAIEEAQRQHQELSQQAAAVIGNQRQLEMQLNRRLADIEKLQANTRQAIQLADKARASGDIQKATEYENAAEAFAAQLVTAEQSVEDTKKLHDQALQQASAAKKAVERNSMALQQKVAERTKLLSQLEQAKMQEKVAESIQSMNSITAR-DTPNLDQVREKIERRYANALGSAELAENTVQGRMAEIEQAGVQMAGHSRLEQIRAQM-AGELSPGTSASPQQSIEAAKPQAS------VADDAVARRMRELRGDL</t>
  </si>
  <si>
    <t>GC_00000201</t>
  </si>
  <si>
    <t>PF03796.21</t>
  </si>
  <si>
    <t>DnaB-like helicase C terminal domain</t>
  </si>
  <si>
    <t>K02314</t>
  </si>
  <si>
    <t>replicative DNA helicase [EC:5.6.2.3]</t>
  </si>
  <si>
    <t>COG0305</t>
  </si>
  <si>
    <t>Replicative DNA helicase (DnaB) (PDB:1B79)</t>
  </si>
  <si>
    <t>ko00001|ko00001|ko01000|ko03032</t>
  </si>
  <si>
    <t>KEGG Orthology (KO)&gt;&gt;&gt;09120 Genetic Information Processing&gt;&gt;&gt;09124 Replication and repair&gt;&gt;&gt;03030 DNA replication [PATH:ko03030]|KEGG Orthology (KO)&gt;&gt;&gt;09140 Cellular Processes&gt;&gt;&gt;09143 Cell growth and death&gt;&gt;&gt;04112 Cell cycle - Caulobacter [PATH:ko04112]|Enzymes&gt;&gt;&gt;5. Isomerases&gt;&gt;&gt;5.6  Isomerases altering macromolecular conformation&gt;&gt;&gt;5.6.2  Enzymes altering nucleic acid conformation&gt;&gt;&gt;5.6.2.3  DNA 5'-3' helicase|DNA replication proteins&gt;&gt;&gt;Prokaryotic type&gt;&gt;&gt;DNA Replication Initiation Factors&gt;&gt;&gt;Initiation factors (bacterial)</t>
  </si>
  <si>
    <t>MAWDANSAAEDSGVNSGATEDTDAGAGAVSFDDTP---PPPEDDYAPPAPEDDYQ---PSASNRSNSNYRSGGYGQDRGRSFRGRDELQQAYESGRKPPHDNDAEQGVLGAMLLAPDTVVDIIEELSAEDFYRPAHQLIFQAIIDLFAENKDIDPVIVAGRLDRNNDLERAGGAPYLHTLYSSVPTAANARYYAEIVSEKATLRRLVDAGTRVVQLGYEGTEGAEVDAVVDMAQQEVFAIAQKKTAEDYSVLADMIEPTMDELDQIHAHGGLAQGVPTGFIDLDDRTNGLHGGQMIIVAARPGVGKSTLALDFMRSCSIAHGKPSVLFSLEMSKSEVVMRLLSAEAEIKLSDMRAGRMNDEQWAKLANKIGQINDAPLYIDDSANLTMMEIRSKARRLSQKVGLSMIVVDYLQLMSSGKKVESRQQEVSEFSRQLKLLAKELDVPLIAISQLNRGPESRTDKRPQLADLRESGSLEQDADMVMLLYRPDSQDREDPRAGEADIILAKHRGGPIDTVSVAHQLHYSRFANLARG-</t>
  </si>
  <si>
    <t>---------MDSGFSESFSES--------HFDDSSDVAATSFDDVVPSAPSQQASFERPSTRGDRGRYGQQGGPADPPGRDF------------GRQPPHDNEAEQGVLGAMLLSPNTITDIIEELIPDDFYRPAHQLIYRAILDLFSDNKDVDPVIVAGRLDRNHDLERVGGAPYLHTLISSVPTAANARYYAEIVAEKAVLRRLVDAGTRVVQLGYEGTEGAEVDVVVDMAQQEVFAIAQRNVTEDYAILADI</t>
  </si>
  <si>
    <t>---------MSSDFP---SEP--------DFSDEP---AEPPASLVPMPSMSEGS---RRSRDGRGSWSGRGGRTNGRGDD--------QNYDDFRQPPHDIDAEQGVLGAMLLSPTLVVDIIETLVPDDFYRPAHQLIYNAIIDLFSNNKEIDPLIVAGRLDRDNNLERIGGSTYLHTLVSAVPTAANARYYAEIVAEKAVLRRLVAAGTRVVQLGYEGTEGAELETVIDMAQQQVFDIAQRHHVEDYSVLADL</t>
  </si>
  <si>
    <t>GC_00000202</t>
  </si>
  <si>
    <t>PF01553.26</t>
  </si>
  <si>
    <t>Acyltransferase</t>
  </si>
  <si>
    <t>K00655</t>
  </si>
  <si>
    <t>1-acyl-sn-glycerol-3-phosphate acyltransferase [EC:2.3.1.51]</t>
  </si>
  <si>
    <t>COG0204</t>
  </si>
  <si>
    <t>1-acyl-sn-glycerol-3-phosphate acyltransferase (PlsC) (PDB:1IUQ)</t>
  </si>
  <si>
    <t>Phospholipid biosynthesis</t>
  </si>
  <si>
    <t>M00089</t>
  </si>
  <si>
    <t>Triacylglycerol biosynthesis</t>
  </si>
  <si>
    <t>Pathway modules; Lipid metabolism; Lipid metabolism</t>
  </si>
  <si>
    <t>ko00001|ko00001|ko01000|ko01004</t>
  </si>
  <si>
    <t>KEGG Orthology (KO)&gt;&gt;&gt;09100 Metabolism&gt;&gt;&gt;09103 Lipid metabolism&gt;&gt;&gt;00561 Glycerolipid metabolism [PATH:ko00561]|KEGG Orthology (KO)&gt;&gt;&gt;09100 Metabolism&gt;&gt;&gt;09103 Lipid metabolism&gt;&gt;&gt;00564 Glycerophospholipid metabolism [PATH:ko00564]|Enzymes&gt;&gt;&gt;2. Transferases&gt;&gt;&gt;2.3  Acyltransferases&gt;&gt;&gt;2.3.1  Transferring groups other than aminoacyl groups&gt;&gt;&gt;2.3.1.51  1-acylglycerol-3-phosphate O-acyltransferase|Lipid biosynthesis proteins&gt;&gt;&gt;Phospholipid acyltransferase&gt;&gt;&gt;LPAAT/LPLAT</t>
  </si>
  <si>
    <t>MHNKWYWVFKNVLFGPALRVYNRPYSRGLDNIPDHGGAILASNHQSVMDSFFLPLLCKRQITFLAKQEYFTGTGLVGKAQRWFFTSAGQVPIDRSSGDAARAAMESGKRVVLEGDLLGIYPEGTRSPDGRLYRGKTGMAHIALDTGVPIVPIAMIGSRKANLIGSWIPRPVRVGVIAGEPIDPRAYVESKGLDPESHEAARVLTDYVMQRLVELTGGAYVDMYAADVKESLA-AGKGYPEGAEL</t>
  </si>
  <si>
    <t>MQNKWYWIFRNIIFGPFLRVYNRPEIVGVDNIPSAGPAIIASNHQSVMDSFFLPLLCPRQITFLAKAEYFNGTTLVGRLQKWFFTSSGSRPVNRTSASAGQDAMNTAVEVLNDGDLFGIYPEGTRSPDGRLYKGKTGVARIALASGAQVIPVAMIGTGDVNPIGTWFPRPGKVRVKVGDPIYPIEFVNNRGLERDSYEAIRALTDHIMHQLQQLSGQEYADVYAAEVKKALAEGGDSSPHNP--</t>
  </si>
  <si>
    <t>MTNNWYWAFKNVLLGPFLRVYNRPTIDGGSNIPTIGAAILASNHQSVMDSFYLPLLCPRQITFPAKSEYFTTPGIVGRLQKWFYTSVGQVPLDRSSAKAGEVLLTAARNILDRGELFGIYPEGTRSPDGRIYRGKTGAARVAIATDVPIIPIAMIGSRNANPIGSWVLRPAKVRIRVGAPIYPREFLRERGLG--EYEGARALTDHIMATLSELSGQPYVDLYAADVKKSLA-AGNGYPPVP--</t>
  </si>
  <si>
    <t>GC_00000203</t>
  </si>
  <si>
    <t>PF03054.22</t>
  </si>
  <si>
    <t>tRNA methyl transferase HUP domain</t>
  </si>
  <si>
    <t>K00566</t>
  </si>
  <si>
    <t>tRNA-uridine 2-sulfurtransferase [EC:2.8.1.13]</t>
  </si>
  <si>
    <t>COG0482</t>
  </si>
  <si>
    <t>tRNA U34 2-thiouridine synthase MnmA/TrmU, contains the PP-loop ATPase domain (MnmA) (PDB:2HMA) (PUBMED:25825430)</t>
  </si>
  <si>
    <t>ko00001|ko01000|ko03016</t>
  </si>
  <si>
    <t>KEGG Orthology (KO)&gt;&gt;&gt;09120 Genetic Information Processing&gt;&gt;&gt;09123 Folding, sorting and degradation&gt;&gt;&gt;04122 Sulfur relay system [PATH:ko04122]|Enzymes&gt;&gt;&gt;2. Transferases&gt;&gt;&gt;2.8  Transferring sulfur-containing groups&gt;&gt;&gt;2.8.1  Sulfurtransferases&gt;&gt;&gt;2.8.1.13  tRNA-uridine 2-sulfurtransferase|Transfer RNA biogenesis&gt;&gt;&gt;Prokaryotic type&gt;&gt;&gt;tRNA modification factors&gt;&gt;&gt;Thiolation factors</t>
  </si>
  <si>
    <t>MRVVAAMSGGVDSAVAAARAVEAGHDVVGVHLALSKDPQSVRESSRGCCSLEDSADARRICDKLGIPFYVWDFSDRFKADVIDDFVESYAVGETPNPCLRCNEKIKFRALLERCVALGFDAVATGHYARLVQPEDGGDGYLRRGDDPNKDQSYVLGVLTKEELSRCMFPVGDTEKPQIRAEAAAHGFSVASKPDSYDICFIPDGNTQAFLGKHIGLRPGMIVDQQGAPLRKHSGVHEFTIGQRKGLDIKQPAADGKPRYVTDIDAATGTVTVGSRADLSVTHIEADRVKVLHPMMEQSEPFNCEVQVRAHGGIVACTAQVD--GDRIRIDLAEPLSGVARGQAAVLYLPDDGGDIVLGSGTICGTSRD</t>
  </si>
  <si>
    <t>MRVLAAMSGGVDSAVAAARAVKAGHEVVGVHLALSRDPQAVRESSRGCCSLEDSADARRVCDKLGIPFYVWDFSDRFKEDVIDDFIDSYAIGETPNPCLRCNEKIKFRALLERGVALGFDAVATGHYARLTQPVDGGDGYLRRAIDPDKDQSYVLGVLGAEEIKRCMFPVGDTKKPQIREEAAEMGFSVAKKPDSYDICFIPDGNTQAFLGKHIGVRPGLIVDQEGTPLREHQGVHEFTIGQRKGLDLRNPADDGRPRYVTDINAQTGVVTVGPRENLAVTTIHADRLKFLHPAMEGE--VECEVQVRAHGSVVPCHARIDKDNDRMELSLHTPLQGVARGQAAVLYLPDPDGDIVLGSGTICGTAHS</t>
  </si>
  <si>
    <t>MRVLAAMSGGVDSAVAAARAVKAGHDVVGVHLALSQDPQAVRESSRGCCSLEDSADARRVCDKLGIPFYVWDFSDRFKTDVIDDFVDSYARGETPNPCLRCNEKIKFAALLERGIALGFDAVVTGHYARLTQPADGGDGYLRRGVDPNKDQSYVLGVLGHHEIAHCMFPVGDTIKPKIREEAAAMGFSVAKKPDSYDICFIPDGNTQAFLGKRIGLRPGMIIDTEGNKLREHDGAWNYTIGQRKGLDIKQPAADGQPRYVTDINAQTGTVTVGSRRDLSVGVIEADRLKYLHPMMDGS--FDADVQVRAHGSVVPCHVTVDREADFMRLELKKALQGVARGQAAVLYLPDPGGDIVLGSGTICGTASI</t>
  </si>
  <si>
    <t>MRVLAAMSGGVDSAVAAARAVKAGHDVVGVHLALSQDPQAVRESSRGCCSLEDSADARRVCDKLGIPFYVWDFSDRFKTDVIDDFVDSYARGETPNPCLRCNEKIKFAALLERGIALGFDAVVTGHYARLTQPADGGDGYLRRGVDPNKDQSYVLGVLGHHEIAHCMFPVGDTIKPKIREEAAAMGFSVAKKPDSYDICFIPDGNTQAFLGERIGLRPGMIVDTEGNKLREHDGAWNYTIGQRKGLDIKQPAADGQPRYVTDINAQTGTVTVGSRRDLSVGVIEADRLKYLHPMMDGS--FDADVQVRAHGSVVPCHVTVDREADFMRLELKKALQGVARGQAAVLYLPDPGGDIVLGSGTICGTASV</t>
  </si>
  <si>
    <t>GC_00000204</t>
  </si>
  <si>
    <t>PF01933.23</t>
  </si>
  <si>
    <t>2-phospho-L-lactate transferase CofD</t>
  </si>
  <si>
    <t>G|H</t>
  </si>
  <si>
    <t>Carbohydrate transport and metabolism|Coenzyme transport and metabolism</t>
  </si>
  <si>
    <t>COG0391</t>
  </si>
  <si>
    <t>Archaeal 2-phospho-L-lactate transferase/Bacterial gluconeogenesis factor, CofD/UPF0052 family (CofD) (PDB:1ZX8) (PUBMED:11888293;18252724)</t>
  </si>
  <si>
    <t>------MGSCASSTPRSVACLGGGHGLFQTLTAAKLLEPDAITAVVTVADDGGSSGRIRREMDTIPPGDLRMALAALSPDTPQGNLWEETLQHRFGGHGALAGHALGNLLLVGLSDVLGSHVQALDMLASMLRSRGRVLPVCPIPLDIEADVAGLEDDPRMMRAVRGQVAVATTPGEVRRVRVVPEQPAATPEALSAIMEADLVTLGPGSWFSSVIPHLLVPEIVEALNDTSAHRVVVLNLTSEPGETQGFSTER</t>
  </si>
  <si>
    <t>-----MTFRDAHENLRSMVCLGGGHGLFQTLRAARTLEVPTITAVVTVADDGGSSGRIRRELGQIPPGDLRMALAALARDDDNGRMWEHTLQHRFGGHGALAGHAVGNLLIAGLADVLGSHIAALDTVAQLTQSHGRVVPMSEQPLDIEAEVAGLDDDPRVIRLVRGQVAVATTPGSVRRVRLIPSHPPGGRDALNAIDSADVVTLGPGSWFSSVIPHLLVPDIVHALAATDALKVVVLNLTAEPGETSGFSAER</t>
  </si>
  <si>
    <t>MDTTTGTFPTFPQGTK-VASLGGGHGLFQTLTAVRLLHPDTITAIVTVADDGGSSGRIRRELGQIPPGDLRMALSALAPRDDEGRMWEATLQHRFGGSGALAGHAVGNMLIAGLYDILQSEVAALDVVAKLIRAEGRVLPVCEQPLEIEAEVGGLDADPRIVRQVRGQVAVATTVGSVRRARLVPENAVACEEAMTALQDADLITLGPGSWFTSVVPHLLVPGVTDVLERCTGMKIVVVNLDAEPGETAGFTAERYLHILQQHAASFTADVVIVDEHSVPNEADRTYLARAAANIGAKLAFHDVR--EEDSSGY-----YKSRHDPKKLAAALGAEYLAARGQ</t>
  </si>
  <si>
    <t>GC_00000205</t>
  </si>
  <si>
    <t>PF00742.24</t>
  </si>
  <si>
    <t>Homoserine dehydrogenase</t>
  </si>
  <si>
    <t>K00003</t>
  </si>
  <si>
    <t>homoserine dehydrogenase [EC:1.1.1.3]</t>
  </si>
  <si>
    <t>COG0460</t>
  </si>
  <si>
    <t>Homoserine dehydrogenase (ThrA) (PDB:5AVO) (PUBMED:29124164)</t>
  </si>
  <si>
    <t>Methionine biosynthesis</t>
  </si>
  <si>
    <t>M00018|M00017</t>
  </si>
  <si>
    <t>Threonine biosynthesis, aspartate =&gt; homoserine =&gt; threonine|Methionine biosynthesis, aspartate =&gt; homoserine =&gt; methionine</t>
  </si>
  <si>
    <t>Pathway modules; Amino acid metabolism; Serine and threonine metabolism|Pathway modules; Amino acid metabolism; Cysteine and methionine metabolism</t>
  </si>
  <si>
    <t>KEGG Orthology (KO)&gt;&gt;&gt;09100 Metabolism&gt;&gt;&gt;09105 Amino acid metabolism&gt;&gt;&gt;00260 Glycine, serine and threonine metabolism [PATH:ko00260]|KEGG Orthology (KO)&gt;&gt;&gt;09100 Metabolism&gt;&gt;&gt;09105 Amino acid metabolism&gt;&gt;&gt;00270 Cysteine and methionine metabolism [PATH:ko00270]|KEGG Orthology (KO)&gt;&gt;&gt;09100 Metabolism&gt;&gt;&gt;09105 Amino acid metabolism&gt;&gt;&gt;00300 Lysine biosynthesis [PATH:ko00300]|Enzymes&gt;&gt;&gt;1. Oxidoreductases&gt;&gt;&gt;1.1  Acting on the CH-OH group of donors&gt;&gt;&gt;1.1.1  With NAD+ or NADP+ as acceptor&gt;&gt;&gt;1.1.1.3  homoserine dehydrogenase</t>
  </si>
  <si>
    <t>--MTDS---------KPVGVALLGYGTVGEAVYRLLAENRHHFVQRIGGDIEVRGVAVNDASKPRDGVPAE--LLTDDAVGLVERDDVDIVVEVIGGIDYPREIVLKALQAGKSVVTANKALVAAHSAELAAAADEAGVDLYYEAAVAAAIPVLGPLRRSLAGDQVKSVMGIVNGTTNFILDAMESTGASYDEMLAEAMRLGYAEADPTADVEGHDAASKAAILASLAFHTRVSYDDVYCEGISHITAEDIEAAK</t>
  </si>
  <si>
    <t>MSTTSSTFNPGKGTGEPVGIAILGHGTVGSEVLRLLNKYEDDLVHRIGGAFELKGVAVGDLAKVRPGVPKE--LFTDDAMELINRDDVDIVVEVIGGIDYPREVVLAALRAGKSVVTANKALVAAHSAELAEAADEAGVDLYFEAAVAAAIPVLGPLRRSLAGDRVLSVKGIVNGTTNFILDAMDSTGASYDDMFAEAQRLGYVEADPSADIDGHDAASKAAILASLAFHTRVTSDDVYCEGISNISATDIKAAQSAGYTIKLLAICERLIDDNGQETVSARVHPTLVPRSHPLASVDKSFNAIFIEAEAAGRLMFYGNGAGGAPTASAVLGDIVGAARNKVHGGRAPGESTYASLPIADFGDVETRYHIDMEVDDRIGVLAETAAVFSDRGISLRTVRQEEGGEDHARLVIVTHKAKESDLAATIESLNNLPAVKAVNSVIRLEGE</t>
  </si>
  <si>
    <t>--MTPTTFNPGKGAGSTVGIAILGYGTVGSQVLRLMVENADEFAHRTGGPLEVRGVAVSNKEKHVGTLADELGLLTDDARSLIKRDDVDLVVEVIGGIDYPRELVLSALRSGKSVVTANKALVAAHSAELAEAADQAGVDLYFEAAVAAAIPVVGPLRRSLAGDQVQSVAGIVNGTTNFILDAMDSTGASYDDMLAEATRLGYAEADPTADVEGYDAASKAAILASLAFHTRVTADDVHCEGITNITAHDIQAAK</t>
  </si>
  <si>
    <t>GC_00000206</t>
  </si>
  <si>
    <t>PF00753.33</t>
  </si>
  <si>
    <t>Metallo-beta-lactamase superfamily</t>
  </si>
  <si>
    <t>COG0491</t>
  </si>
  <si>
    <t>Glyoxylase or a related metal-dependent hydrolase, beta-lactamase superfamily II (GloB) (PDB:1QH3) (PUBMED:25670698)</t>
  </si>
  <si>
    <t>-------MEHPAYSQLRPVTPSAAVVLCPNPSYATLEGTNSWVIRAEGDPCSIIIDPGPEDEGHLNVLNSKSDKAALILLTHRHHDHADGALRFRQLTGAPIRGVDKSYCRDAEPLVDGEIITVEGVTPQIEVVATPGHTADCVCFYIWSGVPHESTLEGIVTGDTIAGRHTTMISETDGDLGLYLETLSRLEKDGQGVALLPGHGPDHPDVSVVARKYIDRREQRLQQVQDARKQLGPDATLKQIVDAIYTDVD</t>
  </si>
  <si>
    <t>MGIKLVCMKHPAYNQLRPVTQSAAVVLCANPSYSSLDGTNTWVIRAPEDSRSIVIDPGPDDEGHLNIVHNKAEEVALVLITHRHQDHADSIDRFRQLTGAPVRGFDPTYCRGAEPLVDGEIITLEGVTPQIEVVHTPGHTSDSACFFVWSGVPHDSTLEGIITGDTIAGRHTTMISETDGDLGAYLDTLHMLEDRGKGVMLLPAHGPEHEDLSLLARKYLDRREQRLAQVQAAREKLGHDATLKQIVDEVYTDVDPVLRGAAEQSTRVTVRYLDKVAGV</t>
  </si>
  <si>
    <t>-------MEHPAYSQLRPVTPSASVVLCPNPGYSSLEGTNSWVIRAPEDTHSIVIDPGPTDEGHLNVLNNKASEVGLILLTHRHHDHADGAHRFRQLTGASVRAWDPAYCIGAERLTNGEIISLEDVTPQIEVVYTPGHTSDSVCFFIWSGVPHESTLEGIVTGDTIAGRHTTMISETDGDLGLYLKTLALLEERGSGVKLLPGHGPDGFDVASFAHWYIERRQQRLTQLKAAQAKLGPDASLKELIDEIYDDVD</t>
  </si>
  <si>
    <t>GC_00000207</t>
  </si>
  <si>
    <t>PF00464.25</t>
  </si>
  <si>
    <t>Serine hydroxymethyltransferase</t>
  </si>
  <si>
    <t>K00600</t>
  </si>
  <si>
    <t>glycine hydroxymethyltransferase [EC:2.1.2.1]</t>
  </si>
  <si>
    <t>COG0112</t>
  </si>
  <si>
    <t>Glycine/serine hydroxymethyltransferase (GlyA) (PDB:1BJ4)</t>
  </si>
  <si>
    <t>Serine biosynthesis</t>
  </si>
  <si>
    <t>M00532|M00346|M00975|M00140|M00141</t>
  </si>
  <si>
    <t>Photorespiration|Formaldehyde assimilation, serine pathway|Betaine degradation, bacteria, betaine =&gt; pyruvate|C1-unit interconversion, prokaryotes|C1-unit interconversion, eukaryotes</t>
  </si>
  <si>
    <t>Pathway modules; Carbohydrate metabolism; Other carbohydrate metabolism|Pathway modules; Energy metabolism; Methane metabolism|Pathway modules; Amino acid metabolism; Serine and threonine metabolism|Pathway modules; Metabolism of cofactors and vitamins; Cofactor and vitamin metabolism|Pathway modules; Metabolism of cofactors and vitamins; Cofactor and vitamin metabolism</t>
  </si>
  <si>
    <t>KEGG Orthology (KO)&gt;&gt;&gt;09100 Metabolism&gt;&gt;&gt;09101 Carbohydrate metabolism&gt;&gt;&gt;00630 Glyoxylate and dicarboxylate metabolism [PATH:ko00630]|KEGG Orthology (KO)&gt;&gt;&gt;09100 Metabolism&gt;&gt;&gt;09102 Energy metabolism&gt;&gt;&gt;00680 Methane metabolism [PATH:ko00680]|KEGG Orthology (KO)&gt;&gt;&gt;09100 Metabolism&gt;&gt;&gt;09105 Amino acid metabolism&gt;&gt;&gt;00260 Glycine, serine and threonine metabolism [PATH:ko00260]|KEGG Orthology (KO)&gt;&gt;&gt;09100 Metabolism&gt;&gt;&gt;09106 Metabolism of other amino acids&gt;&gt;&gt;00460 Cyanoamino acid metabolism [PATH:ko00460]|KEGG Orthology (KO)&gt;&gt;&gt;09100 Metabolism&gt;&gt;&gt;09108 Metabolism of cofactors and vitamins&gt;&gt;&gt;00670 One carbon pool by folate [PATH:ko00670]|Enzymes&gt;&gt;&gt;2. Transferases&gt;&gt;&gt;2.1  Transferring one-carbon groups&gt;&gt;&gt;2.1.2  Hydroxymethyl-, formyl- and related transferases&gt;&gt;&gt;2.1.2.1  glycine hydroxymethyltransferase</t>
  </si>
  <si>
    <t>---MTASDVRYQPLHELDPEVAAAIAGELSRQRDTLEMIASENFVPRAVLQAQGSVLTNKYAEGYPGRRYYGGCEYVDVVEDLARDRAKAVFGAEYANVQPHAGAQANAAVLMALANPGDKIMGLSLAHGGHLTHGMKLNFSGKLYEVAAYGVDPETMRLDMDAVREQALKERPQVLIAGWSAYPRHVDFAAFRSIADEVGAKLWVDMAHFAGLVAAGLHPSPVPHADVVSTTVHKTLGGPRSGMILAKQDYAKA</t>
  </si>
  <si>
    <t>MSDATHNNVLYQPLSALDPEVATAMAGELARQRDTLEMIASENFVPRAVLQAQGSVLTNKYAEGYPGRRYYGGCENVDIVEDLAIARAKDVFGADYANVQPHAGAQANAAVLMALANPGEKIMGLSLAHGGHLTHGMKLNFSGKLYEVAAYGVDPETMRVDMDQVREQALAEKPDVIIAGWSAYPRHLDFAAFRSIADEVGAKLWVDMAHFAGLVAAGLHPSPVPHADVVSTTVHKTLGGPRSGMILAKEEWAKKLNSAVFPGQQGGPLMHAIAAKAVAMKIAGTEEFKERQQRTLDGARILAERLTAQDCAAAGVDVLTGGTDVHLVLADLRNSDMNGQEAEDLLHEVGITVNRNAVPNDPRPPMVTSGLRIGTPALATRGFDEAAFTEVADIIGTALAAGKGADVEALRARVSALAAQYPLYEGLEEWTLV</t>
  </si>
  <si>
    <t>----MTDDIQYQPLAEFDPDVAAAIAGELGRQRATLEMIASENFVPRSVLQAQGSVFTNKYAEGYPGRRYYGGCENSDIVENLARDRAKALFGAEFANVQPHAGAQANAAVLMALANPGDKIMGLALAHGGHLTHGMRLNFSGKLYQVVAYEVDPTTFRIDMDRVREQALAERPQVIIAGWSAYPRHQDFGAFRAIADEVGAKLWVDMAHFAGLVAAGLHPSPIPHADVVSTTVHKTLGGPRSGMILAKQEYAKA</t>
  </si>
  <si>
    <t>--MTVTDDIQYQPLAEFDPDVAAAIAGELGRQRATLEMIASENFVPRSVLQAQGSVFTNKYAEGYPGRRYYGGCENSDIVENLARDRAKALFGAEFANVQPHAGAQANAAVLMALANPGDKIMGLSLAHGGHLTHGMRLNFSGKLYQVVAYEVDPTTFRIDMDRVREQALAERPQVIIAGWSAYPRHQDFAAFRAIADEVGAKLWVDMAHFAGLVAAGLHPSPIPHADVVSTTVHKTLGGPRSGMILAKQEYAKA</t>
  </si>
  <si>
    <t>GC_00000208</t>
  </si>
  <si>
    <t>PF13507.12</t>
  </si>
  <si>
    <t>K23265</t>
  </si>
  <si>
    <t>phosphoribosylformylglycinamidine synthase subunit PurQ / glutaminase [EC:6.3.5.3 3.5.1.2]</t>
  </si>
  <si>
    <t>COG0047</t>
  </si>
  <si>
    <t>Phosphoribosylformylglycinamidine (FGAM) synthase, glutamine amidotransferase domain (PurL2) (PDB:1T3T)</t>
  </si>
  <si>
    <t>KEGG Orthology (KO)&gt;&gt;&gt;09100 Metabolism&gt;&gt;&gt;09104 Nucleotide metabolism&gt;&gt;&gt;00230 Purine metabolism [PATH:ko00230]|KEGG Orthology (KO)&gt;&gt;&gt;09100 Metabolism&gt;&gt;&gt;09105 Amino acid metabolism&gt;&gt;&gt;00250 Alanine, aspartate and glutamate metabolism [PATH:ko00250]|KEGG Orthology (KO)&gt;&gt;&gt;09100 Metabolism&gt;&gt;&gt;09105 Amino acid metabolism&gt;&gt;&gt;00220 Arginine biosynthesis [PATH:ko00220]|KEGG Orthology (KO)&gt;&gt;&gt;09100 Metabolism&gt;&gt;&gt;09106 Metabolism of other amino acids&gt;&gt;&gt;00470 D-Amino acid metabolism [PATH:ko00470]|Enzymes&gt;&gt;&gt;3. Hydrolases&gt;&gt;&gt;3.5  Acting on carbon-nitrogen bonds, other than peptide bonds&gt;&gt;&gt;3.5.1  In linear amides&gt;&gt;&gt;3.5.1.2  glutaminase|Enzymes&gt;&gt;&gt;6. Ligases&gt;&gt;&gt;6.3  Forming carbon-nitrogen bonds&gt;&gt;&gt;6.3.5  Carbon-nitrogen ligases with glutamine as amido-N-donor&gt;&gt;&gt;6.3.5.3  phosphoribosylformylglycinamidine synthase</t>
  </si>
  <si>
    <t>MSATIGVITFPGTLDDVDAARASRIAGAKVVDLWHADPDLKGVDAVVVPGGFSYGDYLRSGAISALAPVMRSVVDAANKGMPVLGICNGFQILTEAGLLPGALTRNEGLHFHCVDTYLEVENNSTAWTSTLDKGQKILIPAKHGEGRFQASEETVRQLEDEGRVVFRYTDNFNGSVNAIAGVCSANGRVVGLMPHPEHACELLTGPSLDGLELFVSVVKELEK</t>
  </si>
  <si>
    <t>MTAKIGVITFPGTLDDVDAARAVRYAGADAVSLWHADDDLKGVDAVVVPGGFSYGDYLRSGAISALAPVMRSVIDAAHKGMPVLGICNGFQILTESKLLPGALTRNEGLHFHCVDTFLTVENNTTAWTNTLDKGQDILIPSKHGEGRFQASAETIAMLEGEGRVVFRYTDNFNGSMNAIAGICSENQRVVGLMPHPEHAIDLLTGPSTDGLQLFLSAVGTFAA</t>
  </si>
  <si>
    <t>MSAKIGVITFPGTLDDVDAARAARLAGAEVVSLWHADADLKNVDAVVVPGGFSYGDYLRSGAISALAPVMQSVIDAAGRGMPVLGICNGFQILTEAHLLPGALTRNQGLHFHCTDAYLTVENNTTAWTNTLEVGQKILIPSKHGEGRFQAAPETVRELEAEGRVVFRYTDNYNGSVNAIAGITNETGRVVGLMPHPEHAVELLTGPSLDGLQLFLSAVGSIAA</t>
  </si>
  <si>
    <t>GC_00000209</t>
  </si>
  <si>
    <t>PF03477.21</t>
  </si>
  <si>
    <t>ATP cone domain</t>
  </si>
  <si>
    <t>K07738</t>
  </si>
  <si>
    <t>transcriptional repressor NrdR</t>
  </si>
  <si>
    <t>COG1327</t>
  </si>
  <si>
    <t>Transcriptional regulator NrdR, contains Zn-ribbon and ATP-cone domains (NrdR)</t>
  </si>
  <si>
    <t>MHCPFCHNSHSQVIDSRVVDGGSAIRRRRVCTECDRRFTTMEKSVLLVMKRNGITEPFSREKVIQGVRRACQGRDVSDDALKRLAQEVEEAIRSQGRSQVNANDIGLAILDPLRQLDEVAYLRFASVYRGFDSADDFLAEIRRMKRLNRDEFESL-------</t>
  </si>
  <si>
    <t>PF22811.2</t>
  </si>
  <si>
    <t>Transcriptional repressor NrdR-like, N-terminal domain</t>
  </si>
  <si>
    <t>MYCPFCHKDQSKVIDSRTIESGATIRRRRECTSCGGRFTTVEKALLIVVKRNGLTEPFSRDKVIVGVKRACQGRDVSEDALKRLAQTVEESVRSHGGSQVHANDIGLAILDPLRELDEVAYLRFASVYKSFESAEDFESEIRMMRRQSRLAARSSESHRSRR</t>
  </si>
  <si>
    <t>MHCPFCQNKQSKVIDSRVIDGGTAIRRRRECSACNGRFTTIEKAQLLVIKRNGLTEPFSREKVITGVRRACQGRNVSEDALKRLAQEVEEVVRSHGSSQIHANFIGRAILDPLRELDEVAYLRFASVYKSFESAADFEAEIRQMRRRDRGL-----------</t>
  </si>
  <si>
    <t>GC_00000210</t>
  </si>
  <si>
    <t>PF17136.10</t>
  </si>
  <si>
    <t>Ribosomal proteins 50S L24/mitochondrial 39S L24</t>
  </si>
  <si>
    <t>K02895</t>
  </si>
  <si>
    <t>large subunit ribosomal protein L24</t>
  </si>
  <si>
    <t>COG0198</t>
  </si>
  <si>
    <t>Ribosomal protein L24 (RplX) (PDB:1VS6)</t>
  </si>
  <si>
    <t>MKIHKGDNVLVISGPDKGVKGKVIQAFPKTEKVLVEGVNRIKKHVANSAPERGAESGGIVTQEAPIHVSNVMVLDSDGNPTRVGYRVDENGKRVRISRKNGKDI</t>
  </si>
  <si>
    <t>MKIRKGDNVIVIAGRDKGATGKVIQAFPKIDKVLVEGVNKIKKHVANSAPERGAESGGIVTQEAPIHVSNVMILDADGQPTRIGYRFDENGKKVRISRRTGKDI</t>
  </si>
  <si>
    <t>MKVHKGDMVLVISGPDKGAKGKVIQAFPQKDKVLVEGVNRVKKHVANSAPERGASSGGIVTQEAPIHVSNVMVLDSDGVPTRVGYRFDENGKKVRVSRRTGKDI</t>
  </si>
  <si>
    <t>GC_00000211</t>
  </si>
  <si>
    <t>PF00144.29</t>
  </si>
  <si>
    <t>Beta-lactamase</t>
  </si>
  <si>
    <t>COG1680</t>
  </si>
  <si>
    <t>CubicO group peptidase, beta-lactamase class C family (AmpC) (PDB:1BLS)</t>
  </si>
  <si>
    <t>MSIAVSSSAGDQFSIRGMQQPPHTDPLARTLAQVDDWPVDSVAAGLIDQGKTYYAGTVDTDYRFPLASVTKPLVAYAVAVAVEEGVFEWDTACGPEGSTVRHLLAHASGVGFDTPEPQKPVGQRRIYSSAGFELLADAVEAETGIAFPEYFRQALCEPLGL-GATLDGSAGHGVTASLRDVMTFVKEVLQPSLIHPSTLKEMLSIQYPELAGVVPGYGSFTPCPWGLGFEVKGSKGTAGREHWTGTRLPARTVGHFGQSGTFMWVDPQAERGCVVLTDRAFGPWAKPLWAEFNDELSGALTPPYAG</t>
  </si>
  <si>
    <t>------------------------------------MP-NAAGAVFTNGTTVATAG--DQNRIFELASVTKLLSAYSFMVAVEEGVFDLDTVITKQGATVRHLLSHAGGVGFREEDSRKPVGTRRIYSSYGFELLGDRLVSETQMGLGEYFTAAVFEPLGMVNTTLWGSPGHEARSTVADLRRFVAEIMAPTLLDPATVAEMWTPQYPELNGIVPGYGMFKPCPWGLGFEIKGAKT----PHWTGTQLPSDTVGH</t>
  </si>
  <si>
    <t>GC_00000212</t>
  </si>
  <si>
    <t>PF00206.25</t>
  </si>
  <si>
    <t>Lyase</t>
  </si>
  <si>
    <t>K01679</t>
  </si>
  <si>
    <t>fumarate hydratase, class II [EC:4.2.1.2]</t>
  </si>
  <si>
    <t>COG0114</t>
  </si>
  <si>
    <t>Fumarate hydratase class II (FumC) (PDB:1KQ7)</t>
  </si>
  <si>
    <t>M00009|M00011|M00982|M00173|M00376|M00613|M00614</t>
  </si>
  <si>
    <t>Citrate cycle (TCA cycle, Krebs cycle)|Citrate cycle, second carbon oxidation, 2-oxoglutarate =&gt; oxaloacetate|Methylcitrate cycle|Reductive citrate cycle (Arnon-Buchanan cycle)|3-Hydroxypropionate bi-cycle|Anoxygenic photosynthesis in green nonsulfur bacteria|Anoxygenic photosynthesis in green sulfur bacteria</t>
  </si>
  <si>
    <t>Pathway modules; Carbohydrate metabolism; Central carbohydrate metabolism|Pathway modules; Carbohydrate metabolism; Central carbohydrate metabolism|Pathway modules; Carbohydrate metabolism; Other carbohydrate metabolism|Pathway modules; Energy metabolism; Carbon fixation|Pathway modules; Energy metabolism; Carbon fixation|Signature modules; Module set; Metabolic capacity|Signature modules; Module set; Metabolic capacity</t>
  </si>
  <si>
    <t>KEGG Orthology (KO)&gt;&gt;&gt;09100 Metabolism&gt;&gt;&gt;09101 Carbohydrate metabolism&gt;&gt;&gt;00020 Citrate cycle (TCA cycle) [PATH:ko00020]|KEGG Orthology (KO)&gt;&gt;&gt;09100 Metabolism&gt;&gt;&gt;09101 Carbohydrate metabolism&gt;&gt;&gt;00620 Pyruvate metabolism [PATH:ko00620]|KEGG Orthology (KO)&gt;&gt;&gt;09100 Metabolism&gt;&gt;&gt;09102 Energy metabolism&gt;&gt;&gt;00720 Other carbon fixation pathways [PATH:ko00720]|Enzymes&gt;&gt;&gt;4. Lyases&gt;&gt;&gt;4.2  Carbon-oxygen lyases&gt;&gt;&gt;4.2.1  Hydro-lyases&gt;&gt;&gt;4.2.1.2  fumarate hydratase</t>
  </si>
  <si>
    <t>--MTEYRIEHDTMGEVKVPVDALWRAQTQRAVENFPISGRGLESAQIRAMGLLKAACAQVNKDRGLLPAEKADAIITAAKAVAEGKHDAEFPIDVFQTGSGTSSNMNTNEVIASLCAQAGVEVHPNDDVNMGQSSNDTFPTATHVAATEAAVTDLIPGLKVLQTSLENKAKEWENVVKSGRTHLMDAVPVTLGQEFAGYARQIEAGIERVEATLPRLGELPIGGTAVGTGLNTPADFGAKVVAELVNLTDVKELR</t>
  </si>
  <si>
    <t>MTEQEFRIEHDTMGEVKVPVNALWRAQTQRAVENFPISGRGLESAQIRAMGLLKAACAQVNKDRGLLDAAKADAIIAAAKEIADGKHDAEFPIDVFQTGSGTSSNMNTNEVIASIAAKNGVEVHPNDDVNMGQSSNDTFPTATHVAATEAAVKDLIPGLKVLQESLAKKAKEWENVVKSGRTHLMDAVPVTLGQEFSGYARQIQAGIERVEATLPRLGELPIGGTAVGTGLNTPADFGGKVTAELVNLTGVKELRECVNHFEAQANRDGLVEFSGAMRSIAVSLTKMANDIRWMGSGPLTGLAEIHLPDLQPGSSIMPGKVNPVLCETATQVAAQVIGNDAAVAFGGAQGAFELNVFIPMMARNVLESARLLGNTARVFATKLVDGIEPNEERMKTLAESSPSIVTPLNSAIGYENAAKVAKTALKEGKTIRQMVIDLGFVDGDNLTEEELDKRLNVLDMCNTDRDQ</t>
  </si>
  <si>
    <t>--MTEYRIEHDTMGEVKVPVDALWRAQTQRAVENFPISGRGLQPAQIRAMGLLKAACAQVNKDRGLLTDEQADAIIAAAKEIADGKHDAEFPIDVFQTGSGTSSNMNTNEVIASIAKANGVEVHPNDHVNMGQSSNDTFPTATHIAATEAAVTVLIPALKVLHDSLAAKAKEWEHVVKSGRTHLMDAVPVTLGQEFSGYARQIAAGIERVEATLPRLGEVPIGGTAVGTGLNTPADFGAKVVAELVKLTNVTELK</t>
  </si>
  <si>
    <t>GC_00000213</t>
  </si>
  <si>
    <t>MLNAVAVNVVAQAER-SGPLGPEFGKASPVGLLVIVLLFVAVLCIGWAVTRRIRRLNRRREFAEANGLDVFDVAAVDAAMAEQGLAEVGKKRFF</t>
  </si>
  <si>
    <t>GC_00000214</t>
  </si>
  <si>
    <t>PF08281.18</t>
  </si>
  <si>
    <t>Sigma-70, region 4</t>
  </si>
  <si>
    <t>MTELAAELTPAQRFEQDALPLLDQLYGGALRMTRNPADAEDLVQETYVKAFQAFERFKPGTNLKAWLYRIMTNTYINSYRKAQRRPSQLPTEEITDYQLLSHASHDSSGLESAEVEALKLLPDSQITEALNQLSEDYRMVVYYSDVEGLPYKEIAEIMDTPLGTVMSRLHRGRKQLRDLLKEVAHEQGIGLDYEKGGTK---------</t>
  </si>
  <si>
    <t>MVATTPELQE--RFEAEALPLIDQLYGGALRMTRNPADAEDLVQETYIKAFQAFESFTPGTNLKAWLYRIMTNAYINSYRKKQRQPLHSSAEDVTDYQLLDSSTHTAVGLESAEVAALKRLPDQTISNAMNGLAEDYRMVVYYADVEGLSYKEIAEIMGTPVGTVMSRLHRGRKQLRETLKDVAHEYGIDVSAVEKQ-----------</t>
  </si>
  <si>
    <t>GC_00000215</t>
  </si>
  <si>
    <t>K22306</t>
  </si>
  <si>
    <t>glucosyl-3-phosphoglycerate phosphatase [EC:3.1.3.85]</t>
  </si>
  <si>
    <t>KEGG Orthology (KO)&gt;&gt;&gt;09190 Not Included in Pathway or Brite&gt;&gt;&gt;09191 Unclassified: metabolism&gt;&gt;&gt;99980 Enzymes with EC numbers|Enzymes&gt;&gt;&gt;3. Hydrolases&gt;&gt;&gt;3.1  Acting on ester bonds&gt;&gt;&gt;3.1.3  Phosphoric-monoester hydrolases&gt;&gt;&gt;3.1.3.85  glucosyl-3-phosphoglycerate phosphatase</t>
  </si>
  <si>
    <t>MSRKLFLLRHGQTEYNATGRMQGQLDTELSAVGRKQADIAAQYLSRQHIGRIISSDLSRAKTTAQAVASKLDVPVEIDKRLRETNLGQWQGKSHAEVDGALPGARAQWRHDATWAPPGGETRLEVADRARAVVDEMMASWEQWDDDHALLLVAHGGTIGALTSALLDVPVSHYPMFSGLKNTCWAELTARPKFEASRADQGVGE--------FAGAE--SAQWYLDGWNI----GQVMR</t>
  </si>
  <si>
    <t>MTRKLIMLRHGQTEYNASGRMQGQMDTKLSDVGIRQAEAVARYMKGVNIGYVVSSDLSRAAETARIVASSRGLPVHLDPRLRETNLGDWQGQSREDVDRDYPGARAQWRHNALWAPPGGESRIEVARRARDVINELMLAHPGWDDG-AVLLVAHGGTIGSLTSDLLELSIEQHHMFTGLKNTNWARLTARPRYSEEPNANGEGDPPVVPQPRFTPDTLGDAQWYLDGWNMSVAPGLEAG</t>
  </si>
  <si>
    <t>MTRRLIMLRHGQTDYNATRRMQGHLNTKLSPVGFEQAAAAADFLTNKNIIKIVSSDLDRAFDTATVIGQRLNLPVEKDERLRETHLGLWQSRSHDEVDQLYPGMRALWRHDATWAPPGGESRVEVARRARPVVTELMQSLADWDSA-TVLLVAHGGIISALTSNLLELQVQQYPLFSGLGNACGSQLTARPRWSAAEDQEQSTP------PEFSPATVADAQWYLDGWNI----GVSA-</t>
  </si>
  <si>
    <t>MTRRLIMLRHGQTDYNATRRMQGHLNTKLSPVGFEQAAAAADFLTNKNIIKIVSSDLDRAFDTATVIGQRLNLPVEKDERLRETHLGLWQSRSHDEVDQLYPGMRALWRHDATWAPPGGESRVEVARRARPVVTELMQSLADWDSA-TVLLVAHGGIISALTSNLLELQVRQYPLFSGLGNACGSQLTARPRWSAAEDREQLTP------PEFSPATVADAQWYLDGWNI----GVSA-</t>
  </si>
  <si>
    <t>GC_00000216</t>
  </si>
  <si>
    <t>PF13091.12</t>
  </si>
  <si>
    <t>PLD-like domain</t>
  </si>
  <si>
    <t>K06131</t>
  </si>
  <si>
    <t>cardiolipin synthase A/B [EC:2.7.8.-]</t>
  </si>
  <si>
    <t>COG1502</t>
  </si>
  <si>
    <t>Phosphatidylserine/phosphatidylglycerophosphate/cardiolipin synthase (Cls) (PDB:1BYR)</t>
  </si>
  <si>
    <t>KEGG Orthology (KO)&gt;&gt;&gt;09100 Metabolism&gt;&gt;&gt;09103 Lipid metabolism&gt;&gt;&gt;00564 Glycerophospholipid metabolism [PATH:ko00564]</t>
  </si>
  <si>
    <t>---MIHTFASVVPFDSSLSTWQWVALFIEYTIKIVAIGWVPAGRKPSSSSAWLLAILLIPLIGLPLFLLMGSPYINGRRHRIQREANEVIQDVQADLPDVP---APVSPELASIIHLNRVLTGMPAVVGWNQGLHSDYEQSIQAMADAVDAAENYVYVEIYIVAWDHTTDVFFSALQRAAARGVDVRLLFDQVGSWKYPGYRKLGRRLTQAGVNWRMMLPLAPWKWRFRRPDLRNHRKLLIVDGQRAFMGSQNMI</t>
  </si>
  <si>
    <t>MNINIE-----------LGQWQTIGLIIDYSIKLVAIGFVPENRRPSSSNAWLLVILALPYLGLPLFLSMGSPYINQRRHRVQEAATQQIINVHKNVPDYPEGVVNLNPELASVIKLNRTLTAMPAVTGTNHGVHSNYEETIAAMAQAVDKAKHYVHVEIYIVAWDNTTDVFFRALARAVQRGVKVRLLLDHIGSRKYPGFHKLGHRLDAIGVEWYLMLPLLPLRWRWRRPDLRNHRKMLIIDGERGFLGSLNMIDSSYLMPKNIREGRHWVDVMVELSGPVIASMNTIFAVDWLMESDELLEIVDQAH--PEIDHDQVNVVQLVPSGPGYSTEPNLRMFNSIIHHAKERLVMCSPYFIPDESMLEAVTSACYRGVRVELLVSEQADQFAVGHAQSSYYQALLEAGVHIYLYKAPYVLHSKYVLADPDSPDAVGAVGSSNMDMRSFGLNYEVSLMITRGNIIAQLDDLTNEYLRNSTELTLDEWNNRSYARRYVDNIMRLTSALQ</t>
  </si>
  <si>
    <t>GC_00000217</t>
  </si>
  <si>
    <t>PF04551.19</t>
  </si>
  <si>
    <t>GcpE protein</t>
  </si>
  <si>
    <t>K03526</t>
  </si>
  <si>
    <t>(E)-4-hydroxy-3-methylbut-2-enyl-diphosphate synthase [EC:1.17.7.1 1.17.7.3]</t>
  </si>
  <si>
    <t>COG0821</t>
  </si>
  <si>
    <t>4-hydroxy-3-methylbut-2-en-1-yl diphosphate synthase IspG/GcpE (IspG) (PDB:2Y0F)</t>
  </si>
  <si>
    <t>KEGG Orthology (KO)&gt;&gt;&gt;09100 Metabolism&gt;&gt;&gt;09109 Metabolism of terpenoids and polyketides&gt;&gt;&gt;00900 Terpenoid backbone biosynthesis [PATH:ko00900]|Enzymes&gt;&gt;&gt;1. Oxidoreductases&gt;&gt;&gt;1.17  Acting on CH or CH2 groups&gt;&gt;&gt;1.17.7  With an iron-sulfur protein as acceptor&gt;&gt;&gt;1.17.7.1  (E)-4-hydroxy-3-methylbut-2-enyl-diphosphate synthase (ferredoxin)|Enzymes&gt;&gt;&gt;1. Oxidoreductases&gt;&gt;&gt;1.17  Acting on CH or CH2 groups&gt;&gt;&gt;1.17.7  With an iron-sulfur protein as acceptor&gt;&gt;&gt;1.17.7.3  (E)-4-hydroxy-3-methylbut-2-enyl-diphosphate synthase (flavodoxin)</t>
  </si>
  <si>
    <t>MSTPIGLGLPEAP--LPTLAPRRKTRQLKVGSVGVGSDSPISVQSMTTTKTHDVNATLQQIAQLTASGCDIVRVACPKTIDAEALPQIAKKSPIPVIADIHFQPKYIFAAIDAGCAAVRVNPGNIKEFDGRVKEVAKAAGDAGIPIRIGVNAGSLDKRLLEKYGKATPEALVESALWEASLFEEHGFGDIKISVKHNDPVVMVEAYRQLAAQCDYPLHLGVTEAGPAFQGTIKSAVAFGALLSEGIGDTIRVSLSADPKEEVKVGDQILQSLNLRPRKLEIVSCPSCGRAQVDVYTLAEEVTAGLEGMEVPLRVAVMGCVVNGPGEARDADLGVASGNGKGQIFVKGEVIKTVPESQIVETLIEEAMKIAETME-PVEGLGGPQVKITN</t>
  </si>
  <si>
    <t>MATPIGLGIPDAP--LPTLAPRRKTRQLQVGSVGVGSEHPISVQSMTTTKTHDINATLQQIAQLTASGCDIVRVACPKTVDAEALPIIAKKSPIPVIADIHFQPKYIFAAIDAGCAAVRVNPGNIKEFDGRVKEVAKAAAEAGIPIRIGVNAGSLDKRLMEKYGKATPEALVESALWEASLFEEHGFGDIKISVKHNDPVVMVEAYRQLAAQSDYPLHLGVTEAGPAFQGTIKSSVAFGALLSEGIGDTIRVSLSADPKEEVKVGDQILQSLNLRPRKLEIVSCPSCGRAQVDVYTLAEEVTAGLEGMEVPLRVAVMGCVVNGPGEARDADLGVASGNGKGQIFVKGEVIKTVPESQIVETLIEEAMKIAETME-DTTMTGSPEVKVTR</t>
  </si>
  <si>
    <t>MSTPVGLGLPTQAEEVPVLAPRRKTRQLMVGSVGVGSDYPVSVQSMTTTKTHDINATLQQIAQLTASGCDIVRVACPKPIDADALPTIAKKSPIPVIADIHFQPKYIFAAIDAGCAAVRVNPGNIKEFDGRVKEVAHAARDAGIPIRIGVNAGSLDKRLLAKYGKATPEALVESALWEASLFEEHGFGDIKISVKHNDPVIMVSAYRQLAEQCDYPLHLGVTEAGPAFQGTIKSAVAFGALLSEGIGDTIRVSLSADPKEEVKVGDQILQSLNLRERGLEIVSCPSCGRAQVDVYTLAEEVTAALDGMDIPFRVAVMGCVVNGPGEARDADLGVASGNGKGQIFVKGEVIKTVPESQIVETLIEEAIKLAEEQGLEIKEGGAAKISITK</t>
  </si>
  <si>
    <t>GC_00000218</t>
  </si>
  <si>
    <t>K21688</t>
  </si>
  <si>
    <t>resuscitation-promoting factor RpfB</t>
  </si>
  <si>
    <t>COG3583</t>
  </si>
  <si>
    <t>Uncharacterized conserved protein YabE, contains G5 and tandem DUF348 domains (YabE) (PDB:5E27)</t>
  </si>
  <si>
    <t>MELTFSVTTHKKSQIDRLNGSTSVPLRMATGSMLATLLVGGGLAVVNKKDVTIDVNGQQMDLVTMSNSVEGALKQAGIKIGPDDLIVPSPSERLTRTESIKVRSAKSVAVVVDGQEKTIKSTALTVDELVSEIGSEIGGVNEGDLLSKGRDTVIPADGMKLDITRPKVVSINDGGDVTYTQMAASNVGDLLRRRNINLNPEDVVTPSITSPVKAGMDVRIDRVRTDQVRETVPFEVPANYKDDATAFEGDEVVEEAGTPGSKEVKRSIRIVNGKEESNTVISEKEVTPAKPATIKRGTKAKSSAPSVANGSVWDSLAQCEAGGNWAINTGNGFSGGLQFTPSTWLAYGGGQYAPQAHLATREQQIAVASKVQAGQGWGAWPACTAKLGLR</t>
  </si>
  <si>
    <t>MELTFSVTTHKKSQIDRLNGSTSVPLRMATGSMLATLLVGGGLAVVNKKDVTIDVNGQQMDLVTMSNSVEGALKQAGIKIGPDDLIVPSPNERLTRTESIKVRSAKSVAVVVDGQEKTIKSTALTVDELVSEIGSEIGGVNEGDLLSKGRDTVIPADGMKLDITRPKVVSINDGGDVTYTQMAASNVGDLLRRRNINLNPEDVVTPSITSPVKAGMDVRIDRVRTDQVRETVPFEAPANYKDDATAFEGDEVVEEAGTPGSKEVKRSIRIVNGKEESNTVISEKEVTPAKPATIKRGTKAKSSAPSVANGSVWDSLAQCEAGGNWAINTGNGFSGGLQFTPSTWLAYGGGQYAPQAHLATREQQIAVASKVQAGQGWGAWPACTAKLGLR</t>
  </si>
  <si>
    <t>GC_00000219</t>
  </si>
  <si>
    <t>PF14012.11</t>
  </si>
  <si>
    <t>Protein of unknown function (DUF4229)</t>
  </si>
  <si>
    <t>MSEDPTPHEDHTQSSASPDPASAPPERDPQLRREARNNVIKYGAARFGLFLALTILIQLVSALVVEPLPIYIAALLALIVAFPLSVFVFKNLRLKTTAAVAEWDAQRKAYKEWVKQELSSR</t>
  </si>
  <si>
    <t>GC_00000220</t>
  </si>
  <si>
    <t>PF03462.23</t>
  </si>
  <si>
    <t>PCRF domain</t>
  </si>
  <si>
    <t>K02835</t>
  </si>
  <si>
    <t>peptide chain release factor 1</t>
  </si>
  <si>
    <t>COG0216</t>
  </si>
  <si>
    <t>Protein chain release factor RF1 (PrfA) (PDB:1RQ0)</t>
  </si>
  <si>
    <t>MASASGHQVSAVDDILAEYQGLEAQLADPELHNDAAAARRVGKRYSELQPIIKVHTELERVRDDLGAANEMAHEDSEFAAEAERLAGEEVALEEKLADLLAPRDPHDGDDVVMEIKSGAGGEEAALFAGELARMYQRYAERHGFTTEVLGVNESDLGGVKDMTMTIRSKQPSRDGAWSVFKFEGGVHRVQRVPVTESQGRIQTSAAGVLVYPEPDEVAEVEIDDKDIRVDVYRSSGKGGQGVNTTDSAVRITHLPTGIVVTCQKERSQIQNKARAMQVLAARLQQLAEEEADAEAAAGRAAQIRTMDRSERIRTYNWPENRVSDHRIGYKANNLDSVLNGDLEDLFTALQAADRAARLEAE</t>
  </si>
  <si>
    <t>----MANQVSAVDDILAEYQGLEAQLSDPELHNDPVQARKVGKRYSELQPIIKVHAELSQVREDLEAAQEMAYEDAEFAAEAERLAEESVQLEEKLADLLAPRDPHDSDDIVMEIKSGAGGEEAALFASELARMYQRYAEKHGFATEILGLSESDLGGVKDMTLSIRSKQPSRDGAWSVFKFEGGVHRVQRVPVTESQGRIQTSAAGVLVYPEPDEVEAVEIDDKDIRVDVYRSSGKGGQGVNTTDSAVRITHLP</t>
  </si>
  <si>
    <t>-MASQSHQVSAVDDIVSEYQGIEAQMSDPETVGDQALFRKLSKRYSELQPIMKVNTALEQARADLADAKEMAYEDSEFAPEADRLAGEVVELEEKLADLLAPRDPHDGDDIVMEIKAGAGGEEAALFAGELVRMYQRYADKHGFSTEVLGLSESDLGGVKDMTLSIRSKQPSRDGAWSVFKFEGGVHRVQRVPVTESQGRIQTSAAGVLVYPEPDEIAAVEIDDKDIRVDVYRSSGKGGQGVNTTDSAVRITHLP</t>
  </si>
  <si>
    <t>GC_00000221</t>
  </si>
  <si>
    <t>PF00072.30</t>
  </si>
  <si>
    <t>Response regulator receiver domain</t>
  </si>
  <si>
    <t>K02483</t>
  </si>
  <si>
    <t>two-component system, OmpR family, response regulator</t>
  </si>
  <si>
    <t>COG0745</t>
  </si>
  <si>
    <t>DNA-binding response regulator, OmpR family, contains REC and winged-helix (wHTH) domain (OmpR) (PDB:1XHF)</t>
  </si>
  <si>
    <t>ko02022</t>
  </si>
  <si>
    <t>Two-component system&gt;&gt;&gt;OmpR family&gt;&gt;&gt;Unclassified</t>
  </si>
  <si>
    <t>--------------------------MARVLVVDDEPNIVELLSVSLKFQGFEVETAGSAAEALKKADVFQPEAFILDVMMPGMSGFDLLPQLRAKGFDGPVLFLTAKDAVEHRIHGLTIGADDYVTKPFSLEEVITRLRVILRRSSATQEDDTPSTELSYADLTLNDATHEVTKGGKIVELSPTEFNLLQYLMLNAEVVLSKAKILDAVWHYDFGGDGNIVESYISYLRRKIDP-DQELIHTVRGVGYVLRLPR</t>
  </si>
  <si>
    <t>MAAATSDTNNDSMDDMSIQSTSSNQPPTRVLVVDDEPNIVELLSVSLKFQGFEVATAKSGMEALRVARDFRPDAFILDVMMPGMDGFELLPRLRADGLDGPVLYLTAKDAVENRIHGLTIGADDYVTKPFSLEEVITRLRVILRRGQLHTETADEDSTLSYADITLNDDTHEVTKAGEIVELSPTEFNLLRYLMLNAEVVLSKAKILDNVWHYDFGGDGNVVESYISYLRRKIDTSDPQLIHTVRGVGYVLRTPRTTPKT</t>
  </si>
  <si>
    <t>----------------------MKENSTKVLVVDDEPNIVELLTVSLKFQGFEVATATSGLQALEVAPEFKPDAFILDVMMPGMDGFELLPKLRALGFEGPVLFLTAKDAVEHRIHGLTIGADDYVTKPFSLEEVITRLRVILRRGAQVAEEVEDDNVLTYDDLVLNDDTHEVTKGGTVVELSPTEFNLLRYLMLNAEVVLSKPKILDNVWHYDFGGDGNVVESYISYLRRKIDTGDVPLIHTVRGVGYVLRKPR</t>
  </si>
  <si>
    <t>GC_00000222</t>
  </si>
  <si>
    <t>PF00298.24</t>
  </si>
  <si>
    <t>Ribosomal protein L11, RNA binding domain</t>
  </si>
  <si>
    <t>K02867</t>
  </si>
  <si>
    <t>large subunit ribosomal protein L11</t>
  </si>
  <si>
    <t>COG0080</t>
  </si>
  <si>
    <t>Ribosomal protein L11 (RplK) (PDB:2E34)</t>
  </si>
  <si>
    <t>MAPKKKVTGLIKLQIQAGQANPAPPVGPALGAHGVNIMEFCKAYNAATENQRGNVVPVEITVYEDRSFDFKLKTPPAAKLLLKAAGLQKGSGVPHTQKVGKVTMAQVKEIAETKKEDLNANDIEAAAKIIAGTARSMGIEVEG</t>
  </si>
  <si>
    <t>MPPKKKVSGLIKLQIQAGQANPAPPVGPALGAHGVNIMEFCKAYNAATEQQRGNVIPVEITVYEDRSFTFKLKTPPAAKLLLKAAGLQKGSGVPHTQKVGKVTMDQVREIAQTKMEDLNANDIDAAAKIIAGTARSMGIEVEG</t>
  </si>
  <si>
    <t>MAPKKKVSGLIKLQIEAGAANPAPPVGPALGAHGVNIMEFCKAYNAATESQRGNVVPVEITVYEDRSFTFKLKTPPAAKLLLKAAGLQKGSGVPHTQKVGKVTMDQVREIAQTKLEDLNANDIDAAAKIIAGTARSMGIEVEG</t>
  </si>
  <si>
    <t>GC_00000223</t>
  </si>
  <si>
    <t>PF01063.24</t>
  </si>
  <si>
    <t>Amino-transferase class IV</t>
  </si>
  <si>
    <t>K00826</t>
  </si>
  <si>
    <t>branched-chain amino acid aminotransferase [EC:2.6.1.42]</t>
  </si>
  <si>
    <t>COG0115</t>
  </si>
  <si>
    <t>Branched-chain amino acid aminotransferase/4-amino-4-deoxychorismate lyase (IlvE) (PDB:1A3G)</t>
  </si>
  <si>
    <t>M00019|M00570|M00036|M00119</t>
  </si>
  <si>
    <t>Valine/isoleucine biosynthesis, pyruvate =&gt; valine / 2-oxobutanoate =&gt; isoleucine|Isoleucine biosynthesis, threonine =&gt; 2-oxobutanoate =&gt; isoleucine|Leucine degradation, leucine =&gt; acetoacetate + acetyl-CoA|Pantothenate biosynthesis, valine/L-aspartate =&gt; pantothenate</t>
  </si>
  <si>
    <t>Pathway modules; Amino acid metabolism; Branched-chain amino acid metabolism|Pathway modules; Amino acid metabolism; Branched-chain amino acid metabolism|Pathway modules; Amino acid metabolism; Branched-chain amino acid metabolism|Pathway modules; Metabolism of cofactors and vitamins; Cofactor and vitamin metabolism</t>
  </si>
  <si>
    <t>ko00001|ko00001|ko00001|ko00001|ko00001|ko01000|ko01007</t>
  </si>
  <si>
    <t>KEGG Orthology (KO)&gt;&gt;&gt;09100 Metabolism&gt;&gt;&gt;09105 Amino acid metabolism&gt;&gt;&gt;00270 Cysteine and methionine metabolism [PATH:ko00270]|KEGG Orthology (KO)&gt;&gt;&gt;09100 Metabolism&gt;&gt;&gt;09105 Amino acid metabolism&gt;&gt;&gt;00280 Valine, leucine and isoleucine degradation [PATH:ko00280]|KEGG Orthology (KO)&gt;&gt;&gt;09100 Metabolism&gt;&gt;&gt;09105 Amino acid metabolism&gt;&gt;&gt;00290 Valine, leucine and isoleucine biosynthesis [PATH:ko00290]|KEGG Orthology (KO)&gt;&gt;&gt;09100 Metabolism&gt;&gt;&gt;09108 Metabolism of cofactors and vitamins&gt;&gt;&gt;00770 Pantothenate and CoA biosynthesis [PATH:ko00770]|KEGG Orthology (KO)&gt;&gt;&gt;09100 Metabolism&gt;&gt;&gt;09110 Biosynthesis of other secondary metabolites&gt;&gt;&gt;00966 Glucosinolate biosynthesis [PATH:ko00966]|Enzymes&gt;&gt;&gt;2. Transferases&gt;&gt;&gt;2.6  Transferring nitrogenous groups&gt;&gt;&gt;2.6.1  Transaminases&gt;&gt;&gt;2.6.1.42  branched-chain-amino-acid transaminase|Amino acid related enzymes&gt;&gt;&gt;Aminotransferase (transaminase)&gt;&gt;&gt;Class IV</t>
  </si>
  <si>
    <t>--MAPLNFEINRVANPTTAEQLEEILNNPGFGKYFTDHMVTIDWSADKGWHNAQVTGYDNICLDPATSVFHYGQAIFEGLKAYRQADGSIKTFRPEANAERLNSSARRLAMPELPVEDFVEALRVLVDVDQAWVPPAGGEESLYLRPFMISTEASLGVHPSNAYKFVVIASPAGAYFSGGINPVSVWLCEDYVRACPGGTGAAKFAGNYAASLLAQAQAAEKGCDQVVWLDALTHSNVEEMGGMNLFFVLGEGTG</t>
  </si>
  <si>
    <t>MYMTDLVFNVERTSNPTSPERLAEILANPGFGHYRTDHMVTIDWTEDKGWHNAAVVPYAPISLDPVASVLHYGQAIFEGLKAYRQPDGSIKTFRPEANAERMQRSAERMAMPKLPTELFIESLRMLVDIDQDWVPAAGGEESLYLRPFMIATEPSLGVRPANSYTFMLVASPAGAYFKGGINPVSVWLSEDYVRACPGGTGAAKFAGNYAASLVAQAQATEKGCDQVVWLDAIERTYVEEMGGMNLFFVYGTGND---ARVVTPRLSGSLLPGVTRASLLQVAQDLGYSVSEELVSTESWRDDALSGAMSETFACGTAAVITPVGKVKSNHGDFTIGGGVSGEITMQLRETLTGIQRGTIDDTHGWMHTLV---</t>
  </si>
  <si>
    <t>GC_00000224</t>
  </si>
  <si>
    <t>PF08436.17</t>
  </si>
  <si>
    <t>1-deoxy-D-xylulose 5-phosphate reductoisomerase C-terminal domain</t>
  </si>
  <si>
    <t>K00099</t>
  </si>
  <si>
    <t>1-deoxy-D-xylulose-5-phosphate reductoisomerase [EC:1.1.1.267]</t>
  </si>
  <si>
    <t>COG0743</t>
  </si>
  <si>
    <t>1-deoxy-D-xylulose 5-phosphate reductoisomerase (Dxr) (PDB:1JVS)</t>
  </si>
  <si>
    <t>KEGG Orthology (KO)&gt;&gt;&gt;09100 Metabolism&gt;&gt;&gt;09109 Metabolism of terpenoids and polyketides&gt;&gt;&gt;00900 Terpenoid backbone biosynthesis [PATH:ko00900]|Enzymes&gt;&gt;&gt;1. Oxidoreductases&gt;&gt;&gt;1.1  Acting on the CH-OH group of donors&gt;&gt;&gt;1.1.1  With NAD+ or NADP+ as acceptor&gt;&gt;&gt;1.1.1.267  1-deoxy-D-xylulose-5-phosphate reductoisomerase</t>
  </si>
  <si>
    <t>MSVDSHKGSRSGDFAGVVDFCARADGVQTTPDTPARRVVILGSTGSIGTQALELIADNPGRFDVVGIAVGGGQPDLLIAQIKQLGVDPACVAVADEAVAWRI-----GAGFSGPHAAEELVAATSPDLVLNALVGSLGLGATLAALDCGAQLALANKESLIAGGNLVISRASHGQIVPVDSEHSAMAQCLAASMGRRLDHLVLTASGGPFRGWSAAELESITVEQALKHPTWSMGQMNTLNSATLVNKGLEFIEACYLFGLRPEQIEVVVNPQSIVHSMATFEDGCTMAQASDPSMKLPIALGLNWPASLPGAQAGLDFS--RPQQWTFEPVDDAVFPAVDLARAAARAGGMVPAVYNASNEEAVAAFVDGRISFPRISATIEQVMGRLGSYTESPTCVEDVLAVEADARRVAHEVIAGFVA</t>
  </si>
  <si>
    <t>------------------------------MEIVRKRILILGSTGSIGTQALEVIADNLEKFEVVGIAAGGGQPDLLIRQAQALNLPPERVAVADRKVAPAIQEVLGGTVISGPDAAKSLVENVEADTVLNALVGSLGLSATLAALASGAQLALANKESLVAGGQLVLDMAKPGQLVPVDSEHSAMAQCLLAGTRPEVARLVLTASGGPFRGWKREEMWTVTPEQAAAHPTWSMGQMNTLNSATLVNKGLELIEA</t>
  </si>
  <si>
    <t>------------------------------MEIVRKRILILGSTGSIGTQALEVIADNPEKFEVVGIAAGGGQPDLLIRQAQALNLPPERVAVADRKVAPAIQEVLGGTVISGPDAAKSLVENVEADTVLNALVGSLGLSATLAALASGAQLALANKESLVAGGKLVLDMAKPGQLVPVDSEHSAMAQCLLAGTRPEVARLVLTASGGPFRGWKREEMWTVTPEQAAAHPTWSMGQMNTLNSATLVNKGLELIEA</t>
  </si>
  <si>
    <t>---------------------------------MVKHVIILGSTGSIGTQALQVIADNPDKFHVVGIAAAGRNPQLIIDQAQALRLNPDHIAVANPQAAETIAAALGGAVRTGATAAADLVKAIPCDTVLNALVGSLGLAATMATIEVGATLALANKESLVAGGTLVTESAAPGQIIPVDSEHSAMAQCLRAGSRTEVDRIVLTASGGPFRGWTRQQMWDVTPEQAAAHPTWSMGQMNTLNSATLVNKGLELIEA</t>
  </si>
  <si>
    <t>GC_00000225</t>
  </si>
  <si>
    <t>PF00037.32</t>
  </si>
  <si>
    <t>4Fe-4S binding domain</t>
  </si>
  <si>
    <t>K05524</t>
  </si>
  <si>
    <t>ferredoxin</t>
  </si>
  <si>
    <t>COG1146</t>
  </si>
  <si>
    <t>NAD-dependent dihydropyrimidine dehydrogenase, PreA subunit (PreA)</t>
  </si>
  <si>
    <t>MTYVIAQPCVDVMDRACVEECPVDCIYEGKRSLYIHPDECVDCGACEPVCPVEAIFYEDDVPDEWVEFNDANVAFFDDLGSPGGAAKLGPQDFDPPLVAQLPPQVED</t>
  </si>
  <si>
    <t>MTYVIAQPCVDVMDRACVEECPVDCIYEGKRSLYIHPDECVDCGACEPVCPTEAIFYEDDVPDEWVDYLDANAAFFDDLGSPGGAAKTGPQDFDPPLVAELPPQVED</t>
  </si>
  <si>
    <t>MTYVIAQPCVDVMDRACVEECPVDCIYEGQRSLYIHPDECVDCGACEPACPVEAIFYEDDVPDEWIDYIDANAAFFDDLGSPGGAQQLGPQDFDVPLIADLPPQA--</t>
  </si>
  <si>
    <t>GC_00000226</t>
  </si>
  <si>
    <t>PF00238.24</t>
  </si>
  <si>
    <t>Ribosomal protein L14p/L23e</t>
  </si>
  <si>
    <t>K02874</t>
  </si>
  <si>
    <t>large subunit ribosomal protein L14</t>
  </si>
  <si>
    <t>COG0093</t>
  </si>
  <si>
    <t>Ribosomal protein L14 (RplN) (PDB:4V4H)</t>
  </si>
  <si>
    <t>MIQQESRLRVADNTGAREILCIRVLGGSTRRFAGIGDVIVATVKEATPGGNVKAGEIVKAVIVRATKETRRPDGSYIRFDENAAVIIKNDNEPKGTRIFGPVARELRDKKFMKIVSLAPEVI</t>
  </si>
  <si>
    <t>MIQQESRLRIADNTGAREILCIRVLGGSTRRFAGIGDVIVATVKEAAPGGNVKAGEIVKAVIVRTKKETRRPDGSYIRFDENAAVIIKNDNEPRGTRIFGPVARELRDKKFMKIVSLAPEVI</t>
  </si>
  <si>
    <t>MIQQESRLKIADNTGAREILCIRVLGGSTRRFAGIGDVIVATVKEATPGGNVKAGEVVKAVVVRAKKETRRPDGSYIRFDENAAVIIKNDNEPRGTRIFGPVARELRDKKFMKIVSLAPEVI</t>
  </si>
  <si>
    <t>GC_00000227</t>
  </si>
  <si>
    <t>K09812</t>
  </si>
  <si>
    <t>cell division transport system ATP-binding protein</t>
  </si>
  <si>
    <t>COG2884</t>
  </si>
  <si>
    <t>Cell division ATPase FtsE (FtsE)</t>
  </si>
  <si>
    <t>KEGG Orthology (KO)&gt;&gt;&gt;09130 Environmental Information Processing&gt;&gt;&gt;09131 Membrane transport&gt;&gt;&gt;02010 ABC transporters [PATH:ko02010]|Chromosome and associated proteins&gt;&gt;&gt;Prokaryotic type&gt;&gt;&gt;Chromosome partitioning proteins&gt;&gt;&gt;Divisome proteins|Transporters&gt;&gt;&gt;ABC transporters, prokaryotic type&gt;&gt;&gt;ABC-2 type and other transporters&gt;&gt;&gt;Cell division transporter</t>
  </si>
  <si>
    <t>MITFDQVTKLYKTSTRPALDNISLTIDKGDFVFLIGPSGSGKSTFLELMLREQNVTSGDIHLGDFHVNKLRGSQINKLRQRVGYVFQDFRLLPKKNVYDNVAFALEVIGKNNQTIEKLVPETLEMVGLESKAHRMPGELSGGEQQRVAIARATVNKPLVLLADEPTGNLDPDTSSEIMVLLNRINKAGTTVVMSTHNAAAVDAMRRRVIELNLGTLVRDDAHGVYGLDR</t>
  </si>
  <si>
    <t>MITFDNVTKLYKTSTRPALNEISLTIDKGDFVFLIGPSGSGKSTFLELMIRETNVTYGDIHIDDFHVNKLKGRQINKLRQKIGYVFQDFRLLQQKTVYDNVAFALEVIGTRKDKIARIVPNTLELVDLAGKENRYPHELSGGEQQRVAIARAFVNRPLVLLADEPTGNLDPETADGIMVLLNQINRTGTTIVMSTHNARAVNDMRRRVIELKLGNLVRDDAHGVYGEA-</t>
  </si>
  <si>
    <t>GC_00000228</t>
  </si>
  <si>
    <t>PF13167.11</t>
  </si>
  <si>
    <t>GTP-binding GTPase N-terminal</t>
  </si>
  <si>
    <t>K03665</t>
  </si>
  <si>
    <t>COG2262</t>
  </si>
  <si>
    <t>50S ribosomal subunit-associated GTPase HflX (HflX) (PDB:2QTF) (PUBMED:22905870)</t>
  </si>
  <si>
    <t>--------------MEKPAGTTCNKTVRQWQLMLEEEK------------------------------------------TLHTAAPTDA-----TPTVGELDLEARSSLRRLTRGSHIHDTEQQDGYDVEYRKLRLEKVILVGVWTTGTISEIEANMAELAALAETAGADVQDMLYQKRDKPDAGTYIGSGKVQELKEIVQATGVDTVVCDGELTPSQMIALEKALDVKVIDRTMLILDIFAQHAKSKEGKAQV</t>
  </si>
  <si>
    <t>-------------MTNKHHDKLLAAAFADHQDNLSHAE---------------------------------------PLETATSAAPHSS----AAPTTGELDLEARSSLRRLTRGTNIHSTEQSDGYDVEYRKLRLEKVVLVGVWTEGTTAEIDASMAELAALAETAGSEVTEMLYQKRDRPDPGTYIGSGKVQELKDIVAATGSDTVICDGELSPGQMIALEKALDVKVIDRTMLILDIFAQHAKSKEGKAQV</t>
  </si>
  <si>
    <t>MPKNTSHQPYTQTTHTNTHEELIKEAFKDHTPTTVSTDATTPPANIAMVTTDDVVENHGVSYGEQQVVAATGTVSSVPADTAATGVLTAS-----VPTTGELDLEERSSFRRISGGSDIYATDQDDGYDVEYRKLRLERVILVGVWTEGTTAEIEATMRELAALAQTAGSEVVDMLYQKRDRPDPGTYIGSGKVQELKDIVQATNIDTVICDGELSPGQMIALEKALDVKVIDRTMLILDIFAQHAKSKEGKAQVSLAQMEYLITRVRGWGGALSRQAGGRAGGSNGGVGLRGPGETKIEADRRRLRSDMAKLRKEIAGMQTAREIKRSRRRASTIPQIAIAGYTNAGKSSLINAITGAGVLVEDALFATLDPTTRRAELADGRTVVFTDTVGFVRHLPTQLVEAFRSTLEEVVGADLVLHVVDGSDPFPLKQIAAVNKVIGEIVQEYGETAPPEIIVVNKIDAADPLVLAELRHAVDDVVFVSAHTGEGISELEARIELFLNSLDSHVELLVPFTRGDVVSRVHQYGTVLREEYTEAGTRIDVRLATELAAELAKFQVSTDTAS-</t>
  </si>
  <si>
    <t>MPKNTSHQPYTQTTHTNTHEELIKEAFKDHTLTTVSTDATTPPANIAMVTTDDVVENHGVS------VAATGAVSGMSADTAATGVLTASMPMVGVPTTGELDLEERSSFRRISGSSDIYATDQDDGYDVEYRKLRLERVILVGVWTEGTTAEIEATMRELAALAQTAGSEVVDMLYQKRDRPDPGTYIGSGKVQELKDIVQATNIDTVICDGELSPGQMIALEKALDVKVIDRTMLILDIFAQHAKSKEGKAQVSLAQMEYLITRVRGWGGALSRQAGGRAGGSNGGVGLRGPGETKIEADRRRLRSDMAKLRKEIAGMQTAREIKRSRRRASTIPQIAIAGYTNAGKSSLINAITGAGVLVEDALFATLDPTTRRAELADGRTVVFTDTVGFVRHLPTQLVEAFRSTLEEVVGADLVLHVVDGSDPFPLKQIAAVNKVIGEIVQEYGETAPPEIIVVNKIDAADPLVLVELRHAVDDVVFVSAHTGEGISELEARIELFLNSLDSHVELLVPFTRGDVVSRVHQYGTVLREEYTEAGTRIDVRLAAELAAELAEFQVSTDTAS-</t>
  </si>
  <si>
    <t>GC_00000229</t>
  </si>
  <si>
    <t>PF01939.22</t>
  </si>
  <si>
    <t>Endonuclease NucS C-terminal domain</t>
  </si>
  <si>
    <t>K07503</t>
  </si>
  <si>
    <t>endonuclease [EC:3.1.-.-]</t>
  </si>
  <si>
    <t>COG1637</t>
  </si>
  <si>
    <t>Endonuclease NucS, RecB family (NucS) (PDB:2VLD)</t>
  </si>
  <si>
    <t>MRLVIARCSVDYVGRLEAHLPMADRLLMVKADGSVSIHADDRAYKPLNWMTPPCTLEEQEITDVDGQDVGVRMWIVENKKGEQLRITLEAVHSDYYYDLGEDPGLVKDGVETHLQELLADHITTLGDGYTLIRREYPTAIGPVDILCRDSDGATVAVEIKRRGGIDGVEQLSRYLELLNRDELLKPVQGVFAAQEIKPQARTLAEDRGIRCVTLDYQALRGIESDELRLF</t>
  </si>
  <si>
    <t>MRLVIARCSVDYVGRLEAHLPSADRLLLVKADGSVSVHADDRAYKPLNWMTPPCTLTET--IDEDSDDAA--YWVVENKKGEQLRITLEVVHSDLSYRLGDDPGLVKDGVEAHLQELLAEHIDTLGEGYTLVRREYPTAIGPVDILCKDECGGSVAVEVKRRGGIDGVEQLTRYLELLNRDSILAPVAGVFAAQEIKPQARTLAEDRGIRCVVLDYDALRGIESDELRLF</t>
  </si>
  <si>
    <t>GC_00000230</t>
  </si>
  <si>
    <t>PF00575.29</t>
  </si>
  <si>
    <t>S1 RNA binding domain</t>
  </si>
  <si>
    <t>K02945</t>
  </si>
  <si>
    <t>small subunit ribosomal protein S1</t>
  </si>
  <si>
    <t>COG0539</t>
  </si>
  <si>
    <t>Ribosomal protein S1 (RpsA) (PDB:4NNH)</t>
  </si>
  <si>
    <t>KEGG Orthology (KO)&gt;&gt;&gt;09120 Genetic Information Processing&gt;&gt;&gt;09122 Translation&gt;&gt;&gt;03010 Ribosome [PATH:ko03010]|Ribosome&gt;&gt;&gt;Ribosomal proteins&gt;&gt;&gt;Mitochondria/ Chloroplast&gt;&gt;&gt;Small subunit|Ribosome&gt;&gt;&gt;Ribosomal proteins&gt;&gt;&gt;Bacteria&gt;&gt;&gt;Small subunit</t>
  </si>
  <si>
    <t>MPTNNVPQVAINDIGSAEDFLAAVDATIKYFNDGDIVEGTVVKVDHDEVLLDIGYKTEGVIPSRELSIKHDVDPGEVVSVGDEIDALVLTKEDKDGRLILSKKRAQYERAWGAIEELKEKDEPVTGTVIEVVKGGLILDIGLRGFLPASLVEMRRVRELDPYIGQQIEAKIIELDKNRNNVVLSRRAWLEQTQSEVRSEFLHQLQKGQVRKGVVSSIVNFGAFVDLGGVDGLVHVSELSWKHIDHPSEVVAVGDEVTVEVLDVDLDRERVSLSLKATMEDPWRVFARTHAVGQIVPGKVTKLVPFGAFVRVEEGIEGLVHISELAERHVEVPDQVVAVGEEVMVKVIDIDLERRRISLSLKQADEDYTEEFDPSKYGMADSYDEQGNYIFPEGFDPETNEWLEGFETQRAEWEARYAESERRHQLHTAQIEKHR-AAA-AEAAEAGAT--NYSSETSEAAPAAEA----TETAGSLASDEQLAALREKLAGN-------</t>
  </si>
  <si>
    <t>MPTNNTPQVAVNDIGSAEDFLAAVDATIKYFNDGDIVEGTVVKVDRDEVLLDIGYKTEGVIPSRELSIKHDVDPGEVVQVGDEIDALVLTKEDKEGRLILSKKRAQYERAWGAIEELKEKDEPVTGTVIEVVKGGLILDIGLRGFLPASLVEMRRVRDLDPYIGQEIEAKIIELDKNRNNVVLSRRAWLEQTQSEVRSEFLHQLQKGQVRKGVVSSIVNFGAFVDLGGVDGLVHVSELSWKHIDHPSEVVAVGDEVTVEVLDVDLDRERVSLSLKATMEDPWRVFARTHAVGQIVPGKVTKLVPFGAFVRVEEGIEGLVHISELAERHVEVPDQVVGVNEEAMVKVIDIDLERRRISLSLKQADEDYTEDFDPSKYGMADSYDEQGNYIFPEGFDPETNEWLEGFDAQRQEWEDRYAESERRFQLHTAQIERHR-AAAAASAAEEGSTPSNYSSDDAAAAPAAPAADAEAEVSGSLASDEQLAALREKLAGN-------</t>
  </si>
  <si>
    <t>MPTNNTPQVAVNDIGSTEDFLAAVDATIKYFNDGDIVEGTVVKVDRDEVLLDIGYKTEGVIPSRELSIKHDVDPGEVVQVGDEIDALVLTKEDKEGRLILSKKRAQYERAWGAIEELKEKDEPVTGTVIEVVKGGLILDIGLRGFLPASLVEMRRVRDLDPYIGQEIEAKIIELDKNRNNVVLSRRAWLEQTQSEVRSEFLHQLQKGQVRKGVVSSIVNFGAFVDLGGVDGLVHVSELSWKHIDHPSEVVAVGDEVTVEVLDVDLDRERVSLSLKATMEDPWRVFARTHAVGQIVPGKVTKLVPFGAFVRVEEGIEGLVHISELAERHVEVPDQVVGVNEEAMVKVIDIDLERRRISLSLKQADEDYTEDFDPSKYGMADSYDEQGNYIFPEGFDPETNEWLEGFDAQRQEWEDRYAESERRFQLHTAQIERHR-AAAAASAAEEGSTPSNYSSDDAAATPAAPAADAEAEVSGSLASDEQLAALREKLAGN-------</t>
  </si>
  <si>
    <t>MPTNKAPQVAINDIGSPEEFLAAIDATIKYFNDGDIVEGTVVKVDHDEVLLDIGYKTEGVIPVRELSIKHDVDPDEVVEVGDQIDALVLTKEDKEGRLILSKKRAQYERAWGAIEELKEKDEAVTGTVIEVVKGGLILDIGLRGFLPASLVEMRRVRDLDPYIGQQIEAKIIELDKQRNNVVLSRRAWLEQTQSEVRSEFLHQLQKGQVRKGVVSSIVNFGAFVDLGGVDGLVHVSELSWKHIDHPSEVVSVGDEVTVEVLDVDLDRERVSLSLKATQEDPWRVFARTHAVGQIVPGKVTKLVPFGAFVRVEEGIEGLVHISELAQRHVEVPDQVVNANEDAMVKVIDIDLERRRISLSLKQADEDYTEEFDPSKYGMADSYDEQGNYIFPEGFDPETNEWLEGFDEQRQAWEARYAESERRFQLHTAQIERNRIAAAEAAAAGESATGGNYSSETAGEAAAE------VTSGNSLASEEQLKALREKLTGKAESNENS</t>
  </si>
  <si>
    <t>GC_00000231</t>
  </si>
  <si>
    <t>PF02127.20</t>
  </si>
  <si>
    <t>Aminopeptidase I zinc metalloprotease (M18)</t>
  </si>
  <si>
    <t>K01267</t>
  </si>
  <si>
    <t>aspartyl aminopeptidase [EC:3.4.11.21]</t>
  </si>
  <si>
    <t>COG1362</t>
  </si>
  <si>
    <t>Aspartyl aminopeptidase (LAP4) (PDB:1Y7E)</t>
  </si>
  <si>
    <t>ko01000|ko01002|ko04131</t>
  </si>
  <si>
    <t>Enzymes&gt;&gt;&gt;3. Hydrolases&gt;&gt;&gt;3.4  Acting on peptide bonds (peptidases)&gt;&gt;&gt;3.4.11  Aminopeptidases&gt;&gt;&gt;3.4.11.21  aspartyl aminopeptidase|Peptidases and inhibitors&gt;&gt;&gt;Metallo peptidases&gt;&gt;&gt;Family M18|Membrane trafficking&gt;&gt;&gt;Autophagy&gt;&gt;&gt;Cytoplasm to vacuolar targeting (CVT) pathway&gt;&gt;&gt;Selective cargos</t>
  </si>
  <si>
    <t>MTALPSIEEFIASSPSSYHAAENIAAILNTAGFTRQDETDTWQATPGGHYMVRGGALMAWWVPENASPATSGFRIIGSHTDSPGLKLKPTISFDKEGFHQAPVEIYGGPILASWLDRELQLAGQIIDADGNRRLVATGPVLRVPHLAIHLYR---QDELKLERQQHMQPIYGLVESPELATLLD-----------GVRTHDLITADTQPPRAFGIKNEFLAAGRLDNLSSVYPSLEALLDVVADSNATSSIKDVLVLAAFDHEEIGSSSRYGAAGPILEDVLKRTAYALGAGEDDLYAMFARSSCISADAAHSVHPNFASKHDPNTHPVLGAGPVLKVNANQRYASDARSNDIWLRASEKAGVAVQQFVGNNDVPCGSTIGPITATRLGILTVDVGIPLLSMHSAREMCAYSDLKDFTEVLAAYYTLD</t>
  </si>
  <si>
    <t>--MPDDFINFLTASPSSYHAAHTGAHLLAQAGFTHHTETDPWDAQPGGHYLIRGGALIAWHIPTQL-PTNPAFRIIGAHTDSPGFKLKHTPDHTTYGFNQAAVEIYGGPIISSWFDRDLKLAGIITHTDGTTHLYETPPLLRIPNLAIHLDR-----NPTVDRQHHTTPIYGTTTNP--TSILPT----------NTCTHDLITVDTQPPGRLGTDHKLLAAGRLDNLSSVYPAITALIDA---ADAAT---DIL</t>
  </si>
  <si>
    <t>GC_00000232</t>
  </si>
  <si>
    <t>PF13184.12</t>
  </si>
  <si>
    <t>NusA-like KH domain</t>
  </si>
  <si>
    <t>K02600</t>
  </si>
  <si>
    <t>transcription termination/antitermination protein NusA</t>
  </si>
  <si>
    <t>COG0195</t>
  </si>
  <si>
    <t>Transcription antitermination factor NusA, contains S1 and KH domains (NusA) (PDB:1HH2)</t>
  </si>
  <si>
    <t>ko03021|ko03009</t>
  </si>
  <si>
    <t>Transcription machinery&gt;&gt;&gt;Prokaryotic type&gt;&gt;&gt;Bacterial type&gt;&gt;&gt;Other transcription-related factors&gt;&gt;&gt;RNA polymerase-associated proteins|Ribosome biogenesis&gt;&gt;&gt;Prokaryotic type&gt;&gt;&gt;rRNA transcription factors</t>
  </si>
  <si>
    <t>MNIDVHALETIEKERGIPVRELLDTISRALLQAYLEDR-DDSKTS--RARVVIDKYTGDVAVMVQEFDEDGVAGPEEDDTPVNFARVGAQAVREAIVGRLREAETNQRLGEYAGYEGTVVSGVVQRDAHANERGIVVVNLGTELDGQDGLLLPAEQIPGEKLEHGDRVKVYVVSVGRAHRGLAINLSRTHPELIRKLFELEVPEVAQGAVEIVSIAREAGNRTKIAVRSTVKGLNAKGACIGPRGQRVGNIMRELAGEKLDIIDFDEDGARFVGNALSPSKIVRVDVISEQSQFARVTVPDYQLSLAIGKEGQNARLAARLTGWKIDIHPDTEDFGADDLAALREKFREQNSEYEATRGARGMEEEAEANQAADAVLGDLHAQASEQDVD</t>
  </si>
  <si>
    <t>MNIDIKALEAIEADKGIGVDDLLTTIAEALLHAYYAHRGEVEDEP--RARVDIDAQTGTVNVMITQVDDDGNVINEFDDTPNNFGRIGAHAVRDAIVRRLREAETSRAFDAYSDFEGRVISGIVQADARAKERGIIVVHLGTEADGQDGIILPAEQIPGEKLNHGDRVKCYVVGVNRGPRNLQINLSRTHPELVRRLFELEVPEVADGAVEIVSIAREAGHRSKVAVRPTVKGLNAKGACIGPRGQRVSNIMRELGGEKIDIIDYSEDPAQYVGNALAPSKVVKVDVVDEDEQRARVVVPDYQLSLAIGKEGQNARLAARLTGWKIDIRSDVD---------------------------------------------------------</t>
  </si>
  <si>
    <t>MNIDVQALKAIETEKGISVQVLLETIASALMHAYREYK-DAPPAPNTQARVDIDIATGAVAVIISELDDEGNVVQEHDDTPANFERIGTVAVRDAIVKRLREAETRQAYDAYSEYEGRVVSGVVQADIHANERGIVVVHLGTEADGQDGILLPAEQIPGEQLKHGDRVKSFVVGVNHNSHSLSINLSRTHPELVRRLFELEIPEVADGSVEIVSIAREAGHRSKVAVRARVKGLNAKGACIGPRGQRVTNIMKELNGEKIDIIDYSDNPAEYVGNALAPSKVVDVEIIDATAQTARVTVPHYQLSLAIGKEGQNARLAARLTGWKIDIRSDAA---------------------------------------------------------</t>
  </si>
  <si>
    <t>GC_00000233</t>
  </si>
  <si>
    <t>PF12740.14</t>
  </si>
  <si>
    <t>PET hydrolase-like</t>
  </si>
  <si>
    <t>COG0412</t>
  </si>
  <si>
    <t>Dienelactone hydrolase (DLH) (PDB:4ZV9)</t>
  </si>
  <si>
    <t>MGVAENLKKLLAYLSKRGPERVLVGDLDYAGIPGKVYAPASGSGRAAVAFGHDWMTDISRYHATLRHLASWGIVVAAPNTEKGIAPNTQGFASDLETCLQILAGVKLGTGKTTVSPNKLGVVGHGMGGGAAILAAADRPALKAVVAAYPAVTTPPAEDIARLLNVPGLIIGSAENQLLDAGNPAKVALNYGGPVVYREIKKATSIGFAENAMFSVAIGMGLPKAGPREIARGLITGFLLHQLAGEKKYAGFSDNEAKGKGFDTIPH-SDIASHASLI-------------</t>
  </si>
  <si>
    <t>--MAEKFKKQLSKLSKRGPHHVLIGDLSYAGLPGKVYTPAEGNGVAAIAFGHDWMTSVKSYHQTLQHLASWGIVVAAPATEMGFMPNHQGLAADLESCLQIVAGVKLGTGNVTVSPAKLGVAGHGMGAGAAILTAAGRDNIHAVGALYPAATAPSAVTAAAHTTAPGLIIGPGKATDFDSNESVKIAAQWAGPVTYREVSKGTQSGFSEGAVVKALVGMGRPQFSAQEKARGLLTGFLLYQLEGEKKYAAFAQED</t>
  </si>
  <si>
    <t>GC_00000234</t>
  </si>
  <si>
    <t>K06178</t>
  </si>
  <si>
    <t>23S rRNA pseudouridine2605 synthase [EC:5.4.99.22]</t>
  </si>
  <si>
    <t>COG1187</t>
  </si>
  <si>
    <t>Pseudouridylate synthase RsuA, specific for 16S rRNA U516  and 23S rRNA U2605 (RsuA) (PDB:1KSK)</t>
  </si>
  <si>
    <t>16S rRNA modification</t>
  </si>
  <si>
    <t>Enzymes&gt;&gt;&gt;5. Isomerases&gt;&gt;&gt;5.4  Intramolecular transferases&gt;&gt;&gt;5.4.99  Transferring other groups&gt;&gt;&gt;5.4.99.22  23S rRNA pseudouridine2605 synthase|Ribosome biogenesis&gt;&gt;&gt;Prokaryotic type&gt;&gt;&gt;rRNA modification factors&gt;&gt;&gt;23S rRNA modification factors</t>
  </si>
  <si>
    <t>MTPPARRDGTPDKIDKIYVSKAKPARHQH---PRGEHTPFDYTLGGNNAEGIRLQKVLAKAGVASRRMSEKLIDAGRVEVDGKIVTEQGMRIDPDKSIVRVDGVRVRIDNDLQYFVLNKPRGVQCTMSDDMGRPCVGDIVGEKVDAGQRLFHVGRLDAATEGLLLLTNDGELANRLMHPKYEVAKTYLATVVGEADRKLVRALKNGVELDDGPAKADYVQIVDVHQGKSIVRVELHEGRKHIVRRMLKEAGYPVERLVRTKIHTVQLGEQTPGALRALNNAELTSLYKAVGM</t>
  </si>
  <si>
    <t>MTPPARRDGTPD--QKIYLSKAKPARKQHVQQPNSEHNDG---------EGIRLQKVLAQAGVASRRMSEKLIDMGRVEVNGKIVTTQGMRINPDTAVVRVDGVRIRVNDNLQYFILNKPYGVQSTMHDDLGRPCIGDIIGEKIDAGQRLFHVGRLDAATEGLLLLTNDGELANRLTHPTYEIAKTYLATVIGEANRRLIRTLKNGIELDDGPARADYVQIVDVHDGKSLIRVELHEGRKHIVRRMLKEVGYPVERLVRTRIHTVQLGDQTPGTIRALNDAELSSLYKAVGM</t>
  </si>
  <si>
    <t>MKKPARRDGTPDS-KKQLLSNAKPARRQHVSPRNVSSDPKSYT------DGVRLQKVLAQAGVASRRNAEIMIDSGRVEVNGAVVMQQGVRVNPEVDVIRVDGVRVNVNNNHQYFVLNKPRGIHSTMSDDLGRPCIGDLVSERISAGQGLFHVGRLDADTEGLILLTNDGELANRLSHPKYEVSKTYIAEVLGEADRSLVTTLKNGVELDDGPAAADYVQIVDVHQGRSLVRVQLHEGRKHIVRRMLKAAGYPVQYLVRTKLHTVQLGEQKPGTIRALNDNELRSLYKAVEM</t>
  </si>
  <si>
    <t>MKKPARRDGTPDS-KKQLLSNAKPARRQHVSPRNVSSDPKSYT------DGVRLQKVLAQAGVASRRNAEIMIDSGRVEVNGAVVMQQGVRVNPKVDVIRVDGVRVNVNNNHQYFVLNKPRGIHSTMSDDLGRPCIGDLVSERISAGQGLFHVGRLDADTEGLILLTNDGELANRLSHPKYEVSKTYIAEVLGEADRSLVTTLKNGVELDDGPAAADYVQIVDVHQGRSLVRVQLHEGRKHIVRRMLKAAGYPVQYLVRTKLHTVQLGEQKPGTIRALNDNELRSLYKAVEM</t>
  </si>
  <si>
    <t>GC_00000235</t>
  </si>
  <si>
    <t>K09013</t>
  </si>
  <si>
    <t>Fe-S cluster assembly ATP-binding protein</t>
  </si>
  <si>
    <t>COG0396</t>
  </si>
  <si>
    <t>Fe-S cluster assembly ATPase SufC (SufC) (PDB:2D3W)</t>
  </si>
  <si>
    <t>Transporters&gt;&gt;&gt;ABC transporters, prokaryotic type&gt;&gt;&gt;ABC-2 type and other transporters&gt;&gt;&gt;Orphan ABC ATPase</t>
  </si>
  <si>
    <t>MSTLEIKNLRAKVVTNDDEAG-KEILKGVNLTINSGETHAIMGPNGSGKSTLSYTIAGHPKYEVTEGEVLLDGENLLDMDVDERARAGLFLAMQYPVEVPGVSMANFLRTAASGIRGEAPKLREWVKEVREAMEELSIDKSFSERSVNEGFSGGEKKRHEVLQLGLLKPKFAVLDETDSGLDVDALRVVSEGINRYKERENGGILMITHYKRILNYVHPDFVHVFADGKIVTSGGPELADELEAHGYDRFIK</t>
  </si>
  <si>
    <t>MSTLEIRNLTAQVRPTDESTEPKEILKGVNLTINSGETHAIMGPNGSGKSTLSYTLAGHPKYEVTGGEVLLDGENLLDMDVDERAKAGLFLAMQYPIEVPGVSMANFLRTAATAVRGEAPKLREWVKEVREAQDELVIDKAFSERSVNEGFSGGEKKRHEILQLGLLKPKFAVLDETDSGLDVDALRVVSAGINNYKERNDGGVLMITHYKRILNYVKPDFVHVFADGKIVTSGGPELADQLEEHGYDRFL-</t>
  </si>
  <si>
    <t>MSTLEIRNLHAQVIPNDENSEPKPILKGVDLTIKSGEIHAIMGPNGSGKSTLAYTLAGHPRYEITDGEVLLDGENLLDMDVDERARAGLFLAMQYPTEIPGVSMANFLRSAATAVRGEAPKLREWVKEVKEAQNRLHIDKAFSERSVNEGFSGGEKKRHEVLQLDLLKPKFAVMDETDSGLDVDALRIVSEGINNYQKETGGGIIMITHYKRILNYVKPDFVHVFADGKIVTSGGAELADELEEHGYDRFLA</t>
  </si>
  <si>
    <t>MSTLEIRNLHAQVIPNDENSEPKPILKGVDLTIKSGEIHAIMGPNGSGKSTLAYTLAGHPRYEITDGEVLLDGENLLEMDVDERARAGLFLAMQYPTEIPGVSMANFLRSAATAVRGEAPKLREWVKEVKEAQNRLHIDKAFSERSVNEGFSGGEKKRHEVLQLDLLKPKFAVMDETDSGLDVDALRIVSEGINNYQKETGGGIIMITHYKRILNYVKPDFVHVFADGKIVTSGGAELADELEEHGYDRFLA</t>
  </si>
  <si>
    <t>GC_00000236</t>
  </si>
  <si>
    <t>PF00903.31</t>
  </si>
  <si>
    <t>Glyoxalase/Bleomycin resistance protein/Dioxygenase superfamily</t>
  </si>
  <si>
    <t>K06996</t>
  </si>
  <si>
    <t>COG3324</t>
  </si>
  <si>
    <t>Lactoylglutathione lyase-related enzyme, vicinal oxygen chelate (VOC) family (VOC) (PDB:3OXH) (PUBMED:31710815)</t>
  </si>
  <si>
    <t>MPAFMAQHGMPYWIDLMSSDVRKSAHFYSELLGWEFEEAVPGYRLARCQGLPVAGLIAQPEDSNAADMWVTHFLADDIEATVAQVRELGGAVFAPPTEVQLGSMALLADPAGALFGVIEPHSEEAFVAGGEPGTAVWHELTCTNHYGEAVEFYSELFGWATASIE--GAQYTTALADGAAFAGVW---GGPESHVPSFWSTYVGVKDAGAACERAVSLGGEVVREPWDSEFGRMCVVADSTGAAVTLCEVDEPVVEGHEGDPLAGIDLSNLS-</t>
  </si>
  <si>
    <t>MPAFMAEGGMPYWIDLMTSDVRKSSHFYGELLGWDFEELYVGYRVARVQGLPVAAIVDKPEDSPLPDTWVTYFLADDIEALVQRVKDLGGRVLAEPTDVNLGRMALLVDTSGGLFGAIEPYSEEAFIAAGEPGTPVWHELTCTNHYEEAAEFYRDLFDWVTRSTEAGGFRYTTALVDGAPFAGIWDAQGRFPREVPSFWQSYVGVKNVDEAVSKAEKLGGEVVREPWESEFGRMAVVADSTGATVTIAEVDEPVVEGHESDPLEGIDLSQYGL</t>
  </si>
  <si>
    <t>MPAFQAEPGMPYWIDLTSSDVRKSSHFYSQVLGWEIEEISEGYRMARLQGLPVAGLVQRPEAENQPDTWVTYFQSDNIDHDCERVVELGGRVLVAPVEVRLGQLAVLVDTAGSVFGLIQPAGEDSFIAAGEPGTPVWHELTATVSYAEAVEFYEQLFGWVTATTD--AQDYTTALVDGAAFAGIFDATGKFPPHVPSFWQSFLGVADVTAAVARVRELGGDVIREPFDSGFGTMAIIVDSTGATVTLCEVAPPV-------PEEELSESDSIL</t>
  </si>
  <si>
    <t>MPAFQAEPGMPYWIDLTSSDVRKSSHFYSQVLGWEIEEISEGYRMARLQGLPVAGLVQRPEAENQPDTWVTYFQSDNIDHDCERVVELGGRVLVAPVEVRLGQLAVLVDTAGSVFGLIQPAGEDSFIAAGEPGTPVWHELTATVSYAEAVEFYEQLFGWVTATTD--AQDYTTALVDGAAFAGIFDATGKFPPHVPSFWQTFLGVSDVTAAVAQVRELGGDVIREPFDSGFGTMSIIVDSTGATVTLCEVAPPV-------PEEELSESDSIL</t>
  </si>
  <si>
    <t>GC_00000237</t>
  </si>
  <si>
    <t>PF00109.32</t>
  </si>
  <si>
    <t>Beta-ketoacyl synthase, N-terminal domain</t>
  </si>
  <si>
    <t>I|Q|Q</t>
  </si>
  <si>
    <t>Lipid transport and metabolism|Secondary metabolites biosynthesis, transport and catabolism|Secondary metabolites biosynthesis, transport and catabolism</t>
  </si>
  <si>
    <t>K12437</t>
  </si>
  <si>
    <t>polyketide synthase 13</t>
  </si>
  <si>
    <t>COG0236|COG3319|COG3321</t>
  </si>
  <si>
    <t>Acyl carrier protein (AcpP) (PDB:1ACP)|Thioesterase domain of type I polyketide synthase or non-ribosomal peptide synthetase (EntF2) (PDB:5JA1)|Acyl transferase domain in polyketide synthase (PKS) enzymes (PksD) (PDB:6IYO)</t>
  </si>
  <si>
    <t>Fatty acid biosynthesis</t>
  </si>
  <si>
    <t>ko00001|ko01004</t>
  </si>
  <si>
    <t>KEGG Orthology (KO)&gt;&gt;&gt;09100 Metabolism&gt;&gt;&gt;09103 Lipid metabolism&gt;&gt;&gt;00074 Mycolic acid biosynthesis [PATH:ko00074]|Lipid biosynthesis proteins&gt;&gt;&gt;Polyketide synthase&gt;&gt;&gt;Modular PKS</t>
  </si>
  <si>
    <t>MTTPNTAESTGAMTVAQLRQWLRDWVCTTTGLDASEISDDKPMQSFGLSSRDAVVLSGELENLLDVQLDATIAYEYPTIAALAQRLVDGPAEGGVGSS-----AAADSIRAYASGSADASD-HDVAIVGLSARFPGAADAEAMWKLLVEGRSATGELPLGRWSEYASDEVMAAKMQQVNTTGGYLDDIASFDAEFFGLSPLEAANTDPQQRIMMELAWEALEDAHIPANELRGGNVGVVIGSTNNDYGVMIASDPAEAHPYALTGNSSAVIPNRISYAFDFRGPSISVDTACSSSLVAVHQAVRALRAGEADVMLAGGVNIMASPFVSTAFGELGVISPSGAIKAFSEDADGFVRSDGAGLVVLKRVKDAVADGDTIYAVIKGTAVNSDGRSNGLTAPNPDAQVAVLQRAYADAGIEPSQVDYVEAHGTGTILGDPIEATALGAVLGRGRDADKPLLLGSAKTNFGHSESAAGAAGLIKVVQGMRNGTIAPSLHFAGPNPYIDFDAEHLEVVEDPREWPSYSGRAVAGVSGFGFGGTNAHAVVSEFVATDYPELADPDEAPALLLGADDPTPLVVSGLLPSRRRTAAADLAQFIDDAAIDDVAGLRAVARSTARRNHGRSRAAVLAANAEDAIKRLNIVAEGKKSPGIEVADSPEQAGPVFVYSGFGSQHRKMAKDLMASSPVFAERMRQLDEIVDFESGWSVCEIIADDEQTYNTETAQVAITAIQIALTDLLAHLGARPAAVMGMSMGEIAAAYAAGGLSAEDAMRVACHRSRLMGEGEQSLPEDQLGAMAVVEFSVDDLDAFIADNQEFEGIEPAVYAGPGMTTVGGPREKVIALVEHLEAQEKFARLLNVKGAGHTSAVEPLLGELAAETADITPMPLHTPLFSSVDRGVTYQPGQVIHDSEYWTRCTRGRVWFLDATQEAFAAGHMMLVEISPNPVALMGMMNTAFASGKPDAQLTFALKRKVPATSSLLELLAKLYAAGQPIRFDRVLGDGKRVSAPGMRWKHQRYWTAARPTSTQRT-DLPGSRVNLPDGAVAYSIVADMVPSALALIETAAEDALPGSSVLASEEHASLPTSGDITTVVNRHIGGAVIKVYRVMGDKTVLLAEGFAAAGLPGFGETAGVVAGAATDDGAAAAFAPTGGMPLAAEVAEEAD-DSMRWDPASGESVEDRMRAIVSESMGYDVDDLPGELPLIDLGLDSLMGMRIKNRIEHDFAIPPLQVQALRDASVADVVKLVEDLVA---GRTSSDDVATVTAPEPSAADGGD-SSEEPP--------------------VAATQAT--GVGVAPRDASERLVFATWATMTGKAAAGVTSELPEVDDATATKIAERLTERGGVEITAQQVREAGALEDLANIVREGLETEVEGNIRVLRARPEGSTKPAVFMFHPAGGSSVVYQPLMRRLPEDIPVYGVERLEGPLPERAAAYLDEIKQYSDGLPVVLGGWSFGGAIAYEVAHQLAQPGAPEVEVAHIVLLDTVQPSEQVPDTLEETKARWERYSAFAKKTYGLDFPVPYELLETAGEDAMLQMMADFLATTDASEHGLSAGVLEHQRASFVDNRILDKVDLAQWADVKVPVLLFRAERMHDGAIELEPRYAKIDLDGGWSAIVDELDIIQLRGDHLAVVDEPEIAKVAARLAQAIGE---------</t>
  </si>
  <si>
    <t>MDQSRKSSQTSSMTTDELRAWLRAWVVSTTGLPEEDVTDDKPMETFGLSSRDVVVLSGELENLLHVQLDATIAYEYPTIGALAKRLIDGPA---TSAR-----ATAQARTSRVSSDVDTPDVHDIAIVGMAGRYPGANNISEMWDQLVAGRDGLSDLPIGRWSEYSGDEVMRTRIANTNTVGGYLDDIASFDPEFFGLSPVEAANMDPQQRIVLELTWEALEHAHLAPNKLRGQSVGVYVGSTNNDYGMIITADPAEAHPYALTGTSSAVIPNRISYAFDFRGPSVSVDTACSSSLVALHQAVRDLRAGDADVAVAGGVNILASPFVTTAFGELGVLSPTGKIHAFSEDADGFVRSDGAGIVVLKRVKEAIADGDTILAVIKGSAVNSDGRSNGLTAPNPDAQVDVLDRAYSDAGVDPSTVDYVEAHGTGTILGDPIEASALGAVLGAGRDTAEPLLLGSAKTNYGHTEAAAGVAGVIKVVLAMNAGVIPPSLHYSGPNPYINFDREHLEVVEDPREWPCYSGRATAGVSGFGFGGTNAHAVLAQFDPADYDTNPQPVE-PQLADGTHVLLP--VSGLLPSRRRQAAADMADFLEGRSDDD---LITVARSLARRNHGRSSAVVDAGTIAEAVKRLRLVADGKKGPGIAVADSPATAGPVFVYSGFGSQHRKMAKELVAMSPLFKARLEELDEFIKFESGWSLMELIADDSQTYDTETAQAGITAIQIALTDLLAAFGATPGAVMGMSMGEIAAAYAAGGLSAQDAMRVACHRSRLMGEGEKSLPEDQLGAMAVVEFSVDELDTFIEEHPEYAGIEPAVYAGPGMTTVGGPRQAVVKLVEMLEAENKFARLLNVKGAGHTSAVEPILGELAAETADITPMPLRIPLFSSVDRGVTYQPGTVVHEPDYWVRCTRQRVWFLDATQQAFAAGHTMLVEVSPNPVALMGMMNTAFSVGAGDSQLLYVLKRKVGSAESIRDLLAKLYVAGQPINLELITGSGPRIDAPHITWKHQRYWTAARPSSGGNA-TLPGTKVTLPDGSVAFSTLAENAPSAVALLESAAERLDPDAQLVAVEEHTTLPPSGEVTTVARKHLGGVNVAVHRVMGDATVLVAEGFASS-------VAGGMDAGFGKDGLGDEVEPEAFDSTATSRFDDVTVDAVHWDPESGETVEQRMRSIVSEAMGYDVEDLPGELPLIDLGLDSLMGMRIKNRIEYDFQIPELQVQALRDASVADVVTLVENLVA---EKAGGDEA-------PAAGAGVDKSPADEA--------------------AAGTRASKQGVGVAPRDASERMVFATWASITGTAAAGISSELPSISEDTARAIAERLSDRSGVEVTTQQVLDADTLEPLANIVREGLETEVEGTIRVLRARPEGSTKPSVFMFHPAGGSSVVYQPLVRRLPADVPVYGVERLEGSLEERAAAYLDDIREYSDGRPVILGGWSLGGALAYEVAHQLVH---SDIDVALIALLDTVQPSEPIPNTPEETRARWERYSAFAKKTYGLDFEVPYDLLETAGEEALLQMMTDFLANTDASEHGLAAGVLEHQRASFVDNRILNHLDLHRWDDVTVPVMLFRAERMHDGAIELEPNYAKIDADGGWSAIVDKLDIIQLHGDHLAVVDEPEIGTVGAHLSRRIAELAGEEDGNE</t>
  </si>
  <si>
    <t>------------MTVEQLREWLRQWVIKTTGLPAEEITDDKPMQSFGLSSRDVVILSGELENLLDKQLDATIAYQYPTIQALAQQLLAGGP--GLGAQGERAGAAHNSRTAHATSAATDPSVHDIAVVGMAARYPGAPNLTEMWRLLVEGRDGIGPLPIGRWSEYANDPVMSRRMEEVNLTGGYLEDISAFDAEFFGLSPLETVNVDPQQRLVLELTWEALENARIPANTLRGKPVGVYVGSSNNDYGMLITADP</t>
  </si>
  <si>
    <t>------------MTVEQLREWLRQWVIKTTGLPAEEITDDKPMQSFGLSSRDVVILSGELENLLDKQLDATIAYQYPTIQALAQQLLAGGPGLGAGAQGERAGAAHNSRTAHATSATD-PSVHDIAVVGMAARYPGAPNLTEMWRLLVEGRDGIGPLPIGRWSEYANDPVMSRRMEEVNLTGGYLEDISAFDAEFFGLSPLETVNVDPQQRLVLELTWEALENARIPANTLRGKPVGVYVGSSNNDYGMLITADP</t>
  </si>
  <si>
    <t>GC_00000238</t>
  </si>
  <si>
    <t>PF20143.4</t>
  </si>
  <si>
    <t>ATP-NAD kinase C-terminal domain</t>
  </si>
  <si>
    <t>K00858</t>
  </si>
  <si>
    <t>NAD+ kinase [EC:2.7.1.23]</t>
  </si>
  <si>
    <t>COG0061</t>
  </si>
  <si>
    <t>NAD kinase (NadK) (PDB:1SUW)</t>
  </si>
  <si>
    <t>KEGG Orthology (KO)&gt;&gt;&gt;09100 Metabolism&gt;&gt;&gt;09108 Metabolism of cofactors and vitamins&gt;&gt;&gt;00760 Nicotinate and nicotinamide metabolism [PATH:ko00760]|Enzymes&gt;&gt;&gt;2. Transferases&gt;&gt;&gt;2.7  Transferring phosphorus-containing groups&gt;&gt;&gt;2.7.1  Phosphotransferases with an alcohol group as acceptor&gt;&gt;&gt;2.7.1.23  NAD+ kinase</t>
  </si>
  <si>
    <t>MSVGQAERAVLLVAHTGRRANLESAGKAAVLLDAAGIAVRVLDSGHPGVLEQDPVLSRFQRVEHEPSATDGVELVLVLGGDGTFLRGADLAHQADLPVLGINLGHVGFLAEWESDSLDEAILRVIAGDYDIEDRMTLDVVVRDENRRVLSTGWALNEVSVENTNRRGVLDAILEVDARPVSSFGCDGVLVSTPTGSTAYAFSAGGPVVWPELDAMVVVPNNAHALFAKPLIVSPHSQVAVESLSDASAAIAIMDGFRTADMPPGSRIEVCRGKRPVRWVRLDHTPFTDRLVTKFRLPVTGWRGPE------</t>
  </si>
  <si>
    <t>-MTG---REVLLVPHTGRKSNLESSALAAELLDAAGIGVRVLAPENTPALANHPTLSRFSRFPHSKASADHVELVLVLGGDGTFLRAADLAHAVDLPVLGINLGHVGFLAEWESDSLEEAIRRVINRDYHIEDRMTLDIVVRDRSLDITGRGWALNELSVENLDRRGVLDATLEVDGRPVSTFGCDGVLVSTPTGSTAYAFSAGGPVLWPELDAILVVPNNAHALFAKPLVVSPRSQVAVESHVTSSPAVAVMDG</t>
  </si>
  <si>
    <t>-MTG---REVLLVPHTGRKSNLESSALAAELLDAAGIGVRVLAPENTPALANHPTLSRFSRFPHSKASADHVELVLVLGGDGTFLRAADLAHAVDLPVLGINLGHVGFLAEWESDSLEEAIRRVINRDYHIEDRMTLDIVVRDRSLDITGRGWALNELSVENLDRRGVLDATLEIDGRPVSTFGCDGVLVSTPTGSTAYAFSAGGPVLWPELDAILVVPNNAHALFAKPLVVSPHSQVAVESHVTSSPAVAVMDG</t>
  </si>
  <si>
    <t>MSQP---RKVLLVSHAGRKSNIETAALAAELLRDAGISVRVVVPKNDGAIAAHPVLSRYELVPHCSDAIVGVDFVLVMGGDGTFLRAADLAYMADLPMLGINLGHIGFLAEWERDSLDEAVKRVVSGEFSIEERMTIAVQGIGRNGESLGSGWALNEVSVENQNRSGVLDAILEVDGRPVSSFGCDGVIISTPTGSTAYAFSAGGPVLWPELDAILVVPNNAHALFTKPLVVSPRSEVAVESRSASFPAHVVMDGFRKFEMPPGSRVEVVRGERSIKWVRLDERPFTDRLVSKLRLPVEGWRGPGQRRHEC</t>
  </si>
  <si>
    <t>GC_00000239</t>
  </si>
  <si>
    <t>----MDSQQEYVLRTVEEQDISFVRLWFTDILGTLKSVAVAPAELESAFGEGIGFDGSAIEGYSRISEADTIALPDPSTFQLMP---SSTEPHTARMFCDIAMPDGQPSWADPRQVLRRQVRAAANEGFTCYVHPEIEFYLLKTLNTGGLRPEPTDNGGYFDQSVNDLAPQFRRQAIQALESMGISVEFSHHETAPGQQEIDLRHADVLTMADHIMTFRFLIKQVAIANGVAATFMPKPFAEYAGSGIHTHISLF</t>
  </si>
  <si>
    <t>-----------MLRTVEERDIRFVRLWFTDILGYLKSVAVVPAELENAFGEGIGFDGSAIESFSRISESDTIALPDPSTFQLMPFEQNGTDRSIARMFCDITMPDGQPSFADPRQVLRRQLASAASDGFTCYVHPEIEFFLVDSINTQGQPPTPTDNGGYFDQAVTDKAPHFRFDAISALEDMGISVEFSHHETAPGQQEIDLRFADALTMADNIMTFRYLIKKVALKNGVRATFMPKPFAGYAGSAMHTHISLF</t>
  </si>
  <si>
    <t>MVKPMDSQQEYVLRAVEERDIRIVRLWFSDILGTLKSVAIAPAELESAFAEGIGFDGSAIEGFSRISESDTIAMPDPSTFQLLPLGVGDGGIKSARMFCDILNPDGQAFYSDPRQVLRRQVQAAADEGFTCKVSPEIEFYLVEDQETDGRPPKPTDDGSYFDQANRSLAPYFRRDAMLALEDMGIPVEFSHHETAPGQQEIDLRHADILTMGDSIMTFRYITKLIAHRNNVAATFMPKPFTDYAGSAMHTHMSLFEGDINAFHDPDAEFSLSRTGQQFIAGILTHANEISAVTNQWTNSYKRILFGSEAPTAATWGVSNRSAMVRVPTYRLGKAESRRVEVRSPDSACNPYLALAVLLAAGLRGIRDGYELNEPAEDDIAALTRRERRALGYVDLPASLDQALREMEKSDFVADILGEHVFEFFLRNKWREWHDYQKQITPWELQNNLSF</t>
  </si>
  <si>
    <t>MVKPMDSQQEYVLRAVEERDIRIVRLWFSDILGTLKSVAIAPAELESAFAEGIGFDGSAIEGFSRISESDTIAMPDPSTFQLLPLGVGDGGIKSARMFCDILNPDGQAFYSDPRQVLRRQVQTAADEGFTCKVSPEIEFYLVEDQETDGRPPKPTDDGSYFDQANRSLAPYFRRDAMLALEDMGIPVEFSHHETAPGQQEIDLRHADILTMGDSIMTFRYITKLIAHRNNVAATFMPKPFTDYAGSAMHTHMSLFEGDINAFHDPDAEFSLSRTGQQFIAGILTHANEISAVTNQWTNSYKRILFGSEAPTAATWGVSNRSAMVRVPTYRLGKAESRRVEVRSPDSACNPYLALAVLLAAGLRGIRDGYELNEPAEDDIAALTRRERRALGYVDLPASLDQALREMEKSDFVADILGEHVFEFFLRNKWREWHDYQKQITPWELQNNLSF</t>
  </si>
  <si>
    <t>GC_00000240</t>
  </si>
  <si>
    <t>K03544</t>
  </si>
  <si>
    <t>ATP-dependent Clp protease ATP-binding subunit ClpX</t>
  </si>
  <si>
    <t>COG1219</t>
  </si>
  <si>
    <t>ATP-dependent protease Clp, ATPase subunit ClpX (ClpX) (PDB:3HTE)</t>
  </si>
  <si>
    <t>ko00001|ko03110</t>
  </si>
  <si>
    <t>KEGG Orthology (KO)&gt;&gt;&gt;09140 Cellular Processes&gt;&gt;&gt;09143 Cell growth and death&gt;&gt;&gt;04112 Cell cycle - Caulobacter [PATH:ko04112]|Chaperones and folding catalysts&gt;&gt;&gt;Heat shock proteins&gt;&gt;&gt;HSP100</t>
  </si>
  <si>
    <t>MARIQESSDLLKCSFCGKSQKQVKKLIAGGGVYICDECIALCNEIIEEELAASEQTTDSGPK-LPRPKQITEFLDGYVIGQDDAKRTLAVAVYNHYKRV---------LRERKNDDVEISKSNILMLGPTGSGKTYLAQTLARLLDVPFAIADATSLTEAGYVGEDVENILLRLLQAADFDVERAQRGIIYIDEVDKIARKSENPSITRDVSGEGVQQALLKILEGTVASVPPQGGRKHPNQEFINLDTSNILFIVAGAFAGLEKVVEQRRGKKSLGFGNEVSTKATNDDL--YSEVQPEDLVKFGLIPEFIGRLPIVATVTQLDVDSLIKVLTEPKNSLVRQYTRLFEMDDVELIFEDDALVAIAEKALERNTGARGLRAIMEEILLPLMYDIPDREDLTKVRITAAAVRGESEPEFEQTAA----</t>
  </si>
  <si>
    <t>MAAMQESSDLLKCSFCGKSQKQVKKLIAGGGVYICDECIEVCNEIIEEELNASAGDTANDNK-LPRPTEISAFLDQYVIGQDDAKRVLAVAVYNHYKRIRAEEQQT--AKINKDDEVELAKSNILLLGPTGSGKTYLAQTLAKLLDVPFAIADATSLTEAGYVGEDVENILLKLLQASDYDVQRAQRGIIYIDEVDKISRKSENPSITRDVSGEGVQQALLKILEGTTASVPPQGGRKHPNQDFIQLDTSNILFVVAGAFAGLEKVIQDRVGKKGLGFGAEVRSVTDVDTVNVFKDVLPEDLVKFGLIPEFIGRLPVVATVTNLDRASLVRVLTEPKNSLVRQYEKLFEMDGVKLTFTPEALEAIADQALERNTGARGLRAIMEEVLVPIMYDLPDREDIGEVIITEGAARKLGAPELVAASSEKTA</t>
  </si>
  <si>
    <t>MARAHETTDLLTCSFCGKSQKQVKKLIAGGGVFICDECIELCNEIIEEELAKSSKPQEDQTTGLPRPSEIAAFLDKYVVGQDEAKRILAVAVYNHYKRVRAEDARTLGGRKYRDDDTELQKSNILMLGPTGSGKTYLAQTLARLLDVPFAIADATSLTEAGYVGEDVENILLKLLQAADFDVQRAQRGIIYVDEVDKISRKSDNPSITRDVSGEGVQQALLKILEGTVASIPPQGGRKHPNQDFIQLDTSNILFIVAGAFAGLEKVIEARRGKKALGFGAEIPSKADQNDMEIFKYVSPEDLVKFGMIPEFIGRLPIVATVGNLDQKSLVKVLTEPKNSLVKQYQRLFDMDRVELLFEDDALEVIADKALDRGTGARGLRAIMEEILLPIMFEVPDRKNVEQVIITAAAAQGTEEPIIIEHAGEQSA</t>
  </si>
  <si>
    <t>GC_00000241</t>
  </si>
  <si>
    <t>PF02562.22</t>
  </si>
  <si>
    <t>PhoH-like protein</t>
  </si>
  <si>
    <t>K06217</t>
  </si>
  <si>
    <t>phosphate starvation-inducible protein PhoH and related proteins</t>
  </si>
  <si>
    <t>COG1702</t>
  </si>
  <si>
    <t>Phosphate starvation-inducible protein PhoH, predicted ATPase (PhoH) (PDB:3B85) (PUBMED:8444794;12762842)</t>
  </si>
  <si>
    <t>MAIYSKS-DIMTQTYKLEPAVAQTVLGTHDDNLKVLENQLAADIFVRGTAVTLTGPTHEIARARKVLDELQAIARRGHVISPESVKQAVAIVTVEAPLSVSKALAENIITRRGKAIRPKTLGQKEYVDAIDQNTIVFGLGPAGTGKTYLAMAKAVQALHAKQVSRIILTRPAVEAGEKLGFLPGTLNEKIDPYLRPLHDALRDMVEPEMIPKLMEAGIVEVAPLAYMRGRTLNDAFVILDEAQNTTPAQMKMFLTRLGFGSKMVVTGDITQVDLPGGQKSGLRLVRHILRGVDDVHFSGLGSDDVVRHQLVSAIVDAYDDYETAQIAKQERAEQGKRVQREER</t>
  </si>
  <si>
    <t>MTVRTEAVPHITRTVALDERYSQTILGINDENLKVLENQLDCQIHVRGTDVTLIGVAHEVARALKVLQELQAIARRGHVISPDSVKNAIHIVTGETPQSVSKVLANNIIVRRGKAVRPKTLGQQDYVDAIDTNTIVFGLGPAGTGKTYLAMAKAVQALQAKRVSRIILTRPAVEAGEKLGFLPGTLNDKIDPYLRPLHDALREMVDPEIIPKLMEAGIIEVAPLAYMRGRTLNDAFVILDEAQNTTPAQMKMFLTRLGFGSTIVVTGDITQVDLPAGQKSGLRLVRDILAGVDDIYFAELTADDVVRHQLVSRIVAAYDEYEERH------------------</t>
  </si>
  <si>
    <t>MTVRTEAVPHITRTVALDERYSQTILGINDENLKVLENQLDCQIHVRGTDVTLIGVAHEVARALKVLQELQAIARRGHVISPDSVKNAIRIVTGETPQSVSKVLANNIIVRRGKAVRPKTLGQQDYVDAIDTNTIVFGLGPAGTGKTYLAMAKAVQALQAKRVSRIILTRPAVEAGEKLGFLPGTLNDKIDPYLRPLHDALREMVDPEIIPKLMEAGIIEVAPLAYMRGRTLNDAFVILDEAQNTTPAQMKMFLTRLGFGSTIVVTGDITQVDLPAGQKSGLRLVRDILAGVDDIYFAELTADDVVRHQLVSRIVAAYDEYEERH------------------</t>
  </si>
  <si>
    <t>GC_00000242</t>
  </si>
  <si>
    <t>PF01546.33</t>
  </si>
  <si>
    <t>Peptidase family M20/M25/M40</t>
  </si>
  <si>
    <t>COG1473</t>
  </si>
  <si>
    <t>Metal-dependent amidase/aminoacylase/carboxypeptidase (AbgB) (PDB:3RAM) (PUBMED:17307853)</t>
  </si>
  <si>
    <t>--------MSTTAVDSAQHVPGG------------------------------LLEAVTAWLAEHEREVTAWREHLHSYPETSHNEVETTAFIAKVLRHHGLEPVLFPATGLYVDIDDLHSVNDAASDGTEHDDAAGLPQPGALRVAFRADIDALPIAENTGLPFASKNPGVMHACGHDVHAAVLLGFACAVADAVKQGAALPQGIRCIFQPAEEVMDGGAPSVISWGALSGVSTIFALHVEPKLAVGRIGIREG</t>
  </si>
  <si>
    <t>K05823</t>
  </si>
  <si>
    <t>N-acetyldiaminopimelate deacetylase [EC:3.5.1.47]</t>
  </si>
  <si>
    <t>M00525</t>
  </si>
  <si>
    <t>Lysine biosynthesis, acetyl-DAP pathway, aspartate =&gt; lysine</t>
  </si>
  <si>
    <t>Pathway modules; Amino acid metabolism; Lysine metabolism</t>
  </si>
  <si>
    <t>KEGG Orthology (KO)&gt;&gt;&gt;09100 Metabolism&gt;&gt;&gt;09105 Amino acid metabolism&gt;&gt;&gt;00300 Lysine biosynthesis [PATH:ko00300]|Enzymes&gt;&gt;&gt;3. Hydrolases&gt;&gt;&gt;3.5  Acting on carbon-nitrogen bonds, other than peptide bonds&gt;&gt;&gt;3.5.1  In linear amides&gt;&gt;&gt;3.5.1.47  N-acetyldiaminopimelate deacetylase|Peptidases and inhibitors&gt;&gt;&gt;Metallo peptidases&gt;&gt;&gt;Family M20</t>
  </si>
  <si>
    <t>---------------------MG------------------------------IRQHVDEWLAAHGETVIGWRRHFHTHPELSHQERHTTEFITTVLREHGMTPTLFPTTGLMVDIG---------------------PGVGP-RIAFRADLDALPIEETAPVAFRSASPGVMHACGHDVHTAIVLALACALNTYP-----LTVGLRFIFQPAEEVMEGGAPDVITWGGLNNVSSIFALHTEPKLRVGKVGLRTG</t>
  </si>
  <si>
    <t>MKQHHSSSDNHDEHTPDNNMPNGCETCDATETGTTETAGDAGEPATSVVPATSLADIAHEWLADHTTELYEWRWDFHAHPELSDQEYRTTATINSILRDHGLTPHLFPNTGLMVDIG---------------------PDTPE-KIAFRADIDALPIQEHTGCEHSSQNAGVMHACGHDIHITVALGLACVLAEADRRGL-IKIGIRIIFQPAEEVMDSGAPELIQLGVLERISNIFAIHAEPKIRTGMIGVRVGPITSAGDVIEVKVTGSGGHSSRPHLTNDVVYALAKIVTDLPGLLTRRVDPRTATVMVFGAINAGFAPNAIPEEGTIRGTIRTGDIHVWRKIQPLLEELIGAIVAPTGAQYQITYVKGVPPVINDDVATAVLADAARMMDPQAVVQAPQSSGGEDFSWYLEHVAGSMARLGCWDGVSEKGDLHKANMLADEKCIPVGVRLFAGVADRFNSHADQVFVV</t>
  </si>
  <si>
    <t>MKQHHSSSDNHDEHTPDNNMPNGCETCDATETGTTETAGDAGEPATSVVPATSLADIAHEWLADHTTELYEWRWDFHAHPELSDQEYRTTASINSILRDHGLTPHLFPNTGLMVDIG---------------------PDTPE-KIAFRADIDALPIQEHTGCEHSSQNAGVMHACGHDIHITVALGLACVLAEADRRGL-IKIGIRIIFQPAEEVMDSGAPELIQLGVLERISNIFAIHAEPKIRTGMIGVRVGPITSAGDVIEVKVTGSGGHSSRPHLTNDVVYALAKIVTDLPGLLTRRVDPRTATVMVFGAINAGFAPNAIPEEGTIRGTIRTGDIHVWRKIQPLLEELIGAIVAPTGAQYQITYVKGVPPVINDDVATAILADAARTMDPQAVVQAPQSSGGEDFSWYLEHVAGSMARLGCWDGVSEKGDLHKANMLADEKCIPVGVRLFAGVADRFNSHADQVFVV</t>
  </si>
  <si>
    <t>GC_00000243</t>
  </si>
  <si>
    <t>PF14527.11</t>
  </si>
  <si>
    <t>WhiA LAGLIDADG-like domain</t>
  </si>
  <si>
    <t>K09762</t>
  </si>
  <si>
    <t>cell division protein WhiA</t>
  </si>
  <si>
    <t>COG1481</t>
  </si>
  <si>
    <t>DNA-binding transcriptional regulator WhiA, involved in cell division (WhiA) (PDB:3HYI)</t>
  </si>
  <si>
    <t>Chromosome and associated proteins&gt;&gt;&gt;Prokaryotic type&gt;&gt;&gt;Chromosome partitioning proteins&gt;&gt;&gt;Other chromosome partitioning proteins</t>
  </si>
  <si>
    <t>--------------------MVALTAQVKDELAAATVTRPSVRIAELATLIRCAGSVELPDPGVPGSAAASLTIELDREDVAQRVQDVLTGEFNRKVSLSSASDGSHRKATVYTLHTDDKVEDLLRRVGLLSRNGLYVVGLPPRVVSGTVADAEGVWRGAFMARGVVTDPGRVSGVEVICPCPEVALALVGAARRLGIGAKTKESRGQDRVVVRDSDAVGALLTRMGAQVSRLQWESTRAERQTHAPAHRLANFD</t>
  </si>
  <si>
    <t>MKRVVDQRDQQRSNQKMGGHTVTLTTQVKEELARVTVSRPSSRRAEVSALARFTATIHT----VSGQVLVEF--DVDSDNIARRLQTEIDDLYHRESTIHTTGSASGRKGTRYLVRVVEPGFDFARKVGLVTRGGQYIRGLSPTIVSGTVSDAEAAWRGAFLACGSLTEPGRSSALEVTCPCAEAALALVGCARRLGISAKTKETRGADRVSIRENESIGALLTRMGAQQSRLEWEEQRQRREVRSPASRLANFDDANLRRSARAAVAAAARVERALDILGEDVPDHLAEAGHLRVTHRQASLEELGRLADPQMTKDAVAGRIRRLLTMADKRAKELGIPATDAAVTDDLLEDM--</t>
  </si>
  <si>
    <t>-------------------MADDLTTSVKEELCRVEVKSQNVRIAEIAAMIRFAGELSI----VANKPVLEV--ELEVRAAAERLRRAMMELFDIRVSLLELGATSSRKAARYLLRITDDVEMVIRRVGLVTRSGQQVRGLPPQVVSGTVDHAEAAWRGAFLASGQLGDPMRSSGLEVNCPGQETSLALVGCARRLGISAKTKESRGVEKVTIRDGQDVGALLARMGAHVTRMKWDEKRLRRETRPANNRLANFD</t>
  </si>
  <si>
    <t>GC_00000244</t>
  </si>
  <si>
    <t>PF00348.22</t>
  </si>
  <si>
    <t>Polyprenyl synthetase</t>
  </si>
  <si>
    <t>K13787</t>
  </si>
  <si>
    <t>geranylgeranyl diphosphate synthase, type I [EC:2.5.1.1 2.5.1.10 2.5.1.29]</t>
  </si>
  <si>
    <t>COG0142</t>
  </si>
  <si>
    <t>Geranylgeranyl pyrophosphate synthase (IspA) (PDB:2AZJ)</t>
  </si>
  <si>
    <t>M00364|M00365|M00921</t>
  </si>
  <si>
    <t>C10-C20 isoprenoid biosynthesis, bacteria|C10-C20 isoprenoid biosynthesis, archaea|Cyclooctatin biosynthesis, dimethylallyl-PP + isopentenyl-PP =&gt; cyclooctatin</t>
  </si>
  <si>
    <t>Pathway modules; Biosynthesis of terpenoids and polyketides; Terpenoid backbone biosynthesis|Pathway modules; Biosynthesis of terpenoids and polyketides; Terpenoid backbone biosynthesis|Pathway modules; Biosynthesis of other secondary metabolites; Biosynthesis of other bacterial compounds</t>
  </si>
  <si>
    <t>ko00001|ko01000|ko01000|ko01000|ko01006</t>
  </si>
  <si>
    <t>KEGG Orthology (KO)&gt;&gt;&gt;09100 Metabolism&gt;&gt;&gt;09109 Metabolism of terpenoids and polyketides&gt;&gt;&gt;00900 Terpenoid backbone biosynthesis [PATH:ko00900]|Enzymes&gt;&gt;&gt;2. Transferases&gt;&gt;&gt;2.5  Transferring alkyl or aryl groups, other than methyl groups&gt;&gt;&gt;2.5.1  Transferring alkyl or aryl groups, other than methyl groups (only sub-subclass identified to date)&gt;&gt;&gt;2.5.1.1  dimethylallyltranstransferase|Enzymes&gt;&gt;&gt;2. Transferases&gt;&gt;&gt;2.5  Transferring alkyl or aryl groups, other than methyl groups&gt;&gt;&gt;2.5.1  Transferring alkyl or aryl groups, other than methyl groups (only sub-subclass identified to date)&gt;&gt;&gt;2.5.1.10  (2E,6E)-farnesyl diphosphate synthase|Enzymes&gt;&gt;&gt;2. Transferases&gt;&gt;&gt;2.5  Transferring alkyl or aryl groups, other than methyl groups&gt;&gt;&gt;2.5.1  Transferring alkyl or aryl groups, other than methyl groups (only sub-subclass identified to date)&gt;&gt;&gt;2.5.1.29  geranylgeranyl diphosphate synthase|Prenyltransferases&gt;&gt;&gt;Terpene biosynthesis&gt;&gt;&gt;Prenyl diphosphate synthase</t>
  </si>
  <si>
    <t>-MRTTHSDDTATLVDTINNELRAYLDSKNQQLGSISPHVANSINLLTQFATNGGKRIRPQFAWAAYTGLKNTTDVAQEDDAAVLRAFTALELIQACALIHDDIIDSSDTRRGNPTVHKAVETNHQDAQLHGSSRAFGEAVAILVGDLALAWADDMLRDSGVSADGLSRMYQPWQDMRSEVIAGQLLDICLEATRGEDERESEKVNRYKTAAYTIERPLHLGAALAGASEEATSRLLTYGRDIGIAYQLRDDMLGV</t>
  </si>
  <si>
    <t>------MVTLDEVPEAVQAVLVEFFARQRNHLAGIQP---EAVDVLEQFVLGGGKRLRPLFAWAGYTGVGGS-----EDPQAVLRAVSSLELIQACALLHDDIIDSSDTRRGRPTAHRTVETRHRERGWSGDSAHFGRSVAILLGDFALAWADDLVHSSGLSAAALQRVQEPWRAMRSEVIAGQLLDVSLEASGSERLEDAERVNRFKTAAYTIERPLHIGAALADAPQPVVDAYRKFGADIGVAFQLRDDVLGV</t>
  </si>
  <si>
    <t>MTETPKTPDLAQVPGIVTTHLAEFFAAQRPAIAPLGDAVGSAVTLLENYVLTGGKRIRPCYVWAGFVAGGGLRNRG-EDPAAVLRAASALELIQACALIHDDIIDSSDTRRGNPTVHRSAQRRHEEGRWHGDADHFGCSVAILLGDLAFAWADDMVRAAGLSHAALDRMQPAWRGMRTEVIGGQLLDIIHEASGDEDIATAQVVNRFKTAAYTIERPLHLGAALAGADAATIAALRAYGTDIGVAFQLRDDQLGVFGDPGVTGKPAGDDLREGKRTVLIATALQLADA---ATADYIRGRLGRVSDPDEIAELTAAIAATGAAEHVEKLIGELTANGLARIAGLGLPDGSEDALRGLAMQATARRT</t>
  </si>
  <si>
    <t>MTETPKTPDLAQVPGIVTTHLAEFFAAQRPAIAPLGDAVGSAVTLLENYVLTGGKRIRPCYVWAGFVAGGGLRNRG-EDPAAVLRAASALELIQACALIHDDIIDSSDTRRGNPTVHRSAQRRHEEGRWHGDADHFGCSVAILVGDLAFAWADDMVRAAGLSHAALDRIQPAWRGMRTEVIGGQLLDIIHEASGDEDIATAQVVNRFKTAAYTIERPLHLGAALAGADAATIAALRAYGTDIGVAFQLRDDQLGVFGDPGVTGKPAGDDLREGKRTVLIATALQLADA---ATADYIRGRLGRVSDPDEIAELTAAIAATGAAERVEKLIGELTASGLARIAGLGLPDGSEEALRGLAMQATARRT</t>
  </si>
  <si>
    <t>GC_00000245</t>
  </si>
  <si>
    <t>PF03448.22</t>
  </si>
  <si>
    <t>MgtE intracellular N domain</t>
  </si>
  <si>
    <t>K06213</t>
  </si>
  <si>
    <t>magnesium transporter</t>
  </si>
  <si>
    <t>COG2239</t>
  </si>
  <si>
    <t>Mg/Co/Ni transporter MgtE (contains CBS domain) (MgtE) (PDB:2YVX)</t>
  </si>
  <si>
    <t>Transporters&gt;&gt;&gt;Other transporters&gt;&gt;&gt;Pores ion channels [TC:1]</t>
  </si>
  <si>
    <t>----------------MSSVSKLYAGRLSGMIVRGPDTEPIGRVRDVIISVRSSRQTARVLGLVVELVNKRRIFLPMLRIAAIDPKEITLVSGSVSLRSFATRPGELSAMNDLIGSRVHVDDPELENLRGKAVEIADVEIEKTRSRDWVISRVAVLGQKRNFGRRGDVFITPWSHVQGISAAGVGQSNADAELIAQFGDMRPVDIANTLHDMNPAQRRRVAEALDDDRLADVLQEMPEEQQTELIESLGIERAAD</t>
  </si>
  <si>
    <t>MQLLHVPTGVLVHLVTMSPITKVYAGRLAGMVVRGPDTEVIGRVRDVVVIVRPNGHVTRALGLVVEVVNNRRIFLPMLRVASIEPQEIMLVSGSVSLRAFKPRTGELTIVGDLVGSKVQVDDPELENLHGRPVEIADIELERTRTRDWIVSRVAVFGEKPKFGRRGSLHVVPWSHVHGITAAGAGQSDKVAELIARFDNMRPADIASLLRAMPAAERQTVAEQLDDERLADILQELPDDRQAELIEALAIERAAVVLEEMDPDDAADLLGELPDDKADVLLELMDPEESAPVRRLMDFSPDTVGALMTPEPLILAPQTTVAEALAMARNPDLTTSLSSLIFVVRPPTATPTGKYLGCVHLQKLLREPPSSLIGGILDPDLPPLYADDSQETAARYFATYNLVCGPVLDSDNHLLGAVAVDDLLDHMLPEDWRETGLRPATTHA</t>
  </si>
  <si>
    <t>----------------MSEVTRVYAGRLAGMVVRGPETDVIGRVRDVVVNVRPAGHQSRVLGLVVEMTNKRRIFLPMLRIASIDPHEIMLVSGSVSLRAFKPRTGELTIMGDIIGAKVQVDDPDLPKIHAKPVEVADIEIERTRTRDWAISAVAVISERAKFGRRTEILIASWRHVHGITAAGVGISDAAAELLAEFEDMRPADVATALYELPESQRHSVASELDDERLADILQEMSEDRQAELLDTLGIERAAE</t>
  </si>
  <si>
    <t>GC_00000246</t>
  </si>
  <si>
    <t>PF04055.27</t>
  </si>
  <si>
    <t>Radical SAM superfamily</t>
  </si>
  <si>
    <t>K03644</t>
  </si>
  <si>
    <t>lipoyl synthase [EC:2.8.1.8]</t>
  </si>
  <si>
    <t>COG0320</t>
  </si>
  <si>
    <t>Lipoate synthase (LipA) (PDB:4U0O) (PUBMED:27941785)</t>
  </si>
  <si>
    <t>Lipoate biosynthesis</t>
  </si>
  <si>
    <t>M00881|M00882|M00883|M00884</t>
  </si>
  <si>
    <t>Lipoic acid biosynthesis, plants and bacteria, octanoyl-ACP =&gt; dihydrolipoyl-E2/H|Lipoic acid biosynthesis, eukaryotes, octanoyl-ACP =&gt; dihydrolipoyl-H|Lipoic acid biosynthesis, animals and bacteria, octanoyl-ACP =&gt; dihydrolipoyl-H =&gt; dihydrolipoyl-E2|Lipoic acid biosynthesis, octanoyl-CoA =&gt; dihydrolipoyl-E2</t>
  </si>
  <si>
    <t>KEGG Orthology (KO)&gt;&gt;&gt;09100 Metabolism&gt;&gt;&gt;09108 Metabolism of cofactors and vitamins&gt;&gt;&gt;00785 Lipoic acid metabolism [PATH:ko00785]|Enzymes&gt;&gt;&gt;2. Transferases&gt;&gt;&gt;2.8  Transferring sulfur-containing groups&gt;&gt;&gt;2.8.1  Sulfurtransferases&gt;&gt;&gt;2.8.1.8  lipoyl synthase</t>
  </si>
  <si>
    <t>-MTVAPNGRKMLRIEARNSQTPIESKPRWIRTTAKTGPEFKDMKKRVAGASLHTVCQEAGCPNVHECWESREATFLIGGSQCSRRCDFCQIDSGKPEPLDRDEPRRVAESVREMGLNYATITGVTRDDLDDEGAWLYAEVVRQIHELNPNTGVENLVPDFSGKPDLLQEVFEARPEVFAHNIETVPRIFKRIRPAFRYDRSLDVIRQARDFGLVTKSNLILGMGETPEEVHDAMQDLADAGCDILTITQYLRPGP</t>
  </si>
  <si>
    <t>-MTVAPEGRKLLRIEARNSETPIESKPRWIRTTAKTGPEFRDMKKRVAGASLHTVCQEAGCPNLHECWESREATFLIGGSQCSRRCDFCQISSGRPDPLDRDEPRRVAESVREMGLNYATITGVTRDDLDDEGAWLYAEVVRQIHALNPNTGVENLVPDFSGKPDLLEIVFESRPEVFAHNIETVPRIFKRIRPAFRYDRSLDVIRQARDYGLVTKSNLILGMGETYDEIQATMQDLRDAGCDILTITQYLRPGP</t>
  </si>
  <si>
    <t>MTTAAPNGRKLLRVEVRNSETPIENKPRWIRTTVKTGPEYQDIKKRVSGSSLHTVCQEAGCPNIHECWESREATFLIGGANCSRRCDFCQINSAKPEPLDRDEPRRVAESVKEMGLNYSTITGVTRDDLDDEGAWLYAEVVRQIHALNPNTGVENLTPDFSGKPDLLHEVFEARPEVFAHNLETVPRIFKRIRPAFRYDRSLDVIRQARDFGLITKSNLILGMGETPEEIRDALMDLHSAGCDILTITQYLRPGPRFHPIDRWVKPEEFIEHRDFALELGFGAVMSGPLVRSSYRAGKLYAQAMEARGLPLPENLRHLAKNAHVSTAQEASTLLERYGASQDTPVSTSR</t>
  </si>
  <si>
    <t>GC_00000247</t>
  </si>
  <si>
    <t>PF00694.25</t>
  </si>
  <si>
    <t>Aconitase C-terminal domain</t>
  </si>
  <si>
    <t>K01704</t>
  </si>
  <si>
    <t>3-isopropylmalate/(R)-2-methylmalate dehydratase small subunit [EC:4.2.1.33 4.2.1.35]</t>
  </si>
  <si>
    <t>COG0066</t>
  </si>
  <si>
    <t>3-isopropylmalate dehydratase small subunit (LeuD) (PDB:3Q3W)</t>
  </si>
  <si>
    <t>M00535|M00432</t>
  </si>
  <si>
    <t>Isoleucine biosynthesis, pyruvate =&gt; 2-oxobutanoate|Leucine biosynthesis, 2-oxoisovalerate =&gt; 2-oxoisocaproate</t>
  </si>
  <si>
    <t>ko00001|ko00001|ko01000|ko01000</t>
  </si>
  <si>
    <t>KEGG Orthology (KO)&gt;&gt;&gt;09100 Metabolism&gt;&gt;&gt;09101 Carbohydrate metabolism&gt;&gt;&gt;00660 C5-Branched dibasic acid metabolism [PATH:ko00660]|KEGG Orthology (KO)&gt;&gt;&gt;09100 Metabolism&gt;&gt;&gt;09105 Amino acid metabolism&gt;&gt;&gt;00290 Valine, leucine and isoleucine biosynthesis [PATH:ko00290]|Enzymes&gt;&gt;&gt;4. Lyases&gt;&gt;&gt;4.2  Carbon-oxygen lyases&gt;&gt;&gt;4.2.1  Hydro-lyases&gt;&gt;&gt;4.2.1.33  3-isopropylmalate dehydratase|Enzymes&gt;&gt;&gt;4. Lyases&gt;&gt;&gt;4.2  Carbon-oxygen lyases&gt;&gt;&gt;4.2.1  Hydro-lyases&gt;&gt;&gt;4.2.1.35  (R)-2-methylmalate dehydratase</t>
  </si>
  <si>
    <t>MEKFSIHIGAGVPLRHSNVDTDQIIPAQYLKRVTRTGFEDGLFSGWR-NDPDFVLNQNGYREGSVLVAGPDFGTGSSREHAVWALMDYGFRVVFSSRFADIFRGNAGKAGLLAAQMSQDDIETLWKLLEQTPGLELSVDLNERLVTAGGVILPFDVDDYTRWRLLEGLDDIGLTLRKEEAIASFEAQRPAFKPVTL</t>
  </si>
  <si>
    <t>MDKFTTHAGVGVPLKRSNVDTDQIIPAVYLKRVTRTGFEDGLFSGWR-QDPDFVLNQDAFKNGSILVAGPDFGTGSSREHAVWALMDYGFRVVFSSRFADIFRGNSGKSGLLAALMEASDIELLWKLMEETPGLELTVDLEKRTVSAGEYILPFEVDDYTRWRLMEGLDDISLTLRNEDAIKEFEEKRPSFMPTTM</t>
  </si>
  <si>
    <t>MEKFTTHTGVGVPLMRSNVDTDQIIPAVYLKRVTRTGFDDGLFNNWRTNEPDFVLNQDAYAHGTILVAGPDFGTGSSREHAVWALMDYGFKVVLSSRFADIFRGNAGKAGLLAALMDQQDIEQLWQQLTDQPGLSLTVNLEDRTVTCENHTYRFDVDDYTRWRLMEGLDDIGLTLRKEADIETYEAHRPSFKPVVK</t>
  </si>
  <si>
    <t>MEKFTTHTGVGVPLMRSNVDTDQIIPAVYLKRVTRTGFDDGLFNNWRTNEPDFVLNQDAYTHGTILVAGPDFGTGSSREHAVWALMDYGFKVVLSSRFADIFRGNAGKAGLLAALMDQQDIEQLWQQLTDQPGLSLTVNLEDRTVTCENHTYRFDVDDYTRWRLMEGLDDIGLTLRKEADIETYEAHRPSFKPVVK</t>
  </si>
  <si>
    <t>GC_00000248</t>
  </si>
  <si>
    <t>PF13560.12</t>
  </si>
  <si>
    <t>Helix-turn-helix domain</t>
  </si>
  <si>
    <t>K27043</t>
  </si>
  <si>
    <t>XRE family transcriptional regulator, stress-response regulator</t>
  </si>
  <si>
    <t>COG1396</t>
  </si>
  <si>
    <t>Transcriptional regulator, contains XRE-family HTH domain (HipB) (PDB:1ADR)</t>
  </si>
  <si>
    <t>Transcription factors&gt;&gt;&gt;Prokaryotic type&gt;&gt;&gt;Helix-turn-helix&gt;&gt;&gt;XRE family</t>
  </si>
  <si>
    <t>MVTNTAVLERPHRLSSGVASRQHAHARHTPHAPVNPKSQSASQKLSALATTHKEPLLREALGTALRAFRSDRGVTLRELAELSSVSPGYLSELERGRKEVSSEVLASVCHALETSVADVLIEAAGSMAATSIDADLALTR</t>
  </si>
  <si>
    <t>MVTYTALLDQP--------------VKKTPAHV--------------------EPLLREALGAALRSFRADRGITLRELAELARVSPGYLSELERGRKEVSSELLAAVCRALGANVSDVLIEAAGSMAMQHSDSELAAL-</t>
  </si>
  <si>
    <t>MMKYTAVLDKP-------------VTKRTPKTP--------------------EPLLRQALGAALRSFRADKGITLRELAEISRVSPGYLSELERGRKEVSSELLASVCHALGTSVSDVLIEAAGSMAMQNVEKELVRV-</t>
  </si>
  <si>
    <t>GC_00000249</t>
  </si>
  <si>
    <t>PF10609.15</t>
  </si>
  <si>
    <t>NUBPL iron-transfer P-loop NTPase</t>
  </si>
  <si>
    <t>D|O</t>
  </si>
  <si>
    <t>Cell cycle control, cell division, chromosome partitioning|Posttranslational modification, protein turnover, chaperones</t>
  </si>
  <si>
    <t>K03593</t>
  </si>
  <si>
    <t>ATP-binding protein involved in chromosome partitioning</t>
  </si>
  <si>
    <t>COG0489|COG2151</t>
  </si>
  <si>
    <t>Fe-S cluster carrier ATPase, Mrp/ApbC/NBP35 family (Mrp) (PDB:2PH1) (PUBMED:18616280;19114487;31709520)|Metal-sulfur cluster biosynthetic enzyme (PaaD) (PDB:1UWD)</t>
  </si>
  <si>
    <t>ko03036|ko03029</t>
  </si>
  <si>
    <t>Chromosome and associated proteins&gt;&gt;&gt;Prokaryotic type&gt;&gt;&gt;Chromosome partitioning proteins&gt;&gt;&gt;Other chromosome partitioning proteins|Mitochondrial biogenesis&gt;&gt;&gt;Mitochondrial quality control factors&gt;&gt;&gt;Mitochondrial respiratory chain complex assembly factors&gt;&gt;&gt;Complex-I assembly factors</t>
  </si>
  <si>
    <t>MTDSQSAHFTDADIRAALAKVDDPEIGRPITELGMVKSIDIDGSSVAVTVYLTIAGCPMKSTIVERCREAVAAVAGVEHVSVDTDVMSDEQRAELRAHLRGGVAEPENPFARPDSRTRVYAVASGKGGVGKSSMTVNLAAALAQRGLSVGILDADIYGHSIPHMLGSDDRPHQVDDMIMPPQAHGIKMISIAHFTEGNAPVVWRGPMLHRAISQFMTDVFWGDLDVLLLDLPPGTGDIAISVAQLVPGGELLIVTTPQAAAAEVAERAGSISMQTRQKVAGVIENMAAMVLPDGTTMDVFGSGGGQIVADRLSTLTGSSVPLLGSVPLDPALRTGGDDGVPVVLADPDSPTAKAINGIADHLARRQESLAGKPLGLNVTAK</t>
  </si>
  <si>
    <t>-----MSTLSESAVRTALSRVDDPEIGKPITELGMVKSVTLDGNNVAVEIYLTIAGCPLKNTLIRNTQAAVEELDGVGTVTVTTDVMSDEQRRTLRQALRGTDSEPVIPFAQPNSTTRVFAVASGKGGVGKSSMTVNLATALAARGLNVGILDADIYGHSIPHMLGSDARPHQVDDMIMPPIAHGVKIISIGHFVEGNTPVIWRGPMLHRAIQQFLSEVFWSDLDILLLDLPPGTGDIALSVAQLVPSAELLIVT</t>
  </si>
  <si>
    <t>----MTTTITESDVRKALSRVEDPEIGKPITELNMVKSINITGTDVAVEIYLTIAGCPMKNTLVTNTRAAVADIAGVGEVTVTTDVMTDEQRRELRQSLRGGVAEPVIPFAQPASTTRVYAIASGKGGVGKSSMTVNLATAFAQKGLSVGIVDADIYGHSIPGMLGSEDRPHSVDDMIMPPQAHGIKHISIGQFVDGNAPVVWRGPMLHRAIQQFLGDVFWGDLDILLLDLPPGTGDIAISVAQLVPNAELLIIT</t>
  </si>
  <si>
    <t>GC_00000250</t>
  </si>
  <si>
    <t>K16649</t>
  </si>
  <si>
    <t>rhamnopyranosyl-N-acetylglucosaminyl-diphospho-decaprenol beta-1,3/1,4-galactofuranosyltransferase [EC:2.4.1.287]</t>
  </si>
  <si>
    <t>COG1216</t>
  </si>
  <si>
    <t>Glycosyltransferase, GT2 family (WcaE) (PDB:2Z86)</t>
  </si>
  <si>
    <t>M00888</t>
  </si>
  <si>
    <t>Galactofuranan biosynthesis, decaprenyl phosphate + UDP-GlcNAc (+ dTDP-Rha/UDP-Galf) =&gt; GL-5</t>
  </si>
  <si>
    <t>Pathway modules; Glycan metabolism; Other polysaccharide metabolism</t>
  </si>
  <si>
    <t>KEGG Orthology (KO)&gt;&gt;&gt;09100 Metabolism&gt;&gt;&gt;09107 Glycan biosynthesis and metabolism&gt;&gt;&gt;00572 Arabinogalactan biosynthesis - Mycobacterium [PATH:ko00572]|Enzymes&gt;&gt;&gt;2. Transferases&gt;&gt;&gt;2.4  Glycosyltransferases&gt;&gt;&gt;2.4.1  Hexosyltransferases&gt;&gt;&gt;2.4.1.287  rhamnopyranosyl-N-acetylglucosaminyl-diphospho-decaprenol beta-1,4/1,5-galactofuranosyltransferase|Glycosyltransferases&gt;&gt;&gt;Polysaccharide&gt;&gt;&gt;Bacterial polysaccharide (excluding LPS)</t>
  </si>
  <si>
    <t>MPLDHDSTIAAVIVTHNRADLLRTSLAVVASQSHPVDWIIVVDNGAEETVRNLLVEVAGDKGVYLPSKHNLGGAGGFAYGFLHALALGADAVWCADDDGSPEGPEVLATLLRCAERNQLEEVSPVVCNANTPDRLAFPLRRGVEWRRYRHELIDPAHP--E---------DDLLEGIASLFNGALISAYAMERIGVPDLRLFIRGDEVEYHRRLVRSGLKFGTCLSTAYLHPDGTDEFKPILGGRMHTQYPDNPNKRFFTYRNRGFLMSQPGMRRLIPQEYARFGWFFLVQRKDPKGFVEWLRLQRMGWRERFSRPE--</t>
  </si>
  <si>
    <t>MPLDHDSTIAAVIVTHNRADLLRTSLTVVASQSHPVDWIIVVDNGTEETVRNLLVEVAGDKGVYLPSKRNLGGAGGFAYGFLHALALGADAVWCADDDGSPEGPEVLATLLRCAERNQLEEVSPVVCNADAPDRLAFPLRRGVEWRRYRHELIDPAHP--E---------DDFLEGIASLFNGALISAHAMERIGVPDLRLFIRGDEVEYHRRLVRSGLKFGTCLSTAYLHPDGTDEFKPILGGRMHTQYPDNPNKRFFTYRNRGFLMSQPGMRRLIPQEYARFGWFFLVQRKDPKGFVEWLRLQRMGWRERFSRPE--</t>
  </si>
  <si>
    <t>MILSATDKVAAVVVTHNRVELLRSSLEVVAQQSRPVHWIIVVDNGADPAVEKLLAEIAGDRGIYLPSKTNLGGAGGFAYGFLVALAQGADAVWCADDDGRPEGPDVLATLQDCAVRHNLAEVSPVVCNLDNPDRLAFPLRRGLEWRRLRSELTDPRGT--EVGDTANNLGDDLLPGIASLFNGALISTRAMEVIGIPDYRLFIRGDEVEYHRRLHRSGLPFGTCLTTAYLHPDGSEEFRPILGGKMHTQYPENPGKRFFTYRNRGYLMNQPGMRRLLPQEYARFGWFFLVQQKDPKGFWEWLKLHRLGRKERFFRP---</t>
  </si>
  <si>
    <t>GC_00000251</t>
  </si>
  <si>
    <t>PF10611.14</t>
  </si>
  <si>
    <t>Protein of unknown function (DUF2469)</t>
  </si>
  <si>
    <t>MSAEELDNYEAEVELSLYREYRDVVSQFSYVVETERRFYLCNAVELIPRKTGNDVFYEIRMSDAWVWDMYRPARFVRYVRVITYKDVNIEELDKPDLVIPD</t>
  </si>
  <si>
    <t>MSAEELDNYEAEVELSLYREYRDVVSQFSYVVETERRFYLANGVELIPHSAHGEVYYEIRMSDAWVWDMYRSARFVRYVRVITYKDVNIEELDKPEMIIPK</t>
  </si>
  <si>
    <t>MSAEELENYEAEVELSLYREYRDVVSQFSYVVETERRFYLANAVELIPHTQGNDVYYEVRMSDAWVWDMYRSVRFVRYVRVITYKDVNIEELDKPDLIIPE</t>
  </si>
  <si>
    <t>GC_00000252</t>
  </si>
  <si>
    <t>PF06210.16</t>
  </si>
  <si>
    <t>Protein of unknown function (DUF1003)</t>
  </si>
  <si>
    <t>COG4420</t>
  </si>
  <si>
    <t>Uncharacterized membrane protein</t>
  </si>
  <si>
    <t>MADTVRSELDTPSVGQRRSLITIDADKIGAFAEKVARFFGTGEYLFWQTIFVIAWVVLNIAGFSWQWDPYPFILLNLAFSTQAAYAAPLILLAQNRQEDRDRVALAEDRRRAEQTKADTEFLARELASVRISLGDAVTRDYLRHELEDLRSLLDRIEDKLDDESAARIAREHGKHPADFSELNAPSMGRHSTHNHKEDND</t>
  </si>
  <si>
    <t>MADFNRSDLDTPVAGNRRKFFNFDGDSVGAFAEKVARFFGTGEYLFWQTIFVLIWVAFNVGGYWWNWDAYPFILLNLAFSTQAAYAAPLILLAQNRQEDRDRIALNEDRRRSEQTKADTEFLARELAGVRIAIGDTVTRDYLRHELEDLRSVLERIEAKIDDEAAARIAR----GDGETHELAEPTQGDLA---------</t>
  </si>
  <si>
    <t>-----MADLDTPRLSGKKTYFRIDDDTVGAYAEKVARFFGTGRYLMWQTVFVTVWVVLNLGATWWKWDPYPFILLNLAFSTQAAYAAPLILLAQNRQEDRDRISLNEDRRRAFETKSNTEFITRELTGLRLAVGEVVTRDYLRHELDDLRTMMERIEAKIADEAAARTAARHYAGEAAHEDLRDPARGRSPE--------</t>
  </si>
  <si>
    <t>GC_00000253</t>
  </si>
  <si>
    <t>K01439</t>
  </si>
  <si>
    <t>succinyl-diaminopimelate desuccinylase [EC:3.5.1.18]</t>
  </si>
  <si>
    <t>COG0624</t>
  </si>
  <si>
    <t>Acetylornithine deacetylase/Succinyl-diaminopimelate desuccinylase or related deacylase (ArgE) (PDB:1CG2)</t>
  </si>
  <si>
    <t>Arginine biosynthesis</t>
  </si>
  <si>
    <t>M00016</t>
  </si>
  <si>
    <t>Lysine biosynthesis, succinyl-DAP pathway, aspartate =&gt; lysine</t>
  </si>
  <si>
    <t>KEGG Orthology (KO)&gt;&gt;&gt;09100 Metabolism&gt;&gt;&gt;09105 Amino acid metabolism&gt;&gt;&gt;00300 Lysine biosynthesis [PATH:ko00300]|Enzymes&gt;&gt;&gt;3. Hydrolases&gt;&gt;&gt;3.5  Acting on carbon-nitrogen bonds, other than peptide bonds&gt;&gt;&gt;3.5.1  In linear amides&gt;&gt;&gt;3.5.1.18  succinyl-diaminopimelate desuccinylase|Peptidases and inhibitors&gt;&gt;&gt;Metallo peptidases&gt;&gt;&gt;Family M20</t>
  </si>
  <si>
    <t>MNSATSTDNNRQLPRLTLDDTAVTLTEQLVDIASPSHNEAAIADVVEHALRNH----FNGRDCSVEIHRFNNNVIARTNYGLPSRVILAGHLDTVPIADNVPSHRETATVEGQAEEQIWGCGSVDMKSGDAVFLHAFATLA-DGGLQRDVTLICYEGEEVASRFNGLGHIAEQHPEWLEGDVAILGEPSAARIEGGCQGSIRLRITAHGTRAHSARAWMGLNAMHVLSPVISRVAAYQPATIDIDGLKYREGLNIVHCESGVATNTIPDEAWMFVNFRFAPNRTVDEALAHMLEVLDLPEGVSYDIDDAVSGALPGLSVPAAQELIDATGEAPAPKFGWTDVARFSELGIPAVNFGPGDPALCHKRDEHCPVWMIERASQVILDYLGGAGR--</t>
  </si>
  <si>
    <t>------MVNDTHLDL-TGD--PVSLTAALVDIPSPSHHERAIADVIEQALTDQAASARAGGPAAVEVLRFRNNVLARTRRNLPSRVILAGHIDTVPIADNVPGHRG---VDTHGKDTLFGCGTVDMKGGDAVFLHAFAELAASPDLTRDMTLICYEGEEVASEFNGLGHIHAEHPDWLRGDVAILGEPSGAVIEAGCQGSIRLRVTAAGVRAHSARSWMGVNAMHLLAPVITRIADYQPRTVDIDGCEYREGLNI</t>
  </si>
  <si>
    <t>-----------MIDLFTLD--PVSLTAALVDVPSVSHEERPLADMLERALRLI---------PGVEVLRHENSLVARTQRGLPQRVVLAGHIDTVPIAENVPCVRG---VNDQGEDTLFGCGTVDMKSGLAVYLAVFARLANDPALAYDLTLVCYEGEEVAARFNGLGLIHGAHPDWLLGDVALLGEPSGAIIEAGCQGSIRLRVTAHGVRAHSARSWLGKNAMHALAPVISNIAAYEAQEVLVDGCRYHEGLNI</t>
  </si>
  <si>
    <t>-----------MIDLFTLD--PVSLTAALVDVPSVSHEERPLADMLERALRLI---------PGVEVLRHENSLVVRTQRGLPQRVVLAGHIDTVPIAENVPCARG---VNDQDEDTLFGCGTVDMKSGLAVYLAVFARLANDPALAYDLTLVCYEGEEVAARFNGLGLIHGAHPDWLLGDVALLGEPSGAIIEAGCQGSIRLRVTAHGVRAHSARSWLGKNAMHALAPVISNIAAYEAQEVLVDGCRYHEGLNI</t>
  </si>
  <si>
    <t>GC_00000254</t>
  </si>
  <si>
    <t>PF02130.23</t>
  </si>
  <si>
    <t>Endoribonuclease YbeY</t>
  </si>
  <si>
    <t>K07042</t>
  </si>
  <si>
    <t>probable rRNA maturation factor</t>
  </si>
  <si>
    <t>COG0319</t>
  </si>
  <si>
    <t>ssRNA-specific RNase YbeY, 16S rRNA maturation enzyme (YbeY) (PDB:1XM5) (PUBMED:17407324;23543739)</t>
  </si>
  <si>
    <t>MHIEVFNEDPTYGTQDATDTVDAVDAADAVDGVNEEALIDVASFALSRMDVHSEAELNIYIVDEDTIADLHVQWLDLEGPTDVMSFPMDELTPG-GRPDANEPGPAMLGDIVLCPSFAAKQAKKAGHSLAHELALLTVHGCLHLLGYDHIEPSEEQHMFSLQNELLRLWYDDCKQRGVNYQPKPNTPEAFPTAADRT---------------------------</t>
  </si>
  <si>
    <t>MSIEVFNE-SGYSYTPSEREAEVLEDSADV-GVNEEALVDVASFALKCMDVHPDAELSIHIVDLDTIADLHVRWLDLEGPTDVMSFPMDELAPGSGRPDAPDPGPSMLGDIVLCPDFANRQARKAGHGLGHELALLTVHGCLHLLGYDHITPAEEKEMFSLQNEILADWYDDLAARGVVYQPKPMNPGAFPTAAEREQLDRDMQEDSKTNPGTDAPGADGH---</t>
  </si>
  <si>
    <t>MSIEVVNE-SGYD------------------GVNEESLADVATFVLREMDIHPSAEVTVSVVDVPTMSELHLRWMGLEGPTDVMSFPMDELTPNMGRPDSAGFGPAMLGDIILCPEFAHKQATKAGHDLGHELCLLTTHGCLHLLGYDHITPEQEQKMFALQNELLMDWYAYCAGRHIEFQPKPTGPGAFPSAADRAELDNQLAADEKSAGQGGIPAIAEPKET</t>
  </si>
  <si>
    <t>GC_00000255</t>
  </si>
  <si>
    <t>PF00890.30</t>
  </si>
  <si>
    <t>FAD binding domain</t>
  </si>
  <si>
    <t>K00239</t>
  </si>
  <si>
    <t>succinate dehydrogenase flavoprotein subunit [EC:1.3.5.1]</t>
  </si>
  <si>
    <t>COG1053</t>
  </si>
  <si>
    <t>Succinate dehydrogenase/fumarate reductase, flavoprotein subunit (SdhA) (PDB:1KF6)</t>
  </si>
  <si>
    <t>KEGG Orthology (KO)&gt;&gt;&gt;09100 Metabolism&gt;&gt;&gt;09101 Carbohydrate metabolism&gt;&gt;&gt;00020 Citrate cycle (TCA cycle) [PATH:ko00020]|KEGG Orthology (KO)&gt;&gt;&gt;09100 Metabolism&gt;&gt;&gt;09101 Carbohydrate metabolism&gt;&gt;&gt;00650 Butanoate metabolism [PATH:ko00650]|KEGG Orthology (KO)&gt;&gt;&gt;09100 Metabolism&gt;&gt;&gt;09102 Energy metabolism&gt;&gt;&gt;00190 Oxidative phosphorylation [PATH:ko00190]|KEGG Orthology (KO)&gt;&gt;&gt;09100 Metabolism&gt;&gt;&gt;09102 Energy metabolism&gt;&gt;&gt;00720 Other carbon fixation pathways [PATH:ko00720]|Enzymes&gt;&gt;&gt;1. Oxidoreductases&gt;&gt;&gt;1.3  Acting on the CH-CH group of donors&gt;&gt;&gt;1.3.5  With a quinone or related compound as acceptor&gt;&gt;&gt;1.3.5.1  succinate dehydrogenase</t>
  </si>
  <si>
    <t>MSTHSETIAKPDFTAPASVVEGVTIGKVLTDHSPAGVPMKDAWQYHKDHMELVSPLNRRKFRIIVIGTGLSGAGAAAALGELGYDVKAFTYHDAPRRAHSIAAQGGVNSARGKKVDNDGAYRHVKDTVKGGDYRCRETDCWRLAYESVRVIDHMNAIGAPFAREYGGTLATRSFGGVQVSRTYYTRGQTGQQLQLSAAAALQRQIHLGSVEIFTHNEMVDLIVTE-ENGEKRCQGAVMRNLITGELTAHTAHAVILCTGGYGNVYYMSTLAKNSNASAIMRAYDRGAYMASPSFIQFHPTGLPVNSEWQSKTILMSESLRNDGRIWSPKEPKDDRDPNTIPEEERDYFLERRYPAFGNLVPRDVASRAISQQINAGLGVGPMHNSAYLDFRDAIERLGKDTIKERYSNLFQMYEETIGEDPYTTPMRIAPTCHFTMGGLWTDFNEMTSIPGLFCAGESSWTYHGANRLGANSLLSASVDGWFTLPFTVPNYLGPLLGTERLAEDAPEAQAAIERAQARIDKLMSINGN--HGPEYFHRQLGDILYFSCGVARNVTDLASGIEKIRQLRKDFWSDLRITGTPDEMNQVLEYANRVADYIDLGELMCVDALDRDESCGAHFRDDHLSEDGEAERDDDNWCFVSAWEPA-GENKFIRHAEPLYFDSIPLMTRNYK</t>
  </si>
  <si>
    <t>MSTHSETTPRPEFTAPASCVDGVTIGSVLSANAPVGVPSKDAWEWQKDHYNLVSPLNRRKFRIIVIGTGLAGAGAAAALGELGYDVKAFTYHDAPRRAHSIAAQGGVNSARGKKVDNDGAYRHVKDTVKGGDYRGREIDCWRLAYESVRVIDHMNAIGAPFAREYGGTLATRSFGGVQVSRTYYTRGQTGQQLQLSAAAALQRQIHLGSVEIFTHNEMVDVIVKEDENGVKRCHGAVMRNLINGELTAHTGHAVILATGGYGNVYYMSTLAKNSNASAIMRAYDQGAYMASPSFIQFHPTGLPVNSEWQSKTILMSESLRNDGRVWSPKEPKDDRDPNTIPEEERDYFLERRYPAFGNLVPRDVASRAISQQINSGLGVGPLHNSAYLDFRDAIERLGKDTIKERYSNLFQMYEEAIGEDPYTTPMRIAPTCHFTMGGLWTDFNEMTSIQGLFAAGEASWTYHGANRLGANSLLSASVDGWFTLPFSVPNYLGPLLGTERMADNDPVVIEAVNRAQARIDKLMSINGN--HGPEYFHRKLGDILYFSCGVARNKKDLASGIEKIRELRKDFWSNLRITGEPHEMNQVLEYANRVADYIELGELMCVDALDRDESCGAHFRDDHLSDEGEAERDDDNWCFVSAWEPG-GPNKYIRHAEPLYFEAIPLQTRNYK</t>
  </si>
  <si>
    <t>MSTHSETVTRPEFQHPASIVPGVVPGTILESHEPKGVPTKEMWQYHKDHMELVSPLNRRKFKVLVVGTGLAAGAAAAALGELGYTVKAFTYHDAPRRAHSIAAQGGVNSARGKKVDNDGAYRHVKDTVKGGDYRCRESDCWRLAYESVRVIDHMNAIGAPFAREYGGALATRSFGGVQVSRTYYTRGQTGQQLQLSTASALQRQIHLGTVEIFTHNEMVDLIITE-TDGEKRCEGVVMRNLINGELTAHTGHAVILGTGGYGNVFHMSTLAKNSNAGAMMRAFEAGAYLASPSFIQFHPTGLPVNSEWQSKTILMSESLRNDGRVWSPIKPKDDRDPNTIPEEERDYFLERRYPAFGNLVPRDVASRAISQQINKGLGVGPLHNAAYLDFRDAIERLGQDTIRERYSNLFEMYEEAIGENPYTTPMRIAPTCHFTMGGLWTDFNEMTSISGLFAAGECSWTYHGANRLGANSLLSASVDGWFTLPFTIPNFLAHHLNEPPLAEDAPAVQVALDRAQARIDRLMNIKGSDPHGPEYYHRQLGEILYFSCGVARNIEDLKSGIEKIRALRKEFWSNLRIPGSQDEMNQVLEYAARVADYIDLGELMCIDALDRDESCGAHFRDDHLSPEGEAERDDEHWCFVSAWEAGKNEGEFIRHAEPLTFEAIPLMTRNYK</t>
  </si>
  <si>
    <t>GC_00000256</t>
  </si>
  <si>
    <t>PF03308.22</t>
  </si>
  <si>
    <t>Methylmalonyl Co-A mutase-associated GTPase MeaB</t>
  </si>
  <si>
    <t>K07588</t>
  </si>
  <si>
    <t>GTPase [EC:3.6.5.-]</t>
  </si>
  <si>
    <t>COG1703</t>
  </si>
  <si>
    <t>GTPase of the G3E family (not a periplasmic protein kinase) (ArgK) (PDB:2QM7) (PUBMED:18950999)</t>
  </si>
  <si>
    <t>MLEHNEFLEHHLGSLMTTAGTDLGAATAVAPEIVKRARRRIDVDELFDGVRAGNRTIISRAVTLLESSAAAHRVLAQELLVRLLPFSGKALRVGITGVPGVGKSTFIEALGMKLIGEGHRVAVLAIDPSSTKTRGSILGDKTRMAKLSAEDNAFIRPSPSAGTLGGVAKATRESMVVFEAAGFDTILVETVGVGQSEVAVSNMVDCFTFLALAGAGDQLQGIKKGVLEMADLVAINKADGPNLKNAKRAARELAAAMRMVRSEDSLWHPPTMTMSALEHEGVDRFWDTVLEHHEAMLESGRFDHNRREQQVGWMWSMVHETLLQRLNTNEDVKTVRALVESQLRDGQITPTLGAERVLNAFDGVDTSS</t>
  </si>
  <si>
    <t>MAVDNEYLEHHLGSLMTTAGTDLGDVTAVAPEVVKRARRRIDVDELFDAVRAGNRTHISRAITLLESSAPAHRVLAQELLVRLLPFSGNALRVGITGVPGVGKSTFIEALGMKLLEEGHRVAVLAIDPSSTKTRGSILGDKTRMAKLSAQDDAFIRPSPSAGTLGGVAKATRESMVVFEAAGYDVILVETVGVGQSEVAVSQMVDCFTFLALAGAGDQLQGIKKGVLEMADLVAINKADGPNLKNAKRAARELAAAMRMVRSEDGLWHPPTMTMSAVEGDGVDEFWDTVQKHHEVMRESGTFETVRRDQQVGWMWAMVHETLLQRLNTDPEVKEVRSLVEAQLRQGQITPTLAAERILTAFDAAK---</t>
  </si>
  <si>
    <t>MTIDDEYLEHHLGSLMTTAGTDLGEQTAVAPEIVTRARRRIDVDELFTGVRAGERTHISRAITLLESTAPAHRVLAQELLVKLLPFTGNALRVGITGVPGVGKSTFIEALGMTLIGDGHKLAVLAIDPSSTKTRGSILGDKTRMAKLAREDNAFIRPSPSAGTLGGVAKATRESMVVFEAAGFDVILVETVGVGQSEVAVSQMVDCFTFLALAGAGDQLQGIKKGILEMADLVAINKADGPNLKNAKRAARELSAAMRMVRPENASWHPPTMTMSAVEHEGIDTFWKHVQDHHKAMLESGAFEHTRREQQVQWMWSMVHETLLQRLNTNPNVVATRKLVESQLRQAQITPTLAAEKILAAFDHED---</t>
  </si>
  <si>
    <t>GC_00000257</t>
  </si>
  <si>
    <t>PF09678.15</t>
  </si>
  <si>
    <t>Cytochrome c oxidase caa3 assembly factor (Caa3_CtaG)</t>
  </si>
  <si>
    <t>P|C|O</t>
  </si>
  <si>
    <t>Inorganic ion transport and metabolism|Energy production and conversion|Posttranslational modification, protein turnover, chaperones</t>
  </si>
  <si>
    <t>K02351</t>
  </si>
  <si>
    <t>putative membrane protein</t>
  </si>
  <si>
    <t>COG1276|COG3336</t>
  </si>
  <si>
    <t>Putative copper export protein (PcoD)|Cytochrome c oxidase assembly protein CtaG (CtaG) (PUBMED:14766920)</t>
  </si>
  <si>
    <t>--------------------------MSRSTTVKPTWPLYLLFFLVAGIVGATISWGFLSESLEALGIPDPGPLTTAGLPFFRSGALMLMCLSVGSFYFAAFLTSP-----------------------------TPSEGAGIVQAPLRVDGALASRTGGIAALCTSLIALLLVPMYLSDVSGEPLSQALQPANWSVALNQVSTSLAWLWVAIIAAITGVGGLAARR-WGSQPLLVLSSLGMLVPLGLEGHSATG</t>
  </si>
  <si>
    <t>-------------------------------------------------------------------------------------------------------------------------------------------------------------------------------------------------------------------------------------------------MIVPLGLEGHSASG</t>
  </si>
  <si>
    <t>MTSSSSATPTSNSVGATSTPANTERAAASSSSARVTWPLFVLFCVTAGVVGAVVSAGFLGESLAALGIPDPGPLTTAGLPFFRAAAWMLAALSVGSFLFAGFLCSPRELRTPTTSSTAPTPHNNHDSQNNHNSQDNSNTHPVLRFAILSADGTVASKTGAVAALCFGLIALLMVPMYLSDVSGQPLADAMQPQNWSTAINQVSTSLAWQWSAVFALVTGVAALTTHR-WIMQPVWLCGAVLMIVPLGLEGHSASGGDHDYGTNSYLWHAVFMVLWVGGLMALIAHGRRRGPGMVVAVRRYSAVALASALVMTLSGLINAAIRIHWSDWFTTSYGTLILTKTVGVVVLIMMGWLHRQATIPKLEK-QPRLFQRVAIVEVLVMAAITGVAVSLGRTPPPPPREPDLNTMDIQLGYKLFVEPTIWNVWTMWRFDIIFGTLAILLAVSYMWGVRRLRLRGEPWPWYRTAWFMSGCVMLLVTMCSGIGMNMPATFSMHMVGHMILSMGVPVFWVLGGPFTLWLAAINPGQPGQPGPREWLEVAINNPVVRFLTHPAVNTIQFLVVFYILYLTPLYDVAVSEHAGHLTMNIMFLWSGFMYYWEVIGVDPVPVERNPMGKGAWLFGSLPFHMWFGVALMQMQVILAYDFYSTLGLPWHVDLLRDQNVGGGIAWAAGQFPLMIVVGAVVLAWYRDDHRQMRTYDKRADETDDEDMAAYNAMLAQINAGENPFEEYYAQDMRGRNDSST</t>
  </si>
  <si>
    <t>-----------------------MVETKSSRGARITWPLYLLFFLIAGVTGAIISWGFLTESLAVLGIPDPGPITTAGLPLLRAGAWLLAALSVGSFLFASFLLSP--------------------------------RQGDIRRAYLTVDGLIASRTGAVAALVFALIGIIMVPLVLSDVSGQSITEAIKPANWFVALNQVADAKAWLISAMIALVVGGAALIAPRTWMWQPVWLVGAILIVAPQGLSGHSAAG</t>
  </si>
  <si>
    <t>GC_00000258</t>
  </si>
  <si>
    <t>PF01702.25</t>
  </si>
  <si>
    <t>Queuine tRNA-ribosyltransferase</t>
  </si>
  <si>
    <t>K00773</t>
  </si>
  <si>
    <t>queuine tRNA-ribosyltransferase [EC:2.4.2.29]</t>
  </si>
  <si>
    <t>COG0343</t>
  </si>
  <si>
    <t>Queuine/archaeosine tRNA-ribosyltransferase (Tgt) (PDB:1XW8) (PUBMED:15805528)</t>
  </si>
  <si>
    <t>ko01000|ko03016</t>
  </si>
  <si>
    <t>Enzymes&gt;&gt;&gt;2. Transferases&gt;&gt;&gt;2.4  Glycosyltransferases&gt;&gt;&gt;2.4.2  Pentosyltransferases&gt;&gt;&gt;2.4.2.29  tRNA-guanosine34 preQ1 transglycosylase|Transfer RNA biogenesis&gt;&gt;&gt;Prokaryotic type&gt;&gt;&gt;tRNA modification factors&gt;&gt;&gt;Other tRNA modification factors</t>
  </si>
  <si>
    <t>-------MSTFELRNTLD----------GSAHGRTGTIHTPHGDIQTPAFIPVATKATVKTLTPEQIRQCGAQAILSNAYHLYLQPGPDIVDEAGGVATFENWHGPTYTDSGGFQVMSLGVGFKKVLAMDTSGLKETDIKARGKDRMAHVDEDGVDFRSVIDGSKHRFTPEVSIQIQHQLGADIMFAFDELTTLVDTREYQESSVERTHRWARRCLEEHNRQTQLRADKPLQALWGVVQGAQYEDLRRQATRGLV</t>
  </si>
  <si>
    <t>MTEGTFHDTTFELGTRLEATPRNGDGGHGARHGRTGVIHTPHGDIATPAFIPVGTKASVKTLTPEQVRDAGAQAVLSNAYHLYLQPGPDIVDEAGGVAAFENWHGPTYTDSGGFQVMSLGVGFKKVLAMSTEGLKEHDIRARGKDRWAHVDEEGVNFRSVIDGSKHRFTPEISMQIQHQLGADIMFAFDELTTLLDTRLYQEQSVERTHRWAQRCLDEHDRLTRARVDKPLQSLWGVVQGAQYEDLRRQAARGLVELSDAAEAEGRRGFGGYGIGGALEKENLGTIVSWVCDELPELKPRHLLGISEPDDLFVAVEAGADTFDCVAPTRLGRRGGVYTLDGRINLTNARFTRDFTPIDAELGGYVSENYTRAYIHHLLKAKEFLAGTLCTLHNLHFMIGLVDKIRWSIDNGDYEAFRDDFLGRYYATGGRAQ</t>
  </si>
  <si>
    <t>MAEKV--DTSFTVGTEFT------------ENGRTGTIHTPHGDIHTPAFIPVGTKATVKTLTPEQVKATGAQAVLANAYHLYLQPGPDIVDEAGGVAAFQNWGGPTYTDSGGFQVMSLGVGHKKVLMMDHVS-QEPVARTEKKDRYALVDEEGVNFRSVIDGSKHRFTPEISMQIQHQLGADIMFAFDELTVLADTREYQEASVDRTHRWAKRCLDEHDKLTRERVDKPLQSLWGVVQGAQYEDLRRKATRGLIELSNQAEAEGRRGFGGFGIGGALEKENLGTIVGWVCDELPATKPRHLLGISEPDDLFRAIEAGADTFDCVAPTRLGRRGGAYTLDGRVNLTAARFKRDFEPIDAEFGGYVSENYTRAYIHHLFKAKEFLGGTLCTIHNVSFIVRLVDNIRAAINGGYYEDYKREFLGRYYHS-----</t>
  </si>
  <si>
    <t>MAAKA--DTSFTVGTEFT------------ENGRTGTIHTPHGDIHTPAFIPVGTKATVKTLTPEQVKATGAQAVLANAYHLYLQPGPDIVDEAGGVAAFQNWDGPTYTDSGGFQVMSLGVGHKKVLMMDHVS-QEPVARTEKKDRYALVDEEGVNFRSVIDGSKHRFTPEISMQIQHQLGADIMFAFDELTVLADTREYQEASVDRTHRWAKRCLDEHDKLTRERVDKPLQSLWGVVQGAQYEDLRRKATRGLIELSNQAEAEGRRGFGGFGIGGALEKENLGTIVGWVCDELPATKPRHLLGISEPDDLFRAIEAGADTFDCVAPTRLGRRGGAYTLDGRVNLTAARFKRDFEPIDAEFGGYVSENYTRAYIHHLFKAKEFLGGTLCTIHNVSFIVRLVDNIRAAINGGYYEDYKREFLGRYYHS-----</t>
  </si>
  <si>
    <t>GC_00000259</t>
  </si>
  <si>
    <t>PF02742.21</t>
  </si>
  <si>
    <t>Iron dependent repressor, metal binding and dimerisation domain</t>
  </si>
  <si>
    <t>K03709</t>
  </si>
  <si>
    <t>DtxR family transcriptional regulator, Mn-dependent transcriptional regulator</t>
  </si>
  <si>
    <t>MDRLISMHVTHLPEKTQDYLKTVWDICERTGAPAALGKIAEQMGQKTSTTSEAIKRLTERGLLVHPKYGGISLTPEGNAFAMAMVRRHRLVEMFLYTTLGYTWDEVHDEADLLEHAISDTLLARIDAHLGHPTRDPHGDPIPDVHGSIETVAELDLSQIEPGQTVTVDRIHDRDPELLRYLAEHNICPGVRITVSTDNFPGMRVVHV----NGNGASVPLAHSSLWAINVHA-------------</t>
  </si>
  <si>
    <t>-----------------------------------------------------MKRLAARGLVEHQRYAGVVLTSAGRQVALAMVRRHRLIEMFLVRVLDYSWDEVHDEADLLEHAVSDQFLRRVDEKLGHPTRDPHGDPIPDESGNVAELPKQSLNSIAPGEQVVVEQIHDGDSELLRYLAENSITPGAVLAVVRPPVAGLVQVQVQDEQSEDQEVVPISVSSAADIRVSHAED----------</t>
  </si>
  <si>
    <t>-----------------------------------------------------MKRLAAQGLVEHQRYAGVVLTSAGRQVALAMVRRHRLIEMFLVRVLDYSWDEVHDEADLLEHAVSDQFLRRVDEKLGHPTRDPHGDPIPDESGNVAELPKQSLNSIAPGEQVVVEQIHDGDSELLRYLAENSITPGAVLAVVRPPVAGLVQVQVQDEQSEDQEVVPISVSSAADIRVSHAED----------</t>
  </si>
  <si>
    <t>GC_00000260</t>
  </si>
  <si>
    <t>PF00692.24</t>
  </si>
  <si>
    <t>dUTPase</t>
  </si>
  <si>
    <t>F|V</t>
  </si>
  <si>
    <t>Nucleotide transport and metabolism|Defense mechanisms</t>
  </si>
  <si>
    <t>K01520</t>
  </si>
  <si>
    <t>dUTP diphosphatase [EC:3.6.1.23]</t>
  </si>
  <si>
    <t>COG0756</t>
  </si>
  <si>
    <t>dUTP pyrophosphatase (dUTPase) (Dut) (PDB:1DUC)</t>
  </si>
  <si>
    <t>Thymidylate biosynthesis</t>
  </si>
  <si>
    <t>M00938</t>
  </si>
  <si>
    <t>Pyrimidine deoxyribonucleotide biosynthesis, UDP =&gt; dTTP</t>
  </si>
  <si>
    <t>ko00001|ko00001|ko01000|ko03400|ko03400</t>
  </si>
  <si>
    <t>KEGG Orthology (KO)&gt;&gt;&gt;09100 Metabolism&gt;&gt;&gt;09104 Nucleotide metabolism&gt;&gt;&gt;00240 Pyrimidine metabolism [PATH:ko00240]|KEGG Orthology (KO)&gt;&gt;&gt;09100 Metabolism&gt;&gt;&gt;09111 Xenobiotics biodegradation and metabolism&gt;&gt;&gt;00983 Drug metabolism - other enzymes [PATH:ko00983]|Enzymes&gt;&gt;&gt;3. Hydrolases&gt;&gt;&gt;3.6  Acting on acid anhydrides&gt;&gt;&gt;3.6.1  In phosphorus-containing anhydrides&gt;&gt;&gt;3.6.1.23  dUTP diphosphatase|DNA repair and recombination proteins&gt;&gt;&gt;Eukaryotic type&gt;&gt;&gt;Other factors with a suspected DNA repair function&gt;&gt;&gt;Modulation of nucleotide pools|DNA repair and recombination proteins&gt;&gt;&gt;Prokaryotic type&gt;&gt;&gt;Other factors with a suspected DNA repair function&gt;&gt;&gt;Modulation of nucleotide pools</t>
  </si>
  <si>
    <t>MLRLCASWAVVSATISAARIHQYQGTHCRSSYKTVALAGLPSGLLCPVLSKLTKHHFNALWGALGILGAVSDIGPINVVRLHPDATLPQRAHHDDAGVDLTAVESVTIEPGQRVLVATGLAFELPLGTVGLIHPRSGLALRQGLSIVNTPGTVDAGFRGEVKVCLINLDPDTPISINKGERIAQLLVQKVELCDFRFVDSFADGSTSRGAAGYGSTGV-</t>
  </si>
  <si>
    <t>----MGGFVRIVLGVSVNNDSHY-------------------------------------------------PATIKLRRLDPDIPVPQRAHRGDAGVDLSATTDVIIHPGERLLVGTGIAIALPLGMVGLVHPRSGLAARHGLSIVNAPGTIDADYRGEIKVCLINLDPSEPFVIKRGDRIAQLVVQKVELVDFEEVDELDT--TERGEQGYGSSGI-</t>
  </si>
  <si>
    <t>GC_00000261</t>
  </si>
  <si>
    <t>PF06574.18</t>
  </si>
  <si>
    <t>FAD synthetase</t>
  </si>
  <si>
    <t>K11753</t>
  </si>
  <si>
    <t>riboflavin kinase / FMN adenylyltransferase [EC:2.7.1.26 2.7.7.2]</t>
  </si>
  <si>
    <t>COG0196</t>
  </si>
  <si>
    <t>FAD synthase (RibF) (PDB:1MRZ)</t>
  </si>
  <si>
    <t>Riboflavin/FAD biosynthesis</t>
  </si>
  <si>
    <t>M00125</t>
  </si>
  <si>
    <t>Riboflavin biosynthesis, plants and bacteria, GTP =&gt; riboflavin/FMN/FAD</t>
  </si>
  <si>
    <t>KEGG Orthology (KO)&gt;&gt;&gt;09100 Metabolism&gt;&gt;&gt;09108 Metabolism of cofactors and vitamins&gt;&gt;&gt;00740 Riboflavin metabolism [PATH:ko00740]|Enzymes&gt;&gt;&gt;2. Transferases&gt;&gt;&gt;2.7  Transferring phosphorus-containing groups&gt;&gt;&gt;2.7.1  Phosphotransferases with an alcohol group as acceptor&gt;&gt;&gt;2.7.1.26  riboflavin kinase|Enzymes&gt;&gt;&gt;2. Transferases&gt;&gt;&gt;2.7  Transferring phosphorus-containing groups&gt;&gt;&gt;2.7.7  Nucleotidyltransferases&gt;&gt;&gt;2.7.7.2  FAD synthase</t>
  </si>
  <si>
    <t>MSGVKTWHGVNDIPEDFAQCVTAIGVFDGIHRGHQQLITAAVQRARELDVPAVLMTFAPHPLAVVAPNRVPPLLCDIDERARRAQELGVDYFLAVEFSRDLAALSPQDFIDTIVVGRLHARAVFVGENFTFGHKASGTTETLRELGESRGFEAHVVDLLTEEDEDGTALSSSYARSLLAEGDVQRTAHVLGRNYTVCGIVEHGAGRGGRELGYPTANMYFPDTVALPADGVYCGWFRILDPAPGKTTISGTMEPEVAYPAAISIGTNPTFGDHRRSVEPFVLDQDADLYGCRCEVEFVDHLRSMKKFSGVDELLDAMANDVKQTRTILAQSEPTRRQHSDS</t>
  </si>
  <si>
    <t>---MEIWHGLEQVPANLDASVVTIGVFDGIHRGHRKLIGAAKDRARELGIPCVLMTFDPHPLAVVAPDHMPPMLGSVAVRADLAEDLGVDYMLAVRFTPELAAQTPEEFFTSVIMQRLHARAVMVGENFTFGHRASGNTDTLRELGEKYGVEVDVVTLLT---EDGTTISSSVIRQLLREGDVAHAAWALGRPYRVAGEVVRGAGRGGRELGYPTANLYFPDSVALPADGVYCGWFTVLDDAP----INGDMVPG</t>
  </si>
  <si>
    <t>PF01687.23</t>
  </si>
  <si>
    <t>Riboflavin kinase</t>
  </si>
  <si>
    <t>----------------------------------------------------------------------------------------------MSFNVAVAQLSPEEFFLQIVRDTLKARAVVVGSNFTFGKKAAGTTEVLRELGHKYGIEVHVIDLLV---EDDAVICSTLIRRLLGEGKVREANAALGREFSVAGEVVRGAGRGGRELGFPTANLYFSDLVALPQDAVYAGWLMVISQAP----IDGDMKQG</t>
  </si>
  <si>
    <t>GC_00000262</t>
  </si>
  <si>
    <t>PF02580.21</t>
  </si>
  <si>
    <t>D-Tyr-tRNA(Tyr) deacylase</t>
  </si>
  <si>
    <t>K07560</t>
  </si>
  <si>
    <t>D-aminoacyl-tRNA deacylase [EC:3.1.1.96]</t>
  </si>
  <si>
    <t>COG1490</t>
  </si>
  <si>
    <t>D-aminoacyl-tRNA deacylase (Dtd) (PDB:1J7G) (PUBMED:10918062;16902403;24302572)</t>
  </si>
  <si>
    <t>ko01000|ko03016|ko03016</t>
  </si>
  <si>
    <t>Enzymes&gt;&gt;&gt;3. Hydrolases&gt;&gt;&gt;3.1  Acting on ester bonds&gt;&gt;&gt;3.1.1  Carboxylic-ester hydrolases&gt;&gt;&gt;3.1.1.96  D-aminoacyl-tRNA deacylase|Transfer RNA biogenesis&gt;&gt;&gt;Eukaryotic type&gt;&gt;&gt;Aminoacyl-tRNA synthetases (AARSs)&gt;&gt;&gt;Trans-editing factors|Transfer RNA biogenesis&gt;&gt;&gt;Prokaryotic type&gt;&gt;&gt;Aminoacyl-tRNA synthetases (AARSs)&gt;&gt;&gt;Trans-editing factors</t>
  </si>
  <si>
    <t>MKAVLIRVSEASVTVDGEVVGSISCPDTGGLLALVGVGREDSDQAWETMVRKIAELRILDGERSVEDAGAPVLLVSQFTLHGRTAKGRRPAWSDAAPGDVAEPVIERIAQGLRERGIHVEQGRFGAMMSVSSVNEGPFTVLVEAD</t>
  </si>
  <si>
    <t>MRAVLTRVSSAQVTVDGVVVGAIDCPETCGILALIGVTHDDGPDACDTMVRKIAELRILPDEKSVTDVGAPVLVVSQFTLYGRTAKGRRPSWSDAAPGNVAEPLVDRIIRGLQTRGIAVSTGVFGAMIQVTSTNEGPFTVIVEC-</t>
  </si>
  <si>
    <t>MKAVLTRVSEASVTVDGEVVGSI----TNGVLALVGIGRDDAPDAWQTMVRKIAELRILPGERSVSEVGAPVLLVSQFTLLGRTAKGRRPSWSDAAPGDVAKMVMAKIAAGLRERGIVVEEGRFGAMMSVASVNEGPVTLLVEC-</t>
  </si>
  <si>
    <t>MKAVLTRVSEASVTVDDEVVGSI----TNGVLALVGIGRDDAPDAWQTMVRKIAELRILPEERSVSEMGAPVLLVSQFTLLGRTAKGRRPSWSDAARGRWPRSSWRRLRPGCGSVGLWLRRAGLGR-------------------</t>
  </si>
  <si>
    <t>GC_00000263</t>
  </si>
  <si>
    <t>PF01578.25</t>
  </si>
  <si>
    <t>Cytochrome C assembly protein</t>
  </si>
  <si>
    <t>COG0755</t>
  </si>
  <si>
    <t>ABC-type transport system involved in cytochrome c biogenesis, permease component (CcmC)</t>
  </si>
  <si>
    <t>MPVNQDLALLSDYAFRSAFLIYALALILSIAAYVA----------------------------------------AGGTKPTS-------------ARTADKLSNMTQSLVWLGIIIHAGSVILRGVATQRVPWGNLYEYISVTAVLAMTVAAVVLHRRELRILWTWVLVPILILLFYGGTKLYVNAGPVVPALRSFWLPIHVSTVSIGAGFGLISSLASILYLLRSRNPQ----GWLGRLVNPLPDAEKLDRLAYRAGIICVPVFGLGVALGAIWAESSWGRFWNWDPKETMSFVTWVLYAAYLHARATAGWRKA-ASWINVAAFTAMVFNLFFINLVANSLHSYAGLN</t>
  </si>
  <si>
    <t>MPVNQTFANYSDLAFKAAFAIYIVALVMSLVYYVKQQMLIDARRESK----------VLVGAGGDEI--------TGASEPQD--------IFEARADAADKFGGMAQSLVWLGIIIHGTSVVLRGLSAGRFPWGNLYEYVSVTTFVALAIAAVVFQRREYRIVWPWVLTPVLALLFYGGTKLYAQSGPVVPALQSFWFPFHVSTVSIGGGIGLISGLASLMYVLRSWQPVGQEKGFFGAIAKPLPSAKTLDAIAYRAAIWALPIFGLGVVLGALWAEAAWGRFWGWDPKETVSFITWMLYAAYLHARATSGWRDQRAAWINVFAFATMVFNLFFINIVVSGLHSYAGLN</t>
  </si>
  <si>
    <t>MNVDHTLASFSDYAFFSAFIIYSLALVLSVVFYMKRQGLVDLERERQEHEDVASHEHQLVSVGSDSVPVAADSTASSASDASDDAE-KIAGLIAAREASAEKFAGMTQSVVWLGIMVHVTSVVLRGLSAGRFPFGNLYEYITEITMFTMIVAAFYLQRKDLRVLWPWVLTPILALLFFGGTKLYVDSAPVVPALKSYWRAIHVGSVSIGASIGMVSGVASLLYLLRMWQPVGKEHGFFGSVAKPLPSAKTLDAIAYRTIIVTVPVFGLGIVLGAIWAESAWGRFWAWDPKETVSLITWMLYAAYLHARATAGWRDAKAAWINILGLATMVFNLFFINLVVSGLHSYAGLN</t>
  </si>
  <si>
    <t>MNVDHTLASFSDYAFFSAFIIYSLALVLSVVFYIKRQGLVDLERERQEHEDVASHEHQLVSVGSDSAPVAADSTASSASDMSDDAEKKIAGLIAAREASAEKFAGMTQSVVWLGIMVHVTSVVLRGLSAGRFPFGNLYEYITEITMFTMIVAAFYLQRKDLRVLWPWVLTPILALLFFGGTKLYVDSAPVVPALKSYWRAIHVGSVSIGASIGMVSGVASLLYLLRMWQPVGKEHGFFGSVAKPLPSAKTLDAIAYRTIIVTVPVFGLGIVLGAIWAESAWGRFWAWDPKETVSLITWMLYAAYLHARATAGWRDAKAAWINILGLVTMVFNLFFINLVVSGLHSYAGLN</t>
  </si>
  <si>
    <t>GC_00000264</t>
  </si>
  <si>
    <t>K15521</t>
  </si>
  <si>
    <t>D-inositol-3-phosphate glycosyltransferase [EC:2.4.1.250]</t>
  </si>
  <si>
    <t>KEGG Orthology (KO)&gt;&gt;&gt;09190 Not Included in Pathway or Brite&gt;&gt;&gt;09191 Unclassified: metabolism&gt;&gt;&gt;99980 Enzymes with EC numbers|Enzymes&gt;&gt;&gt;2. Transferases&gt;&gt;&gt;2.4  Glycosyltransferases&gt;&gt;&gt;2.4.1  Hexosyltransferases&gt;&gt;&gt;2.4.1.250  D-inositol-3-phosphate glycosyltransferase</t>
  </si>
  <si>
    <t>MRVAMISMHTSPLQQPGSGDAGGMNVYVYSTAVELARRGVQVDVFTRATRPSQGRVVDVAENFRVFNVVAGPYEGLDKEDLPTQLAAFAGGIVQATEDYGLHYDVIHSHYWLSGQVGWLLRRLWGVPWVHTAHTLAAVKNLHNGQ----ESDARRICEQQIVDNADVLVVNTIEEHDNLVRHYDADAAGARVVVIAPGADVDLFTPGTDRATEQARRDLGIPLHARVVAFVGRLQAFKGPQVLIRALAQLLARDRDRCVYAVVCGGASGALTAPEQYKEMAEELGVAHRIRFLSPRPPEELVSIYRAADVLAVPSFNESFGLVAMEAQATGTPVVATRVGGLPIAVVDGLTGVLVDGHDPSDWADALAGLLDDDGRRLAMAAAAHEHAQRFSWRQTAVSLEEVYQGVRDAVAE----------</t>
  </si>
  <si>
    <t>MRIAMISMHTSPLQQPGSGDAGGMNVYVLSTATELARQGTKVDIYTRATRPSQGEVVEVEPNLRVINIVAGPYEGIDKEELPTQLAAFAGGVLVYARCNNLNYDLIHSHYWLSGQVGWLLRDVWQVPLVHTAHTLAAVKNAHRSEIDTPESEARRMCEQQLVDNADCLVVNTAEEALDVQRHYDASP--EKIAVVAPGAAVALFHPGNDRATERSRRQLGIPLHAKVIAFVGRLQAFKGPQVLIHAVAELLHRDPHRNLRVLICGGPSGAHATPETYQDMARELGIEKHIRFLSPRPPAELVTIYRAADVVAVPSYNESFGLVAMEAQASGTPVVAARVGGLPIAVAEGETGLLVDSHDPVEWADALAQLLDDDDTRIRMGQDAVLHAANFSWSATASTLASVYTDVLSHTHSYCYSRQAPGA</t>
  </si>
  <si>
    <t>MRIAMISMHTSPLQQPGSGDAGGMNVYVLSTATELARQGTKVDIYTRATRPSQGEVVEVEPNLRVINIVAGPYEGIDKEELPTQLAAFAGGVLVYARCNNLNYDLIHSHYWLSGQVGWLLRDVWQVPLVHTAHTLAAVKNAHRSEIDTPESEARRMCEQQLVDNADCLVVNTAEEALDVQRHYDASP--EKIAVVAPGAAVALFHPGNDRATERSRRQLGIPLHAKVIAFVGRLQAFKGPQVLIHAVAELLHRDPHRNLRVLICGGPSGAHATPETYQDMARELGIEKHIRFLSPRPPAELVTIYRAADVVAVPSYNESFGLVAMEAQASGTPVVAARVGGLPIAVAEGETGLLVDSHDPVEWADALAQLLDDDDTRIRMGQDAVLHAANFSWSATASTLASVYTDVLSRTHSYCYSRQAPGA</t>
  </si>
  <si>
    <t>-------MHTSPLQQPGIGDAGGMNVYILNVAIHLAKLGVTVDIYTRATRPSQGTVVQLQPNLRVINVVAGPYEGLSKEELCTQLTAFARGVLEFVRENHIDYDLVHSHYWLSGQVGWLIRDVWQVPLVHTAHTLAAVKNHHRSLTDTPESEARRICEQQLVDNANLLVVNTSEESNDLVHHYDAQP--AKIRMMTPGTDTELFTPGTERNTERARRELGIPLCAKVVAFVGRLQEFKGPQVLIRATERLVARDP</t>
  </si>
  <si>
    <t>GC_00000265</t>
  </si>
  <si>
    <t>PF11273.13</t>
  </si>
  <si>
    <t>Protein of unknown function (DUF3073)</t>
  </si>
  <si>
    <t>MGRGRAKAKQAKVARQLKYNIPNMDLDSLQRELAGKSEGNNS---SYADDYEAPDFDQALYEEWADVIEKD---------</t>
  </si>
  <si>
    <t>MGRGRAKAKQAKVARQLKYNSPDMDLDSLQRELSGKSD-RGS---SYPED------DQ--YAEWADWSPEDEDNPESKWR</t>
  </si>
  <si>
    <t>MGRGRAKAKQAKVARQLKYNSPDMDLDSLQRELSGKSD-RGS---SYPED------DQ--YAEWADWSPEDEDNSESKWR</t>
  </si>
  <si>
    <t>MGRGRAKAKQTKVARQLKYNTPTMDLDSLQRELAGKAAPKRAEAESHQDDEYDEYADA--YSQYADWIKEQESKS-----</t>
  </si>
  <si>
    <t>GC_00000266</t>
  </si>
  <si>
    <t>PF00586.29</t>
  </si>
  <si>
    <t>AIR synthase related protein, N-terminal domain</t>
  </si>
  <si>
    <t>K23269</t>
  </si>
  <si>
    <t>phosphoribosylformylglycinamidine synthase subunit PurL [EC:6.3.5.3]</t>
  </si>
  <si>
    <t>COG0046</t>
  </si>
  <si>
    <t>Phosphoribosylformylglycinamidine (FGAM) synthase, synthetase domain (PurL1) (PDB:3VIU)</t>
  </si>
  <si>
    <t>KEGG Orthology (KO)&gt;&gt;&gt;09100 Metabolism&gt;&gt;&gt;09104 Nucleotide metabolism&gt;&gt;&gt;00230 Purine metabolism [PATH:ko00230]|Enzymes&gt;&gt;&gt;6. Ligases&gt;&gt;&gt;6.3  Forming carbon-nitrogen bonds&gt;&gt;&gt;6.3.5  Carbon-nitrogen ligases with glutamine as amido-N-donor&gt;&gt;&gt;6.3.5.3  phosphoribosylformylglycinamidine synthase</t>
  </si>
  <si>
    <t>---MTHNSVSGGLNDTVADAVASPDLEQPYAALGLKDDEYARIKEILGRRPTDAELAMYSVMWSEHCSYKSSKTHLRYFGKTTTEEMGSKILAGIGENAGVVDVGGGHAVTFRVESHNHPSYVEPHQGAATGVGGIVRDIMAMGARPIAVMDQLRFGPADAPDTQRVLPGVVDGIGGYGNCLGLPNIGGETVFDESYAGNPLVNALCVGTLKVEDLKLAFASGLGNKVMLFGSRTGLDGIGGVSVLASDTFEDGA</t>
  </si>
  <si>
    <t>--------MNAPFNDTVPAAQADPDAEQPYASLGLKDDEYARIKDILGRRPTDAELAMYSVMWSEHCSYKSSKVHLRYFGETTTPEMNEKILAGIGENAGVVDIGDGHAVTFRVESHNHPSYVEPHQGAATGVGGIVRDIMAMGARPVAVMDQLRFGPVDAPDTKRVLPGVVDGVGGYGNCLGLPNIGGETVFDESYAGNPLVNALCVGTLKVEDLKLAFASGLGNKVMLFGSRTGLDGIGGVSVLASDTFEEGA</t>
  </si>
  <si>
    <t>PF02769.27</t>
  </si>
  <si>
    <t>AIR synthase related protein, C-terminal domain</t>
  </si>
  <si>
    <t>---------MTTFNDTVAAAQANPDLEQPYASLGLKDDEYARIKEILGRRPTDAELAMYSVMWSEHCSYKSSKVHLRYFGETMTEEMSEKILAGIGENAGVVDIGGGNAVTFRVESHNHPSYVEPHQGAATGVGGIVRDIMAMGARPIAVMDQLRFGPADAPDTSRVLPGVVDGISHYGNCLGLPNIGGETVFDESYAGNPLVNALCVGTLKVDDLKLAFASGLGNKVMLFGSRTGLDGIGGVSVLASDTFEEGA</t>
  </si>
  <si>
    <t>MREKGITQAMTTFNDTVAAAQANPDLEQPYASLGLKDDEYARIKEILGRRPTDAELAMYSVMWSEHCSYKSSKVHLRYFGETMTEEMSEKILAGIGENAGVVDIGGGNAVTFRVESHNHPSYVEPHQGAATGVGGIVRDIMAMGARPIAVMDQLRFGPADAPDTSRVLPGVVDGISHYGNCLGLPNIGGETVFDESYAGNPLVNALCVGTLKVDDLKLAFASGLGNKVMLFGSRTGLDGIGGVSVLASDTFEEGAERKLPAVQVGDPFAEKVLIECCLDLYRAGVVVGIQDLGGAGLACATSELAAAGDGGMEIDLDAVPLRAENMLAAEILSSESQERMCAIVRPEDVARFREICAHWDVTCAEIGEVTDGEHLLIRHRGELVVDAPAHTIAHEGPVYERPWARPEWQDEVQQFQGVEKPTDPEAVKAALLAMVGSPALCSRAFITDQYDRYVRGNTVQAQHANAGVLRIDEQTHRGVAVSADASGRYTKLDPNMGARLALAEAYRNVAVTGARPVAVTNCLNFGSPEDPAVMWQFRDAVHGLADGAKELVIPVSGGNVSFYNQTGSEAILPTPVVGVLGVIDDVRESVRNKLGTVSGTEELYLLGQTFDEFGGSIWQQVSGAGLSGLPPRVDLANEEKLMEFFQQP-GVVSAAHDVSEGGVAQAIAELAIYS--NKGVSLDVSGVHDDVFTALFSESASRVVVA--ATDGAAVVRRAQELGIPVVKIGETIDEPVVRVEGQFEVPVAELTRAWTETLPRLFSHAVGANSVV-</t>
  </si>
  <si>
    <t>GC_00000267</t>
  </si>
  <si>
    <t>PF13662.12</t>
  </si>
  <si>
    <t>Toprim domain</t>
  </si>
  <si>
    <t>K06187</t>
  </si>
  <si>
    <t>recombination protein RecR</t>
  </si>
  <si>
    <t>COG0353</t>
  </si>
  <si>
    <t>Recombinational DNA repair protein RecR (RecR) (PDB:2JGR) (PUBMED:26337406)</t>
  </si>
  <si>
    <t>ko00001|ko03400|ko03400</t>
  </si>
  <si>
    <t>KEGG Orthology (KO)&gt;&gt;&gt;09120 Genetic Information Processing&gt;&gt;&gt;09124 Replication and repair&gt;&gt;&gt;03440 Homologous recombination [PATH:ko03440]|DNA repair and recombination proteins&gt;&gt;&gt;Prokaryotic type&gt;&gt;&gt;DSBR (double strand breaks repair)&gt;&gt;&gt;HR (homologous recombination)&gt;&gt;&gt;RecFOR pathway proteins|DNA repair and recombination proteins&gt;&gt;&gt;Prokaryotic type&gt;&gt;&gt;DSBR (double strand breaks repair)&gt;&gt;&gt;NHEJ (non-homologous end-joining)&gt;&gt;&gt;SHDIR (short-homology-dependent illegitimate recombination)&gt;&gt;&gt;RecET pathway</t>
  </si>
  <si>
    <t>MFEGPLQDLIDELSRLPGVGPKSAQRIAFHILHQEPEDVDRLITALDAIQTGVQFCRICCNISRQSVCRICADSGRDRSLICVVEEPKDIQVIERTGEFSGRYHVLGGALDPLAGVGPKDLSINVLLQRIGGVLKDRELADSTPEAPLYDDAPEVTEVIIATDPNTEGEATASYLARLLKDFPGLTVSRLASGMPLGGDLEFVDELTLSRALSGRHVL</t>
  </si>
  <si>
    <t>MFEGPLQDLIDELSRLPGVGPKSAQRIAFHLLTAETTDINRLIDALGAVQHGVTFCRICSNISREEICRFCADSGRDPGIICVVEEPKDIQVIERTGEYNGRYHVLGGALDPLANIGPKDLSITALLQRVGGVLDDVEGRG----------IPEVREVILATDPNTEGEATASYLARMLRDFPDLIVSRLASGMPLGGDLEFVDELTLSRALSGRLRL</t>
  </si>
  <si>
    <t>MFEGPLQDLIDELSRLPGVGPKSAQRIAFHLLTAETTDINRLIDALGAVQHGVTFCRICSNISREEICRFCADSGRDPGIICVVEEPKDIQVIERTGEYNGRYHVLGGALDPLANIGPKDLSITALLQRVGGVLDDMEGRD----------IPEVREVILATDPNTEGEATASYLARMLRDFPDLIVSRLASGMPLGGDLEFVDELTLSRALSGRLRL</t>
  </si>
  <si>
    <t>MFEGPLQDLIDELSRLPGVGPKSAQRIAFHLLHVDPIDITRLQAALGAVQQGVSFCRICHNISRDEVCRICADSGRDRSTICVVEEPKDIQVLERTGEFNGRYHVLGGALDPLNSIGPKELNITALLQRIGGVLPDRELADSTPEQPLFDTTPEITEVILATDPNTEGEATASYLARLLKDFPGLVVSRLASGMPLGGDLEFVDELTLSRALSGRLTL</t>
  </si>
  <si>
    <t>GC_00000268</t>
  </si>
  <si>
    <t>K00382</t>
  </si>
  <si>
    <t>dihydrolipoyl dehydrogenase [EC:1.8.1.4]</t>
  </si>
  <si>
    <t>COG1249</t>
  </si>
  <si>
    <t>Dihydrolipoamide dehydrogenase (E3) component of pyruvate/2-oxoglutarate dehydrogenase complex or glutathione oxidoreductase (Lpd) (PDB:6QKG)</t>
  </si>
  <si>
    <t>Glycine cleavagePyruvate oxidation</t>
  </si>
  <si>
    <t>M00307|M00009|M00011|M00532|M00621|M00036|M00032</t>
  </si>
  <si>
    <t>Pyruvate oxidation, pyruvate =&gt; acetyl-CoA|Citrate cycle (TCA cycle, Krebs cycle)|Citrate cycle, second carbon oxidation, 2-oxoglutarate =&gt; oxaloacetate|Photorespiration|Glycine cleavage system|Leucine degradation, leucine =&gt; acetoacetate + acetyl-CoA|Lysine degradation, lysine =&gt; saccharopine =&gt; acetoacetyl-CoA</t>
  </si>
  <si>
    <t>Pathway modules; Carbohydrate metabolism; Central carbohydrate metabolism|Pathway modules; Carbohydrate metabolism; Central carbohydrate metabolism|Pathway modules; Carbohydrate metabolism; Central carbohydrate metabolism|Pathway modules; Carbohydrate metabolism; Other carbohydrate metabolism|Pathway modules; Amino acid metabolism; Serine and threonine metabolism|Pathway modules; Amino acid metabolism; Branched-chain amino acid metabolism|Pathway modules; Amino acid metabolism; Lysine metabolism</t>
  </si>
  <si>
    <t>ko00001|ko00001|ko00001|ko00001|ko00001|ko00001|ko00001|ko00001|ko00001|ko00001|ko00001|ko01000|ko04147</t>
  </si>
  <si>
    <t>KEGG Orthology (KO)&gt;&gt;&gt;09100 Metabolism&gt;&gt;&gt;09101 Carbohydrate metabolism&gt;&gt;&gt;00010 Glycolysis / Gluconeogenesis [PATH:ko00010]|KEGG Orthology (KO)&gt;&gt;&gt;09100 Metabolism&gt;&gt;&gt;09101 Carbohydrate metabolism&gt;&gt;&gt;00020 Citrate cycle (TCA cycle) [PATH:ko00020]|KEGG Orthology (KO)&gt;&gt;&gt;09100 Metabolism&gt;&gt;&gt;09101 Carbohydrate metabolism&gt;&gt;&gt;00620 Pyruvate metabolism [PATH:ko00620]|KEGG Orthology (KO)&gt;&gt;&gt;09100 Metabolism&gt;&gt;&gt;09101 Carbohydrate metabolism&gt;&gt;&gt;00630 Glyoxylate and dicarboxylate metabolism [PATH:ko00630]|KEGG Orthology (KO)&gt;&gt;&gt;09100 Metabolism&gt;&gt;&gt;09101 Carbohydrate metabolism&gt;&gt;&gt;00640 Propanoate metabolism [PATH:ko00640]|KEGG Orthology (KO)&gt;&gt;&gt;09100 Metabolism&gt;&gt;&gt;09105 Amino acid metabolism&gt;&gt;&gt;00260 Glycine, serine and threonine metabolism [PATH:ko00260]|KEGG Orthology (KO)&gt;&gt;&gt;09100 Metabolism&gt;&gt;&gt;09105 Amino acid metabolism&gt;&gt;&gt;00280 Valine, leucine and isoleucine degradation [PATH:ko00280]|KEGG Orthology (KO)&gt;&gt;&gt;09100 Metabolism&gt;&gt;&gt;09105 Amino acid metabolism&gt;&gt;&gt;00310 Lysine degradation [PATH:ko00310]|KEGG Orthology (KO)&gt;&gt;&gt;09100 Metabolism&gt;&gt;&gt;09105 Amino acid metabolism&gt;&gt;&gt;00380 Tryptophan metabolism [PATH:ko00380]|KEGG Orthology (KO)&gt;&gt;&gt;09100 Metabolism&gt;&gt;&gt;09108 Metabolism of cofactors and vitamins&gt;&gt;&gt;00785 Lipoic acid metabolism [PATH:ko00785]|KEGG Orthology (KO)&gt;&gt;&gt;09100 Metabolism&gt;&gt;&gt;09108 Metabolism of cofactors and vitamins&gt;&gt;&gt;00670 One carbon pool by folate [PATH:ko00670]|Enzymes&gt;&gt;&gt;1. Oxidoreductases&gt;&gt;&gt;1.8  Acting on a sulfur group of donors&gt;&gt;&gt;1.8.1  With NAD+ or NADP+ as acceptor&gt;&gt;&gt;1.8.1.4  dihydrolipoyl dehydrogenase|Exosome&gt;&gt;&gt;Exosomal proteins&gt;&gt;&gt;Exosomal proteins of breast cancer cells</t>
  </si>
  <si>
    <t>MGRGCRRGVKFTTRRPQTRIVEHVTEHFDLVVLGAGPGGYVSAIRAAQLGLKVAVVEKQYWGGVCLNVGCIPSKALLKNAELAHTFNHEAKTFGISGDVSFDFGAAHDRSRKVSSGIVKGVHFLMKKNKITEIDGFGSFTDAHTMQITDGKDAGKTVTFDNCIIATGSVVRSLPGVEIGGNIVSFEEQILTRDLPKSMVIVGAGAIGMEFAYVLSNYGVDVTIVEFMDRVLPNEDADVSKEIAKQYKKLGVKLLTGYKTTAIRDNG--TLVEVDVESKDGSKSETLKVDRVMVSIGFAPRVEGYGLEKTGVKLTDRGAIEIDERMRTNVPGIYAIGDVTAKLQLAHVAEAQGVVAAETIAGAETMELGDYMMMPRATFCNPQVASFGYTEEKAREIAAAEGREVKVATFPFSANGKAQGLGESAGFVKIIADAEFGELLGAHMVGSGVSELLPQLTLAQRFDLTAEEIGRNVHTHPTLSEAMKEAAEGVGGHMINF</t>
  </si>
  <si>
    <t>-----------------------MTEHFDVVVLGAGPGGYVAAIRAAQLGKKVAVVEKQYWGGVCLNVGCIPSKALLKNAEVAHIFNHEAKTFGISGNASFDFGAAHQRSRKVSEGIVRGVHYLMKKNKITEINGLGVFKDAKTIEVREGKDTGKIITFDNCIIATGSVVRSLPGVTIGGNIVSFEEQILHSKAPKSMVIVGAGAIGMEFAYVLANYGVSITIVEFMDRVLPNEDPDVSKEIAKQYKKLGVKLLT</t>
  </si>
  <si>
    <t>GC_00000269</t>
  </si>
  <si>
    <t>PF03976.20</t>
  </si>
  <si>
    <t>Polyphosphate kinase 2 (PPK2)</t>
  </si>
  <si>
    <t>K22468</t>
  </si>
  <si>
    <t>polyphosphate kinase [EC:2.7.4.34]</t>
  </si>
  <si>
    <t>COG2326</t>
  </si>
  <si>
    <t>Polyphosphate kinase 2, PPK2 family (PPK2) (PDB:3CZP)</t>
  </si>
  <si>
    <t>ko00001|ko00001|ko01000|ko03019</t>
  </si>
  <si>
    <t>KEGG Orthology (KO)&gt;&gt;&gt;09100 Metabolism&gt;&gt;&gt;09102 Energy metabolism&gt;&gt;&gt;00190 Oxidative phosphorylation [PATH:ko00190]|KEGG Orthology (KO)&gt;&gt;&gt;09120 Genetic Information Processing&gt;&gt;&gt;09123 Folding, sorting and degradation&gt;&gt;&gt;03018 RNA degradation [PATH:ko03018]|Enzymes&gt;&gt;&gt;2. Transferases&gt;&gt;&gt;2.7  Transferring phosphorus-containing groups&gt;&gt;&gt;2.7.4  Phosphotransferases with a phosphate group as acceptor&gt;&gt;&gt;2.7.4.34  GDP-polyphosphate phosphotransferase|Messenger RNA biogenesis&gt;&gt;&gt;Prokaryotic type&gt;&gt;&gt;Bacterial mRNA degradation factors&gt;&gt;&gt;Other RNA degradation factors&gt;&gt;&gt;Others</t>
  </si>
  <si>
    <t>----------MGKKELPKLSKKAYEAELKRLQAELVEMQQWVVETGARVVIIMEGRDAAGKGSAIKRITQYLNPRTCRIEALPAPSSREQGQWYFQRYVEKLPTAGEIVIFDRSWYNRAGVERVMGFCTSEEYRRFLHQAPIFERLLVEDGIMLRKYWFSVSDEEQVKRFKSRRNDPLRRWKLSPMDLQSITRWEDYSRAKDEMFVHTDIPSAPWYTVESEDKKRSRINVISHLLSTIPYEHIDRPMPEIPERPK</t>
  </si>
  <si>
    <t>MGNSDLKRSSKSSTKPPKLEKQAYEEELKRLQAELVDMQQWVVETGARIVVIMEGRDAAGKGSAIKRITQYLNPRTCRIEALPAPSSREQGQWYFQRYVEKLPTAGEIVIFDRSWYNRAGVERVMGFCTSQEYRRFLHQAPIFERLLTEDGIMLRKYWFSVSDEEQVRRFTSRREDPLRRWKLSPMDLQSITRWEDYSRAKDEMFIHTDIPSAPWYIVESEDKKRSRINVINHLLSTIPYEKINRPLPEIPERPVSTQDYERPPRSDFRYVPDVAEHLERRRVENAGVEKREGKRGKKGHKKRKK</t>
  </si>
  <si>
    <t>-------MTKRKRKKPAKLSKEAYEAELKRLQAELVEMQRWVVETGARVVVLMEGRDAAGKGSAIKRITQYLNPRTCRVEALPAPGTRERGQWYFQRYVEKLPTKGEIVIFDRSWYNRAGVERVMGFCTSEEYRRFLHQAPIFERLLVEDGIMLRKYWFSVSDDEQIARFKSRRNDPLRRWKLSPMDLQSITRWEDYSRAKDEMFIHTDIPSAPWYTVESEDKKRSRINVIAHLLSTIPYEKIDTPLPDIPERPQ</t>
  </si>
  <si>
    <t>GC_00000270</t>
  </si>
  <si>
    <t>PF01906.23</t>
  </si>
  <si>
    <t>Putative heavy-metal-binding</t>
  </si>
  <si>
    <t>COG0393</t>
  </si>
  <si>
    <t>Uncharacterized pentameric protein YbjQ, UPF0145 family (YbjQ) (PDB:1VR4) (PUBMED:23935051)</t>
  </si>
  <si>
    <t>MIVTTTNSVEGYTISQYLRVVAGETITGINAFKDLGAGLRNIVGGRSASYEGEAVMARENALAEMVTRAQELGADAIVGVALDYSTLGANGSMLMVTACGTAVKLQ---</t>
  </si>
  <si>
    <t>MIVTTTYNVEGRQISEYIRVVAGETVSGINMFRDLAAGFRNIVGGRSQAYEEEMINARENALAEMVQRAIELGAEGVVGVDIDYVTMGSDNGMMMVSATGTAVRFAPAY</t>
  </si>
  <si>
    <t>MIVTTTNNIDGQQVAQYLRVVSGEVIVGANFFKDIAAGFRNIVGGRSQAYEGELRTAREGALAEMVEAAQELGAQGVIGVKLDYQSIGVDGGMLMVAATGTAVTFR---</t>
  </si>
  <si>
    <t>GC_00000271</t>
  </si>
  <si>
    <t>K09015</t>
  </si>
  <si>
    <t>Fe-S cluster assembly protein SufD</t>
  </si>
  <si>
    <t>MQETEITMPVKNATYHNNKGDLFTSFDVQDFDVPKGRDEVWRFVPLRSLRGLHDGTFAEAVSPDVAVDVPEG-ADVTVERVSVDDDRIGRAGGAVDRVGAQAWTAAEKATLVTVKKNAVVNEPITITVTGRGDGVTSFGALTIDVEEGAEAFVNLHFVGSGTHADNHEYLVGDNARLTVVVHEDWNDDAVHLAGEKAVLGRDSYFRHNVACFGGELVRLVPSVRFTEPGGDAEMLGVYFADAGQFFEQRLLVDHAVANCRSNVMYKGALQGEG------ARTSWVGDVLIRSNAQGTDTYEVNRNLVLTEGARADAVPNLEIETGEIAGAGHAATVGRFDDEQLFYLLSRGITSEQARRLIVRGFFSEVIGRIPVPAIRDALESRIAEELEQTEL--</t>
  </si>
  <si>
    <t>-MTT-----VKNATYHNNKGDLFSSFDVNDFDIPKGRDEVWRFVPLRRLRGLHDGTFAPVEAPDVRFDIPETANGVTTEALTVGDPRLGRAGAPVDRVSAQAWSAMKGGQLLKFAKNTVNTDAVTVTVTGRGDDVTTFGALVIEVEEGAEAVVNLHFVGSGTHADNHEYLIGDNARLTVVIHEDWNDDAVHLASERAVLGRDSVFRHNVACFGGGVVRLVPQVKFTAPGGDAELLGVYFADTGQFFEQRLLVDHA</t>
  </si>
  <si>
    <t>MAET-----VKNATVHNTKGDLFTSFNVDDFDIPHGKDEVWRFVPLRRLNGLHNGTFPAQTTENVEI------TGTPSEKISKTDPRVGRSAAPVDRVGAQAFTSAQEAHYVKFAAGTVTTEPVQITTTGAGTGHTTFAHIVVEVEEGAEAVVNLHYQGSGTHADNVEFVIGDNAKLTVITDASWDDDAIHLSGHTAILGRDSTLRHSVALFGGNVVRIIPRVRFTGPGGDAELLGVYFADDGQFFEQRLLVDHAVPNCRSNVLYKGALQADPSSKKPEARTAWVGDVLIRANAQGTDTYEANRNLVLTEGARADAVPNLEIETGEIIGAGHAATVGRFDDEQEFYLRARGIPPEEARRLIVRGFFSEVIGRIPVAAIREDLENRVAAELEALQQHA</t>
  </si>
  <si>
    <t>MAET-----VKNATVHNTKGDLFTSFNVDDFDIPHGKDEVWRFVPLRRLNGLHNGTFPAQTAENVEI------TGTSSEKISKTDPRVGRSAAPVDRVGAQAFTSAQEAHYVKFAAGTVTNEPVQITTTGAGAGHTTFAHIVVEVEEGAEAVVNLHYQGNGTHADNVEFVIGDNAKLTVITDASWDDDAIHLSGHTAILGRDSTLRHSVALFGGNVVRIIPRVRFTGPGGDAELLGVYFADDGQFFEQRLLVDHAVPNCRSNVLYKGALQADPSSKKPEARTAWVGDVLIRANAQGTDTYEANRNLVLTEGARADAVPNLEIETGEIIGAGHAATVGRFDDEQEFYLRARGIPPEEARRLIVRGFFSEVIGRIPVAAIREDLENRVAAELEALQQHT</t>
  </si>
  <si>
    <t>GC_00000272</t>
  </si>
  <si>
    <t>PF13279.12</t>
  </si>
  <si>
    <t>Thioesterase-like superfamily</t>
  </si>
  <si>
    <t>K07107</t>
  </si>
  <si>
    <t>acyl-CoA thioester hydrolase [EC:3.1.2.-]</t>
  </si>
  <si>
    <t>COG0824</t>
  </si>
  <si>
    <t>Acyl-CoA thioesterase FadM (FadM) (PDB:2FUJ)</t>
  </si>
  <si>
    <t>MGERGNQHDVTEGAVVHVCRIPVRWSDFDRFGHLTNSAYVEVAQEARLDWAHQEFVQKGMDVPSVFVRHITADYRLPILPTATEVQVETEVVQVKTTSFTTRQTIKNEKGEAACVVECVQIAVDLKTASPRAIEAHEMKVLARGKSSEGSEEGQG-----------</t>
  </si>
  <si>
    <t>MGERGNQHDVTEGAVVHVCRIPVRWSDFDRFGHLTNSAYVEVAQEARLDWAHQEFVQKGMDVPSVFVRHITADYRLPILPTATEVQVETEVVQVKTTSFTTRQTIKNEKGEAACVVECVQIAVDLKTASPRAIEAHEMKVLARGKSAEGSEEGQG-----------</t>
  </si>
  <si>
    <t>------MAETQSNSSIHIAQVPVRWGDFDRFGHITNAAYVELAQEARMAFALEEFVGRGMDMPSVFVRKIEADYLRPVLPHNPYVTVETQVVEIGNTSFTTRQEIKDGEGQICCVVEVVQVAIDIMTARPRAITAKEIKVLTRAEDE-------------------</t>
  </si>
  <si>
    <t>GC_00000273</t>
  </si>
  <si>
    <t>PF01250.22</t>
  </si>
  <si>
    <t>Ribosomal protein S6</t>
  </si>
  <si>
    <t>K02990</t>
  </si>
  <si>
    <t>small subunit ribosomal protein S6</t>
  </si>
  <si>
    <t>COG0360</t>
  </si>
  <si>
    <t>Ribosomal protein S6 (RpsF) (PDB:4V4H)</t>
  </si>
  <si>
    <t>MRSVRHYEVMIILDPIQDERTVAPSLDKFLEIVRKENGTVEKVDIWGKRRLAYPIAKKEEGIYVVVNLHCESATVQEFDRVLTLNDSVLRTKVLRNDK</t>
  </si>
  <si>
    <t>GC_00000274</t>
  </si>
  <si>
    <t>PF08903.17</t>
  </si>
  <si>
    <t>Domain of unknown function DUF1846, N-terminal</t>
  </si>
  <si>
    <t>COG4868</t>
  </si>
  <si>
    <t>Uncharacterized conserved protein, UPF0371 family (PDB:3BH1)</t>
  </si>
  <si>
    <t>MSPQPPPLEGLYWQNMTQTSTGFNRQKYIDMQSEHILARREQLGGKLYLEMGGKLFDDMHASRVLPGFTPDNKIAMLDKLKDQLEILICINAKDLERHKVRADLGIPYEEDVLRLVDVFRERGFLVENIVMTQLEDSNAIAIAFKERLERLGLKVAKHRIIDGYPSDTRRIVSDEGFGLNDYVETSRNLVVVTAPGPGSGKMATCLSQVYHDHKRGIAVGYAKFETFPIWNLPLEHPVNLAYEAATVDLDDINLIDPFHLAAYDKKASSYNRDVETFPLLKVLLEEISGASPYQSPTDMGVNMAGYAIEDDAVCQAAARQEIIRRYFKALVEERTLELDSTLSNRVAVVMSKAGISVADRLVVQPARDVAEATGAPGSAIELMDGTIITGKTSPLLGCSAAMLLNALKHLAGIDAAVDLLSKESIEPITELKLAHLGSKNPRLHTDEVLIALSVSAGSDANARATLDQLKNLRGCDVHTTTILGSVDEGIFRNLGVLVTSDPVYQRSGLYRKR</t>
  </si>
  <si>
    <t>MSDGTP-----------HTPIGFDREKYIALQSQHIKARREDFGGKLYLEMGGKLFDDMHASRVLPGFTPDNKIAMLEQLKDQLEIIVCINAKDLERQKVRADLGIPYEEDVLRLVDVFRERGFLVDNVVLTQLEDDNRVAIAFKERLERLGLKVSRHRIIPGYPANTRRIVSEDGFGVNDYVETTRDLIVVTAPGPGSGKLATCLSQLYHEHQRGIPVGYAKFETFPVWNLPLEHPVNLAYEAATVDLDDINLIDPFHLATYGEQVTSYNRDVEVFPLLKLLMEELSGDSPYASPTDMGVNMAGYCISDDEVCREAAKQEIIRRYYKALVEERRGELDDVLSSRVAMIMSKAGIAAGDRAVVQPALNIAAATGDPGSAIQLADGTIITGKTSPLLGCSAAMLLNALKHLAGIDAETDLLSPASIEPIQTLKTTHLGSKNPRLHTDEVLIALSVSAGTSEESRRALDQLQNLRGCDVHTTTILGPVDEGIFRNLGVLVTSEPEYQVKSLYRKR</t>
  </si>
  <si>
    <t>-------------------MLGFDREKYIELQSQHIKERRAEIGGKLYLEMGGKLFDDLHASRVLPGFTPDNKIAMLEQIRDELEILICINAKDLERHKMRADLGISYEDDVLRLVDVFRDRGFLVEHVVITQMEDDNRLAVAFVERLQRLGLKVARHRVIPGYPTNLDLIVSPEGFGRNEYAETTRDLVVVTAPGPGSGKLATCLSQVYHEHRRGVNAGYAKFETFPVWNLPLEHPVNLAYEAATVDLNDANVI</t>
  </si>
  <si>
    <t>GC_00000275</t>
  </si>
  <si>
    <t>PF00004.35</t>
  </si>
  <si>
    <t>ATPase family associated with various cellular activities (AAA)</t>
  </si>
  <si>
    <t>K13527</t>
  </si>
  <si>
    <t>proteasome-associated ATPase</t>
  </si>
  <si>
    <t>ko00001|ko03051</t>
  </si>
  <si>
    <t>KEGG Orthology (KO)&gt;&gt;&gt;09120 Genetic Information Processing&gt;&gt;&gt;09123 Folding, sorting and degradation&gt;&gt;&gt;03050 Proteasome [PATH:ko03050]|Proteasome&gt;&gt;&gt;Prokaryotic proteasome&gt;&gt;&gt;Bacterial regulatory particles</t>
  </si>
  <si>
    <t>MSSEPQQQRNPSTTGIPTTGAALDANNLRHRLTQLETQNTKLVAMLKASRDKLAVLTEELEALAAPPSVYGTFLETSADGINAEVFTSNRQMRLTVSPTIDKAELDAGKLVRLGEGSQIVEVCGYTTSGAVAQCKDVIPGGRAIVVDSAGNEHVVRLATSLINTNTTTKTPSGDAAGVAAGDNLLVDTKAGYAFEVLPRADIGTLALEEVPNVTYADIGGLGQQIDTIHDAIELPYTHPELYERFELTPPRGVLLYGPPGCGKTLIAKAVANSLSSR--GGGRTRFINVKGPELLNKYVGETERMIRAIFERARELARDGQAVVVFFDEMESIFRTRGSGVSSDMETTVVPQLLAELDGVEELGNVIVIGATNREELIDPAILRPGRLDVKIRVQRPDRQAARDIFARYITGAIPLAAPQTELIDAAVDTLFTPRPFVELTLVDGSTEVLNTSDFVSGAMIANIVDRAKKLAIKQIISSTAVGEGGLSAQHLIDATLAEVEENEDLPNTSDPDTWSRISGRHGKKVVHARVLPLNTKEA-----</t>
  </si>
  <si>
    <t>--------------MTSSDMDAADLQVLRRANRELGARNAKLAELLKASRDKLAVLHQELEALAAPPSTYGVLLDINPGGASAEVFTANRRMRLVVSPSVDRAALVPGARVRIGEGSQVVEVCGFETSGELSTLTEVLADSRALVVDTRGEEHVVQLAAPLLQE-GQSPRP---------GDTLLIDARAGYAFEVIPKAEVARLVLEEVPDVSYHDIGGLDAQIEQIHDAVELPFTHPELYRDFALRPPKGVLL</t>
  </si>
  <si>
    <t>-------------------MHSSDIAWIKKTNDELKTRNAKLAELLKASRDKLQVLHQQLEELAAPPSTYGTYLEPSPNGKTAEVFTAGRLMRLAISPLINPDDLVPGIQVRLGEAHEIVEACSYTTTGKLAILVEMIDPTRALIVDQQGEEHVARLAHPLANPINRRPRA---------GDTVLVDLKAGYVFEIIPKTEVARLVLEETPDATYADIGGLDTQIEQIHDAVELPFTHPQLYRDYQLHPPKGVLL</t>
  </si>
  <si>
    <t>-----------------------------------------------------------------------------------------------------------------------------------------------------------------------------------------MDLKAGYVFEIIPKTEVARLVLEETPDATYADIGGLDTQIEQIHDAVELPFTHPQLYRDYQLHPPKGVLL</t>
  </si>
  <si>
    <t>GC_00000276</t>
  </si>
  <si>
    <t>PF00501.34</t>
  </si>
  <si>
    <t>AMP-binding enzyme</t>
  </si>
  <si>
    <t>COG0318</t>
  </si>
  <si>
    <t>O-succinylbenzoic acid-CoA ligase MenE or related acyl-CoA synthetase (AMP-forming) (MenE/FadK) (PDB:5EY9) (PUBMED:25151136;27455459)</t>
  </si>
  <si>
    <t>----MQDRPLNVSRILEYGRVIHGDTPVTTWVGEGAGGTEHTTFAQIGARASALAHALRDELGITGDQRVGTLLPNCSEHVEALFAVSCMGAVFNPLNKQLMDDQIIHIINHAEDRVIITDAHLAHQLAPLLEH-CPGVRSVVITGVEGFEAAEQVMPEQVDVYSYEVLIDGRPTTYPWPELEETTAAALCYSTGTTGAPKGVAYSHRSMYLHSLSLRTTDSFAVSHGVPFLCCVPIYHVLSWGVPVAAFMSGAP</t>
  </si>
  <si>
    <t>MLSTMHDIPLSIARILTYGSQIHGNTTVTS---CDNGSKETTTFAEIGARAAALAHALRSELNVTDDQRVGTFMYNCAEHLESFFAVTCMGAVFNPLNKQLMDDQLQHIINHAEDQVIIADPRLAHKLSAILEH-CPRVRAVVFIGVGSLDAAIATLPDGVAGYSYEALIDGHPSTFSWPVLPEKTAAVLCYSTGTTGAPKGVVYSHRSIYLHSMNLCTTDSFAVTHGVPFLCCVPIYHVLSWGIPIAAFMCGAPLVFPGSDVSAPALAAIIATTHPRVATGVPTLWISLMVHYINNPPERMSLTEIFAGGSPVPPILIKLWEERYGVDVIHIWGMTETSPIGTVARPPSGVSGEARWNYRISQGRFPASMEYRVVNDGEVVASTDRNQGEIQVRGNWVTASYYHSPADVEGGLAHTFRGDNIDDA---LEKFTPDGWLRTGDVGSVTKDGFLTIEDRARDVIRSGGEWIYSVQLENLIMESSRVVEAAVIGYSDEKWGERPLAVTVLHAHVEPNRDTAEILRDGLREKLPSWMLPEYWTFVDSIDKTSVDKFDKKDLRKHLADGDFEVIKLRGPGEK-</t>
  </si>
  <si>
    <t>--------------------------------------MQETTFAEIAARAAALAHALHG-LGITGDQRVATLMFNCAEHVETFFAVACKGAVFNPLNKQLMNDQIAHIINHAEDEVIICDQRLAKQLGAILALGCPTVKTVVFIGRADISAAARFIPDPITCVSYETLLDGQSTVYHWPVLEETTAAALCYSTGTTGAPKGVAYSHRSIYLQVLSLRTTDSMAIETGQSFLCCVPIYHVLSWFVPIAAFMSGAP</t>
  </si>
  <si>
    <t>GC_00000277</t>
  </si>
  <si>
    <t>PF12710.13</t>
  </si>
  <si>
    <t>haloacid dehalogenase-like hydrolase</t>
  </si>
  <si>
    <t>K18697</t>
  </si>
  <si>
    <t>phosphatidylglycerophosphatase C [EC:3.1.3.27]</t>
  </si>
  <si>
    <t>COG0560</t>
  </si>
  <si>
    <t>Phosphoserine phosphatase (SerB) (PDB:3N28)</t>
  </si>
  <si>
    <t>KEGG Orthology (KO)&gt;&gt;&gt;09100 Metabolism&gt;&gt;&gt;09103 Lipid metabolism&gt;&gt;&gt;00564 Glycerophospholipid metabolism [PATH:ko00564]|Enzymes&gt;&gt;&gt;3. Hydrolases&gt;&gt;&gt;3.1  Acting on ester bonds&gt;&gt;&gt;3.1.3  Phosphoric-monoester hydrolases&gt;&gt;&gt;3.1.3.27  phosphatidylglycerophosphatase</t>
  </si>
  <si>
    <t>MST---------TPEEFIAHW--TASRGNLRRFLEEHALPPVNDRAQRTAGEAAARAAFTAVADSYELEEEDFASGVATVSGAFQAADATQRAAGHNT-TNPSPTPATSTAAFFDVDNTLIQGASIIVFATGLYRRKYFSLRELIPVAWKQLKFRVTGNENADDVEEGRQQALEFIKGRSVEELVTLCEDIVDTHMSDKIWPGTQALVQQHLDADDQVWLVSATPVQLAQILARKLGCTGALGTVAEVKDGRFTGRLVGDILHGPGKKHAVAALAAIEGLDLDTCTAYSDSINDVPMLTMVGHAVAVNPDRQLQKMAQLHEWPIEDYRSIRKAIKTFGLPAVLAAAVSLTWRVLRR---------</t>
  </si>
  <si>
    <t>MNTPNENIAIPGTPEDFLASLASSASRGNLRRFLEETVLPPVGDREQKAAGEAAAAA---AVAQTYGLDLNDFTSGIESVSGAFEAA-----GGGHVSFPNPDIPQDHGAAAFFDVDNTLIQGASLIVFATGLARKRYFNLREILPVVWKQIKFRITGSENADDVAEGRQQALEFIEGRSVDELVSLCEEIVDTHMSEKIWPGTRELAEKHLAAGQQVWLVSATPVQLAQILARKLGFTGALGTVAEVRDGKFTGRLVGDILHGAGKQHAVAALAAVEKLDLLRCAAYSDSINDIHMLSMVGTPVAINPDSALRKEAIRRGWDIRDYRSIRKAIRTFGLPALFTAA--FGWRFLRKGT-------</t>
  </si>
  <si>
    <t>MNTPNENIAIPGTPEDFLASLASSGSRGNLRRFLEETVLPPVGDREQKAAGEAAAAA---AVAQTYGLDLNDFTSGIESVSGAFEAA-----GGGHVSFPNPDIPQDHGAAAFFDVDNTLIQGASLIVFATGLARKRYFNLREILPVVWKQIKFRITGSENADDVAEGRQQALEFIKGRSVDELVSLCEEIVDTHMSEKIWPGTRELAEKHLAAGQQVWLVSATPVQLAQILARKLGFTGALGTVAEVRDGKFTGRLVGDILHGAGKQHAVAALAAVEKLDLLRCAAYSDSINDIHMLSMVGTPVAINPDSALRKEAIRRGWDIRDYRSIRKAIRTFGLPALFTAA--FGWRFLRKGT-------</t>
  </si>
  <si>
    <t>MSPLDPH--WHQRPEDFLAAW--SSSRGNLRRFFEDIALPPIDNHTQQQAGEAAAAK---AVAELFDLDLSEFTSGLDSVSGSFTAA-----GMSRLTPPDPAIPQDAGAAAFFDVDNTLIQGSSLIVFAIGLAKKRYLKLSEILPVVWKQIKFRITGAENADDVTEGRQQALAFIKGRSEAELVALCEEIVDKNMSEKLWPGTKQLADTHIANGHQVWLVSATPVQLAQILAKRLGFTGALGTVAEVKDGVFTGRLVGDILHGPGKRHAVAALAALERLDLSRCTAYSDSINDVPMLSMTGNAVAINPDRRLRKEAEHRGWQIEDFRSLRKAIRTFGIPALVTAI--FSWQALKRRFHRGILPQ</t>
  </si>
  <si>
    <t>GC_00000278</t>
  </si>
  <si>
    <t>PF01556.23</t>
  </si>
  <si>
    <t>DnaJ C terminal domain</t>
  </si>
  <si>
    <t>K03686</t>
  </si>
  <si>
    <t>molecular chaperone DnaJ</t>
  </si>
  <si>
    <t>COG0484</t>
  </si>
  <si>
    <t>DnaJ-class molecular chaperone with C-terminal Zn finger domain (DnaJ) (PDB:1BQ0)</t>
  </si>
  <si>
    <t>Chaperones and folding catalysts&gt;&gt;&gt;Heat shock proteins&gt;&gt;&gt;HSP40 / DNAJ|Mitochondrial biogenesis&gt;&gt;&gt;Mitochondrial protein import machinery&gt;&gt;&gt;Matrix&gt;&gt;&gt;Other matrix factors</t>
  </si>
  <si>
    <t>-MSKAEWADKDYYADLGVSSSATHDEIRKAYRTLARDNHPDKNPGDAAAEERFKKAAEAYDVIGDDKKRAEYDELKAMIAQGGFGRFGGAAAG----GFRGQDGFNIS---DLSDLFGGSGPGGGFSAEG-GLGDIFGGMW---GGGGGSSRRQARPRRGSDVETDVILDFREAVLGTQLSLQIKGNAPCKTCHGSGSTSGNPTTCGTCHGSGFVNENRGAFGFSAPCSDCNGSGRVVTDPCADCRGTGVQNRDR</t>
  </si>
  <si>
    <t>-MTQREWADKNYYADLGVSSSATADEIKRAYRKLARDNHPDKHPGDKVAEERFKKVAEAYDVLGDDKKRKEYDELKDLIASGGIPGFGSGGFGGNSTGFGG--GFRQAADFDVSDLFGGGR--GGFSSDGSSFSDIFGGLFNRGGSGGGTPRNTARPTRGADVEADITLDFREATQGTTLPIQLTGEAPCTTCHGSGSKTGNPTACRYCNGTGFTSENQGAFGFSAPCVHCSGTGQVITDPCSDCTGTGTVHRTR</t>
  </si>
  <si>
    <t>MAAKNEWVDKDYYADLGVTSSASDADIKKAYRKLARENHPDSHPGDAIREEKFKKVAEAYDVVGDPTRRKEYDEFKEMLRVGG--------------GFRG-GGQSFQ---DFSDIFGGGRSTGGFS-------DIFGGSW-------GATRRSARPTRGSDVETEITLDFREAAKGTTLPVQLTGDAPCAACHGSGSRTGATSACKNCNGTGYVTENRGAFAFSAPCPDCDGTGKVITDPCPDCRGTGTVRRSRSITVRIPAGVVDGQKVRLAGQGEAGPHGTPAGDLFVTVHVRPDKVFTRDGDNLEVEVPVSFGELALGGTVSVPTLEKPVRVRIPAGTPDGRVLRVRGRGVPKRDGSFGDLYVKVKIRVPKDLTDDAKDALRNYMEAEKHMGFDPRATWAGNES----</t>
  </si>
  <si>
    <t>GC_00000279</t>
  </si>
  <si>
    <t>K01933</t>
  </si>
  <si>
    <t>phosphoribosylformylglycinamidine cyclo-ligase [EC:6.3.3.1]</t>
  </si>
  <si>
    <t>COG0150</t>
  </si>
  <si>
    <t>Phosphoribosylaminoimidazole (AIR) synthetase (PurM) (PDB:1CLI)</t>
  </si>
  <si>
    <t>KEGG Orthology (KO)&gt;&gt;&gt;09100 Metabolism&gt;&gt;&gt;09104 Nucleotide metabolism&gt;&gt;&gt;00230 Purine metabolism [PATH:ko00230]|Enzymes&gt;&gt;&gt;6. Ligases&gt;&gt;&gt;6.3  Forming carbon-nitrogen bonds&gt;&gt;&gt;6.3.3  Cyclo-ligases&gt;&gt;&gt;6.3.3.1  phosphoribosylformylglycinamidine cyclo-ligase</t>
  </si>
  <si>
    <t>MSENQLNADQSVSYAAAGVDIEAGDRAVELFAPHAKRATRPEVRGGLGGFAGLFALGKYNKPLLAAGSDGVGTKLAVAQAMDVHNTIGIDLVAMCVDDLVVCGAEPLFLQDYIAIGKVVPEHVAEIVEGIAEGCVRAGCALLGGETAEHPGVMEAGHYDVSATAVGVVEEDEVLGPQRVRAGDAIIAMASSGLHSNGYSLARHVLLEKAGLPLDGYMDELGRTLGEELLEPTRIYAKDCLALAAECDVRTFCHVTGGGLVGNMVRIIPEGLVATMHRNTWEPQQIFRTIARYGKVPQEEMEKTFNMGVGMVAIVAPEDRDRALAMLTARHMDAWELGTVREA-------AEGEARAELI------</t>
  </si>
  <si>
    <t>------MTDAHASYAAAGVNIAEGDRAVELIAPLAKKATRPEVRGGLGGFAGLFALGKYKQPLLAAGSDGVGTKLAVAQAMDKHDTIGIDLVAMCVDDLVVCGAEPLFLQDYIAIGKVVPEHVADIVAGIAEGCIQAGCALLGGETAEHPGVMEPEHYDVSATAVGVVEAEDVLGPDRVRPGDVVIAMASSGLHSNGYSLARHVLLEKAKLPLDSYMEELGRTLGEELLEPTRIYAKDCLALAAECDVHTFCHVT</t>
  </si>
  <si>
    <t>------MTDAHASYAAAGVNIAEGDRAVELIAPLAKKATRPEVRGGLGGFAGLFALGKYKQPLLAAGSDGVGTKLAVAQAMDKHDTIGIDLVAMCVDDLVVCGAEPLFLQDYIAIGKVVPEHVADIVAGIAEGCIQAGCALLGGETAEHPGVMEPEHYDVSATAVGVVEAEDVLGPDRVRPGDVVIAMASSGLHSNGYSLARHVLLEKAKLPLDSYVEELGRTLGEELLEPTRIYAKDCLALAAECDVHTFCHVT</t>
  </si>
  <si>
    <t>-MTDSAQSDATVSYAAAGVDIEAGDRAVELFAPLAKKATRPEVRGGLGGFAGLFALGNYRQPLLAAGSDGVGTKLAVAQAMGKHDTIGIDLVAMCVDDLVVCGAEPLFLQDYIAIGKVVPEHVADIVSGIAEGCVQAGCALLGGETAEHPGVMEPGEYDVSATAVGVVEADELLGPDRVRKDDVVIAMASSGLHSNGYSLARYVLLEKAGLLLDAYVEDLDRTLGEELLEPTRIYAKDCLALADECEVHTFCHVT</t>
  </si>
  <si>
    <t>GC_00000280</t>
  </si>
  <si>
    <t>PF02673.24</t>
  </si>
  <si>
    <t>Bacitracin resistance protein BacA</t>
  </si>
  <si>
    <t>K06153</t>
  </si>
  <si>
    <t>undecaprenyl-diphosphatase [EC:3.6.1.27]</t>
  </si>
  <si>
    <t>COG1968</t>
  </si>
  <si>
    <t>Undecaprenyl pyrophosphate phosphatase (UppP) (PDB:5OON)</t>
  </si>
  <si>
    <t>KEGG Orthology (KO)&gt;&gt;&gt;09100 Metabolism&gt;&gt;&gt;09107 Glycan biosynthesis and metabolism&gt;&gt;&gt;00550 Peptidoglycan biosynthesis [PATH:ko00550]|KEGG Orthology (KO)&gt;&gt;&gt;09100 Metabolism&gt;&gt;&gt;09107 Glycan biosynthesis and metabolism&gt;&gt;&gt;00552 Teichoic acid biosynthesis [PATH:ko00552]|Enzymes&gt;&gt;&gt;3. Hydrolases&gt;&gt;&gt;3.6  Acting on acid anhydrides&gt;&gt;&gt;3.6.1  In phosphorus-containing anhydrides&gt;&gt;&gt;3.6.1.27  undecaprenyl-diphosphate phosphatase|Peptidoglycan biosynthesis and degradation proteins&gt;&gt;&gt;Precursor biosynthesis&gt;&gt;&gt;Diphosphatase</t>
  </si>
  <si>
    <t>-----------------------MNESVTSVLAAADAAHSSDGVTWAQTIILSIVQGLTEFLPISSSGHLRIVSELLWGRDAGASFTAVIQLGTEAAVLVYFWKDIWRILTGWFKGLANKEFRTGQKGLDYRMGWMVIVGTLPVSIIGFLGKDYIREALRNLWITAAVLIAFSFIFIAAEKLGRKQREEKDLTMKDAIIMGLAQCLALIPGVSRSGGTISAGMFVGLSREAAARFSFLLAIPAVLASGLFSLKDA</t>
  </si>
  <si>
    <t>-------------------------MSYLNTLAAADVA--STDMSWAQVIVLSIVQGLTEFLPISSSGHIRIMSELFWGHDAGASFTAVIQLGTEIAVLVFFARDIFSIAVDWVRGLFNKD----ERNFNYRMGWMVIVGTIPVSVLGFLGKDYIREALRNLWITATVLILFSFVFILAERIGSKKRGYDDLTMRDAIVMGLAQCLALIPGVSRSGGTISAGLFVGLNREVAARFSFLLAIPAVFASGIFSLPDA</t>
  </si>
  <si>
    <t>MHYTLKYTLHIIYCEGRRTRGVRCGDVITTSILAQASTGVSEQMPWLEVIVLSIIQGLTEFLPVSSSGHLRIASTLFFDNDPGASFTAVVQLGTEAAVLVYFAKDIFSIIVAWFKGLVNKD----ARDFNYRMGWMVIVGTIPVSAIGFLTKDLIRENLRNLWITATVLVLFSFVFIIAERFGRKNRDYEELTMRDAIVMGFAQCLALIPGVSRSGGTISAGLFLGLTREVAARFSFLLAIPAVLAAGLFSLDDAFQPQAGIAASGTQLIVGTLIAFVLGYASIAWLLKFVANNTFSWFAVYRIPLGIFVMLLLYTGEINPLAAASV</t>
  </si>
  <si>
    <t>MHYTLKYTLHIIYCEGRRTRGVRCGDVITTSILAQASTGVSEQMPWLEVIVLSIIQGLTEFLPVSSSGHLRIASTLFFDNDPGASFTAVVQLGTEAAVLVYFAKDIFSIIVSWFKGLVNKD----ARDFNYRMGWMVIVGTIPVSAIGFLTKDLIRENLRNLWITATVLVLFSFVFIIAERFGRKNRDYEELTMRDAIVMGFAQCLALIPGVSRSGGTISAGLFLGLTREVAARFSFLLAIPAVLAAGLFSLDDAFQPQAGIAASGTQLIVGTLIAFVLGYASIAWLLKFVANNTFSWFAVYRIPLGIFVMLLLYTGEINPLAAASV</t>
  </si>
  <si>
    <t>GC_00000281</t>
  </si>
  <si>
    <t>PF04294.18</t>
  </si>
  <si>
    <t>VanW like protein</t>
  </si>
  <si>
    <t>K18346</t>
  </si>
  <si>
    <t>vancomycin resistance protein VanW</t>
  </si>
  <si>
    <t>COG2720</t>
  </si>
  <si>
    <t>Vancomycin resistance protein YoaR (function unknown), contains peptidoglycan-binding and VanW domains (YoaR)</t>
  </si>
  <si>
    <t>M00651</t>
  </si>
  <si>
    <t>Vancomycin resistance, D-Ala-D-Lac type</t>
  </si>
  <si>
    <t>Signature modules; Gene set; Drug resistance</t>
  </si>
  <si>
    <t>ko00001|ko01504</t>
  </si>
  <si>
    <t>KEGG Orthology (KO)&gt;&gt;&gt;09130 Environmental Information Processing&gt;&gt;&gt;09132 Signal transduction&gt;&gt;&gt;02020 Two-component system [PATH:ko02020]|Antimicrobial resistance genes&gt;&gt;&gt;Gene sets&gt;&gt;&gt;Vancomycin resistance modules&gt;&gt;&gt;Vancomycin resistance, D-Ala-D-Lac type [MD:M00651]</t>
  </si>
  <si>
    <t>-----MNIPELTQGRTR-RIV-IGVILGVLGLCVLAYGADYLLTKGKVPRGTTVAGVSIGGMSNADARALLEKELGTRLTDPVKVAAGDMNTTVNPTDAGLQVDWVSTIRAAGSPPLNPIVKITSFFTEHEVGIVSTTGP-TFTASMDATQAALTRQPTDGGVVLEHGKATPVP-PTNGQGIDRDTLNKAVTTGWLSPNGVNIDADVVKPAVQQDAVDKVLDGDAKKALSGAVVARGRDNTRGVIPPERMGEVVT</t>
  </si>
  <si>
    <t>-----MNIPELTQGRTR-RII-IGVILGVLGLCVLAYGADYLLTKGKVPRGTTVAGVPIGGMSNADARALLEKELGTRLTDPVKVTAGDMNTTVNPTDAGLQVDWVSTLRAAGSPPLNPIVKITSFFTEHEVGIVSTTGP-TFTASMDATQAALTRQPTDGGVVLEHGKATPVP-PTNGQGIDRDTLNKAVTTGWLSPNGVNIDADVVKPAVQQDAVDKVLDGDAKKALSGAVVARGRDNTRGVIPPERMGEVVT</t>
  </si>
  <si>
    <t>MVRVIEQDTELTSGNMPARFF-GGILLGLFVLLGTGYGVDYFLSQGTMPRGTMIGGVQVGGMKRAEAKELLQKELADEIIKPVTITAGQRTSIIDPRAAGLRVNWDKTLDSVESQSLNPIKRILGFFKDTEVPIVSDADPANFRPAVDRVTKELSPAPVDAGIVLTGGQVKVDPAPADGQTVDAEQVEKSILTGWLKPGGVKEHATISHPKYGEKQVQPIVEGPGKKAVSAPLVLHGRDNINGEIPVDRMGEVVTFRPENDEFKIDFNYDRAREIFAEKLITTEKPRVNANITFHGSDRTVTPHSDGVHIDWVKTFDHINERIIADDPRTWDATYIDEPASFTTEMANAATFDQVVGEFTTGGYSQASGVNIARVAEMVDGAMVAPGDTFSLNGYTGPRGTAQGFVESGIIMNGHADKAVGGGISQFATTLYNAAYFGGMEDVTHTPHSYYISRYPAGREATVFEGAIDLAFKNTSQYPVRIVTSAGGGQVTVKLMGVKVVNVESVNGGRWATTQPNTISLSGKDCSPSSGAPGFTTSDTRIVKDLNGNELSRKTTTTVYNPSPIVKCT-</t>
  </si>
  <si>
    <t>GC_00000282</t>
  </si>
  <si>
    <t>PF00730.31</t>
  </si>
  <si>
    <t>HhH-GPD superfamily base excision DNA repair protein</t>
  </si>
  <si>
    <t>K03575</t>
  </si>
  <si>
    <t>A/G-specific adenine glycosylase [EC:3.2.2.31]</t>
  </si>
  <si>
    <t>COG1194</t>
  </si>
  <si>
    <t>Adenine-specific DNA glycosylase, acts on AG and A-oxoG pairs (MutY) (PDB:1KG2)</t>
  </si>
  <si>
    <t>ko00001|ko01000|ko03400|ko03400</t>
  </si>
  <si>
    <t>KEGG Orthology (KO)&gt;&gt;&gt;09120 Genetic Information Processing&gt;&gt;&gt;09124 Replication and repair&gt;&gt;&gt;03410 Base excision repair [PATH:ko03410]|Enzymes&gt;&gt;&gt;3. Hydrolases&gt;&gt;&gt;3.2  Glycosylases&gt;&gt;&gt;3.2.2  Hydrolysing N-glycosyl compounds&gt;&gt;&gt;3.2.2.31  adenine glycosylase|DNA repair and recombination proteins&gt;&gt;&gt;Eukaryotic type&gt;&gt;&gt;SSBR (single strand breaks repair)&gt;&gt;&gt;BER (base exicision repair)&gt;&gt;&gt;DNA glycosylases|DNA repair and recombination proteins&gt;&gt;&gt;Prokaryotic type&gt;&gt;&gt;SSBR (single strand breaks repair)&gt;&gt;&gt;BER (base exicision repair)&gt;&gt;&gt;DNA glycosylases</t>
  </si>
  <si>
    <t>-MNARNHAPSRPTQFD--------------------YRALCDWYAANARPLLWRRPGTTAWGVLVSEVMSQQTPVARVQPIWQQWMDRWPTPQDFAAASRADILRAWGSLGYPRRALRLHECAQEITARYGAESNAREGSEPVPEDLAELLALPGIGDYTARAVLCFHYDHNVAVVDTNVRRVYARAVSGNYLQSPARASDLRKQQALVDAAPDDVHGPTFSVAMMELGALVCTASSPDCGHCPIQASCAWQLAG</t>
  </si>
  <si>
    <t>MLSVLEVVMDSLCIFDTARATFLATLSTLMASKFSPDKHLITWFAANKRDIVWRTPDTSAWGILLSEVMSQQTPVKRVEPIWQEWMRRWPTPTDFAQASADDVLRAWGKLGYPRRALRLLECARVVVDKHGGD---------VPSDVDELLALPGIGDYTARAVAAFAYGQRVPVVDTNVRRVYSRWKLGRFLPGAASKRDLAQVEALLPQEPQ--QAADMSVALMELGALVCTATSPDCDACPLIKNCAWQSAGCPEPSTEELARAKKRVQKFTGTDRQVRGLIMDVLRGATAPVPQSRIDAAWPDAPQRSRALHSLLTDGLAEQTPDGLFQLPGAFSPLCVSESR</t>
  </si>
  <si>
    <t>MTTPVTVTPEKSAELRTI-----------------LHRRLPTWFAANARDIAWRTPETSAWGVLLSEVMSQQTQVSRVEPIWLEWINRWPTPTDFAAARIDEVLRAWGRLGYPRRALRLHECAQQIVTHHNGV---------VPADVADLLALPGIGDYTARAVAAFAYGQRVPVVDTNVRRVLARFYHGEYEPRSPSKRELAVMESLLPDADGGVDPAKFSTAIMELGALICT-TTPKCGDCPLRSSCLWVAGG----SIVTPRRPSRRVQKFAGTDRQVRGLIMAELRAADGVVPPERIEAVWADGTQRNRALASLLDDGLAQEVTGG-FRLPN-----------</t>
  </si>
  <si>
    <t>MTTPVTVTPEKSAELRTV-----------------LHRRLPAWFAANARDIAWRTPETSAWGVLLSEVMSQQTQVARVEPIWLGWINRWPTPTDFAAARIDDVLRAWGRLGYPRRALRLHECAQQIVAHHNGV---------VPEDVTDLLALPGIGDYTARAVAAFAYGQRVPVVDTNVRRVLARFYHGEYEPRSPSKRELAVMESLLPDADGDVDAAKFSTAIMELGALICT-TTPKCGDCPLRSSCLWVAGG----SIVTPRRPSRRVQKFAGTDRQVRGLIMAELRAADGIVPLERIEAVWADGTQRNRALTSLLDDGLAREVAGG-FRLPN-----------</t>
  </si>
  <si>
    <t>GC_00000283</t>
  </si>
  <si>
    <t>PF02627.25</t>
  </si>
  <si>
    <t>Carboxymuconolactone decarboxylase family</t>
  </si>
  <si>
    <t>K04756</t>
  </si>
  <si>
    <t>lipoyl-dependent peroxiredoxin subunit D [EC:1.11.1.28]</t>
  </si>
  <si>
    <t>COG2128</t>
  </si>
  <si>
    <t>Alkylhydroperoxidase family enzyme, contains CxxC motif (YciW) (PDB:1GU9)</t>
  </si>
  <si>
    <t>MSIDNLKSGLPEYAKDLKLNLGTLARSTELSEQQLWGTFVATAAATRNDAVFSEIADEAKEHLSDEAFNAALGAATIMAMNNVAYRAKEFLGSDYTPVKMGLRMNIIANPGVEKADFELWALAVSTINGCENCTAAHDKTVRGEGLTKEQVFEAVKIAATMQGVAQAVQIEEAR</t>
  </si>
  <si>
    <t>MSIDNLKSSLPEYAKDLKLNLGTLTRSTELSEQQLWGTFLASAAATRNDAVFSEVADEAKEHLSDAAFDAALAAASIMAMNNVAYRAKGYLGSDYAQVKMGLRMNVISNPGVEKSDFELWSLAVSTINGCEHCSVAHDKVVRQEGLTKEQVWEAIKVAATMQGVAQAVQIESAS</t>
  </si>
  <si>
    <t>MSIDNLKSGLPDYAKDLKLNIGTLVRGNVLTEQQLWGTLLSTAAATRSEVVLSEIADEAQQHLSEAAVKAAYGAASIMGMNNVAYRAKAWLGDDYAQVRMGLRMNIIAQPGVEQPDFELWALAVSAINGCEHCTLAHEKALKEAGFTKEQIFEAIKVAAVVQGIAQALTIEASR</t>
  </si>
  <si>
    <t>MSIDNLKSGLPDYAKDLKLNIGTLVRGNVLTEQQLWGTLLSTAATTRSEVVLSEIADEAQQHLSEAAVKAAYGAASIMGMNNVAYRAKAWLGDDYAQVRMGLRMNIIAQPGVEQPDFELWALAVSAINGCEHCTLAHEKALKEAGFTKEQIFEAIKVAAVVQGIAQALTIEASR</t>
  </si>
  <si>
    <t>GC_00000284</t>
  </si>
  <si>
    <t>PF00334.24</t>
  </si>
  <si>
    <t>Nucleoside diphosphate kinase</t>
  </si>
  <si>
    <t>K00940</t>
  </si>
  <si>
    <t>nucleoside-diphosphate kinase [EC:2.7.4.6]</t>
  </si>
  <si>
    <t>COG0105</t>
  </si>
  <si>
    <t>Nucleoside diphosphate kinase (Ndk) (PDB:1B4S)</t>
  </si>
  <si>
    <t>M00049|M00050|M00053|M00052|M00938</t>
  </si>
  <si>
    <t>Adenine ribonucleotide biosynthesis, IMP =&gt; ADP,ATP|Guanine ribonucleotide biosynthesis, IMP =&gt; GDP,GTP|Deoxyribonucleotide biosynthesis, ADP/GDP/CDP/UDP =&gt; dATP/dGTP/dCTP/dUTP|Pyrimidine ribonucleotide biosynthesis, UMP =&gt; UDP/UTP,CDP/CTP|Pyrimidine deoxyribonucleotide biosynthesis, UDP =&gt; dTTP</t>
  </si>
  <si>
    <t>Pathway modules; Nucleotide metabolism; Purine metabolism|Pathway modules; Nucleotide metabolism; Purine metabolism|Pathway modules; Nucleotide metabolism; Purine metabolism|Pathway modules; Nucleotide metabolism; Pyrimidine metabolism|Pathway modules; Nucleotide metabolism; Pyrimidine metabolism</t>
  </si>
  <si>
    <t>ko00001|ko00001|ko00001|ko00001|ko01000|ko04131</t>
  </si>
  <si>
    <t>KEGG Orthology (KO)&gt;&gt;&gt;09100 Metabolism&gt;&gt;&gt;09104 Nucleotide metabolism&gt;&gt;&gt;00230 Purine metabolism [PATH:ko00230]|KEGG Orthology (KO)&gt;&gt;&gt;09100 Metabolism&gt;&gt;&gt;09104 Nucleotide metabolism&gt;&gt;&gt;00240 Pyrimidine metabolism [PATH:ko00240]|KEGG Orthology (KO)&gt;&gt;&gt;09100 Metabolism&gt;&gt;&gt;09111 Xenobiotics biodegradation and metabolism&gt;&gt;&gt;00983 Drug metabolism - other enzymes [PATH:ko00983]|KEGG Orthology (KO)&gt;&gt;&gt;09130 Environmental Information Processing&gt;&gt;&gt;09132 Signal transduction&gt;&gt;&gt;04016 MAPK signaling pathway - plant [PATH:ko04016]|Enzymes&gt;&gt;&gt;2. Transferases&gt;&gt;&gt;2.7  Transferring phosphorus-containing groups&gt;&gt;&gt;2.7.4  Phosphotransferases with a phosphate group as acceptor&gt;&gt;&gt;2.7.4.6  nucleoside-diphosphate kinase|Membrane trafficking&gt;&gt;&gt;Exocytosis&gt;&gt;&gt;Calcium ion-dependent exocytosis&gt;&gt;&gt;Kinases and associated proteins</t>
  </si>
  <si>
    <t>MTERTLILIKPDGVARGLVGEIIARIERKGLKLTAMDLRVADEATAKAHYAEHEDKPFFGELVDFITSAPLVAGVVEGPRAIEAWRQLAGGTDPVAKATPGTIRGDFALEVAENVVHGSDSPESAEREIGIWFPNL</t>
  </si>
  <si>
    <t>MTERTLILIKPDGVERGLIGEIISRIERKGLKLTAMDLRVADKATAEKHYAEHSDKPFFGELVDFITSAPLVAGVVEGPRAIEAWRQLAGGTDPVSKATPGTIRGDFALEVSTNVVHGSDSPESAEREIAIWFPNL</t>
  </si>
  <si>
    <t>MTERTLILIKPDGVKNGHVGDIIARIERKGLKFVAMDLRVADRATAEKHYAEHVDKPFFGELVDFITSAPLVAGVIEGPRAIDAWRQLAGGTDPVGKATPGTIRGDFALNVAENVVHGSDSPESAAREIAIWFPNL</t>
  </si>
  <si>
    <t>GC_00000285</t>
  </si>
  <si>
    <t>PF13515.12</t>
  </si>
  <si>
    <t>Fusaric acid resistance protein-like</t>
  </si>
  <si>
    <t>COG4129</t>
  </si>
  <si>
    <t>Uncharacterized membrane protein YgaE, UPF0421/DUF939 family (YgaE)</t>
  </si>
  <si>
    <t>---MPTMGLHYAPNLITTRWQRLKASLFPILQVGVAAGFANLIAVHLFSHHQPFFAPMAAVIVLGLTGGDRLRRAVELNIGVSLGVGVGDLFVGHFGTGWWQMPLLVMASLAVAVFLDKGPLMATQAALGSVLIATIMPPGTSGGSGRMLDAFVGGFIGVIVIALMPTSPLKGGRMEISKVLALTASTLAEVAAAIPEQDAERIQKALKKARGSQANINSMIAAAKEGEESVAVSPLLWRHKRRIKSLVRILNPV</t>
  </si>
  <si>
    <t>MSRAKSAMLKNPVNSLYAGLLRVRRSWLGIVQVSVAAGAAFWVAKNLFGHPLPFFAPMAAIIVLGLTGGDRIRRAIELVVGVSLGVGLGDFIISWVGSGTWQIMVAVTLSLVLATLVDKGPLVANQAAFGSILIATILPPGTSGGTDRMSDAFIGGMVGLIIMSLIPISPLSAGRKEIAIILEIISDVLTDVAHALRINNADVVRHALAAARGTQGNINNMIAAAKGGKESMRMSPLLWPERRRVKSLIRILNPVDNAIRNTRVLARRALVLLEDHDTVSEKQIQIIEELADVASQLSVLYMGKTKVSESAEIPMLVKRLRKLGSAAGLDVAEGRVLSAQVILAQTRSIIVDLLQVCGLSKKSAVAVLKPTSEHPAMPPELWD-----</t>
  </si>
  <si>
    <t>--------------------MRLQTKWFYILQVAIAAGAAYWAAHVVFGHDIPFFAPMATIIVLSTTGGERFRRSVELVVGVSLGVGLGDLIIANIGSGTWQIAVAVGIAIALGTFIDRSVLLANQAGFASVLVATISPPGSADGIERMTDAFIGGVVGLIVIGLFPESPLRAGRREIARLMGITSNVLRDVAAALHSGDIIVIRHALQNVRGTQGRINNMIAATKTGEENLSVSPILWRQRGKIRSLKRILHPV</t>
  </si>
  <si>
    <t>GC_00000286</t>
  </si>
  <si>
    <t>K03596</t>
  </si>
  <si>
    <t>GTP-binding protein LepA</t>
  </si>
  <si>
    <t>COG0481</t>
  </si>
  <si>
    <t>Translation elongation factor EF-4, membrane-bound GTPase (LepA) (PDB:3DEG)</t>
  </si>
  <si>
    <t>MVANFAEETFTDPKQIRNFCIIAHIDHGKSTLADRILGLTGVVEARDMRDQYLDNMDIERERGITIKAQNVRLPWVPRSGKHAGEQIVMHLIDTPGHVDFTYEVSRALEACEGAILLVDAAQGIEAQTLANLYLAMENDLEIIPVLNKIDLPAADPDKYAEEISHIIGCEPEEVLRVSGKTGEGVPELLDRVCELVPAPTSEF---------GDEAPARAMIFDSVYDTYRGVVTYIRMVDGRLEPRQKIKMMSTGATHELLEIGIVSPTPKKCKGLGPGEVGYLITGVKDVRQSKVGDTVTWASKGAGSPLKGYEEPKPMVYSGLFPISQADYPDLRDALEKLQLNDAALTFEPETSVALGFGFRCGFLGLLHMEITRDRLQREFDLDLISTAPSVSYRVVAEDGSEMMVHNPSDWPAGKLREVWEPIVKTTIIVPAEFVGTTMELCQSKRGVMGGMDYLSEDRVELRYTMPLGEIIFDFFDMLKSRTRGYASLNYEEAGEQQADLVKVDILLQGDAVDAFSAIVHRDNAQWYGNKMTVKLKELIPRQQFEVPVQAAIGSKIIARENIRALRKDVLAKCYGGDVSRKRKLLEKQKEGKKRMKSIGSVSVPQEAFVAALSTDEGK--</t>
  </si>
  <si>
    <t>MAQNFAEKTFTDPSRIRNFCIIAHIDHGKSTLADRILQLTGVVEARDMRDQYLDNMDIERERGITIKAQNVRLPWVPRSGEHAGEEIVMHLIDTPGHVDFTYEVSRALEACEGAILLVDAAQGIEAQTLANLYLAMENDLEIIPVLNKIDLPAADPDKYALEIAHIIGCEPEDVLRVSGKTGEGVPELLDRVCELVPPPSSEVAESGASGIPGADAPARAMIFDSVYDTYRGVVTYIRMVDGRLEPRQKIRMMSTGATHELLEIGIVSPTPKKCSGLGPGEVGYLITGVKDVRQSKVGDTVTWATKGAEEPLKGYEEPKPMVYSGLFPISQADYPDLRDALEKLQLNDAALTFEPETSVALGFGFRCGFLGLLHMEITRDRLQREFDLDLISTAPSVNYRVVTEDGSELIVHNPSDWPGGKLREVWEPIVKTTIIVPAEYVGTTMELCQSKRGQMGGMDYLSEDRVELRYTMPLGEIIFDFFDMLKSRTKGYASLNYEEAGEQQSDLVKVDILLQGEPVDAFSAIVHRDNAQWYGNKMTVKLKELIPRQQFEVPVQAAIGSKIIARENIRALRKDVLAKCYGGDVSRKRKLLEKQKEGKKRMKSIGSVSVPQEAFVAALSTDEG---</t>
  </si>
  <si>
    <t>MAKNFAETTFTDLEHIRNFCIIAHIDHGKSTLADRILQYSNVVDARDMRDQYLDNMDIERERGITIKAQNVRLPWVPRTGPYKGQEIVMQMIDTPGHVDFTYEVSRALEACEGAILLVDAAQGIEAQTLANLYLAMENDLEIIPVLNKIDLPAADPEKYSLEIAHIIGCEPEDVLRVSGKTGEGVEALLDKVVELVPPPTTDY---------PMDAPARAMIFDSVYDTYRGVVTYIRMIDGKLIPRQKIKMMSTGAVHELLEIGIVSPTPKKCEGLGPGEVGYLITGVKDVRQSKVGDTVTWASKGATEPLQGYEDPKPMVYSGLFPISQADFPDLRDALEKLQLNDASLTYEPETSVALGFGFRCGFLGLLHMEITRDRLEREFGLDLISTAPSVSYRVVAEDGSHTHVHNPSDWPGGKLREVWEPIVKTTIIVPSEFVGSTMELCQSKRGQMGGMDYLSEDRVELRYTMPLGEIIFDFFDALKSRTKGYASLNYEEAGEQESNLVKVDILLNGDPVDAFSAIVHRDSAQWYGNKMTKKLKELIPRQQFEVPIQAAIGSKIIARENIRAVRKDVLAKCYGGDISRKRKLLEKQKEGKKRMKSLGSVSVPQEAFVAALSTDDNNKK</t>
  </si>
  <si>
    <t>GC_00000287</t>
  </si>
  <si>
    <t>PF02589.21</t>
  </si>
  <si>
    <t>LUD domain</t>
  </si>
  <si>
    <t>K18929</t>
  </si>
  <si>
    <t>L-lactate dehydrogenase complex protein LldF</t>
  </si>
  <si>
    <t>COG1139</t>
  </si>
  <si>
    <t>L-lactate utilization protein LutB, contains a ferredoxin-type domain (LutB)</t>
  </si>
  <si>
    <t>KEGG Orthology (KO)&gt;&gt;&gt;09190 Not Included in Pathway or Brite&gt;&gt;&gt;09191 Unclassified: metabolism&gt;&gt;&gt;99981 Carbohydrate metabolism</t>
  </si>
  <si>
    <t>-MSVFLGKPTMPPRAPEGVGHLRGTETFPKAAHHELYNATQRRNLHKATHTIRDKRAAVIAEIDDWQALREAGSHIKRDVMARMPELLEQFEAAVTARGGHVHWARDAKEAGEIVTALVQETGEKKVVKIKSMATMEIGLNDQLREAGIEARETDLAELIVQLGKDTPSHILVPAIHRNRAEIRDIFIKEMPNTDETLSSDPAELAEASRTFLREQFMDAKVAISGANFGIAETGTVTIVESEGNGRMCLTLPET</t>
  </si>
  <si>
    <t>-MSILLGTPSMPPRAPKDVGHLRGDRSFQKAAHVDLYNATQRRNLHKATHTIRAKRANVISEIDDWEDLREAGSGIKRDVMARMPELLEQFEAAVTARGGHVHWARDAKEAGEIVTELVKETGETNVVKIKSMATMEIGLNDQLRDAGISARETDLAELIVQLGHDRPSHILVPAIHRNRAEIRDIFIKEMPHTDDSLSTEPAELAEASRLFLRKQFMEAKVAISGANFGVAETGTVAIVESEGNGRMCLTLPET</t>
  </si>
  <si>
    <t>MTPIMLGTPTMPPRAS-EISNLRGDKTFPHTAHDGLNNVTQRRNLTKATTTIRNKRQRVIDEIDDWEDLREAGSTTKRYVMAHLPELLEQFEAAVTARGGHVHWARNAEEAGKIVTELVQATGEKKVVKIKSMATQEIALNEQLEKVGIFAQETDLAELIVQLGEDKPSHILVPAIHRNRAEIRSIFLKKMPHVDDSISSEPAELAEASRMYLRKQFMEAKVAISGANFGIAETGHVTIVESEGNGRMCLTLPETLISVMGIEKILPTFRDYEVFLQLLPRSSTGERMNPYTSLWSGVTENDGPKNFHIVLVDNGRTAAMSDEIGREALKCIRCSACLNVCPVYERAGGHAYGSTYPGPIGAILTPQLTGINDAHDPNGYLPYASSLCGRCNEVCPVKIPITDALLELRHKKVKEHKPVVEGALLASMQLMWSNPRLWNSAAHLVFMGRLLGGTKGKITHLPSFLAGWTDVRDTSVPPKKSFRQWFDSNEAAALLARAKAEGLPKNNIPTKADSDATDAAKEEKK</t>
  </si>
  <si>
    <t>MTPIMLGTPTMPPRAS-DISNLRGDKTFPHTAHDGLNNVTQRRNLTKATTTIRNKRQRVIDEIDDWEDLREAGSTTKRYVMAHLPELLEQFEAAVTARGGHVHWARNAEEAGKIVTELVQATGEKKVVKIKSMATQEIALNEQLEKVGIFAQETDLAELIVQLGEDKPSHILVPAIHRNRAEIRSIFLKKMPHVDDSISSEPAELAEASRMYLRKQFMEAKVAISGANFGIAETGHVTIVESEGNGRMCLTLPETLISVMGIEKILPTFRDYEVFLQLLPRSSTGERMNPYTSLWSGVTENDGPKNFHIVLVDNGRTAAMSDEIGREALKCIRCSACLNVCPVYERAGGHAYGSTYPGPIGAILTPQLTGINDAHDPNGYLPYASSLCGRCNEVCPVKIPITDALLELRHKKVKEHKPVVEGALLASMQLMWSNPRLWNSAAHLVFMGRLLGGTKGKITHLPSFLAGWTDVRDTSVPPKKSFRQWFDSNEAAALLARAKAEGLPKNNIPTKADSDAADAAKEEKK</t>
  </si>
  <si>
    <t>GC_00000288</t>
  </si>
  <si>
    <t>PF02223.23</t>
  </si>
  <si>
    <t>Thymidylate kinase</t>
  </si>
  <si>
    <t>K00943</t>
  </si>
  <si>
    <t>dTMP kinase [EC:2.7.4.9]</t>
  </si>
  <si>
    <t>COG0125</t>
  </si>
  <si>
    <t>Thymidylate kinase (Tmk) (PDB:3LV8)</t>
  </si>
  <si>
    <t>KEGG Orthology (KO)&gt;&gt;&gt;09100 Metabolism&gt;&gt;&gt;09104 Nucleotide metabolism&gt;&gt;&gt;00240 Pyrimidine metabolism [PATH:ko00240]|Enzymes&gt;&gt;&gt;2. Transferases&gt;&gt;&gt;2.7  Transferring phosphorus-containing groups&gt;&gt;&gt;2.7.4  Phosphotransferases with a phosphate group as acceptor&gt;&gt;&gt;2.7.4.9  dTMP kinase</t>
  </si>
  <si>
    <t>----MIIAIEGIDGAGKNTLVRALTGLIDRPVIVQAFPRYGT-LHADLAADALKHKLGDTVESIHAMALLFALDRYGYKDTLLSYAPGGTHEHDVLLLDRYVASNAAYTAARLDSVEGQHFVADLEFGRFGLPAPDLTILLGTDADLAAQRAQRRAEADTSRALDAYESDSSLQERTLDAYRRLADDNWHGPWMSAHPDTDPRDVAAYIAQL---</t>
  </si>
  <si>
    <t>MIENMIIAIEGIDGAGKTTLLATLREQLHAEVI--AFPRYETSIHAQLVRRALYQQMGDLTDSVYAMATLFALDRHEARELLHPFVAS----NALVVLDRYVASNAAYSWARTGDETIIDWVAELEFNTLGVPRPDLQVFLNTTPDVAGQRAINREKLDRDRARDSYESDRALQQRTADAYGQLVAQNWQSPWLVVEPEADYLHVADRITAALQ-</t>
  </si>
  <si>
    <t>GC_00000289</t>
  </si>
  <si>
    <t>PF03719.21</t>
  </si>
  <si>
    <t>Ribosomal protein S5, C-terminal domain</t>
  </si>
  <si>
    <t>K02988</t>
  </si>
  <si>
    <t>small subunit ribosomal protein S5</t>
  </si>
  <si>
    <t>COG0098</t>
  </si>
  <si>
    <t>Ribosomal protein S5 (RpsE) (PDB:4V4H)</t>
  </si>
  <si>
    <t>MSGREQRGGGRSAENNNDNRNERRGR--RDDRRNQQQDERSQYIERVVTINRVSKVVKGGRRFSFTALVIVGDGEGMVGVGYGKAKEVPAAIQKGAEEARKNFFRVPMVAGTITHPVQGEAAAGIVMMRPAAPGTGVIAGGAARPVLECAGIQDILCKSLGSDNAINVVHATVDGLKQLQRPEEVAARRGKTLEEVAPARMLRARAGQEA</t>
  </si>
  <si>
    <t>PF00333.26</t>
  </si>
  <si>
    <t>Ribosomal protein S5, N-terminal domain</t>
  </si>
  <si>
    <t>MPGRERRDGGRSADNNNENRNERRGRG-RDDRRNQQQDERSQYIERVVTINRVSKVVKGGRRFSFTALVIVGDGQGMVGVGYGKAKEVPAAIQKGAEEARKNFFHVPMVGGTITHPVQGEAAAGIVMMRPAAPGTGVIAGGAARPVLECAGVQDILCKSLGSDNAINVVHATVDGLKQLVRPEEVAARRGKSIEEVAPARMLRARAGQEA</t>
  </si>
  <si>
    <t>MSGRERRDGGRSAD---DNKNERRGGGRRDDRRNQQQDERSQYIERVVTINRVSKVVKGGRRFSFTALVIVGDGKGMVGVGYGKAKEVPAAIQKGAEEARKNFFRVPMVGGTITHPVQGEAAAGIVMLRPAAPGTGVIAGGAARPVLECAGIQDILSKSLGSDNAINVVHATVAGLKQLVRPEEVAARRGKSLEEVAPARMLRQRAGQEA</t>
  </si>
  <si>
    <t>GC_00000290</t>
  </si>
  <si>
    <t>PF00587.30</t>
  </si>
  <si>
    <t>tRNA synthetase class II core domain (G, H, P, S and T)</t>
  </si>
  <si>
    <t>K01875</t>
  </si>
  <si>
    <t>seryl-tRNA synthetase [EC:6.1.1.11]</t>
  </si>
  <si>
    <t>COG0172</t>
  </si>
  <si>
    <t>Seryl-tRNA synthetase (SerS) (PDB:1SER)</t>
  </si>
  <si>
    <t>KEGG Orthology (KO)&gt;&gt;&gt;09120 Genetic Information Processing&gt;&gt;&gt;09122 Translation&gt;&gt;&gt;00970 Aminoacyl-tRNA biosynthesis [PATH:ko00970]|Enzymes&gt;&gt;&gt;6. Ligases&gt;&gt;&gt;6.1  Forming carbon-oxygen bonds&gt;&gt;&gt;6.1.1  Ligases forming aminoacyl-tRNA and related compounds&gt;&gt;&gt;6.1.1.11  serine---tRNA ligase|Amino acid related enzymes&gt;&gt;&gt;Aminoacyl-tRNA synthetase&gt;&gt;&gt;Class II (C/G)|Transfer RNA biogenesis&gt;&gt;&gt;Eukaryotic type&gt;&gt;&gt;Aminoacyl-tRNA synthetases (AARSs)&gt;&gt;&gt;Other AARSs|Transfer RNA biogenesis&gt;&gt;&gt;Prokaryotic type&gt;&gt;&gt;Aminoacyl-tRNA synthetases (AARSs)&gt;&gt;&gt;Other AARSs</t>
  </si>
  <si>
    <t>MIDLKFLRDNPDVVRQSQITRGEDPQLVDQLISADETRRESIAKADSLRAEQKAFGKKIGQAAPEQRPALLEGSNALKQQVKDAEAAQKDAEAEVERLQYLISNVVEGAPAGGEDDYIVLEHVGTPPEFDFEPKDHLELGESLGLIDMERGTKVSGSRFYFLTGDGAFLQLAMLNLAAMKARQAGFQLMVPPVLVRPESMAGTGFLGAHSDEIYYLPADDLYLVGTSEVALAGYHQGEIIDLSEGPKRYAGWSSCFRREAGSYGKDTRGILRVHQFDKVEMFSYCKPEDAQAEHQRLLDMERDMLGAVGVPYRIIDVAGGDLGSSAARKFDTEAWVPTQNTYRELTSTSNCTTFQARRLGVRYRDDNGKAQVCATLNGTLATTRWLVAILENNQQADGSVVVPEALRPYMGVEVLEPKK--</t>
  </si>
  <si>
    <t>MIDLKFLRENPDVVRASQTTRGEDPELVDQLIAADEARRESIAAADALRAEQKAFGKKIGQAAPEDRPALLEGSNQLKAKVKEADAAQKAAEAEVGRLQLLISNVVDGAPAGGEDDFIVLEHVGEPTTFDFEPKDHLELGESLGLIDMERGTKVSGSRFYFLTGHGAMLQLAMLTLAAQKAMAAGFQLTTTPVLVRPEVMQGTGFLGAHADEVYYLPADDLYLVGTSEVALAGYHQGEIIDLSAGPKRYAGWSSCFRREAGSYGKDTRGIIRVHQFDKVEMFSWCKPEDAAAEHQKLLDMERDMLAAIEVPYRIIDVAGGDLGSSAARKFDTEAWVPTQNTYRELTSTSNCTTYQARRLQVRYRDENGRPQVCATLNGTLATTRWLVAILENHQQADGSVRVPKALQPFVGREILEPVNNA</t>
  </si>
  <si>
    <t>MIDLKFLRENPDLVRDSQRTRGANPILVDQLIAADESRRAAIKAADELKAEQNAFGKKIGQAAPEDRPALLAGANELKAKVKAAEDARKEAEAAVTDLQMRIDNIVEGAPAGGEDDFVVLEHVGEPRSFDFTPKDHLDLGISLGLIDMDRGAKVSGARFYYLTGDGAFLQLAMLTLAAQKARTAGFKLMIPPVLVRPEVMSGTGFLGEHAEEIYYLERDDLYLVGTSEVALAGYHQDEIIDLSNGPRKYAGWSSCFRREAGSYGKDTRGIIRVHQFDKLEMFVYCKPEEAAAQHQELLGMERDMLSAIEVPYRVIDVAGGDLGSSAARKFDTEAWVPTQNTYRELTSTSNCTTYQARRLRTRYRDEAGKAHIAATLNGTLATTRWLVAILENHQQADGSVVVPEALRPFVGKEVFEPIR--</t>
  </si>
  <si>
    <t>GC_00000291</t>
  </si>
  <si>
    <t>PF01883.24</t>
  </si>
  <si>
    <t>Iron-sulfur cluster assembly protein</t>
  </si>
  <si>
    <t>COG2151</t>
  </si>
  <si>
    <t>Metal-sulfur cluster biosynthetic enzyme (PaaD) (PDB:1UWD)</t>
  </si>
  <si>
    <t>MTSEEPTNTTEDSDAQPKELRERPDTQTPEDLARASDVEEYMRDVIDPELGINVVDLGLVYDIWIENGTEAVVNMTLTSPACPLTDVLEDQAEAAVVGNGVATKLTLQWVWMPPWTPAMITEEGREQLRALGFSV</t>
  </si>
  <si>
    <t>GC_00000292</t>
  </si>
  <si>
    <t>PF00237.24</t>
  </si>
  <si>
    <t>Ribosomal protein L22p/L17e</t>
  </si>
  <si>
    <t>K02890</t>
  </si>
  <si>
    <t>large subunit ribosomal protein L22</t>
  </si>
  <si>
    <t>COG0091</t>
  </si>
  <si>
    <t>Ribosomal protein L22 (RplV) (PDB:1VS6)</t>
  </si>
  <si>
    <t>MSEAITSARATARFVRVTPMKARRVIDLVRGKSVSEAMAILKYAPQAASEPVAKVVASAAANAENNFGLDPRTLVISEAYADEGPTMRRFRPRAQGRAFHVRKRTSHITVVVESQKGSAQ</t>
  </si>
  <si>
    <t>MSEEITTARATARFVRVTPMKARRVVDLVRGKSVSEALAILKYAPQAASEPVAKVVASAAANAENNFGLDRDTLVISQAWADEGPTMRRFRPRAQGRAFHVRKRTSHITVVVESQKGSAQ</t>
  </si>
  <si>
    <t>MSD--NSARATARFVRVTPMKARRVINLVRGKSVEEALAILKYAPQDASVPVAKVVQSAAANAENNNGLDRRTLVISEAYANEGPTMRRFRPRAQGRAFQIRKRTSHITVVVESQKAGA-</t>
  </si>
  <si>
    <t>GC_00000293</t>
  </si>
  <si>
    <t>PF00459.30</t>
  </si>
  <si>
    <t>Inositol monophosphatase family</t>
  </si>
  <si>
    <t>K05602</t>
  </si>
  <si>
    <t>histidinol-phosphatase [EC:3.1.3.15]</t>
  </si>
  <si>
    <t>COG0483</t>
  </si>
  <si>
    <t>Archaeal fructose-1,6-bisphosphatase or related enzyme, inositol monophosphatase family (SuhB) (PDB:1AWB)</t>
  </si>
  <si>
    <t>Gluconeogenesis</t>
  </si>
  <si>
    <t>KEGG Orthology (KO)&gt;&gt;&gt;09100 Metabolism&gt;&gt;&gt;09105 Amino acid metabolism&gt;&gt;&gt;00340 Histidine metabolism [PATH:ko00340]|Enzymes&gt;&gt;&gt;3. Hydrolases&gt;&gt;&gt;3.1  Acting on ester bonds&gt;&gt;&gt;3.1.3  Phosphoric-monoester hydrolases&gt;&gt;&gt;3.1.3.15  histidinol-phosphatase</t>
  </si>
  <si>
    <t>MPTASSSTGASGGAYAAELALALKLADVADAVTFPRFQASDLSVDTKPDMTPVSDADLACERALRTELQRLCPDDEVLGEEFGGTASFSGRQWVIDPIDATKNYVRGVPVWATLIALLVDGKPVVGVVSAPALGRRWWASAGDGAFRQALGKPAEKISVSKVARIEDASVSFSSLDGWRDCGKLDAFLQLSDVTWRLRGFGDFYSYCLVAEGAVDVGLEPEVSLWDLAPLAILVEEAGGTFTNVAGAPGPHGGSAVATNGALHDAVLRTLNT--</t>
  </si>
  <si>
    <t>-----------MSDFSTDLAFALQLADAADAITFDRFESSTLQVDSKPDMTPVSDADLTCEGALRNLIEQHRPDDSILGEEFGGDAATHGRQWIIDPIDGTKNYVRGVPVWASLIALLEDGVPVVGVVSAPALTRRWWASSGGGAWRSFNGGKPRQLQVSKVSTLADASLSFSSFEGWETRAKQEHFLGITRDIWRLRAFGDFLSYCLVAEGSVDIAAEPEVSLWDLAPLSILVAEAGGRFTSLKGEEGPHGGDA</t>
  </si>
  <si>
    <t>GC_00000294</t>
  </si>
  <si>
    <t>K13668</t>
  </si>
  <si>
    <t>phosphatidyl-myo-inositol dimannoside synthase [EC:2.4.1.346]</t>
  </si>
  <si>
    <t>KEGG Orthology (KO)&gt;&gt;&gt;09100 Metabolism&gt;&gt;&gt;09107 Glycan biosynthesis and metabolism&gt;&gt;&gt;00571 Lipoarabinomannan (LAM) biosynthesis [PATH:ko00571]|Enzymes&gt;&gt;&gt;2. Transferases&gt;&gt;&gt;2.4  Glycosyltransferases&gt;&gt;&gt;2.4.1  Hexosyltransferases&gt;&gt;&gt;2.4.1.346  phosphatidyl-myo-inositol dimannoside synthase|Glycosyltransferases&gt;&gt;&gt;GPI-anchor biosynthesis&gt;&gt;&gt;Phosphatidylinositol mannoside</t>
  </si>
  <si>
    <t>MAKVLLVTNDFPPTVGGIQSYLRDFVDQLDPS--DVVVFASTQDEEAAREYDASVPYTV--VRWPRKMMLPTPPTARKMAQLIKKYGIEVVWFGAAAPLALMASAARKAGAHRVVASTHGHEVGWSMLPGARQCLRRIGNTCDVVTYISEYTLRRFRSAFGPHPRYVRLPSGVDTQLFTPLSP------------KAEGETVVCMSRLVPRKGQDSLIAAMPAVLRQHPDAQLVLVGGGS--YEKAL-RRRAADLGHS-VQFLGRLPFEQMLQVLREADVFAMPARTRGWGLDVEGLGIVYLEAQACGIPVIAGNSGGAPETV-TSETGIVVNGRDQAELESVLVTLLDDAALRHRLGSAGRQHVETCWTWRIMGARLREVLYTG--------</t>
  </si>
  <si>
    <t>-MRVLLVTNDFPPTIGGIQSYLRDFINTLPPQ--DVVVFASTQDAAAAANWDDQAAYRV--YRWPRRIMLPTPATARRMQQIIRAENIDVVWFGAAAPLALMARAARAAGARRIIASTHGHEVGWSMLPGARQVLRVIGSHCDVVTYISDYTLSRFRAAFG-EPTFEWLPSGVDSHRFSPLSTAQRQAVRSQLGWRIGGHYVVCISRLVPRKGQDQLVRLWPDVLTHFPDATLVIVGGGSRRFTARL-RRLAGNL</t>
  </si>
  <si>
    <t>-MRVLLVTNDFPPTIGGIQSYLRDFISTLPPQ--DVVVFASTQDTAAAANWDGQAAYRV--YRWPRRIMLPTPATVRRMRQIIRAENIDVVWFGAAAPLALMARAARAAGARRVIASTHGHEVGWSMLPGARQVLRVIGSHCDVVTYISDYTLSRFRAAFG-EPTFEWLPSGVDSHRFSPLSAAQRQAVRSQLGWRTSGHYVVCISRLVPRKGQDQLVRLWPDVLTHFPDATLVIVGGGSRRFTARL-RRLAGNL</t>
  </si>
  <si>
    <t>GC_00000295</t>
  </si>
  <si>
    <t>K02199</t>
  </si>
  <si>
    <t>cytochrome c biogenesis protein CcmG, thiol:disulfide interchange protein DsbE</t>
  </si>
  <si>
    <t>COG0526</t>
  </si>
  <si>
    <t>Thiol-disulfide isomerase or thioredoxin (TrxA) (PDB:1XFL)</t>
  </si>
  <si>
    <t>Chaperones and folding catalysts&gt;&gt;&gt;Protein folding catalysts&gt;&gt;&gt;Protein disulfide isomerase</t>
  </si>
  <si>
    <t>MPARTQPRRTARLVLAATTIIATTLSLTACSNDDTTNKQNT----TFSFYAPGGQTLIQYPQDERKPLNNFSGESLMHPGETISLDDYDGKVLVLNAWGQWCGPCRTEVDDLETVQENIANKGGAVLGINVRDYSPEVARDFLKDAGVTYDSIYDPPFKTAAALGGVPASVIPTTIILDKQHRPAAVFLREINADEVLNIVEPLLEEQ---Q</t>
  </si>
  <si>
    <t>MPH---PRCLIASLLAAITLA-----LAACSTD-TAGKDAVAVGGTFQFHSPGGETVITYPEADRKPIADITGPSVTDPNTEVKLADYQDKIVVLNAWGQWCGPCRTEVDDLEEVQEHLAKTGGTVIGINVKD-TQSLAKDFIQDNGITYPSIYDPPFKLAASLGGIPASVVPTTIVLDKQHRPAVVFLRQITAQELLDAIKPLETA-----</t>
  </si>
  <si>
    <t>GC_00000296</t>
  </si>
  <si>
    <t>PF00213.23</t>
  </si>
  <si>
    <t>ATP synthase delta (OSCP) subunit</t>
  </si>
  <si>
    <t>K02113</t>
  </si>
  <si>
    <t>F-type H+-transporting ATPase subunit delta</t>
  </si>
  <si>
    <t>COG0712</t>
  </si>
  <si>
    <t>FoF1-type ATP synthase, delta subunit (AtpH) (PDB:1ABV)</t>
  </si>
  <si>
    <t>FoF1-type ATP synthase</t>
  </si>
  <si>
    <t>M00157</t>
  </si>
  <si>
    <t>F-type ATPase, prokaryotes and chloroplasts</t>
  </si>
  <si>
    <t>ko00001|ko00001|ko00194</t>
  </si>
  <si>
    <t>KEGG Orthology (KO)&gt;&gt;&gt;09100 Metabolism&gt;&gt;&gt;09102 Energy metabolism&gt;&gt;&gt;00190 Oxidative phosphorylation [PATH:ko00190]|KEGG Orthology (KO)&gt;&gt;&gt;09100 Metabolism&gt;&gt;&gt;09102 Energy metabolism&gt;&gt;&gt;00195 Photosynthesis [PATH:ko00195]|Photosynthesis proteins&gt;&gt;&gt;Photosystem and electron transport system&gt;&gt;&gt;F-type ATPase [OT]</t>
  </si>
  <si>
    <t>MHAASREALDVCYKDLDARCASLDSLVAVAAQTGTELFDAVDVLDSDRSLRVAVADNSSPADRRSGLVQAVFGGKVSQLTLDILAHAAAQNWSTPREMRVGIVAVGRRALLTSAKAGGQLNQVEDELFRLGRILDGQPQLTSLLADKTASAQAKRSLLAQVLYGKVTAVTEVLALQVIGRPESNPIDDMSALAANAAALQDKSIAFVRAASDLSDEQKAALADKLGRIYGRAMSIHSEVDTSLLGGAVIRVGDEVIDGSLSGKIDKLRSNLV</t>
  </si>
  <si>
    <t>MHAASREALANATLNLDNTLSGIDNAVVVAAQTGTEIFDVVDVLDGDRGLRVAVAEASAPAEQRSGLVKEVFGGNVSAVTLALLTDAAAQVWSTPREMRQGLVALGRRALLRSAEQQGQLAQVEDELFRLSRILEGQTQLTQLLSDKTTTVAAKRQLLASVLYGKVSAVTEALALQVVGRPDSNLIDDIANLSALAAELQGKTVAHVIAAVALSTPQEQALAAKLGRIYGREMSIHSEVDTSLLGGVVIRVGDEVIDGSTAGKLERLRAGIV</t>
  </si>
  <si>
    <t>MHAASREALETVSEYFDTTSKNKEKPVAVAAQTGAELFDVVELLDGDRALRITIAEASLAEEQRAEVVSAVFAGKVSQYTLELLIMAARQVWSTPKEMRTGLVTLGRRALLRAAEHQGQLEQVEEELFRLSRLLLKQPELSLLLDDQSADPVAKRDLLAKVLYGKVTAVTEALALQVIGRPERNAIDDVNALSEYAAALRGHKVAVVTSANALTKAQHQTLATKLEGIYAYPMSLHTEVDPSLIGGAIIRVGYEVIDGSTSGKIARLRAQLV</t>
  </si>
  <si>
    <t>GC_00000297</t>
  </si>
  <si>
    <t>PF02866.23</t>
  </si>
  <si>
    <t>lactate/malate dehydrogenase, alpha/beta C-terminal domain</t>
  </si>
  <si>
    <t>K00024</t>
  </si>
  <si>
    <t>malate dehydrogenase [EC:1.1.1.37]</t>
  </si>
  <si>
    <t>COG0039</t>
  </si>
  <si>
    <t>Malate/lactate dehydrogenase (Mdh) (PDB:4WLO)</t>
  </si>
  <si>
    <t>M00009|M00011|M00012|M00740|M00982|M00168|M00173|M00374|M00620|M00346|M00614</t>
  </si>
  <si>
    <t>Citrate cycle (TCA cycle, Krebs cycle)|Citrate cycle, second carbon oxidation, 2-oxoglutarate =&gt; oxaloacetate|Glyoxylate cycle|Methylaspartate cycle|Methylcitrate cycle|CAM (Crassulacean acid metabolism), dark|Reductive citrate cycle (Arnon-Buchanan cycle)|Dicarboxylate-hydroxybutyrate cycle|Incomplete reductive citrate cycle, acetyl-CoA =&gt; oxoglutarate|Formaldehyde assimilation, serine pathway|Anoxygenic photosynthesis in green sulfur bacteria</t>
  </si>
  <si>
    <t>Pathway modules; Carbohydrate metabolism; Central carbohydrate metabolism|Pathway modules; Carbohydrate metabolism; Central carbohydrate metabolism|Pathway modules; Carbohydrate metabolism; Other carbohydrate metabolism|Pathway modules; Carbohydrate metabolism; Other carbohydrate metabolism|Pathway modules; Carbohydrate metabolism; Other carbohydrate metabolism|Pathway modules; Energy metabolism; Carbon fixation|Pathway modules; Energy metabolism; Carbon fixation|Pathway modules; Energy metabolism; Carbon fixation|Pathway modules; Energy metabolism; Carbon fixation|Pathway modules; Energy metabolism; Methane metabolism|Signature modules; Module set; Metabolic capacity</t>
  </si>
  <si>
    <t>KEGG Orthology (KO)&gt;&gt;&gt;09100 Metabolism&gt;&gt;&gt;09101 Carbohydrate metabolism&gt;&gt;&gt;00020 Citrate cycle (TCA cycle) [PATH:ko00020]|KEGG Orthology (KO)&gt;&gt;&gt;09100 Metabolism&gt;&gt;&gt;09101 Carbohydrate metabolism&gt;&gt;&gt;00620 Pyruvate metabolism [PATH:ko00620]|KEGG Orthology (KO)&gt;&gt;&gt;09100 Metabolism&gt;&gt;&gt;09101 Carbohydrate metabolism&gt;&gt;&gt;00630 Glyoxylate and dicarboxylate metabolism [PATH:ko00630]|KEGG Orthology (KO)&gt;&gt;&gt;09100 Metabolism&gt;&gt;&gt;09102 Energy metabolism&gt;&gt;&gt;00710 Carbon fixation by Calvin cycle [PATH:ko00710]|KEGG Orthology (KO)&gt;&gt;&gt;09100 Metabolism&gt;&gt;&gt;09102 Energy metabolism&gt;&gt;&gt;00720 Other carbon fixation pathways [PATH:ko00720]|KEGG Orthology (KO)&gt;&gt;&gt;09100 Metabolism&gt;&gt;&gt;09102 Energy metabolism&gt;&gt;&gt;00680 Methane metabolism [PATH:ko00680]|KEGG Orthology (KO)&gt;&gt;&gt;09100 Metabolism&gt;&gt;&gt;09105 Amino acid metabolism&gt;&gt;&gt;00270 Cysteine and methionine metabolism [PATH:ko00270]|Enzymes&gt;&gt;&gt;1. Oxidoreductases&gt;&gt;&gt;1.1  Acting on the CH-OH group of donors&gt;&gt;&gt;1.1.1  With NAD+ or NADP+ as acceptor&gt;&gt;&gt;1.1.1.37  malate dehydrogenase</t>
  </si>
  <si>
    <t>-MTSPKKVAVTGAAGQIAYSLLWRIANGDVYGKDTPVELNLLEITPALGATEGVAMELLDSAFPLVSKITITDKAEEAFDGASAAFLVGAKPRGAGEERSALLAANGKIFGPQGKALNDHAADDVRVLVVGNPANTNALIARAHAQDIPAERFTAMMRLDHNRSISQLGTKLGKSSADFRNMVVWGNHSATQFPDISYATIGGQNVSDLVDQQWYLEEFVPRVAKRGAEIIEVRGKSSAASAASSAIDHMRDWVQ</t>
  </si>
  <si>
    <t>MTAAPKKIAVTGAAGQIAYSLLWRIANGDVYGQDTPIELNLLEITPALGATEGVAMELLDSAFPLVKKITVTDDANKAFDGANAAFLVGAKPRGKGEERSDLLAANGKIFGPQGTALNDHAADDIRVLVVGNPANTNALIAQAHAKDIPAERFNAMMRLDHNRSLSQLAEKLGKDSTDFEQVAIWGNHSATQFPDITYATVGGDKVSDLVDQDWYVNEFIPRVAKRGAEIIEVRGKSSAASAASSAIDHMRDWVQGTEKWASAAIPSDGSYGVPEGLIFGFPTVSRNGAWEIVQGLELSDFQKERIAANIAELQEERDAVASLGLL</t>
  </si>
  <si>
    <t>MTQTVKKIAVTGAAGQIAYSLLWRIANGDVYGKDTPIELQLLEIPVALGGAEGVAMELNDSAFPLLKNIVVTDKLEEAFDGTNAAFLVGAMPRGKGQERSDLLAANGKIFGPQGKAINDHAADDIRVLVVGNPANTNALIAMHAAKDVPNDRFNAMMRLDHNRALSQLGEKLGRDKNDINDLVVWGNHSATQFPDLTYATIGSDSVMDLIDHHWYVDEFIPRVAKRGAEIIEVRGKSSAASAASSAVDHMHDWINGTERWSTAAIPSDGSYGVPEGLLFGFPTVARGGEWQIVDGLELNDFQKKRIAANAAELADEKAAVAD--LL</t>
  </si>
  <si>
    <t>GC_00000298</t>
  </si>
  <si>
    <t>PF00198.28</t>
  </si>
  <si>
    <t>2-oxoacid dehydrogenases acyltransferase (catalytic domain)</t>
  </si>
  <si>
    <t>K00627</t>
  </si>
  <si>
    <t>pyruvate dehydrogenase E2 component (dihydrolipoyllysine-residue acetyltransferase) [EC:2.3.1.12]</t>
  </si>
  <si>
    <t>COG0508</t>
  </si>
  <si>
    <t>Pyruvate/2-oxoglutarate dehydrogenase complex, dihydrolipoamide acyltransferase (E2) component (AceF) (PDB:1B5S)</t>
  </si>
  <si>
    <t>Pyruvate oxidation</t>
  </si>
  <si>
    <t>M00307</t>
  </si>
  <si>
    <t>Pyruvate oxidation, pyruvate =&gt; acetyl-CoA</t>
  </si>
  <si>
    <t>KEGG Orthology (KO)&gt;&gt;&gt;09100 Metabolism&gt;&gt;&gt;09101 Carbohydrate metabolism&gt;&gt;&gt;00010 Glycolysis / Gluconeogenesis [PATH:ko00010]|KEGG Orthology (KO)&gt;&gt;&gt;09100 Metabolism&gt;&gt;&gt;09101 Carbohydrate metabolism&gt;&gt;&gt;00020 Citrate cycle (TCA cycle) [PATH:ko00020]|KEGG Orthology (KO)&gt;&gt;&gt;09100 Metabolism&gt;&gt;&gt;09101 Carbohydrate metabolism&gt;&gt;&gt;00620 Pyruvate metabolism [PATH:ko00620]|KEGG Orthology (KO)&gt;&gt;&gt;09100 Metabolism&gt;&gt;&gt;09108 Metabolism of cofactors and vitamins&gt;&gt;&gt;00785 Lipoic acid metabolism [PATH:ko00785]|Enzymes&gt;&gt;&gt;2. Transferases&gt;&gt;&gt;2.3  Acyltransferases&gt;&gt;&gt;2.3.1  Transferring groups other than aminoacyl groups&gt;&gt;&gt;2.3.1.12  dihydrolipoyllysine-residue acetyltransferase</t>
  </si>
  <si>
    <t>MAFSVEMPELGESVTEGTITRWLKKVGDTVAADEPLLEVSTDKVDTEIPSPAAGVLLKILANEDETVDVGAVIAELGEEGE--EAAAEEPKEEKTKAEEPKAEAKEEPKQDDAANAS---GEATDVEMPELGESVTEGTITRWLKKVGDTVAVDEPLLEVSTDKVDTEVPSPVAGTIVEILAEEDDTVDVGAVIVRIGDGNAKPAAKEEPKAEEPKEEPKAEAKEEPKQDDAANASGDATDVEMPELGESVTEGTITRWLKKVGDTVAVDEPLLEVSTDKVDTEVPSPVAGTIVEILAEEDDTVDVGAVIVRIGDGNAKP-AAKEEPKAEAAEAK-------------EEPKASSESKVNDGDDVPYVTPLVRKLADKHGVDLRTVKGTGVGGRIRKQDVLAAA---KGEGESATAEAKK---------SGSAISTKSVDPEKAKLRGTTQRVNRIRELTAKKTLESLHGAAQLTQLHEVDMTKVAELRKANKQAFKDKHGVNLTYLPFFAKAMVEALVSHPNVNASYNAETKEMTYHDQVNLGIAVDTPAGLLSPVIHNAQDMTLVELAKAIVDIADRARNNKLKPSDLSDGTFTITNIGSEGALSDTPILVPPQAAMVGTGAITKRPVVVTEEGTDAIGIRQMVFLPMTYDHQIVDGADAGRFMTTVRDRLETADFEYDLDL</t>
  </si>
  <si>
    <t>MAFSVEMPELGESVTEGTITRWLKQVGDTVEVDEPLLEVSTDKVDTEIPSPAAGVLLKVLHDEDDTVDVGAVIAEIGDANE--ASTPAAPAAEQKVEVAAKVEASASVAASASSTSSSSAGAATDVVMPELGESVTEGTITRWLKQVGDTVEVDEALLEVSTDKVDTEVPSPVAGTIVEILHNEDDTVDVGAVIVRIGDPNAAPAAAPTTPEPTPVAEEKVDVAAQ------TSSAGAATDVVMPELGESVTEGTITRWLKQVGDTVEVDEALLEVSTDKVDTEVPSPVAGTIVEILHNEDDTVDVGAVIVRIGDPNAAPAAPTPAPAAPVAEEKVEVAPKVEAPKSVATP-PAAQAKVNSNDDVPYVTPLVRKLADKHGVDLRTVTGTGVGGRIRKQDVLAAAGQGAAESAPAAAEAPA----AAPATAASAVSTKRVDPAKAALRGTTQRVNRIREITAKKTLESLHTAAQLTQLHEVDMTNVAELRKANKAAFQAKYGVNLTYLPFFAKAAIEALVSHPNVNASYNAEKKEMTYHSQVNLGIAVDTPAGLLSPVIHNAQDMTLPELAQAITDIADRARNNKLKPADLSGGTFTITNIGSEGALSDTPILVPPQAAIMGTGAIVKRPVVISEHGVDAIAVRQMVYLPLTYDHQIVDGADAGRFLTTIRDRLETANFEGDLGL</t>
  </si>
  <si>
    <t>MAHSVVMPELGESVTEGTITQWLKAVGDTVSVDEPLLEVSTDKVDTEVPSPVAGVLLEIRAEEDDTIEVGDVIAIIGDAGEAPATTPAAPAAPAEPEPTPAAAAPAAPAAPAAPAAS---G-AVDVVMPELGESVTEGVITQWLKSVGDTVAVDEALLEVSTDKVDTEVPSPIAGTIVEILFEEDDTVEVGDVIARIGDKNAAPAPAAPAPTPEPQPEP-----------------------------------------------------------------TPAPAA---------------------------PAP-APKPEPTPAPTPAP-------------ATP-AAPAAKVNAGKKLPYVTPLVRKLADKHGIDLTTVTGTGIGGRIRKQDVLAAA---AAAQAPAAAEAPAAQAPAEPTGPRANWSTKSVDPAKAELIGTTQKVNRIREITAAKMVEALQLSAQLTHLQEVDMTRIAELRKQSKPQFQAKHGVNLTYLPFFVKAVVEALVSHPNVNASYNAETKEMTYHEDVNVAIAVDTPRGLLTPVIHKAQELTLPQIAQAIADLADRARNNKLKPTELFGATFTITNIGSEGALSDTPILVPPQAGILGTAAIQKRPVVVSVDGADAIAIRQMCYMPFTYDHQVVDGADAGRFTATIKDRLETGNFAADLDL</t>
  </si>
  <si>
    <t>MAHSVVMPELGESVTEGTITQWLKAVGDTVSVDEPLLEVSTDKVDTEVPSPVAGVLLEIRAEEDDTIEVGDVIAIIGDAGEAPATTPAAPAAPAEPEPAPAAAAPATPAAPAAPATS---G-AVDVVMPELGESVTEGVITQWLKSVGDTVAVDEALLEVSTDKVDTEVPSPIAGTIVEILFEEDDTVEVGDVIARIGDKNAAPAPAAPAPTPEPQPEP-----------------------------------------------------------------TPAPAA---------------------------PAP-APKPEPTPAPTPAP-------------TTP-AAPAAKVNAGKKLPYVTPLVRKLADKHGIDLTTVTGTGIGGRIRKQDVLAAA---AAAQAPAAAEAPAAQAPAEPTGPRANWSTKSVDPAKAELIGTTKKVNRIREITAAKMVEALQLSAQLTHLQEVDMTRIAELRKQSKPQFQAKHGVNLTYLPFFVKAVVEALVSHPNVNASYNAETKEMTYHEDVNVAIAVDTPRGLLTPVIHKAQELTLPQIAQAIADLADRARNNKLKPTELFGATFTITNIGSEGALSDTPILVPPQAGILGTAAIQKRPVVVSVDGADAIAIRQMCYMPFTYDHQVVDGADAGRFTATIKDRLETGNFAADLDL</t>
  </si>
  <si>
    <t>GC_00000299</t>
  </si>
  <si>
    <t>PF00121.24</t>
  </si>
  <si>
    <t>Triosephosphate isomerase</t>
  </si>
  <si>
    <t>K01803</t>
  </si>
  <si>
    <t>triosephosphate isomerase (TIM) [EC:5.3.1.1]</t>
  </si>
  <si>
    <t>COG0149</t>
  </si>
  <si>
    <t>Triosephosphate isomerase (TpiA) (PDB:1HG3)</t>
  </si>
  <si>
    <t>M00001|M00002|M00003|M00165</t>
  </si>
  <si>
    <t>Glycolysis (Embden-Meyerhof pathway), glucose =&gt; pyruvate|Glycolysis, core module involving three-carbon compounds|Gluconeogenesis, oxaloacetate =&gt; fructose-6P|Reductive pentose phosphate cycle (Calvin cycle)</t>
  </si>
  <si>
    <t>Pathway modules; Carbohydrate metabolism; Central carbohydrate metabolism|Pathway modules; Carbohydrate metabolism; Central carbohydrate metabolism|Pathway modules; Carbohydrate metabolism; Central carbohydrate metabolism|Pathway modules; Energy metabolism; Carbon fixation</t>
  </si>
  <si>
    <t>ko00001|ko00001|ko00001|ko00001|ko01000|ko04147|ko04147|ko04147</t>
  </si>
  <si>
    <t>KEGG Orthology (KO)&gt;&gt;&gt;09100 Metabolism&gt;&gt;&gt;09101 Carbohydrate metabolism&gt;&gt;&gt;00010 Glycolysis / Gluconeogenesis [PATH:ko00010]|KEGG Orthology (KO)&gt;&gt;&gt;09100 Metabolism&gt;&gt;&gt;09101 Carbohydrate metabolism&gt;&gt;&gt;00051 Fructose and mannose metabolism [PATH:ko00051]|KEGG Orthology (KO)&gt;&gt;&gt;09100 Metabolism&gt;&gt;&gt;09101 Carbohydrate metabolism&gt;&gt;&gt;00562 Inositol phosphate metabolism [PATH:ko00562]|KEGG Orthology (KO)&gt;&gt;&gt;09100 Metabolism&gt;&gt;&gt;09102 Energy metabolism&gt;&gt;&gt;00710 Carbon fixation by Calvin cycle [PATH:ko00710]|Enzymes&gt;&gt;&gt;5. Isomerases&gt;&gt;&gt;5.3  Intramolecular oxidoreductases&gt;&gt;&gt;5.3.1  Interconverting aldoses and ketoses, and related compounds&gt;&gt;&gt;5.3.1.1  triose-phosphate isomerase|Exosome&gt;&gt;&gt;Exosomal proteins&gt;&gt;&gt;Exosomal proteins of colorectal cancer cells|Exosome&gt;&gt;&gt;Exosomal proteins&gt;&gt;&gt;Exosomal proteins of bladder cancer cells|Exosome&gt;&gt;&gt;Exosomal proteins&gt;&gt;&gt;Exosomal proteins of melanoma cells</t>
  </si>
  <si>
    <t>MARKPLIAGNWKMNLNHLEAIATVQKLAFALPKEYYEAVDVAVTVPFTDIRSVQTLVEGDKLQVTYGAQDVSQHASGAYTGEVSAEMLAKLGCTWVVVGHSERREYHGETDAVVAAKAKAALGQEIHPIVCVGEPLEIREAGTHVDYVVSQLKASLEGLSAEDLSNTVIAYEPVWAIGTGKVASAADAQEVCHAIRVAIEELAGADVAAGIRILYGGSVKADSVAEIVGQPDVDGGLVGGASLDGEAFAKLAANAAR---</t>
  </si>
  <si>
    <t>MARKPLIAGNWKMNLNHLEAVATVQKLAFALPKEYYEKVDVAVTVPFTDIRSVQTVVEGDKLSITYGAQDVSQHESGAYTGEVSAEMLAKLGCAWVVVGHSERREYHGETDGQVAAKAKAALGQGVSPIVCVGEPLDIREAGTHVQYVVDQTKASLAGLDKGQLSKTVIAYEPVWAIGTGKVASAADAQEVCAAIRNTIKELAGDDVAAGIRILYGGSVKADSVAEIVGQPDVDGGLVGGASLDGEAFAKLCANAAGGPF</t>
  </si>
  <si>
    <t>MARKPLIAGNWKMNLNHLEAISTVQKLAFALPKEYYEKVDVAVTVPFTDLRSVQTLVEGDKLEITYGAQDVSQHESGAYTGEVSAEMLSKLGVTWVVVGHSERREYHGETDALVAAKAAIALAHNLHPIVCVGEPLEIREAGTHVDYVVEQTRNSLAGLSADDLRNTVIAYEPVWAIGTGKVASAADAQEVCHAIRQLLVELAGSDVADTVRILYGGSVKTETVAEIVGQPDVDGGLVGGASLNGEEFAKLAANAAGGPF</t>
  </si>
  <si>
    <t>GC_00000300</t>
  </si>
  <si>
    <t>-----------------------------------------MEAFVEPETIVNEMSVVLVDTDGEHIRRPIGGPKGIDVIANQLGVPVYDVEETGYPQRMRDRIERDHILRKRAEQAQRRAQRQQD---</t>
  </si>
  <si>
    <t>MFNLFGRRKSKPGIRPPRAPGDTIRQADCADLQNWVRGRAFVEAFVEPETLINEMSVVLVDEHGDFIRRPIGGPKGIDAVTREVGVPVYDVEETGYPQRMREKLERDRIIRKRQEQAERRARFERGEQP</t>
  </si>
  <si>
    <t>MFNLFRRKRTNSSNKPVRGPGETIRKADLEYLKQWANDRAMIEAFVEPETLVNEMSVVLVDVTGDFTRRNIGGPKGIDVIAKELDVPIYDVEETGYPPRMRQKIERDRLLKKREEQRKRREKFERGET-</t>
  </si>
  <si>
    <t>GC_00000301</t>
  </si>
  <si>
    <t>PF02578.20</t>
  </si>
  <si>
    <t>Multi-copper polyphenol oxidoreductase laccase</t>
  </si>
  <si>
    <t>K05810</t>
  </si>
  <si>
    <t>purine-nucleoside/S-methyl-5'-thioadenosine phosphorylase / adenosine deaminase [EC:2.4.2.1 2.4.2.28 3.5.4.4]</t>
  </si>
  <si>
    <t>COG1496</t>
  </si>
  <si>
    <t>Copper oxidase (laccase) domain (YfiH) (PDB:1RV9)</t>
  </si>
  <si>
    <t>M00958|M00959|M00034</t>
  </si>
  <si>
    <t>Adenine ribonucleotide degradation, AMP =&gt; Urate|Guanine ribonucleotide degradation, GMP =&gt; Urate|Methionine salvage pathway</t>
  </si>
  <si>
    <t>Pathway modules; Nucleotide metabolism; Purine metabolism|Pathway modules; Nucleotide metabolism; Purine metabolism|Pathway modules; Amino acid metabolism; Cysteine and methionine metabolism</t>
  </si>
  <si>
    <t>ko00001|ko00001|ko01000|ko01000|ko01000</t>
  </si>
  <si>
    <t>KEGG Orthology (KO)&gt;&gt;&gt;09100 Metabolism&gt;&gt;&gt;09104 Nucleotide metabolism&gt;&gt;&gt;00230 Purine metabolism [PATH:ko00230]|KEGG Orthology (KO)&gt;&gt;&gt;09100 Metabolism&gt;&gt;&gt;09105 Amino acid metabolism&gt;&gt;&gt;00270 Cysteine and methionine metabolism [PATH:ko00270]|Enzymes&gt;&gt;&gt;2. Transferases&gt;&gt;&gt;2.4  Glycosyltransferases&gt;&gt;&gt;2.4.2  Pentosyltransferases&gt;&gt;&gt;2.4.2.1  purine-nucleoside phosphorylase|Enzymes&gt;&gt;&gt;2. Transferases&gt;&gt;&gt;2.4  Glycosyltransferases&gt;&gt;&gt;2.4.2  Pentosyltransferases&gt;&gt;&gt;2.4.2.28  S-methyl-5'-thioadenosine phosphorylase|Enzymes&gt;&gt;&gt;3. Hydrolases&gt;&gt;&gt;3.5  Acting on carbon-nitrogen bonds, other than peptide bonds&gt;&gt;&gt;3.5.4  In cyclic amidines&gt;&gt;&gt;3.5.4.4  adenosine deaminase</t>
  </si>
  <si>
    <t>MTLKPRPVHKVFTTRTGGVSAAPFDSFNLGDHVGDDPQAVAANRARLASIIGVS--DFVWMEQLHTNTVTVVDAPQI-AP--ATDAVVTTQRGLALAVLTADCVPLLLSDDRAGVIAAVHAGRLGARNDILLRTLDTMESLGSKPETTHVLLGAAASGKRYEVPKEMADDFEAAVPGSRTRTEQGTWGIDIRAGLVRQLLSRGVKNIDVNPHCTIKNEHYFSYRREGKTGRQAGVIWLSHLLGKDQ</t>
  </si>
  <si>
    <t>GC_00000302</t>
  </si>
  <si>
    <t>K27093</t>
  </si>
  <si>
    <t>long-chain acyl-CoA carboxylase carboxyl transferase subunit [EC:6.4.1.- 2.1.3.-]</t>
  </si>
  <si>
    <t>KEGG Orthology (KO)&gt;&gt;&gt;09100 Metabolism&gt;&gt;&gt;09103 Lipid metabolism&gt;&gt;&gt;00074 Mycolic acid biosynthesis [PATH:ko00074]</t>
  </si>
  <si>
    <t>-MSSTTAEKLADLRARLEQAQDPGSERAREKRDAAGLTSPRQRINRLLDKGSFVEVGALGRTPDEPDAPYGDGVVTGYGRIGGRPVAVYAHDKTVYGGSVGVTFGRKVCEIMDMAIKIGCPVIGIQDSGGARIQDAVTSLAMYSEIARRQLPLSGRSPQISIMLGKCAGGAVYAPVTTDFVIAVEGRAEMYVTGPDVIKEVTGEVITSAELGGALQQAHNGNVSYVATDEEDAFNYVHDLLDHLPLTCHEPGPQF</t>
  </si>
  <si>
    <t>MTGTTTAEKLADLHARLEKAQDPGSERARAKRDAAGLTSPRQRIDRLLDKGSFVEIGALGRTPDDPEAPYGDGVVTGYGRINGRPVAVYAHDKTVYGGSVGETFGRKVCEVMDMAIKIGCPVIGIQDSGGARIQDAVTSLAMYSEIARRQLPLSGRSPQISIMLGKCAGGAVYAPVTTDFVIAVEGRAEMYVTGPDVIREVTGEDITSAELGGAHQQALNGNISYVAPTEDEAFNYVHDLLEYLPSSCDEPAPEYWAPADEAVVGDSVLDTFIPNDPNAGYDMLDLLGKIFDSDDVLEIQPDYAPNIITAFSRIDGRPVGIVANQPLHLAGCIDADAADKAARFIRICDAYNVPIIFVVDTPGYLPGVQQEKVGLIHRGAKLGFAVVEATVPKISLIVRKAFGGAYAVMGSKNLTGDINLAWPTAQVAVMGAAAAVVMIQGRQLAAAPPEQREYMKKLFMDFYNENMTSPYVAAERGYIDAMIEPNQTRLMLRQALRQLATKEEPEMRKKHTIMPM</t>
  </si>
  <si>
    <t>MSLDTTAGKLADLRARLEKAQDPGSENSRKRRDEAGRTTPRQRINRLLDSGSFVEIGALGRTPDEPDAPYSDGVVTGYGRIDGRPVVVYAHDKTVYGGSVGVTFGRKVCEVMDMAIKIGCPVIGIQDSGGARIQDAVTSLAMYSEIARRQLPLSGRSPQISIMMGKSAGGAVYAPVTTDFVVAVDGEAEMYITGPAVIKEVTGEVITSADLGGARQQELNGNISYVAHDEEDAFNYVHDLLARLPLTCHDPGPVYECQPDSEVAYAPELDSFMPDDTNAGYDMHELLAQLFDDADVQEVQPGFAPNIITAFAQVDGRSVGVVANQPIESAGCIDADAADKAARFIRICDAYNIPLIFVVDTPGYLPGVQQEKVGLIHRGAKLAFALVEATVPKISLIVRKAYGGAYAVMGSKNLSGDINLAWPTAQIAVMGSAAAVVMIQGKQLDAAPPEQRAYMKKVFMDFYDQNMTSPYVAAERGYIDAMIEPNQTRLALRQALRQLETKEAHDLPKKHTISPM</t>
  </si>
  <si>
    <t>MSLDTTAGKLADLRARLEKAQDPGSENSRKRRDEAGRTTPRQRINRLLDSGSFVEIGALGRTPDEPDAPYSDGVVTGYGRIDGRPVVVYAHDKTVYGGSVGVTFGRKVCEVMDMAIKIGCPVIGIQDSGGARIQDAVTSLAMYSEIARRQLPLSGRSPQISIMMGKSAGGAVYAPVTTDFVVAVDGEAEMYITGPAVIKEVTGEVITSADLGGARQQELNGNISYVAHDEEDAFNYVHDLLARLPLTCHDPGPVYECQPDSEVAYTPELDSFMPDDTNAGYDMHELLAQLFDDADVQEVQPGFAPNIITAFAQVDGRSVGVVANQPIESAGCIDADAADKAARFIRICDAYNIPLIFVVDTPGYLPGVQQEKVGLIHRGAKLAFALVEATVPKVSLIVRKAYGGAYAVMGSKNLSGDINLAWPTAQIAVMGSAAAVVMIQGKQLDAAPPEQRAYMKKVFMDFYDQNMTSPYVAAERGYIDAMIEPNQTRLALRQALRQLETKEAHDLPKKHTISPM</t>
  </si>
  <si>
    <t>GC_00000303</t>
  </si>
  <si>
    <t>PF03466.25</t>
  </si>
  <si>
    <t>LysR substrate binding domain</t>
  </si>
  <si>
    <t>K04761</t>
  </si>
  <si>
    <t>LysR family transcriptional regulator, hydrogen peroxide-inducible genes activator</t>
  </si>
  <si>
    <t>COG0583</t>
  </si>
  <si>
    <t>DNA-binding transcriptional regulator, LysR family (LysR) (PDB:2FYI)</t>
  </si>
  <si>
    <t>ko00001|ko03000</t>
  </si>
  <si>
    <t>KEGG Orthology (KO)&gt;&gt;&gt;09140 Cellular Processes&gt;&gt;&gt;09145 Cellular community - prokaryotes&gt;&gt;&gt;02026 Biofilm formation - Escherichia coli [PATH:ko02026]|Transcription factors&gt;&gt;&gt;Prokaryotic type&gt;&gt;&gt;Helix-turn-helix&gt;&gt;&gt;LysR family</t>
  </si>
  <si>
    <t>MPWNSQIVKRSLFRVCYIVIRMTNKDYRPTLAQLRTFVTIAEKKHFGTAAQALGISQPSLSQALASLEKGLGVQLIERSTRRVIVTPAGVELLPFAQATLEAADDFLTQALVVDDDLGGPLRIGVIPTIAPYLLPQFLTIARQDLPALEPRIIEDKTDALIAALRDGQLDVAVVALPGPYARLSALKLYEEPFLVVTPDTHPLAGASSVTIEDLDGSELLLLDDGHCLRDQVVSLCSTHASLAQASDSQHSSTQLPSQDLSEQAADDTGPTTASITASATRAASLPTIMQCVAGGLGISMIPLSARQSEASRPGLAVAQFAPEVSAQRTIGLVYRNSSARGKHFATLGDILTRAYHESL-----------</t>
  </si>
  <si>
    <t>---------------------MSNKEYRPTLAQLRTFVTIAENKHFGTAATKLNISQPSLSQALVALETGLNVQLIERSTRRVIVTPAGEKLLPLAKATLDAAENFLSHAHGATGTLSGPLSIGIIPTIAPYILPTLIELVRDKYPDLELHIIEDQTKHLVQMLRDGGIDCAILAVPTNTAGLQEIPLYEERFRMVVPAHHPFAGRKDLKLKDLKEVSLLLLDDGHCLRDQIVDLCRK-----------------</t>
  </si>
  <si>
    <t>GC_00000304</t>
  </si>
  <si>
    <t>PF00117.34</t>
  </si>
  <si>
    <t>Glutamine amidotransferase class-I</t>
  </si>
  <si>
    <t>K01658</t>
  </si>
  <si>
    <t>anthranilate synthase component II [EC:4.1.3.27]</t>
  </si>
  <si>
    <t>COG0512</t>
  </si>
  <si>
    <t>Anthranilate/para-aminobenzoate synthase component II (glutamine amidotransferase) (PabA) (PDB:1I1Q)</t>
  </si>
  <si>
    <t>KEGG Orthology (KO)&gt;&gt;&gt;09100 Metabolism&gt;&gt;&gt;09105 Amino acid metabolism&gt;&gt;&gt;00400 Phenylalanine, tyrosine and tryptophan biosynthesis [PATH:ko00400]|KEGG Orthology (KO)&gt;&gt;&gt;09100 Metabolism&gt;&gt;&gt;09110 Biosynthesis of other secondary metabolites&gt;&gt;&gt;00405 Phenazine biosynthesis [PATH:ko00405]|KEGG Orthology (KO)&gt;&gt;&gt;09140 Cellular Processes&gt;&gt;&gt;09145 Cellular community - prokaryotes&gt;&gt;&gt;02024 Quorum sensing [PATH:ko02024]|KEGG Orthology (KO)&gt;&gt;&gt;09140 Cellular Processes&gt;&gt;&gt;09145 Cellular community - prokaryotes&gt;&gt;&gt;02025 Biofilm formation - Pseudomonas aeruginosa [PATH:ko02025]|Enzymes&gt;&gt;&gt;4. Lyases&gt;&gt;&gt;4.1  Carbon-carbon lyases&gt;&gt;&gt;4.1.3  Oxo-acid-lyases&gt;&gt;&gt;4.1.3.27  anthranilate synthase</t>
  </si>
  <si>
    <t>-------MSTHVVLIDNHDSFVYNLVDAFAVAGVRCTVFRNTVPPEHVMAANPDVICLSPGPGHPRDAGHMMQLIDTAIG-TVPILGICLGFQALLEHFGGVVAPCGPMHGVTDIMTLTDEGAASPLFAGLTVDVPDGDTQNSGRRVPVARYHSLGC--VDVPKEFVSLGNCQSDAGEVTMAALTR--DNLALGLQFHPESVLSPSGPHILNRSLELLLSASAKEK-------------------</t>
  </si>
  <si>
    <t>MPTTPAPHETHVVMIDNQDSFVYNLVDAFAVAGYRHTVFRNTIPVADVLAAKPDLICLSPGPGHPRDANNLMGILAAALDRNIPVLGICLGFQALLEHFGGSVRPCGPMHGVTDIMELTEAGLTSKLFDGLTVDAGPEN-NFTGTQVPIARYHSLGCLTTEIPANITPLGTSQATTGPVVMAATTNTTEGAAIGLQFHPESILSPTGPIILDRCITALLNHH-----------------------</t>
  </si>
  <si>
    <t>MPTTPAPHETHVVMIDNQDSFVYNLVDAFAVAGYRHTVFRNTIPVADVLAAKPDLICLSPGPGHPRDANNLMGILAAALDRNIPVLGICLGFQALLEHFGGSVRPCGPMHGVTDIMELTKAGLTSKLFDGLTVDAGPEN-NFTGTQVPIARYHSLGCLTTEIPTNLTPLGTSQATTGPVVMAATTNTTEGAAIGLQFHPESILSPTGPIILDRCITALLNQH-----------------------</t>
  </si>
  <si>
    <t>GC_00000305</t>
  </si>
  <si>
    <t>PF00702.32</t>
  </si>
  <si>
    <t>COG1011</t>
  </si>
  <si>
    <t>FMN and 5-amino-6-(5-phospho-D-ribitylamino)uracil phosphatase YigB, HAD superfamily (riboflavin biosynthesis) (YigB) (PDB:4JB3) (PUBMED:24123841)</t>
  </si>
  <si>
    <t>MDKTRAPKQARTMSGLIIDYAGVLDGSDEERRRWRDLLEALRVHGTALAVLSNDPGGDGAEHIRELEYRGLVDAVLLSGEIGYDKPDEEAFRIAADTLGVPMNECVMVDDSIINVRGAVDAGLIGCYYQQFDRTVVEVCCLFGLKGEF</t>
  </si>
  <si>
    <t>GC_00000306</t>
  </si>
  <si>
    <t>PF13328.12</t>
  </si>
  <si>
    <t>HD domain</t>
  </si>
  <si>
    <t>K01139</t>
  </si>
  <si>
    <t>GTP diphosphokinase / guanosine-3',5'-bis(diphosphate) 3'-diphosphatase [EC:2.7.6.5 3.1.7.2]</t>
  </si>
  <si>
    <t>COG0317</t>
  </si>
  <si>
    <t>(p)ppGpp synthase/hydrolase, HD superfamily (SpoT) (PDB:1TDJ)</t>
  </si>
  <si>
    <t>ko00001|ko01000|ko01000|ko03009</t>
  </si>
  <si>
    <t>KEGG Orthology (KO)&gt;&gt;&gt;09100 Metabolism&gt;&gt;&gt;09104 Nucleotide metabolism&gt;&gt;&gt;00230 Purine metabolism [PATH:ko00230]|Enzymes&gt;&gt;&gt;2. Transferases&gt;&gt;&gt;2.7  Transferring phosphorus-containing groups&gt;&gt;&gt;2.7.6  Diphosphotransferases&gt;&gt;&gt;2.7.6.5  GTP diphosphokinase|Enzymes&gt;&gt;&gt;3. Hydrolases&gt;&gt;&gt;3.1  Acting on ester bonds&gt;&gt;&gt;3.1.7  Diphosphoric-monoester hydrolases&gt;&gt;&gt;3.1.7.2  guanosine-3',5'-bis(diphosphate) 3'-diphosphatase|Ribosome biogenesis&gt;&gt;&gt;Prokaryotic type&gt;&gt;&gt;Other maturation factors</t>
  </si>
  <si>
    <t>----------------MLSMSARLARSLTGSRVKTNPVLDPLVSIHRSIHPKADIQVIERAYDTAERLHEGVYRKSGDPYITHPLAVATIVAEIGMDTTTVVAALLHDTVEDTDYSLDDLTADFGPEVARLVDGVTKLDKVALGAAAEAETIRKMIVAMSEDPRVLVIKVADRLHNMRTMRFLPPEKQAKKARQTLEVIAPLAHRLGMASVKWELEDLSFAILYPKKYEEIVRLVADRAPSRHRYMEDVIDSLSR</t>
  </si>
  <si>
    <t>--MSADNKPVKQQV-SMRSMSARLARSLTGNRVKVDPVLDPLVSIHREIHPKADVALLQRAYNKAERLHEGVYRKSGDPYISHPLAVATIAAEIGMDTTTLVAALLHDTVEDTDYSIDDLEHDFGAEVARLVDGVTKLDKVALGAAAEAETIRKMIVAMSQDPRVLVIKVADRLHNMRTMRFLPPQKQAKKARQTLEVIAPLAHRLGMASVKWELEDLSFAILYPKKYEEIVRLVADRAPSRDRYLTEIIDQVSA</t>
  </si>
  <si>
    <t>MTSSRATKTTKQSSNTMRSMSARLARSLTGNRVKVNPVLEPLLSIHREFHPKADVELLSRAYDTAERLHEGVFRKSGDPYITHPLAVATIAAEIGMDTTTIIASLLHDTVEDTEYSLDDLTNDFGEEVARLVDGVTKLDKVALGAAAEAETIRKMVMAMAQDPRVLVIKVADRLHNMRTMRFLPPEKQAKKARQTLDVIAPLAHRLGMSSVKWELEDLSFAILYPKKYDEVVRLVADRAPSRDRYLQEIISILQQGLKENNIDAEVKGRPKHYWSIYQKMVMRGKDFDEIFDLVGIRILVDNLNNCYAAIGVVHSLFAAMPGRFKDYISSPKFGVYQSLHTTVMGDGGKPLEVQVRTHEMHVNAEYGIAAHWRYKETKGSHSGEQAEIDQMAWMRQLLDWQKEAADPNEFLDSLRYDLSSKQIFVFTPKGDVVNLPVDATPVDFAYTVHTEVGHRCIGAKINGKLVALESKLKSGDRVEIFTSKDPKAGPSRDWQEFVISPRAKAKIRQWFAKERREEFLEAGRDALAAEVQRGGLPIHRLFTAQSMKAVATELHYADVDALYTAIGAGGISAQHVANRLMAAFGDADDAVDTLVARTPFSELVTAKSQASENGSGILVEGSPDVMAKLARCCMPVPGDSIFGFVTRGGGVSVHRTDCTNAEKLRQEPQRLVSVAWASE-GKSVFQATLQLEALDRAGLLMELTRVINEQRVSVVAMNSHASEDRVAMIRFTFTVSDTKQLGSLMTQLRNTEGVFDVYRVTSGG</t>
  </si>
  <si>
    <t>GC_00000307</t>
  </si>
  <si>
    <t>PF16951.10</t>
  </si>
  <si>
    <t>Putative methionine and alanine importer, small subunit</t>
  </si>
  <si>
    <t>MSGIAVMMMVLFMVVIWGGLAASIATLRRHPDEQSGLLGSNDYATDDALIAHEGH---</t>
  </si>
  <si>
    <t>MSGTAVMMMVLFMVVIWGGLAASIIALRRNPDEKSGLLGESEYATDEVLISHEV----</t>
  </si>
  <si>
    <t>MTGIAITMMIMFMIVIWGGLAATLVHLQRHPDEQSGHFGTHPLTTDEVLIAQEIRDDV</t>
  </si>
  <si>
    <t>GC_00000308</t>
  </si>
  <si>
    <t>K03695</t>
  </si>
  <si>
    <t>ATP-dependent Clp protease ATP-binding subunit ClpB</t>
  </si>
  <si>
    <t>MDTFTPTTKTNEALQAALQQASALGNPDIRPAHILVALLKQQDSIAYPVLKAAGVEADAVLAKAQALVDSYPKAQGSGIAKPNFNRDCLNAFTAAQELAGELGDEFVSTEVLLAGITRGESDAAKALQEQGATYDAIKGAFPTVRGSQRVTSEDPEGQFQALEKYSTDLTKRAREGKIDPVIGRDEEIRRVVQVLSRRTKNNPVLIGEPGVGKTAIVEGLARRIVAGDVPESLKGKTLISLDLGSMVAGAKYRGEFEERLKAVLDEIKNADGRIITFIDEIHTIVGAGATGDSAMDAGNMIKPLLARGELRLVGATTLEEYRKYIEKDAALERRFQQVYVGEPSVEDAVGILRGLKERYEVHHGVRIQDSALVAAATLSDRYITSRFLPDKAIDLVDEAASRLRMEIDSSPEEIDALERTVRRLEIEEMALAKETDAASVERLAKLRQELADERETLSELTARWSNEKTAIDKVREAKEQLESLRQESEIAEREGDFGKVAELRYGRIPELEKQVEEAEAEVAESGNNSMLSEEVTPDTIAEVVSAWTGIPAGKMMQGETEKLLEMESFLAKRVVGQDEAVVAVSDAVRRARAGVSDPDRPTGSFLFLGPTGVGKTELAKSLAEFLFDDERAMVRIDMSEYGEKHAVARLVGAPPGYVGYDQGGQLTEAVRRRPYTVVLFDEVEKAHPDVFDILLQVLDEGRLTDGQGRTVDFRNTILILTSNLGAGGTREQMMDAVKAAFKPEFVNRLDDVVIFDPLSKEQLTSIVDIQIGSLQKRLVARRLTLIVDDAAKVWLAERGYDPAYGARPLRRLVQQAIGDQLAKKLLAGDVRDGDAVVVGVADDGESLKVGV-</t>
  </si>
  <si>
    <t>MSSFNPTTKTQEALQTAVQLASAKGNPDVRPAHLLVGVLDQPDGIAAPVLQAAGADPKAVLDAARKLVDSFPSAQGSNMANPNLNRDALNALTAAQELAGELGDEYVSTEVLLAGIARGDSDAAQLLKEHGATYDAIKAAFPAVRGSSKVTTQDPEGQFQALEKYSTDLTKLAREGKIDPVIGRDQEIRRVVQVLSRRTKNNPVLIGEPGVGKTAIVEGLARRIVAGDVPESLKDKTLISLDLGSMVAGAKYRGEFEERLKAVLDEIKASDGQIITFIDELHTIVGAGATGESAMDVGNMIKPMLARGELRLVGATTLEEYRKYIEKDAALERRFQQVFVGEPSVEDAIGILRGLKERYEVHHGVRIQDSALVAAAALSDRYITSRFLPDKAIDLVDEAASRLRMEIDSSPQEIDALERVVRRLEIEEMALAKETDAASKDRLEKLRQELADEREKLGELKARWANEKSAIDKVRGAKEELERLRQESEIAERDGDYGKVAELRYGRIPELEKEVADAEANVADSTDNTMITEEVTPDTIAEVVSAWTGIPAGKMMQGETEKLLAMEQELATQVVGQKVAVQAVSDAVRRSRAGVADPDRPLGSFLFLGPTGVGKTELAKALAGFLFDDERAMVRIDMSEYGEKHSVARLVGAPPGYVGYDQGGQLTEAVRRRPYTVVLFDEVEKANPEVFDVLLQVLDEGRLTDGQGRTVDFRNTIIILTSNLGAGGTPEQMMEAVKRHFKPEFINRLDDVVIFEPLSAEQLTSIVDIQINELARRLAARRLTLHVSDAARLWLAERGYDPAYGARPLRRLIQQAVGDALAKKLLAGDIHDGDEVNVDVADGGEKLDIYSS</t>
  </si>
  <si>
    <t>MSSFNPTTKTQEALQTAVQLASAKGNPDVRPAHLLVGVLDQPDGIAAPVLQAAGADPKAVLDAARKLVDSFPSAQGSNMANPNLNRDALNALTAAQELAGELGDEYVSTEVLLAGIARGDSDAAQLLKEHGATYDAIKAAFPAVRGSSKVTTQDPEGQFQALEKYSTDLTKLAREGKIDPVIGRDQEIRRVVQVLSRRTKNNPVLIGEPGVGKTAIVEGLARRIVAGDVPESLKDKTLISLDLGSMVAGAKYRGEFEERLKAVLDEIKASDGQIITFIDELHTIVGAGATGESAMDVGNMIKPMLARGELRLVGATTLEEYRKYIEKDAALERRFQQVFVGEPSVEDAIGILRGLKERYEVHHGVRIQDSALVAAAALSDRYITSRFLPDKAIDLVDEAASRLRMEIDSSPQEIDALERVVRRLEIEEMALAKETDAASKDRLEKLRQELADEREKLGELKARWVNEKSAIDKVRGAKEELERLRQESEIAERDGDYGKVAELRYGRIPELEKEVADAEANVADSTDNTMITEEVTPDTIAEVVSAWTGIPAGKMMQGETEKLLAMEQELATQVVGQKVAVQAVSDAVRRSRAGVADPDRPLGSFLFLGPTGVGKTELAKALAGFLFDDERAMVRIDMSEYGEKHSVARLVGAPPGYVGYDQGGQLTEAVRRRPYTVVLFDEVEKANPEVFDVLLQVLDEGRLTDGQGRTVDFRNTIIILTSNLGAGGTPEQMMEAVKRHFKPEFINRLDDVVIFEPLSAEQLTSIVDIQINELARRLAARRLTLHVSDAARLWLAERGYDPAYGARPLRRLIQQAVGDALAKKLLAGDIHDGDEVNVDVADGGEKLDIYSS</t>
  </si>
  <si>
    <t>MSSFKPTTKTQEALQTALQQASANGNPDIRPAHLLAAILGQEDGIAAPVLRATGVDPETVRKEAEALVKGYPKAEGSGLANPNFNRDGLNVLNAAQELAGELGDEFVSTEVLLAAIARGQSDAADLLTKRGATYDAIKGVFPSVRGSKKVTTEDPEGQFQALAKYSTDLTARAREGKIDPVIGRDSEIRRVVQVLSRRTKNNPVLIGEPGVGKTAIVEGLARRIVAGDVPESLRGKTLISLDLGSMVAGAKYRGEFEERLKAVLDEIKEAEGEIITFIDELHTIVGAGASGDSAMDAGNMIKPLLARGELRLVGATTLDEYRKYIEKDAALERRFQQVFVGEPSVEDAIGILRGLKERYEVHHGVRIQDSALVAAATLSDRYITSRFLPDKAIDLVDEAASRLRMEIDSSPQEIDELERIVRRLEIEEMALTKETDAASHDRLVKLREELADQRERLGELKARWNNEKAAIDKVRGVKEELEKMRQASEIAERDGDYGKVAELRYGTIPQLEKQLEQLE---QQSLAPTMLSEEVTPDTIAEVVSAWTGIPAGKMLEGETEKLLHMEAELGKRVVGQLDAVQAVADAVRRARAGVADPNRPMGSFLFLGPTGVGKTELAKSLAEFMFDDERAMVRIDMSEYAEKHAVARLVGAPPGYVGYDQGGQLTEAVRRRPYTVVLFDEVEKAHPDVFDILLQVLDDGRLTDGQGRTVDFRNTILILTSNLGAGGTPEQMMDAVKKAFKPEFINRLDDVVIFDPLSKDQLTSIVDIQIRDLAERLASRRLTLKVSDDAKEWLADRGYDPAYGARPLRRLIQQAIGDALAKKLLAGEIRDGDTVNVTVNTATDSLAVGK-</t>
  </si>
  <si>
    <t>GC_00000309</t>
  </si>
  <si>
    <t>K07669</t>
  </si>
  <si>
    <t>two-component system, OmpR family, response regulator MprA</t>
  </si>
  <si>
    <t>KEGG Orthology (KO)&gt;&gt;&gt;09130 Environmental Information Processing&gt;&gt;&gt;09132 Signal transduction&gt;&gt;&gt;02020 Two-component system [PATH:ko02020]|Two-component system&gt;&gt;&gt;OmpR family&gt;&gt;&gt;MprB-MprA (maintenance of persistent infection)</t>
  </si>
  <si>
    <t>MVVMKILVVDDEQAVRESLRRSLTFNGYDVVLAEDGASALDQIGKEQPDLVILDVMMPRMDGLEVCRTLRSSGDDRPILVLTARDGVSDRVAGLDAGADDYLPKPFALEELLARVRSLFRRAA------AEAIGNASTSDLVFEDLHLNPDTRDVTRGERTISLTRTEFALLELLMANPRRVLSRSAILEDVWGYDFPTSGNALEVYIGYLRRKTEAGGEPRLIHTVRGVGYVLRETAP---</t>
  </si>
  <si>
    <t>---MKIVVVDDEQAVRDSLRRSLSFNGYDIAIAEDGEQALDVIEKEQPDLVILDVMMPKMDGLEVCRHLRSHGDDRPILVLTARDGVSDRVAGLDAGADDYLPKPFALEELLARVRSLLRRAA------AEASGPSSQAEITFEDLKLNPDTRDVVRGNRTISLTRTEFALLQLLMTNPRRVLSRSTILEEVWGYDFPTSGNALEVYIGYLRRKTEQEGEPRLIHTVRGVGYVLRDTAP---</t>
  </si>
  <si>
    <t>GC_00000310</t>
  </si>
  <si>
    <t>PF03668.21</t>
  </si>
  <si>
    <t>RapZ-like N-terminal domain</t>
  </si>
  <si>
    <t>K06958</t>
  </si>
  <si>
    <t>RNase adapter protein RapZ</t>
  </si>
  <si>
    <t>COG1660</t>
  </si>
  <si>
    <t>RNase adaptor protein RapZ for GlmZ sRNA degradation, contains a P-loop ATPase domain (RapZ) (PDB:5O5O) (PUBMED:23475961)</t>
  </si>
  <si>
    <t>ko03019</t>
  </si>
  <si>
    <t>Messenger RNA biogenesis&gt;&gt;&gt;Prokaryotic type&gt;&gt;&gt;Bacterial mRNA degradation factors&gt;&gt;&gt;Other RNA degradation factors&gt;&gt;&gt;Others</t>
  </si>
  <si>
    <t>MMKGLAARLLPMSAPALKPVPMSPD-STNPVLVTGMSGAGLSSAARVLEDLGWYVAHNLPPELIVSLVKIATQGAHSVERVAVVSDVRTREFTGSIDTVISQLKSEGINPTVLFMEARDDVLVQRFDTVRRTHPLQGSGTLLTGIERERELLSKLREDADIVIDTSNLSVHDLRRAIESSFASADDKRQHVTIQSFGFKHGAPQDADIVVDMRFLPNPYWVEELRPFRGVDRPVSDYVLGEQAAQDFLDNFVRMFSTMTDGYLREGKSFITVGVGCTGGHHRSVAVAEELARRLSVNERLDVSVTHRDIARN</t>
  </si>
  <si>
    <t>---------MVMMNTMTETQPIERI-EKAPVLITGMSGAGINSAARVLEDLGWYVSHNLPPELIFALVELYQSDESPVDKLAVVTDVRAREFRGNLYEVVDKLRSEGKNPTVLFMEARDEVLIKRFDSVRRTHPLQGRETLKMGIERERKALARIKEEADIVIDTSDLSVHDLRHAIENSFATLAHNRQHITVQSFGFKHGAPADADYVVDVRFLPNPYWVPELRAYRGVDAPVSDYVLSQEDAEPFISNLVNLI</t>
  </si>
  <si>
    <t>-------------MIAEAPRNIEPVTEIPPVIITGMSGAGLSSAARVLEDMGWYVSQNLPPQLVVQFFEFCAADTSPVDKVALVSDVRSLDFSFGLDVVISQLDTEGLKPLVLFMDARDDVLIKRFDNLRRTHPLQGSGTLLVGIERERALVANLKESADVVIDTSDLSIHDLRRAIEPNFEYLASNKQHVTVQSFGFKHGTPRDTDIMVDVRFLPNPFWIPELRPFRGVDKPVSDYVLSAAAAQEFLDNFYKML</t>
  </si>
  <si>
    <t>GC_00000311</t>
  </si>
  <si>
    <t>PF02572.21</t>
  </si>
  <si>
    <t>ATP:corrinoid adenosyltransferase BtuR/CobO/CobP</t>
  </si>
  <si>
    <t>K19221</t>
  </si>
  <si>
    <t>cob(I)alamin adenosyltransferase [EC:2.5.1.17]</t>
  </si>
  <si>
    <t>COG2109</t>
  </si>
  <si>
    <t>ATP:corrinoid adenosyltransferase (BtuR) (PDB:4HUT)</t>
  </si>
  <si>
    <t>KEGG Orthology (KO)&gt;&gt;&gt;09100 Metabolism&gt;&gt;&gt;09108 Metabolism of cofactors and vitamins&gt;&gt;&gt;00860 Porphyrin metabolism [PATH:ko00860]|Enzymes&gt;&gt;&gt;2. Transferases&gt;&gt;&gt;2.5  Transferring alkyl or aryl groups, other than methyl groups&gt;&gt;&gt;2.5.1  Transferring alkyl or aryl groups, other than methyl groups (only sub-subclass identified to date)&gt;&gt;&gt;2.5.1.17  corrinoid adenosyltransferase</t>
  </si>
  <si>
    <t>MPKGKLDPASIPDDGLTTRQRRMLPITAVHTGPGKGKSTAAFGMAMRAWNQGMNVGVFQFVKSAKWKVGEEAVFKRLGQLHEDTGEGGAVEWHKMGEGWSWAKKAGSEEDHARDAADGWAEIKRRLAAETHEFYVLDEFTYPIKWGWIDIDDVAEVLRTRPGTQHVVMTGRDAHPKLIEVADLVTEMTKIKHPMDVGRKGQKGIEW</t>
  </si>
  <si>
    <t>MPQGKVDPANIPDDGLTTRQRRMLPITAVHTGPGKGKSTAAFGMAMRAWNQGMRVGVFQFVKSPKWKVGEESVFKRLGQLHEETGEGGPVEWHKMGEGWSWSKKAGSEEDHARDAAEGWQEIKRRLAEETHDIYILDEFTYPIKWGWIDVDDVVETLRNRPGTQHVVMTGRDADPKLIEVADLVTEMTKIKHPMDVGRKGQKGIEW</t>
  </si>
  <si>
    <t>MPKGKIDPANIPDDGLTTKQRRSLPITAIHTGPGKGKSTAAFGMALRGWNNGFNIGVFQFVKSKTWNSGEEAVFKRLGQLHDETGVGGSVEWQKLGEGWSWLRKTSSEEELAQHANEGWQEIKRRLQAETHDMYVLDEFTYPITWGWIDIDDVVETLQNRPGTQHVIMTGRNADPKLIEIADLVTEMTKVKHPMDAGRKGQAGIEW</t>
  </si>
  <si>
    <t>GC_00000312</t>
  </si>
  <si>
    <t>PF02754.22</t>
  </si>
  <si>
    <t>Cysteine-rich domain</t>
  </si>
  <si>
    <t>K18928</t>
  </si>
  <si>
    <t>L-lactate dehydrogenase complex protein LldE</t>
  </si>
  <si>
    <t>COG0247</t>
  </si>
  <si>
    <t>Fe-S cluster-containing oxidoreductase, includes glycolate oxidase subunit GlcF (GlpC)</t>
  </si>
  <si>
    <t>MRVALFSTCIGDAMFPDVVKATAVILSRLGHEVVFPEQQSCCGQMHVNTGYQREAIPQIKNYVDAFSDPSIDCVVAPSGSCAGAVREQHEHVASRYGNAALVDGARATAKKTYDLSEFLIDVAGTDQLGAFFPHRVTYHSTCHSLRFLKVGDRPLRLLRNVEGIDLVELPHADECCGFGGTFSVKNAEVSASMVGDKCRNIKSTEAEYVTAGDASCLMNIGGALSRQHAGVRAVHMAEILASTKDHPWTPSSAIYTKEAML</t>
  </si>
  <si>
    <t>MRVALFSTCIGDAMFPDVVKATAVILSRLGYDVVFPPEQSCCGQMHVNTGYQREAIPQIRNYVDAFSDPSIDYVVAPSGSCTGAVREQHEFVAKRYGDAALVDGARTTAAKTLDLSEFLIDVAGVDNLGAFFPHRVTYHSTCHSLRFLKVGDRPLRLLRNVEGIDLVELPHADECCGFGGTFSVKNAETSAAMVTDKTRNIRSTQAEYVTAGDASCLMNIGGALSRQHGGVRAVHMAEILASTKEHPWSPTSAVYSKEAML</t>
  </si>
  <si>
    <t>MKIALFSTCIGDAMFPDASKATALLLARLGHDVVYPKQQTCCGQMHVNTGYQKEAVGQIKSYVEAFSDPSIDYVVAPSGSCVGAVREQHERVATRYGTPALVDGAKTTAKKTLDLPEFLIDIAGVENVGAFFPHKVTYHPSCHGLRFIKLGDRPYRLLRNVEGIELLELPNKEECCGFGGTFALKNAETSAAMVSDKSRNIESTGTEYVTGGDSSCLMNIAGSLSRQHVGIRAIHLAEILASTKEHPWTPTSAAYTKEAML</t>
  </si>
  <si>
    <t>GC_00000313</t>
  </si>
  <si>
    <t>K00931</t>
  </si>
  <si>
    <t>glutamate 5-kinase [EC:2.7.2.11]</t>
  </si>
  <si>
    <t>COG0263</t>
  </si>
  <si>
    <t>Glutamate 5-kinase (ProB) (PDB:2W21)</t>
  </si>
  <si>
    <t>Proline biosynthesis</t>
  </si>
  <si>
    <t>M00015</t>
  </si>
  <si>
    <t>Proline biosynthesis, glutamate =&gt; proline</t>
  </si>
  <si>
    <t>KEGG Orthology (KO)&gt;&gt;&gt;09100 Metabolism&gt;&gt;&gt;09105 Amino acid metabolism&gt;&gt;&gt;00330 Arginine and proline metabolism [PATH:ko00330]|KEGG Orthology (KO)&gt;&gt;&gt;09100 Metabolism&gt;&gt;&gt;09110 Biosynthesis of other secondary metabolites&gt;&gt;&gt;00332 Carbapenem biosynthesis [PATH:ko00332]|Enzymes&gt;&gt;&gt;2. Transferases&gt;&gt;&gt;2.7  Transferring phosphorus-containing groups&gt;&gt;&gt;2.7.2  Phosphotransferases with a carboxy group as acceptor&gt;&gt;&gt;2.7.2.11  glutamate 5-kinase</t>
  </si>
  <si>
    <t>MDNGEQLGIDTPGEEDMRARLALAKRVVVKIGSSSLTGGPDFSINPRNIDRIVDAVHARIARGSDVIIVSSGSIAAGLAPLGLNARPADLATKQAAASVGQVHLAQEWGRSFARYDTTVGQVLLTASDTGQRDRARNAQRTLNRLQQLGVVPIVNENDTVATTEMRFGDNDRLAALVAHLISADALVLLSDVDGLYDRNPADPGARFIPEIRDDHDLDGVVAGDSGVVGTGGMASKVSAARLAACGGVPVLLASAADISDALSDAHVGTAFHPANGRRLSAWKFWALYAAEVAGTLRIDAGAVTAVTSGGRSLLPIGIQSCEGEFHPGDIVEIMGPDGQIIGRGETNYSHGDLANMLGRRTSDLPADKRRPVVHADYLSNM----</t>
  </si>
  <si>
    <t>GC_00000314</t>
  </si>
  <si>
    <t>K16148</t>
  </si>
  <si>
    <t>alpha-maltose-1-phosphate synthase [EC:2.4.1.342]</t>
  </si>
  <si>
    <t>KEGG Orthology (KO)&gt;&gt;&gt;09100 Metabolism&gt;&gt;&gt;09101 Carbohydrate metabolism&gt;&gt;&gt;00500 Starch and sucrose metabolism [PATH:ko00500]|Enzymes&gt;&gt;&gt;2. Transferases&gt;&gt;&gt;2.4  Glycosyltransferases&gt;&gt;&gt;2.4.1  Hexosyltransferases&gt;&gt;&gt;2.4.1.342  alpha-maltose-1-phosphate synthase|Glycosyltransferases&gt;&gt;&gt;Polysaccharide&gt;&gt;&gt;Storage polysaccharide</t>
  </si>
  <si>
    <t>-------------MMTKEYPPEIYGGAGVHIAELVRHMRELINVDVHCVGSPRDEADVYVHGVDPALADANASLQTLSTGLRMATAAGTISHPGDAPGVPGIDVVHSHTWYAGLGGHLTGKLYDIPHVVTAHSLEPDRPWKREQLGGGYEVSSWSERNAMEYADAIVAVSSGMKRSVLEAYPRVSPDKVHVILNGIDTQLWQPRPTFDEAAAAGGSVLQDLGVDPTRPIVCFVGRITRQKGVRHLIKAAAHFTPG</t>
  </si>
  <si>
    <t>MVFQASVVVMRVAMMTREYPPEIYGGAGVHVTELTRYMRELVEVDVHCMGAPRDEAGVFVHGVDPALDDANPAIKTLSTGLRIATAAN------------NVDVAHSHTWYAGLGGHLAGRLYGIPHVVTAHSLEPHRPWKREQLGGGYEVSSWSEKNAMEYADAVIAVSARMKDAILDAYPRIEPDRVHVVLNGIDTQLWQPRPIFDAAE---NSILTELGVDPNRPIVAFVGRITRQKGVGHLVKAAQYFSPDVQLVLCAGAPDTPEIAEETTALVEKLQAQRDGIFWVQEMLPKDKVQEILTAADVFACPSIYEPLGIVNLEAMACGTAVVASDVGGIPEVVVDGTTGTLVHYD---ENDP---EGFERGIADAVNALVADEERAKAYGEAGRKRAVEDFSWATIAQQTIDVYKSLM</t>
  </si>
  <si>
    <t>GC_00000315</t>
  </si>
  <si>
    <t>PF00912.28</t>
  </si>
  <si>
    <t>Transglycosylase</t>
  </si>
  <si>
    <t>COG0744</t>
  </si>
  <si>
    <t>Penicillin-binding protein 1B/1F, peptidoglycan  transglycosylase/transpeptidase (MrcB) (PDB:3FWL)</t>
  </si>
  <si>
    <t>MSSASNSQGPRR-------SGGRPARGGAG---------RSGGRRRAKA---------AWSRKKKALVGALSALVIMVGAPFVAFMIAYVMADVPQPEELVNKQVSTIYADDSSTELARIVPQEGNREQVSIDRVPDSLKHAVLAAEDREFYTNPGFSVTGFARAIKGQITGDSSAGGGSTITQQYVKNAMVGNDRSYKRKLRELVYSAKMANEWPKDDVLSAYLNTIYFGRNSYGVAAASEAYFGKPLDQLTPAESAVLAACIQRPSSLDPWTNREEAEQRWNYVLDGMEQEGWLTPQERAEQVYPETIDPN-NSQAFTQAEGTNGLIKNQVMAELGTLGISEQDVETKGLRITTTIRPKDQNAAVDSVREQMAQRPDDPSLRAAVVSVEPKTGAIRAYYGGEDPNGWDYANSGLQTGSTFKVFGLAAALQQGIPLSQGYSSAPVQMGDATVNNVEGNDC-GFCSIQEALKRSHNTSFIRLEHDLDNGAQDVADMAHALGVAKQIPGFDQTLTHDGGSPEDGIILGQYESRPLDMAVALATLADQGVWHQPYLVQKITTQAGDVLYEHEATEGERRVSAKVANNVIAAMGPIAAYSNNNQLAGGRVSAAKTGTTQLGDTGQNKDAWMIGATPQLATAVWVGTADNSALTNSSGGLMYGSGMPARIWKSTMDQALEGEPNEDFPEPKGMGYSST-----PYV--------------------YAPPSSGGNNDASEEEAPEEEMPVDV----PPVEEAPAAP----------PADTIELAPGIVIPNIFG</t>
  </si>
  <si>
    <t>---MTNKRNTRK------PVGSRPSR--------PRNKKRPTSKKKNRN---------KWLK-----IGVISTILVMFLSPFLLFMVAYLMADVPKPSELQNKQISHIYASDSTTELARIVPADGNRQEVPFEQIPEVVQHAVLAAEDRQFYTNSGFSFTGFGRAILGQLTGNSSAGGGSTITQQYVKKTLVGDESSFKRKAKELVYSVKMANEWSKEEVLGAYLNTIYFGRNAYGIDAAARAYFGIPVQELNAS</t>
  </si>
  <si>
    <t>GC_00000316</t>
  </si>
  <si>
    <t>K06020</t>
  </si>
  <si>
    <t>energy-dependent translational throttle protein EttA</t>
  </si>
  <si>
    <t>COG0488</t>
  </si>
  <si>
    <t>ATPase components of ABC transporters with duplicated ATPase domains (Uup) (PDB:5ZXD)</t>
  </si>
  <si>
    <t>Transfer RNA biogenesis&gt;&gt;&gt;Prokaryotic type&gt;&gt;&gt;tRNA transport factors&gt;&gt;&gt;tRNA export factors</t>
  </si>
  <si>
    <t>MGEFIYTMKNVRKAHGEKVILDNVTMAFYPGAKIGVVGPNGAGKSSILKIMAGIDQPSNGEAYLEPGATVGILLQEPPLNEEKTVRENVEEGLGEIFEKKQRFEAIAEEMATNYTDELMEEMGKLQEELDHADAWEIDSKIEQALDALRCPPGDEPVTHLSGGERRRVALAKLLLSEPDLLLLDEPTNHLDAESVLWLEQHLAKYPGAVLAVTHDRYFLDHVAQWICEVDRGKLYPYEGNYSTYLEKKAERLEVAGKKDQKLQKRLKEELAWVRSGAKARQAKNKARLARYDEMVAEAEKYKKLDFEEIQIPTPPRLGNQVVEVSNLDKGFDGRVLIKDLSFTLPRNGIVGVIGPNGVGKSTLFKTIVGLEQPDGGDVKVGQTVQLSYVDQGRENIDPEKTVWEVVSDGLDYIHVGQNEMPSRAYLSAFGFKGPDQQKPSKVLSGGERNRLNLALTLKQGGNLILLDEPTNDLDVETLSSLENALQQFPGCAVVISHDRWFLDRTCTHILAWEGNVEEGQWFWFEGNFEEYEKNKVERLGADAARPSRVTHRKLTR</t>
  </si>
  <si>
    <t>MGEFIYTMKNVRKAHGDKVILDDVTMAFFPGAKIGVVGPNGAGKSSILKIMAGLDQPSNGEAFLDPGATVGILLQEPPLNEEKTVRGNVEEGLGEIFAKKKRFDEIAEEMATNYTDELMEEMGKLQEDLDAADAWEIDSKIEQALEALRCPPGDEPVTHLSGGERRRVALAKLLLSEPDLLLLDEPTNHLDAESVLWLEQHLAKYPGAVLAVTHDRYFLDHVAQWICEVDRGKLYPYEGNYSTYLEKKAERLDIAGKKDQKLQKRLKEELAWVRSGAKARQAKNKARLQRYEEMAAEAEQYKKLDFEEIQIPTPPRLGNQVVEVSSLNKGFDGRVLIKDLSFTLPRNGIVGVIGPNGVGKTTLFKTIVGLENPDEGDVKVGQTVQLSYVDQNRENIDPEKTVWEVVSDGLDYIVVGQNEMPSRAYLSAFGFKGADQQKPAKVLSGGERNRLNLALTLKQGGNLILLDEPTNDLDVETLSSLENALQKFPGCAVVISHDRWFLDRTCTHILAWEGNVEEGQWFWFEGNFEEYEKNKVDRLGPEAARPSRVTHRKLTR</t>
  </si>
  <si>
    <t>MGEFIYTMKNVRKAIGDKVILDNVTMAFYPGAKIGVVGPNGAGKSSILKIMAGLDQPSNGEAFLDPGATVGILLQEPPLNEEKTVRENVEEGLGDIFETLKRYNAIAEEMATNYTDELMEEMGKLQEKLDAADAWEIDSKIEQAMEALRCPPSDEPVTHLSGGERRRVALAKLLLAEPDLLLLDEPTNHLDAESVQWLEQHLAKYPGAVLAVTHDRYFLDHVAGWICEVDRGKLYPYEGNYSTYLEKKAERLEVAGQKDRKLQKRLKQELEWVRSGAKARQAKSKARLARYEEMAAEAEKYRKLDFEEIQIPTPPRLGAQVVEVHNLNKGFDGRILIKDLSFTLPRNGIVGVIGPNGVGKTTLFKTIVGLEEPDTGEVNVGQTVRLSYVDQGRENIDPEKTVWEVVSDGLDHIVVGQNEMPSRAYLSAFGFKGADQQKPSKVLSGGERNRLNLALTLKQGGNLILLDEPTNDLDVETLSSLENALQNFPGCAVVISHDRWFLDRTCTHILAWEGNVAEGQWFWFEGNFGDYEKNKVERLGAEAARPSRVTHRKLTR</t>
  </si>
  <si>
    <t>GC_00000317</t>
  </si>
  <si>
    <t>PF16192.10</t>
  </si>
  <si>
    <t xml:space="preserve">C-terminal four TMM region of protein-O-mannosyltransferase </t>
  </si>
  <si>
    <t>K00728</t>
  </si>
  <si>
    <t>dolichyl-phosphate-mannose-protein mannosyltransferase [EC:2.4.1.109]</t>
  </si>
  <si>
    <t>COG1928</t>
  </si>
  <si>
    <t>Dolichyl-phosphate-mannose--protein O-mannosyl transferase (PMT1) (PDB:1N4K)</t>
  </si>
  <si>
    <t>M00872</t>
  </si>
  <si>
    <t>O-glycan biosynthesis, mannose type (core M3)</t>
  </si>
  <si>
    <t>Pathway modules; Glycan metabolism; Glycan biosynthesis</t>
  </si>
  <si>
    <t>KEGG Orthology (KO)&gt;&gt;&gt;09100 Metabolism&gt;&gt;&gt;09107 Glycan biosynthesis and metabolism&gt;&gt;&gt;00515 Mannose type O-glycan biosynthesis [PATH:ko00515]|KEGG Orthology (KO)&gt;&gt;&gt;09100 Metabolism&gt;&gt;&gt;09107 Glycan biosynthesis and metabolism&gt;&gt;&gt;00514 Other types of O-glycan biosynthesis [PATH:ko00514]|Enzymes&gt;&gt;&gt;2. Transferases&gt;&gt;&gt;2.4  Glycosyltransferases&gt;&gt;&gt;2.4.1  Hexosyltransferases&gt;&gt;&gt;2.4.1.109  dolichyl-phosphate-mannose---protein mannosyltransferase|Glycosyltransferases&gt;&gt;&gt;O-Glycan biosynthesis&gt;&gt;&gt;O-linked Man type</t>
  </si>
  <si>
    <t>--------MNRGAELTKQPQQAPTGASQA------GATSSP---------QWTRADWISLATITALAAITRLIGLTAITGDGTPIFDEKHYAPQAFDIAVSATNPLTGGIESNPGYGLVVHPPLAKQIMAWGNTLFGYTPMGWRISAALVGILVVLAIMGLTRSLTRSTLVMTIAGLLAVFDGVLLVISRYGMLDIFQTLFVILAAWAWVLDRRDVTTRLETTIAGTTVPYQPGYPSSLQWGILGPRLGFRWWRF</t>
  </si>
  <si>
    <t>MGAVTEPPQQRTLQLTHDATHQAAQHSPDN-----GAIDPVIAAREPHILRWTRTDTWVFSIIAIATLVSRFVLITFATSGGTPVFDEKHYVPQAWDMVRSTTNPMIGGIESNPGFGLVVHPPLGKQLLALGEFVFGYSPLGWRIITALFGTATVLSIMGLARRISHSTAVAAFAGTLALFDGVLLTASRFGMLDIFQAFFIVAAAYALARDHEQMNLRLHRA-------YVSGLCSV---GELGPRFGFRWWRFICGIMLGSSLSVKWSGLYYIVFFGLLSVGLDMWLRHRYRIRRPILGSLAYDAFPAFASLVIVPVLLYVWSWRAWFAHETSIYRH-------SASNGDIDPNSPLMLLPDALAGWLHYHQTVLEFHSSLTSSNGHSHPWDSKPWSWLVAARPVLYYSSSNEHCFLSDGPCRSMIYLFGTPAIWWLTVPVVLWALWCLVVRRAMYVLIPLVAWAAGFLPWLATFDRQMYFFYAVPLVPFTIVLIALTLGQLGSTGQPLNQLRANRVTELAQRLFGATTRTGALWVIAYLALVATMFLYFSPVLYGMEIPDSTYFELMWLRSWR</t>
  </si>
  <si>
    <t>PF02366.24</t>
  </si>
  <si>
    <t xml:space="preserve">Dolichyl-phosphate-mannose-protein mannosyltransferase  </t>
  </si>
  <si>
    <t>--------MAQVISLTSNLRRKAAHTSADEPRPPVGRFTRPATPPEPRRIVWTKFDTNTTIIIGLWTLITRFVGLNSAVADGTPVFDEKHYVPQAWDMVNSWVNPLIGGIESNPGYGLVVHPPLAKQIEAYGELIFGYTALGWRIMAALFGTATVLLIMNLARQLTGSSVIAAFAGILALFDGVLLITSRFGMLDIFQTLFIVGAAYCLARDYNQMRVRLHQA-------WLAGGLGT---HRFGPRFGFRWWRF</t>
  </si>
  <si>
    <t>GC_00000318</t>
  </si>
  <si>
    <t>PF01628.27</t>
  </si>
  <si>
    <t>HrcA protein C terminal domain</t>
  </si>
  <si>
    <t>K03705</t>
  </si>
  <si>
    <t>heat-inducible transcriptional repressor</t>
  </si>
  <si>
    <t>COG1420</t>
  </si>
  <si>
    <t>Transcriptional regulator of heat shock response (HrcA) (PDB:1STZ)</t>
  </si>
  <si>
    <t>MSKAAQQRRAAVLRAIVADYIASHEPVGSKTLLERHQLGVSSATIRNDMVALEKEGYIVSQHASSGRIPTDKAYRLFVDTLDEIKPLSVAERRAISSFLEGGVDLEDVLRRSVQLLSQLTRQAAVVQIPTLNVSRVRHCEVVELTPYRLLLVLITDTGRVEQRNVDIANPCSPGTASRLRELFNRALAGKTLSDASVSIAELAEEAPSDIRDVVIRCATVLIETLVEAPSDKLILAGASHLIRGEFPEGLPPVLEALEEQVVVLRLLAEAQELGHVRVHIGDE-----LHGASIVATGYG-PDTPFGSMGVVGPTYMDYAGTISKVSVVAQYVSRVLGGN--</t>
  </si>
  <si>
    <t>MSSATQRRRHEVLRAIVADYIASQEPVGSKTLVDRHSLGVSSATIRNDMAALESEGYIEQQHASSGRIPTQKGYRLFVDSINEVKPLSQAEHAAISRFLNEGVDVEDVLRRSVQLLSQLTRQAAVVQLPTLKVSRVRHCEVVTISELRLLLVLITDIGRVEQRNVELGAAVSMEQAARLKEVLNQALVGKTLSDASVSLADLASNAPEDIRDAVIRSSTVLIETLVEAPSDRLILAGASNLSR--MSGDLPAVLEALEEQVVVLKLLSTARDLGEVQVSIGEENEDEDLYTTSIVTTGYGATGATFGGLGVVGPTYMDYLGTMSKVSAVAHYVSRVLAGQ--</t>
  </si>
  <si>
    <t>MASAAEERRQQVLRAIVADYIATQEPVGSKALLDRHRFDVSSATIRNDMAALEAEGYISQQHASSGRLPTQKGYRLFVDSLSDIKPLSDAERRTILTFLEDGVNLEDVLHRSAQLLSQFTRQTAIVQLPNLRASHVKHCEVVSLTPTRLLLVLITDTGRVDQRHVELDHTCEADHIMVLRDLLNQALDGKTLADAAGSLAAITHPDP-EVTSHLSRCVTVLIETLVEPPNDRLILAGQSHLIR-INPHDLPTILQALEEQVIILKLLASIQDLDQVSVLIGDETRDDQLRCTSVVATGYGSPGAPLGGLGVVGPTYMDYSGTMSKVYAVAHYVSRVLSEMQT</t>
  </si>
  <si>
    <t>GC_00000319</t>
  </si>
  <si>
    <t>PF10756.15</t>
  </si>
  <si>
    <t>Bacterial PH domain</t>
  </si>
  <si>
    <t>MTNEQHHVSVDEQLAYAVADPTTTTNKPWELVVTSRRLKFIAAGAIVVVMAAHIFLAVVVAIGDTGATVTTVDQWAFVGIGIIISLCC-LGITRPRVRVNSDGVEVRNFIGTRFYPWDLVYGLSFPKGDHWARLELPEFEYVAMWAFFAADGERVMKAVADFRALEDRYMPED</t>
  </si>
  <si>
    <t>MDNIQRLVA---------ADAATTTTKPWELEVTSQRLKIVAALAIIIVMGVHIFMASVVASGNTGAAVTTIDQWAFVGIGLIISAVC-LTIMRPRVRANEDGVEIRNFIGTRFYPWDVIYGLSFPKGERWARLELPEFEFVPMWAFQSADGARVVTAVEQFRTLEDKYMPED</t>
  </si>
  <si>
    <t>MDNNQPLSD-AEIQAYVAADAALTTTKPWKLEVTSRRMKLYAFLAAGVTLAIHIFLAIVVAVGNTGTAVTVIDQWGYFLVGVLFATVIFIGLHRPRVRANEDGVDVRNFIGSRFYPWAVIYGLSFPETARVARLELPEFEYVPMWAFLAADGADCVTAVEKFRELEAQYMPED</t>
  </si>
  <si>
    <t>GC_00000320</t>
  </si>
  <si>
    <t>------------MTTTGAKIT-RSAGLDSAIDTGMAQVEQLLREQLAQGETFLSDKVQHLAFAGGKRFRPMFALLASQYGTRPGNPDVIKAAAVVEMTHLATLYHDDVMDEAAYRRGVKSANARWSNSVAILAGDYLLAHASHLMAQLGTDTVAHFADTFGELVTGQMRETLGAEDREPIEHYMDVIKEKTGVLIASAGYLGSLHAGAQPGHIEALRGFGADIGIIFQIVDDIIDIYSTPEESGKTPGTDLREGV</t>
  </si>
  <si>
    <t>MSHGET------STTPTPQVDLGDPQLTATINDGLSQVEQLLRAELSGGEDFITDKVQHLAVAGGKRFRPMFALLASQFGPHWQSDKVVQAAVVVEMIHLATLYHDDVMDEADKRRGVPSANARWDNSMAILAGDFLLAQASRIMAELGTDTVSHFADTFGTLVTGQMRETVGAGDGDPVEHYMNVIREKTGVLIASAGYLGSLHAGADAATVEALRRYGYAIGMVFQIVDDIIDIFSDATQSGKTPGTDLREGVFTLPVLYALAEDSAVGEQLRALLTGPLTEDAEVEQALDLLAQSTGKQKALDDVHHYLAEAEAQLDLLP-DGKATQALRSLSGFTVSRVG</t>
  </si>
  <si>
    <t>MNNGAVIRQNRGDSTIGARIDLGDDTLNEHVLRGMENVEDRLRVELEKSPDFLQEKVMHLTKAGGKRFRPMFTLLASNYGPRPMCEDVFKAAVVVEMTHLATLYHDDVMDEAQMRRGVPSANMRWSNSVAILSGDILLAHASRIMSELGVDTVAHFAETFGALVTGQMRETEGPGTGDPIEHYMKVINEKTGVLIAAAGYLGALHSGADMETAVCLQAVGTAVGMVFQIVDDIIDIFSTPEDSGKTPGTDLREGVFTLPVLYALQEDTPVGAELRELLTGPLVDDASVDRALQLLARSNGRQKALADVHQYLAEAEEKLDQLP-DNPTTRALRQLARVTVARVG</t>
  </si>
  <si>
    <t>GC_00000321</t>
  </si>
  <si>
    <t>PF14029.11</t>
  </si>
  <si>
    <t>Protein of unknown function (DUF4244)</t>
  </si>
  <si>
    <t>K02651</t>
  </si>
  <si>
    <t>pilus assembly protein Flp/PilA</t>
  </si>
  <si>
    <t>ko00001|ko00001|ko02044|ko02035</t>
  </si>
  <si>
    <t>KEGG Orthology (KO)&gt;&gt;&gt;09130 Environmental Information Processing&gt;&gt;&gt;09132 Signal transduction&gt;&gt;&gt;02020 Two-component system [PATH:ko02020]|KEGG Orthology (KO)&gt;&gt;&gt;09140 Cellular Processes&gt;&gt;&gt;09143 Cell growth and death&gt;&gt;&gt;04112 Cell cycle - Caulobacter [PATH:ko04112]|Secretion system&gt;&gt;&gt;Type II secretion system&gt;&gt;&gt;Tight adherence (Tad) export apparatus|Bacterial motility proteins&gt;&gt;&gt;Pilus system&gt;&gt;&gt;Pilus assembly proteins</t>
  </si>
  <si>
    <t>-------------------------MLQQLQQ---------------FHSDDRGMSTIEYALGSLAAAALAGALYLVVSGGGISEALQGIITDALSRR-</t>
  </si>
  <si>
    <t>MSRLMHLPVTATTTLMAATMNLLTNAFERLGR---------------FDNDE-GTTTIEYAMAALAAAALAGVLYVIVTSPTVHDALQGIITNALSNTP</t>
  </si>
  <si>
    <t>MSRLMHLPVTATTTLMAATMNLLAKAFERLGR---------------FDNDE-GTTTIEYAMAALAAAALAGVLYVIVTSPTVHDALQGIITNALSNTP</t>
  </si>
  <si>
    <t>GC_00000322</t>
  </si>
  <si>
    <t>COG1129</t>
  </si>
  <si>
    <t>ABC-type sugar transport system, ATPase component (MglA)</t>
  </si>
  <si>
    <t>MSTPNTTTNAVSDEQPIVCLRGVDKSYGHFDALSDINLEIYPGTVTCILGDNGAGKSTLIKILSGLHRATRGDVLVDGKEQIFKNPADALKAGIATVYQDLAVVPTMPVWRNFFLGQELVSQPFGRLKINEMRQICREQLGGLGIDIPDIDVQIRHLSGGQRQVVAISRAIYFGARVVILDEPTAALGVKQSGMVLKFVGEARERGIAVVLITHNPHHAHLVGDQFSILKLGRQVLSAPRDEVTLEELTQQMAGGGELEALEHELHR</t>
  </si>
  <si>
    <t>-----------MSDDAIITLDSISKTYGDFQALQDINLVIRPGTVTCVLGDNGAGKSTLIKILAGLHPPTSGDMLIDDVPVTFTAPADALAAGIATVYQDLAVVGQMSVWRNFFLGQELVHGFLETLRINEMRKITLQQLADMGVELPNVDIPISHLSGGQRQVVAIARAIYFGARVVILDEPTAALGVKQSGMVLRYVNAARKRGIAVVLITHNPHHAHLVGDYFTVLNMGQQVLNAKWTDVSVDDLALQMAGG</t>
  </si>
  <si>
    <t>GC_00000323</t>
  </si>
  <si>
    <t>PF00155.27</t>
  </si>
  <si>
    <t>Aminotransferase class I and II</t>
  </si>
  <si>
    <t>K00817</t>
  </si>
  <si>
    <t>histidinol-phosphate aminotransferase [EC:2.6.1.9]</t>
  </si>
  <si>
    <t>COG0079</t>
  </si>
  <si>
    <t>Histidinol-phosphate/aromatic aminotransferase or cobyric acid decarboxylase (HisC) (PDB:4R2N)</t>
  </si>
  <si>
    <t>ko00001|ko00001|ko00001|ko00001|ko00001|ko00001|ko01000|ko01007</t>
  </si>
  <si>
    <t>KEGG Orthology (KO)&gt;&gt;&gt;09100 Metabolism&gt;&gt;&gt;09105 Amino acid metabolism&gt;&gt;&gt;00340 Histidine metabolism [PATH:ko00340]|KEGG Orthology (KO)&gt;&gt;&gt;09100 Metabolism&gt;&gt;&gt;09105 Amino acid metabolism&gt;&gt;&gt;00350 Tyrosine metabolism [PATH:ko00350]|KEGG Orthology (KO)&gt;&gt;&gt;09100 Metabolism&gt;&gt;&gt;09105 Amino acid metabolism&gt;&gt;&gt;00360 Phenylalanine metabolism [PATH:ko00360]|KEGG Orthology (KO)&gt;&gt;&gt;09100 Metabolism&gt;&gt;&gt;09105 Amino acid metabolism&gt;&gt;&gt;00400 Phenylalanine, tyrosine and tryptophan biosynthesis [PATH:ko00400]|KEGG Orthology (KO)&gt;&gt;&gt;09100 Metabolism&gt;&gt;&gt;09110 Biosynthesis of other secondary metabolites&gt;&gt;&gt;00960 Tropane, piperidine and pyridine alkaloid biosynthesis [PATH:ko00960]|KEGG Orthology (KO)&gt;&gt;&gt;09100 Metabolism&gt;&gt;&gt;09110 Biosynthesis of other secondary metabolites&gt;&gt;&gt;00401 Novobiocin biosynthesis [PATH:ko00401]|Enzymes&gt;&gt;&gt;2. Transferases&gt;&gt;&gt;2.6  Transferring nitrogenous groups&gt;&gt;&gt;2.6.1  Transaminases&gt;&gt;&gt;2.6.1.9  histidinol-phosphate transaminase|Amino acid related enzymes&gt;&gt;&gt;Aminotransferase (transaminase)&gt;&gt;&gt;Class II</t>
  </si>
  <si>
    <t>MNTQPHLRHDLSQLPDYVPGKRMPDALKLSSNEVAFGPLPSAHTAITDAASTINRYPDMAATELREALADHLGTT-IDHVTVGCGSSTLCQQLVTITCQDGEDVIFPWRSFEAYPIFVRVTGANPVQIPLTDDLRNDLDAMAAAITDNTRLIFVCNPNNPTGTVVTADEFDAFMAKVPSHIVVALDEAYFEYNTAPSTPNAAELVKRYPNLIGLRTFSKAYGLAGLRIGYAF-GNPHIIAAMRKVQAPFEVSTLAQAAALASLEARSELLDRTRDVITQRERVSTTIGAAPSQSNFVWVPAESLAGGDALATAQALTERNVLVRAFPEGVRITVTNEEEMDRFLAAWDSLN-</t>
  </si>
  <si>
    <t>--MAPMIRPDLNSIPAYVPGARMSDALKLSSNECTHPPLPQAVQAMTDAAATVNRYPDMGVTELRQALASALSLPGLDNVAVGCGSSALCQQLVQISCTDGDEVVFAWRSFEAYPIFAQVVGATPVPVPLTKDHRHDLPAMLDAITDRTRLMFVCNPNNPTGTTITRAEFEDFMRKVPPQVLVALDEAYMEYIRDVDTPLSTEYLQAFPNLVGLRTFSKAYGLAGARVGYAFSANTEVIDALNKVALPFGVNAVA</t>
  </si>
  <si>
    <t>GC_00000324</t>
  </si>
  <si>
    <t>K01881</t>
  </si>
  <si>
    <t>prolyl-tRNA synthetase [EC:6.1.1.15]</t>
  </si>
  <si>
    <t>COG0442</t>
  </si>
  <si>
    <t>Prolyl-tRNA synthetase (ProS) (PDB:5XIF)</t>
  </si>
  <si>
    <t>KEGG Orthology (KO)&gt;&gt;&gt;09120 Genetic Information Processing&gt;&gt;&gt;09122 Translation&gt;&gt;&gt;00970 Aminoacyl-tRNA biosynthesis [PATH:ko00970]|Enzymes&gt;&gt;&gt;6. Ligases&gt;&gt;&gt;6.1  Forming carbon-oxygen bonds&gt;&gt;&gt;6.1.1  Ligases forming aminoacyl-tRNA and related compounds&gt;&gt;&gt;6.1.1.15  proline---tRNA ligase|Amino acid related enzymes&gt;&gt;&gt;Aminoacyl-tRNA synthetase&gt;&gt;&gt;Class II (C/G)|Transfer RNA biogenesis&gt;&gt;&gt;Eukaryotic type&gt;&gt;&gt;Aminoacyl-tRNA synthetases (AARSs)&gt;&gt;&gt;Multi-aminoacyl-tRNA synthetase complex (MSC)|Transfer RNA biogenesis&gt;&gt;&gt;Prokaryotic type&gt;&gt;&gt;Aminoacyl-tRNA synthetases (AARSs)&gt;&gt;&gt;Multi-aminoacyl-tRNA synthetase complex (MSC)</t>
  </si>
  <si>
    <t>--------------------------------MSTLFLRTLREDPADAEVPSHKLLVRAGYIRRVAPGVYSWLPLGLKVLKNIENVVREEMNAIGGQEISLPALLPRDAYEVTGRWTEYGDALFRLKDRKGADYLLGPTHEEMFTSLVKDMYSSYKDLPAILYQIQTKYRDEERPRAGILRGREFVMKDSYSFDMSDDGLDAAYQKHRRAYQNVFDRLGVEYAICAATSGAMGGSASEEFLAVSPNGEDTFVRAT</t>
  </si>
  <si>
    <t>MVAAERFGFAWWEDNEHALNNNRVYLLSMITRMSTLFLRTLREDPADAEVPSHKLLVRAGYIRRVSPGVYSWLPLGLKVLRNIERVVREEMQAIGAQEIELPALLPREPYEVTNRWTEYGDGLFRLKDRKDADMLLGPTHEEMFTLMVKDMYSSYKDFPVTLFQIQTKYRDEERPRAGILRGREFVMKDSYSFDMTDEGLEESYQRHRRAYQQIFDRLGVDYVICKATSGAMGGSASEEFLAVSPNGEDTFVRATHGDYAANVEAVVTQPGVEREIEGLPEAQVHETPKSETIDALVDWARSAGVRVDGREAQASDTLKCLMVKVTAPGEEPELLGVLVPGDREVDMKRLEASLEPTVVELASEADFAANPFLVKGYVGPRGLAANGVRMLADPRVVRGTPWITGADAPQRHVVGLVVGRDFEPDGYIEAAEVHEGDPAPDGQGTLTLERGIEIGHIFQLGRKYTDAFDVQILDENGKRSIPTMGSYGIGVSRLAAVVVEQRHDDKGLNWPVEIAPYQVHVVVANKDSAAAAAAEEVAQELSNAGLDVLFDDRPKVSPGVKFKDSELLGMPYVVVLGRSFADGKVELRVRGGETEELPYGEVVARVSE-LARG</t>
  </si>
  <si>
    <t>---------------------MLLVLPTMITRLSSLFLRTLREDPADAEVPSHKLLVRAGYIRRAAPGVYTWLPLGLRTLRKIEKVVREEMDNIGAQELLFPALLSREPYEQTRRWTEYGDNLFRLKDRKGNDMLLGPTHEEMFARQVKDMFTSYKDFPVTLYQIQTKYRDEERPRAGILRGREFVMKDSYSFDMTDAGLEQSYLAHRAAYQAIFDRLNLEYAICKATSGAMGGSASEEFLAISPNGEDTFVRAT</t>
  </si>
  <si>
    <t>GC_00000325</t>
  </si>
  <si>
    <t>PF00313.28</t>
  </si>
  <si>
    <t>'Cold-shock' DNA-binding domain</t>
  </si>
  <si>
    <t>K03704</t>
  </si>
  <si>
    <t>cold shock protein</t>
  </si>
  <si>
    <t>COG1278</t>
  </si>
  <si>
    <t>Cold shock protein, CspA family (CspC) (PDB:1C9O)</t>
  </si>
  <si>
    <t>KEGG Orthology (KO)&gt;&gt;&gt;09190 Not Included in Pathway or Brite&gt;&gt;&gt;09192 Unclassified: genetic information processing&gt;&gt;&gt;99973 Transcription</t>
  </si>
  <si>
    <t>MHVPIGKVKWYDAERGYGFVSNPGNEDCYVSKQVLPDGVEELHQGQRIDFDFAAGRRGPQALRVKILDTPRV---SKKPQHKYEPEKLHGMVSDLVTLLESKVQPLLRSGRYPDRKTGHQVAEILRAVAKELDS</t>
  </si>
  <si>
    <t>GC_00000326</t>
  </si>
  <si>
    <t>PF01121.26</t>
  </si>
  <si>
    <t>Dephospho-CoA kinase</t>
  </si>
  <si>
    <t>K00859</t>
  </si>
  <si>
    <t>dephospho-CoA kinase [EC:2.7.1.24]</t>
  </si>
  <si>
    <t>COG0237</t>
  </si>
  <si>
    <t>Dephospho-CoA kinase (CoaE) (PDB:1JJV)</t>
  </si>
  <si>
    <t>Pantothenate/CoA biosynthesis</t>
  </si>
  <si>
    <t>M00120</t>
  </si>
  <si>
    <t>Coenzyme A biosynthesis, pantothenate =&gt; CoA</t>
  </si>
  <si>
    <t>KEGG Orthology (KO)&gt;&gt;&gt;09100 Metabolism&gt;&gt;&gt;09108 Metabolism of cofactors and vitamins&gt;&gt;&gt;00770 Pantothenate and CoA biosynthesis [PATH:ko00770]|Enzymes&gt;&gt;&gt;2. Transferases&gt;&gt;&gt;2.7  Transferring phosphorus-containing groups&gt;&gt;&gt;2.7.1  Phosphotransferases with an alcohol group as acceptor&gt;&gt;&gt;2.7.1.24  dephospho-CoA kinase</t>
  </si>
  <si>
    <t>MLKVGLTGGIGSGKSTAAAQLIKLLGNDAALVDADQIARDVI---TPALPELVQAFGQGILQADGSVNRGELAARAFVDREHTDMLNAIMHPKINKLTERRFQHAAAEGKLIVLYDNPLLVDMSKHKDVDVVIVVDVDSQERVRRLVAHRGLDPDDARRRIAQQIDDDTRRAAADLIIDNNGGLEQLEPQVARIADQLRQQAHTTPATD</t>
  </si>
  <si>
    <t>MLLIGLTGGIGSGKSTVAAMLRD---QGIRVVDADQIAREVVEPGQPALAELVEVFGQDILNDDGSLNRQELANRAFATEEATNALNAITHPRIEQETQRQFDLAAAEKENFLVYDMPLLVERGLHEEMDMVIVVHTDIEERVRRLVEHRGLDEDDVRRRMSHQVDDVTRLASADVLIDNNGSVDHLRKQVDDFLATL-----------</t>
  </si>
  <si>
    <t>MKKIGLTGGIGSGKSTVARMLSD---HNIPIIDADRIARSIVEPGTPALAELVDAFGSDILHPDGSLRRAELARRAFATPEATRLLNTITHPRIQAETSRQFAQAEAAGQPRVVYDMPLLIDNGLHTGMDLVIVVHADEDIRIRRLMRHRGLDEADIRRRIASQIDEATRLRAADIILDNNGTEAHLRNQVAKLIGKI-----------</t>
  </si>
  <si>
    <t>MKKIGLTGGIGSGKSTVARMLSD---HNIPIIDADRIARSIVEPGTPALAELVDAFGSDILHPDGSLRRAELARRAFATPEATSLLNTITHPRIQAETSRQFAQAEAAGQPRVVYDMPLLIDNGLHTGMDLVIVVHADEDIRIRRLMRHRGLDEADIRRRIASQIDEATRLRAADIILDNNGTEAHLRNQVAKLIGKI-----------</t>
  </si>
  <si>
    <t>GC_00000327</t>
  </si>
  <si>
    <t>K01990</t>
  </si>
  <si>
    <t>ABC-2 type transport system ATP-binding protein</t>
  </si>
  <si>
    <t>COG1131</t>
  </si>
  <si>
    <t>ABC-type multidrug transport system, ATPase component (CcmA) (PDB:5DO7)</t>
  </si>
  <si>
    <t>Transporters&gt;&gt;&gt;ABC transporters, prokaryotic type&gt;&gt;&gt;ABC-2 type and other transporters&gt;&gt;&gt;ABC-2 type transporter</t>
  </si>
  <si>
    <t>MRLVAVSQDPGLNWSVVTDMPISTAALQASQPATAQRPAALELRDVVKRFGDFTAVDGLSLSLPPASVLALLGPNGAGKTTTIEMCEGFSKPTSGQIRVLGLDPSTQANEVRRRIGIMLQGGGAYPGIRVAEMLHLVASYSANPLDEQWLLDAVGLSAHAKTSFRRLSGGQQQRLSLACALVGRPELVFLDEPTAGMDAQSRLAVWELMSRLREDGVTIVLTTHLMDEAEALADHVVIIDQGRVVAQGTPAQLRAQGA--GSIVSLETTTPLDAAAFERAV-------PGVSLGAVRPSNYRVECSTDITPELIASIAHAAAEQGCLIRHLDTDQQSLEDVFLSITGREMRN</t>
  </si>
  <si>
    <t>---------------------------------------------MTKVFGQLVAVNDISLRVEQADVVALLGPNGAGKTTTIEMCEGFIHPTSGNIRVLGTDPTAQPDDVRRRIGIMLQGGGAYPGIRVREMLNLVASYSANPMDTEWLLDMVGLSKHSRTSYRRLSGGQQQRLSLACALVGRPELVFLDEPTAGMDAQSRHMVWDLMCALRNDGVSVVLTTHFIDEAEALANHVYIMDKGTIVASGTPTELTS</t>
  </si>
  <si>
    <t>GC_00000328</t>
  </si>
  <si>
    <t>PF03458.18</t>
  </si>
  <si>
    <t>Glycine transporter</t>
  </si>
  <si>
    <t>COG2860</t>
  </si>
  <si>
    <t>Uncharacterized membrane protein YeiH (YadS) (PDB:5WUC)</t>
  </si>
  <si>
    <t>MPTVDPTILALYRSLDLIGVVLNGAIGGTIARQRGFDIIGFSFLALFSALGGGMLRDTLMQRGTPAAIAEPMYMGFAILGGLLAMLIHLRGRAWELFEAHADAVILGVWAVTGSTKALTYGMPLASALFMGVLTAVGGGMIRDIATGSVPAIFGGNKLYATPALLGSAVMVLFHMMGHDAAGMLVATTVGAGSAILAYWRGWVLPTNPDWAPVNMTARQFGQKLKSARAQGREQGIAQERQMWEDALHISEDVREDFAEKLAESLHDAGIGHAEATADTTPEGTNDTPADTGDADRDVTGREEDS</t>
  </si>
  <si>
    <t>MATVDPTILALYQTLDLIGVVLNGAIGGSIARQRNFDIIGFAFLALFSALGGGMLRDTLMQRGTPAAIAEPMYMGMAILGGLLAMVIHLKGRAWELFRVHGDAIILGVWAVTGTTKALTYGMPWASAMFMGMLTAVGGGMIRDIATGSIPSIFGGNTLYATPAIFSSAIMVGFHAAGHDAVGMIAATTLGAGFAILAYWRGWVLPTVIE-----------QEQARRHRKAG----------------------KGKQP-----------------------------------------------</t>
  </si>
  <si>
    <t>MATVDPTILALYQTLDLIGVVLNGAIGGSIARQRNFDIIGFAFLALFSALGGGMLRDTLMQRGTPAAIAEPMYMGMAILGGLLAMVIHLKGRAWELFRVHGDAIILGVWAVTGTTKALTYGMPWASAMFMGMLTAVGGGMIRDIATGSIPSIFGGNTLYATPAIFSSAIMVGFHAAGHDAVGMIAATTLGAGFAILAYWRGWVLPTVIE-----------QEQARRRRKAG----------------------KGKQP-----------------------------------------------</t>
  </si>
  <si>
    <t>MGDVDTVIHNLYQTFDLIGVVLNGIIGGAIARQRNFDFVGFVFLALFSALGGGMLRDVLMQKGTAAAIANPTYLLLACCGATIALVTHFKGDTWELFKVHGDAIILGVWSVTGCVKALVFDMPLVSAVFMGVLTAVGGGMIRDVVTGQIPSIFGGGTLYAVPATISAGTMTLFYVTGHQALGMIISPIIGGGLVILAYWKGWVLFRSSEWAPVNMTAVQLRELAKRSERQG-----------WNMARRIKKKIEGEF------------------------------------------------</t>
  </si>
  <si>
    <t>GC_00000329</t>
  </si>
  <si>
    <t>K02358</t>
  </si>
  <si>
    <t>elongation factor Tu</t>
  </si>
  <si>
    <t>COG0050</t>
  </si>
  <si>
    <t>Translation elongation factor EF-Tu, a GTPase (TufA) (PDB:1EFU)</t>
  </si>
  <si>
    <t>ko03012|ko03012|ko03029|ko04147|ko04147|ko04147</t>
  </si>
  <si>
    <t>Translation factors&gt;&gt;&gt;Eukaryotic type&gt;&gt;&gt;Elongation factors|Translation factors&gt;&gt;&gt;Prokaryotic type&gt;&gt;&gt;Elongation factors|Mitochondrial biogenesis&gt;&gt;&gt;Mitochondrial DNA transcription, translation, and replication factors&gt;&gt;&gt;Mitochondrial transcription and translation factors&gt;&gt;&gt;Mitochondrial translation factors|Exosome&gt;&gt;&gt;Exosomal proteins&gt;&gt;&gt;Exosomal proteins of haemopoietic cells  (B-cell, T-cell, DC-cell, reticulocyte, and mast cell)|Exosome&gt;&gt;&gt;Exosomal proteins&gt;&gt;&gt;Exosomal proteins of breast cancer cells|Exosome&gt;&gt;&gt;Exosomal proteins&gt;&gt;&gt;Exosomal proteins of colorectal cancer cells</t>
  </si>
  <si>
    <t>MAKAKFERTKPHVNIGTIGHVDHGKTTLTAAITKVLADEYPELNQAFAFDAIDKAPEEKERGITINISHVEYQTEKRHYAHVDAPGHADYIKNMITGAAQMDGAILVVAATDGPMPQTREHVLLARQVGVPYILVALNKCDSPDVDDEMIELVEMEVREMLAEQEYDEDAPIIQVSALKALEGDPEWTAKIVELMKACDEKIPDPERETDKPFLMPIEDIFTITGRGTVVTGRVERGKLNVNDEVEILGIREKSTKTTVTGIEMFRKLLDYTEAGDNCGLLLRGIKREDVERGQIVAAPGAYTPHTEFEGSVYILSKDEGGRHTPFFDNYRPQFYFRTTDVTGVVKLPEGTEMVMPGDNVDMSVTLIQPVAMDEGLRFAIREGGRTVGAGRVTKIIK</t>
  </si>
  <si>
    <t>MAKAKFERTKPHVNIGTIGHVDHGKTTTTAAITKVLAEAYPELNQAFAFDAIDKAPEEKERGITINISHVEYQTDKRHYAHVDAPGHADYIKNMITGAAQMDGAILVVAATDGPMPQTREHVLLARQVGVPYILVALNKCDMVD-DEEIIELVEMEVRELLAEQEYDEEAPIVHISALKALEGDPKWTQAIVDLMKAVDESIPDPERETDKPFLMPIEDIFTITGRGTVVTGRVERGQLNVNEEVEILGIREKSTTTTVTGIEMFRKLLDYTEAGDNCGLLLRGIKREDVERGQIVAKPGAYTPHTEFEGSVYILSKDEGGRHTPFFNNYRPQFYFRTTDVTGVVELPEGTEMVMPGDNVDMSVKLIQPVAMDEGLRFAIREGGRTVGAGRVTKIIK</t>
  </si>
  <si>
    <t>MAKAKFERTKPHVNIGTIGHVDHGKTTTTAAITKVLADAYPDLNQAFAFDSIDKAPEEKERGITINIAHVEYQTEKRHYAHVDAPGHADYIKNMITGAAQMDGAILVVAATDGPMPQTKEHVLLARQVGVPYILVALNKCDSPDVDDEIIELVEMELRELLADQEYDEDAPIIQISALKALEGDPKWTQSILDLMQACDDFIPDPVRETDKPFLMPIEDIFTITGRGTVVTGRVERGSLKVNEEVEIIGIKDKALSTTVTGIEMFRKLLDYTEAGDNCGLLLRGVKREEVERGQVVAKPGAYTPHTEFEASVYVLSKDEGGRHTPFFDNYRPQFYFRTTDVTGVVKLPEGTEMVMPGDNVDMSVTLIQPVAMDEGLRFAIREGSRTVGAGRVTKIIK</t>
  </si>
  <si>
    <t>GC_00000330</t>
  </si>
  <si>
    <t>PF00364.28</t>
  </si>
  <si>
    <t>Biotin-requiring enzyme</t>
  </si>
  <si>
    <t>COG0511</t>
  </si>
  <si>
    <t>Biotin carboxyl carrier protein (AccB) (PDB:1A6X)</t>
  </si>
  <si>
    <t>MNICAPFAGIVHYRVDPGTRVETGTIVATIEAVKLDAPLLAPGPGIVGQKLCADYADVEGGQAVLTLEEG-----------</t>
  </si>
  <si>
    <t>MKICAPFAGIVHYTVPEGSTVTTGDVVAIVETVKLEAPVIAPGPGVVDKHAHVDYADVVGGDVLLELGEG-----------</t>
  </si>
  <si>
    <t>MKIYAPFAGIVHYHVATGDTVTTGQKLASVEATKLEAAVIAPGPGVVMELSVADFGDVVGGQALVELADGSEPATLVGEGK</t>
  </si>
  <si>
    <t>MKIYAPFAGIVHYHVAAGDTVTTGQKLASVEATKLEAAVIAPGPGVVVELSVADFGDVVGGQALVELADGSEPATLVGEGK</t>
  </si>
  <si>
    <t>GC_00000331</t>
  </si>
  <si>
    <t>PF01192.27</t>
  </si>
  <si>
    <t xml:space="preserve">RNA polymerase Rpb6 </t>
  </si>
  <si>
    <t>K03060</t>
  </si>
  <si>
    <t>DNA-directed RNA polymerase subunit omega [EC:2.7.7.6]</t>
  </si>
  <si>
    <t>COG1758</t>
  </si>
  <si>
    <t>DNA-directed RNA polymerase, subunit K/omega (RpoZ) (PDB:3LU0)</t>
  </si>
  <si>
    <t>MTNVLNQENSVND-----AIFDDPIGITAPPIDNLLKKVSSKYALVIFAAKRARQINSYYHQSDEGVFEFAGPLLTPKDNEKPLSIALREIDRGLLEHVEG</t>
  </si>
  <si>
    <t>MTNVTNVNSVSNDIAITEAVFDDPIGITAPPIDELLDKVSSKYALVIFAAKRARQINSYFQQADEGVFEFVGPLIEPENQEKPLSIALREINKGMLDHEEG</t>
  </si>
  <si>
    <t>MSKVSE----SNQ-----RVYDKPIGITDPPIDELLDHVSSKYALVIFAAKRARQINSYYRQQDEGVFEFVGPLVDPPTEQKPLSTALLEIQEGMLDHEEG</t>
  </si>
  <si>
    <t>GC_00000332</t>
  </si>
  <si>
    <t>PF03449.20</t>
  </si>
  <si>
    <t>Transcription elongation factor, N-terminal</t>
  </si>
  <si>
    <t>K03624</t>
  </si>
  <si>
    <t>transcription elongation factor GreA</t>
  </si>
  <si>
    <t>COG0782</t>
  </si>
  <si>
    <t>Transcription elongation factor, GreA/GreB family (GreA) (PDB:1GRJ)</t>
  </si>
  <si>
    <t>Transcription machinery&gt;&gt;&gt;Prokaryotic type&gt;&gt;&gt;Bacterial type&gt;&gt;&gt;Other transcription-related factors&gt;&gt;&gt;Transcription elongation factors</t>
  </si>
  <si>
    <t>MAENQKQYITPETKQKLENELNALIAHRPVVAAEINERREEGDLKENAGYDAAREMQDQEEARIKQISEILANSTTERSSIEEGVAVVGSVVHVYYNGDKDQKETFLIGTRAAASDNKDLETYSEHAPLGAAVLGAREGETREYTAPNGNTISVTIISAEPYDSQKYATLRESK-</t>
  </si>
  <si>
    <t>MADMQKQYITPETKQKLEDELNALIAHRPVVAAEINERREEGDLKENAGYDAAREMQDQEEARIKQISEILANSTTERSGIEEGVAHIGSVVHVYYNGDENDKETFLIGTRAAASDNKDLETYSEQSPLGAAVLGAREGDTREYTAPNGVTNTVTILSAEPYNSEKAATPRAAS-</t>
  </si>
  <si>
    <t>MVENQKQYITPESKAKLEEELNALIAHRPVVAAEINERREEGDLKENAGYDAAREMQDQEEARIKHISEILANSTTERSGIIEGVAHVGSVVHVYYNGKPENKETFLIGTRAAASDNKDLETYSEQSPLGAAILGAHEGETREYTAPNGKVISVTVVSAEPYDSVKAATLRNKKL</t>
  </si>
  <si>
    <t>GC_00000333</t>
  </si>
  <si>
    <t>K02232</t>
  </si>
  <si>
    <t>adenosylcobyric acid synthase [EC:6.3.5.10]</t>
  </si>
  <si>
    <t>COG1492</t>
  </si>
  <si>
    <t>Cobyric acid synthase (CobQ)</t>
  </si>
  <si>
    <t>KEGG Orthology (KO)&gt;&gt;&gt;09100 Metabolism&gt;&gt;&gt;09108 Metabolism of cofactors and vitamins&gt;&gt;&gt;00860 Porphyrin metabolism [PATH:ko00860]|Enzymes&gt;&gt;&gt;6. Ligases&gt;&gt;&gt;6.3  Forming carbon-nitrogen bonds&gt;&gt;&gt;6.3.5  Carbon-nitrogen ligases with glutamine as amido-N-donor&gt;&gt;&gt;6.3.5.10  adenosylcobyric acid synthase (glutamine-hydrolysing)</t>
  </si>
  <si>
    <t>MADGSTGALLGAAVLIAGTTSDAGKSVVVAGLCRALARRGVRVAPFKAQNMSNNSAVCPDGGEIGRAQALQAAACGLEPSVDFNPILLKPGSDRTSQLVVRGVARGNVSAKSYVEHRSHLRAVAAECLQDLRGRFDVVVCEGAGSPAEINLRETDVANMGLAEACDLPVYVVGDIDRGGVLAHLFGTHQILSAQDRARIKGFVVNKFRGDQSILDPGLEELQRLTGVPTVAVLPFIHGLWVDAEDSLQSVVGQVIGPGLPARGGNRLTVAAIRLPRVSNATDIEALACEPGVTVRWIDDAASVADADLLVLPGSKATVSDLAWLRDSGLADAVAQRAAAGEPILGICGGYQMMCREIDDPVES-SEGLVEGLGLFDTDIAFHPDKTLIRHPD-GAYEIHHGRVVRSGDPGWIKTHDSSEVPGGAAFEGNAKGSLRGTHRHGYLEHDANRKEFLRWVADVRGKQ-YVIDEAASFHAERERQLDLIADVIEQHWDLDALLGEL----</t>
  </si>
  <si>
    <t>----------MPAFLIAGTTSDAGKSVIVAGLCRALARRGIKVAPFKAQNMSNNSAVCPDGGEIGRAQALQAAACGLEPSVDFNPILLKPGSDRTSQLVVRGHAVGSVSARSYIEHRTHLRTVAASCLRELESRFDVVVCEGAGSPAEINLRDTDVANFGLAEACDMPVYVVGDIDRGGVLAHLFGTHQIVSSADRTRIKGFVINKFRGDQSILEPGLVSLEEMTGVPTVAVLPYLEGLWIDAEDSLQSHVGASV</t>
  </si>
  <si>
    <t>----------MVAFLVAGCTSDAGKSVVVAGLCRALRRRGYRVAPFKAQNMSNNSVVTPDGGEIGRAQALQAVACELEPSTLFNPILLKPGSDKTSQLVVHGQAQGDVSAASYIEHRIYLREVATQALRDLEADYDIVVCEGAGSPAEINLRETDIANFGLAAAAQLPVYVVGDIDRGGVLAHFFGTYHIVDTTDRALIRGFVVNKFRGDQSILDPGLVELEDRTGVPTVAVLPYIHGLWVDAEDSLQAQVGATI</t>
  </si>
  <si>
    <t>----------MVAFLVAGCTSDAGKSVVVAGLCRALRRRGYRVAPFKAQNMSNNSVVTPDGGEIGRAQALQAVACELEPSTLFNPILLKPGSDKTSQLVVHGQAQGDVSAASYIEHRIYLREVAAQALRDLEADYDIVVCEGAGSPAEINLRETDIANFGLAAAAQLPVYVVGDIDRGGVLAHFFGTYHIVDAADRALIRGFVVNKFRGDQSILDPGLAELENRTGVPTVAVLPYIHGLWVDAEDSLQAQVGATI</t>
  </si>
  <si>
    <t>GC_00000334</t>
  </si>
  <si>
    <t>PF02645.21</t>
  </si>
  <si>
    <t>Uncharacterised protein, DegV family COG1307</t>
  </si>
  <si>
    <t>K25232</t>
  </si>
  <si>
    <t>fatty acid kinase fatty acid binding subunit</t>
  </si>
  <si>
    <t>COG1307</t>
  </si>
  <si>
    <t>Fatty acid-binding protein DegV (function unknown) (DegV) (PDB:1MGP)</t>
  </si>
  <si>
    <t>KEGG Orthology (KO)&gt;&gt;&gt;09190 Not Included in Pathway or Brite&gt;&gt;&gt;09191 Unclassified: metabolism&gt;&gt;&gt;99983 Lipid metabolism</t>
  </si>
  <si>
    <t>MVFGWVEHRPGDALVPVRIVTDSSSCLPHDTAEELGIKVLDLHVMPPEESGEEAHTAGLTALELVAAYARQLERGGDEGVVALHLSKDLSSTYASAESAAAVFDDVAEPVRVVETSTIGMCVGAAAMAAATVAGEGGSVDECVEAASSTLERSEMFLYVDKVEGLRKSGRLSTTDALVSAALATRPIMQIKGGRIELAAKTRTQTKAFAKLIELIVTRANSRPVFIALQEHQASEAAARLSEAMESVLPEGSTFMTVPMSEVLAVHAGPGSIAVSAVFSE-------------------------------------------------</t>
  </si>
  <si>
    <t>--------------MPVRIVTDSSACLPDSIIEDLDITVIDLHMM---NRGDDRSTSGLSSLELVACYARQLERGGDEGVLALHLSKELSSTWSNAVAAAAVFDD--DMVRVIDTNCIGMGLGAAAMAAATMAQNGATLEDCYKAAVSTLERSRMWLYVHRIDELRKSGRLSATTSLMSTALAMRPIMHLKDGRLDVAAKTRTPSKALAKIVELVGAYADTNPLFIAIQQHEARETAKHLQLQLEEALPDGTTFM</t>
  </si>
  <si>
    <t>GC_00000335</t>
  </si>
  <si>
    <t>MADHAHNLRAQFNVT---------AGKPVGVITRGTTNTNRLRRCDRWMRTDPAVIAALRSAGT-DRPLAVDVGYGASYATTCEWKRMLDSSPHRCPTGRRFDVEVVGLEIDPARVLPPRDGVRFELGGFELAGYQPQLVRAFNVLRQYDVAQVDAAWQTVCSRLAPGGVFVEGTCDELGRRMAWVLLGAEGPRSLTLAWDPWDVGRPSELAERLPKALIHRNVEGDTVRELLDEADAAWDRAAPFAAFGPRVRWFEARKSLR---WPHTPQRRLLRDNWLTVPWSF---------</t>
  </si>
  <si>
    <t>MADHAHNLRATFGDHQRTRRQATRSTRPVGVITRGTTNVNRLRRCDRWMVHHPTVQRCLSHASIQDTPLAIDVGYGASHTTTCEWAIWLRHL--------RADVSVLGLEIDPARVLPPRDGVHFAVGGFELAGHRPNLVRAFNVLRQYDVSQVHDAWQLVCSRLAPGGLFVEGTCDELGRRCSWVLLDADGPQSLTLAWDPNHTARPSDLAERLPKALIHRNVPGEPIYDLLRMADDAWDRAAAWATYGPRIRWREARRLLIDASVPLTPIRRRVRDNLLTVPWSFVSGDQV---</t>
  </si>
  <si>
    <t>MANHGHNQRAQFRRH---------SQQPIGTITRGTTGFNRLRKVDRWVFYHPELHQKLRPHAV-AAPLAIDVGYGDSYTTTCEWAWWLRRI--------NPHISVVGLEIDPSRVLPPRDGVRFERGGFELAGYRPHLVRAFNVLRQYDVTQVPDAWSMVCGRLAPGGVFIEGTCDELGRRASWVLLDRRGPVSLTLAWQPWDVAKPSDVAERLPKILIHRNVPGQKIHSLLQLCDDCWDKTNGLAAFGPRIRWRETQKLLRE-HLPI-PRPRLLRDNILTVPWSVVEPETTVFL</t>
  </si>
  <si>
    <t>GC_00000336</t>
  </si>
  <si>
    <t>K24017</t>
  </si>
  <si>
    <t>phosphoribosyl isomerase A [EC:5.3.1.16 5.3.1.24]</t>
  </si>
  <si>
    <t>COG0106</t>
  </si>
  <si>
    <t>Phosphoribosylformimino-5-aminoimidazole carboxamide ribonucleotide (ProFAR) isomerase (HisA) (PDB:4U28)</t>
  </si>
  <si>
    <t>M00026|M00023</t>
  </si>
  <si>
    <t>Histidine biosynthesis, PRPP =&gt; histidine|Tryptophan biosynthesis, chorismate =&gt; tryptophan</t>
  </si>
  <si>
    <t>Pathway modules; Amino acid metabolism; Histidine metabolism|Pathway modules; Amino acid metabolism; Aromatic amino acid metabolism</t>
  </si>
  <si>
    <t>KEGG Orthology (KO)&gt;&gt;&gt;09100 Metabolism&gt;&gt;&gt;09105 Amino acid metabolism&gt;&gt;&gt;00340 Histidine metabolism [PATH:ko00340]|KEGG Orthology (KO)&gt;&gt;&gt;09100 Metabolism&gt;&gt;&gt;09105 Amino acid metabolism&gt;&gt;&gt;00400 Phenylalanine, tyrosine and tryptophan biosynthesis [PATH:ko00400]|Enzymes&gt;&gt;&gt;5. Isomerases&gt;&gt;&gt;5.3  Intramolecular oxidoreductases&gt;&gt;&gt;5.3.1  Interconverting aldoses and ketoses, and related compounds&gt;&gt;&gt;5.3.1.16  1-(5-phosphoribosyl)-5-[(5-phosphoribosylamino)methylideneamino]imidazole-4-carboxamide isomerase|Enzymes&gt;&gt;&gt;5. Isomerases&gt;&gt;&gt;5.3  Intramolecular oxidoreductases&gt;&gt;&gt;5.3.1  Interconverting aldoses and ketoses, and related compounds&gt;&gt;&gt;5.3.1.24  phosphoribosylanthranilate isomerase</t>
  </si>
  <si>
    <t>MSAFTLLPAVDVVDGQAVRLHQGESGSEKVYGSPLEQALRWQEQGAQWLHFVDLDAAFGHGSNHEMMREVVGALDIDVELTGGIRDDESLERALSTGARRVNIGTAALQKPEWIADVIARYGDKVAVDLAVRLEDGQWRTKGNGWVSDGGDLWEVLERLDAQGCARFVVTDVSKDGTLSGPNIELLRNVAAATDAPVVASGGISCLQDVVDIAAYAHEGIDSCIIGKALYEDRFTLSEALEAVAAQSGVGVDRDSKEGV</t>
  </si>
  <si>
    <t>-MSLTLLPAVDVVDGKAVRLHQGAAGSEKVYGTPLEAALNWQEQGAQWLHFVDLDAAFNRGSNYQLMAEVVGALDINVELTGGIRDDASLERALATGARRVNIGTAALENPDWCRRAIERFGDRIAVGLDVREENGEWRAKGNGWVSDGGDLWEILERLDAQGCSRFVVTDVSKDGTLDGPNIDLLREVAAATDAPIVASGGVAKLQDVVDIAQFVEEGIDSVIIGKALYEGRFTLAEALKAVDS---VEVMKPR</t>
  </si>
  <si>
    <t>-MTFTLLPAVDVVDGQAVRLNQGAAGTEKSYGSPLDAAKTWQNAGATWLHFVDLDAAFGRGSNHELMADIIAQLDIHVELTGGIRDDATLERALATGARRVNIGTAALENPEWIAQAIATHGDKIAVDIAALLVDGEWRARSRGWVGDGGDLWEILERLDSQGCQRFVVTDVSKDGTLAGPNIDLLREVAQATDAKIVASGGIAQLSDITELAKYEDEGIDSAIIGKALYEGRFTLPEALALL------------</t>
  </si>
  <si>
    <t>GC_00000337</t>
  </si>
  <si>
    <t>PF01632.24</t>
  </si>
  <si>
    <t>Ribosomal protein L35</t>
  </si>
  <si>
    <t>K02916</t>
  </si>
  <si>
    <t>large subunit ribosomal protein L35</t>
  </si>
  <si>
    <t>COG0291</t>
  </si>
  <si>
    <t>Ribosomal protein L35 (RpmI) (PDB:1VS6) (PUBMED:28373563)</t>
  </si>
  <si>
    <t>MKQKTHKGTAKRVKVTGSGKLRREKANRRHLLEGKPSTRTRRLKGTADVDKSDTKRVKRLLGMA</t>
  </si>
  <si>
    <t>MKQKTHKGTAKRVKVTGSGKLRREQANRRHLLEGKPSTRTRRLKGTTEVAKADTKRVKRLLGQA</t>
  </si>
  <si>
    <t>MKQKTHKGTAKRIKTTGSGKLRRERANRRHLLEGKPSKRTRRLKGTTDVAPADTKRVKRLLGKA</t>
  </si>
  <si>
    <t>GC_00000338</t>
  </si>
  <si>
    <t>PF11292.14</t>
  </si>
  <si>
    <t>Protein of unknown function (DUF3093)</t>
  </si>
  <si>
    <t>------------------------------------------------------------------------------------------------MEQDPDGTRWLIAGNAQLPHTAVSSTLAVPSTARRNAMGRQLDPAAYVVSHGWVPEMAMFVLDDPEDPTPYWLLSTVDPQALIAAFDKH---------------</t>
  </si>
  <si>
    <t>-------------------------MTDAISDATKVLYREKQWVPWYWWFLAAFIVALTTAQLAHNRSILWIYIPAAILTAAAAWVLLSLSSTVVTVEEDSDGVRWLGTRNAILPHTVVSRCLAVPTTAKRNAMGRQLDPAAFVVSHGWVPEMAMFVLDDPDDPTPYWLISTRNPENLLKAFVPALLQGDSSADT-----</t>
  </si>
  <si>
    <t>MQIYGFQSGLKTWGVEVHLATVSNKQAQPNTAEPKVLYSERQWVPWYWWLIAAFIVALISAQFALNRAALWLYIPAVVLSVLAVWVLVWLSSTSVVVEEDPDGTRWLVTGQANLPHTVVSRSLAVPATAKRNAMGRQLDPAAFVVSHGWVPEMVMLVLDDPEDPTPYWLVASKHPEQLLAAFLPEQQSDADQAAVTTRNA</t>
  </si>
  <si>
    <t>GC_00000339</t>
  </si>
  <si>
    <t>PF00483.29</t>
  </si>
  <si>
    <t>Nucleotidyl transferase</t>
  </si>
  <si>
    <t>K00963</t>
  </si>
  <si>
    <t>UTP--glucose-1-phosphate uridylyltransferase [EC:2.7.7.9]</t>
  </si>
  <si>
    <t>COG1210</t>
  </si>
  <si>
    <t>UTP-glucose-1-phosphate uridylyltransferase (GalU) (PDB:2E3D)</t>
  </si>
  <si>
    <t>M00129|M00854|M00549</t>
  </si>
  <si>
    <t>Ascorbate biosynthesis, animals, glucose-1P =&gt; ascorbate|Glycogen biosynthesis, glucose-1P =&gt; glycogen/starch|Nucleotide sugar biosynthesis, glucose =&gt; UDP-glucose</t>
  </si>
  <si>
    <t>Pathway modules; Carbohydrate metabolism; Other carbohydrate metabolism|Pathway modules; Carbohydrate metabolism; Other carbohydrate metabolism|Pathway modules; Carbohydrate metabolism; Other carbohydrate metabolism</t>
  </si>
  <si>
    <t>KEGG Orthology (KO)&gt;&gt;&gt;09100 Metabolism&gt;&gt;&gt;09101 Carbohydrate metabolism&gt;&gt;&gt;00040 Pentose and glucuronate interconversions [PATH:ko00040]|KEGG Orthology (KO)&gt;&gt;&gt;09100 Metabolism&gt;&gt;&gt;09101 Carbohydrate metabolism&gt;&gt;&gt;00052 Galactose metabolism [PATH:ko00052]|KEGG Orthology (KO)&gt;&gt;&gt;09100 Metabolism&gt;&gt;&gt;09101 Carbohydrate metabolism&gt;&gt;&gt;00500 Starch and sucrose metabolism [PATH:ko00500]|KEGG Orthology (KO)&gt;&gt;&gt;09100 Metabolism&gt;&gt;&gt;09101 Carbohydrate metabolism&gt;&gt;&gt;00520 Amino sugar and nucleotide sugar metabolism [PATH:ko00520]|KEGG Orthology (KO)&gt;&gt;&gt;09100 Metabolism&gt;&gt;&gt;09101 Carbohydrate metabolism&gt;&gt;&gt;00541 Biosynthesis of various nucleotide sugars [PATH:ko00541]|Enzymes&gt;&gt;&gt;2. Transferases&gt;&gt;&gt;2.7  Transferring phosphorus-containing groups&gt;&gt;&gt;2.7.7  Nucleotidyltransferases&gt;&gt;&gt;2.7.7.9  UTP---glucose-1-phosphate uridylyltransferase</t>
  </si>
  <si>
    <t>--------------------MTDPISEYKFAVKTVVVPAAGLGTRFLPATKTVPKELLPVVDTPGIELIAQEASRLGASRLAVITAPNKEGVLAHFEHNERLESTLAERGKEEQLAKVQRAAELIQAVSVLQELPLGLGHAVGLAEQVLDDDEDVVAVMLPDDIVLPMGVMEKMAQVRSELGGSVLCAFNVSRDEVSNYGVFDIEESDQPN----VKRVRGMVEKPDVEDAPSTFVATGRYLLDRAIFDALRRIT</t>
  </si>
  <si>
    <t>MLIILEKILISNLKKSTLNCMTSAKTHASLSVKTVIVPAAGMGTRFLPATKTIPKELLPVVDTPGIELIAQEAAQLGADKLAIITAPKKREVLAYFDRYPALETMLEARGKTHQLEKVRNTNNLPTPIAVEQAEPLGLGHAVGLAEQVLDDDENVVAVMLPDDLVLPMGVVVKMMEVRAQLGGSVLCAFEVPHEEVYNYGVFDIEDAPDYHGDYVVKKVRGMVEKPAVDDAPSNFVATGRYLLDRAIFDALQRITPGAGGELQLTDAIALLIDEGHPVHILVHDGKRHDLGNPGGYIPAVVDFGLADPVYGPHLKKVLREILDEH---GA</t>
  </si>
  <si>
    <t>MLIILEKILISNLKKSTLNCMTSAKTHASLSVKTVIVPAAGMGTRFLPATKTIPKELLPVVDTPGIELIAQEAAQLGADKLAIITAPKKREVLAYFDRYPALETMLEARGKTHQLEKVRNTNNLPTPIAVEQTEPLGLGHAVGLAEQVLDDDENVVAVMLPDDLVLPMGVVVKMMEVRAQLGGSVLCAFEVPHEEVYNYGVFDIEDAPDYHGDYVVKKVRGMVEKPAVDDAPSNFVATGRYLLDRAIFDALQRITPGAGGELQLTDAIALLIDEGHPVHILVHDGKRHDLGNPGGYIPAVVDFGLADPVYGPHLKKVLREILDEH---GA</t>
  </si>
  <si>
    <t>GC_00000340</t>
  </si>
  <si>
    <t>PF03641.19</t>
  </si>
  <si>
    <t>Possible lysine decarboxylase</t>
  </si>
  <si>
    <t>COG1611</t>
  </si>
  <si>
    <t>Nucleotide monophosphate nucleosidase PpnN/YdgH, Lonely Guy (LOG) family (PpnN) (PDB:2PMB) (PUBMED:25728768;27941785;31023582;31420341)</t>
  </si>
  <si>
    <t>MVPVDSFGPLPLGVDDATVVGMSDKQKAAVSAQRVMRGPVLVRSEGKQ-QSTTDSRLLDSQKDTHWLHSDPWRVLRIQSEFVNGFGALAEMPPAVAVFGSARIGEG-KFYDRGRELGQKLARANYAVITGGGPGLMESSNRGALEEGGLSVGLGIELPHEQHLNDFVELGLNFRYFFVRKTMFLKYSQAFVCLPGGFGTLDELFEALCMVQTGKITHYPIALIGTEFWGGLVDWIKDRLVAEGMISPDDTDLFIVTDSVDEVVDHITQAHADLDH--</t>
  </si>
  <si>
    <t>MPPSKTPSELK---------------------QRLMRGPVLVRNKNDEAGTTSDQRLLDHSNNLEWLHTDPWRVLRIQSEFVDGFGALAEMPSAVTVFGSARIKPDHRYYEMGLELGRQLVEAGYAVITGGGPGLMEAPNRGAYDADGLSVGLGIELPHEQHLNDWVDLGMNFRYFFVRKTMFLKYSQAFVCLPGGFGTLDELFEALCMVQTGKITNYPIVLIGTQFWSGLVDWIKEKLVAESMVAASDVDLFMVTDSVDEAVAHIVAAHANMG---</t>
  </si>
  <si>
    <t>MPPSKTPSELK---------------------QRLMRGPVLVRNKNDEAGTTSDQRLLDHSNNLEWLHTDPWRVLRIQSEFVDGFGALAEMPSAVTVFGSARIKPDHRYYEMGLELGRQLVEAGYAVITGGGPGLMEAPNRGAYDADGLSVGLGIELPHEQHLNDWVDLGMNFRYFFVRKTMFLKYSQAFVCLPGGFGTLDELFEALCMVQTGKITNYPIVLIGIQFWSGLVDWIKEKLVAESMVAASDVDLFMVTDSVDEAVAHIVAAHANMG---</t>
  </si>
  <si>
    <t>MNRKQNHEK-----------------------KRLLRGPVLVRQSDKPVRSTYDQRLLEHEADHDWNHADPWRVLRIQSEFVTGFDALHELPPAVTVFGSARHPVGSPYYELGRTLGRKLVESQYAVITGGGPGVMESANRGAQEADGLSVGLGIELPKEQGINEYVDLGVNFRYFFARKTMFLKYSQAFVCLPGGFGTLDELFEVLCMVQTGKVTNYPIVLMGVDFWQPLVQWLTDRLVAEGMIAADDLELFLLTDSVDEAVAHIMAVHQSMRERT</t>
  </si>
  <si>
    <t>GC_00000341</t>
  </si>
  <si>
    <t>PF00498.31</t>
  </si>
  <si>
    <t>FHA domain</t>
  </si>
  <si>
    <t>COG1716</t>
  </si>
  <si>
    <t>Forkhead associated (FHA) domain, binds pSer, pThr, pTyr (FHA) (PDB:2FEZ)</t>
  </si>
  <si>
    <t>MSDTTGIPEPQVETTSVFRADLLKEMESGA-SASAQIGAENLPEGSALLVVKRGPNAGSRFLLDRPTTTVGRHPESDIFLDDVTVSRRHAEFRINDGAFEVVDVGSLNGTYVNREPKNSAVLSSGDEVQIGKFRLVFLV----</t>
  </si>
  <si>
    <t>MSENPGIPEVQAETTSVFRADLLKEMESGAGSSPTATSADNLPEGSALLIVKRGPNAGSRFLLDRETTTAGRHPESDIFLDDVTVSRRHAEFRLNDGEFEVVDVGSLNGTYVNREPKNSEVLSTGDEVQIGKFRLVFLAGPKA</t>
  </si>
  <si>
    <t>MSENPGIPEVQAETTSVFRADLLKEMESGAGSSPTATSADNLPEGSALLIVKRGPNAGSRFLLDRETTTAGRHPESDIFLDDVTVSRRHAEFRLNDGEFEVVDVGSLNGTYVNREPKNSEVLSTGDEVQIGKFRLVFLAGPKV</t>
  </si>
  <si>
    <t>MSDNNDNQDVQVETTSVFRADLLKEMESGA-AAPATGSDITPPAGAAILIVKRGPNAGARFLLDQETTTAGRHPESDIFLDDVTVSRRHAEFRLNDGTFEVVDVGSLNGTYVNREPRNSQVLSIGDEIQIGKFRLVFIAGPEN</t>
  </si>
  <si>
    <t>GC_00000342</t>
  </si>
  <si>
    <t>PF02592.20</t>
  </si>
  <si>
    <t>Putative vitamin uptake transporter</t>
  </si>
  <si>
    <t>K09125</t>
  </si>
  <si>
    <t>queuosine precursor transporter</t>
  </si>
  <si>
    <t>COG1738</t>
  </si>
  <si>
    <t>Queuosine precursor transporter YhhQ, DUF165 family (YhhQ) (PUBMED:31481610)</t>
  </si>
  <si>
    <t>MPKL----ASGQGDTAVSSGNARFIQVQKSYYPILLALFVAVFIISNITATKGVMFGPIITDGAFFLFPLAYVIGDVLAECYGFRATRRAIWTGFAAMLIAVFSFYIAIALPQADFYEQQNEFAAILGLVPRIVTASLMGYLVGQLLNSWALVKIKERTGEKTLWARLLGSTVVGEFGDTLVFCLIAAPVIGITTVGDTINYTIVGFLWKTAVEVAIMPVTYAVIRWVKTHENY</t>
  </si>
  <si>
    <t>MPDIPGPIPSTPPHNSTSNSTVRSIPVQRSYYPILLALFVVVFIISNVTATKGVALGPLITDGAFFLFPIAYVIGDVLSECYGFAATRRAIWTGFAAMMLAVASFYIAIALPSAPFYEGQDAFSAALGLVPRIVVASLAGYLVGQLLNSYVLVHMKQRTGEKSLWARLLGSTVVGECGDTLVFCLIAAPVIGIASVGDTVNYTVVGFLWKTAVEVAVMPVTYAVIRFVKNHEGY</t>
  </si>
  <si>
    <t>-----------------MLSGSSYIPVQKSAYPVLLALFTTIFVLSNIVSTKGVQVGPLVTDGAFFLFPAAYVIGDVISECYGFRAARRAVWTGFLAMIIAVSTFYVAILLPAASFYEGQAAFAVTLGLVPRIVVASLSGYAAGQLLNAWLLTLMKDRLGERGLWKRLLGSTVVGEFGDTLIFCLIAAPVIGISTVGDTANYVVVGFVWKTLVEVAVMPITYLVIRRIKAHE--</t>
  </si>
  <si>
    <t>-----MICTIGKYRISAMPSGSSYIPVQKSAYPVLLALFTTIFVLSNIVSTKGVQVGPLVTDGAFFLFPAAYVIGDVISECYGFRAARRAVWTGFLAMIIAVSTFYVAILLPAASFYEGQAAFAATLGLVPRIVVASLSGYAAGQLLNAWLLTLMKDRLGERGLWKRLLGSTVVGEFGDTLIFCLIAAPVIGISTVGDTANYVVVGFVWKTLVEVVVMPITYLVIRRIKAHE--</t>
  </si>
  <si>
    <t>GC_00000343</t>
  </si>
  <si>
    <t>PF11452.13</t>
  </si>
  <si>
    <t>Protein of unknown function (DUF3000)</t>
  </si>
  <si>
    <t>-MGGLLNPTTRQVRIHHKYDSKNSPLKPPFSARLPLWLQLWDSFVRVTDSEATVHASAAADA-APQFFADAVESLYQAQLRPEISVGTIRPPQRLAPYSHAIGLEVMHPETD----IVTPDSEGDAFGRLIILHDPQGEETWNGQLRLVAYIQADMDDAVAGDPLLPDVAWEWLREGLGDSTATFTNLGGTVTSTTSVRFGDIGGPPRAYQLELRASWTAEDNNLAPHVAAFATVLASVAGLPPEGVRMIR----</t>
  </si>
  <si>
    <t>MVGVRLGLLQRRGAV--------------------LLAKSFANLAGVTNTPTSPKKSPVTDTDTPVDFSRAMASMHEAVLRPEITLGIIRPPQRLAPFSHAIGLEVTRPESI---KPMSTDAEGDAFGRLILLHDPGADDVWEGPLRLVAYIQADMDHSLAGDPLLPEVAWDWLTEGLSEGGAEYSNLGGTVTSTASVRFGEITGPPSAYQIEMRASWTAASVELAPHVVAFSKVLAHVAGLPPEGVTALNNGVNV-</t>
  </si>
  <si>
    <t>MVGVRLGLLQRRGAV--------------------LLAKSFANLAGVTNTPTSPKKSPVTDTDTPVDFSRAMASMHEAVLRPEITLGIIRPPQRLAPFSHAIGLEVTRPESI---KPMSTDAEGDAFGRLILLHDPGADDVWEGPLRLVAYIQADMDHSLAGDPLLPEVAWDWLTEGLSEGGAEYSNLGGTVTSTASVRFGEITGPPSAYQIKMRASWTAASVELAPHVVAFSKVLAHVAGLPPEGVTALNNGVNV-</t>
  </si>
  <si>
    <t>GC_00000344</t>
  </si>
  <si>
    <t>PF13631.11</t>
  </si>
  <si>
    <t>Cytochrome b(N-terminal)/b6/petB</t>
  </si>
  <si>
    <t>K03891</t>
  </si>
  <si>
    <t>quinol---cytochrome-c reductase cytochrome b subunit [EC:7.1.1.8]</t>
  </si>
  <si>
    <t>COG1290</t>
  </si>
  <si>
    <t>Cytochrome b subunit of the bc complex (QcrB/PetB) (PDB:1VF5)</t>
  </si>
  <si>
    <t>M00151</t>
  </si>
  <si>
    <t>Cytochrome bc1 complex respiratory unit</t>
  </si>
  <si>
    <t>KEGG Orthology (KO)&gt;&gt;&gt;09100 Metabolism&gt;&gt;&gt;09102 Energy metabolism&gt;&gt;&gt;00190 Oxidative phosphorylation [PATH:ko00190]|Enzymes&gt;&gt;&gt;7. Translocases&gt;&gt;&gt;7.1  Catalysing the translocation of protons&gt;&gt;&gt;7.1.1  Linked to oxidoreductase reactions&gt;&gt;&gt;7.1.1.8  quinol---cytochrome-c reductase</t>
  </si>
  <si>
    <t>MSNNKLAQMGTNMDSRYTMSAGIRRQINKVFPTHWSFMLGEIALYSFIVLLLSGIYLTLFFDPSIVKVIYDGAYEPLRGVEMSHAYATALNISFEVRGGLFIRQLHHWAALMFAVSIMVHMFRIFFTGAFRRPREANWIIGCVLLLLSVAEGFMGYSLPDDLLSGVGLRIMSAIVLSLPIIGTWLHWLIFGGDFPSELMLDRFYIAHVLLIPGILLALIAAHLALVWYQKHTQFPGPGRTETNVVGVRILPVFAVKSIAFGLITFGVLAFMAGAFQINAIWNLGPYNPAQVSAGSQPDIYMLWTDGAARVMPAWELYPFGHTIPAVFWVAILLGVLVVLLFTYPFIERKMTGDDAHHNLLQRPRDVPVRTSLGMMALVFYGILTLSGGNDLFAMHFQVSLNAMTWFGRIGLIVLPPIAYFITYRICLGLQRSDREVLEHGIETGVINQMPNGAFIEVHQPLTDDVDEHGHPKALDYAGAPVPKQMNQLGFAGHPGRGSYFTPDPENIADKAAEIEHANHAEEVEMFENLQLANRAADEENGKH</t>
  </si>
  <si>
    <t>MSNNKLAQMGNNVDSRYTLSAGIRTQINKVFPTHWSFLLGEIALYSFIVLLLSGIYLTLFFDPSIAKVVYDGAYAPLNGVEMSRAYETALNLSFEVRGGLFIRQLHHWAALMFAVSIMVHMLRIFFTGAFRRPREANWIIGCILLLLSVAEGFMGYSLPDDLLSGVGLRIMSAIVLSLPIIGTWLHWLIFGGDFPSEIMLDRFYIAHVLLIPGILLALIAAHLALVWYQKHTQFPGPGRTETNVVGVRILPVFAVKSVAFGLVTFGALAFMAGAFQINAIWNLGPYNPAQVSAGSQPDIYMLWTDGAARIMPAWELYLGNYTIPAVFWVAIMLGILVGLLFAYPFIEAKITGDDAHHNLLQRPRDVPVRTSIGVMALVFYALLTISGGNDLVAYHFQVSLNAMTWIGRIGLIVLPPLSYFITYRICIGLQRSDREVLEHGIETGVINQLPNGAFIEVHQPL-GEVDEHGHPVPLEYAGAPVPKQMNQLGFSGHPGRGSFFTPDNDDVAAKAAEIEHRNHEEEVAMFEELQRANR---EEDSKK</t>
  </si>
  <si>
    <t>-MSTKLAEIGNNIDSRYTAAAGIRRQINKVFPTHWSFMLGEIALYSFLILLLTGVYLTLFFDPSITKVIYDGAYLPLNGVEMSRAYETALNLSFEVRGGLFIRQMHHWAALMFMVSMTVHMLRIFFTGAFRRPREANWIIGCVLLLLGMAEGFMGYSLPDDLLSGVGLRIMSAIIVGLPIIGTWMHWLIFGGDFPSELMLDRFYIAHVLIIPGIILGLIAAHLALVWYQKHTQFPGPGRAENNVVGVRILPLFGI</t>
  </si>
  <si>
    <t>GC_00000345</t>
  </si>
  <si>
    <t>PF02585.22</t>
  </si>
  <si>
    <t>GlcNAc-PI de-N-acetylase</t>
  </si>
  <si>
    <t>K18455</t>
  </si>
  <si>
    <t>mycothiol S-conjugate amidase [EC:3.5.1.115]</t>
  </si>
  <si>
    <t>COG2120</t>
  </si>
  <si>
    <t>N-acetylglucosaminyl deacetylase, LmbE family (LmbE) (PDB:1Q74)</t>
  </si>
  <si>
    <t>KEGG Orthology (KO)&gt;&gt;&gt;09190 Not Included in Pathway or Brite&gt;&gt;&gt;09191 Unclassified: metabolism&gt;&gt;&gt;99980 Enzymes with EC numbers|Enzymes&gt;&gt;&gt;3. Hydrolases&gt;&gt;&gt;3.5  Acting on carbon-nitrogen bonds, other than peptide bonds&gt;&gt;&gt;3.5.1  In linear amides&gt;&gt;&gt;3.5.1.115  mycothiol S-conjugate amidase</t>
  </si>
  <si>
    <t>MNQGLRLLAIHAHPDDESSKGAATMARYVSEGNRVMVVTCTGGERGDILNPALLAEDTTADDIAAIRRTEMAQAAAILGVEHMWLGYEDSGLPSGDPL------PPLPEGCFALQDNDEVVRRLVGVLRTFRPHVIITYDENGGYPHPDHLKVHEVSMLAWDACADPEYAPELGGAWAPLKMYYTHGFIRQRLELFDAESERLGQPRPYQEILGRWKSLRGDIMSRVTTQVDVANFFEQRDDALRAHATQIDPAGTFFATSLDVQRRLWPTEEFELARTRIDVPGFEGVTRLPDAGMETDLFAGIEDES----</t>
  </si>
  <si>
    <t>-MTQRRILAIHAHPDDESSKGAATMARYVDEGNRVMVLTCTGGERGDILNPALIDTPGVKENIKAIRAEEMAAAVAALGVEHKWLGYIDSGLPQGDPL------PPLPKGSFALADTDEVTQKVVQVIREFRPEVIITYDENGGYPHPDHLKVHEVSMLAWDLAGDPTYHPELGEPWEPLKLYYTHGFIRQRLQLFHDLLIKEGKPSPYGDILQRWKAHQGDIMLRVTTQVNAADYFEQRDQALRAHATQIDPAG</t>
  </si>
  <si>
    <t>-MTQRRILAIHAHPDDESSKGAATMARYADEGNRVMVLTCTGGERGDILNPALIDTPGVKENIKAIRAEEMAAAVAALGVEHKWLGYIDSGLPQGDPL------PPLPKGSFALADTDEVTQKVVQVIREFRPEVIITYDENGGYPHPDHLKVHEVSMLAWDLAGDPTYHPELGEPWEPLKLYYTHGFIRQRLQLFHDLLIKEGKPSPYGDILQRWKAHQGDIMLRVTTQVNAADYFEQRDQALRAHATQIDPAG</t>
  </si>
  <si>
    <t>GC_00000346</t>
  </si>
  <si>
    <t>PF03741.22</t>
  </si>
  <si>
    <t>Integral membrane protein TerC family</t>
  </si>
  <si>
    <t>COG0861</t>
  </si>
  <si>
    <t>Tellurite resistance membrane protein TerC (TerC)</t>
  </si>
  <si>
    <t>MEVNALTWTITVIVVLGLLAFDFVSHVRSAHEPSMREATGWMLFYMALAAAFGMFLWFTWGGSEGQHDHAIEFFAGYITELSLSIDNLFIFALIIGSFKVPRAYQQKVLLIGIALALVFRGIFIALGAVVISKAAFVFYIFGAFLLYTAIKLVVDEVRGAEETHVDDMAVVKLVRRAFPVSSTFDGDRLLTRLNGRLMLTPLFICLLSIGFIDVMFAFDSIPAIFGLTQEAYIVFTANAFALMGLRQMYFLLDALLERLVFLSYGLGVILAFIGVKLLLHALHENHVPFINGGQPLHVYEFPTVLSLLIIVAILAVTAILSLLKSRSDARRAALN-----------------------------------------</t>
  </si>
  <si>
    <t>MEVNSLTWGITIVVLLGFIIFDFVSHVRKPHEPTIKEAAGWMIFYVLLACGFGIFLWYAWGGPQGKHDHAIEFFAGYITELSLSIDNLFIFALIIGSFKVPRAYQQKVLLIGIALALIFRGVFIAIGAAAISAASAVFYLFGAFLLYTAVKLIRDEIRGEEETDVDDMLVVRMTRKVIPVSSSFDGDKLFTREKGNRMVTPLMLALVSIGFIDLMFAFDSIPAIFGLTKEPYIVFTANAFALMGLRQMYFLLDGLLDRLVYLPYGLGVILGFIGVKLVLHALHENNLAFINGGEGFHVLEIPTVASLLFIVVTLAVTAVASLIKNKRDENLGGIPPKWNTAKDAS-------------------------------</t>
  </si>
  <si>
    <t>MEVNLMTWAITIALVIGLFIFDFYSHVRTPHEPTLKESAIWSLVYVTLACLFGIFLWFTWSEPGNPHQHGLEFFHGYIVEKALSVDNLFVFALIMGSFQVPRKYQQKVLLIGIMLALAFRLVFILLGKVAIDAWSDVFYLFGLFLLYTAVKLVIDEIRHVPEINPNDMWLIKTLRRIIPVAHGYESDHLFIHKKGQFAVTTLLVALIAIGMIDVMFALDSIPAIYGITVEPYIVFTTNAFSLLGLRQMYFLLDGLLDRLVFLPYGLGGVLGFISVKLILHALHENKLGFINGGESVPVPEIPTVWSLVTIVGILTIAVVASLIKVKRDEAQGAIALKWNKDYDDIPMNGAEADGTPARPKNPSTSNASADGNPRET</t>
  </si>
  <si>
    <t>GC_00000347</t>
  </si>
  <si>
    <t>PF19297.4</t>
  </si>
  <si>
    <t>QcrA subunit N-terminal region</t>
  </si>
  <si>
    <t>K03890</t>
  </si>
  <si>
    <t>quinol---cytochrome c reductase iron-sulfur subunit [EC:7.1.1.8]</t>
  </si>
  <si>
    <t>COG0723</t>
  </si>
  <si>
    <t>Rieske Fe-S protein (QcrA/PetC) (PDB:5CXM) (PUBMED:27663073)</t>
  </si>
  <si>
    <t>MSKE-QKKYTSQELNAMSNDELARLGTELDEVTVAYRKQRFPIPNDPAEKRAVNLVGLWFLLGIVMAVAFFGIYIFWPWQYKGLGEQGVWLYTLYTPLIGITMGLSILFMGFGAVEYVKRFIPEEISVQRRHDGPSEEVDQRTIVALLNDAWETSTLGRRKVLMGLMGSGAVLGGLAVFGPLMGMIKNPWKP-AHPLNVQGDGTLWTSGWTLVDEGVKVYLGRDTGAIAQTHGEGYEEHYTTQGISRLVRMRPEDLAAAGMETVFPLPEGFVNDGGNYDATRDVYEEQMHSIHGTRNAVMLIRLRSADADRAIQREGQEDFHYGDYYAYSKICTHIGCPTSLYEAQTNRILCPCHQSQFDALQYGKPVFGPAARALPQLPITVDEEGYLVAKGNFIEPVGPAFWERKS</t>
  </si>
  <si>
    <t>MSNNVNKKYTSQELNAMSNDELARLGTELDEVTVAYRKERFPIANDPAEKRAVNIVGVWFLLGIIFAVAFLGVYLFWPWHYKGLGESGVWLYSLYTPLLGVTMGLSILSMGFGAVQYVKKFIPEEISVQRRHDGPSEEVDRRTLVALLNDSWQTSTLGRRKVLMGLMGTGAVLAGLTIIAPLGGMVKNPWKPKAGGLDVQGDGTLWTTGWTLTKEGTKVYLGRDTGALAEKHH----GHYTTQGISRLVRMRPEDLAAGGMETVFPLPEEDVNDGDLYESTREVYEAHMHSIHGPRNSVMLIRLRSADASRAVQRQGQEDFHYGDYYAYSKICTHIGCPTSLYEAQTNRILCPCHQSQFDALHYAKPVFGPAARALPQLPITVDEEGYLIAAGDFVEPVGPAFWERRS</t>
  </si>
  <si>
    <t>MSKN-EKNYSDKDLNGMSNGELARLGTELDDVTVAYRKERFPIDNDPAEKRASRAVALWLGIGVLSAIAFLGVYIAWPWQYKGLGDEGVTLYTFYTPLLGITAGLAILSLGFAVVLYVKTIIPEEIAVQRRHDGPSSEVDRRTIVALLNDSWETSTLGRRKVLQGLLGMSAVLVGLVIAAPLGGMIKNPWK--AGKLGIQGDGTLWTSGWTLTEKGVKLYLGRDTGALAVKHETDAGEHYSTQGVTRLVRMRPEDLAAAAMETVFPLPEEDVNDGDLYDPTRDVYETHMHSIHGPRNAVMLIRLRSSDAAKVVERVGQEDFHFGDYYAYSKICTHIGCPTSLYEAQTNRILCPCHQSQFDALHYGKPVFGPAARALPQLPITVDEDGYLVAAGNFVEPVGPAFWERKS</t>
  </si>
  <si>
    <t>GC_00000348</t>
  </si>
  <si>
    <t>K00886</t>
  </si>
  <si>
    <t>polyphosphate glucokinase [EC:2.7.1.63]</t>
  </si>
  <si>
    <t>M00001|M00549</t>
  </si>
  <si>
    <t>Glycolysis (Embden-Meyerhof pathway), glucose =&gt; pyruvate|Nucleotide sugar biosynthesis, glucose =&gt; UDP-glucose</t>
  </si>
  <si>
    <t>Pathway modules; Carbohydrate metabolism; Central carbohydrate metabolism|Pathway modules; Carbohydrate metabolism; Other carbohydrate metabolism</t>
  </si>
  <si>
    <t>KEGG Orthology (KO)&gt;&gt;&gt;09100 Metabolism&gt;&gt;&gt;09101 Carbohydrate metabolism&gt;&gt;&gt;00010 Glycolysis / Gluconeogenesis [PATH:ko00010]|KEGG Orthology (KO)&gt;&gt;&gt;09100 Metabolism&gt;&gt;&gt;09101 Carbohydrate metabolism&gt;&gt;&gt;00520 Amino sugar and nucleotide sugar metabolism [PATH:ko00520]|Enzymes&gt;&gt;&gt;2. Transferases&gt;&gt;&gt;2.7  Transferring phosphorus-containing groups&gt;&gt;&gt;2.7.1  Phosphotransferases with an alcohol group as acceptor&gt;&gt;&gt;2.7.1.63  polyphosphate---glucose phosphotransferase</t>
  </si>
  <si>
    <t>MHSSNLERSD---EAHVGFGIDIGGSGIKGARVDLRTGEFIGERIKVATPQPATPTAVADTVATIINQAHWAGPVGITVPSVVRNQQALTAANIDPEWIDCDLSDVFSTAVGGRECAVLNDADAAGLAEVAFGDPRAQQGVVILATLGTGIGSALLTDGTLVPNTELGHLMIQRPRRSGKITLVEAEAYAASSVRQREELSYKKWAKRLSHVLSEYERLFWPDLFILGGGVSRKFDKWGPLLEVDTQVVPARLRNRAGIVGAAMAVNRGIRP</t>
  </si>
  <si>
    <t>MCYALPVFSKLALMTRIGFGIDVGGSGIKGARVDLDTGEFIGERIKIFTPQPATPDAVAATCAEIVKIAEWPDAVGITLPSVIKNKVVLSAANIDPSWVGIDSHELFAKHLPGTDVHVLNDADAAGVAEAHFGDPLAKSGAVMMLTFGTGIGSALLIDGVVFPNTELGHMIVDGQ---------DAENIASSRIKDVEELSYKKWAARVDKVMHEYERLFNPTVFVVGGGISRKADKWVPLLTIETPVVPAQLRNRAGIVGAAMAVEAGLHP</t>
  </si>
  <si>
    <t>MYYALPVFSKLALMTRIGFGIDVGGSGIKGARVDLDTGEFIGERIKIFTPQPATPDAVAATCAEIVKIAEWPDAVGITLPSVIKNKVVLSAANIDPSWVGIDSHELFAKHLPGTDVHVLNDADAAGVAEAHFGDPLAKSGAVMMLTFGTGIGSALLIDGVVFPNTELGHMIVDGQ---------DAENIASSRIKDVEELSYKKWAARVDKVMHEYERLFNPTVFVVGGGISRKADKWVPLLTIETPVVPAQLRNRAGIVGAAMAVEAGLHP</t>
  </si>
  <si>
    <t>GC_00000349</t>
  </si>
  <si>
    <t>PF00116.26</t>
  </si>
  <si>
    <t>Cytochrome C oxidase subunit II, periplasmic domain</t>
  </si>
  <si>
    <t>K02275</t>
  </si>
  <si>
    <t>cytochrome c oxidase subunit II [EC:7.1.1.9]</t>
  </si>
  <si>
    <t>COG1622</t>
  </si>
  <si>
    <t>Heme/copper-type cytochrome/quinol oxidase, subunit 2 (CyoA) (PDB:1CYW)</t>
  </si>
  <si>
    <t>MCVEETFNALAKVWTGRQTHVDQQTQRLFKRKAALGGAFGLAGLTLAGCDVDAPSGTLGKALRFGWPEGVTPEAHAMGNFWVWTWVAAWILGAIMWGLMLWCLFAYSAKRAEKQGKGEFPRQTGYNIGLELVLTVIPIIIVMGMFFFTVQTQDKVTALDKDPKVSVDVTAYQWNWKFGYGSIDGEFTPNGENYVGTDKERQEAVDRAGEFDDTTRGEEGTAHHGE-AKGPIHGKSAADLSYLHFDKIETLGTSDEVPVLVIPANTPVEFDLASADVVHSFWVPEFLFKRDAFPHPERNKSERKFQVESVD-EGAYVGRCAEMCGTYHAMMNFEVRAVSPELFKQYIEFRMDNPEASNGQALAAIGQKAAAETTKPFKTGRTDTRGVEEGSNAVELNG---</t>
  </si>
  <si>
    <t>--------------------MKQRNKRGFMRNATLAGVLGAGSLALTGCDVAAPGGPVGHFLRMGWPEGITPEATAMGNFWVWVWVAAWIIGAIMWGLMLWSLFRYSAKRAEKNGKGEFPRQTGYNVPLELVLTIVPILIVMTLFFFTVQTQDRVTALDKDPKVKVDVTAFQWNWKFGYGEVAEDLSPTGSLYNGRDEERQKAADHSAEFADSTRESHGEASHGEHAAGPIHGKSKSDMSYLHFDKIETLGTTDE</t>
  </si>
  <si>
    <t>--------------------MEQQHKR----KAVLGGLLGLGSLMLAGCDVDAPGGALGWFLGMGWPKGITPEATAMYNFWEWVWVVAWTIGFIMWGLFIYGMFAWSAKRAKKAGKDEFPRQTQYNIPLELVLTIFPIIIVMGLFFFTVQTQEKVTALDKDPKVTVDVTAYQWNWKFGYQKVAPELTADGQEYVGTDEERQKLAE------ESKVDPNGK--------NPINGRSKSDVSYLHFNKIETLGTTQE</t>
  </si>
  <si>
    <t>--------------------MEQQHKR----KAVLGGLLGLGGLMLAGCDVDAPGGALGWFLGMGWPKGITPEATAMYNFWEWVWVVAWTIGFIMWGLFIYGMFAWSAKRAKKAGKDEFPRQTQYNIPLELVLTIFPIIIVMGLFFFTVQTQEKVTALDKDPKVTVDVTAYQWNWKFGYQKVAPELTADGQEYVGTDEERQKLAE------ESKVDPNGK--------NPINGRSKSDVSYLHFNKIETLGTTQE</t>
  </si>
  <si>
    <t>GC_00000350</t>
  </si>
  <si>
    <t>PF00582.32</t>
  </si>
  <si>
    <t>Universal stress protein family</t>
  </si>
  <si>
    <t>COG0589</t>
  </si>
  <si>
    <t>Nucleotide-binding universal stress protein,  UspA family (UspA) (PDB:1JMV)</t>
  </si>
  <si>
    <t>---MSYCVVAIDGSESSNDAVRWAA----RSGHALKLATSYTMPQFLYAEGMVPPQELFDELQQEAQARVDAASALARETRSDVELVEVVAEGSPIDMLLELSKSEETSMICMGSRGLGGLQGMVLGSVSAAVASHAHCPVVVIR-QGQIGED---GPIVVGVDGSEVSDKAVEFAFEQAKTRGVPLIAVHTWMDVAV----AGLAVA---WDDEEAVQRDLLKERLEGIMGRSPDVDVQLQVTRDRPVRALAEA</t>
  </si>
  <si>
    <t>MNKENIVVVAIDGSDASKVAVRWAANTAMKRDIPLRLAASYSMPQFLYAEGMVPPQELFDELQEETMEKINEAREIAHEVAPDIKIGHTIAEGSPIDMLLEMSKY--VTMIVMGSRGLGGLSGMVMGSVSAAVVSHAHCPVVVVRGDNPVTEDTKYGPVVVGVDGSGVSQKAIEYAFAEASARECELIAVHTWMDMQIQASLAGLSAAQQQWKIVEEEQNMLLGHRLAGYAERYPDVQVTRVVTRDRPVRALVDAAKGAQLLVVGSHGRGGFKGMLLGSTSRALLQSAPCPMMVVRPDSDAKAH----------------</t>
  </si>
  <si>
    <t>MTAENTVVVAVDGSDAAKNAVRWAANTASKRGVPLRIASSYTMPQFLYAEGMVPPQELFDELQAETMSIVEEAKKIAEEVNPDLKIAYTIAEGTPIDMLLELSET--NKMIVMGSRGLGGLSGMVMGSVSAAVVSHAHCPVVVVREDNHLTEENKYGPVVVGVDGSDVSQQATEFAFAEADARGAKIEAIHTWIDMQVQASLAGLAAAQQEWKVVEEEQTQLLQERLAPLLEQYPNVDVDMVITRDRPIRALVDAAKHAQLLVVGSHGRGGFRGMLLGSTSRALLQQAPCPMVVVRPTKPIKQAKSFKSLKSSKTPKSDK</t>
  </si>
  <si>
    <t>GC_00000351</t>
  </si>
  <si>
    <t>PF00590.25</t>
  </si>
  <si>
    <t>Tetrapyrrole (Corrin/Porphyrin) Methylases</t>
  </si>
  <si>
    <t>K02303</t>
  </si>
  <si>
    <t>uroporphyrin-III C-methyltransferase [EC:2.1.1.107]</t>
  </si>
  <si>
    <t>COG0007</t>
  </si>
  <si>
    <t>Uroporphyrinogen-III methylase (siroheme synthase) (CysG) (PDB:1PJQ)</t>
  </si>
  <si>
    <t>M00846|M00924|M00925</t>
  </si>
  <si>
    <t>Siroheme biosynthesis, glutamyl-tRNA =&gt; siroheme|Cobalamin biosynthesis, anaerobic, uroporphyrinogen III =&gt; sirohydrochlorin =&gt; cobyrinate a,c-diamide|Cobalamin biosynthesis, aerobic, uroporphyrinogen III =&gt; precorrin 2 =&gt; cobyrinate a,c-diamide</t>
  </si>
  <si>
    <t>KEGG Orthology (KO)&gt;&gt;&gt;09100 Metabolism&gt;&gt;&gt;09108 Metabolism of cofactors and vitamins&gt;&gt;&gt;00860 Porphyrin metabolism [PATH:ko00860]|Enzymes&gt;&gt;&gt;2. Transferases&gt;&gt;&gt;2.1  Transferring one-carbon groups&gt;&gt;&gt;2.1.1  Methyltransferases&gt;&gt;&gt;2.1.1.107  uroporphyrinogen-III C-methyltransferase</t>
  </si>
  <si>
    <t>-MSSTPSAPTPPVSLIGGGPGAWDLITVRGMHRLQAADVIIADHLGPTAELDKLCDVATKTIIDASKLPYGKQVAQEKINAYIVDNARAGRTVARLKGGDPYVFGRGFEELQACAAEGIAVEVIPGVTSAISVPALFGIPVSMRGVVHNFTVISGHLPPGHPQSLNNWEALAATGGTLAIIMGVKNGPAIADALIGHGMDPNTPAAVIQEGSTDGERGVRTTLSQLGRSIADNHIAPPAVIIVGDVAGLEATGGA</t>
  </si>
  <si>
    <t>MIMNQPPEALPGVTLVGGGPGAWDLITVRGMRVLQNADVILADHLGPSTELEKLCDLSGKTLIDAAKLPYGRQMAQEKINELMVEHARQGSNVVRLKGGDPYVFGRGFEEVQACQEAGIPCTVVPGVTSAISVPGAVGVPVTQRGVVHSFTVISGHVPPGHPQSLNNWEALAQTGGTLVVIMGVKNSRSIANALLVGGRSGDTPAAVIQEGTTSEERTFRCTLSTLADVIEHESIKPPAVYVIGEVADL-------------</t>
  </si>
  <si>
    <t>------MTFQPLVSLIGGGPGAWDLITVRGMRRLQDADVILADHLGPTSELHQLCSIDSKKLIDVSKLPYGHQVAQEKINNLLLTHAQSGKKVARLKGGDPYVFGRGFEELQFLASHGIACEVIPGVTSAISVPALAGVPITHRSVVHSFTVISGHLPPGHKDSRNNWEALAHTGGTLAVIMGVKNAPKIAAAIIAAGRAPETPAIVIQEGATTNQRGYRCTLGTLAETMKTHNIQPPAVYVIGDVAGLSTMSLS</t>
  </si>
  <si>
    <t>------MTFQPLVSLIGGGPGAWDLITVRGMRRLQDADVILADHLGPTSELHQLCSVDSKKLIDVSKLPYGHQVAQEKINNLLLTHAQSGKKVARLKGGDPYVFGRGFEELQFLASHGVACEVIPGVTSAISVPALAGVPITHRSVVHSFTVISGHLPPGHKDSRNNWEALAHTGGTLAVIMGVKNAPKIAAAIIAAGRAPETPAIVIQEGATTNQRGYRCTLGTLAETMKTHNIQPPAVYVIGDVAGLSTMSLS</t>
  </si>
  <si>
    <t>GC_00000352</t>
  </si>
  <si>
    <t>PF04138.20</t>
  </si>
  <si>
    <t>GtrA/DPMS, transmembrane domain</t>
  </si>
  <si>
    <t>COG2246</t>
  </si>
  <si>
    <t>Putative flippase GtrA (transmembrane translocase of bactoprenol-linked glucose) (GtrA) (PDB:5MLZ) (PUBMED:24710389)</t>
  </si>
  <si>
    <t>-----------MRQFIKFGLVGGSGTLVNLIATIIFTKLTLWTAGHTPADPFLNLLGTQFHLRWYHIIMTLAFLTANTWNYQLNRVWTFKADNRQSWFREFFPFLATGILSYIVSLIVATLLMNPHSPLHLPSHIFDDTTGLRTKFYWANLISILVAMPVNFLVNKFWTF---KGKPIV----------</t>
  </si>
  <si>
    <t>----MEKYRNSIRQFLKFGIVGGSGTIVNLVITVLAKKISWWTAQISEHDVAMNLFGSQFNIRWFNIFAIIAFLVANLWNFQINRMWTFKAHGGGSWFKEFFSFLLAGIGALCVTQIMLVLLMNPTSPLALPSGIFDDSTGFRTKFYWASALSIIVAMPVNFIINKLWTF---RGHKVVATEDPS----</t>
  </si>
  <si>
    <t>MANSNHQGRNSLGQFIQFGMVGGSGVFVNLFAMYLSKKIAEWGFGLHQNDVFMNLLGTSFNIRWYHIFVTIAFLVANTWNYQLNRMWTFKSSAVG-WFRGYIAFLTTGVLAFLVSLVVTTLLMNPTSPIALPSDVFDDSTGLRTKLYYASAIAILVSMPVNFIINKLWAFRKPRTPKVIIHTEPYAAHK</t>
  </si>
  <si>
    <t>GC_00000353</t>
  </si>
  <si>
    <t>PF13537.11</t>
  </si>
  <si>
    <t>Glutamine amidotransferase domain</t>
  </si>
  <si>
    <t>K00764</t>
  </si>
  <si>
    <t>amidophosphoribosyltransferase [EC:2.4.2.14]</t>
  </si>
  <si>
    <t>COG0034</t>
  </si>
  <si>
    <t>Glutamine phosphoribosylpyrophosphate amidotransferase (PurF) (PDB:1ECB)</t>
  </si>
  <si>
    <t>ko00001|ko00001|ko01000|ko01002</t>
  </si>
  <si>
    <t>KEGG Orthology (KO)&gt;&gt;&gt;09100 Metabolism&gt;&gt;&gt;09104 Nucleotide metabolism&gt;&gt;&gt;00230 Purine metabolism [PATH:ko00230]|KEGG Orthology (KO)&gt;&gt;&gt;09100 Metabolism&gt;&gt;&gt;09105 Amino acid metabolism&gt;&gt;&gt;00250 Alanine, aspartate and glutamate metabolism [PATH:ko00250]|Enzymes&gt;&gt;&gt;2. Transferases&gt;&gt;&gt;2.4  Glycosyltransferases&gt;&gt;&gt;2.4.2  Pentosyltransferases&gt;&gt;&gt;2.4.2.14  amidophosphoribosyltransferase|Peptidases and inhibitors&gt;&gt;&gt;Cysteine peptidases&gt;&gt;&gt;Family C44</t>
  </si>
  <si>
    <t>-------------------------------MSTVDEL-EAPPREECGVFGVWAPGEDVSKLTYYGLYALQHRGQEAAGLAVGDGDQIVVFKDLGLVSQVFDEQTLDALKGHVAVGHTRYATAGGACWENAQPMFRMAPDGTDIALGHNGNLVNFRELLVEAATKGLVDKRWADPEALSARGADGANEVTAPSDSDVMCALLSDGVRDGRSVIDSAMDLLPRLQGAFCLCFTDGTALYAARDPFGVRPLAIGRLE</t>
  </si>
  <si>
    <t>MDPHGGVASRVRETNPNRLRLGIVAALDQSPQFPLDDHGEQTPREECGVFGVWAPGEEVAKLTYYGLYALQHRGQEAAGIAVGDGDQIVVYKDLGLVSQIFDEQSLDALKGDIAIGHTRYSTAGGTCWENAQPMFRTASNGSDVALGHNGNLVNYLELLDDAARKKLVDPA------------------TKPSDSDVMCALLAHGISDDTSLVESAKRLLPTIKGAFCLTFTDGHTLYAARDPHGVRPLCIGRLDRGWVVASETAALDIVGASFVREVDPGELIIVNASGVRSERFAEKKHKGCVFEYVYLARPDSVIRQQSVHETRVEIGRRLAEEYPADGDLVIPVPDSGTPAAVGYAQGSGIPFGLGLVKNAYVGRTFIQPSQTIRQLGIRLKLNPLRQIIDGKRLVVVDDSIVRGNTQRALIRMLREAGAAEVHVRIASPPVKWPCFYGIDFASPGELLANCVEGNDEDAMVTSVCTAIGADSLGYVSIGSMVEASRQDYDELCCACFDGVYPLGLPAGNPNAELVRKMQH-------</t>
  </si>
  <si>
    <t>MRPHGGVASRVRETNPNRLRLGIVAALDQSPQFPLDDHGEQTPREECGVFGVWAPGEEVAKLTYYGLYALQHRGQEAAGIAVGDGDQIVVYKDLGLVSQIFDEQSLDALKGDIAIGHTRYSTAGGTCWENAQPMFRTASNGSDVALGHNGNLVNYLELLDDAARKKLVDPA------------------TKPSDSDVMCALLAHGISDDTSLVESAKKLLPTIKGAFCLTFTDGHTLYAARDPHGVRPLCIGRLDRGWVVASETAALDIVGASFVREVDPGELIIVNASGVRSERFAEKKHKGCVFEYVYLARPDSVIRQQSVHETRVEIGRRLAQEYPADGDLVIPVPDSGTPAAVGYAQGSGIPFGLGLVKNAYVGRTFIQPSQTIRQLGIRLKLNPLRQIIDGKRLVVVDDSIVRGNTQRALIRMLREAGAAEVHVRIASPPVKWPCFYGIDFASPGELLANCVEGNDEDAMVTSVCTAIGADSLGYVSIGSMVEASKQDYDELCCACFDGVYPLGLPAGNPNAELVRKMQH-------</t>
  </si>
  <si>
    <t>--------------------MVVTHNEAQNNQSLLDDLGEQPPREECGVFGVWAPGEEVSKLTYFGLFALQHRGQEAAGIAVGDGQQVVVYKDLGLVSQIFDEQTLDSLRGDVAIGHTRYSTAGGVTWENSQPMFRVAPNGTDVALAHNGNLVNYLELLDEADEKQLVHKQ------------------NHPSDSDVMTALLSHQIGDGHGLLSAMRDLLPRVKGAFCLTITDGHTLFAARDPEGVRPLCLGRLD</t>
  </si>
  <si>
    <t>GC_00000354</t>
  </si>
  <si>
    <t>PF00712.24</t>
  </si>
  <si>
    <t>DNA polymerase III beta subunit, N-terminal domain</t>
  </si>
  <si>
    <t>K02338</t>
  </si>
  <si>
    <t>DNA polymerase III subunit beta [EC:2.7.7.7]</t>
  </si>
  <si>
    <t>COG0592</t>
  </si>
  <si>
    <t>DNA polymerase III sliding clamp (beta) subunit, PCNA homolog (DnaN) (PDB:1JQJ)</t>
  </si>
  <si>
    <t>ko00001|ko00001|ko00001|ko01000|ko03032|ko03400</t>
  </si>
  <si>
    <t>KEGG Orthology (KO)&gt;&gt;&gt;09120 Genetic Information Processing&gt;&gt;&gt;09124 Replication and repair&gt;&gt;&gt;03030 DNA replication [PATH:ko03030]|KEGG Orthology (KO)&gt;&gt;&gt;09120 Genetic Information Processing&gt;&gt;&gt;09124 Replication and repair&gt;&gt;&gt;03430 Mismatch repair [PATH:ko03430]|KEGG Orthology (KO)&gt;&gt;&gt;09120 Genetic Information Processing&gt;&gt;&gt;09124 Replication and repair&gt;&gt;&gt;03440 Homologous recombination [PATH:ko03440]|Enzymes&gt;&gt;&gt;2. Transferases&gt;&gt;&gt;2.7  Transferring phosphorus-containing groups&gt;&gt;&gt;2.7.7  Nucleotidyltransferases&gt;&gt;&gt;2.7.7.7  DNA-directed DNA polymerase|DNA replication proteins&gt;&gt;&gt;Prokaryotic type&gt;&gt;&gt;DNA Replication Elongation Factors&gt;&gt;&gt;Elongation factors (bacterial)&gt;&gt;&gt;DNA polymerase III holoenzyme|DNA repair and recombination proteins&gt;&gt;&gt;Prokaryotic type&gt;&gt;&gt;SSBR (single strand breaks repair)&gt;&gt;&gt;MMR (mismatch excision repair)&gt;&gt;&gt;DNA polymerase III holoenzyme</t>
  </si>
  <si>
    <t>MDAQAVAFRVSKDDLTSAVSWVARNLPSKPAQPVLRAMVITATDDGLELAGFDYEVSTQVAIPAEVSTPGRIAVAGKLIAEITSTLPNKPVDLHVEGSTAYITCGSSRFELPTIPLDDYPKLPDLPEETGQLDSKLFTRAVNQVALAAGRDETLPMLTGVHIEIDGNSVLMAATDRFRLAVRRFEWSPTNSFVKAKLLVPAKTLQEHARTLDN--ADTIHLAVGNGEEISSEGLFGIEAESRKTTTRMLSAEFPNFQPLLPKTHTAMASVEIAPLVDAIRRVSLVTDRNAQIRMEFSEGQVILSAGASDSGHAEEVVPCAFSG--EPLLIAFNPGYLKEGLGVINTDRVVFGFTQPSRPAILIPEPEEFPVAGDDGVFATPDTDFTYLLMPVRLPG</t>
  </si>
  <si>
    <t>MDSQAVSFRVDKDDFANAVGWVARSLPAKPAQPVLRGMVITASDEGLELAGFDYEVSTQVKIPAEVNEAGRIAVAGKLLADITAMLPNKPVELRVEGSNVLVTCGSARFEIPVIPLDDYPQLPQLPHTTGNIDPKLFSEAVSQVAIAAGRDETLPMLTGVHMDINGDTMLLAATDRFRLAVRTFDWEATDKSATAKLLIPAKTLLDNARSIDSQVGNDLHIAVGVGEQLGREGLFGLQSDARQTTTRMLDAEFPNFQPLLPKTHESMAVVQISPLQDAIRRVSVVADRNSQITMQFSDGELVLSAGGSEAGHAEENLPCAFFG--NPLTIAFNTGYLKDGLSVIHTENVMFGFTQPSRPAILIPEPETVPEADDNGVFATPQTNLTYLLMPVRLPG</t>
  </si>
  <si>
    <t>MDLGAVSFVVAKEDLASAVSWVARNLPTKPAQPVLRAMLITADDDGLEFAGFDYEVSTKVRIPAEVNQPGRIAVAGKLIADITATLPNKPVEIFVDGSTVQLKCGSSRFELPSIPLDDYPTLPTLPEVTGAINPRLFIDAVTQVATAAGKDDTLPMLTGVHMEIEGEDITLTATDRFRLALRRFQWIPAFPDAQAKLLIPAKNFVENARTLDANSTEPVEIAVGSDDSIGAEGLFGIHVDARQTTTRLLDAEFPNVNPLLPKFHKCLASVEISSLQDAIKRVALVADRNAQIRMHFTPGEVLLSAGGSDAGHAEESVPCEFIGTEEELLIAFNPAYLRDGLHVVRTQRVVFGFTESSRPAILIPEPEKLPELNDDGLYPTPDTDFTYLLMPVRLPG</t>
  </si>
  <si>
    <t>MDLGAVSFVVAKEDLASAVSWVARNLPTKPAQPVLRAMLITADDDGLEFAGFDYEVSTKVRIPAEVNQPGRIAVAGKLIADITATLPNKPVEIFVDGSTVQLKCGSSRFELPSIPLDDYPTLPTLPEVTGAINPRLFIDAVTQVATAAGKDDTLPMLTGVHMEIEGEDITLTATDRFRLALRRFQWIPAFPDAQAKLLIPAKNFVENARTLDANSTEPVEIAVGSGDSIGAEGLFGIHVDARQTTTRLLDAEFPNVNPLLPKFHKCLASVEISSLQDAIKRVALVADRNAQIRMHFTPGEVLLSAGGSDAGHAEESVPCEFIGTEEELLIAFNPAYLRDGLHVVRTQRVVFGFTESSRPAILIPEPEKLPELNDDGLYPTPDTDFTYLLMPVRLPG</t>
  </si>
  <si>
    <t>GC_00000355</t>
  </si>
  <si>
    <t>PF01230.28</t>
  </si>
  <si>
    <t>HIT domain</t>
  </si>
  <si>
    <t>F|R</t>
  </si>
  <si>
    <t>Nucleotide transport and metabolism|General function prediction only</t>
  </si>
  <si>
    <t>K19710</t>
  </si>
  <si>
    <t>ATP adenylyltransferase [EC:2.7.7.53]</t>
  </si>
  <si>
    <t>COG0537</t>
  </si>
  <si>
    <t>Purine nucleoside phosphoramidase/Ap4A hydrolase, histidine triade (HIT) family (HinT) (PDB:1AV5) (PUBMED:20934431)</t>
  </si>
  <si>
    <t>KEGG Orthology (KO)&gt;&gt;&gt;09100 Metabolism&gt;&gt;&gt;09104 Nucleotide metabolism&gt;&gt;&gt;00230 Purine metabolism [PATH:ko00230]|Enzymes&gt;&gt;&gt;2. Transferases&gt;&gt;&gt;2.7  Transferring phosphorus-containing groups&gt;&gt;&gt;2.7.7  Nucleotidyltransferases&gt;&gt;&gt;2.7.7.53  ATP adenylyltransferase</t>
  </si>
  <si>
    <t>MSTQHR--------HAEPEDTQRTVVDCGLGTPDRLERLWAPYRMDYIALGAQDREQESSAPRDPFIEVPKLSDEDGLIVSRGRNVYCVLNLYPYNPGHMLIVPYRKVSDLEDLTVEESTELMAYAQQAVKVIKQVSSPNAINVGLNLGKAAGGSVADHLHMHIVPRWVGDANFMTVIDSTKVLPQRLRDTRALFAEAWKDLSC----------------</t>
  </si>
  <si>
    <t>MINQARNLLLPDDNHDADGAQDDAVVDHGVGTPDRLQRLWAPYRMSYIAKGVQD-SHSATVGRDPFIEVPKMSDEDGLIIARGEYVFCVLNLYPYNAGHMMVVPYRKVANLEDLTLVESSELMEFSRTAIRVLKTVSHPDAINWGCNLGRASGGSVGDHLHLHIVPRWSGDANFMTVIDGTKVLPQVLRETRRLLAEGWIALDDA---------PGAAHA</t>
  </si>
  <si>
    <t>GC_00000356</t>
  </si>
  <si>
    <t>PF14622.11</t>
  </si>
  <si>
    <t>Ribonuclease-III-like</t>
  </si>
  <si>
    <t>K03685</t>
  </si>
  <si>
    <t>ribonuclease III [EC:3.1.26.3]</t>
  </si>
  <si>
    <t>COG0571</t>
  </si>
  <si>
    <t>dsRNA-specific ribonuclease (Rnc) (PDB:1DI2)</t>
  </si>
  <si>
    <t>ko00001|ko01000|ko03019|ko03009|ko03009|ko03036</t>
  </si>
  <si>
    <t>KEGG Orthology (KO)&gt;&gt;&gt;09120 Genetic Information Processing&gt;&gt;&gt;09122 Translation&gt;&gt;&gt;03008 Ribosome biogenesis in eukaryotes [PATH:ko03008]|Enzymes&gt;&gt;&gt;3. Hydrolases&gt;&gt;&gt;3.1  Acting on ester bonds&gt;&gt;&gt;3.1.26  Endoribonucleases producing 5'-phosphomonoesters&gt;&gt;&gt;3.1.26.3  ribonuclease III|Messenger RNA biogenesis&gt;&gt;&gt;Prokaryotic type&gt;&gt;&gt;Bacterial mRNA degradation factors&gt;&gt;&gt;RNA degradosome components&gt;&gt;&gt;Ribonucreases|Ribosome biogenesis&gt;&gt;&gt;Prokaryotic type&gt;&gt;&gt;rRNA processing factors|Ribosome biogenesis&gt;&gt;&gt;Eukaryotic type&gt;&gt;&gt;90S particles&gt;&gt;&gt;RNase|Chromosome and associated proteins&gt;&gt;&gt;Eukaryotic type&gt;&gt;&gt;Gene silencing&gt;&gt;&gt;microRNA pathway&gt;&gt;&gt;Microprocessor complex</t>
  </si>
  <si>
    <t>--MSRRSGKEAKGPAAW--------DKAFAEVDQAAIVSAFGVELEPEVLRLALTHRSFANENGGLPNNERLEFLGDAVLGLSVAAKLYSVHPNRPESDISKMRANVVSRYGLAAVARTIDLGQYVLLGQGELQTGGRDKDSILADTMEAIIGAVYQTYGFEVARAMVLRLFEDNIAKATVGGQYADWKTTLQELASELGVGPARYELTRVGPDHDPTFTATCTVDGDIVATGTGPNKKTAERTAAEQTAALLAA</t>
  </si>
  <si>
    <t>MSRSKGSKRRVDGQQVL--------REAFESVDHEPLFERLGVRIREDLFMLSLTHRSFAYENGMLPHNERLEFLGDSILGLSVADQLYRQYPDRPESDISKMRASMVSRYGLADIAREIGLGQHILLGKGERATNGQDKDSILADTTEAIFGAVYLEHGFDTAREVILRLFKYKIDHASAQGLHADWKTALQNLVSERRLPQPEYETSSVGPDHDLVFTAIARVDEAELGTGKGPSKKQAEQQAARVA--------------FHALRDN------VTTLPDA----------------</t>
  </si>
  <si>
    <t>MIHVGRVWRNSYEPQTQPSHRHRSPRTRIRQGRPCPLLAALGVDLPHDILTLALTHRSFANENGMLPNNERLEFLGDAVLGLSVAGKLFEQYPTRPESDISKMRASIVSRYGLADIAREIGLGQYILLGKGELLTDGRNKDSILADTTEALLGAIYRIHGFDIARDVVLRLFAHKISHAQATALHQDWKTSLQERLAEYKLPMPVYEATSVGPEHEQVFTASVNVLGRIIGEGTGTNKKLAEQAGAHQA--------------LELLNDPKARAELIQCQNSQK---------------</t>
  </si>
  <si>
    <t>---MSRKRSRLTGIEAL--------EQEFAKVDHAPLLAALGVDLPHDILTLALTHRSFANENGMLPNNERLEFLGDAVLGLSVAGKLFEQYPTRPESDISKMRASIVSRYGLADIAREIGLGQYILLGKGELLTDGRNKDSILADTTEALLGAIYRIHGFDIARDVVLRLFAHKISHAQATALHQDWKTSLQERLAEYKLPMPVYEATSVGPEHEQVFTASVNVLGRIIGEGTGTNKKLAEQAGAHQA------</t>
  </si>
  <si>
    <t>GC_00000357</t>
  </si>
  <si>
    <t>PF02357.24</t>
  </si>
  <si>
    <t>Transcription termination factor nusG</t>
  </si>
  <si>
    <t>K02601</t>
  </si>
  <si>
    <t>transcription termination/antitermination protein NusG</t>
  </si>
  <si>
    <t>COG0250</t>
  </si>
  <si>
    <t>Transcription termination/antitermination protein NusG (NusG) (PDB:3EWG) (PUBMED:19500594)</t>
  </si>
  <si>
    <t>MTDNNQSDFQTAQESDLEIVNNDAVDAVTEAAAEVAEGIADAGGDVDAAIAAAEAEATDAPAEADKAEADSAEATPEDADEAAIAEYKTRLRAFIRDLKKLPGDWYIIQCYSGYENKVKTNLDMRAQTLEVDDAIYDVVVPIEEVTEIRDGKRKLVKRKLLPGYVLVRMDMNDRAWSVVRDTPNVTSFVGNEGHPTPVKHRDIAKFLMPQENTTV-EGEENNTT---GEKVVAAPMTSAPKPAESDYQVGEAVTILTGAFASVSATISEIDAENGKVKALVSIFGRETPVDLTFDQIEKIM</t>
  </si>
  <si>
    <t>----------MSEETQDSLAAAMSELSESEAAEASEASQSAPAGEQKPETVKSEGAGETAAPEPGAAETADATETAEATETDEDGEYQVRLRRYIRELKKQPGQWYIIQCYSGYENKVKANLDMRIQTLEVEDSIFEVVVPVEQALEIRDGKRKIVKRKLLPGYVLVRMNINDHAWSVVRETPGVTSFVGNEGNATPVKPRDVAKFLMPRDTKPVAESTQAAGETPEGEKVVAMPTDMAKPKVVVNYEVGEAVTI</t>
  </si>
  <si>
    <t>GC_00000358</t>
  </si>
  <si>
    <t>K09903</t>
  </si>
  <si>
    <t>uridylate kinase [EC:2.7.4.22]</t>
  </si>
  <si>
    <t>COG0528</t>
  </si>
  <si>
    <t>Uridylate kinase (PyrH) (PDB:2BND)</t>
  </si>
  <si>
    <t>M00052</t>
  </si>
  <si>
    <t>Pyrimidine ribonucleotide biosynthesis, UMP =&gt; UDP/UTP,CDP/CTP</t>
  </si>
  <si>
    <t>KEGG Orthology (KO)&gt;&gt;&gt;09100 Metabolism&gt;&gt;&gt;09104 Nucleotide metabolism&gt;&gt;&gt;00240 Pyrimidine metabolism [PATH:ko00240]|Enzymes&gt;&gt;&gt;2. Transferases&gt;&gt;&gt;2.7  Transferring phosphorus-containing groups&gt;&gt;&gt;2.7.4  Phosphotransferases with a phosphate group as acceptor&gt;&gt;&gt;2.7.4.22  UMP kinase</t>
  </si>
  <si>
    <t>MTAPDNKRRRAYKRVMLKLGGEMFGGGGVGVDPDVVQNVARQIAEVAKSGTEVCVVIGGGNFFRGAQLQQRGMDRARSDYMGMLGTVMNCLALQDFLEQQGVDCRVQTAINMAQVSEPYLPLRAKRHLEKGRVVIFGAGMGMPYFSTDTTAAQRALEIDCEVLLMAKGVDGVFTDDPRVNADAEMFSEISHREVIEKGLKVADATAFSLCMDNDMPILVFNLLTDGNIARAVAGEHIGTLVRS</t>
  </si>
  <si>
    <t>MTDNLTKRSGGYQRVMLKLGGEMFGGGSVGIDPDVVSNVARQIASVARDGVQVAVVIGGGNFFRGAQLQQRGLDRNRSDYMGMLGTVMNCLALQDFLEQEGIDCRVQTAINMAQVAEPYLPLRAKRHLEKGRVVIFGAGMGMPYFSTDTTAAQRALEIDCEVLLMAKAVDGVYSDDPRTNPDAEFFSDITPREVIERGLRVADATAFSLCMDNNMPILVFNLLEEGNIARACSGAQIGTLVQS</t>
  </si>
  <si>
    <t>GC_00000359</t>
  </si>
  <si>
    <t>PF11181.13</t>
  </si>
  <si>
    <t>Heat induced stress protein YflT domain</t>
  </si>
  <si>
    <t>------------------------MGSFETYEQAQAAVEMLTKDDSFPVAELTIVGVDLMEVERVVGRLSWGKVLVSGALSGIWMGAFFGLLMGFFN-ENWVGPLIAGVVMGLIFGVTSSSVSYGASKKSRDFSTTTEIVAGRYDVLCSPPHARQARDMIARAHL--------</t>
  </si>
  <si>
    <t>MSTPHAGNAGSRDLSLRPRPEGWPVGSFDSYADAQAAVDMLSDKSDFPVAELTIVGVDLMEVEHVVGRLTWGRVIAGGAASGAWMGLFFGMLLGIFS-ENFISPIFLGIVMGVVFGIVASAVPYAASRGRRDFTTRTQIVAGRYDVLCTPAHAAEARDAIARFSFSSSHRNDN</t>
  </si>
  <si>
    <t>--------MPPQPAESRPRPAGWPVGSFSTYDKAQAAVDMLSDK-QFDVSNITIVGLDLMEVERVTGRLTWPRVILNGIVSGSWLGLFFGLLLGIMDGTNWLGSIILGVGMGIVFSVVTASVSYAMQGGRRDFSSATHIVAGRYDVLCDPHSAPQARDLISEFIAAGH-----</t>
  </si>
  <si>
    <t>--------MPPQPAESRPRPAGWPVGSFSTYDKAQAAVDMLSDK-QFDVSNITIVGLDLMEVERVTGRLTWPRVILNGVVSGSWLGLFFGLLLGIMDGTNWLGSIILGVGMGIVFSVVTASVSYAMQGGRRDFSSATHIVAGRYDVLCDPHSAPQARDLISEFIAAGH-----</t>
  </si>
  <si>
    <t>GC_00000360</t>
  </si>
  <si>
    <t>K01092</t>
  </si>
  <si>
    <t>myo-inositol-1(or 4)-monophosphatase [EC:3.1.3.25]</t>
  </si>
  <si>
    <t>M00131</t>
  </si>
  <si>
    <t>Inositol phosphate metabolism, Ins(1,3,4,5)P4 =&gt; Ins(1,3,4)P3 =&gt; myo-inositol</t>
  </si>
  <si>
    <t>Pathway modules; Carbohydrate metabolism; Other carbohydrate metabolism</t>
  </si>
  <si>
    <t>KEGG Orthology (KO)&gt;&gt;&gt;09100 Metabolism&gt;&gt;&gt;09101 Carbohydrate metabolism&gt;&gt;&gt;00562 Inositol phosphate metabolism [PATH:ko00562]|KEGG Orthology (KO)&gt;&gt;&gt;09100 Metabolism&gt;&gt;&gt;09110 Biosynthesis of other secondary metabolites&gt;&gt;&gt;00521 Streptomycin biosynthesis [PATH:ko00521]|KEGG Orthology (KO)&gt;&gt;&gt;09130 Environmental Information Processing&gt;&gt;&gt;09132 Signal transduction&gt;&gt;&gt;04070 Phosphatidylinositol signaling system [PATH:ko04070]|Enzymes&gt;&gt;&gt;3. Hydrolases&gt;&gt;&gt;3.1  Acting on ester bonds&gt;&gt;&gt;3.1.3  Phosphoric-monoester hydrolases&gt;&gt;&gt;3.1.3.25  inositol-phosphate phosphatase</t>
  </si>
  <si>
    <t>---------MTKGTAAANPPNMEEMIDALTKTFVISHETDSDEHLAQALVFNAGRLAWRLRSSVDLKAEQKTNVTDVVTVADRAAERFVAGVLAQLRPEDGLLGEEGASSDSSSGRRWVIDPIDGTWNFTSGSDYFCSALALVEDD--NPI---FGAVHRPAMGYTWFGGPGLPTTRDGQPVPRLDKAPMSQLCLGTYLHPTRFGEP-VKKTWEQVISNFGTVRMLGSASIDLGSVADGTLGAWLQHSVAEWDWQ</t>
  </si>
  <si>
    <t>MHIPAVQGTIGIMTAPKNPTEFNTMIDAVTKTFVIAHDQDTDEHLAQALVFNAGRLAWRMREAGVQT-EQKTSISDVVTDADHAAERFVAGALAALRPEDGIVGEEGTNAASTSGRTWVVDPVDGTYNFSCGSDYWCSALALVTGDPSNPEQLHFGAVHRPAMGYTWFGGPGIPTTRDAKPLPELHDVPLSHTGLGTYLHPTYLGQVEVRNAWLSVSTHCASIRMLGAGSVDLAGVAEGTLGAWMQHSVAEWDWLPGRALVEGVGGTCLTIPAGGVTWHVAGNATVVSEIQHALSESMSAVE</t>
  </si>
  <si>
    <t>---------------MSSPTPLHEMIPALIKTFAVGHEADSDEHLAQALVYNAGRLAWRLREAGLQAPEQKTSVSDIVTEADKAAEAFVAGVLELVRPADGVLGEEGTQRASESGKTWVIDPVDGTYNFASGSDYFCSAVALVSGSPADPTEVHFGAVHRPAMGYTWFGGPNIPSTKDGKPLTPLVDKPLNMVSLGTYIHPSSLADPKIFSTWNKVATRVATLRMLGAGSIDLATVADGGLGVWLQHSVADWDWL</t>
  </si>
  <si>
    <t>---------------MSSPTPLHEMIPALIKTFAVGHETDSDEHLAQALVYNAGRLAWRLREAGLQAPEQKTSVSDIVTEADKAAEAFVAGVLELVRPADGVLGEEGTQRPSESGKTWVIDPVDGTYNFASGSDYFCSAVALVSGSPADPTEVHFGAVHRPAMGYTWFGGPNISSTKDGKPLTPLVDKPLNMVSLGTYIHPSSLADPKIFSAWNKVAARVATLRMLGAGSIDLATVADGGLGVWLQHSVADWDWL</t>
  </si>
  <si>
    <t>GC_00000361</t>
  </si>
  <si>
    <t>PF01709.26</t>
  </si>
  <si>
    <t>TACO1/YebC second and third domain</t>
  </si>
  <si>
    <t>K|J</t>
  </si>
  <si>
    <t>Transcription|Translation, ribosomal structure and biogenesis</t>
  </si>
  <si>
    <t>K18189</t>
  </si>
  <si>
    <t>translational activator of cytochrome c oxidase 1</t>
  </si>
  <si>
    <t>COG0217</t>
  </si>
  <si>
    <t>Transcriptional and/or translational regulatory protein YebC/TACO1 (TACO1) (PDB:1KON)</t>
  </si>
  <si>
    <t>ko03029</t>
  </si>
  <si>
    <t>Mitochondrial biogenesis&gt;&gt;&gt;Mitochondrial quality control factors&gt;&gt;&gt;Mitochondrial respiratory chain complex assembly factors&gt;&gt;&gt;Complex-IV assembly factors</t>
  </si>
  <si>
    <t>MSGHSKWATTKHKKAANDAKRGKEFAKLIKNIEVAARTGGGDPAGNPTLDDMIRKAKKASVPNDNIERARKRGAGEEAGGADWQTIMYEGYGPGGVAVLIECLTDNRNRAATEVRTAMTKNGGNMAESGAVSYLFTRKGVVTVAKGELTEDDVLLAVLEAGAEEVNDLGEKYEVVSAAGDMVAVKEALVAADIEIDEADSDFRASVEVPLDVDGAKKMIKLIDALEDSDDVQNVFSNMDLSDEVVAALDA-</t>
  </si>
  <si>
    <t>MSGHSKWATTKHKKAANDAKRGKEFAKLIKNIEVAARTGGGDPAANPTLDDMIKKAKKASVPNDNIERARKRGSGEEAGGADWETIMYEGYGPNGVAILIECLTDNRNRAATEVRTAMTKNGGNMAESGSVAYLFTRKGVVLVAKGELTEDDVLMAVLDAGAEEVNDLGEQFEVVSEAGDMLAVKNALTEAGIDVDEADSDFRASVQVPLEADGARRIFRIIDALEDSDDVQNVYTNMDISDEVAAQLDI-</t>
  </si>
  <si>
    <t>MSGHSKWATTKHKKAANDAKRGKEFARLIKNIEVAARTGGGDPAANPTLDDMIRKAKKASVPNDNIERARKRGSGEEAGGADWQTIMYEGYGPNGVAILIECLTDNRNRAATEVRTAMTKNGGNMAESGAVSYMFTRKGVVSVLKGDLSEDDVLLAVLEAGAEEVNEIGDRFEIVSAPSDLAAIKAALVDAGIEVDDSEQDFRASVEVPLELADAKKIFRLIDALEESDDVQNVYTNMDLSAEVLAALDAE</t>
  </si>
  <si>
    <t>MSGHSKWATTKHKKAANDAKRGKEFARLIKNIEVAARTGGGDPAANPTLDDMIRKAKKASVPNDNIERARKRGSGEEAGGADWQTIMYEGYGPNGVAILIECLTDNRNRAATEVRTAMTKNGGNMAESGAVSYMFTRKGVVSVLKGDLSEDDVLLAVLEAGAEEVNEIGDRFEIVSAPSDLAAIKAALVDASIEVDDSEQDFRASVEVPLELADAKKIFRLIDALEESDDVQNVYTNMDLSAEVLAALDAE</t>
  </si>
  <si>
    <t>GC_00000362</t>
  </si>
  <si>
    <t>COG1119</t>
  </si>
  <si>
    <t>ABC-type molybdenum transport system, ATPase component ModF/photorepair protein PhrA (ModF) (PDB:2IHY)</t>
  </si>
  <si>
    <t>MVSVTSNLEHSAQRHVPTGDQTSIPAVDVSEIATDEDLLIDFRDVIFTRGGRDLLGPVTWQVELDERWVILGPNGAGKTTLIRLAGAEEFPSKGAAFIMGERIGKTDMRDLRTMIGMSSAAIAHRIPDEEKVGDLVVSAGYAILGRWREDYDEMDFEQAEDIMEKMGALHLKERTWGTLSEGERKRVLIARALMTNPELLLLDEPGAGLDLGGREDLVGYLGEIALDADAPAIVMITHHVEEIPYGFTHAMLLDEGGVVAQGLIDDVLTSENLTKAFHQPITLDKIGDRYFARRSRQSGAHRA</t>
  </si>
  <si>
    <t>--MIFPALSTMMEK--------------VNDF--NPDLLIDFDDVSFIRGGRNLVGPLTWKVELDERWVVLGPNGAGKTTLMRLAGAEEFPSSGIAHIMGEQLGKTDMRDLRTMIGMSSSALANRIPTEEQVSDLVVSAGYAILGRWREEYNDMDFGHADAVLEQVGASHLKDRMWGTLSEGEKKRVLIARALMTNPELLLLDEPGAGLDLGGREDLVGYLGELAVDPDAPAMVMITHHVEEIPAGFTHAMLLDS</t>
  </si>
  <si>
    <t>MNNSTPTNELTPPQ---------------------PDILIQFDDVSLIRNQRPLVSHITWQVAAGQRWIIVGPNGAGKTTLMRLAAAEEFPSTGTIWLLGERIGRTDMRDLRAAIGMCSSAVASRIPTGEKVIDLVVSAGYAILGRWREEYDSEDLDRAAGMLTQVGADHLSDRTWGTLSEGERKRVLIARSLMANPELLLLDEPSAGMDLGGREDLVAYLGELATDPDAPTLVMVTHHVEEIPTGFTHALLLDQGGIVTTGPIEQVLTSDNLSAAFHQPIQVDHVGGRFFAHR---------</t>
  </si>
  <si>
    <t>MNNSTPTNELTPPQ---------------------PDILIQFDDVSLIRNQRPLVSHITWQVAAGQRWIIVGPNGAGKTTLMRLAAAEEFPSTGTIWLLGERIGRTDMRDLRAAIGMCSSAVASRIPTGEKVIDLVVSAGYAILGRWREEYDSEDLDRAAGMLTQVGADHLSDRTWGTLSEGERKRVLIARSLMANPELLLLDEPSAGMDLGGREDLVAYLGELATDPDAPTLVMVTHHVEEIPTGFTHALLLDQGGIVTTGPIDQVLTSDNLNAAFHQPIQVDHVGGRFFAHR---------</t>
  </si>
  <si>
    <t>GC_00000363</t>
  </si>
  <si>
    <t>PF00861.27</t>
  </si>
  <si>
    <t>Ribosomal L18 of archaea, bacteria, mitoch. and chloroplast</t>
  </si>
  <si>
    <t>K02881</t>
  </si>
  <si>
    <t>large subunit ribosomal protein L18</t>
  </si>
  <si>
    <t>COG0256</t>
  </si>
  <si>
    <t>Ribosomal protein L18 (RplR) (PDB:1VS6)</t>
  </si>
  <si>
    <t>MSNTAENKRL---PIGKDISTRRRVARARRHFRIRKNLRGTAETPRLVVHRTSRHMHVQVIDDLKGHTLAAASTIEADVRALEGDKKAKAAKVGQLIAERAKAAGIEAIVFDRAGYKYHGRVAALADAAREGGLKF</t>
  </si>
  <si>
    <t>MSNTAEEKRVKRTPIGKDISTRRREARIRRHNRLRNHLRGTAERPRLAVFRSSRHMHAQIIDDTIGHTLVAASTVEPELRAFEGEKKAKAAEVGKLIAKRAKEAGIENVVFDRGGFKYHGRIAALADAAREGGLKF</t>
  </si>
  <si>
    <t>MSNNNNEKRL---PVGKDISARRREARVRRHVRVRKTLRGTPEAPRLAVFRSARHMHVQVIDDTAGHTLAAASSVEKVVAAVEGDKKAKAAKVGQLIAERAKAAGIEKVVFDRGGYKYHGRVAALADAAREGGLKF</t>
  </si>
  <si>
    <t>GC_00000364</t>
  </si>
  <si>
    <t>PF00521.26</t>
  </si>
  <si>
    <t>DNA gyrase/topoisomerase IV, subunit A</t>
  </si>
  <si>
    <t>K02469</t>
  </si>
  <si>
    <t>DNA gyrase subunit A [EC:5.6.2.2]</t>
  </si>
  <si>
    <t>COG0188</t>
  </si>
  <si>
    <t>DNA gyrase/topoisomerase IV, subunit A (GyrA) (PDB:1SUU)</t>
  </si>
  <si>
    <t>ko01000|ko03032|ko03400</t>
  </si>
  <si>
    <t>Enzymes&gt;&gt;&gt;5. Isomerases&gt;&gt;&gt;5.6  Isomerases altering macromolecular conformation&gt;&gt;&gt;5.6.2  Enzymes altering nucleic acid conformation&gt;&gt;&gt;5.6.2.2  DNA topoisomerase (ATP-hydrolysing)|DNA replication proteins&gt;&gt;&gt;Prokaryotic type&gt;&gt;&gt;DNA Topoisomerases|DNA repair and recombination proteins&gt;&gt;&gt;Prokaryotic type&gt;&gt;&gt;DSBR (double strand breaks repair)&gt;&gt;&gt;NHEJ (non-homologous end-joining)&gt;&gt;&gt;SHIIR (short-homology-independent illegitimate recombination)&gt;&gt;&gt;Facilitator</t>
  </si>
  <si>
    <t>-----MSDNTSDSL---FDRIEPIDINEEMQSSYIDYAMSVIVGRALPEVRDGLKPVHRRVLYAMYDNGYRPDRSYVKSAKPVADTMGNYHPHGDSAIYDTLVRMAQPWSMRYPLVDGQGNFGSRGNDGPAAMRYTECRMTPLAMEMVRDIRENTVEFQPNYDGKTQEPTILPSRVPNLLMNGSGGIAVGMATNIPPHNLRELADAIFWMLENYDADDAAALEACMKYIKGPDFPTAGLIVGDQGIKDAYTTGRG</t>
  </si>
  <si>
    <t>-----MSDDNFDGGGDLFDRIHPVDIGEEMQSSYIDYAMSVIVGRALPEVRDGLKPVHRRILYAMFDNGYRPERSYVKSAKPVADTMGNYHPHGDSAIYDTLVRMAQPWSMRYPLVDGQGNFGSRGNDGPAAMRYTESRLTPLAMEMVRDIRENTVDFAPNYDGKTTEPTVLPSRVPNLLMNGSGGIAVGMATNIPPHNLRELADAIIWMLDNPDADEAAGLEACMEYIKGPDFPTAGLIVGDQGIKDAYTTGRG</t>
  </si>
  <si>
    <t>MIPLIGHAVSWDAVSD-YDRILPIDLNEEMQTSYIDYAMSVIVGRALPEVRDGLKPVHRRILYAMYDSGYRPDRGYVKSARPVSDTMGQFHPHGDSAIYDTLVRLAQDWNMRYPLVDGQGNFGSRGNDGPAAMRYTECRLTPLAMEMVRDIRENTVDFSPNYDGKTMEPDILPSRVPNLLMNGSNGIAVGMATNIPPHNLRELADAIYWLLENPDADDATALEACMEHIKGPDFPTAGLIVGTQGIKDAYTTGRGSIRMRGVTSIEEEGSRQTIVITELPYQVNPDNLISSIAEQVRDGKLAGISKIEDESSDRVGMRIVVTLKRDAVPRVVLNNLYKHSQLQTNFGANMLSIVDGVPRTLRLDQMLRYYVAHQIEVIVRRTQYRLDEAEKRAHILRGLVKALDMLDEVIALIRRSETVDVARRGLIDLLTIDEVQADAILAMQLRRLAALERQKIIDELAEIEAIIADLKDILASPGRQRAIVRDELKEIVDKYGDDRRSQIIAATGDVTEEDLIARENVVVTITSTGYAKRTKVDAYKSQRRGGKGVRGAELKQDDVVRHFFVCSTHDWILFFTNFGRVYRLKAYELPEASRTARGQHVANLLEFQPEERIAQVIQIQSYEDAPYLVLATVQGRVKKSRLSDYESARSGGLIAINLNEGDKLIGASLCSNEDDLLLVSEEGQSIRFSADDEQLRPMGRSTAGVKGMRFRGDDHLLAMTVVRDGSYLLVATAGGYGKRTSMDEYSVQGRGGVGVVTFKYNPKRGKLIGALAVDDDDQIFAITSAGGVIRTEVNQIRPSSRATMGVRLVNLEDGIELLAIDRNVEGEGEEEVEAVATAKSRAPK----QETIEEED----</t>
  </si>
  <si>
    <t>MIPLIGHAVSWDAVSD-YDRILPIDLNEEMQTSYIDYAMSVIVGRALPEVRDGLKPVHRRILYAMYDSGYRPDRGYVKSARPVSDTMGQFHPHGDSAIYDTLVRLAQDWNMRYPLVDGQGNFGSRGNDGPAAMRYTECRLTPLAMEMVRDIRENTVDFSPNYDGKTMEPDILPSRVPNLLMNGSNGIAVGMATNIPPHNLRELADAIYWLLENPDADDATALEACMEHIKGPDFPTAGLIVGTQGIKDAYTTGRGSIRMRGVTSIEEEGSRQTIVITELPYQVNPDNLISSIAEQVRDGKLAGISKIEDESSDRVGMRIVVTLKRDAVPRVVLNNLYKHSQLQTNFGANMLSIVDGVPRTLRLDQMLRYYVAHQIEVIVRRTQYRLDEAEKRAHILRGLVKALDMLDEVIALIRRSETVDVARRGLIDLLTIDEVQADAILAMQLRRLAALERQKIIDELAEIEAIIADLKDILASPGRQRTIVRDELKEIVDKYGDDRRSQIIAATGDVTEEDLIARENVVVTITSTGYAKRTKVDAYKSQRRGGKGVRGAELKQDDVVRHFFVCSTHDWILFFTNFGRVYRLKAYELPEASRTARGQHVANLLEFQPEERIAQVIQIQSYEDAPYLVLATVQGRVKKSRLSDYESARSGGLIAINLNEGDKLIGASLCSNEDDLLLVSEEGQSIRFSADDEQLRPMGRSTAGVKGMRFRGDDHLLAMTVVRDGSYLLVATAGGYGKRTSMDEYSVQGRGGVGVVTFKYNPKRGKLIGALAVDDDDQIFAITSAGGVIRTEVNQIRPSSRATMGVRLVNLEDGIELLAIDRNVEGEGEEEAEAVATAKSRAPK----QETIEEED----</t>
  </si>
  <si>
    <t>GC_00000365</t>
  </si>
  <si>
    <t>PF00252.24</t>
  </si>
  <si>
    <t>Ribosomal protein L16p/L10e</t>
  </si>
  <si>
    <t>K02878</t>
  </si>
  <si>
    <t>large subunit ribosomal protein L16</t>
  </si>
  <si>
    <t>COG0197</t>
  </si>
  <si>
    <t>Ribosomal protein L16/L10AE (RplP) (PDB:1WKI)</t>
  </si>
  <si>
    <t>MLIPKRVKYRRQHRPTRTGVSKGGNRITHGDYGIQALEPTYITNRQIESARIAINRHVKRGGKVWINIFPDRPLTQKPLGVRMGSGKGPVEKWIANVKPGRILFEMSYPNEEIALEALRRAAQKLPCKVRIVKKEDQF</t>
  </si>
  <si>
    <t>MLIPRRVKYRRQHRPHRSGVSKGGNRISFGDYGIQALEPAYITNRQIESARIAINRHVKRGGKVWIKIFPDRPLTQKPLGVRMGSGKGPVEKWVANVKPGRILFEMSYPNEEMALEALRRAGQKLPCKVRIIKKEDQF</t>
  </si>
  <si>
    <t>MLIPKRVKYRRQHRPHRDGVSKGGNRINFGDYAIQALEPAYITNRQIESARIAINRHVKRGGKVWINIFPDRPLTQKPLGVRMGSGKGPVEKWIANVKPGRILFEMSYPNEEMALEALRRAGQKLPCKVRILKKEDQF</t>
  </si>
  <si>
    <t>GC_00000366</t>
  </si>
  <si>
    <t>L|G</t>
  </si>
  <si>
    <t>Replication, recombination and repair|Carbohydrate transport and metabolism</t>
  </si>
  <si>
    <t>K22316</t>
  </si>
  <si>
    <t>ribonuclease H / adenosylcobalamin/alpha-ribazole phosphatase [EC:3.1.26.4 3.1.3.73]</t>
  </si>
  <si>
    <t>COG0328|COG0406</t>
  </si>
  <si>
    <t>Ribonuclease HI (RnhA) (PDB:1LAW)|Broad specificity phosphatase PhoE (PhoE) (PDB:1EBB)</t>
  </si>
  <si>
    <t>ko00001|ko00001|ko01000|ko01000|ko03032</t>
  </si>
  <si>
    <t>KEGG Orthology (KO)&gt;&gt;&gt;09100 Metabolism&gt;&gt;&gt;09108 Metabolism of cofactors and vitamins&gt;&gt;&gt;00860 Porphyrin metabolism [PATH:ko00860]|KEGG Orthology (KO)&gt;&gt;&gt;09120 Genetic Information Processing&gt;&gt;&gt;09124 Replication and repair&gt;&gt;&gt;03030 DNA replication [PATH:ko03030]|Enzymes&gt;&gt;&gt;3. Hydrolases&gt;&gt;&gt;3.1  Acting on ester bonds&gt;&gt;&gt;3.1.3  Phosphoric-monoester hydrolases&gt;&gt;&gt;3.1.3.73  adenosylcobalamin/alpha-ribazole phosphatase|Enzymes&gt;&gt;&gt;3. Hydrolases&gt;&gt;&gt;3.1  Acting on ester bonds&gt;&gt;&gt;3.1.26  Endoribonucleases producing 5'-phosphomonoesters&gt;&gt;&gt;3.1.26.4  ribonuclease H|DNA replication proteins&gt;&gt;&gt;Prokaryotic type&gt;&gt;&gt;DNA Replication Elongation Factors&gt;&gt;&gt;Elongation factors (bacterial)&gt;&gt;&gt;RNase H</t>
  </si>
  <si>
    <t>MRIRIEADGGSRGNPGVAGSGTVLIEVPSERVLGSIAYYGGKTTNNVAEYSSLINGLEAARELGATAVEVFMDSKLVIEQMSGRWKVKHPDMKELALKAQKLAATFDSISYTWVPRAKNKAADALANQAMDAGAKGAPVGFVSRDIGEAGEDSTD---------------NQIDKATATQAATQAP-----ATSAPTRLICWRHGETDASVNGRYSGDTGSDGPELTERGRQQAQRTADYLKKIGGI-DAVVSSPARRAQQTAQILTDDYTV----IDGLHEMDFGTWEGLTFGQAHDKDPELHTTWLSDPAIAPPGGESLNQVSRRIKGVLAELTETHGAANIVVVTHATPIKALIKLALDAAPAIYYRTQIDLSSLTIIEFYADGPTCLRAMNTRP-------</t>
  </si>
  <si>
    <t>MKVQIKADGGSRGNPGIAGSGTVLYDASGT-VLTSIADYVGTATNNVAEYRALLNGLEAARDLGATEVEVLMDSKLVVEQMSGRWKIKHPDMKELALKAQAIARDFDAISYTWIPRAENSEADALANQAMDAGAAGAPIGIVAGG-EDEAEEGTD-----------------------GKTHTTCPTSWNGATTEPTRLILLRHGQTEMSAARQYSGRS---NPPLTQLGTQQAAGAARRLAARGGI-DAIVASPLTRTMETARACGDALGLPVASVDGLIELDFGEWDGLTFAQAHEANPEAHSAWLSDTSIVPPGGESLDAAYQRISAVKDELCKDYAGKTVLVVSHVTPIKALLRMALGAGPSLFHCLHLDLASISIAEFYADGPTVVRLVNDTSHL-----</t>
  </si>
  <si>
    <t>MKLVIEADGGSRGNPGIAGSGTVIYEADGTTVVRKLAYVVGTATNNVAEYHALYNGLCVAQQLGATDISVRMDSKLVVEQMSGRWKIKHPDMRELALKCQKILRTLHSAEFTWVPRRQNAAADALANLAMDAGATGHPIGFLTLD-NDAAEDVTETADIADITPIVATPMTDAAGSKATAAETPAPTTWNGATTNATRMLLLRHGQTTMSRRRQYSGLS---NPPLTELGEWQASRAAHRIAAADDIPTVIVASPLARCQQTAQAVADLLNLPVRTEPGLVELDFGQWDGLTFAQADAADPKLHAQWLLDPTLPAPGGESLVQAHERVTAARKRLQERYQGCTILVVSHVTPIKSILGQALDATANIYHRLHLDLASLSIAEFYADGPTCVRLVNDTSYLKVQSI</t>
  </si>
  <si>
    <t>MKLVIEADGGSRGNPGIAGSGTVIYEADGTTVVRKLAYVVGTATNNVAEYHALYNGLCVAQQLGATDISVRMDSKLVVEQMSGRWKIKHPDMRELALKCQKILRTLHSAEFTWVPRRQNAAADALANLAMDAGATGHPIGFLTLD-NDATEDVTETADIADITPTMATPMTDAAGSKATAAETPAPTTWNGATTNATRMLLLRHGQTTMSRRRQYSGLS---NPPLTELGEWQASRAAHRIAAADDIPTAIIASPLARCQQTAQTVADLLNLPVNTEPGLVELDFGQWDGLTFAQANAADPKLHARWLLDPTLPAPGGESLAQAHERVTAARKRLQERYQGCTILVVSHVTPIKSILGQALDAAANIYHRLHLDLASLSIAEFYADGPTCVRLVNDTSYLKVQST</t>
  </si>
  <si>
    <t>GC_00000367</t>
  </si>
  <si>
    <t>L|L</t>
  </si>
  <si>
    <t>Replication, recombination and repair|Replication, recombination and repair</t>
  </si>
  <si>
    <t>K03657</t>
  </si>
  <si>
    <t>ATP-dependent DNA helicase UvrD/PcrA [EC:5.6.2.4]</t>
  </si>
  <si>
    <t>COG0210|COG0514</t>
  </si>
  <si>
    <t>Superfamily I DNA or RNA helicase (UvrD) (PDB:6PPR)|Superfamily II DNA helicase RecQ (RecQ) (PDB:1OYW)</t>
  </si>
  <si>
    <t>KEGG Orthology (KO)&gt;&gt;&gt;09120 Genetic Information Processing&gt;&gt;&gt;09124 Replication and repair&gt;&gt;&gt;03420 Nucleotide excision repair [PATH:ko03420]|KEGG Orthology (KO)&gt;&gt;&gt;09120 Genetic Information Processing&gt;&gt;&gt;09124 Replication and repair&gt;&gt;&gt;03430 Mismatch repair [PATH:ko03430]|Enzymes&gt;&gt;&gt;5. Isomerases&gt;&gt;&gt;5.6  Isomerases altering macromolecular conformation&gt;&gt;&gt;5.6.2  Enzymes altering nucleic acid conformation&gt;&gt;&gt;5.6.2.4  DNA 3'-5' helicase|DNA repair and recombination proteins&gt;&gt;&gt;Prokaryotic type&gt;&gt;&gt;SSBR (single strand breaks repair)&gt;&gt;&gt;NER (nucleotide excision repair)&gt;&gt;&gt;GGR (global genome repair) factors|DNA repair and recombination proteins&gt;&gt;&gt;Prokaryotic type&gt;&gt;&gt;SSBR (single strand breaks repair)&gt;&gt;&gt;MMR (mismatch excision repair)&gt;&gt;&gt;Other MMR factors</t>
  </si>
  <si>
    <t>----MINLDDLDDDQRAAATAPRGPVCIIAGAGTGKTRTITYRIANLIDQGFVAPQRILAVTFTARAAGEMRERLNHMGIGGVQARTFHAAARRQLSYFWPSIAGNLQWKLIDNKFPLVGRAVRSVGLDNSTDMVRDVLSEIEWAKATLLTPETYVQAAQKHSDRRPPADPEKIAAAYRRYEEMKTTDEGMLLDFDDLLLHTAAALENAPGVAEEFREQYRSFVVDEYQDVTPLQQRVLDGWLGERDDITVVGDA</t>
  </si>
  <si>
    <t>COG0210</t>
  </si>
  <si>
    <t>Superfamily I DNA or RNA helicase (UvrD) (PDB:6PPR)</t>
  </si>
  <si>
    <t>MVTPVINLGDLDADQQQAATAPRGPVAILAGAGTGKTRTITYRIAHLIDQGFVGGNRVMAVTFTKRAAGEMAHRLRLMGIGGVQARTFHAAAMRQLAYFWPQVAGNLSWQLLDNKFPLVGRAARSLGIDSSVENVRDILSEIEWAKSRLISPEQYVAETA-H-RHTPQPAP-IVAQIYQRYEDAKINPDVMLLDFDDLLLHVAGAIENSTAIAEEFRAQYCTFVVDEYQDVTPLQQRVLSAWLGNRDDITVVGDANQTIYSFTGASPEFLLDFSRTYPHATVVKLQRDYRSTPQITDLANTIISQATGRVSGTK---LQLRGMLPAGPAPVFAGYDDEPAEARAVAGHIKNLIEQGVPPAEIAVLYRINAQSAPFEQALADAGIVYQVRGGEEFFKRPEIRQAISTLIRLSQREEHQPPDLIGPRIHELVESALAPIGLTPQEPEGAQARERWQSLQALVELSKELGKATPDLNLIGLLHQLHQRDTNKHPPTMQGVTLASLHAAKGLEWDAVFLVGLTDGSLPITHAIKAG-VTAIEEERRLFYVGVTRARKHLFHSWSAARQEGGRHSRKRTRFLDDIIPETNKITTAKPAKRHRRPARCKVCGSPLVDTPERILGRCNNCPSDADPQIFETLRVWRAGVAKTNNIPAYIVFSDATLQAIAEALPTNTAELLKINGIGQVKVERYGQDLLETVAQFLDDDEE-</t>
  </si>
  <si>
    <t>GC_00000368</t>
  </si>
  <si>
    <t>MSYLLRVLLPDTPGSLGRLADALGTVDCNIRSVDVVQTFPEGTAMDDLVVEIPASSLPDTLITAAQGLDGVEVDSIRPFSGAVDRRGQIALLADVASNRHNKERAAERFVSALPQTMTAGWAILLDVSGSSRRVAASAAAPEDDGNNPMMPEINGARILDPESEQWIPEPWALLDAALAVTPVGDS-LLLILGRPGGPDFLASEVEHLGNLGRIAGAIIG-</t>
  </si>
  <si>
    <t>MSYLIRVLLPDTPGSLGQLADAFGMVDANIQSVDVVQVFPDGTAMDDIVVSLPKTALPDTLITAAQALDGVEVDSIRPFSGTIDRRGQIRMLASIAEHKNNTTRAMEELVDVLPRSITSGWCLVLDTTGPSRRIAANPAAPEDDATTPSVPPVTSARVLDVEHEDWIPSSWSLLDSALAVAPIGDTGMILIVGRPGGPDFLASEVEHLGNMGIIIGSILKV</t>
  </si>
  <si>
    <t>MSYLIRVLLPDAPGSLGRLAEAIGTVGGNIKSVDVVESLPDGTVMDDMVISLPTNTMADVLISAAHMVEGVVVDSIRPFSGTVDRRGQIKMLVDVAGASSNSDKIAQ-LIDNIPQVLTSSWAILLEDGSPVRRITASYGAPEDDGSTPSLINITAAQILNPAEDTWIPESWALLDSSLAAAPLGNSGLVLIIGRVGGPEYLPSEVEHIGYLGTILSRMLQH</t>
  </si>
  <si>
    <t>GC_00000369</t>
  </si>
  <si>
    <t>PF11253.13</t>
  </si>
  <si>
    <t>Protein of unknown function (DUF3052)</t>
  </si>
  <si>
    <t>MNVQKPEGKNTTLTTTDGIAARFGVAHGLIVQEVGWDEDCDSTLSEAIEDAIGSELLDEDSYEICDIVLLWWRSDDGDLVDGLVDAVRPLADTGRVWLLTPGNGKSNALAPGDIAESAQLAGMVQTKAERFGDWQGSCLVRRGNKQ--</t>
  </si>
  <si>
    <t>MNVQKPEGKNTTLTTTDGIAARLGVSHGLIVQEVGWDEDCDSTLSEAIEDAIGSELLDEDSYEICDIVLLWWRSDDGDLVDGLVDAVRPLADTGRVWLLTPGNGKSNALAPGDIAESAQLAGMVQTKAERFGDWQGSCLVRRGNKQ--</t>
  </si>
  <si>
    <t>GC_00000370</t>
  </si>
  <si>
    <t>PF03129.25</t>
  </si>
  <si>
    <t>Anticodon binding domain</t>
  </si>
  <si>
    <t>K01880</t>
  </si>
  <si>
    <t>glycyl-tRNA synthetase [EC:6.1.1.14]</t>
  </si>
  <si>
    <t>COG0423</t>
  </si>
  <si>
    <t>Glycyl-tRNA synthetase, class II (GRS1) (PDB:2PME)</t>
  </si>
  <si>
    <t>ko00001|ko01000|ko01007|ko03016|ko03029</t>
  </si>
  <si>
    <t>KEGG Orthology (KO)&gt;&gt;&gt;09120 Genetic Information Processing&gt;&gt;&gt;09122 Translation&gt;&gt;&gt;00970 Aminoacyl-tRNA biosynthesis [PATH:ko00970]|Enzymes&gt;&gt;&gt;6. Ligases&gt;&gt;&gt;6.1  Forming carbon-oxygen bonds&gt;&gt;&gt;6.1.1  Ligases forming aminoacyl-tRNA and related compounds&gt;&gt;&gt;6.1.1.14  glycine---tRNA ligase|Amino acid related enzymes&gt;&gt;&gt;Aminoacyl-tRNA synthetase&gt;&gt;&gt;Class II (C/G)|Transfer RNA biogenesis&gt;&gt;&gt;Eukaryotic type&gt;&gt;&gt;Aminoacyl-tRNA synthetases (AARSs)&gt;&gt;&gt;Other AARSs|Mitochondrial biogenesis&gt;&gt;&gt;Mitochondrial DNA transcription, translation, and replication factors&gt;&gt;&gt;Mitochondrial transcription and translation factors&gt;&gt;&gt;Other mitochondrial DNA transcription and translation factors</t>
  </si>
  <si>
    <t>--MASVIDTVVNLCKRRGLVYPCGEIYGGTRSAWDYGPLGVELKENIKKQWWRSMVTSRMDVVGLDSSVILPRQTWVSSGHLEVFTDPLVESLHTHKRYRADHLLEAYEEKHGHPPANGLADIPDPETGQPGNWTEPREFSGMLKTFLGPVDDEEGLHYLRPETAQGIFVNFKNVMTSARMKPPFGIAQIGKSFRNEITPGNFIFRTREFEQMEMEFFVKPGTDEQWHQYWIDHRYNWYVDLGINPDNLRLYEHP</t>
  </si>
  <si>
    <t>MANQSVIETVVNLCKRRGLVYPCGEIYGGTRSAWDYGPLGVELKENIKKQWWRAMVTSRADVVGLDSSVILPRQVWVSSGHLEVFTDPLVESLHTHKRYRADHLLEAYEEKHGHPPANGLADINDPETGQPGNWTEPKEFSGMLKTFLGPVDDEEGLHYLRPETAQGIFVNFKNVMTTARMKPPFGIAQIGKSFRNEITPGNFIFRTREFEQMEMEFFVKPGTDEEWHQYWIDQRFNWYVDLGINPDNLRLYEHPQEKLSHYSKRTVDIEYAFHFANGQWGELEGIANRTDFDLSTHAKGSGEDLSYFDQDSNERWIPYVIEPAAGLGRSLMAFLVDAYHEDEAPNAKGGVDKRVVLKLDRRLAPVKVAVLPLSKKETLTPVAEKVAAELRQFWSVDYDTSGAIGRRYRRQDEIGTPFCVTVDFDTLEDNAVTVRERDTMAQERISLSELQAYLAQRLIGC</t>
  </si>
  <si>
    <t>--MASVIDSVVNLCKRRGLVYPCGEIYGGTRSAWDYGPLGVELKENIKKQWWRTFVQGRADMVGLDSSIILPRQVWEASGHVETFTDPLVESLHTHKRYRADHLLEAYEQKHGHPPANGLADVPDPETGQPGAWTEPQMFSGLMKTFLGPVDNEQGLHYMRPETAQGIFINFKNVQTTARMKPPFGIGQVGKAFRNEITPGNFIFRTREFEQMEIEYFVSPSDAPEKFQEWVDACWDWFIDLGINPDNMRQFDVP</t>
  </si>
  <si>
    <t>GC_00000371</t>
  </si>
  <si>
    <t>PF03372.29</t>
  </si>
  <si>
    <t>Endonuclease/Exonuclease/phosphatase family</t>
  </si>
  <si>
    <t>K01142</t>
  </si>
  <si>
    <t>exodeoxyribonuclease III [EC:3.1.11.2]</t>
  </si>
  <si>
    <t>COG0708</t>
  </si>
  <si>
    <t>Exonuclease III (XthA) (PDB:1AKO)</t>
  </si>
  <si>
    <t>KEGG Orthology (KO)&gt;&gt;&gt;09120 Genetic Information Processing&gt;&gt;&gt;09124 Replication and repair&gt;&gt;&gt;03410 Base excision repair [PATH:ko03410]|Enzymes&gt;&gt;&gt;3. Hydrolases&gt;&gt;&gt;3.1  Acting on ester bonds&gt;&gt;&gt;3.1.11  Exodeoxyribonucleases producing 5'-phosphomonoesters&gt;&gt;&gt;3.1.11.2  exodeoxyribonuclease III|DNA repair and recombination proteins&gt;&gt;&gt;Prokaryotic type&gt;&gt;&gt;SSBR (single strand breaks repair)&gt;&gt;&gt;BER (base exicision repair)&gt;&gt;&gt;AP endonucleases</t>
  </si>
  <si>
    <t>MRLCLCPMSITISSVNVNGIRAAVKQRSETNLGFHAWLESAGSDVVLLQEVRANEKQTLEALAPALDNGWHYVGAEAAAKGRAGVGILSRFELDDVAVGIEGFEDSGRYIQATLRGSELGGEPVTVASLYLPSGSAGTEKQDEKYRFVDVFEGFLTQAARSHTNMVVGGDWNICHRSQDLKNDKTNQKKSGFIASERAFMDAVFGTFPDEASQIDPDKAAEFFGAVDYTPGEVARARTVATEPVWFDVARRLQPEDAPYTWWTYRGQAFDTDAGWRIDYQAATEAMLGHATKAWVDKAAAYDLRWSDHAPLNVTYS--</t>
  </si>
  <si>
    <t>---------MQITTINVNGIRAATKIRSSTNRGFLPWLFDVAPDVVLLQETRATDAESRTALAPALDAGWHFYSAPSIRKGHAGVGILSRRELVDVRVGLAGFEDVGRYIQGTYPDED---GDVIIASLYLPVGGAGSEKQDEKYEFLDAFDQVISDAAIQNSHMVIGGDWNICHREQDLKNYQANRKNSGCLPDERAFMDHMFGTYPDSQSQVVGA--GEWYGAVNYR--SKKR-RQAPKTPQWYDVARRLHPD</t>
  </si>
  <si>
    <t>---------MQITTINVNGIRAATKIRSSTNRGFLPWLFDVAPDVVLLQETRATDAESRTALAPALDAGWHFYSAPSIRKGHAGVGILSRRELIDVRVGLAGFEDVGRYIQGTYPDDG---DDVIIASLYLPVGGAGSEKQDEKYEFLDAFDQVISDTEIQNSHMVIGGDWNICHREQDLKNYQANRKNSGCLPDERAFMDHMFGTYPDSQSQVVGA--GEWYGAVNYR--SKKR-RQAPKTPQWYDVARRLHPD</t>
  </si>
  <si>
    <t>GC_00000372</t>
  </si>
  <si>
    <t>PF01209.24</t>
  </si>
  <si>
    <t>ubiE/COQ5 methyltransferase family</t>
  </si>
  <si>
    <t>K03183</t>
  </si>
  <si>
    <t>demethylmenaquinone methyltransferase / 2-methoxy-6-polyprenyl-1,4-benzoquinol methylase [EC:2.1.1.163 2.1.1.201]</t>
  </si>
  <si>
    <t>M00117|M00989|M00116</t>
  </si>
  <si>
    <t>Ubiquinone biosynthesis, prokaryotes, chorismate (+ polyprenyl-PP) =&gt; ubiquinol|Ubiquinone biosynthesis, O2-independent, prokaryotes, chorismate (+ polyprenyl-PP) =&gt; ubiquinol|Menaquinone biosynthesis, chorismate (+ polyprenyl-PP) =&gt; menaquinol</t>
  </si>
  <si>
    <t>KEGG Orthology (KO)&gt;&gt;&gt;09100 Metabolism&gt;&gt;&gt;09108 Metabolism of cofactors and vitamins&gt;&gt;&gt;00130 Ubiquinone and other terpenoid-quinone biosynthesis [PATH:ko00130]|Enzymes&gt;&gt;&gt;2. Transferases&gt;&gt;&gt;2.1  Transferring one-carbon groups&gt;&gt;&gt;2.1.1  Methyltransferases&gt;&gt;&gt;2.1.1.163  demethylmenaquinone methyltransferase|Enzymes&gt;&gt;&gt;2. Transferases&gt;&gt;&gt;2.1  Transferring one-carbon groups&gt;&gt;&gt;2.1.1  Methyltransferases&gt;&gt;&gt;2.1.1.201  2-methoxy-6-polyprenyl-1,4-benzoquinol methylase</t>
  </si>
  <si>
    <t>--------------------------------MAKATLDKNPKDVARMFDDVGKNYDITNTVLSFGQDKLWRARTRSRLDLKPGEKVLDLAAGTAVSTEELAKSGAWIVACDFSQGMLAAGKDRDVPKVVGDGMHLPFADASFDAVTISFGLRNIHDYRAGLRELLRVTKPGGRITVAEFSTPIVPIWSTIYKEYLMRALPAVARIVSSNPDAYEYLAESIRAWPNQETLAQALRECGWVDVGWQNLTFGITALH</t>
  </si>
  <si>
    <t>MGSQGTRRAERLNHTAPHLHPAKPAPCCTLNPVAKASLDKNPFDVARMFDGVGEKYDITNTILSFGQDRAWRRRTRQRLNPQPGERILDLAAGTAVSTEELSTSGAWVVACDFSQGMLAAGIHRDVSKVVGDGMHLPFADASFDAVTISFGLRNIHDFRAGLRELARVTKPGGRLTIAEFSTPTFPVFGVVYKEYLMRALPLVARVVSSNPEAYEYLAESIRAWPNQEELARAVNESGWADCGWQNMTGGITALHSAVKAH----------</t>
  </si>
  <si>
    <t>GC_00000373</t>
  </si>
  <si>
    <t>PF00113.28</t>
  </si>
  <si>
    <t>Enolase, C-terminal TIM barrel domain</t>
  </si>
  <si>
    <t>K01689</t>
  </si>
  <si>
    <t>enolase 1/2/3 [EC:4.2.1.11]</t>
  </si>
  <si>
    <t>COG0148</t>
  </si>
  <si>
    <t>Enolase (Eno) (PDB:1E9I)</t>
  </si>
  <si>
    <t>M00001|M00002|M00003|M00346</t>
  </si>
  <si>
    <t>Glycolysis (Embden-Meyerhof pathway), glucose =&gt; pyruvate|Glycolysis, core module involving three-carbon compounds|Gluconeogenesis, oxaloacetate =&gt; fructose-6P|Formaldehyde assimilation, serine pathway</t>
  </si>
  <si>
    <t>Pathway modules; Carbohydrate metabolism; Central carbohydrate metabolism|Pathway modules; Carbohydrate metabolism; Central carbohydrate metabolism|Pathway modules; Carbohydrate metabolism; Central carbohydrate metabolism|Pathway modules; Energy metabolism; Methane metabolism</t>
  </si>
  <si>
    <t>ko00001|ko00001|ko00001|ko00001|ko00001|ko01000|ko03019|ko04147</t>
  </si>
  <si>
    <t>KEGG Orthology (KO)&gt;&gt;&gt;09100 Metabolism&gt;&gt;&gt;09101 Carbohydrate metabolism&gt;&gt;&gt;00010 Glycolysis / Gluconeogenesis [PATH:ko00010]|KEGG Orthology (KO)&gt;&gt;&gt;09100 Metabolism&gt;&gt;&gt;09102 Energy metabolism&gt;&gt;&gt;00680 Methane metabolism [PATH:ko00680]|KEGG Orthology (KO)&gt;&gt;&gt;09120 Genetic Information Processing&gt;&gt;&gt;09123 Folding, sorting and degradation&gt;&gt;&gt;03018 RNA degradation [PATH:ko03018]|KEGG Orthology (KO)&gt;&gt;&gt;09130 Environmental Information Processing&gt;&gt;&gt;09132 Signal transduction&gt;&gt;&gt;04066 HIF-1 signaling pathway [PATH:ko04066]|KEGG Orthology (KO)&gt;&gt;&gt;09140 Cellular Processes&gt;&gt;&gt;09142 Cell motility&gt;&gt;&gt;04820 Cytoskeleton in muscle cells [PATH:ko04820]|Enzymes&gt;&gt;&gt;4. Lyases&gt;&gt;&gt;4.2  Carbon-oxygen lyases&gt;&gt;&gt;4.2.1  Hydro-lyases&gt;&gt;&gt;4.2.1.11  phosphopyruvate hydratase|Messenger RNA biogenesis&gt;&gt;&gt;Prokaryotic type&gt;&gt;&gt;Bacterial mRNA degradation factors&gt;&gt;&gt;RNA degradosome components&gt;&gt;&gt;Other RNA degradosome components|Exosome&gt;&gt;&gt;Exosomal proteins&gt;&gt;&gt;Proteins found in most exosomes</t>
  </si>
  <si>
    <t>MAEIMHVFAREIMDSRGNPTVECEVFLEDGAHGVAGVPSGASTGVHEAHELRDGGDRYQGKGVLKAVENLNEEIADALAGLEADDQRLVDKAMIDLDGTPNKSRLGANAILGASIATAKAAAESAGLELFRYVGGPNAHLLPVPMMNIVNGGAHADSGVDVQEFMIAPIGAPTFAEALRMGAEVYHNLKAVIKAKGLSTGLGDEGGFAPSVDSTKAALDLIVEAINKAGFTPGEDVALALDVASSEFFDKDKGVYNFEGGEHTAAEMTEVYKKLIEEYPIVSIEDPLQEDDWEGYTHLTAEIGDKVQIVGDDFFVTNPARLAEGIEKKAANALLVKVNQIGTLTETFDAVEMAHRNGYRCMMSHRSGETEDTTIADLAVALNCGQIKTGAPARSERVAKYNQLLRIEQLLGDAAVYAGRSAFPRFK-</t>
  </si>
  <si>
    <t>MAGIMHVFAREILDSRGNPTVECEVFLDDGSHGAAGVPSGASTGVHEAHELRDGGDRYLGKGVLQAVENVNEEIADALRGIEADDQRLVDQTMIDLDGTPNKARLGANAILGASIAVAKAAADSAGLELFRYVGGPNAHVLPVPMMNIVNGGAHADSGVDVQEFMIAPIGAESFAEALRIGAEVYHALKSVIKEKGLSTGLGDEGGFAPSVGSTKEALDLIVEAIKKAGYEPGKDVALALDVASSEFY--KDGKYHFEGGEHTAEEMSKVYEDLIANYPIVSIEDPLQEDDWEGYTALTAAIGDKVQIVGDDFFVTNPARLREGIEKKAANALLVKVNQIGTLTETFDAVELAHRNGYRTMMSHRSGETEDTTIADLAVALNCGQIKTGAPARSERVAKYNQLLRIEQTLGAAAKYAGRDAFPRFQG</t>
  </si>
  <si>
    <t>MADIMHVFAREILDSRGNPTVEAEVHLDDFSVGIAGVPSGASTGVHEAHELRDGGDRYQGKGVLEAVKHVNNEIADKIVGFEADDQRVIDQTLIELDGTENKSKLGANAILGVSMAVAKAAAESSNLPLYRYIGGPNAHLLPVPMMNIVNGGAHADSGVDVQEFMIAPIGAETFAEALRLGAEVYHSLKSVVKSKGLSTGLGDEGGFAPSVGSTKEALDLIVEAIKKAGLEPGKDIALALDVASSEFY--KDGKYHFEGGEHTAEEMVKVYEDLISSYPIVSIEDPLQEDDWEGYTNLTAKIGDRVQIVGDDFFVTNPARLAKGIEEKAANALLVKVNQIGTLTETFDAVDLAHRAGYRTMMSHRSGETEDTTIADLAVALGCGQIKTGAPARSERVAKYNRLLRIELELGTAAVYAGRSAFPRFKG</t>
  </si>
  <si>
    <t>GC_00000374</t>
  </si>
  <si>
    <t>PF00877.26</t>
  </si>
  <si>
    <t>NlpC/P60 family</t>
  </si>
  <si>
    <t>K21471</t>
  </si>
  <si>
    <t>peptidoglycan DL-endopeptidase CwlO [EC:3.4.-.-]</t>
  </si>
  <si>
    <t>COG0791</t>
  </si>
  <si>
    <t>Cell wall-associated hydrolase, NlpC_P60 family (NlpC) (PDB:2EVR)</t>
  </si>
  <si>
    <t>ko01002|ko01011</t>
  </si>
  <si>
    <t>Peptidases and inhibitors&gt;&gt;&gt;Cysteine peptidases&gt;&gt;&gt;Family C40|Peptidoglycan biosynthesis and degradation proteins&gt;&gt;&gt;Peptidoglycan biosynthesis and degradation&gt;&gt;&gt;Endopeptidase</t>
  </si>
  <si>
    <t>MGKHSRRNDNVVRRTAVASAVTLGAAAALTQPAQAAEVVVPNTDIRFEVAGLENVPNLAAIPGVAQYVPGLQGQAAAAPYVALGSSD----------LGSGQSIVNAAASKIGAPYVWGATGPNAFDCSGLTSWAYAQVGKHIPRTSYAQAAQGTPVSREALRPGDIVAFYSGASHVGIYTGHGTVIHAINEGTPLSESSLDYMPFHSAVRF</t>
  </si>
  <si>
    <t>MGKHSRREVGLVKKTAFASAATIGATAVLSNPAQAAEVVVPNTGMTFQVDGLENVPNINAVPGVNQWVPSLAGQGQQVNYTAVAEASPATSGPAAPAAGQGQAIVDAAASKIGSPYVWGATGPNSFDCSGLTSWAYKQVGKDIPRTSQAQAASGTKISRNDLQAGDIVAFYSGASHVGIYTGHGTVIHATTEGKPLAETSMDYMPFHSAVRY</t>
  </si>
  <si>
    <t>MAKHRRQGKKVVRNTA-AVTATAAVATLTPMAAHAAEVVVPGTDFRMDVQGLEGVQGLANVPGVDNYVPSLKGQGGTDFAAAIANPQ----AQPFQTQSVGESILAAARSKIGSPYVWGATGPNAFDCSGLTTWAYNQVGKKIPRTSYGQAAEGQKVSRENLQPGDIVVFYSGASHVGIYAGNGKVVHAVTQGTPLQEAPMDNMPFHSAVRF</t>
  </si>
  <si>
    <t>MAKHRRQGKKVVRNTA-AVTATAAVATLTPMAAHAAEVVVPGTDFRMDVQGLESVQGLANVPGVDNYVPSLKGQGGTDFAAAIANPQ----AQPFQTQSVGESILAAARSKIGSPYVWGATGPNAFDCSGLTTWAYNQVGKKIPRTSYGQAAEGQKVSRENLQPGDIVVFYSGASHVGIYAGNGKVVHAVTQGTPLQEAPMDNMPFHSAVRF</t>
  </si>
  <si>
    <t>GC_00000375</t>
  </si>
  <si>
    <t>PF01116.26</t>
  </si>
  <si>
    <t>Fructose-bisphosphate aldolase class-II</t>
  </si>
  <si>
    <t>K01624</t>
  </si>
  <si>
    <t>fructose-bisphosphate aldolase, class II [EC:4.1.2.13]</t>
  </si>
  <si>
    <t>COG0191</t>
  </si>
  <si>
    <t>Fructose/tagatose bisphosphate aldolase (Fba) (PDB:1B57)</t>
  </si>
  <si>
    <t>M00001|M00003|M00165|M00345|M00344|M00611|M00612</t>
  </si>
  <si>
    <t>Glycolysis (Embden-Meyerhof pathway), glucose =&gt; pyruvate|Gluconeogenesis, oxaloacetate =&gt; fructose-6P|Reductive pentose phosphate cycle (Calvin cycle)|Formaldehyde assimilation, ribulose monophosphate pathway|Formaldehyde assimilation, xylulose monophosphate pathway|Oxygenic photosynthesis in plants and cyanobacteria|Anoxygenic photosynthesis in purple bacteria</t>
  </si>
  <si>
    <t>Pathway modules; Carbohydrate metabolism; Central carbohydrate metabolism|Pathway modules; Carbohydrate metabolism; Central carbohydrate metabolism|Pathway modules; Energy metabolism; Carbon fixation|Pathway modules; Energy metabolism; Methane metabolism|Pathway modules; Energy metabolism; Methane metabolism|Signature modules; Module set; Metabolic capacity|Signature modules; Module set; Metabolic capacity</t>
  </si>
  <si>
    <t>KEGG Orthology (KO)&gt;&gt;&gt;09100 Metabolism&gt;&gt;&gt;09101 Carbohydrate metabolism&gt;&gt;&gt;00010 Glycolysis / Gluconeogenesis [PATH:ko00010]|KEGG Orthology (KO)&gt;&gt;&gt;09100 Metabolism&gt;&gt;&gt;09101 Carbohydrate metabolism&gt;&gt;&gt;00030 Pentose phosphate pathway [PATH:ko00030]|KEGG Orthology (KO)&gt;&gt;&gt;09100 Metabolism&gt;&gt;&gt;09101 Carbohydrate metabolism&gt;&gt;&gt;00051 Fructose and mannose metabolism [PATH:ko00051]|KEGG Orthology (KO)&gt;&gt;&gt;09100 Metabolism&gt;&gt;&gt;09102 Energy metabolism&gt;&gt;&gt;00710 Carbon fixation by Calvin cycle [PATH:ko00710]|KEGG Orthology (KO)&gt;&gt;&gt;09100 Metabolism&gt;&gt;&gt;09102 Energy metabolism&gt;&gt;&gt;00680 Methane metabolism [PATH:ko00680]|Enzymes&gt;&gt;&gt;4. Lyases&gt;&gt;&gt;4.1  Carbon-carbon lyases&gt;&gt;&gt;4.1.2  Aldehyde-lyases&gt;&gt;&gt;4.1.2.13  fructose-bisphosphate aldolase</t>
  </si>
  <si>
    <t>MPIATPEVYAEMLTKAKNGGYALPAINCTSSETINAALKGFADAESDGIIQFSTGGAEFGSGLNVKNMVKGATALAAFAHEAAKNYPINIALHTDHCQKEKLDTYVRPLIAISQERVDRGELPLFQSHMWDGSAIPIDENLEIAQELLAKAKAANIILELEIGVVGGEEDGVEAKAGAQLYTSVEDFEKTIDAIGAGEQGRYLLAATFGNVHGVYKPGNVKLRPEVLLEGQKAAAKKLGLDEGAMPFDFVFHGGSGSEKEKIEEALRYGVVKMNVDTDTQYAFTRPVAGHMFTNYDGVLKIDGEVGNKKVYDPRSYLKAAEAGMAERVVESCTDLHSVGTTLNK</t>
  </si>
  <si>
    <t>MPIATPEVYAEMLDKAKKGGFAYPAINCTSSETINAALRGFAEAESDGIIQFSTGGAEFGSGLSVKNKVAGACALAAFAHEAAKHYNINVALHTDHCQKEVLDEYVRPLIAISQERVDRGELPLFQSHMWDGSAVPIDENLEIAQELLAKAHAANIILEVEIGVVGGEEDGVEAKAGANLYTSPEDFAKTIDALGTGENGRYLLAATFGNVHGVYKPGNVKLRPEVLLDGQKVARQKLGLGDDALPFDFVFHGGSGSEKEKIEEALRYGVIKMNVDTDTQYAFTRPIVGHMFTNYDGVLKVDGEVGNKKAYDPRSYMKLAEQGMADRIVEACQDLHSVGSSLSK</t>
  </si>
  <si>
    <t>MPIATPEVYNEMLDKAKKGGFAFPAINCTSSETINAALRGFAEAESDGIIQFSTGGAEFGSGLSVKNKVAGACALAAFAYEAAKHYNINIALHTDHCQKHVLDEYVRPLIAISQERVDQGLPPLFQSHMWDGSAIPIDENLVIAQELLEKAHKAHIILEVEIGVVGGEEDGVTAHAGANFYTSPKDFEKTIDAIGTGEKGRYLLAATFGNVHGVYKPGNVKLRPEVLLEGQKVGRAKLGLPDDALPFDFVFHGGSGSEKEKIEESLGYGVIKMNVDTDTQYAFTRPVAGHMFTNYDGVLKIDGEVGNKKAYDPRSYMKLAEQGMADRVVEACTDLHSIGSTLNK</t>
  </si>
  <si>
    <t>GC_00000376</t>
  </si>
  <si>
    <t>PF02800.25</t>
  </si>
  <si>
    <t>Glyceraldehyde 3-phosphate dehydrogenase, C-terminal domain</t>
  </si>
  <si>
    <t>K00134</t>
  </si>
  <si>
    <t>glyceraldehyde 3-phosphate dehydrogenase (phosphorylating) [EC:1.2.1.12]</t>
  </si>
  <si>
    <t>COG0057</t>
  </si>
  <si>
    <t>Glyceraldehyde-3-phosphate dehydrogenase/erythrose-4-phosphate dehydrogenase (GapA) (PDB:3ZDF)</t>
  </si>
  <si>
    <t>M00001|M00002|M00003|M00308|M00552|M00165|M00611|M00612</t>
  </si>
  <si>
    <t>Glycolysis (Embden-Meyerhof pathway), glucose =&gt; pyruvate|Glycolysis, core module involving three-carbon compounds|Gluconeogenesis, oxaloacetate =&gt; fructose-6P|Semi-phosphorylative Entner-Doudoroff pathway, gluconate =&gt; glycerate-3P|D-galactonate degradation, De Ley-Doudoroff pathway, D-galactonate =&gt; glycerate-3P|Reductive pentose phosphate cycle (Calvin cycle)|Oxygenic photosynthesis in plants and cyanobacteria|Anoxygenic photosynthesis in purple bacteria</t>
  </si>
  <si>
    <t>Pathway modules; Carbohydrate metabolism; Central carbohydrate metabolism|Pathway modules; Carbohydrate metabolism; Central carbohydrate metabolism|Pathway modules; Carbohydrate metabolism; Central carbohydrate metabolism|Pathway modules; Carbohydrate metabolism; Central carbohydrate metabolism|Pathway modules; Carbohydrate metabolism; Other carbohydrate metabolism|Pathway modules; Energy metabolism; Carbon fixation|Signature modules; Module set; Metabolic capacity|Signature modules; Module set; Metabolic capacity</t>
  </si>
  <si>
    <t>ko00001|ko00001|ko00001|ko01000|ko04131|ko04147</t>
  </si>
  <si>
    <t>KEGG Orthology (KO)&gt;&gt;&gt;09100 Metabolism&gt;&gt;&gt;09101 Carbohydrate metabolism&gt;&gt;&gt;00010 Glycolysis / Gluconeogenesis [PATH:ko00010]|KEGG Orthology (KO)&gt;&gt;&gt;09100 Metabolism&gt;&gt;&gt;09102 Energy metabolism&gt;&gt;&gt;00710 Carbon fixation by Calvin cycle [PATH:ko00710]|KEGG Orthology (KO)&gt;&gt;&gt;09130 Environmental Information Processing&gt;&gt;&gt;09132 Signal transduction&gt;&gt;&gt;04066 HIF-1 signaling pathway [PATH:ko04066]|Enzymes&gt;&gt;&gt;1. Oxidoreductases&gt;&gt;&gt;1.2  Acting on the aldehyde or oxo group of donors&gt;&gt;&gt;1.2.1  With NAD+ or NADP+ as acceptor&gt;&gt;&gt;1.2.1.12  glyceraldehyde-3-phosphate dehydrogenase (phosphorylating)|Membrane trafficking&gt;&gt;&gt;Autophagy&gt;&gt;&gt;Chaperone mediated autophagy (CMA)&gt;&gt;&gt;Selective cargos|Exosome&gt;&gt;&gt;Exosomal proteins&gt;&gt;&gt;Proteins found in most exosomes</t>
  </si>
  <si>
    <t>MTVRVGINGFGRIGRNFFRAARLRGSDFEIVAVNDLTDNKTLAHLLKFDSTLGRLDADVTFDDESITVDGHRIFVSAERDPKDLKWAEHNVDIVIESTGFFTDAEAAKAHLEAGAKKVIISAPAKNEDATFVVGVNHTDYDPEKHNVISNASCTTNCLAPMAKVLNDTFGIQRGLMTTVHAYTGDQRLLDAPHRDLRRARAAAINMVPTSTGAAKAVALVLPELKGKLDGYAMRVPVPTGSATDLTFTAEKPVTVEDVNAAIKAAA-EGPLKGILAYSEEPLVSTDIVTDPHASIFDAGLTKVIGDQVKVVSWYDNEWGYSNQLVTLTEYVGERL</t>
  </si>
  <si>
    <t>MTVRVGINGFGRIGRNFFRAIKERGSDIEVVAVNDLTDNHTLAHLLKYDSVLGRLGADVEYDDESITVDGKKIIVTAERDPKDLKWGEQDVDIVIESTGFFTDAEAAKAHLDAGAKKVIISAPAKNEDATFVVGVNHTDYDPAKHNIISNASCTTNCLAPLAKALNDGLGIEKGLMTTIHAYTGDQRLHDAPHRDLRRARAAAVNIVPTSTGAAKAVSLVLPELKGKLDGFAMRVPVITGSATDLTFTAPRETTVEEVNKIVKEAA-AGELKGVLSYSEEPLVSTDIVTDPHPSIFDAGLTKVIGDQVKVVSWYDNEWGYSNQLVNLTEYVGERL</t>
  </si>
  <si>
    <t>MTIRVGINGFGRIGRNFFRALTERGSDIEVVAVNDLTDNKTLAHLLKHDSVLGNLKKDVSYDEDSITVDGHRIKVFAERDPKNLTWGDLDVDIVVESTGFFTDANAAKAHIDAGAKKVIISAPAKNEDATFVVGVNHTDYDPAKHNIISNASCTTNCLAPMAKALNDALGIERGLMTTVHAYTGDQRLVDAPHKDLRRARAAAINLVPTSTGAAKAVALVLPELKGKLDGYAMRAPVPTGSATDLTFTASRETTVEEVNEILKKAATEGPLKGILAYSEEPLVSSDIVTDPHPSIVDSGLTKVIGDQVKVVSWYDNEWGYSNQLVTLTEYVGERL</t>
  </si>
  <si>
    <t>GC_00000377</t>
  </si>
  <si>
    <t>PF01016.24</t>
  </si>
  <si>
    <t>Ribosomal L27 protein</t>
  </si>
  <si>
    <t>K02899</t>
  </si>
  <si>
    <t>large subunit ribosomal protein L27</t>
  </si>
  <si>
    <t>COG0211</t>
  </si>
  <si>
    <t>Ribosomal protein L27 (RpmA) (PDB:1VS6)</t>
  </si>
  <si>
    <t>MAHKKGASSSNNGRDSEAKRLGVKRFGGQQVKAGEILVRQRGTSFHPGENVGRGGDDTLFALAEGAVKFSIKRNRRVVNIVPTEAA---</t>
  </si>
  <si>
    <t>MAHKKGASSSNNGRDSNAKRLGVKRFGGQQVKAGEILVRQRGTKYHPGENVGRGGDDTLFALKPGAVQFSKRRNRKLISIV-ENEAVSA</t>
  </si>
  <si>
    <t>MAHKKGASSSSNGRDSNAKRLGVKRYGGQQVKAGEILVRQRGTKFHPGENVGRGGDDTLFALKAGAVKFAMRRNRRTVNIVPAAEPVTA</t>
  </si>
  <si>
    <t>GC_00000378</t>
  </si>
  <si>
    <t>K02837</t>
  </si>
  <si>
    <t>peptide chain release factor 3</t>
  </si>
  <si>
    <t>COG4108</t>
  </si>
  <si>
    <t>Peptide chain release factor RF-3 (PrfC) (PDB:3UOQ)</t>
  </si>
  <si>
    <t>Translation factors&gt;&gt;&gt;Prokaryotic type&gt;&gt;&gt;Release factors</t>
  </si>
  <si>
    <t>-MSDLFAQAARRRTFAVIAHPDAGKSTLTEALALHAHVISEAGAVHGKAGRKATVSDWMEMEKDRGISIASSALQFEYAPEGHTGEPYMINLVDTPGHADFSEDTYRVLTAVDAAVMLIDGAKGLEPQTLKLFRVCKARGLPIVTVINKWDRPGMAPLELMDEIVQEIGLQPTPLFWPVGEAGDFRGLAKVSDDGEPEEYIHFIRTAGGSTIAPEEHYSPEQAEEREGDAWLTAAEEVELMTMDGALHDQELFLD</t>
  </si>
  <si>
    <t>MNSPLSSEAARRRTFAVIAHPDAGKSTLTEALALHAHVIAEAGAVHGKAGRKATVSDWMEMEKDRGISIASSALQFEYAPEGHQGEPYMINLVDTPGHADFSEDTYRVLTAVDAAVMLIDGAKGLEPQTLKLFRVCKARGLPIVTVVNKWDRPGKSPLELVDEIVTEIGLQPTPLYWPVGEAGDFRGLAKLSDEGEPQEYIHFIRTAGGSTIAPEEHYTPEQALDKEADTWETAAEETELLAADGAVHDQELFLDCTTSPMIFASAMLNFGVHQILDTLCELAPAPGARAGDQAAVAASQSAMDNGREPGDEFSGVVFKVQAGMDKNHRDSLAFMRVVSGEFERGMQVTHAQSGRSFSTKYALTVFGRTRSTVETAYPGDIVGLVNAGSLAPGDTIYTGKKVQFPPMPQFAPEHFRTLRAKSLGKYKQFRKALEQLDSEGVVQVLKNDARGDAAPVMAAVGPMQFEVMQARMDNEYNVETIAEPVPYSVARRTNAETAPELAKQRGVEIFTR-TDGELIALFGDKWRLQFIQKEHPEFFLEALVAD</t>
  </si>
  <si>
    <t>-MSTL-TEAHRRRTFAVIAHPDAGKSTLTEALALHAHVISEAGAVHGKAGRKATVSDWMEMEKDRGISIASSALQFEYAPTGHTGEPYMINLVDTPGHADFSEDTYRVLTAVDAAVMLIDAAKGLEPQTLKLFRVCKARGLPIVTVINKWDRPGRTPLELVDEIVSEIGLQPTPLYWPVGAAGDFRGLARITDDGSAEEYIHFVRTAGGSTIAPEEHYDPTAAADREGEAWDTAAEEVELLAADGAVHDQELFLN</t>
  </si>
  <si>
    <t>-MSTL-TEAHRRRTFAVIAHPDAGKSTLTEALALHAHVISEAGAVHGKAGRKATVSDWMEMEKDRGISIASSALQFEYAPTGHTGEPYTINLVDTPGHADFSEDTYRVLTAVDAAVMLIDAAKGLEPQTLKLFRVCKARGLPIVTVINKWDRPGRTPLELVDEIVSEIGLQPTPLYWPVGAAGDFRGLARITDDGSAEEYIHFMRTAGGSTIAPEEHYDPTAAADREGEAWDTAAEEVELLAADGAVHDQELFLN</t>
  </si>
  <si>
    <t>GC_00000379</t>
  </si>
  <si>
    <t>--------MTKRALAAL------ALLLTACTS----TPTDNNTLAIALPFEPVASLSPFSDDALMTTRIGVGETLVGLDDNGVAQPWLAQSFTRPDDSTVVFTLRDDATFHDGTPVNAEAVVRSLQAAWDAASRPKGLGKTPLSFEAIDEHTVKVTSEKPDPILPQRFADSGTIILSQAAYKDPANPTIVGTATGPYVLDSVTTTEATTHKNKKYWDGTPKLDTLTVDFIPDGPARTNAIRAGEVAMAQAVPIAQ</t>
  </si>
  <si>
    <t>MMIRTTLKQGRRSACAFIAAVGISVAAAACTTPEGGQSQDSSSLAISLPFKPVASLSPFSDDAVLNTRMGIAETLVTLDADGKPQPKLAESWTTPDPNKVVFTLRDGIKFHDGTPVNAESIVTSLHHAWDAPSRPKGLGKKALTFEATGDREVTVTSEVADPILPQRFADPGTVILSQDAYTG-DTPTVKGHGTGPFQLSEVDSTSATATKYADYWDGAPKLERLTVRFIEDSNARANAIRAGEVSMAQAVPIAQLGELRD-LTIDSTPLPRGVYLHLNTSKGEFADPAIRAAAAQAVRPDAIVDSIYEGHAGKTHGSLFNEKAEWASHVDSHNNTDNAADAH-GKAITLVTWKERPELGEVASVVADQLREAGFEVNVVVRDYKSMEPALLGGEYDAVIGSRNYQSGAADPVSFLASDYTCEGSYNLSRYCNPEIDEAIAKADGTTDNEERYTQAAEVGAKIVGDNAVIPLAHEYSINAYNTVSNLNFDPFERLLVTKDTAHS-</t>
  </si>
  <si>
    <t>-----MFLSVNRRIMALTAAVMCTLPLTACFTED--NSVAGNNIKVSWPFKPVASLSPFSDDALLNTRLGIAETLVTLDSEGKPAPGLAESWETPDAKTVVFKLREGVKFHDGTELTAKAVANSITKALEAASRPKGLGKANLTVTEKDNLEVEVTSDKDDPILPQRFADSGTVILAEAAYEG-DNPSLVGTGTGPFKVTSATNDEVKTEAFADYWGGKPQLDGVTTTFSEDGSARARAIQSGEVSLTQGIPISQ</t>
  </si>
  <si>
    <t>-----MFLSVNRRIVALTAAVMCTLPLTACFTED--NSVTGNNIKVSWPFKPVASLSPFSDDALLNTRLGIAETLVTLDSEGKPAPGLAESWETPDAKTVVFKLREGVKFHDGTELTAKTVANSITKALEAASRPKGLGKANLTVTEKGDLEVEVTSDKDDPILPQRFTDSGTVILAESAYEG-DNPSLVGTGTGPFKVTSATNDEVKTEAFADYWGGKPQLDGVTTTFSEDGSARARAIQSGEVSLTQGIPISQ</t>
  </si>
  <si>
    <t>GC_00000380</t>
  </si>
  <si>
    <t>PF02540.23</t>
  </si>
  <si>
    <t>NAD synthase</t>
  </si>
  <si>
    <t>K01916</t>
  </si>
  <si>
    <t>NAD+ synthase [EC:6.3.1.5]</t>
  </si>
  <si>
    <t>COG0171</t>
  </si>
  <si>
    <t>NH3-dependent NAD+ synthetase (NadE) (PDB:3HMQ)</t>
  </si>
  <si>
    <t>NAD biosynthesis</t>
  </si>
  <si>
    <t>M00115|M00912</t>
  </si>
  <si>
    <t>NAD biosynthesis, aspartate =&gt; quinolinate =&gt; NAD|NAD biosynthesis, tryptophan =&gt; quinolinate =&gt; NAD</t>
  </si>
  <si>
    <t>KEGG Orthology (KO)&gt;&gt;&gt;09100 Metabolism&gt;&gt;&gt;09108 Metabolism of cofactors and vitamins&gt;&gt;&gt;00760 Nicotinate and nicotinamide metabolism [PATH:ko00760]|Enzymes&gt;&gt;&gt;6. Ligases&gt;&gt;&gt;6.3  Forming carbon-nitrogen bonds&gt;&gt;&gt;6.3.1  Acid-D-ammonia (or amine) ligases (amide synthases)&gt;&gt;&gt;6.3.1.5  NAD+ synthase</t>
  </si>
  <si>
    <t>MDKQHSTDLRTHIQSSLNVSPTINPQHEITTRVDFLADYLLHTGLKGYVLGISGGQDSTLAGRLAQLAVEKVRAQQVDAEFWAVRLPYGTQVDEDDAQTALRFIQPDRSIVINIKEATDAIDDAVAAALGRDDLTDFNRGNVKARQRMIAQYAVAGEYGLAVIGTDHAAENITGFFTKFGDGGADILPLAGLTKSQGAALLSELGAPESTWAKVPTADLEDTRPSLPDEEALGVSYTDIDTYLET---DQPLTDAARTRLEHLWRVGEHKRHLPITPFDTWWRA--</t>
  </si>
  <si>
    <t>MDKQHSTDLRTHIQSSLNVSPTINPQHEITTRVDFLADYLLHTGLKGYVLGISGGQDSTLAGRLAQLAVEKVRAQQVNAEFWAVRLPYGTQVDEDDAQTALRFIQPDRSIVINIKEATDAIDDAVAAALGRDDLTDFNRGNVKARQRMIAQYAVAGEYGLAVIGTDHAAENITGFFTKFGDGGADILPLAGLTKRQGAALLRELGAPESTWAKVPTADLEDTRPSLPDEEALGVSYTDIDTYLET---DQPLTDAARTRLEHLWRVGEHKRHLPITPFDTWWRA--</t>
  </si>
  <si>
    <t>GC_00000381</t>
  </si>
  <si>
    <t>PF02653.21</t>
  </si>
  <si>
    <t>Branched-chain amino acid transport system / permease component</t>
  </si>
  <si>
    <t>K02057</t>
  </si>
  <si>
    <t>simple sugar transport system permease protein</t>
  </si>
  <si>
    <t>COG1172</t>
  </si>
  <si>
    <t>Ribose/xylose/arabinose/galactoside ABC-type transport system, permease component (AraH)</t>
  </si>
  <si>
    <t>Transporters&gt;&gt;&gt;ABC transporters, prokaryotic type&gt;&gt;&gt;Saccharide, polyol, and lipid transporters&gt;&gt;&gt;Putative simple sugar transporter</t>
  </si>
  <si>
    <t>MSEALRRYKAQRHPAPESAPVAPVTKDGRAKERTLWGRIIRRPELASFLGAVLIFALFMVVAPPFRSLDAMATVLYASSTMGIMALAVGMLMIGDEFDLSSGVAVTSTALAASMINYNGHFNSWVGVVLSLFFALGIGAFNGFLVTRTGIPSFLITLSAFLSLQGLNLAITKMVAGTVATPTIADMAGFDTAHKVFASSFHIGSVSIKVTILWWVLFVAIASFVLYKTRFGNWVFAVGGDKNAAHAVGVPVNRVKIYLFMFVGFAAWFVGMHNLFAFDSIQAGQGVGNEFLYIIAAVIGGCALTGGKGTAVGTAIGALIFGMTNQGIVYAGWNPDWFKFFLGAMLLFAVLTNNAVSAVTEKR--</t>
  </si>
  <si>
    <t>MSDS-------------------------AFSKT-FNNVIRRPELASLVGAIVIFILFVAVAPPFRSIDAFSTVLYASSTMGIVALAVGLLMIGDEFDLSSGVAVTSTALIATMLNYNLHLNSWVGVFISLASALTIGALNGVLVTRTGIPSFLITLSVFLMLQGLNLAVTKFVTGRVATPIISDMQGFPSAQKVFSSTLHIGPMDLRVTVLWWLLFVGAASYLLFRTRFGNWIFAVGGDKDAAYAVGVPVRRVKIILFMFVGFATWFVGMHNLFAFDSIQAGQGVGNEFLYIIAAVIGGCALTGGKGTAVGTAIGALIFGMTSQGIVYAGWNPDWFKFFLGAMLLFAVITNKSVSRYTEAH--</t>
  </si>
  <si>
    <t>MT---------------------------------LSRLIRRPELASALGALVIFIFFMIVAPAFRSLDAFATTLYASSTLGIVALAVGLLMIGDEFDLSSGVAVTTAALAATMLNYNLGLNSWVGAFLSLIVALGIGALNGYLVTRTGIASFLITLAAFLMLQGLNLAVTKLITGQVATPRISDMQGFDSAEMVFAGAVTIFGVNVRVTVFWWIFFVILASILLFKTKFGNWIFAVGGNQESARAVGVPVRRVKITLFMFVGFAAWFVGMHTLFAFDSIQAGNGVGNEFLYIIAAVIGGCALTGGRGTAIGTAIGALIFGMTNQGIVYAGWNPDWFKFFLGAMLLFAVLVNSSFGKITTGRQE</t>
  </si>
  <si>
    <t>GC_00000382</t>
  </si>
  <si>
    <t>PF13614.12</t>
  </si>
  <si>
    <t>D|N</t>
  </si>
  <si>
    <t>Cell cycle control, cell division, chromosome partitioning|Cell motility</t>
  </si>
  <si>
    <t>K03496</t>
  </si>
  <si>
    <t>chromosome partitioning protein</t>
  </si>
  <si>
    <t>COG1192</t>
  </si>
  <si>
    <t>ParA-like ATPase involved in chromosome/plasmid partitioning or cellulose biosynthesis protein BcsQ (ParA) (PDB:6NOO)</t>
  </si>
  <si>
    <t>ko03036|ko04812</t>
  </si>
  <si>
    <t>Chromosome and associated proteins&gt;&gt;&gt;Prokaryotic type&gt;&gt;&gt;Chromosome partitioning proteins&gt;&gt;&gt;Other chromosome partitioning proteins|Cytoskeleton proteins&gt;&gt;&gt;Prokaryotic cytoskeleton proteins&gt;&gt;&gt;MinD / ParA class of bacterial cytoskeletal proteins</t>
  </si>
  <si>
    <t>----MASVSEGLFDKPKAVYGLTGRPLRDIPEPPAIDSHGPAVILSMCNQKGGVGKTTSTINLGACLAEVGRKVLLVDLDPQGALSAGLGVPHEELDLTVYNLLVDNETSIHNAIHHTSVSGLDLVPANIDLSAAEIQLVNEVGREQALARALRPVMRDYDFIILDCQPSLGLLTVNALTCSQGVIIPMECEYFSLRGLALLTDTVEKVRDRLNFNLEIVGILVTMFDRRTSHAREVMSRVVEVFGEQVFDTVIT</t>
  </si>
  <si>
    <t>MNKAASAHAAASADKPEIQVGLTGRPLRELPEPAPLDRHGPATILAMCNQKGGVGKTTSTINLGACLAEAGRRVLLVDLDPQGALSAGLGIPHDDLDLTIYNLLVDNRTTILNAIHQTPVQGLDLVPANIDLSAAEIQLVNEVGREQTLARALRPVMKDYDYIILDCQPSLGLLTVNALACAQGVVIPMECEYFSLRGLALLTDTVEKVRDRLNFNLEVVGILVTMFDRRTSHAREVMTRVVDVFGERVFDTVITRTVRFPETTVAGEPIISWAPSSQGAQQYRDLAREVIERTT-</t>
  </si>
  <si>
    <t>-------------MVPEL--GLTGRPIREFPEPQPLTHHGPARIIAMCNQKGGVGKTTSAINLGACLAEAGRRVLLVDLDPQAALSAGLGVRPDEQDFTIYDLLFDAQSGVESATVKTKVPGLDLVPAGIDLSAAEIRLVNEVGREQALARVLRPVVGKYDFIILDCLPSLGLLTVNALACAHGVIVPMECEYFASRGLNILIDTLKTVRDRVNFDLELVGILVTMFDRRTVHSREVIASVVAAYGEKVFDTVIT</t>
  </si>
  <si>
    <t>GC_00000383</t>
  </si>
  <si>
    <t>PF14681.12</t>
  </si>
  <si>
    <t>Uracil phosphoribosyltransferase</t>
  </si>
  <si>
    <t>K00761</t>
  </si>
  <si>
    <t>uracil phosphoribosyltransferase [EC:2.4.2.9]</t>
  </si>
  <si>
    <t>COG0035</t>
  </si>
  <si>
    <t>Uracil phosphoribosyltransferase (Upp) (PDB:2EHJ)</t>
  </si>
  <si>
    <t>KEGG Orthology (KO)&gt;&gt;&gt;09100 Metabolism&gt;&gt;&gt;09104 Nucleotide metabolism&gt;&gt;&gt;00240 Pyrimidine metabolism [PATH:ko00240]|Enzymes&gt;&gt;&gt;2. Transferases&gt;&gt;&gt;2.4  Glycosyltransferases&gt;&gt;&gt;2.4.2  Pentosyltransferases&gt;&gt;&gt;2.4.2.9  uracil phosphoribosyltransferase</t>
  </si>
  <si>
    <t>MPTIKAMHITVVDHPLAASRLTLMRDERSDNATFRAALADLGTMLIYEASRHLDVEHFDTKTPVGIAQGTRLKNPPIIVPVIRAGLGMVDPALSMIPDAQVGFIGLARNEQTHEPVPYLEALPETLAGQTVFVVDPMLATGGSLLHAIQLLAERGATDITAICMVSAQPGVDALAASGLPVRLVTATIDPQLNDDAYIVPGLGDAGDRLYGPRNIDL</t>
  </si>
  <si>
    <t>GC_00000384</t>
  </si>
  <si>
    <t>H|I</t>
  </si>
  <si>
    <t>Coenzyme transport and metabolism|Lipid transport and metabolism</t>
  </si>
  <si>
    <t>K02257</t>
  </si>
  <si>
    <t>heme o synthase [EC:2.5.1.141]</t>
  </si>
  <si>
    <t>COG0109</t>
  </si>
  <si>
    <t>Polyprenyltransferase (heme O synthase) (CyoE)</t>
  </si>
  <si>
    <t>M00154</t>
  </si>
  <si>
    <t>Cytochrome c oxidase</t>
  </si>
  <si>
    <t>ko00001|ko00001|ko01000|ko01006|ko03029</t>
  </si>
  <si>
    <t>KEGG Orthology (KO)&gt;&gt;&gt;09100 Metabolism&gt;&gt;&gt;09102 Energy metabolism&gt;&gt;&gt;00190 Oxidative phosphorylation [PATH:ko00190]|KEGG Orthology (KO)&gt;&gt;&gt;09100 Metabolism&gt;&gt;&gt;09108 Metabolism of cofactors and vitamins&gt;&gt;&gt;00860 Porphyrin metabolism [PATH:ko00860]|Enzymes&gt;&gt;&gt;2. Transferases&gt;&gt;&gt;2.5  Transferring alkyl or aryl groups, other than methyl groups&gt;&gt;&gt;2.5.1  Transferring alkyl or aryl groups, other than methyl groups (only sub-subclass identified to date)&gt;&gt;&gt;2.5.1.141  heme o synthase|Prenyltransferases&gt;&gt;&gt;Compound prenylation&gt;&gt;&gt;Protoheme farnesyltransferase|Mitochondrial biogenesis&gt;&gt;&gt;Mitochondrial quality control factors&gt;&gt;&gt;Mitochondrial respiratory chain complex assembly factors&gt;&gt;&gt;Complex-IV assembly factors</t>
  </si>
  <si>
    <t>METIKAYFALTKPRVIELLLVATFPAMLQADRGENHIALILLTVIGGWMGAAAANTFNMIADSDIDKVMKRTERRPLAKHTVSNRNATIFAWSLTVISFFWLWLLCHSLLAALFVMATIAFYIFVYTKWLKRSTPMNVVWGGAAGCMPVMVGWAVIVDNLPAGQPHNWWQAIVLFLIIFFWTPPHTWALAMRYREDYEAAGVPMMPVVKKPLEVTKQIIAYTVATVLTTFALLPAAGWLYAVVAVAAGIWFTWLAISLHQGVKKGVEVRPMRLFIMSNNYLSAVFLALSVDALLGLPTLI----------</t>
  </si>
  <si>
    <t>METIKAYFALTKPRVIELLLVATIPAMLQADRGENHIGLILLTVVGGWMGAAAANTFNMVADSDIDKVMKRTERRPLAKSAVSNRNATIFAWTLTVASFLWLWLLCGSLSAALFVMATIAFYIFVYTKWLKRRTPQNIVWGGAAGCMPVIVGWAVITDNMPSYVPHQWWQAIVLFLIVFFWTPPHTWALAMKYKDDYEAAGVPMMPVVRTPIQVTRQIIAYTWATVITTLLLLPATGWLYAIVAAAAGAWFLGVAYRLHSGVKKGLEVKPLRLFILSNNYLALVFVALSVDAMLGLSTLGEQYGWVPQLF</t>
  </si>
  <si>
    <t>METIKAYIALTKPRVIELLLVATIPAMLQAERGENNILLILLTLLGGWLGAAAANTFNMVADSDIDQKMGRTRARPLVRHTVSNRDATIFAWVCTVVSFLWLWLLCHSLLAAGFVMLTIVFYIRVYTKFLKRRTHMNIVWGGLAGCMPVVVGWAVITDNLPPDMPHQWWQAVVLFLIIFFWTPPHTWALAMKYKEDYAAAGVPMLPVVRTPVQVTRQIVWYTVATVITPLFLIPAAGMVYAVTAVVTGVWFLTTAIVLHQGVKNGGKVKPLKLFILSNNYLALLFVGLSIDAVMGLPTLGAYL-------</t>
  </si>
  <si>
    <t>METIKAYIALTKPRVIELLLVATIPAMLQAERGENNILLILLTLLGGWLGAAAANTFNMVADSDIDQKMGRTRARPLVRHTVSNRDATIFAWVCTVVSFLWLWLLCHSLLAAGFVMLTIVFYIRVYTKFLKRRTHMNIVWGGLAGCMPVVVGWAVITDNLPPDMPHQWWQAVVLFLIIFFWTPPHTWALAMKYKEDYAAAGVPMLPVVRTPVQVTRQIVWYTVATVITPLFLIPAAGMVYAVTAVVTGVWFLTTAIVLHRGVKNGGKVKPLKLFILSNNYLALLFVGLSIDAVMGLPTLGAYL-------</t>
  </si>
  <si>
    <t>GC_00000385</t>
  </si>
  <si>
    <t>PF00276.25</t>
  </si>
  <si>
    <t>Ribosomal protein L23</t>
  </si>
  <si>
    <t>K02892</t>
  </si>
  <si>
    <t>large subunit ribosomal protein L23</t>
  </si>
  <si>
    <t>COG0089</t>
  </si>
  <si>
    <t>Ribosomal protein L23 (RplW) (PDB:1VS6)</t>
  </si>
  <si>
    <t>MATIADPRDIILAPVVSEKAYGLMEQQQYTFFVAPEANKTQIKIAIEQIFGVKVESVNTINREGKRKRTRT-GFGKRKNTKRAIVTLREGSDAIDIFGGSAA</t>
  </si>
  <si>
    <t>MANLTDPRDIIIAPVVSEKSYGLMEQNVYTFFVNREANKTQIKIAIEQIFDVKVASVNTINREGKRKRTRTGGYGQRKATKRAIVTLREGT--IDIFGGSAA</t>
  </si>
  <si>
    <t>MAKIPNPRDIILAPVVSEKSYGLMEENTYVFFVAKTANKTEIKIAIEQIFGVQVASVNTVNREGKRKRTRTGGYGTRKATKRAYVTLREGSDPIDVFGGSAA</t>
  </si>
  <si>
    <t>GC_00000386</t>
  </si>
  <si>
    <t>PF00231.24</t>
  </si>
  <si>
    <t>ATP synthase</t>
  </si>
  <si>
    <t>K02115</t>
  </si>
  <si>
    <t>F-type H+-transporting ATPase subunit gamma</t>
  </si>
  <si>
    <t>COG0224</t>
  </si>
  <si>
    <t>FoF1-type ATP synthase, gamma subunit (AtpG) (PDB:3OAA) (PUBMED:15326535)</t>
  </si>
  <si>
    <t>MANLRELRSRIKSVNSTKKITKAQELIATSRITKAQARVEASQPYAVEIHKVIERLASASNLDHPMLRERPNGKRAAILVVSSDRGMAGGYNYNVFKKTAELRTLLENEGYETVLYVAGNKGVAYYKFRGENVAGSWSGFSQDPDFKLTHDLRRHLIDGFVAGSEGTAKYREGLNVEPGESIQGFDQLHVVYTEFESMLTQTARAHQLLPIEPVIELDEISQGEDMLSSSGT--PTPDYDFEPDADTLLAAMLPKYVSRGIFAMLLEAAASESASRRNAMKSATDNATALVKDLSRVANQARQAQITQEITEIVGGAGALAESGESD</t>
  </si>
  <si>
    <t>MANLRELRNRIKSVNSTKKITKAQELIATSRITKAQARVEASLPYAREIRNVVERLASASSLDHPMLRERENGKRAAILVVTSDRGMAGGYNYNVFKKTAELRGLLEDKGYEVVLYVAGNKGIGYYKFRGEDIAGAWSGFSQDPKYQDTHDLRRHLVDAFVAGSVGTAKWREGVNGEEGTPVQGFDQLHVVYTEFESMLTQTARAHQLLPMEPVIEIDEVDLGDDGILGSGEDKATSDYEFEPDADTLLEALLPQYVSRGLYAMLLEAAASESASRRNAMKSATDNATALVKDLSRVANQARQAQITQEITEIVGGAGALAESGESD</t>
  </si>
  <si>
    <t>MASLRELRSRIRSVNSTKKITKAQELIATSRITKAQAKVEAAEPYATEIHNVMERLASASSLDHPMLRERENAKRAAVLVISSDRGMCGGYNYNIFKKAAELEKNLEDHGYEVVRYVSGNKGVGYYNFRSEPFVGSWSGFSQDPSWKDTHNVRRHLIDGFLASSEGTAKYRPGLTGPEGKAVQGFDSVHVVYTEFESMLTQTPRVHQLLPIEPVIESEELPKGEDYLDASSSSDAEPDYEFEPDADTLIASLLPKYVSRSLFAMFLEAAASESASRRNAMKSATDNATELVKDLSRIANQARQAQITQEITEIVGGAGALAESGESD</t>
  </si>
  <si>
    <t>GC_00000387</t>
  </si>
  <si>
    <t>PF14789.11</t>
  </si>
  <si>
    <t>Tetrahydrodipicolinate N-succinyltransferase middle</t>
  </si>
  <si>
    <t>K00674</t>
  </si>
  <si>
    <t>2,3,4,5-tetrahydropyridine-2,6-dicarboxylate N-succinyltransferase [EC:2.3.1.117]</t>
  </si>
  <si>
    <t>COG2171</t>
  </si>
  <si>
    <t>Tetrahydrodipicolinate N-succinyltransferase (DapD) (PDB:3BXY)</t>
  </si>
  <si>
    <t>KEGG Orthology (KO)&gt;&gt;&gt;09100 Metabolism&gt;&gt;&gt;09105 Amino acid metabolism&gt;&gt;&gt;00300 Lysine biosynthesis [PATH:ko00300]|Enzymes&gt;&gt;&gt;2. Transferases&gt;&gt;&gt;2.3  Acyltransferases&gt;&gt;&gt;2.3.1  Transferring groups other than aminoacyl groups&gt;&gt;&gt;2.3.1.117  2,3,4,5-tetrahydropyridine-2,6-dicarboxylate N-succinyltransferase</t>
  </si>
  <si>
    <t>MSAPDPILHAIPADLGATAIGIANIALDGTVLDTWFPHPTMLSAAEVHDGGHVA--GTTRLGAHALSSKMLSLVKLDEDRMIEQVAVRTTISSLAEPPRDAHDVYLRLHLLSHRLARPQEINMDGMFNLLETVVWTNKGPCMPDNFEFVRTSLRSRGLIHVYAIDKLPRMVDYVVPSGVQIAEAERVRLGAYLAPGTRVLREGFVSVNSGSFGAAKIEGRLSYGIMVGEGTRVGLSATLMAPRDDHGMRI-PMSIGKNCTLGVSSGLLGVRFGDNCSLGNNVVIDADTPLLFSDDGTCGDRAGRVLPASVLSGESNWSVAVEAGASTPVVRPVPA------------------------------------------------</t>
  </si>
  <si>
    <t>MGDMNTT--------GVSAIGIANIAMDGTVLDTWYPHPE-LSTDDAHQWRDIGEPGTVRLGAHDLSPRMLSLVRLDEDRMVEQVAVRTTIADLSQPPIDAHDVYLRLHLLSHRLVRPHELNMEGVYQKLTTVVWTNKGPCLPDNFEFVRTSLRSRGLIHVYSIDHLPRMVDYVVPTGVRIAEAERVRLGAYLASGTEVLREGFVSFNAGTLGPATVEGCLYSGVTVGEGAVLQHDSSVVSNALSNGDRP-ALHVGASTVLGVNSTLMELSLGDNCLLGPNLLIEPDTTLYFADD-------DRLAPASTIAGEDGWSIVHEPGNVEPVARKVADTTSTGSSGQSNQGSRSSRRAKAEPTTTEAKEPRTKKTRARKTTKRTRR</t>
  </si>
  <si>
    <t>MTVI-----------GAQAIGIANIAMDGSVLDTWYPYPELITNTSDPS-------GTERLGAQDLPIKLLNLIKIDQDRMVEQVAVRTTIADLSEPPTDAHDVYLRLHLLSHRLVKPTTINMDDAVERLTITVWTNKGPCLPDNFEHMRAALRSRGLIHVYGIDSLPRMVDYVVPAGVQITEAERVRLGAYLAPGTRVIREGFVSHNAGTLGPGRVEGRIASGTVVGTNIDLGISASLVS------MKPAPLHVGNNCSLGVSAAVIGLNLGDNVHVGNNIVLDPTTPLLFADS-------EEIHLAGEIDGQSNWLIQMEKHSVEPVARRLTD--------------HDAKFMLRNPPVSDYTY-----------------</t>
  </si>
  <si>
    <t>MTVI-----------GAQAIGIANIAMDGSVLDTWYPYPELITNTSDPS-------GTERLGAQDLPIKLLNLIKIDQDRMVEQVAVRTTIADLSKPPTDAHDVYLRLHLLSHRLVKPTTINMDDAVERLTITVWTNKGPCLPDNFEHMRAALRSRGLIHVYGIDSLPRMVDYVVPAGVQITEAERVRLGAYLAPGTRVIREGFVSHNAGTLGPGRVEGRIASGTVVGTNIDLGISASLVS------MKPAPLHVGNNCSLGVSAAVIGLNLGDNVHVGNNIVLDPTTPLLFADS-------EEIHLAGEIDGQSNWLIQMEKHSVEPVARRLTD--------------HDAKFMLRNPPVSDYTY-----------------</t>
  </si>
  <si>
    <t>GC_00000388</t>
  </si>
  <si>
    <t>PF00453.23</t>
  </si>
  <si>
    <t>Ribosomal protein L20</t>
  </si>
  <si>
    <t>K02887</t>
  </si>
  <si>
    <t>large subunit ribosomal protein L20</t>
  </si>
  <si>
    <t>COG0292</t>
  </si>
  <si>
    <t>Ribosomal protein L20 (RplT) (PDB:1VS6) (PUBMED:30270044)</t>
  </si>
  <si>
    <t>MARVKRSVNAKKKRREILKSAKGYRGQRSRLYRKAKEQWLHSMTYAYRDRRARKGEFRKLWIQRINAAARMNGITYNRLIQGLRLAEIEVDRKILADLAVNDFATFTAICEAAKAALPEDVNAPKVA</t>
  </si>
  <si>
    <t>MARVKRSVNAKKKRRTILKSAKGYRGQRSRLYRKAKEQWLHSMTYAYRDRRARKREFRRLWIQRINAAARMNGITYNRLIQGLRLAEIEVDRKILAELAVNDFAAFSAICEAAKAALPEDVNAPKAA</t>
  </si>
  <si>
    <t>MARVKRSVNAKKKRREILKSAKGYRGQRSRLYRKAKEQWLHSMTYSYRDRRARKSEFRKLWITRINAAARMNGITYNRLIQGLRLAEIEVDRKILADLAVNDFAAFSVICEAAKAALPADVNAPKAA</t>
  </si>
  <si>
    <t>GC_00000389</t>
  </si>
  <si>
    <t>PF00471.26</t>
  </si>
  <si>
    <t>Ribosomal protein L33</t>
  </si>
  <si>
    <t>K02913</t>
  </si>
  <si>
    <t>large subunit ribosomal protein L33</t>
  </si>
  <si>
    <t>COG0267</t>
  </si>
  <si>
    <t>Ribosomal protein L33 (RpmG) (PDB:1VS6)</t>
  </si>
  <si>
    <t>MARNDIRPIIKLKSTAGTGYTYVTRKNKRNNPDRMTLKKYDPVVRKHVEFREER</t>
  </si>
  <si>
    <t>MARNDIRPIIKLKSTAGTGYTYVTRKNKRNNPDRITLKKYDPVVRKHVEFREER</t>
  </si>
  <si>
    <t>MARNDVRPIIKLKSTAGTGYTYVTRKNKRNNPDRITLKKYDPVIRKHVEFREER</t>
  </si>
  <si>
    <t>GC_00000390</t>
  </si>
  <si>
    <t>PF22599.2</t>
  </si>
  <si>
    <t>SecDF, P1 head subdomain</t>
  </si>
  <si>
    <t>K03072</t>
  </si>
  <si>
    <t>preprotein translocase subunit SecD</t>
  </si>
  <si>
    <t>COG0342</t>
  </si>
  <si>
    <t>Preprotein translocase subunit SecD (SecD) (PDB:3AQP) (PUBMED:26100040)</t>
  </si>
  <si>
    <t>KEGG Orthology (KO)&gt;&gt;&gt;09120 Genetic Information Processing&gt;&gt;&gt;09123 Folding, sorting and degradation&gt;&gt;&gt;03060 Protein export [PATH:ko03060]|KEGG Orthology (KO)&gt;&gt;&gt;09130 Environmental Information Processing&gt;&gt;&gt;09131 Membrane transport&gt;&gt;&gt;03070 Bacterial secretion system [PATH:ko03070]|Secretion system&gt;&gt;&gt;Sec (secretion) system&gt;&gt;&gt;Prokaryotic Sec-SRP core components</t>
  </si>
  <si>
    <t>MALNDRQAGRLASGSAAW---PKRAIALFVLLLAVVYSLVFFTGNKQAMPKLGIDLQGGTRVTLVPQGEQPTQDQLAQARAILEKRVNGMGVSGASVVTDGNTLVITVPGEDTSQARTLGETSQLVFRPVSE-GAGVDYQSLPSTVEQMATRWVHAGVISKDAAQERVNAI---YDELNSALANAAAQAGGEAPAQPE--KSNITLNAEEPAKPENSIEAAELRSKQLEVLKADRQSEDPTTLAAASALMVC---NDDPDPLAGADSPALPLVACDPTSGHNLVLEASPLLKGQQGVD-GQRLTGSQIDTGSPITGGFNPQSGQNEITFRFKSSDGNEGAATWAQLTSENIGKQVAITLDSKVISAPVMRSAIPIGSATSIDGSFTTEEAIALANNLRYGALPLSFAGENGEVGGTATTVPATLGLASLKASLIAGIVGLILVSLFALAYYRLFGTLAIASLFASGAFIYGALVLLGRWLGYSLDLAGVAGLIIGIGTTADSFVVFYERIKDEVRDGRTFRSAVPRAWNRAKHTIMSGTFASLIAAVVLYVVAVGDVKGFAFTLGLTTIFDLVITFLVTAPLLVLASRRAWFARPAVNGLGRVMKVAQKRRSLGESLPGDAAVSSTSPATDDPSTSGTAGTTGAK----------------</t>
  </si>
  <si>
    <t>---MASQGRRTRIGQSRW---PKQALALFVLLLAIVYALIFFLPDRSPIPKLGIDLQGGTRVTLVPQGERPTSEQLAQARTILENRVNGMGVSGASVVTDGDTLVITVPGDDTSQARALGQTSQLLFRPVSNLATPESVAAFSPVLTEMANRWVENGIVTPDQANQSMDAI--------ANLINQNVQEGGERLEVT-------KVTATAPKEPANSIAAAEQRSKVTEVLRQDRQSVDPAIQLSAYALLQCEAG</t>
  </si>
  <si>
    <t>------MASKRRSGGSRWETWPKKAIAVFGLFIIAIYAVIFLTGDRSATPKLGIDLRGGTRITLVPQGATPTQDQLQQAKNILENRVNGMGVSGANVIVDGTSLVITVPGEDTSQARAVGQTSQLLFRPVVQPDASVDNDSIIKAIEEMGNRWVTAGVMPADQVQKKFDELRKNVEKQKAAQEEQAKKQGNENQQLPEVKVPDLKVTAKAPAKAADSIAANKQRTEQLKVLKDDRQSKDAAKQLAASTLMVC---</t>
  </si>
  <si>
    <t>GC_00000391</t>
  </si>
  <si>
    <t>PF07690.21</t>
  </si>
  <si>
    <t>Major Facilitator Superfamily</t>
  </si>
  <si>
    <t>COG2814</t>
  </si>
  <si>
    <t>Predicted arabinose efflux permease AraJ, MFS family (AraJ) (PDB:4LDS)</t>
  </si>
  <si>
    <t>MNSTPRTQDTPPADAHGQQSQLPEKQAWKALTALCIGFFMILLDQTIVAVASPNFQSELDASLNAVVWVTSIYLLTFAVPLLVTGRLGDRYGQRNVYIAGMSLFTLSSLACGLAPNIYFLIVARAFQGLGASILSPQTMSVINRLFARNRRGAAMGVWGAVAGLATLAGPLLGGLLVGTVGWESIFLINVPIGVVSIILVLRWVPKMPRTARSVDAASVAASIIGVFCLVFAVQQGPELGWPAWIWGVLALGIATMAGFVYLQRQATTQGRDALVPLGLFRNINFALGTFSIAMMGFTVAGTMLPIMIYLQDGAGLSAQAAGLMLTPMALISGMLAPFVGRLSDRVHPRILSTVGFSMMLIAMILMAITMNDHLSYWWVLVPIAALGVGNGFVWSPNSATSMRDIDVTKVGAASGVYNTSRQVGSVIGSAAIGAAMQVGVTHTSVANAMGHVMWLPAIAMLLGLIAVTQF--RSHAN-----</t>
  </si>
  <si>
    <t>------MSQTPPHPQH--TAELPLSDAWRALSALCVGFFMILLDQTIVAVATPHFHKDLDASLNDVIWVTSVYLLTFAVPLLVTGRLGDRFGQRTIYLIGMVVFTLSSLACGLASTIELLIIARALQGFGASLIAPQTMSVINRIFPRDKRGAAMGMWGAVAGFASLMGPLLGGVIVAYVGWQWIFFINVPIGVVSLVLVARWVPVLPRASRSIDALSVVASVISVFAFVFTLQEGPHLGWPLWLWGLLAAGVGA</t>
  </si>
  <si>
    <t>---------------------------------------MILLDQTIVAVATPDLQTELGASLNQVVWVTSIYLLFFAVPLLVTGRLGDRYGQRNIYLIGMVIFTISSLACGLSPTVEILIIARAIQGIGASLITPQTMSVINRIFPRHRRGAAMGMWGVVAGLASLAGPILGGLIVSAIGWEWIFFINVPFGIVSIIMVWLMVPDLPRLARRLDFLSVIVSIITMSSIVFTIQQGPDLGWPIWIWPILVVGLAL</t>
  </si>
  <si>
    <t>---------------------------------------MILLDQTIVAVATPDLQTELGASLNQVVWVTSIYLLFFAVPLLVTGRLGDRYGQRNIYLIGMVIFTISSLACGLSPTVEILIIARAIQGIGASLITPQTMSVINRIFPRHRRGAAMGMWGVVAGLASLAGPILGGIIVSAIGWEWIFFINVPFGIVSIIMVWLMVPDLPRLARRLDFLSVIVSIITMSSIVFTIQQGPDLGWPIWIWPILVVGLAL</t>
  </si>
  <si>
    <t>GC_00000392</t>
  </si>
  <si>
    <t>PF01545.26</t>
  </si>
  <si>
    <t>Cation efflux family</t>
  </si>
  <si>
    <t>K16264</t>
  </si>
  <si>
    <t>cobalt-zinc-cadmium efflux system protein</t>
  </si>
  <si>
    <t>COG1230</t>
  </si>
  <si>
    <t>Co/Zn/Cd efflux system component (CzcD)</t>
  </si>
  <si>
    <t>MHRDNSQRREHA----------------HGHDHAHEHHHGHHHVHDHDHGHDHVHGHTHAPDSVKALVGVIILTTTIFAAEVIGGFLSGSLSLLADAAHMLSDSAGLIMALVAAIIGRREANNKATFGYKRVEVLTAAINAAAVGAIGLWIIVEAVMKLFRRVEGQPIDTGLMLIVALIGLVANGASALILARGSHDSLNMRGAYLHVLSDLAGSVAVIIAGLIIRYTGFHYADAIASIIIAIIILPRTKKLLDDAVRVLLEHAPAGIDVDEVQCTVLAIDGVISVHDLHVWSLDGAKALVSCHLVVNADADGSPECVLKNHVNQCAVLDEAERRLGELGISHTTIQIEGAQHLGHEHDANDCGATAASAPSKH-</t>
  </si>
  <si>
    <t>-----------------------------MSSHEHDHHHG--------------HSHNHAPQSLSALVGVLTLTSVVFLAELIAGIVSGSLALLADAAHMLSDSAGLVVALAAMLVGRRAASSRATFGYRRTEVLAAALNAGAVSAISVWIVVEAVQRIGR---AEPIDTGVMLLVAVIGLIVNAVSALVLMRRQHDNLNMRGAYLHVLADMFGSVAVIIAGIVIRFTGFQAADTIASVIIAALILPRSVQLLME</t>
  </si>
  <si>
    <t>-----------------------------MSSHEHDHSHG--------------HSHNHAPQSLSALVGVLTLTSVVFLAELIAGIVSGSLALLADAAHMLSDSAGLVVALAAMLVGRRAASSRATFGYRRTEVLAAALNAGAVSAISVWIVVEAVQRIGR---AEPIDTGVMLLVAVIGLIVNAVSALVLMRRQHDNLNMRGAYLHVLADMFGSVAVIIAGIVIRFTGFQAADTIASVIIAALILPRSVQLLME</t>
  </si>
  <si>
    <t>MTKPNTENQADTTNVGATAVADHDHHDHEAHHEEHQHSHDAHDHHDHQHDHDHDHNHSHVPSSLRALLGVLFFTAVIFFAELFGGWYSGSLALISDAMHMLSDSTGLVVAAVAILLARRTATKTATYGYKRFEVVAALLNAVSVSIISVWIVFEAIERFRN---GETIDITVMLVVGVIGLIANIFGAIVLHGHSHENMNVRGAYLHVLVDLFGSVAVIVAALLMQFTGILWADTVASLIIAALILPRSVKLAWESLRVLLEQVPVGVDTEGIVEKLETVEGVSAVHDLHVWSLDGNKLLATCHVVMVDE----------KPRADCGVLDDVQQAFKELGIDHTTVQIEGTKHHNHEI-------------ICHT</t>
  </si>
  <si>
    <t>GC_00000393</t>
  </si>
  <si>
    <t>PF01795.25</t>
  </si>
  <si>
    <t>MraW methylase family</t>
  </si>
  <si>
    <t>K03438</t>
  </si>
  <si>
    <t>16S rRNA (cytosine1402-N4)-methyltransferase [EC:2.1.1.199]</t>
  </si>
  <si>
    <t>COG0275</t>
  </si>
  <si>
    <t>16S rRNA C1402 N4-methylase RsmH (RmsH) (PDB:1M6Y)</t>
  </si>
  <si>
    <t>Enzymes&gt;&gt;&gt;2. Transferases&gt;&gt;&gt;2.1  Transferring one-carbon groups&gt;&gt;&gt;2.1.1  Methyltransferases&gt;&gt;&gt;2.1.1.199  16S rRNA (cytosine1402-N4)-methyltransferase|Ribosome biogenesis&gt;&gt;&gt;Prokaryotic type&gt;&gt;&gt;rRNA modification factors&gt;&gt;&gt;16S rRNA modification factors</t>
  </si>
  <si>
    <t>-----MHGHVPVLRDRVTELIADPV-REMGDKAVIVDGTLGAGGHAEFFLRSFPKACVIGLDRDRLAAEGAQERLATYGERFGFYHTRFDGLGTAIE---TGEGEPFERARTYGVSGALFDLGVSSMQLDQTERGFAYKTDAPLDMRMDPSQGITAAEVLNTYSHGDLARVLKTYGDERFAGKIASAVLREREKEPFTTSARLVELLYATIPAATRRHGGHPAKRTFQALRVEVNAELDSLERVIPMIADELTVG</t>
  </si>
  <si>
    <t>MENTNNHGHVPVLRERVTELLAPALCNTTTNPPIILDATLGAGGHSEYFLTTFPQVHIIGLDRDTTALAQAATRLAGFGDRITTLHTRFDDFPAAIQAAADAGNATCQAALTEGISGALFDLGVSSMQLDQVNRGFAYRVDAPLDMRMNNSEGITAAEILNTYPHGDLTRILKTYGDERFASKIATAIIREREHAPFTTSARLVELLYNTIPAATRRTGGHPAKRTFQALRIEVNQELAAITNVLPRIADALIPGGRAVFMAYQSLEDKIIKKYFAEITTSKTPRGLPMELPEYAAKFRLVTRGAEKATPAEIADNSRAAPVRVRAIEKLATSTNRKETSK-----</t>
  </si>
  <si>
    <t>MENTNNHGHVPVLRERVTELLAPALCNTITNPPIILDATLGAGGHSEYFLTTFPQVHIIGLDRDTTALAQAATRLADFGDRITTLHTRFDDFPTAIQAAADAGNATCQAALTEGISGALFDLGVSSMQLDQVNRGFAYRVDAPLDMRMNNSEGITAAEILNTYPHGDLTRILKTYGDERFASKIATAIIREREHAPFTTSARLVELLYNTIPAATRRTGGHPAKRTFQALRIEVNQELAAITNVLPRIADALIPGGRAVFMAYQSLEDKIIKKYFAEITTSKTPRGLPMELPEYAAKFRLVTRGAEKATPAEIADNSRAAPVRVRAIEKLATSTNRKETSK-----</t>
  </si>
  <si>
    <t>GC_00000394</t>
  </si>
  <si>
    <t>PF00574.28</t>
  </si>
  <si>
    <t>Clp protease</t>
  </si>
  <si>
    <t>K01358</t>
  </si>
  <si>
    <t>ATP-dependent Clp protease, protease subunit [EC:3.4.21.92]</t>
  </si>
  <si>
    <t>COG0740</t>
  </si>
  <si>
    <t>ATP-dependent protease ClpP, protease subunit (ClpP) (PDB:1TG6)</t>
  </si>
  <si>
    <t>KEGG Orthology (KO)&gt;&gt;&gt;09140 Cellular Processes&gt;&gt;&gt;09143 Cell growth and death&gt;&gt;&gt;04112 Cell cycle - Caulobacter [PATH:ko04112]|Enzymes&gt;&gt;&gt;3. Hydrolases&gt;&gt;&gt;3.4  Acting on peptide bonds (peptidases)&gt;&gt;&gt;3.4.21  Serine endopeptidases&gt;&gt;&gt;3.4.21.92  endopeptidase Clp|Peptidases and inhibitors&gt;&gt;&gt;Serine peptidases&gt;&gt;&gt;Family S14: ClpP endopeptidase family</t>
  </si>
  <si>
    <t>MSD---------GMNLSDSVYQRLLKERIIFLGTDVNDEIANKLCAQILLLSAEDPTRDISLYINSPGGSVTAGMAIYDTMVYSPCDIATYGMGLAASMGQFLLTAGTKGKRYALPHARIMMHQPSAGVGGTAADIAIQAEQFAHTKREMAELIAQHTGQTVEQITKDSDRDRWFTAEQAKEYGFVDHVIAHAKK----</t>
  </si>
  <si>
    <t>MTDISRMHSAPAGLNLSDSVFERLLRERIIFLGSQVDDEIANKLCAQILLLSAEDPNRDISLYINSPGGSVTAGMAIYDTMKYSPCDVATYGMGLAASMGQFLLSAGTKGKRYALPHARIMMHQPSAGVGGTAADIAIQAEQFAHTKREMAELIAQHTGQTVEQITKDSDRDRWFTAEEAKDYGFVDHVVSSAKQS---</t>
  </si>
  <si>
    <t>MST--------PGFNLSDSVYERLLRDRIIFLGTQVDDEIANKLCAQILLLSAEDPTRDISLYINSPGGSVTAGMAIYDTMTYSPCDIATYAMGLAASMGQFLLTGGTKGKRYALPHARIMMHQPSAGVGGTAADIAIQAEQFAQTKREMAELIAEHSGQTFEQITKDSDRDRWFTAQQALEYGLVDHVITAAQGPIAN</t>
  </si>
  <si>
    <t>GC_00000395</t>
  </si>
  <si>
    <t>PF02446.23</t>
  </si>
  <si>
    <t>4-alpha-glucanotransferase</t>
  </si>
  <si>
    <t>K00705</t>
  </si>
  <si>
    <t>4-alpha-glucanotransferase [EC:2.4.1.25]</t>
  </si>
  <si>
    <t>COG1640</t>
  </si>
  <si>
    <t>4-alpha-glucanotransferase (MalQ) (PDB:1CWY)</t>
  </si>
  <si>
    <t>M00855</t>
  </si>
  <si>
    <t>Glycogen degradation, glycogen =&gt; glucose-6P</t>
  </si>
  <si>
    <t>KEGG Orthology (KO)&gt;&gt;&gt;09100 Metabolism&gt;&gt;&gt;09101 Carbohydrate metabolism&gt;&gt;&gt;00500 Starch and sucrose metabolism [PATH:ko00500]|Enzymes&gt;&gt;&gt;2. Transferases&gt;&gt;&gt;2.4  Glycosyltransferases&gt;&gt;&gt;2.4.1  Hexosyltransferases&gt;&gt;&gt;2.4.1.25  4-alpha-glucanotransferase</t>
  </si>
  <si>
    <t>--------------MSTFDE---QLRGLADSYGIATQFYSYTGEHVQVSTDTLLKTLHALGVDLA---------------------EHTEEAIEGAYRRREDARWSRLLPPCVVTKQGDQPRVDVHVDDGAPVE-VWITCEDGSRREA-FQVDNFNPPREVEGILRGEATFGLPEDLPLGWHRLHARS-----------------------TGSEEVVDLIVTPRRLSTADAFVAQPASGVMVQVYSVRSSDSWG</t>
  </si>
  <si>
    <t>MLSRAAKHKVAIYTGVTYTDASAALAALADTYGIATSYWSADGDHITVSDDTLLKTLRALDVHV----------------------DPTEESCRAAIQHFHDEAFARPLPPCVVAIQGDAHHINVHVHDGATAD-VTLTLEDGSQRSI-QQVENWAEPRTIDGITWGEATFVLPEDLPLGWHTLHLHSVDGGSEGTDGDAGDAAGADNQGVEPLTARCDVVITPRRLSTADRYVEHPVGGVMAQLYSVRSEESWGIGDFHDLAELARITAEHAHADFLLINPLHAAEPFPPIENSPYLPTTRRFINPLYIHVESIPEYADLDSETHGRIDSLAAPLKDANHSPDYIRRDPIYSAKLYALRQIHAIPRSPERDAAYQDYLAHEGHGLDDFARWCAAQE--------NRDDDTTIDFYRWLQWICDQQFHAASAAAHDAGMSIGIMADLAVGVHPGGADATNLTGVLAPEASVGAPADGYNQNGQDWSQPPWHPRKLAEAGYRPWRDMLRTVLRHSGGIRVDHILGLFRLWWIPRGQSPLTGTYVHYDYNALVGILALEAERAGAVVIGEDLGTFEQWVQDVLAARGIMGTSILWFERSPSVDGPRHQGEYRPLALSSVTTHDLPPTAGYLYGEHIALRDRLGLLTRDTETENSEDLAWQNRILARIGEYGLFSGTALDGHDFDGAARDDRGDITDLLVAMHRYIAGTPSALTCASLVDMVGDIKAQNQPGTTHDLYPNWCIPLCDATNTPILIHDLPALPLFRAVAEASRRR----</t>
  </si>
  <si>
    <t>MLSRAAKHKVAIYTDVTYTDASAALAALADTYGIATSYWSADGDHITVSDDTLLKTLRALDVHV----------------------DPTEENCRAAIQHFHDEAFARPLPPCVVAIQGDAHHINIHVHDGATAD-VTLTLEDGSQRTI-QQVENWAEPRTIDGITWGEATFVLPEDLPLGWHTLHLHSVDGGSEGTDGDAGDAAGVDNQGAEPLTASCDVVITPRRLSTADRYVEHPVGGVMGQLYSVRSEESWGIGDFHDLAELARITAEHAHADFLLINPLHAAEPFPPIEDSPYLPTTRRFINPLYIHVESIPEYADLDSETRGRIDALAAPLKDSNHSPDYIRRDPIYSAKLYALRQVHALPRSPERDAAYQDYLVHEGHGLDDFARWCAAQE--------NRDDDTTIDFYRWLQWICDQQFHAASAAAYDAGMSIGIMADLAVGVHPGGADATNLAGVLAPEASVGAPADGYNQNGQDWSQPPWHPRKLAEAGYRPWRDMLRTVLRHSGGIRVDHILGLFRLWWIPRGQSPLTGTYVHYDYNALVGILALEAERAGAVVIGEDLGTFEQWVQDVLAARGIMGTSILWFERSPSVDGPRHQGEYRTLALSSVTTHDLPPTAGYLYGEHIALRDRLGLLIRDTETENSEDLAWQNRILARIGEYGLFDGTALDGHDFDGAARDERGDITDLLVAMHRYIAGTPSALTCASLVDMVGDIKAQNQPGTTHDLYPNWCIPLCDAANTPILIHDLPALPLFRAVAEASRRR----</t>
  </si>
  <si>
    <t>---------------MGYQD---LLRELATEHSIATGYTAYGGHYLGVPDDTLIKILHCMGVDLGLNDYSVDDLAAIDFDGADYDKRPSEETVQAALQRRHDQEFSRPLPRCIVTTDTESQAFNVHVRDGKPVDQLFITFENSSVLEITEQLENWEPPRDIDGVIWGEATFQLPTGLPQGWHTITLVS-----------------------DNISHSCTLVVTPTHLSTTDTYINNPVAGVMAQLYSVRSSDSWG</t>
  </si>
  <si>
    <t>GC_00000396</t>
  </si>
  <si>
    <t>K00640</t>
  </si>
  <si>
    <t>serine O-acetyltransferase [EC:2.3.1.30]</t>
  </si>
  <si>
    <t>COG1045</t>
  </si>
  <si>
    <t>Serine acetyltransferase (CysE) (PDB:1T3D)</t>
  </si>
  <si>
    <t>Cysteine biosynthesis</t>
  </si>
  <si>
    <t>M00021</t>
  </si>
  <si>
    <t>Cysteine biosynthesis, serine =&gt; cysteine</t>
  </si>
  <si>
    <t>KEGG Orthology (KO)&gt;&gt;&gt;09100 Metabolism&gt;&gt;&gt;09102 Energy metabolism&gt;&gt;&gt;00920 Sulfur metabolism [PATH:ko00920]|KEGG Orthology (KO)&gt;&gt;&gt;09100 Metabolism&gt;&gt;&gt;09105 Amino acid metabolism&gt;&gt;&gt;00270 Cysteine and methionine metabolism [PATH:ko00270]|KEGG Orthology (KO)&gt;&gt;&gt;09100 Metabolism&gt;&gt;&gt;09107 Glycan biosynthesis and metabolism&gt;&gt;&gt;00543 Exopolysaccharide biosynthesis [PATH:ko00543]|KEGG Orthology (KO)&gt;&gt;&gt;09140 Cellular Processes&gt;&gt;&gt;09145 Cellular community - prokaryotes&gt;&gt;&gt;05111 Biofilm formation - Vibrio cholerae [PATH:ko05111]|Enzymes&gt;&gt;&gt;2. Transferases&gt;&gt;&gt;2.3  Acyltransferases&gt;&gt;&gt;2.3.1  Transferring groups other than aminoacyl groups&gt;&gt;&gt;2.3.1.30  serine O-acetyltransferase</t>
  </si>
  <si>
    <t>MFRSVRLPRPLHLLASIVGAVREDLDNARDNDPAARGAVENAIVYSGLHAIWMYRIAHALWVRGIKGPARVISQLARFLTGVEIHPGATIGRRFFIDHGMGVVVGETAEIGDGVMLYHGVTLGGQVLTQTKRHPTLCDNVTIGAGAKVLGPITIGAGSAVGANAVVTKDVPPGHIAVGIPASSRPRKGEEVLKLVDPDRYVPCSTLED</t>
  </si>
  <si>
    <t>MTRGV-FSIELNPMNRIVSMIREDLANARDHDPAARGDIENAVIYSGLHAIWAYRIAHVLWKRGLKLPARILSQFTRFLTGVEIHPGATIGRRFFIDHGMGVVIGETADIGDGVMLYHGVTLGGQVLTQTKRHPTLEDNVTVGAGAKVLGPITIGEGSAIGANAVVTKDVPANHIAVGIPAKSRPRKSEECIKLVDPDAYVVADYSI-</t>
  </si>
  <si>
    <t>MFK-------------IISSIKEDLANARDHDPAARGDVENAIVYSGLHAIWAHRVAHWLWVREFRGPARVLSQFMRFLTGIEIHPGAKIGRRFFIDHGMGIVIGETTEIGDGVMLYHGVTLGGQVLTQTKRHPTIEDNVTIGAGAKVLGPITVGTGSAIGANAVVTKDVPAHHIAIGIPAKTRPRQPEERIKLVDPDYYI-------</t>
  </si>
  <si>
    <t>MFK-------------IISSIKEDLANARDHDPAARGDVENAIVYSGLHAIWAHRVAHWLWVREFRGLARVLSQFMRFLTGIEIHPGAKIGRRFFIDHGMGIVIGETTEIGDGVMLYHGVTLGGQVLTQTKRHPTIEDNVTIGAGAKVLGPITVGTGSAIGANAVVTKDVPAHHIAIGIPAKTRPRQPEERIKLVDPDYYI-------</t>
  </si>
  <si>
    <t>GC_00000397</t>
  </si>
  <si>
    <t>K12428</t>
  </si>
  <si>
    <t>fatty acyl-AMP ligase FadD32 [EC:6.2.1.-]</t>
  </si>
  <si>
    <t>KEGG Orthology (KO)&gt;&gt;&gt;09100 Metabolism&gt;&gt;&gt;09103 Lipid metabolism&gt;&gt;&gt;00074 Mycolic acid biosynthesis [PATH:ko00074]|Lipid biosynthesis proteins&gt;&gt;&gt;Acyl-AMP ligase&gt;&gt;&gt;Fatty acyl-AMP ligase (FAAL)</t>
  </si>
  <si>
    <t>MDLHAAIGQFFNDKGDIALPSQITLAGLAEMMYQADAAQGGAGRHCMRFWDYSESREGVAHDFTRAEINTRIKAVAARLQQVGSIGDRVAILAGNSPEYIFGFIGSLYAGMVPVPLYDPNEPGHADHLAAVLGDAQPKFVLTNKRSAPNVRRMFSDRPAAERPRILGVDSLPDSLAESFENPLIRPEAAALVAAIG-APVDLPAFLQYTSGSTRTPAGVVLTNRSILTNVLQIFTAARLKTPLRMVSWLPLHHDMGIILAAFVTILGLEMEMMTPRDFIQQPKRWIQQINRRESDNALYTVVPNFALELAVAYGRPEEGEQIDLSHIDGLIIGSEPVTPKAVNAFREVFGPYGLPESCMRPSYGLAEASLLVTTPQSPVRPRVTWVDRDKLNQGAAVVVEEG-PGAVPLMSNGEVVRPQQLVIVDPETRCEVPDGTVGELWAHGDNMAFGYLDRPEETLATFRNTLVQRLPENSRAAGAPEDDRWMATGDLGVFIDGEIHITGRMKDLIVIAGRNHYPQDIEYTVDHASEHIRPAAIAAFAIEGDETERLVIIAERDLDKTPEGDDAAKQAIRAAVTEAHGVQPHDVVIVAPDEIKRSSSGKIARRVAKKHYLGQ---</t>
  </si>
  <si>
    <t>MDLQAAIGQFFDDKRQINLDPRLTLAGLCETLYQAEAAAGTVNRPCLRFWDFSESREGTPIDFTRAEINTRIKSVAARLQQVGTIGDRVAILAGNSPEYIFSFIGALYAGLIPVPLYDPTEPGHADHLTAVLADCKPSIVLTNSTSAAAVRRQFADVPAAERPRILSVDSLPDSLAESYVNPLMTEAGQALLAQSQTAPLDMMAFLQYTSGSTRTPAGVVLSNRSIMTNVLQIFTAAKLKTPLRLVTWLPLHHDMGIILAAFVTILGLEMEMMTPRDFIQQPVRWVRQLSKRDERNNVYAVVPNFALELAVRYGLPSEEDQVDLSTLDGVIVGSEPVTARAIKQFHDAFAPFGLPGNVIRPSYGLAEATLLVATPQGEKNARIVMVDREELSNGRAVIVDESHEKAVPLMSNGSVVRPQQMVIVDPETRAELPDGTIGEIWTHGDNTAAGYLNRPEETQETFRNTLASRLPENSRAEGAPDDDRWMATGDLGVIIDDEIYITGRLKDLIVIAGRNHYPQDIEYTVNHASEHIRPAAIAAFAIEGDDVEKLVILAERDLGRDPSGDGEAIEAIRAAVTSAHGVVPSDIKIVDVDAIARSSSGKIARRVARRHYLGEAE-</t>
  </si>
  <si>
    <t>MDLHAIIGQFFNEKGEITLQPEVTLAGMCEVLYQTEKAAGTTGRKTLRFWDFSQSRDGEIVEYSRDQINTRIKAVAARLQQVGTIGDRVAILANNSPEYVFAMLGAMYAGMVPVPLYDPNEPGHADHLKAVISDSAPKAVLTNARSAGAVRTFFADIPGRERPRVLSVDSLPDSLAESFTNPLENPAAQQFLAASGKLPVDLTAFLQYTSGSTRVPAGVVLTNRSILTNVLQIFTAAQLKTPLRLVTWLPLHHDMGIVLATFVTILGLNMDLMSPRDFIQQPARWVNQLHAEHESENVYSVIPNFAMDLAMRYGLPAARPDLDLSQVDGLILGSEPVTEKSMEAFISAFAEHGLHRAAVRPSYGLAEASLLVTTPQTPNRPLINYFDREALSEGRGVVVARN-EDSVSFASNGQVVRPQLLAIVDPETRAEVPDGTVGELWCYGANIAAGYLNRPEETEETFHNTLVTPLAENSRASGAPADAQWLATGDLAVIVDNEVYITGRLKDLIIIAGRNHYPQDIEYTVAHASAQIRPAAVAAFAVEGDDVEQLIILAERDLDKVEADDADAIAAIRAAVTEAHGVVPADIRITAPDTIIRSSAGKIARRVNKKHYQEAAAD</t>
  </si>
  <si>
    <t>MDLHAIIGQFFNEKGEITLQPEVTLAGMCEVLYQTEKAAGTTGRKTLRFWDFSQSRDGEIVEYSRDQINTRIKAVAARLQQVGTIGDRVAILANNSPEYVFAMLGAMYAGMVPVPLYDPNEPGHADHLKAVISDSAPKAVLTNARSAGAVRTFFADIPGRERPRVLSVDSLPDSLAESFTNPLENPAAQQFLAASGKLPVDLTAFLQYTSGSTRVPAGVVLTNRSILTNVLQIFTAAQLKTPLRLVTWLPLHHDMGIVLATFVTILGLNMDLMSPRDFIQQPARWVNQLHAEHEGENVYSVIPNFAMDLAMRYGLPAARTDLDLSQVDGLILGSEPVTEKSMEAFISAFAEHGLHRAAVRPSYGLAEASLLVTTPQTPNRPLINYFDREALSEGRGVVVARN-EDSVSFASNGQVVRPQLLAIVDPETRAEVPDGTVGELWCYGANIAAGYLNRPEETEETFHNTLVTPLAENSRASGAPADAQWLATGDLAVIVDNEVYITGRLKDLIIIAGRNHYPQDIEYTVAHASAQIRPAAVAAFAVEGDDVEQLIILAERDLDKVEADDVDAIAAIRAAVTEAHGVVPADIRITAPDTIIRSSAGKIARRVNKKHYQEAAAD</t>
  </si>
  <si>
    <t>GC_00000398</t>
  </si>
  <si>
    <t>PF00562.33</t>
  </si>
  <si>
    <t>RNA polymerase Rpb2, domain 6</t>
  </si>
  <si>
    <t>K03043</t>
  </si>
  <si>
    <t>DNA-directed RNA polymerase subunit beta [EC:2.7.7.6]</t>
  </si>
  <si>
    <t>COG0085</t>
  </si>
  <si>
    <t>DNA-directed RNA polymerase, beta subunit/140 kD subunit (RpoB) (PDB:5UAJ)</t>
  </si>
  <si>
    <t>MADHRPREVLEGRILAVSRQTKTDTSMAEIPGAPERYSFAKITEPIEVPGLLDLQLDSFAWLVGTPEWRERTQAEIGEGNRVTSGLEDILEELSPIQDYSGTMSLSLSEPRFEEVKNSIDECKDKDINYSAPLYVTAEFINNETQEIKSQTVFIGDFPMMTDKGTFIVNGTERVVVSQLVRSPGVYFDRTIDKSTERPLHSVKVIPSRGAWLEFDVDKRDTVGVRIDRKRRQPVTVLLKALGWTTEQITERFGFSEIMMTTLENDGVANTDEALLEIYRKQRPGEQPTRDLAQSLLDNSFFRAKRYDLAKVGRYKVNRKLGLGGDHEGLMTLTEEDIATTLEYLVRLHAGETQMTSPNGTVIPVETDDIDHFGNRRLRTVGELIQNQVRVGLSRMERVVRERMTTQDAESITPTSLINVRPVSAAIREFFGTSQMSQFMDQNNSLSGLTNKRRLSALGPGGLSRERAGIEVRDVHPSHYGRMCPIETPEGPNIGLIGSLSCYARVNSFGFIETPYRKIVDGHITDEVHYLTADEEDRYVVAQANTPHDKDGKITEERIVVRTKGGNIEVVGPEAIEYMDVSPRQMVSVATAMIPFLEHDDANRALMGANMQRQAVPLVRSEAPLVGTGMELRAAYDAGDMIINAKGGVVENVCADYITVMADDGTRDTYMLRKFQRTNQGTCYNQKPLVDMGQRVEAGQVIADGPGTDNGEMALGRNLLVAFMPWEGHNYEDAIILNQRLVEEDILTSIHIEEHEIDARDTKLGAEEITREIPNVSEDVLKDLDERGIVRIGADVRDGDILVGKVTPKGETELTPEERLLRAIFGEKAREVRDTSMKVPHGETGKVISVRRFSREEDDDLAPGVNEMIRVYVAQKRKIQDGDKLAGRHGNKGVVGKILPAEDMPFLPDGTPVDIILNTHGVPRRMNIGQVLEVHLGWLAAAGWNIDTNNPENKELMEILPEELYDVPAGSLTATPVFDGASNAELAGLLANSRPNRDGDVMVDGDGKAQLIDGRSGEPFPYPVSVGYMYMLKLHHLVDEKIHARSTGPYSMITQQPLGGKAQFGGQRFGEMEVWAMQAYGAAYTLQELLTIKSDDVVGRVKVYEAIVKGENIPDPGIPESFKVLLKELQSLCLNVEVLAADGTPMELGGSDDDEYDAAGATLGINLSRDERSDADSA</t>
  </si>
  <si>
    <t>--------------MAVSRQTK---SMAEIPGAPERYSFAKITEPIEVPGLLDLQLESFAWLIGTPEWRARMQEKVSEGTRVTSGLEDILEELSPIQDYSGNMSLSLSEPRFEEVKYSIDECKEKDINYSAPLYVTAEFVNNDTGEIKSQTVFIGDFPMMTDKGTFIVNGTERVVVSQLVRSPGVYFDQTIDKSTERALHSVKVIPSRGAWLEFDVDKRDTVGVRIDRKRRQPVTVLLKALGWTHEQIVERFGFS</t>
  </si>
  <si>
    <t>--------------MAVSRQTK-----ATIPGAPERKSFAKIQSPIEVPGLLDIQLESFAWLIGSPEWRARRQAELGEDVRVTSGLEDILEELSPIQDYSGNMSLSLSEPRFEEMKNSIDECKDKDINYSAPLYVTAEFINNETQEIKSQTVFIGDFPMMTDKGTFIVNGTERVVVSQLVRSPGVYFDQTIDKSTERPLHSVKVIPSRGAWLEFDVDKRDTVGVRIDRKRRQPVTVLLKALGWTTEQIVERFGFS</t>
  </si>
  <si>
    <t>GC_00000399</t>
  </si>
  <si>
    <t>MYGYLWRLIPGPFIVKLIVTLIVAIAVFFLLMEVVFPWVSTMMPYNDVSV</t>
  </si>
  <si>
    <t>MYGFIWRHLPGPTPVKILISVVLLAAVFMLLMEVIFPIISQYMPYNDVSV</t>
  </si>
  <si>
    <t>MYGLLWRSLPGPWWVKLVIVLVLLVAVFLVLMEYVFPWVSTLMPYNDVSV</t>
  </si>
  <si>
    <t>GC_00000400</t>
  </si>
  <si>
    <t>PF03663.20</t>
  </si>
  <si>
    <t xml:space="preserve">Glycosyl hydrolase family 76 </t>
  </si>
  <si>
    <t>COG4833</t>
  </si>
  <si>
    <t>Predicted alpha-1,6-mannanase, GH76 family (PDB:3K7X)</t>
  </si>
  <si>
    <t>MVIVGNNQHHRDEKIIVQEKWAYRADLAEQAINERHASRVWGIPKTNLAVVTWPPTSRDKLFFHWHYWWQAHYLDCLIDAAHRHPTSARLARVKYTLRGIRVRNLRNVRANRYYDDKAWLALASQRVTSLKNQK--EPKHLKRLESDISGGKDSLMGVVPWRTNETFYNVPTNGPAAIMFARAGQLGAAKELTDWVFDNLVGDDGLVMDGVRMRMHGPEVVKDIHPYCQGVMLGACLEISDALRKAAGL--EQPISSIADAEKADEAMGYITKLRDLVHSIAKTMATPGGVIDWQTGGGDGGLFKGILARYLADVAVRLPDDSGLNRATRKIAARLVLSSAESVWNHRLEIDGLPVFSADWVNDAALPQNSGVVGSSISGAVSSSQIAERDLSVQLSGWMLLEAAARV-----SQAGYAR-------</t>
  </si>
  <si>
    <t>----------------MEEKWAHRADLAEAAINERHASRVWGIPRTNLAVVSWPPAIKDKLFVQWHYWWQAHYLDCLVDAASRRTTTKRLQLIRDTMRGIRVRNLRGWTHNRYYDDKAWLALAAARAGGVRKLR--PPKGLRALESNISAGRDSLTGVLPWRHNETFYNVPTNGPAAIMLARNGRIAEAQELIDWVYDNLINDQGLVMDGVRMRMHGPEVVKDIHPYCQGVMMGACLELSERLLEYEGIVNQHGF</t>
  </si>
  <si>
    <t>----------------MEEKWAHRADLAEAAINERHASRVWGIPRTNLAVVSWPPAIKDKLFVQWHYWWQAHYLDCLVDAASRRTTTKRLQLIRDTMRGIRVRNLRGWTHNRYYDDKAWLALAAARAGGVRKLR--PPKGLRALESNISAGRDSLTGVLPWRHNETFYNVPTNGPAAIMLARNGRIAEAQELIDWVYDNLINDQGLVMDGVRMRMHGPDVVKDIHPYCQGVMMGACLELSERLLEYEGIVNQHGF</t>
  </si>
  <si>
    <t>GC_00000401</t>
  </si>
  <si>
    <t>PF00318.25</t>
  </si>
  <si>
    <t>Ribosomal protein S2</t>
  </si>
  <si>
    <t>K02967</t>
  </si>
  <si>
    <t>small subunit ribosomal protein S2</t>
  </si>
  <si>
    <t>COG0052</t>
  </si>
  <si>
    <t>Ribosomal protein S2 (RpsB) (PDB:4V4H)</t>
  </si>
  <si>
    <t>MAVVTMRELLDAGVHFGHQTRRWNPKMKRFILTDRNGIYIIDLQQTLTYIDQAYEFVKETVAHGGTILFVGTKKQAQEAVKTEAERCEMPYVNHRWLGGMLTNFQTVSKRLHRMKELQAMDSAEDGYKGRTKKEILMLTRERTKLERVLGGIAEMHKVPSALWIIDTNKEHIAVSEAHKLSIPVVAILDTNCDPDVVDYPIPGNDDAIRSTGLLSKIISTAVIEGKKARSERELAAAKEAAGDTPATEETVEVAAKVEAPAEV-----------------------------AAEAAE</t>
  </si>
  <si>
    <t>MAVVTMRELLDAGVHFGHQTRRWNPKMKRFIFTDRNGIYIIDLQQTLTYIDKAFEFVKETVAHGGTILFVGTKKQAQEAVKNEAERVGMPYVNHRWLGGMLTNFQTVSKSLSRMKELQAMDAAENGYEGRTKKEILMLTRERTKLERVLGGIADMSKIPSALWIIDTNKEHIAVSEAQKLNIPVVAILDTNCDPDVVDYPIPGNDDAIRSTGLLSRLISTAVAEGKKARSERELAAAKEAAGDA----EKVEVAAKVEAAAEV-------------VDAAADAEASAEADAATDTAAE</t>
  </si>
  <si>
    <t>MAVVTMRELLDSGVHFGHQTRRWNPKMRRFIFTERNGIYIIDLQQTLTYIDEAFEFVKETVAHGGTILYVGTKKQAQEPIQEEAKRIGMPYVNHRWLGGMLTNFQTVSKRLHRMKELQAMES-EGGFEGRTKKEILMLTRERTKLERVLGGIAEMHKVPSALWVVDTNKEHIAVNEAHKLNIPVVAILDTNCDPDVVNYPVPGNDDAIRSIAVLTRVISAAVIEGKKAREERALAAAKDAAGDSQ-REEAVEVAAKVEAPTEVAAKVEAPAEVAAKVEAPAEVAAEAKAAEDKATPAE</t>
  </si>
  <si>
    <t>MAVVTMRELLDSGVHFGHQTRRWNPKMRRFIFTERNGIYIIDLQQTLTYIDEAFEFVKETVAHGGTILYVGTKKQAQEPIQEEAKRIGMPYVNHRWLGGMLTNFQTVSKRLHRMKELQAMES-EGGFEGRTKKEILMLTRERTKLERVLGGIAEMHKVPSALWVVDTNKEHIAVNEAHKLNIPVVAILDTNCDPDVVNYPVPGNDDAIRSIAVLTRVISAAVIEGKKAREERALAAAKDAAGDSQ-REEAVEVAAKVEAPTEVAAKVEAPAEVAAKVEASAEVAAEAKAAEDKATPAE</t>
  </si>
  <si>
    <t>GC_00000402</t>
  </si>
  <si>
    <t>PF02436.23</t>
  </si>
  <si>
    <t>Conserved carboxylase domain</t>
  </si>
  <si>
    <t>K03416</t>
  </si>
  <si>
    <t>methylmalonyl-CoA carboxyltransferase 5S subunit [EC:2.1.3.1]</t>
  </si>
  <si>
    <t>COG5016</t>
  </si>
  <si>
    <t>Pyruvate/oxaloacetate carboxyltransferase (OadA1) (PDB:2NX9) (PUBMED:18681940)</t>
  </si>
  <si>
    <t>Urea cycle</t>
  </si>
  <si>
    <t>KEGG Orthology (KO)&gt;&gt;&gt;09100 Metabolism&gt;&gt;&gt;09101 Carbohydrate metabolism&gt;&gt;&gt;00640 Propanoate metabolism [PATH:ko00640]|Enzymes&gt;&gt;&gt;2. Transferases&gt;&gt;&gt;2.1  Transferring one-carbon groups&gt;&gt;&gt;2.1.3  Carboxy- and carbamoyltransferases&gt;&gt;&gt;2.1.3.1  methylmalonyl-CoA carboxytransferase</t>
  </si>
  <si>
    <t>MSPQTSDKPNTSRKIGVTEVALRDAHQSLMATRMAMEDMVGACEDLDKAGFWSVECWGGATFDACIRFLNEDPWERLRTFRKLMPNSRLQMLLRGQNLLGYRHYEDMVVDKFVEKSAENGMDVFRVFDALNDPRNLEHAMAAVKNVGKHAQGTICYTTSPLHDVEGYIKQAGRLLDMGADSIALKDMAALLKPQPAYDIIRGIKETYGEDTQINVHCHSTTGVTLVTLMKAIEAGADVVDSAISSMSLGPGHNPTESLVEMLEGTGYTTDLDMERLINIRDHFKQVRPKYEEFESATLVDTNIFLSQIPGGMLSNMESQLKAQGAGDRIDEVMQEVPRVRKDAGYPPLVTPSSQIVGTQAVFNVLMGRYKVMTAEFADLMLGYYGECIGERDPELIKQAEEQTKKQPITCRPADLLDPEWDQLRTEAEGLEGFDGSDEDVLTNALFPGVAPGFFKTRSEGPKNVGKTAEQLKREQDAASGAANAVREPIQYKVTVGGRSQTVKVEPA-</t>
  </si>
  <si>
    <t>MSP---------RKIGVTEVALRDAHQSLMATRMAMEDMVGICEDMDQAGFWSVECWGGATFDACIRFLNEDPWERLRTFRKLMPNSKLQMLLRGQNLLGYRHYEDMVVDKFVEKSKENGMDVFRVFDALNDPRNLEHAMAAVKKVGGHAQGTICYTVSPLHTVEGYIEQAGRLLDMGADSIALKDMAALLKPQPAYDIIRGIKDTYGDDTQINVHCHSTTGVTLVTLMKAIEAGADVVDSAISSMSLGPGHNPTESLVEMLEGTDYTTDLDMDRLIAIRDHFKTIRPKYAEFESETLVDTNIFLSQIPGGMLSNMESQLKAQGAGDKIDEVMREVPLVRKDAGYPPLVTPSSQIVGTQAVFNVLMGRYKVMTAEFADLMLGYYGECIGERDPELVKQAEAQTKKKPIDVRPADLLEPEWDQLVEEASNLEGYDGTDEDVLTNALFPGVAPGFFSTRSEGPKNVGKTAEQLEREKAAASGSANAVREPISYKVTVGGRSQTVKVEPA-</t>
  </si>
  <si>
    <t>--------------------------------------MVAACDDIDKAGFWSVECWGGATFDACIRFLNEDPWKRLRTFRELMPNSRLQMLLRGQNLLGYRHYEDMVVDKFVEKSKENGMDVFRVFDALNDPRNLERAMTAVKKVDGHAQGTICYTVSPLHDVDGYIKLAGQLLDMGADSIALKDMAALLKPQPAYDIIRGVKDTYGDDVQINVHCHSTTGVTLVTLMKAIEAGADVVDTAISSLSLGPGHNPT</t>
  </si>
  <si>
    <t>--------------------------------------MVAACDDIDKAGFWSVECWGGATFDACIRFLNEDPWKRLRTFRELMPNSRLQMLLRGQNLLGYRHYEDMVVDKFVEKSKENGMDVFRVFDALNDPRNLERAMTAVKKVGGHAQGTICYTVSPLHDVDGYIKLAGQLLDMGADSIALKDMAALLKPQPAYDIIRGVKDTYGDDVQINVHCHSTTGVTLVTLMKAIEAGADVVDTAISSLSLGPGHNPT</t>
  </si>
  <si>
    <t>GC_00000403</t>
  </si>
  <si>
    <t>PF02033.23</t>
  </si>
  <si>
    <t>Ribosome-binding factor A</t>
  </si>
  <si>
    <t>K02834</t>
  </si>
  <si>
    <t>ribosome-binding factor A</t>
  </si>
  <si>
    <t>COG0858</t>
  </si>
  <si>
    <t>Ribosome-binding factor RbfA (RbfA) (PDB:1JOS)</t>
  </si>
  <si>
    <t>MVDHARAARLAKRIQTIVANAIELEVKDSRLELVTITDCKVTGDLHDATVFYTVRGRTVNEEPDVAVAAEALKRARGQLRKIMGEQLGVRYTPTLSFSHDTVPETSAHMEALLERARKRDEELRKLAENARLAGEADPYKKADDEHE-------</t>
  </si>
  <si>
    <t>MVDHARAARMSKRIMTIIASAIEHETKDWRLQYVTITDCKVTGDLHDATVYYTVRGVTLDEEPDVDGAAEALNRVRGQLRKIMGDQLGVRYTPTLSFSLDTVPEASAHMEELLARARARDEELAELAKNAQPAGDANPYRTTDTSEDDTTVSEE</t>
  </si>
  <si>
    <t>MADSARAHRLAKRILHIVASAIEREIKDPGLAYITITDTRVTGDLHDATVFYTVRGKNIADEPDTEAAAQALTRAKGQLRKIVGDQLSVRFTPTLTFELDTMPESSARMEELLARARKRDAELAKLRETATPAGDANPYKTDPEE---------</t>
  </si>
  <si>
    <t>GC_00000404</t>
  </si>
  <si>
    <t>PF02254.24</t>
  </si>
  <si>
    <t>TrkA-N domain</t>
  </si>
  <si>
    <t>K03426</t>
  </si>
  <si>
    <t>NAD+ diphosphatase [EC:3.6.1.22]</t>
  </si>
  <si>
    <t>COG1226</t>
  </si>
  <si>
    <t>Voltage-gated potassium channel Kch (Kch) (PDB:3FWZ)</t>
  </si>
  <si>
    <t>KEGG Orthology (KO)&gt;&gt;&gt;09100 Metabolism&gt;&gt;&gt;09108 Metabolism of cofactors and vitamins&gt;&gt;&gt;00760 Nicotinate and nicotinamide metabolism [PATH:ko00760]|KEGG Orthology (KO)&gt;&gt;&gt;09140 Cellular Processes&gt;&gt;&gt;09141 Transport and catabolism&gt;&gt;&gt;04146 Peroxisome [PATH:ko04146]|Enzymes&gt;&gt;&gt;3. Hydrolases&gt;&gt;&gt;3.6  Acting on acid anhydrides&gt;&gt;&gt;3.6.1  In phosphorus-containing anhydrides&gt;&gt;&gt;3.6.1.22  NAD+ diphosphatase</t>
  </si>
  <si>
    <t>MNPHHERRRRYYHRPRRRSSQRSAGWLREDQQLETMPDHALLNVINIPRDDSASPRALITRRVVYALILLVFVAILVYADQDGYSEKLTAIDALYYSAVTLSTTGYGDIVPVTQSARLINTLVITPIRMAFLILLVGTTLAVLTEETRRTLQIQRWRRSMRDHTVVIGYGTKGSSAVSAMLADGADPRHIVVVDTSEQALEAANNHGLVTVKGSATKTDVLKLAGVPRARAVVVAPNLDDTAVLVTLTVREIAPHATVVASVRESENVHLLEQSGADQVVISSETAGRMLGLATVTPSVVEMMEDLLSPEDGLSIVERRASDMEVGINPRELPDIILGLVRGGILHRIGTPEAATVESGDRLLYVRRTLDS--------</t>
  </si>
  <si>
    <t>--------------MRDAFRE----RLQSDTELDDLPDHALLNIIQIPRERQVSPWALITRRVFYALLLLTGVSLLVYLDKDGYNEPLTFIDAVYYSAVSLSTVGYGDITPVTQEARLINIILITPIRIAFLILLVGTTLSVLTEETRRTLQIQRWRKRMRNHTVVVGYGTKGRSAVSALLADGVHPSQIVVVDTDTHSLDMAAGQGLVTVHGSATKADVLKLAGVTRARAVVVAPNMDDTAVLVTLSVREIAPS</t>
  </si>
  <si>
    <t>P|T</t>
  </si>
  <si>
    <t>Inorganic ion transport and metabolism|Signal transduction mechanisms</t>
  </si>
  <si>
    <t>COG0569</t>
  </si>
  <si>
    <t>Trk/Ktr K+ transport system regulatory component TrkA/KtrA/KtrC, RCK domain (TrkA) (PDB:4XTT) (PUBMED:23815639;25957408;31868587;32095817)</t>
  </si>
  <si>
    <t>--------------MPSRYPPDRSGRLSNEASNPDIPQHALINIIRIPVNVQVSPIELIVRRVGIALVLIIMVALVAYMEKDGYSEKLSFIDALYYAGVTLSTTGYGDIVPVTQLARLINLFVVTPLRLGFVILLVGTTLSVLTEESRKAWQIQHWRKRMRNHTIIIGYGTKGRSAVAALLADGTSPKDIVVVDKDSRVLEVAEAQGLVTVNGSGTQSNILKLAGVGKAKAVVVAPSIDDTAVLVTLSVRELAPS</t>
  </si>
  <si>
    <t>GC_00000405</t>
  </si>
  <si>
    <t>PF13845.11</t>
  </si>
  <si>
    <t>Septum formation</t>
  </si>
  <si>
    <t>--MVSSWRSSAPVRVALVASLVGGVAVGGYAFESARAGSSGEGGDSSAAGSSSQPASDSSAPVASFTTASVGDCVTWDVDAAGAVSQFGQTDCARPHRFEISAREDLGAYPSSEFGPKADMPGVARQAELREELCQGPTIKYLKGHFDPVGRYSVASILPPREQWEAGDRTMLCGVQVTNDDGSVELTSGSALNQDQARIAQAGECVAVDDAEVPRVVDCGAEHSYEVTKVIDLQEVFPDRVPSIEDQDNYLKPV</t>
  </si>
  <si>
    <t>MNKQKSWRSANIVRAILIVALSAACAVGAYEFVRSQANSGG-GGNGSSSSSANSPNSD----VPPFTTANVGDCLTWDIGDDGNVSHFSQTDCATDHRFEISARENLATYPSSEFGPKAEAPDLERQAQLREELCTAPTVEYLQGRYDPSGRYTIAPILPPPASWAAGDRTMLCGVQVTNDKGQAALISGKATDQDQARIAQAGQCVAVDAENRTHIVPCEEDHSYEVTSVVDLQNVFPQGTPSTEDQDQHLKTVCTNAALEYIGGDDALYNSTLSPFWTTVTTNSWIGGTHTVNCALFKANRDGKFSALKGSAKGQFTIDGAPPPPQPSRNPLRTPAA------NPR</t>
  </si>
  <si>
    <t>GC_00000406</t>
  </si>
  <si>
    <t>PF00210.30</t>
  </si>
  <si>
    <t>Ferritin-like domain</t>
  </si>
  <si>
    <t>K02217</t>
  </si>
  <si>
    <t>ferritin [EC:1.16.3.2]</t>
  </si>
  <si>
    <t>COG1528</t>
  </si>
  <si>
    <t>Ferritin (FtnA) (PDB:1AEW) (PUBMED:24380371)</t>
  </si>
  <si>
    <t>KEGG Orthology (KO)&gt;&gt;&gt;09190 Not Included in Pathway or Brite&gt;&gt;&gt;09191 Unclassified: metabolism&gt;&gt;&gt;99980 Enzymes with EC numbers|Enzymes&gt;&gt;&gt;1. Oxidoreductases&gt;&gt;&gt;1.16  Oxidizing metal ions&gt;&gt;&gt;1.16.3  With oxygen as acceptor&gt;&gt;&gt;1.16.3.2  bacterial non-heme ferritin</t>
  </si>
  <si>
    <t>MRAAQTLATLVLMQLNDTLAKAMNNQVTAEYEASMIYRQLSFILDDLGLVGMRDWMALQAEEELGHAQMFADHMLARDVVPQIGSISVPELSVTSAVEAFEASLAHEVKISGMIRDLAKLAQDGGDFDSRPLLDGFLAEQIEEESTVKEILDRLRLIGEDGSGLLRIDAELGSRDGDDN</t>
  </si>
  <si>
    <t>------------MSINEKLAAALNNQVTAELEAAMVYLQMSYILEDLSLNGMASWMKKQHAEELEHAQKFAQHLLDRDYTPQIGDIAPPKVDVASAKDAFEAALAHEQKVTGLIRELSVLSDSLKDFESRPLLDEFLEEQIEEESSVSDILDRLNFAG-EGLGVLFIDNELAKR-----</t>
  </si>
  <si>
    <t>GC_00000407</t>
  </si>
  <si>
    <t>P|R</t>
  </si>
  <si>
    <t>Inorganic ion transport and metabolism|General function prediction only</t>
  </si>
  <si>
    <t>K16784</t>
  </si>
  <si>
    <t>biotin transport system ATP-binding protein [EC:7.6.2.-]</t>
  </si>
  <si>
    <t>COG1122</t>
  </si>
  <si>
    <t>Energy-coupling factor transporter ATP-binding protein EcfA2 (EcfA2) (PDB:4HUQ)</t>
  </si>
  <si>
    <t>KEGG Orthology (KO)&gt;&gt;&gt;09130 Environmental Information Processing&gt;&gt;&gt;09131 Membrane transport&gt;&gt;&gt;02010 ABC transporters [PATH:ko02010]|Transporters&gt;&gt;&gt;ABC transporters, prokaryotic type&gt;&gt;&gt;Metallic cation, iron-siderophore and vitamin B12 transporters&gt;&gt;&gt;Biotin transporter</t>
  </si>
  <si>
    <t>------MGFQPDRSDRMILSGVDVALAQRRVAIIGLNGGGKSTFVRMINGLLEPTCGTVRVDGLDPVKQGKQVRRRVGFVFADADNQIIMPTVREDVEFSLRRDVKKKEERRRAADAVLDRFGLGELAKRSPHVLSGGQKQLLALASVCVMQPQLIIADEPTTLLDLRNRMMLREVFQGIEQSMYVVTHDLDFVSDFDRALCIDQGSIVADGEPRDVIDFYTRRVV----</t>
  </si>
  <si>
    <t>MSRIVFDHVSVAFDERNVLNDISLELTEQRIGIVGANGGGKSTLIRLINGLGSPTAGTVTVDGLDVEKNGKEVRRKVGFVFSDAENQIVMPTVEDDIAFSLRRVKMPKADKQRKVKDMLERFNLAGHATQSPHFLSGGQKQLLALASVLILEPDVIIADEPTTLLDLRNRIKIKKVFAELPQQLIVVSHDLNFIADFDRVICIDNNSIAADGEPSEVIQMYTDRIMGA--</t>
  </si>
  <si>
    <t>MSTIEFTNVSVHYDDRLVLNDINLTLTENRIGIIGANGGGKSTLIRLINGLGTATTGTVTVDGLDVAKNGKQVRRKVGFVFSDAENQIVMPTVEDDIAFSLRRLKLSKTERTDRTRTMLERFGLEHHAQHSPHLLSGGQKQLLALAAVLVIEPDVIIADEPTTLLDMRNRLKIRKVFDTLEQQLIVVSHDLDFLTGFDRVLCIDNHHIAADGSPTEVIDFYTTLMNRSAL</t>
  </si>
  <si>
    <t>MSTIEFTNVSVHYDDRLVLNDINLTLTENRIGIIGANGGGKSTLIRLINGLGTATTGTVTVDGLDVAKNGKQVRRKVGFVFSDAENQIVMPTVEDDIAFSLRRLKLSKTERTDRTRTMLERFGLEHHAQHSPHLLSGGQKQLLALAAVLVIEPDVIIADEPTTLLDMRNRLKIRKVFDTLEQQLIVVSHDLDFLTGFDRVLCIDNHRIAADGSPTDVIDFYTTLMNRSAL</t>
  </si>
  <si>
    <t>GC_00000408</t>
  </si>
  <si>
    <t>COG4122</t>
  </si>
  <si>
    <t>tRNA 5-hydroxyU34 O-methylase TrmR/YrrM (TrmR) (PDB:1H1D) (PUBMED:29982645)</t>
  </si>
  <si>
    <t>MHGCRVPSAAGGCVRTTLGRVSASPFDLMSSYISSTLVEDCQATPASTPGDSSGSVVSVEAALSKATADAAELGVDFPDAATGSLLSVLAS--QAGPSPSAIVVTPAASVVGLHIVRGARDNVQLTCIDPEVEHQRSAREAFASVGLRGSQTRFLPSRPLEVMGRLAADNYQLVFAQTRPQDARALVDAALPLLVSGGALVLADYLLDGTVADSSRTERDIVAARETDEHLRRLAAEGRIVLSRLPLGAGMAVATKVS------</t>
  </si>
  <si>
    <t>PF01596.23</t>
  </si>
  <si>
    <t>O-methyltransferase</t>
  </si>
  <si>
    <t>------------------------MTDELRFYLESTTD--------------------LDPTLEQAYEDAHEFGLPVPDIVTGRLLTTLTAATQAQA---AIAITPAANVVGLYLLAGLGTNGILTCVAPEPEHQRFARQAFRSAGYSPSRIRFLPSRPLDVMGRLASHSYQLIYAEVSPVDLKALVNTALPLLTTGGSIILPDVLFSGALIDEFRATRDMIAAREADEYICALEG---VYVTRLPLGSGMTIIT</t>
  </si>
  <si>
    <t>------------------------------------------------------------------------------------------------------------------------------------------------------------------MGRLASHSYQLIYAEISPVDLKALVNTALPLLTTGGSIILPDVLFSGALIDEFRATRDMIAAREADEYICALEG---VYVTRLPLGSGMTIIT</t>
  </si>
  <si>
    <t>GC_00000409</t>
  </si>
  <si>
    <t>PF00410.24</t>
  </si>
  <si>
    <t>Ribosomal protein S8</t>
  </si>
  <si>
    <t>K02994</t>
  </si>
  <si>
    <t>small subunit ribosomal protein S8</t>
  </si>
  <si>
    <t>COG0096</t>
  </si>
  <si>
    <t>Ribosomal protein S8 (RpsH) (PDB:4V4H)</t>
  </si>
  <si>
    <t>MTMTDPIADMLSRVRNANNAYHDTVSMPSSKLKVNIASILKSEGYIADYTVEDAKVGKTLTLELKYGRNRERSISGLRRVSKPGLRVYAKSTNLPKVLGGLGVAIISTSQGLLTDRQATEKGVGGEVLAYVW</t>
  </si>
  <si>
    <t>MTMTDPIADMLSRVRNANNAHHDTVSMPSSKLKVNIATILKQEGYIADFAVEDARVGKTLTIELKYGPSRERSISGIRRVSKPGLRIYAKSTNLPRVLGGLGVAIISTSQGLLTDRQATEKGVGGEVLAYVW</t>
  </si>
  <si>
    <t>MTMTDPIADMLSRVRNANHAHHDSVSMPSSKLKVNIAKILKSEGYIADYTVDDAKVGKTLTLELKYSPTRERAISGLRRVSKPGLRVYAKSNNLPRVLGGLGVAIISTSQGLLTDRQAYAKGVGGEVLAYVW</t>
  </si>
  <si>
    <t>GC_00000410</t>
  </si>
  <si>
    <t>PF00561.26</t>
  </si>
  <si>
    <t>alpha/beta hydrolase fold</t>
  </si>
  <si>
    <t>K00641</t>
  </si>
  <si>
    <t>homoserine O-acetyltransferase/O-succinyltransferase [EC:2.3.1.31 2.3.1.46]</t>
  </si>
  <si>
    <t>COG2021</t>
  </si>
  <si>
    <t>Homoserine O-acetyltransferase (MET2) (PDB:2VAT)</t>
  </si>
  <si>
    <t>M00017</t>
  </si>
  <si>
    <t>Methionine biosynthesis, aspartate =&gt; homoserine =&gt; methionine</t>
  </si>
  <si>
    <t>KEGG Orthology (KO)&gt;&gt;&gt;09100 Metabolism&gt;&gt;&gt;09102 Energy metabolism&gt;&gt;&gt;00920 Sulfur metabolism [PATH:ko00920]|KEGG Orthology (KO)&gt;&gt;&gt;09100 Metabolism&gt;&gt;&gt;09105 Amino acid metabolism&gt;&gt;&gt;00270 Cysteine and methionine metabolism [PATH:ko00270]|Enzymes&gt;&gt;&gt;2. Transferases&gt;&gt;&gt;2.3  Acyltransferases&gt;&gt;&gt;2.3.1  Transferring groups other than aminoacyl groups&gt;&gt;&gt;2.3.1.31  homoserine O-acetyltransferase|Enzymes&gt;&gt;&gt;2. Transferases&gt;&gt;&gt;2.3  Acyltransferases&gt;&gt;&gt;2.3.1  Transferring groups other than aminoacyl groups&gt;&gt;&gt;2.3.1.46  homoserine O-succinyltransferase</t>
  </si>
  <si>
    <t>-------MTLRIQSIGDFTTEAGATIRDASIAWQMWGDPH----PGAKYLLVEHALTGDSDVSDWWSELLGPNKALDPEHYCIISTNVLGGCSGSTGPSSPHPDGGVWGSRFPALSIRDMVRAESAALEQIGIDHLHGVIGGSMGGARALEWAALYPDRVGAAMVIAVSARASAWQIGIQSTQILAIVNDPYWQGGDYYESGVRPDQGLASARRLAHLTYRGELEIDERFGADAQRGENPMGPFWDQHQRFAVDS</t>
  </si>
  <si>
    <t>MQPLVEENTLGHQRIGTVRTEAGAEIADVVIAYQRWGELRIDASGTSNIILVEHALTGDSNAVAWWPGIIGPGKALDTDIYCVMCTNVIGGCSGSTGPSSIHPDGAAWGSRFPGISIRDQVSTEKQFLDSLGIDSITAVVGGSMGGARCLEWSLLYPSVVRSALVMAVSARASAWQIGIQSSQIAAIEHDPNWQGGDFHNTGRTPDQGLATARRIAHLTYRGEQEVDERFGADAQPGENPRGQFRSSTQRFAVDSYLDHQAKKLVERFCAGSYVTLTDSLNRHDIGLGRGGLNKALASSTVPTMVVGVDTDILYPYHQQEHLSRNLGNLLGVAKIVSPVGHDAFLAEIRQVDRIIRRFRVLAGI----------</t>
  </si>
  <si>
    <t>--MLDTTGTLHKVDIGEFITEAGATIPDVTIAYQAWGTFH-----GNNLIVVEHALTGDSNVVDWWDGVVGPGKALDTDKYCVLCTNALGGCMGSTGPTSLAPDGNHWGSRFPALSIRDLVAAEKQFLDKVGVTQILAVLGGSMGGARTLEWTLLYPQLVNAALVLAVSARASAWQIGIQTAQISAIEQDPDWQGGDYYRTEATPHNGLAAARRIAHLTYRGELEIDERFGTTVQPGENPLGPYRDPHQRFAVQS</t>
  </si>
  <si>
    <t>--MLDTTGTLHKVDIGEFITEAGATIPNVTIAYQAWGTFH-----GNNLIVVEHALTGDSNVVDWWDGVVGPGKALDTDKYCVLCTNALGGCMGSTGPTSLAPDGNHWGSRFPALSIRDLVAAEKQFLDKVGVTQILAVLGGSMGGARTLEWTLLYPQLVNAALVLAVSARASAWQIGIQTAQISAIEQDPDWQGGDYYRTEATPHNGLAAARRIAHLTYRGELEIDERFGTTVQPGENPLGPYRDPHQRFAVQS</t>
  </si>
  <si>
    <t>GC_00000411</t>
  </si>
  <si>
    <t>PF13669.12</t>
  </si>
  <si>
    <t>K05606</t>
  </si>
  <si>
    <t>methylmalonyl-CoA/ethylmalonyl-CoA epimerase [EC:5.1.99.1]</t>
  </si>
  <si>
    <t>COG3185</t>
  </si>
  <si>
    <t>4-hydroxyphenylpyruvate dioxygenase and related hemolysins (HppD)</t>
  </si>
  <si>
    <t>M00373|M00741|M00376|M00375|M00613</t>
  </si>
  <si>
    <t>Ethylmalonyl pathway|Propanoyl-CoA metabolism, propanoyl-CoA =&gt; succinyl-CoA|3-Hydroxypropionate bi-cycle|Hydroxypropionate-hydroxybutylate cycle|Anoxygenic photosynthesis in green nonsulfur bacteria</t>
  </si>
  <si>
    <t>Pathway modules; Carbohydrate metabolism; Other carbohydrate metabolism|Pathway modules; Carbohydrate metabolism; Other carbohydrate metabolism|Pathway modules; Energy metabolism; Carbon fixation|Pathway modules; Energy metabolism; Carbon fixation|Signature modules; Module set; Metabolic capacity</t>
  </si>
  <si>
    <t>KEGG Orthology (KO)&gt;&gt;&gt;09100 Metabolism&gt;&gt;&gt;09101 Carbohydrate metabolism&gt;&gt;&gt;00630 Glyoxylate and dicarboxylate metabolism [PATH:ko00630]|KEGG Orthology (KO)&gt;&gt;&gt;09100 Metabolism&gt;&gt;&gt;09101 Carbohydrate metabolism&gt;&gt;&gt;00640 Propanoate metabolism [PATH:ko00640]|KEGG Orthology (KO)&gt;&gt;&gt;09100 Metabolism&gt;&gt;&gt;09102 Energy metabolism&gt;&gt;&gt;00720 Other carbon fixation pathways [PATH:ko00720]|KEGG Orthology (KO)&gt;&gt;&gt;09100 Metabolism&gt;&gt;&gt;09105 Amino acid metabolism&gt;&gt;&gt;00280 Valine, leucine and isoleucine degradation [PATH:ko00280]|Enzymes&gt;&gt;&gt;5. Isomerases&gt;&gt;&gt;5.1  Racemases and epimerases&gt;&gt;&gt;5.1.99  Acting on other compounds&gt;&gt;&gt;5.1.99.1  methylmalonyl-CoA epimerase</t>
  </si>
  <si>
    <t>MAHCVSDRTTLVGMTHDISSIDIPHEYVICLDHVGIAVPDLDAAVEFYRSNFGWVNHHQETNEEQGVVEAMIGPKNLGATDGMVQLLAPLNEDSTIAKFIDKKGPGLQQMCVRTNNIDALSEHLRAQGTRLLYPEPKIGTGGARINFVHPKDANGVLLEITEPAS</t>
  </si>
  <si>
    <t>----------MIDMSNDISAIDIPHELVICLDHVGIAVPDLDAAVEFYRSAFGWVNHHQETNEEQGVTEAMIGPKHLKETDGMIQLLAPLNENSTIAKFIDKKGPGLQQMCLRTSDIEALSKHLTEQGVRLLYPAPKVGTGGAKINFVHPKDAGGVLLELTQPA-</t>
  </si>
  <si>
    <t>GC_00000412</t>
  </si>
  <si>
    <t>PF00361.26</t>
  </si>
  <si>
    <t>NADH:quinone oxidoreductase/Mrp antiporter, TM</t>
  </si>
  <si>
    <t>C|P</t>
  </si>
  <si>
    <t>Energy production and conversion|Inorganic ion transport and metabolism</t>
  </si>
  <si>
    <t>K05568</t>
  </si>
  <si>
    <t>multicomponent Na+:H+ antiporter subunit D</t>
  </si>
  <si>
    <t>COG0651</t>
  </si>
  <si>
    <t>Formate hydrogenlyase subunit 3/Multisubunit Na+/H+ antiporter, MnhD subunit (HyfB) (PDB:6CFW)</t>
  </si>
  <si>
    <t>----------MMMHIFAAEGAVHGAPLNAAAMLPLFVAVPLVAAALAVIVR-GVARDVLHLAVPAAGIFAGVWLYAATYD-APLGHNVGLYSGGVAIPFVADGVTALMIVATSLVALTANWFATVVGETRARFYPALALMLTAGVNGALMTGDLFNLFVFIEVMLLPSYGLIAMTGTWSRLAGGRMFVLVNLATSTVLLIGVSLVYATYGSANIAVLAGAARGDKPVVVAMGLVVIALVVKAGVFPVHTWLPRTY</t>
  </si>
  <si>
    <t>---------------------------MSGVMLPLFMASGLTGAALAVVSPWRVLRDALALAIPALGTVAGIWLFATTAQHGTIAHSVGLFTGGVAIPFAADALSAVMIVAASIVAFASNWFALVVGETRARFYPALTLMLLGGVYGALLTADLFNLFVFIEVMLLPSYGLITMTGSWSRLAGGRMFVLVNLLTSTVLLIGVSIVYGVIGTVNLAALAGAAKGNGPLTVAMGLVVLALSVKSGLFPVHTWLPRTY</t>
  </si>
  <si>
    <t>MVVSQVMTAATVTVAQAAVGPIPGQPLTPPAVLPLFLGVPLALMALAVLAPWRQARNALSLVGPLITGAAGAWLFSYTAAHGTIAHSVGLYVGGVAIPFAGDQFSALMIVTASVVIFVANWFAIIVGETRARFYPALSLMLLAGCMGGFLTADLFNFFVFVEVMLLPSYGLLAMTGTWARMSSGRTFVLVNLTASTMLLIGVCFIYATAGAVNIAALRGAAAGNGPVTVAVGIVVLAMVVKAGLFPVHTWLPRTYPQTSASVMALFSSVHTKIAVYILFRIYVVIFDLDPRWMWPIVGFCVVSMVVGSFAGLGEKSLRRVLAYQMVGGIPLIVVILAFSYGQPSVALAAGIFYMVHHMITVGSLILTAGAIEETYGEDLLSRLSGLARRDPWVATVFAAGAFSVVGFPPFSGLWGKVLTVTSIAQAGSPVAWLVIAVVVVTSFAAFISMLRVWRKVFWGAEMNRQRIPENLRVPAYRIAPAGVLMLISVGMFLAAGPMVQATRDAADSLVNVTDYQHAVLGDDLADAVGIPAPQDS</t>
  </si>
  <si>
    <t>GC_00000413</t>
  </si>
  <si>
    <t>MADTHE-ELPVVDLAATEGYIVDDSDEDDPVLITPSGKPVETWRENYPYQERMSREEYEKTKRALQIELLKWQNWTKDTGQRHIILFEGRDAAGKGGTIKRFNEHLNPRGARTVALEKPSPRESTSWYFQRYIEHFPAAGEIVFFDRSWYNRSGVERVMGFCTESQHAEFLREVPMLENMIMGSDISLTKFWFSVTRKEQRTRFAIRQVDPVRQWKLSPMDLASLDKWDDYTRAKEEQFRYTDTDESPWVTIKSNDKKRARINAMRYVLSKFEYTGKDHELVGQPDPKIVIRGLKQIAD</t>
  </si>
  <si>
    <t>MDETNEQDLPVVDLAATQGYIVDDSDEDDPVLIQPNGEPVQTWRENYPYQERMSRDEYEHIKRALQIELLKWQNWTKDTGQRHIILFEGRDAAGKGGTIKRFNEHLNPRGARTVALEKPSPRESTSWYFQRYIQHFPAAGEIVFFDRSWYNRSGVERVMGFCTESQHAEFLREVPMLENMIMGSGISLTKFWFSVTQKEQRTRFAIRQVDPVRQWKLSPMDLASLDRWDDYTRAKEEQFRYTDTDESPWITIKSNDKKRARINAMKYVLSKFEYTGKDHDLVGDPDPKIVHRGRDQIGD</t>
  </si>
  <si>
    <t>MADSDN-DLPVIDLAATEGYIVDDTDEDDPVLLAPDGTPIDTWRENYPYQNRLTRDEYEHTKRALQIELLKWQNWTKDTGQRHIILFEGRDAAGKGGTIKRFNEHLNPRGARTVALEKPSPRESTSWYFQRYIQHFPCAGEIVFFDRSWYNRSGVERVMGFCTESQHAEFLREVPMLENMILGSGISLTKFWFSVSQKEQRTRFAIRQVDPVRQWKLSPMDLASLDKWDDYTRAKEEQFRYTDTDESPWITIRSNDKKRARLNAMRFILSKFEYTNKDHDLVGEPDPLIVMRGRDQIGD</t>
  </si>
  <si>
    <t>GC_00000414</t>
  </si>
  <si>
    <t>PF13085.11</t>
  </si>
  <si>
    <t>2Fe-2S iron-sulfur cluster binding domain</t>
  </si>
  <si>
    <t>K00240</t>
  </si>
  <si>
    <t>succinate dehydrogenase iron-sulfur subunit [EC:1.3.5.1]</t>
  </si>
  <si>
    <t>COG0479</t>
  </si>
  <si>
    <t>Succinate dehydrogenase/fumarate reductase, Fe-S protein subunit (SdhB/FrdB) (PDB:6LUM)</t>
  </si>
  <si>
    <t>MKLHLEIWRQAGPNTEGGFESIDVDDAVEQMSILELLDHVNEGLIESGKEPFAFASDCREGICGTCGLNVNGRPHGPEKNKPACQQRLFNFNDGDTIQLEPLRSAAYPVIKDMIVDRSALDRVMQQGGYVSVNAGTAPDADTLHMNHQTAELALDHAACIGCGACVAACPNGAAHLFTGAKLVHLSLMPLGKEERGKRARKMVDQVETSFGPCSLFGECADVCPAGIPLTAVAAINKERARSALRGKDN</t>
  </si>
  <si>
    <t>MKLHLKIWRQAGPTAEGHFESIDVDDAVPQMSILELLDHVNEGLIEAGKEPFAFASDCREGICGTCGLNVNGRPHGPEKNKPSCHQRLVSYSDGDTLEIEPLRSAAYPVIKDMIVDRSALDRVMQQGGYVSVNAGTAPDADTLHMNHQTAELALDHAACIGCGACVAACPNGAAHLFTGAKLVHLSLMPLGKEERGKRARKMVDEVETNFGPCSLYGECADVCPAGIPLTAVAAINKERARAALSAKDH</t>
  </si>
  <si>
    <t>MKLHLEIWRQAGPYHEGHFEYVTVEDAVAQMSILELLDHVNSGLIEEGKEPFAFASDCREGICGTCGLLVNGRPHGLEQNQPACQQRLLNVKDGSTLKIEPFRSAAFPVIKDMVVDRSALDRVMQQGGYVSVNSGTAPDADTLHMNHQTAELALDHAACIGCGACVAACPNGAAHLFTGAKLVHLSLMPLGKEERGRRARKMIDELETNFGHCTLYGECADVCPAGIPLSAVAAVNKERARAFFTAKDA</t>
  </si>
  <si>
    <t>GC_00000415</t>
  </si>
  <si>
    <t>PF00006.31</t>
  </si>
  <si>
    <t>ATP synthase alpha/beta family, nucleotide-binding domain</t>
  </si>
  <si>
    <t>K02112</t>
  </si>
  <si>
    <t>F-type H+/Na+-transporting ATPase subunit beta [EC:7.1.2.2 7.2.2.1]</t>
  </si>
  <si>
    <t>COG0055</t>
  </si>
  <si>
    <t>FoF1-type ATP synthase, beta subunit (AtpD) (PDB:3OAA)</t>
  </si>
  <si>
    <t>ko00001|ko00001|ko01000|ko01000|ko00194</t>
  </si>
  <si>
    <t>KEGG Orthology (KO)&gt;&gt;&gt;09100 Metabolism&gt;&gt;&gt;09102 Energy metabolism&gt;&gt;&gt;00190 Oxidative phosphorylation [PATH:ko00190]|KEGG Orthology (KO)&gt;&gt;&gt;09100 Metabolism&gt;&gt;&gt;09102 Energy metabolism&gt;&gt;&gt;00195 Photosynthesis [PATH:ko00195]|Enzymes&gt;&gt;&gt;7. Translocases&gt;&gt;&gt;7.1  Catalysing the translocation of protons&gt;&gt;&gt;7.1.2  Linked to the hydrolysis of a nucleoside triphosphate&gt;&gt;&gt;7.1.2.2  H+-transporting two-sector ATPase|Enzymes&gt;&gt;&gt;7. Translocases&gt;&gt;&gt;7.2  Catalysing the translocation of inorganic cations&gt;&gt;&gt;7.2.2  Linked to the hydrolysis of a nucleoside triphosphate&gt;&gt;&gt;7.2.2.1  Na+-transporting two-sector ATPase|Photosynthesis proteins&gt;&gt;&gt;Photosystem and electron transport system&gt;&gt;&gt;F-type ATPase [OT]</t>
  </si>
  <si>
    <t>MTTALSEQNTQQAATAGRVVRVIGPVVDVEFPRGELPALFNALTVEVTLEAVAKTITLEVAQHLGDNLVRSVSMAPTDGLVRGAEVTDSGKPISVPVGDVVKGHVFNALGDCLDEPGLGRDGEQWGIHREPPAFDQLEGKTEILETGIKVIDLLTPYVKGGKIGLFGGAGVGKTVLIQEMITRIAREFSGTSVFAGVGERTREGTDLFLEMEEMGVLQDTALVFGQMDEPPGVRMRVALSGLTMAEYFRDVQHQDVLLFIDNIFRFTQAGSEVSTLLGRMPSAVGYQPTLADEMGVLQERITSTKGKSITSLQAVYVPADDYTDPAPATTFAHLDATTELDRAIASKGIYPAVNPLTSTSRILEPGIVGERHYNVAQRVINILQKNKELQDIIAILGMDELSEEDKITVQRARRLERFLGQNFFVAEKFTGIPGSYVPLADTIDAFERICNGDFDHYPEQAFNGLGGLDDVEVAYKKLTEKK</t>
  </si>
  <si>
    <t>MTTALNEQNAQQAATVGRVVRVIGPVVDVEFPRGELPALFNALTVEVTLEAVAKTITLEVAQHLGDNLVRAISMAPTDGLVRGAEVVDSGKPISVPVGDVVKGHVFNALGDCLDEPGLGRDGEQWGIHRDPPPFDQLEGKTEILETGIKVIDLLTPYVKGGKIGLFGGAGVGKTVLIQEMITRIAREFSGTSVFAGVGERTREGTDLFLEMEEMGVLQDTALVFGQMDEPPGVRMRVALSGLTMAEYFRDVQHQDVLLFIDNIFRFTQAGSEVSTLLGRMPSAVGYQPTLADEMGILQERITSTKGKSITSLQAVYVPADDYTDPAPATTFAHLDATTELDRGIASKGIYPAVNPLTSTSRILEPGIVGERHYAVAQRVINILQKNKELQDIIAILGMDELSEEDKITVQRARRLERFLGQNFFVAEKFTGIPGSYVPLEETIEAFERICNGDFDHYPEQAFNGLGGLEDVEAAYKKLTGE-</t>
  </si>
  <si>
    <t>MTTALPEQNTKQASVAGRVVRVIGPVVDVEFPRGELPALYNALTVEITLEAVAKTITLEVAQHLGDNLVRTISMAPTDGLVRGAVVTDSGRPISVPVGDVVKGHVFNALGDCLDEPGLGRDGEQWGIHRDPPPFDQLEGKTEILETGIKVIDLLTPYVKGGKIGLFGGAGVGKTVLIQEMITRIAREFSGTSVFAGVGERTREGTDLFLEMEEMGVLQDTALVFGQMDEPPGVRMRIALSGLTMAEYFRDVQHQDVLLFIDNIFRFTQAGSEVSTLLGRMPSAVGYQPTLADEMGVLQERITSTRGKSITSLQAVYVPADDYTDPAPATTFAHLDATTELDRGIASKGIYPAVNPLTSTSRILEPGIVGERHYEVAQRVINILQKNKELQDIIAILGMDELSEEDKITVQRARRLERFLGQNFFVAEKFTGIPGSYVPLSETIDAFERICNGDFDHYPEQAFNGLGGLEDVEAAYKKLTEK-</t>
  </si>
  <si>
    <t>GC_00000416</t>
  </si>
  <si>
    <t>PF20171.3</t>
  </si>
  <si>
    <t>Glucose-6-phosphate dehydrogenase subunit C-terminal domain</t>
  </si>
  <si>
    <t>COG3429</t>
  </si>
  <si>
    <t>Glucose-6-phosphate dehydrogenase assembly protein OpcA, contains a peptidoglycan-binding domain (OpcA)</t>
  </si>
  <si>
    <t>MLIHLEDTDSSAIAKQL------GTQVTTGRVLTLIVVCSPDDDIDCLITATNDASREHPSRVLMLVADPEAETAGVDADIHLGGDSGASELVVMHLRGDVARHLDAVVRPLLLPDTPVVAWWPAAAPIDPAVDPIGALAQRRITDALFDPPVDSIYRRRNNYTPGDSDMSWSRITPWRGVVAATMDQPPHEEIIDGRVFGPADSPSVDLAAGWLADRLGVNIVRESTGQPAIPVDDEGNPCIAITKVEIMRTSSTITIEVADATTLSVQMPGRPPALVALSRRSQSDCLAEELRHLDPDRAYGRALRGLSRVRYVDTFSAQ</t>
  </si>
  <si>
    <t>MIIKLSDTNTREIAKQLVSVRDSGGQVTTGRVLTLIVVASEDDDLESIIKATHDASREHPSRVLIMVAGDPQGEPRVDAEIRFGGDAGASEIILMALHGEVAKHMEAVVTPLLLPDTPIVAWWPSKAPVNPAQDPIGHIAQRRITDALHDPPPDSIYLRRDHYTPGDSDMSWARITQWRGIVSSVIDEPPHQEIIDARVTGPALSPSVDLAAGWLADRLGTTITRETTDTTTIPVDEAGEPCIEVTQIDITRESSTITIDILDAHTLRVRVPGREPALVALNRRSRSDCLAEELRHLDPDRSYAKALRGLSRVQYIDAV-AQ</t>
  </si>
  <si>
    <t>PF10128.15</t>
  </si>
  <si>
    <t>Glucose-6-phosphate dehydrogenase subunit N-terminal domain</t>
  </si>
  <si>
    <t>MIFTLSDTDTHEIARTLVEIRDDGSQGTTSRVLTLIAVAKDTDNIRSVISASKDASREHPCRVIVLVTGDPDRNTRIDAEVRIGGDAGASEIIVIDLEGEVTRHLVHVVTPLLLPDTPIVVWWPYTAPVNPAEDPLGRIAQRRITDSQKDPLVDALYNRRNSYTDGDSDLAWARITPWRGVVASALDQPPFEPVIEAKVYGATNCPSVDLAAGWLAARLGVPVTRIAVDDPSVK-KQASLNVTPVERVELVRPSGATVLEALDGQTIGVSVPNREPARVAVNLRTDADCLAEELRHLDPDHAYDEVLRGLNQVSYPVV----</t>
  </si>
  <si>
    <t>GC_00000417</t>
  </si>
  <si>
    <t>PF01022.26</t>
  </si>
  <si>
    <t>Bacterial regulatory protein, arsR family</t>
  </si>
  <si>
    <t>COG2345</t>
  </si>
  <si>
    <t>Predicted transcriptional regulator, ArsR family</t>
  </si>
  <si>
    <t>MGSTHVSSSASAHTNTRSQILLLLLHGGPLSAADIGNELGFSAAGVRRHLDNLVDEGSAEFFHPRAPHGGVGRSRGRGRPAKLFRLTDAGRAHFGHNYDSLAAAALRSLREVGGSDAIYAFARSRVEDIVGELAHDTAPHRESTLATARALVDKFAEHGYAASLGDTNNGVQLCQHHCPISAVAAEFPELCEAEHDVIAELLGTHIQPLASIAGGHGICTTHIPLTVVHSRAREHCCSDAEGDTVTHSDTNT</t>
  </si>
  <si>
    <t>K09012</t>
  </si>
  <si>
    <t>DeoR family transcriptional regulator, suf operon transcriptional repressor</t>
  </si>
  <si>
    <t>--MAAQPEARSTDGETRRQIMLLLLKHSPLSASDIGDHLGLSAAGVRRHLDNLVEDELAEIIPTRPHPGG---GRGRGRPAKSFRLTDKGRAHFGHDYDSLAALAITALRDAGGDEAVRQFARDRIAAILEDVVPAGSTE-ESIEATARALMDAFSAHGYATTVHNAGGGVQICQHHCPISHVASEFPELCEAEHEAIAELLGQHVQPLATIIDGHGVCTTNIPPKNLTLTPINHTPDERSGT---------</t>
  </si>
  <si>
    <t>PF13412.12</t>
  </si>
  <si>
    <t>Winged helix-turn-helix DNA-binding</t>
  </si>
  <si>
    <t>--MTH----RSTEGETRRLIMLTMLRAGTITATQLAHTLGLSAAGIRRHLDALIDDEYAELVTTKKPSG------GRGRPAKAFRLTPQGRALFGHDYDSLAAQALATLRETGGDEAVKAFARKRARDLVSDV--DKRDD-DTIEHAAHALVDALSRNGYAATIASANHSLQICQHHCPIAEVAAQFPELCEAEHEVIAALLGQHVQPLASIANGNDVCTTNIPLT----------PNERSDS---------</t>
  </si>
  <si>
    <t>GC_00000418</t>
  </si>
  <si>
    <t>PF21948.1</t>
  </si>
  <si>
    <t>Lipoyl protein ligase A/B catalytic domain</t>
  </si>
  <si>
    <t>K03801</t>
  </si>
  <si>
    <t>lipoyl(octanoyl) transferase [EC:2.3.1.181]</t>
  </si>
  <si>
    <t>COG0321</t>
  </si>
  <si>
    <t>Lipoate-protein ligase B (LipB) (PDB:2QHT) (PUBMED:19798051)</t>
  </si>
  <si>
    <t>M00881</t>
  </si>
  <si>
    <t>Lipoic acid biosynthesis, plants and bacteria, octanoyl-ACP =&gt; dihydrolipoyl-E2/H</t>
  </si>
  <si>
    <t>KEGG Orthology (KO)&gt;&gt;&gt;09100 Metabolism&gt;&gt;&gt;09108 Metabolism of cofactors and vitamins&gt;&gt;&gt;00785 Lipoic acid metabolism [PATH:ko00785]|Enzymes&gt;&gt;&gt;2. Transferases&gt;&gt;&gt;2.3  Acyltransferases&gt;&gt;&gt;2.3.1  Transferring groups other than aminoacyl groups&gt;&gt;&gt;2.3.1.181  lipoyl(octanoyl) transferase</t>
  </si>
  <si>
    <t>MAGGGGAVVCSSPGTTLDHIMIRAPFMAPNQPIR-DLTHKLEFRHLGEVDYMEAWDLQAELAAQRAAGDINDTVLLLTHPSTFTAGKRTQPEDRPTTNTIPCIDVDRGGRITWHGPGQLVAYPIIKLVTPIDVVDYVRRIEEALIHTIRQLGLPNAGRIDGRSGVWIPTDDHRPDRKVAALGIRVTQGVTMHGLSLNCNNSLDPYNLVVPCGISDAGVTTLSEELGRDVTTEEPIDVLSDSLEKALSGEMTVADHTFATAENPTK-----</t>
  </si>
  <si>
    <t>---------MTAP---------RAPFTAPDQPIR-DISTPLEVYNLGTVDYVEMWDRQAELAAQRADGLINDQLLFLEHPNTYTAGKRTQPEDRP-TNGLPVVDVDRGGRITWHGPGQLVCYPIIKLAEPVDVVDYVRRVEEAIIQVVRDLGLQDAGRVDGRSGVWIPGNDTRPERKVGALGIRVTRGVTMHGLALNCNNTLEFYQHIVPCGIADAGVTTLSAELGRDVDTQEMVAPLAAALGAAFSGELTVADH</t>
  </si>
  <si>
    <t>GC_00000419</t>
  </si>
  <si>
    <t>PF00543.27</t>
  </si>
  <si>
    <t>Nitrogen regulatory protein P-II</t>
  </si>
  <si>
    <t>T|E</t>
  </si>
  <si>
    <t>Signal transduction mechanisms|Amino acid transport and metabolism</t>
  </si>
  <si>
    <t>K04751</t>
  </si>
  <si>
    <t>nitrogen regulatory protein P-II 1</t>
  </si>
  <si>
    <t>COG0347</t>
  </si>
  <si>
    <t>Nitrogen regulatory protein PII (GlnK) (PDB:2GW8) (PUBMED:24610711)</t>
  </si>
  <si>
    <t>KEGG Orthology (KO)&gt;&gt;&gt;09130 Environmental Information Processing&gt;&gt;&gt;09132 Signal transduction&gt;&gt;&gt;02020 Two-component system [PATH:ko02020]</t>
  </si>
  <si>
    <t>MVGFGVTTLRPYIKYLKLFQETETAMKLVTAIVKPFTLSDIKDALEQVGVHAMTVTEAQGFGQQKGHNEVYRGAEYAIDFVPKLKIEIVVDDPIVEDTIAAIVEAAYTGKIGDGKVWVTEIQELVRVRTGERGVAAI</t>
  </si>
  <si>
    <t>GC_00000420</t>
  </si>
  <si>
    <t>PF01653.23</t>
  </si>
  <si>
    <t>NAD-dependent DNA ligase adenylation domain</t>
  </si>
  <si>
    <t>K01972</t>
  </si>
  <si>
    <t>DNA ligase (NAD+) [EC:6.5.1.2]</t>
  </si>
  <si>
    <t>COG0272</t>
  </si>
  <si>
    <t>NAD-dependent DNA ligase (Lig) (PDB:5TT5)</t>
  </si>
  <si>
    <t>ko00001|ko00001|ko00001|ko00001|ko01000|ko03032|ko03400|ko03400|ko03400|ko03400</t>
  </si>
  <si>
    <t>KEGG Orthology (KO)&gt;&gt;&gt;09120 Genetic Information Processing&gt;&gt;&gt;09124 Replication and repair&gt;&gt;&gt;03030 DNA replication [PATH:ko03030]|KEGG Orthology (KO)&gt;&gt;&gt;09120 Genetic Information Processing&gt;&gt;&gt;09124 Replication and repair&gt;&gt;&gt;03410 Base excision repair [PATH:ko03410]|KEGG Orthology (KO)&gt;&gt;&gt;09120 Genetic Information Processing&gt;&gt;&gt;09124 Replication and repair&gt;&gt;&gt;03420 Nucleotide excision repair [PATH:ko03420]|KEGG Orthology (KO)&gt;&gt;&gt;09120 Genetic Information Processing&gt;&gt;&gt;09124 Replication and repair&gt;&gt;&gt;03430 Mismatch repair [PATH:ko03430]|Enzymes&gt;&gt;&gt;6. Ligases&gt;&gt;&gt;6.5  Forming phosphoric-ester bonds&gt;&gt;&gt;6.5.1  Ligases that form phosphoric-ester bonds (only sub-subclass identified to date)&gt;&gt;&gt;6.5.1.2  DNA ligase (NAD+)|DNA replication proteins&gt;&gt;&gt;Prokaryotic type&gt;&gt;&gt;DNA Replication Elongation Factors&gt;&gt;&gt;Elongation factors (bacterial)&gt;&gt;&gt;Other elongation factors|DNA repair and recombination proteins&gt;&gt;&gt;Prokaryotic type&gt;&gt;&gt;SSBR (single strand breaks repair)&gt;&gt;&gt;BER (base exicision repair)&gt;&gt;&gt;DNA ligase|DNA repair and recombination proteins&gt;&gt;&gt;Prokaryotic type&gt;&gt;&gt;SSBR (single strand breaks repair)&gt;&gt;&gt;NER (nucleotide excision repair)&gt;&gt;&gt;GGR (global genome repair) factors|DNA repair and recombination proteins&gt;&gt;&gt;Prokaryotic type&gt;&gt;&gt;SSBR (single strand breaks repair)&gt;&gt;&gt;MMR (mismatch excision repair)&gt;&gt;&gt;DNA ligase|DNA repair and recombination proteins&gt;&gt;&gt;Prokaryotic type&gt;&gt;&gt;DSBR (double strand breaks repair)&gt;&gt;&gt;NHEJ (non-homologous end-joining)&gt;&gt;&gt;SHDIR (short-homology-dependent illegitimate recombination)&gt;&gt;&gt;RecET pathway</t>
  </si>
  <si>
    <t>------------MSQAPHNDSQ-LRRQWDELAEKVRYHREQYYNGEPSIPDADFDALFRELEQLERDHPELAVPDSPTKQVGAPVPEQSTFDNVEHLERMLSLDNVFDEAELGEWLARTPAEKYLCELKIDGLSLDVIYRNGVLERAATRGDGRVGEDVTVNAKTITDLPHELHGSDDFPIPEVLEVRGEVFISVADFADVNAARIEETATEKNPQGRPFANPRNAAAGSLRQKDVEQVRRRKLRMICHGLGHCE</t>
  </si>
  <si>
    <t>-----------------MTDFADLRREWNDLAQEVRQHRDLYYNKQPIISDAEFDELFAKLQKLEAEHPELAVPDSPTMEVGAPVAVSSSFANVEHLEPMRSLDNVFDLDELRKWLERTPSESYLTELKIDGLSINLTYRDGELVQAATRGDGRVGEDVTANARVISDIPHVLNGSDEYPVPAVLEVRGEVYISIDDFPEVNAQRIAEG-------GKPFANPRNAAAGSLRQKNVEDVRKRKLRMICHGIGYSE</t>
  </si>
  <si>
    <t>MSITVVKLITMINTPAETTDTQEIHQEWQRLASEVTRHRELYYNQTPEITDAEFDALFKKLEALEADHPELATPDSPTQQVGAPV--ESSFENVEHLERMLSLDNVFDEEELDEWLQRVDAPEYVTELKIDGLSLALVYRNGVLERAATRGDGRIGEDVTENAKVIQDVPHTLTATEEFPIPDLLEVRGEVFIAVEDFAEVNEQRQKDG-------GKPFANPRNAAAGSLRQKDVEAVRRRKLRMLCHGIGATEGFTPASQYHAYEALAAWGLPVSDYTKLVKTIDEVHKQVAYWEK--HRGDAVCEMDGLVVKVDSIAEQRQLGATSRAPRWAIAYKYPPEEVQTKLLDIHEGVGRTGRVTPYAVMEPVSVAGSIVELATLHNQTEVKRKGVLIGDTVVIRKAGEIIPEVLGPVVERRDGTEREYVFPENCPSCGTKLAPQREGDVDWRCPNSQKCPAQVAARIKYLADRGRFDIEALGEKAAEDLVRSGVLVDEGGLFNLTEADLLRTSIYTTKK--------------------GTLNATGKKLLKNLETAKHTDLWRVMASLSIRMVGNTASRALASRYRSLDALRAATVEDIAETEGVGLVMAQSFKDWFEVQWHCDIVDQWAKSGVTMEDDASDRPEQVLAGLTVVVTGSLEGFTRDSAKEAIISRGGKASGSVSKKTDYVVVGEKAGSKEQKARDLGLTILDEAGFVQLLATGTVDAADDADDVNGADAAEATEVADAADE</t>
  </si>
  <si>
    <t>MSIVVVKLITMTNTPAETTDTQEIHQEWQRLASEVTRHRELYYNQTPEITDAEFDALFKKLEALEADHPELATPDSPTQQVGAPV--ESSFENVEHLERMLSLDNVFDEEELDEWLQRVDAPEYVTELKIDGLSLALVYRNGVLERAATRGDGRIGEDVTENAKVIQDVPHTLTATEEFPIPDLLEVRGEVFIAVEDFAEVNEQRQKDG-------GKPFANPRNAAAGSLRQKDVEAVRRRKLRMLCHGIGATEGFTPASQYHAYEALAAWGLPVSDYTKLVKTIDEVHKQVAYWEK--HRGDAVCEMDGLVVKVDSIAEQRQLGATSRAPRWAIAYKYPPEEVQTKLLDIHEGVGRTGRVTPYAVMEPVSVAGSIVELATLHNQTEVKRKGVLIGDTVVIRKAGEIIPEVLGPVVERRDGTEREYVFPENCPSCGTKLAPQREGDVDWRCPNSQKCPAQVAARIKYLADRGRFDIEALGEKAAEDLVRSGVLVDEGGLFNLTEADLLRTSIYTTKK--------------------GTLNATGKKLLKNLETAKHTDLWRVMASLSIRMVGNTASRALASRYRSLDALRAATVEDIAETEGVGLVMAQSFKDWFEVQWHCDIVDQWAKSGVTVEDDASDRPEQVLAGLTVVVTGSLEGFTRDSAKEAIISRGGKASGSVSKKTDYVVVGEKAGSKEQKARDLGLTILDEAGFVQLLATGTVEAADDADDANDLDAAEATEVADAADE</t>
  </si>
  <si>
    <t>GC_00000421</t>
  </si>
  <si>
    <t>PF17773.7</t>
  </si>
  <si>
    <t>UPF0176 acylphosphatase like domain</t>
  </si>
  <si>
    <t>K07146</t>
  </si>
  <si>
    <t>UPF0176 protein</t>
  </si>
  <si>
    <t>COG1054</t>
  </si>
  <si>
    <t>tRNA U34 5'-hydroxylase TrhO, rhodanese family (TrhO) (PDB:4F67) (PUBMED:31253794)</t>
  </si>
  <si>
    <t>MWGVVIHQTRLPAVGHCVLGLISVAISKILLYYKFTPIADPTAVMLWQRALCESLGLTGRILISKHGINGTVGGDIAACKRYARVTKEYPGFKGMEFKWSEGGADDFPRLSVKVRDEIVAFGAADELEVDAHGVVGGGVHLTPEEVNKLVEERGDDVVFFDGRNAMEAEIGRFRGAIVPDVNTTHDFIQEIESGKYDDLKDKPVITYCTGGIRCEILSALMKNRGFNEIYQIDGGIVRYGEKYGNKGLWEGSLYVFDRRMHMEFGTDAKE-----LGHCIHCGAPSNKFEHCGNED-CRELRLMCPDCYDNPETRYCGNPECLNIIHANLHAE---</t>
  </si>
  <si>
    <t>--------MGFGVPYCWLLGWEGMSLGKILLFYKFTPIADPQAMRLWQRDLCELLGLTGRILISEHGINGTLGGDMEDCKRYVRKFREYPGFKDTEFKWSAGGADDFPKLSVKVRDEIVAFGAPQELRVDEHGVVGGGVHLKPEEVNQLVADRGDDVVFFDGRNAMEAQIGKFKNAVVPDVRTTHDFIRELESGKYDWMKDRPVVSYCTGGIRCEILSALMKNRGFTEVYQIDGGIVRYGEKYGNHGLWEGSLYV</t>
  </si>
  <si>
    <t>--------MGFGVPCCWLLGWEGMSLGKILLFYKFTPIADPQAMRLWQRDLCELLGLTGRILISEHGINGTLGGDMEDCKRYVRKFREYPGFKDTEFKWSAGGADDFPKLSVKVRDEIVAFGAPQELRVDEHGVVGGGVHLKPEEVNQLVADRGDDVVFFDGRNAMEAQIGKFKNAVVPDVRTTHDFIRELESGKYDWMKDRPVVSYCTGGIRCEILSALMKNRGFTEVYQIDGGIVRYGEKYGNHGLWEGSLYV</t>
  </si>
  <si>
    <t>GC_00000422</t>
  </si>
  <si>
    <t>PF00275.25</t>
  </si>
  <si>
    <t>EPSP synthase (3-phosphoshikimate 1-carboxyvinyltransferase)</t>
  </si>
  <si>
    <t>K00790</t>
  </si>
  <si>
    <t>UDP-N-acetylglucosamine 1-carboxyvinyltransferase [EC:2.5.1.7]</t>
  </si>
  <si>
    <t>COG0766</t>
  </si>
  <si>
    <t>UDP-N-acetylglucosamine enolpyruvyl transferase (MurA) (PDB:1A2N)</t>
  </si>
  <si>
    <t>KEGG Orthology (KO)&gt;&gt;&gt;09100 Metabolism&gt;&gt;&gt;09101 Carbohydrate metabolism&gt;&gt;&gt;00520 Amino sugar and nucleotide sugar metabolism [PATH:ko00520]|KEGG Orthology (KO)&gt;&gt;&gt;09100 Metabolism&gt;&gt;&gt;09107 Glycan biosynthesis and metabolism&gt;&gt;&gt;00550 Peptidoglycan biosynthesis [PATH:ko00550]|Enzymes&gt;&gt;&gt;2. Transferases&gt;&gt;&gt;2.5  Transferring alkyl or aryl groups, other than methyl groups&gt;&gt;&gt;2.5.1  Transferring alkyl or aryl groups, other than methyl groups (only sub-subclass identified to date)&gt;&gt;&gt;2.5.1.7  UDP-N-acetylglucosamine 1-carboxyvinyltransferase|Peptidoglycan biosynthesis and degradation proteins&gt;&gt;&gt;Precursor biosynthesis&gt;&gt;&gt;Transferase/Dehydrogenase</t>
  </si>
  <si>
    <t>---MKDRFLVAGGARLSGAVKVSGAKNSVLKLMAAALLAEGTTTLHNCPEILDVPLMAEVLRGLGCEVVVDGSDVHITTPANLEADADFDAVRQFRASVCVLGPLTARCGRAKVALPGGDAIGSRPLDMHQTGLEKLGATTHIQHGCVVAEAGELHGAHIKLDFPSVGATENILTAAVLSKGTTTLDNAAREPEIVDLCQLLNEMGARITGAGSNTLTIEGVDRLHPAEHDVVGDRIVAGTWAYAVAMTQGDVTV</t>
  </si>
  <si>
    <t>MSEKKDKFLVTGGAQLRGAVKVSGAKNSVLKLMGAALLAEGTTVLNNCPEILDVPYMKDVLEGLGCSVMISGQSVYITTPSDLKSDADFEAVRQFRASVCVLGPLTARCGRAVVALPGGDAIGSRPLDMHQTGLEKLGAKTYIEHGCVVAETDQLKGAHIVLDFPSVGATENILTAAVLANGVTILDNAAREPEIVDLCEMLISMGARIEGAGSNTLTITGVERLNPTTHDVVGDRIVAGTWAYAAAITRGDITVGGIPPRHLHLPLEKLKLAGAIIETYENGFRVRMDGRPRAVDFQTLPFPGFPTDLQPMAIGLAAVAEGMSVITENVFESRFRFVDEMLRLGADAHVDGHHVVMRGKEQLSSTTVWSSDIRAGAGLVLAALRADGVTEVRDVYHIDRGYPNFVENLNALGAKVERVVE-------</t>
  </si>
  <si>
    <t>---------MTGGARLEGSVKVSGAKNSVLKLMAAALLAEGTTTLTNCPEILDVPLMAEVLRGLGCEVSVDHETVRITTPATVSSDADFDAVRQFRASVCVLGPLTSRTGRAVVALPGGDAIGSRPLDMHQSGLEKLGATTYIRHGAVVAEATKLVGAEIELDFPSVGATENILTAAVLAEGRTVLENAAREPEIVDLCVMLRQMGAQLTGEGSPTIVIDGVDKLYPTQHEVIGDRIVAGTWAYAAAMTRGDITV</t>
  </si>
  <si>
    <t>GC_00000423</t>
  </si>
  <si>
    <t>PF22525.1</t>
  </si>
  <si>
    <t>S13-like H2TH domain</t>
  </si>
  <si>
    <t>COG0099</t>
  </si>
  <si>
    <t>Ribosomal protein S13 (RpsM) (PDB:4V4H)</t>
  </si>
  <si>
    <t>MALPKLTDEQRKEALAKAAEARKARAELKEKLKRGGTNLKEVLEQAQTDEIIGKTKVSALLEAMPKVGKVKAKEIMEELEIASTRRLRGLGERQRRALLERFGFGE--</t>
  </si>
  <si>
    <t>MALPKLTDEQRKEALAKAAEARKARAELKEKLKRGGTNLKEVLDQAESNETIGKTKVSAILEAMPKVGKVKAKEIMDELEIAQTRRLRGLGDRQRRALLERFGFADED</t>
  </si>
  <si>
    <t>MALPQLTDEQRKEALAKAAEARKARAELKEQLKRGDISLKEVLAKASSDEIIGKTKVSALLESLPKVGKVKAKEIMDELEIAQTRRLRGLGDRQRRALLERFGFSED-</t>
  </si>
  <si>
    <t>GC_00000424</t>
  </si>
  <si>
    <t>PF00821.23</t>
  </si>
  <si>
    <t>Phosphoenolpyruvate carboxykinase C-terminal P-loop domain</t>
  </si>
  <si>
    <t>K01596</t>
  </si>
  <si>
    <t>phosphoenolpyruvate carboxykinase (GTP) [EC:4.1.1.32]</t>
  </si>
  <si>
    <t>COG1274</t>
  </si>
  <si>
    <t>Phosphoenolpyruvate carboxykinase, GTP-dependent (PepCK) (PDB:4R43)</t>
  </si>
  <si>
    <t>M00003</t>
  </si>
  <si>
    <t>Gluconeogenesis, oxaloacetate =&gt; fructose-6P</t>
  </si>
  <si>
    <t>KEGG Orthology (KO)&gt;&gt;&gt;09100 Metabolism&gt;&gt;&gt;09101 Carbohydrate metabolism&gt;&gt;&gt;00010 Glycolysis / Gluconeogenesis [PATH:ko00010]|KEGG Orthology (KO)&gt;&gt;&gt;09100 Metabolism&gt;&gt;&gt;09101 Carbohydrate metabolism&gt;&gt;&gt;00020 Citrate cycle (TCA cycle) [PATH:ko00020]|KEGG Orthology (KO)&gt;&gt;&gt;09100 Metabolism&gt;&gt;&gt;09101 Carbohydrate metabolism&gt;&gt;&gt;00620 Pyruvate metabolism [PATH:ko00620]|KEGG Orthology (KO)&gt;&gt;&gt;09130 Environmental Information Processing&gt;&gt;&gt;09132 Signal transduction&gt;&gt;&gt;04068 FoxO signaling pathway [PATH:ko04068]|KEGG Orthology (KO)&gt;&gt;&gt;09130 Environmental Information Processing&gt;&gt;&gt;09132 Signal transduction&gt;&gt;&gt;04151 PI3K-Akt signaling pathway [PATH:ko04151]|KEGG Orthology (KO)&gt;&gt;&gt;09130 Environmental Information Processing&gt;&gt;&gt;09132 Signal transduction&gt;&gt;&gt;04152 AMPK signaling pathway [PATH:ko04152]|Enzymes&gt;&gt;&gt;4. Lyases&gt;&gt;&gt;4.1  Carbon-carbon lyases&gt;&gt;&gt;4.1.1  Carboxy-lyases&gt;&gt;&gt;4.1.1.32  phosphoenolpyruvate carboxykinase (GTP)</t>
  </si>
  <si>
    <t>MSAVTIPGLKGQAPTNNVELLTWIAEAVELLQPDEVVFTDGSQEEADRLAEELIEAGTLIRLNPEKRPNSFLARSNPDDVARVESRTFICSETEEGAGPTNNWVDPVKMKAEMTEHYRGAMKGRTMYVVPFCMGPIDAESPKLGVQLTDSAYVVLSMRIMTRMGKAALDKIGDHGDFVRALHSVGAPLAEGEKDVAWPCNETKYITQFPETREIWSFGSGYGGNAILAKKCYALRIASVMARDEGWMAEHMLILKLTSPEGKAYNIAAAFPSACGKTNLAMIEPTIEGWKAEVVGDDIAWMHFGEDGRLWAINPENGFFGVAPGTNYASNPNAMKTMEPGNTIFTNVALTDDGDVWWEGL-EGKPEHLIDWLGRDWTSDSESLSSHPNSRYCVPLEQCPVATPDFNDPKGVPIDAILFGGRRPDTIPLVTQAYDWNHATMIGALLASGQTAAAEGPVGSLRHDPMAMLPFIGYNAGDYLQHWINMGKKGGDKMPAVFLVNWFRRGDDGRFLWPGFGENSRVLKWIVDRIEGKVDARETVAGHTANVEDLDLDGLDINVDDVREALRAHPSEWAGDIDDNEAWLKKLGPKVPSEVWDQFEALKQRIRNATK</t>
  </si>
  <si>
    <t>MSAVEIPGLVGPAPTNNEELLAWIADAAELFQPESVVFADGSQEEWDRLASELVEAGTLIRLNEEKRPNSFLARSNPSDVARVESRTFICSETEEGAGPTNNWADPVAMKAEMTEHYRGAMKGRTMYVVPFSMSPDNAPDPKLGVQLTDSAYVVMSMRIMTRMGQKALDAIGEKGEFVRCLHSVGAPLEPGEKDVTWPCNDTKYITQFPETREIWSYGSGYGGNAILAKKCYALRIASVMAHDEGWLAEHMLILKLTSPEGKSYYMAAAFPSACGKTNLAMLQPTIDGWKAEVVGDDIAWLRFGEDGRLYATNPEFGFFGVAPGTNYSSNPNAMKTMEPGNTMFTNVALTDDGDIWWEGL-EGNPQHLIDWLGNDWTPDSGELSSHPNSRYCVPIEQCPVVAPEFNDGEGVPISAILFGGRRPDTVPLVSQAHDWNHATLIGALLASGQTAAAEGEVGALRHDPMAMLPFIGYNAGDYLQHWINMGKKGGDKMPAVFLVNWFRRGEDGRFLWPGFGDNSRVLKWIVDRIEGRVSADETIAGLTARVEDLDLTGLDTPLDDVREALSAPADQWAGDVVDNEAWLEKLGPKVPAEVHEQFEALKERVAKAQQ</t>
  </si>
  <si>
    <t>MSAVEIPGLVGPAPTNNEELLAWIADAAELFQPESVVFADGSQEEWDRLASELVEAGTLIRLNEEKRPNSFLARSNPSDVARVESRTFICSETEEGAGPTNNWADPVAMKAEMTEHYRGAMKGRTMYVVPFSMSPDNAPDPKLGVQLTDSAYVVMSMRIMTRMGQKALDAIGEKGEFVRCLHSVGAPLEPGEKDVTWPCNDTKYITQFPETREIWSYGSGYGGNAILAKKCYALRIASVMAHDEGWLAEHMLILKLTSPEGKSYYMAAAFPSACGKTNLAMLQPTIDGWKAEVVGDDIAWLRFGEDGRLYATNPEFGFFGVAPGTNYSSNPNAMKTMEPGNTLFTNVALTDDGDIWWEGL-EGNPQHLIDWLGNDWTPDSGELSSHPNSRYCVPIEQCPVVAPEFNDGEGVPISAILFGGRRPDTVPLVSQAHDWNHATLIGALLASGQTAAAEGEVGALRHDPMAMLPFIGYNAGDYLQHWINMGKKGGDKMPAVFLVNWFRRGEDGRFLWPGFGDNSRVLKWIVDRIEGRVSADETIAGLTARVEDLDLTGLDTPLDDVREALSAPADQWAGDVVDNEAWLEKLGPKVPAEVHEQFEALKERVAKAQQ</t>
  </si>
  <si>
    <t>MSKVEIPGLVGEAPTKNEALLHWIADAAKLLTPDEVVFADGSREEWDRVSQKLVDSGTLIRLNDEKRPNSFLARSNPSDVARVESRTFICSATEEGAGPTNHWVDPDKMKAEMTEHFRGSMRGRTMYVVPFGMGPLDSDDPKIGVQLTDSEYVVMSMRIMTRMGQAALDRLGD-GEFVRCLHSVGHPLEPGQKDVTWPCNDTKYITHFPETKEIWSYGSGYGGNAILAKKCFALRIASIMAKEEGWMAEHMLILKLTSPEGKSYGVAAAFPSACGKTNLAMITPTIPGWKAEVVGDDIAWMHLRADG-LYAINPENGFFGVAPGTNYDSNPIAMRTMEPGNTMFTNVAMTDDGDIWWEGMTKEKPAHLIDWHGNDWTPESDTDAAHPNSRYAVPIEQCPIVAPEFEDAHGIKIDAILFGGRRPDTVPLVTESFSWNHGTMIGSLLSSGQTAAAEGKVGALRHDPMAMLPFIGYNAGDYLQHWVDMGKKGGDKMPKVFLVNWFRRGDDGRFLWPGFGDNSRVLKWIVDRIEGKVEANKTVVGNTARAEDLDLNGIDSPLADVEEALSAPAKDWAKDLDDNEAYLKFLGDKVPSEVHEEFAALRKRIEDAL-</t>
  </si>
  <si>
    <t>GC_00000425</t>
  </si>
  <si>
    <t>PF03186.18</t>
  </si>
  <si>
    <t>CobD/Cbib protein</t>
  </si>
  <si>
    <t>K02227</t>
  </si>
  <si>
    <t>adenosylcobinamide-phosphate synthase [EC:6.3.1.10]</t>
  </si>
  <si>
    <t>COG1270</t>
  </si>
  <si>
    <t>Cobalamin biosynthesis protein CobD/CbiB (CbiB)</t>
  </si>
  <si>
    <t>KEGG Orthology (KO)&gt;&gt;&gt;09100 Metabolism&gt;&gt;&gt;09108 Metabolism of cofactors and vitamins&gt;&gt;&gt;00860 Porphyrin metabolism [PATH:ko00860]|Enzymes&gt;&gt;&gt;6. Ligases&gt;&gt;&gt;6.3  Forming carbon-nitrogen bonds&gt;&gt;&gt;6.3.1  Acid-D-ammonia (or amine) ligases (amide synthases)&gt;&gt;&gt;6.3.1.10  adenosylcobinamide-phosphate synthase</t>
  </si>
  <si>
    <t>MRVPVGFPWGLVAGIAADSVFGDPKRH-HPVAWFGHYATWLERALYRDTRTAGVIYWVAAVAPPVAGAVALQRASRRLPTSRAQTIAREGLLGLAVWASLGGHTLRWVGRSIHRDLYVDADIERARTWVPWLCSRDPQQLDAQGMTRAAVESLAENTSDAVTAPLVWSLL-GAPGVVFHRCVNTLDAMVGYRSPRYERFGWCSAVIDDVAAYLPARMNALSNTVYAACARPAGLEGLRAAMSAWRDDAPKHPSPNAGPVEATAAAALGVQLGGRTVYDYGVEHRPELG------HGA----------APGEEALRGSVRLSQWTQTVAALA-------VGAVVFAWRGR-------</t>
  </si>
  <si>
    <t>------MTLGIFLGMAADRMFGDPPTAIHPVALFGRAATKLEKMFYRDSKLAGALYLTVVVVPPVVATYWLEKRYPTTTMT------------LALFSALGGTTLERVGERMARALEAQ-DIDQARDLVPWLCSRDPQYLDEQGIIRATVESLAENTSDAATAPILWAAC-GASGVVLHRLVNTLDAMVGYRSPRYENFGWAAATFDDVLAYLPARFTAGVHVAYAAAS--GGLPRARRAMAAWRNDAPKHPSPN</t>
  </si>
  <si>
    <t>------MTLGIFLGMAADRVLGDPPTAVHPVALFGRAATKLEKVFYRDSKLAGALYLTAAVVPPVVATRWLEKRYPTATMT------------LALFSALGGTTLERVGERMARALEVK-DIDQARELVPWLCSRDPQYLDEQGIIRATVESLAENTSDAATAPILWATC-GASGVVLHRLVNTLDAMVGYRSPRYENFGWAAATFDDVLAYLPARFTAGVHVAYAAAS--GGLPRARRAMAAWRNDAPKHPSPN</t>
  </si>
  <si>
    <t>GC_00000426</t>
  </si>
  <si>
    <t>PF00588.24</t>
  </si>
  <si>
    <t>SpoU rRNA Methylase family</t>
  </si>
  <si>
    <t>K03216</t>
  </si>
  <si>
    <t>tRNA (cytidine/uridine-2'-O-)-methyltransferase [EC:2.1.1.207]</t>
  </si>
  <si>
    <t>COG0219</t>
  </si>
  <si>
    <t>tRNA(Leu) C34 or U34 (ribose-2'-O)-methylase TrmL, contains SPOUT domain (TrmL) (PDB:4JAK)</t>
  </si>
  <si>
    <t>Enzymes&gt;&gt;&gt;2. Transferases&gt;&gt;&gt;2.1  Transferring one-carbon groups&gt;&gt;&gt;2.1.1  Methyltransferases&gt;&gt;&gt;2.1.1.207  tRNA (cytidine34-2'-O)-methyltransferase|Transfer RNA biogenesis&gt;&gt;&gt;Prokaryotic type&gt;&gt;&gt;tRNA modification factors&gt;&gt;&gt;Methyltransferases</t>
  </si>
  <si>
    <t>---------------------------MIFDQPVIPPNTGNAIRLCACTGARLHLAGPLGFNFEDKNLKRAGLDYHDLADVSVHDDLDAALDALPG--ARVFAFTAHASTRYTDIEFVPGDVLLFGTEPTGLSKQALAHPRVTEQLKIPMLEGRRSLNLANCAAIAVYEAWRQLGFSGS---------------</t>
  </si>
  <si>
    <t>----------------------MPFAHIIFDQPCIPPNTGNAIRMCAGTGAHLHLAGPLGFNLEEKNLRRAGLDYHDLADVTVHADLDAALDALPG--ARVFAFTTGGMVRHTDIAYVEGDVLLFGTEPTGLSETALVHPRMTKHVRIPMLPGRRSMNLSNAAAVAAYEAWRQLGFPGAL--------------</t>
  </si>
  <si>
    <t>MSHYQYTIRCGVKCLIMTTEPFASFAHIIFDQPCIPPNTGNAIRLCANTGATLHLAGPLGFNLKDKNLKRAGLDYHDFANVQVYKNLQNCFDTLPEHQHRVFAFSSHGTTTHTDITYRFGDVLLFGTEPTGLDESALHHPRITEIVRIPMRPGIRSMNLANAASVAIYEVWRQLGYPGAADPTMPDSHNASSTI</t>
  </si>
  <si>
    <t>GC_00000427</t>
  </si>
  <si>
    <t>MTNGMSNEMHLPTARYVLPSFIEQSAYGTKETNPYAKLFEERIIFLGTQVDDTSANDIMAQLLVLEGLDPDRDITMYINSPGGSFTSLMAIYDTMQYVRPDVRTVCLGQAASAAAVLLAAGAPGKRAALPNARVLIHQPATEGARGQVSDLEIQAAEIQRMRTLMEETLARHTGRSAEQISEDTDRDKILTAQEALEYGIIDQVFDYRKLNA--</t>
  </si>
  <si>
    <t>GC_00000428</t>
  </si>
  <si>
    <t>PF02571.20</t>
  </si>
  <si>
    <t>Precorrin-6x reductase CbiJ/CobK</t>
  </si>
  <si>
    <t>K05895</t>
  </si>
  <si>
    <t>precorrin-6A/cobalt-precorrin-6A reductase [EC:1.3.1.54 1.3.1.106]</t>
  </si>
  <si>
    <t>COG2099</t>
  </si>
  <si>
    <t>Precorrin-6x reductase (CobK) (PDB:4X7G)</t>
  </si>
  <si>
    <t>KEGG Orthology (KO)&gt;&gt;&gt;09100 Metabolism&gt;&gt;&gt;09108 Metabolism of cofactors and vitamins&gt;&gt;&gt;00860 Porphyrin metabolism [PATH:ko00860]|Enzymes&gt;&gt;&gt;1. Oxidoreductases&gt;&gt;&gt;1.3  Acting on the CH-CH group of donors&gt;&gt;&gt;1.3.1  With NAD+ or NADP+ as acceptor&gt;&gt;&gt;1.3.1.54  precorrin-6A reductase|Enzymes&gt;&gt;&gt;1. Oxidoreductases&gt;&gt;&gt;1.3  Acting on the CH-CH group of donors&gt;&gt;&gt;1.3.1  With NAD+ or NADP+ as acceptor&gt;&gt;&gt;1.3.1.106  cobalt-precorrin-6A reductase</t>
  </si>
  <si>
    <t>MCAVGVGNTRPRRGPARVMQPTALILGGTGESRDLARLLRDAGWTVTSSLAGRVSTPRLPVGQVRIGGFGGPAGLARWIVDNGVDVVVDATHPFAEKISLSAAEACRATGVPLVRLQRPQWEEQPGDRWTHVSSMHEAAQRAC-RYGHVFLAIGRQQLAPFAQDPHALYVIRCVEEPSVELPSRHRILLSRGPFDLDSEKKLLIDNQIDVVVTKNSGGP-TYNKLVAARELGVDVIVVDRPALPKGHS-AIVATAKEAYDTCEALL-</t>
  </si>
  <si>
    <t>--------------------MHALILGGTHEGRELARLLVDAGWYVTSSLAGRVAAPRLPVGEVRVGGFGGPAGLARWLMGSQIDVIIDATHPFAERISYSAAEAANATGVPLIALHRPAWTPEPRDKWILVQSMAEAARIAAQQFHHVFLTIGRQQLAPFADDPHNLYVIRAVEPPRVVLPKRNRVILSRGPFTVADEKKLMRDNQIDCVVTKNSGGELTRAKLVAARELGITVIMVQRPQLPKVK--TVVHTP</t>
  </si>
  <si>
    <t>--------------------MHALILGGTHEGRELARLLVDAGWYVTSSLAGRVAAPRLPVGEVRVGGFGGPAGLTRWLMGSQIDVIIDATHPFAERISYSAAEAANATGVPLIALHRPAWTPEPRDKWILVQSMAEAARIAAQQFHHVFLTIGRQQLAPFADDPHNLYVIRAVEPPQVVLPKRNRVILSRGPFTVADEKKLMRDNQIDCVVTKNSGGELTRAKLVAARELGITVIMVQRPQLPKVK--TVVHTP</t>
  </si>
  <si>
    <t>GC_00000429</t>
  </si>
  <si>
    <t>PF00886.24</t>
  </si>
  <si>
    <t>Ribosomal protein S16</t>
  </si>
  <si>
    <t>K02959</t>
  </si>
  <si>
    <t>small subunit ribosomal protein S16</t>
  </si>
  <si>
    <t>COG0228</t>
  </si>
  <si>
    <t>Ribosomal protein S16 (RpsP) (PDB:4V4H)</t>
  </si>
  <si>
    <t>MAVKIKLQRLGKIRTPEYRIVVADARTRRSGKVIENLGIYQPKNDPSVIKVDSDRVQYWLGVGAQPTEPVEAILKVTGDWQKFKGLEGAEGTLKVAEPKPSKLDLFNAALSEAAEGPTAEAITEKRRKAKEEAKKKAEEEVKAEDAAEEASEAAETAESSEEAAE</t>
  </si>
  <si>
    <t>MAVKIKLQRMGKIRTPHYRVVVADARTRRSGKVIENLGVYEPKANPSVIRIDSERAQYWLGVGAQPTDPVLALLKITGDWQKFKGLPGAEGTLEVAPEKPSKLDLFNAALAEANEAPTAEAITEKKRKEREDK--KATEAAAKAEAEKEAEAEADAEIAAEEASE</t>
  </si>
  <si>
    <t>MAVKIKLQRMGKIRTPHYRVVVADARTRRSGKVIENLGIYEPKANPSVIRIDSERAQYWLGVGAQPTDPVLALLKITGDWQKFKGLPGAEGTLEVAPEKPSKLDLFNAALAEANDAPTAEAITEKKRKERENK--KAAEAAAKAEAEKEAEAEADAEIAAEEASE</t>
  </si>
  <si>
    <t>MAVKIKLQRLGKIRNPQYRVVIADARTRRDGKVIENIGIYQPKENPSLIRIDSERAQYWLGVGAQPTDPVLALLKITGDWQKFKGLPGAEGKLRVAPEKPSKQELFNKALAEANEGPSLQDVVEKARKSKEEKAVKAAAEIA----------------AAEEASE</t>
  </si>
  <si>
    <t>GC_00000430</t>
  </si>
  <si>
    <t>PF21095.3</t>
  </si>
  <si>
    <t>CarD, C-terminal domain</t>
  </si>
  <si>
    <t>K07736</t>
  </si>
  <si>
    <t>CarD family transcriptional regulator, regulator of rRNA transcription</t>
  </si>
  <si>
    <t>COG1329</t>
  </si>
  <si>
    <t>RNA polymerase-interacting regulator, CarD/CdnL/TRCF family (CdnL) (PDB:4ILU)</t>
  </si>
  <si>
    <t>MDFKVGDVVVYPHHGAAVVEAIEQREMGGETLEFLVLQIHQSDLTVRVPAKNAELVGVRDVVGEEGLLKVFSVLREIDVEEAGNWSRRYKANQERLASGDVNKVAEVVRDLWRRDQDRGLSAGEKRMLAKARQVLVGELALAENVDEKKADELDAQMLATLERQKSEGVAEEPKPE----LAD--DVDLDDLDFDD--</t>
  </si>
  <si>
    <t>MDFKVGDTVVYPHHGAAVVEAIEQREMRGEVVDYLVLQIHQSDLTVRVPAMNAELVGVRDVVGEEGLLKVFSVLRETDVEEAGNWSRRYKANQERLASGDVNKVAEVVRDLWRREQDRGLSAGEKRMLAKARQVLVGELALAENVDEAKADDLEKQFAETIERHRALGVEDEPEKK----VVEDMDVDLDDLNFDDED</t>
  </si>
  <si>
    <t>MEFKVGDTVVYPHHGAAVIEAIEQREMGGETLEYLVLQIHQSDLVVRVPSKNAETVGVRDVVGEAGLRKVFGFLRETDVEEAGNWSRRFKANQERLASGDVNKVAEVVRDLWRRDQGKGLSAGEKRMLAKARQVLVGELALAEIKDEAKANELLAEVDATIVRHRLQGGDDTPEPKHPQPIIDEDDTDLDDLNFDD--</t>
  </si>
  <si>
    <t>GC_00000431</t>
  </si>
  <si>
    <t>PF01988.24</t>
  </si>
  <si>
    <t>VIT family</t>
  </si>
  <si>
    <t>K22736</t>
  </si>
  <si>
    <t>vacuolar iron transporter family protein</t>
  </si>
  <si>
    <t>COG1814</t>
  </si>
  <si>
    <t>Predicted Fe2+/Mn2+ transporter, VIT1/CCC1 family (Ccc1) (PDB:6IU3)</t>
  </si>
  <si>
    <t>--------------------------MTPDKKQIRRWQKYLANERAEAVVYRELARTADGEERDILLKLAEAEDRHEQYWRNKLGNDLGMPRRPSMGTRTMAFLARRFGSVFTLALMQSAESRTPYSKDADATEQMTADERIHAEVVRGLAQRGRQQLSGGFRAAIFGANDGLVSNLALVLGIFAS-GASNHTILLTGLSGLLAGALSMAAGEYISVASQRELLEASTPHPKTNTLLPQLDVNANELALVYRARG</t>
  </si>
  <si>
    <t>MTASSAATP-----------------TAPTRKQIKRWQRYLANERAEAAVYRELALKKQGEEREILLGIAEAEARHEEHWRTLLGDHVGMPRRPDYSTLLMGFLAKRFGSVFTLALMQSAEARTPYEKDDDATDQMTADERIHAEVVRGLAAKSREKMSGNFRAAVFGANDGLVSNLALVLGVVGS-GVDTSYVLLTGISGLLAGALSMGAGEYVSVCSQRELLEASAPSPDTDGALPKLDINANELALVYRARGMDPDAAEAHARKVLSSVRGSGVGSGLGGVSGGAPVGA-----APHANAEVVGSGWSAALSSFLFFASGALIPILPFIFGASPMVAAVLACMLVGIALMCTGGIVGVLSGTSPGLRALRQLAIGLGAAGITYGLGNLFGVALG</t>
  </si>
  <si>
    <t>MTAGSEERNNVMQQESDSQLSDDHPTNPPTPKQIRRWQQYLANERAEAAVYRELARNREGEEKEILLAMAKAEERHEQYWRTMLGDDLGFPRAPSFSTRIMGFLAKRFGTVFTLAMMQTAESRSPYADDADATEQMTADEAIHAEVVRGLAARGREKMSGNFRAAVFGANDGLVSNFALVLGVMGAGGIDSNIILLTGISGMLAGALSMGAGEYISVKSQNELLEASHPHLATSTVVPQLDVDANELALVYRARGMSVAEAKEQADKVFAQIEQS------------KSVDAEMLAGANTAEDETLSSPWMVAASSFLCFGAGALLPVLPFFFDLPQMIAGVIATALVGIALMVTGAITGILSGKPPFLRAIRQLVVGMLAAGVTYALGMLFGVAVG</t>
  </si>
  <si>
    <t>MTAGSEERNNVMQQESDSQLSDDQPANPPTPKQIRRWQQYLANERAEAAVYRELARNREGEEKEILLAMAKAEERHEQYWRTMLGDDLGFPRAPSFSTRIMGFLAKRFGTVFTLAMMQTAESRSPYADDADATEQMTADEAIHAEVVRGLAARGREKMSGNFRAAVFGANDGLVSNFALVLGVMGAGGIDSNIILLTGISGMLAGALSMGAGEYISVKSQNELLEASHPHLATSTVVPQLDVDANELALVYRARGMSVAEAKEQADKVFAQIEQS------------KSVDAEMLAGANAAEDETLSSPWMVAASSFLCFGAGALLPVLPFFFDLPQMIAGVIATALVGIALMVTGAITGILSGKPPFLRAIRQLVVGMLAAGVTYALGMLFGVAVG</t>
  </si>
  <si>
    <t>GC_00000432</t>
  </si>
  <si>
    <t>PF06013.18</t>
  </si>
  <si>
    <t>Proteins of 100 residues with WXG</t>
  </si>
  <si>
    <t>K14956</t>
  </si>
  <si>
    <t>ESAT-6 family protein</t>
  </si>
  <si>
    <t>COG4842</t>
  </si>
  <si>
    <t>Secreted virulence factor YukE/EsxA, WXG100 family (EsxA) (PDB:3GVM) (PUBMED:15657139;24798022;27600772)</t>
  </si>
  <si>
    <t>ko02044</t>
  </si>
  <si>
    <t>Secretion system&gt;&gt;&gt;Type VII secretion system&gt;&gt;&gt;ESX secretion system protein</t>
  </si>
  <si>
    <t>MSTLFRTEADVMVATAGRVDDVNNQVQGELGRLRGVVDGVRSSWEGAAQVSFDSLMQRWNTSARDLQDALASISDNIRSNAKHFENVEADNAAAFNQVGGQGLAL</t>
  </si>
  <si>
    <t>MSETFRTEADVMVSTAGHVDDTNNYVQSELNRLHGVVDGLKGSWRGSAQMSFDSLMQNWNTQATKLREALNSIAENIRSNAKSFEGMEAHNVSSFKTIGQ-GLAL</t>
  </si>
  <si>
    <t>MSNTFRTEADVMVTTAGQVDNTNSEVQSELSRLRGVVDGLRGAWSGQAQASFDELMQRWDTNAKDLSDALTSIGENIRANARAFENVETSNAQSLNHVGG-GLVL</t>
  </si>
  <si>
    <t>GC_00000433</t>
  </si>
  <si>
    <t>K03431</t>
  </si>
  <si>
    <t>phosphoglucosamine mutase [EC:5.4.2.10]</t>
  </si>
  <si>
    <t>COG1109</t>
  </si>
  <si>
    <t>Phosphomannomutase (ManB) (PDB:6MNV)</t>
  </si>
  <si>
    <t>M00909</t>
  </si>
  <si>
    <t>UDP-N-acetyl-D-glucosamine biosynthesis, prokaryotes, glucose =&gt; UDP-GlcNAc</t>
  </si>
  <si>
    <t>KEGG Orthology (KO)&gt;&gt;&gt;09100 Metabolism&gt;&gt;&gt;09101 Carbohydrate metabolism&gt;&gt;&gt;00520 Amino sugar and nucleotide sugar metabolism [PATH:ko00520]|Enzymes&gt;&gt;&gt;5. Isomerases&gt;&gt;&gt;5.4  Intramolecular transferases&gt;&gt;&gt;5.4.2  Phosphotransferases (phosphomutases)&gt;&gt;&gt;5.4.2.10  phosphoglucosamine mutase</t>
  </si>
  <si>
    <t>MGAYLVAMSRLFGTDGVRGLANKALTAELALKLGAAAAHVLTSENRTSKRRPVAIVGRDPRVSGEMLAAALSAGMASRGVDVLRVGVLPTPAVAFLTDDYGADMGVMISASHNPMPDNGIKFFAAGGHKLADEVEDEIERALHSLPETGPTGHGIGRVLEEAHDAQERYLQHLSESMPANLDGIKVVVDAANGAASDIAPLAYGAAGAEVVAIHHEPNAYNINDHCGSTYIEETQRAVVEHGADIGLAHDGDADRCLAVDAEGNVVDGDQIMAILALAMKDNGQLTKNTLVATVMSNLGLKLAMDEAGITLRTTAVGDRYVLAELTDGGYSLGGEQSGHIVLPDHSTTGDGVLTGLALMSRMAETGLSLKALAGAMMVLPQVLINVPISDKSIIAEHERVVAAIAAAESELGSSGRVLLRPSGTEELFRVMVEAADAETARKVAGRLAAVVADV</t>
  </si>
  <si>
    <t>-------MTRLFGTDGVRGMANERLTASLALKLGAAAAHVLTSENRTSKRRPVAIVGRDPRVSGEMLAAALSAGMASQGVDVLRVGVLPTPAVAFLTDDYGADMGVMISASHNPMPDNGIKFFAAGGHKLADEVEDEIEAAMTRLPENGPIGHGIGRIIEEATDAQERYLQHLSQAMPHNLQGIKVVVDAANGAASEVAPLAYGTAGAEVIAIHDKPNAYNINDNCGSTHINVIQKAVLDHGADLGLAHDGDADR</t>
  </si>
  <si>
    <t>-------MTRLFGTDGVRGLANEALTASLALRLGAAAAEVLTVDHRSSKRRPLAVVGRDPRVSGEMLAAALSAGMASRGVDVLRVGVLPTPAVAYLTEFYGADMGVMISASHNPMPDNGIKFFSKGGHKLPDAVEDQIEVTMESLPETGPVGHGVGRVIEEAVDAQQHYLDHLKESMPRNLAGIKVVVDCANGAASSVTPMAYKAAGAEVIAIHNNPNAYNINDNCGSTHIDQVRAAVQQHGADLGLAHDGDADR</t>
  </si>
  <si>
    <t>GC_00000434</t>
  </si>
  <si>
    <t>PF00266.25</t>
  </si>
  <si>
    <t>Aminotransferase class-V</t>
  </si>
  <si>
    <t>H|E</t>
  </si>
  <si>
    <t>Coenzyme transport and metabolism|Amino acid transport and metabolism</t>
  </si>
  <si>
    <t>K00831</t>
  </si>
  <si>
    <t>phosphoserine aminotransferase [EC:2.6.1.52]</t>
  </si>
  <si>
    <t>COG1932</t>
  </si>
  <si>
    <t>Phosphoserine aminotransferase (SerC) (PDB:1BJN)</t>
  </si>
  <si>
    <t>M00020|M00124</t>
  </si>
  <si>
    <t>Serine biosynthesis, glycerate-3P =&gt; serine|Pyridoxal-P biosynthesis, erythrose-4P =&gt; pyridoxal-P</t>
  </si>
  <si>
    <t>Pathway modules; Amino acid metabolism; Serine and threonine metabolism|Pathway modules; Metabolism of cofactors and vitamins; Cofactor and vitamin metabolism</t>
  </si>
  <si>
    <t>ko00001|ko00001|ko00001|ko00001|ko01000|ko01007</t>
  </si>
  <si>
    <t>KEGG Orthology (KO)&gt;&gt;&gt;09100 Metabolism&gt;&gt;&gt;09102 Energy metabolism&gt;&gt;&gt;00680 Methane metabolism [PATH:ko00680]|KEGG Orthology (KO)&gt;&gt;&gt;09100 Metabolism&gt;&gt;&gt;09105 Amino acid metabolism&gt;&gt;&gt;00260 Glycine, serine and threonine metabolism [PATH:ko00260]|KEGG Orthology (KO)&gt;&gt;&gt;09100 Metabolism&gt;&gt;&gt;09105 Amino acid metabolism&gt;&gt;&gt;00270 Cysteine and methionine metabolism [PATH:ko00270]|KEGG Orthology (KO)&gt;&gt;&gt;09100 Metabolism&gt;&gt;&gt;09108 Metabolism of cofactors and vitamins&gt;&gt;&gt;00750 Vitamin B6 metabolism [PATH:ko00750]|Enzymes&gt;&gt;&gt;2. Transferases&gt;&gt;&gt;2.6  Transferring nitrogenous groups&gt;&gt;&gt;2.6.1  Transaminases&gt;&gt;&gt;2.6.1.52  phosphoserine transaminase|Amino acid related enzymes&gt;&gt;&gt;Aminotransferase (transaminase)&gt;&gt;&gt;Class V</t>
  </si>
  <si>
    <t>------------------------------------MSDMPTLPNDLQPADGRFGCGPSKVRPEQIQAIVDGATSIMGTSHRQPAVKNVVGSIREGLSELFRLPDGYEIVLSLGGATAFWDAATYGLIEKRSGHLTFGEFSSKFASASAKAPWLEEPTLVSTDPGDAPQPVAMEGCDLIGWAHNETSTGAMVPVTRPAGAEGSLVAIDATSGAGGLPVDMSQADVYYFSPQKCFASDGGLWFAAMSPAALERIEK</t>
  </si>
  <si>
    <t>MATFSTKVGPDPHRSHEHTSHELAANIHQESAVNMSDTTTPTLPAELIPHDGRFGCGPSKVRDSQITNVSKGNPGIMGTSHRQPAVKNVVGSIREGLSELFQLPEGYEIILSLGGATAFWDAATFGLIEKKSGHLSFGEFSSKFASAAKKAPWLEEPTVVSSEPGDAPAPQPMEGCDLIGWAHNETSTGAMVPVTRP--DTDALIAIDATSGAGGLPVDMSQVDAYYFSPQKCFASDGGLWFAAMSPAAIERIGKIAASDRFIPAFLNLQTAVDNSRKNQTYNTPAVSTLLLMDDQVRWMNNNGGLAGMVDRTTESSSILYGWADNHEVASCYVTDPAKRSLVVGTIDFADSIDAAKIASALRANGIVDVEPYRKLGRNQLRIGMFPAIDSADVRTLTQAIDFIVNSGYANS-</t>
  </si>
  <si>
    <t>-----------------------------------MTDQFPTLPTGLLPADPRFGCGPSKVRPGQIDAIVTGSHTIIGTSHRQPAVKNVVGSIRAGLAELFALPAGYEIVCSLGGATAFWDAATFGLITKKSGHLAFGEFSAKFAAASAKAPWLAEPTVISAEPGDAPSPQGMPGCDVIAWAHNETSTGAMVPVTRPADSAGSLVVIDATSGAGGLPVDMSQADVYYFSPQKCFASDGGLWFAAMSPAALERIAE</t>
  </si>
  <si>
    <t>-----------------------------------MTDQFPTLPTGLLPADPRFGCGPSKVRPGQIDAIVAGSHTIIGTSHRQPAVKNVVGSIRAGLAELFALPAGYEIVCSLGGATAFWDAATFGLITKKSGHLAFGEFSAKFAAASTKAPWLAEPTVISAEPGDAPSPQAMPGCDVIAWAHNETSTGAMVPVTRPADSEGSLVVIDATSGAGGLPVDMSQADVYYFSPQKCFASDGGLWFAAMSPAALERIAE</t>
  </si>
  <si>
    <t>GC_00000435</t>
  </si>
  <si>
    <t>K01840</t>
  </si>
  <si>
    <t>phosphomannomutase [EC:5.4.2.8]</t>
  </si>
  <si>
    <t>KEGG Orthology (KO)&gt;&gt;&gt;09100 Metabolism&gt;&gt;&gt;09101 Carbohydrate metabolism&gt;&gt;&gt;00051 Fructose and mannose metabolism [PATH:ko00051]|KEGG Orthology (KO)&gt;&gt;&gt;09100 Metabolism&gt;&gt;&gt;09101 Carbohydrate metabolism&gt;&gt;&gt;00520 Amino sugar and nucleotide sugar metabolism [PATH:ko00520]|KEGG Orthology (KO)&gt;&gt;&gt;09100 Metabolism&gt;&gt;&gt;09101 Carbohydrate metabolism&gt;&gt;&gt;00541 Biosynthesis of various nucleotide sugars [PATH:ko00541]|Enzymes&gt;&gt;&gt;5. Isomerases&gt;&gt;&gt;5.4  Intramolecular transferases&gt;&gt;&gt;5.4.2  Phosphotransferases (phosphomutases)&gt;&gt;&gt;5.4.2.8  phosphomannomutase</t>
  </si>
  <si>
    <t>MNINDQQPVTEGLRFGTAGLRAPVGPGAQEMNVTQVTRTTAGVASWLAE-RAAA-RAASGAQQHHPDPDTEAL-----LGEIHGNIDDGALKVAVGFDARYGSHTFAVTAAEVFAGAGFEVTLLPTPTPTPVLAWLVKYRGLDAGVQITASHNPASDNGYKVYVDGGSQLISPDDREIEKHIARISLDDVANIPRVTVRPAPDQLLHYLDAVVSLVEPASSDRLRVNNERADLKVAYTALHGVGGRALKQALQWAGFAMTWSVANQHYPDPTFPTVDFPNPEEAGATDQLIELGQQVDADILVALDPDADRCAIGIRTEDTDGHSGRRHFRMLRGDELGPLLATRIVDTRMATTRKAFGTV-AAPVVATTVVSSQLLGNIATQRGWDYQETLTGFKHLARAATGRPGELVFAYEEAIGTCPAPWMVADKDGIATALVACSWAAELKAQGSTLEEQLEALYQQHGYFQGTQISVRTPNPRDVITQLENTC-PDTLAGMPLAIGSLPENQ----GLTLTATQAGDGSQHTGAIPAVRIIGRASGTEPKAKFYIET-HAHTHAQAQQLLQLAERLVQQHVS--</t>
  </si>
  <si>
    <t>GC_00000436</t>
  </si>
  <si>
    <t>MAKVYAQIDPWFIQRGYKRTGVRDCRYAIRQNDLLFELHISATPMPDDPDHYSSIVFYSAMIPALGKLHTALLQHSSVSGTPVG---NYKGKFATSSG------DSPWLNRFLYLEKTTIGDNWQQLLDQFEYDLPIIWSELADAPDLYAAVDVDKHWTW-FKNNRGKLLVLLYQQRWDEALAQVCSWTVADVNPQDLPPEPGKWTAQEELDNAVKVVTEYVDKHR-</t>
  </si>
  <si>
    <t>MAKVYAQVDPWFIQRGYKRTGVWDCRYAIRQNDLLFELHISATPMADD--------------------------------------------------------------------------------------------------------EESNY-----------------------------------------------------LDGSARSSSE--KETAG</t>
  </si>
  <si>
    <t>GC_00000437</t>
  </si>
  <si>
    <t>PF00312.27</t>
  </si>
  <si>
    <t>Ribosomal protein S15</t>
  </si>
  <si>
    <t>K02956</t>
  </si>
  <si>
    <t>small subunit ribosomal protein S15</t>
  </si>
  <si>
    <t>COG0184</t>
  </si>
  <si>
    <t>Ribosomal protein S15P/S13E (RpsO) (PDB:4V4H)</t>
  </si>
  <si>
    <t>MALSTEQKKEILAEYGLHPTDTGSPEAQVALLTVRIKELTEHLKEHKHDHHSRRGLLLLVGRRKGLLKYLAANNVDRYRDLIARLGLRR</t>
  </si>
  <si>
    <t>MALTTEQKKEILAEYGLHETDTGSPEAQIALLTQRIRQLTEHLKTHKHDHHSRRGLLLLVGRRKGLLKYLAERNIDRYRDLIGRLGLRR</t>
  </si>
  <si>
    <t>MALTAEQKKTILAEYGLHETDTGSPEAQVALLTSRINALTEHLKFHKHDHHSRRGLLLLVGRRRGLLKYLAANNVDRYRDLISRLGLRR</t>
  </si>
  <si>
    <t>MALTAEQKKAILAEYGLHETDTGSPEAQVALLTSRINALTEHLKFHKHDHHSRRGLLLLVGRRRGLLKYLAANNVDRYRDLISRLGLRR</t>
  </si>
  <si>
    <t>GC_00000438</t>
  </si>
  <si>
    <t>K02355</t>
  </si>
  <si>
    <t>elongation factor G</t>
  </si>
  <si>
    <t>COG0480</t>
  </si>
  <si>
    <t>Translation elongation factor EF-G, a GTPase (FusA) (PDB:1DAR)</t>
  </si>
  <si>
    <t>ko03012|ko03012|ko03029|ko03029</t>
  </si>
  <si>
    <t>Translation factors&gt;&gt;&gt;Eukaryotic type&gt;&gt;&gt;Elongation factors|Translation factors&gt;&gt;&gt;Prokaryotic type&gt;&gt;&gt;Elongation factors|Mitochondrial biogenesis&gt;&gt;&gt;Mitochondrial DNA transcription, translation, and replication factors&gt;&gt;&gt;Mitochondrial transcription and translation factors&gt;&gt;&gt;Mitochondrial translation factors|Mitochondrial biogenesis&gt;&gt;&gt;Mitochondrial quality control factors&gt;&gt;&gt;Regulator of mitochondrial biogenesis&gt;&gt;&gt;Ubiquitas transcription factors</t>
  </si>
  <si>
    <t>-MAQEVLKDLNKVRNIGIMAHIDAGKTTATERILFYTGINRKVGETHDGASTTDWMEQEKERGITITSAAVTCFWNGNQINIIDTPGHVDFTVEVERSLRVLDGAVAVFDGKEGVEPQSEQVWRQAAKYDVPRICFVNKMDKMGADFYFTVQTIIDRLGAKPLVMQLPIGAEDDFDGVVDLIQMKAITWRGKVEVGAEATIEEIPADLADKAAEYREKLLETVAESDEELMEKYFGGEELTEEEIKTAVRKMTVA</t>
  </si>
  <si>
    <t>-MAQEVLKDLNKVRNIGIMAHIDAGKTTTTERILYYTGINRKVGETHEGASTTDWMEQEKERGITITSAAVTCFWEGNQINIIDTPGHVDFTVEVERSLRVLDGAVAVFDGKEGVEPQSEQVWRQAAKYDVPRICFVNKMDKLGADFYFTVQTIIDRLGAKPLVLQLPIGAEDDFDGVVDLVEMKAITWRGKVEVGAEPTIEEIPADLMERAEQYREQLLDTVAETDEELMEKYFGGEELTIDEIKGAIRKLTIN</t>
  </si>
  <si>
    <t>MAPQEVLKDLTKVRNIGIMAHIDAGKTTTTERILFYTGINRKVGETHDGASTTDWMEQEKERGITITSAAVTCFWKNNQINIIDTPGHVDFTVEVERSLRVLDGAVAVFDGKEGVEPQSEQVWRQAAKYDVPRICFINKMDKLGADFYFTVQTIIDRLGAKPLVLQLPIGAEDTFDGVVDLINMNAITWRGKVDVGAEPVIEEIPADLVERAEEYREKLLEAVAESDEELMEKYFSGEELTVDEIKGAIRKMTINSEIYPVLCGTAYHNKGVQPLLDAVIDYLPNPLDIGEVAGHAVNDESQVVVRKPSVDDPFAALAFKIAVHPFFGKLTFVRVYSGLVEPGAQVTNSTKAKKERIGKMFQMHANKENPVTEARAGNIYAFIGLKDTTTGDTLCDTNNQIILESMDFPDPVIKVSIEPKTKADQEKLSIAIQKLAEEDPTFTVELDSESGQTVIGGMGELHLDVLVDRMRREFKVEANVGAPQVAYRETIRKPVEKIEYTHKKQTGGSGQFAKVIIALEPYAPDASELEEGESAIYKFENAVTGGRVPKEYIPSVDAGIQDAMQYGYLAGFPLVNIKATLLDGAYHEVDSSEMAFKLAGSQALKEGVAKAKPVLLEPLMAVEVITPEEYMGDVIGDINSRRGQVNAMDDRAGAKVVRARVPLSEMFGYVGDLRSRTQGRANYTMIFDSYAEVPTNVAAEIIAERNGS--</t>
  </si>
  <si>
    <t>MAPQEVLKDLTKVRNIGIMAHIDAGKTTTTERILFYTGINRKVGETHDGASTTDWMEQEKERGITITSAAVTCFWKNNQINIIDTPGHVDFTVEVERSLRVLDGAVAVFDGKEGVEPQSEQVWRQAAKYDVPRICFVNKMDKLGADFYFTVQTIIDRLGAKPLVLQLPIGAEDTFDGVVDLINMNAITWRGKVDVGAEPVIEEIPADLVERAEEYREKLLEAVAESDEELMEKYFGGEELTIDEIKGAIRKMTINSEIYPVLCGTAYHNKGVQPLLDAVIDYLPNPLDIGEVAGHAVNDESQVVVRKPSVDDPFAALAFKIAVHPFFGKLTFVRVYSGLVEPGAQVTNSTKAKKERIGKMFQMHANKENPVTEARAGNIYAFIGLKDTTTGDTLCDTNNQIILESMDFPDPVIKVSIEPKTKADQEKLSIAIQKLAEEDPTFTVELDSESGQTVIGGMGELHLDVLVDRMRREFKVEANVGAPQVAYRETIRKPVEKIEYTHKKQTGGSGQFAKVIIALEPYAPDASELEEGESAIYKFENAVTGGRVPKEYIPSVDAGIQDAMQYGYLAGFPLVNIKATLLDGAYHEVDSSEMAFKLAGSQALKEGVAKAKPVLLEPLMAVEVITPEEYMGDVIGDINSRRGQVSAMDDRAGAKVVRARVPLSEMFGYVGDLRSRTQGRANYTMIFDSYAEVPTNVAAEIIAERNGS--</t>
  </si>
  <si>
    <t>GC_00000439</t>
  </si>
  <si>
    <t>PF02096.25</t>
  </si>
  <si>
    <t>60Kd inner membrane protein</t>
  </si>
  <si>
    <t>K03217</t>
  </si>
  <si>
    <t>YidC/Oxa1 family membrane protein insertase</t>
  </si>
  <si>
    <t>COG0706</t>
  </si>
  <si>
    <t>Membrane protein insertase Oxa1/YidC/SpoIIIJ (YidC) (PDB:3WO6)</t>
  </si>
  <si>
    <t>ko00001|ko00001|ko00001|ko03029|ko02044</t>
  </si>
  <si>
    <t>KEGG Orthology (KO)&gt;&gt;&gt;09120 Genetic Information Processing&gt;&gt;&gt;09123 Folding, sorting and degradation&gt;&gt;&gt;03060 Protein export [PATH:ko03060]|KEGG Orthology (KO)&gt;&gt;&gt;09130 Environmental Information Processing&gt;&gt;&gt;09131 Membrane transport&gt;&gt;&gt;03070 Bacterial secretion system [PATH:ko03070]|KEGG Orthology (KO)&gt;&gt;&gt;09140 Cellular Processes&gt;&gt;&gt;09145 Cellular community - prokaryotes&gt;&gt;&gt;02024 Quorum sensing [PATH:ko02024]|Mitochondrial biogenesis&gt;&gt;&gt;Mitochondrial quality control factors&gt;&gt;&gt;Mitochondrial respiratory chain complex assembly factors&gt;&gt;&gt;Complex-IV assembly factors|Secretion system&gt;&gt;&gt;Sec (secretion) system&gt;&gt;&gt;Prokaryotic Sec-SRP core components</t>
  </si>
  <si>
    <t>MLNFIYWPISAILWFWHKVFSLVLDPNWGVTWLLSIVFLTWTIRILLVRPMMNQMRSARKMQEMQPLMTEIKNKYKNDQQRQMVEMRKVQKEMGVNPLAGCLPLFVQMPVFIGLFHVLRSFNRTGTGKFQLGLSIEQNRQTANYIFSPSDVQSFLDARFFGVPLSAYISMPDSMYEAFQPVDFTRTKIIMVAGPLILLTATATHFVAKMSIARNAQRIASGKQRAPQNDMMAQQMQMMNKMMVWFMPGMILFTGAVWHIGLLFYMLSNNIWTFFQQRYVFAKMDREEEEELAAKREAKRASAPKPGQRPQNAKNKKKKK-</t>
  </si>
  <si>
    <t>MLNFVYWPISAILWFWHKLLSYVLDPGWGITWVLSIVLLTFTIRVFLVKPSLNQMRSSRKMSELQPRMAEIRSKYKNDQQKQMEEIRKVQKEMGVNPIAGCLPLLVQMPVFLGLFHVLRSFNRTGTGSGQLGLSVEQNRNTANYIFSPTDVQSFLDARLFGVPLSSYISMPESMYQGFSGAEFTRTDIMMVAIPLILITATATHFVARMGVNRQKARLASGKQSAPANDQMQMQMDMMNRMMVWFMPLTILFTGAFWHIGLLFYMVSNNIWTFFQQRFIFNKMDAEEEAEIQAKKDAQRASAPKPGVKPNNPKKNKKRRS</t>
  </si>
  <si>
    <t>MLNFVYWPISAILWFWHKLLSYVLDPGWGITWVLSIVLLTFTIRVFLVKPSLNQMRSSRKMSELQPRMAEIRSKYKNDQQKQMEEIRKVQKEMGVNPIAGCLPLLVQMPVFLGLFHVLRSFNRTGTGSGQLGLSVEQNRNTANYIFSPSDVQSFLDARLFGVPLSSYISMPESMYQGFSGAEFTRTDIMMVAIPLILITATATHFVARMGVNRQKARLASGKQSAPANDQMQMQMDMMNRMMVWFMPLTILFTGAFWHIGLLFYMVSNNIWTFFQQRFIFNKMDAEEEAEIQAKKDAQRVSAPKPGVKPNNPKKNKKRRS</t>
  </si>
  <si>
    <t>MLNFVYWPISVILWLWHKALSFVLNPDSGLTWVLAIVLLTFTVRILLVRPTINQMRSMRKMQEIQPQMQEIRNKYKNDQQKMMQETQKLQKEMGFNPLAGCLPILVQMPVFLGLYHVLRSFNRTGTGAGQLGLTPEQNRMTPNYFFSAEDVQSFLDARLFKVPLSAYISMPESMYQAFPG-DFTKTNIIMLAAPLVVIIVVAIHMNARLSVDRQKARIASGKQKPAANDQMQMQADMMNKMMLWFLPGTILLTCTFWHIGLLFYMVSNNVWTFFQQRWVFKLMDTEEEAELQAKKDAKRASAPKVGQKPTDQTKKKKRKR</t>
  </si>
  <si>
    <t>GC_00000440</t>
  </si>
  <si>
    <t>PF00085.26</t>
  </si>
  <si>
    <t>Thioredoxin</t>
  </si>
  <si>
    <t>K03671</t>
  </si>
  <si>
    <t>thioredoxin</t>
  </si>
  <si>
    <t>COG3118</t>
  </si>
  <si>
    <t>Chaperedoxin CnoX, contains thioredoxin-like and TPR-like domains, YbbN/TrxSC family (CnoX) (PDB:3QDN) (PUBMED:21498507;29754824)</t>
  </si>
  <si>
    <t>-------------------------------------MATINVTESTFAQTVQQKGVVVVDAWAPWCGPCRQFAPIFEKVSEQHADATFAKFNTDENQNLAQQLGIMSIPTLMVFKDGELLFRQAGVLPAPALSELVTKVQNMS-------------------</t>
  </si>
  <si>
    <t>MVVVVKLMLSVGWWNTFAVGAVVPDKSDFYYSQARSDMATIDLNETNIQDTISKDGTVIIDFWAPWCGPCRGFAPIFEKSSEAHPDVVFGKVNTEDEQGIAGVFEIQSIPTLVVFRDGIPLYRHSGALQPQDLETLLSQVAALDMDEVRQKVAEATGNAEESE</t>
  </si>
  <si>
    <t>-------------------------------------MALVEVSKDTFNDTVTQEGIVLVDAWAEWCGPCRQFMPVYKKASEKHEDITFAKLNTEENQGLAAALEIQAIPTIMAFRDGIMVFRQSAALPPAALEDVIEQVRALDMDDVRRQIAEHNATNN---</t>
  </si>
  <si>
    <t>-------------------------------------MALVEVSEDTFNDTVTQEGIVLVDAWAEWCGPCRQFMPVYKKASEKHEDITFAKLNTEENQGLAAALEIQAIPTIMAFRDGIMVFRQSAALPPAALEDVIEQVRALDMDDVRRQIAEHNATNN---</t>
  </si>
  <si>
    <t>GC_00000441</t>
  </si>
  <si>
    <t>PF04203.18</t>
  </si>
  <si>
    <t>Sortase domain</t>
  </si>
  <si>
    <t>K07284</t>
  </si>
  <si>
    <t>sortase A [EC:3.4.22.70]</t>
  </si>
  <si>
    <t>COG3764</t>
  </si>
  <si>
    <t>Sortase (surface protein transpeptidase) (SrtA) (PDB:1IJA)</t>
  </si>
  <si>
    <t>ko01000|ko01002|ko01011</t>
  </si>
  <si>
    <t>Enzymes&gt;&gt;&gt;3. Hydrolases&gt;&gt;&gt;3.4  Acting on peptide bonds (peptidases)&gt;&gt;&gt;3.4.22  Cysteine endopeptidases&gt;&gt;&gt;3.4.22.70  sortase A|Peptidases and inhibitors&gt;&gt;&gt;Cysteine peptidases&gt;&gt;&gt;Family C60|Peptidoglycan biosynthesis and degradation proteins&gt;&gt;&gt;Peptidoglycan biosynthesis and degradation&gt;&gt;&gt;Sortase</t>
  </si>
  <si>
    <t>MGRHLPSTGPAARPEGRESKSRLSVSLVLGELMLTMGVIVLLFAFYEAYWTNIESAKIQTQVSHDLDQKWQ-KRVNPRRKIQPELGTAFARMYIPSFGSDFNFAIVHGTDDAALLAGPGHYVDSQLPGEKGNFAVAGHRVGKGAPFNDLDKLQACNAIVVETQSAWYTYRVLPIDVTGNQRLSEAQQCLTPEQVARVAGGDYADVQGRYITTPTNVATIGAHPGINDHTPADTMEPVLTLTTCHPQFSNAERMIVHAMLVESHPKEENYRPPALTSS</t>
  </si>
  <si>
    <t>MGRHLPSTAPAARPEGRESKSRLSVSLVLGELMLTMGVIVLLFAFYEAYWTNIESAKIQTQVSHDLDQKWQ-KRVNPRRKIQPELGTAFARMYIPSFGSDFNFAIVHGTDDTALLAGPGHYVDSQLPGEKGNFAVAGHRVGKGAPFNDLDKLQACNAIVVETQSAWYTYRVLPIDVTGEQRLSEAQQCLTPEQVARVAGGDYADVQGRYITTPTNVATIGAHPGINDHTPADTMEPVLTLTTCHPQFSNAERMIVHAMLVESHPKEENYRPPALTSS</t>
  </si>
  <si>
    <t>GC_00000442</t>
  </si>
  <si>
    <t>PF00107.32</t>
  </si>
  <si>
    <t>Zinc-binding dehydrogenase</t>
  </si>
  <si>
    <t>C|R</t>
  </si>
  <si>
    <t>Energy production and conversion|General function prediction only</t>
  </si>
  <si>
    <t>K00344</t>
  </si>
  <si>
    <t>NADPH:quinone reductase [EC:1.6.5.5]</t>
  </si>
  <si>
    <t>COG0604</t>
  </si>
  <si>
    <t>NADPH:quinone reductase or related Zn-dependent oxidoreductase (Qor) (PDB:2VCY)</t>
  </si>
  <si>
    <t>KEGG Orthology (KO)&gt;&gt;&gt;09190 Not Included in Pathway or Brite&gt;&gt;&gt;09191 Unclassified: metabolism&gt;&gt;&gt;99980 Enzymes with EC numbers|Enzymes&gt;&gt;&gt;1. Oxidoreductases&gt;&gt;&gt;1.6  Acting on NADH or NADPH&gt;&gt;&gt;1.6.5  With a quinone or similar compound as acceptor&gt;&gt;&gt;1.6.5.5  NADPH:quinone reductase</t>
  </si>
  <si>
    <t>---------------------------MKAITLRDPSDKTSLHVSEVDDPQLAPGEALVRVKAAGVNRGDLLQAAGHYPPPPGASEIMGLECSGVIVDPGDTSFAEGDEVCCLLAGGGYAELVAVPEGQILPLPEGFSFEQAAGIVEVACTIWSNLGMLAKIRAGQLALIHGGAGGIGLCAIQVCKALGLNVAVTAGSEEKLQLCRDIGADIAINYREQDFAEELKGRADVILDIIGAKYLDSNITALAKDGHMV</t>
  </si>
  <si>
    <t>MPSTLSIVADNPHSAPFWPTLDVMTDTMKAITLSNPEDKTSLMLTEVPMPQLAPGEALVKVHATGVNRGDLLQAAGHYPPPPGASEIMGLECAGTVVDPGTTGHKRGDQVACLLAGGGYAEYVAVPEGQLMPLPEGYSFVEAASIVEVACTVWSNLVMLAGLHEGQTLLIHGGAGGIGTFAIQLGKALGCTVAVTAGSPEKLQTCKELGADILINYRDEDFAEVMKNKADVILDIMGAKYLDKNVRALAMDGHMVIIGMQGGVKGELNIARLLTKRGTISATALRARKLDDKARIVSETVENVWPMLADGRITHRIHATIPLADAARAHELLGSGAVTGKVILEVD-------</t>
  </si>
  <si>
    <t>---------------------------MKAIVVT--ADKT-LELAEVPTPQLRAGEVLVKVHATGVNRADLLQAAGYYPPPPGESEIMGLECAGEIVDTGDTDRQVGEKVACLLAGGGYAEYVAVPAGQLLPIPEGYSYEQAAAVVEVAATVWSNLGMLTGLAAGQTVLIHGGAGGIGTFAIQLAKHLGAQVAVTAGSVEKLEACRRLGADILINYREENFADVLKNRCDRILDIIGAKYLDQNVTALAPDGHMV</t>
  </si>
  <si>
    <t>---------------------------MKAIVVT--ADKT-LELAEVPTPQLRAGEVLVKVHATGVNRADLLQAAGYYPPPPGESEIMGLECAGEIVDTGDTDRQVGEKVACLLAGGGYAEYVAVPAGQLLPIPEGYSYEQAAAVVEVAATVWSNLGMLTGLAAGQTVLIHGGAGGIGTFAIQLAKHLGAQVAVTAGSVEKLEACRRLGADILINYREENFADALKNRCDRILDIIGAKYLDQNVTALAPDGHMV</t>
  </si>
  <si>
    <t>GC_00000443</t>
  </si>
  <si>
    <t>MNNDLKSIGMDFPRWQDAIEAAIASEKLAVTGEVRGGQLIQFADPSGAQINILAVDPFATYAGFASSTAANAHVNMVNDVLAFAEIVDDSGTPLGSVTCNLAQGPLLVDEPTMQWEQLAITALAV--DINTYESAEAFAAAHPGAHTEILSMLVSQGAMIVSTGDGSQVPDASAALTARVTSAHYRTNELTGQRFIHATVDGPFPFDVCLPD---APKLPENGTILAGTVMLTGSILPPAGCGDSCGDSSSGCGCGSGGCGNH-</t>
  </si>
  <si>
    <t>MSNDLVALGMKFDKWQDAVEAAISTNKLSVTGEVRGGQLIQYADSSGAQINILAVEPFATYAGFDSVAMSFAHVTMLNDVLALCDIIDYNGQAVTSLTCNLAQGPLLVDEPEQRWQQVAITALASAEDLRYYPTVDDYVAKTGNQ----PGFLDSDGISVVADGNGAAHPDAGASFSARVLDADYRTNALTGQRFIHATVDGSFAYDVCLPDSLNITELPKKNSVIAGRAVMVGSLLAPQGCG------SGGCGSGSCGCGGH-</t>
  </si>
  <si>
    <t>MSNDLVALGMKFDKWQDAVEAAISTNKLSVTGEVRGGQLIQYADSSGAQINILAVEPFATYAGFDSVAMSFAHVTMLNDVLALCDIIDYNGQAVTSLTCNLAQGPLLVDEPEQRWQQVAITALASAEDLRYYPTVDDYVAETGNQ----PGFLDSDGISVVADGNGAAHPDAGASFSARVLDADYRTNALTGQRFIHATVDGSFAYDVCLPDSLNITELPKKNSVIAGRAVMVGSLLAPQGCG------SGGCGSGSCGCGGH-</t>
  </si>
  <si>
    <t>GC_00000444</t>
  </si>
  <si>
    <t>PF01083.28</t>
  </si>
  <si>
    <t>Cutinase</t>
  </si>
  <si>
    <t>K27360</t>
  </si>
  <si>
    <t>phospholipase A/thioesterase [EC:3.1.1.-]</t>
  </si>
  <si>
    <t>MGRNARGAGQDRSSIGKLLIAVLAVLVVIVIGVGLMRHFEGPSDT-GPTETPSSPEAESPKQPEWCPSVEFISAPGTWESSPDDDPLNPTFNPMSFMLSVTNPLKERYPEGEPGGVKIWTVPYTAQFKNLGAMHEMGYDKSRTEGANKVAAELTTMHEQCPLTDFVMAGFSQGAVLLGDIANEIGTQDIPVPAERIRGVALVADGRREPGVGQTAGIEVRGVGAEVSLQSLNGLAQVVTPGATMRGPRPGGFGSLNDRVFEICAPDDSICDAPLGVDDAIGRAQALVDANGVHAMYATNPVVFEGTTTNQWLVQWAENLIGAP</t>
  </si>
  <si>
    <t>---------------MKKVLTVLAALVVIVVVAAGAQQWLSQTNKGGQVGPPETSEATMVTQPDHCPRVEVLVAPGTWESSKTDDPFNPTANPKSFMLNISRPLQEAYPAHE---VKVWTLPYTAQFKNINSQNEMPYDESREEGIATMETEMRDVFRECPLTDYILTGFSQGAVIAGDIANKIGTGTGVVPAERIRGVALIADGRREPNVGQHVGNPVGGVGAEIALQPLNLLVQPVVPGATMRGPRQGGFGAL</t>
  </si>
  <si>
    <t>---------------MKKVLTVLAALVVIVVVAAGAQQWLSQTNKGGPVGPPETSEATMVTQPDHCPRVEVLVAPGTWESSKTDDPFNPTANPKSFMLNISRPLQEAYPAHE---VKVWTLPYTAQFKNINSQNEMPYDESREEGIATMETEMRDVFRECPLTDYILTGFSQGAVIAGDIANKIGTGTGVVPAERIRGVALIADGRREPNVGQHVGNPVGGVGAEIALQPLNLLVQPVVPGATMRGPRQGGFGAL</t>
  </si>
  <si>
    <t>GC_00000445</t>
  </si>
  <si>
    <t>PF00083.30</t>
  </si>
  <si>
    <t>Sugar (and other) transporter</t>
  </si>
  <si>
    <t>G|E|P|R</t>
  </si>
  <si>
    <t>Carbohydrate transport and metabolism|Amino acid transport and metabolism|Inorganic ion transport and metabolism|General function prediction only</t>
  </si>
  <si>
    <t>COG0477</t>
  </si>
  <si>
    <t>MFS family permease, includes anhydromuropeptide permease AmpG (ProP) (PUBMED:12426329)</t>
  </si>
  <si>
    <t>MSTNHTTTTPTEAATQQQPHANKRTPLDATTKRRIIIASTIGTTIEFYDFYAYATAAVAVFPFMFFPKNEDPTVGLLASFATFGLAFLGRPLGSVMFGHFGDRIGRKATLVGSLLTMGIATFLIGCLPTYGTIGLAAPALLALMRFCQGLGLGGEWSGAALLATETADHGKRAWAAMWPQLGAPFGFLAANGLFLVLVSSLGHTNGETTGAFMEWGWRIPFLLSAVMVIVGLYVRFKLEETPVFTTAVNSGKKVRMPLATVFKTSATPLVIGTFVMVSCYTMFYLITTWILSFGIGNKEAGVGLGIPYIDFLKIQLVTIFAFLVGIPLAGRLADTRGRKTTLTAVSVIMIAFGLSFPLFLGTDRATEFSVLMFLLIGMFIMGLIFGPMSAVLPELFPTNVRYTGSGIAYNVSSILGAAIAPFVATYLNKTYGVASVGYYLVIVCIISLIAIRLMPETRGADMTEI</t>
  </si>
  <si>
    <t>MSETQQAS------------------VDAATRRRIITASMVGTTIEFYDFYVYATAAVAVFPYLFFPKNNDPTVGLLASFAAFGLAFAARPLGSIIFGHFGDRIGRKATLVGSLLTMGIATFLIGLLPTYAQVGIVAPALLALMRFCQGLGLGGEWSGAALLATETASKGKRAWAAMWPQLGAPLGFLAANGLFLILVTFLGHTNGEIEGAFMTWGWRIPFLLSSVMVIVGLYVRFRLEETPVFKKAVESGKKAKMPLTEVFRTSWRPLILGTFIMVSCYTLFYLVTTWVLSYGIAKN----GLAIPYLDFLKLQLISIFAFIISIPLAGRLADTRGRKSTLIVVSLVMIAFGFTFTHFLSPGSASENSVLIFLTVGMFIMGLIFGPMSAVLPELFPTNVRYTGSGISYNVASILGAAIAPFVATALVSKYGVGAVGMYLIVVSVLSLIAIMVMKETKHFDMTDI</t>
  </si>
  <si>
    <t>MSQLQQTVTKPTAAPR----------VDAATRRRIIIASMVGTTIEFYDFYVYATAAVAVFPYLFFPKNDDPTIGLLASFATFGLAFVARPLGSIVFGHFGDRIGRKATLVGSLLTMGIATFLIGLLPTYGQVGIIAPALLALMRFCQGLGLGGEWSGAALLATETADKGKRAWAAMWPQLGAPFGFLVANGFFLILVTVLNHTDGDFEGAFMTWGWRIPFLLSAIMVIVGLYVRFRLEETPVFKKAVESGKKVKTPLAEVFRTSWKPLILGTFIMVSCYTLFYLVTTWVLSYGIAKK--GVGLGIPYLDFLKLQLVSIFAFIVSIPVAGRLADSRGRKRTLIAVSAVMIAFGLTFSWLLRPDTATEGTVLVFLTVGMFIMGLIFGPMSAVLPELFPTNVRYTGSGISYNVASILGAAIAPFVATALVKSYGVGAVGIYLIVVSVLSLIAILLMKETKHFDMSDI</t>
  </si>
  <si>
    <t>GC_00000446</t>
  </si>
  <si>
    <t>PF00687.26</t>
  </si>
  <si>
    <t>Ribosomal protein L1p/L10e family</t>
  </si>
  <si>
    <t>K02863</t>
  </si>
  <si>
    <t>large subunit ribosomal protein L1</t>
  </si>
  <si>
    <t>COG0081</t>
  </si>
  <si>
    <t>Ribosomal protein L1 (RplA) (PDB:3J65)</t>
  </si>
  <si>
    <t>MGKRSKAYRAAAEKIDAGRLYTPLKAAEVVKETS-SKNYDATVDVAMRLGVDPRKADQLVRGTVSLPNGTGKTVRVIVFAAGEKATEAEAAGADVVGSEDLIEKIQGGWTDFDAAIATPDQMAKVGRVARVLGPRGLMPNPKTGTVTTDVAKAVADIKGGKISFRVDKASNLHAVLGKASFTAEQLAENYAALYEEVMRLKPSSAKGTYLKKITLASTNGPGVPVDPSISKNFTAE</t>
  </si>
  <si>
    <t>MRKRSKAYRAAAEKIDAGRIYSPLEAAKLVKETSTTKNFDATVDVAIRLGVDPRKADQLVRGTVSLPHGTGKTARVVVFAVGEKATEAEAAGADFVGSDDLIERIQGGWTDFDAAIATPDQMAKVGRVARVLGPRGLMPNPKTGTVTTDVAKAVADIKGGKITFRVDKASNLHAVLGKVSFEPEKLAENYGALIEELLRLKPSSSKGTYLKKVTFAATAGPGIPVDATVVKNFAG-</t>
  </si>
  <si>
    <t>MSKKSKAYKALVEKLDKGRLYTPLKAAQLVKETS-SKNFDASVDVAIRLGVDPRKADQLVRGTVSLPNGTGKTVRVVVFAAGEKATEAEAAGADVVGSDDLIARITEGWTDFDVAIATPDQMAKVGRVARVLGPRGLMPNPKTGTVTTDVAKAIAEVKGGKISFRVDKAANLHALIGKASFTAEQLAQNYGALIEEVLRLKPSSAKGIYLRKVTLSSTMGPGIPVDPSIQKDFTEE</t>
  </si>
  <si>
    <t>GC_00000447</t>
  </si>
  <si>
    <t>MTPRWYHCGITVAVVGGSLATMAMTLRLSASQGRALALLAQSMGTSKHEAVVRSIVAQATRMLEDAQVADLARELVPGYSVMDRRLRAAEGGVGDDGFS</t>
  </si>
  <si>
    <t>-------------------MHMAMTLRLTPAQDRALTLLAETHGTSKQEAAVRAIVSTAARTLNDAQVAELARNTLADRTTLERRIRQVSRVK------</t>
  </si>
  <si>
    <t>---------------------MAMTLRLTPAQDRALTLLAETHGTSKQEAAIRAIVSTAARTLNDAQVAELARNTLADRTTLERRIRQVSKAK------</t>
  </si>
  <si>
    <t>---------------------MAMTLRLDSHQDRALSLLADAWGCSKQEAAVRAIVVSAQRTLADAHIAQLAETIIPEQAVLAARIRRNRG--------</t>
  </si>
  <si>
    <t>GC_00000448</t>
  </si>
  <si>
    <t>K00975</t>
  </si>
  <si>
    <t>glucose-1-phosphate adenylyltransferase [EC:2.7.7.27]</t>
  </si>
  <si>
    <t>COG0448</t>
  </si>
  <si>
    <t>Glucose-1-phosphate adenylyltransferase (ADP-glucose pyrophosphorylase) (GlgC) (PDB:5MNI) (PUBMED:27545622)</t>
  </si>
  <si>
    <t>M00854|M00565</t>
  </si>
  <si>
    <t>Glycogen biosynthesis, glucose-1P =&gt; glycogen/starch|Trehalose biosynthesis, D-glucose 1P =&gt; trehalose</t>
  </si>
  <si>
    <t>KEGG Orthology (KO)&gt;&gt;&gt;09100 Metabolism&gt;&gt;&gt;09101 Carbohydrate metabolism&gt;&gt;&gt;00500 Starch and sucrose metabolism [PATH:ko00500]|KEGG Orthology (KO)&gt;&gt;&gt;09100 Metabolism&gt;&gt;&gt;09101 Carbohydrate metabolism&gt;&gt;&gt;00520 Amino sugar and nucleotide sugar metabolism [PATH:ko00520]|KEGG Orthology (KO)&gt;&gt;&gt;09140 Cellular Processes&gt;&gt;&gt;09145 Cellular community - prokaryotes&gt;&gt;&gt;02026 Biofilm formation - Escherichia coli [PATH:ko02026]|Enzymes&gt;&gt;&gt;2. Transferases&gt;&gt;&gt;2.7  Transferring phosphorus-containing groups&gt;&gt;&gt;2.7.7  Nucleotidyltransferases&gt;&gt;&gt;2.7.7.27  glucose-1-phosphate adenylyltransferase</t>
  </si>
  <si>
    <t>----------------------------------MRSQPHVLAIVLAGGEGKRLFPLTADRAKPAVPFGGTYRLIDFVLSNLVNAGYMQICVLTQYKSHSLDLHISSSWQLSGLAGQYIAPVPAQQRLGKRWFTGSADAILQSLNLISDENPDYVIVFGADHVYRMDPKQMVDEHIASGASVSVAGIRVPRDEASAFGCIESDDEGNITSFVEKPENPPCTPDDPTMTYASMGNYVFTTKDLIKALKEDADNENS</t>
  </si>
  <si>
    <t>MPHASDNVLRKCCPKTLNDSLWRRRCELGYKLVSVRIQPHVLAIVLAGGEGKRLFPLTADRAKPAVPFGGTYRLIDFVLSNLVNAGYMQICVLTQYKSHSLDRHISQSWQLSGLAGQYITPVPAQQRLGKRWFTGSADAILQSLNLIYDEDPEYVIVFGADHVYRMDPQQMVEEHIASGKAVSVAGIRIPRSEASAFGCIESDEDGNITNFVEKPADPPGTPDDPEMTFASMGNYVFTAKDLIKALKDDEENPDSSHDMGGDIIPYFVEKNQAHVYDFSGNSVPGATERDAGYWRDVGTIDAFYEAHMDLISVHPIFNLYNKQWPIHNTDDGNLPPAKFVQGGIAQSSMVASGSIISAGTVRNSVLSNNVIVEEGATVEGSVLMPGVRIGKGAVVRHAILDKNVVVSEGEFIGVDHDRDAARFTISPGGVVCVGKNEVV-</t>
  </si>
  <si>
    <t>----------MCVVFVAFILLLGQCLTFLDKLGDVKSQNNVLAIVLAGGEGKRLFPLTEDRAKPAVPFGGVYRLIDFVLSNLVNAGYLKICVLTQYKSHSLDRHISQAWQFSGPTSQYIASVPAQQRLGKHWYLGSADALLQSLNLIDDEKPDYVIVFGADHVYRMDPEQMVAEHIASGKAVSVAGIRIPRSEAGAFGCIQSDADGNITEFLEKPADPPGTPDDPDVTYASMGNYVFTTKDLIEALKEDEKTPDS</t>
  </si>
  <si>
    <t>GC_00000449</t>
  </si>
  <si>
    <t>PF00719.24</t>
  </si>
  <si>
    <t>Inorganic pyrophosphatase</t>
  </si>
  <si>
    <t>K01507</t>
  </si>
  <si>
    <t>inorganic pyrophosphatase [EC:3.6.1.1]</t>
  </si>
  <si>
    <t>COG0221</t>
  </si>
  <si>
    <t>Inorganic pyrophosphatase (Ppa) (PDB:117E)</t>
  </si>
  <si>
    <t>KEGG Orthology (KO)&gt;&gt;&gt;09100 Metabolism&gt;&gt;&gt;09102 Energy metabolism&gt;&gt;&gt;00190 Oxidative phosphorylation [PATH:ko00190]|Enzymes&gt;&gt;&gt;3. Hydrolases&gt;&gt;&gt;3.6  Acting on acid anhydrides&gt;&gt;&gt;3.6.1  In phosphorus-containing anhydrides&gt;&gt;&gt;3.6.1.1  inorganic diphosphatase</t>
  </si>
  <si>
    <t>MSIEVTIEIPKGSRNKYEVDHETGKVYLDRYLFTPMAYPLDYGFIDHTLGEDGDPLDALVILPEPVFPGVIVKARPLGVFKMTDEAGGDDKLLCVIDDVRYEHFQDINDVSDFVKDEIEHFFVHYKDLEPNKEVTGSGWGDKAEAEKILAEAIERHK-</t>
  </si>
  <si>
    <t>MSIEVTIEIPKGSRNKYEVDHESGKVYLDRYLFTPMGYPLDYGFIDHTLGEDGDPLDALVILPEPVFPGVIVKARPLGVFKMTDEAGGDDKLLCVVDDVRWNHLQDIDDVSDFLKDEVEHFFVHYKDLEPNKEVTGSGWAGKAEAERILTEAVERHK-</t>
  </si>
  <si>
    <t>MSIEVTIEIPKGSRNKYELDHETGKIYLDRYLFTPMAYPLDYGFIDGTLGEDGDPLDALVILPEPVLPGVIVPARVLGVFKMTDEAGGDDKLLCVIDDPRWAHLQDIEDVSQFQRDEIEHFFVHYKDLEPNKEVTGSGWGNKAEAEKIHAEAIARYKS</t>
  </si>
  <si>
    <t>GC_00000450</t>
  </si>
  <si>
    <t>PF01474.22</t>
  </si>
  <si>
    <t>Class-II DAHP synthetase family</t>
  </si>
  <si>
    <t>K01626</t>
  </si>
  <si>
    <t>3-deoxy-7-phosphoheptulonate synthase [EC:2.5.1.54]</t>
  </si>
  <si>
    <t>COG3200</t>
  </si>
  <si>
    <t>3-deoxy-D-arabino-heptulosonate 7-phosphate (DAHP) synthase, class II (AroG2) (PDB:6BMC)</t>
  </si>
  <si>
    <t>KEGG Orthology (KO)&gt;&gt;&gt;09100 Metabolism&gt;&gt;&gt;09105 Amino acid metabolism&gt;&gt;&gt;00400 Phenylalanine, tyrosine and tryptophan biosynthesis [PATH:ko00400]|KEGG Orthology (KO)&gt;&gt;&gt;09140 Cellular Processes&gt;&gt;&gt;09145 Cellular community - prokaryotes&gt;&gt;&gt;02024 Quorum sensing [PATH:ko02024]|Enzymes&gt;&gt;&gt;2. Transferases&gt;&gt;&gt;2.5  Transferring alkyl or aryl groups, other than methyl groups&gt;&gt;&gt;2.5.1  Transferring alkyl or aryl groups, other than methyl groups (only sub-subclass identified to date)&gt;&gt;&gt;2.5.1.54  3-deoxy-7-phosphoheptulonate synthase</t>
  </si>
  <si>
    <t>------------MSWTVDIPVEELPDLPPLPSGIQERFEDVVARDAKQQPSWDRKQADTVRNILESVPPIVVAPEILELKKQLKEVALGRAFLLQGGDCAETFESNTEPHIRANIKTLLQMAVVLTYGASTPVVKMARIAGQYAKPRSSDLDENGLPNYRGDIVNGVEPDAESRRHDPARMVRAYANSSAAMNLVRALTGSGTADLHRLNEWNREFVANSPAGARYENLAEEIEAGLKFMEACGVADHNLRRADI</t>
  </si>
  <si>
    <t>--------MNECVSWTVDIPVAELPDLPPLPSGIQEKFDDVLARTALQQPTWDQKQADTVRKILESVPPIVVAPEIRELKKQLADVALGRAFLLQGGDCAETFESNTEPHIRANVKTLLQMAVVLTYGASTPVVKMGRIAGQYAKPRSSDLDENGLPNYRGDIVNGVEADEAARRHDPARMIRAYANSSAAMNLVRALTTSGTADLHRLHEWNREFVANSPAGARYQALAGEIESGLKFMEACGVADDNLRTADI</t>
  </si>
  <si>
    <t>MGFIAFHAKNSDVSWTVDIPKEALPDLPPLPDGIRQQFEDVISRDAKQQPSWDTLLAQNVRKILESVPPIVVAPEVRELERQLAAVANGEAFLLQGGDCAETFESNTEPHIRANVKTLLQMAVVLTYGASTPVVKLARIAGQYAKPRSSDTDEHGLPSYRGDIVNAVEADAELRKHDPARMVRAYANAAAAMNLVRSLTKSGTADLYRLTEWNREFVSQSPAGARYEALAQEIERGLRFMNACGVADDSLRSADIFASHEALLVDYERAMLRLAKDENGETKLYDLSAHQLWIGERTRGIDDFHVNFAALIANPIGIKIGPTVTPEEAVAYAEKLDPDRVPGRLTMVARMGHDKVRQVLPGVVRAVEDSGHKVIWQSDPMHGNTFTASNGYKTRHFDKVIDEVQGFFEVHRALGTHPGGIHIELTGENVTECLGGAEDITDVDLPGRYESACDPRLNTQQSLELAFLVAEMLRN-</t>
  </si>
  <si>
    <t>GC_00000451</t>
  </si>
  <si>
    <t>PF01715.23</t>
  </si>
  <si>
    <t>IPP transferase</t>
  </si>
  <si>
    <t>K00791</t>
  </si>
  <si>
    <t>tRNA dimethylallyltransferase [EC:2.5.1.75]</t>
  </si>
  <si>
    <t>COG0324</t>
  </si>
  <si>
    <t>tRNA A37 N6-isopentenylltransferase MiaA (MiaA) (PDB:2ZM5)</t>
  </si>
  <si>
    <t>ko00001|ko01000|ko01006|ko03016|ko03016</t>
  </si>
  <si>
    <t>KEGG Orthology (KO)&gt;&gt;&gt;09100 Metabolism&gt;&gt;&gt;09109 Metabolism of terpenoids and polyketides&gt;&gt;&gt;00908 Zeatin biosynthesis [PATH:ko00908]|Enzymes&gt;&gt;&gt;2. Transferases&gt;&gt;&gt;2.5  Transferring alkyl or aryl groups, other than methyl groups&gt;&gt;&gt;2.5.1  Transferring alkyl or aryl groups, other than methyl groups (only sub-subclass identified to date)&gt;&gt;&gt;2.5.1.75  tRNA dimethylallyltransferase|Prenyltransferases&gt;&gt;&gt;Compound prenylation&gt;&gt;&gt;tRNA dimethylallyltransferase|Transfer RNA biogenesis&gt;&gt;&gt;Eukaryotic type&gt;&gt;&gt;tRNA modification factors&gt;&gt;&gt;Other tRNA modification factors|Transfer RNA biogenesis&gt;&gt;&gt;Prokaryotic type&gt;&gt;&gt;tRNA modification factors&gt;&gt;&gt;Other tRNA modification factors</t>
  </si>
  <si>
    <t>MSVPDSFFRGLPVDVPRDPAVPLAIVGPTASGKSSLGVWLARELNGEVVNTDSMQLYRGMDIGTAKLSEQERQGVPHHMLDALDVTDAASVAEYQRHAVAVVEDIRSRGKRPILVGGSMLYVQSLVDDWQFPPTDAAVRARWQQELERVGVERLHDRLAAIDPQAAAIIERKDPRRTVRALEVIELTGRPFAASQPPINAPARWGTVIIGLRTTPDWLNPRIELRTELMFEAGFVDEVQQLVREHGLVAQSTAGRAIGYAQVLQMLEGNISADEAREQTVLGTRRYVRRQRSWFKRDPRTQWVDA----------WLDWSA-------</t>
  </si>
  <si>
    <t>------------------MVTPIAVIGPTASGKSALGIALAQKFGGEVVNVDSMQLYKGMDIGTAKLSIPERMGVPHHQLDVLDVTQTASVARYQQAAIRDVEAIMARGNVPILVGGSMLYVQSLLDAWSFPPTDATVRARYEQRLNDIGITALHNELAAIDPAAAAVIEDKDPRRTVRALEVIELTGKPFAASQPPINQPPRWGTRVLGLRTTTEWLNPRIEQRTHAMFDAGLVEEVKRLVSA-GLVADSTAGR</t>
  </si>
  <si>
    <t>MTPPTTTTHTS-------PIRPVAIVGPTASGKSALGISLAHACDGEIVNVDSMQLYRGMDIGTAKLTIPERAGIPHHLLDIWDVTETASVAHYQNLAIATVTDIMARGKLPILVGGSMLYVQSLIDDWQFPPTDPQVRKNWEKKLADIGIAALHDHLKTLDPEAAAIIEANDPRRTVRALEVIELTGRPFTASQPPKTAPPRWDTIIIGLRTTSDWLNPRITQRTEQMFAQGFIDEVADLVANRGLMADSTAGRAIGYAQILAARAGQLAWDDVLERTIISTRRYVRRQRSWFNRDPRIHWIDATDTENPPYEQMRNILIVEGVSCG</t>
  </si>
  <si>
    <t>MTPPTTTTHTS-------PIRPVAIVGPTASGKSALGISLAHACNGEIVNVDSMQLYQGMDIGTAKLTIPERAGIPHHLLDIWDVTETASVAHYQNLAIATVTDIMARGKLPILVGGSMLYVQSLIDDWQFPPTDPQVRKNWEKKLVDIGIAALHDHLKTLDPEAAAIIEANDPRRTVRALEVIELTGRPFTASQPPKTAPPRWDTIIIGLRTTSDWLNPRITQRTEQMFAQGFIDEVADLVANRGLIADSTAGRAIGYAQILAARAGQLAWDDVLERTIISTRRYVRRQRSWFNRDPRIHWIDATDTENPPYEQMRNILIAEGVSCG</t>
  </si>
  <si>
    <t>GC_00000452</t>
  </si>
  <si>
    <t>PF00344.25</t>
  </si>
  <si>
    <t>SecY</t>
  </si>
  <si>
    <t>K03076</t>
  </si>
  <si>
    <t>preprotein translocase subunit SecY</t>
  </si>
  <si>
    <t>COG0201</t>
  </si>
  <si>
    <t>Preprotein translocase subunit SecY (SecY) (PDB:1RH5)</t>
  </si>
  <si>
    <t>MSAIVSVVKDADLRKKLLFTLAMIVLYRVGTQIPSPGVDYSSIMQAVKAATQDDTNVYSLINLFSGGALLQLSVFAIGIMPYITASIIVQLLTVVIPHFEELKKEGQSGQSKMMQYTRYLTVALALLQSSGIVALADRGQLLGNGTSVLKADRTPFDLVLMVLVMTAGAVLVMWIGELITERGIGNGMSLLIFAGICTRMPSQGMGILRSSGGVIFAAVLIAVFILIVGVVFIEQGQRRIPVQYAKRQVGRRQYGGTSTYLPLKVNQAGVIPVIFASSLIYVPVLITQIINSAKPTPPDNWWQRNVVQYLQSPGSYQYIILYFILIIFFSYFYVSVQYDPNEQADNMKKYGGFIPGIRPGKPTAQYLGKVMNRLLFVGALYLGLIAVLPNLMMDLGVGGASANVTPFGGTAILILVSVALTTVKQIESQVLQSNYEGFLK</t>
  </si>
  <si>
    <t>MSAILSAFKDVDLRKKILFTIAMIILYRIGAQIPSPGINYASISGRLRELTQDQSSVYSLINLFSGGALLQLSIFAIGIMPYITASIIVQLLTVVIPHFEELKKEGQSGQTKMTQYTRYLTVGLALLQASGIVALADRGQLLGGGVEVLKHDRNIFDLVVLVLSMTAGAVLVMWIGEMMTEKGIGNGMSLLIFAGIATRLPTDGVSILTRSGGVVFAAVMAAVVVLVVGVVFIEQGQRRIPVQYAKRMVGRRQYGGTSTYLPLKVNQAGVIPVIFASSLIYVPVLITQIVQSGSTQPSDNWWQRNVIQYLQTPSSWQYIVLYFVLIIFFSYFYVSVQYDPNEQADNMKKYGGFIPGIRPGRPTAQYLGYVMNRLLFVGALYLGVIAVLPNIMLELGVSASSSSSTPFGGTAILILVSVALTTVKQIESQLLQSNYEGFLK</t>
  </si>
  <si>
    <t>MSAILSAFKDVDLRKKILFTIAMIILYRIGAQIPSPGINYASISGRLRELTQDQSSVYSLINLFSGGALLQLSIFAIGIMPYITASIIVQLLTVVIPHFEELKKEGQSGQTKMTQYTRYLTVGLALLQASGIVALADRGQLLGGGVEVLKHDRNIFDLVVLVLSMTAGAVLVMWIGEMMTEKGIGNGMSLLIFAGIATRLPTDGISILTRSGGVVFAAVMAAVVVLVVGVVFIEQGQRRIPVQYAKRMVGRRQYGGTSTYLPLKVNQAGVIPVIFASSLIYVPVLITQIVQSGSTQPSDNWWQRNVIQYLQTPSSWQYIVLYFVLIIFFSYFYVSVQYDPNEQADNMKKYGGFIPGIRPGRPTAQYLGYVMNRLLFVGALYLGVIAVLPNIMLELGVSASSSSSTPFGGTAILILVSVALTTVKQIESQLLQSNYEGFLK</t>
  </si>
  <si>
    <t>MSAILQAFKDADLRKKILISLALIILYRIGAQIPSPGVDYVSISARIHQLTSDSQGVYALINLFSGGALLQLSIFAIGVMPYITASIIVQLLTVVIPRFEELKKEGQSGQAKMDQYTRYLTLALALLQSSGIVALADREQLLGQGTRVLKEGRTLFDLIILVLVMSAGAVLVMWLGEIITERGVGNGMSLLIFAGIATRIPADGANILHGSGGLVFSLVLAAVIILVVGVVFVEQGQRRIPVQYAKRMVGRRQYGGSSTYLPLKVNQGGVIPVIFASSLIYMPVLITQIVNSGSPTPPDNWWQRNVIQYLQTPSSWQYIVLYFVLIIFFSYFYVSVQYDPAEQAENMKKYGGFIPGIRPGRPTAEYLGYVMNRLLFVGALYLGVIAILPNIMLDFGVSARAGSSTPFGGTAILIMVSVALTTVKQIESQLLQSNYEGLLK</t>
  </si>
  <si>
    <t>GC_00000453</t>
  </si>
  <si>
    <t>PF00156.33</t>
  </si>
  <si>
    <t>Phosphoribosyl transferase domain</t>
  </si>
  <si>
    <t>K00759</t>
  </si>
  <si>
    <t>adenine phosphoribosyltransferase [EC:2.4.2.7]</t>
  </si>
  <si>
    <t>COG0503</t>
  </si>
  <si>
    <t>Adenine/guanine phosphoribosyltransferase or related PRPP-binding protein (Apt) (PDB:1QB7)</t>
  </si>
  <si>
    <t>Purine salvage</t>
  </si>
  <si>
    <t>KEGG Orthology (KO)&gt;&gt;&gt;09100 Metabolism&gt;&gt;&gt;09104 Nucleotide metabolism&gt;&gt;&gt;00230 Purine metabolism [PATH:ko00230]|Enzymes&gt;&gt;&gt;2. Transferases&gt;&gt;&gt;2.4  Glycosyltransferases&gt;&gt;&gt;2.4.2  Pentosyltransferases&gt;&gt;&gt;2.4.2.7  adenine phosphoribosyltransferase|Exosome&gt;&gt;&gt;Exosomal proteins&gt;&gt;&gt;Exosomal proteins of other body fluids (saliva and urine)</t>
  </si>
  <si>
    <t>------MSFSCVHEALDARMRRVPDFPLPGVLFEDLTPVLADAEAFALVVDTLAERVKECGADLIAGLDARGFLLGSAVAYRLGLGILAIRKAGKLPPPVFSQEYALEYGTAALEVPHDDSLVRDKRIVLVDDVLATGGTLSAAASLLERAGAVVTGCAVVLEVPGLGGREAVGDTPLIVVGNDESNACPNV----</t>
  </si>
  <si>
    <t>MTDHHTTRRTQVQEALRQKTRSVPNFPAPGVIFEDLTPVLADAEALQLLVDDLAAAATTMRAELISGLDARGFLLASAVAYKLGLGLLTIRKKGKLPPPVITKEYALEYGSAALELPRNGIDLTGKKIVLIDDVLATGGTLLAAHDLITDMGGIVAGYAVVLEVTDLNGRDRLPDAPLYVVSEP------------</t>
  </si>
  <si>
    <t>MTDHHTTRRTQVQEALRQKTRSVPNFPAPGVIFEDLTPVLADAEALQLLVDDLAAAATTMRAELISGLDARGFLLASAVAYKLGLGLLAIRKKGKLPPPVITKEYALEYGSAALELPRNGLDLTGKKIVLIDDVLATGGTLLAAHDLITDMGGIVAGYAVVLEVTGLNGRDRLPDAPLYVVSEP------------</t>
  </si>
  <si>
    <t>GC_00000454</t>
  </si>
  <si>
    <t>MERSQRRLASDELLAAIVSGDAPVFHPNTGQEIAEGVEITLSPSARAGLEAPRFCQLCGRRMVVQIRPDGWEARCSRHGEVDSAYLGQR</t>
  </si>
  <si>
    <t>GC_00000455</t>
  </si>
  <si>
    <t>K14339</t>
  </si>
  <si>
    <t>alpha-1,6-mannosyltransferase [EC:2.4.1.-]</t>
  </si>
  <si>
    <t>ko00001|ko01003</t>
  </si>
  <si>
    <t>KEGG Orthology (KO)&gt;&gt;&gt;09100 Metabolism&gt;&gt;&gt;09107 Glycan biosynthesis and metabolism&gt;&gt;&gt;00571 Lipoarabinomannan (LAM) biosynthesis [PATH:ko00571]|Glycosyltransferases&gt;&gt;&gt;Polysaccharide&gt;&gt;&gt;Bacterial polysaccharide (excluding LPS)</t>
  </si>
  <si>
    <t>----MLELWRSFVQELPHLGTAGSRAAHLHDTAS-----------------------GITTATTTDVDKSKQVKRHQLTHDEMRRFIVLRLMGTFGALMLAFGALGAGALPVLENPFTFFPGGSLMTRMMQTASVVVLVGVGFMVLSWVLMAPFVGASITIRRNTPARVPMSMLRRTFAAWVTPIALSAPLFTQDIYSYIAQGSIAAHGLDPYSAGPIDVLGPEHPLVRSVPFIWAHSPSPYGPVALGIAAVISV</t>
  </si>
  <si>
    <t>MTSRRVAWWNHFRTIFPRFGKAGSRSALLHNPDAEYRHASLLVTTATGVDLISPNRDGSVRVSGPDRSRSNPYQLPTLTFSELRRFAFLRWLGTLGALLLGFGGLGAGAMPVMNNPYEDFPGGALITRMLQTSTALCFIGIGLIVVAWLVMAPFTGVTLRHGRPHAGVLSMSMIRRTFVAWTLPIVVGAPLFTQDIYSYLANGSIVVQGLDPYSAGPIDLLGTENLLARSVPLIWAHSPSPYGPVALGAAAVISWVTNDSVVAGVFAHRLLALGCVALIGWAVVQLARRCGVIPQAAVWLGVLNPLTILHLVGGIHNEAILLGLLLVGVELGLRGAD-RVRLDLV-GQGV-------W-LIAASGFLISCAGMVKVTGFVGLGFTGMAVAR--VIR---QPR---------------LVAIGLAVAAQVLVLVLSVVVVTWVTGIGVGWISGQGGATTIRSWLSFTTAIGVSFGWIGQMLKLGDHTEAILLVTRSVGVLIAGWLMVRMLLATYLGRISPVGALGVSTFVMVVFFPVVHPWYALWAILPLSAWANRPFFRTTVVVYSTILSF--FVLPRGLGLVPGTVVWIYVAAVIGFATILGVSYVILKRRGVIGLN</t>
  </si>
  <si>
    <t>MTSRRVAWWNHFRTIFPRFGKAGSRSALLHNPDAEYRHASLLVTTATGVDLISPNRDGSVRVSGPDRSRSNPYQLPTLTFSELRRFAFLRWLGTLGALLLGFGGLGAGAMPVMNNPYEDFPGGALITRMLQTSTALCFIGIGLIVVAWLVMAPFTGVTLRHGRPHTGVLSMSMIRRTFVAWTLPIVVGAPLFTQDIYSYLANGSIVVQGLDPYSAGPIDLLGTENLLARSVPLIWAHSPSPYGPVALGAAAAISWVTNDSVVAGVFAHRLLALGCVALIGWAVVQLARRCGVIPQAAVWLGVLNPLTILHLVGGIHNEAILLGLLLVGVELGLRGAD-RVRLDLV-GQGV-------W-LIAASGFLMSCAGMVKVTGFVGLGFTGMAVAR--VIR---QPR---------------LVAIGLAVAAQVLVLVLSVVVVTWVTGIGVGWISGQGGATTIRSWLSFTTAIGVSFGWIGQMLKLGDHTEAILLVTRSVGVLIAGWLMVRMLLATYLGRISPVGALGVSTFVMVCFFR----------------WCTR-GMRCGRFCRCQPGRIGRFSAPR----------WWCTAQFCRFSCCHG-GWGWCRAQ------</t>
  </si>
  <si>
    <t>GC_00000456</t>
  </si>
  <si>
    <t>PF00106.31</t>
  </si>
  <si>
    <t>short chain dehydrogenase</t>
  </si>
  <si>
    <t>K16652</t>
  </si>
  <si>
    <t>decaprenylphospho-beta-D-erythro-pentofuranosid-2-ulose 2-reductase [EC:1.1.1.333]</t>
  </si>
  <si>
    <t>COG0300</t>
  </si>
  <si>
    <t>Short-chain dehydrogenase (YqjQ)</t>
  </si>
  <si>
    <t>KEGG Orthology (KO)&gt;&gt;&gt;09190 Not Included in Pathway or Brite&gt;&gt;&gt;09191 Unclassified: metabolism&gt;&gt;&gt;99980 Enzymes with EC numbers|Enzymes&gt;&gt;&gt;1. Oxidoreductases&gt;&gt;&gt;1.1  Acting on the CH-OH group of donors&gt;&gt;&gt;1.1.1  With NAD+ or NADP+ as acceptor&gt;&gt;&gt;1.1.1.333  decaprenylphospho-beta-D-erythro-pentofuranosid-2-ulose 2-reductase</t>
  </si>
  <si>
    <t>MINAVGKPQHILLLGGTSDIGLAIVEEFLSSGSATVTLAARKTSSHLDAAVKKIEAAGATAVNVIDFDATDFSSHPKVIDAAWEHGEVDVAIVAFGTLGDAEELWQNQEKAVASAQINYTGGVSVGVLLGQKMKAQRHGTIVALSSVAGVKVRRSNFVYGSTKAGFDGFYEQLGEALREFGARVLLVRPGQVRTKMS--ADVEEAPLTVDREDVAKAVVDGVINKKDTVWVHPLFQYVMMVLQHIPKPIFRKLPF</t>
  </si>
  <si>
    <t>MLNAVGKAQNILLLGGTSDIGLAIVQEFLSHGPARVTLAARLDSPRLDAAVRQVEQAGASAVEVIDFDAADTDSHPEVIDAAFANGDVDLAVVAFGTLGDAEELWQNQEKAVESAQINYTGAVSVGVLLGQKFKEQGHGTIVALSSVAGVKVRRSNFMYGSTKAGFDGFYTQLGEALRGSGAHVLVVRPGQVRTKMS--ADVKEAPLTVDRQQVAEAVFRAVLDRKDIIWVHPAFQYVMAVLQHIPRPIFRKLPF</t>
  </si>
  <si>
    <t>MLNAVGQAQSILLLGGTSEIGLAIVTEFLSKGPAKVVLAARKNSPRLDSSVAMVKAAGASEVEVIDFDATDFANHPKVIDKAFAGGDIDIAIVAFGTLGDQEALWHDQKLAVESAQTNFTGPVSVGVLLAEKFRTQGHGNIIALSSVAGQRVRRSNFVYGAAKAGMDGFYVNLGEALRDVGVNVLVVRPGQVRTKMSTVAGEPEAPLTVNKEDVAKAVVDAVVSHKEAIFVHPLFQPVSLAFKVIPQKIFRKLPF</t>
  </si>
  <si>
    <t>MLNAVGQAQSILLLGGTSEIGLAIVTEFLSKGPAKVVLAARKNSPRLDNSVALVKAAGASEVEVIDFDATDFANHPKVIDKAFAGGDIDIAIVAFGTLGDQEALWHDQKLAVESAQTNFTGPVSVGVLLAEKFRTQGHGNIIALSSVAGQRVRRSNFVYGAAKAGMDGFYVNLGEALRDVGVNVLVVRPGQVRTKMSTVAGEPEAPLTVNKEDVAKAVVDAVVSHKEAIFVHPLFQPVSLAFKVIPQKIFRKLPF</t>
  </si>
  <si>
    <t>GC_00000457</t>
  </si>
  <si>
    <t>MARDYYGILGVERDASDSEIKKAYRKLARKYHPDVNDTEEAAEKFREISLAQEVLSDPNKRRIVDAGGDPMEQAQGGGGNA-GY-GGFGDIFDAFFGGAQG-RGPRPRTEPGNDALLRTTITLAEAYLGAKKDITVDTAVLCSACEGTGSATKSKPVTCSSCGGAGEIQQVQRSFLGNVMTSRPCPTCQGYGDVIENPCNNCHGDGRSLSRRDLVVNIPPGIRDGMRIRMAGQGEVGHGGGPAGDLYVEVHTEPHPIYTRDGDNLHVSATVPMVDAALGTTLTLDSLVGEPITVTIANGTQPGTALREAGKGMPRLRSEEFGDLLIHVDVTVPTDLDGTSRSLLEQLREHRGENTAVN---QENGRLFDRLRNKFRRS</t>
  </si>
  <si>
    <t>MARDYYGILGVDRSASDAEIKKAYRSLARKYHPDVNGTEEAATKFREISIAQEVLLDPEKRRIVDMGGDPLEQAAAPGGGFGGFGGGLGDIFEAFFGAAAGGRGPRSRVQPGNDALLRTTITLGEAYSGVKKDITVDTAVLCDHCSGTGSESKAKPVPCASCQGTGEIQEMQRSFLGNVMTSRPCPTCQGFGERITDPCHKCGGDGRMRARRDLVVNVPAGINDGMRIRMAGQGEVGAGGGPAGDLYVEVSMEPHPVFRRDGDDLHMTLTVPMVDAALGTDIEVEALSGEQLTVHVAPGSQPSDQIHLPGAGMPKLRADGTGDVIAHVEVTVPKDLDSESRKLLEQLRTHREETSEVRLAAAEQENLFSRLRNRFRR-</t>
  </si>
  <si>
    <t>MARDYYAILGLTPDATDNDIKKAYRRLARKYHPDVNSTEEAAEKFSEISIAQELLLDPEKRRIIDMGGDPLAGPSGAPGNMGGF-GGFSDIFDAFFGGGAGTRGPRSRVQPGNDALLRTTITLEEAYSGVEQEVTIDTAVVCETCEGTGSESKQKPETCTHCDGMGEVQQVQRSFLGNVMTTSTCPACGGYGEIIPDPCPTCDGAGRVKARREKVIQIPAGISDTMRVRMAGQGEVGHGGGPAGDLYVEVDVKPHPVFTREKDNLHLTVHVPMVDAALGSTVAVQSLDGTMIDFVIPAGTQPADRLVVSGKGMPRLRGEGFGNMIAHVDVTVPRELDDKSRELLEKLRRHRAEEAGVHADESEHGSVFSKLRNRFRK-</t>
  </si>
  <si>
    <t>GC_00000458</t>
  </si>
  <si>
    <t>K10238</t>
  </si>
  <si>
    <t>trehalose/maltose transport system permease protein</t>
  </si>
  <si>
    <t>COG0395</t>
  </si>
  <si>
    <t>ABC-type glycerol-3-phosphate transport system, permease component (UgpE) (PDB:1VR4)</t>
  </si>
  <si>
    <t>KEGG Orthology (KO)&gt;&gt;&gt;09130 Environmental Information Processing&gt;&gt;&gt;09131 Membrane transport&gt;&gt;&gt;02010 ABC transporters [PATH:ko02010]|Transporters&gt;&gt;&gt;ABC transporters, prokaryotic type&gt;&gt;&gt;Saccharide, polyol, and lipid transporters&gt;&gt;&gt;Trehalose/maltose transporter</t>
  </si>
  <si>
    <t>MSKVSFSARRRRGGRASMVRTYVGVVAILVWGLAPFYWMLVTAFRDKSHTFDTTPWPTHVTLQNFADALSTDKGNDFLRAIGNSLLVGGVTTVLAVLVGVFAGYALARLNFRGKGIVTGIVLAASMFPGIALVTPLFQLFSDIGWIGSYQALIIPNISFALPLTIYTLISFFKQLPWELEEAARVDGASRFQAFRLVLLPLAAPALFTTAILAFIASWNEFMLAKQLSSDATEPVTVAIARFSGPSSFEFPYAATMAAGALVTVPLVIMVLVFQRRIVAGLTAGGVKS</t>
  </si>
  <si>
    <t>--------------MMQAVRNYCGVVVILVWGLAPFYWMVVTALRNKDHTFDTTPWPTHVTLENFGDALATDKGNDFLGAIGNSLLVGAVTTFLAVLVGVFTAYAIARLDFRAKGIVTGIVLAASMFPGIALVTPLFQLFGDLGWIGTYRALIIPNISFALPLTIYTLVSFFRQLPWELEEAARVDGATRGQAFRLVLLPLAAPALFTTAILAFIATWNEFMLAKQLSSNATEPVTVAIARFSGPSAFEYPYAAI</t>
  </si>
  <si>
    <t>---------------MRKVNNYLGVVLILVWGLAPFYWMVITALRDKRHTFDTTPWPTYVTLQNFREALSTAKGNDFVNAIGNSLLIGLLTTVIAVTVGVFTAYALARMEFRGKGFVTGIVLGASMFPGIALVTPLFQLFGDLNWIGQYRALIIPNISFALPLTIYTLTSFFRQLPWELEEAARVDGASRGTAFRTVLLPLAAPALFTTAILCFIATWNEFMLAKQLSTEATEPVTVAIARFSGESHFEYPYASV</t>
  </si>
  <si>
    <t>GC_00000459</t>
  </si>
  <si>
    <t>PF02686.20</t>
  </si>
  <si>
    <t>Glu-tRNAGln amidotransferase C subunit</t>
  </si>
  <si>
    <t>K02435</t>
  </si>
  <si>
    <t>aspartyl-tRNA(Asn)/glutamyl-tRNA(Gln) amidotransferase subunit C [EC:6.3.5.6 6.3.5.7]</t>
  </si>
  <si>
    <t>COG0721</t>
  </si>
  <si>
    <t>Asp-tRNAAsn/Glu-tRNAGln amidotransferase C subunit (GatC) (PDB:3H0L)</t>
  </si>
  <si>
    <t>ko00001|ko01000|ko01000|ko03029</t>
  </si>
  <si>
    <t>KEGG Orthology (KO)&gt;&gt;&gt;09120 Genetic Information Processing&gt;&gt;&gt;09122 Translation&gt;&gt;&gt;00970 Aminoacyl-tRNA biosynthesis [PATH:ko00970]|Enzymes&gt;&gt;&gt;6. Ligases&gt;&gt;&gt;6.3  Forming carbon-nitrogen bonds&gt;&gt;&gt;6.3.5  Carbon-nitrogen ligases with glutamine as amido-N-donor&gt;&gt;&gt;6.3.5.6  asparaginyl-tRNA synthase (glutamine-hydrolysing)|Enzymes&gt;&gt;&gt;6. Ligases&gt;&gt;&gt;6.3  Forming carbon-nitrogen bonds&gt;&gt;&gt;6.3.5  Carbon-nitrogen ligases with glutamine as amido-N-donor&gt;&gt;&gt;6.3.5.7  glutaminyl-tRNA synthase (glutamine-hydrolysing)|Mitochondrial biogenesis&gt;&gt;&gt;Mitochondrial DNA transcription, translation, and replication factors&gt;&gt;&gt;Mitochondrial transcription and translation factors&gt;&gt;&gt;Other mitochondrial DNA transcription and translation factors</t>
  </si>
  <si>
    <t>MPEISRDKVEHLAKLARLALTEEELEQFAGQIDGIIANVSAVGKVAADGVEPMSHPHSIQTTMREDVVVPTLTAEQALEMAPAVQEQRFMVPQILGEEE</t>
  </si>
  <si>
    <t>MPEISRDEVAHLARLARLALTEEELDQYAGQIDDIVANVSAVGLVAAEGVEPMSHPHSIHTTMREDVVEKTLTAEQALDQAPAVEEQRFVVPQILGE--</t>
  </si>
  <si>
    <t>MPEISRDQVAHLAKLSRLALTDEELDRFAAQIDDIVTNVSTVQQVAAAGVEPMSHPHSIHTTMREDVVKPLLTPEQALDQAPEVAEQRFVVPQILGE--</t>
  </si>
  <si>
    <t>MPEISRDQVAHLAKLSRLALTDEELDRFAAQIDDIVTNVSAVQQVAAAGVEPMSHPHSIHTTMREDIVKPLLTPEQALDQAPEVAEQRFVVPQILGE--</t>
  </si>
  <si>
    <t>GC_00000460</t>
  </si>
  <si>
    <t>PF01521.26</t>
  </si>
  <si>
    <t>Iron-sulphur cluster biosynthesis</t>
  </si>
  <si>
    <t>COG0316</t>
  </si>
  <si>
    <t>Fe-S cluster assembly iron-binding protein IscA (IscA) (PDB:1R94)</t>
  </si>
  <si>
    <t>MSNTETATGPSTSNTGVILSEAAAAKAKALLDQEGRDDLSLRIAVQPGGCAGLRYQLYFDDRDLDGDKVDVVGGVRLVVDKMSVPYLSGATIDFADTIESQGFTIDNPNAGSSCACGDSFN</t>
  </si>
  <si>
    <t>GC_00000461</t>
  </si>
  <si>
    <t>PF02774.23</t>
  </si>
  <si>
    <t>Semialdehyde dehydrogenase, dimerisation domain</t>
  </si>
  <si>
    <t>K00133</t>
  </si>
  <si>
    <t>aspartate-semialdehyde dehydrogenase [EC:1.2.1.11]</t>
  </si>
  <si>
    <t>COG0136</t>
  </si>
  <si>
    <t>Aspartate-semialdehyde dehydrogenase (Asd) (PDB:1BRM)</t>
  </si>
  <si>
    <t>KEGG Orthology (KO)&gt;&gt;&gt;09100 Metabolism&gt;&gt;&gt;09105 Amino acid metabolism&gt;&gt;&gt;00260 Glycine, serine and threonine metabolism [PATH:ko00260]|KEGG Orthology (KO)&gt;&gt;&gt;09100 Metabolism&gt;&gt;&gt;09105 Amino acid metabolism&gt;&gt;&gt;00270 Cysteine and methionine metabolism [PATH:ko00270]|KEGG Orthology (KO)&gt;&gt;&gt;09100 Metabolism&gt;&gt;&gt;09105 Amino acid metabolism&gt;&gt;&gt;00300 Lysine biosynthesis [PATH:ko00300]|KEGG Orthology (KO)&gt;&gt;&gt;09100 Metabolism&gt;&gt;&gt;09110 Biosynthesis of other secondary metabolites&gt;&gt;&gt;00261 Monobactam biosynthesis [PATH:ko00261]|Enzymes&gt;&gt;&gt;1. Oxidoreductases&gt;&gt;&gt;1.2  Acting on the aldehyde or oxo group of donors&gt;&gt;&gt;1.2.1  With NAD+ or NADP+ as acceptor&gt;&gt;&gt;1.2.1.11  aspartate-semialdehyde dehydrogenase</t>
  </si>
  <si>
    <t>MTTIAVVGATGQVGRVMRTLLEERDFPADTVRFFSSPRSAGQSLSFRGEDIVVEDVTAQTVESLQGIDIAVFSAGGAASREFAPLFAQAGARVVDNSSAWRKDPEVPLVVSEVNPEALNEVPKGIIANPNCTTMAAMPVLKPLHDAAGLVRLHVSSYQAVSGSGLAGVETLAKQVAEIGDRNVELTHDGSVMRETVTDSEFGPYVAPIAFNALPFAGNLVDDGSLETDEEQKLRNESRKILGLPDLKVAGTCVRVPVFTGHTLTIHAEFERAITPEQAVKVLNGAAGVEVVDVPTPLDAAGKDPSLVGRIRQDQSVDDNKGLVLVVSGDNLRKGAALNTIQIAELLVR</t>
  </si>
  <si>
    <t>MTTIAVVGATGQVGRVMRSILEERNFPLDNIRFFASARSAGTTLPFGGKDIVVEDLAQVTEESLKGIDIALFSAGGSTSKQYAPIFAAAGAVVVDNSSAWRKDPEVPLIVSEVNPGEKDNLVKGIIANPNCTTMAAMPVLKPLHDAAGLTRLHVSSYQAVSGSGIAGVDALAKQVAEVGDRNVELAHDGSI----VAPEDLGPYVAPIAYNALPLAGNIVDDGSGETDEEQKLRNESRKILNIPDLRVAGTCVRVPVFTGHTLTIHAEFDRPITPEQAKDLLANAPGVELADVPTPLAAAGKDTSLVGRIRHDQSVDDNRGLVLVVSGDNLRKGAALNTIQIAELLVD</t>
  </si>
  <si>
    <t>MTTIAVVGATGQVGRVMRSILEERNFPLDNIRFFASARSAGTTLPFGGKDIVVEDLAQVTEESLKGIDIALFSAGGSTSKQYAPIFAAAGAVVVDNSSAWRKDPEVPLIVSEVNPGEKDNLVKGIIANPNCTTMAAMPVLKPLHDAAGLTRLHVSSYQAVSGSGIAGVDALAKQVAEVGDRNVELAHDGSI----VAPEDLGPYVAPIAYNALPLAGNIVDDGSGETDEEQKLRNESRKILNIPDLRVAGTCVRVPVFTGHTLTIHAEFDRPITPEQAKDLLADAPGVELADVPTPLAAAGKDTSLVGRIRQDQSVDDNRGLVLVVSGDNLRKGAALNTIQIAELLVD</t>
  </si>
  <si>
    <t>MTTVAVVGATGQVGREMRRILESRDFPADTYRFFASERSAGKVLQFRGQDIEVEDVAKATEESLRGIDIALFSAGGGTSKQYAPLFAAAGATVVDNSSAWRKDPDVPLIVVEANREAAQSVPKGIIANPNCTTMAIIPVLAVLNDVAGLEKLHVSSYQAVSGSGLAGVDTLAKQIAEAGDRATELAVDGSA----VSFSDLGPYVAPIAYNALPLAGSLVDDGSEETDEEQKLRNESRKILGLPDLKVAGTCVRVPVFTGHTMTVHAEFARPITPDQARQVLAGAPGVQVVDVPTPLAAAGKDDSLVGRIRQDQTVDDNKGLVFVVSGDNLRKGAALNAVQIAELLV-</t>
  </si>
  <si>
    <t>GC_00000462</t>
  </si>
  <si>
    <t>K02109</t>
  </si>
  <si>
    <t>F-type H+-transporting ATPase subunit b</t>
  </si>
  <si>
    <t>COG0711</t>
  </si>
  <si>
    <t>FoF1-type ATP synthase, membrane subunit b or b' (AtpF) (PDB:1B9U)</t>
  </si>
  <si>
    <t>MTNVINYLAEG-SAEKLPLEHGNNLLLPMPYDLVWSAVAFAVIIFLFWKFVLPKYSEVLAEREDTISSGIQNAAEAEAKAAAAREEYNAQLAEARAEAAQIREEARDKGKEIIAEKTAEATAEYNRIVASGEKQLQAQREQVITELRRDMGQTSISLAELLLGQQLSENVTRSGTIDSFLNELDTVA--PAGK</t>
  </si>
  <si>
    <t>MTNVIYYLAASEGGEGLPLEKSVNPLLPASYDVVWSAVSLIVVLFLFWKFVLPKFQEVLTEREDRIKGGIQRAEAAQAEAKAALEKYNAQLAEARAEAAQIREEAREKGKQIVADMKAQATEESNRIIESGEKQLQAQREQVVTELRREMGQNSINLAERLLGEQLSDDVKRSGTIDAFLSDLDTVA--PAGK</t>
  </si>
  <si>
    <t>GC_00000463</t>
  </si>
  <si>
    <t>PF00370.27</t>
  </si>
  <si>
    <t>FGGY family of carbohydrate kinases, N-terminal domain</t>
  </si>
  <si>
    <t>K00864</t>
  </si>
  <si>
    <t>glycerol kinase [EC:2.7.1.30]</t>
  </si>
  <si>
    <t>COG0554</t>
  </si>
  <si>
    <t>Glycerol kinase (GlpK) (PDB:2ZF5)</t>
  </si>
  <si>
    <t>KEGG Orthology (KO)&gt;&gt;&gt;09100 Metabolism&gt;&gt;&gt;09103 Lipid metabolism&gt;&gt;&gt;00561 Glycerolipid metabolism [PATH:ko00561]|Enzymes&gt;&gt;&gt;2. Transferases&gt;&gt;&gt;2.7  Transferring phosphorus-containing groups&gt;&gt;&gt;2.7.1  Phosphotransferases with an alcohol group as acceptor&gt;&gt;&gt;2.7.1.30  glycerol kinase|Exosome&gt;&gt;&gt;Exosomal proteins&gt;&gt;&gt;Exosomal proteins of other body fluids (saliva and urine)</t>
  </si>
  <si>
    <t>----------------------------------------------MEIWKNTRRAVGEVIATADASPSNVLAVGITNQRETTVVWDKNTGEPVYNAIVWQDTRTMAICDEIAGE-DGPEKFRDKTGLFINSYPSAPKIKWILDNVEGARERGEAGDLLFGTIDTWLLWNLTGGAEGDGNEPALHCTDVTNASRTLLMDLKTLQWDEDLCEQMGIPMQMLPEIRPSVGDFRQIRARGSLPGVPIRGILGDQQAAM</t>
  </si>
  <si>
    <t>---------------MLFDASGNSLGTSQMEHNQVFPRAGWVEHDPMEIWSHTRRVMADVLALSEYSGTDIAALGITNQRETTVVWDRTTGEPVYNAIVWQDTRTSDICSELDPH------LFERTGLPVSTYFSGPKIAWILDNVPGARARADAGELAFGTIDSWLVWRLTKG--------NVHCTDVTNASRTMLMDLNTLQWDAELCAALGIPQSMLPRIVSSSEEIGTVAQSGEFNGVPITGILGDQQAAT</t>
  </si>
  <si>
    <t>MFIAAIDQGTTSTRCVIFDADFSVVGVGQYEHEQIFPHKGWVEHDPVEIWDNVRLSVAAALAEANVAREDIAAVGITNQRETTVVWNRHTGKPVCHAIVWQDTRTTKLCEELAAAGGGADRWRETTGLLVNSYSSGPKLRWILDNVPHAREQAVAGDLLFGTMDTWLLWNLTGGAAGDQGKPAMHVTDVTNASRTLLMDIRSLQWDADICAELGIPMSMLPKICPSVGEFGQVRQRGVLAGVPIAGVLGDQQSAMFGQACFSPGEAKNTYGTGLFLLLNTGMEPKWSENGLITTVCYQIRGQRPVYALEGSVAIGGALVQWLRDNLGIIRDASEVEELALQVSDNGGVYIVPAFSGLFAPRWRPDARGVIVGLTRFANRCHLARAALEATAFQTKEVVDAMVADSGVPLTQLKVDGGMVRNNLLMQFQADVVCTDVVRPRLIETTALGAAFAAGLSVGLVQDLTQLRNQIRPEKTWSPRRTPQEVAMLYSEWNRAVERTYDWE-</t>
  </si>
  <si>
    <t>MFIAAIDQGTTSTRCVIFDADFSVVGVGQYEHEQIFPHKGWVEHDPVEIWDNVRLSVAAALAEANVAREDIAAVGITNQRETTVVWNRHTGKPVCHAIVWQDTRTTKLCEELAAAGGGADRWRETTGLLVNSYSSGPKLRWILDNVPHAREQAVAGDLLFGTMDTWLLWNLTGGAAGDQGKPAMHVTDVTNASRTLLMDIRSLQWDADICAELGIPMSMLPKICPSVGEFGQVRQRGVLAGVPIAGVLGDQQSAMFGQACFSPGEAKNTYGTGLFLLLNTGMEPKWSENGLITTVCYQIRGQRPVYALEGSVAIGGALVQWLRDNLGIIRDASEVEELALQVSDNGGVYIVPAFSGLFAPRWRPDARGVIVGLTRFANRCHLARAALEATAFQTKEVVDAMVADSGVPLTQLKVDGGMVRNNLLMQFQADVVCTDVVRPRLIETTALGAAFAAGLSVGLVQDLTQLRNQIRPEKTWSPRRMPQEVAMLYSEWNRAVERTYDWE-</t>
  </si>
  <si>
    <t>GC_00000464</t>
  </si>
  <si>
    <t>K02111</t>
  </si>
  <si>
    <t>F-type H+/Na+-transporting ATPase subunit alpha [EC:7.1.2.2 7.2.2.1]</t>
  </si>
  <si>
    <t>COG0056</t>
  </si>
  <si>
    <t>FoF1-type ATP synthase, alpha subunit (AtpA) (PDB:3OAA)</t>
  </si>
  <si>
    <t>MAELTISSDEIRSAIANYTSSYSPEASREEVGVVISAADGIAQVSGLPSVMANELLEFPGGVIGVAQNLDTDKIGVVVLGNYETLKEGDEVRRTGEVLSIPVGDAFLGRVINPLGQPIDGLGAIDAETDRVLELQAPSVLQRQPVEEPLQTGIKAIDAMTPIGRGQRQLIIGDRKTGKTAVCLDTILNQKANWESGDATKQVRCIYVAIGQKGSTIAAVRKTLEEHGALEYTTIVAAPASDSAGFKWLAPFAGAALGQHWMYQGKHVLVIYDDLTKQAEAYRAISLLLRRPPGREAYPGDVFYLHSRLLERAAKLSDDMGAGSMTALPIIETKANDVSAFIPTNVISITDGQVFLESDLFNQGVRPAINVGVSVSRVGGAAQTKGMKKVSGSLRLDLAAFRDLEAFAAFASDLDPASKAQLQRGQRLVELLKQPENTPMSVEDQMVSIYLAGEGEMDTVPVEDIRRFEKELHEYLHANAAGVYEQIAGGQAFTPESQAELKSAADAFKRVFVTSDGTPVVKEPEVDPLAEGELKKNQITVSRKTNKK</t>
  </si>
  <si>
    <t>MAELTISSDEIRSAIANYTSSYSPEASREEVGVVISAADGIAQVSGLPSVMANELLEFPRGVIGVAQNLDTDRIGVVVLGNYETLKEGDEVKRTGEVLSIPVGDAFLGRVINPLGQPIDGLGAIEKEEDRVLELQAPSVLQRQPVGEPLQTGIKAIDAMTPIGRGQRQLVIGDRKTGKTAVCLDTILNQKANWESGDPTKQVRCIYVAIGQKGSTIAAIRRTLEEHGALEYTTIVAAPASDSAGFKWLAPFAGAALGQHWMYQGKHVLVIYDDLTKQAEAYRAISLLLRRPPGREAYPGDVFYLHSRLLERAAKLSDDMGAGSMTALPIIETKANDVSAFIPTNVISITDGQVFLESDLFNQGVRPAINVGVSVSRVGGAAQTKGMKKVSGSLRLDLAAYRDLEAFAAFASDLDPASKAQLQRGQRLVELLKQSENNPMAVEDQMVSIWLAGEGHFDTVPVEDVRRFEVELHEYLHANIPAVYEQIKGGAAFSEESLTALVEATDQFKRTFQTTDGTPVIHDPDVDPLAEGELQKNQITVSRKTAKK</t>
  </si>
  <si>
    <t>MAELTISSDEIRSAIANYTSSYSAEASREEVGVVLSTADGIAQVSGLPSVMANELLEFPGGVIGVAQNLDTDRVGVVILGNYETLKEGDEVKRTGEVLSIPVGDKFLGRVINPLGQPIDGLGAIEAEEDRVLELQAPSVLQRKPVGEPMQTGIKAIDAMTPIGRGQRQLIIGDRKTGKTAVCIDTILNQKANWESGDKTKQVRCIYVAIGQKGSTVAAVRKTLEDHGALEYTTIVAAPASDSAGFKWLAPFAGAALGQHWMYQGYHVLVIYDDLTKQAEAYRAISLLLRRPPGREAYPGDVFYLHSRLLERAAKLSDDMGGGSMTALPIIETKANDVSAFIPTNVISITDGQVFLESDLFNQGVRPAINVGVSVSRVGGAAQTKGMKKVSGSLRLDLAAYRDLEAFATFASDLDPASKAQLDRGARLVELLKQAENSPQTVEHQIISIWLASEGHFDNVPVVDIRRFEFELQDYLQSEAPEVFEQIKGGQPLSEESQNTLVEKTEEFKHSFQTTDGTPVVHDLDVDALSEDEIKKQTLKVKK-----</t>
  </si>
  <si>
    <t>MAELTISSDEIRSAIANYTSSYSAEASREEVGVVLSTADGIAQVSGLPSVMANELLEFPGGVIGVAQNLDTDRVGVVILGNYETLKEGDEVKRTGEVLSIPVGDKFLGRVINPLGQPIDGLGAIEAEEDRVLELQAPSVLQRKPVGEPMQTGIKAIDAMTPIGRGQRQLIIGDRKTGKTAVCIDTILNQKANWESGDKTKQVRCIYVAIGQKGSTVAAVRKTLEDHGALEYTTIVAAPASDSAGFKWLAPFAGAALGQHWMYQGYHVLVIYDDLTKQAEAYRAISLLLRRPPGREAYPGDVFYLHSRLLERAAKLSDDMGGGSMTALPIIETKANDVSAFIPTNVISITDGQVFLESDLFNQGVRPAINVGVSVSRVGGAAQTKGMKKVSGSLRLDLAAYRDLEAFATFASDLDPASKAQLDRGARLVELLKQAENSPQTVEHQIISIWLASEGHFDNVPVVDIRRFEFELQDYLQAEAPEVFEQIKGGQPLSEESQNTLVEKTEEFKHSFQTTDGTPVVHDLDVDALSEDEIKKQTLKVKK-----</t>
  </si>
  <si>
    <t>GC_00000465</t>
  </si>
  <si>
    <t>PF02616.19</t>
  </si>
  <si>
    <t>Segregation and condensation protein ScpA</t>
  </si>
  <si>
    <t>K05896</t>
  </si>
  <si>
    <t>segregation and condensation protein A</t>
  </si>
  <si>
    <t>COG1354</t>
  </si>
  <si>
    <t>Chromatin segregation and condensation protein Rec8/ScpA/Scc1, kleisin family (ScpA) (PDB:3W6J)</t>
  </si>
  <si>
    <t>Chromosome and associated proteins&gt;&gt;&gt;Prokaryotic type&gt;&gt;&gt;Chromosome partitioning proteins&gt;&gt;&gt;Condensin-like complex</t>
  </si>
  <si>
    <t>MSQQRPDVPVVLPPISPDEPQQEIPGFTLSLTNFSGPFDLLLQLIGAKKLDITEVALSKVTDEFINYTRALGAVASLDEITEFVLIAATLLDLKTARLLPRGEVDSEEDLELLEARDLLFAKLLQYKAYKQVADLFRDWQRDAPRRYPRAVSLEERFASALPPVHLGLDASGFAELAATVFRPKPPELVGTDHIHQVAVSVPEQAGKVLTILKMLGADTWASFERLTSDCSVSMEVVGRFLALLELYKAQAVSVDQPEQLGQLNVAWTGIDVDPAVVAASNWE</t>
  </si>
  <si>
    <t>---MDLDAPD------TQDDASDSAGFTLALSNFEGPFDLLLQLISSKKLDVTEVALSKVTDEFIAYTRMLGETADLDETTEFLVVAATLLDLKAARLLPSGEVDSEEDLALLESRDLLFARLLQYKAYKQVAELFADWQRTAQKRYPRAASLEDRFVNLLPPVTLSHSPDSFAEMAATVFRPKPPDVVGTDHLHQVAVSVPEQAGKLLDVLRMSGEGTWLTFAILTKDCQVSMEVVGRFLAILELYKAQAVSVE</t>
  </si>
  <si>
    <t>---MEPDAPV------NQDDASDSAGFTLALSNFEGPFDLLLQLISSKKLDVTEVALSKVTDEFIAYTRMLGETADLDETTEFLVVAATLLDLKAARLLPSGEVDSEEDLALLESRDLLFARLLQYKAYKQVAELFADWQRTAQKRYPRAASLEDRFVNLLPPVTLSHSPDSFAEMAATVFRPKPPDVVGTDHLHQVAVSVPEQAGKLLDVLRMSGEGTWLTFAILTKDCQVSMEVVGRFLAILELYKAQAVSVE</t>
  </si>
  <si>
    <t>---MDSDV-----------QQPEITGFRIVLHNFEGPFDLLLQLISAQKLDVTDVALAQVTDEFVGYVKQLGVSARLDEITEFLVVAATLLDLKAARLVPRGEVDDVADLALLESRDLLFARLLQYRAYRQVADLFAVWQASARLRYPRVVGLEERFVGLLPPVVLGHSAESFAEFAASVFRPRPPEVVEVGHVHKVGVSVPEQAVRILDMFRLVGPDRWLGFEALTRDCGVSLEVVGRFLALLELYKAQVVVFE</t>
  </si>
  <si>
    <t>GC_00000466</t>
  </si>
  <si>
    <t>K12503</t>
  </si>
  <si>
    <t>short-chain Z-isoprenyl diphosphate synthase [EC:2.5.1.68]</t>
  </si>
  <si>
    <t>KEGG Orthology (KO)&gt;&gt;&gt;09100 Metabolism&gt;&gt;&gt;09109 Metabolism of terpenoids and polyketides&gt;&gt;&gt;00900 Terpenoid backbone biosynthesis [PATH:ko00900]|Enzymes&gt;&gt;&gt;2. Transferases&gt;&gt;&gt;2.5  Transferring alkyl or aryl groups, other than methyl groups&gt;&gt;&gt;2.5.1  Transferring alkyl or aryl groups, other than methyl groups (only sub-subclass identified to date)&gt;&gt;&gt;2.5.1.68  (2Z,6E)-farnesyl diphosphate synthase|Prenyltransferases&gt;&gt;&gt;Terpene biosynthesis&gt;&gt;&gt;Prenyl diphosphate synthase</t>
  </si>
  <si>
    <t>MNVNFLQKLLYPVYEQRLRRELKGRPHPKHIAVMCDGNRRWAREAGFADASHGHRVGAKKIGEMVRWCEDTDIELVTVYLLSTENLGRESDELDLLFDIIADVVAELAAPETNCRVRLVGHLDLLPDNIAQRLRDAVRNTDNNTGVAVNVAVGYGGRQEIVDAVKELIKEQASRGVAAEDISGNVDVDSISRHLYTSGQPDPDLVIRTSGEQRLSGFLLWQAAYSEIWFTDTYWPAFRRIDFLRALRAYSSRTRRFGK</t>
  </si>
  <si>
    <t>MIPPILPALLYPLYERRLLREISGAKRPEHVAIMCDGNRRWAREAGFIDVSHGHRVGAKKIGELVSWCADTDVELVTIYLLSTENLGRDAEELQLLLDIICDVVAELSAPHRNCRVRLVGHLNLLPEHISHRLSVSSEQTKTNTGVTVNVAVGYGGRQEIVDAVRDFIASEARKGTTTTELVEKVSAEAIASHLYTSGQPDPDLVIRTSGEQRLSGFLLWQSAYSEIWFTDTYWPAFRRLDFLRALREYSKRSRRFGK</t>
  </si>
  <si>
    <t>MIPPILPALLYPLYERRLLREISGAKRPEHVAIMCDGNRRWAREAGFIDVSHGHRVGAKKIGELVSWCADTDVELVTIYLLSTENLGRDAEELQLLLDIICDVVAELSAPHRNCRVRLVGHLNLLPEHISHRLSVSSEQTKTNTGVTVNVAVGYGGRQEIVDAVRDFIASEAREGTTTTELVEKVSAEAIASHLYTSGQPDPDLVIRTSGEQRLSGFLLWQSAYSEIWFTDTYWPAFRRLDFLRALREYSKRSRRFGK</t>
  </si>
  <si>
    <t>GC_00000467</t>
  </si>
  <si>
    <t>PF00485.24</t>
  </si>
  <si>
    <t>Phosphoribulokinase / Uridine kinase family</t>
  </si>
  <si>
    <t>K00867</t>
  </si>
  <si>
    <t>type I pantothenate kinase [EC:2.7.1.33]</t>
  </si>
  <si>
    <t>COG1072</t>
  </si>
  <si>
    <t>Panthothenate kinase (CoaA) (PDB:2GA8)</t>
  </si>
  <si>
    <t>KEGG Orthology (KO)&gt;&gt;&gt;09100 Metabolism&gt;&gt;&gt;09108 Metabolism of cofactors and vitamins&gt;&gt;&gt;00770 Pantothenate and CoA biosynthesis [PATH:ko00770]|Enzymes&gt;&gt;&gt;2. Transferases&gt;&gt;&gt;2.7  Transferring phosphorus-containing groups&gt;&gt;&gt;2.7.1  Phosphotransferases with an alcohol group as acceptor&gt;&gt;&gt;2.7.1.33  pantothenate kinase</t>
  </si>
  <si>
    <t>MARHADTSPYLDFDRSTWHSLRQHMPQVLTEQEVDELRGMGENIDLQEVEVVYLPLSRLIHLQVAARQQLTRATSTFLGSKPHHVPFIIGIAGSVAVGKSTTARLLQVLLQRWESHPRVDLVTTDGFLYPTDELKRRGILNRKGFPESYDQRALLRFVTDVKAGRSHCTAPVYSHTRYDRVPGEFITVSQPDILILEGLNVLQTGPTLMVSDLFDFSIYVDAKTQDIEQWYIERFLELRHTSFRAPGAHFKYYANLSDAQATAQAREIWQSVNLPNLVENIAPTKVRASLIMQKGDDHLVRRVRMRKV</t>
  </si>
  <si>
    <t>------------------------MPQVLTEKELVKLRGVGDRIDLDEVSEVYLPLSRLIHLRVRARQELMASTATFLGSPVEDVPFVIGVAGSVAVGKSTTARLLQVLLQRWESHPRVDLITTDGFLYPAAELNRRGIMNRKGFPESYDQRALLRFVTDVKAGKPRCEAPVYSHTLYDRIPDEKVIIDQPDILIVEGLNVLQTGPTLMVSDLFDFSVYVDARTEDIEHWYIDRFLKLRETAFRTPGAHFSHYAE</t>
  </si>
  <si>
    <t>MTRPNVSSPYLDFDRRAWSGLRNSFPQVLTEDDLEKIRGIGESIDLAEVADVYLPLSRLIHLQIQARQELTATTETFLGENPQHVPFVIGVAGSVAVGKSTTARLLQVLLQRWPSHPHVDLVTTDGFLYPGAQLRKRGLMSRKGFPESYDQRALLRFVTDVKSGRPNVQAPVYSHTLYDRVPNEFITVNRPDILIIEGLNVLQTGPTLVISDLFDFSVYVDARTEDIERWYIERFLELRATAFREPDAHFSHYAQLPDSAAAQKARHIWQTINLPNLVENILPTRVRASLVLAKRSDHSVQRVRMRKL</t>
  </si>
  <si>
    <t>MTRPNVSSPYLDFDRRAWSGLRNSFPQVLTEDDLEKIRGIGESIDLAEVADVYLPLSRLIHLQIQARQELTATTETFLGENPQHVPFVIGVAGSVAVGKSTTARLLQVLLQRWPSHPHVDLVTTDGFLYPGAQLRKRGLMSRKGFPESYDQRALLRFVTDVKSGRPNVQAPVYSHTLYDRVPNEFITVNRPDILIVEGLNVLQTGPTLVISDLFDFSVYVDARTEDIERWYIERFLELRATAFREPDAHFSHYAQLPDSAAAQKARHIWQTINLPNLVENILPTRVRASLVLTKRSDHSVQRVRMRKL</t>
  </si>
  <si>
    <t>GC_00000468</t>
  </si>
  <si>
    <t>PF08310.17</t>
  </si>
  <si>
    <t>LGFP repeat</t>
  </si>
  <si>
    <t>V|M</t>
  </si>
  <si>
    <t>Defense mechanisms|Cell wall/membrane/envelope biogenesis</t>
  </si>
  <si>
    <t>COG0627|COG5479</t>
  </si>
  <si>
    <t>S-formylglutathione hydrolase FrmB (FrmB) (PDB:1DQY)|LGFP repeat-containing protein, may be involved in cell wall binding (Psp3) (PUBMED:18629042)</t>
  </si>
  <si>
    <t>MRDTAI-------KTRRNKLIAALAVPSALAIGTGLIVFPADKAEAE-------------QRDVLAQGSSFGSSE---ISGYLKDDNVPERSPIRTD-FPKIDGLPDGVSVERQEWLSDRRVALFIRSAAMPDQLVQVQLLLPRDWYSQPGKKFPEVWALDGLRATDKENGWTINTNIQQFFSDKNVITVLPVGGEASFYSDWDREDNGKNYKWETFLTQELPAVLHNGYRSNGTRGIFGLSMGGTAAVNLAEHRPDMFNFVGSFSGYLDTTSPGMQLGIQGALKDAGGYDATAMWGPLNSQKWIDNDPKLGIEALKGKTVYVSAGNGADDFGQNNSVATGPANPAGVGLEVLSRMTTQTFVNRAKTAGVPVISHFRPSGVHNWPYWQFELTQAWPHIADALALDKDDRGADCAPVGAIAEATKGGEFGKCVNNEYDIAGGKAEDFRNGRAYWHPDTGAHVLVGLISARYSEMGAADSWLGFPLTGEQGTPDGVGRYVHFQNGSIYWTPKLGAQPVPKDMFDAWGATGWENGPLGYPVAEPKELGGKLVQQFQHGYVVRNGDKA-FVVHGDIAKRYGSMNTTASKLGAPTSNEIPLKGGVVQHFDNGSFYWTPETGAKFIFNGPIRDAWGASGWENGPFGWPTKDQEAIAAGGETMSFQHGTIKQVNGRVIEEHN</t>
  </si>
  <si>
    <t>MRDTAVSSTPRRRRSLRRAFTAFAAVPTALALGSGL--FAAAPATAV-------------DVTNQAQNSLFGSSD---VTDYLETDGVPQRTPIRTDEHPSIQGLPSGVSVERVEWITERRIALFIRSAAMPKELIQVQVLLARDWHSNPSAKYPEVWALDGLRALDTESGWTINTNIEQFYADKNVNVILPVGGESSFYSDWQKPDNGKHYKWETFMTKELPAVLQNGYRSNGERAVFGLSMGGTAAINLAERNPDMFKFVGSFSGYLDTTSMGMAQAISAAQSDAGGYNSEAMWGQPGSQDWIDHDPKLGIDALKGKAVYVSSGSGADDFGQPGSVANGPANPAGVGLEILSRMTTQTFVDRAKKSNVDVTAVFRPSGVHNWPYWQFEMTQAWPYIADSLKLAQADRGADCATQGAIAEVTKSNAFGACVNNEYDVKGGKAQDFRGGRAYWSPETGAHVLFGRIGARYSEFGGPDSWLGHPTSGEKATPDGKGRYVHFQNGSIYWTAETGARALPKDIFDAWGSQGWEGGSLGYPTEDTVEHNGNYIQKFQGGYVIRTKDKGAYAVHGEIAKKYASINGVESSLGAPVSGEQAISGGALQTFQHGAIYWSPSTGAHFIMNGNIRDAWGKQGWENGAFGWPTADQEKIQSGGEKMTFQHGTISEVNGRIVEEKK</t>
  </si>
  <si>
    <t>MR-----------VTQRRSY-QIAALPVAIGLGVSLLFPPAAVAQSTTSAKPTSTSTSKSRSSNSSSSGSLGSSSLNGLTDYLDTNAV-ERTPIRVDERPQINGLPDGVSVERVKWITDRRIELQIKSKVMPKDVVKVQMLLARDWHSQPNRKFPEVWALDGLRATDIESGWTSETNIEQLFADKNVNVILPVGGESSFYSDWQSEDNGKHYMWESFLLNELIPVLKNGYRANGDRAIFGLSMGGTAAMNLAERNPDLFKFVGSFSGYLDTTSPGMPDAIRTAQQDAGGYHSEAMWGPDGSQQWIDHDPKLGIKALKGMKVYVSAGSGRDDFGQPGSVAKHPANAAGIGLEVISRMTTQTFVDFARRDGVEVTSVFRPSGVHDWPYWQFEMGQAWPHIAGALNLSQSDRGADCTPVGAIAEATKGGVIGNCVNNEYDVAGGKGQDFTNGRAFWSPNTGAQALYGRIGTVYTELGGPGSWLGFPTSTERGLVNG-GRFVTFEHGNIYWTLQTDAIAVPTDIVNKWGDLKWENGDLGYPVAEATEHNGGLVQKFQNGYVTRNPKGANNWVRGAIAAKYGELQTAKSKLGYPTSDEKSINGGAFQEFENGNIYWSPATGAHVIYYGDIYKAWGEKGYEQGEYGYPTSDQE---SASGSITFQGGKMSQSNGKVREERN</t>
  </si>
  <si>
    <t>MR-----------VTQRRSY-QIAALPVAIGLGVSLLFPPAAVAQSTTSAKPTSTSTSKSRSSNSSSSGSLGSSSLNGLTDYLDTNAV-ERTPIRVDERPQINGLPDGVSVERVKWITDRRIELQIKSKVMPKDVVKVQMLLARDWHSQPNRKFPEVWALDGLRATDIESGWTSETNIEQLFADKNVNVILPVGGESSFYSDWQSEDNGKHYMWESFLLNELIPVLKNGYRANGDRAIFGLSMGGTAAMNLAERNPDLFKFVGSFSGYLDTTSPGMPDAIRTAQQDAGGYHSEAMWGPDGSQQWIDHDPKLGIKALKGMKVYVSAGSGRDDFGQPGSVAKHPANAAGIGLEVISRMTTQTFVDFARRDGVEVTSVFRPSGVHDWPYWQFEMGQAWPHIAGALNLSQSDRGADCTPVGAIAEATKGGVIGNCVNNEYDVAGGKGQDFTNGRAFWSPNTGAQALYGRIGTVYTELGGPGSWLGFPTSTERGLANG-GRFVTFEHGNIYWTLQTDAIAVPTDIVNKWGDLKWENGDLGYPVAEATEHNGGLVQKFQNGYVTRNPKGANNWVRGAIAAKYGELQTAKSKLGYPTSDEKSINGGAFQEFENGNIYWSPATGAHVIYYGDIYKAWGEKGYEQGEYGYPTSDQE---SASGSITFQGGKMSQSNGKVREERN</t>
  </si>
  <si>
    <t>GC_00000469</t>
  </si>
  <si>
    <t>K02495</t>
  </si>
  <si>
    <t>oxygen-independent coproporphyrinogen III oxidase [EC:1.3.98.3]</t>
  </si>
  <si>
    <t>COG0635</t>
  </si>
  <si>
    <t>Coproporphyrinogen-III oxidase HemN  (oxygen-independent) or related Fe-S oxidoreductase (HemN) (PDB:1OLT)</t>
  </si>
  <si>
    <t>KEGG Orthology (KO)&gt;&gt;&gt;09100 Metabolism&gt;&gt;&gt;09108 Metabolism of cofactors and vitamins&gt;&gt;&gt;00860 Porphyrin metabolism [PATH:ko00860]|Enzymes&gt;&gt;&gt;1. Oxidoreductases&gt;&gt;&gt;1.3  Acting on the CH-CH group of donors&gt;&gt;&gt;1.3.98  With other, known, physiological acceptors&gt;&gt;&gt;1.3.98.3  coproporphyrinogen dehydrogenase</t>
  </si>
  <si>
    <t>MSNPFGVYIHVPFCASRCGYCDFNTYTPGELGSSASVDSYLNALDIELELAAESLGGALQPADTVFVGGGTPSMLGASGLAQVLGYVRKSFGITPGAEVTTESNPESTSPEFFEGLLEAGYTRVSLGMQSASSRVLQVLERRHTPGRPVEAAKEARAAGFEHVNLDMIYGTPGETDDDVRATLEAVLAAEVDHVSAYSLIVEDGTAMARKVRRGELQVTDEDVLASRYALIDGVLSVAGFDWYEVSNWARPDGECRHNLGYWRDHDWWGAGPGAHSHLGDRRFFNVKHPARYTQHCTAGALPIAEEEHLSPHDRHVEKVMLGLRLREGIARSLFGEGAELALRHYQDRGLLTLDDDRVYLTESGRLLADGIIADVLIAEEE</t>
  </si>
  <si>
    <t>MNSPFGVYIHVPFCASRCGYCDFNTYTPGELGSSASVDSYLNALDIELELAAESLGGALQPADTVFVGGGTPSMLGASGLAQVLGYVRKSFGIAPGAEVTTESNPESTSPEFFEGLLEAGYTRVSLGMQSASSRVLQVLERRHTPGRPVEAAKEARAAGFEHVNLDMIYGTPGETDDDVRATLEAVLAAEVDHVSAYSLIVEDGTAMARKVRRGELQVTDEDVLASRYALIDGVLSVGGFDWYEVSNWARPDGECRHNLGYWRDHDWWGAGPGAHSHLGDRRFFNVKHPARYTQHCTAGALPIAEEEHLSLHDRHVEKVMLGLRLREGIARSLFGAGAERALRHYQDQGLLTLDDDRVYLTESGRLLADGIIADVLIAEEE</t>
  </si>
  <si>
    <t>---MFGVYIHVPFCSSRCGYCDFNTYTPGELGTSASPETYLDALEQELELAEFK-----RPADTIFIGGGTPSLLGAQGLRRILTAIRNTFGINPGAEITTESNPESTSPEFFAELRDAGFTRISLGMQSASAHVLQVLERRHTPGRAFAAVAEARAAGFAHINLDMIYGTPTETDADVQATVEQVIASGVDHVSAYSLIVEDGTRMARKVRRGELPAPDEDVYADRYALIDAALVAAGYRWYEVSNWAQPGGEC</t>
  </si>
  <si>
    <t>GC_00000470</t>
  </si>
  <si>
    <t>PF02075.23</t>
  </si>
  <si>
    <t>Crossover junction endodeoxyribonuclease RuvC</t>
  </si>
  <si>
    <t>K01159</t>
  </si>
  <si>
    <t>crossover junction endodeoxyribonuclease RuvC [EC:3.1.21.10]</t>
  </si>
  <si>
    <t>COG0817</t>
  </si>
  <si>
    <t>Holliday junction resolvasome RuvABC endonuclease subunit RuvC (RuvC) (PDB:1HJR)</t>
  </si>
  <si>
    <t>KEGG Orthology (KO)&gt;&gt;&gt;09120 Genetic Information Processing&gt;&gt;&gt;09124 Replication and repair&gt;&gt;&gt;03440 Homologous recombination [PATH:ko03440]|Enzymes&gt;&gt;&gt;3. Hydrolases&gt;&gt;&gt;3.1  Acting on ester bonds&gt;&gt;&gt;3.1.21  Endodeoxyribonucleases producing 5'-phosphomonoesters&gt;&gt;&gt;3.1.21.10  crossover junction endodeoxyribonuclease|DNA repair and recombination proteins&gt;&gt;&gt;Prokaryotic type&gt;&gt;&gt;DSBR (double strand breaks repair)&gt;&gt;&gt;HR (homologous recombination)&gt;&gt;&gt;RecBC pathway proteins|DNA repair and recombination proteins&gt;&gt;&gt;Prokaryotic type&gt;&gt;&gt;DSBR (double strand breaks repair)&gt;&gt;&gt;HR (homologous recombination)&gt;&gt;&gt;RecFOR pathway proteins</t>
  </si>
  <si>
    <t>MAMMNLEGLRVMGIDPGLTRCGLSVVQAGRGRQVLPIAVGVVRTPSGDDLTDRLLGLSEGVNQWMDDYQPEVVAIERIFERSNVSTVMHTAHAVGVLVLAAAQRGIPVHMYTPSEVKKAISGNGRADKKQMTAMITRILGLSEPPQPADAADALALAVCHCWRAPLLATVKGSTYQ-----------------------------------------------</t>
  </si>
  <si>
    <t>-----------MGIDPGLTRCGLSVVQAGQGRAVLPVAVGVVRTPPSADLTERLLRLSNAVNEWMDDYTPDVVAIERIFERGNVSTVMHTAHAVGVLVLAAAQRSISVHMYTPSEVKKAVSGNGRADKKQMTAMITRILGLSEAPKPADAADALALAVCHCWRAPLLLRQEHTYAQAEAQRRHQQGRLGKAKADFNASKKSTSPAQRSPQQ------------</t>
  </si>
  <si>
    <t>-----------MGIDPGLTRCGLSVVQAGQGRAVLPVAVGVVRTPPSADLTERLLRLSNAVNEWMDDYTPDVVAIERIFERGNVSTVMHTAHAVGVLVLAAAQRNISVHMYTPSEVKKAVSGNGRADKKQMTAMITRILGLSEAPKPADAADALALAVCHCWRAPLLLRQEHTYAQAEAQRRHQQGRLGKAKADFNASKKSTSPAQRSPQQ------------</t>
  </si>
  <si>
    <t>GC_00000471</t>
  </si>
  <si>
    <t>PF10150.14</t>
  </si>
  <si>
    <t>Ribonuclease E/G family</t>
  </si>
  <si>
    <t>K08300</t>
  </si>
  <si>
    <t>ribonuclease E [EC:3.1.26.12]</t>
  </si>
  <si>
    <t>COG1530</t>
  </si>
  <si>
    <t>Ribonuclease G or E (CafA) (PDB:1SLJ)</t>
  </si>
  <si>
    <t>ko00001|ko01000|ko03019|ko03009</t>
  </si>
  <si>
    <t>KEGG Orthology (KO)&gt;&gt;&gt;09120 Genetic Information Processing&gt;&gt;&gt;09123 Folding, sorting and degradation&gt;&gt;&gt;03018 RNA degradation [PATH:ko03018]|Enzymes&gt;&gt;&gt;3. Hydrolases&gt;&gt;&gt;3.1  Acting on ester bonds&gt;&gt;&gt;3.1.26  Endoribonucleases producing 5'-phosphomonoesters&gt;&gt;&gt;3.1.26.12  ribonuclease E|Messenger RNA biogenesis&gt;&gt;&gt;Prokaryotic type&gt;&gt;&gt;Bacterial mRNA degradation factors&gt;&gt;&gt;RNA degradosome components&gt;&gt;&gt;Ribonucreases|Ribosome biogenesis&gt;&gt;&gt;Prokaryotic type&gt;&gt;&gt;rRNA processing factors</t>
  </si>
  <si>
    <t>MASTNPPSTAAASYDRSSIGEKTRVHQLAKQLGVQSKELISVLDGIGLVKVAQSSLSREEVEKTLDALAPKK-KARKTTKKAAGTKQKATKKTTKKAAKKAPKAAAAEVVEDSEPEKEPKKTARRATRRRRATTQVDAEALASSVEDPADAKLVKRVAKNVENEIHQIEQKVERDLGERITDKADEDAEGTVWEEKDGLLHEVVPEVTPAPQSELPAVTPIFMPPEPLHSDDDDLEIHTLHVDK------DTKDTEEQSDGER--PRRRGKRGAGRGRGVNI----------------KDAPEEVTDEPTAIKGSTRLEAQRRRRSEMREEGRKKRHIVSEAEFLARRESVKRTMLVREKQREDHAGLVTQVGVLEDGLLVEHFVTSETQTSMVGNVYLGRVQNVLPSMEAAFIDIGKGRNGVLYAGEVDWRNAGLGGRSRKIEQALKPGDPVLVQVAKDPIGHKGARLTTQISLAGRFLVYVPGGHSAGISRKLPESERKRLKQILHDVVPKSGGAIIRTAAEGVHEKAIEADVNRLHSLWEQIQASVAEAKKSKSKDPVTLYEEPDLLVKVIRDLFNEDFDELVVQGKRSWSVVRSYVSAVAPELMDRVHRFEDRDVAPAGEQESDGTGHDVFKAYRVEEQLHKALSEKVWLPSGGTLIIERTEAMTVIDVNTGKFTGSGGNLEETVTKNNLEAAEEIVRQMRLRDLGGMIVIDFIDMVLPQNQDLVLRRLKEALGRDRTRHQVSEVTSLGLVQVTRKRLGTGLLETFATKCEACDGRGVIIHDDPVDESSDAPPAHAPKRRRPIREDAPKKAEKAEKSEDAQQEDKAPKAEGKRRGAGRRRASIEELVDAVIVVSDDADSAGTQDAEAEKKDKRPARKNSRWRAGRKEEHADSAEPSISSIVSAALDVADAEDPDEPSGAQYRPAETFEEATEQFEKSPRRRRKTRGNSRSDHAPKREDFEAKLDKADQAAEPQRAEEESKPSDSQRRRARRAKKVSLSKREDGAKAEDKATKPEAKKPAEKEEPRRGRGRRRVVKKISSAKQSDGQETRKQRSAAPKSEPVAPKIVAKKAERPSP--SGRRRRRVVVKRSED</t>
  </si>
  <si>
    <t>------MAQTIEEFDRSTLGPKTRVHALAKQLGMTSKELIVALDGLGLVKVAQSNLSLDEANKLLDALQPAE----------------------------PSEPAV---------EEKPKKKGKKKAKKQP------------------EDKIRKRVEKNVANEIHQIEEKVDRELSELLDEDEGIDAEALAILIPE----VPEPTEEPVTQVHP-FATPVFLAPEAV---EEDLEIEASVSDEDEEDSGDADDT</t>
  </si>
  <si>
    <t>-------MAITTTFDRSQLGDKIRVYRLAPAVGFSSKEFVSILASIGLKKAAQSNLTRDEALAVLDYLDKHDITPTPQPVKVPGRKPGRPKKTTQTPAKATAKPAA----------KKPGRKPAAATATKPA---------AHTEEFTEEDKLRYRVEKNVENELNQLKEKAQRDINHRIEQGILTEETPTAKPAAE----KATPAAEPETVEEPGYTTPLFVAPSFT---APTIPTAPTPTDHT-----DPFEY</t>
  </si>
  <si>
    <t>-------MAITTTFDRSQLGDKIRVYRLAPAVGFSSKEFVSILASIGLKKAAQSNLTRDEALAVLDYLDKHDITPTPQPVKVPGRKPGRPKKTTQTPAKATAKPAA----------KKPGRKPAAATATKPA---------AHTEEFTEEDKLRYRVEKNVENELNQLKEKAQRDINHRIEQGILTEETPTAKPVAE----KATPAAEPETVEEPGYTTPLFVAPSFT---APTIPTAPTPTDHT-----DPFEY</t>
  </si>
  <si>
    <t>GC_00000472</t>
  </si>
  <si>
    <t>PF04851.21</t>
  </si>
  <si>
    <t>Type III restriction enzyme, res subunit</t>
  </si>
  <si>
    <t>K|L</t>
  </si>
  <si>
    <t>Transcription|Replication, recombination and repair</t>
  </si>
  <si>
    <t>COG1061</t>
  </si>
  <si>
    <t>Superfamily II DNA or RNA helicase (SSL2) (PDB:6JDE)</t>
  </si>
  <si>
    <t>MGSQLRAWQRAALTKYLINKPKDFLAVATPGAGKTTFALRVATELTGNRTVDRVIVVVPTEHLKVQWAESAQRAGLALDPHFSNSGGVINPQYDGIVVTYAQVAMHPFKHYQLATAKRTLVILDEIHHGGDAKSWGDGIRQAYCDAERRLALTGTPFRSDDSAIPFVRYEEDGDGHLKSSADHTYGYADALADGVVRPVVFLAYSGEARWRDSAGEEYSARLGEPLNAEQTARAWKTALDPKGDWIPAVLGAAHTRLKQLRTNMPDAGGLVIATDKTTARAYAKILQGLSSTRVSVILSDDPTASARIEEFSHNTDEWMVAVRMVSEGVDVPRLAVGVYATSASTPLFFAQAIGRFVRSRMPGETASVFLPSVPVLLDLAAKMETSRDHVLGKPDRVKEGWDDELLQQANQKKDEPDALIKPYEALGAEAELDSLIYDGSTYGTATIAGSDEEADYLGLPGLLDAEQMRQLLRQRQAEQLDAREREAGAGEDAASACSGTASGTSGPGSAGAQAAEQRVASQEIPQLRKELNALVAITSQRTGRPHGAIHTEARQACGGPPTALATAEQLRDRIAYLRRW</t>
  </si>
  <si>
    <t>--------------------------MATPGAGKTTFALRVATELKNNRTVDRVIVVVPTEHLKIQWSHAAARAGLALDPHFTNANGVVNPQYDGIVVTYAQVAMHPYKHYAVATARRTLVILDEIHHGGDAKSWGDGIRTAYADVERRLALTGTPFRSDDAAIPFVRYEDDGEGYLKSKADHTYGYSDALADGVVRPVVFLAYSGEARWRTSAGEEYAARLGEPLNAEQTARAWKTALDPRGDWIPAVLQAAHT</t>
  </si>
  <si>
    <t>MSSDLRVWQQQALTKYLDTKPHDFLAVATPGAGKTTFALRVATELKTRRTVDRIIVVVPTEHLKVQWSEAAARVGLSLDPAFKNTDA-INPQYDGVVVTYAQVAMHPYKHYAVTTAKRSLVILDEIHHGGDAKSWGDGIKEAYQDATRRLALTGTPFRSDDSTIPFVRYAEDGEGHLVSQADHTYGYSDALADGVVRPVVFLAYSGEARWRTSAGEEFAARLGEPLNAEQTARAWKTALDPQGDWIPAVLRAAHTRLHQLRKTIPDAGGLVIATDKTTARAYAKILAKLSTTPVSVVLSDEAGASERIEKFAGSTDEWMVAVRMVSEGVDVPRLAVGVYATSASTPLFFAQAIGRFVRSRRPGETASVFLPSVPVLLDLAAKLEVSRDHVLGRPHRETSGWDDELLAEANKRETEADQL-KTYESLGAEAELDTLIYDGSSYGTATVAGSSEEADYLGLPGLLDAEQMRQLLRKRQEEQLNVRER---EAKEAVKREQEARS------SQGRKDAEERLASQEIPQLRKELNALVAITASRTGRPHGSIHTEARQKCGGPPTAMCSAEQLRERINYLRRW</t>
  </si>
  <si>
    <t>MSSDLRVWQQQALTKYLDTKPHDFLAVATPGAGKTTFALKVATELKTRRTVDRIIVVVPTEHLKVQWSEAAARVGLSLDPAFKNTDA-INPQYDGVVVTYAQVAMHPYKHYAITTAKRSLVILDEIHHGGDAKSWGDGIREAYQDATRRLALTGTPFRSDDSTIPFVRYAEDGEGHLVSQADHTYGYSDALADGVVRPVVFLAYSGEARWRTSAGEEFAARLGEPLNAEQTARAWKTALDPQGDWIPAVLRAAHTRLHQLRKTIPDAGGLVIATDKTTARAYAKILAKLATTPVSVVLSDEAGASERIEKFAGSTDEWMVAVRMVSEGVDVPRLAVGVYATSASTPLFFAQAIGRFVRSRRPGETASVFLPSVPVLLDLAAKLEVSRDHVLGKPHRETGGWDDELLAEANKRETEADQL-KTYESLGAEAELDTLIYDGSSYGTATVAGSSEEADYLGLPGLLDAEQMRQLLRKRQEEQLNVRER---EAKEAAKREQEARS------SQGRKDAEERLASQEIPQLRKELNALVAITASRTGRPHGSIHTEARQKCGGPPTAMCSAEQLRERINYLRRW</t>
  </si>
  <si>
    <t>GC_00000473</t>
  </si>
  <si>
    <t>PF01066.26</t>
  </si>
  <si>
    <t>CDP-alcohol phosphatidyltransferase</t>
  </si>
  <si>
    <t>K00995</t>
  </si>
  <si>
    <t>CDP-diacylglycerol---glycerol-3-phosphate 3-phosphatidyltransferase [EC:2.7.8.5]</t>
  </si>
  <si>
    <t>COG0558</t>
  </si>
  <si>
    <t>Phosphatidylglycerophosphate synthase (PgsA) (PDB:4MND)</t>
  </si>
  <si>
    <t>KEGG Orthology (KO)&gt;&gt;&gt;09100 Metabolism&gt;&gt;&gt;09103 Lipid metabolism&gt;&gt;&gt;00564 Glycerophospholipid metabolism [PATH:ko00564]|Enzymes&gt;&gt;&gt;2. Transferases&gt;&gt;&gt;2.7  Transferring phosphorus-containing groups&gt;&gt;&gt;2.7.8  Transferases for other substituted phosphate groups&gt;&gt;&gt;2.7.8.5  CDP-diacylglycerol---glycerol-3-phosphate 1-phosphatidyltransferase</t>
  </si>
  <si>
    <t>-------MSEPVK-PSNVNLPNVLTGIRIVLIPVFVFAAYAGGGAGVIFSRDDVASGAARGSIAWMWVTVALFIAMMITDKLDGDIARARGIVTDFGKIADPIADKALMISALVCLNLWCGLPWWITVVIIARELGITLWRMVQLRRGVVVPASKGGKIKTTLQAAAVAAYFLPLGPVVHNIAVGLMLAAVVVTVVTGVMYLVDSFRVSPAAKA-</t>
  </si>
  <si>
    <t>--MSGQQQQAPAKQPSNWNVPNVLTSLRIIVIPVFAWLVLKGNNH----------------HIGWMWWSFGTFVALMITDKLDGDIARARGLITNFGKIADPIADKALMTTALVCLNYVGALPWWVTIVICIREFGITLWRMVQLRRGRVVPASRGGKIKTTLQAVAVAFYLVPLPDWMNVPKYAVMGAAVLVTVVTGLQYLLDS-RNTNASHV-</t>
  </si>
  <si>
    <t>MNDAVSSAPTPAK-PSNLNVPNILTSIRILAIPLFAWLVLRSEGQ----------------HMSWMLWSLGCFVALMITDKLDGDIARAKNLVTDFGKIADPIADKALISTALICLNINGSLPVWVTIVILVREIGITIWRMFELRKGNVVPASKGGKLKTVLQTIAVTLFLIPPAHIFHYPALVVMLIAVVVTTVTGCQYIVDSMKLKKTVTGE</t>
  </si>
  <si>
    <t>GC_00000474</t>
  </si>
  <si>
    <t>MTQLQCHSVLAGIDAKHPIVGGVSFTAAPHTMTAIVGVNGVGKSTLLRSLAGITRPLGGTVELQLDSASAPVDVHGLKPKARAKLMTLVGQEESPPGDLTVAEAVQLGRLPHLKSWQIGGKRERAIVEEALELVGMSHVADRPTVQLSGGQRRRVMLARGFAQGTDLIVLDEPTNHLDVHHQLHLLKVLRESGRTIVATIHDLDLAMAHFDQVVVLHKQPNDDVAGVLATGHPHDVLIPETIRETFDVRALVAQPGGACSPHVLIDSL</t>
  </si>
  <si>
    <t>MSHMEITRVSAGI-GNTTIVHDINFTITPGTMTALVGVNGAGKSTLLRALAGITKPHHGEVTLDGES------VHEIRPRRRAQLLTLVGQEENPPGDLTVSEMVTLGRLPHLKSWQMGGREEQEIVAEAIAMVGLTDVADRPCDQLSGGQRRRALLARGFAQHTDMVMLDEPTNHLDVYHQLHLLKVLRESGRTILATIHDLDLAMSHFDQVVVLYD------GTMLCAGPPEEVLIPDNLRVVFDVRAYIARLPEAISPHLIIDSL</t>
  </si>
  <si>
    <t>MSHMEITRVSAGI-GNTTIVHDINFTITPGTMTALVGVNGAGKSTLLRALAGITKPHHGEVTLDGES------VHEIRPRRRAQLLTLVGQEENPPGDLTVSEMVTLGRLPHLKSWQMGGREEQEIVAEAIAMVGLTDVADRPCDQLSGGQRRRALLARGFAQHTDMVMLDEPTNHLDVHHQLHLLKVLRESGRTILATIHDLDLAMSHFDQVVVLYD------GTMLCAGPPEEVLIPDNLRVVFDVRAYIARLPEAINPHLIIDSL</t>
  </si>
  <si>
    <t>GC_00000475</t>
  </si>
  <si>
    <t>K07670</t>
  </si>
  <si>
    <t>two-component system, OmpR family, response regulator MtrA</t>
  </si>
  <si>
    <t>KEGG Orthology (KO)&gt;&gt;&gt;09130 Environmental Information Processing&gt;&gt;&gt;09132 Signal transduction&gt;&gt;&gt;02020 Two-component system [PATH:ko02020]|Two-component system&gt;&gt;&gt;OmpR family&gt;&gt;&gt;MtrB-MtrA (osmotic stress response)</t>
  </si>
  <si>
    <t>MSPKLLVVDDDPAISEMLTLVLQSEGFETVAITDGAEAVAAAEREQPDLILLDLMLPGMNGIDICREIRKTSFVPIVMLTAKTDTVDVVLGLESGADDYVNKPFKPKELIARIRARLRRIEETPSELIELGELTIDVPGHIVKRDGKEIPLTPLEFDLLLHLARKPNQVFSREELLEKVWGYRHASDTRLVNVHVQRLRAKLERDPENPQIVLTVRGLGYKTVRA-</t>
  </si>
  <si>
    <t>MNAKILVVDDDPAISEMLTLVLQAEGFDTVAVADGAEAVGAAEAEQPDLILLDLMLPGMNGIDVCRTIRETSTVPIVMLTAKTDTVDVVLGLESGADDYVNKPFKAKELVARIRARLRRTEDEVSDVIELGDLTIDVAGHQVRRGNEEIPLTPLEYELLLLLARKPRQVVSREELLTSIWGYRSASDSRVVNVHVQRLRAKIEKDPENPQIIVTVRGVGYKTGCGE</t>
  </si>
  <si>
    <t>MTQKVLVVDDDPAISEMLTLVLSTEGFASVVVNDGGQAVEVFQRENPDLVLLDLMLPGMNGIDICRAIRQESTVPIVMLTAKTDTVDVVLGLESGADDYIPKPFKPKELVARVRARLRRSDESSTDSMEVGDLLIDVPGHSVSRDGEEISLTPLEFDLLHELASKPGQVFTREELLQRVWGYRNASDTRLVNVHVQRLRAKIEKDPEKPQIVLTVRGVGYKTGE--</t>
  </si>
  <si>
    <t>GC_00000476</t>
  </si>
  <si>
    <t>PF00411.24</t>
  </si>
  <si>
    <t>Ribosomal protein S11</t>
  </si>
  <si>
    <t>K02948</t>
  </si>
  <si>
    <t>small subunit ribosomal protein S11</t>
  </si>
  <si>
    <t>COG0100</t>
  </si>
  <si>
    <t>Ribosomal protein S11 (RpsK) (PDB:4V4H)</t>
  </si>
  <si>
    <t>MAAPKSARGRRTGRRVAKKNVAQGAAYIKSTFNNTIVSITDPNGAVISWASSGHVGFKGSRKSTPFAAQLAAENAARKAMEHGMKKVDVYVKGPGSGRETAIRSLSAAGLEVGTITDVTPHPHNGCRPPKRRRV</t>
  </si>
  <si>
    <t>MPPKARSGARRSGRRVVKKNVAHGAAYIKSTFNNTIVSITDPSGAVISWASSGHVGFKGSRKSTPFAAQMAAENAARKAMEHGMKKVDVYVKGPGSGRETAIRSLQAAGLEVNSISDVTPQPFNGCRPPKRRRV</t>
  </si>
  <si>
    <t>MPPKARSNARRTGRRVVKKNVAAGHAYIKSTFNNTIVSITDPHGAVISWASSGHVGFKGSRKSTPFAAQLAAENAARKAMDHGMKSVEVFVKGPGSGRETAIRSLQAAGLEVTKISDVTPQPFNGCRPPKRRRV</t>
  </si>
  <si>
    <t>GC_00000477</t>
  </si>
  <si>
    <t>PF00828.25</t>
  </si>
  <si>
    <t>Ribosomal proteins 50S-L15, 50S-L18e, 60S-L27A</t>
  </si>
  <si>
    <t>K02876</t>
  </si>
  <si>
    <t>large subunit ribosomal protein L15</t>
  </si>
  <si>
    <t>COG0200</t>
  </si>
  <si>
    <t>Ribosomal protein L15 (RplO) (PDB:1VS6)</t>
  </si>
  <si>
    <t>MSEPIKLHDLRPAKGANKAKTRVGRGEASKGKTAGRGTKGTKARKQVSAAFEGGQMPLHMRLPKLKGFKNPNKVTYQVVNVADLEKAFPNGGDVTVADIVAAGLARKRQPVKVLGNGDISVKLNVTATKFSTSAKEKIEAAGGTVTEAK--</t>
  </si>
  <si>
    <t>MSEPIKLHDLRPAPGANKAKTRVGRGEASKGKTAGRGTKGTKARKQVSAAFEGGQMPIHMRLPKLKGFKPHNKVVFQVVNVSDLEKAFPNGGDVTIADIVAAGLVRKKQPVKVLGNGEISVKLNVSANKFSGSAKEKIEAAGGTVTEV---</t>
  </si>
  <si>
    <t>MSDVIKLHDLRPAKGANKAKTRVGRGEGSKGKTAGRGTKGTKARKQVSAAFEGGQMPIHMRLPKLKGFKSRNKVIYQVVNVGDLGEAFPAGGDITVADIVAKGLVRKNQPVKVLGEGELSVKLNVTADKFSKSAQEKIEAAGGSVTAK---</t>
  </si>
  <si>
    <t>MSDVIKLHDLRPAKGANKAKTRVGRGEGSKGKTAGRGTKGTKARKQVSAAFEGGQMPIHMRLPKLKGFKSRNKVIYQVVNVGDLGEAFPAGGDITVADIVAKGLVRKNQPVKVLGEGELSVKLNVTADKFSKSAQEKIEAAGGSVTAVTAK</t>
  </si>
  <si>
    <t>GC_00000478</t>
  </si>
  <si>
    <t>PF01380.27</t>
  </si>
  <si>
    <t>SIS domain</t>
  </si>
  <si>
    <t>K00820</t>
  </si>
  <si>
    <t>glutamine---fructose-6-phosphate transaminase (isomerizing) [EC:2.6.1.16]</t>
  </si>
  <si>
    <t>COG0449</t>
  </si>
  <si>
    <t>Glucosamine 6-phosphate synthetase, contains amidotransferase and phosphosugar isomerase domains (GlmS) (PDB:2J6H)</t>
  </si>
  <si>
    <t>M00892|M00909</t>
  </si>
  <si>
    <t>UDP-N-acetyl-D-glucosamine biosynthesis, eukaryotes, glucose =&gt; UDP-GlcNAc|UDP-N-acetyl-D-glucosamine biosynthesis, prokaryotes, glucose =&gt; UDP-GlcNAc</t>
  </si>
  <si>
    <t>KEGG Orthology (KO)&gt;&gt;&gt;09100 Metabolism&gt;&gt;&gt;09101 Carbohydrate metabolism&gt;&gt;&gt;00520 Amino sugar and nucleotide sugar metabolism [PATH:ko00520]|KEGG Orthology (KO)&gt;&gt;&gt;09100 Metabolism&gt;&gt;&gt;09105 Amino acid metabolism&gt;&gt;&gt;00250 Alanine, aspartate and glutamate metabolism [PATH:ko00250]|Enzymes&gt;&gt;&gt;2. Transferases&gt;&gt;&gt;2.6  Transferring nitrogenous groups&gt;&gt;&gt;2.6.1  Transaminases&gt;&gt;&gt;2.6.1.16  glutamine---fructose-6-phosphate transaminase (isomerizing)|Peptidases and inhibitors&gt;&gt;&gt;Cysteine peptidases&gt;&gt;&gt;Family C44</t>
  </si>
  <si>
    <t>MCGIVGYVGHRS-------GLNVALEALRRMEYRGYDSSGIAVADGQGGLGVVKRAGKLANLDDLIEEVGADTL-QGSTAIGHTRWATHGRPTDVNAHPHVSFDNKAAIVHNGIIENFAPLRAELEAAGVELKSDTDSEVAAHLLARAYNEGDTAGDFEASARLVLSRLEGAFTLLMMHADHPDKIIAGRRSTPLIVGVGDNEMFLGSDVAAFIEYTKDAVELNQDNMVIITADGYAIFNFDGSPAQGKPFRIDWDLAAAEKGGYDSFMMKEIHEQPAAVRDTLAGHF-RDGRVVLDEQNLSESDMKNLDKVYVVACGSAYHSGLLAKYAIEHWVRIPVEIEVASEFRYRDPILDSRTLVVAISQSGETADTLEAVRHAKAQGAKVLAVCNTNGAQIPREADAVLYTHAGPEIGVASTKAFLAQVAANYIIGLALAQARGTKYPDEIARIWSDLESIPAQIEQVLTCEEEILRIGKNLGPIPTMLFLGRGVGFPVALEGALKLKELAYIHAEGFPAGELKHGPIALIEDDLPVVVIVPSPRGVKTLHSKIVSNIQEIRARGAKTIVIAEEGDTAVEPFANWLVRLPKSSTIMQPLLATVPLQFLAAEIARQCGNEDIDKPRNLAKSVTVE</t>
  </si>
  <si>
    <t>MCGIVGYVGTNNVPNREYFALDVVLEGLRRLEYRGYDSAGVAMLEG-GKINFRKKAGKVAGLD---EEIARDPLPDSVVGIGHTRWATHGAPTDANAHPHVVDGGKLAVVHNGIIENFAELKTELAAKGYTFASETDTEVAATLLG-DIMNGEGNGDLTESMRLTCNRLEGAFTLLALHVDFPDRIVAARRNSPLVIGLGEGENFLGSDVSGFIDYTKNAVEMANDQIVTITATDYSIIDFNGNEATGKPFKVEWDAAAAEKGGFNSFMEKEIHDQPAAVRDTLMGRFDENGKLTLDELHIDESILRSIDKIIVIACGTAAYAGLVARYAIEHWCRIPTEVELAHEFRYRDPIVNEKTLVVALSQSGETMDTLMAVRHAREQGAKVIAICNTHGSSIPRESDASLYTHAGPEIAVASTKAFLAQIAAVYLLGLYLAQLRGNMFADEVNATLEELRKIPDKIQKVIDNEEQVKQLGRDMQEASSVLFLGRHVGYPVALEGALKLKEIAYLHAEGFAAGELKHGPIALVEEGQPVFIIVPSPAGRESLHSKVVSNIQEVRARGAITIVIAEEGDEAVTQFANHVIRVPQSPTLMQPLLATVPLQLFAATVA-ECKGYDVDQPRNLAKSVTVE</t>
  </si>
  <si>
    <t>MCGIVGYVGTKNVPGRAYFALDVVLEGLRRLEYRGYDSAGVAVLDE-GKISFRKKAGKVAALD---EVIAADPLPQAVVGIGHTRWATHGGPTDANAHPHVVDGGKLAVVHNGIIENFAELKTELLEKGYTFKSETDTEVAATLLS-DFMHGAGEGDLTESMRLTCNRLEGAFTLLALHTDFPDRIVAARRNSPLVIGLGEGENFLGSDVSGFIDYTKNAVEMANDQIVTITATSYDIIDFAGNKAQGKPFKVEWDAAAAEKGGFSSFMEKEIHDQPTAVRDTLMGRFDENGKLTLDELHIDETVLRSIDKIIVIACGTAAYAGMVARYAIEHWCRIPTEVELAHEFRYRDPIVNEKTLVVALSQSGETMDTLMAVRHAREQGAKVIAICNTNGSSIPRESDACLYTHAGPEIAVASTKAFLAQIAAVYLLGLYLAELRGNMFADEVHKILDELREIPEKIQKVIDNEDQVKELGRSMKDATSVLFLGRHVGFPVALEGALKLKEIAYLHAEGFAAGELKHGPIALVEEGQPVFIIVPSPGGRESLHSKVVSNIQEVRARGAITIVIAEEGDKAVEQFANHVIRIPESPSLMQPLLATVPLQLFAATVA-ESKGYDVDQPRNLAKSVTVE</t>
  </si>
  <si>
    <t>MCGIVGYVGTKNIPGRAHFALDVVLEGLRRLEYRGYDSAGIAVLDE-GKISFRKKAGKVAALD---EVIAADPLPQAVVGIGHTRWATHGGPTDANAHPHVVDGGKLAVVHNGIIENFAELKTELAEKGYTFKSETDTEVAATLLS-DFMHGAGEGDLTESMRLTCNRLEGAFTLLALHTDFPDRIVAARRNSPLVIGLGEGENFLGSDVSGFIDYTKNAVEMANDQIVTITATSYDIIDFAGNKAQGKPFKVEWDAAAAEKGGFSSFMEKEIHDQPTAVRDTLMGRFDENGKLTLDELHIDETVLRSIDKIIVIACGTAAYAGMVARYAIEHWCRIPTEVELAHEFRYRDPIVNEKTLVVALSQSGETMDTLMAVRHAREQGAKVIAICNTNGSSIPRESDACLYTHAGPEIAVASTKAFLAQIAAVYLLGLYLAELRGNMFADEVHKILDELREIPEKIQKVIDNEDQVKELGRSMKDATSVLFLGRHVGFPVALEGALKLKEIAYLHAEGFAAGELKHGPIALVEEGQPVFIIVPSPGGRESLHSKVVSNIQEVRARGAITIVIAEEGDKAVEQFANHVIRIPESPSLMQPLLATVPLQLFAATVA-ESKGYDVDQPRNLAKSVTVE</t>
  </si>
  <si>
    <t>GC_00000479</t>
  </si>
  <si>
    <t>PF16268.10</t>
  </si>
  <si>
    <t>Domain of unknown function (DUF4921)</t>
  </si>
  <si>
    <t>COG1085</t>
  </si>
  <si>
    <t>Galactose-1-phosphate uridylyltransferase (GalT) (PDB:1GUP)</t>
  </si>
  <si>
    <t>MPHSFNSTPSPQQGPLTAQPEPIKVMADGTIKQVNPFSGTEVWTVPGRGNRPLGITRPNPQPLTPSAHTSTCAFCSDNYLQTPPEKARVTIPSAQATATSSSKAAQTKPRITTHTPARDLFDSVADFRRVANLFEIVTFDYWKANYGFIPSPEITAWRNNYIGNPQGLEHVRKIVASKMNFSGLSAPEIEALTDEEIAKLGWPFFAGGHDLIIGRRHFVDGATHDNQLASAGTLSVDEHRTLIRFTTEAITDLYGSNRYVPYVAAFQNWLKPAGASFDHLHKQLVAIDERGVQQSQEIAQLRHNPNMYNEWAVDYAGYHNLVIAENDHAVCFAGFGHRYPTLEIFSKSACGFPWEQSDEERDAMADLIHACHAAAGPDIPCNEEWHHTPIDLDITMPWRVMIKWRVSTLAGFEGGTKIYLNTLSPQGLRDRMVSAMYELRDQGHIARNIRIATECLLPRNSLRYNPFLGL</t>
  </si>
  <si>
    <t>-----------MSDHLHARPTPLVTMADGTIKQINPFSGTEVWTVPGRGNRPLSVPAATPQPLGPDAHTATCAFCSANKLSTPPEKSRMV------------QDARGTWSIQRGLLPAELDNSVAEFRRVPNLFEIVSYDYWQANYGFEMHPDVAEFMEKYLSDPQGREHVLTIVRTKLAAAGKDSSE---LSDKELLDQAGGFFAGGHDVIIGRRHYVDGAEYDNQLASSGTLTPEEHEQFIRFTLDSLEDLYA</t>
  </si>
  <si>
    <t>-----------MSDHLHARPTPLVTMADGTIKQINPFSGTEVWTVPGRGNRPLSVPAANPQPLGPDAHTATCAFCSANKLSTPPEKSRMV------------QDARGTWSIQRRLLPAELDNSVAEFRRVPNLFEIVSYDYWQANYGFEMHPDVAEFMEKYLSDPQGREHVLTIVRTKLAAAGKDSSE---LSDKELLDQAGGFFAGGHDVIIGRRHYVDGAEYDNQLASSGTLTPDEHEQFIRFTLDSLEDLYA</t>
  </si>
  <si>
    <t>-------------------------MADGTVKQINPFSGTEVWTVVGRGNRPLTTPPADTTPLTPGDRNDFCAFCQNRQLDTPPEKSRLV-------------AGKSGYEIVSGLEAEALSSNEAVFRRVPNLFEIVTYEYWKANYGFEMDAMTRERMDNYISTDLGREHVLRTIRTKRTAAGLSSED---MSDEELLKQAECFFAGGHDLIIGRRHFTDSATNRSDFAASGDLSITEHFGFIKFTVETIKDLYE</t>
  </si>
  <si>
    <t>GC_00000480</t>
  </si>
  <si>
    <t>MNPHAAHESADDAVTALALKAGRGDRAALTDFIQATQKDVWRLLAHLGGQDIADDLTQETYLRVMSALPRFAARSSARTWILSLARRVWVDNIRHDMARPRKASTQPEAIEARTPSSSTWTEWVDARLLIDALPPERREALILTQILGYTYEEAAKITGVRIGTIRSRVARARADVIAATHAQEQETKAWGLG--</t>
  </si>
  <si>
    <t>MNPRAAHESADDAVTALALKAGQGDRAALTDFIQATQKDVWRLLAHLGGQDIADDLTQETYLRVMSALPRFAARSSARTWILSLARRVWVDNIRHDMARPRKASTQPEAIEARTPSSSTWTEWVDARLLIDALPPERREALILTQILGYTYEEAAKITGVRIGTIRSRVARARADVIAATHAQEQETKAWGLG--</t>
  </si>
  <si>
    <t>GC_00000481</t>
  </si>
  <si>
    <t>PF01503.22</t>
  </si>
  <si>
    <t>Phosphoribosyl-ATP pyrophosphohydrolase</t>
  </si>
  <si>
    <t>K01523</t>
  </si>
  <si>
    <t>phosphoribosyl-ATP pyrophosphohydrolase [EC:3.6.1.31]</t>
  </si>
  <si>
    <t>COG0140</t>
  </si>
  <si>
    <t>Phosphoribosyl-ATP pyrophosphohydrolase (HisI2) (PDB:6J22)</t>
  </si>
  <si>
    <t>KEGG Orthology (KO)&gt;&gt;&gt;09100 Metabolism&gt;&gt;&gt;09105 Amino acid metabolism&gt;&gt;&gt;00340 Histidine metabolism [PATH:ko00340]|Enzymes&gt;&gt;&gt;3. Hydrolases&gt;&gt;&gt;3.6  Acting on acid anhydrides&gt;&gt;&gt;3.6.1  In phosphorus-containing anhydrides&gt;&gt;&gt;3.6.1.31  phosphoribosyl-ATP diphosphatase</t>
  </si>
  <si>
    <t>MAQVKNFDSLYIELSQRAAERPDGSATVEALDKGVHAIGKKIIEEAGEVWIAAEYQTDAELAEEISQLMYWTQVIMLARGITPDDIYKNL</t>
  </si>
  <si>
    <t>MVRVKDFDTLFTELTHR----KPGSGTDQAIAKGIHHLGKKVIEEAGEVWIAAEYQTDDELAEELSQLLYWAQTIMIARGLTPADVYKYL</t>
  </si>
  <si>
    <t>GC_00000482</t>
  </si>
  <si>
    <t>PF02784.22</t>
  </si>
  <si>
    <t>Pyridoxal-dependent decarboxylase, pyridoxal binding domain</t>
  </si>
  <si>
    <t>K01586</t>
  </si>
  <si>
    <t>diaminopimelate decarboxylase [EC:4.1.1.20]</t>
  </si>
  <si>
    <t>COG0019</t>
  </si>
  <si>
    <t>Diaminopimelate decarboxylase (LysA) (PDB:1D7K)</t>
  </si>
  <si>
    <t>M00016|M00525|M00526|M00527</t>
  </si>
  <si>
    <t>Lysine biosynthesis, succinyl-DAP pathway, aspartate =&gt; lysine|Lysine biosynthesis, acetyl-DAP pathway, aspartate =&gt; lysine|Lysine biosynthesis, DAP dehydrogenase pathway, aspartate =&gt; lysine|Lysine biosynthesis, DAP aminotransferase pathway, aspartate =&gt; lysine</t>
  </si>
  <si>
    <t>Pathway modules; Amino acid metabolism; Lysine metabolism|Pathway modules; Amino acid metabolism; Lysine metabolism|Pathway modules; Amino acid metabolism; Lysine metabolism|Pathway modules; Amino acid metabolism; Lysine metabolism</t>
  </si>
  <si>
    <t>KEGG Orthology (KO)&gt;&gt;&gt;09100 Metabolism&gt;&gt;&gt;09105 Amino acid metabolism&gt;&gt;&gt;00300 Lysine biosynthesis [PATH:ko00300]|KEGG Orthology (KO)&gt;&gt;&gt;09100 Metabolism&gt;&gt;&gt;09106 Metabolism of other amino acids&gt;&gt;&gt;00470 D-Amino acid metabolism [PATH:ko00470]|Enzymes&gt;&gt;&gt;4. Lyases&gt;&gt;&gt;4.1  Carbon-carbon lyases&gt;&gt;&gt;4.1.1  Carboxy-lyases&gt;&gt;&gt;4.1.1.20  diaminopimelate decarboxylase</t>
  </si>
  <si>
    <t>MLDQPKPSTPQPTIPKVDRAEIPDFNDLPGQVWPRNAQRQEDGVVTIAGVPLPEIAEEYGTPVFVVDEDDFRSRCRDMAQAFGGGEHVHYASKAFLTTTIARWVDEEGLCLDVASEGELRVALAAGFPAERVTAHGNNKSTSFLKLCVDAGVGHVVLDAPGELDTLNAVAAEAGRVQEVMVRVKPGVEAHTHEFIATSHEDQKFGFSLAAGSAHRAAQAVMRAENLSLVGLHCHVGSQVFDAEGFSLAAERVLGLWSQLAKE-----GAELEILDLGGGYGIAYTADEQPLDVKAIAADLLARIDAHAAARGIEAPKIMVEPGRAIAGPSTVTVYDTGVIKDVHVDDNATRRYIAVDGGMSDNIRPSLYDAAYDVRAVNRFCDGAPTASRIVGSHCESGDILLRDALLPDDIATGDLLAFAATGAYCYAMTSRYNYMLRPAVVSVRAGQ--STLMVRRESIDDVLAMEPGYTPPTQTKN</t>
  </si>
  <si>
    <t>------MSADHNANNLSHSDEATGFNGLPAHVWPLNARRQEDGVVTVAGVPLGEIAEEYGTPVMVVDEADFRSRCRDMAAAFGGGDRVHYASKAFLTTAIVRWVDEEGLCLDVASLGELTVALAAGFPPSRIAAHGNNKSSDFLRACVKNGVGIVVIDASQELELLDLIAANENCTQNVLVRVKPGIEAHTHEFIATSHEDQKFGFSLASGSAFDAACAAVRAENLRLVGLHCHVGSQVFDAEGFSLAAERVLGL</t>
  </si>
  <si>
    <t>-------MTHTPDFN------APTFNKLPAAVWPRTAMR--DGGVSIAGVSLTSIAKEYGTPVMVVDEIDFRSRCRDMARAFGGPEHVHYASKAFMTSRIVQWVNEEGLSLDIASHGELLVALHAGFPAERIAAHGNNKDAAFLRDCVSKGVGFVILDSHQEIEDLHAIATELGRTQDVLIRVKPGIDAHTHEFISTAHEDQKFGFSLASGSALKAARRVVELPNLRLIGLHCHVGSQVFDAEGFSLAAERILKL</t>
  </si>
  <si>
    <t>-------MTHTPDFN------APTFNKLPAAVWPRTAMR--DGGVSIAGVSLPSIAKEYGTPVMVVDEIDFRSRCRDMARAFGGPEHVHYASKAFMTSRIVQWVNEEGLSLDIASHGELLVALHAGFPAERIAAHGNNKDAAFLRDCVSKGVGFVILDSHQEIEDLNTIAAELGQTQDVLIRVKPGIDAHTHEFISTAHEDQKFGFSLASGSALKAARRVVELPNLRLIGLHCHVGSQVFDAEGFSLAAERILKL</t>
  </si>
  <si>
    <t>GC_00000483</t>
  </si>
  <si>
    <t>PF01084.26</t>
  </si>
  <si>
    <t>Ribosomal protein S18</t>
  </si>
  <si>
    <t>K02963</t>
  </si>
  <si>
    <t>small subunit ribosomal protein S18</t>
  </si>
  <si>
    <t>COG0238</t>
  </si>
  <si>
    <t>Ribosomal protein S18 (RpsR) (PDB:4V4H)</t>
  </si>
  <si>
    <t>MKRTNIKKARIEQSRRPKKNPLKANGIEKVDYKDLKTLRLFISDRGKIRSRRVTGLTPQQQRQVATAVKNAREMALLPFTSR</t>
  </si>
  <si>
    <t>MKRSNVKKARMEQSRRPKKNPLKAAGIEKVDYKDINTLRLFISDRHKIRSRRVTGLTPQQQRQVATAVKNAREMALLPFTSR</t>
  </si>
  <si>
    <t>MKRTNTKKVRMEQSRRPKKNPLKAAGIEKVDYKDINTLRQFISDRHKIRSRRVTGLTPQQQRQVATAVKNAREMALLPFTSR</t>
  </si>
  <si>
    <t>GC_00000484</t>
  </si>
  <si>
    <t>PF00180.25</t>
  </si>
  <si>
    <t>Isocitrate/isopropylmalate dehydrogenase</t>
  </si>
  <si>
    <t>C|E</t>
  </si>
  <si>
    <t>Energy production and conversion|Amino acid transport and metabolism</t>
  </si>
  <si>
    <t>K00052</t>
  </si>
  <si>
    <t>3-isopropylmalate dehydrogenase [EC:1.1.1.85]</t>
  </si>
  <si>
    <t>COG0473</t>
  </si>
  <si>
    <t>Isocitrate/isopropylmalate dehydrogenase (LeuB) (PDB:1GC9)</t>
  </si>
  <si>
    <t>KEGG Orthology (KO)&gt;&gt;&gt;09100 Metabolism&gt;&gt;&gt;09101 Carbohydrate metabolism&gt;&gt;&gt;00660 C5-Branched dibasic acid metabolism [PATH:ko00660]|KEGG Orthology (KO)&gt;&gt;&gt;09100 Metabolism&gt;&gt;&gt;09105 Amino acid metabolism&gt;&gt;&gt;00290 Valine, leucine and isoleucine biosynthesis [PATH:ko00290]|Enzymes&gt;&gt;&gt;1. Oxidoreductases&gt;&gt;&gt;1.1  Acting on the CH-OH group of donors&gt;&gt;&gt;1.1.1  With NAD+ or NADP+ as acceptor&gt;&gt;&gt;1.1.1.85  3-isopropylmalate dehydrogenase</t>
  </si>
  <si>
    <t>MKIAVIGGDGIGPEVTAEALKVLQAVRDDITTTDFDLGARRYLRNGELLTDADIEVLREHDAILLGAIGAPGAVPPGVLERGLLLKMRFALDHHVNLRPSKLYPTATSPLANPGEIDFIVVREGTEGLYCGNGGTLREGTPHEVASEVSQNTRFGVERVVRDAFERAQARRKHLTLVHKTNVLVNAGSLWQRTVNEVAQEFPEVTVDYNHIDAATIYMVTDPARYDVIVTDNLFGDILTDLAGAVTGGIGLAASGNIDATGTNPSMFEPVHGSAPDIVGQGIADPTAAILSAAMMLRHLGDEDNARRIEEAVAEDVAGRGDSPIRTVEVGDRIANAIRGGAQR</t>
  </si>
  <si>
    <t>MKLAVIGGDGIGPEVTAEALKVLNTVRNDIETTDYDLGARRYLKNGELLTDADLASLREHDAILLGAIGAPGDVPPGVLERGLLLKMRFALDHHVNLRPAKLYPTSTSPLANPGEIDFVVVREGTEGLYCGNGGTLREGTPHEVASEVSQNTRYGVERVVRDAFARAQARRKHLTLVHKTNVLVNAGGLWQRTVDEVATEFPEVTVDYNHIDAATIYMVTDPGRYDVIVTDNLFGDILTDLAGAVTGGIGLAASGNIDATNQNPSMFEPVHGSAPDIAGQGIADPTAAILSAAMLLRHLGDVDNAERIEAAVARDVATRGDAPIRTAEVGDRIAAALAG----</t>
  </si>
  <si>
    <t>MRLAVIGGDGIGPEVTAEALKVLRACRDDIDTTDYDLGARRYLATGELLTDDDLRSLKEHDAILLGAIGAPGEVPPGVLERGLLLTMRFALDHHVNLRPAKLYPTATSPLANPGDIDFVVVREGTEGLYCGNGGSLRKNTPHEVASEVSQNTRFGVERVVRDAFERAQHRRKHLTLVHKTNVLVHAGGLWQRTVDEVAQEYPDVTVDYNHIDAATIYMVTDPARYDVIVTDNLFGDILTDLAGAVTGGIGLAASGNIDATGVNPSMFEPVHGSAPDIAGQGIADPTAAILSAAMLLRHLRDEENAARIEAAVAADVAARGDEPVRTVAVGDRIAAAVKH----</t>
  </si>
  <si>
    <t>MRLAVIGGDGIGPEVTAEALKVLRACRDDIDTTDYDLGARRYLATGELLTDDDLRSLKEHDAILLGAIGAPGEVPPGVLERGLLLTMRFALDHHVNLRPAKLYPTATSPLANPGDIDFVVVREGTEGLYCGNGGSLRKNTPHEVASEVSQNTRFGVERVVRDAFERAQHRRKHLTLVHKTNVLVHAGGLWQRTVDEVAQEYPDVTVDYNHIDAATIYMVTDPARYDVIVTDNLFGDILTDLAGAVTGGIGLAASGNIDATGVNPSMFEPVHGSAPDIAGQGIADPTAAILSAAMLLRHLRDEENAARIEAAVAADVAARGDEPIRTVAVGDRIAAAVKC----</t>
  </si>
  <si>
    <t>GC_00000485</t>
  </si>
  <si>
    <t>K06158</t>
  </si>
  <si>
    <t>ATP-binding cassette, subfamily F, member 3</t>
  </si>
  <si>
    <t>Translation factors&gt;&gt;&gt;Eukaryotic type&gt;&gt;&gt;Initiation factors&gt;&gt;&gt;Initiation associated factors</t>
  </si>
  <si>
    <t>--------MIVTNDLEVRVGARTLLNAPGQLLRVQPGDRIGLVGRNGAGKTTTMRILAGEGEPYGGTVIRSGDIGYLPQDPREGNIEVTARDRVLSARGLDQIMTSMDRQQAIMETTSDDKKRDAAIRKYSRLEEQYHALGGYEASSEAARICDALGLEARILDQQLKTLSGGQRRRVELARILFAASQGSGKSTTTLLLDEPTNHLDADSISWLREFLKKHEGGLIMISHDVELLEAVCNKVWFLDAVRGEADI</t>
  </si>
  <si>
    <t>MVRLNYLIVIVTNDCEVRVGARTLLHAPGQHLRVQPGDRIGLVGRNGAGKTTTMRILAGESEPYGGSVTRSGPVGYLPQDSREGNLEQSARDRVLSARGLEQIMASMERQQEVMETTTDDRKRDAAIRKYSRLEEQYHQLGGYEASSEAARICDALGLPARILDQQLSTLSGGQRRRVELARILFSASGGSGKSTTTLLLDEPTNHLDADSITWLRDFLSKHEGGLIMISHDVELLDAVCNKVWFLDAVRGEADVYNMGWAQYQDARATDEARRRRERANAEKKASALRKQAAKLGAKATKAAAAKQMVARADKLMGELEEVRIADRVAHITFPEPSPCGKTPLNATGLTKMYGSLEVFAGVDLAIDRGSRVVVLGFNGAGKTTLLKLLAGVERTDGEGGIVSGHGLKIGYFAQEHDTIDPEASVWENTIRACPDAGEQDLRGLLGAFMFSGEQLQQPAGTLSGGEKTRLALAALVSSRANVLLLDEPTNNLDPISREQVLDALRTYKGAIVLVTHDPGAVKALNPERVIILPDGVEDLWNDDYMEIVELA</t>
  </si>
  <si>
    <t>--MLVFSLVIVTNDFEVRVGARTLLTAPKQQLRVQPGDRIGLVGRNGAGKTTTMRILAGETEPYGGSVTRSGEIGYLPQDSREGNLEQTARDRVLSARGLDTIMRNMDRQQEIMETTEDPRRRDQAIKKYARLEERYHSLGGYEGNAEAAQICDTLGLPARVLDQPLKTLSGGQRRRVELAQILFAASAGSGKSTTTLLLDEPTNHLDADSIMWLREFLAKHEGGLVLISHDVKLLAAVCNKIWFLDAVRAEVDV</t>
  </si>
  <si>
    <t>GC_00000486</t>
  </si>
  <si>
    <t>PF00709.27</t>
  </si>
  <si>
    <t>Adenylosuccinate synthetase</t>
  </si>
  <si>
    <t>K01939</t>
  </si>
  <si>
    <t>adenylosuccinate synthase [EC:6.3.4.4]</t>
  </si>
  <si>
    <t>COG0104</t>
  </si>
  <si>
    <t>Adenylosuccinate synthase (PurA) (PDB:1ADE)</t>
  </si>
  <si>
    <t>M00049</t>
  </si>
  <si>
    <t>Adenine ribonucleotide biosynthesis, IMP =&gt; ADP,ATP</t>
  </si>
  <si>
    <t>KEGG Orthology (KO)&gt;&gt;&gt;09100 Metabolism&gt;&gt;&gt;09104 Nucleotide metabolism&gt;&gt;&gt;00230 Purine metabolism [PATH:ko00230]|KEGG Orthology (KO)&gt;&gt;&gt;09100 Metabolism&gt;&gt;&gt;09105 Amino acid metabolism&gt;&gt;&gt;00250 Alanine, aspartate and glutamate metabolism [PATH:ko00250]|Enzymes&gt;&gt;&gt;6. Ligases&gt;&gt;&gt;6.3  Forming carbon-nitrogen bonds&gt;&gt;&gt;6.3.4  Other carbon-nitrogen ligases&gt;&gt;&gt;6.3.4.4  adenylosuccinate synthase</t>
  </si>
  <si>
    <t>MAAIVIVGAQWGDEGKGKATDILGGLVDYVVKPNGGNNAGHTVVVGGEKYELKLLPAGVLSENATPILGNGVVINLEALFEEIDGLEARGANASRLRISANAHVVAPYHQVLDRVQERFLGKRAIGTTGRGIGPTYADKVSRVGIRVQDIFDESILRQKVESALDVKNQILVKMYNRKAIVAEEIVQYFLSYADRLRPMVIEAELELNKALDEGKHVLMEGGQATMLDVDHGTYPFVTSSNPTAGGACVGSGIGPTKITSSLGIIKAYTTRVGAGPFPTELFDKWGEFLQTTGGEIGVNTGRKRRCGWYDSVIARYASRVNGFTDLFLTKLDVLTGIGEIPICVAYDVDGTRFDEMPMTQSDFHHASPIYETMPAWDEDITGCKSFEELPQKAQDYVLRLEELSGCRISYIGVGPGRDQTIVRHDVMDN</t>
  </si>
  <si>
    <t>MAAIVIVGAQWGDEGKGKATDILGGQVDYVVKPNGGNNAGHTVVVGGEKYELKLLPAGVLSENAVPVLGNGVVINLEALFDEIDGLESRGADASRLRISANAHVVAPYHQVLDRVQERFLGKRAIGTTGRGIGPAYADKVSRVGIRVQDIFDESILRQKVESALDVKNQILVKMYNRKAIVAEEIVQYFLGYADRLRPMVIESELELNKALDQGKHVLMEGGQATMLDVDHGTYPFVTSSNPTAGGACVGSGIGPTRVTSSLGIVKAYTTRVGAGPFPTELFDKWGEYLQTTGGEVGVNTGRKRRCGWYDSVIARYASRVNGFTDLFLTKLDVLTGIGEIPICVAYDVDGVRHDEMPITQSDFHHAVPIYETMPAWDEDISECTTFDELPQKAQDYVRRLEELSGCRISYIGVGPGRDQTIVINDVMES</t>
  </si>
  <si>
    <t>MAAIVIVGAQWGDEGKGKATDILGGLVDYVVKPNGGNNAGHTVVVGGEKYELKLLPAGVLSENATPILGNGVVINLEALFAEIDGLTSRGADASRLRISANAHLVAPYHQVLDRVQERFLGKRAIGTTGRGIGPAYADKVSRVGIRVQDIFDESILRQKIESALDVKNQILVKLYNRQAIDVEETVQYFLSYADRLRPMVIDAELVLNQALDAGKHVLMEGGQATMLDVDHGTYPFVTSSNPTAGGACVGSGVGPTRITSSLGIMKAYTTRVGAGPFPTELFDKWGEFLQATGGEIGVNTGRKRRCGWYDSVIARYASRVNGFTDLFLTKLDVLTGIGEIPICVAYDVDGVRHDEMPLTQSEFHHAVPIYETMPAWDEDITGCRSFADLPQKAQDYVRRLEELSGCRISYIGVGPGRDQTIVLHDVMA-</t>
  </si>
  <si>
    <t>MAAIVIVGAQWGDEGKGKATDILGGLVDYVVKPNGGNNAGHTVVVGGEKYELKLLPAGVLSENATPILGNGVVINLEALFAEIDGLTSRGADASRLRISANAHLVAPYHQVLDRVQERFLGKRAIGTTGRGIGPAYADKVSRVGIRVQDIFDESILRQKIESALDVKNQILVKLYNRQAIDVEETVQYFLSYADRLRPMVIDAELVLNQALDAGKHVLMEGGQATMLDVDHGTYPFVTSSNPTAGGACVGSGVGPTRITSSLGIMKAYTTRVGAGPFPTELFDKWGEFLQATGGEIGVNTGRKRRCGWYDSVIARYASRVNGFTDLFLTKLDVLTGIGEIPICVAYDVDGVRHDEMPLTQSEFHHAVPIYETMPAWDEDITGCRSFADLPEKAQDYVRRLEELSGCRISYIGVGPGRDQTIVLHDVMA-</t>
  </si>
  <si>
    <t>GC_00000487</t>
  </si>
  <si>
    <t>PF04286.17</t>
  </si>
  <si>
    <t>Protein of unknown function (DUF445)</t>
  </si>
  <si>
    <t>COG2733</t>
  </si>
  <si>
    <t>Uncharacterized membrane-anchored protein YjiN, DUF445 family (YjiN)</t>
  </si>
  <si>
    <t>---------MDTTLDVPGPSPEVEAQRRAQLRRYKAIATGLLLFATAIYFYCRWLE-Q-SDPAPWVGFVRAAAEAGMIGGLADWFAVTALFRRPLGLPIPHTAIVKNKKDQIGESLSGFVGENFLNAELVTQKIRSADLPAKAGSWLSNEDNAQKVSSEIGSLTASILRAIDPQDGEAVIKHSLIEPLAAPEWGPPAGRMLEQLIDSGRTEPIIDEVFAWAHRKAIGAEEFITLILDERRPTWAPKILNEVVGQK</t>
  </si>
  <si>
    <t>MSDKAVDVAAQDRLAVPGPSPEVEAERRRVLRRYKAVATGLLLVAAAIYFACRWAEAQPGETATWVGFVRAAAEAGMIGGLADWFAVTALFRKPLGLPIPHTAIVRNKKDQIGESLSGFVGENFLNAELITQKVRAAGIPDRAGEWLSQPENAEKVSSEAGRLTANIVRALDPKDAEAVINTMLIDKLAQPEWAPPAGRLLEQLIEEGRTEPVVDEMVQWLHRKALGSEALITRILDERLPTWAPQFLNDVVGDKVYRELVQWTSAVSTDPNHEARHAIRRFLNNLARDLQEDPTMIQRVEDMKHDIMGSTPVQGLASALWASTSTTLIDAAENPDSLLRQKVAELAVSWGNNLRSDAELRESLDRRITGAAAFLADNYADEVTSIISETVERWDADEASDKIELMVGKDLQYIRLNGTVVGALAGLLIYTVSHLIFGA---</t>
  </si>
  <si>
    <t>--MEKPVITATQRLAVPGPSPEMEALRRTELRRYKALATGLLLIAAVIFFGCRWWEAQ-GHTGAWVGFVRAAAEAGMVGGLADWFAVTALFRYPLGLKIPHTAIIRRKKDQVGEALSGFVGENFLNAELITEKVSKAEVPERIAKWLVEPDNAEKVSREVGKFVANAVNALDPKDAEAVIRASLIDKLSKPEWGPPLGRVLQKLADGGQIEPLVDQFVAWMHKKALTSEDFITRVLDDRAPIWAPRFVNELVGDR</t>
  </si>
  <si>
    <t>GC_00000488</t>
  </si>
  <si>
    <t>PF02773.21</t>
  </si>
  <si>
    <t>S-adenosylmethionine synthetase, C-terminal domain</t>
  </si>
  <si>
    <t>K00789</t>
  </si>
  <si>
    <t>S-adenosylmethionine synthetase [EC:2.5.1.6]</t>
  </si>
  <si>
    <t>COG0192</t>
  </si>
  <si>
    <t>S-adenosylmethionine synthetase (MetK) (PDB:1FUG)</t>
  </si>
  <si>
    <t>M00609|M00034|M00035|M00368|M00953</t>
  </si>
  <si>
    <t>Cysteine biosynthesis, methionine =&gt; cysteine|Methionine salvage pathway|Methionine degradation|Ethylene biosynthesis, methionine =&gt; ethylene|Mugineic acid biosynthesis, methionine =&gt; 3-epihydroxymugineic acid</t>
  </si>
  <si>
    <t>Pathway modules; Amino acid metabolism; Cysteine and methionine metabolism|Pathway modules; Amino acid metabolism; Cysteine and methionine metabolism|Pathway modules; Amino acid metabolism; Cysteine and methionine metabolism|Pathway modules; Amino acid metabolism; Cysteine and methionine metabolism|Pathway modules; Biosynthesis of other secondary metabolites; Biosynthesis of phytochemical compounds</t>
  </si>
  <si>
    <t>KEGG Orthology (KO)&gt;&gt;&gt;09100 Metabolism&gt;&gt;&gt;09105 Amino acid metabolism&gt;&gt;&gt;00270 Cysteine and methionine metabolism [PATH:ko00270]|KEGG Orthology (KO)&gt;&gt;&gt;09100 Metabolism&gt;&gt;&gt;09108 Metabolism of cofactors and vitamins&gt;&gt;&gt;00670 One carbon pool by folate [PATH:ko00670]|KEGG Orthology (KO)&gt;&gt;&gt;09100 Metabolism&gt;&gt;&gt;09110 Biosynthesis of other secondary metabolites&gt;&gt;&gt;00999 Biosynthesis of various plant secondary metabolites [PATH:ko00999]|Enzymes&gt;&gt;&gt;2. Transferases&gt;&gt;&gt;2.5  Transferring alkyl or aryl groups, other than methyl groups&gt;&gt;&gt;2.5.1  Transferring alkyl or aryl groups, other than methyl groups (only sub-subclass identified to date)&gt;&gt;&gt;2.5.1.6  methionine adenosyltransferase</t>
  </si>
  <si>
    <t>MADNANNANTVRLFTSESVTEGHPDKICDAISDTILDAMLAVDPHSRVAVETVVTTGLVHVVGEVRCDGYVEIPQLVRNKLRDIGFTSSEVGFDGTTCGVTVAIGEQSQEIGAGVDAALEVRSGENTEVEDQNGAGDQGLMFGYATDETPEFMPLPISLAHKLARRLTEVRKEGIVDHLRPDGKTQVTLAYDDGGTPLYIDTIVISTQHDPGISQDWLYTQLLDNVVKPVVEASNLSNLLGEHFKLLVNPSGSFILGGPMGDAGLTGRKIIVDTYGGMARHGGGAFSGKDPSKVDRSAAYAMRWVAKNIVAAGLAHRAEVQVAYAIGRAKPVGLYVETFGTAQQGLTDSCIQAAVEKVFDLRPAAIIRELDLLRPMYAQTAAYGHFGRDDLNVPWEQVNRVDELKAAAGIA-</t>
  </si>
  <si>
    <t>MTQAEASHRQLRLFTSESVTEGHPDKICDAISDTILDAMLAKDPHSHVAVETVVTTGLVHVVGEVRCSGYVEIPQLVRDRLRDIGFTSSEVGFDGTTCGVTVAIGEQSHEISAGVENSHEMRSGQEVEDNDRNGAGDQGLMFGYATNETPEYMPLPISLAHRLARRLTEVRKKGIVPNIRPDGKTQVTFAYDENNKPVYLDTVVISTQHDPDVTQEWLEQQLRTHVLQPVIADAELEDLVTDELTLLVNPSGSFTLGGPMGDAGLTGRKIIVDTYGGMARHGGGAFSGKDPSKVDRSAAYAMRWVAKNVVAAGLADRVEVQVAYAIGRAKPVGLYVETFGTAAEGLTDEAIQAAVSEVFDLRPAAIIRDLDLLRPIYAQTAAYGHFGRTDLDLPWEHTNRVQELRAAAGL--</t>
  </si>
  <si>
    <t>-----MPHNTLRLFTSESVTEGHPDKICDAISDSILDAILAQDPTGRVAVETLVTTGQVHVVGEVRTTSYVDIATLVRQTLVDIGFVSSDVGFDGRTCGVNIAIGEQSAEIGDSVSVSQEVRDGHDTDADDQAGAGDQGLMFGYASNETPEYLPLPISLAHRLSRRLTQVRKEGIVPHLRPDGKTQVTLGYDDAGRPVRLDTVVVSAQHDPDVTQEWLRQQLQTHVVDWVLDDANLDGIDTTSYTLLVNPSGSFI</t>
  </si>
  <si>
    <t>-----MPHNTLRLFTSESVTEGHPDKICDAISDSILDAILAQDPTGRVAVETLVTTGQVHVVGEVRTTSYVDIATLVRQTLVDIGFVSSDVGFDGRTCGVNIAIGEQSAEIGDSVSVSQEVRDGHDTDADDQAGAGDQGLMFGYASNETPEYLPLPISLAHRLSRRLTQVRKEGIVPHLRPDGKTQVTLGYDDVGRPVRLDTVVVSAQHDPDVTQEWLRQQLQTHVVDWVLDDANLDGIDTTSYTLLVNPSGSFI</t>
  </si>
  <si>
    <t>GC_00000489</t>
  </si>
  <si>
    <t>COG0566</t>
  </si>
  <si>
    <t>tRNA G18 (ribose-2'-O)-methylase SpoU (SpoU) (PDB:1GZ0)</t>
  </si>
  <si>
    <t>MSTQPASFDAIDGVVRPDDPHDPRLDDFRDLNNSDHRPDLPDGKGLVIAEGALVVGRLIDSRYPVRAIVGFGSKLRGFIDAYAEEHGIAAEDPASTRVACVQHLHSLGIEIYEVSRALLAEVAGFDMHRGLVAVAQRTEPLSVTQAIDGARTVVVLEGVGDLENIGSIFRNAAGMGVDAVLFGAGCADPLYRRVVRVSMGHVLRLPFAFFEGSTRNWHHSMQQLHEAGFTTVSLTPDPQAPTIAAAL---QGV--EKAALLVGAEGPGLSERTMHYTHTRARIPMAEGTDSLNLATAAAIAFYERDRH--LHG-</t>
  </si>
  <si>
    <t>--------------MFITDPGDPRLDDVRDLNSSDSRPDLPGGKGLVIGEGPLVVGRMLESRFPVRSIVGFAPKLHTFLD----THQVPDDVP-----------------VHEVPREVLAQVAGFDMHRGLVAAADRAPALSVDEVIRDASTVAVLEGVGDHENIGSLFRNAAGMGVDAILFGAGCADPLYRRVVRVSMGHVLRLPFAHLGGTTTTWQRSLSQLHHAGFHTVSLTPDAGAVDLSTALVDAQHTPY</t>
  </si>
  <si>
    <t>K03437</t>
  </si>
  <si>
    <t>RNA methyltransferase, TrmH family</t>
  </si>
  <si>
    <t>Transfer RNA biogenesis&gt;&gt;&gt;Prokaryotic type&gt;&gt;&gt;tRNA modification factors&gt;&gt;&gt;Methyltransferases</t>
  </si>
  <si>
    <t>GC_00000490</t>
  </si>
  <si>
    <t>K06196</t>
  </si>
  <si>
    <t>cytochrome c-type biogenesis protein</t>
  </si>
  <si>
    <t>COG0785</t>
  </si>
  <si>
    <t>Cytochrome c biogenesis protein CcdA (CcdA) (PDB:5VKV)</t>
  </si>
  <si>
    <t>Transporters&gt;&gt;&gt;Other transporters&gt;&gt;&gt;Transmembrane electron carriers [TC:5]</t>
  </si>
  <si>
    <t>----------MTELVTDGPLILGFFAAALAGLISFASPCVVPLVPGYMSYLASIVGGSVNIVD--GRAVI-NKKTHVAAAALLFVLGFTTIFLLATVSIFGAINTITLNATLLQKIGGIITILMGLTFMGALPWLQNTTRIAPKK-LSTWLGAPLLGAIFALGWTPCLGPTLASIISISVGTQGATAARGALMVIGYCLGLGLPFILFAIFSTHALNWVNWLGTHTRTIQLIGGIALVLVGCALLTGLWDHVVGF</t>
  </si>
  <si>
    <t>PF02683.22</t>
  </si>
  <si>
    <t>Cytochrome C biogenesis protein transmembrane domain</t>
  </si>
  <si>
    <t>MLTTAAIGTTFATTAATGPLFLGILAAMAAGLVSFASPCVIPLVPGYISYLAGLVGGTVTYHDNNGPLVTKQSRLKVTTAALLFVLGFTTIFILTSVTVFGAISILTLSSAILMRIGGAITILMGIIFLGGIPFLQQEKRIHPTTIWSTWVGAPLLGAIFALGWTPCLGPTLASIISVAAGTEGMTAARGILLIIGYCLGLGIPFILVAFGSTKAMTGVGFLRRHSRTIQLIGGITLILVGLALITGLWGDFINWIRIITSEFGATLI</t>
  </si>
  <si>
    <t>MLTTAAIGTTFATTAATGPLFLGILAAMAAGLVSFASPCVIPLVPGYISYLAGLVGGTVTYHDNNGPLVTKQSRLKVTTAALLFVLGFTTIFILTSVTVFGAISFLTLSSAILMRIGGAITILMGIIFLGGIPFLQQEKRIQPTTTWSTWVGAPLLGAVFALGWTPCLGPTLASIISVAAGTEGMTAARGILLIIGYCLGLGIPFILVAFGSTKAMTGVGFLRRHSRTIQLIGGITLILVGLALITGLWGDFINWIRIITSEFGATLI</t>
  </si>
  <si>
    <t>GC_00000491</t>
  </si>
  <si>
    <t>PF01595.25</t>
  </si>
  <si>
    <t>Cyclin M transmembrane N-terminal domain</t>
  </si>
  <si>
    <t>K03699</t>
  </si>
  <si>
    <t>magnesium and cobalt exporter, CNNM family</t>
  </si>
  <si>
    <t>COG1253</t>
  </si>
  <si>
    <t>Hemolysin-related protein, contains CBS domains, UPF0053 family (TlyC) (PDB:2NQW)</t>
  </si>
  <si>
    <t>ko02000|ko02042</t>
  </si>
  <si>
    <t>Transporters&gt;&gt;&gt;Other transporters&gt;&gt;&gt;Pores ion channels [TC:1]|Bacterial toxins&gt;&gt;&gt;Type II toxins: Membrane damaging toxins&gt;&gt;&gt;Pore-forming toxins, Other</t>
  </si>
  <si>
    <t>----MILLMVPLLLLVNAFFVAAEFSLISSRRDRLEALVAQGKGRARTVIKASEQLSMMLAAAQLGITIASLILGKVGEPAIAHLIEAPAHALGLPDGMLHPLSFGIALLLVTFLHIILGEMVPKNIALAGPETVAMLLVPTHLLFVKITRPFIIAMNWIAGHTLKAFGIQQRDELDSIVDPEQLATMITESRSEGLLDAEEHARLNMALHSDARNVREVLIPLSEVNTFSMA---PTLGELNEAVNATGFSRFP</t>
  </si>
  <si>
    <t>MNALPAILFAAVLLAINAFFVSAEFALISSRRDRLDALIAQGKTRARTVLYATEHLSMMLAGAQLGITIASLLLGKVGEPAIALMIETPFHAAGMPDNLLHPVSFAIALALVTVLHIILGEMVPKNIALAGPESVAMLLVPMHMWFVRITRPLIVLMNWMARVTLRMFGIEQKEELDSTVDRQQLATMIRESRSEGLLDAEEHARLNKALGTESRLMKEVLIPRAQVHTLTLTRDGIAVDELEQAVSSTGFSRFPVIGVGGE-YAGYIHVKDVLDDLVNHSDASSDASTITPVFLPRSSLRRLISVDGSTTLDAAMRLMRRRSAHMAEVRERGQLLGIITLEDLIEEYVGTVRDWTHEEEP---------</t>
  </si>
  <si>
    <t>MGVITTITLIIALLGGNALFVAAEFALISSRRDRIENLIANGNTRANRVLGAISHLSINLAACQLGITICSLILGKVAEPAIAHYLTIPFEHLGIPHQLLHPLSFVLALAIITYLHILLGEMVPKNISLTNPETLAIWLTPPLLFWARLSRPLISMMNAVARHTLKLVGIEQRDELNATVDENQLKTMITESRSEGLLDAEEHARLSKALRS-GRTLAEVMIPLTKVRTLTFGARGPLLTDVEQAVRETGFSRFPVEITPGT-FQGYVHVKDVLDRFDAGKTYPPNA------IVHRSEIRPLHNIDVNETLDRALHDLHHKSAHMAQVRDHGRVVGVVTLEDLIEEYLGTFNDWTHSNNRGGNTTPPAA</t>
  </si>
  <si>
    <t>GC_00000492</t>
  </si>
  <si>
    <t>PF03453.22</t>
  </si>
  <si>
    <t>MoeA N-terminal region (domain I and II)</t>
  </si>
  <si>
    <t>K03750</t>
  </si>
  <si>
    <t>molybdopterin molybdotransferase [EC:2.10.1.1]</t>
  </si>
  <si>
    <t>COG0303</t>
  </si>
  <si>
    <t>Molybdopterin Mo-transferase (molybdopterin biosynthesis) (MoeA) (PDB:2NQU) (PUBMED:18801996;32239579)</t>
  </si>
  <si>
    <t>M00880</t>
  </si>
  <si>
    <t>Molybdenum cofactor biosynthesis, GTP =&gt; molybdenum cofactor</t>
  </si>
  <si>
    <t>KEGG Orthology (KO)&gt;&gt;&gt;09100 Metabolism&gt;&gt;&gt;09108 Metabolism of cofactors and vitamins&gt;&gt;&gt;00790 Folate biosynthesis [PATH:ko00790]|Enzymes&gt;&gt;&gt;2. Transferases&gt;&gt;&gt;2.10  Transferring molybdenum- or tungsten-containing groups&gt;&gt;&gt;2.10.1  Molybdenumtransferases or tungstentransferases with sulfide groups as acceptors&gt;&gt;&gt;2.10.1.1  molybdopterin molybdotransferase</t>
  </si>
  <si>
    <t>MRSVEEQLAIVTAAARAPEPVRLALTESLGLMCAEEVQATRPLPGFPQAAIDGYAVRAVDVGGERPI-------------VARDRG--QEQPAKPRAVEGLGPLPVVGEVSAGSGQPLRLQPKQAVRVHTGAPLPALADAVLPLEWSDRGTRRVKPVKVVRSGDFVRHPGDDIRPGDVAVSPNSILGPAQIGLLAAVGRSKVLVYPRPRVTIMSFGSEFVDIDREPGLGQVYDVNSYALAAAAKDAGADVHRVGIIDGEPRRLAEIIEAQLLRSEVLVISGAVGGAGSRRILEVLEGLGRIDTTRVAMHPGSVQGFGLLGEAEIPTFLVPNNPVAALVAFEIFVRPLIGAALGKTTSRRRTVRARSLGHLQSRMGRRGFIRARLMRDAQTQDYLVEGMGGATGAPAHLLAGMGQANALIRIPEHVSEVRPGDVVEVLFLSQGA-</t>
  </si>
  <si>
    <t>MRSVDQQLALVTQAAVSPEPVRIAIADAMGLMCAEEVQAAKALPGFAQAAIDGYAVRAVDVGGERSLHHQQRRRGEGDGDAARNNGDTQERSSRQHAAAPQKSLPVVGEVPAGSQQPLRLQPKQAVRVHTGAPLPTLADAVLPLEWSDRGQKRVMPTRPVRSGAFVRRAGDDIQPGDVAVTPGSVLGPAHIGLLAAVGRSKVLVYPRPRMSVLSVGSELVDIDREPGLGQVFDVNSYALAAAGREAGADVHRVGIAAGEPRRIREIIEGQMLRSEIIVVSGAVGGSGNENIRKVLADLGEIDTTRVAMHPGSVQGFGLLGDERIPVFLLPSNPVSSLVIFEIFIRPVIRLALGKRHAARRVVRARALNPLESRPGRRGYIRARLMRDAETQDYLVEGLGGASGAPAHLLAGLGDANAMIRIPEDVTHIRPGDVVEVIFLSQTA-</t>
  </si>
  <si>
    <t>MRSVEEQLTLVTQQAVAPEPVRIAIAESLGLMCAEEVQAQRPLPGFDQAAIDGYAVRAVDVGGERGL------------------G--QD-PTADITPTTEISLPVVGEVAAGSGRPLRLQPKQAVRVHTGAPLPTLSDAVIPLAWTDRGRKRMTALKPVRSGEFVRKQGDDIRPGDVAVSQGAILSPAHIGLLAAVGRSKVLVHPRPRMSIMSIGHELVDIDREPSLGQVLDVNSYSLAAAGRAAGADVHRVGIAAGEPRRLKEIIEAQMLRSELIVISGAVGGSGSTTIREILADLGELDTTRVAMHPGSVQGFGLLGDKKIPVFLLPSNPVSALVIFEIFIRPVVRICLGKRTFQRRAVRARALNHVGSKAGRRGYVRARLMRDAHTQDYLVEGLGGANGAPAHLLAGLSDANAMIRIPEEVTDVRPGDIVEVIFLSQTGN</t>
  </si>
  <si>
    <t>GC_00000493</t>
  </si>
  <si>
    <t>PF01641.26</t>
  </si>
  <si>
    <t>SelR domain</t>
  </si>
  <si>
    <t>K07305</t>
  </si>
  <si>
    <t>peptide-methionine (R)-S-oxide reductase [EC:1.8.4.12]</t>
  </si>
  <si>
    <t>COG0229</t>
  </si>
  <si>
    <t>Peptide methionine sulfoxide reductase MsrB (MsrB) (PDB:1L1D)</t>
  </si>
  <si>
    <t>KEGG Orthology (KO)&gt;&gt;&gt;09190 Not Included in Pathway or Brite&gt;&gt;&gt;09191 Unclassified: metabolism&gt;&gt;&gt;99980 Enzymes with EC numbers|Enzymes&gt;&gt;&gt;1. Oxidoreductases&gt;&gt;&gt;1.8  Acting on a sulfur group of donors&gt;&gt;&gt;1.8.4  With a disulfide as acceptor&gt;&gt;&gt;1.8.4.12  peptide-methionine (R)-S-oxide reductase</t>
  </si>
  <si>
    <t>MTDFKLLTDDEWRKRLTNMEFHVLREAGTEPPFVGEYTDTTASGVYSCRACGEELFRSTEKFSSHCGWPSFFSPLAQDRIIQRADDSHGMRRTEVLCANCGSHLGHVFEGEGYDTPTDLRYCINSISLTF--EEGQQQ</t>
  </si>
  <si>
    <t>MTDFKLLTDDEWRKRLTNMEFHVLREAGTEPPFVGEYTDTTASGVYSCRACGEELFRSTEKFSSHCGWPSFFSPLAQDRIIQRADNSHGMRRTEVLCANCGSHLGHVFEGEGYDTPTDLRYCINSISLTF--EEGQQQ</t>
  </si>
  <si>
    <t>MTDFQLFTDAQWRERLSSEEYRVLRQAGTEAPHVGEYVDTKTQGVYSCRACGTELFRSTEKFDSHCGWPSFFSPLAGDRVIEREDRSHGMVRTEVVCANCGSHLGHVFAGEGYDTPTDLRYCINSISLRLVPQQVTED</t>
  </si>
  <si>
    <t>GC_00000494</t>
  </si>
  <si>
    <t>MEDFANDASLR-SARTTGGVA---------------RMDALFQAVEQEWQEYALCAQTDPEAFFPEKGGSTREAKRICQACSVRDECLEYALLNDERFGIWGGLSERERRRLKKQIS</t>
  </si>
  <si>
    <t>MENIAGDAMPRGNAKSDDGEQNSGLQSSQQGHRVEFSFDALFSAVEQEWQEQALCAQTDPEAFFPEKGGSTREAKRICQACSVRDECLEYALEHDERFGIWGGLSERERRRLKKQIS</t>
  </si>
  <si>
    <t>MDYKASNSAPR----TRSGRS--------------MSLDDLFGAAEQEWQEQALCAQTDPEAFFPEKGGSTREAKRICQACAVRDECLEYALLNDERFGIWGGLSERERRRLKRDIG</t>
  </si>
  <si>
    <t>GC_00000495</t>
  </si>
  <si>
    <t>PF00584.25</t>
  </si>
  <si>
    <t>SecE/Sec61-gamma subunits of protein translocation complex</t>
  </si>
  <si>
    <t>K03073</t>
  </si>
  <si>
    <t>preprotein translocase subunit SecE</t>
  </si>
  <si>
    <t>COG0690</t>
  </si>
  <si>
    <t>Preprotein translocase subunit SecE (SecE) (PDB:5MG3) (PUBMED:29684280)</t>
  </si>
  <si>
    <t>MSDDLQPEN--KDLRPSGKRQVVGVSASATTSSEAYAARRAKENKAELEESGRGAVKDFFPEVVDEMKRVIWPTGRQMVNYTAIVLAFLIVLTAIVAGVDFLAGLGVEKVLIRD</t>
  </si>
  <si>
    <t>MTEHKRPDNAVATARPTGKRQVTG----AATNSEAYKAKQARGKESS-DEQHGGGVAAFFPEVVQEMRKVIWPTARQMVVYTSIVFAFLIIATALVAGVDFLAGMGVEKVLTR-</t>
  </si>
  <si>
    <t>MSENQPKHG--AGARPTGKRQLAGV---STTSTATYKGKQVVANDDD-DAPRQNKVVAFMPEVVSEMRKVIWPTARQMLNYTIIVFAFLILLTGLVAGVDFLAGIGVEKVLVR-</t>
  </si>
  <si>
    <t>MSENQPKHG--AGARPTGKRQLAGV---STTSTATYKGKQVVTNDDD-DAPRQNKVVAFMPEVVSEMRKVIWPTARQMLNYTIIVFAFLILLTGLVAGVDFLAGIGVEKVLVR-</t>
  </si>
  <si>
    <t>GC_00000496</t>
  </si>
  <si>
    <t>MGIIAAQTKATHAKTSSRRRNRPSPRERLLASATQLFTTEGIRVIGIDRILREADVAKASLYSLFGSKDALVIAYLQDLDQKWRDTWRERTADMEHPEDKILAFFDMCLDEEPAKDFRGSHFQNAANEYPRPETEGERGIVAAVMEHRRWCHQTMTDLLTEKNGYPGTTQANQLLVFIDGGMAGAKLSRSLLPLETARDLAKQLLSAPPADYSI</t>
  </si>
  <si>
    <t>MGIIAAQTKATYAKTSSRRRNRPSPRERLLASATQLFTTEGIRVIGIDRILREADVAKASLYSLFGSKDALVIAYLQDLDQKWRDTWRERTADMEHPEDKILAFFDMCLDEEPAKDFRGSHFQNAANEYPRPETEGERGIVAAVMEHRRWCHQTMTDLLTEKNGYPGTTQANQLLVFIDGGMAGAKLSRSLLPLETARDLAKQLLSAPPADYSI</t>
  </si>
  <si>
    <t>MPLAKAGSAAPSTSGVSRRRSRPTPRQRLLDGATKLFTTEGIRVIGIDRILREADVAKASLYSLFGSKDALVIAYLKRMDEQWRQAYQERIADLKTPDEKILAFFDQVIEEEPAKQFRGSHFQNAATEFPRPETDAERGIIQAVIDHREWKLATLTDLLTEKNGYPGRSQALQLLVLLDGGLAGGRVSQSIEPLQLARDLAVQLLAAPPADYSI</t>
  </si>
  <si>
    <t>GC_00000497</t>
  </si>
  <si>
    <t>PF00221.24</t>
  </si>
  <si>
    <t>Aromatic amino acid lyase</t>
  </si>
  <si>
    <t>K01745</t>
  </si>
  <si>
    <t>histidine ammonia-lyase [EC:4.3.1.3]</t>
  </si>
  <si>
    <t>COG2986</t>
  </si>
  <si>
    <t>Histidine ammonia-lyase (HutH) (PDB:1B8F)</t>
  </si>
  <si>
    <t>M00045</t>
  </si>
  <si>
    <t>Histidine degradation, histidine =&gt; N-formiminoglutamate =&gt; glutamate</t>
  </si>
  <si>
    <t>KEGG Orthology (KO)&gt;&gt;&gt;09100 Metabolism&gt;&gt;&gt;09105 Amino acid metabolism&gt;&gt;&gt;00340 Histidine metabolism [PATH:ko00340]|Enzymes&gt;&gt;&gt;4. Lyases&gt;&gt;&gt;4.3  Carbon-nitrogen lyases&gt;&gt;&gt;4.3.1  Ammonia-lyases&gt;&gt;&gt;4.3.1.3  histidine ammonia-lyase</t>
  </si>
  <si>
    <t>--MITVSTGPLSIDDVVAVARHDEPIRLSDEARAGIAATRQHIDKLAEQQEPVYGVSTGFGALARRHIPHEQRTQLQRSLVRSHAAGSGPEVEREVIRALMLLRLSTLATGRTGVRVEVADTYAAMLNAGITPIVHEYGSLGCSGDLAPLSHCALALMGEGRVRD-AQGRAMDAAEALAAADIEPLVLREKEGLALINGTDGMLGQLCLAIVDLRQLAKTADLAVAMSVQGLRGTTGVFEPHLQALRPQPGQAVS</t>
  </si>
  <si>
    <t>MNAVSVGVGPLSIDDVVNVARFDAPVELTDEALATIADTRHRIEELANDPTPVYGISTGFGALARRHIPKDLRAQLQRSLVRSHAAGSGPEVEREVVRALMLLRLSTLATGRTGVRPVVASTYAAVLNAGITPVVHEYGSLGCSGDLAPLAHCALALMGEGFVRVGADGPVIPAADALADHGIEPLVLEEKEGLALINGTDGMLGMLCLAIHDLTRLAQVADISTAMTVEGLCGSLGVFDDDLQQLRPHPGQAVSAANVRLVAGNSEILAKSREDFSRSHVQDAYSVRCSPQVTGAFRDTIDHARRVADWELAAAVDNPVVALDGRVASNGNFHGAPVAYVLDFLAIVAADVASMSERRTDRFLDVARNRGLNAFLADDPGVDSGHMIAQYTQAAIVSELKRNAAPASADSIPSSAMQEDHVSMGWSAGRKLRRSVDGLIRVLAIEVLTAARAIDMRA---PLTPAVGTGAVVACLREVIEGPGTDRFLSPEIEKAVELVASGAVVDAVRAAVGELG</t>
  </si>
  <si>
    <t>-MTITVGIGALTITDVVNVARHDTPIILDPAALAEVAKTRQHIEELATEPTPVYGVSTGFGALARRHIPQELRTQLQRSLVRSHAAGSGPEVERDVIRALMLLRLSTLMTGRTGVRPVVVETYAALLNAGITPIVYEYGSLGCSGDLAPLAHCALALMGEGDVRL-ADGTKTPAADALAAAGITPLILAEKEGLALINGTDGMLGMLCLTLADLANLITTADIATAMTLEGLRGTPTVFADDLQQLRPHPGQARC</t>
  </si>
  <si>
    <t>GC_00000498</t>
  </si>
  <si>
    <t>PF00162.24</t>
  </si>
  <si>
    <t>Phosphoglycerate kinase</t>
  </si>
  <si>
    <t>K00927</t>
  </si>
  <si>
    <t>phosphoglycerate kinase [EC:2.7.2.3]</t>
  </si>
  <si>
    <t>COG0126</t>
  </si>
  <si>
    <t>3-phosphoglycerate kinase (Pgk) (PDB:13PK)</t>
  </si>
  <si>
    <t>ko00001|ko00001|ko00001|ko01000|ko04147</t>
  </si>
  <si>
    <t>KEGG Orthology (KO)&gt;&gt;&gt;09100 Metabolism&gt;&gt;&gt;09101 Carbohydrate metabolism&gt;&gt;&gt;00010 Glycolysis / Gluconeogenesis [PATH:ko00010]|KEGG Orthology (KO)&gt;&gt;&gt;09100 Metabolism&gt;&gt;&gt;09102 Energy metabolism&gt;&gt;&gt;00710 Carbon fixation by Calvin cycle [PATH:ko00710]|KEGG Orthology (KO)&gt;&gt;&gt;09130 Environmental Information Processing&gt;&gt;&gt;09132 Signal transduction&gt;&gt;&gt;04066 HIF-1 signaling pathway [PATH:ko04066]|Enzymes&gt;&gt;&gt;2. Transferases&gt;&gt;&gt;2.7  Transferring phosphorus-containing groups&gt;&gt;&gt;2.7.2  Phosphotransferases with a carboxy group as acceptor&gt;&gt;&gt;2.7.2.3  phosphoglycerate kinase|Exosome&gt;&gt;&gt;Exosomal proteins&gt;&gt;&gt;Proteins found in most exosomes</t>
  </si>
  <si>
    <t>MAVKTLQDLLDEGVDGRYVLVRSDFNVPLDDNGVITDPGRITASLPTLKALAEGGAKVVVMAHLGRPKGEVNPKFSLAPVAEALSDALGQYVALASDVVGEDAHERANGLTEGDVLLLENVRFDPRETSKDEAERGEFADQLVALVPD-GVFVSDGFGVVHRAQASVYDVAQRLPHYAGKLVGKEIDVLKKVAEQPAQPYVVVLGGSKVSDKLGVIEALSTKADKLIIGGGMCYTFLAAQGYNVQKSLLQEEMIDTCKDLLARHGDKIVLPVDLVAAETFAADAANQVVALDAIPEGWMSLDIGPKSVELFAETLNSAKTVFWNGPMGVFEFPAFAAGTRGVAQAIIDATAQGCFSVVGGGDSAASVRVLGLDEEGFSHISTGGGASLEYLEGKQLPGVAVLAS</t>
  </si>
  <si>
    <t>MTVKTLQDLLAEGVEGRYVLVRSDFNVPLNDKQEITDSGRIKASLPTLKALSEAGAKVIVMAHLGRPKGEPNPKYSLAPVAAALSDELGQYVALASDVVGEDAHERANGLTDGDVLLVENVRFDPRETSKDEAERGEFADQLVALTAEGGAFVSDGFGVVHRAQASVYDVAKRLPHYAGGLVEKEIDVLKKVAEDPAKPYVVVLGGSKVSDKLGVIEALAPKTDALIIGGGMCYTFLAAQGVNVQKSLLQEEMIDTCKSLLERYGDKIVLPVDLVAATEFAADAEKKIVPVNEIPEGWMSLDVGPETVKKFAGILASAKTVFWNGPMGVFEFEAFSDGTRGVAQAIIDSTKNGCFSVVGGGDSAASVRLLGLDEDGFSHISTGGGASLEYLEGKELPGVAVLND</t>
  </si>
  <si>
    <t>MAVKTLQDLISEGVAGRHILVRSDFNVPLNEAGEITDAGRITASLPTIKALSEAGAKVILMAHLGRPKGQVNPKFSLAPVATALTDALGQYVALAGDVVGEDAHERANGLTDGDVLLLENVRFDPRETSKDEAERGAFADQLVALAADNGAFVSDGFGVVHRAQASVYDVAQRLPHYAGGLVQKEIDVLKKVAEAPERPYVVVLGGAKVSDKLGVIQALAQKADKVIIGGGMCYTFLAAQGINVQQSLLQEEQIDKCKELLEEFGSKLVLPVDLVAAAGFAADADNKIVSLTDIPEGWMSLDVGPETVKKYAEVLATAKTVFWNGPMGVFEFAAFANGTRGVAEAIINATKAGAFSVVGGGDSAAAVRQLGLDEAGFSHISTGGGASLEYLEGKTLPGVAVLES</t>
  </si>
  <si>
    <t>MAVKTLQDLISEGVAGRHILVRSDFNVPLNEAGEITDAGRITASLPTIKALSEAGAKVILMAHLGRPKGQVNPKFSLAPVATALTDALGQYVALAGDVVGEDAHERANGLTDGDVLLLENVRFDPRETSKDEAERGAFADQLVALAADNGAFVSDGFGVVHRAQASVYDVAQRLPHYAGGLVQKEIDVLKKVAEAPERPYVVVLGGAKVSDKLGVIQALAQKADKVIIGGGMCYTFLAAQGINVQQSLLQEEQIDKCKELLEEFGSKLVLPVDLVAAASFAADADNKIVPLTDIPEGWMSLDVGPETVKKYAEVLATAKTVFWNGPMGVFEFAAFANGTRGVAEAIINATKAGAFSVVGGGDSAAAVRQLGLDEAGFSHISTGGGASLEYLEGKTLPGVAVLES</t>
  </si>
  <si>
    <t>GC_00000499</t>
  </si>
  <si>
    <t>MGQYNAEGETTRSKGTRSTPEDVSGIKVLDRAVLIMEAIATKPRSLGELSEATGLPRATTHRLATALEAHRLLWRTSSNQWAIGPRAEQLAGLQQDRLLDVAEHIMSTVLDDTKESVQLYRQTGLQRICVASMEPKTGLQNTVPVGTRMTLRAGSAAKVFVAFGDETLREAVLPQAP-FSTEELSGVVSKGWAESISEREPGLASVSVPVF-FEDKLIAALSISGPAERLGDTPGKRFGPTLVSASEAITQAML</t>
  </si>
  <si>
    <t>MGQYNAPDAASG-----------SGIKVLDRAVLILTTIADQPRSLAELCQATKLPRATAHRLATALETHRMLSRTADGRWSIGSALTSLGSGSSDTLIDAATPIMNALMQRTGESVQLYRLTGTSRTCIASKEPPSGLQNTVPVGSRMPLTAGSSAHVFMAYAPPTLRDSILADAA-FTPATLQRVRSTGYAESVSEREPGLASLSAPVFDHTGSIVAVLSISGPAERLRPHPGARWATELIDAAKNLGAAL-</t>
  </si>
  <si>
    <t>--------------------------------MLILVTIGEKPRSLTELCEATGLPRATAHRLASALETHHILTRTADGRWTIGAVLTSLGARSATTLVDAATPIMAALMADTGESVQLYQLAGAHRVCIAAQEPASGLQNTVPTGSRLPLTAGSAAKIFLAYSSPALKATIMAENPSFTLQDIDEARDQGWAESISEREVGLASLSAPVFNGEGLFVAALSISGPAERLKPHPGALWADHLVAAATQLSAAL-</t>
  </si>
  <si>
    <t>GC_00000500</t>
  </si>
  <si>
    <t>PF00573.27</t>
  </si>
  <si>
    <t>Ribosomal protein L4/L1 family</t>
  </si>
  <si>
    <t>K02926</t>
  </si>
  <si>
    <t>large subunit ribosomal protein L4</t>
  </si>
  <si>
    <t>COG0088</t>
  </si>
  <si>
    <t>Ribosomal protein L4 (RplD) (PDB:1VS6)</t>
  </si>
  <si>
    <t>MSNLKLDVHTADGKTNGQVDLPAEIFDREASVALMHQVVNAQLAAKRQGTHATKTRSMVSGGGKKPFRQKGTGRARQGSIRAPHFTGGGISHGPQPRDYTQRTPKKMKAAALFGALTDRVRHDRIHVVEELVTGQTPSTKAARAFIERLTERKNVLFVVGREDVVSIKSANNLPGVHILHQDQLNTYDVLNSDDVVFSVEALNSFVN---RVVGAGEEK</t>
  </si>
  <si>
    <t>MTNLKLDVHTADGGTNGQVELPADIFDREASIALMHQVVNAQLAAKRQGTHSTKTRGEVSGGGRKPFRQKGTGRARQGSIRAPHFTGGGISHGPKPRDYSQRTPKKMKAAALRGALTDRARHSRIHVVEELVPGQNPSTKAARAFIERLTDRKSVLLVLGREDKTAWKSARNLPDVHILVADQLNTYDVLKSDDVVFSVEALTSFINHASKKAAAEEEK</t>
  </si>
  <si>
    <t>MSHLTLDVQTAAGSTAGQVELPAEIFDREVSISLLHQVVNAQLAARRQGTHSTKTRGEVRGGGKKPFRQKGTGRARQGSIRAPHFTGGGISHGPKPRNYSQRTPKKMIKAALYGALSDRARHARIHVVDELVAGQKPSTKSALAFLSRLTDRKKILFVVGRDDVTSRLSARNLPGVTIRYQDQLNTYDVLYSDDVVFSVEALNAFIA---RTTAAAEKA</t>
  </si>
  <si>
    <t>GC_00000501</t>
  </si>
  <si>
    <t>K21685</t>
  </si>
  <si>
    <t>LuxR family transcriptional regulator, regulator of acetate metabolism</t>
  </si>
  <si>
    <t>Transcription factors&gt;&gt;&gt;Prokaryotic type&gt;&gt;&gt;Helix-turn-helix&gt;&gt;&gt;LuxR family</t>
  </si>
  <si>
    <t>MVEIQRMKDDEDAVRSALSSLKTATGIPVTMYATVLADNRLQINQWVGLRTPALQNLVIEPGIGVGGRVLTTRRPVGVSDYTRANVISHELDTYIQDEGLHSIVAVPVIVTREIRGVLYVGVHSPVRLGDKVIEEVTMTARSLEQDLAVNAAARRAEGVRGGAAPKQGRMMNGAEWEQIRSTHSKLRMLANRIEQDDIRAELEDLCDQMVAPVRVKQTTKLSARELDVLSCVALGHTNVEAAEEMGIGAETVKSYLRSVMRKLGAHTRYEAVNAARRIGALP</t>
  </si>
  <si>
    <t>GC_00000502</t>
  </si>
  <si>
    <t>PF00557.29</t>
  </si>
  <si>
    <t>Metallopeptidase family M24</t>
  </si>
  <si>
    <t>K01265</t>
  </si>
  <si>
    <t>methionyl aminopeptidase [EC:3.4.11.18]</t>
  </si>
  <si>
    <t>COG0024</t>
  </si>
  <si>
    <t>Methionine aminopeptidase (Map) (PDB:3J2I)</t>
  </si>
  <si>
    <t>ko01000|ko01002</t>
  </si>
  <si>
    <t>Enzymes&gt;&gt;&gt;3. Hydrolases&gt;&gt;&gt;3.4  Acting on peptide bonds (peptidases)&gt;&gt;&gt;3.4.11  Aminopeptidases&gt;&gt;&gt;3.4.11.18  methionyl aminopeptidase|Peptidases and inhibitors&gt;&gt;&gt;Metallo peptidases&gt;&gt;&gt;Family M24</t>
  </si>
  <si>
    <t>--MTRL-LTPGTPTPIRTVPNHIERPEYVWKDTVQEAMGEPFVQTPEVIEKMREASKIAANALAEAGKAVTPGVTTDEIDRVAHEYMCDHGAYPSTLGYRDFPKSCCVSLNEIVCHGIPDSTVIEDGDIVNIDVTAYKNGVHGDTNATFLAGNVSEEHRLLVERTKEATMRGIRAAKPGREINVIGRVIEVYAKRFGYNVVRDFTGHGIGTTFHNGLVVMHYDAPEYTDILEPGMTLTVEPMINLGALPYDIWDD</t>
  </si>
  <si>
    <t>MSNSRARLIPGKPTPIRTVPEQIDCPEYVWKDTVQEAMGEPVVQSPEVIEAMREASKIAANALVVAGRAVEPGVTTDELDRLAHEYMCDHGAYPSTLGYRGFTKSCCTSLNEVVCHGIPDTTVIQDGDIVNIDVTAYKNGVHGDTNATFLAGDVSEEHRLLVERTREATMRGIKAAKPGREINVIGRVIESYAKRFGYNVVRDFTGHGVGPTFHNGLVVLHYDSDMYTDLLEPGMTLTIEPMINLGELPYDIWDDGWTVVNRDGKFTAQFEHTIVITDDGNEILTIPDEDV----------</t>
  </si>
  <si>
    <t>-MTNRKPLVQEKSTPIRTVPDNIPRPEYAWRDEVQENCGEPWVQTPETIEAMREASKIAANALYEAGKAVAPGVTTDELDRIAHEYMLDHGAYPSTLGYLDFPKSCCVSLNEIVCHGIPDTTVIEDGDIVNIDVTAFKNGVHGDTNATFLAGNVSEEHRLLVERTKAAMMRGIKAAKPGREINVIGRVIESYAKRFGYTVVRDFTGHGVGPTFHNGLVVLHYDSDTYTNLLQPGMTLTIEPMINLGGLDYRIWDN</t>
  </si>
  <si>
    <t>-MTNRKPLVQEKSTPIRTVPDNIPRPEYAWRDEVQENCGEPWVQTPETIEAMREASKIAANALYEAGKAVAPGVTTDELDQIAHEYMLDHGAYPSTLGYLDFPKSCCVSLNEIVCHGIPDTTVIEDGDIVNIDVTAFKNGVHGDTNATFLAGNVSEEHRLLVERTKVAMMRGIKAAKPGREINVIGRVIESYAKRFGYTVVRDFTGHGVGPTFHNGLVVLHYDSDTYTNLLQPGMTLTIEPMINLGGLDYRIWDN</t>
  </si>
  <si>
    <t>GC_00000503</t>
  </si>
  <si>
    <t>PF10066.14</t>
  </si>
  <si>
    <t>Uncharacterized conserved protein (DUF2304)</t>
  </si>
  <si>
    <t>K09153</t>
  </si>
  <si>
    <t>small membrane protein</t>
  </si>
  <si>
    <t>COG2456</t>
  </si>
  <si>
    <t>Uncharacterized conserved protein, DUF2304 domain</t>
  </si>
  <si>
    <t>KEGG Orthology (KO)&gt;&gt;&gt;09190 Not Included in Pathway or Brite&gt;&gt;&gt;09193 Unclassified: signaling and cellular processes&gt;&gt;&gt;99992 Structural proteins</t>
  </si>
  <si>
    <t>MSQQLIIQLILLIATAGLVVYFLGNRRKARAKAGVKLGFLVFIFACVWAMLRPEDLTKVANFVGVGRGTDLLLYGLVVAFMFTTLSSYIRFREQELRYARLARAVALQNAVKPEDQIS--</t>
  </si>
  <si>
    <t>MTGQLLMQLFLLLATATLVLYFLGNRRKARAKAGVKLGFLLFIAACIWAVLRPDDLTIVANYVGVSRGTDLLLYLLVVAFMFTTLSSYIRFRELELRYARLARAVALQNAIAPEPDTEEE</t>
  </si>
  <si>
    <t>--MTTIVQALLLATTILLVLYFLTNRRKARAKAGVKLGFVLLVLLAIWAVLRPDDVTVVAQAVGVARGTDLMLYVLIMAFGFTTLSTWIRFREQELRYAQLARAIALQNAVRPEEEFLT-</t>
  </si>
  <si>
    <t>GC_00000504</t>
  </si>
  <si>
    <t>PF18075.7</t>
  </si>
  <si>
    <t>FtsX extracellular domain</t>
  </si>
  <si>
    <t>K09811</t>
  </si>
  <si>
    <t>cell division transport system permease protein</t>
  </si>
  <si>
    <t>COG2177</t>
  </si>
  <si>
    <t>Cell division protein FtsX (FtsX)</t>
  </si>
  <si>
    <t>MRLGYILREALHGLGRNLTMTIALVITTAISLALLATGFLVTGMTERTKEIYLDRVEVMIQLDDKTSAEDPNCKSKECTEVRKLLEDAEGKGVESVTFRNREQSYERFVDVFQNTDPQLVEATSKDAFPAAFHVRMKDPLDTSSLDPVRKLPQVSDVIDQVDDLRGATDNLDAVRNATFILAGIQAIAAIFLIANMVQIAAFSRREEMSIMRLVGASRWFTQAPFVVEAVIAALVGAVCSVGGLFAGKALLLDKALKGLYDSQLIAPVTTNDLWVVSPIVAIVGVFFAAITAQITLRFYVRK</t>
  </si>
  <si>
    <t>MRLAFVFREGLRGLGQNITMTIALVITTAISLALLSTGFLVTGMTERTKEIYLDRVEVMVELDEDISASDKDCSSAKCSEVHKLLEESS--GVESVTYRNREQSYQRFMELFQDSDPLLAQETSKDALPAVLHVRLKDPLDTSPLDAVRGLSQVSDVIDQVEDLHGATENLDAIRNATFILAAVQAIAAMFLIVNMVQIAAFSRREEMSIMRMVGASRWFTQAPFVLEAVLAVLVGSLLAVFGLIMGKSLVVDKALESLYRSQLVAPVTTQDIGVVFPVVALAGMIFAAITAAVTLRLYVRK</t>
  </si>
  <si>
    <t>MRLAFVFREGLRGLGQNITMTIALVITTAISLALLSTGFLVTGMTERTKEIYLDRVEVMVELDEDISASDKDCSSAKCSEVHKLLEESS--GVESVTYRNREQSYQRFMELFQDSDPLLAQETSKDALPAVLHVRLKDPLDTSPLDAVRGLSQVSDVIDQVEDLHGATENLDAIRNATFILAAVQAIAAMFLIVNMVQIAAFSRREEMSIMRMVGASRWFTQAPFVLEAVFAVLVGSLLAVFGLIMGKSLVVDNALESLYRSQLVAPVTTQDIGVVFPVVALAGMIFAAITAAVTLRLYVRK</t>
  </si>
  <si>
    <t>MSFNFVIREALRGLGRNLTMTMALIITTAISLALLATGFLVTTMTERTKDIYLDRVEVMVQFNDDVSAKDKDCTSKECTEVRDLLSKSD--GVASVTFRSREQSYQRYVELFQESDPLLVKETSPDALPAALHVRLTNPLDTTPLNPIRQLPQVATIIDQVDDLSDATSNLDAIRNATFLFAAVQALAAIFLIVNMVQITAFNRRQETEIMRMVGASRWYTQAPFVLEAIIAVLAGSILSALALFAGKIWVVDKILKVLYDSQLVARVTTADIWLITPIVALIGIAFAAITAQGTLRWYVRK</t>
  </si>
  <si>
    <t>GC_00000505</t>
  </si>
  <si>
    <t>K00800</t>
  </si>
  <si>
    <t>3-phosphoshikimate 1-carboxyvinyltransferase [EC:2.5.1.19]</t>
  </si>
  <si>
    <t>COG0128</t>
  </si>
  <si>
    <t>5-enolpyruvylshikimate-3-phosphate synthase (AroA) (PDB:4N3P)</t>
  </si>
  <si>
    <t>KEGG Orthology (KO)&gt;&gt;&gt;09100 Metabolism&gt;&gt;&gt;09105 Amino acid metabolism&gt;&gt;&gt;00400 Phenylalanine, tyrosine and tryptophan biosynthesis [PATH:ko00400]|Enzymes&gt;&gt;&gt;2. Transferases&gt;&gt;&gt;2.5  Transferring alkyl or aryl groups, other than methyl groups&gt;&gt;&gt;2.5.1  Transferring alkyl or aryl groups, other than methyl groups (only sub-subclass identified to date)&gt;&gt;&gt;2.5.1.19  3-phosphoshikimate 1-carboxyvinyltransferase</t>
  </si>
  <si>
    <t>MSASVALATVALPRLHLSPTTVVAMSWNAPTAPD--RPIDAFVTVPGSKSMTNRALVLAALANAPSTVVGALRSRDSDLMIAGLQAMGARIDEDCSGAQPV---LRVVPGPIGGAEVDCGLAGTVMRFLPPVAALAASDDGGPACVRFDGDEQARKRPMGSVLGALRSVGVDVAGDALPFEVCSSGYRPQGGTVTIDASASSQFVSGLLLSGARYASGLEVRHSGGRVPSMPHIEMTVEMLRSAGVDVAVDGSHSPSWWRVVSGPIAGRQWVIEPDLSNATPFLAAAAVTGGCVTTP-WPESTTQPGEEIRPILEAMGARVVFEACASGDNSDGALGRLRVCGPSDGV-----LQGVEWDMSAIGELTPTVAALAAVASTPSHLYGIAHLRGHETDRLQALAAEINRLGGACEELDDGIRITPAP---LHGGVWHSYADHRMATAGAIIGLKVDGVMVDDIETTSKTLPGFAGMWSDMLGLASDGAV</t>
  </si>
  <si>
    <t>MVGVEELSSETLP------------VW---LAPHTRTPIDGVITVPGSKSITNRAFILAALADGPSAIVGALRSRDTNLMLAALKSIGVGVRDQGSE-------IHIEPRPLRGGTINCGLAGTVMRFVPPVAAIATGT------VFFDGDPQARTRPMSTMLDALRELGIQVQGDALPFIIDGVG-TPTGGTVDIDASGSSQFVSGLLLAGARFSNGITVRHTGGKLPSMPHIEMTIAMLAEAGVTVDTSRANE---WTVPAGPISGRTWRIEPDLSNATPFLAAAAVTGGTVRIRHWPQRTTQPGDAIRGILERMG-------CTVDITAVGPSYDLVVTGPAGGVYGEHGLKGISIDLSDVGELTPTVAALAALANTESRLTGITHLRGHETDRLAALTREINNIGGQCTELADGLCISPIPREQLHGGLWHSYADHRMATAGAIIGLAVPGIEVEDIATTTKTLPDFANMWTK---LVAHG--</t>
  </si>
  <si>
    <t>GC_00000506</t>
  </si>
  <si>
    <t>PF00133.28</t>
  </si>
  <si>
    <t>tRNA synthetases class I (I, L, M and V)</t>
  </si>
  <si>
    <t>K01870</t>
  </si>
  <si>
    <t>isoleucyl-tRNA synthetase [EC:6.1.1.5]</t>
  </si>
  <si>
    <t>COG0060</t>
  </si>
  <si>
    <t>Isoleucyl-tRNA synthetase (IleS) (PDB:1FFY)</t>
  </si>
  <si>
    <t>KEGG Orthology (KO)&gt;&gt;&gt;09120 Genetic Information Processing&gt;&gt;&gt;09122 Translation&gt;&gt;&gt;00970 Aminoacyl-tRNA biosynthesis [PATH:ko00970]|Enzymes&gt;&gt;&gt;6. Ligases&gt;&gt;&gt;6.1  Forming carbon-oxygen bonds&gt;&gt;&gt;6.1.1  Ligases forming aminoacyl-tRNA and related compounds&gt;&gt;&gt;6.1.1.5  isoleucine---tRNA ligase|Amino acid related enzymes&gt;&gt;&gt;Aminoacyl-tRNA synthetase&gt;&gt;&gt;Class I (U)|Transfer RNA biogenesis&gt;&gt;&gt;Eukaryotic type&gt;&gt;&gt;Aminoacyl-tRNA synthetases (AARSs)&gt;&gt;&gt;Multi-aminoacyl-tRNA synthetase complex (MSC)|Transfer RNA biogenesis&gt;&gt;&gt;Prokaryotic type&gt;&gt;&gt;Aminoacyl-tRNA synthetases (AARSs)&gt;&gt;&gt;Other AARSs</t>
  </si>
  <si>
    <t>----MAIYPRVDMTGGSAKFPDMEQNVLEFWRTDGTFQASIDQREGCEEYTFFDGPPFANGLPHYGHLLTGYVKDIIPRYQTMRGKKVGRVFGWDCHGLPAELEAEKQLGIKDKGEVEAMGLAKFNEYCATSVLRYTEEWKDYVTRQARWVDFDNGYKTMDLDFMESVMWAFKQLYDKGLVYQGFRVLPYSWAEHTPLSNQETRLDDSYKMRQDPTLTVTLPLTGAVAGTRGEDTWAAHPELHYAAALAWTTTPW</t>
  </si>
  <si>
    <t>----MAVYPRVDLTGGSTRFPDMEQQVLGYWKQDQTFQASLN---GDPEYVFYDGPPFANGLPHYGHLLTGYVKDIIPRYQTMQGKKVARVFGWDCHGLPAELEAEKQLGIKDKGEIEAMGLEKFNEYCATSVLQYTEEWKDYVTRQARWVDFDNGYKTMDLGFMESVMWAFKTLYDKGLIYQGFRVLPYSWAEHTPLSNQETRLDDSYKMRQDPALTVTMPITSG--------------ELEGANALAWTTTPW</t>
  </si>
  <si>
    <t>MTKVGNVYPRVDMTGGSQRFSDMEQQVLRYWDLDQTFQASCDNRETSPEYVFYDGPPFANGLPHYGHLLTGYVKDIIPRYKTMRGYKVARVFGWDCHGLPAELEAEKQLGIKDKGQIEAMGLEKFNEYCAQSVLQYTEEWKAYVTRQARWVDFDNGYKTMDLDFMESVMWAFKTLYDNGLIYQGFRVLPYSWAEHTPLSNQETRLDDSYKMRQDPAVTVTMPLVDTPGHPLG-------AALAGVNALIWTTTPWTLPSNLAIAVNPDVTYAVVRAAD-------GERYLLADNLVAGYAKELG-DYEIEHTYVGQELAGLGYQPPYDFFLDEPNAFRILVADYVTTEDGTGVVHQAPAFGEDDMLTCQQAGIGVVIPVDMDGKFTSLVPPYEGMLVFDANKDIIRDLKAAGRILRHQTIEHSYPHSWRSGQPLIYMALPSWFVAVTKFRDRMVELNHDLIEWMPEHIRDGQFGKWLEGARDWNISRNRYWGSPIPVWVSDSEEYPRVDVYGSLDELERDFGVRPASLHRPYIDELTRPNPDDPTGKSTMRRVPEVLDCWFESGSMPFAQKHYPFENKEWFDDHSPADFIVEYSGQSRGWFYTLHVLATALFDRPAFKKVVAHGIVLGDDGLKMSKSKGNYPNVNEVFDRDGSDAMRWFLMSSPILRGGNLIVTEQGIREGVRQALLPMWNAYSFLKLYSATPARIATDSTDILDRYILAKLHNLVAGVTDALDDTDIARACDEVRWFCDVLTNWYVRRSRQRFWEGDEAHPEAFNTLYTVLEALTRVTAPLLPMLSEVIWRGLTGERSVHLADFPAADDFPADNDLVTAMDSMRGVCSATNSIRKAHKLRNRLPLPKLTVAMADSQQLATFADIIRSEVNVKELSLTDDVDSIGTFEVVVNAKIAGPRLGKDVQKAIKAVKAGNYERTDHGTVIADGVELQPDEFTERLVAADPTATAQIDGVDGLVLLDTHVTEELEAEGWAADVIRGLQDARKLMDLEVSDRITVTLGVPAEKEQWALRHADTIAGEVLATSLDIIVGD--IPDGLSIVSDVTAAITKN-</t>
  </si>
  <si>
    <t>MTKVGNVYPRVDMTGGSQRFSDMEQQVLRYWDLDQTFQASCDNRETSPEYVFYDGPPFANGLPHYGHLLTGYVKDIIPRYKTMRGYKVARVFGWDCHGLPAELEAEKQLGIKDKGQIEAMGLEKFNEYCAQSVLQYTEEWKAYVTRQARWVDFDNGYKTMDLDFMESVMWAFKTLYDNGLIYQGFRVLPYSWAEHTPLSNQETRLDDSYKMRQDPAVTVTMPLVDTPGHPLG-------AALAGVNALIWTTTPWTLPSNLAIAVNPDVTYAVVRAAD-------GERYLLADNLVAGYAKELG-DYEIEHTYAGQELAGLGYQPPYDFFLDEPKAFRILVADYVTTEDGTGVVHQAPAFGEDDMLTCQQAGIGVVIPVDMDGKFTSLVPPYEGMLVFDANKDIIRDLKAAGRILRHQTIEHSYPHSWRSGQPLIYMALPSWFVAVTKFRDRMVELNHDLIEWMPEHIRDGQFGKWLEGARDWNISRNRYWGSPIPVWVSDSEEYPRVDVYGSLDELERDFGVRPASLHRPYIDELTRPNPDDPTGKSTMRRVPEVLDCWFESGSMPFAQKHYPFENKEWFDDHSPADFIVEYSGQSRGWFYTLHVLATALFDRPAFKKVVAHGIVLGDDGLKMSKSKGNYPNVNEVFDRDGSDAMRWFLMSSPILRGGNLIVTEQGIREGVRQALLPMWNAYSFLKLYSATPARIATDSTDILDRYILAKLHNLVAGVTDALDDTDIARACDEVRWFCDVLTNWYVRRSRQRFWEGDEAHPEAFNTLYTVLEALTRVTAPLLPMLSEVIWRGLTGERSVHLADFPAADDFPADNDLVTAMDSMRGVCSATNSIRKAHKLRNRLPLPKLTVAMANSQQLATFADIIRSEVNVKELSLTDDVDSIGTFEVVVNAKIAGPRLGKDVQKAIKAVKAGNYERTDHGTVIADGVELQPDEFTERLVAADPTATAQIDGVDGLVLLDTHVTEELEAEGWAADVIRGLQDARKLMDLEVSDRITVTLGVPAEKEQWALRHADTIAGEVLATSLDIIVGD--IPDGLSIVSDVTAAITKN-</t>
  </si>
  <si>
    <t>GC_00000507</t>
  </si>
  <si>
    <t>PF00466.25</t>
  </si>
  <si>
    <t>Ribosomal protein L10</t>
  </si>
  <si>
    <t>K02864</t>
  </si>
  <si>
    <t>large subunit ribosomal protein L10</t>
  </si>
  <si>
    <t>COG0244</t>
  </si>
  <si>
    <t>Ribosomal protein L10 (RplJ) (PDB:5IT8)</t>
  </si>
  <si>
    <t>MANAKNTAAVAELKNRFEEANSVVLTEYRGLSVAQTTELRRALGADVQYSVAKNTMIKLAAKEAGVEGLDDLLTGPTAVAFIKGEAVDAAKALKKFGKDNKAFVVKGGYMDGNALSAAQVDAIAELDNRETTLAKLAGAMQGNLAKAAGLFNAPASQIARLGAALQEK-KDA--</t>
  </si>
  <si>
    <t>MANAKNTAAVAELKKRFEETNAIVLTEYRGLTVAQTTELRRKLGADVQYSVAKNTMIKLAAREAGVEGLDDLLSGPTAVAFIKGEAVDAAKALKEFGKDNKAFVVKGGYMDGNALSAAQVEAIAEMDNRETTFAKIAGAMNGGLASTAALFDAHASQLARLFAAYEEKLQDA--</t>
  </si>
  <si>
    <t>MANPKNETSLAELKQRFADTDSLVLTEYRGLTVAQTTELRKALGADVQYSIAKNTLLKLAAKHAGVEGLDELFVGPTAVAFIQGEAVDAAKALKKFAAENKALVVKGGYMDGNPLTAEQVDAIAELDNRETTLAKLAGAMKGSLSKAAALFNAPASQVARLSAALQEK-KEAEA</t>
  </si>
  <si>
    <t>MANPKNETSLAELKQRFTDTDSLVLTEYRGLTVAQTTELRKALGADVQYSIAKNTLLKLAAKHAGVEGLDELFVGPTAVAFIQGEAVDAAKALKKFAAENKALVVKGGYMDGNPLTAEQVDAIAELDNRETTLAKLAGAMKGSLSKAAALFNAPASQVARLSAALQEK-KEAEA</t>
  </si>
  <si>
    <t>GC_00000508</t>
  </si>
  <si>
    <t>PF00673.26</t>
  </si>
  <si>
    <t>ribosomal L5P family C-terminus</t>
  </si>
  <si>
    <t>K02931</t>
  </si>
  <si>
    <t>large subunit ribosomal protein L5</t>
  </si>
  <si>
    <t>COG0094</t>
  </si>
  <si>
    <t>Ribosomal protein L5 (RplE) (PDB:1VS6)</t>
  </si>
  <si>
    <t>MSENYTPRLKARYRADIRTKLGEEFGYDNVMQIPGVTKVVVNMGVGEAARDSKLINGALEDLTLITGQKPELRRAKKSIANFKLREGMPIGARVTLRGDRMWEFLDRLLTVALPRIRDFRGLSDQQFDGHGNYTFGLTEQTMFYEIDVDKIDRPRGMDITVVTTATNDDEGRALLRELGFPFKKANS-</t>
  </si>
  <si>
    <t>MSEKYIPRLKARYRNEIRTKLNDEFNYENVMQIPGVTKVVVNMGVGEAAREAKLINGALEDLALITGQKPQIRRAKKSIANFKLREGMPIGARVTLRGDRMWEFLDRLLTVALPRIRDFRGLSDQQFDGHGNYTFGLSEQTMFYEIDVDKIDRPRGMDITVVTTATNNEEGRALLRELGFPFKRNEAK</t>
  </si>
  <si>
    <t>MSENYTPRLKTRYREEIRTKLNDEFNYDNVMQIPGVVKVVVNMGVGAAARDSKLINGALEDLALITGQKPELRRAKKSIANFKLREGMPIGARVTLRGDRMWEFLDRLLTVALPRIRDFRGLSDQQFDGHGNYTFGLTEQTMFYEIDVDKVDRPRGMDITVVTSATNNDEGRALLRELGFPFKKEQ--</t>
  </si>
  <si>
    <t>MSENYTPRLKTRYREEIRTKLNDEFNYDNIMQIPGVVKVVVNMGVGAAARDSKLINGALEDLALITGQKPELRRAKKSIANFKLREGMPIGARVTLRGDRMWEFLDRLLTVALPRIRDFRGLSDQQFDGHGNYTFGLTEQTMFYEIDVDKVDRPRGMDITVVTSATNNDEGRALLRELGFPFKKEQ--</t>
  </si>
  <si>
    <t>GC_00000509</t>
  </si>
  <si>
    <t>PF03320.18</t>
  </si>
  <si>
    <t>Bacterial fructose-1,6-bisphosphatase, glpX-encoded</t>
  </si>
  <si>
    <t>K02446</t>
  </si>
  <si>
    <t>fructose-1,6-bisphosphatase II [EC:3.1.3.11]</t>
  </si>
  <si>
    <t>COG1494</t>
  </si>
  <si>
    <t>Fructose-1,6-bisphosphatase/sedoheptulose 1,7-bisphosphatase or related protein (GlpX) (PDB:1NI9)</t>
  </si>
  <si>
    <t>M00003|M00165|M00611|M00612</t>
  </si>
  <si>
    <t>Gluconeogenesis, oxaloacetate =&gt; fructose-6P|Reductive pentose phosphate cycle (Calvin cycle)|Oxygenic photosynthesis in plants and cyanobacteria|Anoxygenic photosynthesis in purple bacteria</t>
  </si>
  <si>
    <t>Pathway modules; Carbohydrate metabolism; Central carbohydrate metabolism|Pathway modules; Energy metabolism; Carbon fixation|Signature modules; Module set; Metabolic capacity|Signature modules; Module set; Metabolic capacity</t>
  </si>
  <si>
    <t>KEGG Orthology (KO)&gt;&gt;&gt;09100 Metabolism&gt;&gt;&gt;09101 Carbohydrate metabolism&gt;&gt;&gt;00010 Glycolysis / Gluconeogenesis [PATH:ko00010]|KEGG Orthology (KO)&gt;&gt;&gt;09100 Metabolism&gt;&gt;&gt;09101 Carbohydrate metabolism&gt;&gt;&gt;00030 Pentose phosphate pathway [PATH:ko00030]|KEGG Orthology (KO)&gt;&gt;&gt;09100 Metabolism&gt;&gt;&gt;09101 Carbohydrate metabolism&gt;&gt;&gt;00051 Fructose and mannose metabolism [PATH:ko00051]|KEGG Orthology (KO)&gt;&gt;&gt;09100 Metabolism&gt;&gt;&gt;09102 Energy metabolism&gt;&gt;&gt;00710 Carbon fixation by Calvin cycle [PATH:ko00710]|KEGG Orthology (KO)&gt;&gt;&gt;09100 Metabolism&gt;&gt;&gt;09102 Energy metabolism&gt;&gt;&gt;00680 Methane metabolism [PATH:ko00680]|Enzymes&gt;&gt;&gt;3. Hydrolases&gt;&gt;&gt;3.1  Acting on ester bonds&gt;&gt;&gt;3.1.3  Phosphoric-monoester hydrolases&gt;&gt;&gt;3.1.3.11  fructose-bisphosphatase</t>
  </si>
  <si>
    <t>MNNQNNAFTAHTDSRTPDRNLAMELVRVTEAAALASGRWVGRGMKNEGDGAAVDAMRKLINSVDMNGVVVIGEGEKDEAPMLFNGERVGTGVGAEVDIAVDPVDGTTLMAEGRPNAISVLAAAERGSMYDPSAVFYMQKIAVGPEAVGVIDIEAPVEYNIKKVAKAKGIAPSDVTVVVLDRPRHNQLMADIRAAGAKVRMISDGDVAGAVAAAQDTNAIDIMMGTGGTPEGIITACAMKCMGGEIQGKLAPTSDEEAQKAINAGHDLNRVLTTNDLVTSDDCYFVATGVTNGDMLRGVSYRKNGATTRSLVMRSRSGTIRYIESVHQLAKLQEYSVIDYS---</t>
  </si>
  <si>
    <t>--------MNTRQTECPDRNLAMELVRVTEAAALASGRWVGRGMKNEGDGAAVDAMRKLINSVNMRGVVVIGEGEKDEAPMLFNGEEVGTGQGADVDIAVDPIDGTTLMAEGRPNAISVLAAAERGTMYDPSAVFYMKKIAVGPEAAGVIDINAPVAVNIGAVAKAKGISPSDVTVVVLDRPRHNDLIAAIREAGAKIRLIRDGDVAGAVAAAQHTNSVDIMMGIGGTPEGIITACAMKCMGGEIQGKLYPTNDE</t>
  </si>
  <si>
    <t>--------MSPSRPGIPDRNLALELVRVTEAAALASGRWVGRGKKNEGDGAAVDAMRTLINSVQMNGVVVIGEGEKDQAPMLFNGERVGTGEGAEVDIAVDPIDGTTLMAEGRPNAISVLAAAERGSMFDPSAVFYMKKIAVGPDAVGCIDITAPVSHNIQAVAKAKGITPSDVTVVVLDRPRHAELIQDVRDSGAKVRLIRDGDVAGAVAAAQDTNSVDIMMGVGGTPEGIIAACAMKCMGGEIQGILAPKDAA</t>
  </si>
  <si>
    <t>GC_00000510</t>
  </si>
  <si>
    <t>PF01634.23</t>
  </si>
  <si>
    <t>ATP phosphoribosyltransferase</t>
  </si>
  <si>
    <t>K00765</t>
  </si>
  <si>
    <t>ATP phosphoribosyltransferase [EC:2.4.2.17]</t>
  </si>
  <si>
    <t>COG0040</t>
  </si>
  <si>
    <t>ATP phosphoribosyltransferase (HisG) (PDB:1H3D)</t>
  </si>
  <si>
    <t>KEGG Orthology (KO)&gt;&gt;&gt;09100 Metabolism&gt;&gt;&gt;09105 Amino acid metabolism&gt;&gt;&gt;00340 Histidine metabolism [PATH:ko00340]|Enzymes&gt;&gt;&gt;2. Transferases&gt;&gt;&gt;2.4  Glycosyltransferases&gt;&gt;&gt;2.4.2  Pentosyltransferases&gt;&gt;&gt;2.4.2.17  ATP phosphoribosyltransferase</t>
  </si>
  <si>
    <t>MSEMLKVAVPNKGSLSDAAMEILREAGYRGRGDSKALTVVDKANGVEFFFLRPKDIAIYVANGHLDLGITGRDLAGDSLAEVEEVLSLGFGASTFRYAAPKNSGWTVERLGGARIATSYPNLVKKDLAARGLDATVVWLDGAVEISIKLGVADVIADVVSTGRTLEKQGLEPFGEALVSSEAVVVGRRGIEMTTEMRVLLNRIEGILHAQNYLMLDYNVPRTKLDDAAKITPGVSAPTVAPLADEQWVAVRAMVPRAEANDVMDRLLDLGAKAILATEIRIARLGG</t>
  </si>
  <si>
    <t>---MLKVAVPNKGSLSDTASDILREAGYASRRDSKALTIIDRKNDVEFFFLRPKDIAIYVANGHLDLGITGRDLAADSLANVTEVLALGFGSSTFRYAAP--TGWTIDQLNGARIATSYPNLVRTDLKKRGITADVIRLDGAVEISIKLGVADVIADVVSTGTTLRKQGLEPFGEPLCTSEAVIVGRADREVTPEQRVLLRRVEGILHAQNYLMLDYNVPRHLLDDATRITPGISGPTVSPLALDEWVAVRAMVP</t>
  </si>
  <si>
    <t>---MLKVAVPNKGSLSEAALTILSEAGYASRSNTKSLTTLDKTNNVEFFFLRPKDIAIYVAGGHLDMGITGRDLAADSRADVTEVLTLGFGAATFRYAAPDTETWTIPNIAGKRVATSYPNLVRADLARRGIDATVIRLDGAVEISIKLGVADVIADVVSTGRTLRQHGLAPFGEPLINSEAIVVARTGAEITPEMMVLLRRMEGILHAHNFLMLDYNVEHHLLEQAKAITPGISGPTVSPLALDNWVAVRAMVP</t>
  </si>
  <si>
    <t>GC_00000511</t>
  </si>
  <si>
    <t>K01911</t>
  </si>
  <si>
    <t>o-succinylbenzoate---CoA ligase [EC:6.2.1.26]</t>
  </si>
  <si>
    <t>KEGG Orthology (KO)&gt;&gt;&gt;09100 Metabolism&gt;&gt;&gt;09108 Metabolism of cofactors and vitamins&gt;&gt;&gt;00130 Ubiquinone and other terpenoid-quinone biosynthesis [PATH:ko00130]|Enzymes&gt;&gt;&gt;6. Ligases&gt;&gt;&gt;6.2  Forming carbon-sulfur bonds&gt;&gt;&gt;6.2.1  Acid-thiol ligases&gt;&gt;&gt;6.2.1.26  o-succinylbenzoate---CoA ligase</t>
  </si>
  <si>
    <t>----------------------------------------------------------------------MGRLLFTLPVSPQSPELILDDLEQALAGFSTFTPVPLGS-HPHEAL----GVGKPIDEDVALVVATSGSTGVPKGALLSPTNLVSSADATHEALGGPGVWLLALPAHHIAGIQVLVRSLVAGTVPISIDVSKGFDVSVFARAARKLDAEAGAFRRYTALVPLQLRKALESLEGIEALRLFDAILI</t>
  </si>
  <si>
    <t>---------------------------------------------------------------------MSTRLLTPLPVSPSHPEDILPNLELAIAGRETYLPVPAEDIHRAELLRTSQRAGEPISEDIALVVATSGSTGTPKGAMLTPRNLVSSADATHKALGGEGQWLLALPPHHIAGIQVLVRSVVAGYEPLCLDVSHGFSIGAFAAAAHELADDGG--YTYTSLVPLQLLKAMDELRGIEALRRFHAILV</t>
  </si>
  <si>
    <t>MTHNLLPDPTPDPTPGPAEPPTRSATNPLADPALDSPNSGVADCDGDEGDEPHAGDGDRPDDATSDANNPDNHLLEPFPVLPTDPYPFLDAIEEAIAGTRTLLPIPADDPDRTKLLTEQLRAGTEIDPEVALVVATSGSTGIPKGAQLTAVNLVASADATHQFLGGAGAWLLALPAHHIAGIQVLVRSLVAGIDPTFVDLSAGFQVAEFADAAEELRADAA--RCYTALTPMQLLKGMDTLQGIEALRLFDAILVGGGPLLDDDRRAARELGIRVVTTYGSAETTGGCVYNGLPLPGVTIRLENERIMVGGPMVAQGYRNFPDHE--------AFSRPGFYRTSDTGLLRNGVLRVTGRIDTIIDSGGLKIHPEVLEQVFINIAGVDDVCVVGIPDQRLGQAIVAAYMGSANMEDIIAAFQDYPRWQIPKHIQRVAELPRTSLGKIDRNKVTQLF---</t>
  </si>
  <si>
    <t>MTHNLLPDPTPDPTPGPAEPPTRSATNPLADPALDSPNSGVADCDGDEGDEPHAGDGDRPDDATSDANNPDNHLLEPFPVLPTDPYPFLDAIEEAIAGTRTLLPIPADDLDRTKLLTEQLRAGTEIDPEVALVVATSGSTGIPKGAQLTAVNLVASADATHQFLGGAGAWLLALPAHHIAGIQVLVRSLVAGIDPTFVDLSAGFQVAEFADAAEELRADAA--RCYTALTPMQLLKGMDTLQGIEALRLFDAILVGGGPLLDDDRRAARELGIRVVTTYGSAETTGGCVYNGLPLPGVTIRLENERIMVGGPMVAQGYRNFPDHE--------AFSRPGFYRTSDTGLLRNGVLRVTGRIDTIIDSGGLKIHPEVLEQVFINIAGVDDVCVVGIPDQRLGQAIVAAYMGSANMEDIIAAFQDYPRWQIPKHIQRVAELPRTSLGKIDRNKVTQLF---</t>
  </si>
  <si>
    <t>GC_00000512</t>
  </si>
  <si>
    <t>K01834</t>
  </si>
  <si>
    <t>2,3-bisphosphoglycerate-dependent phosphoglycerate mutase [EC:5.4.2.11]</t>
  </si>
  <si>
    <t>COG0588</t>
  </si>
  <si>
    <t>Phosphoglycerate mutase (BPG-dependent) (GpmA) (PDB:1E58)</t>
  </si>
  <si>
    <t>M00001|M00002|M00003</t>
  </si>
  <si>
    <t>Glycolysis (Embden-Meyerhof pathway), glucose =&gt; pyruvate|Glycolysis, core module involving three-carbon compounds|Gluconeogenesis, oxaloacetate =&gt; fructose-6P</t>
  </si>
  <si>
    <t>ko00001|ko00001|ko00001|ko01000|ko04131|ko04147|ko04147</t>
  </si>
  <si>
    <t>KEGG Orthology (KO)&gt;&gt;&gt;09100 Metabolism&gt;&gt;&gt;09101 Carbohydrate metabolism&gt;&gt;&gt;00010 Glycolysis / Gluconeogenesis [PATH:ko00010]|KEGG Orthology (KO)&gt;&gt;&gt;09100 Metabolism&gt;&gt;&gt;09102 Energy metabolism&gt;&gt;&gt;00680 Methane metabolism [PATH:ko00680]|KEGG Orthology (KO)&gt;&gt;&gt;09100 Metabolism&gt;&gt;&gt;09105 Amino acid metabolism&gt;&gt;&gt;00260 Glycine, serine and threonine metabolism [PATH:ko00260]|Enzymes&gt;&gt;&gt;5. Isomerases&gt;&gt;&gt;5.4  Intramolecular transferases&gt;&gt;&gt;5.4.2  Phosphotransferases (phosphomutases)&gt;&gt;&gt;5.4.2.11  phosphoglycerate mutase (2,3-diphosphoglycerate-dependent)|Membrane trafficking&gt;&gt;&gt;Autophagy&gt;&gt;&gt;Chaperone mediated autophagy (CMA)&gt;&gt;&gt;Selective cargos|Exosome&gt;&gt;&gt;Exosomal proteins&gt;&gt;&gt;Exosomal proteins of bladder cancer cells|Exosome&gt;&gt;&gt;Exosomal proteins&gt;&gt;&gt;Exosomal proteins of melanoma cells</t>
  </si>
  <si>
    <t>MSTGKLILLRHGQSQWNESNQFTGWVDVALTQKGEGEAKRGGELLKEQNILPDVVYTSLLRRAICTAHLALDAADRLWIPVVRDWRLNERHYGALQGLNKAETKDKYGEEQFMAWRRSYDTPPPELESTSVYSQSNDPRYANLDVVPSTECLKDVVERFVPYFEAEILPRVLGGETVLVAAHGNSLRALVKHLDGISDEDIAALNIPTGIPLVYELDADGKVTNPGGTYLDPEAAAAGAAAVAAQGAK-</t>
  </si>
  <si>
    <t>MTTGKLILLRHGQSQWNASNQFTGWVDVALTEKGEEEARHGGELLREANILPDVVYTSLQRRAINTANLALDAADRLWIPVVRDWRLNERHYGALQGLNKAETKEKYGNDQFMAWRRSYDTPPPPLEESSEYSQANDPRYADLDKVPDTECLLDVVTRFVPYFKEEILPRVLKGENVLIAAHGNSLRALVKHLDGISDADIAELNIPTGIPLVYELDEKGNVTNPGGTYLDPEAAAAGAAAVAAQGGK-</t>
  </si>
  <si>
    <t>MANGKLVLLRHGQSEWNASNQFTGWVDVDLTPQGEAEAKRGGELLKEKGIVPTVVYTSLLRRAIRTANIALDEADLLWIPVVRNWRLNERHYGALQGLNKAETKEKYGDDQFMAWRRSYDTPPPAIEEDSTYSQAHDPRYADLSEVPATECLKDVVIRFVPYFEKEILPRVLAGETVLVAAHGNSLRALVKHLDNISDADIAGLNIPTGIPLVYELDSEGKVLNPGGTYLDPEAAAAGAAAVAAQGAKK</t>
  </si>
  <si>
    <t>GC_00000513</t>
  </si>
  <si>
    <t>K01738</t>
  </si>
  <si>
    <t>cysteine synthase [EC:2.5.1.47]</t>
  </si>
  <si>
    <t>COG0031</t>
  </si>
  <si>
    <t>Cysteine synthase (CysK) (PDB:1FCJ)</t>
  </si>
  <si>
    <t>KEGG Orthology (KO)&gt;&gt;&gt;09100 Metabolism&gt;&gt;&gt;09102 Energy metabolism&gt;&gt;&gt;00920 Sulfur metabolism [PATH:ko00920]|KEGG Orthology (KO)&gt;&gt;&gt;09100 Metabolism&gt;&gt;&gt;09105 Amino acid metabolism&gt;&gt;&gt;00270 Cysteine and methionine metabolism [PATH:ko00270]|Enzymes&gt;&gt;&gt;2. Transferases&gt;&gt;&gt;2.5  Transferring alkyl or aryl groups, other than methyl groups&gt;&gt;&gt;2.5.1  Transferring alkyl or aryl groups, other than methyl groups (only sub-subclass identified to date)&gt;&gt;&gt;2.5.1.47  cysteine synthase</t>
  </si>
  <si>
    <t>MAEKILNNITETIGSTPLVRLNTITEGIDAEILVKLEFFNPANSVKDRIGNAIIDAAEADGSLKPGGTIVEATSGNTGIALAMVGAAKGYNVVLTMPETMSMERRIMLRAYGAEIILTPGPAGMQGAVDKADEIVAERDGAILARQFANPANPAIHRATTAEEIWEDTDGNVDIFVAGFGTGGTVTGVGSVLKERREGVQVYGVEPEASALLTTGKAGPHKIQGIGANFIPEVLDRGILDEVLTISNEDAIAASRKLAADEGILGGISTGANIAAALELAKRPENKGKRIVTIACDYGERYVSTPLFEDIRAEF</t>
  </si>
  <si>
    <t>-MGHIYQDITETIGNTPLVRLNRLTDGLPGEVLVKLEFFNPANSVKDRIGRAIIEAAEADGTLKPGGTIVEATSGNTGIALALVGAARGYKVVLTMPETMSLERRVTLRAYGAEIVLTPGSAGMQGAVDKANEIVAETEGAILARQFSNPANPAVHRATTAEEIWKDTDGAVDIFIAGFGTGGTVTGVGNVLKERKPSVEIYGVEPEASALLTTGKAGPHKIQGLGANFIPDILDRKVLDDVYTVSNEDAIETAR</t>
  </si>
  <si>
    <t>-MAKIYNDILETIGGTPLVRLNRLDKDLPGNVLVKLEFFNPANSVKDRIGKAIVDAAEAAGELKPGGTIVEATSGNTGIALALVGAARGYNVVLTMPETMSLERRVLLRAYGAEIVLTPGSAGMQGAVDKANEIVAERGNAILARQFANAANPEIHRKTTGEEIWADTDGNVDVFVAGIGTGGTVTGAGEALKKHNPDIKVYAVEPEASPLLTTGKAGPHKIQGLGANFIPEVLNQKIYEEVLTVSNEDAIATSR</t>
  </si>
  <si>
    <t>GC_00000514</t>
  </si>
  <si>
    <t>K17490</t>
  </si>
  <si>
    <t>methylmalonyl-CoA carboxyltransferase 1.3S subunit [EC:2.1.3.1]</t>
  </si>
  <si>
    <t>MKLKVTVNGIAYSVDVEVEEETRQLGSIVFGSSP--TNTPAAPTTASVQGVSANAIAAPLAGSVSKVLVAEGDAIEAGQVLLVLEAMKMETEITAPKAGTVGAIHVSEGDAVQGGQGLIEIDD</t>
  </si>
  <si>
    <t>MKLKVTVNGIAYSVDVEVEEEQRKLGSIITGGGGGVSNTPAAPTTASVEGMSANAVVAPLAGSVFKILVNEGDEIEAGQVLLILEAMKMETEITAPNAGTVARISVAVGDAVQGGQPLVEIN-</t>
  </si>
  <si>
    <t>MKLTVTVNGIAYAVEVEVEEERRQLGSIVFGGGA--PTSHQEPATASVQGVSANSVSAPLAGSVFKILVSEGDEIEAGQVLLILEAMKMETEITAPNAGVVTAVHVTVGDSVQGGQALIEIE-</t>
  </si>
  <si>
    <t>MKLTVTVNGIAYAVEVEVEEERRQLGSIVFGGGG--NANHQEPATASVQGVSANAVIAPLAGSVFKILVNQGDEIEAGQVLLILEAMKMETEITAPNAGVVTAVHVAVGDSVQGGQALVEIE-</t>
  </si>
  <si>
    <t>GC_00000515</t>
  </si>
  <si>
    <t>K03595</t>
  </si>
  <si>
    <t>COG1159</t>
  </si>
  <si>
    <t>GTPase Era, involved in 16S rRNA processing (Era) (PDB:1EGA)</t>
  </si>
  <si>
    <t>ko03009|ko03009|ko03029</t>
  </si>
  <si>
    <t>Ribosome biogenesis&gt;&gt;&gt;Eukaryotic type&gt;&gt;&gt;Other ribosome biogenesis factors|Ribosome biogenesis&gt;&gt;&gt;Prokaryotic type&gt;&gt;&gt;GTPases|Mitochondrial biogenesis&gt;&gt;&gt;Mitochondrial DNA transcription, translation, and replication factors&gt;&gt;&gt;Mitochondrial transcription and translation factors&gt;&gt;&gt;Other mitochondrial DNA transcription and translation factors</t>
  </si>
  <si>
    <t>-MFSDTPEGFRSGFVSFVGRPNTGKSTLTNALVGQKIAITADQPETTRHPIRGIVHREDAQVIVVDTPGLHRPRTLLGERLNEVVKDTYADVDVIGVTVPADEKIGPGDRWIVEAVRRVAPKTTLLGVVTKVDKVSRDRVAEQLMAVHELLGGECEVVPVSAVSGEQVDVLLDVIVSLLPEGPKFYPDDHVTDDDVNTRMAELIREAALSGLKHELPHSVAVEIDEVLPDQDREGVLNVHAVLYVERPGQKNIIA</t>
  </si>
  <si>
    <t>-MFSDTPEGFRSGFVSFVGRPNTGKSTLTNALVGQKIAITADQPETTRHPIRGIVHREDAQVIVVDTPGLHRPRTLLGERLNEVVKDTYADVDVIGVTVPADEKIGPGDRWIVEAVRRVAPKTTLLGVVTKVDKVSRDRVAEQLMAVHELLGGECEVVPVSAVSGEQVDVLLDVIVSLLPEGPKFYPDDHVTDDDVNTRMAELIREAALSGLKHELPHSVAVEIDEVLPDQDREGVLNVHAVLYVERPGQKSIIA</t>
  </si>
  <si>
    <t>MDYTNTPEGFRSGFMCFVGRPNTGKSTLTNALVGQKIAITANQPETTRHPIRGIVHRDDAQIIVVDTPGLHRPRTLLGERLNEVVKDTYADMDLIAITIPADEKIGPGDRWILDNVRKVAPKTPLMGIITKIDKVSRDQVALQLMALHKLLGEDSEVVPVSAVTGEQRDILLDVITSLLPEGPKFYPDDHVTDDDTNTRIAELVREAALSGLKDELPHSVAVEVDEIIPNPDRPGTLNVHVIIYVERPGQKTILMGKNGRRFKGIIHAARPQICKLLDSNVYLDLRIKVLKNWQSDPKQLGRLGF</t>
  </si>
  <si>
    <t>GC_00000516</t>
  </si>
  <si>
    <t>PF00253.27</t>
  </si>
  <si>
    <t>Ribosomal protein S14p/S29e</t>
  </si>
  <si>
    <t>K02954</t>
  </si>
  <si>
    <t>small subunit ribosomal protein S14</t>
  </si>
  <si>
    <t>COG0199</t>
  </si>
  <si>
    <t>Ribosomal protein S14 (RpsN) (PDB:4V4H)</t>
  </si>
  <si>
    <t>MAKKSKIAKNEQRKEIVARYAERRNELKAIIKNPNSTDEERLDAQFELNRQPRDASPVRVRNRDAADGRPRGYLRKFGLSRVRVREMAHRGELPGVRKSSW</t>
  </si>
  <si>
    <t>MAKKSKIAKNEKRKEIVARYAARRQELKAIIKNPNTPDEERLDAQFELNRQPRDASPCRVRNRDAADGRPRGYLRKFGLSRVRVREMAHRGELPGVRKSSW</t>
  </si>
  <si>
    <t>MAKKSKIAKNEKRKEIVARYAERRQELKAIIKNPHVSDEERLEAQFKLNRQPRDASPVRVRNRDAHDGRPRGYLRKFGLSRVRMRQMAHRGELPGVRKSSW</t>
  </si>
  <si>
    <t>GC_00000517</t>
  </si>
  <si>
    <t>PF00119.25</t>
  </si>
  <si>
    <t>ATP synthase A chain</t>
  </si>
  <si>
    <t>K02108</t>
  </si>
  <si>
    <t>F-type H+-transporting ATPase subunit a</t>
  </si>
  <si>
    <t>COG0356</t>
  </si>
  <si>
    <t>FoF1-type ATP synthase, membrane subunit a (AtpB) (PUBMED:22931285)</t>
  </si>
  <si>
    <t>ko00001|ko00001|ko00194|ko03110</t>
  </si>
  <si>
    <t>KEGG Orthology (KO)&gt;&gt;&gt;09100 Metabolism&gt;&gt;&gt;09102 Energy metabolism&gt;&gt;&gt;00190 Oxidative phosphorylation [PATH:ko00190]|KEGG Orthology (KO)&gt;&gt;&gt;09100 Metabolism&gt;&gt;&gt;09102 Energy metabolism&gt;&gt;&gt;00195 Photosynthesis [PATH:ko00195]|Photosynthesis proteins&gt;&gt;&gt;Photosystem and electron transport system&gt;&gt;&gt;F-type ATPase [OT]|Chaperones and folding catalysts&gt;&gt;&gt;Other chaperones and cochaperones&gt;&gt;&gt;PapD</t>
  </si>
  <si>
    <t>MKGEFHSPNLDHEFFPGFMKNGEPHNLLFSDFANGYFAIDRLMFVRLLMTLLLVVFFAIAMRKPKLVPHGLQNVAETFLDFCRVHIAEEILGKKEGRRFLPVIATIFFAVLASNAPSVIPMLNVSPNARIGMPLVMAIVAYIAFIYAGAKRYGFFKFMKSSLVIPNLPLPLHILVVPIEFFSTFIMRPVTLTLRLMANMLAGHIILVLLFSATNFFFWQMSGWTVVSGLTLAAAIAFTLFELLVIFLQAYIFALLAAVYIDLSLHADEH</t>
  </si>
  <si>
    <t>MKGEFHAPSLEHEFFPG--------ILWFEHVANGWFAIDRLMFVRLLMAAVVAVFFVIAMRSPKLVPSGVQNVAEIALDFVRVNIAEEILGKKEGRRFLPVLATMFFLIFAMNLPSVIPGLNISPNARVGMPLVLAIVGYFVFIYAGAKRYGFFKYVKSSIVIPNLPPALHILVVPLEFLSTFILRPATLTLRLMANMLAGHIILVLMFSATNFFFFQMNGWTTVSFGTIIAAIAFTLFELLVIFLQAYIFSLLSAVYIELALHADEH</t>
  </si>
  <si>
    <t>MEGEFHAPSIG-EFFPGESAN---EFIWEDTITGGWFSLDRIMLVRLLVAAIMITFFVVAMRKPKIIPSGLQNVAEIMLDFVRIHIAEEILGKKEGRRFLAVLVPTFFLVLFLNSSSVIPFLNISSNARAGMPLILALFGYIAFIYAGVKRYGFFKYMKSSVVIPNLPIALHLLVIPLEFLSTFILRPATLTIRLLSNMLVGHIILVLLFSATNLFFWQLNGWTALSAVTLAAGIAFTLFECLVIFLQAYIFALLVAVYIDLSLHADEH</t>
  </si>
  <si>
    <t>MEGEFHAPSIG-EFFPGESAN---EFIWEDTITGGWFSLDRIMLVRLLVAAIMITFFVVAMRKPKIIPSGLQNVAEIMLDFVRIHIAEEILGKKEGRRFLAVLVPTFFLVLFLNSSSVIPFLNISSNARAGMPLILALFGYIAFIYAGVKRYGFFKYMKSSVVIPNLPVALHLLVIPLEFLSTFILRPATLTIRLLSNMLVGHIILVLLFSATNLFFWQLNGWTALSAVTLAAGIAFTLFECLVIFLQAYIFALLVAVYIDLSLHADEH</t>
  </si>
  <si>
    <t>GC_00000518</t>
  </si>
  <si>
    <t>K02825</t>
  </si>
  <si>
    <t>pyrimidine operon attenuation protein / uracil phosphoribosyltransferase [EC:2.4.2.9]</t>
  </si>
  <si>
    <t>COG2065</t>
  </si>
  <si>
    <t>Pyrimidine operon attenuation protein PyrR/uracil phosphoribosyltransferase (PyrR) (PDB:1A3C)</t>
  </si>
  <si>
    <t>ko00001|ko01000|ko03000</t>
  </si>
  <si>
    <t>KEGG Orthology (KO)&gt;&gt;&gt;09100 Metabolism&gt;&gt;&gt;09104 Nucleotide metabolism&gt;&gt;&gt;00240 Pyrimidine metabolism [PATH:ko00240]|Enzymes&gt;&gt;&gt;2. Transferases&gt;&gt;&gt;2.4  Glycosyltransferases&gt;&gt;&gt;2.4.2  Pentosyltransferases&gt;&gt;&gt;2.4.2.9  uracil phosphoribosyltransferase|Transcription factors&gt;&gt;&gt;Prokaryotic type&gt;&gt;&gt;Other transcription factors&gt;&gt;&gt;Others</t>
  </si>
  <si>
    <t>MSDIERVDVTELLSADDVSRTIARIAHQIIEKTALDAHGAGKVVLLGIPSAGVPLARRLADRISEFSGVDVPTGAIDVTLYRDDLRSKPHRALRPTHIPDCGVDGTTVVLVDDVLYSGRTIRAALDALRDEGRPEEIQLAVLVDRGHRQLPIRADYVGKNIPTSRTEDVEVRLEEIDGDDAVVLLR-----HSTQSAGDSCEAQQNREQF</t>
  </si>
  <si>
    <t>MGDNGTADVTELLSADDVNRTVARIAHQIIEKTA-----GQEILLLGIPSGGVPLAERLAASIKEFSGADVPTGALDVTLYRDDLRGKPHRALLPTTIPTSGIDGATVILVDDVLYSGRTIRAALDALRDIGRPEQVQLAVFVDRGHRQLPIRADYVGKNLPTSRAEDVTVLFAEIDGRDAVTLTR-----TITDTTTQGEE--------</t>
  </si>
  <si>
    <t>MSD-PAADTIELLSSEDVSRTIARIAHQIIEKTAVDSTNAQPLLLLGIPSGGVPLARRLAEKIHQFTGVTVPVGSLDITLYRDDLRNKPHRALQKTNIPIDKIDGTNIILVDDVLFSGRSIRAALDALRDLGRPDTVQLAVLVDRGHRQLPIRADYVGKNLPTARSEDVTVLLADIDGRDGVLLTRSPESAHQAGPAGGGEQ--------</t>
  </si>
  <si>
    <t>GC_00000519</t>
  </si>
  <si>
    <t>PF02163.28</t>
  </si>
  <si>
    <t>Peptidase family M50</t>
  </si>
  <si>
    <t>O|K</t>
  </si>
  <si>
    <t>Posttranslational modification, protein turnover, chaperones|Transcription</t>
  </si>
  <si>
    <t>K11749</t>
  </si>
  <si>
    <t>regulator of sigma E protease [EC:3.4.24.-]</t>
  </si>
  <si>
    <t>COG0750</t>
  </si>
  <si>
    <t>Membrane-associated protease RseP, regulator of RpoE activity (RseP)</t>
  </si>
  <si>
    <t>ko00001|ko01002</t>
  </si>
  <si>
    <t>KEGG Orthology (KO)&gt;&gt;&gt;09140 Cellular Processes&gt;&gt;&gt;09143 Cell growth and death&gt;&gt;&gt;04112 Cell cycle - Caulobacter [PATH:ko04112]|Peptidases and inhibitors&gt;&gt;&gt;Metallo peptidases&gt;&gt;&gt;Family M50: S2P protease family</t>
  </si>
  <si>
    <t>MLSYLLGVVIFAVGIGATIGLHEFGHMRTAVGCGMKVRRFYVGFGPTLLKWRGKTSGTEYGFKLFPLGGFCDIAGMVPEEELTPAEQRVAMYRKPWWQQVWVLSGGVLMNLVLGTLIIYLVAVFAGLPNPDADYSARVGQVQCV---DVDAGE-SAC----PAKDAGLRPGDVIVAVDGSETPTFADVRQALMQRPGQEVALQVDRGGEILDVDVAVASVQRETTDGRKVDVGVIGVTSAPVVDAVKRYGPVEAVPRTGMMAWEMMGATFKGLAAFPAKLPGVAKSIVGGEREQESPMSVVGASRIGGELAERAQWSIFAMMLASLNFFLAVFNLVPLPPLDGGRIAVVLYQAVRDWARRVRGLAPLGPVDYRKVMPVTIAAASVLIAVGVLTIVADVVNPIRLFG</t>
  </si>
  <si>
    <t>MVGYFGGVALFALGIMVTIALHEWGHMRSALACGMKVRRFYVGFGPTVVKWNRK--GIEYGFKAVPLGGFCDIAGMTAMDEIDEDERPYAMVYKPWWQRIFVLSGGVLMNILVGLVVLYAVAVTAGLPDPDADYTPTVAKTACVPASQIDAQTLSDCTGAGPAAEAGIREGDRITAVNGEAVASFVDLRAKLYEMPGQTADLTVERGTEVLHIDVPVTSVTRLNQAGETVTVGAIGVTSEP-VDVMRSYGPLDGIGATVRFSGSMLSATLQGLASFPGKIPGVVASIFGAERDQEGPMSVVGASRVGGELVERSQWTMFLMMLASLNFFLALFNLVPLPPLDGGHIAVVIYEKIRDFIRGLRGIAPGQPADYTKLMPITYVMSAVLLGIGAIVIIADVVNPVRLFG</t>
  </si>
  <si>
    <t>MVGYFGGVALFALGIMVTIALHEWGHMRSALVCGMKVRRFYVGFGPTVVKWNRK--GIEYGFKAVPLGGFCDIAGMTAMDEIDEDERPYAMVYKPWWQRIFVLSGGVLMNILVGLVVLYAVAVTAGLPDPDADYTPTVAKTACVPASQIDAQTLSDCTGAGPAAEAGIREGDRITAVNGEAVASFVDLRAKLYEMPGQTADLTVERGTEVLHIDVPVTSVTRLNQAGETVTVGAIGVTSEP-VDVMRSYGPLDGIGATMRFSGSMLSATLQGLASFPGKIPGVVASIFGAERDQEGPMSVVGASRVGGELVERSQWTMFLMMLASLNFFLALFNLVPLPPLDGGHIAVVIYEKIRDFIRGLRGIAPGQPADYTKLMPITYVMSAVLLGIGAIVIIADVVNPVRLFG</t>
  </si>
  <si>
    <t>MMSYFTGVLLFALGIAFTIALHEWGHFTAARYYGMKVRRFFVGFGPEVFSFQRG--ETVYGLKAIPLGGFCDIVGMTNQDEVDPEDEPRAMRNKPWWQRIIVLLGGIIMNLLIALIILYGLAVTSGLPNQNPDTTAVVGEVGCVAPRQLDAKNLAPCTGSGPAAAGGVKAGDRIVGVDSTSLQSFEQLREYVKTRPNQTITLHVERGDQKLDLPVAVESASRLDETGREHTVGAIGVTSKP-VELFVSYGPVTAIGATAGFAGSLVTATLDGLASFPAKLPGVVASIFGAEREADGPISVVGASHVGGVLAEHSAWPMFFLLLASLNFFLAFFNLVPLPPLDGGHIAVVLYERVRDFVRKLRGLAPMGPVNYDKLIPLTVAVAALLAGVGIIVIVADIVSPVQLFG</t>
  </si>
  <si>
    <t>GC_00000520</t>
  </si>
  <si>
    <t>J|M</t>
  </si>
  <si>
    <t>Translation, ribosomal structure and biogenesis|Cell wall/membrane/envelope biogenesis</t>
  </si>
  <si>
    <t>K00966</t>
  </si>
  <si>
    <t>mannose-1-phosphate guanylyltransferase [EC:2.7.7.13]</t>
  </si>
  <si>
    <t>COG1208</t>
  </si>
  <si>
    <t>NDP-sugar pyrophosphorylase, includes eIF-2Bgamma, eIF-2Bepsilon, and LPS biosynthesis protein s (GCD1) (PDB:6JQ8)</t>
  </si>
  <si>
    <t>M00114</t>
  </si>
  <si>
    <t>Ascorbate biosynthesis, plants, fructose-6P =&gt; ascorbate</t>
  </si>
  <si>
    <t>KEGG Orthology (KO)&gt;&gt;&gt;09100 Metabolism&gt;&gt;&gt;09101 Carbohydrate metabolism&gt;&gt;&gt;00051 Fructose and mannose metabolism [PATH:ko00051]|KEGG Orthology (KO)&gt;&gt;&gt;09100 Metabolism&gt;&gt;&gt;09101 Carbohydrate metabolism&gt;&gt;&gt;00520 Amino sugar and nucleotide sugar metabolism [PATH:ko00520]|Enzymes&gt;&gt;&gt;2. Transferases&gt;&gt;&gt;2.7  Transferring phosphorus-containing groups&gt;&gt;&gt;2.7.7  Nucleotidyltransferases&gt;&gt;&gt;2.7.7.13  mannose-1-phosphate guanylyltransferase</t>
  </si>
  <si>
    <t>----MDIASRTDAVILVGGKGTRLRPLTVSTPKPMLPVANAPFLKHLLGRIKAAGITHVVLGTSYHAEVFEEYFGDGSELGLEIEYVVEETALGTGGAIRNVYDRLRNDNVMVFNGDVLGGTDLSKVLATHEEKQADVTLHLVRVPDARAFGCVPTDCDGRVIEFLEKTMDPPTDQINAGCYVFRRSIIEQIPARRVVSVEREVFPRLLEEDARVFGYVDNAYWRDMGTPEDFVRGSSDLVRGIAPSPLLEGRTG</t>
  </si>
  <si>
    <t>MPEIHPLAHDTDAVILVGGKGTRLRPLTVSTPKPMLPTAGAPFLKHLLARIKSAGMRHVVLGTSFQAEVFEEYFGDGSEMGLEIEYVFEEKALGTGGAIRNVMNKLRHNNAMVFNGDVLGGTDLNAILQTHEQKQADVTMHLVRVADPRAFGCVPTDEDGRVVAFLEKTMDPPTDQINAGCYVFRKEIINTIPAGRVVSVERETFPRLLEEGLRVYGHVDHAYWRDMGTPKDFVHGSSDLVRGIAPSPLLAGQVGESWTDPTAGVKGGVILLGGTAVGRGTEIGAGCRLDRTVVFEGVTIEPGAIIEDSIIASGAHIGANARIKDCVIGEGAQIGARCELKGGLRVWPGVVLPDGGIRFSTDA</t>
  </si>
  <si>
    <t>-----MTENSIDAVVLVGGKGTRLRPLTVSTPKPMLPTAGVPFLMHLLARIKAAGIEHVVLSTSFKAEVFEDYFGTGESLGLDIEYVVEDEALGTGGGIRNVYDRLRGDTTMVFNGDVLGGTDLTGILQAHEANNADVTLHLVQVGNPRAFGCVPTDATGRVLAFLEKTEDPPTNQINAGCYVFRRELIADIPAGRVVSVERETFPKLLEDGYAVYGYVDNAYWRDMGTPGDFVRGSSDLVRGIAPSPLLVGRTG</t>
  </si>
  <si>
    <t>GC_00000521</t>
  </si>
  <si>
    <t>PF03710.21</t>
  </si>
  <si>
    <t>Glutamate-ammonia ligase adenylyltransferase</t>
  </si>
  <si>
    <t>K00982</t>
  </si>
  <si>
    <t>[glutamine synthetase] adenylyltransferase / [glutamine synthetase]-adenylyl-L-tyrosine phosphorylase [EC:2.7.7.42 2.7.7.89]</t>
  </si>
  <si>
    <t>COG1391</t>
  </si>
  <si>
    <t>Glutamine synthetase adenylyltransferase (GlnE1) (PDB:1V4A)</t>
  </si>
  <si>
    <t>KEGG Orthology (KO)&gt;&gt;&gt;09190 Not Included in Pathway or Brite&gt;&gt;&gt;09191 Unclassified: metabolism&gt;&gt;&gt;99980 Enzymes with EC numbers|Enzymes&gt;&gt;&gt;2. Transferases&gt;&gt;&gt;2.7  Transferring phosphorus-containing groups&gt;&gt;&gt;2.7.7  Nucleotidyltransferases&gt;&gt;&gt;2.7.7.42  [glutamine synthetase] adenylyltransferase|Enzymes&gt;&gt;&gt;2. Transferases&gt;&gt;&gt;2.7  Transferring phosphorus-containing groups&gt;&gt;&gt;2.7.7  Nucleotidyltransferases&gt;&gt;&gt;2.7.7.89  [glutamine synthetase]-adenylyl-L-tyrosine phosphorylase</t>
  </si>
  <si>
    <t>MYSSRTTRRTLPTNAALGLTSPTATADLESLGWLNEHSLDILWALSGAGDVDLALNTAVRLKSAL-------GEDYDALDRAIRKDPAIRVRLLSLIGGSTALGDHLVAHPELWSELADEAPTFSEMMQAMLGSVEATPEGIEGDPANPYLSTAGTYRAAITGPEA---QTALKNTYRTLLMRIAAHDLAGTYPESPRRAGQPTVPFRKVVGELSDLADAALTAALSVAVAQVFKDKPMEGRLAVIAMGKCGARELNYISDVDVIFVSEPADTKITRLAGEFIRIGSQCFFEVDAALRPEGKRGVLVRTLESHVAYYTRWAHTWEFQALLKARPMTGDRALGDAYIESLSPMVWTASERESFVEDVQAMRSRVLDNVPAELRERELKLGRGGLRDVEFAVQLLQLVHGRSDDALRVTNTIDALEALIEGGYVGREDGYHFIEAYEFLRLLEHRLQLQRVKRTHMMPDLADDVALRWLARTSGVRE-------GELGAEYRAVLRQISQLHAKLFFRPLLNSVVNLDVGTLRLSPDAAQRQLAALGYVFPGRAYEHLSALASGGSRKAKIQAMLLPTLMEWLSRTSDPDAGLLNYRKLSEECEERQWFLRLLRDEGIVGQRLMKILGNSPYVSQLIIDTPETLKLLGDGASGPKLVNPHPETVSKSLVAAACRKTNPDAAIAVARGLRRAELARIAAADLLGMMDVKEVCRSLSLVWDAVLEAALRAEIAAS-------------DEPLATITVIGMGRLGGAELGYGSDADVMFVCDPLPGVDETDAVKWSIGVCDRMRRRLSKPSKDPSLEVDLGLRPEGRSGPVVRTLESYRAYYERWGETWEIQALLRAAVVAGSPELGQRFIDMINPLRYPEEGVGEDVVREVRRMKARVDNERLPRGADRNTHTKLGRGALTDIEWTVQLLTLMHSD-VEQLHTPSTLEALDVIRDQAIIRPQQAETLKVAWLAATRARNALVLVKGKRTDQLPSPGSQLATVAAAAGWDHANYQEFLENYLKLTRKARAVVDEVFWGSSGFELGPMG</t>
  </si>
  <si>
    <t>MPTSRTTRRPMPTLGGLGFNSPTAKADLEELGWLNSQSVELLWALSGAGDPDLALNTLIRLRDQLTSGDYADGKEYADFDAAIRSDVAFRVRLLSLVGASTAMGDHLAANPGLWRLLAQPMPTPAEMMRELLECVQAMP---LDASASATLTTPGTYRAGLTGADA---EKALKCTYRTLLMRIAAHDLAGTYPESPRRPGQPLVPFDQVTGMLTALADAALTAALAVAVAVVWGEKDYECQMAVLAMGKCGAQELNYISDVDVIFVAEPADTKATRVAGELIRIGCKCFFEVDAALRPEGKQGALVRTLESHVAYYKRWAHTWEFQALLKARPMTGSLELGEAYVDALTPMVWTASQRDSFVEDVQSMRRRVIDNVPTELLERELKLGRGSLRDVEFAVQLLQMVHGRSDESLRVCSTVAALHALIAAGYVGREDGSTLIDAYEFLRLLEHRLQLQRVRRTHTMPTEDDKTSLRWLARTAGIMGVGDGTSAEALASEYRKVRRQVAQLHAKLFFRPLLNSVVNLPVETLRLSAESAKRQLAALGYYYPDRAYEHLIALASGTTRKARIQAMLLPTLMEWLSQTADPDAGLLNYRKLSDAANDRQWFLRMLRDEGVVGQRLMKILGNSPYVSDLIIATPDSVKLLGDGARGPKLLDASPTTVSSSLCASVSRHKDPDRAITVARSLRRAELARVAAADLLDMMDVQQVCRSLSFVWDAVLEAALAAEIRASVESGREGSAEGAMQEAPARIAVIGMGRLGGAELGYGSDADVMFVCEPAPGVDDNEAVRWSIGVCDRMRRRLSKPSGDPPLEVDLGLRPEGRSGAVVRTIDSYVRYYEKWGETWEIQALLRATHIAGDKDVGLKFLAAIDSFRYPADGASPELVREVRRMKARVDNERLPRGADRNTHTKLGRGALTDIEWTVQLLILLHAHEVPELHNTSTLECLDVIEYHKLVDPEKVQILRTAWLTATDARNALVLVRGKRTDQLPPPGPHLAQVAGAAGWDPTEYQEFLENYLKVTRRARQVVDEVFWGEKTFEP----</t>
  </si>
  <si>
    <t>MTTPRTTRSHIPTPGALSLTSPRAVSDLTWLGWWNSASVEVLWALSGAADADLALNSLYRLMVALDE----HQGNHDDIDHAIRTDPVFRVRLFALLGASSVLGDHLIANPTTWHLLRHDAPSRRDMLRELLGCIGAAPAGLVGDTATDTLDNVGTYRAAGTGTTCTIIETTLKQTYRTLLMRIAAIDLAGTYPENSRRVGQPEVPLGTVTAQLADLADAALTAALAVAIRHVYGDNPVESQLAVIAMGKCGARELNYISDVDVVFVAEPADAAATRVASELIRIGSHCFFEVDAALRPEGKHGALVRTLESHVTYYRRWAETWEFQALLKHRPMTGYLPLGRAYSDVISPLVWQASQRDSFVADIQAMRRRVLENVPEAMKHRELKLGEGGLRDVEFAVQLLQLVHGRYDETLRTPATIDALAALIESGYVGREDGANLIECYEFLRSLEHRLQLQKVKRTHTLPAESDYHTLRWLAHAAGFRGHMTQSSVEKMLDELRKVRLSISSLHHKLFYRPLLDSVVNLSVDTIKLSATAAKEQLRALGYLYPDRAFEHLTALAAGANRKAKIQAMLLPTLMEWLSTTADPDAGLLNYRKLSDAAFDRIWFLRLLRDEGIVGKRLMRILGNSPFASSLIIAAPDIVKQLGDGATGPKLLETKPDTVSTSLVRAASRHDDPDKAIAVARSLRRTELARIAAADLLDLMAVQEVCRSLSLVWDAVLEAALRAEISAALRAEN-------LTTAPAEIAVIGMGRLGGAELGYGSDADVMFVCEPAEGVSDTDAVRWSIGICDRMRKRLAKPSGDPPLDVDLGLRPEGRSGPVVRTLESYRRYYQQWGETWEIQALLRAVWIAGSQQLGQRFITMIDHFRYPDGGVGEKTIREVRRMKARVDNERLPRGADRNTHTKLGRGALTDIEWTTQLLILMHADAIPELRTPATLTALQVVAEHKLVDPEKVQTLIDAWIMATLARNAIVLVRGKRVDQLPQPGSQLAQVAGAAGWNPEDSQEFLEHYLRVTRRARKVVDEVFWGEVISEHDDY-</t>
  </si>
  <si>
    <t>MTTPRTTRSHIPTPGALSLTSPRAVSDLTWLGWWNSASVEVLWALSGAADADLALNSLYRLMVALDD----HQGNHDDIDHAIRTDPVFRVRLFALLGASSVLGDHLIANPTTWQLLRHDAPTRRDMLRELLGCIGAAPAGLVGDTATDTLDNVGTYRAAGTGTTCTTIETTLKQTYRTLLMRIAAIDLAGTYPENSRRVGQPEVPLGTVTAQLADLADAALTAALAVAIRHVYGDNPVESQLAVIAMGKCGARELNYISDVDVVFVAEPADAAATRVASELIRLGSHCFFEVDAALRPEGKHGALVRTLESHVTYYRRWAETWEFQALLKHRPMTGYLPLGRAYSDVISPLVWQASQRNSFVADVQAMRRRVLENVPEAMKHRELKLGEGGLRDVEFAVQLLQLVHGRYDETLRTPATIDALAALIESGYVGREDGANLIECYEFLRSLEHRLQLQKVKRTHTLPAESDYQTLRWLAHAAGFRGHMTQSSVEKMLDELRKVRLSISSLHHKLFYRPLLDSVVNLSVDTIKLSATAAKEQLRALGYLYPDRAFEHLTALAAGANRKAKIQAMLLPTLMEWLSTTADPDAGLLNYRKLSDAAFDRIWFLRLLRDEGIVGKRLMRILGNSPFAASLIIAAPDIVKQLGDGATGPKLLETKPDTVSTSLVRAASRHDDPDKAIAVARSLRRTELARIAAADLLDLMTVQEVCRSLSLVWDAVLEAALRAEISAALRAEN-------LTTAPAEIAVIGMGRLGGAELGYGSDADVMFVCQPAEGVSDTDAVRWSIGICDRMRKRLAKPSGDPPLDVDLGLRPEGRSGPVVRTLESYRRYYQQWGETWEIQALLRAVWIAGSQQLGERFIAMIDHFRYPDGGVGEKTIREVRRMKARVDNERLPRGADRNTHTKLGRGALTDIEWTTQLLILMHADAIPELRTPATLTALQVVAEHKLVDPEKVQTLIDAWIMATLARNAIVLVRGKRVDQLPQPGPQLAQVAGAAGWNPEDSQEFLEHYLRVTRRARKVVDEVFWGEVISEHDDY-</t>
  </si>
  <si>
    <t>GC_00000522</t>
  </si>
  <si>
    <t>PF01678.24</t>
  </si>
  <si>
    <t>Diaminopimelate epimerase</t>
  </si>
  <si>
    <t>K01778</t>
  </si>
  <si>
    <t>diaminopimelate epimerase [EC:5.1.1.7]</t>
  </si>
  <si>
    <t>COG0253</t>
  </si>
  <si>
    <t>Diaminopimelate epimerase (DapF) (PDB:1BWZ)</t>
  </si>
  <si>
    <t>M00016|M00525|M00527</t>
  </si>
  <si>
    <t>Lysine biosynthesis, succinyl-DAP pathway, aspartate =&gt; lysine|Lysine biosynthesis, acetyl-DAP pathway, aspartate =&gt; lysine|Lysine biosynthesis, DAP aminotransferase pathway, aspartate =&gt; lysine</t>
  </si>
  <si>
    <t>Pathway modules; Amino acid metabolism; Lysine metabolism|Pathway modules; Amino acid metabolism; Lysine metabolism|Pathway modules; Amino acid metabolism; Lysine metabolism</t>
  </si>
  <si>
    <t>KEGG Orthology (KO)&gt;&gt;&gt;09100 Metabolism&gt;&gt;&gt;09105 Amino acid metabolism&gt;&gt;&gt;00300 Lysine biosynthesis [PATH:ko00300]|KEGG Orthology (KO)&gt;&gt;&gt;09100 Metabolism&gt;&gt;&gt;09106 Metabolism of other amino acids&gt;&gt;&gt;00470 D-Amino acid metabolism [PATH:ko00470]|Enzymes&gt;&gt;&gt;5. Isomerases&gt;&gt;&gt;5.1  Racemases and epimerases&gt;&gt;&gt;5.1.1  Acting on amino acids and derivatives&gt;&gt;&gt;5.1.1.7  diaminopimelate epimerase</t>
  </si>
  <si>
    <t>----------MTRIAFAKAHGTENDFVLLPDAAVDVDLTADVVRFLCNRRAGLGADGVIRVARAAELLGKGVLDCLPDGVEP---EHWFMDYRNADGSLAEMCGNGVRVFAHWVYSRGLVDDAAFVVGTRAGAREVRVHEADSLRADVEVQMGCAEVFGVSTCRLGDMSFAGLAVDMGNPHIACVVPGLDAQGLAGLPVDADARWDEEFFPQGTNIEVLTELQDIGDGAEALDG-RVHMRVHERGAGETRSCGTG</t>
  </si>
  <si>
    <t>----MTESNFDDAIPFAKGHGTENDFIILPDPDAALNLTPEFVRQLCDRRAGLGGDGVLRVVRSKALVDAGVLTELPPKVKP---EDWFMDYRNADGSIAEMCGNGVRVFAHWVTSRGLVDSNSFIVGTRAGARPVTVHSVTESDAVVSVDMGVPSVLGVSTCTVADYHFAGLGVDVGNPHLACVIPKLTPEALRELPIAEQFTFDPAFFPEGVNIEVLTEL---------VDG-RVHMRVHERGSGETRSCGTG</t>
  </si>
  <si>
    <t>MTAPHTPNSHPTTIAFTKGHGTQNDFIILPDPEAQLSLTPQLIATLCDRQRGIGADGILRVATTGALRRAGLLTNNPTSLEAISDDDWFMDYYNADGSVAEMCGNGTRVFAHYVRSRGLVTTDQFTIGTRAGAKPVTVHSFDDDNAVVSVAMGPATSLGESTCSMGGHMYAGMGVDMGNPHLACVVPGLTAEALADLTLD-RPEFDAEFFPEGVNVEVLTEL------AHSPEGYRTHMRVYERGVGETRSCGTGTVAAARAALAYAGFVNGTVMVQIPGGQVEVTIDGDTSTLRGPSALVATGEL--HCAALN</t>
  </si>
  <si>
    <t>MTAPHTLNSHPTTIAFTKGHGTQNDFIILPDPEAQLSLTPQLIATLCDRQRGIGADGILRVATTGALRRAGLLTNNPTSLEAISDDDWFMDYYNADGSVAEMCGNGTRVFAHYVRSRGLVTTDQFTIGTRAGAKPVTVHSFDDDNAVVSVAMGPATSLGESTCSMGGRMYAGMGVDMGNPHLACVVPGLTAEALADLTLD-RPEFDAEFFPEGVNVEVLTEL------AHSPEGYRTHMRVYERGVGETRSCGTGTVAAARAALAYAGFVNGTVMVQIPGGQVEVTIDGDTSTLRGPSALVATGEL--HCAALN</t>
  </si>
  <si>
    <t>GC_00000523</t>
  </si>
  <si>
    <t>-MDEVWDDTPIAAAAQRAAQVQS-NTLSMPRPDKVRKLTVANQKGGVGKTTSSVNLAAGLAVCGLKVLVVDLDPQGNASTALGAEHRVGTLSSYEMLIGECTAAEAMQPSPFNENLFCIPATIDLAGSEIELVSMVRREYRLSDALNEKFLSDHGFDYVFIDCPPSLGLLTINAMTAVTEVLIPIQCEYYALEGVGQLLNNITMIRQHLNPELHISCILLTMFDARTKLAEQVADEVKGHFGDVVLRTVIPRSVK</t>
  </si>
  <si>
    <t>MDDQYWDDTPIAAAAQRAARVKTPNSLTLPRPDRPRRITIANQKGGVGKTTTTVNLAAGLAIYGLKVLVVDLDPQGNASTALGADHHVGVPSSYELLIGECAAEDAMQQAEFSPNLYCIPATIDLAGSEIELVNMVRREYRLADAIHEDFLRENGIDYVFIDCPPSLGLLTINAMAAVTEVLIPIQCEYYALEGVGQLLNNITMIRQHLNPQLHISNIILTMYDGRTKLAEQVTEEVRNHFGAVVLGTTIPRSVKVSEAPGFSQTVLEYDPGSRGAMAYLDAAKELAVRGDFVPTEDSGPIGQPPEGYVADA-----</t>
  </si>
  <si>
    <t>MDDQYWDDTPIAAAAQRAARVKTPNSLTLPRPDRPRRITIANQKGGVGKTTTTVNLAAGLAIYGLKVLVVDLDPQGNASTALGADHHVGVPSSYELLIGECAAEDAMQQAEFSPNLYCIPATIDLAGSEIELVNMVRREYRLADAIHEDFLRENGIDYVFIDCPPSLGLLTINAMAAVTEVLIPIQCEYYALEGVGQLLNNITMIRQHLNPQLHISNIILTMYDGRTKLAEQVTEEVRNHFGAVVLGTTIPRSIKVSEAPGFSQTVLEYDPGSRGAMAYLDAAKEIAVRGDFVPTEDSGPIGQPPEGYVADA-----</t>
  </si>
  <si>
    <t>MEEQDWDDTPIAAEAQRAAQILTPHALKLPRPERPRRLAISNQKGGVGKTTTTVNLAAGLARNGLKILVVDLDPQGNASTALGVEHREGTVSSYELLLGACTPEQVIQRSTANGNLFCIPATIDLAAVEIELVSKVRREYRLRDALSPEFIKEAGFDYVFVDCPPSLGLLTTNALNAVEEVLIPIQCEYYALEGVNQLLKYITMVQHQLNPQLHISAILLTMFDGRTKLAEEVSADVRNTFGALVLRNRIPRSVKVSEAPGFGQTVLDYDPGSRGSMAYMDAAKELANRGDVRFVK---------------------</t>
  </si>
  <si>
    <t>GC_00000524</t>
  </si>
  <si>
    <t>PF02514.21</t>
  </si>
  <si>
    <t>CobN/Magnesium Chelatase</t>
  </si>
  <si>
    <t>K02230</t>
  </si>
  <si>
    <t>cobaltochelatase CobN [EC:6.6.1.2]</t>
  </si>
  <si>
    <t>COG1429</t>
  </si>
  <si>
    <t>Cobalamin biosynthesis protein CobN, Mg-chelatase (CobN) (PDB:4ZHJ)</t>
  </si>
  <si>
    <t>M00925</t>
  </si>
  <si>
    <t>Cobalamin biosynthesis, aerobic, uroporphyrinogen III =&gt; precorrin 2 =&gt; cobyrinate a,c-diamide</t>
  </si>
  <si>
    <t>KEGG Orthology (KO)&gt;&gt;&gt;09100 Metabolism&gt;&gt;&gt;09108 Metabolism of cofactors and vitamins&gt;&gt;&gt;00860 Porphyrin metabolism [PATH:ko00860]|Enzymes&gt;&gt;&gt;6. Ligases&gt;&gt;&gt;6.6  Forming nitrogen-metal bonds&gt;&gt;&gt;6.6.1  Forming coordination complexes&gt;&gt;&gt;6.6.1.2  cobaltochelatase</t>
  </si>
  <si>
    <t>--------------------------------MILLLTTSDTDLLTAKAASRHEGVEFSYANANRFSGRLDKLDEHLDAADIVIVRLLGGRRAWESGVDHVLASGKPVILVSGELAVDAELTELSTVPAGVVTTAHTYLAEGGEANLVNLHNFLSDTILLTGFGFEQPSRMPFWGHLDYQPESVRTVVGGASPRIAVLYYRAHHLAGNTDYIRALCDAIAARGATPVPIFSASLRQAPDDLLDELRTMDALITTV</t>
  </si>
  <si>
    <t>MQLRADAPLYSQTLTTHPTLTGRDTPERNTTAMIALLSTSDTDLLSAKNANTADMVDFRYANPTHISDAL--LDEIIDAADIIIVRLLGGKRAWEDGLRRIFASGTPTIVVSGELAVDAELTDISTVPAGVVTTAHTYLAEGGATNLEHLYRFLSDTILLTGHGFDEPHHMPLWGHL----ERPTTETTPGQPRIAVLYYRAQHLAGNTAYIHALCDAIDAQGAHAIPIFTASLRQAPTELLDELATMDAAITTVLAAGGTKPATAQAGGDDEAWDVAQLAALDIPIIQGLALTSPRSDWAANDDGLTPLDVATQIAVPEFDGRIITVPFSFKEYDSDGLISYVPDPERCTRLAGIAYHHARLRHLNNSDKKIVVMLSAYPTKHARIGNAVGLDTPASTLKVLHALHDAGYNLGDTTTIPGYDT----MDGDAFMHAIIDAGGHDPEWLTDDVLANNPLTLPRDAYLTFFNTLPTSIQEEMTTHWGEAPGTHYTHPETGDIYIAGLQFGNIVVMVQPPRGFGDNPVGIYHDPDLPANHHYLGTYHWIRHTFNADAIIHMGKHGNMEWLPGKTAGLSAECYPDQAIGDLPLIYPFLVNDPGEGTQAKRRAHATLIDHMIPPMARAETYGDITRLEQLLDEHANIAAMDPAKLPAIRQEIWTLLTAAKMDQDLGWDERPDEDVFDDMLMHIDGWLCEIKDVAIRGGLHTLGEQPTSETRIDLVLAMLRARQLWGGETATPGLREALGLSEQGDETRHTVDTIEQHARTLLTNLDANNWDPTTIPTITTN----LPDTANPTTVARILQFAAEEIIPRLEQTPREITHILHALDGGFIEAGPSGSPMRGLINVLPTGRNFYSVDPKSLPSRLAWETGQLLADSLIERYQADHDGNYPTSVGISAWGTSAMRTSGDDIAEVFALLGVRPLWDEASRRVIDLEVIPLEELGRPRIDVTVRISGFFRDAFPHVLGLLDDAVQMVANLDEPLDQNYVRAHALDDGAE---------HVRRIFGSKPGTYGAGLLQLIESGNWRDDHDLAAVYTAWGGYAYGRGLDGVEAADDMRTAYKRIQVAAKNVDSTEHDIADSDDYFQFHGGMVATVRALTGQDPDAFIGDSTRQETVKTRTLHEESRRVFRARVVNPRWIEAMRKHGYKGAFEMSATVDYLFGYDATTGLMDDWMYETLTDTYVGDPVNREFFEKSNPWALRDISERLMEAAERGLWEKPSDESMELLRSTYLEMEGELEDR-</t>
  </si>
  <si>
    <t>--------------------------------MITLLSTSDTDLLSAQAATHVEDVHYQYANPNLLTEQT--LAQLVDTTDVFVVRLLGGKRAWEWGLDALLASKKPLVVVSGELAVDAELTDLSTVPAGVVTTAHTYLAEGGKQNLVNLHNFLSDTVLLTGLGFEAPSHMPIWGHL----EDGTWDAGADAPRVGIVYYRAQHLAGNTNYVHALADALVARGATAVPIFAASLRQAEPELLAELATCDALITTV</t>
  </si>
  <si>
    <t>--------------------------------MITLLSTSDTDLLSAQAATHTEDVHYQYANPNLLTEQT--LAQLVDTTDVFVVRLLGGKRAWEWGLDALLASKKPLVVVSGELAVDAELTDLSTVPAGVVTTAHTYLAEGGKQNLVNLHNFLSDTVLLTGLGFEAPSHMPIWGHL----EDGTWDAGADAPRVGIVYYRAQHLAGNTNYVHALADALVARGATAVPIFAASLRQAEPELLAELATCDALITTV</t>
  </si>
  <si>
    <t>GC_00000525</t>
  </si>
  <si>
    <t>PF00478.31</t>
  </si>
  <si>
    <t>IMP dehydrogenase / GMP reductase domain</t>
  </si>
  <si>
    <t>F|T</t>
  </si>
  <si>
    <t>Nucleotide transport and metabolism|Signal transduction mechanisms</t>
  </si>
  <si>
    <t>K00088</t>
  </si>
  <si>
    <t>IMP dehydrogenase [EC:1.1.1.205]</t>
  </si>
  <si>
    <t>COG0516|COG2905</t>
  </si>
  <si>
    <t>IMP dehydrogenase/GMP reductase (GuaB) (PDB:1B3O)|Signal-transduction protein containing cAMP-binding, CBS, and nucleotidyltransferase domains</t>
  </si>
  <si>
    <t>M00050</t>
  </si>
  <si>
    <t>Guanine ribonucleotide biosynthesis, IMP =&gt; GDP,GTP</t>
  </si>
  <si>
    <t>ko00001|ko00001|ko01000|ko04147|ko04147</t>
  </si>
  <si>
    <t>KEGG Orthology (KO)&gt;&gt;&gt;09100 Metabolism&gt;&gt;&gt;09104 Nucleotide metabolism&gt;&gt;&gt;00230 Purine metabolism [PATH:ko00230]|KEGG Orthology (KO)&gt;&gt;&gt;09100 Metabolism&gt;&gt;&gt;09111 Xenobiotics biodegradation and metabolism&gt;&gt;&gt;00983 Drug metabolism - other enzymes [PATH:ko00983]|Enzymes&gt;&gt;&gt;1. Oxidoreductases&gt;&gt;&gt;1.1  Acting on the CH-OH group of donors&gt;&gt;&gt;1.1.1  With NAD+ or NADP+ as acceptor&gt;&gt;&gt;1.1.1.205  IMP dehydrogenase|Exosome&gt;&gt;&gt;Exosomal proteins&gt;&gt;&gt;Exosomal proteins of haemopoietic cells  (B-cell, T-cell, DC-cell, reticulocyte, and mast cell)|Exosome&gt;&gt;&gt;Exosomal proteins&gt;&gt;&gt;Exosomal proteins of breast cancer cells</t>
  </si>
  <si>
    <t>MTSTRVPTGGDDPNKVALVGLTFDDVLLIPDESNIIPSEVNTSSQLTRNIRLNIPLISAAMDTVTEGRMAIAMARQGGMGVLHRNLSIEDQAEQAEMVKRSESGMVTNPATCTPDMTIGEVDALCARYRISGLPVVDADGTLLGICTNRDMRFEHDFDRRVSEVMTPMPLVVAREGVSKQEALELLSKNKVEKLPIVDADNKLVGLITVKDFVKTEQYPHASKDASGRLLVGAGIGTGADSWKRAGSLVDAGVDVLVVDTAHAHNLGVLEMVSKVKREFGDRVDVIGGNLATRAAAQAMIDAGADAIKVGIGPGSICTTRVVAGVGAPQITAIMEASVPARKAGVPIIADGGMQFSGDIAKALAAGASTVMLGSLLAGTAEAPGETVLVNGKQYKMYRGMGSLGAMQGRGLSGEKRSFSKDRYFQADVKSEEKLVPEGIEGRVPFRGPLDQITHQLVGGLRAAMGYTGSATIEDLHNAKFVQITAAGLRESHPHDIQMTVEAPNYYQR</t>
  </si>
  <si>
    <t>MTDMHVPTGGDDPNKVALVGLTFDDVLLLPDASEIIPSEVDTSSQLTRNIRLNIPLISAAMDTVTEARMAIAMARQGGMGVLHRNLSIEDQAQQVELVKRSESGMVTDPITCSPDMTIGEVDALCARYRISGLPVVDSDGTLVGICTNRDMRFEPDMSRTVADVMTAMPLVVAKRGVSKKDALNLLSSNKVEKLPIVDDAGKLVGLITVKDFVKTEQYPDSSKDASGRLLVGAGIGTGADSWSRAGALTDAGVDVLIVDTAHAHNKGVLEMVSKVKKEFGDRVDVIGGNLATRAAAKAMIEAGADAVKVGIGPGSICTTRVVAGVGAPQITAIMEAAVPAKEAGVPIIADGGMQFSGDIAKALAAGASTVMLGSLLAGTAEAPGETVVVNGKQYKMYRGMGSLGAMQGRGLSGEKRSFSKDRYFQADVKSEEKLVPEGIEGRVPFRGSIDAITHQLVGGLRAAMGYTGSATIEQLHDARFVQITAAGLRESHPHDIQMTVEAPNYYQR</t>
  </si>
  <si>
    <t>MTDMHVPTGGDDPNKVALVGLTFDDVLLLPDASEIIPSEVDTSSQLTRNIRLNIPLISAAMDTVTEARMAIAMARQGGMGVLHRNLSIEDQAQQVELVKRSESGMVTDPITCSPDMTIGEVDALCARYRISGLPVVDSDGTLVGICTNRDMRFEPDMSRTVADVMTAMPLVVAERGVSKKDALNLLSSNKVEKLPIVDDAGKLVGLITVKDFVKTEQYPDSSKDASGRLLVGAGIGTGADSWSRAGALTDAGVDVLIVDTAHAHNKGVLEMVSKVKKEFGDRVDVIGGNLATRAAAKAMIEAGADAVKVGIGPGSICTTRVVAGVGAPQITAIMEAAVPAKEAGVPIIADGGMQFSGDIAKALAAGASTVMLGSLLAGTAEAPGETVVVNGKQYKMYRGMGSLGAMQGRGLSGEKRSFSKDRYFQADVKSEEKLVPEGIEGRVPFRGSIDAITHQLVGGLRAAMGYTGSATIEQLHDARFVQITAAGLRESHPHDIQMTVEAPNYYQR</t>
  </si>
  <si>
    <t>MTQQRVTTGGDDPNKVALIGLTFDDVLLLPDASDVIPSEVTTTTQLTRNISLNIPIVSAAMDTVTEARMAVAMAREGGLGVLHRNLSIEEQAQNVEIVKRSESGMVTDPITCSPDMTIAEVDALCAKYRISGLPVVDEAGTLVGICTNRDMRFEADYSRKVSEIMTPMPLFVAPEGVTKEAALELLSAHKVEKLPIVSANNKLVGLITVKDFVKTEQHPNATKDASGRLLVGAGIGVGEESFQRAGALVDAGVDVLVVDSAHAHSRGVLEMVSRVKAEFGDRADIIGGNLATRAAAQAMIEAGADAVKVGIGPGSICTTRVVAGVGAPQITAIMEASVPARAAGVPIIADGGMQFSGDIAKAIAAGASSVMLGSMLAGTTESPGDVVVVNGKQYKRYRGMGSMGAMQGRGLTGEKRSFSKDRYFQADVKSEDKLVPEGIEGQVPFRGPIEAITHQLVGGLRAAMGYTGSASILDLQQAKFVQITSAGLRESHPHHIQQTVEAPNY--R</t>
  </si>
  <si>
    <t>GC_00000526</t>
  </si>
  <si>
    <t>MTTRHTARTGLLGTLRGIKSSAKSISRKVAATVVAAATVCSIGMVGTGTAHAGNRDWLRPDNTGSCDWDPVGFWVQRCDVWSPAMGRNIPVQIQPAGRGGNAGLYLLDGMRATDYYNAWTHDANAPAAYVDHNITLVMPIGGAGSFYADWDAPANL-SSMSSAPVIYKWETFLTSELPAYLQQHFGVDPHNNSIAGLSMGGTSAISLAGNHPDQFRQAMSWSGYLTTTMPGMQTLLRLALLDTGGFNVSAMYGILINPRRFHDDPFWATGGLRNTDVYISAATGLWGPQD-AGIPTMQKINGSVLEALSLETTLVWEAKARAEGINVTNHYRPNGVHAWNQWNDELYLTRERVLNVMNAW</t>
  </si>
  <si>
    <t>---------------MTIASRLRTVGAKATTIAVALAAAFGLSVVAASPAHAANRDVLRADNTGACEWDAVGFWVQRCDVWSPSMNRNIPVLVQPAARGGNAGLYLLDGMRAGETFTGWTASTNAPQVYADSNINLVMPIGGAGSFYADWDYPAHFLSTGSGNDVVYKWETFLTSELPGYLQQNFGIAPNNNSIGGLSMGGTAALSLAAQHPDQFRQAMSYSGYLHTTAFGMQTMLRLALLDVGGFNLNNMYTSI</t>
  </si>
  <si>
    <t>GC_00000527</t>
  </si>
  <si>
    <t>MIEVEGLTKTYRATRAVDDLSFHVRPGIVTGFLGPNGAGKSTTMRMILGLDRPNSGTATINGVPYNKLSNPLHTVGALLDAKAVHPNRSARNHLRWIAHSAGIPTSRVDEVLGLVGLEEVAKKHVGGFSLGMGQRLGLAQALLGDPEVLMLDEPVNGLDPEGILWVRNFLKTLASEGRTIFVSSHMLSEMALTADELVVIGRGKLIAQQSTYEFIKNSAHSSVVVRPREPEHLEPLASAFEDEQFSFTRGQDEEGRHTLVVNGSSGEDVGGLAFSVGIPLAELSTQRASLEEAFMASTSDSVQYQG--EH</t>
  </si>
  <si>
    <t>MIKVNGLSKHYGSVRAVDDLTFSVSPGVVTGFLGPNGAGKSTTMRMIVGLDRPTAGTALIDGKRYSELKHPIREVGTLLDAKAVHPNRSAANHLKWVAQSNGVPTSRVDEVLDLVGLTQVAGKKAGGFSLGMGQRLGLATALLGDPKTLILDEPVNGLDPEGIRWVRTLLQNLAAEGRTVLVSSHLLSEMSQTAEQLIVIGRGKLVSHSSTYDFIKHSSTSSVVVR---TTHYEEFANALQAEGIAFQRSQDEEKRPTLVIEGRTTDDIGALAYSVGVLLSELTEHKASLEDAFMEMTSDAVQYQG--GK</t>
  </si>
  <si>
    <t>MIQVQGLSKQYGHVRAVDDLSFTVQSGIVTGFLGPNGAGKSTTMRMILGLDTPTSGTALIDGVHYTSIKKPLHKVGALLDAKAVHPNRSAFDHLTWIAQSNGIRKSRVMEVLDMVGLTGVAKKKAGGFSLGMGQRLGLASALLGDPEILILDEPVNGLDPEGIRWVRELLRALAAQGRTVLVSSHLLSEMSQTADHLIVIGRGKLVADSSTYDFIKKHSATTILVR---TTDNNRMAEVLTAAGIEFTKEVDEENRPTLHIPEQDPAHIGHIAFVNKIELQLLGERRASLEEAFMEITGHAVQYQAREGN</t>
  </si>
  <si>
    <t>MIQVQGLSKQYGHVRAVDDLSFTVQSGIVTGFLGPNGAGKSTTMRMILGLDTPTSGTALIDGVHYTSIKKPLHKVGALLDAKAVHPNRSAFDHLTWIAQSNGIRKSRVMEVLDMVGLTGVAKKKAGGFSLGMGQRLGLASALLGDPEILILDEPVNGLDPEGIRWVRELLRALAAQGRTVLVSSHLLSEMSQTADHLIVIGRGKLVADSSTYDFIKKHSATTILVR---TTDNNRMAEVLTAAGIEFTKEVDEENRPTLHIPEQDPAHIGHIAFVNKIELQLLGERHASLEEAFMEITGHAVQYQAKEGN</t>
  </si>
  <si>
    <t>GC_00000528</t>
  </si>
  <si>
    <t>PF00204.31</t>
  </si>
  <si>
    <t>DNA gyrase B</t>
  </si>
  <si>
    <t>K02470</t>
  </si>
  <si>
    <t>DNA gyrase subunit B [EC:5.6.2.2]</t>
  </si>
  <si>
    <t>COG0187</t>
  </si>
  <si>
    <t>DNA gyrase/topoisomerase IV, subunit B (GyrB) (PDB:1EI1)</t>
  </si>
  <si>
    <t>MAAENSEHAYDASSITILEGLEAVRKRPGMYIGSTGERGLHHLIWEVVDNSVDEAMAGYATKVDVTLLEDGGVEVVDNGRGIPVEMHPSGAPTVQVVMTQLHAGGKFDSESYAVSGGLHGVGISVVNALSTRVEADIKRDGHHWLQNFTMAVPDELIKGGNARGTGTTVRFWPDGDIFETTTFKFDTIARRLQEMAFLNKGLTITLTDKRVTDEELELEALAEAGESAELIGGDSFDDAALDAADTDAE----------ATEVAEADTKKAAKREKKKVFYYPDGLKDYVRSLNKSKQAIHPTIISFDDKRDVEEVEVAMQWNSGYSQSMHTFANTIATIEGGTHEEGFRAALTSLMNRYARDHKLLKEKEPNLTGDDCREGLAAVISVRVREPQFEGQTKTKLGNTEVKGFVQKAVNEHVGAWFDANPAEAKAIINKAVSSAQARQAARKARDLVRRKSATDLGGLPGKLADCRSKDPLKSELYIVEGDSAGGSAKSGRDSMYQAILPLRGKILNVEKARLDKVLKNNEVQAIITALGTGIHDEFDIDKLRYHKIVLMADADVDGQHIATLLLTLLFRFMPQLIEDGYVYLAQPPLYKLKWQKGTPGFAYSDRERDEQLEEGLAAGRRINKDDGIQRYKGLGEMNAKELWETTMDPSHRVLRRVTMEDAHRSDELFSILMGDDVVARRSFITRNAKDVRFLDV</t>
  </si>
  <si>
    <t>--MSATEHHYDASSITILEGLEAVRKRPGMYIGSTGERGLHHLVWEVVDNSVDEAMAGYATKVDVTLLEDGGVEVVDNGRGIPVEMHPTGAPTVQVVMTQLHAGGKFDSDSYAVSGGLHGVGISVVNALSTKVEADIKREGFHWLQNFTYAIPEELVKGEPAKGTGTSVRFWPDPEIFETTTFKFDTIARRLQEMAFLNKGLTITLTDLRATEEEIELEDLAAAGDEAQAVDGDGSASEAAGGEQSLEKLDLLDG</t>
  </si>
  <si>
    <t>--MATAEHEYGASSITILEGLEAVRKRPGMYIGSTNERGLHHLVWEVVDNSVDEAMAGYADKVEVTILADGGIEVIDNGRGIPVEMHPSGAPTVQVVMTQLHAGGKFDSESYAVSGGLHGVGISVVNALSTRVEADIKRDGKHWYQNFTNAIPEELVAGGPAEGTGTTVRFWPDPEVFETTVFSFELIARRLQEMAFLNKGLTITLTDKRASEEEIELETLAE-----EIAEGDP--------------------</t>
  </si>
  <si>
    <t>GC_00000529</t>
  </si>
  <si>
    <t>PF00707.27</t>
  </si>
  <si>
    <t>Translation initiation factor IF-3, C-terminal domain</t>
  </si>
  <si>
    <t>K02520</t>
  </si>
  <si>
    <t>translation initiation factor IF-3</t>
  </si>
  <si>
    <t>COG0290</t>
  </si>
  <si>
    <t>Translation initiation factor IF-3 (InfC) (PDB:2IFE)</t>
  </si>
  <si>
    <t>Translation factors&gt;&gt;&gt;Prokaryotic type&gt;&gt;&gt;Initiation factors|Translation factors&gt;&gt;&gt;Eukaryotic type&gt;&gt;&gt;Initiation factors&gt;&gt;&gt;MTIFs|Mitochondrial biogenesis&gt;&gt;&gt;Mitochondrial DNA transcription, translation, and replication factors&gt;&gt;&gt;Mitochondrial transcription and translation factors&gt;&gt;&gt;Mitochondrial translation factors</t>
  </si>
  <si>
    <t>MQLEEQTISAEARINERIRVPEVRLVGPGGEQVGIVRIEDARRLAYDADLDLVEVAPNAKPPVCKIMDYGKFKYEAAQKARESRKNQQQTVVKEQKLRPKIDDHDYETKKGNVIRFLEKGSKVKVTIMFRGREQSRPELGFRLLDRLANDVAEYGVVETKAKQDGRNMTMVLGPVRKGKK</t>
  </si>
  <si>
    <t>GC_00000530</t>
  </si>
  <si>
    <t>PF01594.21</t>
  </si>
  <si>
    <t>AI-2E family transporter</t>
  </si>
  <si>
    <t>K20469</t>
  </si>
  <si>
    <t>putative heme transporter</t>
  </si>
  <si>
    <t>COG0628</t>
  </si>
  <si>
    <t>Predicted PurR-regulated permease PerM (PerM)</t>
  </si>
  <si>
    <t>--------------------MSS-----------------TPHAVDELHD------------------TDVASHAHPRD------RTGVIIEGLKQLAWWSLRILVILAGTYVTWLLLGKFWRGILPVALAIIVTTVLWTPTQWLCRLKLPRAVAALITLLGSVGVVGAFFAFIAPSVAQQMPGLYFQGFEGIQRIELWLQGPPLNLHDEDLNNYFASGTAWLQNQSGTIAERLFAGLGKASSIVVNVGIVLVLT</t>
  </si>
  <si>
    <t>MQNYRRAAGFSGMMGQVSNKQSSETPADALADPTSTTSKPASQSASKLPASDLSASEADYLQHLQLEASRTFEELEGED---RIDRSEVIADGVKEFAWWCLRLLVIAVTAYAAWFLLSKFSRGILPLALAILICSVLWPITRTLRNIGVPAGLASFATILAAFGFFGGLIALIAPSIGQQSQTLYYQAFEGVQKVQLWLQGPPLNVRDDDINKWFTDATIWLQRQSGTIAGELFAGIGVASTVMVTLGIVIVLTFFFLKDGDRFLPWLRSITGRRAGWHLTELLTRSWNTLAGFIRAQAIVSLVDAVFIGMGLVFLGVPMALALATLTFIAGFIPIVGAFVAGALAVLIAFVSLGFTKALIVLALVVAVQQLEGNILSPMLQSRAMNLHPVIVLLSVTIGSSLFGIVGAFLAVPVTALVAVLFRYLSDMVALRSGEKTADQIEFATAAGSLTGMHGEVLGRKLRAARR-----DRHASASSANSEEGTTHGDASEEDPETL-------------LARLSDASAKIVQLFHKNNKAQSSSSENPTQPR</t>
  </si>
  <si>
    <t>-------MNFLPQCSDVSEYQST-----------------TPETIPEMPE--------------QLDAAQFFEQLQPEDPVAHIDRAEIIGNGIKHLASWCLRLLIIAAAAFVIWHILSQVWRGGLPIVLAIIVCTVLWPPVAWLRKHGIPAGLAAMIAILGSFGGFGFLIWLIAPSVVNQSQTLYFQAFEGVQRLQLWLQGPPMNLDPSDLDDRIDTAAQWLQSKAGSIASEVFSGLGIASSVMVTMLVVLVLT</t>
  </si>
  <si>
    <t>------MVNFLPQCSDVSEYQST-----------------TPETIPEMPE--------------QLDAAQFFEQLQPEDPVAHIDRAEIIGNGIKHLASWCLRLLIIAAAAFVIWHILSQVWRGGLPIVLAIIVCTVLWPPVAWLRKHGIPAGLAAMIAILGSFGGFGFLIWLIAPSVVNQSQTLYFQAFEGVQRLQLWLQGPPMNLDPSDLDDRIDTAAQWLQSKAGSIASEVFSGLGIASSVMVTMLVVLVLT</t>
  </si>
  <si>
    <t>GC_00000531</t>
  </si>
  <si>
    <t>PF00474.23</t>
  </si>
  <si>
    <t>Sodium:solute symporter family</t>
  </si>
  <si>
    <t>K11928</t>
  </si>
  <si>
    <t>sodium/proline symporter</t>
  </si>
  <si>
    <t>COG0591</t>
  </si>
  <si>
    <t>Na+/proline symporter (PutP) (PDB:5NVA)</t>
  </si>
  <si>
    <t>MSTQTWFIIAIVIYMVAMLLIGLWSYRQTDEYDDYMLAGRKLNPFVAALSAGASDMSGWLLMGLPGALFVAGFSELWIAIGLLIGCWANWKWIAPRLRSYTEIANNSITLPSFVENRLHDKSRVLRIVSSLVILVFFTFYVSSGMVSGGKYFESTFGGSYTDGMLIVAAVTVAYTFIGGFLAVSTADAVQGMIMFFALLIVPVMALLTLKDPSSIFTWASHHDYGPYTDGVGNPTYFSMVSGVGLAAIIGNLAWGLGYFGQPHIIVRFMALRSAKEARAGRRVGIAWMLLCIIGATAVALIGTAFFGQDPSIAVTDRDAFETIFLDMGRILFHPLIAGLILTSVLAAIMSTMSSQLLVTSSALIEDLFKIF-KKDLSNQMLINLSRMAVVAVAVVAAALAFNPNDSILGLVGFAWAGFGSAFGPVVIASLYWSRLNAPGAIAGMITGAVVSFAWGMTPALHAALYEIVPGVVSATIVMVVVSLLTKAPTEDVVEEFEQA-----TAAAVA</t>
  </si>
  <si>
    <t>MSEHTWFIVAIVMYMLAMLAIGYWSYRQTSQYDDYMLAGRGLNPMVAALSAGASDMSGWLLMGLPGALFVSGFSGLWIAIGLLVGCWANWYWVAPRLRAYTEASRDSLTLPSFLENRLRDSSHVLRIVSSLVIVVFFTFYVSSGMVSGGKYFESTFGGSYVDGMLIVASVTVAYTFIGGFLAVSYTDAVQGMIMFAALVLVPAVALFSLDDMSSIWTFATSNNYGPYTNG-GNPHYFSLISGVSFAAIVGYLSWGLGYFGQPHIIVRFMALRKPSEAKQGRRIGVSWMLICILGAVAVALIGTAFFGQNAEYTVTDQKDYETVFLDMGRILFHPLVAGLVLTAVLAAIMSTISSQLLVTSSALIEDLYMIVTKRKLSDQLLINLSRTAVVGVAIIAALLSIKPSNSILGLVAFAWAGFGSAFGPLVVASLYWRRLNTPGALAGIIVGAVVSFGWGMS-SLGDSLYEMVPGFLCGTLAMVAVSLLTKPPAQEILDEFDRAAHMARTDELVA</t>
  </si>
  <si>
    <t>MSEHTWNVIAIIIYMSVMLGIGYWSYRQTDEYEDYVLAGRGLNPFVAALSAGAADMSGWLLMGLPGALFVSGMSELWIAVGLLAGAWANWTYVAPRLRSYSEVADDSVTIPSFFENRLGDKSRTIRLVSSTIIVVFFTFYVSSGMVAGGKYFESTFGGDYLTGMLVVAFITVTYTFIGGFLAVSYTDAVQGMIMFCSLIIVPVMALLYLDDPSSIWTWATSNSYGPHAD--GNPQYFSLISGISAATIIGNLAWGLGYFGQPHIIVRFMALRTPKDARTGRMIGMSWMFISIIGAVFIAIIGTAFFGQNPDLAITDTSKYESVFLDMARILFHPLIGGLILTAVLAAIMSTISSQLLVSSTSLIEDIFKIVKKKHPSQDVMINLSRTAVIVVSVVAGLLAVNPNNSILDLVGFAWAGFGSAFGPAVLFMLYWKRLNVQGTLAGMIAGAVVCGVWGNT-GLKDVVYEMVPGVIAATIITYVVTIMTKPPSEEVVAGFEHAVEREKEFLAKA</t>
  </si>
  <si>
    <t>MSEHTWNVIAIIIYMSVMLGIGYWSYRQTDEYEDYVLAGRGLNPFVAALSAGAADMSGWLLMGLPGALFVSGMSELWIAVGLLAGAWANWTYVAPRLRSYSEVADDSVTIPSFFENRLGDKSRTIRLVSSIIIVVFFTFYVSSGMVAGGKYFESTFGGDYLTGMLVVAFITVTYTFIGGFLAVSYTDAVQGMIMFCSLIIVPVMALLYLDDPSSIWTWATSNSYGPHAD--GNPQYFSLISGISAATIIGNLAWGLGYFGQPHIIVRFMALRTPKDARTGRMIGMSWMFISIIGAVFIAIIGTAFFGQNPDLAITDTSKYESVFLDMARILFHPLIGGLILTAVLAAIMSTISSQLLVSSTSLIEDIFKIVKKKHPSQDVMINLSRTAVIVVSVVAGLLAVNPNNSILDLVGFAWAGFGSAFGPAVLFMLYWKRLNVQGTLAGMIAGAVVCGVWGNT-GLKDVVYEMVPGVIAATVITYVVTIMTKPPSEEVVAGFEHAVEREKEFLAKA</t>
  </si>
  <si>
    <t>GC_00000532</t>
  </si>
  <si>
    <t>PF00347.28</t>
  </si>
  <si>
    <t>Ribosomal protein L6</t>
  </si>
  <si>
    <t>K02933</t>
  </si>
  <si>
    <t>large subunit ribosomal protein L6</t>
  </si>
  <si>
    <t>COG0097</t>
  </si>
  <si>
    <t>Ribosomal protein L6P/L9E (RplF) (PDB:1VS6)</t>
  </si>
  <si>
    <t>MSRIGKNPIAIPSGVEIKLDGQHVEVKGPKGTLSQDIPAPIVVAQQDNEIVVTRPDDNRKNRALHGLSRSLINNMVVGVTEGYTIKMEIFGVGYRVQAKGSNLEFSLGYSHPILIEAPEGISFAVDGNTKFSITGIDKQKVGQIAAIIRRLRKDDPYKGKGIRYEGEQIRRKVGKTGK</t>
  </si>
  <si>
    <t>MSRIGKNPVSIPSGVEAKIDGQHVEVKGPKGTLSLDVPEPITVVLEGSEIKVSRPDDNRRSRALHGLSRSLINNMVIGVSEGYTIKMEIFGVGYRVQAKGKGLEFSLGYSHTIPIEPPEGVTFAVDGTTKFSISGIDKQKVGQIAANIRRLRKDDPYKGKGIRYEGEQIRRKVGKTGK</t>
  </si>
  <si>
    <t>MSRIGKNPVSIPSGVEAKIDGQHVEVKGPKGTLSLDVPEPITVALEGSEIKVSRPDDNRRSRALHGLSRSLINNMVIGVSEGYTIKMEIFGVGYRVQAKGKGLEFSLGYSHTIPIEPPEGVTFAVDGTTKFSISGIDKQKVGQIAANIRRLRKDDPYKGKGIRYEGEQIRRKVGKTGK</t>
  </si>
  <si>
    <t>MSRIGKTPIAIPANVDVKIDGQFVEVKGPKGTLSHTVAEPIKVAIEDNQILVTRPDDNRKNRSLHGLSRSLINNLVVGVTEGYTIKMEIFGVGYRVAAKGKNLEFSLGYSHPVLIEPPEGITFAVDGNTKLSVSGIDKQKVGQIAAIIRKLRKDDPYKGKGIRYEGEQIRRKVGKTGK</t>
  </si>
  <si>
    <t>GC_00000533</t>
  </si>
  <si>
    <t>PF01923.23</t>
  </si>
  <si>
    <t>Cobalamin adenosyltransferase</t>
  </si>
  <si>
    <t>K00798</t>
  </si>
  <si>
    <t>COG2096</t>
  </si>
  <si>
    <t>Cob(II)alamin adenosyltransferase (PduO) (PDB:1NOG)</t>
  </si>
  <si>
    <t>MAVHLTKIYTRTGDNGTTGLSNFDRVPKDDPRLVAYADCEETNCMIGQVLALSSPNNDVAEVLRRVQNELFDAGADLATPIED-NPQYPPLRILQSYIDQLEHDCDRFNEKLGKLDSFILPGGAPTAALIHTARVVCRRAERAAWAAVREFPDTTSALPAQYLNRLSDLLFIVGRVENLDANGESMDVRWVPGSHRQN-----KTQQS</t>
  </si>
  <si>
    <t>MAVHLTKIYTRTGDDGTTGLSNFDRVPKDDSRLVAYADCDEANCAIGQVLALGNPGSEMKNTLMRVQNELFDAGADLATPIEE-NPKYPPLRIDQSYIDRLEHDCDHYNTNLEPLNSFILPGGTPAAALLHTARTIVRRAERAAWAAVREHPDTTSKLPAKYLNRLSDLMFILARVAN---DGD--DVPWVPGGERNDAPRAKPTNKG</t>
  </si>
  <si>
    <t>MAVHLTKIYTRTGDDGTTGLSDFSRVPKTDPRLVAYADCEEVNAHIGVALSLGSPSDKVAATLRRIQNELFDAGADLATPVTDKDLGYKPLRITQEYIDRLEQDCDAYNESLPKLDSFILPGGTPTASLLHIARITARRAERAAWSAVESHPDTTSVLPAKYLNRLSDLLFILCRVTN---DAN--DVKWIPGGER------------</t>
  </si>
  <si>
    <t>MAVHLTKIYTRTGDDGTTGLSDFSRVPKTDPRLVAYADCEEVNAHIGVALSLGSPSDKVAATLRRVQNELFDAGADLATPVTDKDLGYKPLRITQEYIDRLEQDCDAYNESLPKLDSFILPGGTPTASLLHIARITARRAERAAWSAVESHPDTTSVLPAKYLNRLSDLLFILCRVTN---DAN--DVKWIPGGER------------</t>
  </si>
  <si>
    <t>GC_00000534</t>
  </si>
  <si>
    <t>PF21906.2</t>
  </si>
  <si>
    <t>NrtR DNA-binding winged helix domain</t>
  </si>
  <si>
    <t>F|S</t>
  </si>
  <si>
    <t>Nucleotide transport and metabolism|Function unknown</t>
  </si>
  <si>
    <t>COG1051|COG4111</t>
  </si>
  <si>
    <t>ADP-ribose pyrophosphatase YjhB, NUDIX family (YjhB) (PDB:3GZ5)|Uncharacterized conserved protein</t>
  </si>
  <si>
    <t>MQHHSQQHHSEYRPPTLAVDLVAFRVHAGVLEVLLMRRRNEPFAGEWALPGGYNAQGETTMEALSRVARTKVGVNIDADLGFVEQLYTFDTTARDPRGHAVSVVYLGCGFGLEDVTGGDNPHEFRPVDELPPLAFDHADIVHYARERLASKMSYSTAVYGLLPSEFTLTQVQAAYEAVRGRQLDKRNFRKKFLSLSVVHETGGVWQEGAHRPAKLYAFNGRTLQDFDSGV-</t>
  </si>
  <si>
    <t>COG4111</t>
  </si>
  <si>
    <t>Uncharacterized conserved protein</t>
  </si>
  <si>
    <t>-----MANTSDYHPPTLTVDMVVFCVEDAQLKVLLINRTAPPFQGEWALPGAI---------------------------------------------------------------------------------------------------------------------------MLRGKPLRRR------------------WSE------------------------</t>
  </si>
  <si>
    <t>GC_00000535</t>
  </si>
  <si>
    <t>PF14588.11</t>
  </si>
  <si>
    <t>YjgF/chorismate_mutase-like, putative endoribonuclease</t>
  </si>
  <si>
    <t>COG0251</t>
  </si>
  <si>
    <t>Enamine deaminase RidA, house cleaning of reactive enamine intermediates, YjgF/YER057c/UK114 family (RidA) (PDB:1J7H) (PUBMED:22094463;32205462)</t>
  </si>
  <si>
    <t>Pyrimidine degradation</t>
  </si>
  <si>
    <t>MTTSERLRELGISLPQVAAPVAAYVPAIRTGNQVWTSGQIPFVNGELAATGKVGAEVSAEDAYNYARIAALNALAAVDALVGIDKVTRVLKIVGFVASAEDFGGQPAVINGASELMGEIFGDAGAHARSAVGVAELPLNSPVEVEIIVEIAP</t>
  </si>
  <si>
    <t>MTVIERLSELGITLPAVAAPVAAYVPAIRVGDQVWTSGQLPFVDGKLPAVGKLGADITVEQGADYARQAALNALAAVDALVGINNVKRVLKIVGFVASADGFAEQPAVVNGASNLIGEIFGEAGAHARSAVGVAELPLSSPVEIEIIVEV--</t>
  </si>
  <si>
    <t>MTVLERLSELGITLPAVAAPVAAYVPAIRVGDQVWTSGQLPFVDGKLPAVGKLGADITVEQGADYARQAALNALAAVDALVGINNVKRVLKIVGFVASADGFAEQPAVVNGASNLIGEIFGEAGAHARSAVGVAELPLSSPVEIEIIVEV--</t>
  </si>
  <si>
    <t>GC_00000536</t>
  </si>
  <si>
    <t>PF00929.31</t>
  </si>
  <si>
    <t>Exonuclease</t>
  </si>
  <si>
    <t>K02342</t>
  </si>
  <si>
    <t>DNA polymerase III subunit epsilon [EC:2.7.7.7]</t>
  </si>
  <si>
    <t>COG0847</t>
  </si>
  <si>
    <t>DNA polymerase III, epsilon subunit or related 3'-5' exonuclease (DnaQ) (PDB:1J53)</t>
  </si>
  <si>
    <t>--MPLAA-----TFNPASMLSFDLETTSPNPATARIVTSAMITIAGKDVDKVELLADPGVDIPEEATKVHGITTEYARENGQPHEDVLASTIQAIREGWDKGHTLIVFNAAFDLSVLRQLSGDFTVDGPVFDPYVVDKAFDPYRKGKRTLGAMCEHHGVPLDNAHEATADALAAARIAWKLAKKH--PELSTMDVDELMEKQAVWFYKQQAGLKKYFEGQGRDVSDFNMSWPMRG-</t>
  </si>
  <si>
    <t>MFTPLSTLGSMTHFDVNAMLSFDLETTSANPLEARIVTSAMVRIHNKDVEPLELLADPGVEIPEAASKVHGITTEHAREHGQPHEKVLAETVERIRQGWADGLTLIVFNAPYDLTVLRQLTGDFTVTGAVYDPFVVDRAKDPYRKGPRTLSDLSQFYGVRLDNAHEATADALAAARIAWKQLKLW--PDLGTMDLDSLMEAQAVWYYERQTSFRKYLEGQGRDTSDVSTSWPMRG-</t>
  </si>
  <si>
    <t>GC_00000537</t>
  </si>
  <si>
    <t>PF01520.23</t>
  </si>
  <si>
    <t>N-acetylmuramoyl-L-alanine amidase</t>
  </si>
  <si>
    <t>M|M</t>
  </si>
  <si>
    <t>Cell wall/membrane/envelope biogenesis|Cell wall/membrane/envelope biogenesis</t>
  </si>
  <si>
    <t>K01448</t>
  </si>
  <si>
    <t>N-acetylmuramoyl-L-alanine amidase [EC:3.5.1.28]</t>
  </si>
  <si>
    <t>COG0860|COG3409</t>
  </si>
  <si>
    <t>N-acetylmuramoyl-L-alanine amidase (AmiC) (PDB:1JWQ)|Peptidoglycan-binding (PGRP) domain of peptidoglycan hydrolases (PGRP) (PDB:4FET)</t>
  </si>
  <si>
    <t>ko01000|ko01011|ko03036</t>
  </si>
  <si>
    <t>Enzymes&gt;&gt;&gt;3. Hydrolases&gt;&gt;&gt;3.5  Acting on carbon-nitrogen bonds, other than peptide bonds&gt;&gt;&gt;3.5.1  In linear amides&gt;&gt;&gt;3.5.1.28  N-acetylmuramoyl-L-alanine amidase|Peptidoglycan biosynthesis and degradation proteins&gt;&gt;&gt;Peptidoglycan biosynthesis and degradation&gt;&gt;&gt;Amidase|Chromosome and associated proteins&gt;&gt;&gt;Prokaryotic type&gt;&gt;&gt;Chromosome partitioning proteins&gt;&gt;&gt;Divisome proteins</t>
  </si>
  <si>
    <t>MTEILRVGDSDPRVAEVRATLARLGQLDGFDGA----DTQSFSASDTHFDAHLAQALQAFQQSRGIIADGVIGEVTLRALREASYTLGARVLQYQPGKVLVGDDVAELQDQLHELGFYSSRVDGQFGPATHEAVMNYQLNYGLNTDGICGPNTVRALSYLGLRITGGSPNAIREIEQVRRAGPRLTGKRVVLDPGLGGQNKGLTVKGPYGDITEEEILWDIASRIEGRMVAAGVETIMSRPRMDDPTFEDRAEIANAFGADLMICLQCDRYPNDKANGVATFYFGSEKGSNSITGEKLSGFIQREISARTELTNCGNHGRTWDILRLTYMPAIDVVLGYLTNPNDVAILTDPQARDAIAEAIVVAVKRLYLLDDDDQPTGTYKFSELLEQEVL-</t>
  </si>
  <si>
    <t>MSDVLRVGDRSPRVAEVRATLARLGLLPSFDGYVIDKEAQQFEEKDTFFDAALAEALQGFQQSRGFVPNGEISEATLKILREASYTLGMRVLYFQPANVMVGDDVGQLQQQLHDLGFYADRIDGHFGPATHAGVVNYQENSGLQPDGICGPETVRALSYLGLRITGGSPHAIREREQVRQAGPQLAGKRVVIDPALGGNDQGQIVKGLFGNITEEEILWDLASRIEGRMIAAGMETIVSRPRQDNPSQKERAGIANAFGADLMLCLQCDRYQNEKASGVATFYFGSEQGSSSLTGEALSGFIQREIVARTDLQNCGNHGRTWEMLRLTSMPTVEVVTGYLTNPHDVAILTDPSERDTIAEAIVVAVKRLYLLDQDTQPTGTYKFSELLRSELL-</t>
  </si>
  <si>
    <t>MSDVLKVGDNSPRVAEVRKSLARLGLLPNYNES--GNPDHAIYNADTLFDDELEAALRGFQQARGIIASGEINEMTLRVLREASYELGARVLNYQPHNEMSGDDVVQLQQQLQELGFYSDRIDGHFGEHTYRALLKYQMNYGLNMDGICGPNTIRSLNRLGRRITGGSPQKLRERERMRAAGPRLTGKRVVIDPSLGGPDKGMTVRGLYGEITEEELMWDLASRVEGRMIAAGMETIVSRPRHDNPSLRQRADIANAFNADLMICLQADRYQNDKASGCATFYFGSEQGNYSMTGELLSGFIQREIAHRTKLVNCGNHARTWDLLRMTQMPCVEVVTGYLTNPGDVRILTNPAKRDAIAESIVVAVKRLYLMDNDDKPTGTFKFSELLAQEMLS</t>
  </si>
  <si>
    <t>GC_00000538</t>
  </si>
  <si>
    <t>PF07479.19</t>
  </si>
  <si>
    <t>NAD-dependent glycerol-3-phosphate dehydrogenase C-terminus</t>
  </si>
  <si>
    <t>K00057</t>
  </si>
  <si>
    <t>glycerol-3-phosphate dehydrogenase (NAD(P)+) [EC:1.1.1.94]</t>
  </si>
  <si>
    <t>COG0240</t>
  </si>
  <si>
    <t>Glycerol-3-phosphate dehydrogenase (GpsA) (PDB:1EVY)</t>
  </si>
  <si>
    <t>KEGG Orthology (KO)&gt;&gt;&gt;09100 Metabolism&gt;&gt;&gt;09103 Lipid metabolism&gt;&gt;&gt;00564 Glycerophospholipid metabolism [PATH:ko00564]|Enzymes&gt;&gt;&gt;1. Oxidoreductases&gt;&gt;&gt;1.1  Acting on the CH-OH group of donors&gt;&gt;&gt;1.1.1  With NAD+ or NADP+ as acceptor&gt;&gt;&gt;1.1.1.94  glycerol-3-phosphate dehydrogenase [NAD(P)+]</t>
  </si>
  <si>
    <t>-------MSSPTVAVMGAGSWGTTLSKVFADAGSSVRLWSRRADAARSIQITRENHDYLPGLILPFGISATADAAQALDGADIVVLAVPSQTLRGNLAQWRDLIGSDASIVSLAKGIEKGTGKRMSEVIADVAGVDAQRIAVLSGPNLAREVALEQPAATVIACPDQQRAEFIQNAVAAPYFRPYTNPDVVGCEIGGACKNVIALACGMASGQGLGENTVASLMTRGLAEITRLGEALGADARTFAGLAGVGDLI</t>
  </si>
  <si>
    <t>PF01210.29</t>
  </si>
  <si>
    <t>NAD-dependent glycerol-3-phosphate dehydrogenase N-terminus</t>
  </si>
  <si>
    <t>---------MVKVAVMGAGSWGTTLAKVFADAGNSVVLWVRKEAVARKIQISRENEKYLPGLILPRGIAATSDPLVALSDADIVVLAVPSQTLRENLARWKDDIPADATLVSLAKGIERDTHLRMTQVVAEVAQVDPSRIAVLSGPNLAREVALEQPAATVIACTDEERAKQVQAAVAAPYFRPYTNVDVIGCEIGGACKNVIALACGMATGKGLGENTLASLITRGLVEISRLGEALGADVRTFSGLAGMGDLV</t>
  </si>
  <si>
    <t>MPHTTNHHTPEHIAVMGAGSWGTTLAKVFADAGSTVTIWARRPQIADTINTHHHNPDYLPGIQLPTTLTATTNPTHALAGATIVVLAVPSQTLRDNLATWAPHIPTDATLVSLAKGIETDTFLRMSQVIADVAGADPSRIAVLSGPNLAKEIALQQPAATVIACTDEHRAKQVQAAVGAPYFRPYTNTDVIGAEIGGACKNVIALACGMASGNGLGENTLASLITRGLAEITRLGTAMGADPRTFAGLAGLGDLVATCSSPLSRNRTFGYRLGQGGTLEEATQATNGQVAEGVTSSAAINALAHTHNVEMPITQAVYGVCHQGLAVIDMVAALMGRTKKSE</t>
  </si>
  <si>
    <t>MPHTTNHHTPEHIAVMGAGSWGTTLAKVFADAGSTVTIWARRPQIADTINTHHHNPDYLPGIQLPTTLTATTNPTHALAGATIVVLAVPSQTLRDNLATWAPHIPTDATLVSLAKGIETDTFLRMSQVIADVAGADPSRIAVLSGPNLAKEIALQQPAATVIACTDEHRAKQVQAAVGAPYFRPYTNTDVIGAEIGGACKNVIALACGMASGNGLGENTLASLITRGLAEITRLGTAMGADPRTFAGLAGLGDLVATCSSPLSRNRTFGYRLGQGGTLKEATQATNGQVAEGVTSSAAINALAHTHNVEMPITQAVYGVCHQGLAVIDMVAALMGRTKKSE</t>
  </si>
  <si>
    <t>GC_00000539</t>
  </si>
  <si>
    <t>PF18367.6</t>
  </si>
  <si>
    <t>Rv2175c C-terminal domain of unknown function</t>
  </si>
  <si>
    <t>MCVVTSTPDVSVLPVDEPVITVPDAAERMGVVVTRVMAHLGDRDMIAVRKDGVRYLPARYFNEDGQLNRFVPGVIKLLLDGSYTEEEILEFLFTEDDSLPGRPIDAVHGHLAREVMRRAQAMAF</t>
  </si>
  <si>
    <t>MSSFPAAHDV--LPVDEVLITIPDAAERMGVVVTRLFDLLGDHQLIAVERDGISYLPEAYFNSEGEIIKFVPGVIAVLSDGGYDDTEILRYLFTEDESLPGRPIDALHGHLAREVMRRAQALGF</t>
  </si>
  <si>
    <t>GC_00000540</t>
  </si>
  <si>
    <t>PF16918.11</t>
  </si>
  <si>
    <t>Protein kinase G tetratricopeptide repeat</t>
  </si>
  <si>
    <t>K14949</t>
  </si>
  <si>
    <t>serine/threonine-protein kinase PknG [EC:2.7.11.1]</t>
  </si>
  <si>
    <t>COG0515</t>
  </si>
  <si>
    <t>Serine/threonine protein kinase (SPS1) (PDB:6G4J)</t>
  </si>
  <si>
    <t>ko01000|ko01001</t>
  </si>
  <si>
    <t>Enzymes&gt;&gt;&gt;2. Transferases&gt;&gt;&gt;2.7  Transferring phosphorus-containing groups&gt;&gt;&gt;2.7.11  Protein-serine/threonine kinases&gt;&gt;&gt;2.7.11.1  non-specific serine/threonine protein kinase|Protein kinases&gt;&gt;&gt;Serine/threonine kinases: Other&gt;&gt;&gt;Bacterial family</t>
  </si>
  <si>
    <t>MTDSNVTRSNAADPTPTAATAAVPFDPFADDDD----------ELDQLVS-------GLDNHRAALNTFKQRRTTSRAARLVADGMVELPFIPLQDPEDAVVQP-DPRFEPPVLKPGDIVAGQYVIRGVIAHGGMGWVYLAVDRNVSERWVVLKGMLDGGAH----IAQAEREFLADITHPEIVKIFNFVDDPRVPGGFIVMEYVGGPSLKGRR-------LDVDVAIGYILEILPALEYLHSRGVVYNDLKPDNIIVSEDQVKLIDLGAVTGIGAFGFIYGTKGFQAPEVAKEGPSVASDIYTVGRTLAALTCGLPVVDGAYAPGIPSPTDEPMLRRNLALYRFLLRATDPDPSRRFSTIKELRNQLYGVLREILALRDGKHFPAQYSLFSPQRTTFGTKHVVFRTDQLVDGIARRVTITAPEVVSALPVPLIDHKDPGARLLSGSSYAEPQETLEALRTAIDSQEFAGSVEIPLGVVRTLLDLGFTVEAQQWLQSLESRLGRDWRHQWYSGVTSLLLEDFPAAQRFFAEVLTMLPGESAPKFALAAVDELILLSEESLLSPDILTAASMGSIEEVPSEAFEFMDPTWGHVTDDPMALRFHSMQLYAVVWATNPTTVSSAFGLARQLMAEDQVEAAVAALDRVPQASRHQRMAKLTTIVQLITGTDA--SESRIRRAARRLEEIPTNEPRLLQLKIAVMFAALNWLRTTGLDAAASSGELFDAPFTQHGLREELAHSLRLLARNAPFPRHRYALVDMANAVRPRTWF</t>
  </si>
  <si>
    <t>MTTEN-------ELHTEPHTEAAPFNPFEDDDY--EDSTGILALLDDLGTIRDTSDVGNRSREQALTTFRERRGAHRQGRTVADGMVTLPFIRPINALGSLIDP-SKEDDPPQLKPGDMVADQYEIAGVIAHGGMGWIYLANDRNVSGRWVVLKGLMDDVQARDHVVADAEREFLADITHPGIIKIFNFIDDPRVPGGFIVMEYVGGPSLKDRRKEQPGHVFDVDIAIGYILEILPALEYLHSRGVVYNDLKPDNIVVTEDQVKLLDLGAVSGIGAFGYIYGTKGFQAPEVATEGPSVASDIYTVGRTLAAMCCRLPIVDGVFAPGLPSPSEEPLFRQYLSLYRLLLRATHEDPKQRFRDISELQTQLYGVLREILAIRDGKQFPAQHSLFSPQRTTYGTKHLVFRTDQLIDGIDRRVKITSPEIVAALPVPLIDRNDVGAALLSGSSYAEPSEALETMRQAMQAEEYASSTEIPLGVVRALLDLGFTAEARTWLVSLAPKLTQDWRYQWFSGVTDLLLDDFEAAQEHFNNVLNILPGEAAPKLALAAVAEM-LLQQAALEQAPLLDAATTRAAANIDTTPAELV------ISTDPESLRYQAMVLYGLVWATNPATVSSAFGLARQLMAEGQVELAVAALDKVPQPSRHHRMAKLTTILQLVSGTPEDLTEARLRRAARRLEEIPTNEPRFLQIKIAVMSAALNWLGSHNLDSAASSNDLFEWPFTERGLRTGLAAALRQQARSAPFARHRYTLVDIANAVRPTTRF</t>
  </si>
  <si>
    <t>MTDTDHTQPHSTADHTQPQTAAVPFNPFDDDDDTFNTAAAPFNPFDDDDD-DPLPDPSARSRTEALNTFRSRRSTTREGRSVANGMVRLPFVPIKET--RLMDPATTNLEPPLLKEGDIVANQYKILGVVAHGGMGWIYLAQDQNVSGRVVVLKGLIGSGNPHDIGAAIAEREFLADITHPVIVKAYNFIDDPRVAAGFIVMEYVPGPSLRKRRQEQPGGVFAIDIAIGYILETLPALEYLHARGVVYNDFKPDNIIVTEDQVKLIDLGAVTGIGAFGYIFGTKGFQAPEVSTEGPSVASDIYTVGRTLAAMTINMPKKDGAYAPGLPGPDEEPLFAQYLSYYRLLRRATDPDPKQRFSTVQELTTQLYGVLREYLAVHDGRQFPAQHSLFSPQRSTFGTKHIVFKTDQLIDGIERSVRITPPEVVAALHVPLLDRNDPGAAMIAGSSYTEPSEALETMREAMAREKFAQSKEIPLGIIRSLLDLGFTTESKDWLKKLESSLGDDWRYQWYSGITSLLLDDFLPAQDAFNKVFNILPGEAAPKLARAAVCEL-ILQSKGMDNKPLLQPATAIEVASLKGEIVNELAGLWTHLTQDPAVLRYKAIYLYSLVWATNPATVSSGFGLARQLMAERQVDVAVQALDKVPASSMHRRMAELTSVLYLVSDVP---NEQRIRRAARRLEEIPTNEPRFLQVQIAVLNAALHWLRLEGLEASASRNDLFDYPFTQLGLRRGLERALRLQARSAPTAAHRYQLVDTSNKIRPRTWF</t>
  </si>
  <si>
    <t>MTDTDHTQPHSTADHTQPQTAAVPFNPFDDDDDTFNTAAAPFNPFDDDDD-DPLPDPSARSRTEALNTFRSRRSTTREGRSVANGMVRLPFVPIKET--RLMDPATTNLEPPLLKEGDIVANQYKILGVVAHGGMGWIYLAQDQNVSGRVVVLKGLIGSGNPHDIGAAIAEREFLADITHPVIVKAYNFIDDPRVAAGFIVMEYVPGPSLRKRRQEQPGGVFAIDIAIGYILETLPALEYLHARGVVYNDFKPDNIIVTEDQVKLIDLGAVTGIGAFGYIFGTKGFQAPEVATEGPSVASDIYTVGRTLAAMTINMPKKDGAYAPGLPGPDEEPLFAQYLSYYRLLRRATDPDPKQRFSTVQELTTQLYGVLREYLAVHDGRQFPAQHSLFSPQRSTFGTKHIVFKTDQLIDGIERSVRITPPEVVAALHVPLLDRSDPGAAMIAGSSYTEPSEALETMREAMAREKFAQSKEIPLGIIRSLLDLGFTTESKDWLKKLESSLGDDWRYQWYSGITSLLLDDFLPAQDAFNKVFNILPGEAAPKLARAAVCEL-ILQSKGMDNKPLLQPATAIEVASLKGEIVNELAGLWTHLTQDPAVLRYKAIYLYSLVWATNPATVSSGFGLARQLMAERQVDVAVQALDKVPASSMHRRMAELTSVLYLVSDVP---NEQRIRRAARRLEEIPTNEPRFLQVQIAVLNAALHWLRLEGLEASASRNDLFDYPFTQLGLRRGLERALRLQARSAPTAAHRYQLVDTSNKIRPRTWF</t>
  </si>
  <si>
    <t>GC_00000541</t>
  </si>
  <si>
    <t>PF13834.11</t>
  </si>
  <si>
    <t>Domain of unknown function (DUF4193)</t>
  </si>
  <si>
    <t>MATDYDAPRRRAEDDLETDSLEGLKAAESSKFNMDDDGEIVESFDLPHVDLSGEELNVTVVPRREDEFTCSSCFIVQRRNRISHTEDDGSIICLDCA</t>
  </si>
  <si>
    <t>MATDYDAPRRRAEDELETDSLEGLKAAENASNGMDDDGEIVEPFDLPSVDLSGEELNVTVVPRREDEFTCSSCFLVQRRNRISHIEEDGSIICLDCA</t>
  </si>
  <si>
    <t>MATDYDAPRRRAEDEIETDSLEGLKAAENVTNDMDDDGEIVEPFDLPSVDVAGEELNVTVIPRRENEFTCSVCFLVQNNSRIDHTEPDGSIVCKDCA</t>
  </si>
  <si>
    <t>GC_00000542</t>
  </si>
  <si>
    <t>PF11349.13</t>
  </si>
  <si>
    <t>Protein of unknown function (DUF3151)</t>
  </si>
  <si>
    <t>MRRWAVLCQGHLYFQAMKDFLAPPPVKLPVDPAASVLDDAAPVAVARTHPTSSLVWARLAEQARA--------EGEDVQAYAFARTGYHRGLDALRANGWKGFGSVPWSHEPNRGVLLAIAQLALCAQAIGEDAEYDRCRTLLSDCDPACVETLLA----</t>
  </si>
  <si>
    <t>-------------MTEFKDMLLPPPVLLPEDPN----------TNALTHPESPLAWAILAEQALEGASTNSTTDQEKLQAYAFARTGYHRGLDRLRAHGWKGFGPVPWSHEPNHGVLRAIAALALAAQLIGEDSEYERCRALLTDADSSCVEVLLP----</t>
  </si>
  <si>
    <t>-------------------MLLPPPVLLPEDPN----------TNALTHPESPLAWAILAEQALEGASTNSTTDQEKLQAYAFARTGYHRGLDRLRAHGWKGFGPVPWSHEPNHGVLRAIAALALAAQLIGEDSEYERCRALLTDADSSCVEVLLP----</t>
  </si>
  <si>
    <t>GC_00000543</t>
  </si>
  <si>
    <t>PF01196.24</t>
  </si>
  <si>
    <t>Ribosomal protein L17</t>
  </si>
  <si>
    <t>K02879</t>
  </si>
  <si>
    <t>large subunit ribosomal protein L17</t>
  </si>
  <si>
    <t>COG0203</t>
  </si>
  <si>
    <t>Ribosomal protein L17 (RplQ) (PDB:1GD8)</t>
  </si>
  <si>
    <t>MPTPKKGARLGGSASHQKKILSNLAAQLFEHGAIKTTDAKAKLLRPYAEKLITKAKSGTVADRRNVLKLVPNKEVVAYLFNELAPKFENREGGYTRIVKLENRKGDNAPMSQISLVLEETVAAEATRATRAAASKKAEEDAANKKKAEEIVEEVEAEQEAEAVETLEEAEK</t>
  </si>
  <si>
    <t>MPKPKKGPRLGGSASHQAAILSNLAAQLFEHGAIKTTDAKARMLRPYAEKLITKAKKGTLADRRNALKLVPNKPVIAHLFNELAPKFEGREGGYTRIIKLENRKGDNAPMSQISLVLEETVTTEATRATRAAASRAAAKKAKKAAVAEDTAADKAAAEE-------ATEEK</t>
  </si>
  <si>
    <t>MPKPKKGPRLGGSASHQAAILSNLAAQLFEHGAIKTTDAKARMLRPYAEKLITKAKKGTLADRRNALKLVPNKPVIAHLFNELAPKFEGREGGYTRIIKLENRKGDNAPMSQISLVLEETVTTEATRATRAAASRAAAKKAEKAAVAEDTAADKAAAEE-------ATEEK</t>
  </si>
  <si>
    <t>MPTPKKGPRLGGSATNQKHILSNLAGQLITHGAIKTTDAKAKLLRPYVEKLITKAKRGTLSDRRNVLKKVPQKDIVARLFNELAPKFENRDGGYTRIVKLENRKGDNAPMSQISLVLEETVSAEASRAARVAASQQAEKPAEAA----------------------AADEQ</t>
  </si>
  <si>
    <t>GC_00000544</t>
  </si>
  <si>
    <t>PF01554.23</t>
  </si>
  <si>
    <t>MatE</t>
  </si>
  <si>
    <t>K26937</t>
  </si>
  <si>
    <t>MATE family, multidrug efflux pump</t>
  </si>
  <si>
    <t>COG0534</t>
  </si>
  <si>
    <t>Na+-driven multidrug efflux pump, DinF/NorM/MATE family (NorM) (PDB:3VVN) (PUBMED:29915058)</t>
  </si>
  <si>
    <t>Transporters&gt;&gt;&gt;Solute carrier family (SLC)&gt;&gt;&gt;SLC47: Multidrug and Toxin Extrusion (MATE) family</t>
  </si>
  <si>
    <t>MTNTSKSGNSQTPQDLP------GTDGDLRGQT--------------------ESVSVRQILSLALPALGVLAAMPLYMLWDTAVVGRLGA-TELAALGGAVAIQAVVTTQLTFLSFGTTARAARLFGAGRRQAAVEEGMQATWVALAVGAVLGLGMIIGAPQLCRWLLGVGQPAELAAQWLRACAPIIPAALVVMAGNGWLRGVQNTRLPLYFTLAGVVPATVLVPVFVDRFSLVGSAYANVVGESITATLFLVCLFRQP--GRRSLTPDFGVISSQLVLGRDLILRSLAFQVAFLSAAGVASRMGEAALAGHQILLQLWNFLSLVLDSLAIAAQALVGAALGAGSAVRARGVGMKVIGFSLAAAAMMSAVLVAGSRWIPGLFTRDAAVLSGLGTPWWILSGMVILGGCAYALDGVLLGAGDATYLRNATLASVACGFIPGVWIAWAVGVGLTGIWFGIAAFMLLRCVFIGARFISMKWAKVS---------</t>
  </si>
  <si>
    <t>--MNMTDAGS-----------------DVSA------------------------VSARTIFALAFPALGVLAATPLYLLIDTAVVGHLGG-LYLAGLAAATTIQAQVTTQLTFLSYGTTARAARHYGAGDTDKAVSEGVQATWLALIVGAVLAAIVWLGAPTFTSWLAHSPEVANLATRWLRIAGIGVPLILATMAGNGWMRGIQNTRTPFYFTLAGVVPSAALVPLLVHRYGLVGSAVANLVGESITALLFLW</t>
  </si>
  <si>
    <t>MVDSESDAGAVAPGEVPLSAAGAGAAGDVGAGAGDQGNVNQKNSDQPVQKVLVQEVSAARILGLALPALGVLIITPLFLLLDTAVVGRYGGKVLLAALATGTTLYAQVTTQLTFLSYGTTIRSSHQYGAGDTRGAISEGVQATWMAVVVGAVLTLIMWVGAPQFTLWLSQDPTVAQLATQWLRITSFAIPLVLIDMAGNGWLRGIQNTRLPLVFTLSGLVPGAILIPVLVLRLGIVGSAWATLVGTVITATLFLGALVRARTVHGGDWRPNPIMMKQQIVLGRDLILRSLAFQVAFMSAAAVAGRIGPQALAAHQILLQLWNFLTLVLDSLAIAAQTLIGAAVGAGSVMAAKQVGQRILAYSTGFALVLAAVFGAGFAVIPRIFTTDAATLAALSGPWWQLVAMILIGGVVFALDGVLLGAADASYLRNITICAVIGGFLPGVAVAWWWHTGLVGVWWGLLGFIMIRLVAVVYRFYSMKWVANGIHTGEGSDE</t>
  </si>
  <si>
    <t>MMDSESDAGTVVPGEVPLSAAGAGAAGDVGAGAGDQGNVNQKNSDQPVQKVLVQEVSAARILGLALPALGVLIITPLFLLLDTAVVGRYGGKVLLAALATGTTLYAQVTTQLTFLSYGTTIRSSHQYGAGDTRGAISEGVQATWMAVVVGAVLTLIMWVGAPQFTLWLSQDPTVAQLATQWLRITSFAIPLVLIDMAGNGWLRGIQNTRLPLVFTLSGLVPGAILIPVLVLRLGIVGSAWATLVGTAITATLFLGALVRARTVHGGDWRPNPIMMKQQIVLGRDLILRSLAFQVAFMSAAAVAGRIGPQALAAHQILLQLWNFLTLVLDSLAIAAQTLIGAAVGAGSVMAAKQVGQRILAYSTGFALVLAAVFGAGFAVIPRIFTTDAATLAALSGPWWQLVAMILIGGVVFALDGVLLGAADASYLRNITICAVIGGFLPGVAVAWWWHTGLVGVWWGLLGFIMIRLVAVVYRFYSMKWVANGIHTGEGSDG</t>
  </si>
  <si>
    <t>GC_00000545</t>
  </si>
  <si>
    <t>PF02541.22</t>
  </si>
  <si>
    <t>Ppx/GppA phosphatase family</t>
  </si>
  <si>
    <t>K01524</t>
  </si>
  <si>
    <t>exopolyphosphatase / guanosine-5'-triphosphate,3'-diphosphate pyrophosphatase [EC:3.6.1.11 3.6.1.40]</t>
  </si>
  <si>
    <t>COG0248</t>
  </si>
  <si>
    <t>Exopolyphosphatase/pppGpp-phosphohydrolase (GppA) (PDB:1T6C)</t>
  </si>
  <si>
    <t>KEGG Orthology (KO)&gt;&gt;&gt;09100 Metabolism&gt;&gt;&gt;09104 Nucleotide metabolism&gt;&gt;&gt;00230 Purine metabolism [PATH:ko00230]|Enzymes&gt;&gt;&gt;3. Hydrolases&gt;&gt;&gt;3.6  Acting on acid anhydrides&gt;&gt;&gt;3.6.1  In phosphorus-containing anhydrides&gt;&gt;&gt;3.6.1.11  exopolyphosphatase|Enzymes&gt;&gt;&gt;3. Hydrolases&gt;&gt;&gt;3.6  Acting on acid anhydrides&gt;&gt;&gt;3.6.1  In phosphorus-containing anhydrides&gt;&gt;&gt;3.6.1.40  guanosine-5'-triphosphate,3'-diphosphate phosphatase</t>
  </si>
  <si>
    <t>MATSAPRVAAVDCGTNSIRLLISEIRGPKPSDIVQIRREMTIVRLGEGVDASGKFSDAALGRVRTALERYADTMVAERVTAVRMVATSATRDASNRHEFFRMTEQILSRVVPGARAEVITGTEEAELSFRGAIADLPADKGPFCVIDLGGGSTEFIVGTE-SEILGSHSAQIGCVRLSERILHTDPPAEPEIDAARAFAAEKVAEVRQTVPLRKAATFVGCAGTFTTLSALALGLEEYDERAIHNSTLEFDALRVLTAQLLRQTAAQRAAQPVVHEGRADVIGGGCIVVDAIMDEAQAATDGAASSFVISEKDILDGIVFGLSEQLHLEG</t>
  </si>
  <si>
    <t>----MTRLAAVDCGTNSIRLLICDSTDGKIKEIH---RTMEIVRLGEGVDETGHFSDAALARTANALEGYATIMDIERVNKVRMVATSASRDAANKDEFFAMTAELLGRVVPGAQAEIISGEEEAALSFKGAVADLPPEDGPFCVVDLGGGSTEFVVGSHGGPISGSYSAQMGCVRLSERIMRSNPATAEEVTQADAYVAEQLARVRADVPIGSTRTLVGCAGTFTTLSALAQGLETYDSHAIHGSVLRFDALRV</t>
  </si>
  <si>
    <t>----MARYAAIDCGTNSLRLLISEDNHGRPREIV---RLMEIVRLGQGVDATGEFAPEALERTRKVLTKYVDLMQQERVQDVRMVATSATRDARNKDEFFAMTAELLGQIRPGACAQVITGEEEAKLSFIGAVAYLSKEQGPFCVIDLGGGSTEFVVGVAGGQLLGSYSSQMGCVRISERIMQSDPPTPEEVEAARQYVAERLAEVQEIVPIASAKTFVGCAGTFTTIAALVLGLEKYEPKAIHDCHLRFDGLRA</t>
  </si>
  <si>
    <t>----MARYAAIDCGTNSLRLLISEDNHGRPREIV---RLMEIVRLGQGVDATGEFAPEALERTRKVLTKYVDLMQQERVQDVRMVATSATRDARNKDEFFAMTAELLGQIRPGARAQVITGEEEAKLSFIGAVAYLSKEQGPFCVIDLGGGSTEFVVGVAGGQLLGSYSSQMGCVRISERIMQSDPPTPEEVEAARQYVAERLAEVQEIVPIASAKTFVGCAGTFTTIAALVLGLEKYEPKAIHDCHLRFDGLRA</t>
  </si>
  <si>
    <t>GC_00000546</t>
  </si>
  <si>
    <t>MIQFVVGAAAGYVFGTKAGRKRYEQIKKGYLATVNSPVTQKAVTVTRKALADKLDPQPRMKEVRN-----LRTEDGHTVLEPDEG</t>
  </si>
  <si>
    <t>MIQFVVGAAAGYVLGTKAGRRRFEQIKKGYNLAVHSKASQAALQATRKAIANKLDPQPRMKEVKN-----LNRGDGSTVLEPDED</t>
  </si>
  <si>
    <t>MIQFVVGAAAGYVLGTKAGRRRFEQIKKGYNLAVHSKASQAAFQATRKAIANKLDPQPRMKEVKN-----LNRGDGSTVLEPDED</t>
  </si>
  <si>
    <t>MIQFVIGAAAGYVFGTKAGRRRYEQIKKGYQVAINSPATKQILTATRKAIANKLDPQPRMKEVKNLNKSKLNKSDDITILERDDD</t>
  </si>
  <si>
    <t>GC_00000547</t>
  </si>
  <si>
    <t>MTTPLLHTRTRNPYGTIGQKASSTNPHSGINPHAPEKRGDWVMRAKCRDVDPDSLFVTGAEQRQAAEICSLCPVILQCRADALDNKVEFGVWGGLTERQRRAILRKNPHVTNWYEYLSNGGELIGL</t>
  </si>
  <si>
    <t>MTTSLITDSQRNSYACGTAQTASL------------ERGEWVTQAKCRNGDPDALFVRGAEQRRAAAICRHCPVLLQCRADALDNRVEFGVWGGLTERQRRALLRKNPDITDWAAYLAAGGELIGI</t>
  </si>
  <si>
    <t>MSAPRGSEITRNPFLTSPEGVNT-------------ERGEWVMQANCRNGDPDALFVRGAAQRRAAVICRQCPVIVQCRADALDNKVEFGVWGGLTERQRRALLRKNPHITSWAEYLANGGELVGI</t>
  </si>
  <si>
    <t>GC_00000548</t>
  </si>
  <si>
    <t>PF03033.26</t>
  </si>
  <si>
    <t>Glycosyltransferase family 28 N-terminal domain</t>
  </si>
  <si>
    <t>K02563</t>
  </si>
  <si>
    <t>UDP-N-acetylglucosamine--N-acetylmuramyl-(pentapeptide) pyrophosphoryl-undecaprenol N-acetylglucosamine transferase [EC:2.4.1.227]</t>
  </si>
  <si>
    <t>COG0707</t>
  </si>
  <si>
    <t>UDP-N-acetylglucosamine:LPS N-acetylglucosamine transferase (MurG) (PDB:1F0K)</t>
  </si>
  <si>
    <t>KEGG Orthology (KO)&gt;&gt;&gt;09100 Metabolism&gt;&gt;&gt;09107 Glycan biosynthesis and metabolism&gt;&gt;&gt;00550 Peptidoglycan biosynthesis [PATH:ko00550]|KEGG Orthology (KO)&gt;&gt;&gt;09140 Cellular Processes&gt;&gt;&gt;09143 Cell growth and death&gt;&gt;&gt;04112 Cell cycle - Caulobacter [PATH:ko04112]|Enzymes&gt;&gt;&gt;2. Transferases&gt;&gt;&gt;2.4  Glycosyltransferases&gt;&gt;&gt;2.4.1  Hexosyltransferases&gt;&gt;&gt;2.4.1.227  undecaprenyldiphospho-muramoylpentapeptide beta-N-acetylglucosaminyltransferase|Peptidoglycan biosynthesis and degradation proteins&gt;&gt;&gt;Precursor biosynthesis&gt;&gt;&gt;Glycosyltransferase</t>
  </si>
  <si>
    <t>MSE----------------VRVMVAGGGTAGHIEPALAVADALRD-RGAYVCALGSPKGLEKDIVPARGYDLDLIPPVPVPRKLNMALLRLPKGVWQAVSQAKKIMRERRVDAVIGFGGYVSAPAYLAARQLGLPFFVHESNARAGVANKLGVRLGGVGLNAVSGSGMPGDVVGIPLRKTLTSGEDPRVLAGRARARWGLSSSMKTVVVTGGSQGAASINRAIDGAVEDLVALGFQVLHAYGKNNSSPQPRKGYFPVAYIDAMAEALAVADITVCRSGAMTVAEVTQAGVPAIYVPLPHGNGEQALNARGVVNAGGAVMIDDADLSAQAIVDAVSA-MADPERYEVARVAVASCCSDDAAGEIAARVLASVKR-</t>
  </si>
  <si>
    <t>PF04101.22</t>
  </si>
  <si>
    <t>Glycosyltransferase family 28 C-terminal domain</t>
  </si>
  <si>
    <t>MTE----------------LSIVVAGGGTAGHIEPALAVADALRDGHGAQVVALGTTKGLEKDLIPERGYELALINPVPVPRKPNADLALLPFRVIKAVMNTRKILKRVHADAVIGFGGYVSAPAYLAARSLGIPFFVHEANARAGMANKLGVFLGGIGLNAVSNSGMKGDVVGVPIRASLAPDAPQEKRKAEACDLWGLDPNKPTVLVTGGSQGAMSINDAVAIAVPELTKAGIQVLHAFGKKNISPEIFDGYVAVPYIDRMDLAYAVADVVVCRAGAMTVAEVTAAGKPAIYIPLPHGNGEQALNAKPVISAGGATLINDKELTGEALATQIRAIIDDQEIYSSMVDATKRSSLGRAAEDIAARIVKEGSK-</t>
  </si>
  <si>
    <t>MTESHDSDNPTTHKSSHKALNVVVAGGGTAGHVEPALAVATVLKE-RGANVIAIGTNRGLETRLVPARGFDLKLIEPVPIPRKPSIELLEVPFKLVKSIAQTRRILKKHKADVLIGFGGYVTAPGYIAAKLAGIPFIVHEANARAGLANKLGVKLGGLGLNAVPGSGMGGQVVGIPVRAEMSTRARAAETRAAGLKAWGLSPDRRTVFITGGSQGAASLNSAVKNALDELCDAGYQVLHAYGAKNAPPAPREHYVSVPYIEDMAMAYSVADVIVCRSGAMTVAEVTAAGVPAVYVPLPHGNGEQGLNAQEVVRNGAAQLIQDSDIEAR-FSHIVTSLLADPDTLAAMRAAALKSNVATAAEVIADIAEKTARRD</t>
  </si>
  <si>
    <t>MTESHDSDNPTTHKSSHKALNVVVAGGGTAGHVEPALAVATVLKE-RGANVIAIGTNRGLETRLVPARGFDLKLIEPVPIPRKPSIELLEVPFKLVKSIAQTRKILKKHKADVLIGFGGYVTAPGYIAAKLAGIPFIVHEANARAGLANKLGVKLGGLGLNAVPGSGMGGQVVGIPVRAEMSTRARAAETRAAGLKAWGLSPDRRTVFITGGSQGAASLNSAVKNALDELCDAGYQVLHAYGAKNAPPAPREHYVSVPYIEDMAMAYSVADVIVCRSGAMTVAEVTAAGVPAVYVPLPHGNGEQGLNAQEVVRNGAAQLIQDSDIEAR-FSHIVTSLLADPDTLATMRAAALKSNVATAAEVIADIAEKTARRD</t>
  </si>
  <si>
    <t>GC_00000549</t>
  </si>
  <si>
    <t>K02058</t>
  </si>
  <si>
    <t>simple sugar transport system substrate-binding protein</t>
  </si>
  <si>
    <t>MCCVESTFVNENCGNPQQLRCAASLRHLLTVIAAVVAAGVVAACSSTGGAPRQSADGTVGGGGVDTPRAVVSMVTHGAPGDTFWDLVRKGAEDAARKDNIELRYSSDPQTPNQANLVQSAIDAHADGIAVTLPNAHAIGPVAKSAVDAGIPVVGLNAGMTDYKRYGLGGFFGQDENVAGELAGKRLKDDSAHKVLCLIHEQGNSSQESRCEGIKKGLGNSGEMEVLYVNGMDLTAVTSTVQAKLAQDSSIDWVMGLVAPVALATVQAAKDAGAEPKIATFDTNAELVAAINKGEIQWAVDQQPYVQGYMAVDSLWLELRNGSTVGGGQPVYTGPSFVDRSNVDKIADAAKIGLR</t>
  </si>
  <si>
    <t>GC_00000550</t>
  </si>
  <si>
    <t>PF00416.27</t>
  </si>
  <si>
    <t>Ribosomal protein S13/S18</t>
  </si>
  <si>
    <t>K02952</t>
  </si>
  <si>
    <t>small subunit ribosomal protein S13</t>
  </si>
  <si>
    <t>MARLAGVDLPRNKRMEVALTYIYGIGPARAAKLLEETGISPDLRTDNLTDEQIAALRDVIEATWKVEGDLRRQVQADIRRKIEIGCYQGLRHRRGLPVRGQRTKTNARTRKGPKKTIAGKKK</t>
  </si>
  <si>
    <t>MARLAGVDLPRNKRMEVALTYIYGIGPARAAQLLKETGISPDLRTDNLTDEQLSSLRDVIEATWKVEGDLRRQVQADIRRKIEIGCYQGLRHRRGLPVRGQRTKTNARTRKGPKKTIAGKKK</t>
  </si>
  <si>
    <t>MARLAGVDLPRNKRMEVALTYIYGIGPARSKQLLKETGISPDLRTDNLTDEQIASLRDVIEATWKVEGDLRRQVQADIRRKIEIGCYQGLRHRRGLPVRGQRTKTNARTRKGPKKTIAGKKK</t>
  </si>
  <si>
    <t>GC_00000551</t>
  </si>
  <si>
    <t>PF02777.23</t>
  </si>
  <si>
    <t>Iron/manganese superoxide dismutases, C-terminal domain</t>
  </si>
  <si>
    <t>K04564</t>
  </si>
  <si>
    <t>superoxide dismutase, Fe-Mn family [EC:1.15.1.1]</t>
  </si>
  <si>
    <t>COG0605</t>
  </si>
  <si>
    <t>Superoxide dismutase (SodA) (PDB:1AP5)</t>
  </si>
  <si>
    <t>KEGG Orthology (KO)&gt;&gt;&gt;09130 Environmental Information Processing&gt;&gt;&gt;09132 Signal transduction&gt;&gt;&gt;04013 MAPK signaling pathway - fly [PATH:ko04013]|KEGG Orthology (KO)&gt;&gt;&gt;09130 Environmental Information Processing&gt;&gt;&gt;09132 Signal transduction&gt;&gt;&gt;04068 FoxO signaling pathway [PATH:ko04068]|KEGG Orthology (KO)&gt;&gt;&gt;09140 Cellular Processes&gt;&gt;&gt;09141 Transport and catabolism&gt;&gt;&gt;04146 Peroxisome [PATH:ko04146]|Enzymes&gt;&gt;&gt;1. Oxidoreductases&gt;&gt;&gt;1.15  Acting on superoxide as acceptor&gt;&gt;&gt;1.15.1  Acting on superoxide as acceptor (only sub-subclass identified to date)&gt;&gt;&gt;1.15.1.1  superoxide dismutase</t>
  </si>
  <si>
    <t>MAKKYVLPELPYAYDALEPHISAEIMELHHSKHHQNYVNGANAALEKLEAARKDGSIAAVVTALSKDLAFNLGGHTNHSLFWENLGPNGGGKPTGALAAAIDADFGSFEEFQKHFAAAALGLQGSGWAVLAYDKIGERLVIEQMTDQQGNLSIDLVPLLLLDMWEHAFYLQYKNVKADYVAAVWNVFNWDEVAARYAAAVK</t>
  </si>
  <si>
    <t>GC_00000552</t>
  </si>
  <si>
    <t>PF00999.27</t>
  </si>
  <si>
    <t>Sodium/hydrogen exchanger, transmembrane</t>
  </si>
  <si>
    <t>K24163</t>
  </si>
  <si>
    <t>monovalent cation/hydrogen antiporter</t>
  </si>
  <si>
    <t>COG0025</t>
  </si>
  <si>
    <t>NhaP-type Na+/H+ or K+/H+ antiporter (NhaP) (PDB:4CZB)</t>
  </si>
  <si>
    <t>MDFLFLAIGLLLVAVIVVAIGDRVGLPWPVLLTLVAAGTIFFPGLP---RVHIPADLILPIFLPPLLWAMARRTSWSVIRRQRGTIIALSVLLVFFTTVAAAGAAMLVMPGLGLAAAVLLGSALAPPDPVAVDAVAEPAGVPRRLISTLQTEGLFNDAASIVAFHVALGAIQAGENLSIKAGVLDFLYSSSVAVIIGLGVGWVSAKLTDWMESPVARNAFSWVIPFAVFLLAEELHASGVIAIVIAAVEMHSRVKVGAEDRLTGHAFWETVEMLFTGVAFGLIGLSVREAVADVGSQLWHGVWVGAILSVVLIVVRLVWMLVLYNYNTRKLASLAGTVAEYASSKYIPVHAVGSAAGKITRKTIFPPMGAPLRLQEVLLLTWAGMRGLVTLALVLSIP-YGYAPWQQEFTVIALVVLTITMVVPGLTLPWLMRKLSLDQGPDAFGDAARENLLRRAREAASVVLHAKAEELPPNTVASIQHWIAEETGTEDLDDTE-CAATRLASKKKINDIRERASRIRYEALRAAQREVLEARREAGIDPAVADDVLHDIDRMILAIKRH---</t>
  </si>
  <si>
    <t>MEILLIITLMLFATVVIVAISDRFGLPWPVLITLVAASAFFFPSLP---LLHIPAEMMLPIFLPPLLWALARRTSWAAIRLQWMTVVSLSVLLVLASAVAAAGVALWMLPPIGIAGALVLGAAVAPPDPVAVDAVAEPAGVPRRLTGTLQIEGLFNDAASIVVFHLALAALTAGEKLSLVGGISAFLYSSIMAVGVGWLIGYGSAKLIDWMNSTVARNAFTWVIPFATYVLAEEIHASGVIAIVIAAVELNSRVKVGAEDRLTGHAFWETVEMLFTGVAFGLIGLSVRDAVEEVGAELVHAVVLGVVISAVLIAVRFGWMWVFYQINVRK------------GNRGL----------------------APLRLQEVLLLTWAGMRGLVTLALVLSIP-SDSFPMHHQLAVVALVVLLLTMVIPGLTLPWLMRKLDLDKGPDAQGDHAREQLRKRAYDKAMDVIAEHDDEIPADMIEGMRVWFAEQQHIGD-HGTS-AAEHR---HETIVEFRKQMSAVRIQALEAAQNELLQARREPGVDPAVVDEVLHSVDQMIVAANRH---</t>
  </si>
  <si>
    <t>MEILLIITLMLFATVVIVAISDRFGLPWPVLITLVAASAFFFPSLP---LLHIPAEMMLPIFLPPLLWALARRTSWAAIRLQWMTVVSLSVLLVLASAVAAAGVALWMLPPIGIAGALVLGAAVAPPDPVAVDAVAEPAGVPRRLTGTLQIEGLFNDAASIVVFHLALAALTAGEKLSLVGGISAFLYSSIMAVGVGWLIGYGSAKLIDWMNSTVARNAFTWVIPFATYVLAEEIHASGVIAIVIAAVELNSRVKVGAEDRLTGHAFWETVEMLFTGVAFGLIGLSVRDAVEEVGAELVHAVVLGVVISAVLIAVRFGWMWVFCQINVRK------------GNRGL----------------------APLRLQEVLLLTWAGMRGLVTLALVLSIP-SDSFPMHHQLAVVALVVLLLTMVIPGLTLPWLMRKLDLDKGPDAQGDHAREQLRKRAYDKAMDVIAKYDDDIPADMIEGMRVWFAEQQHIGD-HGTS-AAEHR---HETIVKFRKQIRAVRIQALEAAQNELLQARREPGVDPAVVDEVLHSVDQMIVAANRH---</t>
  </si>
  <si>
    <t>MSVMIWLFGLLFATVVMVAIGDRVGLPWPVLLTIVTAGVIFIPGVPSAGSLSQFSHLMLPIFIPPLLWALARRASWAQVRRQWRSIIMLSVLLVIATAVAVGLTVSWLVPTLSVAGAMMIGAAISPPDPVAVDAVAEPAGVPRRLMNTLQTEGMFNDAASILVFNLALGVLTQGETVKWWEAIWEFGYSSGAAVLIGWFIGRGAAFLSSWMTSATARNAFTWVIPFITYLVAEEIHASGVIAVVIAAIEYNSRVAIGAEDRLSGTVFWEIVELLFTGVAFGLIGIMARDAIFTVGSDWGEAVMLGVVLSAVAIVVRGLWFLGMYATNK--------------YTRYR--------------------VGGPLRLQETLLLTWAGMRGLVTLALILSIPDTGDFGLYQEAPVVALVVLLFTMVIPGLTLPALMKKLTLDSDPDAFGDVSREKLVNRARRAARNKMQSYAGEIPQERLEALMSRFDEETNLEEVNEEGITPEER---REKAKHIEVKLQQAQIEALRAAQLELLRARRERDIDPAILDEVLFLIDRQILGAKARKMD</t>
  </si>
  <si>
    <t>GC_00000553</t>
  </si>
  <si>
    <t>PF04545.22</t>
  </si>
  <si>
    <t>MLLNKCIGDLSLRVKGTGSRVNESERELADLVPRAAGGDRAAMQRIMVIIHPIVLRYARARIGGGRHPTAEDVAQEICLAVAMSVGNYVDRGRPFLAFVYGIASNKVADAHRALSREMSNPTEDVPETALEHDTPEEYALVSDGSNRVRLLLDSLSEKAREVIILRVFVGLSAEETAEIVGSTPGAVRVAQHRALASLRKNLDGQER-</t>
  </si>
  <si>
    <t>--------------------MGDTEKQLAGLVPLASQGDSRALRKVIKIIYPMVLRYARARISGGRHPTPEDVAQEICFAVATSIHKFVDRGRPFMAFVYGIASNKVADAHRSYARDLTNPTEEVPDETVDHESPEELALVAAGSNRVRELLDLLSEKPREIIILRVFVGLSAEETAEIVGSTPGAVRVAQHRALGTLRKAIAQENE-</t>
  </si>
  <si>
    <t>GC_00000554</t>
  </si>
  <si>
    <t>PF00834.25</t>
  </si>
  <si>
    <t>Ribulose-phosphate 3 epimerase family</t>
  </si>
  <si>
    <t>K01783</t>
  </si>
  <si>
    <t>ribulose-phosphate 3-epimerase [EC:5.1.3.1]</t>
  </si>
  <si>
    <t>COG0036</t>
  </si>
  <si>
    <t>Pentose-5-phosphate-3-epimerase (Rpe) (PDB:1H1Y)</t>
  </si>
  <si>
    <t>Pentose phosphate pathway</t>
  </si>
  <si>
    <t>M00004|M00007|M00165</t>
  </si>
  <si>
    <t>Pentose phosphate pathway (Pentose phosphate cycle)|Pentose phosphate pathway, non-oxidative phase, fructose 6P =&gt; ribose 5P|Reductive pentose phosphate cycle (Calvin cycle)</t>
  </si>
  <si>
    <t>Pathway modules; Carbohydrate metabolism; Central carbohydrate metabolism|Pathway modules; Carbohydrate metabolism; Central carbohydrate metabolism|Pathway modules; Energy metabolism; Carbon fixation</t>
  </si>
  <si>
    <t>KEGG Orthology (KO)&gt;&gt;&gt;09100 Metabolism&gt;&gt;&gt;09101 Carbohydrate metabolism&gt;&gt;&gt;00030 Pentose phosphate pathway [PATH:ko00030]|KEGG Orthology (KO)&gt;&gt;&gt;09100 Metabolism&gt;&gt;&gt;09101 Carbohydrate metabolism&gt;&gt;&gt;00040 Pentose and glucuronate interconversions [PATH:ko00040]|KEGG Orthology (KO)&gt;&gt;&gt;09100 Metabolism&gt;&gt;&gt;09102 Energy metabolism&gt;&gt;&gt;00710 Carbon fixation by Calvin cycle [PATH:ko00710]|Enzymes&gt;&gt;&gt;5. Isomerases&gt;&gt;&gt;5.1  Racemases and epimerases&gt;&gt;&gt;5.1.3  Acting on carbohydrates and derivatives&gt;&gt;&gt;5.1.3.1  ribulose-phosphate 3-epimerase</t>
  </si>
  <si>
    <t>MSERTAPIISPSILAADFSRLGEQIAAVSNADWIHVDVMDGHFVPNLSFGADITAAAFRSTDLPLDVHLMIEHPEKWVDNYIKAGASCVIFHVEATEDPVALARHIRAAGVRAGFSLRPGTDIEPYLEVLDEFDLALVMSVEPGFGGQSFMPDQLDKVRKLRDVIDSRGLSTLIEIDGGISRETIASAAAAGTDAFVAGSAVFKASDPGAEVDALRECAKDAVRG</t>
  </si>
  <si>
    <t>--MTKTPIIAPSILAANFAHLGDDIQKVNNADWIHVDIMDGHFVPNLSFGAGITADVHKVTDQPLDVHLMIDNPEKWVDDYIAAGASCVIFHVEATDDHVALADHIRSKGIRAGFSLRPGTPIEPYLKDLDHFDLVLVMSVEPGFGGQSFMPDQLDKVRYLRAEIDSHNLSTLIEIDGGIGEKTITDAAIAGCDAFVAGSAVFGTDDPHAAVESLRRLATV----</t>
  </si>
  <si>
    <t>---MTTPIISPSILSADFTNLGADIQAVANADWIHVDIMDGHFVPNLSFGADITAAARRATTQPLDVHLMIDNPERWVDNYIKAGADHIIFHVEATDDPVSLARHIRAAGVQAGFSLRPGTPIEPYLPTLDEFDLVLIMSVEPGFGGQKFMPDQLDKVRALRHEITTRGLATLIEIDGGISADTIAQAAESGCDAFVAGSAIFTNDDPAAAVTNLRTLATL----</t>
  </si>
  <si>
    <t>---MTTPIISPSILSADFTNLGADIQAVANADWIHVDIMDGHFVPNLSFGADITAAARRATTQPLDVHLMIDNPERWVDNYIKAGADHIIFHVEATDDPVSLARHIRAAGVQAGFSLRPGTPIEPYLPTLDEFDLVLIMSVEPGFGGQKFMPDQLDKVRALRHEITTRGLATLIEIDGGISADTIAQAAEAGCDAFVAGSAIFTNDDPAAAVTNLRTLATL----</t>
  </si>
  <si>
    <t>GC_00000555</t>
  </si>
  <si>
    <t>PF00056.29</t>
  </si>
  <si>
    <t>lactate/malate dehydrogenase, NAD binding domain</t>
  </si>
  <si>
    <t>K00016</t>
  </si>
  <si>
    <t>L-lactate dehydrogenase [EC:1.1.1.27]</t>
  </si>
  <si>
    <t>ko00001|ko00001|ko00001|ko00001|ko00001|ko01000|ko04147|ko04147</t>
  </si>
  <si>
    <t>KEGG Orthology (KO)&gt;&gt;&gt;09100 Metabolism&gt;&gt;&gt;09101 Carbohydrate metabolism&gt;&gt;&gt;00010 Glycolysis / Gluconeogenesis [PATH:ko00010]|KEGG Orthology (KO)&gt;&gt;&gt;09100 Metabolism&gt;&gt;&gt;09101 Carbohydrate metabolism&gt;&gt;&gt;00620 Pyruvate metabolism [PATH:ko00620]|KEGG Orthology (KO)&gt;&gt;&gt;09100 Metabolism&gt;&gt;&gt;09101 Carbohydrate metabolism&gt;&gt;&gt;00640 Propanoate metabolism [PATH:ko00640]|KEGG Orthology (KO)&gt;&gt;&gt;09100 Metabolism&gt;&gt;&gt;09105 Amino acid metabolism&gt;&gt;&gt;00270 Cysteine and methionine metabolism [PATH:ko00270]|KEGG Orthology (KO)&gt;&gt;&gt;09130 Environmental Information Processing&gt;&gt;&gt;09132 Signal transduction&gt;&gt;&gt;04066 HIF-1 signaling pathway [PATH:ko04066]|Enzymes&gt;&gt;&gt;1. Oxidoreductases&gt;&gt;&gt;1.1  Acting on the CH-OH group of donors&gt;&gt;&gt;1.1.1  With NAD+ or NADP+ as acceptor&gt;&gt;&gt;1.1.1.27  L-lactate dehydrogenase|Exosome&gt;&gt;&gt;Exosomal proteins&gt;&gt;&gt;Exosomal proteins of epithelial cells|Exosome&gt;&gt;&gt;Exosomal proteins&gt;&gt;&gt;Exosomal proteins of breast milk</t>
  </si>
  <si>
    <t>MKVSAGNKVVLIGAGDVGIAYAFALVNQGVCDHLAIIDIDEKKLEGNVMDLNHGVVWAPSRTKVTKGTYADCEDAAMVVICAGAAQKPGETRLQLVDKNMKIMKSIVDNVMVNGFDGIFLVASNPVDILSYAVW-KYSGLPHERVIGSGTVLDSARFRYMLGELYEVAPTSIHSYIIGEHGDTELPVLSSATIAGVSMRKLLEKDPQLEGRLERIFEETRDAAYTIIDAKGSTSYGIGMGLARITRAVLQNQDVALPVSALLQGEYGQKDIYLGTPAIVNRKGIRRVVELELTDHELERMTHSADTLRAIQDEFFH-----------</t>
  </si>
  <si>
    <t>MKVSVGNKVVLIGAGDVGLAYSYALINQGVCDHLAIIDIDEKKLEGNVMDLNHGVVWAPSRTKVTKGTYEDCADAALVVICAGAAQKPGETRLQLVDKNMHIMKSIVDQVMASGFDGIFLVASNPVDILSYAVW-KYSGLPAHRIIGSGTVLDSARFRYMMGELYEVAPTSVHAYIIGEHGDTELPVLSSATIAGVSMRKKLEKDPELESRLEKVFEETRDAAYTIIDAKGSTSYGIGMGLARITRAVLQNQDVALPVCCLLRGEYGEENIFIGTPAVIHRKGVRRAIELEITEHEMDRFKKSVKTLREIQENFFPAEENPAPAADE</t>
  </si>
  <si>
    <t>MKDIVGNKIVLIGAGDVGVAYAYALVNQGTCDHLAIIDIDEKKLEGNVKDLNHGVVWASSRTRVSKGTYADCADAAMVVICAGAAQKPGETRLQLVGKNMKIMKSIVDEVMSNGFDGIFLVASNPVDILTYAVW-QYSGLDWHQVVGSGTVLDSARFRYMLGERYAVAPTSIHAYIIGEHGDTELPVLSSATIAGVSMRKQLERDPNLEGELEKVFEETRDAAYNIIEAKGSTSYGIGMGLARITRAILQNQDVALPVSALLNGEYGEENIYIGTPAILYREGIRRVVELEISDHEMERFKHSAKVLREIQEEFFPAK---------</t>
  </si>
  <si>
    <t>MKDIVGNKIVLIGAGDVGVAYAYALVNQGTCDHLAIIDIDEKKLEGNVKTSTTA--WC--------GIFAD----------SGGQRAP--TR----------------------------IAPTPL-------WSSFAPVP---------------------------PTSL-----------------------------------------------------------------------------------------------------------------------------------------------------------</t>
  </si>
  <si>
    <t>GC_00000556</t>
  </si>
  <si>
    <t>PF00923.25</t>
  </si>
  <si>
    <t>Transaldolase/Fructose-6-phosphate aldolase</t>
  </si>
  <si>
    <t>K00616</t>
  </si>
  <si>
    <t>transaldolase [EC:2.2.1.2]</t>
  </si>
  <si>
    <t>COG0176</t>
  </si>
  <si>
    <t>Transaldolase/fructose-6-phosphate aldolase (TalA) (PDB:1F05)</t>
  </si>
  <si>
    <t>M00004|M00007</t>
  </si>
  <si>
    <t>Pentose phosphate pathway (Pentose phosphate cycle)|Pentose phosphate pathway, non-oxidative phase, fructose 6P =&gt; ribose 5P</t>
  </si>
  <si>
    <t>Pathway modules; Carbohydrate metabolism; Central carbohydrate metabolism|Pathway modules; Carbohydrate metabolism; Central carbohydrate metabolism</t>
  </si>
  <si>
    <t>KEGG Orthology (KO)&gt;&gt;&gt;09100 Metabolism&gt;&gt;&gt;09101 Carbohydrate metabolism&gt;&gt;&gt;00030 Pentose phosphate pathway [PATH:ko00030]|KEGG Orthology (KO)&gt;&gt;&gt;09100 Metabolism&gt;&gt;&gt;09102 Energy metabolism&gt;&gt;&gt;00710 Carbon fixation by Calvin cycle [PATH:ko00710]|Enzymes&gt;&gt;&gt;2. Transferases&gt;&gt;&gt;2.2  Transferring aldehyde or ketonic groups&gt;&gt;&gt;2.2.1  Transketolases and transaldolases&gt;&gt;&gt;2.2.1.2  transaldolase</t>
  </si>
  <si>
    <t>MSNQIAQLSALGTSTWLDDLSRDRINSGNLAKLIDSKNIVGVTTNPAIFAGAMGGESDAYDEQIAQLKQRGAAADEAVFAMAIDDVAAACDVFAPVHRATAGVDGRVSIEVDPRYAEDAAATVRQAKQLWEAVGRDNAMIKIPATKQSLPAITEALANGISVNVTLIFSVERYREVVDVYLEGIRRAHDAGLDVSKIFSVASFFVSRVDVEIDRRLEAIGSEEALALRGKAGVANAQQAYAAFSE-LFSRAKAMGDLPRGANVQRPLWASTGVKNPDYPATLYVSELAGPDTVNTMPESTIDAVLAADDLHGKTLVSN--DSAKVMQQLRAVGVDLDDVFAVLEREGVEKFVDSWQQLLDTIEQRL-</t>
  </si>
  <si>
    <t>GC_00000557</t>
  </si>
  <si>
    <t>PF00330.25</t>
  </si>
  <si>
    <t>Aconitase family (aconitate hydratase)</t>
  </si>
  <si>
    <t>K01703</t>
  </si>
  <si>
    <t>3-isopropylmalate/(R)-2-methylmalate dehydratase large subunit [EC:4.2.1.33 4.2.1.35]</t>
  </si>
  <si>
    <t>COG0065</t>
  </si>
  <si>
    <t>Homoaconitase/3-isopropylmalate dehydratase large subunit (LeuC) (PDB:4KP1)</t>
  </si>
  <si>
    <t>KEGG Orthology (KO)&gt;&gt;&gt;09100 Metabolism&gt;&gt;&gt;09101 Carbohydrate metabolism&gt;&gt;&gt;00660 C5-Branched dibasic acid metabolism [PATH:ko00660]|KEGG Orthology (KO)&gt;&gt;&gt;09100 Metabolism&gt;&gt;&gt;09105 Amino acid metabolism&gt;&gt;&gt;00290 Valine, leucine and isoleucine biosynthesis [PATH:ko00290]|KEGG Orthology (KO)&gt;&gt;&gt;09100 Metabolism&gt;&gt;&gt;09110 Biosynthesis of other secondary metabolites&gt;&gt;&gt;00966 Glucosinolate biosynthesis [PATH:ko00966]|Enzymes&gt;&gt;&gt;4. Lyases&gt;&gt;&gt;4.2  Carbon-oxygen lyases&gt;&gt;&gt;4.2.1  Hydro-lyases&gt;&gt;&gt;4.2.1.33  3-isopropylmalate dehydratase|Enzymes&gt;&gt;&gt;4. Lyases&gt;&gt;&gt;4.2  Carbon-oxygen lyases&gt;&gt;&gt;4.2.1  Hydro-lyases&gt;&gt;&gt;4.2.1.35  (R)-2-methylmalate dehydratase</t>
  </si>
  <si>
    <t>MTAVSQP---LTMAEKVWNDHIVAHGSNGEPDLIYIDLHLLHEVTSPQAFDGLRLAGRSVRRPDLTIATEDHNVPTEGIKTGAITEIKDMISRLQVETLRKNCEEFGVRIHPMGDLDQGIVHVVGPQLGLTQPGMTVVCGDSHTATHGAFGSIAFGIGTSEVEHVLATQTLPLKPFKTMAINVSGELQPGVTAKDLILAIIAKIGTGGGQGHIIEYRGEAIEKLSMEARMTICNMSIEAGARAGMIAPDETTFNYLKGRPHAPTGQDWDDAVAYWRSLRTDDDAVFDTVVDIDASSLTPFVTWGTNPGQGLPLGAAIPSPEDFTNDADKAAAQKALNYMDLTPGTKLRDIKIDAVFVGSCTNGRIEDIRAVAEILDGRSIHPDVRMMVVPGSARVSQQAQEEGLDQIITKAGAQWRQPGCSMCLGMNPDQLSPGERSASTSNRNFEGRQGKGGRTHLVSPQVAAATAIVGTLASPADI------</t>
  </si>
  <si>
    <t>MTSPMDH---LTMAEKVWNNHIVLKGDNGEPDLIYIDLQLLHEVTSPQAFDGLRLAGRALRRPDLTLATEDHNVPTEGIKTGAITEINDLISRTQVETLRKNAEEFGVRIHPMGDVEQGIVHVVGPQLGLTQPGMTVVCGDSHTATHGAFGAIAFGIGTSEVEHVMATQTLPLKPFKTMAINVSGELPDGVTAKDLILAIIAKIGTGGGQGHIIEYRGEAIEKLSMEARMTICNMSIEAGARAGMIAPDEVTFNYLKDRPHAPQGADWDAAVEYWKSLRTDDGAVFDTVVDIDGSALTPFVTWGTNPGQGVPLGASVPYPDEFAEESARAAAEKALDYMGLTPGTPLREIPIDTVFVGSCTNGRIEDMRAAAEVLKGRTIADSVRMLVVPGSARVREQAESEGLDDIFTAAGAEWRQPGCSMCLGMNPDQLKPGERSASTSNRNFEGRQGKGGRTHLVSPHVAAATAVVGHLASPADL------</t>
  </si>
  <si>
    <t>MTSPVDSQPKLTLAEKVWRDHVVTHGTGDEPDLIFIDLQLLHEVTSPQAFDGLRLAGRTLRHPELHLATEDHNVPTTGIKTGDLTEIADSISRTQVSTLRKNCEEFGVRLHAMGDINQGIVHQVGPQLGATQPGMTIVCGDSHTSTHGAFGAMAFGIGTSEVEHVMATQTLALKPFKTMAINVTGELQPGVTAKDLILAIIAKIGTGGGQGHVIEYRGEAIEKLSMEARMTICNMSIEAGARAGMIAPDQTTFDYVYGRELAPTGDDWDKAVAYWKTLPTDEGATFDTEITIDGSALTPFVTWGTNPGQGLPLNAVVPSPDDFTNENDKKAAEKALTYMGLTPGTPLRDIKIDTVFLGSCTNARIEDLRTAAHIMKGHKVADTVRMMVVPSTTMVKQLAEAEGLDKIFTEAGADWRSAGCSMCLGMNPDQLKPGERSASTSNRNFEGRQGPGGRTHLVSPEVAAATAIMGTLASPADLPTHATS</t>
  </si>
  <si>
    <t>MTSPVDSQPKLTLAEKVWRDHVVTHGTGDEPDLIFIDLQLLHEVTSPQAFDGLRLAGRTLRHPELHLATEDHNVPTTGIKTGDLTEIADSISRTQVSTLRKNCEEFGVRLHAMGDINQGIVHQVGPQLGATQPGMTIVCGDSHTSTHGAFGAMAFGIGTSEVEHVMATQTLALKPFKTMAINVTGELQPGVTAKDLILAIIAKIGTGGGQGHVIEYRGEAIEKLSMEARMTICNMSIEAGARAGMIAPDQTTFDYVYGRELAPTGDDWDKAVAYWKTLPTDEGATFDTEITIDGSALTPFVTWGTNPGQGLPLNAVVPSPDDFTNENDKKAAEKALTYMGLTPGTPLRDIKIDTVFLGSCTNARIEDLRTAAHIMKGHKVADTVRMMVVPSTTMVKQLAEAEGLDKIFTEAGADWRSAGCSMCLGMNPDQLKPGERSASTSNRNFEGRQGPGGRTHLVSPEVAAATAIMGTLASPADLPTHTTS</t>
  </si>
  <si>
    <t>GC_00000558</t>
  </si>
  <si>
    <t>PF20979.2</t>
  </si>
  <si>
    <t>Arginosuccinate synthase C-terminal domain</t>
  </si>
  <si>
    <t>K01940</t>
  </si>
  <si>
    <t>argininosuccinate synthase [EC:6.3.4.5]</t>
  </si>
  <si>
    <t>COG0137</t>
  </si>
  <si>
    <t>Argininosuccinate synthase (ArgG) (PDB:1J1Z)</t>
  </si>
  <si>
    <t>M00844|M00845|M00029|M00978</t>
  </si>
  <si>
    <t>Arginine biosynthesis, ornithine =&gt; arginine|Arginine biosynthesis, glutamate =&gt; acetylcitrulline =&gt; arginine|Urea cycle|Ornithine-ammonia cycle</t>
  </si>
  <si>
    <t>Pathway modules; Amino acid metabolism; Arginine and proline metabolism|Pathway modules; Amino acid metabolism; Arginine and proline metabolism|Pathway modules; Amino acid metabolism; Arginine and proline metabolism|Pathway modules; Amino acid metabolism; Arginine and proline metabolism</t>
  </si>
  <si>
    <t>ko00001|ko00001|ko01000|ko04147</t>
  </si>
  <si>
    <t>KEGG Orthology (KO)&gt;&gt;&gt;09100 Metabolism&gt;&gt;&gt;09105 Amino acid metabolism&gt;&gt;&gt;00250 Alanine, aspartate and glutamate metabolism [PATH:ko00250]|KEGG Orthology (KO)&gt;&gt;&gt;09100 Metabolism&gt;&gt;&gt;09105 Amino acid metabolism&gt;&gt;&gt;00220 Arginine biosynthesis [PATH:ko00220]|Enzymes&gt;&gt;&gt;6. Ligases&gt;&gt;&gt;6.3  Forming carbon-nitrogen bonds&gt;&gt;&gt;6.3.4  Other carbon-nitrogen ligases&gt;&gt;&gt;6.3.4.5  argininosuccinate synthase|Exosome&gt;&gt;&gt;Exosomal proteins&gt;&gt;&gt;Exosomal proteins of other body fluids (saliva and urine)</t>
  </si>
  <si>
    <t>MSARVVLAYSGGLDTSVAIPYLAKMTGGEVIAVSLDLGQGGEDMESVRQRALDCGAVESIVIDAKDEFANEYCLPTIKANGMYMKQYPLVSAISRPLIVKHLVEAAKEFGGTHVSHGCTGKGNDQVRFEVGFMDTHPDLEIIAPARDYAWTRDKAIAFAEEINLPIEQSKKSPFSIDQNVWGRAIETGFLEDLWNPPTKDLYAYTEEPTLGNAPDELVISFKGGKPVAIDSRPVTVLEAIEELNRRGGAQGVGRLDMVEDRLVGIKSREVYEAPGAMVLIAAHQALEDVTMERELARYKRLIDARWSEEVYDGLWFAPLKRSLDAFIESTQEHVTGDIRLVLHQGRITVNGRRSEESLYDFNLATYDTGDTFDQTLAKGFVQLHGLSSKIACKRDREA-</t>
  </si>
  <si>
    <t>MTDRVVLAYSGGLDTSVAIPYLAKMTGGEVVAVSLDLGQGGEDMESVRQRALDCGAVESIVVDAKDEFAEEYCLPTIKANGMYMKQYPLVSAISRPLIVKHLVEAAREHGGTHVAHGCTGKGNDQVRFEVGFANTHPDLKIIAPARDYAWTRDKAIAFAEEIDLPIEQSKKSPFSIDQNVWGRAVETGFLEDLWNPPTKDLYAYTEDPALGNAPDEVIISFKGGAPVAIDGRPVTVLEAIEELNRRGGAQGVGRLDMVEDRLVGIKSREVYEAPGAMVLITAHQALEDVTMERELARYKRLIDARWSEEVYDGLWFAPLKRSLDAFINSTQDNVTGDIRLVLHAGRITVNGRRSDASLYDFNLATYDTGDTFDQTLAKGFVELHGLSSKIACRRDREAQ</t>
  </si>
  <si>
    <t>MTNRVVLAYSGGLDTSVAIPYLAKMTGGEVVAVSLDLGQGGEDMESVRQRALDCGAVEAVVIDAKDEFANNYCLPTIRANGMYMKQYPLVSAISRPLIVKHLVQAAQEFGGTHVSHGCTGKGNDQVRFEVGFRSLAPELEIIAPARDYAWTRDKAIAFAEEINLPIEQSKKSPFSIDQNVWGRAVETGFLEDLWNPPTKDLYAYTEDPGLGNAPDELTISFESGVPVAIDGRPVTVLEAIEELNQRAGAQGVGRLDMVEDRLVGIKSREVYEAPGAITLLTAHQALEDVTVERELARYKRLVDARWSEEVYDGLWFSPLKRSLDAFIDSTQEHVTGDIRMVLHAGSAVVNGRRSDHSLYDFNLATYDTGDTFDQTLAKGFVELHGLSTKISNRRDREA-</t>
  </si>
  <si>
    <t>MTNRVVLAYSGGLDTSVAIPYLAKMTGGEVVAVSLDLGQGGEDMESVRQRALDCGAVEAVVIDAKDEFANNYCLPTIRANGMYMKQYPLVSAISRPLIVKHLVQAAQEFGGTHVSHGCTGKGNDQVRFEVGFRSLAPELEIIAPARDYAWTRDKAIAFAEEINLPIEQSKKSPFSIDQNVWGRAVETGFLEDLWNPPTKDLYAYTEDPGLGNAPDELTISFESGVPVAIDGRPVTVLEAIEELNQRAGAQGVGRLDMVEDRLVGIKSREVYEAPGAITLLIAHQALEDVTVERELARYKRLVDARWSEEVYDGLWFSPLKRSLDAFIDSTQEHVTGDIRMVLHAGSAVVNGRRSDHSLYDFNLATYDTGDTFDQTLAKGFVELHGLSTKISNRRDREA-</t>
  </si>
  <si>
    <t>GC_00000559</t>
  </si>
  <si>
    <t>PF16363.11</t>
  </si>
  <si>
    <t>GDP-mannose 4,6 dehydratase</t>
  </si>
  <si>
    <t>K01710</t>
  </si>
  <si>
    <t>dTDP-glucose 4,6-dehydratase [EC:4.2.1.46]</t>
  </si>
  <si>
    <t>COG1088</t>
  </si>
  <si>
    <t>dTDP-D-glucose 4,6-dehydratase (RfbB) (PDB:1G1A)</t>
  </si>
  <si>
    <t>M00793</t>
  </si>
  <si>
    <t>dTDP-L-rhamnose biosynthesis, glucose-1P =&gt; dTDP-L-Rha</t>
  </si>
  <si>
    <t>KEGG Orthology (KO)&gt;&gt;&gt;09100 Metabolism&gt;&gt;&gt;09101 Carbohydrate metabolism&gt;&gt;&gt;00541 Biosynthesis of various nucleotide sugars [PATH:ko00541]|KEGG Orthology (KO)&gt;&gt;&gt;09100 Metabolism&gt;&gt;&gt;09109 Metabolism of terpenoids and polyketides&gt;&gt;&gt;00523 Polyketide sugar unit biosynthesis [PATH:ko00523]|KEGG Orthology (KO)&gt;&gt;&gt;09100 Metabolism&gt;&gt;&gt;09109 Metabolism of terpenoids and polyketides&gt;&gt;&gt;01055 Biosynthesis of vancomycin group antibiotics [PATH:ko01055]|KEGG Orthology (KO)&gt;&gt;&gt;09100 Metabolism&gt;&gt;&gt;09110 Biosynthesis of other secondary metabolites&gt;&gt;&gt;00521 Streptomycin biosynthesis [PATH:ko00521]|KEGG Orthology (KO)&gt;&gt;&gt;09100 Metabolism&gt;&gt;&gt;09110 Biosynthesis of other secondary metabolites&gt;&gt;&gt;00525 Acarbose and validamycin biosynthesis [PATH:ko00525]|Enzymes&gt;&gt;&gt;4. Lyases&gt;&gt;&gt;4.2  Carbon-oxygen lyases&gt;&gt;&gt;4.2.1  Hydro-lyases&gt;&gt;&gt;4.2.1.46  dTDP-glucose 4,6-dehydratase</t>
  </si>
  <si>
    <t>------------------------------------------------------------------------------MKTLLVTGGAGFIGANFVRLTLDKYPQYKVIVVDKLTYAGNRANLPLDGDHGAGDYSDRLEFVHGDICDAALIDGLVQRCDVIVHFAAESHNDNSLANPRPFVDTNIIGTFTLLEAARKHDKRFHHISTDEVFGDLELDDPNRFTESTPYNPSSPYSSTKAGSDHLVRAWIRSFGLQ</t>
  </si>
  <si>
    <t>MNHDVLVRKPRQIPETLLERIEGATKVFRKRQFFTHELEKSSCGADRTEVDGVFRHDDFVYHAGAFHIFSVAPPRYHGCMRILVTGGAGFIGSNFVHRTLLTKPETEVTVLDSMTYAANPANLP-EG----------VELVRGDVCDRQLVNTLTQRADVVVHFAAESHNDNSLKDPFAFQRTNVEGTLTMIQAATTHGTRFHHISTDEVFGDLPLDSTEKFTPETPYNPSSPYSASKAASDHFVRAFVRSHGLQATISNCSNNYGPRQHPEKFIPRQIINLLHREKPRLYGQGDNVRDWIHVDDHNDAVWHIIEHGEVGKTYLIGADGERSNKQVVSDLLAEFA--QPEDFLVHVTDRPGHDRRYAIDATS-TLELGWRPQFTD----FREGLHHTVAWYRDHPEWWGASRAESERIYAATEREL</t>
  </si>
  <si>
    <t>------------------MKITFRSHYTRMPVEFYKYATSSPWGVS---------------------FFCRLDPVSLTLMKMLVTGGAGFIGTNFVRRTLTTRPEYEITVLDKLTYAGNSSNLTGLD----------VHFVQGDVADRELVDKLVKASDVVVHFAAETHVDASLRDPAAFVHSNVVGTFALLEAIRKYDTRLHYISTDEVFGDLELTDPRRFTETSPYNPSSPYSATKAGADHLVRAWIRSFNIP</t>
  </si>
  <si>
    <t>-------------------------------------------------------------------------------MKMLVTGGAGFIGTNFVRRTLTTRPEYEITVLDKLTYAGNSSNLTGLD----------VHFVQGDVADRELVDKLVKASDVVVHFAAETHVDASLRDPAAFVHSNVVGTFALLEAIRKYDTRLHYISTDEVFGDLELTDSRRFTETSPYNPSSPYSATKAGADHLVRAWIRSFNIP</t>
  </si>
  <si>
    <t>GC_00000560</t>
  </si>
  <si>
    <t>K11717</t>
  </si>
  <si>
    <t>cysteine desulfurase / selenocysteine lyase [EC:2.8.1.7 4.4.1.16]</t>
  </si>
  <si>
    <t>COG0520</t>
  </si>
  <si>
    <t>Selenocysteine lyase/Cysteine desulfurase (CsdA) (PDB:4LW2)</t>
  </si>
  <si>
    <t>KEGG Orthology (KO)&gt;&gt;&gt;09100 Metabolism&gt;&gt;&gt;09106 Metabolism of other amino acids&gt;&gt;&gt;00450 Selenocompound metabolism [PATH:ko00450]|Enzymes&gt;&gt;&gt;2. Transferases&gt;&gt;&gt;2.8  Transferring sulfur-containing groups&gt;&gt;&gt;2.8.1  Sulfurtransferases&gt;&gt;&gt;2.8.1.7  cysteine desulfurase|Enzymes&gt;&gt;&gt;4. Lyases&gt;&gt;&gt;4.4  Carbon-sulfur lyases&gt;&gt;&gt;4.4.1  Carbon-sulfur lyases (only sub-subclass identified to date)&gt;&gt;&gt;4.4.1.16  selenocysteine lyase</t>
  </si>
  <si>
    <t>MSTPAFTLPDGSLNTAAIREEFPILSTRVRGGQTLAYLDSGATSQRPRSVWKAEEEFVLGTNAPVHRGAYQLAELATDAYEQARADIAAFVGASSQDISFCSNATAALNTIAYFFSDSRSGDKKASRTQDATAANPLAVGPGDTIVVTELEHHANLVPWQELARRTGATLRWLSATADGRIDLDSLAFDASVKVVAFTHQSNVTGAITDVAAMMDKVQREAPQALTVLDACQSVPHMPVNFAELGVDFGAFSGHKMCGPTGIGVCYIAPKLRDKLPPVTFGGSMIEIVRMEHSTYQPAPERFEAGTQMNSQVVALGAAVRFLSSIGMDAISAHEHQLVSYAIEQLTAIDGVRIVGPTDMTLRGGAVSFLLEGVHPHDMGQILDSEGVAIRVGHHCAWPVHRTLGAQATARASFYLYNTREEVDRLAAAVRKAKEFFGEH-</t>
  </si>
  <si>
    <t>MTNANF------LDVDAVRAQFPILARTVRHGNPLVYLDSGATSQRPEVVWRAEENFVLSTNAPVHRGAYSLAEEATDAYEKARVTIADFVGADSDELVFTKNATEALNLVAFVLGDDRAGARR--------------VQAGDTVVVTELEHHANLVPWQELCRRTGATLKWYGLTNDGRIDLDSLELDDTVKVVAFTHQSNVTGAVADVAEIVRRAR--SVNALTVLDACQSVPHMPVNFHDLGVDFAAFSGHKMCGPSGVGVLYARDPLLKELPPFLTGGSMIEKVTMEGSTFTEPPQRFEAGTQMTSQVVGLAAAAEFLNGVGMEAVAAHEHDLIVYALEQLQGIDGLTIIGPTTAEQRGSAVSFVVNGIHPHDLGQVLDDYGVSIRVGHHCAWPVHRAVGAQATARASFYLYNTREEIDALVHAITKAQEFFGVAR</t>
  </si>
  <si>
    <t>--MTSFHNPDGTLNEAAIRAEFPILSRTVRGNKPLVYLDSGATSQRPLRVWRAEEDFVLGHNAPVHRGAYQLAEEATDAYEQARADIAAFVGAADEEIAFTKNATEALNLVAYTLGDQ--------------------LTAGDTVVVTELEHHANLVPWQELCRRTGATLKWYTTTEDGRIDMDSLELDDTVKVVAFTHQSNVTGAVTDVLTLVARAR--AVGALVVLDACQSVPHMPVDFHALDVDFAAFSGHK</t>
  </si>
  <si>
    <t>--MTSFHNPDGTLNEAAIRAEFPILSRTVRGNKPLVYLDSGATSQRPLRVWRAEEDFVLGHNAPVHRGAYQLAEEATDAYEQARADIAAFVGAADEEIAFTKNATEALNLVAYTLGDQ--------------------LTAGDTVVVTELEHHANLVPWQELCRRTGATLKWYTTTEDGRIDMDSLELDDTVKVVAFTHQSNVTGAVTDVPTLVARAR--AVGALVVLDACQSVPHMPVDFHALDVDFAAFSGHK</t>
  </si>
  <si>
    <t>GC_00000561</t>
  </si>
  <si>
    <t>PF00625.27</t>
  </si>
  <si>
    <t>Guanylate kinase</t>
  </si>
  <si>
    <t>K00942</t>
  </si>
  <si>
    <t>guanylate kinase [EC:2.7.4.8]</t>
  </si>
  <si>
    <t>COG0194</t>
  </si>
  <si>
    <t>Guanylate kinase (Gmk) (PDB:1EX6)</t>
  </si>
  <si>
    <t>KEGG Orthology (KO)&gt;&gt;&gt;09100 Metabolism&gt;&gt;&gt;09104 Nucleotide metabolism&gt;&gt;&gt;00230 Purine metabolism [PATH:ko00230]|Enzymes&gt;&gt;&gt;2. Transferases&gt;&gt;&gt;2.7  Transferring phosphorus-containing groups&gt;&gt;&gt;2.7.4  Phosphotransferases with a phosphate group as acceptor&gt;&gt;&gt;2.7.4.8  guanylate kinase</t>
  </si>
  <si>
    <t>MSGDS------RGSLVVLAGPSAVGKSTVVQRLREEVPGLYFSVSMTTRAPRPGEVDGVDYFFVTKDEFQRRIDQGEMLEWADIHGGIQRSGTPAEPIRNALDEGRPVLVEVDLVGARSIKALCPDAETVFLAPPSWEILVERLTGRGTETPEVIERRLATAKAELAAQDEFDSVVVNEDVDRAVDALRTILLKPTDKA</t>
  </si>
  <si>
    <t>MTGDKPKNEQGQGRLVVLLGPSAVGKSTVVHRLREEIPQLYFSVSMTTRDPRPGEVDGRDYFYVTREEFQEKIDAGEMLEWADIHGGLQRSGTPAGPVRDALSEGRPVLVEVDIVGARNVARMMPEANTVFLAPPSWEVLVDRLVGRGTEPQDVIDRRLKTAKAELAAKDEFDVVVVNDDIDRAVAEITEILLGRD---</t>
  </si>
  <si>
    <t>MVGDNPH----QGRLVVLLGPSAVGKSTVVHRLREELPTMYFSVSMTTRAPRPGEVDGVHYFFVTPEEFQRRIDAGEMLEWADIHGGLQRSGTPAGPVDQALSAGRPVLVEVDLVGARAIAAIKPEAETVFLAPPSWEVLVERLTGRGTESDATIQRRLETARVELAAQNEFRHVIVNDDVERAVAQLRNILLGVK---</t>
  </si>
  <si>
    <t>GC_00000562</t>
  </si>
  <si>
    <t>K02501</t>
  </si>
  <si>
    <t>imidazole glycerol-phosphate synthase subunit HisH [EC:4.3.2.10]</t>
  </si>
  <si>
    <t>COG0118</t>
  </si>
  <si>
    <t>Imidazoleglycerol phosphate synthase glutamine amidotransferase subunit HisH (HisH) (PDB:1OX4)</t>
  </si>
  <si>
    <t>MAPMAKRVALLDYGSGNIRSAHRALERVGAEVEVTHDPQVVLAADGLLVPGVGAYAACMQGLKSVKGDRMIGERLAGSRPVFGICVGMQIMFEQGVEHGTVAQGCGQWPGVVEKLTTEVVPVMGWNTVEAPEGSQMFAGLEPSERFYFVHSYGVMDWTFKDDGLTTSPLVTWTQQDACRYVAAVENGPLWATQFHPEKSGDAGAQLLKNWLDTL</t>
  </si>
  <si>
    <t>GC_00000563</t>
  </si>
  <si>
    <t>PF12029.13</t>
  </si>
  <si>
    <t>Domain of unknown function (DUF3516)</t>
  </si>
  <si>
    <t>COG4581</t>
  </si>
  <si>
    <t>Superfamily II RNA helicase (Dob10) (PDB:4A4Z)</t>
  </si>
  <si>
    <t>MTNPREIRSLTSLLPDLDDVPESLIDEAIWDSFTAWTRSKNITLYPAQEEAALAALAGDNVIVATPTGSGKSMVAIAAHFFALARGQRSFYTAPIKALVSEKFFSLCEYFGPENVGMMTGDASVNAGASIICATAEIVANIALREGNRARIDQVVMDEFHYYSEPDRGWAWQVPLLELDKAQFVLMSATLGDTSWLEEDLQRRTGRTTSMI-SGTTRPVPLDFHYVYTPVHETIDNLLKDGKAPIYVVHFSQRDAIERAQSLTSLTIVTPEEKEAIVEAIGAFSFSSTFGKTLSKLLRKGIGVHHAGMLPKYRRLVEKLSQQGLLKVICGTDTLGVGINVPIRTVLLTGLAKFDGTKQRLLKSREFHQIAGRAGRAGYDTAGTVIIEAPEHEIENYRLRARAGQDPKKLKKLRKKSARPGEVAWTEKTYERLTTAEPEQLTSQFKVSTSMLINVLTRPGDGYEHMKRLLRGNHNTRTQQNRDIQTTIELLRGLVAAGVATRLD-TPDPTGRRYELTEDLQPDFALNQPLAPFALAALELLDKEADSYTRDVISVFESILDDPRQVLIAQQKAERSEELAALKAEGVDYTERMTILEEITWPKPLEELLEQAYTTYCEGHPWAREFSISPKSVVRDMIEKSMTFSDLVATYGLARSEGVVLRYLTDAWRTLKHSVPTEAYTEELDDVIEWLGELIRQVDSSLVDEWALMADPDAPISEEALQQELAFGVKDPNALSANPRAFGIMIRNFMFRIVQLFAFEKEDELANSVDYLRDIGATIPDFGAALDAYFDDYADLDVGPEARGPQYFMLNKHPDDAELRELLNAPAPEGSRLWLVRQVVKDPEDDCAFSFVGLVDLDASDSAGEVRLRALRIDY-</t>
  </si>
  <si>
    <t>-------MNLTQMLPDLSEVPESLLDESIFDSFLAWTRDHGITLYPAQEEAALGILAGDNVILATPTGSGKSMVAIAAHFIAMARGQRSFYTAPIKALVSEKFFALCDIFGPESVGMMTGDATVNGSAPIICATAEIVANIALRDGVNAAIDQVIMDEFHYYSEPDRGWAWQVPLLELNRAQFLLMSATLGDTTFLEKDLSDRTGRVTTLV-AGTERPVPLEFSYVYTPVHETIEELLTGGKAPIYVVHFTQRDA</t>
  </si>
  <si>
    <t>---MGVNLTLAQMLPDLEEVPESLIDESIFDSFLAWAKDKGITLYPAQEEAALGILAGDNVILATPTGSGKSMVAIAAHFIAMARGQRSFYTAPIKALVSEKFFALCDIFGPESVGMMTGDATVNSQAPIICATAEIVANMALRGGERAEIDQVVMDEFHYYSDPSRGWAWQVPLLEMPNTQFLLMSATLGNTSMLQEDLTRRTGRVTSLVGADADRPVPLDFEFVYTPIHETIERLLKEDKAPVYVVHFTQREA</t>
  </si>
  <si>
    <t>GC_00000564</t>
  </si>
  <si>
    <t>MSAAQAVTKDTFKQVVAESDVPVLVDFWAPWCGPCKKLGPILDDVAAELGERAKIVKVNVDEERELGTAFQIMSIPTMIFFKGGEAVAQVTGVQPKGTIVSKLESLM</t>
  </si>
  <si>
    <t>MSQVVTITAENFRSTVVDSATPVLVDFWAEWCGPCKKLAPEIEKVAEEMGDSVVVGKVDMDAERTLGAMFQILSIPTVIIFNKGEKVFELNGVNTAETYMAKLESLT</t>
  </si>
  <si>
    <t>MSQVVTITAENFRSTVVDSATPVLVDFWAEWCGPCKKLAPEIEKVAEEMGDSVVVGKVDMDAERTLGAMFQILSIPTVIIFNKGEKVFELNGVNTAETYMAKLESLI</t>
  </si>
  <si>
    <t>GC_00000565</t>
  </si>
  <si>
    <t>PF02502.23</t>
  </si>
  <si>
    <t>Ribose/Galactose Isomerase</t>
  </si>
  <si>
    <t>K01808</t>
  </si>
  <si>
    <t>ribose 5-phosphate isomerase B [EC:5.3.1.6]</t>
  </si>
  <si>
    <t>COG0698</t>
  </si>
  <si>
    <t>Ribose 5-phosphate isomerase RpiB (RpiB) (PDB:1NN4)</t>
  </si>
  <si>
    <t>M00004|M00007|M00165|M00611|M00612</t>
  </si>
  <si>
    <t>Pentose phosphate pathway (Pentose phosphate cycle)|Pentose phosphate pathway, non-oxidative phase, fructose 6P =&gt; ribose 5P|Reductive pentose phosphate cycle (Calvin cycle)|Oxygenic photosynthesis in plants and cyanobacteria|Anoxygenic photosynthesis in purple bacteria</t>
  </si>
  <si>
    <t>Pathway modules; Carbohydrate metabolism; Central carbohydrate metabolism|Pathway modules; Carbohydrate metabolism; Central carbohydrate metabolism|Pathway modules; Energy metabolism; Carbon fixation|Signature modules; Module set; Metabolic capacity|Signature modules; Module set; Metabolic capacity</t>
  </si>
  <si>
    <t>KEGG Orthology (KO)&gt;&gt;&gt;09100 Metabolism&gt;&gt;&gt;09101 Carbohydrate metabolism&gt;&gt;&gt;00030 Pentose phosphate pathway [PATH:ko00030]|KEGG Orthology (KO)&gt;&gt;&gt;09100 Metabolism&gt;&gt;&gt;09101 Carbohydrate metabolism&gt;&gt;&gt;00051 Fructose and mannose metabolism [PATH:ko00051]|KEGG Orthology (KO)&gt;&gt;&gt;09100 Metabolism&gt;&gt;&gt;09102 Energy metabolism&gt;&gt;&gt;00710 Carbon fixation by Calvin cycle [PATH:ko00710]|Enzymes&gt;&gt;&gt;5. Isomerases&gt;&gt;&gt;5.3  Intramolecular oxidoreductases&gt;&gt;&gt;5.3.1  Interconverting aldoses and ketoses, and related compounds&gt;&gt;&gt;5.3.1.6  ribose-5-phosphate isomerase</t>
  </si>
  <si>
    <t>MRIYLGADHAGFETKNVIARHLEAKGHEVIDCGAHEYDALDDYPAFCIDAAQRVVADPGSLGIVLGGSGNGEQIAANKVKGARCALAWSTETAKLAREHNNAQLIGIGGRMHSEEEALAIVDAFIEQPWSEEERHQRRIDILSEYERTGVAPE-----K</t>
  </si>
  <si>
    <t>MRVYLGADHAGFEMKNVIAKYLTDAGHEVIDCGAHDYDPEDDYPAFCIEAAYRTVNDPGSLGIVLGGSGNGEQIAANKVKGARCALAWSPEIARLAREHNNAQLIGIGGRMHSEDEVLAIVDAFLSEEWSKAERHQRRIDVIADYEKTGIAPNLP---K</t>
  </si>
  <si>
    <t>MRVYLGADHAGFEMKNVIAKHLTDAGHEVIDCGAHDYDPEDDYPAFCIEAAYRTVNDPGSLGIVLGGSGNGEQIAANKVKGARCALAWSPEIARLAREHNNAQLIGIGGRMHSEDEVLAIVDAFLSEEWSKAERHQRRIDVIADYEKTGIAPNLP---K</t>
  </si>
  <si>
    <t>MRIYLGADHAGFELKNTIKDHLLAGGYEVIDCGAHTYDANDDYPAFCIAAAQGVVDNPGSLGIVLGGSGNGEQIAANKVKGARCALAWSVETARLAREHNNAQLIGIGGRMHSDAEALAIVDAFLDQAWSGNPRHQRRIDILSEFETTGVAPEVPEATK</t>
  </si>
  <si>
    <t>GC_00000566</t>
  </si>
  <si>
    <t>PF01227.27</t>
  </si>
  <si>
    <t>GTP cyclohydrolase I</t>
  </si>
  <si>
    <t>K01495</t>
  </si>
  <si>
    <t>GTP cyclohydrolase IA [EC:3.5.4.16]</t>
  </si>
  <si>
    <t>COG0302</t>
  </si>
  <si>
    <t>GTP cyclohydrolase I (FolE) (PDB:1A8R) (PUBMED:19767425;30692671)</t>
  </si>
  <si>
    <t>Folate biosynthesis</t>
  </si>
  <si>
    <t>M00126|M00841|M00842|M00843|M00988</t>
  </si>
  <si>
    <t>Tetrahydrofolate biosynthesis, GTP =&gt; THF|Tetrahydrofolate biosynthesis, mediated by PTPS, GTP =&gt; THF|Tetrahydrobiopterin biosynthesis, GTP =&gt; BH4|L-threo-Tetrahydrobiopterin biosynthesis, GTP =&gt; L-threo-BH4|PreQ1 biosynthesis, GTP =&gt; 7-Aminomethyl-7-deazaguanine</t>
  </si>
  <si>
    <t>Pathway modules; Metabolism of cofactors and vitamins; Cofactor and vitamin metabolism|Pathway modules; Metabolism of cofactors and vitamins; Cofactor and vitamin metabolism|Pathway modules; Metabolism of cofactors and vitamins; Cofactor and vitamin metabolism|Pathway modules; Metabolism of cofactors and vitamins; Cofactor and vitamin metabolism|Pathway modules; Metabolism of cofactors and vitamins; Cofactor and vitamin metabolism</t>
  </si>
  <si>
    <t>KEGG Orthology (KO)&gt;&gt;&gt;09100 Metabolism&gt;&gt;&gt;09108 Metabolism of cofactors and vitamins&gt;&gt;&gt;00790 Folate biosynthesis [PATH:ko00790]|Enzymes&gt;&gt;&gt;3. Hydrolases&gt;&gt;&gt;3.5  Acting on carbon-nitrogen bonds, other than peptide bonds&gt;&gt;&gt;3.5.4  In cyclic amidines&gt;&gt;&gt;3.5.4.16  GTP cyclohydrolase I</t>
  </si>
  <si>
    <t>-------------------MFDRERAEAAVRELLIAVGEDPDREGLQDTPARVARAYEEVFAGLHVDPTEVLNKTFSEDHQELVLVKDIPIYSTCEHHLVPFFGHAHIGYIPGKNGQVTGLSKLARLVDLFAKRPQVQERLTTQVADAIVEKLGAQSVIVVIECEHLCMAMRGIRKPGARTTTSAVRGGFKANAASRAEVLSLIRG-</t>
  </si>
  <si>
    <t>MAQEFERAEPGWEQSSVSQGVDHERAERAVRELLLAIGEDPDREGLRETPARVARAYAEIFAGLHTDPTAVLDRTFSEDHRELVVVKDIPIYSTCEHHLVPFFGRAHIGYIPGESGKVIGLSKLARVVDLFAKRPQVQERLTRQVADALVTKLEPHGVIVVIECEHLCMAMRGIRKPGAATVTSAVRGGFAHSAKSRAEALSLIRE-</t>
  </si>
  <si>
    <t>GC_00000567</t>
  </si>
  <si>
    <t>PF00375.23</t>
  </si>
  <si>
    <t>Sodium:dicarboxylate symporter family</t>
  </si>
  <si>
    <t>K11103</t>
  </si>
  <si>
    <t>aerobic C4-dicarboxylate transport protein</t>
  </si>
  <si>
    <t>COG1301</t>
  </si>
  <si>
    <t>Na+/H+-dicarboxylate symporter (GltP) (PDB:1XFH)</t>
  </si>
  <si>
    <t>KEGG Orthology (KO)&gt;&gt;&gt;09130 Environmental Information Processing&gt;&gt;&gt;09132 Signal transduction&gt;&gt;&gt;02020 Two-component system [PATH:ko02020]|Transporters&gt;&gt;&gt;Other transporters&gt;&gt;&gt;Electrochemical potential-driven transporters [TC:2]</t>
  </si>
  <si>
    <t>MADV--AHTPQIPEPKR-KKDNTHWLYIGVIVAVIAGIAFGLIAPETAAGFKVVGTMFVKLIKMMISPVIFCTIVLGIGSVRAAASVGKAGGMALGYFITMSTFALAIGLIVGNLIEPGDGLNIEATKTAGADFAAKAEHGGGTIGFIQSIIPETLFSSLISGSVLQTLFVALLVGFAVQSMGKAGEPILGAIAHLQKLVFKILVMVLWLAPIGAFGAIAGVVGATGIEAVKQLAILMLAFYITCVIFVFGVLGLVLKVFGGFNIFKLAKYLGREYLLIVATSSSESALPNLMRKMEHAGVGKSTVGIVVPTGYSFNLDGTAIYLTMAAIFISDAMNQPMNMKEQIGLLLFMIIASKGAAGVSGAGIATLAAGLQSHRPELLDGVGVIVGIDRFMSEARALTNFSGNAVATLLVGKWTHTIDTDRVHKVLNGELPYVEGDDDSTVDLHMPTVNNPAHRDLQPTPQINLDNYKH----</t>
  </si>
  <si>
    <t>MSDVRTSSGLRIAKSKQPRKDRTHWLYIGVIIAVIAGIIFGLVAPSAATEFKVVGTMFVNLIKMMISPVIFCTIVLGIGSVRAAASVGKAGGIALTYFITMSTFALAVGLVVGNLIEPGTGLNIEATKDAGAQYAAKADHGGGTVGFIQSIIPDTLFSALTSGSVLQTLFVALLVGFAVQSLGAKGEPILQGIAHVQRLVFKILTMILWIAPIGAFGAIAGVVGATGFEAVKQLAILMLAFYITCVVFVFGVLGLVLRLFTGYNMFKLAKYLAREYLLIVATSSSESALPNLMRKMEHVGVDKSTVGIVVPTGYSFNLDGTAIYLTMAAIFISDAMNKPMTVGEQIGLLVFMIIASKGAAGVSGAGIATLAAGLQSHRPELLDGVGVIVGIDRFMSEARALTNFSGNAVATLLVGTWTKTIDKQRVHDVLDGKIPYVDSGDDSHVDFKNPSVANPATDELQPTPQVDLDSYTKSEKS</t>
  </si>
  <si>
    <t>MSDVQRSSGPRIAKSKQPRKDRTHWLYIGVIIAVIAGIIFGLVAPSAATEFKVVGTMFVNLIKMMISPVIFCTIVLGIGSVRAAASVGKAGGIALTYFITMSTFALAVGLVVGNLIEPGTGLNIEATKDAGAQYAAKADHGGGTVGFIQSIIPDTLFSALTSGSVLQTLFVALLVGFAVQSLGAKGEPILQGIAHVQRLVFKILTMILWIAPIGAFGAIAGVVGATGFEAVKQLAILMLAFYITCVVFVFGVLGLVLRLFTGYNMFKLAKYLAREYLLIVATSSSESALPNLMRKMEHVGVDKSTVGIVVPTGYSFNLDGTAIYLTMAAIFISDAMNKPMTVGEQIGLLVFMIIASKGAAGVSGAGIATLAAGLQSHRPELLDGVGVIVGIDRFMSEARALTNFSGNAVATLLVGTWTKTIDKQRVHDVLDGKIPYVDSGDDSHVDFKSPSVANPATDELQPTPQVDLDSYTKSEKS</t>
  </si>
  <si>
    <t>MAEA--STAPRIAEPKKPRRDNTHWLYIGVIVAVIAGIVFGLVAPNVAKEFKVLGTMFVNLIKMMISPVIFCTIVLGIGSVRAAASVGKAGGIALGYFITMSTFALAVGLAVGNIIEPGHNLNIEATKTAGAEYAAKADHGGGTIGFIQSIIPDTLFSALTEGSVLQTLFVALLVGFAVQSMGRKGEPILGAIAHLQRLVFKILTMILWIAPIGAFGAIAGVVGATGIEAVKQLAILMVAFYITCVIFVFGVLGLVLRLFTGFSIFKLAKYLGREYLLILATSSSESALPNLMRKMEHVGVDKSTVGIVVPTGYSFNLDGTAIYLTMSAIFISDAMNKPLSLSEQIGLLVFMIIASKGAAGVSGAGIATLAAGLQSHRPELLDGVGVIVGIDRFMSEARALTNFSGNAVATLLVGTWTKTIDKQKVMDVLDGKIPYVDSGSDHDVDFKNPSVVNPATAELQPTPQVDLDAYRH----</t>
  </si>
  <si>
    <t>GC_00000568</t>
  </si>
  <si>
    <t>PF00297.29</t>
  </si>
  <si>
    <t>Ribosomal protein L3</t>
  </si>
  <si>
    <t>K02906</t>
  </si>
  <si>
    <t>large subunit ribosomal protein L3</t>
  </si>
  <si>
    <t>COG0087</t>
  </si>
  <si>
    <t>Ribosomal protein L3 (RplC) (PDB:1VS6)</t>
  </si>
  <si>
    <t>MSETEIKGILGTKLGMTQIFDEDNRVIPVTVVGAGPCVVTQIRTIDNDGYNAIQIAYGEIDPRKVKKPQAGHFNKAGVTPRRHVTEIRMDDVSGYEVGQDITVDIFEGVTFVDVTGTSKGKGYAGAMKRHGFAGQGASHGNQAAHRRVGGIGACATPGRVFKGTRMAGRMGNERVTTQNLKVQKVDADANLLLIKGAIPGVRGGVVTVKTAVKGGAHA</t>
  </si>
  <si>
    <t>MSETEIKGILGTKLGMTQIFDESNRVVPVTVVEAGPCVVTQIRTVENDGYNAIQIAYGEIDPRKAKKPQAGHFKKAGVTPRRHMAEIRMDDVSGYEVGQDVTVDIFEGIDFVDVTGTSKGKGFAGGMKRHGFSGQGASHGNQAAHRRVGGIGACATPGRVFKGTRMAGRMGSDRVTTQNLKIQKIDTEANLLIIKGAIPGARGGLVTVKTAVKGGERA</t>
  </si>
  <si>
    <t>MSETEIKGLLGKKLGMTQIFDENNHVVPVTVVEAGPCVITQIRTQETDGYTAIQIAYGDIDPRKVKKPQAGHFNKAGVTPRRHVAEIRMDDVSGYELGQEITANIFDGITFVDVTGITKGKGFAGGMKRHGFAGQGAGHGNQASHRRVGGIGACATPGRVFKGKRMAGRMGQDRVTTQNLKIQKIDADANLILIKGAIPGNRGGIVTVKTAVKGGNRA</t>
  </si>
  <si>
    <t>GC_00000569</t>
  </si>
  <si>
    <t>K23842</t>
  </si>
  <si>
    <t>NAD(P)H dehydrogenase (quinone) [EC:1.6.5.2]</t>
  </si>
  <si>
    <t>KEGG Orthology (KO)&gt;&gt;&gt;09190 Not Included in Pathway or Brite&gt;&gt;&gt;09191 Unclassified: metabolism&gt;&gt;&gt;99980 Enzymes with EC numbers|Enzymes&gt;&gt;&gt;1. Oxidoreductases&gt;&gt;&gt;1.6  Acting on NADH or NADPH&gt;&gt;&gt;1.6.5  With a quinone or similar compound as acceptor&gt;&gt;&gt;1.6.5.2  NAD(P)H dehydrogenase (quinone)</t>
  </si>
  <si>
    <t>----MTRRIVIIGGGPAGYEAALAGAKYGADITLIEDQGLGGSAVLHDCVPSKSFIAATGIKTDLRRADDMGF------DKSLADSFLHIDAVNARVKDLARSQSQDIGRQMERAGIRVINGRGRFDDYNPKQTTHYIAVDKIDGSSEIIECDLVLLATGASPRILPGAQPDGERILTWRQVYDIDELPEHLIVVGSGVTGAEFVSAFAELGVKVTMVASRDRILPHDDADAADVLETVLAERGVQLEKDARVDT</t>
  </si>
  <si>
    <t>----MTKRIVIIGGGPAGYEAALAGAKYGADITLVEDQGLGGAAVIHDCVPSKSFIAATGIATDLRRVDDMGF-----QRPEVAGKLLELEAVNARVQALAQAQTTDIRAQMDRAGVRVIDGRGCFDDYNPKQVTHYIKVTHADGREETIECDLVLIATGASPRILPGAQPDGERILTWRQVYEINELPEHLIVVGSGVTGAEFVSAFAELGVPVTMVASRDRILPHDDADAADVLETVLAERGVTLEKDARVDS</t>
  </si>
  <si>
    <t>MTTHSAKRIVIIGGGPAGYEAALVGARYGADITLIEDNGLGGSAVIDDCVPSKSFIAGANVKTDLRRAEDMGLSMKLAEDAAGAGSIRLVTALNSRVRQLAGKQSNDIYRSVERAGVRIIAGRGTFDDYNLNQTVHYIRVEHANGTVETIECDLVLVATGASPRILPGAQPDGERIVTWQQIYNITELPEHLIVVGSGVTGAEFVSAFAELGVKVTMVASRDRILPHDDADAADVLETVLTERGVSLVKHARVDSVVRMDDGGVLVRTSDGREIRGSHALMTVGSIPNTRNMGVESIGMETTPSGHIKVDRVSRTNVPGVYAAGDCTDLFPLASVAAMQGRIAMYHALGEGVSPLRLKTVATAVFTRPEIAAVGVTQHEIESGQVSARTVMLPLETNPRAKMRSLRHGFVKMFCRKHSGIVIGGVVVAPTASELILPIAVAVTNNLTVNQLADTFAVYPSLSGSITEAARQLVEHDDLG</t>
  </si>
  <si>
    <t>MTTHSAKRIVIIGGGPAGYEAALVGARYGADITLIEDNGLGGSAVIDDCVPSKSFIAGANVKTDLRRAEDMGLSMKLAEDAAGAGSIRLVTALNSRVRQLAGKQSNDIYRSVERAGVRIIAGRGTFDDYNLNQTVHYIRVEHANGTVETIECDLVLVATGASPRILPGAQPDGERIVTWQQIYNITELPEHLIVVGSGVTGAEFVSAFAELGVKVTMVASRDRILPHDDADAADVLETVLTERGVSLVKHARVDSVVRMDDEGVLVRTSDGREIRGSHALMTVGSIPNTRNMGVESIGMETTPSGHIKVDRVSRTNVPGVYAAGDCTDLFPLASVAAMQGRIAMYHALGEGVSPLRLKTVATAVFTRPEIAAVGVTQHEIESGQVSARTVMLPLETNPRAKMRSLRHGFVKMFCRKHSGIVIGGVVVAPTASELILPIAVAVTNNLTVNQLADTFAVYPSLSGSITEAARQLVEHDDLG</t>
  </si>
  <si>
    <t>GC_00000570</t>
  </si>
  <si>
    <t>PF00203.26</t>
  </si>
  <si>
    <t>Ribosomal protein S19</t>
  </si>
  <si>
    <t>K02965</t>
  </si>
  <si>
    <t>small subunit ribosomal protein S19</t>
  </si>
  <si>
    <t>COG0185</t>
  </si>
  <si>
    <t>Ribosomal protein S19 (RpsS) (PDB:4V4H)</t>
  </si>
  <si>
    <t>MPRSLKKGPFVDEHLLAKVDAQNEKGTKQVIKTWSRRSTILPDFIGHTFAVHDGRKHVPVFVDDSMVGHKLGEFAPTKTFKGHIKDDKKGRR</t>
  </si>
  <si>
    <t>MPRSLKKGPFVDEHLLAKVDAQNEKGTKQVIKTWSRRSTILPDFIGHTFAVHDGRKHVPVFVDESMVGHKLGEFAPTKTFKGHVKDDKKGRR</t>
  </si>
  <si>
    <t>MPRSLKKGPFVDEHLLAKVDAQNEKGTKQIIKTWSRRSTILPDFIGHTFAVHDGRKHVPVYVDDSMVGHKLGEFAPTKTFKGHIQEKKKGRR</t>
  </si>
  <si>
    <t>GC_00000571</t>
  </si>
  <si>
    <t>PF14748.11</t>
  </si>
  <si>
    <t>Pyrroline-5-carboxylate reductase dimerisation</t>
  </si>
  <si>
    <t>K00286</t>
  </si>
  <si>
    <t>pyrroline-5-carboxylate reductase [EC:1.5.1.2]</t>
  </si>
  <si>
    <t>COG0345</t>
  </si>
  <si>
    <t>Pyrroline-5-carboxylate reductase (ProC) (PDB:3GT0) (PUBMED:22125496;26507882)</t>
  </si>
  <si>
    <t>M00015|M00972</t>
  </si>
  <si>
    <t>Proline biosynthesis, glutamate =&gt; proline|Proline metabolism</t>
  </si>
  <si>
    <t>Pathway modules; Amino acid metabolism; Arginine and proline metabolism|Pathway modules; Amino acid metabolism; Arginine and proline metabolism</t>
  </si>
  <si>
    <t>KEGG Orthology (KO)&gt;&gt;&gt;09100 Metabolism&gt;&gt;&gt;09105 Amino acid metabolism&gt;&gt;&gt;00330 Arginine and proline metabolism [PATH:ko00330]|Enzymes&gt;&gt;&gt;1. Oxidoreductases&gt;&gt;&gt;1.5  Acting on the CH-NH group of donors&gt;&gt;&gt;1.5.1  With NAD+ or NADP+ as acceptor&gt;&gt;&gt;1.5.1.2  pyrroline-5-carboxylate reductase</t>
  </si>
  <si>
    <t>MGHIAVIGGGKIGEALVAGLLAAGREPGRIRVVNRRPERGNYLHRTYHVGVSDSIEEVVDGADAVFICTKPKDVTSVLADPA--LQDIGDDVAVVSMAAGITIATLEEALSAGTSVFRAMPNTPMLISKGVTALAPGRFTTEQQLDYITEILESVGIVVVVDEADMDAVTAVAGSSPAYVFLLAEALIDSGVSLGLSRELASTLALASIGGAADLMEQSSSEPSVLRANVSSPAGTTVAAVESLESSGFRAAFFKATRACAERSAQIGRRG</t>
  </si>
  <si>
    <t>MPKIAVIGGGKIGEALIAGLIAGGVPPKDIHVANRRPERGKELVEAYGIIDFVDHQQATDGTDVVFLCVKPKDTVPVLTDLADFIDNNESDTAVISMAAGVTLKQLEDAVSAGTPVVRVMPNTPMLVGEGMNVVVPGRFVSEEQLDSIVELLGMVGDVVVTEETHMDAVTALSGSAPAYIFLVAEAMVDAGVSLGLSRDLAKRLTVGAVSGAGAMLSQPDAEPYELRSHVASPGGTTIAAIRVLEEGGIRAAMYRATEASARRSRELG-QG</t>
  </si>
  <si>
    <t>MPKIAVIGGGKIGEALIAGLIAGGVPPKDIHVANRRPERGKELVEAYGIIDFVDHQQATDGTDVVFLCVKPKDTVPVLADLADFIDNNESDTAVISMAAGVTLKQLEDAVSAGTPVVRVMPNTPMLVGEGMNVVVPGRFVSEEQLDSIVELLGMVGDVVVTEETHMDAVTALSGSAPAYIFLVAEAMVDAGVSLGLSRDLAKRLTVGAVSGAGAMLSQPDAEPYELRSHVASPGGTTIAAIRALEEGGIRAAMYRATEASARRSRELG-QG</t>
  </si>
  <si>
    <t>MSSIAVIGGGKIGEALIVGLINGGINPKNIHVTNREPERNQYLRDKYAVLTFDDNILAVDGADVVFLCVKPKVVASVVEEISDRIDNNEA-TTVVSMAAGISIAVVEEGLAAGAPVIRVMPNTPMLVGAGMCAMAVGRFVEAEQLARVKDLLSMVGAVRVVDEHDMDAVTAMSGSAPAYLFLLVEAMIDAGVNLGLTRDAARELSTMTFYGAAKMLLDTSAEPAELRANVSSPGGSTIAAIREFEEAGLRAAVYRATEACARRSKELG-AS</t>
  </si>
  <si>
    <t>GC_00000572</t>
  </si>
  <si>
    <t>K08289</t>
  </si>
  <si>
    <t>phosphoribosylglycinamide formyltransferase 2 [EC:6.3.1.21]</t>
  </si>
  <si>
    <t>COG0027</t>
  </si>
  <si>
    <t>Formate-dependent phosphoribosylglycinamide formyltransferase (GAR transformylase) (PurT) (PDB:1KJ8)</t>
  </si>
  <si>
    <t>KEGG Orthology (KO)&gt;&gt;&gt;09100 Metabolism&gt;&gt;&gt;09104 Nucleotide metabolism&gt;&gt;&gt;00230 Purine metabolism [PATH:ko00230]|Enzymes&gt;&gt;&gt;6. Ligases&gt;&gt;&gt;6.3  Forming carbon-nitrogen bonds&gt;&gt;&gt;6.3.1  Acid-D-ammonia (or amine) ligases (amide synthases)&gt;&gt;&gt;6.3.1.21  phosphoribosylglycinamide formyltransferase 2</t>
  </si>
  <si>
    <t>MFTPRKIGTPLSPTATRVLLLGSGELGKEVAIAFQRLGVEVHAADRYSDAPAHQIAHFAYTLDMMDPEEVTALVEKVRPHFIVPEIEAIATEALRDLEEASFTVIPTAEATQLTMNREGIRRLAAEELGLPTSNYAFADTFEEFEQAVETIGMPCVVKPVMSSSGKGQSVIKNTDDVASAWEYAIAGGRVSASRVIVEGFVEFDYEITLLTVRSIDPVSGEAATWFCEPIGHRQDSGDYVESWQPMPMSEEALDNARSVAARITRALGGRGVFGVELFISGDEVYFSEVSPRPHDTGMVTMCSQRFSEFELHARAILGLPIDVTVTSPGASAVIYGGMEAKHIGYEGVAEALSIPESEVRLFGKPEAHVRRRMGVALATAEDIDTARTRATRAAAAVTPVKT--------</t>
  </si>
  <si>
    <t>MFTPNRIGTPLSPSATTVMLLGSGELGKEMAIAFQRLGVEVHAVDSYENAPAHQVAHAHYVIDMTNPDELRRLIAEVKPQFIVPEIEAVDTNVLDDCEAHSVTVIPTARATQLTMNREGIRRLAAEELGLPTSAYSFASNPLEFKQAVAAMGFPCVVKPVMSSSGKGQSIVRDDDDIAAAWDYAQSGGRVEGGRVIVERFVDFDYEITLLTVRSIDPRSGKTATWFCEPIGHLQRDGDYVESWQPIPMPSIALENARSVAARITNALGGHGLFGVELFVSGDDVYFSEVSPRPHDTGLVTLATQRFSEFELHARAILGLPIDVTLTSPGASAVIYGGIDAAGVTFDGVAEALAVEEADIRLFGKPVSYPTRRMGVALATAEDAETARDRAQRAASAITVF----------</t>
  </si>
  <si>
    <t>MFTPNRIGTPLSPSATTVMLLGSGELGKEMAIAFQRLGVEVHAVDSYENAPAHQVAHAHYVIDMTNPDELRRLIAEVKPQFIVPEIEAVDTNVLDDCEAHGVTVIPTARATQLTMNREGIRRLAAEELGLPTSAYSFASNPLEFKQAVAAMGFPCVVKPVMSSSGKGQSIVRDDDDIAAAWDYAQSGGRVEGGRVIVERFVDFDYEITLLTVRSIDPRSGKTATWFCEPIGHLQRDGDYVESWQPIPMPSIALENARSVAARITNALGGHGLFGVELFVSGDDVYFSEVSPRPHDTGLVTLATQRFSEFELHARAILGLPIDVTLTSPGASAVIYGGIDAAGVTFDGVAEALAVEEADIRLFGKPVSYPTRRMGVALATAEDAETARDRAQRAASAITVF----------</t>
  </si>
  <si>
    <t>MYTPQTIGTPLTQGALRVMLLGSGELGKEVAIAFQRLGVEVHAVDRYENAPAHQVAHFAYKVDLTDGKAVAELVDYIDPHFIVPEIEEIATATLVELEDSGRTVVPTARATRLTMNRQRIRKLAAVELGLPVAAYWFADDFDDFRAAIRHAGFPCIVKPIMSTSGRGQTVVRSEDDVLLAWETAQTGGRPE--RVIVERFIDFDFEITLLVVRSIDPTTGELATWFCEPIGHRQDASGYVESWQPMPLSPAALDSARSIAARITNALGGRGVFGVELFISGDEVYFSEVSPHPHDTGMVTLSTQRVDEFALHARAILGLPIDVTCISPGASAVIHGGTDATGPHYSGLASALAVPETDVRLFGKPESFAMRRMGVAISTAEDVVTARKRATEAASYVHVSGRPVDRSVPS</t>
  </si>
  <si>
    <t>GC_00000573</t>
  </si>
  <si>
    <t>K02836</t>
  </si>
  <si>
    <t>peptide chain release factor 2</t>
  </si>
  <si>
    <t>COG1186</t>
  </si>
  <si>
    <t>Protein chain release factor PrfB (PrfB) (PDB:1GQE)</t>
  </si>
  <si>
    <t>MPGALDFAIVQPEVSSAIANLDATLTTIEKVLDPATLDEEVRELEAKASDPSLWDNPETAQQVTSALSQKQGTLRKLADLRQRIEDLPVMYELAEEEGEGPELADAELEELRAAIDSLEVTTMLSGEYDAREAVINIRSGAGGVDAADWAEMLMRMYVRWAEKKGHKVEVYDVSYAEEAGIKSATFVVHGEYMYGQLSVEQGAHRLVRISPFDNQGRRQTSFAEVEVLPVVEQTDHIDIPDSEIRVDVYRSSGPGGQSVNTTDSAVRLTHIPTGIVVTCQNEKSQIQNKASALRVLQAKLLERKRQEERAELDALGAGGNASWGNQMRSYVLHPYQMVKDLRTNYEVGDPSKVLDGDIDGFLEAGIRWRMAEAD---</t>
  </si>
  <si>
    <t>---------MQPDVTADINDLNAALTTIEKVLDLDGMAERVRELEAQASDPSLWDDPDHAQQVTSQLSHVQAELRRVTELRQRLDDLPILYEFAEEEGDGIEAADEERAAVRAEIETLEVKTMLSGEYDAREALINIRSGAGGVDAADWAEMLLRMYTRWAEKAGYSVDIYDISYAEEAGIKSATFVVHGEYTYGTLSVEQGAHRLVRISPFDNQGRRQTSFAEVEVLPVVEQTDHIEVPDSEIRVDVYRSSGPG</t>
  </si>
  <si>
    <t>---------MRPETSAELTALDTTLTSIEKVMNPADLSDRARELAAKAADPSLWDDPEHAQQVTSELSQVQVQLKRLQSLRSRLTDLPIMYELAEEEGEGTDIADEELADLRADIDALEVTTMLSGEYDSREALINIRSGAGGVDAADWAEMLMRMYIRWAEKQGRKVEVYDISYAEEAGIKSATFIVHGEYMYGTLSVEQGVHRLVRISPFDNQARRQTSFAEVEVLPVVEITDHIDIPDSELRVDVYRSSGPG</t>
  </si>
  <si>
    <t>---------MRPETSAELTALDTTLTSIEKVMNPADLSDRARELAAKAADPSLWDDPEHAQQVTSELSQVQVQLKRLQSLRSRLTDLPIMYELAEEEGEGTDIADEELTDLRADIDALEVTTMLSGEYDSREALINIRSGAGGVDAADWAEMLMRMYIRWAEKQGRKVEVYDISYAEEAGIKSATFIVHGEYMYGTLSVEQGVHRLVRISPFDNQARRQTSFAEVEVLPVVEITDHIDIPDSELRVDVYRSSGPG</t>
  </si>
  <si>
    <t>GC_00000574</t>
  </si>
  <si>
    <t>PF02700.19</t>
  </si>
  <si>
    <t>Phosphoribosylformylglycinamidine (FGAM) synthase</t>
  </si>
  <si>
    <t>K23264</t>
  </si>
  <si>
    <t>phosphoribosylformylglycinamidine synthase subunit PurS [EC:6.3.5.3]</t>
  </si>
  <si>
    <t>COG1828</t>
  </si>
  <si>
    <t>Phosphoribosylformylglycinamidine (FGAM) synthase, PurS subunit (PurS) (PDB:1GTD)</t>
  </si>
  <si>
    <t>MARVVVNVMPKAEILDPQGQAVQRALGRIGVDGVSDVRQGKRFVIDAQRELSAAELEELASKLLANTVIEDYEII-VEGQQ</t>
  </si>
  <si>
    <t>MARVVVNVMPKAEILDPQGKAVVRALDLIGVKGVSDVRQGKRFELEVDESVTAAELEKIAEVLLANTVIEDYEVVGVEVAQ</t>
  </si>
  <si>
    <t>MTRVVVNVMPKAEILDPQGQAVVRALGRIGVEGVADVRQGKRFEVEVSDEVTREQVEKMAEVLLANTVIEDFDVI-FEA--</t>
  </si>
  <si>
    <t>MARVVVNVMPKAEILDPQGQAVVRALGRIGVEGVADVRQGKRFEIEVSDEVTREQVEKMAEVLLANTVIEDFDVI-FEA--</t>
  </si>
  <si>
    <t>GC_00000575</t>
  </si>
  <si>
    <t>PF02781.21</t>
  </si>
  <si>
    <t>Glucose-6-phosphate dehydrogenase, C-terminal domain</t>
  </si>
  <si>
    <t>K00036</t>
  </si>
  <si>
    <t>glucose-6-phosphate 1-dehydrogenase [EC:1.1.1.49 1.1.1.363]</t>
  </si>
  <si>
    <t>COG0364</t>
  </si>
  <si>
    <t>Glucose-6-phosphate 1-dehydrogenase (Zwf) (PDB:5B7W) (PUBMED:18950999)</t>
  </si>
  <si>
    <t>ko00001|ko00001|ko01000|ko01000|ko04147|ko04147|ko04147</t>
  </si>
  <si>
    <t>KEGG Orthology (KO)&gt;&gt;&gt;09100 Metabolism&gt;&gt;&gt;09101 Carbohydrate metabolism&gt;&gt;&gt;00030 Pentose phosphate pathway [PATH:ko00030]|KEGG Orthology (KO)&gt;&gt;&gt;09100 Metabolism&gt;&gt;&gt;09106 Metabolism of other amino acids&gt;&gt;&gt;00480 Glutathione metabolism [PATH:ko00480]|Enzymes&gt;&gt;&gt;1. Oxidoreductases&gt;&gt;&gt;1.1  Acting on the CH-OH group of donors&gt;&gt;&gt;1.1.1  With NAD+ or NADP+ as acceptor&gt;&gt;&gt;1.1.1.49  glucose-6-phosphate dehydrogenase (NADP+)|Enzymes&gt;&gt;&gt;1. Oxidoreductases&gt;&gt;&gt;1.1  Acting on the CH-OH group of donors&gt;&gt;&gt;1.1.1  With NAD+ or NADP+ as acceptor&gt;&gt;&gt;1.1.1.363  glucose-6-phosphate dehydrogenase [NAD(P)+]|Exosome&gt;&gt;&gt;Exosomal proteins&gt;&gt;&gt;Exosomal proteins of breast cancer cells|Exosome&gt;&gt;&gt;Exosomal proteins&gt;&gt;&gt;Exosomal proteins of colorectal cancer cells|Exosome&gt;&gt;&gt;Exosomal proteins&gt;&gt;&gt;Exosomal proteins of bladder cancer cells</t>
  </si>
  <si>
    <t>------------------------MSNSLTGAQDSAPWFNPLRDSDDKRLPRIAGPCGMVIFGVTGDLARKKLLPAIYDLAHRGLLPPGFCLVGYGRRDWSNEEFQDYVLDAVKAGARTEFQDNVWKRLTEGMVFCKGNFDDDAAFDNLASTLQYLDETRGTAGNWAFYLSVPPDFFADVCHQLDRSGMAQATEEHWRRVIIEKPFGHDQESARALNKIVNQVFPEDSVFRIDHYLGKETVQNIMVLRFANQLFD</t>
  </si>
  <si>
    <t>----------------------------------------------------------MVIFGVTGDLARKKLLPAIYDLANRGLLPAGFALVGYGRRDWSKQDFEDYVCKAVKAGARTEFRENVWKRLAEGMHFVTGNFDDDAAFDQLENTLTSLDRERGTSGNWAFYLSVPPDYFADVCHQLQRSGMAQPGPGSWRRVIIEKPFGHDLDSAHELNRLVNSVFPEDAVFRIDHYLGKETVQNIMALRFANQLFD</t>
  </si>
  <si>
    <t>MLKNVLFLTQVRHQPHPWVDLANVSDHEATNVSPVTPWVNPLRSPQDKRLPRIAGPCGMVIFGVTGDLARKKLLPAIYDLANRGLLPAGFTLVGYGRRDWSKADFEDYIKEAVKAGARTPFRDNVWERLAEGMVFVSGNFDDDAAFDQLAATLSELDQTRGTAGNWAFYLSVPPAYFSNVCHQLQRSGMAQIAAPAWRRVIVEKPFGRDQQTAKELNEVINSVFPEKSVFRIDHYLGKETVQNIMALRFANQLFDPLWNSHYIDHVQITMAEDIGLGGRAGYYDGIGAARDVIQNHLIQLLALVAMEEPIDFTPAELQAEKMKVLRATHAVEPLSKTTARGQYTSGWQGSEYVKGLREETGFDPDSTTETYAACTLEINSRRWAGVPFYLRTGKRLGRRVTEIALVFKDAPHHPFPEGTRHAQGP-NVVVIRVQPDEGVLMRFGSKVPGSAMEVRDVNMDFGYSEAFTEESPEAYERLILDALLDEASLFPTNEEVELSWKILDPVLEYWAKHGKPEDYVAGTWGPESANKMLERSGRAWRRP</t>
  </si>
  <si>
    <t>----------------------------------------------------------MVIFGVTGDLARKKLLPAIYDLANRGLLPAGFTLVGYGRRDWSKADFEDYIKEAVKAGARTPFRDNVWERLAEGMVFVSGNFDDDAAFDQLAATLSELDQTRGTAGNWAFYLSVPPAYFSNVCHQLQRSGMAKVAAPAWRRVIVEKPFGRDQQTAKELNEVINSVFPEKSVFRIDHYLGKETVQNIMALRFANQLFD</t>
  </si>
  <si>
    <t>GC_00000576</t>
  </si>
  <si>
    <t>PF05025.18</t>
  </si>
  <si>
    <t>RbsD / FucU transport protein family</t>
  </si>
  <si>
    <t>K06726</t>
  </si>
  <si>
    <t>D-ribose pyranase [EC:5.4.99.62]</t>
  </si>
  <si>
    <t>COG1869</t>
  </si>
  <si>
    <t>D-ribose pyranose/furanose isomerase RbsD (RbsD) (PDB:1OGC)</t>
  </si>
  <si>
    <t>KEGG Orthology (KO)&gt;&gt;&gt;09130 Environmental Information Processing&gt;&gt;&gt;09131 Membrane transport&gt;&gt;&gt;02010 ABC transporters [PATH:ko02010]|Enzymes&gt;&gt;&gt;5. Isomerases&gt;&gt;&gt;5.4  Intramolecular transferases&gt;&gt;&gt;5.4.99  Transferring other groups&gt;&gt;&gt;5.4.99.62  D-ribose pyranase</t>
  </si>
  <si>
    <t>MLKQGLINRDLLAYAAELGHTDSFVIADCGLPIPEHVPVVDVSVEFGYPEFFDVTGRLLPHIVAESVVVAKEAPAAFGEELALYVADAQQEVVSHEELKRLVADAKFVVRTGSVVPYSNVVVRCGVPF</t>
  </si>
  <si>
    <t>MKKTGLLNPALNHMIARLGHTHTFVIADCGLPIPENIPVVDLALTFGIPRFQDVVAAVFDEVEVESVVLAQETPE---EVRALF--SSPTTYVDHEALKRLIPEASFVIRTGEATPFANVIVRSGVPF</t>
  </si>
  <si>
    <t>MKRDGLLNPQLNQAIARLGHTDTFAICDCGLPLPPQARIIDLTLIHGVPSFEQVAEAILKEVVIEKVTIATQTPD---VIINTLPADAPITKIDHEDFKKQINDCTFVVRTGSTTPYANAIYYCGVSF</t>
  </si>
  <si>
    <t>GC_00000577</t>
  </si>
  <si>
    <t>PF00456.26</t>
  </si>
  <si>
    <t>Transketolase, thiamine diphosphate binding domain</t>
  </si>
  <si>
    <t>K00615</t>
  </si>
  <si>
    <t>transketolase [EC:2.2.1.1]</t>
  </si>
  <si>
    <t>COG0021</t>
  </si>
  <si>
    <t>Transketolase (TktA) (PDB:1AY0)</t>
  </si>
  <si>
    <t>KEGG Orthology (KO)&gt;&gt;&gt;09100 Metabolism&gt;&gt;&gt;09101 Carbohydrate metabolism&gt;&gt;&gt;00030 Pentose phosphate pathway [PATH:ko00030]|KEGG Orthology (KO)&gt;&gt;&gt;09100 Metabolism&gt;&gt;&gt;09102 Energy metabolism&gt;&gt;&gt;00710 Carbon fixation by Calvin cycle [PATH:ko00710]|KEGG Orthology (KO)&gt;&gt;&gt;09100 Metabolism&gt;&gt;&gt;09109 Metabolism of terpenoids and polyketides&gt;&gt;&gt;01051 Biosynthesis of ansamycins [PATH:ko01051]|Enzymes&gt;&gt;&gt;2. Transferases&gt;&gt;&gt;2.2  Transferring aldehyde or ketonic groups&gt;&gt;&gt;2.2.1  Transketolases and transaldolases&gt;&gt;&gt;2.2.1.1  transketolase</t>
  </si>
  <si>
    <t>MSDKTTHNAQDIIDQLPADLQGLLKPSYPSDWSPVDSKAVDTARLLAADAVQKCGSGHPGTAMSLAPLAYTLYQKVMNVDPAHPEWMGRDRFVLSCGHSSLTQYIQLFFGGYGLELDDLKALRTWGALTPGHPEYRHTDGVEITTGPLGQGLASAVGMAMAARRERGLFDPEAPAGKSLFDHFIYVICSDGDVQEGVTAEACSLAGTQQLGNLIVFWDDNRISIEEDTRIAFTEDVVARYKAYGWQTLEVDGGENVEGILEAVAKAQSD-PRPTFIRLRTVIGYPAP-RMNTGSVHGAALGAEQIASAKQFLGFDPEVDFAVSDEVLKHTRALRERGAERYSQWQQRFDQWAKANPERKALLERATARELPQDWADSLPTWDADPKGMATRKASEAVIQAAAAALPELWGGSADLAGSNNTVIKGADSFGPEEITTDTWTTSPYGRNVHYGIREHAMGAIINGAALHGPTRMYGGTFLIFSEYMRPAVRLAALMGTDAYYVWTHDSIGLGEDGPTHQPIEQLAALRAIPGVSLLRPADANETAAAWKAALEYREGPKGLALTRQNVPVLEGTKEKAFEGVTRGAYILAD--VEDPQVVLMASGSEVQLAVEAAAELSKDGIRARVVSVPCMDWFAEQPQSYIDEVLPPTVRARVSVEAGIAMPWYRWLGDAGVPVSLEHFGASAPAEELFEKFGITAQAVVDAARESMEAAR-</t>
  </si>
  <si>
    <t>-------------MSLSPELLALTTRNYPSDWSDLDTQAVDTVRVLAADAVQKVGSGHPGTAMSLAPLAYTLYQRIMNVDPNDPHWAGRDRFVLSCGHSSLTQYIQLYLAGFGLEMDDLKSLRTWGAKTPGHPEYRHTDGVEITTGPLGQGLASAVGMAMASRRERGLFDPNTPQGESPFDHYIYVICSDGDIEEGVTSEACSLAGTQQLGNLIVFWDDNHISIEEDTQIAFTEDVVARYKAYGWQTLEVEGGED</t>
  </si>
  <si>
    <t>---------MSSPQHLSPELQAATTRDYPADWSDADTRAVDTARVLAAEAVQKCGSGHPGTAMSLAPLAYTLFQRVMNVDPNDTEWAGRDRFVLSPGHTSLTLYVQLFLGGFGLTMDDLKALRTWGSLTPGHPEYRHTKGIEITTGPLGQGLASAVGMAMAARRERYLFDPDAPAGESPFDHYIYVIASDGDMEEGVTSEASSLAGTQQLGNLIVFWDDNRISIEENTRIAFTEDVMARYRAYGWQVLDVPAGEN</t>
  </si>
  <si>
    <t>---------MSSPQHLSPELQAATTRDYPADWSDADTRAVDTARVLAAEAVQKCGSGHPGTAMSLAPLAYTLFQRVMNVDPNDTEWAGRDRFVLSPGHTSLTLYVQLFLGGFGLTMDDLKALRTWGSLTPGHPEYRHTKGIEITTGPLGQGLASAVGMAMAARRERHLFDPDTPAGESPFDHYIYVIASDGDMEEGVTSEASSLAGTQQLGNLIVFWDDNRISIEENTRIAFTEDVMARYRAYGWQVLDVPAGEN</t>
  </si>
  <si>
    <t>GC_00000578</t>
  </si>
  <si>
    <t>PF08459.17</t>
  </si>
  <si>
    <t>UvrC RNAse H endonuclease domain</t>
  </si>
  <si>
    <t>K03703</t>
  </si>
  <si>
    <t>excinuclease ABC subunit C</t>
  </si>
  <si>
    <t>COG0322</t>
  </si>
  <si>
    <t>Excinuclease UvrABC, nuclease subunit (UvrC) (PDB:2NRT) (PUBMED:24513124)</t>
  </si>
  <si>
    <t>ko00001|ko03400</t>
  </si>
  <si>
    <t>KEGG Orthology (KO)&gt;&gt;&gt;09120 Genetic Information Processing&gt;&gt;&gt;09124 Replication and repair&gt;&gt;&gt;03420 Nucleotide excision repair [PATH:ko03420]|DNA repair and recombination proteins&gt;&gt;&gt;Prokaryotic type&gt;&gt;&gt;SSBR (single strand breaks repair)&gt;&gt;&gt;NER (nucleotide excision repair)&gt;&gt;&gt;GGR (global genome repair) factors</t>
  </si>
  <si>
    <t>MADPSTYRPAPGTIPTEPGVYRFRDADGRVIYVGKAKNLRARLSNYFQDLSQLHPRTRQMVTTAVGVTWTVVGSEVEALQLEYTWIKKYDPRFNVKYRDDKSYPMLAVSVGQEFPRAWVYRGPQRKGVRYFGPYSHAWAIRKTLDSLIRVFPMRTCSQGVFRRHNLLGRPCLLGHIDKCAAPCVGRVSEAEHREIVDGLCAFLAGRTGPVVASLKEQMHQAAEELDFERAARLRDDLGAIEKVMERQAVVFGDGTDADVVGVVADELQAAIQVFHVRQGRIQGQRGVVVELPSSEDGAEGIGV-----------LLERYLTQFYGDAVEHAEEA----GE---------------DASGVVPRSVLVSHEVAECAVVEQALAQWRGSSVEVRVPQRGDKRALMETVVANASESLRQHKLRRAGDLTARSAALQQIQDFLMLDDAPLRIECVDISHIQGTDVVASLVVFEDGLSKRSDYRRFKIREAAGDGHSNDVASIAEVTRRRFERHVSP--PVEDEGEVAGR--------------RRFAYPPNLYIVDGGKPQVNVAAAVLEELGVSNVAVVGLAKRLEEVWVPDDDYPVIFPRTSEGLFLLQNVRDEAHRFAITFHRQQRSSRMKTSVLDDVAGLGDARRAALIKHFGSMKKLREASVADIKAVSGFGPKLAASVFEALHDEGAGG</t>
  </si>
  <si>
    <t>MADPATYRPAPSSIPTDPGVYKFRDEHGRVIYVGKAKNLRARLANYFQDLIQLHPRTRHMVTTAASVEWTVVSSEVEALQLEYTWIKKFDPRFNVKYKDDKSYPMLAVSVGEHFPRAFVYRGPRRAGVRYFGPYSHAWAIRETLDLLTRVFPIRTCSKGVFNRHQQLGRPCLLGYIDKCAAPCVGRVTAAEHRELVDGFCRFMAGRTDEVTRALTDQMMHAAEELDFENAARLRDDLTAVEKVMEKQTVVLGDGTDADVIAFAEDDLEVALQIFYIRAGRVRGQRGWVVEKPETPEGDAGVDTQSGTPSSVMSEVLRNFMVQFYGDAVEREREVQDADGE---------------QRESVVPREVLVQAMPAEADDVIEWLSSLRGAQVSLRVPQRGEKKALAETVERNAQEALKQHKLKRTGDLTARSAALQDIQEALFLEQAPLRIECIDISHIQGTDVVASLVVFEDGIPKKSDYRRYKIKDAAGDGHSNDVASIAEVVRRRFVRHNQDKRAVPDEAQDASTFSDEQVEEFSTDQGRRFAYPPQLFIVDGGAPQVNAAQEIFDELGVVDVALIGLAKRLEEVWVPGDPDPVILPRTSQGLFMLQHIRDEAHRFAISFHRQQRSKRLRASELDGIKGLGQQRRTDLVKHFGSVKKLKEASVEEITEVKGFGPKLAQEVYAKLH---SG-</t>
  </si>
  <si>
    <t>MADPATYRPAPSSIPTDPGVYKFRDEHGRVIYVGKAKNLRARLANYFQDLIQLHPRTRHMVTTAASVEWTVVSSEVEALQLEYTWIKKFDPRFNVKYKDDKSYPMLAVSVGEHFPRAFVYRGPRRAGVRYFGPYSYAWAIRETLDLLTRVFPIRTCSRGVFNRHQQLGRPCLLGYIDKCAAPCVGRVTAAEHRELVDGFCRFMAGRTDEVTRALTDQMMHAAEELDFENAARLRDDLTAVEKVMEKQAVVLGDGTDADVIAFAEDDLEVALQIFYIRAGRVRGQRGWVVEKPEIPEGDAGVDTQSGTPSSVMSEVLRNFMVQFYGDAVEREREVQDADGE---------------QRESVVPREVLVQAMPAEANDVIEWLSSLRGAQVSLRVPQRGEKKALAETVERNAQEALKQHKLKRTGDLTARSAALQDIQEALLLEQAPLRIECIDISHIQGTDVVASLVVFEDGIPKKSDYRRYKIKDAAGDGHSNDVASIAEVVRRRFVRHNQDKRAVPDEAQDASTFSDEQVEEFSTDQGRRFAYPPQLFIVDGGAPQVNAAQEIFDELGVVDVALIGLAKRLEEVWVPGDSDPVILPRTSQGLFMLQHIRDEAHRFAISFHRQQRSKRLRASELDGIKGLGQQRRTDLVKHFGSVKKLKEASVEEITEVKGFGPKLAQEVYAKLH---SG-</t>
  </si>
  <si>
    <t>MTDPTTYRPT--NVPTDPGVYKFRDPTGRVIYVGKAKNLRARLATYFHDLTQLHPRTRHMVTTANQVEWTVVGSEVEALQLEYTWIKKYDPHFNVKYRDDKTYPSLAISIGEPIPRAFFHRGPRKAGIRYFGPYSHAWAVRETLDLLIRIFPVRTCTKGVYNRHEKLGRPCLLGYIDKCSAPCVGRITETDHRRIVDDLCAFLAGRTSPITTKLETEMQAAAAELDFERAARIRDNLAAIIALTEQQAIVLPDGTDADVIAIDTDELEAAIQLFHIRAGRVKGQRGWVVERTDDHDGGSEQ-------------LMQDFLIRFYSDAADQEQTVRDSEEKAIKRRGVDNYVPIDTTATSVVPHDILVEIPPADIPHTEAALSQLRGGPVRIKTPKRGDKKTLMTTVHRNATEALKQHKLKRVGDLTARSAALQELQNSLFLPEAPLRIECTDISHIQGTDVVASLVVFEDGLPKKSDYRRYKITDAAGDGHSDDVASIAEVTRRRFLRHHLDSRTVPE--LDGSQFEDEK-----PQTSNKFAYSPQLFIVDGGAPQVAAAQQVLDELGITDVPVIGIAKRLEEIWVAGEKYPLILPRHSQALFLIQHIRDEAHRFAITFHRQQRSARMRRSELDNIKGLGAARRTELVKHFGSVKQLRQASVADITAVKGFGPQLAQNVYDALH---PPE</t>
  </si>
  <si>
    <t>GC_00000579</t>
  </si>
  <si>
    <t>K09691</t>
  </si>
  <si>
    <t>homopolymeric O-antigen transport system ATP-binding protein [EC:7.5.2.14]</t>
  </si>
  <si>
    <t>COG1134</t>
  </si>
  <si>
    <t>ABC-type polysaccharide/polyol phosphate transport system, ATPase component (TagH) (PDB:6JBH)</t>
  </si>
  <si>
    <t>KEGG Orthology (KO)&gt;&gt;&gt;09130 Environmental Information Processing&gt;&gt;&gt;09131 Membrane transport&gt;&gt;&gt;02010 ABC transporters [PATH:ko02010]|Enzymes&gt;&gt;&gt;7. Translocases&gt;&gt;&gt;7.5  Catalysing the translocation of carbohydrates and their derivatives&gt;&gt;&gt;7.5.2  Linked to the hydrolysis of a nucleoside triphosphate&gt;&gt;&gt;7.5.2.14  ABC-type homopolymeric O-antigen exporter|Transporters&gt;&gt;&gt;ABC transporters, prokaryotic type&gt;&gt;&gt;ABC-2 type and other transporters&gt;&gt;&gt;Homopolymeric O-antigen</t>
  </si>
  <si>
    <t>MVSIDTYNACVDFPIFDAKSRSMKKAFLGAAGGAIGRNSDNVVVVEALKDINLHLREGDRVGLVGHNGAGKSTLLRLLSGIYEPTRGSAHIRGRVAPVFDLGVGMDPEISGYENIIIRGLFLGQTRKQMKQKMDEIAEFSELGEYLAMPLRTYSTGMRIRLALGVVTSIEPEILLLDEGIGAVDAAFMAKARKRLEELVERSGILVFASHSNDFLAQLCDSALWVDHGTIREAGAVDDIVESYEGKGAADHVRRLLARM---EEEKLEESPDA</t>
  </si>
  <si>
    <t>MVSIDTYNACVDFPIFDAKSRSMKKAFLGAAGGAIGRNSDNVVVVEALKDINLHLREGDRVGLVGHNGAGKSTLLRLLSGIYEPTRGSADIRGRVAPVFDLGVGMDPEISGYENIIIRGLFLGQSRKQMKAKMDEIAEFSELGEYLSMPLRTYSTGMRIRLALGVVTSIEPEILLLDEGLGAVDAAFMAKARSRLQELVKRSGILVFASHSNDFLAQLCDTAIWVDHGTLHQVGTVDDIVEAYEGKGAADHVRRLMKRM-----EKRDKGEEE</t>
  </si>
  <si>
    <t>MVSIDTYNACVDFPIFDAKSRSMKKAFLGAAGGAIGRNKDNTVVVEALRNVNLHLREGDRVGLVGHNGAGKSTLLRLLSGIYEPTRGSAHIHGRVAPVFDLGVGMDPEISGYENIIIRGLFLGQTRKQMKQKMDEIADFSELGEYLSMPLRTYSTGMRIRLALGVVTSIEPEILLLDEGIGAVDAAFMAKARARLQELVKRSGILVFASHSNDFLAQLCDTALWIDHGEVREAGPIPDIVESYEGPGAAEHVRRIIEDLHNGDAENMSAAPE-</t>
  </si>
  <si>
    <t>GC_00000580</t>
  </si>
  <si>
    <t>PF01225.30</t>
  </si>
  <si>
    <t>Mur ligase family, catalytic domain</t>
  </si>
  <si>
    <t>K01924</t>
  </si>
  <si>
    <t>UDP-N-acetylmuramate--alanine ligase [EC:6.3.2.8]</t>
  </si>
  <si>
    <t>COG0773</t>
  </si>
  <si>
    <t>UDP-N-acetylmuramate-alanine ligase MurC and related ligases, MurC/Mpl family (MurC)</t>
  </si>
  <si>
    <t>KEGG Orthology (KO)&gt;&gt;&gt;09100 Metabolism&gt;&gt;&gt;09107 Glycan biosynthesis and metabolism&gt;&gt;&gt;00550 Peptidoglycan biosynthesis [PATH:ko00550]|Enzymes&gt;&gt;&gt;6. Ligases&gt;&gt;&gt;6.3  Forming carbon-nitrogen bonds&gt;&gt;&gt;6.3.2  Acid-D-amino-acid ligases (peptide synthases)&gt;&gt;&gt;6.3.2.8  UDP-N-acetylmuramate---L-alanine ligase|Peptidoglycan biosynthesis and degradation proteins&gt;&gt;&gt;Precursor biosynthesis&gt;&gt;&gt;Amino acid ligase</t>
  </si>
  <si>
    <t>MVESVDLSRVHLVGIGGAGMSGVARILLSRGAVVTGSDAKDSRVVLALRSMGAKVAIGHDAANLSLAGEPPTVVVTSFAAIPKDNPELVEAQRLGIPVIRRSDLLAKVMEGSTQVLIAGTHGKTSTTSMTVVAMQAAGLDPSFAIGGQLNKAGTNAHHGSGRVFVAEADESDASLLTYAPDVAVVTNIEPDHLDFFGTPLAYFKVFDDFAALVSDT--LIVGLDDEHAAALAKRCLDAGVGCKVVGYGTEQACAQHPSVPAAAVVSGVETTASGSHFSVALASGEVEVDLQVPGLHMALNAAAAIVAGACVGGDPQALARGVSDFSGVRRRFEYKGEVVLQPGTEAVQVFDDYAHHPTEVAAVLKASREKVEQKGSGRVIVAFQPHLYSRTIEFQHEFAEALSAADKVVLLDIFGAREEPVEGIDGRIIAGKMTTSVVYQPDFSQVAATVAKIVRPGDIVLTMGAGTVTMASEEIVLALQERAGA</t>
  </si>
  <si>
    <t>-------MRVHLVGIGGSGMSGVARILLSRGDIVSGSDMKDSRAVLALRSMGAHIAIGHAAENLELSGELPDVVVISFAAIPQDNPELIAAKAHGIPIVRRSDLLADLMADRTQVLLAGTHGKTSTTSMTVVAMQAAGMDPSFAIGGQLNKAGTNAHHGTGQCFVAEADESDASLLRYSPDIAVVTNIEPDHLDFFKNADAYFKVFDDFADLVGDT--LIVCLDDEHATALGERAAQRNI--RVVGYGTRD----</t>
  </si>
  <si>
    <t>PF08245.18</t>
  </si>
  <si>
    <t>Mur ligase middle domain</t>
  </si>
  <si>
    <t>-------------------MSGVARILLSRGKVVSGSDVKESRPVLALQSMGAHVAVGHKAENLTLSGQLPTVVVTSFAAIPQDNPELVAAREQNIPVIRRSDLLGELMTGSTQVLIAGTHGKTSTTSMAVVAMQAAGMDPSFAIGGQLNKAGTNAHQGSGHCFVAEADESDASLLRYSPDIAVVTNIEPDHLDFFHTPEAYFQVFDDFAARLTDTGVLVVCLDDEHAAALGERQKTK-V--TVRGYGSAAAAER</t>
  </si>
  <si>
    <t>-MSDIDLSRVHLIGIGGAGMSGVARILLSRGKVVSGSDVKESRPVLALQSMGAHVAVGHKAENLTLSGQLPTVVVTSFAAIPQDNPELVAAREQNIPVIRRSDLLGELMTGSTQVLIAGTHGKTSTTSMAVVAMQAAGMDPSFAIGGQLNKAGTNAHQGSGHCFVAEADESDASLLRYSPDIAVVTNIEPDHLDFFHTPEAYFQVFDDFASRLTDTGVLVVCLDDEHAAALGERQKTK-V--TVRGYGSAAAAER</t>
  </si>
  <si>
    <t>GC_00000581</t>
  </si>
  <si>
    <t>PF11377.13</t>
  </si>
  <si>
    <t>Protein of unknown function (DUF3180)</t>
  </si>
  <si>
    <t>MKKTNITVLVASGAFVAAAAAILTYGFYSDMPPLSAGVAAMLWLVAAVCAVMARVVRRNVEGGTVGFDRSQMSPIAIANWLAIGRASAWTGAIAAGAYIGIGLYVVPKAAQLASAGEDLPAVLLSAAGGIGLSAAGLWLERSCEV-PPIDGEPAA</t>
  </si>
  <si>
    <t>MKRTSIRALVATGLFVGAASGILTWGFYGYMPPVGVSVSVTLWLMSVVCAVMAWRMRSGMEKGGIGMDRSQINPMTAAQWLVVGKASAWTGAIVSGVYAGIASFVVPRSGELVAASDDLPGVLASLSGAVALCVAGVVLERHCVAPPPPDGETA-</t>
  </si>
  <si>
    <t>MKRTSIRALVTTGLFVGAASGILTWGFYGYMPPVGVSVSVTLWLMSVVCAVMAWRMRSGMEKGGIGMDRSQINPVTAAQWLVVGKASAWTGAIVSGVYAGIASFVVPRSGELVAASDDLPGVLASLSGAVALCVAGVVLERHCVAPPPPDGETA-</t>
  </si>
  <si>
    <t>MKTTSITALVGVGGFCAAATLIAIQNLYNVMSTVPISVGLTLLIMAVLCCMLAWRVKGQIKDNRIGFDRSQLEPTRVATFLIIGKTSAWTGAIFSGIYVGMGVYVIPRMGDLVAAANDAPGVITAAIGGVVLCAAGLWLERACAAPPPTDGDSVR</t>
  </si>
  <si>
    <t>GC_00000582</t>
  </si>
  <si>
    <t>PF01565.28</t>
  </si>
  <si>
    <t xml:space="preserve">FAD binding domain </t>
  </si>
  <si>
    <t>K16653</t>
  </si>
  <si>
    <t>decaprenylphospho-beta-D-ribofuranose 2-oxidase [EC:1.1.98.3]</t>
  </si>
  <si>
    <t>COG0277</t>
  </si>
  <si>
    <t>FAD/FMN-containing lactate dehydrogenase/glycolate oxidase (GlcD) (PDB:1AHU)</t>
  </si>
  <si>
    <t>KEGG Orthology (KO)&gt;&gt;&gt;09190 Not Included in Pathway or Brite&gt;&gt;&gt;09191 Unclassified: metabolism&gt;&gt;&gt;99980 Enzymes with EC numbers|Enzymes&gt;&gt;&gt;1. Oxidoreductases&gt;&gt;&gt;1.1  Acting on the CH-OH group of donors&gt;&gt;&gt;1.1.98  With other, known, physiological acceptors&gt;&gt;&gt;1.1.98.3  decaprenylphospho-beta-D-ribofuranose 2-dehydrogenase</t>
  </si>
  <si>
    <t>MTSNTSTTSTVAQEASHGAHGSLNTEARKLTGWGRTAPTTAEVLSTPDVEKIIEAVKLVADQNSEKPDHLKRGIIARGMGRSYGDPAQNAGGVVVDMQPLNVIHSIDTETAIVDVDGGVTLDQLMKAALPYGLWVPVLPGTRQVTIGGAIGPDIHGKNHHSAGSFGNHVVSMELLVADGRVLHLEPNGTPDDPNGELFWATVGGMGLTGIILRAQIKMTRTETAYFIADGDLTPNLDATIEFHSDGSEKNYTYSSAWFDAISPEPKLGRAAISRGSLATLAQLEELSPKLAKQPLKFNAPQLITVPDIFPNFTMNKLSMIAVGELWWLKSGTYKNKVQNLTQFYQPLDLIGEWNRGYGSKGFLQYQFIVPREAVEPFKEIIRDIQSSGHYSALNVFKLFGEGNKAPLSFPMPGWNVCVDFPIKPGLGAFLDELDKRVMEFGGRLYLAKESRTSAENFHKMYPELDGWLKTRNAIDPHGVFASDMSRRLQL-</t>
  </si>
  <si>
    <t>MTSDKGASSTV---ASSGAFGALNTEAKSLTGWGRTAPSTAEVLSTPDLETICEAVRLVAEQNDSKPEHLRRGVIARGMGRSYGDCAQNAGGLVVDMQPFNRIHSIDPETAIVDVEGGVTLDQLMKAALPYGLWVPVLPGTRQVTIGGAIGPDIHGKNHHSAGSFGDHVVSMDLLVADGRILHLEPEGTPDDPKGELFWATVGGMGLTGIIVRARIKMTRTETAYFIADGDLTSSLDETIEFHSDGSEKNYTYSSAWFDAISPEPKLGRSAISRGSLATLAQLEELNPKLAKDPLKFNAPQLVTVPDIFPSFTMNKLSMIAIGELWWLKSGTYKNKVQNLTQFYQPLDLIGEWNRGYGSRGFLQYQFVVPREAVEPFKEIIRDIQRSGHYSALNVFKLFGEGNRAPLSYPMPGWNVCVDFPIKAGLGEFLDDLDRRVMEFGGRLYLAKESRTSAEDFHAMYPGMEGWLKTRNAIDPNGVFASDMSRRLELH</t>
  </si>
  <si>
    <t>MTSDKGASSTV---ASSGAFGALNTEAKSLTGWGRTAPSTAEVLSTPDLETICEAVRLVAEQNDSKPEHLRRGVIARGMGRSYGDCAQNAGGLVVDMQPFNRIHSIDPETAIVDVEGGVTLDQLMKAALPYGLWVPVLPGTRQVTIGGAIGPDIHGKNHHSAGSFGDHVVSMELLVADGRILHLEPEGTPDDPKGELFWATVGGMGLTGIIVRARIKMTRTETAYFIADGDLTSSLDETIEFHSDGSEKNYTYSSAWFDAISPEPKLGRSAISRGSLATLAQLEELNPKLAKDPLKFNAPQLVTVPDIFPSFTMNKLSMIAIGELWWLKSGTYKNKVQNLTQFYQPLDLIGEWNRGYGSRGFLQYQFVVPREAVEPFKEIIRDIQRSGHYSALNVFKLFGEGNRAPLSYPMPGWNVCVDFPIKAGLGEFLDDLDRRVMEFGGRLYLAKESRTSAEDFHAMYPGMEGWLKTRNAIDPNGVFASDMSRRLELH</t>
  </si>
  <si>
    <t>MTQRPN----------------LSTTTQKLTGWGRTAPTTAQVLATPDVEEIARAVALVAESNADKPDYLKRGVIARGMGRSYGDPTQNAGGLVIDMQPVNHIHSIDPETAIVDVDGGVTLDQLMKAALPYGLWVPVLPGTRQVTIGGAIGPDIHGKNHHSAGSFGDHVVSMELLVADGRILHLEPEGTPDDPKGDLFWATVGGMGLTGIILRARIKMTKTETAYFIADGDLTANLDETVAFHSDGSEHNYTYSSAWFDAISPEPKLGRAAISRGSLATLAQLEELAPKLAKEPLKFNAPQLVTVPDIFPSFTMNKLSMIAIGELWWLKSGTYKNKVQNLTQFYQPLDLIGEWNRGYGSKGFLQYQFVVPTDAVEPFKEIVRDIQRSGHYSALNVFKLFGPGNRAPLSYPMPGWNVCVDFPIKKGLGAFLDDLDRRVMEFGGRLYLAKESRTSAENFHKMYPGLKDWLKLRHEIDPTGVFASDMSRRLELN</t>
  </si>
  <si>
    <t>GC_00000583</t>
  </si>
  <si>
    <t>PF03176.21</t>
  </si>
  <si>
    <t>MMPL family</t>
  </si>
  <si>
    <t>K06994</t>
  </si>
  <si>
    <t>putative drug exporter of the RND superfamily</t>
  </si>
  <si>
    <t>COG2409</t>
  </si>
  <si>
    <t>Predicted lipid transporter YdfJ, MMPL/SSD domain, RND superfamily (YdfJ) (PUBMED:10694977;15941986)</t>
  </si>
  <si>
    <t>MGRFLYALGRWSFRNRWIVVVTWLVAAIALGGSSAALNKGFNDVFEIPGTPSEAAAASLMKNFPDQPNPLEAAGVTVVFAAPEGHTLSEQPYAGAVESVVQQLDATVPGIIDRQRFGNPLTLDGQLREMVLEQSVGAGLPEETARKDANNISLISQDGRIAYTSFALDVRAPADVTDEQRATITAAMDTGREQGLQVEAGGAGFGDPLVIKTTSEAIGMAAALLVLLATFGSALAAGIPLVTALLGIGLGTTGILLATHWVPLNNTTPTLAVMLGLAVGIDYALFILSRYRSELRDPQQTREQAAARSVATAGSAVVFAGLTVIIALVALAIVNIPFLSYMGFAAAFTVAAAVLVALTLVPALLSLSGRRLFSRTRSEALRAGASSSDLQEDDDVASVAAEGSAASSLKKGREQLSTRFF-RRWIRVVTKFPAITIALVILGLGALTGPALDLQLSLPNDTLSNRDTTQRKSADLLAEGFGEGINAPFLVVVDAHDVDVDVPVLSGI------AQGDR--------AKAIGAAYAYTVQQLSVNPGVKHVQIVGASADGSAAQMLLTPRTGPSDPKTTALLGALRSQDAAIESATGVDVGITGLAPIQQDVTTRLYNALPTYLAVVVGLALVLLLIMFRSIAVPVMASVGFLLSVGAAFGATVLVWQKGLWGLVNTPGPLISFMPIFLIGVTFGLAMDYQVFLVTRMREHFERD----------GDADAAVEEGFITGAPVVTAAALIMIAVFVAFIDQPLPFIKIFGFALGAGVLFDAFFVRMAFIPAAMTLLGRGTWWLPKPLDRVLPRVDID-----------------------------------</t>
  </si>
  <si>
    <t>MAQLLFKLGRWSFRWKWIVIVAWLLIFVAVWAAQTSLQRGFNDQFAIPGTPSEKAVELLQENFPDVRNPVEATGVTMVFAAPEGHTLTEEQYTKAIDEVIASLDANLDGIIDRTRYGNPVTLSPQLEKMVIDQTTSMGLPENIAHVDAANLALLSTDKRVGYTTFSLDVPSPADVTDEQRAAIRSAMDVGREKGLTVETGGAAFGDPLNIKTTSEAIGVGIAFIVLIFTFGSVVAAGLPLITAIFGVGLGSMSILLATHWVNLNNVTPVLAVMLGLAVGIDYALFILSRYRAEYR--RMPRDQAAGMAVGTAGSAVVFAGLTVVIALVALSIVNIPFLTYMGLSAALTVSIAVLVALTFVPALLGVVGKYAFG----------------------IKIPGVGGNAWSKKSTRDPSQRRSKGRMWVTFVQKVPALILTVVVLGLGALTAPVMRLELSLPNDTLSNLDTTQRKSADLLKDAFGPGINAPFLIVVDGNNVNPDSQVLAPLIEAQE-AEAQRNNKPFDRKAAAAAASFIYVAQRFNGNVDVKHAQLVAANEKVTAAQLMLTPNSGPADEATSKLMSSLRAQEAEIEYSTGVNIGITGLTPIQRDVTQRLSDAMPLYLAVVVGLAIFLLLLIFRSIMVPLIAGLGFLLSVGAAFGTTVLFWQEGLGGFVNTPGPLISFMPIFLIGVTFGLAMDYQVFLVSRMREYYAHHRGIPTPGSKYNAVEESVIEGYTLGSRVVTSAALIMIAVFIAFIDQPLPFIQVFGFALGMGVLFDAFFIRMGLIPASMFLLGRATWWIPRWLDRILPTLDIEGTKLEKQWEQYREQEE-----RDAEPDYDLVPERA</t>
  </si>
  <si>
    <t>MAKLLYRLGRFCYRAKWIVIIAWLLVLIALGGGSLALGSHYNDVFTISGTKAQKATHLLQKNFPQEKNPVAEAGVTIAFKAPPGERLDSPKNSAAIDKVIKHIQDNLDGLIPGQRFGNPVTKNPELQKFIIETSTSKGLPEENARKDAENLSLVSADGRIGFTSFSVDVPIPADVTTEQRKVIADAMDLGRAEGLEVEAGGAGYGDPIRVEEASEIIGLAVAAIILIFTFGSLVAAGMPLIVAVVSVAIGSLSITLATSLVALNNITPVLAVMLGLAVGVDYALFILFRYRHELS--RVKREEAVGIAIGTAGSAVVFAGLTVIVALVALFVANITFLTYMGLAAAFTVAMAVTISITLLPAILGVLGPRVFK--------------------------------GEIKFITHRPRTNPMGERWVKLVHKMPSLIVAVVVFGLGSLTIPAADLHLSLPSDGQSPKETTQRKQAEILYEGFGPGADAQFMVVIDAHTVNPDAEVLQPLIRFQQPPEGSPEAAKFDRKRAAAFATYMYVISKFGNTQDVKHVQLIGASDDGMAAKLAITSKKANIDPATNQLISSLRIKEEEVIAATGVDSGITGLVPVQQDVVNRLSDALPLYLSIVVGLAIVLLLIIFRSILVPLIAGIGFLLSVGAAFGVTVLFWQKGLWGVVGTPGPIIAFMPIFLIGVCFGLAMDYQVFLVSAMREHYTHAHG--KGEGNYNGTEASIIHGFAQGARVVTAAAMIMIAVFVAFIGQPIPFIKIFGFALGAGVLFDAFFIRMAFVPAAMFLCGHATWWMPAWLDKILPQLDIEGAKLEQEIEDAFEVASTGRHWKPAGQTDSFPAIKP</t>
  </si>
  <si>
    <t>MAKLLYRLGRFCYRAKWIVIIAWLIVLIALGGGSLALGSHYNDVFTISGTKAQKATHLLQKNFPQEKNPVAEAGVTIAFKAPPGERLDSPKNSAAIDKVIKHIQDNLDGLIPGQRFGNPVTKNPELQKFIIETSTSKGLPEENARKDAENLSLVSADGRIGFTSFSVDVPIPADVTTEQRKVIADAMDLGRAEGLEVEAGGAGYGDPIRVEEASEIIGLAVAAIILIFTFGSLVAAGMPLIVAVVSVAIGSLSITLATSLVALNNITPVLAVMLGLAVGVDYALFILFRYRHELS--RVKREEAVGIAIGTAGSAVVFAGLTVIVALVALFVANITFLTYMGLAAAFTVAMAVTISITLLPAILGVLGPRVFK--------------------------------GEIKFITHRPRTNPMGERWVKLVHKMPSLIVAVVVFGLGSLTIPAADLHLSLPSDGQSPKETTQRKQAEILYEGFGPGADAQFMVVIDAHTVNPDAEVLQPLIRFQQPPEGSPEAAKFDRKRAAAFATYMYVISKFGNTQDVKHVQLIGASDDGMAAKLAITSKKANIDPATNQLISSLRIKEEEVIAATGVDSGITGLVPVQQDVVNRLSDALPLYLSIVVGLAIVLLLIIFRSILVPLIAGIGFLLSVGAAFGVTVLFWQKGLWGVVGTPGPIIAFMPIFLIGVCFGLAMDYQVFLVSAMREHYTHAHG--KGEGNYNGTEASIIHGFAQGARVVTAAAMIMIAVFVAFIGQPIPFIKIFGFALGAGVLFDAFFIRMAFVPAAMFLCGHATWWMPAWLDKILPQLDIEGAKLEQEIEDAFEVASTGRHWKPAGQTDSFPAIKP</t>
  </si>
  <si>
    <t>GC_00000584</t>
  </si>
  <si>
    <t>MPTMTHSWSFNKAPAGTKAGRFRRGTVIAGVCVFIATSLVSCGSDSEAPKDTTAQSPSGSSTKVSTPSDSSEPTTSSKTTSTSASSTSSSSAHSDDKATPLSSKDEDSTKEPSSEATFATKEVAEAARTYGSLAPDSLFEQFTECSHIKFDESTQCSGPEVGQFMFYANEAKAARTTQYLTELRSSRVVEDSGDFVVGWSTVGTTALITAIDNRKGLVLQHMMSSDDADPKETIFELGLAK--------------AQQP---------------</t>
  </si>
  <si>
    <t>--------------------------------------------------------------------------------------------------------------------------MAEARKTFGSLAPSSLFDKFEVCTPNGVEGSLACSGKEVGQFQFFASDSKAASSTQLLTGLRNSRVIKDTGKLVVGWSTLGSTAVITVVDNEKGLVMQQMVSTDTVDPTKRIYQLGLAD--ESETSEVMETTE</t>
  </si>
  <si>
    <t>------MGKYVRPSQINQVTRWTGRSL---AVLFTTITLSACTNG----NTGTGTNMPPSVTPVTSPLGSSLPRDTSATPASSTKHTKNKSEKSGE----------------------PDETVAEARKTFGSLAPSSLFDKFEVCTPNGVEGSLACSGKEVGQFQFFASDSKAASSTQLLTGLRNSRVIKDTGKLVVGWSTLGSTAVITVVDNEKGLVMQQMVSTDTVDPTKRIYQLGLAD--ESETSEVMETTE</t>
  </si>
  <si>
    <t>GC_00000585</t>
  </si>
  <si>
    <t>PF01625.27</t>
  </si>
  <si>
    <t>Peptide methionine sulfoxide reductase</t>
  </si>
  <si>
    <t>K07304</t>
  </si>
  <si>
    <t>peptide-methionine (S)-S-oxide reductase [EC:1.8.4.11]</t>
  </si>
  <si>
    <t>COG0225</t>
  </si>
  <si>
    <t>Peptide methionine sulfoxide reductase MsrA (MsrA) (PDB:1FF3)</t>
  </si>
  <si>
    <t>KEGG Orthology (KO)&gt;&gt;&gt;09190 Not Included in Pathway or Brite&gt;&gt;&gt;09191 Unclassified: metabolism&gt;&gt;&gt;99980 Enzymes with EC numbers|Enzymes&gt;&gt;&gt;1. Oxidoreductases&gt;&gt;&gt;1.8  Acting on a sulfur group of donors&gt;&gt;&gt;1.8.4  With a disulfide as acceptor&gt;&gt;&gt;1.8.4.11  peptide-methionine (S)-S-oxide reductase</t>
  </si>
  <si>
    <t>MGWLFTPQPTMVSKEEALVGGRHPVLEHPEHHTVLGTPITGPWRDGQRSVLIGIGCFWGAEKMLWQLDGVDSTSVGYAGGFTPNPTYREVCTGRTGHTEVVNVVYNPEVISLDSIVTTALEAHDPTQGYRQGNDVGTQYRSAFYTVGDTAGDDAAFIQQRLNDYAPRLAEHGFGPITTEVMPLADTPAGEYYLAEDYHQQYLDKNPGGYCPHHSTGVACG-</t>
  </si>
  <si>
    <t>MGWLFTPQPTMVSKEEALVGGRHPVLEHPEHHTVLGTPITGPWRDGQRSVLIGIGCFWGAEKMLWQLDGVDSTSVGYAGGFTPNPTYREVCTGRTGHTEVVNVVYNPEVISLDSIITTALEAHDPTQGYRQGNDVGTQYRSAFYTVGDTAGDDAAFIQQRLNDYALRLAEHGFGPITTEVMPLADTPAGEYYLAEDYHQQYLDKNPGGYCPHHSTGVACG-</t>
  </si>
  <si>
    <t>MDLLFGKPAQLVSVAKALKGSIHPVLPHPAPHAVLGTPITGPWKDTQETLYVGLGCFWGAEKLLWKTPGVESTAAGYAGGVTQNPTYREVCTGRTNHAEVVQVVYDPQKITTEQLIVKVLEAHDPTQGFRQGNDVGTQYRSAIYT---TTPEQLEIARRLVEHYQTKLTDAGYGDITTEVMPLIDTPAGTFYLAEAEHQQYLDKNPGGYCPRHSTGIPCN-</t>
  </si>
  <si>
    <t>GC_00000586</t>
  </si>
  <si>
    <t>PF00403.32</t>
  </si>
  <si>
    <t>Heavy-metal-associated domain</t>
  </si>
  <si>
    <t>COG2608</t>
  </si>
  <si>
    <t>Copper chaperone CopZ (CopZ) (PDB:1AFI)</t>
  </si>
  <si>
    <t>--MKIFNVEGMTCEHCANAVREELTD-AGLEVGTIDVAAGTVEASGD---DAAVAAAIAEAGYKVV-</t>
  </si>
  <si>
    <t>K07213</t>
  </si>
  <si>
    <t>copper chaperone</t>
  </si>
  <si>
    <t>MSSTTYTVSGMTCEHCAASVKEEISAIPGVESVTVDLESGSVAVDGTGFTDDAVDAAIREAGYTLVR</t>
  </si>
  <si>
    <t>MSSTTYTVSGMTCEHCAASVKEEISAIPGVESVTVDLESGSVAIDGTGFTDDAVDAAIQEAGYTLVR</t>
  </si>
  <si>
    <t>GC_00000587</t>
  </si>
  <si>
    <t>MPPKVTDTRSNAAESLHAVETATADAARRIVATYSENFLDFATLACMLGVEPQGLSYRKIAAEFAEPEPAPAKKKASKKATKKATKKATKKASKNTTNKASKATKKTTKKTTKKTTKKTTKKAE</t>
  </si>
  <si>
    <t>MPPKVTDTRTNNAESLHAVEAETAEAARRIVATYSADFFDCATLVSMLGVEPEGLNYRKIAAEYAETNAPKKATKRTRKTTKKAAKKAT------------KAAKKTTKKATKKATKKTTKKA-</t>
  </si>
  <si>
    <t>MPPKVTDTRTNNAESLHAVEAETAEAARRIVATYSADFFDCATLVSMLGVEPEGLNYRKIAAEYAETNAPKKATKRTRKTTKKTTKKAAKKAT--------KAAKKTTKKATKKATKKTTKKA-</t>
  </si>
  <si>
    <t>MPPKVTDTRS-PAEPLHAVEEETAAAARKVVASYAENFFDGVTLMCMLGVEPAGLSYKKVYAEYADTIAPKKTTKRSKKTTKKATKKATKKAT-------AKKTTKKATKAAKKTTKKTTKKA-</t>
  </si>
  <si>
    <t>GC_00000588</t>
  </si>
  <si>
    <t>PF01580.24</t>
  </si>
  <si>
    <t>FtsK/SpoIIIE family</t>
  </si>
  <si>
    <t>K03466</t>
  </si>
  <si>
    <t>DNA segregation ATPase FtsK/SpoIIIE, S-DNA-T family</t>
  </si>
  <si>
    <t>COG1674</t>
  </si>
  <si>
    <t>DNA segregation ATPase FtsK/SpoIIIE or related protein (FtsK) (PDB:2IUT)</t>
  </si>
  <si>
    <t>Chromosome and associated proteins&gt;&gt;&gt;Prokaryotic type&gt;&gt;&gt;Chromosome partitioning proteins&gt;&gt;&gt;Divisome proteins</t>
  </si>
  <si>
    <t>-------MP------VAQRASETAEERTGSAFRGVGAGLGAAFRGTAHGLGVLTRSLGGRGRGHRYDHDDDALES----DSESTVDDDATVVLDSPSSSRRGHRTRASKKSDVPALKQPQPGVVANDGGH-DGIGLALIGIAVILGACVWVDVAGPVGRVIADGAYYSIGAGAVVLPIILAAAAVALMLGYLPGAQAKQRGALGFVLLALPMLGLIHIFAGLPSEWAGRKTAGGFLGTIVGGPLAAGLTSYIAIP</t>
  </si>
  <si>
    <t>---MVNSRP-------ARRAAETSNERTGSALRAVGRGLSTVFTASARGVGSVTRSALRR-RSQDELYEEDDRDSWEEVDRPRTTRAKRASAKSEPATPRKKRGKQQNNNKPTEVMSSPRPGLGGGVSAHADGVGFTLIGIAAVLGASVWLNVAGPVGEFIAGIAHGVFGAGALIVPLVLLGCAVCLMLGYMPPPSQRLRFGIGATLLVVPMLGLVHLFAGNPTTSAGRDTAGGIVGAVVATPLAAGFSVYLAIP</t>
  </si>
  <si>
    <t>MSDTVSSTSGQDTGYASRRAAATSGERTGSAVSAVGAGLTAAFGVTARGLGNVTRLVKNR-KASRASHDTSDTEELNEVAGKKST-SKKTAAKKTASKKPAGKGEPAKTKPDA------------------DSVGLALIALAVVLGASVWFEVAGPIGSAIATMTYLLMGAGALILPIALVVLAVALMLGYQPHPQNRMRTIGGSALIIAAMLGLLQIMAGNPEAWSDRMQAGGVIGFVIGGPLAAGFTEYLAIPLLLLLIVFGALQATGISVRELFIII-RNFI---ERHRDDEDYDDYYEDDYDY--VDQEIEARAEGR---PVPTRRPRRPPRRQQERYDE-EPYDDYDDYDDYSYSDAETSAF-------PRQNTEERKKLTTDTDEFPPVT----ASRAARSRRPRSRQTMRPAQGAAQAAAKAVSDVAKAAGTAATAASTAVTGAAAAKANTTGAVADAVTDAAADVASQTVKSAEKLGTAALSGAAGVADAVARSQKNLRQAQGRHNNAEITAGNAEADTEPIAMRPTQGAANAGKHAVDLADTAAADSSAEDGAADTASQAMGKHHLVEGPDYQIPSTSLLTPGAPPKTQTAANDRMIEAITDVFTEFKVDAHVVGFSRGPTVTRYEVQLGPGVKVSKITNLQSNLAYAVATDNVRLLTPIPGKSLVGIEVPNTDREMVRLADVLNNPAIHEDADPMLIGLGKDIEGHFVAHSVQKMPHLLVAGSTGSGKSAFVNSLLVSLLTRATPEDVRLILVDPKMVELTPYEGIPHLITPIITQPKKAAAALQWLVEEMEQRYLDMKSARVRHIKDFNRKIRAGEIETPAGSQREYQAYPYIVCIVDELADLMMTAPKEIEDSIVRITQKARAAGIHLVLATQRPSVDVVTGLIKTNVPSRLAFATSSLTDSRVILDQAGAEKLIGMGDGLFIPQG-GRPQRIQGAFVTDEEIQAVVDAAREQGEPVYTEGVTEDKSAENKREIDDDIGDDLENLLQAVELVVTSQLGSTSMLQRKMRIGFAKAGRLMDLMESREIVGPSEGSKAREVLVKPEELDTVLWLLQGADPKNAPKENPGSD----APDGGGAVSANDGGTKVAAATYNPTQNAF</t>
  </si>
  <si>
    <t>MSDTVSSTSGQDTGYASRRAAATSGERTGSAVSAVGAGLTAAFGVTARGLGNVTRLVKNR-KASRASHDTSDTEELNEVAGKKST-SKKTAAKKTASKKPAGKGEPAKTKPDA------------------DSVGLALIALAVVLGASVWFEVAGPIGSAIATMTYLLMGAGALILPIALVVLAVALMLGYQPHPQNRMRTIGGSALIIAAMLGLLQIMAGNPEAWSDRMQAGGVIGFVIGGPLAAGFTEYLAIPLLLLLIVFGALQATGISVRELFIII-RNFI---ERHRDDEDYDDYYEDDYDY--VDQEIAARAEGR---PVPTRRPRRTPRRQQERYDE-EPYDDYDDYDDYSYSDAETSAF-------PRQNTEERKKLTTDTDEFPPVT----ASRAARSRRPRSRQTMRPAQGAAQAAAKAVSDVAKAAGTAATAASTAVTGAAAAKANTTGAVADAVTDAAADVASQTVKSAEKLGTAALSGAAGVADAVARSQKNLRQAQGRHNNAEITAGNAEADTEPIAMRPTQGAANAGKHAVDLADTAAADSSAEDGAADTASQAMGKHHLVEGPDYQIPSTSLLTPGAPPKTQTAANDRMIEAITDVFTEFKVDAHVVGFSRGPTVTRYEVQLGPGVKVSKITNLQSNLAYAVATDNVRLLTPIPGKSLVGIEVPNTDREMVRLADVLNNPAIHEDADPMLIGLGKDIEGHFVAHSVQKMPHLLVAGSTGSGKSAFVNSLLVSLLTRATPEDVRLILVDPKMVELTPYEGIPHLITPIITQPKKAAAALQWLVEEMEQRYLDMKSARVRHIKDFNRKIRAGEIETPAGSQREYQAYPYIVCIVDELADLMMTAPKEIEDSIVRITQKARAAGIHLVLATQRPSVDVVTGLIKTNVPSRLAFATSSLTDSRVILDQAGAEKLIGMGDGLFIPQG-GRPQRIQGAFVTDEEIQAVVDAAREQGEPVYTEGVTEDKSAENKREIDDDIGDDLENLLQAVELVVTSQLGSTSMLQRKMRIGFAKAGRLMDLMESREIVGPSEGSKAREVLVKPEELDTVLWLLQGADPKNAPKENPGSD----APDGGGAVSANDGGTKVAAATYNPTQNAF</t>
  </si>
  <si>
    <t>GC_00000589</t>
  </si>
  <si>
    <t>PF00542.24</t>
  </si>
  <si>
    <t>Ribosomal protein L7/L12 C-terminal domain</t>
  </si>
  <si>
    <t>K02935</t>
  </si>
  <si>
    <t>large subunit ribosomal protein L7/L12</t>
  </si>
  <si>
    <t>COG0222</t>
  </si>
  <si>
    <t>Ribosomal protein L7/L12 (RplL) (PDB:1CTF)</t>
  </si>
  <si>
    <t>MAKFTNDELIEAFKEMTLIELSEFVKLFEETFEVTAAAPVAVAAAGAPAAGGD---AAEEKSEFDVVLEDAGAKKIGVIKAVREIVSGLGLKEAKELVEGAPKAILEGANKDDAEAAKTKLEEAGAKVTLK</t>
  </si>
  <si>
    <t>MAKLTPEELIEAFKEMTLIEASEFRKLFEETFDVTAAAPVAVAAPG--AAGGDAAAAAEEKDEFDVVLEDAGAKKIGVIKVVREIVSGLGLKEAKELVESAPKALLEGVSKDDAEAAKTKLEEAGAKVSLK</t>
  </si>
  <si>
    <t>MAKLTKDELIEAFKEMTLIELSEFVKEFEEVFDVTAAAPVAVAAA---AAPGAAAAAEEEKDEFDVIIEDAGAKKIGVIKAVRELVSSLGLKEAKELVESAPKAVLEGANKEDAEAAKAKLEEAGAKVTLK</t>
  </si>
  <si>
    <t>GC_00000590</t>
  </si>
  <si>
    <t>MTTEPTMEERLDALAKAKHDVELGGGEAKLDKQRSKGKMTARERIEALVDAGTFQETGMFAKHRTTHFGMDKAVAPADGVVTGSGAVFGRPVHIASQDFTVMGGSAGETQSNKVAAMMQASATTGTPFVFINDSGGARVQEGIDSLSGYGKVFYNNVLLSGLVPQVSIIAGPCAGGAAYSPALTDFIIQTRKAQMFITGPGVIKSVTGEDVTAEQLGGADAHMAKAGNIHFIADDDEQAVLIAQKLLSFLPQNNTEEPPIVDPEEIVEPDPALRDIVPVDGKKGYDVREIIALIVDRGDFLEVKAGFAPNIVTGFARVVGRTVGVIANQPNVMSGVLDINSSDKGSEFIRFCNAFNIPLVTLVDVPGFMPGVTQEHGGIIRHGAKMLYAYSAASVPKITVVLRKSYGGAYLAMCSKDLGADKVFAWPTAEIAVMGAEGAVNVVFRKEIEAAEDKEAKRAELIQLYKETFSTPFMAASRGLVDDIIDPADTRREIAMALELLANKRVSRPAKKHGLGPV</t>
  </si>
  <si>
    <t>MSTEPTMQERLDRLDEEKARVSLGGGQDKIEKQHERGKLTARERINALVDEDTFQETGMFATHRTTHFGMDKADAPADGVVTGSGAIFGRPAHIASQDFTVMGGSAGETQSNKVAAMMQASAHTGTPFIFINDSGGARVQEGIDSLSGYGKVFYNNVLLSGLVPQISIIAGPCAGGAAYSPALTDFIIQTRNANMFITGPGVIKSVTGEDVTAEQLGGADAHMNKAGNIHFIADDDEQAVLIAQKLLSFLPQNNTEEPPIVDPDEIVEPDPELRDIVPVEGKKGYDVREVIGRLVDHGDFLEVQAGYAQNLVVGFGRLIGRTVGVIANQPNVMSGVLDINSSDKGSQFIRFCNAFNIPLLTLVDVPGFMPGVAQEHGGIIRHGAKMLYAYSAASVPKVTVVLRKSYGGAYLAMCSKDLGADRVFAWPTAEIAVMGADGAVNVVFRREIAEAEDAESKREELVKLYKETFSTPFMAASRGLVDDIIDPADTRREVAMALEILTNKRVARPAKKHGLGPV</t>
  </si>
  <si>
    <t>MANDPTMEQRLEQLAEARHKVELGGGEEKIEKQHAKGKLTARERINLLVDDDTFFETGMFAKHRTTHFGMDKADAPADGVVTGSGAVFGRPLHIASQDFTVMGGSAGETQSNKVAAMMEASATTGTPFIFINDSGGARVQEGIDSLSGYGKVFYHNVLLSGLVPQISIIAGPCAGGAAYSPALTDFIIQTRQANMFITGPGVIKSVTGEEVTTEQLGGADAHMTKSGNIHFIADDDEQAILIAQKLLSFLPQNNTEEPPVVDPDPVVEPDYELRDIVPVEGKKGYDVREIITRIVDRGDFLEVQAGFARNIVVGFGRIVGRTVGVIANQPNVMSGVLDIDSSDKGSQFIRFCNAFNIPLVTLVDVPGFMPGVAQEHGGIIRHGAKMLYAYSSASVPKVTVELRKSYGGAHLAMCSKDLGADRVFAWPTAEIAVMGAEGAVNVVFRKEIADAEDPAAKREELIALYKETFSTPFMAASRGLVDDIIDPADTRRHIANALEILANKRVHRPKKKHGLSPS</t>
  </si>
  <si>
    <t>GC_00000591</t>
  </si>
  <si>
    <t>MFNPMTFAYATGLATVTPDGTVLDCWFPAPELREGSSSAGTERI--D-APAELASLVGEDADRGVSRVAIATTSADLSSAPVDAYDAYLRLHLLSHRLVKPHGANLDGVFGLLSNVVWTNFGPCKVEGFEVTRAKLQARGPVTVYSVDKFPRMVDYVMPSGVRIGDADRIRLGAHLAEGTTVMHEGFVNFNAGTLGSSMVEGRISAGVVVDDGSDVGGGASIMGTLSGGGKEIISIGKRCLLGANAGCGISLGDDCVVEAGLYVTAGSKVLVRGGVAEALSLQDGDAVKAAELSGASNILFRRNSVSGAIEAVAWKSAAVALNEALHAN-</t>
  </si>
  <si>
    <t>----MTAVLATGLATYDANGTVLDCWFPSFRFVDNATAGTTHLTLYD-TPGELIALIGEDEDRGTTRKSIRTEISSLDDAPIDAHDAYLRLHLLSHRAVQPHGLNLDGVFGLLANVVWTNFGPCPVQNFEHTRARLSRRGPVTVYSIDKFPRMVDYVVPSGVRIGDADRVRLGAHLAEGTTVMHEGFVNFNAGTLGHSMVEGRISGGVVVGEGSDIGGGASIMGTLSGGGKQVISIGERCLLGANAGLGISLGND</t>
  </si>
  <si>
    <t>----MTSAFATGLATIHSNDTILDVWFPDPKLSDDVRESGTEFP--DKVPAELHPLTHIDAARETRREVVYTQIASLDDAPQDAFDAYLRLHLLSHRLVKPHGLNLDGVFGLLANVVWTNHGPCLPAGFEATRAKLQTRGPVVVYGVDKFPRMVDYVMPTGVRIGDADRVRLGAHLAEGTTVMHEGFVNFNAGTLGNSMVEGRISAGVVVDDGTDIGGGASIMGTLSGGGKEVISLGKRCLLGANSGCGISLGDD</t>
  </si>
  <si>
    <t>----MTSAFATGLATIHSNDTVLDVWFPDPKLSDDARESGTEFP--DKVPAELHPLTHIDAARETRREVVYTQIASLDDAPQDAFDAYLRLHLLSHRLVKPHGLNLDGVFGLLANVVWTNHGPCLPAGFEATRAKLQTRGPVVVYGVDKFPRMVDYVMPTGVRIGDADRVRLGAHLAEGTTVMHEGFVNFNAGTLGNSMVEGRISAGVVVDDGTDIGGGASIMGTLSGGGKEVISLGKRCLLGANSGCGISLGDD</t>
  </si>
  <si>
    <t>GC_00000592</t>
  </si>
  <si>
    <t>PF10369.15</t>
  </si>
  <si>
    <t>Small subunit of acetolactate synthase</t>
  </si>
  <si>
    <t>K01653</t>
  </si>
  <si>
    <t>acetolactate synthase I/III small subunit [EC:2.2.1.6]</t>
  </si>
  <si>
    <t>COG0440</t>
  </si>
  <si>
    <t>Acetolactate synthase, small subunit (IlvH) (PDB:2F1F)</t>
  </si>
  <si>
    <t>KEGG Orthology (KO)&gt;&gt;&gt;09100 Metabolism&gt;&gt;&gt;09101 Carbohydrate metabolism&gt;&gt;&gt;00650 Butanoate metabolism [PATH:ko00650]|KEGG Orthology (KO)&gt;&gt;&gt;09100 Metabolism&gt;&gt;&gt;09101 Carbohydrate metabolism&gt;&gt;&gt;00660 C5-Branched dibasic acid metabolism [PATH:ko00660]|KEGG Orthology (KO)&gt;&gt;&gt;09100 Metabolism&gt;&gt;&gt;09105 Amino acid metabolism&gt;&gt;&gt;00290 Valine, leucine and isoleucine biosynthesis [PATH:ko00290]|KEGG Orthology (KO)&gt;&gt;&gt;09100 Metabolism&gt;&gt;&gt;09108 Metabolism of cofactors and vitamins&gt;&gt;&gt;00770 Pantothenate and CoA biosynthesis [PATH:ko00770]|Enzymes&gt;&gt;&gt;2. Transferases&gt;&gt;&gt;2.2  Transferring aldehyde or ketonic groups&gt;&gt;&gt;2.2.1  Transketolases and transaldolases&gt;&gt;&gt;2.2.1.6  acetolactate synthase</t>
  </si>
  <si>
    <t>MGAYASNNSEATNRYTLSVLVQDVDGITSRVAGMFTRRGFNMYSIVSAATETEGISRITVVVDADEVVIEQITKQLNKLIPVLKVVRLDGDSSVARALMLVKVAANNANRPQVVDAANIFRARVVDVAPDSVVLETTGNPGKLEALLEVLQPFGIIEMIRSGEIALNRGPKPLSMRR-</t>
  </si>
  <si>
    <t>GC_00000593</t>
  </si>
  <si>
    <t>K00973</t>
  </si>
  <si>
    <t>glucose-1-phosphate thymidylyltransferase [EC:2.7.7.24]</t>
  </si>
  <si>
    <t>COG1209</t>
  </si>
  <si>
    <t>dTDP-glucose pyrophosphorylase (RmlA1) (PDB:1FXO)</t>
  </si>
  <si>
    <t>KEGG Orthology (KO)&gt;&gt;&gt;09100 Metabolism&gt;&gt;&gt;09101 Carbohydrate metabolism&gt;&gt;&gt;00541 Biosynthesis of various nucleotide sugars [PATH:ko00541]|KEGG Orthology (KO)&gt;&gt;&gt;09100 Metabolism&gt;&gt;&gt;09109 Metabolism of terpenoids and polyketides&gt;&gt;&gt;00523 Polyketide sugar unit biosynthesis [PATH:ko00523]|KEGG Orthology (KO)&gt;&gt;&gt;09100 Metabolism&gt;&gt;&gt;09110 Biosynthesis of other secondary metabolites&gt;&gt;&gt;00521 Streptomycin biosynthesis [PATH:ko00521]|KEGG Orthology (KO)&gt;&gt;&gt;09100 Metabolism&gt;&gt;&gt;09110 Biosynthesis of other secondary metabolites&gt;&gt;&gt;00525 Acarbose and validamycin biosynthesis [PATH:ko00525]|Enzymes&gt;&gt;&gt;2. Transferases&gt;&gt;&gt;2.7  Transferring phosphorus-containing groups&gt;&gt;&gt;2.7.7  Nucleotidyltransferases&gt;&gt;&gt;2.7.7.24  glucose-1-phosphate thymidylyltransferase</t>
  </si>
  <si>
    <t>MKGIILAGGSGTRLYPITKGISKQLMPIYDKPMVYYPLTTLIQAGIHEILIITTPDDRPQFERLLGDGHEWGLNLSYAEQPSPDGLAQAFIIGEEFIGEDSVALVLGDNIFDGHQLSHSLASLGEPQGGTVFAYEVSDPERYGVVEFDDSMRAVSIEEKPTHPKSNYAVVGLYFYDNNVVDIAKNITPSERGELEITSINEEYLKRGALKVHRLSRGDVWLDTGTIDSMSEASAYVEVLQKRTGTIIGSPEVAAYRAGLIDAAQLERCAEALMKSGYGAYLKRVVN-----</t>
  </si>
  <si>
    <t>MKGIILAGGTGSRLWPITLGVSKQLVPVFDKPMVYYPLSTLMLADIRDILIVSTPQDVPQFQRLLGDGSQFGITLSYAVQDAPRGLADAFIVGEEHIGDDSVALILGDNIFYGTGLGTQLRRFKNPDGAAIFAYWVAEPEAYGVVEFDRDGRALSLVEKPDVPRSQYAVPGLYFYDNSVVEMAKNLQPSARGELEITDINQAYLDQGKLQVQKLPRGTAWLDTGTVDLLMAAGDFVRTIEQRQGLKIGCPEEVAWRMGFVDDQHLRERADALNKSGYGAYLASILARGKDN</t>
  </si>
  <si>
    <t>MKGIILAGGTGTRLYPITQGISKQLMPIYDKPMIYYPLSTLIQAGISDILVITTPEDQGAFQRLLGNGSQFGIRLTYAVQQRPEGLAQAFIIGADFIGDSSVALALGDNIFHGSQFSASLSQCRDPQGGIVFAYEVSDPSRYGVVAFDESGQALSIVEKPQHPQSNFAVVGLYFYDNSVIDIAHTITPSTRGELEITSVNEAYLRQGKLQVQKLARGDVWLDTGTFDSMSEASSYVEVLQKRTGIIIGSPEAAAYQSGFIDAEQLQILAARLDKSGYGKLLRNIL------</t>
  </si>
  <si>
    <t>MKGIILAGGTGTRLYPITQGISKQLMPIYDKPMIYYPLSTLIQAGISDILVITTPEDQGAFQRLLGDGSQFGIRLTYAVQQRPEGLAQAFIIGADFIGDSSVALALGDNIFHGSQFSASLSQCRDPQGGIVFAYEVSDPSRYGVVAFDESGQALSIVEKPQHPQSNFAVVGLYFYDNSVIDIAHTITPSTRGELEITSVNEAYLRQGKLQVQKLARGDVWLDTGTFDSMSEASSYVEVLQKRTGIIIGSPEAAAYQSGFIDAEQLQILAARLDKSGYGKLLRNIL------</t>
  </si>
  <si>
    <t>GC_00000594</t>
  </si>
  <si>
    <t>MSSYSTIVVGTDGSKSSILAVERAAAIAAAFDATLIIGCAYYESKEQASKTLRQDSVTVLGDDPAQRNLETAADAARAVGCESIKTAIKPGTPVEALMSIVNENHADLLVVGNRGINSLTGRLLGSVPADVARQSECDVMIVHTVN</t>
  </si>
  <si>
    <t>MSDYKKIVVGTDGSKSSMLAVERAAGIAAAFNATLIIGCAYYETSEDASKTLRQDSVTVLGDDPAYKNLESASAAAREKGATNIETVVKPGTPVEALMSIVNEAQADLLVVGNRGINTLTGRLLGSVPADVARQSQCDVMIVHTVN</t>
  </si>
  <si>
    <t>MSAYSTIVVGTDGSKSSMLAVERAAKIAAAFNATLVIGCAYYETKEDASKTLRQDSVTVLGTDPAQENLDKATEHARAMGAPTIRTAIRPGTPVEALMSIVNETNADLLIVGNRGINSLTGRLLGSVPADVARQSDCDVMIVHTVN</t>
  </si>
  <si>
    <t>MSAYSTIVVGTDGSKSSMLAVERAAKIAAAFDATLVIGCAYYETKEDASKTLRQDSVTVLGTDPAQENLDKATEHARAMGAPSIQTAIRPGTPVEALMSIVNETNADLLIVGNRGINSLTGRLLGSVPADVARQSDCDVMIVHTVN</t>
  </si>
  <si>
    <t>GC_00000595</t>
  </si>
  <si>
    <t>K05847</t>
  </si>
  <si>
    <t>osmoprotectant transport system ATP-binding protein [EC:7.6.2.9]</t>
  </si>
  <si>
    <t>COG1125</t>
  </si>
  <si>
    <t>ABC-type proline/glycine betaine transport system, ATPase component (OpuBA)</t>
  </si>
  <si>
    <t>KEGG Orthology (KO)&gt;&gt;&gt;09130 Environmental Information Processing&gt;&gt;&gt;09131 Membrane transport&gt;&gt;&gt;02010 ABC transporters [PATH:ko02010]|Enzymes&gt;&gt;&gt;7. Translocases&gt;&gt;&gt;7.6  Catalysing the translocation of other compounds&gt;&gt;&gt;7.6.2  Linked to the hydrolysis of a nucleoside triphosphate&gt;&gt;&gt;7.6.2.9  ABC-type quaternary amine transporter|Transporters&gt;&gt;&gt;ABC transporters, prokaryotic type&gt;&gt;&gt;Mineral and organic ion transporters&gt;&gt;&gt;Osmoprotectant transporter</t>
  </si>
  <si>
    <t>MIVFEHVSKKYPGAAAPAVEDFSFQIPRGQTTVFVGSSGSGKTTLVRMINRMVTPTSGRVLIDGADSAEEDPVRLRRRIGYVMQDSGLMPHRTVLDNICTVPRLNKVPKAQCRERAFELMDDLGLDRALAKRYPRELSGGQAQRVGIARALADDPAIMIMDEPFSAIDPLVRRDLQNQVLDLKRRLNKTIVMVTHDIEEAFLLGDQIVLLGQRGRIEQAGTAEELITQPANDFVADFVGVQDRVVSVQRRD--GRDVIVDRHGRVTAFVQGDA</t>
  </si>
  <si>
    <t>MIEFRSVFKSYPN-GTEAVSDFSLTAQPNSTTVLVGSSGCGKTTLLRMVNRMVEPTSGSILIDGKDVKDSDPVALRRSIGYVIQSGGLFPHLTVGDNVSTVLRLTGVSRTECREAATELLERVGLDPALASRYPSQLSGGQQQRVGVARALATDPQILLMDEPFSAVDPIVRRELQDELLQLQNELGKTILFVTHDISEAFRIGDEVIVLREGATIAQRGTPAEIVANPTDDFVRSFVGTDNANTQLQLRDEGDRVIVVDSFGKPLGVVTP--</t>
  </si>
  <si>
    <t>MIEFRSVFKSYPN-GTEAVSDFSLTAQRNSTTVLVGSSGCGKTTLLRMVNRMVEPTSGSILIDGKDVKDSDPVALRRSIGYVIQSGGLFPHLTVGDNVSTVLRLTGVSRTECREAATELLERVGLDPALASRYPSQLSGGQQQRVGVARALATDPQILLMDEPFSAVDPIVRRELQDELLQLQNELGKTILFVTHDIAEAFRIGDEVIVLREGATIAQRGTPAEIVANPTDDFVRSFVGTDNANTQLQLRDEGDRVIVVDSFGKPLGVVTP--</t>
  </si>
  <si>
    <t>MITFESVSKQY-G-SAPAVDSFSLEVPSHACVALVGSSGCGKTTLLKMVNRMVTPSSGRVLIDEVDVAQQDPISLRRSIGYVMQSGGLLPHLTVEANINTIPRLLGAPASSDR--IHHLMESLELDPALGRKYPYQLSGGQAQRVGVARALIFDPNILLMDEPFAAVDPIVRHGLQEMVAQLQRDFHKTIILVTHDFSEACFLGDTVAVLSVRAHIEQHAIPREILTHPATPFVEKFIQA-------------TRPLKVD-------------</t>
  </si>
  <si>
    <t>MITFESVSKQY-G-SAPAVDSFSLEVPSHACVALVGSSGCGKTTLLKMVNRMVTPSSGRVLIDEVDVAQQDPISLRRSIGYVMQSGGLLPHLTVEANINTIPRLLGAPASSDR--IHHLMESLELDPALGRKYPYQLSGGQAQRVGVARALIFDPNILLMDEPFAAVDPIVRHGLQEMVAQLQRDFHKTIILVTHDFSEACFLGDTVAVLSVRAHIEQHATPREILTHPATPFVEKFIQA-------------TRPLKVD-------------</t>
  </si>
  <si>
    <t>GC_00000596</t>
  </si>
  <si>
    <t>PF19348.4</t>
  </si>
  <si>
    <t>Family of unknown function (DUF5926)</t>
  </si>
  <si>
    <t>COG3012</t>
  </si>
  <si>
    <t>Uncharacterized conserved protein YchJ, contains N- and C-terminal SEC-C domains (YchJ) (PDB:2I9W)</t>
  </si>
  <si>
    <t>MAKKKKKLENLPEGMTRREAKLAARAAARAELDREPRPFGGLAVEAELIALQEFVPSACARTKLVD-GTEFTLGTVLPGAVAAYVTED---GERFVALQTTSHSQNRGRDLAFVLNWLKDAAPGSTLESARNDGSQPELKEIFNP-ESIEVVNQETFEWW-PGNLDAN-----TLARFNDSIVPSFPVTPSA----WWVDAGDKAHIRWVRTDEEQPLLDALARVSAAGNLNLGENTKFAGVFRTHGVLVPVFDLDPAAGH-DYADQLAEVDAHITKALAVDAPLTSEERRALENIKSRQVTIR</t>
  </si>
  <si>
    <t>MAKKKKNREELPEGMSRRQAKLAARAAERAANERDPRPYAGLAAEAELVALQEFVPSAVAQLTVTGFDQPVNLCTVLPGAVAALVREDNLGGDRYVALQVQSRSQNPGRDLAYALNWLKNASAGESLASTAADGNQPELSSLIDAATTIKPVAHQDFSWWLPEGAVVDENTERSLQAANNSIMPSYPVAADVEGAVWWIDAGDKAHIRWVRSDDEEPLLRALARIGAAGELNLGEDTKFAGVFRTHGIAVPVFDLDPTVAPEEYKAALEALEKKIVAEMGNDAELTSDERRNLDNIKSRQVTIR</t>
  </si>
  <si>
    <t>MAKRKKNQEQLPEGMSRRQAKLAARAAERAALARDPRPYGNLPFEADLIALQEFVPSATVKVAVPGAERDVYLCTVLPGGGAVLVRDD----GAYVALQTRNQSYNPHRDLTRALEWAITAQPGEELESAVAENVEPKLDKLIPAMAPEDIKVFDDFTWWIPAGTEVNPQYAQAIKAANDSVMPSRRITTDIAGAAWWIDTGDKAHIRWVRTENEDKVVRALARIAARGELKLGEETKFAGVFRTHGIAVPVWDLDPDRDYTNYAAELKRVDKAILAELDNDAQLSSEERRQLENIKSRQVTI-</t>
  </si>
  <si>
    <t>MAKRKKNQEQLPEGMSRRQAKLAARAAERAALARDPRPYGNLPFEADLIALQEFVPSATVKVAVPGAERDVYLCTVLPGGGAVLVRDD----GAYVALQTRNQSYNPHRDLTRALEWAITAQPGEELESAVAENVEPKLDKLIPAMAPEDIRVFDDFTWWIPAGTEVNPQYAQAIKAANDSVMPSRRITTDIAGAAWWIDTGDKAHIRWVRTENEDKVVRALARIAARGELKLGEETKFAGVFRTHGIAVPVWDLDPDRDYTNYAAELKRVDKAILAELDNDAQLSSEERRQLENIKSRQVTI-</t>
  </si>
  <si>
    <t>GC_00000597</t>
  </si>
  <si>
    <t>PF07517.20</t>
  </si>
  <si>
    <t>SecA DEAD-like domain</t>
  </si>
  <si>
    <t>K03070</t>
  </si>
  <si>
    <t>preprotein translocase subunit SecA [EC:7.4.2.8]</t>
  </si>
  <si>
    <t>COG0653</t>
  </si>
  <si>
    <t>Preprotein translocase subunit SecA (ATPase, RNA helicase) (SecA) (PDB:2FSF)</t>
  </si>
  <si>
    <t>ko00001|ko00001|ko00001|ko01000|ko02044</t>
  </si>
  <si>
    <t>KEGG Orthology (KO)&gt;&gt;&gt;09120 Genetic Information Processing&gt;&gt;&gt;09123 Folding, sorting and degradation&gt;&gt;&gt;03060 Protein export [PATH:ko03060]|KEGG Orthology (KO)&gt;&gt;&gt;09130 Environmental Information Processing&gt;&gt;&gt;09131 Membrane transport&gt;&gt;&gt;03070 Bacterial secretion system [PATH:ko03070]|KEGG Orthology (KO)&gt;&gt;&gt;09140 Cellular Processes&gt;&gt;&gt;09145 Cellular community - prokaryotes&gt;&gt;&gt;02024 Quorum sensing [PATH:ko02024]|Enzymes&gt;&gt;&gt;7. Translocases&gt;&gt;&gt;7.4  Catalysing the translocation of amino acids and peptides&gt;&gt;&gt;7.4.2  Linked to the hydrolysis of a nucleoside triphosphate&gt;&gt;&gt;7.4.2.8  protein-secreting ATPase|Secretion system&gt;&gt;&gt;Sec (secretion) system&gt;&gt;&gt;Prokaryotic Sec-SRP core components</t>
  </si>
  <si>
    <t>MFGLSNLLRIGEGRVVKRYAAYADKVIALEDEYHNLSEAELKGKTDEFKKRLADGETLDDLLIEAFATVREASRRVLKQEHYKVQLMGAFALHYGNVAEMRTGEGKTLTCVPAAYVNALEGKGVHVVTVNDYLAERDCEWMGRVHQYLGLTTDVILSEKTPAERRAAYNADITYGTNNEFGFDYLRDNMAGSLEDRVQRGHHYAIVDEVDSILIDEARTPLIISGPADGASGRYNDFARLAPRMKNGIHYEVDIRKKTVAVTEEGVAFVEDQFGMNNLYAPDHSDMVSYLNNALKAKELFTKDKDYIVRNGEVMIVDEFTGRVLSGRRYNEGMHQAIEAKEGVEVKAENQTLATITLQNYFRLYDKLAGMTGTAETEAAELHQIYKLNVVPIPTNRPNQRQDLTDLVYKTQEAKFMAVAEDIKERSEKGQPVLVGTTSVERSEYLHEILNAMHVPHKVLNAKHHEEEAEIVAYAGRAGAVTVSTNMAGRGTDIVLGGNPDVIALAEMKNVKLDPIEDEEEWNAKYQEVLERERKKSEEGAVKAREAGGLYVIGTERHESRRIDNQLRGRSGRQGDPGETRFYLSMRDDLMVRFVGPRMEAMMNRLNVPDDVPIESKAVTNSIRGAQSQVENQNFEMRKNVLKYDEVMNEQRKVIYSERNQILEGRDVQEQVQAMLDDTIAGYVAAATAEGYVEDWDLDKLWHALEALYGPTMSWKSLLEGSEYGAAGELSAEDLTQALLDDAHRKYTALEENLSKREAEVRANQAEQLSALGVKVSEPAEAPNPLRAVERQAILSTVDQKWREHLYEMDYLKEGIGLRAMAQRDPLVEYQKEGGDMFNAMKDAIKEETVRKIFALDKQLRGENEVTVEV------</t>
  </si>
  <si>
    <t>MFGLSKILRVGDGRAVKRLKKIADEVIALEPEYADLSDEELKAKTAEFKKRLKKGETLDDILLEAFAVAREASWRVLDQKHYPVQIMGGAALHFGNVAEMRTGEGKTLTCVLPAYLNALEGKGVHVVTVNDYLAKRDSEWMGRVHRFLGLTTDVILADMTPQERRDAYNADITYGTNNELGFDYLRDNMARSIDELVQRPHNYAIVDEVDSILIDEARTPLIISGPADGSSQWYTVFAQIVPRMTRDVHYEVDERKRTVGVKEEGVNFVEDQLGIENLYAPEHSQLVSYLNNAIKAEELFTRDKDYIIRGGEVLIVDEFTGRVLAGRRYNEGMHQAIEAKEGVEIKNENQTLATITLQNYFRLYNKLAGMTGTAETEAAELHQIYKLDVVTIPTNRPNQREDLTDLVYKTQEAKFAAVVDDIVERVAKNQPVLVGTTSVERSEYLSQLLQRRGVKHHVLNAKHHEQEAEIVAQAGLPGAVTVATNMAGRGTDIVLGGNPDILADINLRARGLDPVETPEEYEAAWDAEINRMRKRSEKYAERVRKAGGLYVLGTERHESRRIDNQLRGRSGRQGDPGATRFYLSMRDELMVRFVGATMENMMNRLNVPDDVPIEAKIVTNSIKGAQTQVENQNFEVRKNVLKYDEVMNEQRKVIYAERREILEGRDVANQVESMIEETVAAYVAGATADGYVEDWDLDELWNALNGLYGPTMTWESLLDGSEFGEPGELPADELRDALIEDALAQYKELEEQVASIGGDAQ-----------------------MREIERMVILGVVDQKWREHLYEMDYLKEGIGLRAMAQRDPLVEYQKEGGDMFNAMKDGIKEETVRQLFLLRQQMQPTQPAEV--------</t>
  </si>
  <si>
    <t>MFGLSKILRVGEGRAVKRLKKIADEVIALEPEYADLSDEELKAKTAEFKKRLKKGETLDDILLEAFAVAREASWRVLDQKHYPVQIMGGAALHFGNVAEMRTGEGKTLTCVLPAYLNALEGKGVHVVTVNDYLAKRDSEWMGRVHRFLGLTTDVILADMTPQERRDAYNADITYGTNNELGFDYLRDNMARSIDELVQRPHNYAIVDEVDSILIDEARTPLIISGPADGSSQWYTVFAQIVPRMTRDVHYEVDERKRTVGVKEEGVNFVEDQLGIENLYAPEHSQLVSYLNNAIKAEELFTRDKDYIIRGGEVLIVDEFTGRVLAGRRYNEGMHQAIEAKEGVEIKNENQTLATITLQNYFRLYNKLAGMTGTAETEAAELHQIYKLDVVTIPTNRPNQREDLTDLVYKTQEAKFAAVVDDIVERVAKNQPVLVGTTSVERSEYLSQLLQRRGVKHHVLNAKHHEQEAEIVAQAGLPGAVTVATNMAGRGTDIVLGGNPDILADINLRARGLDPVETPEEYEAAWDAEINRMRKRSEKYAERVRKAGGLYVLGTERHESRRIDNQLRGRSGRQGDPGATRFYLSMRDELMVRFVGATMENMMNRLNVPDDVPIEAKIVTNSIKGAQTQVENQNFEVRKNVLKYDEVMNEQRKVIYAERREILEGRDVANQVESMIEETVAAYVAGATADGYVEDWDLDELWNALNGLYGPTMTWESLLDGSEFGEPGELPADELRDALIEDALAQYKELEEQVASIGGDAQ-----------------------MREIERMVILGVVDQKWREHLYEMDYLKEGIGLRAMAQRDPLVEYQKEGGDMFNAMKDGIKEETVRQLFLLRQQMQPTQPAEV--------</t>
  </si>
  <si>
    <t>MFGLSKVLRMGEGRKIKRLQKIAEEVLALEPEMADLTDEELKAKTDEFKERIADGETVDDLLYEAFAVAREASYRVLGQKHYLVQVMGGAALHFGGVAEMRTGEGKTLTCVLPAYLNALEGKGVHVVTVNDYLAKRDAEWMGRVHRFLGLKVGVILSNMTPEERKTAYDADITYGTNNELGFDYLRDNMVHSLSELVQRGHHYAIVDEVDSILIDEARTPLIISGPADGPSQLYTTFAALAPRMREGIHYEVDHRKRTVGVKEEGVEFVENQLGIENLYAPENSQLVSYLNNAIKAKELFTKDKDYIVSKGEVLIVDDFTGRVLEGRRYNEGMHQAIEAKEGVEIKNENQTLATITLQNYFRLYDKLAGMTGTAETEAAELHQIYKLDVMPIPTNKKPQRVDMTDLVYKTQEAKFAAVVQDIAERVAKGQPVLVGTTSVERSEYLSKLLQRRHIKHNVLNAKFHEQEAQIIARAGLPGQVTVATNMAGRGTDIVLGGNPDIIADINLRERGLDPIETPEEYEAAWDEELEKVKEKAKKEAEKVRKAGGLYVLGTERHESRRIDNQLRGRSGRQGDPGLTRFYLSMRDDLMVRFVGQTMENMMNRLNVPDDVPIEAKMVTNSIKGAQAQVENQNFEMRKNVLKYDEVMNEQRKVIYRERREILESADIAANIQAMIDETITAYVRGATMNGYVEDWDLESLWHALETLYGPSMTVEELIDGTQFGAAGELSADDLLEAVLLDAHTQYEQLEEAVTLIGGEAQ-----------------------MRNLERQVILPILDQKWREHLYEMDYLKEGIGLRAMAQRDPLVEYQKEGGEMFDAMKDAIKEETVRQLFMLRKQFQAQAEAMAAAAEEAQA</t>
  </si>
  <si>
    <t>GC_00000598</t>
  </si>
  <si>
    <t>PF01494.25</t>
  </si>
  <si>
    <t>K21401</t>
  </si>
  <si>
    <t>menaquinone-9 beta-reductase [EC:1.3.99.38]</t>
  </si>
  <si>
    <t>COG0644</t>
  </si>
  <si>
    <t>Dehydrogenase (flavoprotein) (FixC) (PDB:4OPU)</t>
  </si>
  <si>
    <t>KEGG Orthology (KO)&gt;&gt;&gt;09190 Not Included in Pathway or Brite&gt;&gt;&gt;09191 Unclassified: metabolism&gt;&gt;&gt;99980 Enzymes with EC numbers|Enzymes&gt;&gt;&gt;1. Oxidoreductases&gt;&gt;&gt;1.3  Acting on the CH-CH group of donors&gt;&gt;&gt;1.3.99  With unknown physiological acceptors&gt;&gt;&gt;1.3.99.38  menaquinone-9 beta-reductase</t>
  </si>
  <si>
    <t>MLGWGLLLLWGVVGTMGFVVFPLGFGLDDDVASVFPSLVARVDVLVVGAGPAGSAAAFHAARRGFEVLLVDQAVFPRDKTCGDGLTPRAMHELEALGVADAVGVGGYRNRGLMLHGFGASVECPWPKPGPVAGFAPVGSAMRRTQLDWLLASHACEQPGVRALGGAVVR-----DPV------------VVDGRLRSVVVASAGGADRAELRVEPRWVIVADGARSTLSKQLGRVWHKEHVYGIAARSYCESPLGSDPWIHSHLELKDPQSGDVLPGYGWIFPLGDGSVNLGCGALSTSRRPAKVNTKKLLRTYRQSCVGQAEGWEFSEPEGVASAVLPMGGAVSNVAGKNWALIGDAAGCVNPLNGEGIDYALETARLAVELLDDTPGRVLTDLWPGVLRATYGPAFSLARELGRLLTLPWFLPAAGPVGMRSG----VMPTAARLMGNVVTPEDRDVVARVWRAAGG-------AAFGL-SRRLGSAD----QLWGTQN</t>
  </si>
  <si>
    <t>---------MRRLRLATIVVVT------DSTPTIHQHGNRSVELLIIGAGPAGATAAIHAGRRGISTLLIDAQPFPRDKTCGDGLTPRAIHQLQLLGLADSV-VARYRSHGLKLHGFGGSVTAPWPE----SAFGTVGSAMPRREFDDFLVGCARSHPSVEFLGGVRAVAVSMSTPVGAGSDSIISGSGTVSGDAASVGASVAAVELSDGSWVRPKQIIVADGVRSPIGKLLGRTWHKGEVYGIAARSYCVTPRS</t>
  </si>
  <si>
    <t>---------MRRLRLATIVVVT------DSTPTIHQHGNRSVELLIIGAGPAGATAAIHAGRRGISTLLIDAQPFPRDKTCGDGLTPRAIHQLQLLGLADSV-VARYRSHGLKLHGFGGSVTAPWPE----SAFGTVGSAMPRREFDDFLVGCARSHPSVEFLGGVRAVAVSMSTPVGAGSDSIISGSGIMSGDAASVGALVAAVELSDGSWVRPKQVIVADGVRSPIGKLLGRTWHKGEVYGIAARSYCATPRS</t>
  </si>
  <si>
    <t>GC_00000599</t>
  </si>
  <si>
    <t>MSIRPVRLFGDPVLRTRADEVTAFDDSLEQLVSDMLDTMDEQQGVGLAANQIGVLRRVFVYDCSHEVPGARGHVINPVWEPIDVSEVEEVKGADYDQGEALEGEPGKVLAREGCLSIPGVYEEVERHEAVIVRGVTKDNEPVEFKAKGLLARCIQHETDHLDGVLFLQRLTPERRKRAMKTIRESEWFI-</t>
  </si>
  <si>
    <t>MTIREVRLFGDPVLNTRADEVTQFDDALKTLVEDMLDTMDEYDGVGLAANQVGVTRRVFVFDCAHENPGMRGHVINPVWEPV---------------GEE------KQVGNEGCLSIPAVVKETERYNSVKVTGQDVDGNPVEITASGLMARCIQHETDHLDGVLFLKRLSPELRKEAMREIRESDWFNA</t>
  </si>
  <si>
    <t>MTSHDIRIFGDPVLTSRADEITAFDDSLKHLVEDMFDTMDAAGGVGLAANQIGVLRRVFVFDCTTEEDGMRGHIINPQWEPV---------------GEE------TQLGPEGCLSIPEVLADTERYQTVRVTGYDYDGNPLTITASGLMARCIQHETDHLDGVLFLRRLTPERRKEAMAYIRQADWFNK</t>
  </si>
  <si>
    <t>MTSHDIRIFGDPVLTSRADEITAFDDSLKHLVEDMLDTMDAAGGVGLAANQIGVLRRVFVFDCTTEEDGMRGHIINPQWEPV---------------GEE------TQLGPEGCLSIPEVLADTERYQTVRVTGYDYDGNPLTITASGLMARCIQHETDHLDGVLFLRRLTPERRKEAMAYIRQADWFNK</t>
  </si>
  <si>
    <t>GC_00000600</t>
  </si>
  <si>
    <t>COG3173</t>
  </si>
  <si>
    <t>Predicted  kinase, aminoglycoside phosphotransferase (APT) family (YcbJ)</t>
  </si>
  <si>
    <t>MSSLPSS--------EQIAAIARQLLSERYGEDVIFNDVAELTGSSSSVVLRAKVAPTAVLQQRSIVIKYSPASGDPLDDAALIREVVSYQFTTALPEDVRPGPVLLAYDIDHRILVISDAGEADTFDHLLDIEDPSARVALLRTLGQAVGRMHAGTAQREQNFDILLSRMLQRYPDTRELHELRDASLLGAIDVGIDLLKASQVEISPTVVTLAQQAKRRLSSGQHRAFTPFDLSPDNIIYADRTGAERSAVERVKFLDYEWAGFRDATFDVACVIAGFPQYLFSRTLNAEESDAFIRSWADAVRGLWPNVDNRERLNARIITALLGWAFASVSYLYYGSMSQLVNQMSSSSQVQSGQAGDIPSAQAEALATATYALDDVDYDILIGGSLDSVLNEGGDARKDLHETFAAIVTFARRCAEEPAGDDVVLHGQFLEVADFAAVVCARLEQLRS</t>
  </si>
  <si>
    <t>PF01636.29</t>
  </si>
  <si>
    <t>Phosphotransferase enzyme family</t>
  </si>
  <si>
    <t>MNASPGRGFVHDTLIHDIVATGEALLSQRFGGNQVLTEVKVLSGSGNAVVLRARVMPSPFLQQRSVVLKYVPGVGNISEQVNLIREIVAYQFTTSMNEDNRPGPVLLAHDVEKKILVITDAGDGDTFAELLMGSTPKHRVELLRSLGRAIGKMHAGTADKESDFRVLLTRMLSKHSHLRSFNKYREHMLTAAITVGERLVAAAGVPVPDVVHEFAAEAIRRLVSGQHRAFTPFDLAPENIIVSDRT----------YFLDYEWAGFRDAAFDVACVVSGFPQNLATRPISDNESDVFIESWVQEVEGIWPNVKNRQRLNARILAAMIAWCFSSMAFMHFDMDNEQFEQL-------------IGKDSEDLIAGLVESSAPWATEVLSGEALPPDGDDMRLIRLDLYDTFESLERFA-ACSTDPR---------FAVVREFARDVLKRLES---</t>
  </si>
  <si>
    <t>MNASPGRGFVHDTLIHDIVATGEALLSQRFGGNQVLTEVKVLSGSGNAVVLRARVMPSPFLQQRSVVLKYVPGVGNISEQVNLIREIVAYQFTTSMNEDNRPGPVLLAHDVEKKILVITDAGDGDTFAELLMGSTPKHRVELLRSLGRAIGKMHAGTADKESDFRVLLTRMLSKHSHLRSFNKYREHMLTAAITVGERLVAAAGVPVPDVVHEFAAEAIRRLVSGQHRAFTPFDLAPENIIVSDRT----------YFLDYEWAGFRDAAFDVACVVSGFPQNLATRPISDNESDVFIESWVQEVEGIWPNVKNRQRLNARILAAMIAWCFSSMAFMHFDMDNEQFEQL-------------IGKDSEDLIAGLVESSAPWATEVLSGEALPPDEDDMRLIRLDLYDTFESLERFA-ACSTDPR---------FAVVREFARDVLKRLES---</t>
  </si>
  <si>
    <t>GC_00000601</t>
  </si>
  <si>
    <t>PF03602.21</t>
  </si>
  <si>
    <t>Conserved hypothetical protein 95</t>
  </si>
  <si>
    <t>K08316</t>
  </si>
  <si>
    <t>16S rRNA (guanine966-N2)-methyltransferase [EC:2.1.1.171]</t>
  </si>
  <si>
    <t>COG0742</t>
  </si>
  <si>
    <t>16S rRNA G966 N2-methylase RsmD (RsmD) (PDB:2IFT)</t>
  </si>
  <si>
    <t>Enzymes&gt;&gt;&gt;2. Transferases&gt;&gt;&gt;2.1  Transferring one-carbon groups&gt;&gt;&gt;2.1.1  Methyltransferases&gt;&gt;&gt;2.1.1.171  16S rRNA (guanine966-N2)-methyltransferase|Ribosome biogenesis&gt;&gt;&gt;Prokaryotic type&gt;&gt;&gt;rRNA modification factors&gt;&gt;&gt;16S rRNA modification factors</t>
  </si>
  <si>
    <t>MGQTRIISGVARGRKISVPPRGTRPTSDRAREGLFSSLAVRFGFEGRRVLDLFAGSGALGLEAASRGAEEVVLVDESPAAVETIRRNIEVVGHPRVSVVEMKASSYVASAQAGYFDMVLADPPYDLSDEAVNEMVRALLPCLRDGAAVIVERHVDSPNTDWPECLIPTTQKLKKRTFGIARMDMAVFDAELYAPASGEES</t>
  </si>
  <si>
    <t>MGQTRIIAGEARGRKITVPPEGTRPTSDRAREGLFSSLQVRFGFTGARVLDLFAGSGALGLEAASRGAEAVVLVENDPAAAEVIRRNIEVVKHPNVRVEEMKASTYLAHAPREYFDMVLADPPYELIDESVREMLEALIPTLVDGAAVVVERNVNSPETDWPECFIPTTQKLKKRTYGIARMDMAVYHADL----AGEED</t>
  </si>
  <si>
    <t>MGQTRIIAGEARGRKITVPPEGTRPTSDRAREGLFSSLQVRFGFTGARVLDLFAGSGALGLEAASRGAEEVVLVENDPAAAEVIRRNIEVVKHPNVRVEEMKASTYLAHAPREYFDMVLADPPYELIDESVREMLEALIPTLVDGAAVVVERNVNSPETDWPECFIPTTQKLKKRTYGIARMDMAVYHADL----AGEED</t>
  </si>
  <si>
    <t>MGMTRIISGEARGRKLQVPSEGTRPTSDRAKEGLFSSLQVRFGFQDAVVLDLFAGSGALGLEAASRGAAEVVLVESDPHTCAVIRRNAEAVGHPNVQVMQMAASAYVAQAPRKYFDMVLADPPYDLAPETVVEMLEALRPLLVDGAAVVVERHRDSPHTEWPAGYTPTPQKLKKRTFGIARMDMAVFSAD-----DGGEE</t>
  </si>
  <si>
    <t>GC_00000602</t>
  </si>
  <si>
    <t>PF02882.25</t>
  </si>
  <si>
    <t>Tetrahydrofolate dehydrogenase/cyclohydrolase, NAD(P)-binding domain</t>
  </si>
  <si>
    <t>K01491</t>
  </si>
  <si>
    <t>methylenetetrahydrofolate dehydrogenase (NADP+) / methenyltetrahydrofolate cyclohydrolase [EC:1.5.1.5 3.5.4.9]</t>
  </si>
  <si>
    <t>COG0190</t>
  </si>
  <si>
    <t>5,10-methylene-tetrahydrofolate dehydrogenase/Methenyl tetrahydrofolate cyclohydrolase (FolD) (PDB:1A4I)</t>
  </si>
  <si>
    <t>M00377|M00140|M00618</t>
  </si>
  <si>
    <t>Reductive acetyl-CoA pathway (Wood-Ljungdahl pathway)|C1-unit interconversion, prokaryotes|Acetogen</t>
  </si>
  <si>
    <t>Pathway modules; Energy metabolism; Carbon fixation|Pathway modules; Metabolism of cofactors and vitamins; Cofactor and vitamin metabolism|Signature modules; Module set; Metabolic capacity</t>
  </si>
  <si>
    <t>KEGG Orthology (KO)&gt;&gt;&gt;09100 Metabolism&gt;&gt;&gt;09102 Energy metabolism&gt;&gt;&gt;00720 Other carbon fixation pathways [PATH:ko00720]|KEGG Orthology (KO)&gt;&gt;&gt;09100 Metabolism&gt;&gt;&gt;09108 Metabolism of cofactors and vitamins&gt;&gt;&gt;00670 One carbon pool by folate [PATH:ko00670]|Enzymes&gt;&gt;&gt;1. Oxidoreductases&gt;&gt;&gt;1.5  Acting on the CH-NH group of donors&gt;&gt;&gt;1.5.1  With NAD+ or NADP+ as acceptor&gt;&gt;&gt;1.5.1.5  methylenetetrahydrofolate dehydrogenase (NADP+)|Enzymes&gt;&gt;&gt;3. Hydrolases&gt;&gt;&gt;3.5  Acting on carbon-nitrogen bonds, other than peptide bonds&gt;&gt;&gt;3.5.4  In cyclic amidines&gt;&gt;&gt;3.5.4.9  methenyltetrahydrofolate cyclohydrolase</t>
  </si>
  <si>
    <t>------MKLDGTLYRNEIFEELQRDVATLKEHGIVPGLATVLVGDDPASHAYVNMKHRDCESIGVRSIRKDLPADVTQEQLLAVIDELNADPECTGYIVQLPLPKHLDENAVLEHIDPAKDADGLHPVNLGKLVLGEPAPLPCTPNGAIHLLRRFGVEIAGKEVVVIGRGVTVGRPIGLMLTRRSENATVTLCHTGTVDLAKHTREADIIIAAAGVPHMLTADMVKPGAAILDVGVSRKDGKLLGDVAPEVWDTA</t>
  </si>
  <si>
    <t>---MTAIKLDGNLYRDEIFADLSTRVAALKAQGITPGLATVLVGDDPASHAYVKMKHRDCEQIGVRSIRRDLPADISQEDLLRVLDELNADPDCTGYIVQLPLPKHLDENAVLEHIDPSKDADGLHPVNLGKLVLNDPAPLPCTPHGAIALLRRFDVELNGAKVVVIGRGVTVGRPIGLMLTRRSENSTVTLCHTGTKDLAAETQTADVVIAAAGQPHMLTADMIKPGAAVLDVGVSRRDGKLLGDVHPDVWDVA</t>
  </si>
  <si>
    <t>MATMTAIKLDGNLYRDEIFADLATRVQALQEKGITPGLATVLVGDDPASHAYVKMKHRDCEQVGVKSIRKDLPADISQEELHAVIDELNADPACTGYIVQLPLPKHLNENAVLERIDPAKDADGLHPVNLGKLVLNEPAPLPCTPNGAIHLLKRYGVETVGKKVVVIGRGVTVGRPIGLMLTRKTENATVTLCHTGTQDLKAETIAADIIVAAAGKGHMLTADMVKPGAAVLDVGVSRVDGKLLGDVHPDVWAVAGHVSPNPGGVGPLTRAFLVRNVVERAEQQLEQNG</t>
  </si>
  <si>
    <t>MATMTAIKLDGNLYRDEIFADLATRVQALQEKGITPGLATVLVGDDPASHAYVKMKHRDCEQVGVKSIRKDLPADISQEELHAVIDELNADPACTGYIVQLPLPKHLNENAVLERIDPAKDADGLHPVNLGKLVLNEPAPLPCTPNGAIHLLKRYGVESVGKKVVVIGRGVTVGRPIGLMLTRKTENATVTLCHTGTQDLKAETIAADIIVAAAGKGHMLTADMVKPGAAVLDVGVSRVDGKLLGDVHPDVWAVAGHVSPNPGGVGPLTRAFLVRNVVERAEQQLEQNG</t>
  </si>
  <si>
    <t>GC_00000603</t>
  </si>
  <si>
    <t>K02071</t>
  </si>
  <si>
    <t>D-methionine transport system ATP-binding protein</t>
  </si>
  <si>
    <t>COG1135</t>
  </si>
  <si>
    <t>ABC-type methionine transport system, ATPase component (AbcC) (PDB:6CVL)</t>
  </si>
  <si>
    <t>-----MATGTRVEFRDLTKVFDTK---GGSVTALDNINLSVEPGEVIGIIGYSGAGKSTLVRMINGLETPTSGQVLVGETNIVGMPEKKLRDVRRGIGMIFQQFNLLTSRTAAGNIEYPLQLAGMPKRERQARVNELLEFVGLSDRGNNYPEQLSGGQKQRVGIARALATNPQLLLADEATSALDPDTTQEVLKLLRKVNKELGITIVVITHEMDVVRSIADKVAVMEDGRVVEFGSVYDVFSAPKTDVAQRFVA</t>
  </si>
  <si>
    <t>MTSPDTPQGTRVEFRNLSKVF------NRTTTALSDVNLTIEPGEIIGIIGYSGAGKSTLVRMINGLDTPTSGDVLLDGVNIVNMPERELRGLRRKIGMIFQQFNLFSSRTAAGNIAYPLKLAGVDKHKREQRVQELLEFVGLADKGTSYPEELSGGQKQRVGIARALATNPRLLLADESTSALDPETTHDVLELLRRVNKEFGITIVVITHEMDVVRSIADRVAVMESGRIVEYGSVYEVFSNPRTDVAKKFVATSLRNTPDLVEADDLLIHEGRLFTIDLSENSGFFASSAAAREKGVGISIVHGGITTLQGHSFGKVTVRLTGPDDVINEFYERISRNTDIEEIVR</t>
  </si>
  <si>
    <t>------MIGTQIEFKNLSKTFPSRKKGAENVVALSDINLTVAPGEIIGIIGYSGAGKSTLVRMINGLDTPTSGEVLLDGTNIVGMKEKELRAVRRNIGMIFQQFNLMNSRTAAGNIDYPLKLAGIPKDERDERVAELLDFVGLSDRGNNYPEQLSGGQKQRVGIARALASNPALLLADEATSALDPETTHEVLHLLRKVNQDLGITIVVITHEMEVVRAIADKVAVMENGKIMEYGTTYEVFSNPKTVVAQKFVA</t>
  </si>
  <si>
    <t>------MIGTQIEFKNLSKTFPSRKKGAENVVALSDINLTVAPGEIIGIIGYSGAGKSTLVRMINGLDTPTSGEVLLDGTNIVGMKEKELRAVRRNIGMIFQQFNLMNSRTAAGNIDYPLKLAGIPKDERDERVAELLDFVGLSDRGSNYPEQLSGGQKQRVGIARALASNPALLLADEATSALDPETTHEVLHLLRKVNQDLGITIVVITHEMEVVRAIADKVAVMENGKIMEYGTTYEVFSNPKTVVAQKFVA</t>
  </si>
  <si>
    <t>GC_00000604</t>
  </si>
  <si>
    <t>PF00171.27</t>
  </si>
  <si>
    <t>Aldehyde dehydrogenase family</t>
  </si>
  <si>
    <t>K00147</t>
  </si>
  <si>
    <t>glutamate-5-semialdehyde dehydrogenase [EC:1.2.1.41]</t>
  </si>
  <si>
    <t>COG0014</t>
  </si>
  <si>
    <t>Gamma-glutamyl phosphate reductase (ProA) (PDB:4GHK)</t>
  </si>
  <si>
    <t>KEGG Orthology (KO)&gt;&gt;&gt;09100 Metabolism&gt;&gt;&gt;09105 Amino acid metabolism&gt;&gt;&gt;00330 Arginine and proline metabolism [PATH:ko00330]|KEGG Orthology (KO)&gt;&gt;&gt;09100 Metabolism&gt;&gt;&gt;09110 Biosynthesis of other secondary metabolites&gt;&gt;&gt;00332 Carbapenem biosynthesis [PATH:ko00332]|Enzymes&gt;&gt;&gt;1. Oxidoreductases&gt;&gt;&gt;1.2  Acting on the aldehyde or oxo group of donors&gt;&gt;&gt;1.2.1  With NAD+ or NADP+ as acceptor&gt;&gt;&gt;1.2.1.41  glutamate-5-semialdehyde dehydrogenase</t>
  </si>
  <si>
    <t>MSSITEVVHSTLL------------SARAASRKLAVASTAVKNAVLERAAASLIDDAEVILAANERDVATGQAAGMDDSLVDRLRLDRERLEGIAGGLSQLVAAPDPVGEVLGGRTLPNGLRLQKVRVPLGVMGMIYEARPNVTVDAFGLALKSGNAAVLRGSRSAEQSNRALVALLQDAAVAEGLPRECVQLLPVD-YESIDALLSARGLVDVVIPRGGAGLIERVVTTSTVPVIETGTGNCHVFVDRDADVDMAIKVLLNGKTRRVSVCNATETVLVDAALPAAAQQRIVDALESAGVRVHA--EQLEGLEFRSRVEATERDWQEEYLSMDIALARVDGVDAAVDHIARFSSGHTDAIVTDSVSTADYFVARVDSAVVNVNASTAFSDGEQFGMGAEIGISTQKLHARGPMGLPELTAMKWIVRGDGHTRP</t>
  </si>
  <si>
    <t>----------MAR------------AAKDVAQALANASTEDKNRILNDAAAALEARASDIMAANERDIRAGREAGLSEALIDRLALTSERVKGIADGLRQVASLPDPVGDVVAGRTLANGLRIRQVRVPLGVMGMVYEARPNVTVDAFGLALKSGNVALLRGSQSAWHSNKQLVEILQETLAEHGFPREVVQLLPCETRESVQDLITARGLVDVVIPRGGAGLIAAVVENATVPTIETGSGNCHLYVDGEADVDE</t>
  </si>
  <si>
    <t>MDTPQKPTHNTTRESERSEVLAKAEAAKRAAPIVAKLKSGEKNAVLLAAADALETRADDILAANQDDINAGKAVGMSDSLIDRLRLDKERIRGIADGLRQVAALTDPVGEVLRGSVMPNGIQMRQVRVPLGVMGMVYEARPNVTVDAFGLALKSGNVALLRGSKSANHTNMQLVAILQNVAEQHGLPAETVQLLPCATHESVQDLITARGLVDVVIPRGGAGLINAVVMGATVPTIETGTGNCHVYIDRDADLGQAITILLNSKIRRCSVCNAAETVLIDTHLSDENKLSIITALQDAGVTIHGDPEELAAFGATAIVPATNTDWTDEYLSMDIAARIVDGIDGALDHIRRYSSGHTEAICTTNITTAQRFADEVDSAAVMINASTAFTDGEQYGMGAEIGISTQKLHARGPMALPELTSTKWILHGTGQTRP</t>
  </si>
  <si>
    <t>MDTPQKPTHDTTRESERSEVLAKAEAAKRAAPIVAKLKSGEKNAVLLAAADALETRADDILAANQDDINAGKAVGMSESLIDRLRLDKERIRGIADGLRQVAALTDPVGQVLRGSVMPNGIQMRQVRVPLGVMGMVYEARPNVTVDAFGLALKSGNVALLRGSKSANHTNMQLVAILQTVAEQHGLPAETVQLLPCATHESVQDLITARGLVDVVIPRGGAGLINAVVMGATVPTIETGTGNCHVYIDRDADLGQAITILLNSKTRRCSVCNAAETVLIDTHLSDENKLSIITALQDAGVTVHGDPEELAAFGATAIVPATNTDWTDEYLSMDIAARTVDGIDGALDHIRRYSSGHTEAICTTNITTAQRFADEVDSAAVMINASTAFTDGEQYGMGAEIGISTQKLHARGPMALPELTSTKWILHGTGQTRP</t>
  </si>
  <si>
    <t>GC_00000605</t>
  </si>
  <si>
    <t>MSSLKSLGQLTAAIAAAGLATALTLTPLAVLGGAGVSRAEETMDSNLTDLTEGSAPGVTTINDAAGESIAWIYKQRRFDVPSNQIAKPMKQAIVSVEDRRFYEHEGVDWKGALRAMGRNIIKGAVSEGASTIDQQYVKNYLLLVDAEDEAEQQLAVEQSIPRKLREMRMASDLDRRHDKDEILARYLNIVPFGNGAYGVEAASRTYFGIHASELSVAQAAMLAGIVQSSSLLDPYTNPEGVAERRATVLDTMVESGAITIEQAQAIKQEPLGVLEQPQGLPNGCIAAGDRGFFCDYVLDYLSKKGLDFDEVATGAYTIDTTLDPATQAAARQAVTSQVSPTTPGVAEVMNVVEPGEKSRKVVAMASSRDYGLDLDAGQTVLPQPFTRVGAGAGSVFKVFTAAVALEKGMGVDTMVDVPPRFEARGMGDGGAKNCPPDTYCVENSGLYKPQMTLKQALAQSPNTTFVKLIEQLGVSNVVDMSVSLGLRDYVEPGSFDGE-SSIAEYVKSHNLGSYTLGPTAVNPLELANVSATIASGGMWCEPNPINKVLDRHGQAVDLDVPDCERAVPENVAAALANALSEDVV-DGTAADAAKAAGWRAPTAAKTGTTESHFSAAFMGFNSRLAAVPYVYNDGVTPTPLCTSPLRQCPDGDLYGGMEPARTWFAAARGIPGAADGVLPAMDPKFGRGLGVSDLPSVRGLSEGDARKRLEKAGYKVSITFVPGDGMPRGRVVGIRTGEAVMQGDTLTLELSDGSSRPSAPPSPAQPEVQVGNDVADDLGAVIDDLLRSLGAN</t>
  </si>
  <si>
    <t>---MKSLTNVCAAVLAAGVASALSLAPLAGLSGMALAKTQETMTANLTDLTNGDAPTVTTVTDDAGSPIAWLYNQRRINVEGDQISPVMKQAIVSIEDRRFYEHKGVDWQGTIRAMAANMFSGAVEQGASTIDQQYVKNYLLLVDAKDESEQIAATETSYARKIREMRMASDLEERLSKDEILTRYLNIVPFGSGAFGIESAAKTYFGISAKDLNVPQSAMLAGIVQSSSYLNPYTNKQAVIDRRNTVLDTMVSS</t>
  </si>
  <si>
    <t>------MSQIIGAAVAVGLTAAVALTPMAALGGVAAKRTNETMQSNLQDLTEGATPGVTTITDKNGTPFAWVFGQRRYEIKSEDIPQAMKDAIVSIEDRRFYEHKGVDIQGNIRAVLTNFVAGGVEQGASTLDQQYVKNYLLLATARTDEERQAATEQSIPRKLREMRMASAIDKMLSKDEVLTRYLNLVPFGNHAYGIEAAARVYFGKHAKELNVPQSAMLAGMVQSSSVLNPYTNEEGVKERRSTVLDEMARL</t>
  </si>
  <si>
    <t>GC_00000606</t>
  </si>
  <si>
    <t>PF10939.13</t>
  </si>
  <si>
    <t xml:space="preserve">Protein of unknown function (DUF2631)   </t>
  </si>
  <si>
    <t>MAGK-STIVPEVHNGVSTLDEPSAAWGWHDIGRGPIQIAGWISVLFLLAYNFGNHKGHVETIWLFAIAALIVVGLLIQLFQPKLNQVRTVTARNKPIGHEEPDWAYLQHTMAGPYAELTDSQIRSLNIEPSTVKNRKAVEG</t>
  </si>
  <si>
    <t>MAGSHHEIAPEVHNGVSTLDEPSAAWGWHHIGQNAVQIAGWISVFVLLGYNFGNHKGHVETIFLFVFAALIAVGLLIQLFEPKGTQARTLTAHNKPIGHVEPDWTYLQATCTGPYAELTDKELRALNIEPSRVAHLRSLEK</t>
  </si>
  <si>
    <t>GC_00000607</t>
  </si>
  <si>
    <t>PF03993.17</t>
  </si>
  <si>
    <t>Domain of Unknown Function (DUF349)</t>
  </si>
  <si>
    <t>MSTNSSSTTPAPKPGPRPGAHILPSAVPKKTPAAAPAPSTARPASTL---AQIKKFGRIDDNGDVYVRTATDERLIGSWQAGSVEEGLLHYGHRYDDLATEIELLNVRLASHPAEAATLRAQAEAIADTLGSAAVIGDIALLERQLAGIITDSFTAEEQAKETKAQQRAQAIARKEQLVAEAEELAAHSTEWKKAGDRLRDILEEWRTIKGVDRSTDDALWKRYSEARDSFNHRRGAHFSELDKTRAAAKRAKEELVERAEALKDSTDWAETARAYRDLMSEWKKAGRAHREADDRLWAQFKAAQDHFFGARDAEAREKDEKFEANAAAKDALIAEYTPLIDPATDLEGARLKLRELQDKWEAIGYVPRGRVSEYEDKIAALERTVSDYADAQWRRTDPEAQARVKQFQDKVEELQAQVQAAEASGKTAQAADLRAQAEQWSQWAQAAAEALEQR</t>
  </si>
  <si>
    <t>-----MTTTPTPKPGPRPG------PRPGVTPAVRTQAA-ARPTVH----RDPTRWGRIDDDGSVYVITASGERLIGSWQAGTREEGLAHYHTRFEDLVTEVELLENRLKAHPDDAAAIRGNAETLRATLPTAAAIGDLDSLDTRLAGVIRDSESADEKVKADRAQRRVEATARKEALVEEAEQIGESSEDWKSAGDRLREIFEEWKTIRGVDRKTDDVLWKRYSRARDAFNRRRGSHFAELDRSRAAARKLKED</t>
  </si>
  <si>
    <t>-----MTTTPTPKPGPRPG------PRPGVTPAVRTQTA-ARPTVH----SDPTRWGRIDDDGSVYVITASGERLIGSWQAGTREEGLAHYHTRFEDLVTEVELLENRLKAHPDDAAAIRGNAETLRATLPTAAAIGDLDSLDTRLAGVIRDSESADEKVKADRAQRRVEATARKEALVEEAEQIGESSEDWKSAGDRLREIFEEWKTIRGVDRKTDDVLWKRYSRARDAFNRRRGSHFAELDRSRAAARKLKED</t>
  </si>
  <si>
    <t>-----MTTPHPPKPGPRPGVVAGGVSRP-TAPTPTAQPA-ARPAVTIPAASDPAEWGRVDESGNAYVKTTDGERLIGSWQAGTPAEGLAHYGARFDDLVVEVINLETRLQSHPTESAHLRGKAEQLRDSLDEAAVIGDVESLRSRLTKFMDEAIVAGERAKEEKQARRQAAIARKEELAAEAEDIAENSTEWKQAGDRIRAILDEWRTIRGVDRKTDDALWKRYSRARDSFNRRRGAHFAELDRGRASAQRVKEG</t>
  </si>
  <si>
    <t>GC_00000608</t>
  </si>
  <si>
    <t>PF00572.24</t>
  </si>
  <si>
    <t>Ribosomal protein L13</t>
  </si>
  <si>
    <t>K02871</t>
  </si>
  <si>
    <t>large subunit ribosomal protein L13</t>
  </si>
  <si>
    <t>COG0102</t>
  </si>
  <si>
    <t>Ribosomal protein L13 (RplM) (PDB:1VS6)</t>
  </si>
  <si>
    <t>MSTFHPKSGDITRKWYVIDATDVVLGRLASQVADLLRGKGKPYFAPNVDCGDYVIIVNADKVHISSNKRDREFRYRHSGYPGGLTTMTLGRSMELHPERVVFEAIEGMMPHNKLTRQSVKKLRVFAGAEHPYAAQKPETYEIKQVAQ</t>
  </si>
  <si>
    <t>MSTYYPKSGEITRKWYVIDATDMILGRLAVVAANLLRGKGKPQYTPNIDCGDHVIIINADKVAVSGNKREREFRYRHSGYPGGLKALTLGRSLELHPERVVEEAIKGMMPHNKLSRASAKKLRVFAGSEHPYAAQKPETYEIKQVAQ</t>
  </si>
  <si>
    <t>MSTYYPKSGEITRKWYVIDATDMILGRLAVVAANLLRGKGKPQYTPNIDCGDHVIIINADKVAVSGNKREREFRYRHSGYPGGLKALTLGRSLELHPERVVEEAIKGMMPHNKLSRASAKKLRVFAGPEHPYAAQKPETYEIKQVAQ</t>
  </si>
  <si>
    <t>MSTYHPKAGDITRKWYVIDATDVVLGRLAVTAADLLRGKRKPYFTPNVDCGDHVIIINADKVRVSSNKREREFRYRHSGYPGGLKVMTLGRSLELHPARVIEESIRGMMPHNRLSRASAKKLHVFAGSEHPYAAQKPETYEIKQVAQ</t>
  </si>
  <si>
    <t>GC_00000609</t>
  </si>
  <si>
    <t>K03628</t>
  </si>
  <si>
    <t>transcription termination factor Rho</t>
  </si>
  <si>
    <t>COG1158</t>
  </si>
  <si>
    <t>Transcription termination factor Rho (Rho) (PDB:1PVO)</t>
  </si>
  <si>
    <t>ko00001|ko03021|ko03019</t>
  </si>
  <si>
    <t>KEGG Orthology (KO)&gt;&gt;&gt;09120 Genetic Information Processing&gt;&gt;&gt;09123 Folding, sorting and degradation&gt;&gt;&gt;03018 RNA degradation [PATH:ko03018]|Transcription machinery&gt;&gt;&gt;Prokaryotic type&gt;&gt;&gt;Bacterial type&gt;&gt;&gt;Other transcription-related factors&gt;&gt;&gt;Transcription termination factor|Messenger RNA biogenesis&gt;&gt;&gt;Prokaryotic type&gt;&gt;&gt;Bacterial mRNA degradation factors&gt;&gt;&gt;RNA degradosome components&gt;&gt;&gt;Other RNA degradosome components</t>
  </si>
  <si>
    <t>MTEKDTT----------QDLSALRIPELRSLAQSMGIRGLSGLRKGELIDKINAAGGGAGAKEAAA--------------------EAKNTKEDSSQNTKEETE-AREAREAR-----------------------------------------EAHYESRAAARRARRNRARQKNSDNGDSSTDEQRQERNERPE--------------------NSNERNDRGGERNDRNDRNG--DRSDRNDRGDR-NDRSERGNRRNRRNR-------------RDRDNRDNRDNRDDNVAPEDLQPVAGILDIVDSNVAFVRTTGYHASSADVFVSNQMIRRLGLRRGDAIVGQVKM-REQTNVGN---GRNRQKYNSLMRVDTINGLSVDDARQRPDFSKLTPLYPNQRLRLETDPKILTTRVIDLIMPIGKGQRALIVSPPKAGKTTILQNIANAIATNNPECYLMVVLVDERPEEVTDMQRSVKGEVIASTFDRPPSEHTTVAELAIERAKRLVEQGQDVVVLLDSITRLGRAYNNSSPASGRILSGGVDSNALYPPKRFLGAARNIENGGSLTIIATAMVETGSAGDTVIFEEFKGTGNAELKLDRKISERRVFPAVDVNPSGTRKDELLLGPDEARLMHKLRRILSALDNQQAIDLLIKQLKKTKNNAEFMMQLASSAPLAAAEDEEN-</t>
  </si>
  <si>
    <t>MTDTDITATDSTSGAQQQNLSALRLPELRQIAQRMGIRGTSTLRKGALIEAIQSNGASLAKPARET--------------------ASEAAEAVEAAGTTEPTKAPTRRRATKRVAAASDDAASSSSASDAAAAADEASTNAPAESSNTGDGE-EVRYESRSAARRARRNRARMNQREQRDKERGQQRNASGARDSRDTDDAAPA---ADTSADSAGNTANTSDDNARQDGNRDNQQDRRQQRNYRDDDGDDRRGRRNNRRERPR-------------RGRDNRNDDEVREDDV----LQNVAGILDIVDNNVAFLRTSGYQSGPADVFVTQQMIRRLGLRRGDAIIGQVKAPREGQNNYQG--GRNRQKYNPLVRVDTINGMTVEEARQRPEFSKLTPLYPNQRLRLETDPKILTTRVIDLIMPIGKGQRALIVSPPKAGKTTILQNVANAIAKNNPECYLMVVLVDERPEEVTDMQRSVHGEVIASTFDRPPSEHTTVAELAIERAKRLVEQGQDVVVLLDSITRLGRAYNNSSPASGRILSGGVDSNALYPPKRFLGAARNIENGGSLTIIATAMVETGSAGDTVIFEEFKGTGNAELKLDRRISERRVFPAVDVNPSGTRKDELLLAPEEARIMHKLRRILSNLDNQQAIDLLIKQLKKTKSNGEFLMQIASSAPMAGDVEEDFS</t>
  </si>
  <si>
    <t>MTTTDNGA--------PRNLAAMRLPELRKLAADLGLKGVSALRKGALIAAITNASGDSPAPAADANAAKPRQTRTPRRKDTKPVDDAPAAEADNAPEASEDHK-PRRRRATR-----------TEHPGDGRAGDDTTDTNTTSEDTHDGDTEGETRYESRSAQRRARRNRARREERENRGDRNERRQHSRTDTDDANTSDNATTSGDADTEADSGDNHDRFDRGSDRTDRNDRNQRYDRNDRNDRNDRDDDRRGRRGRRNRRGRDRDNDNYDNDNRNDNRDNQNSRDNRDDQ-----LQVVAGILDVVDNNVAFVRTSGYHAGPADVYVNSQMVRRLGLRSGDAITGSVRM-TDTNDRYNNNRGRNRQKYNPLARVDSVNGMTVEEAKNRPEFNKLTPLYPNQRIRLETEPGILTTRVIDLIMPIGKGQRALIVSPPKAGKTTILQNIANAIATNRPECYLMVVLVDERPEEVTDMQRSVKGEVIASTFDRPPAEHTAVAELAIERAKRLVEQGQDVVVLLDSITRLGRAYNNSSPASGRILSGGVDSNALYPPKRFLGAARNIENGGSLTIIATAMVETGSAGDTVIFEEFKGTGNAELKLDRKIAERRVFPAVDIGPSGTRKDELLLAPEEARVMHKLRGILSVLDNQQAIDTLIAQLKKYKTNGEFLAQVAAQRAFMSNGED---</t>
  </si>
  <si>
    <t>MTTTDNGA--------PRNLAAMRLPELRKLAADLGLKGVSALRKGALIAAITNASGDSPAPAADANAAKPRQTRTPRRKDTKPVDDAPAAEADNALEASEDHK-PRRRRAVR-----------TEHPGDGRAGDDTADTNTTSEDTHDGDTEGETRYESRSAQRRARRNRARREERENRGDRNERRQHSRTDTDDANTSDNATTSGDADTEADSGDNHDRFDRGSDRTDRNDRSQRYDRNDRNDRNDRDDDRRGRRGRRNRRGRDRDNDNYDNDNRNDNRDNQNSRDNRDDQ-----LQVVAGILDVVDNNVAFVRTSGYHAGPADVYVNSQMVRRLGLRSGDAITGSVRM-TDTNDRYNNNRGRNRQKYNPLARVDSVNGMTVEEAKNRPEFNKLTPLYPNQRIRLETEPGILTTRVIDLIMPIGKGQRALIVSPPKAGKTTILQNIANAIATNRPECYLMVVLVDERPEEVTDMQRSVKGEVIASTFDRPPAEHTAVAELAIERAKRLVEQGQDVVVLLDSITRLGRAYNNSSPASGRILSGGVDSNALYPPKRFLGAARNIENGGSLTIIATAMVETGSAGDTVIFEEFKGTGNAELKLDRKIAERRVFPAVDIGPSGTRKDELLLAPEEARVMHKLRGILSVLDNQQAIDTLIAQLKKYKTNGEFLAQVAAQRAFMSNGED---</t>
  </si>
  <si>
    <t>GC_00000610</t>
  </si>
  <si>
    <t>PF12401.13</t>
  </si>
  <si>
    <t>FhaA, N-terminal domain</t>
  </si>
  <si>
    <t>MSLLGKMAKLDSSLQRGLDNSFAFVFGGKVVPAEIEEALRQEAEDNVTKTYEGTVEVPNVFRVSLSSKDICGIPDEA---AADFADRMTRLCRNNGWSVPGPIRVDLVEDSSLRSGQLKTSSSSEAQPQ-------------------------------------------------------------------------------------------------TVTLLLQDGSSRTYAVHEGSNIIGRGQQADFRLPDTGVSRQHAEVTWDGRDAVLVDLQSTNGTTVNDMKIDNWLLGDGDVITVGHSQLEVRITGR</t>
  </si>
  <si>
    <t>MSVMGRFAKLDSSLQRGLDNGFAFVFGGKVVPAEIEELLKQEAEDNVVHTYEGFVEVPNEFRVAVSPKDFKNLSSQAPTLPGDFADRLSRFFRNQRWVAAGPVVVEIFSEQGLRTGQLKAESRADAGTQLVSGFEGVDAPQAGHQESRHEPQQAPQRRQETRRRDPQPQYPQQPQAAPYTAAPRIDVPSAAPAAPAAAPDRQSSYEYPETVVVAAGSMHGTPEKNPVVSLLLQDGSSRSYMVQEGSNIIGRSNEADFRLPDTGVSRKHAEITWDGRDAILVDLQSTNGTAVNDMPIENWLLADGDVIAIGHSYIEVRIVED</t>
  </si>
  <si>
    <t>MSVMGRFAKLDSSLQRGLDNGFAFVFGGKVVPAEIEELLKQEAEDNVVHTYEGFVEVPNEFRVAVSPKDFKNLSSQAPTLPGDFADRLSRFFRNQRWVAAGPVVVEIFSEQGLRTGQLKAESRADAGTQLVSGFEGVDAPQAGHQESRHEQRQAPQRRQETRRRDPQPQYPQQPQAAPYTAAPRIDVPSAAPAAPAAAPDRQSSYEYPETVVVAAGSMYGTPEKNPVVSLLLQDGSSRSYMVQEGSNIIGRSNEADFRLPDTGVSRKHAEITWDGRDAILVDLQSTNGTAVNDMPIENWLLADGDVIAIGHSYIEVRIVED</t>
  </si>
  <si>
    <t>MSFMGKIAKLDSAMQRGLDNSFAYVFGGRVVPAEIEELLKQEAEDNLVRTYEGTTEAPNVFAVRISPKDFANLSNEHPNLGTDFADQLTRYFRNNGWITPGPVTVTIQSDDSLRTGQRRADSSVSHTPEYGSGFLGLDSFQNNYSNTPNNTSNAAWAESDYQDQQYDQQYSESYTS--NESEPEVSNNPITEQMSAQAPGPQ-------------------PRPTSAVSLLLQDGSSRTYYVNEGSNIIGRGNDVDFRLPDTGVSRKHAEIIWNGQDAILVDLQSTNGTTVNDTPIENWLLADGDVITVGHSHIEVRIVN-</t>
  </si>
  <si>
    <t>GC_00000611</t>
  </si>
  <si>
    <t>K01925</t>
  </si>
  <si>
    <t>UDP-N-acetylmuramoylalanine--D-glutamate ligase [EC:6.3.2.9]</t>
  </si>
  <si>
    <t>COG0771</t>
  </si>
  <si>
    <t>UDP-N-acetylmuramoylalanine-D-glutamate ligase (MurD) (PDB:1E0D)</t>
  </si>
  <si>
    <t>KEGG Orthology (KO)&gt;&gt;&gt;09100 Metabolism&gt;&gt;&gt;09106 Metabolism of other amino acids&gt;&gt;&gt;00470 D-Amino acid metabolism [PATH:ko00470]|KEGG Orthology (KO)&gt;&gt;&gt;09100 Metabolism&gt;&gt;&gt;09107 Glycan biosynthesis and metabolism&gt;&gt;&gt;00550 Peptidoglycan biosynthesis [PATH:ko00550]|Enzymes&gt;&gt;&gt;6. Ligases&gt;&gt;&gt;6.3  Forming carbon-nitrogen bonds&gt;&gt;&gt;6.3.2  Acid-D-amino-acid ligases (peptide synthases)&gt;&gt;&gt;6.3.2.9  UDP-N-acetylmuramoyl-L-alanine---D-glutamate ligase|Peptidoglycan biosynthesis and degradation proteins&gt;&gt;&gt;Precursor biosynthesis&gt;&gt;&gt;Amino acid ligase</t>
  </si>
  <si>
    <t>-------MCEFSAESLGRVVVAGAGVSGAGCARLLARVGADVRVADDNETARFRVQEATEVEAWSTAQLRESLDSVDLVVTSPGWRPDSAVLVAAAEAGVEVIGDVELAWRLDSAGACGAPRTWLAITGTNGKTTTTAMAAAMLSEGGFKAEAVGNIGVSVSDALLAEPRIDVIVAELSSFQLHWSSTIHPAAGVLLNLADDHIDWHGSFDAYALAKAKLLDSDVAIISRDDAAVVRVAGARDVIAFGSGIPLDG</t>
  </si>
  <si>
    <t>-----MTSPQLPTELHGNVLVAGAGISGAGSARMLVDLGASVTVADDDETARLRVSEITGADNTSVTDV--DLSRYSCVVTSPGWRPTTPLLVDAANQGIPVIGDVELCWRLDRSGVFGPPRTWLAVTGTNGKTTTTAMLAAMMN-----TVPVGNIGVAVSDALTSGN--DILVVELSSFQLHWSSTIRPAAGCLLNLADDHIDWHGSFDNYRADKAKVLLGDVAVVGIDDPNL----AGYDAIGFTLSAPARG</t>
  </si>
  <si>
    <t>MTSTLNKTPNLPEILSGTVLVTGAGISGVGIARLLADLNVDVLIADTNETARDRAMEVADVAGIHPDQALAELSRFSCVVTSPGWRPDTPLLRAAQAVGLEVLGDVELCYRLDRASVFGPPRTWMVVTGTNGKTTTTSMLASIMQHAGYQAEAVGNIGVSVAEAVSAPQRIDVLVAELSSFQLHWSSQLVPDVGVLLNLAEDHIDWHGSMAAYAAAKAKVLAAPLAIAGLDD-TLVQQYVTTPVMGFTMHPPQVGQVGVTNGTIVDNLHGTPRNIVPVAGLEPPGPAGIYDALAATAAAVALVPDLQPSVIAQALQSFKVAGHRGQQVAEARGIVAIDNSKATNPHAADSALAGHDSVIWVAGGQLKGAEVDDLIARHAHRLKAVALMGVDRNIIRESVEKHAPGVPIFVTDDTDPQSAMDAVCAWAVTQASSGDAIVLAPAAASLDMYTGMGQRGVLFAESVSAHLGGVAPK</t>
  </si>
  <si>
    <t>MTSTLNKTPNLPEILSGTVLVTGAGISGVGIARLLADLNVDVLIADTNETARDRAMEVADVAGIHPDQALAELSRFSCVVTSPGWRPDTPLLRAAQAAGLEVLGDVELCYRLDRASVFGPPRTWMVVTGTNGKTTTTSMLASIMQHAGYQAEAVGNIGVSVAEAISAPQRIDVLVAELSSFQLHWSSQLVPDVGVLLNLAEDHIDWHGSMAAYAAAKAKVLAAPLAIAGLDD-ALVQQYVTTPVMGFTMHPPQAGQVGVTNGTIVDNLHGTTRNIVPVAGLEPPGPAGIYDALAATAAAVALVPDLQPSVIAQALQSFKVAGHRGQQVAEARGIVAIDNSKATNPHAADSALAGHDSVIWVAGGQLKGAEVDDLVAHHAHRLKAVALMGVDRNIIRESVEKHAPGVPIFVTDDTDPQSAMDAVCAWAVTQASSGDAIVLAPAAASLDMYTGMGQRGVLFAESVSAHLGGVAPK</t>
  </si>
  <si>
    <t>GC_00000612</t>
  </si>
  <si>
    <t>PF00177.27</t>
  </si>
  <si>
    <t>Ribosomal protein S7p/S5e</t>
  </si>
  <si>
    <t>K02992</t>
  </si>
  <si>
    <t>small subunit ribosomal protein S7</t>
  </si>
  <si>
    <t>COG0049</t>
  </si>
  <si>
    <t>Ribosomal protein S7 (RpsG) (PDB:4V4H)</t>
  </si>
  <si>
    <t>MRKGAAPKRPVVKDPVYGSEVVSQLVNKVLLDGKKSTAERIVYNALEICREKTGTDPVGTLEKALGNIKPDLEVRSRRVGGATYQVPVEVRPGRANTLALRWLVTFTRQRRENTMTERLANEILDAANGLGASVKRREDTHKMAEANRAFAHYRW</t>
  </si>
  <si>
    <t>MRKGAAPKRPVVKDPVYGSETVSQLVNKVLLDGKKSVAERIVYNALEICREKTGTDPVLTLEKALGNVKPDLEVRSRRVGGATYQVPVEVRPGRANTLALRWLVTFTRQRRENTMTERLAHEILDAANGLGASVKRREDTHKMAEANRAFAHYRW</t>
  </si>
  <si>
    <t>MRKNAAPKRPVVKDPVYGSEVVTQLVNKVLLDGKKSVAERIVYGALEKCKEKTGTDPVLTLEKALGNIKPEFEVRSRRVGGATYQVPVEVRAARANTLALRWLVTFTRQRREKTMIERLANEILDAANGLGASVKRREDTHKMAEANRAFAHYRW</t>
  </si>
  <si>
    <t>GC_00000613</t>
  </si>
  <si>
    <t>PF02219.23</t>
  </si>
  <si>
    <t>Methylenetetrahydrofolate reductase</t>
  </si>
  <si>
    <t>K00297</t>
  </si>
  <si>
    <t>methylenetetrahydrofolate reductase (NADH) [EC:1.5.1.54]</t>
  </si>
  <si>
    <t>COG0685</t>
  </si>
  <si>
    <t>5,10-methylenetetrahydrofolate reductase (MetF) (PDB:1B5T)</t>
  </si>
  <si>
    <t>M00377|M00618</t>
  </si>
  <si>
    <t>Reductive acetyl-CoA pathway (Wood-Ljungdahl pathway)|Acetogen</t>
  </si>
  <si>
    <t>Pathway modules; Energy metabolism; Carbon fixation|Signature modules; Module set; Metabolic capacity</t>
  </si>
  <si>
    <t>KEGG Orthology (KO)&gt;&gt;&gt;09100 Metabolism&gt;&gt;&gt;09102 Energy metabolism&gt;&gt;&gt;00720 Other carbon fixation pathways [PATH:ko00720]|KEGG Orthology (KO)&gt;&gt;&gt;09100 Metabolism&gt;&gt;&gt;09108 Metabolism of cofactors and vitamins&gt;&gt;&gt;00670 One carbon pool by folate [PATH:ko00670]|Enzymes&gt;&gt;&gt;1. Oxidoreductases&gt;&gt;&gt;1.5  Acting on the CH-NH group of donors&gt;&gt;&gt;1.5.1  With NAD+ or NADP+ as acceptor&gt;&gt;&gt;1.5.1.54  methylenetetrahydrofolate reductase (NADH)</t>
  </si>
  <si>
    <t>MSENLAQQTSGQSRTQLQLPILQAINLPAPGRVPFSVEFMPPRDDAAENRLWRAAETFHDLGAAFVSVTYGAGGSTRQRTARIAHRLTQQPLTTLVHLTLVDHSTDELVEILKGYAEQGLTNLLALRGDPPG-DPLGDWQACEDGLSYASELIDLVGQIPECSRFEVGIASFPEGHYRAKDLEEDTFYTLAKLRAGAQYSITQMFFDVEHYLRLRDRLAAADPEHGSKPVIPGLMPITSLRSVRRQVELSGAQLPAGLESRLERAAAGDPDKAAEEVRKVGIEVTTQMAERLISEGAPDLHFMTLNFARATQEVLHNLGMAPAWGPDQGHDAVR</t>
  </si>
  <si>
    <t>---MTQQPLPEPTPARYQRSITDVISSPAPGRIPFSVEFMPPRNDEAETRLRTAAETFHDLGVAFVSVTYGAGGSSRDRTMRIAQDLARMPLTTLVHLTLVGHTEAELVEILSDYASLGLSNLLALRGDPPGADPLGEWTPVPGGYRYAEELIWLTKRLEATKHFQVGIAAFPEGHHQSESLAADTKYTLAKLRAGAEFSITQMFFDADYYLRLRDRLVAADAELGSRPIIPGIMPITSLKSVRRQLQLSGAKLP</t>
  </si>
  <si>
    <t>---MTQQPLPEPTPARYQRSITDVISSPAPGRIPFSVEFMPPRNDEAETRLRTAAEIFHDLGVAFVSVTYGAGGSSRDRTMRIAQDLARMPLTTLVHLTLVGHTEAELVEILSDYASLGLSNLLALRGDPPGADPLGEWTPVPGGYRYAEELIWLTKRLEATKHFQVGIAAFPEGHHQSESLAADTKYTLAKLRAGAEFSITQMFFDVDYYLRLRDRLASADAELGSRPIIPGIMPITSLKSVRRQLQLSGAKLP</t>
  </si>
  <si>
    <t>GC_00000614</t>
  </si>
  <si>
    <t>MKKADQSASRVAAFFDLDKTIIATSSAFAFGREFMNNGLITPVEALQLSMAKAMYMFAGHTSDQMDSTRDQLATMVAGWDVEQVRTIGEETLHNVVTPTIYAEARDLIKAHHEQGHEVIIISASATDLVEPIARELGVDRTVGSQLGIEDGKYTGEVLFYCKGPAKAEAINALAKERNYDLSKSFAYSDSATDLPMLEAVGHAVAVNPDRALKKEALARGWDIRSFKNPEPLFQTRD-M--GIGAGVVAGIAAVTVGGWWLARRGKPG----------------------------PA</t>
  </si>
  <si>
    <t>----MRLPTTTAAFFDLDKTVIATSSAYVYGKEFLNSGLISPSTAFSMSLAKASYMVSGHSSEQMDASRDQLSNMVTGWDVNQVKQIADDTLHTVVAPTIYAEARDLIAHHLTAGHDVVIISASATVLVEPIAKELGVRTVIATKLEEADGKFTGNISFYCKGAAKAEAIRTLAAQNGYNLAASYAYSDSATDLPMLETVGHPIAVNPDRALRKIAAERDWEIRTFRNPVPLIPMPTGKELSIGGGVIAGIAAVS</t>
  </si>
  <si>
    <t>----MRLPATTAAFFDLDKTVIATSSAYVYGKEFLNSGLISPSTAFSMSLAKASYMVSGHSSEQMDASRDQLSNMVTGWDVNQVKQIADDTLHTVVAPTIYAEARDLIAHHLAAGHDVVIISASATVLVEPIAKELGVRTVIATKLEEADGKFTGNISFYCKGAAKAEAIRTLAAQNGYNLATSYAYSDSATDLPMLETVGHPIAVNPDRALRKIAAERDWEIRTFRNPIPLIPMPTGKELSIGGSVIAGIAAVS</t>
  </si>
  <si>
    <t>GC_00000615</t>
  </si>
  <si>
    <t>COG4585</t>
  </si>
  <si>
    <t>Signal transduction histidine kinase ComP (ComP) (PDB:4GT8)</t>
  </si>
  <si>
    <t>K07778</t>
  </si>
  <si>
    <t>two-component system, NarL family, sensor histidine kinase DesK [EC:2.7.13.3]</t>
  </si>
  <si>
    <t>KEGG Orthology (KO)&gt;&gt;&gt;09130 Environmental Information Processing&gt;&gt;&gt;09132 Signal transduction&gt;&gt;&gt;02020 Two-component system [PATH:ko02020]|Enzymes&gt;&gt;&gt;2. Transferases&gt;&gt;&gt;2.7  Transferring phosphorus-containing groups&gt;&gt;&gt;2.7.13  Protein-histidine kinases&gt;&gt;&gt;2.7.13.3  histidine kinase|Protein kinases&gt;&gt;&gt;Histidine kinases&gt;&gt;&gt;NarL family|Two-component system&gt;&gt;&gt;NarL family&gt;&gt;&gt;DesK-DesR (membrane lipid fluidity regulation)</t>
  </si>
  <si>
    <t>-----------------MTKKTVGPGENGMRQGIHILTGLLLVVIVASALRNSLMQMGLVALV-AATFGGVYALGARR-RDAMSLGMSQLWLLALTLLWVVLLPIHSIAVYLVFPLYFLYLQVMPDFRGVIAVVGATAISIFSRLPVGITAGAILGPVVAAVVSVGIDYAFRALWTVSQERQELIEELLETRSQLAATERAAGIAAERQRIAHEIHDTLAQGLSSIQMLLYVAEQDLLKTGISEEEAEVPLKKIR</t>
  </si>
  <si>
    <t>PF07730.19</t>
  </si>
  <si>
    <t>Histidine kinase</t>
  </si>
  <si>
    <t>MKSNQLEASKSNIAAGDVSTYDSQPGAANYRRAMNILTVALLIGALGAAVRTQDVQAAIVAVILCILFAFFYTMAVTRIRDRLMLKI--MWLAGLTAVWVIMLPIIPVSVYCVFPLFFLYLRVLPDYRGMIAVVGATCVAILN-FRAHLTYGAVMGPTASALVVIGIHLAFQALWKGAREREELIDELIETRSQLAATERAAGIVAERQRIAHEIHDTLAQGLSSIQMLLRVGEQEIEQSALAAAEKTKVLKYMELARNTAADNLSEARAMIAALQPAALSKTSLEGALHRVAESFVGVDWS------------IQVDGDERQLPMKTEAALLRIGQGAMGNVAKHANATRCAVTLTYSADEIRLDVVDDGDGFVPQDVADRPAGLGHIGINAMRQRAAELGGTLEVESQPGEGTAVTVALPVESTE---------</t>
  </si>
  <si>
    <t>MKSNQLEASKSNIAAGDVSTYDSQPGAANYRRAMNILTVALLIGALGAAVRTQDVQAAIVAVILCILFAFFYTMAVTRIRDRLMLKI--MWLAGLTAVWVIMLPIIPVSVYCVFPLFFLYLRVLPDYRGMIAVVGATCVAILN-FRAHLTYGAVMGPTASALVVIGIHLAFQALWKGAREREELIDELIETRSQLAATERAAGIVAERQRIAHEIHDTLAQGLSSIQMLLRVGEQEIEQSALAEAEKTKVLKYMELARNTAADNLSEARAMIAALQPAALSKTSLEGALHRVAESFVGVDWS------------IQVDGDERQLPMKTEAALLRIGQGAMGNVAKHANATRCAVTLTYSADEIRLDVVDDGDGFVPQDVADRPAGLGHIGINAMRQRAAELGGTLEVESQPGEGTAVTVALPVESTE---------</t>
  </si>
  <si>
    <t>GC_00000616</t>
  </si>
  <si>
    <t>PF00365.25</t>
  </si>
  <si>
    <t>Phosphofructokinase</t>
  </si>
  <si>
    <t>K21071</t>
  </si>
  <si>
    <t>ATP-dependent phosphofructokinase / diphosphate-dependent phosphofructokinase [EC:2.7.1.11 2.7.1.90]</t>
  </si>
  <si>
    <t>COG0205</t>
  </si>
  <si>
    <t>6-phosphofructokinase (PfkA) (PDB:1KZH)</t>
  </si>
  <si>
    <t>M00001|M00345</t>
  </si>
  <si>
    <t>Glycolysis (Embden-Meyerhof pathway), glucose =&gt; pyruvate|Formaldehyde assimilation, ribulose monophosphate pathway</t>
  </si>
  <si>
    <t>Pathway modules; Carbohydrate metabolism; Central carbohydrate metabolism|Pathway modules; Energy metabolism; Methane metabolism</t>
  </si>
  <si>
    <t>ko00001|ko00001|ko00001|ko00001|ko00001|ko01000|ko01000</t>
  </si>
  <si>
    <t>KEGG Orthology (KO)&gt;&gt;&gt;09100 Metabolism&gt;&gt;&gt;09101 Carbohydrate metabolism&gt;&gt;&gt;00010 Glycolysis / Gluconeogenesis [PATH:ko00010]|KEGG Orthology (KO)&gt;&gt;&gt;09100 Metabolism&gt;&gt;&gt;09101 Carbohydrate metabolism&gt;&gt;&gt;00030 Pentose phosphate pathway [PATH:ko00030]|KEGG Orthology (KO)&gt;&gt;&gt;09100 Metabolism&gt;&gt;&gt;09101 Carbohydrate metabolism&gt;&gt;&gt;00051 Fructose and mannose metabolism [PATH:ko00051]|KEGG Orthology (KO)&gt;&gt;&gt;09100 Metabolism&gt;&gt;&gt;09101 Carbohydrate metabolism&gt;&gt;&gt;00052 Galactose metabolism [PATH:ko00052]|KEGG Orthology (KO)&gt;&gt;&gt;09100 Metabolism&gt;&gt;&gt;09102 Energy metabolism&gt;&gt;&gt;00680 Methane metabolism [PATH:ko00680]|Enzymes&gt;&gt;&gt;2. Transferases&gt;&gt;&gt;2.7  Transferring phosphorus-containing groups&gt;&gt;&gt;2.7.1  Phosphotransferases with an alcohol group as acceptor&gt;&gt;&gt;2.7.1.11  6-phosphofructokinase|Enzymes&gt;&gt;&gt;2. Transferases&gt;&gt;&gt;2.7  Transferring phosphorus-containing groups&gt;&gt;&gt;2.7.1  Phosphotransferases with an alcohol group as acceptor&gt;&gt;&gt;2.7.1.90  diphosphate---fructose-6-phosphate 1-phosphotransferase</t>
  </si>
  <si>
    <t>MRIATLTSGGDCPGLNAVIRGIVRTA-ADFGSTVVGYEDGWVGLMEDRRIQLYDDENIDRILLRGGTILGTGRLHPDEFKSGIDRIKANLEDAGIDALIPIGGEGTLKGAKWLADNDIPVVGVPKTIDNDVNGTDYTFGFDTAVCVATDAIDRLHTTAESHNRVMIVEVMGRHVGWIALHSGMAGGAHYIVVPEEPFDIAEICKAMERRFQMGEKYGIVVVAEGALPKPGTMDFNEGGVDQFGHQTFNGIGQVIGDEIKRRTGHDVRTTVLGHIQRGGTPTAYDRVLATRYGVHAARACHEGKFGICVALHGEHIDLIPLEEAVGTLKRVPIGRIRTAQQLFG</t>
  </si>
  <si>
    <t>MRIATLTSGGDCPGLNAVIRGVVRTASTEYGSTVVGYEDGWVGLMEDRRIQLYDDEHIDRILLRGGTILGTGRLHPDKFKNGIEKIKENLADAEIDALIPIGGEGTLKGAKWLADNGIPVVGVPKTIDNDVNGTDFTFGFDTAVSVATDAIDRLHTTAESHNRVMIVEVMGRHVGWIALNSGMAGGAHYIVVPEAPFDIADICKAMERRFQMGEKYGIIVVAEGSLPKEGTMEFAEGGVDQFGHRTFNGIGQVIGDEIQKRLGHDVRTTVLGHIQRGGTPTAFDRVLATRFGVHAARACHTGSFGKCVALRGEHIDLIELEEAVGTLKTVPLGRYRTAQALFG</t>
  </si>
  <si>
    <t>MRIATLTSGGDCPGLNAVIRGIVRTA-TEYGSTVVGYEDGWVGLMEDRRIQLYDDENIDRILLRGGTILGTGRLHPDKFKSGLEQIRENLEEAGIDALIPIGGEGTLKGAKWLSDNGIPVVGVPKTIDNDVNGTDYTFGFDTAVSVATDAIDRLHTTAESHNRVMIVEVMGRHVGWIALHAGMAGGAHYIVIPEVPFDIAEITKAMERRFQLGEKYGIIVVAEGALPKPGTMDFTEGAVDQFGHQVFNGIGQVIGDEIKKRLGHDVRTTTLGHIQRGGTPTAFDRVLATRYGVHATRACHDKDFGKCVALRGEHVELIDLEDAVGKLKVVPDSRYRTARALFG</t>
  </si>
  <si>
    <t>GC_00000617</t>
  </si>
  <si>
    <t>PF13336.12</t>
  </si>
  <si>
    <t>Acetyl-CoA hydrolase/transferase C-terminal domain</t>
  </si>
  <si>
    <t>K18118</t>
  </si>
  <si>
    <t>succinyl-CoA:acetate CoA-transferase [EC:2.8.3.18]</t>
  </si>
  <si>
    <t>COG0427</t>
  </si>
  <si>
    <t>Propionyl CoA:succinate CoA transferase (ACH1) (PDB:2G39) (PUBMED:10769117)</t>
  </si>
  <si>
    <t>M00009|M00011</t>
  </si>
  <si>
    <t>Citrate cycle (TCA cycle, Krebs cycle)|Citrate cycle, second carbon oxidation, 2-oxoglutarate =&gt; oxaloacetate</t>
  </si>
  <si>
    <t>KEGG Orthology (KO)&gt;&gt;&gt;09100 Metabolism&gt;&gt;&gt;09101 Carbohydrate metabolism&gt;&gt;&gt;00020 Citrate cycle (TCA cycle) [PATH:ko00020]|KEGG Orthology (KO)&gt;&gt;&gt;09100 Metabolism&gt;&gt;&gt;09101 Carbohydrate metabolism&gt;&gt;&gt;00620 Pyruvate metabolism [PATH:ko00620]|KEGG Orthology (KO)&gt;&gt;&gt;09100 Metabolism&gt;&gt;&gt;09101 Carbohydrate metabolism&gt;&gt;&gt;00650 Butanoate metabolism [PATH:ko00650]|Enzymes&gt;&gt;&gt;2. Transferases&gt;&gt;&gt;2.8  Transferring sulfur-containing groups&gt;&gt;&gt;2.8.3  CoA-transferases&gt;&gt;&gt;2.8.3.18  succinyl-CoA:acetate CoA-transferase</t>
  </si>
  <si>
    <t>MSDRIANATLRGKVMSAQEAAQFVNNNDNVGISGFTGSGYPKVLPTAIAERAKEAHARGDEYMISLFTGASTAPDCDGVLAEADAIKFRTPYQSDPILRNKINDGTTLYMDYHLSESGMYVQQGFFGKMDVAIVEAVRITEEGHIVPSSSIGNNVEYLDAADKIIIEVNTWQSEELEGMADIYRIAALPNRQPIPITEAGQRIGTTYIDIDINKVVAVVETDAADRNAPFKPIDDQSKQIAGHFLDFLEGEVRAGRLTYDGYVMQSGVGNVPNAVMSGLLDSKFENIRAYTEVIQDGMVDLIDAGKMTVASATAFSLSPEYAGRMNREAAKYAKSIILRPQQISNHPEVVRRLGLIATNGLIEADIYGNVNSTNVVGSRIMNGVGGSADFTRSAYISSFITPSDAKGGAISAIVPMVSHVDHTEQDVKVVITEYGYADLRGLAPRQKAEKMIALAHPDYRPMLQDYYDRALAAAKEGKIMQTPHLLDEALSFHQRFKETGSMKLS</t>
  </si>
  <si>
    <t>MSDRIANAQLRSKVMTADEAAQFVNHGDKVGISGFTGAGYPKVLPTAIAERAKEAHAKGDEFMIDLFTGASTAPDCDGVLAEADAVRFRTPYQSDPIMRNKINDGTSLYADYHLSESGMYVQQGFFGRMNVAIVEAVRITEEGHIIPSSSIGNNVEYLDAAEKIIIEVNSWQSEELEGMADIWRNNPLPNRVAIPITEPGQRVGTPYIDIDVNKVVAVVETDLQDRNAPFKPLDEQSKQIAGHFLDFLEGEVAAGRLTYDGYRMQSGVGNVPNAVMSGLLDSKFENIQAYTEVIQDGMVDLIDAGKMTVASATAFSLSPEYAERMNNEASKYRESIILRPQQISNHPEVIRRLGLICTNGLIEADIYGNVNSTNVIGSRMMNGVGGSADFTRNGYISSFITPSDAKGGAISAIVPFVSHVDHTEQDVKVIITEYGYADLRGLAPRQRVEKIIALAHPDYRPLLEEYYDRALKAATERKTLQTPHDLATAFSFHQRFQETGTMKLS</t>
  </si>
  <si>
    <t>MSDRIANAQLRSKVMTADEAAQFVNHGDKVGISGFTGAGYPKVLPTAIAERAKEAHAKGDEFMIDLFTGASTAPDCDGVLAEADAVRFRTPYQSDPIMRNKINDGTSLYADYHLSESGMYVQQGFFGPMNVAIVEAVRITEEGHIIPSSSIGNNVEYLDAAEKIIIEVNSWQSEELEGMADIWRNNPLPNRVAIPITEPGQRVGTPYIDIDVNKVVAVVETDLQDRNAPFKPLDEQSKQIAGHFLDFLEGEVAAGRLTYDGYRMQSGVGNVPNAVMSGLLDSKFENIQAYTEVIQDGMVDLIDAGKMTVASATAFSLSPEYAERMNNEASKYRESIILRPQQISNHPEVIRRLGLICTNGLIEADIYGNVNSTNVIGSRMMNGVGGSADFTRNGYISSFITPSDAKGGAISAIVPFVSHVDHTEQDVKVIITEYGYADLRGLAPRQRVEKIIALAHPDYRPLLEEYYDRALKAATERKTLQTPHDLATAFSFHQRFQETGTMKLS</t>
  </si>
  <si>
    <t>MSERIANAKLAGKVMSADDAAQFVNHGDKVGISGFTGAGYPKVLPAAIAQRAKEAHARGDEFMIDLFTGASTAPDCDGVLAEADAVRFRTPYQSDPMMRSKINDGTTLYADYHLSESGMYVEEGFFGTMNVAIVEAVRITEDGALVPSSSVGNNVEYLDAAEKIIIEVNSWQSLELEGMADIYRITPLPNRQPIPITSPGQRIGTTYIDIDVDKVVAVVETELPDRNAPFKPVDEQSKQIAGHFLDFLEGEVAAGRLTYDGYRMQSGVGNVPNAVMSGLLDSKFENIQAYTEVIQDGMVDLIDAGKMTVASATSFSLSPEYAERMNNEASRYSKQIILRPQQISNHPEVIRRLGLICSNGLIEADIYGNVNSTNVIGSRMMNGVGGSGDFTRAGCISSFITPSFAKGGDISAIVPFVSHVDHTEQDVKVVITEYGYADLRGLAPRQRVPKMIALAHPDYRPLLEEYYERALKLATDRKMLQTPHDLATAFSFHQRFAETGSMKKQ</t>
  </si>
  <si>
    <t>GC_00000618</t>
  </si>
  <si>
    <t>K01082</t>
  </si>
  <si>
    <t>3'(2'), 5'-bisphosphate nucleotidase [EC:3.1.3.7]</t>
  </si>
  <si>
    <t>COG1218</t>
  </si>
  <si>
    <t>3'-Phosphoadenosine 5'-phosphosulfate (PAPS) 3'-phosphatase (CysQ)</t>
  </si>
  <si>
    <t>KEGG Orthology (KO)&gt;&gt;&gt;09100 Metabolism&gt;&gt;&gt;09102 Energy metabolism&gt;&gt;&gt;00920 Sulfur metabolism [PATH:ko00920]|Enzymes&gt;&gt;&gt;3. Hydrolases&gt;&gt;&gt;3.1  Acting on ester bonds&gt;&gt;&gt;3.1.3  Phosphoric-monoester hydrolases&gt;&gt;&gt;3.1.3.7  3'(2'),5'-bisphosphate nucleotidase|Transfer RNA biogenesis&gt;&gt;&gt;Eukaryotic type&gt;&gt;&gt;tRNA degradation factors&gt;&gt;&gt;Rapid tRNA decay (RTD) pathway factors</t>
  </si>
  <si>
    <t>MTAHFDDAILARRLAQGTGEILKGVRNVGLLRGRNLGDAGDELSQNWIARVLEQHRPDDGVLSEEAADNPARLAKDRVWIIDPLDGTKEFATGRQDWAVHIALVEHGTPIVAAVGLPDLGVVFASDDVKAVSGPLSRKIVISHNQPPEVAKFVANKMNFETTLMGSAGAKAMHVLLGDADAYIHAGGQYEWDSAAPVGVCTAAGLHCSRLDGSSLNYNNKDTYLPDLLICRPELAEEILELVAAYREEHGSY</t>
  </si>
  <si>
    <t>MTVHFDDSILTRRLAQGTGEILKGVRNVGLLRGRNLGEAGDDLAQSWIARVLEQDRPDDGFLSEEAADNPARLGKNRVWIIDPLDGTKEFATGRQDWAVHIALVENGLPITAAVGLPDLGVVFHSDDVKAVLGPLSRNIVVSHNRAPAVAHHIADKFGFETTKMGSAGAKAMHVLLGDADAYVHAGGQYEWDSAAPVGVCTAAGLHCSRLDGSPLTYNNKDTYLPDILICRPELADDMLEAAAGFLEENGSY</t>
  </si>
  <si>
    <t>MTVHFDDSILTRRLAQGTGEILKGVRNVGLLRGRNLGEAGDDLAQSWIARVLEQDRPDDGFLSEEAADNPARLGKNRVWIIDPLDGTKEFATGRQDWAVHIALVENGLPITAAVGLPDLGVVFHSDDVKAVLGPLSRNIVVSHNRAPAVAHHIADKFGFETTKMGSAGAKAMHVLLGDADAYVHAGGQYEWDSAAPVGVCTAAGLHCSRLDGSPLSYNNKDTYLPDILICRPELADDMLEAAAGFLEENGSY</t>
  </si>
  <si>
    <t>MTAHLDDATLTHHLAQSTADLLKGIRNVGALRDRALGDAGDDLAQNWIARVLEQHRPDDGFLSEEAADNPERLGKDRVWIIDPLDGTREYATGRQDWAIHIALVENGVPTHAAVGLPDLGVVFLSSDARAVSGPYAKRIVVSHNRAPAVAHHVAEKLGFVTSPLGSAGAKAMHVLIGDYDAYIHAGGQYEWDSAAPVGVCKAAGLHCSRLDGSELLYNNKDTYMPDILICRPELADDILEMAATFRQENGSY</t>
  </si>
  <si>
    <t>GC_00000619</t>
  </si>
  <si>
    <t>PF01783.29</t>
  </si>
  <si>
    <t>Ribosomal L32p protein family</t>
  </si>
  <si>
    <t>K02911</t>
  </si>
  <si>
    <t>large subunit ribosomal protein L32</t>
  </si>
  <si>
    <t>COG0333</t>
  </si>
  <si>
    <t>Ribosomal protein L32 (RpmF) (PDB:1VS6) (PUBMED:17114934)</t>
  </si>
  <si>
    <t>MAVPKRRMSRANTHARRSQWKADNVALQEVTINGRSHLIPRRLVKAAKLGLVDVEQF</t>
  </si>
  <si>
    <t>MAVPKRRMSRANTRARRSQWKANNAALQNVTIDGHTYRIPRRLVRAARMGLVEVEQF</t>
  </si>
  <si>
    <t>MAVPKRRMSRANTRTRRSQWKAHNPALMETKIDGQTVRIPRRLIKAAQLGLVEVQQF</t>
  </si>
  <si>
    <t>MAVPKRRMSRANTRTRRSQWKAHNPALMETKIDGQTVRIPRRLIKAAQLGLVEVEQF</t>
  </si>
  <si>
    <t>GC_00000620</t>
  </si>
  <si>
    <t>PF12706.13</t>
  </si>
  <si>
    <t>Beta-lactamase superfamily domain</t>
  </si>
  <si>
    <t>K00784</t>
  </si>
  <si>
    <t>ribonuclease Z [EC:3.1.26.11]</t>
  </si>
  <si>
    <t>COG1234</t>
  </si>
  <si>
    <t>Ribonuclease BN, tRNA processing enzyme (ElaC) (PDB:1WW1)</t>
  </si>
  <si>
    <t>Enzymes&gt;&gt;&gt;3. Hydrolases&gt;&gt;&gt;3.1  Acting on ester bonds&gt;&gt;&gt;3.1.26  Endoribonucleases producing 5'-phosphomonoesters&gt;&gt;&gt;3.1.26.11  tRNase Z|Transfer RNA biogenesis&gt;&gt;&gt;Eukaryotic type&gt;&gt;&gt;3'processing and CCA adding factors&gt;&gt;&gt;3'processing factors|Transfer RNA biogenesis&gt;&gt;&gt;Prokaryotic type&gt;&gt;&gt;3'processing and CCA adding factors&gt;&gt;&gt;3'processing factors</t>
  </si>
  <si>
    <t>MKLRILGCSGSVGGPNNPASGYLIHDVEGQDVLIDCGPGILAELQQVADPSSVHMLFSHLHADHCLDFPSLLVWRRYHPERPSKARTLCLGPVETTERLGRISADTYGEIDDFSDTFNFQPWQAYEPVFVDRLKVTPYPVIHPVETYAMRI-ECTKTGAIVAYSGDSAYTDELIDCARDADFFLCEATWGDTSEGKAPDMHLSGAEAGRIAKLAGAKTLVLVHIPPWADADVAKASAETEFDGPVIIGTAGMQLDSDTRGVVN</t>
  </si>
  <si>
    <t>MKLTILGCTGSLGGPDGPASGYLLTVDRMPALLMDIGPGVLAKMQTVHQPEDAHVAFSHLHPDHCLDFPSLMVWRRFSPSATTDRRHMCLGPRDTPVRLGRLSADTPDGIDDMSDTFAFNAWTDGVSEMVDRLTITPYATVHPIESYALRVEESGANGGVIAYSGDSGWTDNLIDCARGADIFICEATWGATSEGKTPDMHLSGAEAGRIAREAGVGRLVLVHIPPWGDPLGALKAARSEFSGEVIVGTSGMEFEV-------</t>
  </si>
  <si>
    <t>MKLTILGCTGSLGGPDGPASGYLLTVDRMPALLMDIGPGVLAKMQTVHQPEDAHVAFSHLHPDHCLDFPSLMVWRRFSPSATTDRRHMCLGPRDTPVRLGRLSADTPDGIDDMSDTFAFNAWTDGVSEMVDRLTITPYATVHPIESYALRVEESRANGGVIAYSGDSGWTDNLIDCARGADIFICEATWGATSEGKTPDMHLSGAEAGRIAREAGVGRLVLVHIPPWGDPLGALKAARSEFSGEVIVGTSGMEFEV-------</t>
  </si>
  <si>
    <t>MKVIVLGSSGSVGAPGNPASGYLIQPSNGQSLLMDIGPGVLAKMQEYQNPNDAHMLFSHLHPDHCLDFPSLLVWRRYHPTAPAQHRNICMGPHHTPIHLGRLSADIPDEVDDMSDTFDFHPWRIRHPHPIGDFTVTAYPTIHPIESYAMRV--TAPNGRIIAYSGDSAYSTELIDCARNADIFLCEANWGKSCDNKAPNMHMCGQDAGIIATKANAKHLILVHIPPWGDPIGAMEGARQHYDGPISLSYSGMEIPL-------</t>
  </si>
  <si>
    <t>GC_00000621</t>
  </si>
  <si>
    <t>PF09438.16</t>
  </si>
  <si>
    <t>Domain of unknown function (DUF2017)</t>
  </si>
  <si>
    <t>MEAWSSQGGRVRPLRYVTVFDPMEREILGDAAAHLCETLIKRVRSAPKDELAELTGMPSGHKEAPADPGMARLLPDFEREGDEEYEGDNSLLRSLHEQDICREKIVGLMAITNALGPDGSVRVEVDPDEVHNWLRALNDLRLYLSETDTRVPSD----DMVSREFFIEWLAFCQESLLEVLLGR----</t>
  </si>
  <si>
    <t>MQAWKRKKALMRAPKFTTTFEPMEREVLGELAATVAEALIHRCQSVPKDELEELTGIRSGHKEAPMDPSLARLLPDFERAGDEEYEGDNSLLRSIHENDICRNKLENLQVITEALGPDGNVQVVLDETQVHAWLAAINDIRLYIASGEIHSGIDGGVAAREDQEMLVQWLAYNQESLLEALTQEKYSG</t>
  </si>
  <si>
    <t>MQAWKRKKSLFGQAKYQCVFEPIEREILGNLAATVANALMERAQSAPRDELAELTGMPSGHKDAPDDPSLARLLPDFEREGDEEYEGDNSLLRSLHESDITKGKLINLAIIGQALGPDGSVNVTITEDEADAWLSGINDLRLYLSAIDADDPV-----RREERDNLVDWLAYNQGTLLDAMGHDIDMQ</t>
  </si>
  <si>
    <t>MQAWKRKKSLFGPAKYQCVFEPIEREILGNLAATVANALMERAQSAPRDELAELTGMPSGHKDAPDDPSLARLLPDFEREGDEEYEGDNSLLRSLHESDITKGKLINLAIIGQALGPDGSVNVTITEDEADAWLSGINDLRLYLSAIDADDPV-----RREERDNLVDWLAYNQGTLLDAMGHDIDMQ</t>
  </si>
  <si>
    <t>GC_00000622</t>
  </si>
  <si>
    <t>PF01379.25</t>
  </si>
  <si>
    <t>Porphobilinogen deaminase, dipyromethane cofactor binding domain</t>
  </si>
  <si>
    <t>K01749</t>
  </si>
  <si>
    <t>hydroxymethylbilane synthase [EC:2.5.1.61]</t>
  </si>
  <si>
    <t>COG0181</t>
  </si>
  <si>
    <t>Porphobilinogen deaminase (HemC) (PDB:1AH5)</t>
  </si>
  <si>
    <t>KEGG Orthology (KO)&gt;&gt;&gt;09100 Metabolism&gt;&gt;&gt;09108 Metabolism of cofactors and vitamins&gt;&gt;&gt;00860 Porphyrin metabolism [PATH:ko00860]|Enzymes&gt;&gt;&gt;2. Transferases&gt;&gt;&gt;2.5  Transferring alkyl or aryl groups, other than methyl groups&gt;&gt;&gt;2.5.1  Transferring alkyl or aryl groups, other than methyl groups (only sub-subclass identified to date)&gt;&gt;&gt;2.5.1.61  hydroxymethylbilane synthase</t>
  </si>
  <si>
    <t>MVLRIGTRGSALARTQSTHVAEALGQQGAQWRLEIISTPGDRSQAPVERIGVGVFTQTLREALHDGRIDVAVHSFKDLPSADDPRFHLVVPQREDRRDVLVARDGLTLDTLPSGARIGTSAPRRVGQIRTLRPDLDVVPLRGNIDSRMGQVRDGRLDAVVLAAAGLNRLGVLPDASYVFDTEELLCAPAQGALAVECRADDQDTVTLLNSIACPEATLCTDAERGVLRVLQAGCTAPIGASATIDGDQ-LKLTAGHFDPDGVYEKVSVSGCLNSPDTAERLAELVGAHLTARG----LNIG</t>
  </si>
  <si>
    <t>MTLTIGTRGSMLATTQAGHVRDALIAAGYPAELTIISTPGDRSQAPVERIGVGVFTQALREALHDGDCDIAVHSFKDLPTSPDPRFHLVVPPRADAREALIARDNHTLDTLPHGARVGTSAPRRISQLLALRPDLDIQPLRGNIDTRMGRVGQ-DLDAVILACAGLERVGMLDRATQCFDPHIIMPAPAQGALAVECRSGDARAVAAIDFLADPDTTVRATAERTLLSCLEAGCTAPVAAFADIRAGR-LELRAGVFALDG--SRQLIHSAMSDVSEAAELGERVARELLAQGASDVMRS-</t>
  </si>
  <si>
    <t>-MPIIGTRGSLLATTQAGHVRDALTSHGYPSELRIVTTTGDVNLAPVERIGVGVFTQALRDSLLAGECDIAVHSFKDLPTAVDERFHLVVPHRENARDCLIARNNLTLAELPTGAVVGTGAPRRIAQLKALRPDIHTVPLRGNIDTRMAKVHDGELDAVVLAYAGLSRVHRADEATEVFDPLEFLPAPAQGALAVECRADDADTIAAITTIADPKAYACAHTERVVLARLEAGCTAPVAAYATVAADNIMTLHAA</t>
  </si>
  <si>
    <t>GC_00000623</t>
  </si>
  <si>
    <t>PF13442.11</t>
  </si>
  <si>
    <t xml:space="preserve">Cytochrome C oxidase, cbb3-type, subunit III </t>
  </si>
  <si>
    <t>K03889</t>
  </si>
  <si>
    <t>quinol---cytochrome-c reductase cytochrome c subunit [EC:7.1.1.8]</t>
  </si>
  <si>
    <t>COG2010</t>
  </si>
  <si>
    <t>Cytochrome c, mono- and diheme variants (CccA) (PDB:1A2S)</t>
  </si>
  <si>
    <t>METTPQTTETVASAASSAKKVKSRRKVRRTFAGALALTLGLTGAGLLASALTPTAQVATADVDEQALIAQGKDIYDMACITCHGANLQGIKDRGPSLIGVGEGAVYFQVHSGRMPMVRNEAQATRKVPKFNENQILALAAYVNANGGGPGIVRNDDGSIAMESLRGVHYDGNIAPEDIARGGELFRLNCASCHNFTGRGGALSGGKFAPNLDHANEQEIYQAMLTGPQNMPKFSDRQLNADEKKDIIAFIKAAKETPSQGGYGLGGIGPVTEGMMMWLVGIVVCVAAALWIGSRS</t>
  </si>
  <si>
    <t>METNPQTTEHTASTVPSAKKVKARRKMRRILAGALTLVLALTGAGLLANALTPDAQVATANQDDQALITEGKDLYEAACVTCHGKNLQGVKDRGPSLIGVGEGAVYFQVHSGRMPMLRNEAQAQRKTPRYSEQQVLALAAYVNANGGGPEIVRNEDGTIAMESLRGKNYDGEVDPADIARGSDLFRLNCASCHNFTGRGGALSSGKYAPYLDPANEQEIYQAMLTGPQNMPKFSDRQLSADEKKDIIAFIKAAKETPNPGGYGLGGIGPVTEGMLMWLVGIVVLIAAALWIGSRS</t>
  </si>
  <si>
    <t>C|C</t>
  </si>
  <si>
    <t>Energy production and conversion|Energy production and conversion</t>
  </si>
  <si>
    <t>COG2010|COG2863</t>
  </si>
  <si>
    <t>Cytochrome c, mono- and diheme variants (CccA) (PDB:1A2S)|Cytochrome c553 (CytC553) (PDB:6Q2U)</t>
  </si>
  <si>
    <t>METNPQTTEHTASTVPSAKKVKARRKMRRILAGALTLVLALTGAGLLANALTPDAQVATANQDDQALITEGKDLYEAACVTCHGKNLQGVKDRGPSLIGVGEGAVYFQVHSGRMPMLRNEAQAQRKTPRYSEQQVLALAAYVNANGGGPEIVRNEDGTIAMESLRGKNYNGDVDPADIARGSDLFRLNCASCHNFTGRGGALSSGKYAPYLDPANEQEIYQAMLTGPQNMPKFSDRQLSADEKKDIIAFIKAAKETPNPGGYGLGGIGPVTEGMLMWLVGIVVLIAAALWIGSRS</t>
  </si>
  <si>
    <t>MDTNPQTAKK-------AKKAKSRRKLRRILASALALAIGLTATGVLVNALTPTAQVATAQPDEQALIQQGKDLYDVACVTCHGTNLQGIEGRGPSLIGVGSGAVYFQVHSGRMPMLRNEAQAARKTPRYTEAQTLAIAAYVAANGGGPEIVYNEDGTVAQESLRGANYDGKINPADVARGSDLFRLNCASCHNFTGRGGALSSGKYAPYLDPANEQEIYQAMLSGPQNMPKFSDRQLSADEKKDIIAFIKYSKENPSPSGWDLGGIGPVAEGMFMWLVGIVVLVAAALWIGSRS</t>
  </si>
  <si>
    <t>GC_00000624</t>
  </si>
  <si>
    <t>K00782</t>
  </si>
  <si>
    <t>L-lactate dehydrogenase complex protein LldG</t>
  </si>
  <si>
    <t>COG1556</t>
  </si>
  <si>
    <t>L-lactate utilization protein LutC, contains LUD domain (LutC) (PDB:2G40)</t>
  </si>
  <si>
    <t>MSVIN----------SARNQAAKKEILSRIANAHKLANTAPGPVEVPREY--NREYHYSTEELREILIDRLIDYKAEVTETTEAELSATIGDILNSRGASTVRYAEGLDPALFEKFSGEATPDDRSSDPRLLNGVDAVVTDSHVTCAQTGTISLESNPVCGRRALTLVPDCHVCIVREGTITYGIPDTVARLSRTAPVTWISGPSATSDIELNRVEGVHGPRTLIVVIVKK</t>
  </si>
  <si>
    <t>MTITSKSTDSVSKARASRNEAAKKEILKRIHNAHRLAHTPEGPYPVVRNY--HREYDFSDDELREILIDRLLDYKAIVKESSEAKLSDTIVGLLEERGAKDVRFAEGLDPKLFAGFSGSATPDDRSSDPRLLDAVDVVVTDSHVTSAQTGTICLESNPTNGRRALTLVPDCHICIVRQPSIVYGVPEMVERLDRKLPITMISGPSATSDIELNRVEGVHGPRTLIVVIVS-</t>
  </si>
  <si>
    <t>-------------------MDAKTEILTRIRNAHQLSNMPTD-VEIVRTYNTNKTEEYSREQLKEILIERLEDYKAIVHETSVKKLPQTIADVLKERDAKEIRYAEGLDKKLFSAFTGKATPDDRSTDPRLLNDVDAVVTDSHVSSAQTGTICLESNPLCGRRALTLVPDCHMVIVRMENVVYGVPEMIGRLGHEKPVTMISGPSATSDIELNRVEGVHGPRTLICLIVD-</t>
  </si>
  <si>
    <t>-------------------MDAKTEILTRIRNAHQLSNMPTD-VEIVRTYNTNKTEEYSREQLKEILIERLEDYKAIVHETSVKKLPQTIADVLKERGAKEVRYAEGLDKKLFSAFTGNATPDDRSTDPRLLNDVDAVVTDSHVSSAQTGTICLESNPLCGRRALTLVPDCHVVIVRMENVVYGVPEMIGRLGHEKPVTMISGPSATSDIELNRVEGVHGPRTLICLIVD-</t>
  </si>
  <si>
    <t>GC_00000625</t>
  </si>
  <si>
    <t>PF11898.13</t>
  </si>
  <si>
    <t>Domain of unknown function (DUF3418)</t>
  </si>
  <si>
    <t>K03578</t>
  </si>
  <si>
    <t>ATP-dependent RNA helicase HrpA [EC:5.6.2.6]</t>
  </si>
  <si>
    <t>COG1643</t>
  </si>
  <si>
    <t>HrpA-like RNA helicase (HrpA) (PDB:5N8R)</t>
  </si>
  <si>
    <t>ko01000|ko03019</t>
  </si>
  <si>
    <t>Enzymes&gt;&gt;&gt;5. Isomerases&gt;&gt;&gt;5.6  Isomerases altering macromolecular conformation&gt;&gt;&gt;5.6.2  Enzymes altering nucleic acid conformation&gt;&gt;&gt;5.6.2.6  RNA 3'-5' helicase|Messenger RNA biogenesis&gt;&gt;&gt;Prokaryotic type&gt;&gt;&gt;Bacterial mRNA degradation factors&gt;&gt;&gt;Other RNA degradation factors&gt;&gt;&gt;Others</t>
  </si>
  <si>
    <t>MRTGRLLGIECQLSTTLGGIMSTQPHRRNRRSSSTKKSSRSSRNRTNHVASFRKELDRRRTARMAHGCPPLTFPKALPVTSRREDIADAIRDNQVVIIAGETGSGKTTQIPKICLELGRGVDGMIGHTQPRRLAARSVAERIAEELGQPVGESVGYAIRFDDKVAAHTSIKLMTDGILLAELQRDRLLEAYDTIIIDEAHERSLNIDFLLGYLKRLLPRRPDLKVIVTSATIDPERFAEHFASADGVPAPIIEVSGRTYPVDILYRPLEVPDPSNPERSIQRDPLEALGDAAEELARMGAGDILCFFATEREIRDAQEALQQRASSGGPLRAMEFVPLFGRLSNEEQHRVFSPGSRRRVVLATNIAETSLTVPRIHYVIDTGTARISRYSTRTKVQRLPIEPISQASANQRSGRCGRLADGVAIRLYSEQDFLSRPEFSDPEILRTNLASVILQMASLRLGAVEDFPFIAPPEFKAVRDGLLLLHELGALDERADHSS-PRLSRVGKLLSRIPLDPRLARMMVAASDHGVLHEVLVIVAAITVQDIRERPQDNEAQAKQLHARFSHPTSDFLSYLALWRYLNELQQALSGNALRKRMKSEFLHYVRFREWRDLYRQLVGIASDLGWEVNRDSGVGSALAELEQASAPGSSPRAGV---------------ITAGVTSDQSDHIHQSVLSGLLSHIAARVLESKEFRGARGTTVMIFPGSSVAKRPPEFIMAAELVDTSRLWAREVAKIDPRWAERLGERLLKHQYSDPVWSRRRGAAVCTQKSTLFGVTLVADRTVTYATVDPHAARRAFIEHALIGGEWSTKHRFFHDNVDKLEQASTLEDKARRRGIVIDEQVLFDFYDRRLPESVVSAKHFDGWWKKQRSEDPHFLDFDPERLLAEDAQDVSEDAFPDVW----RQGSFDFELSYRFEPGAADDGVSVRIPIPLLAGVRGDGFDWLVPGLRAELFQELIKTLPKPLRRSVVPAPNFAQKALSAVEP---GEPYHRPVVEVLAERLRGLGGSGIDARDFQPSKLPPHLRVTFAAVDKRGEIIDSDKELSRLQSRCSEKISAALRTTSVRDARESGAAASLTQSASKRTKKKPAPGKQRSDSDSSAVFVGWTREGLGDITPVVQRHIDGRDVQMYQAATVVPRRDGDQAASATAPLLELKTYPLEQQATAAMFSTTLQLVLSEVKVNSKQMFKGLPLQQRVAVDNYPHGGPGGLCADATAAATRDAISAHGGPAYTYDSFCALSSAVRAEVPGAVRRMLVEVIPSVTAAVTLQDTLAGDTGDVAVELKEQLDFMFPQHAITVHGVAQLKHVPRYVKAMHMRLEAARRDPDRDLDLCQPIYAVEEQLDAVVAAMPASRRSSKEVRAIRWMIEEFRVSIFAQQLGTAHSVSAQRISKAIAKL-</t>
  </si>
  <si>
    <t>MNTTTDTPLKKDLYPLLDDV-SLRDARTFRRRLSKARSSSALAAIAQDINAARASLAAKKAN-----LPVVTYPDSLPVSARRDDIAQAIMENQVVIIAGETGSGKTTQIPKICLELGRGVRGMIGHTQPRRLAARTVAERIANELGQDVGNSIGYAIRFDDRVSPMTAIKLMTDGILLAEMQKDRFLNAYDTIIIDEAHERSLNIDFLLGYLKQLLPRRSDLKVIITSATIDPERFARHFSDSDGKPAPIIEVSGRTYPVEIRYRPLQQ---SLGDSIIDVDPLDGLCDALIELIHEGPGDILCFFAGEREIRDALEVIK-----AKKWRDIEVVPLYGRLSNQEQHRVFRSHRGRRIVLATNIAETSLTVPGIRYVVDTGTARISRYSTRTKVQHLPVENISQASAHQRSGRCGRVADGIAIRLYSEEDFLTRAEFTDPEILRTNLASVILRMASLRLGDIADFPFVEAPDQRSIRDGLLLLHELGALNDGEHNGA-PKLSDVGKQLARIPVDPRMARMLIEAQQLGCLHNVIVIVAALTIQDVRERPLDFQAQADQAHARFKDSSSDFLSYLKLWDYILRTRRELSGNAFRRRMKQEFLHYMRIREWRDLVQQLEQVAQDLGW-LTRNS-----------------------------------------VSADNNGDAIHQALLTGLLSHIGSRNGESKEFSGARGTHFMVFPGSSLAKKPPYFIMAAELVHTSRLWARDCAEIEPEWVEKAASSLLRHQYSEPHWSSKRAAAMAHQKSTLFGVTIVADRIVPYHRVDPGIARDLFIRHALVEGEWNTHHAFFHKNMEKLQSASELEDKARRRDIVVDEQTLFDFYDARIPSSVTTGRHFDSWWKKRQRTEPTLLDFDPSKLVS-DTHNVSEVAFPDVW----RQGNVEYELSYRFEPGTPDDGVTVRIPMPLLAGLTPRGFDWLVPGLRKELVTELIRTLPKPLRRTVVPASDFAARALPQLHPYQGDNDSETTLTSQLADALRTLGGHGINASDFQLSQLPPHLRMSFAAVDKRGDIIDRDKDLTALQERQAEKVTSSVG----RVAGSSG----------------------------SSVVEAWTNDTLGAIDEEVITTVDGQKVVAYPALAVTPQG------------VSIQVLPTKAAADASMMTATLTLLMRDITVSVQRMLNGLPLKQRVAVEHYPHGGAAGLVDDARVTAIRDAMLEAGGPARSPDEFEQLRATIAPTVPATVRQIIVQLAPALADYHNVVEELKRWSGDAIDDMTAQLEFLLPPHAISVHGMSHLKHLPRYLQAMLIRLEDMETHPDRDADNQDIIADVTDYIRQRLAQLPSSRAKSREVKNVWWMVEELRVSLFAQRLGTAHAVSERRIQKAVDKLR</t>
  </si>
  <si>
    <t>------MPSKQQLEDELSQL-SIADERRFRRRLAKARSPKALSAIAADMMTARENVDKRARS-----IPAITYPEQLPVSARKDDIADAIRDHQVVIIAGETGSGKTTQIPKICLDIGRGRRGLIGHTQPRRLAARTVAERIADELGQRIGESVGYAIRFDDQVGPQTAVKLMTDGILLAEMQHDRYLNAYDTIIIDEAHERSLNIDFLLGYLKQLLPKRPDLKVIITSATIDPERFAAHFADQDGNPAPIIEVS</t>
  </si>
  <si>
    <t>------MPSKQQLEDELSQL-SIADERRFRRRLAKARSPKALSAIAADMMTARESVDKRARS-----IPTITYPEQLPVSARKDDIADAIRDHQVVIIAGETGSGKTTQIPKICLDIGRGRRGLIGHTQPRRLAARTVAERIADELGQRIGESVGYAIRFDDQVGPQTAVKLMTDGILLAEMQHDRYLNAYDTIIIDEAHERSLNIDFLLGYLKQLLPKRPDLKVIITSATIDPERFAAHFADQDGNPAPIIEVS</t>
  </si>
  <si>
    <t>GC_00000626</t>
  </si>
  <si>
    <t>K03446</t>
  </si>
  <si>
    <t>MFS transporter, DHA2 family, multidrug resistance protein</t>
  </si>
  <si>
    <t>Transporters&gt;&gt;&gt;Major facilitator superfamily (MFS)&gt;&gt;&gt;Drug transporters&gt;&gt;&gt;Drug:H+ antiporter-2 (14 spanner) (DHA2) family [TC:2.A.1.3]</t>
  </si>
  <si>
    <t>MSNATAAIDKKDT-----NESQTSAHKPNVALVFTALMLTMLMSSLGQMIFSTALPTIVGDLGGVEHMTWVITAFLLGETIALPIFGKVGDMIGRKGLFMFAVSLFIVGSIVGGMATSMSVLIICRALQGVAGGGMMIMSQAIIADVVPARQRGKYMGVMGSVFGVSSVLGPVLGGWFTDGPGWRWGMWLNVPLGIIALTGIAAFLKLPKRRAVGATDWLGMATMAIATTSIILLITWGGNEYPWGSTRIILLGISAAVFSALFVFTELKASNPIIPMQLFANRNFTLTTIAGLFVGIFMFGTLAYIPTYLQMVHSMTPTNAGLMMIPMMAGLMGTSIVVGNIVSRTGRYKWFPVAGLVIVTIGLALLSQLEASSSLVHVGMCLFVFGFGLGAAMQILVLIVQNSFPIAMVGTATAANNFFRQIGSAVGSAFVGGVFVSNLTQRLSENVPAALKTMGPDAAQFSDLMSHGKSSLTPGIVASLPEPLSQAIDISYNDALTPVFLMLVPLSIVAVILLMFVREDSLKETIS---</t>
  </si>
  <si>
    <t>MTQTISDPTPTQSSTP--TPPHTAEHRPRLPLIFTALMLAMLLSSLGQTVFSAALPTIVGELGGVDHMTWVITAYLLGETISLPLFGKLGDQIGRKGLFLGTLTGFVVGSLLGGLATSMTVLIVARAIQGTSAGGMMILSQAITADVVSARERGKYMGIIGAVFGVSSVLGPVLGGWFTDGPGWRWGLWLNVPIGIVTIIVAALVLRVPAREKKLTMDWLGILTMIVATTSLILTVTWGGNEYDWTSPQIISLGITAVVFAAVFVLVELRAEDPLIPMTFFANRNFVLTTSVGLAVGIFMFGSMSYLPTYLQMVHAMSPTTAGLMMTPMMLGVMGTSTIVGGIVSRTGKYKHYPIIGMIATAAALALLSTLEPDTSLVVIGLYLFLLGFGVGNAMQILVLIVQNSFPIAVVGTATAANNFFRQIGGAIGSALVGGIFVANLRDQLATRMPAAIQELGAGAANYKDMLASGTSRLTPATVTHLPEPLRLAIDYAYNDALTPVFLMLVPLALVSAVVLIFVREDNLKDTIS---</t>
  </si>
  <si>
    <t>-------------MVPPQSPTGQEADKRTIFMVFAGLIVSMLLSALDQTVFSTALPTIVGELDGVNHMLWVTTGYLVAVTIMMPIYGKLGDMMGRKTLFLGALTVFLIGSVIGGFATNMTWLIIARVVQGLGGGGLMILSQAIIADIVPVRDRGKYMGVMGAVFGLSSVVGPVLGGWFAESIGWRWVFWMNLPIGVLAIAIAATVLKLPKHDTKFTFDVWGTLTMAVAVTSIILIASWGGVEYEWGSATIINLII</t>
  </si>
  <si>
    <t>MTTKLTTEDVPQPVVPPQSPTGQDANKRTIFMVFAGLIVSMLLSALDQTVFSTALPTIVGELDGVNHMLWVTTGYLVAVTIMMPIYGKLGDMMGRKTLFLGALTVFLIGSVIGGFATNMTWLIIARVVQGLGGGGLMILSQAIIADIVPVRDRGKYMGVMGAVFGLSSVVGPVLGGWFAESIGWRWVFWMNLPIGIIAIIIAATVLKLPKHDTKFTFDVWGTLTMAVAVTSIILIASWGGVEYEWGSATIINLIITAIVFSALFVWAEATATDPLIPLKVFQSRNFVLATITGLFIGIAMFGVLAYMPTYLQMVTGVNATGSGLMMFPMVVGLMGMAMTTGALASKTGKYKWMPIASMVVLAISLWLLSTLTVETPLWVLLSYMFLLGAGIGLGMQILVLVVQNSFSDHEVGMATASNNFFREIGASLGGAFVGAQFTTRLTDLLGERMSA----LGPAVASAMGGGKMDMNSLTPARVNQLPDAIHDVIVGAYNDALTPVFLLLIPMIAAGFVTVMFIKEVPLRAKLETAE</t>
  </si>
  <si>
    <t>GC_00000627</t>
  </si>
  <si>
    <t>PF00137.26</t>
  </si>
  <si>
    <t>ATP synthase subunit C</t>
  </si>
  <si>
    <t>K02110</t>
  </si>
  <si>
    <t>F-type H+-transporting ATPase subunit c</t>
  </si>
  <si>
    <t>COG0636</t>
  </si>
  <si>
    <t>FoF1-type ATP synthase, membrane subunit c/Archaeal/vacuolar-type H+-ATPase, subunit K (AtpE) (PDB:1C17)</t>
  </si>
  <si>
    <t>MLRGTLEGKYILMNELILAQAAESATHGNIATIGYGLAAIGPGIGIGIIVGKALEGMARQPEMAGTLRTTMFLGIAFVEALALISLAAGYMFT</t>
  </si>
  <si>
    <t>GC_00000628</t>
  </si>
  <si>
    <t>PF02873.21</t>
  </si>
  <si>
    <t>UDP-N-acetylenolpyruvoylglucosamine reductase, C-terminal domain</t>
  </si>
  <si>
    <t>K00075</t>
  </si>
  <si>
    <t>UDP-N-acetylmuramate dehydrogenase [EC:1.3.1.98]</t>
  </si>
  <si>
    <t>COG0812</t>
  </si>
  <si>
    <t>UDP-N-acetylenolpyruvoylglucosamine reductase (MurB) (PDB:2MBR)</t>
  </si>
  <si>
    <t>KEGG Orthology (KO)&gt;&gt;&gt;09100 Metabolism&gt;&gt;&gt;09101 Carbohydrate metabolism&gt;&gt;&gt;00520 Amino sugar and nucleotide sugar metabolism [PATH:ko00520]|KEGG Orthology (KO)&gt;&gt;&gt;09100 Metabolism&gt;&gt;&gt;09107 Glycan biosynthesis and metabolism&gt;&gt;&gt;00550 Peptidoglycan biosynthesis [PATH:ko00550]|Enzymes&gt;&gt;&gt;1. Oxidoreductases&gt;&gt;&gt;1.3  Acting on the CH-CH group of donors&gt;&gt;&gt;1.3.1  With NAD+ or NADP+ as acceptor&gt;&gt;&gt;1.3.1.98  UDP-N-acetylmuramate dehydrogenase|Peptidoglycan biosynthesis and degradation proteins&gt;&gt;&gt;Precursor biosynthesis&gt;&gt;&gt;Transferase/Dehydrogenase</t>
  </si>
  <si>
    <t>MRGAACKKQCLEVLGDPLFGQRALISDELAECFRNLRLNRRTHERNGDVDLIVVGQSGGVGTSRSHGTLEVNRCALHISGVIEGEGIPIEFADGDDALDLQRLGDHGAHGLRQKVHRHDFVQDGLVAVEGMNLASFGGEVGYVVSPVVRVGQCGVHFIRGVVDRHGVLCARSHRQQTTVRCMSEILTPDLMARLRAFDGVDVQEAT-FASLTTLRVGGRPLACVVCNTTESIAQVVGLLDEHSVPLLVVGGGSNLLVSDDDVAMVAVVLNNRGVKIDACDTSAGDGPVYVRAQAGVVWDDLVAQTVDRGLGGLECLSGIPGSVGATPVQNVGAYGVEVSDVLRRVRLYDRTSGELEWVEPEALDLAYRYSNLKFTGRAVVVEVEFQLSADGLSAPLRFGELARTLGVTEQEG---SGARCPVAQVRDAVLGLRRGKGMVVDPNDHDTWSAGSFFTNPIVDAASIKQVRECIAAHVPDDTYATMPCFEVDGG-YKLSAAWLIDKAGFTKGYPGEGAPARLSTKHTLALTNRGDATAADVVALARDVQRGVNNIFGVHLEPEPVWVGF--</t>
  </si>
  <si>
    <t>---------MSDLL-------------------------------------------------------------------------------------------------------------------------------------------------------------------------------VTQKLSSIPGATIDTVTQFADLTTLHLGGQPRAVVRCASTQAVIDVVSLLDAHQVSLLIIGGGSNL</t>
  </si>
  <si>
    <t>GC_00000629</t>
  </si>
  <si>
    <t>K02224</t>
  </si>
  <si>
    <t>cobyrinic acid a,c-diamide synthase [EC:6.3.5.9 6.3.5.11]</t>
  </si>
  <si>
    <t>COG1797</t>
  </si>
  <si>
    <t>Cobyrinic acid a,c-diamide synthase (CobB)</t>
  </si>
  <si>
    <t>KEGG Orthology (KO)&gt;&gt;&gt;09100 Metabolism&gt;&gt;&gt;09108 Metabolism of cofactors and vitamins&gt;&gt;&gt;00860 Porphyrin metabolism [PATH:ko00860]|Enzymes&gt;&gt;&gt;6. Ligases&gt;&gt;&gt;6.3  Forming carbon-nitrogen bonds&gt;&gt;&gt;6.3.5  Carbon-nitrogen ligases with glutamine as amido-N-donor&gt;&gt;&gt;6.3.5.9  hydrogenobyrinic acid a,c-diamide synthase (glutamine-hydrolysing)|Enzymes&gt;&gt;&gt;6. Ligases&gt;&gt;&gt;6.3  Forming carbon-nitrogen bonds&gt;&gt;&gt;6.3.5  Carbon-nitrogen ligases with glutamine as amido-N-donor&gt;&gt;&gt;6.3.5.11  cobyrinate a,c-diamide synthase</t>
  </si>
  <si>
    <t>MLAPSTPRAVPGVVIAAPASGTGKTTIATGLIAALSRRMEVAPFKVGPDYIDPGYHGVAAGRPGRNLDSVMCGEQLIGPLYAHGSKGCDISVVEGVMGLFDGRIALGADPMCAPGSTAQVAQLLDMPVILVVDVRGMSQSAGALVRGFC-AAEGIRIAGVILNRAGTDRHDQVCREAIEAVGVPVVGSVPRMN-VDVPSRHLGLVTAAENCE-TLDVITRMADLVEAHVDLDAVVALARCGYQGQAWDPAAAISESDDAAPAGSVGPRPAASGKRVAVAGGPAFTFAYAEHRELLRAAGATVVDFDPLNDPLPECDGLIIPGGFPEEHVEQLAGRADLREDIRALAASGAPIHGECAGLLWLLETLDAHPMLGLIPTHAAMGRRLTLGYREAVALSDSLLYRTGERVTGHEFHHTALTSEQAEGFGPAWGWKGWHGPK-QEGFVAGNIHASYLHVHPASAPQAVSRFVQAM--------</t>
  </si>
  <si>
    <t>--------------------------------------MKVAPFKVGPDYIDPGYHSIASGCVGRNLDSVLCGNDLIGPLYHYGSQHADIAVVEGVMGLFDGRISDGA------GSTADIAAKLGIPILLIVDARGMSQSVGAVVRGFATARSDVRIAGVILNKVGSDRHAAVCREAVEAEGIPVVGSIPRQHDIVVPSRHLGLVTAIEHGEAALKAIQSMEKLIEQTCDVDRISALADCSYTGPMWDPTTVVDK</t>
  </si>
  <si>
    <t>GC_00000630</t>
  </si>
  <si>
    <t>PF00189.25</t>
  </si>
  <si>
    <t>Ribosomal protein S3, C-terminal domain</t>
  </si>
  <si>
    <t>K02982</t>
  </si>
  <si>
    <t>small subunit ribosomal protein S3</t>
  </si>
  <si>
    <t>COG0092</t>
  </si>
  <si>
    <t>Ribosomal protein S3 (RpsC) (PDB:1VS6)</t>
  </si>
  <si>
    <t>MGQKIHPHGLRLGITSDWKSHWYADKSYADYLAEDIKIREFLSKNLDRAGVADVVIERTRDRVRVDIHTARPGIVIGRRGSEADRIRGELEKLTGKQVALNILEVKNIDANAQLVAQSIAEQLTNRVAFRRAMRKAIQSAMRQPQVKGIKVVCSGRLGGAEMSRTERYHEGRVPLHTLRAEIDYGTYEAHTTFGRIGVKVWIYKGDVVGGKRESDLYAPDARRGRGDRRERPRRGGQRRQRAEQKQEG</t>
  </si>
  <si>
    <t>MGQKIHPHGLRLGITSDWKSHWYADKNYADYLAEDIKIRDFLAKSLDRAGVADVVIERTRDRVRVDIHTARPGIVIGRRGSEADRIRGELEKLTGKQVALNILEVKNIDANAQLVAQSIAEQLSNRVAFRRAMRKAIQSAMRQPQVKGIKVVCSGRLGGAEMSRTERYHEGRVPLHTLRAEIDYGTYEAHTTFGRIGVKVWIYKGDVVGGRRESEINAPAERRGRGDRRERTRRGGQRRQRAEQKQEG</t>
  </si>
  <si>
    <t>MGQKIHPHGLRLGITSDWKSHWFADKEYADYLAEDIKIRDYLTKNLDRAGIADVVIERTRDRVRIDIHTARPGIVIGRRGSEADRLRTKLEKLTRKQVALNILEVKNIDANAQLVAQSIAEQLTNRVAFRRAMRKAIQGAMRQPQVKGIKVMCAGRLGGAEMSRTERYHEGRVPLHTLRAEIDYGTYEAHTTFGRIGVKVWIYKGDVVGNRRESELNAPTERRGRGDRNPRPRRGGQRRQRAEQKQEG</t>
  </si>
  <si>
    <t>MGQKIHPHGLRLGITSDWKSHWFADKEYADYLAEDIKIRDYLTKNLDRAGIADVVIERTRDRVRIDIHTARPGIVIGRRGSEADRLRTKLEKLTRKQVALNILEVKNIDANAQLVAQSIAEQLTNRVAFRRAMRKAIQGAMRQPQVKGIKVMCAGRLGGAEMSRTERYHEGRVPLHTLRAEIDYGTYEAHTTFGRIGVKVWIYKGDVVGNRRESELNAPTERRGRGDRNARPRRGGQRRQRAEQKQEG</t>
  </si>
  <si>
    <t>GC_00000631</t>
  </si>
  <si>
    <t>PF01297.22</t>
  </si>
  <si>
    <t>Zinc-uptake complex component A periplasmic</t>
  </si>
  <si>
    <t>K02077</t>
  </si>
  <si>
    <t>zinc/manganese transport system substrate-binding protein</t>
  </si>
  <si>
    <t>COG0803</t>
  </si>
  <si>
    <t>ABC-type Zn uptake system ZnuABC, Zn-binding component ZnuA (ZnuA) (PDB:1K0F)</t>
  </si>
  <si>
    <t>Transporters&gt;&gt;&gt;ABC transporters, prokaryotic type&gt;&gt;&gt;Metallic cation, iron-siderophore and vitamin B12 transporters&gt;&gt;&gt;Putative zinc/manganese transporter</t>
  </si>
  <si>
    <t>MSIRSRRLNGPAARGTALAVAALIGAGSLAACSSDDASSSSSPEKAGTGELNVVATTTQICDYVKQID-------------------------------APDTNLTCLLAPNASAHEHEMTKEQMKALSEADLMLVNGVDLEHFLDQAVDSSGFKGTMVVTTGILSATDLDGKPVSDADLPYTIDRGIKKIDVQPWPFPPEEGETQAEFAYDPHVWTSPENAKIQVENIGHAFEEAR---PDQADVYKKHVEAYTHKLDELNTWVKEQINTIPEPNRVLFTSHDAFGYFSKTYGINFIGAALSDFNEQQDATAEHIAEEAQKVKDSGAVALFAENSNNPKSIEAIAKAAGVKAVIGDDALYGDSLGPAGSEGETYIGSIVHNVTNLVDAWGGHAT--PPNFN----</t>
  </si>
  <si>
    <t>--MKSRQPWAVILGAVAASSLLLAGC------------SSSTGEKSD--GLNVVATTTQLCDYVTQIGRAAAEKEDSLSFTKVDAAGTSTTVGGDSGTRASTLNLTCLLAPNASAHSHEMTVNQMKALSSADLFLVNGVDLEHFLDDAVSSSGFHGTMVVSSGVASANNAKAK-----DAAYTLDEGDEKVQVAPWPFPPEHGDT-PEFQYDPHVWTSPANAAIQVHNIGAALTDKQ---P----VLKPYVTEYE</t>
  </si>
  <si>
    <t>MRIVQKKYFA----GILAAALALAGC------------STTSTGAANAKGIHAVATTTQICDYLTQIA------NNGMKLVKTDSAGHETT----SGDGDVTLNLTCLLAPNASAHEHEMTPQQMKALAQADLLFVNGVDLEHFLDSAVKSSGFKGTMSVTSGV---SEEKGD-------GYTVELGDQKVDVRPWPFVTP-GEK-PEFTHDPHVWTDVKQADVQVFNIGTALEKTQSDNPAAADSIKAAVEKYEAQLTLLDQWVRDSISSVPEENRVLFTSHDAFGYFANAYDVKFIGAALSDFNHQQDATAEHINKAAEEVKASGAKALFAENSNNSKSIEAIARAAGVKAITNDDALYGDSLGPAGSPGETYIGSIIHNVTTLVTAWDGTPAPLPPEISNNAK</t>
  </si>
  <si>
    <t>MRIVQKKYFA----GILAAALALAGC------------STTPTGAANAKGIHAVATTTQICDYLTQIA------NNGMKLVKTDSAGHETT----SGDGDVTLNLTCLLAPNASAHEHEMTPQQMKALAQADLLFVNGVDLEHFLDSAVKSSGFKGTMSVTSGV---SEEKGD-------GYTVELGDQKVDVRPWPFVTP-GEK-PEFTHDPHVWTDVKQADVQVFNIGTALEKTQSDNPAAADSIKAAVEKYEAQLTLLDQWVRDSISSVPEENRVLFTSHDAFGYFANAYDVKFIGAALSDFNHQQDATAEHINKAAEEVKASGAKALFAENSNNSKSIEAIARAAGVKAITNDDALYGDSLGPAGSPGETYIGSIIHNVTTLVTAWDGTPAPLPPEISNNAK</t>
  </si>
  <si>
    <t>GC_00000632</t>
  </si>
  <si>
    <t>PF05768.20</t>
  </si>
  <si>
    <t>Glutaredoxin-like domain (DUF836)</t>
  </si>
  <si>
    <t>MSSTEGGGGKLVELMVRRTCGSCARVQAQIAPVVEQAGCMLEIVDVDTDRGLAAEFGDRVPVVVIDGEEFACWEVDNGELALALL-</t>
  </si>
  <si>
    <t>-------MVHVVELMVRESCGSCSRVSKQIAPIVAAAGADLVHRDVDSDLELFAEYGDRVPVVVVDGEEFACWEVDNAELAKALL-</t>
  </si>
  <si>
    <t>-------MVHVVELMVRESCGSCSRVSKQIAPIVAAVGADLVHRDVDSDLELFAEYGDRVPVVVVDGEEFACWEVDNAELAKALL-</t>
  </si>
  <si>
    <t>GC_00000633</t>
  </si>
  <si>
    <t>PF01300.24</t>
  </si>
  <si>
    <t>Telomere recombination</t>
  </si>
  <si>
    <t>K07566</t>
  </si>
  <si>
    <t>L-threonylcarbamoyladenylate synthase [EC:2.7.7.87]</t>
  </si>
  <si>
    <t>COG0009</t>
  </si>
  <si>
    <t>tRNA A37 threonylcarbamoyladenosine synthetase subunit TsaC/SUA5/YrdC (TsaC) (PDB:1HRU)</t>
  </si>
  <si>
    <t>ko01000|ko03009|ko03016|ko03016</t>
  </si>
  <si>
    <t>Enzymes&gt;&gt;&gt;2. Transferases&gt;&gt;&gt;2.7  Transferring phosphorus-containing groups&gt;&gt;&gt;2.7.7  Nucleotidyltransferases&gt;&gt;&gt;2.7.7.87  L-threonylcarbamoyladenylate synthase|Ribosome biogenesis&gt;&gt;&gt;Prokaryotic type&gt;&gt;&gt;Other maturation factors|Transfer RNA biogenesis&gt;&gt;&gt;Eukaryotic type&gt;&gt;&gt;tRNA modification factors&gt;&gt;&gt;Other tRNA modification factors|Transfer RNA biogenesis&gt;&gt;&gt;Prokaryotic type&gt;&gt;&gt;tRNA modification factors&gt;&gt;&gt;Other tRNA modification factors</t>
  </si>
  <si>
    <t>MSQTYDCSISGAQSDAAE-RARGINTAASAVEDGRLVVLPTDTLYGIGCDAFNPDAVRKLLAAKGRGPDMPVPVLVGSWDTIAGLVQFYTPQAQTLVRACWPGGLSIVMPQAPSLPWDLGNTYGSVMLRMPAHPVAIELLQKTGPMAVSSANISGQPPATTCQEAKDQLGESVAVYLDGGTCAQRTPSTIIDLTDRQPKILREGAVPAEHLSEILGVEL--------------</t>
  </si>
  <si>
    <t>MSRIYDC------ADSES-RELGLRAAFNAVKGGRLVVLPTDTLYGLGCDAFDNDAVNRLLAAKNRGPNMPVPVLVGSWDTIQGLVAEYSPQARALVEALWPGGLSIVIRQAPSLPWNLGDTRGTVMLRMPLHPVAIELLRETGPMAVSSANISGQPPATTAEDAKNQLGSAVNVYLDGGECAVGTASTIIDLSHREPKLLREGAVPAEKIAEILGVDVESL----------R</t>
  </si>
  <si>
    <t>MSRIYSC------TDTGEVRSLGIKAAVGAVKSGRLVVLPTDTLYGLGCDAFDNDAVARLLAAKDRGPDMPVPVLVGSWDTARGLVHSYNDQLRTLIEAFWPGGLSIVVPQAPSLMWNLGDTRGTVMLRMPLHPVAIELLRETGPMAVSSANISGQPPATTAAMAEEQLGNKVNVYLDGGETSVGVASSIIDVSGDQPRLLREGAIPATRIADVLGVAPETLTPAARTPENSR</t>
  </si>
  <si>
    <t>MSRIYSC------TDTGEIRSLGIKAAVGAVKSGRLVVLPTDTLYGLGCDAFDNDAVARLLAAKDRGPDMPVPVLVGSWDTARGLVHSYNDQLRTLIEAFWPGGLSIVVPQAPSLMWNLGDTRGTVMLRMPLHPVAIELLRETGPMAVSSANISGQPPATTAAMAEEQLGDKVNVYLDGGETSVGVASSIIDVSGDQPRLLREGAIPATRIADVLGVAPETLTPAARTPENSR</t>
  </si>
  <si>
    <t>GC_00000634</t>
  </si>
  <si>
    <t>PF22698.1</t>
  </si>
  <si>
    <t>K00145</t>
  </si>
  <si>
    <t>N-acetyl-gamma-glutamyl-phosphate reductase [EC:1.2.1.38]</t>
  </si>
  <si>
    <t>COG0002</t>
  </si>
  <si>
    <t>N-acetyl-gamma-glutamylphosphate reductase (ArgC) (PDB:3DR3)</t>
  </si>
  <si>
    <t>M00028|M00845</t>
  </si>
  <si>
    <t>Ornithine biosynthesis, glutamate =&gt; ornithine|Arginine biosynthesis, glutamate =&gt; acetylcitrulline =&gt; arginine</t>
  </si>
  <si>
    <t>KEGG Orthology (KO)&gt;&gt;&gt;09100 Metabolism&gt;&gt;&gt;09105 Amino acid metabolism&gt;&gt;&gt;00220 Arginine biosynthesis [PATH:ko00220]|Enzymes&gt;&gt;&gt;1. Oxidoreductases&gt;&gt;&gt;1.2  Acting on the aldehyde or oxo group of donors&gt;&gt;&gt;1.2.1  With NAD+ or NADP+ as acceptor&gt;&gt;&gt;1.2.1.38  N-acetyl-gamma-glutamyl-phosphate reductase</t>
  </si>
  <si>
    <t>MVGMITVSVVGVTGYAGAEILRLLLSHPRYTSGELTIGALTAGSNAGTPLSDHLPHLPQLADRMVEETSPDALADSDVVFLALPHGHSAAIARALGPETIVIDCAADHRLKNKTDWDSFYGGAYAGSAPYGIPEMPGHREDISNARVIAVPGCFPTGATLAALPAVAERIITPDIRVVSITGTSGGGKKPNVGLLGAETMSNLKAYNTAGKHRHNPEIIQNLSEVAEEPVTCSFTPVLAPLPRGILTTVTASVHPRLAYGDSHDVIKQARAAYEKHYGAEPFVHLLPEGQQPQTQAVQGANTCHVQVEYDPAAGVVLMTSAIDNLTKGTAGAAVQCMNLALGFEETAGLPISGLAP</t>
  </si>
  <si>
    <t>--MTIKVAVAGASGYAGGEILRLLVGHPAYAAGDLTIGALTAASSAGTPVGELMPHLMPLADRIIEPTSVDVLAGHDVVFLGLPHGHSAEIAQQLGPDVLVVDCAADFRLVSADDWETFYGSPHAGSWPYGIPEMPGHREQLSGTKRVAVPGCFPTGATLSLLPAVAHGLIDPNISIVSVTGVSGGGKKASVGLLGSETMGSLKAYNTAGKHRHNPEIIQNLKEYTDKDVSVSFTPVLAPLPRGILTTATAPLTP</t>
  </si>
  <si>
    <t>--MTIKVAVAGASGYAGGEILRLLVGHPAYAAGDLTIGALTAASSAGTPVGELMPHLMPLADRIIEPTSVDVLAGHDVVFLGLPHGHSAEIAQQLGPDVLVVDCAADFRLVSADDWETFYCLPHAGSWPYGIPEMPGHREQLRGTKRVAVPGCFPTGATLSLLPAVAHGLIDPNISIVSVTGVSGGGKKASVGLLGSETMGSLKAYNTAGKHRHNPEIIQNLKEYTDKDVSVSFTPVLAPLPRGILTTATAPLTP</t>
  </si>
  <si>
    <t>GC_00000635</t>
  </si>
  <si>
    <t>K03218</t>
  </si>
  <si>
    <t>23S rRNA (guanosine2251-2'-O)-methyltransferase [EC:2.1.1.185]</t>
  </si>
  <si>
    <t>Enzymes&gt;&gt;&gt;2. Transferases&gt;&gt;&gt;2.1  Transferring one-carbon groups&gt;&gt;&gt;2.1.1  Methyltransferases&gt;&gt;&gt;2.1.1.185  23S rRNA (guanosine2251-2'-O)-methyltransferase|Ribosome biogenesis&gt;&gt;&gt;Prokaryotic type&gt;&gt;&gt;rRNA modification factors&gt;&gt;&gt;23S rRNA modification factors</t>
  </si>
  <si>
    <t>MAGNSQRRGAMRKTNKKGQVVGSGGQRRRGLKGKGPTPKAEDRTYHAAYKRKIERERRAQGRHQKDDGNELVVGRNPVVECLKAKVPAQTLYVVEGTQNDDRLSEAVQLCRARSIPTVEVPKHEMDRMTGNGMHQGIGLLIPPFEYADVEDLIDDVASRGEDGLIVCLDNITDPRNLGAVIRSVAAFGGHGVVVPERRSASVTAVAWRTSAGTAARLPVAKATNMTRTLKRFQQAGYQVVGLDAGGDHTLDTYDGTGPVVIVVGSEGKGMSRLVRETCDSVMSIPMVGWVESLNASVAAGVVLSEFARQRRAQTR-----</t>
  </si>
  <si>
    <t>MAGNSRRRGAVRKTNKKGATKGSGGQRRRGLRGKGPTPKAEDRVYHAAHKRKLDKQRRDSGRHVRERTTELVVGRNPVVECLRTNVPATALYVAEGTNNDDRLAEAVRLANSRGISIIEVSRLELDRMTGSSMHQGIGLQVPSYDYAHVEDIIDEAAASG-QGLVVCLDNITDPRNLGAVIRSVAAFGGQGVIIPERRSASVTAVAWRTSAGTAARLPVAKATNLVRTLKQFQQAGFQVVGLDADGDKTLDDYDGTEPTVIVVGSEGKGLSRLVSETCDSKISIPTSDWVESLNASVAAGVVLSEFARQRRAS-------</t>
  </si>
  <si>
    <t>MSGNSKNRPGIRKTNKKGAVKGSGGARRRGLRGKGPTPKAEDRVYHAAHKRKLERQRRDQGRHDRSASTELVVGRNPVIECLHARVPATALYIAQGTRNDDRLTEAVQLAHSRSIPLIEVPRIELDSMTGNGLHQGVGLQIPPFEYADVFDLIGTVADGKEQGMIVVLDNITDPRNLGAVIRSTVAFGGQGVVIPERRSASVTAVAWRTSAGTAARLPVAKATNITRTLKEFQQNGYQVVGLDAGGDTTYDSYDGTGPVVIVVGSEGKGLSRLVRETCDVLVSVPTTSWVESLNASVAAGVVLSEFSRQRRAAGVKPSES</t>
  </si>
  <si>
    <t>MSGNSKNRPGIRKTNKKGAVKGSGGARRRGLRGKGPTPKAEDRVYHAAHKRKLERQRRDQGRHDRSASTELVVGRNPVIECLHARVPATALYIAQGTRNDDRLTEAVQLAHSRSIPLIEVPRIELDSMTGNGLHQGVGLQIPPFEYADVFDLIGTVADSKEQGMIVVLDNITDPRNLGAVIRSTAAFGGQGVVIPERRSASVTAVAWRTSAGTAARLPVAKATNITRTLKEFQQNGYQVVGLDAGGDTTYDSYDGTGPVVIVVGSEGKGLSRLVRETCDVLVSVPTTSWVESLNASVAAGVVLSEFSRQRRAAGVKPSES</t>
  </si>
  <si>
    <t>GC_00000636</t>
  </si>
  <si>
    <t>E|P|E|P</t>
  </si>
  <si>
    <t>Amino acid transport and metabolism|Inorganic ion transport and metabolism|Amino acid transport and metabolism|Inorganic ion transport and metabolism</t>
  </si>
  <si>
    <t>COG0601|COG1173</t>
  </si>
  <si>
    <t>ABC-type dipeptide/oligopeptide/nickel transport system, permease component (DppB)|ABC-type dipeptide/oligopeptide/nickel transport system, permease component (DppC)</t>
  </si>
  <si>
    <t>-------------------------MKKALT-AAVLLLITSIITALLPWIADRDPAMAVFRAREAERAPDPDVLDNLRTTLDLPTTPWQSISA----TLSGNFGTSWINPTRSATSIAWSGLGTSVTLAASSTILATALAFALAWPRIRSVTTGRPSRASDITAMAVLGSIPEFVLTVVLLVTFALRLRIAPVSGVS-----WLPILALALPSAGLLGRVLLITIDNIGQEEWVRSWRINGVTPRHITTALATRT</t>
  </si>
  <si>
    <t>-----------------MPTRPFTRFSGALT-SLLLVASSLLITALLPWLGNRDLALAVFRAREAERDPDPEILEAIRTELDLPTNPAEGVMEWLRGAITGDFGVSWVDPSRNAADVALGGFGVSFTLAALSTGTAVILSWFLVWPRLRSIVRGTATRSSDIMGMALLGTIPEFVLAVVLLVLFALRLRIFPVSGFSSYTHMVLPTLALALPSAGLLGRVLLITIDGIGREEWVRVWRRGGVSPRQLYRAISIRA</t>
  </si>
  <si>
    <t>MAQTHQSSQTHHQADSEPRPNPVMRFLRQLVFPALLLLGSAFVTAILPFLDGSDLAHAVFRAREAEREPDPEVLDAIRTELDLPDTAADGVASWFGKALHGDFGVSWVDPSQPAAQVALSGFGVSITIAVTSTIVATLIALLLVWPRIRAVVAGKKSRTSHILGMAILGALPEFVLAVTLLVVVAVQWKLLPISGFSSPRHMILPVLSLALPSSGLLGRILLITIDQVAQEEWVRAWRLNGVEKRTISLALVQRSMAVLMPQIVLFFAGTLVATSLVETTFNIPGLGLTGVQAARDRDIPVLQVIVLVAVVIGLIAGGVSQWLRRRLLAPLLHSATSYSSQLSPQHKPRGGWLLIAVLVPFVLLLIMAVVTPGTTIDSAHKLLPPSMEHPLGTDQVGRDLVTRIALGMVVSLGVAVLVTAICAIIGCALGLAGAWVAKLGDALNALPAVFIGVILAGVFGSSQTTAAIAVMCVGWIPLAAHTAAVVEEAKTTGFYRWAELQGADRWRLLRVHTWPTLWPAVVRHAASRIAHNALALVSLGFLGLGAAHDSPNWGKILSESVNYVDRAPWMMLAPTILLILLGVASALTTDTNLALRRRNAA</t>
  </si>
  <si>
    <t>MAQTHQSSQTHHQADSEPRPNPVVRFLRQLVFPALLLLGSAFVTAILPFLDGSDLAHAVFRAREAEREPDPEVLDAIRTELDLPDTAADGVASWFGKALHGDFGVSWVDPSQPAAQVALSGFGVSITIAATSTIVATLIALLLVWPRIRAVVAGKKSRTSHILGMAILGALPEFVLAVTLLVVVAVQWKLLPISGFSSPRHMILPVLSLALPSSGLLGRILLITIDQVAQEEWVRAWRLNGVEKRTISLALVQRSMAVLMPQIVLFFAGTLVATSLVETTFNIPGLGLTGVQAARDRDIPVLQVIVLVAVVIGLIAGGVSQWLRRRLLAPLLHSATSYSSQLSPQHKPRGGWLLIAVLVPFVLLLIMAVVTPGTTIDSAHKLLPPSMEHPLGTDQVGRDLVTRIALGMVVSLGVAVLVTAICAIIGCALGLAGAWVAKLGDALNALPAVFIGVILAGVFGSSQTTAAIAVMCVGWIPLAAHTAAVVEEAKTTGFYRWAELQGADRWRLLRVHTWPTLWPAVVRHAASRIAHNALALVSLGFLGLGAAHDSPNWGKILSESVNYVDRAPWMMLAPTILLILLGVASALTTDTNLALRRRNTA</t>
  </si>
  <si>
    <t>GC_00000637</t>
  </si>
  <si>
    <t>PF00199.24</t>
  </si>
  <si>
    <t>Catalase</t>
  </si>
  <si>
    <t>K03781</t>
  </si>
  <si>
    <t>catalase [EC:1.11.1.6]</t>
  </si>
  <si>
    <t>COG0753</t>
  </si>
  <si>
    <t>Catalase (KatE) (PDB:6RJR)</t>
  </si>
  <si>
    <t>M00532</t>
  </si>
  <si>
    <t>Photorespiration</t>
  </si>
  <si>
    <t>KEGG Orthology (KO)&gt;&gt;&gt;09100 Metabolism&gt;&gt;&gt;09101 Carbohydrate metabolism&gt;&gt;&gt;00630 Glyoxylate and dicarboxylate metabolism [PATH:ko00630]|KEGG Orthology (KO)&gt;&gt;&gt;09100 Metabolism&gt;&gt;&gt;09105 Amino acid metabolism&gt;&gt;&gt;00380 Tryptophan metabolism [PATH:ko00380]|KEGG Orthology (KO)&gt;&gt;&gt;09130 Environmental Information Processing&gt;&gt;&gt;09132 Signal transduction&gt;&gt;&gt;04016 MAPK signaling pathway - plant [PATH:ko04016]|KEGG Orthology (KO)&gt;&gt;&gt;09130 Environmental Information Processing&gt;&gt;&gt;09132 Signal transduction&gt;&gt;&gt;04011 MAPK signaling pathway - yeast [PATH:ko04011]|KEGG Orthology (KO)&gt;&gt;&gt;09130 Environmental Information Processing&gt;&gt;&gt;09132 Signal transduction&gt;&gt;&gt;04068 FoxO signaling pathway [PATH:ko04068]|KEGG Orthology (KO)&gt;&gt;&gt;09140 Cellular Processes&gt;&gt;&gt;09141 Transport and catabolism&gt;&gt;&gt;04146 Peroxisome [PATH:ko04146]|Enzymes&gt;&gt;&gt;1. Oxidoreductases&gt;&gt;&gt;1.11  Acting on a peroxide as acceptor&gt;&gt;&gt;1.11.1  Peroxidases&gt;&gt;&gt;1.11.1.6  catalase</t>
  </si>
  <si>
    <t>--MTNQSASNNTPTVDDIVNRGQCPVAHGA----TTSLAGAPVASENHSITTGQQGSVALHDFHLIEKLAHFNRERVPERVVHAKGSGAFGELTVTEDMSPYTCAALFQKGTVTPMLARFSTVAGEQGSPDAWRDVRGFSLKFYTSEGNYDIVGNNTPVFFIRDGIKFPDFIHSQKRLPGSGLRDANMQWDFWTRTPESAHQVTYLMGDRGIPKDFRHMDGFGSHTYQWINEAGERFWVKYHFKTRQGWETLTDA</t>
  </si>
  <si>
    <t>MPHTPPSNSSQSSAADPIVSAGRCPVVHGAAASASTNLNGAPTPSENHSVTQGQQGGISLHDIHLIEKLAHFNRERIPERVVHAKGSGAFGELVVTEDVSAYTCAALFQPGTVTPLLLRFSTVAGEQGSPDAWRDVRGFSLKFYTSEGNYDIVGNNTPVFFLRDGIKFPDFIHSQKRMPGSGLRDANMQWDFWTRTPESAHQVTYVMGDRGIPKSFRHMDGFGSHTYQWINEAGERFWVKYHFKTRQGWEFYTDEEAARVAGENADSSRSDLYDAIARGDFPTWDVKVQIMPVDEAASYRWNPFDLTKTWSQKDYPLIPVGHFTLNRNPENFFAQIEQAAFAPSNLVRGIGFSPDKMLLARVFAYADAHRYRVGANSDQLPVNRPVCPVNSYSHDGPMTYQFQGPDQPVYSPNGYGRPAGFQDSGTSSDVDTNLGSAGNLGLWADTHGSEFVRDAYVKHPDDDDFMQAGILVREVLDDAARERLAGNISRAMNGVTPEVEQRVYEYWTNVDPWLGNRVRELFTSA-</t>
  </si>
  <si>
    <t>MPHTPPSNSSQSSAADPIVSAGRCPVAHGAAASASTNLNGAPIASENHSVTQGQQGGISLHDIHLIEKLAHFNRERIPERVVHAKGSGAFGELVVTEDVSAYTCAALFQPGTVTPLLLRFSTVAGEQGSPDAWRDVRGFSLKFYTSEGNYDIVGNNTPVFFLRDGIKFPDFIHSQKRMPGSGLRDANMQWDFWTRTPESAHQVTYVMGDRGIPKSFRHMDGFGSHTYQWINEAGERFWVKYHFKTRQGWEFYTDEEAARVAGENADSSRSDLYDAIARGDFPTWDVKVQIMPVDEAASYRWNPFDLTKTWSQKDYPLIPVGHFTLNRNPENFFAQIEQATFAPSNLVRGIGFSPDKMLLARVFAYADAHRYRVGANSDQLPVNRPVCPVNSYSHDGPMTYQFQGPDQPVYSPNGYGRPAGFQDSGTSSDVDTNLGSAGNLGLWADTHGSEFVRDAYVKHPDDDDFMQAGILVREVLDDAARERLAGNISRAMNGVTPEVEQRVYEYWTNVDPWLGNRVRELFTSA-</t>
  </si>
  <si>
    <t>------------MNTNDIVTNGMGPELTGT----THQHGGRPVASENVSITAGPQGATVLNDIHLVEKLAHFNRERVPERNPHAKGHGAFGELHITHDVSAYTKAQLFQPNTVTPVAVRFSTVAGEQGSPDTWRDVHGFAVRFYTEEGNFDIVGNNTPTFFLRDGMKFPDFIHSQKRMGPTGLRSADAQWDFWTRTPESAHQVTYLMGDRGTPKTSRHQDGFGSHTFQWLNAKGEAFWVKYHFKTRQGWDCFTDE</t>
  </si>
  <si>
    <t>GC_00000638</t>
  </si>
  <si>
    <t>--MIELLVVALAALLSA-VLGTVESAVTALSRARVEELVKEE-RQGAAALLKVLNHRSDNINLLILLRTLLDTTAAVVGGALALELIGSRS-WAIAAAVAVVATITYVIAGVFSRTVGRRNPYTVSIQAALVLSALAFVLGPITKILVWIGGKLAPGPGFEDGPFATEVELREMVDLAQDSGVVESEERQMIQNVFDLADTTARSVMVPRPEMIWIEDKKTAGQATALCVRSGHSRIPVVGETVDDIQGIVYLKD</t>
  </si>
  <si>
    <t>MESFVMGVGAVAALLSAGVLNAVETAVAMISRAQVEEDAKEN-VPGAQRLLAVLDRKSEHINLLVLLSRLLDVTAAVLTGALALQLISSRL-WAMVAAIAGVTLVMYTIIGISSRTLARRNPYVVARNSALALSTVAWLLGPAANALVWVGNKLVPGEPFQGGPYTSEVALLEMVDFAQERGVVEVDERRMIQSILDLSDTTARSVMVPRPEMVWIEADKTAGQATALCVRSGHSRIPVVGENVDDIVGVVYLKDVVQKTYHKTDAGRGVSVSEVMRPATFVPDSKKLDDLLEQMQRERFHIAMLVDEYGGIAGLISIEDILEEIVGEIADEYDDAEVAPI--EQISPRTFRVVSRLSLDDLHDLVDETLNEDLVFSDETLDQVDTVGGLLAYALGRVPLPGVTVEHSGLRLTAEGQRDRRGRMRVTSVLIDVQ-----------QPADPLEH-</t>
  </si>
  <si>
    <t>MSPLVMGIVAVVALFFSGLFNTIEAALAVSSKARVAQIAKEKSTRAARRLLIVLDHRAEHINLLILGQKLLDATAAVFTAMLAMEWLSPRIEWALAAAIGGVTLLSFVIVGVFSRTIGRQNPYTVSLVAAFFLRPTFRILNPISKVLIGIGNILAPGRGFQDGPYSTEVELKEMVEIAQSKGEIEVDSR-MVQNVFDLSDSIAREVMVPRPDMVWIESGKLASQALNLCIKSGHSRIPVIGESVDDIVGVVYLKDVVQRMHSPTKGDKNPLVDEVMRTAHFVPDSKRLDDLLDEMQRERFHIALLVDEFGGVAGLISIEDILEEIVGEITDEYDSAEITPIVQDPNDPYKYRVVSRLQLDDLVERIEDDHRITINFDPEILDQIDTVAGLIAYEKGRVPLPNTEVETSGLRLKAIGGRDRRGRISVREVDVTMLVRGDDAEESDHNPDDPADTA</t>
  </si>
  <si>
    <t>MSPLVMGTVAVVALFFSGLFNTIEAALAVSSKARVAQIAKEKSTRAARRLLIVLDHRAEHINLLILGQKLLDATAAVFTAMLAMEWLSPRIEWALAAAIGGVTLLSFVIVGVFSRTIGRQNPYTVSLVAAFFLRPTFRILNPISKVLIGIGNILAPGRGFQDGPYSTEVELKEMVEIAQSKGEIEVDSR-MVQNVFDLSDSIAREVMVPRPDMVWIESGKLASQALTLCIKSGHSRIPVIGESVDDIVGVVYLKDVVQRMHSPTKGDKNPLVDEVMRTAHFVPDSKRLDDLLDEMQRERFHIALLVDEFGGVAGLISIEDILEEIVGEITDEYDSAEITPIVQDPNDPYKYRVVSRLQLDDLVERIEDDHHITINFDPEILDQIDTVAGLIAYEKGRVPLPNTEVETSGLRLKAIGGRDRRGRISVREVDVTMLVRGDDAEESDHNPDDPADTA</t>
  </si>
  <si>
    <t>GC_00000639</t>
  </si>
  <si>
    <t>PF13411.12</t>
  </si>
  <si>
    <t>MerR HTH family regulatory protein</t>
  </si>
  <si>
    <t>K13640</t>
  </si>
  <si>
    <t>MerR family transcriptional regulator, heat shock protein HspR</t>
  </si>
  <si>
    <t>COG0789</t>
  </si>
  <si>
    <t>DNA-binding transcriptional regulator, MerR family (SoxR) (PDB:2VZ4)</t>
  </si>
  <si>
    <t>Transcription factors&gt;&gt;&gt;Prokaryotic type&gt;&gt;&gt;Helix-turn-helix&gt;&gt;&gt;MerR family</t>
  </si>
  <si>
    <t>MMSNNSRSSAGQSEQGEKVYVISVAAELAGMHAQTLRTYDRMGLVTPARTRGGGRRYSQDDVDTLRTIQRLSQDKGVNLAGIKEILQLKVENEALRAENAQLRRDNERLS-------AQRGRPRGELVHVPRSTSIVVWENRRGRSC------</t>
  </si>
  <si>
    <t>MPTHNTRNN----SDGGEVFVISVAAELAGMHAQTLRTYDRMGLVIPQRTRGGGRRYSRRDVDVLREIQRLSQEEGVNLAGIKAIISLNQENENLQQELDEARAEINRLKAEVAHLEHESLRSRGEIVHVPRSTAVVMWDPNRKRRGRKDTGA</t>
  </si>
  <si>
    <t>--MSKNKNQ----ESMGEVFVISVAAELAGMHAQTLRTYDRMGLVTPQRTSGGGRRYSREDVELLRTVQRLSQEDGVNLAGIKAIIQLKKENEELRTKLQEVRAENEVLK-------HN--RHRGEIVHVPRSTAVVMWESRRGPRRKKQS--</t>
  </si>
  <si>
    <t>--MSKNKNQ----ESMGEVFVISVAAELAGMHAQTLRTYDRMGLVTPQRTSGGGRRYSREDVELLRTVQRLSQEDGVNLAGIKAIIQLKKENEELRTKLQEARAENEVLK-------HN--RHRGEIVHVPRSTAVVMWESRRGSRRKKQS--</t>
  </si>
  <si>
    <t>GC_00000640</t>
  </si>
  <si>
    <t>PF01018.28</t>
  </si>
  <si>
    <t>GTP1/OBG</t>
  </si>
  <si>
    <t>D|L</t>
  </si>
  <si>
    <t>Cell cycle control, cell division, chromosome partitioning|Replication, recombination and repair</t>
  </si>
  <si>
    <t>K03979</t>
  </si>
  <si>
    <t>COG0536</t>
  </si>
  <si>
    <t>GTPase involved in cell partioning and DNA repair (Obg) (PDB:1LNZ)</t>
  </si>
  <si>
    <t>ko03009|ko03009</t>
  </si>
  <si>
    <t>Ribosome biogenesis&gt;&gt;&gt;Eukaryotic type&gt;&gt;&gt;Other ribosome biogenesis factors|Ribosome biogenesis&gt;&gt;&gt;Prokaryotic type&gt;&gt;&gt;GTPases</t>
  </si>
  <si>
    <t>MNRFVDRVVLHLIAGDGGNGCASIHREKFKPLGGPDGGNGGHGGDIILEVSPQVHTLLDFHFRPHIKAQRGANGAGDHRNGARGEDLVMKVPAGTVVLDEKGNVMADLTDNGMRYVAAAGGHGGLGNAALASRVRKAPGFALKGEPGEQHDVILELKSMADVGLVGFPSAGKSSLVSVLSAAKPKIGDYPFTTLQPNLGVVNVAHDTFTIADVPGLIPGASEGKGLGLDFLRHIERTAVLAHVVDAATLEPGRDPASDIEALEAELAAYESALDGDTSLGDLKDRPRIIILNKADVPEARELAEFVEEDLKEKFGWPIFIISTVAHQGLEPLKYKLMEMVQAHRAEQQRLN------KDKVKVKTIIRPKAVDG-------KRDFVVEADPQVEDGFIIRGEKPERWIRQTDFENDEAIGFLGDRLAKLGVEEALFKAGAVEGCTVTIGEISFEWEPMTAAGVDTTMTGRGTDVRLEKTGRVSAAERKRASQVRRGLIDEFDFGDGQVADRERWQG</t>
  </si>
  <si>
    <t>MSRFVDRVVLHLSAGDGGNGCASIHREKFKPLGGPDGGNGGHGGDIILEVSPQVHTLLDFHFHPHIKASRGSDGAGDHRNGARGEDLVMSVPAGTVVLNEAGETLADLTTTGMRFIAAAGGRGGLGNAALASRARKAPGFALKGEPGEEHDVILELKSMADVGLVGFPSAGKSSLVSVLSAAKPKIADYPFTTLQPNLGVVNVGHDTFTIADVPGLIPGASEGKGLGLDFLRHIERTAVLAHVVDAATLEPGRDPGSDIEALEAELAAYESALDADTGLGDLRDRPRVIILNKADVPEARELAEFVLDDLKEQFGWPVFIISTVAHQGLEPLKYKLMEIVQEHRKAEAGPKGKSAGRAGKTAQPIIVRPKAVAG-------KRDFVIEADPDNEDGYIVRGEKPERWILQTDFENDEAVGYLGDRLARLGVEEALYKAGATPGCDVTIGHVTFEWEPLTIAGVDTQLTGRGTDIRLEQTERKSAAQRKRESQVRRGLIDEYDFGDGQVADRERWQG</t>
  </si>
  <si>
    <t>MARFVDQVTLHLTAGDGGNGCASIHREKFKPLGGPDGGNGGHGGDIILEVSAQVHTLLDLHYRPHLKAERGSNGAGDHRNGARGADLVLPVPVGTVVLSESGEQLADLTAVGMRFIAARGGFGGLGNAALASSVRKAPGFALRGEPGEQHDVVLELKSVADVGLVGFPSAGKSSLISVLSAAKPKIGDYPFTTLQPNLGVVDVGHETFTIADVPGLIPGASEGKGLGLDFLRHIERTAVLVHVVDTASIEPGRDPISDIEALEAELAAYESILVGDAGLGDLRDRPRIIVLNKADIPDAAELAEFVKEDLEQQFGWPVFIVSAVARKGLEPLKYKLLEIVQEARKKRP---------KEKAVTRMVVRPKAVDAARGKNGKHRDFTIEPDPENTGGFIVHGEKPARWIMQTDFENDEAVGYLADRLNRLGVEDALLKAGAEAGCPVTIGGITFEWEPMTSAGTAPVLTGRGTDIRLSHTKRASAAERKRASQARRGLIDELDFGDGQEADRKRWEG</t>
  </si>
  <si>
    <t>MARFVDQVTLHLTAGDGGNGCASIHREKFKPLGGPDGGNGGHGGDIILEVSAQVHTLLDLHYRPHLKAERGSNGAGDHRNGARGADLVLPVPVGTVVLSESGEQLADLTAVGMRFIAARGGFGGLGNAALASSVRKAPGFALRGEPGEQHDVVLELKSVADVGLVGFPSAGKSSLISVLSAAKPKIGDYPFTTLQPNLGVVDVGHETFTIADVPGLIPGASEGKGLGLDFLRHIERTAVLVHVVDTASIEPGRDPISDIEALEAELAAYESILVGDAGLGDLRDRPRIIVLNKADIPDAAELAEFVKEDLEQKFGWPVFIVSAVARKGLEPLKYKLLEIVQEARKKRP---------KEKAVTRMVVRPKAVDAARGKNGKHRDFTIEPDPENTGGFIVHGEKPARWIMQTDFENDEAVGYLADRLNRLGVEDALLKAGAEAGCPVTIGGITFEWEPMTSAGTAPVLTGRGTDIRLSHTKRASAAERKRASQARRGLIDELDFGDGQEADRKRWEG</t>
  </si>
  <si>
    <t>GC_00000641</t>
  </si>
  <si>
    <t>PF02875.26</t>
  </si>
  <si>
    <t>Mur ligase, glutamate ligase domain</t>
  </si>
  <si>
    <t>K11754</t>
  </si>
  <si>
    <t>dihydrofolate synthase / folylpolyglutamate synthase [EC:6.3.2.12 6.3.2.17]</t>
  </si>
  <si>
    <t>COG0285</t>
  </si>
  <si>
    <t>Folylpolyglutamate synthase/Dihydropteroate synthase (FolC) (PDB:1W78)</t>
  </si>
  <si>
    <t>M00126|M00841</t>
  </si>
  <si>
    <t>Tetrahydrofolate biosynthesis, GTP =&gt; THF|Tetrahydrofolate biosynthesis, mediated by PTPS, GTP =&gt; THF</t>
  </si>
  <si>
    <t>KEGG Orthology (KO)&gt;&gt;&gt;09100 Metabolism&gt;&gt;&gt;09108 Metabolism of cofactors and vitamins&gt;&gt;&gt;00790 Folate biosynthesis [PATH:ko00790]|Enzymes&gt;&gt;&gt;6. Ligases&gt;&gt;&gt;6.3  Forming carbon-nitrogen bonds&gt;&gt;&gt;6.3.2  Acid-D-amino-acid ligases (peptide synthases)&gt;&gt;&gt;6.3.2.12  dihydrofolate synthase|Enzymes&gt;&gt;&gt;6. Ligases&gt;&gt;&gt;6.3  Forming carbon-nitrogen bonds&gt;&gt;&gt;6.3.2  Acid-D-amino-acid ligases (peptide synthases)&gt;&gt;&gt;6.3.2.17  tetrahydrofolate synthase</t>
  </si>
  <si>
    <t>--MDPELRDGGLSLNL-------EGPVEQPAPLDITPADLAALAEVEAELDTRWPETKIDPTLDRMELLMDLLGNPERSFPAIHVAGTNGKTSTVRMIESLMRAFSRRTGRTTSPHLQLATERIAIDGRPIHPRDYVRIWREIQPYVEMVDARSDVP----MSKFEVLTAMAYAAFADAPVDVAVVEVGMGGRWDATNVINSDVAVVMPVGLDHTDYLGDSIEQIAGEKAGIIKSRWDSDDLLTPPDNVAIVAEQ</t>
  </si>
  <si>
    <t>MSDEVSVDDSGLTLPIDV-----NAPVEEPETREITPEDLRALAEVEAELDQRWSEVKIDPTLTRMELLMDLLGNPERSFPAIHVAGTNGKTSTVRMIEALMRAFHRRTGRTTSPHLQLATERIAIDGQPLHPRDYVRTWREIQPYVEMADVASEKEGGPKLSKFEVLTAMSYAAFADAPVDVAVVEVGMGGLWDATNVINADVAVITPIGLDHTDYLGSTLEEVAREKAGIIKPRWDLDDLLTPPDNVAIVADQDPAAMTVILEQAVRADAAVARAGSEFGVVSSTIAVGGQQLTLRGLGGDYTDIFLPLSGEHQANNAAVALAAVEAFFGAGSGRMLDIDTVREGFASVESPGRLERVRATPTVFIDAAHNPHGARALGRALQRDFSFNRLIGVVGVLSDKDYVGVLTELEPVFGEIVCTQTRSLRALDAYELAEHAREIFGEERVHVADTLPSAVELAVELAEEGEMVSGNGVVITGSVVTAGEARTLFGKEPA</t>
  </si>
  <si>
    <t>---MVEFNDEGLSLPIDMGDGAAAADADKPVVREVTAADMAALAEVESELDQRWNETTIDPTLSRMELLMDLLGNPERSFATIHVAGTNGKTSTVRMIESLMRAFHRRTGRTTSPHLQLVTERIAIDGRPLHPQDYVRIWREIQPYVEMADAESAKQGGPRLSKFEVLTAMAYAAFADAPVDVAVVEVGLGGRWDATNVINADVAVITPIGLDHMDYLGDTIAEIAAEKAGIIKQRWDLDDLLTLPDNVAVIGEQ</t>
  </si>
  <si>
    <t>---MVEFNDEGLSLPIDMGDGA-AADADKPVVREVTAADMAALAEVEAELDQRWNETTIDPTLSRMELLMDLLGNPERSFATIHVAGTNGKTSTVRMIESLMRAFHRRTGRTTSPHLQLVTERIAIDGRPLHPQDYVRIWREIQPYVEMADAESVKQGGPRLSKFEVLTAMAYAAFADAPVDVAVVEVGLGGRWDATNVINADVAVITPIGLDHMDYLGDTIAEIAAEKAGIIKQRWDLDDLLTPPDNVAVIGEQ</t>
  </si>
  <si>
    <t>GC_00000642</t>
  </si>
  <si>
    <t>PF22769.1</t>
  </si>
  <si>
    <t>dCTP deaminase-like</t>
  </si>
  <si>
    <t>K01494</t>
  </si>
  <si>
    <t>dCTP deaminase [EC:3.5.4.13]</t>
  </si>
  <si>
    <t>COG0717</t>
  </si>
  <si>
    <t>dCTP deaminase (Dcd) (PDB:1XS1)</t>
  </si>
  <si>
    <t>KEGG Orthology (KO)&gt;&gt;&gt;09100 Metabolism&gt;&gt;&gt;09104 Nucleotide metabolism&gt;&gt;&gt;00240 Pyrimidine metabolism [PATH:ko00240]|Enzymes&gt;&gt;&gt;3. Hydrolases&gt;&gt;&gt;3.5  Acting on carbon-nitrogen bonds, other than peptide bonds&gt;&gt;&gt;3.5.4  In cyclic amidines&gt;&gt;&gt;3.5.4.13  dCTP deaminase</t>
  </si>
  <si>
    <t>-MVRLVDVLLSDRDIRATIDAGDLVIEPFDAALIQPSSIDVRMDRFFRVFNNSRYTHIDPKLQQDELTTLVEVAEDEPFVLHPGEFVLGATLEKFTLPANLAGRLEGKSSLGRLGLLTHSTAGFIDPGFSGHITLELSNVANLPITLWPGMKVGQLALFRMSSPAETPYGAGSLGSKYQGQRGPTPSKAYLNFR-</t>
  </si>
  <si>
    <t>MPGYTKKVLYSDRDIRAAIDAGDLIINPFDPELVQPSSVDVRMDRHFRVFNNSKYTHIDPKQQQDDLTSMVEVAEDEPFVLHPGEFVLGSTLERFALPAHMAGRLEGKSSLGRLGLLTHSTAGFVDPGFSGRITLELSNVANLPITLWPGMKVGQLALFKMTSPAEIPYGSSVLGSKYQGQDGPTPSRAYLNFS-</t>
  </si>
  <si>
    <t>MPGYTKKVLYSDRDIRAAIDAGDLIIDPFDPELVQPSSVDVRMDRHFRVFNNSKYTHIDPKQQQDDLTSMVEVAEDEPFVLHPGEFVLGSTLERFALPAHMAGRLEGKSSLGRLGLLTHSTAGFVDPGFSGRITLELSNVANLPITLWPGMKVGQLALFKMTSPAEIPYGSSVLGSKYQGQEGPTPSRAYLNFS-</t>
  </si>
  <si>
    <t>GC_00000643</t>
  </si>
  <si>
    <t>PF01467.32</t>
  </si>
  <si>
    <t>Cytidylyltransferase-like</t>
  </si>
  <si>
    <t>K00969</t>
  </si>
  <si>
    <t>nicotinate-nucleotide adenylyltransferase [EC:2.7.7.18]</t>
  </si>
  <si>
    <t>COG1057</t>
  </si>
  <si>
    <t>Nicotinate-nucleotide adenylyltransferase NadD (NadD) (PDB:1YUM)</t>
  </si>
  <si>
    <t>KEGG Orthology (KO)&gt;&gt;&gt;09100 Metabolism&gt;&gt;&gt;09108 Metabolism of cofactors and vitamins&gt;&gt;&gt;00760 Nicotinate and nicotinamide metabolism [PATH:ko00760]|Enzymes&gt;&gt;&gt;2. Transferases&gt;&gt;&gt;2.7  Transferring phosphorus-containing groups&gt;&gt;&gt;2.7.7  Nucleotidyltransferases&gt;&gt;&gt;2.7.7.18  nicotinate-nucleotide adenylyltransferase</t>
  </si>
  <si>
    <t>------MADVQRIGIMGGTFDPIHNGHLVAGSEVADLFELDRVIFVPTGQPWQKSDRVVSSTEDRYLMTIVATAPNPRFRVSRVDIDRSGPTYTVDTLQDIKAQFPDAQLYFITGADALAQIMTWRDWESMLDLAEFVGVTRPGYKLEESFLPPQAQERVHLVEVPALAISSTDCRRRAASGRSVWYLVPDGVVQYIAKSHLYEGS--</t>
  </si>
  <si>
    <t>MVYTPTASPPLRIGIMGGTFDPIHHGHLVAASEVANLFHLDEVIFVPTGQPWQKSEREVSAAEDRYLMTVIATASNPRFSVSRVDIDRPGPTYTIDTLSDLHNIFPTAELFFITGADALEKILTWREWEKAFDYATFVGVTRPGYLLRDTNLPEKYQDRVELVQIPAMAISSTDCRRRAHAGKPVWYLVPDGVVQYISKRGLYQ----</t>
  </si>
  <si>
    <t>MAHTPTASPPLRIGIMGGTFDPIHHGHLVAASEVANLFHLDEVIFVPTGQPWQKSEREVSAAEDRYLMTVIATASNPRFSVSRVDIDRPGPTYTIDTLSDLHNIFPTAELFFITGADALEKILTWREWEKAFDYATFVGVTRPGYLLRDTNLPEKYQDRVELVQIPAMAISSTDCRRRAHAGKPVWYLVPDGVVQYISKRGLYQ----</t>
  </si>
  <si>
    <t>GC_00000644</t>
  </si>
  <si>
    <t>PF00012.26</t>
  </si>
  <si>
    <t>Hsp70 protein</t>
  </si>
  <si>
    <t>K04043</t>
  </si>
  <si>
    <t>molecular chaperone DnaK</t>
  </si>
  <si>
    <t>COG0443</t>
  </si>
  <si>
    <t>Molecular chaperone DnaK (HSP70) (DnaK) (PDB:3I33)</t>
  </si>
  <si>
    <t>ko00001|ko03019|ko03110|ko03029|ko03029|ko04147|ko04147|ko04147</t>
  </si>
  <si>
    <t>KEGG Orthology (KO)&gt;&gt;&gt;09120 Genetic Information Processing&gt;&gt;&gt;09123 Folding, sorting and degradation&gt;&gt;&gt;03018 RNA degradation [PATH:ko03018]|Messenger RNA biogenesis&gt;&gt;&gt;Prokaryotic type&gt;&gt;&gt;Bacterial mRNA degradation factors&gt;&gt;&gt;Other RNA degradation factors&gt;&gt;&gt;Chaperones|Chaperones and folding catalysts&gt;&gt;&gt;Heat shock proteins&gt;&gt;&gt;HSP70 / DNAK|Mitochondrial biogenesis&gt;&gt;&gt;Mitochondrial protein import machinery&gt;&gt;&gt;Matrix&gt;&gt;&gt;MMC/PAM proteins|Mitochondrial biogenesis&gt;&gt;&gt;Mitochondrial quality control factors&gt;&gt;&gt;Regulator of mitochondrial biogenesis&gt;&gt;&gt;Proteins involved in Fe-S cluster biogenesis|Exosome&gt;&gt;&gt;Exosomal proteins&gt;&gt;&gt;Exosomal proteins of haemopoietic cells  (B-cell, T-cell, DC-cell, reticulocyte, and mast cell)|Exosome&gt;&gt;&gt;Exosomal proteins&gt;&gt;&gt;Exosomal proteins of breast cancer cells|Exosome&gt;&gt;&gt;Exosomal proteins&gt;&gt;&gt;Exosomal proteins of colorectal cancer cells</t>
  </si>
  <si>
    <t>MGRAVGIDLGTTNSVVSVLEGGEPVVIANAEGSRTTPSVVAFAKNGEVLVGQSAKNQAVTNVDRTIRSVKRHIGQDWTVDIDGKKYTPQEISARTLMKLKRDAESYLGEDVTDAVITVPAYFSDSQRQATKEAGQIAGLNVLRIVNEPTAAALAYGLEKGDKEQTILVFDLGGGTFDVSLLEIGDGVVEVRATSGDNELGGDDWDQRIVDWLVEKFKAANGIDLTKDKMALQRLREAAEKAKIELSSNQSANINLPYITVDAEKNPLFLDETLSRAEFQRITQDLLDRCKAPFNQVIKDAGIGVGDIDHVVLVGGSTRMPAVSELVKELTGGKEPNKGVNPDEVVAVGAALQAGVLRGEVKDVLLLDVTPLSLGIETKGGVMTKLIERNTTIPTKRSETFTTAEDNQPSVQIQVFQGEREMAAANKLLGSFELTGIAPAPRGVPQIEVTFDIDANGIVHVTAKDKGTGKENTIKIQDGSGLSQDEIDRMIKDAEVHAEEDKKRREEQEVRNSAESMVYQTRKAVEDNADKLSDDVKNKVEEAAKGVEEALKGEDIEAIKSAVEELSKGSMEMGKELYETQAA---------EAGAEDGSDDDVVDAEVVDDEDNK-</t>
  </si>
  <si>
    <t>MGRAVGIDLGTTNSVVSVLEGGEPVVIANSEGSRTTPSVVAFAKNGEVLVGQSAKNQAVTNVDRTIRSVKRHIGEDWSVDIDGKKYTPQEISARTLMKLKRDAEAYLGEDVTDAVITVPAYFEDAQRQATKEAGQIAGLNVLRIVNEPTAAALAYGLEKGDKEQTILVFDLGGGTFDVSLLEIGDGVVEVRATAGDNKLGGDDWDQRIVEWLVDKFKSTNGIDLTKDKMAMQRLREAAEKAKIELSSSQSANINLPYITVDADKNPLFLDETLSRAEFQRITQDLLDRTKAPFNQVIKDAGVSVNDIDHVVLVGGSTRMPAVTEMVKELTGGREPNKGVNPDEVVAIGAALQAGVMRGEVKDVLLLDVTPLSLGIETKGGVMTKLIERNTTIPTKRSETFTTAEDNQPSVQIQVFQGEREMASANKLLGSFELGGIAPAPRGVPQIEVTFDIDANGIVHVTAKDKGTGKENTIKIQEGSGLSQEEIDRMIKDAEVHAEEDKKRREEQEVRNQAESLVYQTRKSVEDYSDKIPENVKTNIEDAANGVEEALKSDDLDQLKTAMEKLTTEAQEMGKAIYEAESA-GAAGDTSTGATTEDS-DPNVVDAEVVDEEEDKK</t>
  </si>
  <si>
    <t>MGRAVGIDLGTTNSVVSALEGGDATVIANSEGSRTTPSVVAFTKNGEVIVGQSAKNQAVTNVDRTIRSVKRHIGTDWSVDIDGKKYTPQEISARTLMKLKRDAEAYLGEEVTDAVITVPAYFSDSQRQATKEAGTIAGLNVLRIVNEPTAAALAYGLEKGEKEQTILVFDLGGGTFDVSLLEIGDGVVEVRATAGDNKLGGDDWDQRIVDWLVEKFKASSGVDLSKDKMAMQRLREAAEKAKIELSSSQTANINLPYITVDADKNPLFLDENLTRTEFQRITQDLLDRTKAPFNQVIKDAGIAISDIDHVVLVGGSTRMPAVTEMVKELTGGREPNKGVNPDEVVAVGAALQAGVLRGEVKDVLLLDVTPLSLGIETKGGVMTKLIERNTTIPTKRSETFTTAEDNQPSVQIQVFQGEREIAQHNKLLGSFELGGIAPAPRGVPQIEVTFDIDANGIVHVTAKDKGTGKENTIKIQDGSGLSQEEIDRMIKDAEAHAEEDKRRREEQEVRNGAESQAYQTRNFLSDNSEKFSDDLKEKILNAADDVDEALKGDDIDAIKVALDKLNEASQEMGKVLYEQEAASQAGGATAADAGSKSG-DDNVVDAEVVDEDGDKK</t>
  </si>
  <si>
    <t>MGRAVGIDLGTTNSVVSALEGGDATVIANSEGSRTTPSVVAFTKNGEVIVGQSAKNQAVTNVDRTIRSVKRHIGTDWSVDIDGKKYTPQEISARTLMKLKRDAEAYLGEEVTDAVITVPAYFSDSQRQATKEAGTIAGLNVLRIVNEPTAAALAYGLEKGEKEQTILVFDLGGGTFDVSLLEIGDGVVEVRATAGDNKLGGDDWDQRIVDWLVEKFKASSGVDLSKDKMAMQRLREAAEKAKIELSSSQTANINLPYITVDADKNPLFLDENLTRTEFQRITQDLLDRTKAPFNQVIKDAGIAISDIDHVVLVGGSTRMPAVTEMVKELTGGREPNKGVNPDEVVAVGAALQAGVLRGEVKDVLLLDVTPLSLGIETKGGVMTKLIERNTTIPTKRSETFTTAEDNQPSVQIQVFQGEREIAQHNKLLGSFELGGIAPAPRGVPQIEVTFDIDANGIVHVTAKDKGTGKENTIKIQDGSGLSQEEIDRMIKDAEAHAEEDKRRREEQEVRNGAESQAYQTRNFLSDNSEKFSDDLKEKITKAADDVDEALKGDDIDAIKVALDKLNEASQEMGKVLYEQEAASQAGGATAADAGSKSG-DDNVVDAEVVDEDGDKK</t>
  </si>
  <si>
    <t>GC_00000645</t>
  </si>
  <si>
    <t>K00760</t>
  </si>
  <si>
    <t>hypoxanthine phosphoribosyltransferase [EC:2.4.2.8]</t>
  </si>
  <si>
    <t>COG0634</t>
  </si>
  <si>
    <t>Hypoxanthine-guanine phosphoribosyltransferase (HptA) (PDB:1G9S)</t>
  </si>
  <si>
    <t>KEGG Orthology (KO)&gt;&gt;&gt;09100 Metabolism&gt;&gt;&gt;09104 Nucleotide metabolism&gt;&gt;&gt;00230 Purine metabolism [PATH:ko00230]|KEGG Orthology (KO)&gt;&gt;&gt;09100 Metabolism&gt;&gt;&gt;09111 Xenobiotics biodegradation and metabolism&gt;&gt;&gt;00983 Drug metabolism - other enzymes [PATH:ko00983]|Enzymes&gt;&gt;&gt;2. Transferases&gt;&gt;&gt;2.4  Glycosyltransferases&gt;&gt;&gt;2.4.2  Pentosyltransferases&gt;&gt;&gt;2.4.2.8  hypoxanthine phosphoribosyltransferase</t>
  </si>
  <si>
    <t>MYEEYELYDNPDFNIPEGRYADDLQAVLIDEQTLQARVRELAERVSDAYRDEPEDLILVGVLKGAVFFMTDFARSMTIPCQLEFMAVSSYGNSSSSSGVVRILKDLDRDIEGKNVIIVEDIIDSGLTLSWLIKNLKNRRPKSLEVVALLRKPDAVKAKVELFDLGFDIPNEFVVGYGLDYAERGRDLPFVASLKPSVYADN---</t>
  </si>
  <si>
    <t>---MTILQNDKNFDVPPNRYGDDVESVLISKDSLQARIQKMADQVSDKYRDSENDLILVCVLKGAVFFITDFARALTIPSQVEFMAVSSYGNSTTSSGVVRILKDLDRNIAGRDVLIVEDIIDSGLTLSWLVRNLKNRKPKSLEVVTLLRKPEAITAKVELLDVGFDIPNEFVIGYGLDYMERYRDLPWVGTLQPRVYAES---</t>
  </si>
  <si>
    <t>---MTILQNDKNFDVPPNRYGDDVESVLISKDSLQARIQKMADQVSDKYRDSENDLILVCVLKGAVFFITDFARALTIPSQVEFMAVSSYGNSTTSSGVVRILKDLDRNIAGRDVLIVEDIIDSGLTLSWLVRNLKNRKPKSLEVVTLLRKPEAITAKVDLLDVGFDIPNEFVIGYGLDYMERYRDLPWVGTLQPRVYAES---</t>
  </si>
  <si>
    <t>GC_00000646</t>
  </si>
  <si>
    <t>MNDRRDRHGRGVRGPLMPTKIPRYRRRPELFDAAVLEAYAPIQQQFTVELESLDIAVDTIPRMRLNMDWDSFPPEVVVDGPVPLGRIIQAGIDIHGYPTRARIVIFRMPIEQRVQGAKERQELLTIVLTQLVAQYLGITPEDIDPHFRSY</t>
  </si>
  <si>
    <t>GC_00000647</t>
  </si>
  <si>
    <t>PF01235.23</t>
  </si>
  <si>
    <t>Sodium:alanine symporter family</t>
  </si>
  <si>
    <t>K03310</t>
  </si>
  <si>
    <t>alanine or glycine:cation symporter, AGCS family</t>
  </si>
  <si>
    <t>COG1115</t>
  </si>
  <si>
    <t>Na+/alanine symporter (AlsT) (PDB:6CSE)</t>
  </si>
  <si>
    <t>--MNEKSTVLDQVQSVV-DALSGYLWQGVTWLLILAGLYFCFRTIVVQVRYLPAMFGAITEKP-SKSQSGRDGISSFKAFTISAASRVGTGNVAGVAIAVTTGGPGAVFWMWMLAIIGGASSFVESTLAQAYKVR--DADNYRGGPAYYIRKGLGANWAWLSVVFCVLITVTYGFVFNAVQSNSIADSIVTSF--PSFDPNRVKWIVGIALAVITGVVIFGGVHRIASVTQVVVPLMAVAYIVVGFIVVVINIGE</t>
  </si>
  <si>
    <t>---------MDALTDKI-DLFNEKYWIFVLFLLVGAGLYFCVRTVVVQLRYIPDMFKAVAEPP-SELESGQKGISAFKAFTISAASRVGTGNVAGVALAIATGGPGAVFWMWTLAIIGGATSFVESTLAQVYKVR--DKDSYRGGPAYYITKALG--WRWLAVLFAVLITVTYGFVFNAVQSNSIAGSIANSFDPEGTNAMRIKIIVGVVLALFTALIIFGGVQRIATVTQVIVPIMAVGYIAVGLIVVVLNIQH</t>
  </si>
  <si>
    <t>MTPMENDSPMAVLEDFVTNTINNNIWTVIPWLLIAAGLYFAVRTIVVQVRMLPEMFRAVMERPATQEENDAEGISSFKAFTISAASRVGTGNVAGVAVAITTGGPGAVFWMWIVAILGGATAFVEATLAQLWKVRDEDADAYRGGPAYYLTKGLN--APKLASIFAVAITITFGFVYNAIQANSIAESFATSV---GNETSQFKFMVGVFLVIITALIIFGGVQRIANVTQYLVPFMAVLYLVVGLFVVLINLNKVPEMFETIITHALGVKEIAGATMGMAFMNGMRRGLFSNEAGEGSAPNAAAVATVSHPVKQGLVQTLGVYFDTLLVCSITAFIILLGDPTVGEGVSGASMTQTALASQVGDWGIHFVTIILFFLAFSSVIGNYYLAQANIEYFSQNKSVLLGFRIIVLLFVLGGSVGSIGLVWSLGDTFAAIMVFINLIGIVPLGGIAVKLLANYERQKAKGLDPIFHRDMLPEAK---NVEVWDGSDAVCRRRGEIVREV--</t>
  </si>
  <si>
    <t>MTPMENDSPMAVLEDFVTNTINNNIWTVIPWLLIAAGLYFAVRTIVVQVRMLPEMFRAVMERPATQEENDAEGISSFKAFTISAASRVGTGNVAGVAVAITTGGPGAVFWMWIVAILGGATAFVEATLAQLWKVRDEDADAYRGGPAYYLTKGLN--APKLASIFAVAITITFGFVYNAIQANSIAESFATSV---GNDTFLFKFMVGVVLVIITALIIFGGVQRIANVTQYLVPFMAVLYLVVGLFVVLINLNKVPEMFETIITHALGVKEVAGATMGMAFMNGMRRGLFSNEAGEGSAPNAAAVATVSHPVKQGLVQTLGVYFDTLLVCSITAFIILLGDPTVGEGVSGASMTQTALASQVGDWGIHFVTIILFFLAFSSVIGNYYLAQANIEYFSQNKLVLLGFRVIVLLFVLGGSVGSIGLVWSLGDTFAAIMVFINLIGIVPLGGIAVKLLANYERQKAKGLDPIFHRDMLPEAK---NVEVWDGSDAVCRRHGEIVREV--</t>
  </si>
  <si>
    <t>GC_00000648</t>
  </si>
  <si>
    <t>PF11350.14</t>
  </si>
  <si>
    <t>Protein of unknown function (DUF3152)</t>
  </si>
  <si>
    <t>---------------------------------------------------------------------------------MTDPVRH--------------------------------RRDSRQDS---------------FFVRFAREFGWRAYAIPVLIVLTVWVVVDV--VSGDDAASDSVAQTGAVSGSGRDWG---QSPDPSRGGARDVVLPAGELPAGAPYTQQGEGSFHVVGAPGDVVGQGQEQTF</t>
  </si>
  <si>
    <t>MNTRNQFDDDADYDHYDDYTGYEYDQYGNYDDNRYGDGHYNNGHYGGEQYEDRAYVATQARRNNGDDRTRPRQQGRHGQSGVANPMNHAAPGRSSRRGATTSERSSSNGAAPGRMPRGQRANNSKPNSAGTLGQRLKNSSIIQVIKKFVSAYGWRAYAIPLLTIVTAWVLIDV---ASSSSSQEQLDTVGRAVATQTAKPTGKEGPDPAK--TPFPKLPPTELPAGGNFTLTGDGTYRVVGTPGAQSGEGKKKTFKYVIEVENGVDTAAYGGDDAFATMVDATLTNVKGWTHDKDFRFEHIS-----------ETADLKPDLRIQLTSVETTHKNCGTDIAMETSCFSSEGNRVVINESRWVRGATTFQGDLGSYRQYLLNHEVGHGIGYANHEPCGGQGKPAPIMMQQTLSVSNTELYKIDSQEVYKDDGLVCVTNPWPYPQQ</t>
  </si>
  <si>
    <t>MNTRNQFDDDADYDHYDDYTGYEYDQYGNYDDNRYGDGHYNNGHYGGEQYEDRAYVATQARRDNGDDRTRPRQQGRHGQSGVANPMNHAAPGRSSRRGATTSERSSSNGAAPGRMPRGQRANNSRPNSAGTLGQRLKNSSIIQVIKKFVSAYGWRAYAIPLLTIVTAWVLIDV---ASSSSSQEQLDTVGRAVATQTAKPTGKEGPDPAK--TPFPKLPPTELPAGGNFTLTGDGTYRVVGTPGAQSGEGKKKTFKYVIEVENGVDTAAYGGDDAFATMVDATLTNVKGWTHDKDFRFEHIS-----------ETSDLKPDLRIQLTSVETTHKNCGTDIAMETSCFSSEGNRVVINESRWVRGATTFQGDLGSYRQYLLNHEVGHGIGYANHEPCGGQGKPAPIMMQQTLSVSNTELYKIDSQEVYKDDGLVCVTNPWPYPQQ</t>
  </si>
  <si>
    <t>GC_00000649</t>
  </si>
  <si>
    <t>PF01668.23</t>
  </si>
  <si>
    <t>SmpB protein</t>
  </si>
  <si>
    <t>K03664</t>
  </si>
  <si>
    <t>SsrA-binding protein</t>
  </si>
  <si>
    <t>COG0691</t>
  </si>
  <si>
    <t>tmRNA-binding protein (SmpB) (PDB:1J1H) (PUBMED:26251518)</t>
  </si>
  <si>
    <t>MAKKTKKKKGNDNPVIATNRRARHDYTILDTYECGIVLVGTEVKSLREGRASLVDSFATIDEGEVWLRNLHIPEYSMGSWTNHSPRRTRKLLLHRREIDSLMGKVRDGNKTLVPLRLYFSNGRLKVELGLAQGKQDYDKRQDLKRRAEERDITRELGRRVKGIKG</t>
  </si>
  <si>
    <t>GC_00000650</t>
  </si>
  <si>
    <t>K05936</t>
  </si>
  <si>
    <t>precorrin-4/cobalt-precorrin-4 C11-methyltransferase [EC:2.1.1.133 2.1.1.271]</t>
  </si>
  <si>
    <t>COG2875</t>
  </si>
  <si>
    <t>Precorrin-4 methylase (CobM) (PDB:4E16)</t>
  </si>
  <si>
    <t>KEGG Orthology (KO)&gt;&gt;&gt;09100 Metabolism&gt;&gt;&gt;09108 Metabolism of cofactors and vitamins&gt;&gt;&gt;00860 Porphyrin metabolism [PATH:ko00860]|Enzymes&gt;&gt;&gt;2. Transferases&gt;&gt;&gt;2.1  Transferring one-carbon groups&gt;&gt;&gt;2.1.1  Methyltransferases&gt;&gt;&gt;2.1.1.133  precorrin-4 C11-methyltransferase|Enzymes&gt;&gt;&gt;2. Transferases&gt;&gt;&gt;2.1  Transferring one-carbon groups&gt;&gt;&gt;2.1.1  Methyltransferases&gt;&gt;&gt;2.1.1.271  cobalt-precorrin-4 methyltransferase</t>
  </si>
  <si>
    <t>MTVFFIGAGPGAADLLTLRADRLIRSCRVCLYAGSIVPPEVLEGCPEDAEVINTARMPLDEITEIIARADAAGHDVARLQSGDPSVYSALAEQARRLTALGIDYEIVPGVASFSAAAAVLGHELTVPTVGQTVILTRVSGRASAMPEGEDLATLGASKATLCIHLAAHDIERVVSELVDNYGVDCPAAVVAFASRPEEQIIRGTLQTIAQQTIDAGITRTAIIIVGQVLGASGFPDSYLYSDDRPRDEHGRTIPCVQ</t>
  </si>
  <si>
    <t>MTVFFIGAGPGAADLLTVRADRLIRSCPVCLYAGSIVPPEVLENCPDSASVINTARMPLDQITDIMAQAHAQGKDVARLQSGDPSIYSAVAEQVRRLTALGIDYEIIPGVPAFSAAAAALGHELTVPTVGQTVILTRVNGRASQMPAGEDLATLGASKSTLCIHLAAHDIERVVAELVPNYGADCPVAVVAYASRPQEQIVRGTLADIAGKVAAAGIVRTAIIIVGKVLTAGEFPDSFLYSDDRPRDEEGRTIPCAH</t>
  </si>
  <si>
    <t>MTVYFIGAGPGAADLLTLRADRLIRTCDMCLYAGSIVPDEVLAHAPEGAEVINTARMPLEEIIATIIRADSEGKNIARLHSGDPTLYSAVAEQIRRLTEAGIAYEIVPGVPAFSAAAASLGHELTVPTVGQTVILTRVSGRASAMPEGEDLPTLGAAGATMVIHLAAHDIRRVVAELTPNYGPDCPVAVVAFASRPAEVIVRGTLADIAEQVELAGITRTAVIIVGRVLQATEFPDSFLYSDDRPRDDEGRTIPCMH</t>
  </si>
  <si>
    <t>MTVYFIGAGPGAADLLTLRADRLIRTCDMCLYAGSIVPDEVLAHTPEGAEVINTARMPLEEIIATIIRADSEGKNIARLHSGDPTLYSAVAEQIRRLTEAGIAYEIVPGVPAFSAAAASLGHELTVPTVGQTVILTRVSGRASAMPEGEDLPTLGASGATMVIHLAAHDIRRVVAELTPNYGPDCPVAVVAFASRPAEVIVRGTLADIAEQVELAGITRTAVIIVGRVLQATEFPDSFLYSDDRPRDDEGRTIPCMH</t>
  </si>
  <si>
    <t>GC_00000651</t>
  </si>
  <si>
    <t>PF00270.35</t>
  </si>
  <si>
    <t>DEAD/DEAH box helicase</t>
  </si>
  <si>
    <t>K05592</t>
  </si>
  <si>
    <t>ATP-dependent RNA helicase DeaD [EC:5.6.2.7]</t>
  </si>
  <si>
    <t>COG0513</t>
  </si>
  <si>
    <t>Superfamily II DNA and RNA helicase (SrmB) (PDB:3RRM)</t>
  </si>
  <si>
    <t>KEGG Orthology (KO)&gt;&gt;&gt;09120 Genetic Information Processing&gt;&gt;&gt;09123 Folding, sorting and degradation&gt;&gt;&gt;03018 RNA degradation [PATH:ko03018]|Enzymes&gt;&gt;&gt;5. Isomerases&gt;&gt;&gt;5.6  Isomerases altering macromolecular conformation&gt;&gt;&gt;5.6.2  Enzymes altering nucleic acid conformation&gt;&gt;&gt;5.6.2.7  DEAD-box RNA helicase|Messenger RNA biogenesis&gt;&gt;&gt;Prokaryotic type&gt;&gt;&gt;Bacterial mRNA degradation factors&gt;&gt;&gt;RNA degradosome components&gt;&gt;&gt;Helicases|Ribosome biogenesis&gt;&gt;&gt;Prokaryotic type&gt;&gt;&gt;rRNA helicases</t>
  </si>
  <si>
    <t>MAKTMSNTDNVTSGVEELE-NVNLSEVEDHSQDV-----------------------QEDVREAKESEATG---------PINGFESLGLPANVLAAVKKVGFETPSPIQAQTIPVLMEGHDVVGLAQTGTGKTAAFALPILSRIDLDMRKPQALVLAPTRELALQVADSFQSFASSL-GGIHVLPIYGGQAYGIQLSGLRRGAQIIVGTPGRVIDHLEKGSLDISDLRFLVLDEADEMLNMGFQEDVERILADTPEDKQVALFSATMPNGIRRIAREYLREPKEISVKSETRTNTNITQRYLSVAHRNKLDALTRILEVTEFEAMIMFVRTKHETEELAEKLRARGFSAAAINGDIAQAQRERTVDQLKDGRLDILVATDVAARGLDVERISHVLNYDIPNDTESYVHRIGRTGRAGRSGEAILFVTPRERRMLRSIERATNAPLNEMDLPTVDEVNESRKRKFADSITNALEHAEVAVFRKLVKEYSEEHDVPLEDIAAALATEASSGDEFFMKELPPSK-RDRFDRDNRGDRGDRG---------GRRDRF------DREAPTRFDRSGKEMAVYRLAVGKRQHVRPGAIVGALANEGGLSSKDFGRINIAVDHTLVELPKDLPKEVFEALEDTRISGQLINIEPDPGAPMGRPA-AHRSRGDRD-----DRGGRGGFRGRDDRRDDRGGRGGFRGRDDRRDDRDDR--GGRGGFRGRDDRRDDRGGRGGFRSRNNDRY---</t>
  </si>
  <si>
    <t>----MSITDSATGGVEEPD-SVISSDSQETSQGVVAEQAEAVHASEDAPAAEADKAAEQDTRDADTSEATD---------PIEGFENLGLPSEVLKAITKVGFETPSPIQAHTIPVLMDGHDVVGLAQTGTGKTAAFALPILSRIDPSVRAPQALVLAPTRELALQVADSFQAFADHL-GSLNVLPIYGGQAYGIQLSGLRRGAHIVVGTPGRVIDHLEKGSLDISGLRFLVLDEADEMLNMGFQEDVERILEDT</t>
  </si>
  <si>
    <t>----MSITDDATGSAFEPDENNVVSESQETSQEVTPNPITLDEVVVEEPG-------GDDSRVADTSEATDFDENDSEETPGTSFDTLGLPKPVVKAVENVGFETPSPIQAQTIPVLLDGHDVLGLAQTGTGKTAAFALPILSLIDAEIRHPQALILAPTRELALQVADSFQVFVDHLDGDISVLPIYGGQAYGIQLSGLRRGAQIVVGTPGRVIDHLEKGSLDISELRFLVLDEADEMLNMGFQEDVERILADT</t>
  </si>
  <si>
    <t>----MSITDDATGSAFEPDENNVVSESQETSQEVTPNPITLDEVVVEEPG-------GDDSRVADTSEATDFDENDSEETPGTSFDTLGLPKPVVKAVENVGFETPSPIQAQTIPVLLDGHDVLGLAQTGTGKTAAFALPILSLIDADIRHPQALILAPTRELALQVADSFQVFVDHLDGDISVLPIYGGQAYGIQLSGLRRGAQIVVGTPGRVIDHLEKGSLDISELRFLVLDEADEMLNMGFQEDVERILADT</t>
  </si>
  <si>
    <t>GC_00000652</t>
  </si>
  <si>
    <t>PF00091.31</t>
  </si>
  <si>
    <t>Tubulin/FtsZ family, GTPase domain</t>
  </si>
  <si>
    <t>K03531</t>
  </si>
  <si>
    <t>cell division protein FtsZ</t>
  </si>
  <si>
    <t>COG0206</t>
  </si>
  <si>
    <t>Cell division GTPase FtsZ (FtsZ) (PDB:1FSZ)</t>
  </si>
  <si>
    <t>ko00001|ko03036|ko04812|ko02048</t>
  </si>
  <si>
    <t>KEGG Orthology (KO)&gt;&gt;&gt;09140 Cellular Processes&gt;&gt;&gt;09143 Cell growth and death&gt;&gt;&gt;04112 Cell cycle - Caulobacter [PATH:ko04112]|Chromosome and associated proteins&gt;&gt;&gt;Prokaryotic type&gt;&gt;&gt;Chromosome partitioning proteins&gt;&gt;&gt;Divisome proteins|Cytoskeleton proteins&gt;&gt;&gt;Prokaryotic cytoskeleton proteins&gt;&gt;&gt;Microtubules homologs|Prokaryotic defense system&gt;&gt;&gt;Toxin-antitoxin system (TA system)&gt;&gt;&gt;Type II TA system&gt;&gt;&gt;Type II TA system related factors</t>
  </si>
  <si>
    <t>MSNPNNNYLAVLKVVGVGGGGVNAVNRMIEGGLKGVEFIAVNTDSQALMFSDADTKLAIGREATRGLGAGADPNVGRESAEEYKEKIQESLEGADMVFVTAGEGGGTGTGAAPVVASIAKKMGALTVGIVTRPFSFEGKRRSRMADEGIEALREACDTLIIIPNDRLLQLGEENLSMVDAFKAADKVLHNGVQGITDLITTPGLINVDFADVRSVIKDAGTALMGIGSARGERRAVEAIEQAINSPLLETTMDGAKGVLLSFAGGSDIGLAEVTEAANIVQELCDEDCNFIFGSILDDNMGDEVRVTVVASGFDG---SPNPSAKASHSAQQAQGVHAVLGESAQTPAE----SGSLFESTVAEFSSREVSEPTERPEAAAASRS------ERLDRSDRLQRSDRSDRSDRASGMFTTRDDYRRVD------DDDDELDVPSFMTHRRR</t>
  </si>
  <si>
    <t>-MTSPNNYLAVIKVVGVGGGGVNAVNRMIEEGLKGVEFIAVNTDSQALMFSDADVKLDIGREATRGLGAGANPEVGRASAEDHKAEIEETLKGADMVFVTAGEGGGTGTGAAPVVASIAKKMGALTVGVVTKPFKFEGRRRTKQAEEGIQALSEVCDTLIVIPNDRLLQIGDENLSMMEAFRSADEVLLNGVQGITDIITIPGMINVDFADVRSVMFDAGSALMGIGKARGENRALIAAEQAINSPLLESTMEGA</t>
  </si>
  <si>
    <t>-MNAQDNFLAVLKVVGVGGGGVNAVNRMIEEGLKGVEFIAVNTDSQALMFSDADVKLDIGREATRGLGAGANPEVGRQSAEDHKSEIEETLKGADMVFVTAGEGGGTGTGAAPVVASIAKKMGALTVGVVTRPFNFEGKKRTRQALQGIEALREVCDTLIVIPNDRLLQLDSSNLTMMEAFRAADQVLHNGVQGITDLITIPGLINVDFADVRSVMADAGSALMGVGSARGDNRVMNAAEQAINSPLLESTMEGA</t>
  </si>
  <si>
    <t>GC_00000653</t>
  </si>
  <si>
    <t>PF16473.11</t>
  </si>
  <si>
    <t>3'-5' exoribonuclease Rv2179c-like domain</t>
  </si>
  <si>
    <t>MRYFYDTEFIEDGKTIDLVSIGVVAEDDREFYAVSTDFDASKANSWVKTHVLNQLPNPSESCWMNNDAIRERLLEFLLAADDGKHIELWAWVGAYDHVLLAQLWGDMRGLPKQLPRYTRELKQLWEMAGKPELPPIPDGNHDALVDARHNLAKFQACNNAMPLDSRNRVKSKWV</t>
  </si>
  <si>
    <t>MRFFYDTEFIEDGETIELISIGIVGDDGREYYAVSTDFDPARAGEWVRNNVLNQLPNPNSSEWKSLDTIRTDLEKFLHV-PGGA--ELWAWVGCYDHVVLAQLWGDMPALPRHIPRFTRELKQYWEFAGKPQLPDLESGKHNALEDARHNVRKFQACMAALPIGAKGHVLPPN-</t>
  </si>
  <si>
    <t>MRYFYDTEFIENGSTIDLVSIGIVAEDGREYYAVSTDADHTKANKWVRENVLDKLPNPSSPLWRSREQIRTEVYEFLTASPGRP--ELWAWIGAYDHVVLAQLWGDMSSLPSDMPRYTRELRQYWEFAGRPALPVQSRGNHDALVDARHNLRRFRICHQALPLRKDNKIR----</t>
  </si>
  <si>
    <t>MRYFYDTEFIENGSTIDLVSIGIVAEDGREYYAVSTDADHTKANKWVREHVLDKLPNPSSPLWRSREQIRTEVYEFLTASPGRP--ELWAWIGAYDHVVLAQLWGDMSSLPSDMPRYTRELRQYWEFAGRPALPVQSRGNHDALVDARQNLRRFRICHQALPLRKDNKIR----</t>
  </si>
  <si>
    <t>GC_00000654</t>
  </si>
  <si>
    <t>K16870</t>
  </si>
  <si>
    <t>N-acetylglucosaminyl-diphospho-decaprenol L-rhamnosyltransferase [EC:2.4.1.289]</t>
  </si>
  <si>
    <t>KEGG Orthology (KO)&gt;&gt;&gt;09100 Metabolism&gt;&gt;&gt;09107 Glycan biosynthesis and metabolism&gt;&gt;&gt;00572 Arabinogalactan biosynthesis - Mycobacterium [PATH:ko00572]|Enzymes&gt;&gt;&gt;2. Transferases&gt;&gt;&gt;2.4  Glycosyltransferases&gt;&gt;&gt;2.4.1  Hexosyltransferases&gt;&gt;&gt;2.4.1.289  N-acetylglucosaminyl-diphospho-decaprenol L-rhamnosyltransferase|Glycosyltransferases&gt;&gt;&gt;Polysaccharide&gt;&gt;&gt;Bacterial polysaccharide (excluding LPS)</t>
  </si>
  <si>
    <t>------------------------------------------------------------------------------------------------------MTVTYSPGEYLDAFAASIPEATERDVLLVMADNGSVDGSPEAAERRYQWAEFLPTGGNIGYGAAINCAVRSLKPRVERCEIDGEFFLISNPDVLFSPGSIDALIDAASRHPGAASFGPYIKEEDGSAYPSARAVPTLGNGIGHALLSGVWPSN</t>
  </si>
  <si>
    <t>---------------------------------------------------------------------------MSTPI--------------------AVITVTYSPGTYLESFLDSIPGATERAAYVVLADNGSTDGVPEQQADKRENVEFFATGGNLGYGTAINRAVQHLKERKERGDIDGDFFVVSNPDVVFDPGSIDAMLECAQRWPGAATIGPRIREADGAAYPSARTVPTIRNGVGHALFGTIWPSN</t>
  </si>
  <si>
    <t>MGSRRTAFGGKRAEHSRIRQVDNSDKQDSTQPATQTDDTPHIQAHNNLAHNDITRGDAARSNPSHGDSATPNNAPVKTPISDTAVTDELITKQEKPSPRLAVITVTYSPGKYLTDFLDSIPAATSLPTQVYLADNGSTDGAPEQAAHNNDVVEFLPTGGNVGYGTAINIAARHIIPRIEAGEIHPEFFVIANPDVVFDPGSIDELIECAHRWPNAADVGPYIRQEDGSAYPSARAIPTLSNGIGHALLSGIWPNNPWSKAYRDNAVMDKERVAGWLSGSCLLVRWDAFCRIGGFDERYFMYMEDVDLGDRFGRAGFTNVLCPTAQITHAVGHSAGKHPESMLPAHHESAYRFQADRHPHWWQAPIRAMLWIGLKIRSVVVVGFTKMKK-----</t>
  </si>
  <si>
    <t>MGSRRTAFGGKRAEHSRIRQVDNSDKQDSTQPATQTDNTPHIQAHNNLAHNDITRGGAARSNPSQGDSATPNNAPVKTPISDTAVTDELITKQEKPSPRLAVITVTYSPGKYLTNFLDSIPAATSLPTQVYLADNGSTDGAPEQAAHNNDAVEFLPTGGNVGYGTAINIAARHIIPRIEAGEIHPEFFVIANPDVVFDPGSIDELIECAHRWPNAADVGPYIRQEDGSAYPSARAIPTLSNGIGHALLSGIWSNNPWSKAYRDNAVMDKERVAGWLSGSCLLVRWDAFCRIGGFDERYFMYMEDVDLGDRFGRAGFTNVLCPTAQITHAVGHSAGKHPESMLPAHHESAYRFQADRHPHWWQAPIRAMLWIGLKIRSVVVVGFTKMKK-----</t>
  </si>
  <si>
    <t>GC_00000655</t>
  </si>
  <si>
    <t>PF11987.13</t>
  </si>
  <si>
    <t>Translation-initiation factor 2</t>
  </si>
  <si>
    <t>K02519</t>
  </si>
  <si>
    <t>translation initiation factor IF-2</t>
  </si>
  <si>
    <t>COG0532</t>
  </si>
  <si>
    <t>Translation initiation factor IF-2, a GTPase (InfB) (PDB:5ME0)</t>
  </si>
  <si>
    <t>MPGKLRVHELAKKLEITSKELLATLKEQGEFVKTASSTVEPPVVKKMEKFYADKRAAEGAGDGDAQQSSAKAADSKAAKKPAASAAPKPGAKPAAKPAAAEKKQSEVKAEAKATKPAPK-----------------------------PAAQSAAKAKATPAKPAAKSAAKPEAAAPAKP-----------------------------SGSASTPSAMPRPMAKPGPKPGARAPRVANNPFST--GTSPAPRPGGGPRPGGASKSGGQRPGQGGPRPGG--------------AAGNKQGGERQGGGRRPSPAMMPS-HPNPAQMPSRSSAGG-GGRDGNNG-GGGRGGNFGGRPGGGPRGGGGRRGGTAGAFGRPGGAPRRGRKSKRQKRNEYEAMQAPNVIGGVRLPDGGGSTLRLARGASLSDFADKIGADASALVQALFNLGEMVTATASVSDETLMLLGEEMNYKVEVVSPEDEDRELLESFDLQFGEDEGDEEDLAKRPPVVTVMGHVDHGKTRLLDTIRKSNVGGGEAGGITQGIGAYQVPVAFEDRQRLVTFLDTPGHEAFTAMRARGAKSTDIAILVVAADDGVMPQTVEAINHAKAADVPIVVAVNKIDKEGASPEKIRGQLTEYGLIPEEYGGDSMFVDISAKQGINIDGLLEAVLLTADASLDLRANPDMDAQGVAIEAHLDRGRGPVATVIVQRGTLRVGDSIVVGDAYGRVRRMVDEYGNDVDEAGPSRPVQVQGLNSVPGAGDNLLVVEDDRVARQIANQRNARKRNALQAKARKRISLEDLDSVLKETSTLNLILKGDNAGSVEALEEALLKIEVDDEVQLNIIDRGVGAVTQTNVSLAAASNAVIIGFNVRSEGKATEEANAEGVEIRYYSVIYRAIEEMEAALKGMLKPIYEEKEIGRAEIRALFKASSVGLIAGCMVESGKVRRNASVRLVRDGNVVTEKATIDSLRREKDDATEVTAGYECGMVLSYPDIQVGDIIEVFEMVEVPRD</t>
  </si>
  <si>
    <t>MPGKLRVHELAKKLGVTSKELLATLKEQGEFVKTASSTVEPPVVKKMEQYYAPKNEGADDAQNAAPAGNASAPQTSAATGAATQAGTPKPAAPAAKPGPGASASGAPKPGAKPGSAKPSAPKPGRLGAGATSSGSAAKPGSAKPGQSGSAGSSAPAAASTPKPGAAKPGAKPGSAKPSAPKPGARNASSGAPKPGAPTFSAGGTGSGDGSAASSEGRAMPRPMAKPGPKPGARAPRVANNPFSTGGGDRPAPRPGGGPRPGGNRSNQGGQQGQGGGGRQGQRNRSNQGGQGGTKAAGRSQGSERQGGGRRPTPAMMPTNHPNPGQMPTKAAAGGRGGRGGSGGPGGGPGGGFN--RGGGPGGRGGRRGGTAGAFGRPGGAPRKGRKSKRQKRNEYEAMQAPNVIGGVRLPDGGGASLRLARGASLSDFADKIGADAAALVQALFNLGEMVTATASVSEETLVLLGDEMNYKVEVVSPEDEDRELLESFDLQFGEDEGGEEALVQRPPVVTVMGHVDHGKTRLLDSIRKTNVGSGEAGGITQGIGAYQVKVTYEDEDRYVTFLDTPGHEAFTAMRARGAQSTDVAILVVAADDGVMPQTVEAINHAKAADVPIVVAVNKIDKEGAQPDKIRGQLTEYGLIPEEYGGDTMFVDISAKQGLHINDLLEAVLLTADNTLELMANPNMAAQGVAIEAHLDRGRGPVATVIVQRGTLRIGDSIVVGDAHGRVRRMVDEFGNDVDEAGPSRPVQVQGLNSVSGAGDNLLVVEDDRVARQIADRRNARKRNALAAKSRKRISLEDLDAVLKETSTLNLILKGDNAGSVEALEEALLKIEVDDEVALNIIDRGVGAVTQTNVTLAAASDAIIIGFNVRSEGKATEEANAEGVEIRYYSVIYRVIEEIEQALRGMLKPIYEEREVGRAEIRALFKASAVGLIAGCMVESGKVRRNASVRLVRDGSVVTDKANIDSLRREKDDVTEVAAGYECGMVLSYPDIQVGDIIEVYEEVEVPRD</t>
  </si>
  <si>
    <t>GC_00000656</t>
  </si>
  <si>
    <t>K17883</t>
  </si>
  <si>
    <t>mycothione reductase [EC:1.8.1.15]</t>
  </si>
  <si>
    <t>KEGG Orthology (KO)&gt;&gt;&gt;09190 Not Included in Pathway or Brite&gt;&gt;&gt;09191 Unclassified: metabolism&gt;&gt;&gt;99980 Enzymes with EC numbers|Enzymes&gt;&gt;&gt;1. Oxidoreductases&gt;&gt;&gt;1.8  Acting on a sulfur group of donors&gt;&gt;&gt;1.8.1  With NAD+ or NADP+ as acceptor&gt;&gt;&gt;1.8.1.15  mycothione reductase</t>
  </si>
  <si>
    <t>MNTEQDKDTNPIQYDLIIIGTGSGNSIPGPEFDDKKIAIVEKGVFGGTCLNVGCIPTKMFVYPADIARSITTASTYGLDAQLNGVDWPSIVRRVFDDRIDQIASGGEQYRRGPETPNIDVYDGHASFTSPHTVATKDGDKDVTITAPTIVIATGARPQILPQIADSGVRYYTNEDILRLPELPQTMVIVGGGFIAAEFAHIFSSLGVDVTVVNRSSNLLRHMDKDISDRFTELAAQRYNLKTGVEIETVRE-ADGVITLELTDGTTAEGDVLLAATGRTPNGDQMNLDAAGIEMDGKRIKVDEYGRTTVDGVWALGDVSSPFQLKHVANAEMRAVKHNILHPDDLQPMPHDNVPAAVFSNPQIGTVGLTEQQALDAGHNITVKVQNYGDVAYGWAMEDTTGFCKLIADRHTGKLLGAHIIGPQASSLVQQLVTVMAFDLDVRDVATKQYWIHPALPELIENALLGLEF</t>
  </si>
  <si>
    <t>MAQQSDIQVDK-HYDIIIIGAGSGNMIPNHRFDNKSIAIVEKGRFGGTCLNVGCIPTKMFVYAADVADTVRSSSKYGVDSTLDSVDWPGIVSRVFDKRIDPIARGGEAYRRGPETPNIDVYDQHARFVGERTISTGDGDQKRIISADQIIIAAGARPHILPVIEQSGVPYYTNENVLRLPQLPQTMIILGGGFIAVEFAHIFSALGVDVTVVNRSPRLLKHLDEQVSDRFTKLASERWNTRLGHEVAAAEENSNGSVTITLDNGEKLTADVLVSATGRTPNGDQMDLDKGGVEMDGQRIKVDEYGRTTAPGVWAFGDVSSPFQLKHVANAEARAIEHNVLTPDDLRAFPHKHVPAAIFTNPQIGYVGMTEQQARDAGHTVTVKVQDYGDVAYGWAMENTTGFAKLIADKDTGKLLGAFIIGPQASTLIQQLVTMMAFDIDVRAMAADQYWIHPALPELIENALLGLEF</t>
  </si>
  <si>
    <t>GC_00000657</t>
  </si>
  <si>
    <t>PF05746.21</t>
  </si>
  <si>
    <t>DALR anticodon binding domain</t>
  </si>
  <si>
    <t>K01887</t>
  </si>
  <si>
    <t>arginyl-tRNA synthetase [EC:6.1.1.19]</t>
  </si>
  <si>
    <t>COG0018</t>
  </si>
  <si>
    <t>Arginyl-tRNA synthetase (ArgS) (PDB:1BS2)</t>
  </si>
  <si>
    <t>ko00001|ko01000|ko01007|ko03016|ko03016|ko03029</t>
  </si>
  <si>
    <t>KEGG Orthology (KO)&gt;&gt;&gt;09120 Genetic Information Processing&gt;&gt;&gt;09122 Translation&gt;&gt;&gt;00970 Aminoacyl-tRNA biosynthesis [PATH:ko00970]|Enzymes&gt;&gt;&gt;6. Ligases&gt;&gt;&gt;6.1  Forming carbon-oxygen bonds&gt;&gt;&gt;6.1.1  Ligases forming aminoacyl-tRNA and related compounds&gt;&gt;&gt;6.1.1.19  arginine---tRNA ligase|Amino acid related enzymes&gt;&gt;&gt;Aminoacyl-tRNA synthetase&gt;&gt;&gt;Class I (G)|Transfer RNA biogenesis&gt;&gt;&gt;Eukaryotic type&gt;&gt;&gt;Aminoacyl-tRNA synthetases (AARSs)&gt;&gt;&gt;Multi-aminoacyl-tRNA synthetase complex (MSC)|Transfer RNA biogenesis&gt;&gt;&gt;Prokaryotic type&gt;&gt;&gt;Aminoacyl-tRNA synthetases (AARSs)&gt;&gt;&gt;Other AARSs|Mitochondrial biogenesis&gt;&gt;&gt;Mitochondrial DNA transcription, translation, and replication factors&gt;&gt;&gt;Mitochondrial transcription and translation factors&gt;&gt;&gt;Other mitochondrial DNA transcription and translation factors</t>
  </si>
  <si>
    <t>MTPADLSQLIRAVAVDYFTEQQLDASVLPQEVTVERPRNPEHGDYATNVALQVAKKVGKNPREIAQGLADALSAQDAIASADVAGPGFLNIRLAAAAQGQIVATIINAGQSFGHNDSLSGAAINLEFVSANPTGPIHLGGTRWAAVGDALGRVLAANGARVTREYYFNDHGTQIDRFVRSLIAAAEGQPTPEDGYGGAYIQDIAKAVVAAEPSVLNLPEEQKAEAFRARGVDMMFAQIKESLHEFGTDFDVFFHENSLFESGAVDRAIAMLKDNGNLYEADGAWWLRSTEFGDDKDRVVIKSDGNAAYIAGDIAYVVDKIERGHNLCIYMLGADHHGYIARLKAAAAALGYDPNQVEVMIGQMVNLLENGEAKKMSKRAGTVITLEDLVEAIGVDAARYALIRSSVDSSLDIDLGLWASQSSDNPVFYVQYGHARLCSIMRKASEIGIEVPHDAAGLSAVDLSLLTHEREGDLIRTLGEFPAVVKTAAELREPHRVARYAEELAGTFHRFYDACQILPKADQDVEGVFRARLALAQASRQVLSNALGLLGVSAPERM</t>
  </si>
  <si>
    <t>MTPADLASLIKTTATTVLSDRELDASVLPETMVVERPRNPEHGDYATNVALQAAKKVGVSPRELAAWLVDSLATNPAIESAEVAGPGFINIRLAADAQGQIVAEILRAGENYGHSDGYAGTVVNLEFVSANPTGPIHLGGTRWAAVGDSLGRILSATGANVTREYYFNDHGTQIDRFARSLVAAAKGEPTPEDGYGGQYIADIARMVVDKHPGVLEQSPENMQETFRSAGVELMFNHIKESLHEFGTDFDVYFHENSLFESGAVDRAIAVLKDNGNLYEADGAWWLRSSAFGDDKDRVVIKSDGNAAYIAGDIAYVADKIGRGHNLCIYMLGADHHGYIARLKAAAAALGYDPAQVEVLIGQMVNLVKDGEAIRMSKRAGTVITLDDLVELIGIDAARYALIRSSVDSTLDIDMDLWASQSSDNPVYYVQYGHARLCSIARKAADVGLEL----ADTDNVDYSLLTHEREGDLIRTLGEFPAVVTAAAELREPHRIARYAEELAGTFHRFYDNCQILPKAGEDVQPIHKARFALAMATRQALANALGLVGVTAPERM</t>
  </si>
  <si>
    <t>MTPSDLSSLINTEAHKILADRQLDVTVLPEQVVVERPRNPEHGDYATNLALQIAKKVGMNPRELASLLVDALSAHDEIATVDIAGPGFINIRLAAAAQGQIVADILAAGTTYGHNSLYSGERINLEFVSANPTGPVHLGSTRWAAVGDSLGRILAACGADVTREYYFNDHGRQIDRFTNSLIAAAKGQPAPEDGYGGDYITEIAANIVAQEPGVLQQSEPDMRETFRALGVELMFDHIKTTLHEFGVDFDVYFHENSLFESGAVDRAVDKLKENGNLYFSNGAWWLRSTNYGDDKDRVVIKSDGDAAYIAGDIAYVANKFERGHTRSIYMLGADHHGYISRLRAAAAAMGYNPNNVEVLIGQLVNLVRDGEAVRMSKRAGTIITLDDLVEAIGIDAARYSLVRSSVDSTLDIDLTLWANQSNENPVYYVQYAHARLCSLAKKAAAVGVTA-------SKPDLSLLTEDHEGTLIRTLGEYPTVVKAAAELREPHRIARYIEELAGTFHRFYDTCQILPKAGEQAQPIHTARLALATATRQVIANALGLLGVTAPEQM</t>
  </si>
  <si>
    <t>MTPSDLSHLINTEAHKILADRQLDVTALPEQVVVERPRNPEHGDYATNLALQIAKKVGMNPRELAGLLVDALSAHDEIATVDIAGPGFINIRLAAAAQGQIVADILAAGTTYGHNSLYSGERINLEFVSANPTGPVHLGSTRWAAVGDSLGRILAACGADVTREYYFNDHGRQIDRFTNSLIAAAKGQPVPEDGYGGDYISEIAANIVAQEPGVLQQSEPDMRETFRALGVELMFDHIKATLHEFGVDFDVYFHENSLFESGAVDRAVDKLKENGNLYFSNGAWWLRSTNYGDDKDRVVIKSDGDAAYIAGDIAYVANKFERGHTRSIYMLGADHHGYISRLRAAAAAMGYNPNNVEVLIGQLVNLVRDGEAVRMSKRAGTIITLDDLVEAIGIDAARYSLVRSSVDSTLDIDLTLWANQSNENPVYYVQYAHARLCSLAKKAAAVGVTV-------DNPDLSLLTEDHEGTLIRTLGEYPTVVKAAAELREPHRIARYIEELAGTFHRFYDTCQILPKAGEQAQPIHTARLALATATRQVIANALGLLGVTAPEQM</t>
  </si>
  <si>
    <t>GC_00000658</t>
  </si>
  <si>
    <t>PF00288.32</t>
  </si>
  <si>
    <t>GHMP kinases N terminal domain</t>
  </si>
  <si>
    <t>K00872</t>
  </si>
  <si>
    <t>homoserine kinase [EC:2.7.1.39]</t>
  </si>
  <si>
    <t>COG0083</t>
  </si>
  <si>
    <t>Homoserine kinase (ThrB) (PDB:1FWK)</t>
  </si>
  <si>
    <t>Threonine biosynthesis</t>
  </si>
  <si>
    <t>M00018</t>
  </si>
  <si>
    <t>Threonine biosynthesis, aspartate =&gt; homoserine =&gt; threonine</t>
  </si>
  <si>
    <t>Pathway modules; Amino acid metabolism; Serine and threonine metabolism</t>
  </si>
  <si>
    <t>KEGG Orthology (KO)&gt;&gt;&gt;09100 Metabolism&gt;&gt;&gt;09105 Amino acid metabolism&gt;&gt;&gt;00260 Glycine, serine and threonine metabolism [PATH:ko00260]|KEGG Orthology (KO)&gt;&gt;&gt;09100 Metabolism&gt;&gt;&gt;09105 Amino acid metabolism&gt;&gt;&gt;00270 Cysteine and methionine metabolism [PATH:ko00270]|Enzymes&gt;&gt;&gt;2. Transferases&gt;&gt;&gt;2.7  Transferring phosphorus-containing groups&gt;&gt;&gt;2.7.1  Phosphotransferases with an alcohol group as acceptor&gt;&gt;&gt;2.7.1.39  homoserine kinase</t>
  </si>
  <si>
    <t>---MIPVGSAVRVKVPASSANLGPGFDTLGLALGLYDVVEVHVVDSGLEVKIHGEGEGELPLDERHLVVRAIRSGLAAAGVEVPGLKVVCHNVIPQSRGLGSSAAAAVAGVAAANGLAGGVLSESEVVQLASAFEGHPDNAAASVLGDAVVSWTDIPVDGETDPQYRAVRIPVHESIHATALVPGFKASTEAVRRVLPSDVTHIDARFNVSRVAVMTVALQHHPELLWEGTRDRLHQPYRADVLPVTAEWVNRLR</t>
  </si>
  <si>
    <t>MAIEVPAGQKVTVKVPASSANLGPGFDTLGLALGLYDTVDVEVIPQGLEVEIFGEGEDDLPRDGSHLVVKAIRAGLKAADVDVPGLRVVCHNNIPQSRGLGSSAAAAVAGVAAANGLAGFPLDDAQVVQLSSAFEGHPDNAAASVLGNAVVSWTEIPVDGRTHPQYKAVSIPVHPSIRAFALVPAFHASTEAVRRVLPSDVTHVDARFNVSRCAVMTVALQHHPELLWEGTRDRLHQPYRADVLPVTAEWVNRLRNKGYAAYLSGAGPTCMVLTTGDGVDEKSLQDARDAGLRVMELPVAGPVEVTVH-</t>
  </si>
  <si>
    <t>MPTELPVGTKVTVTVPASSANLGPGFDTLGLALALYDTVEVEVIPSGLEVEVFGEGHDELPLDGSHLVVKALRAGLKACDAIAPGLRVVCHNVIPQSRGLGSSAAAAVAGVAAANGLCGFPLDDAQVVQLSSAFEGHPDNAAASVLGDAVVSWTEIPVDGRTEPQYKAVGIPVHPNILATALVPSFHASTEAVRRVLPSDVTHLDARFNVSRCAVMTVALQHHPELLWEGTRDRLHQPYRADVLPITAEWVNRLRNRGYAAYLSGAGPTVMVLST-EPVDEAILGEAREAGLTVHHLDVAKPVKVVVNK</t>
  </si>
  <si>
    <t>MPTELPVGTKVTVTVPASSANLGPGFDTLGLALALYDTVEVEVISSGLEVEVFGEGHGELPLDGSHLVVKALRAGLKACDAIAPGLRVVCHNVIPQSRGLGSSAAAAVAGVAAANGLCGFPLDDAQVVQLSSAFEGHPDNAAASVLGGAVVSWTEIPVDGRTEPQYKAVGIPVHPNILATALVPNFHASTEAVRRVLPSDVTHLDARFNVSRCAVMTVALQHHPELLWEGTRDRLHQPYRADVLPITAEWVNRLRNRGYAAYLSGAGPTVMVLST-EPIDEAILGEAREAGLTVHHLDVAEPVKVVVNK</t>
  </si>
  <si>
    <t>GC_00000659</t>
  </si>
  <si>
    <t>PF01743.26</t>
  </si>
  <si>
    <t>Poly A polymerase head domain</t>
  </si>
  <si>
    <t>K00970</t>
  </si>
  <si>
    <t>poly(A) polymerase [EC:2.7.7.19]</t>
  </si>
  <si>
    <t>COG0617</t>
  </si>
  <si>
    <t>tRNA nucleotidyltransferase/poly(A) polymerase (PcnB) (PDB:3WFR)</t>
  </si>
  <si>
    <t>ko00001|ko01000|ko03019</t>
  </si>
  <si>
    <t>KEGG Orthology (KO)&gt;&gt;&gt;09120 Genetic Information Processing&gt;&gt;&gt;09123 Folding, sorting and degradation&gt;&gt;&gt;03018 RNA degradation [PATH:ko03018]|Enzymes&gt;&gt;&gt;2. Transferases&gt;&gt;&gt;2.7  Transferring phosphorus-containing groups&gt;&gt;&gt;2.7.7  Nucleotidyltransferases&gt;&gt;&gt;2.7.7.19  polynucleotide adenylyltransferase|Messenger RNA biogenesis&gt;&gt;&gt;Prokaryotic type&gt;&gt;&gt;Bacterial mRNA degradation factors&gt;&gt;&gt;Other RNA degradation factors&gt;&gt;&gt;Others</t>
  </si>
  <si>
    <t>-------MTQHDSRQPAPTPTDIAEALKPIQKLGELFAQAGHPIYLVGGSVRDLYLGRLGTDYDLTTPARPEITQQILQKYCNTVWDTGIRYGTISGEHDGLQIEITTFRSDNYDGITRNPDVQYGDTLEEDLIRRDFTCNALALDLN-------------THQLHDPLNGLQALKDHLLDTPQLPQVSFNDDPLRMLRAARFTSQLGFTVTPRVHQAMTSMAQEINRISTERITTELNKLITGDHPEQGIDLLV</t>
  </si>
  <si>
    <t>MISSALTQEPSDANLLIQAEKAISGLLPVLQSLAQRFNDEGHRLYLVGGSVRDALLGRLGHDIDCTTSARPETVTAVLDGWADVVWDTGIEYGTISAEKNSQQIEITTFRSDVYDGQSRNPEVKFGDTLEGDLIRRDFSVNAMAVEIT----------GDGSMVFHDPMGGLTDLAAQRLDTPNTPELSFHDDPLRMLRAARFVSQLGFEVAPRVEEAMRDMAGEITRITAERVQAELDKLMLGAAPWTGINLMVTTGIADYIFPEIPGMKLTQDEHMQHKDVYAHSMQVLRQAMDQEEDG-PDLVLRWAALLHDVGKPATRAPKPGGGVTFHHHEVVGAKLVRKRMRALKYSKQMVSDVSQLVYLHLRFHGYGEGQWTDSAVRRYVTDAGPLLSRLHKLVRADCTTRNQRKAQRLQRTYDHLEQRIAELAAKEDLAKVRPDLDGNAIMELLGLQPGPDVGRAWTFMKELRLERGPLEHDEAVAALRQWWDNDQNQGTS-------------</t>
  </si>
  <si>
    <t>--------------------------------------------------------------MDFTTDARPETILEILEHFADITWDTGIEYGTVSAEKSGQQIEITTFRSDIYDGESRNPEVVFGDTLAGDLVRRDFTINAMAVEITSAPDAAGATPAAAELEFFDPMGGFADLMKGVIDTPAAPDQSFADDPLRLLRAARFSSQLGFAVSDRVRAAMTDLASEIQRITVERVQVELDKMLLGAQPWLGIDLMV</t>
  </si>
  <si>
    <t>--------------------------MPIIQPLAAEFNTRGHHLYLVGGSVRDALLGRLGNDVDFTTDARPETILEILEHFADITWDTGIEYGTVSAEKSGQQIEITTFRSDIYDGESRNPEVVFGDTLAGDLVRRDFTINAMAVEITSAPDAAGATPAAAELEFFDPMGGFADLMKGVIDTPAAPDQSFADDPLRLLRAARFSSQLGFTVSDRVRAAMTDLASEIQRITVERVQVELDKMLLGAQPWLGIDLMV</t>
  </si>
  <si>
    <t>GC_00000660</t>
  </si>
  <si>
    <t>PF00953.26</t>
  </si>
  <si>
    <t>Glycosyl transferase family 4</t>
  </si>
  <si>
    <t>K02851</t>
  </si>
  <si>
    <t>UDP-GlcNAc:undecaprenyl-phosphate/decaprenyl-phosphate GlcNAc-1-phosphate transferase [EC:2.7.8.33 2.7.8.35]</t>
  </si>
  <si>
    <t>COG0472</t>
  </si>
  <si>
    <t>UDP-N-acetylmuramyl pentapeptide phosphotransferase/UDP-N-acetylglucosamine-1-phosphate transferase (Rfe) (PDB:4J72)</t>
  </si>
  <si>
    <t>ko00001|ko00001|ko00001|ko00001|ko01000|ko01000|ko01003|ko01005</t>
  </si>
  <si>
    <t>KEGG Orthology (KO)&gt;&gt;&gt;09100 Metabolism&gt;&gt;&gt;09107 Glycan biosynthesis and metabolism&gt;&gt;&gt;00542 O-Antigen repeat unit biosynthesis [PATH:ko00542]|KEGG Orthology (KO)&gt;&gt;&gt;09100 Metabolism&gt;&gt;&gt;09107 Glycan biosynthesis and metabolism&gt;&gt;&gt;00552 Teichoic acid biosynthesis [PATH:ko00552]|KEGG Orthology (KO)&gt;&gt;&gt;09100 Metabolism&gt;&gt;&gt;09107 Glycan biosynthesis and metabolism&gt;&gt;&gt;00572 Arabinogalactan biosynthesis - Mycobacterium [PATH:ko00572]|KEGG Orthology (KO)&gt;&gt;&gt;09100 Metabolism&gt;&gt;&gt;09107 Glycan biosynthesis and metabolism&gt;&gt;&gt;00543 Exopolysaccharide biosynthesis [PATH:ko00543]|Enzymes&gt;&gt;&gt;2. Transferases&gt;&gt;&gt;2.7  Transferring phosphorus-containing groups&gt;&gt;&gt;2.7.8  Transferases for other substituted phosphate groups&gt;&gt;&gt;2.7.8.33  UDP-N-acetylglucosamine---undecaprenyl-phosphate N-acetylglucosaminephosphotransferase|Enzymes&gt;&gt;&gt;2. Transferases&gt;&gt;&gt;2.7  Transferring phosphorus-containing groups&gt;&gt;&gt;2.7.8  Transferases for other substituted phosphate groups&gt;&gt;&gt;2.7.8.35  UDP-N-acetylglucosamine---decaprenyl-phosphate N-acetylglucosaminephosphotransferase|Glycosyltransferases&gt;&gt;&gt;Polysaccharide&gt;&gt;&gt;Bacterial polysaccharide (excluding LPS)|Lipopolysaccharide biosynthesis proteins&gt;&gt;&gt;O-antigen repeat unit</t>
  </si>
  <si>
    <t>MGVGGVGVPLRELGLVALMACAITFLCTGVIRVLVVRSGHLSEIRERDVHTVPKPRLGGVAMYSGFLAAVFLAAQLPALTRGFKPFTPEMNAVVWAGFVIVIVGVIDDLYDIDALTKLIGQLFGAVLMSIMGLSWTLLYLPIGEGTTLVLDHVQSTVLTAVFAVTLINAINFVDGLDGLAAGLGMISGLSLLLFSLTILHDQGGTVSAYPPAIISAALVGMCAGFLPHNFEPSRIFMGDSGSMLIGLLLAAASTSVSGKINMSLYGAADMIGVMSPVVVVIAAFFVPLLDLIMAIIRRVKSGQSPFTADKMHLHHRLLGLGHSHRRVVLVMYAWVAVVSIGAVTFTAIPPVVAIGLCAAGLIAAAVFTLQPILQRRSRKGI----------------------------------------------------------QSSHARQ---------------------------------------</t>
  </si>
  <si>
    <t>MGSGGAGIPLRELGLVFLVACTVTYLCTGIIRSIMVRSGRIAAIRDRDVHTQPKPRLGGAAMFTGFLAAVFIAQQLPALTRGFKPITPEMGAVVMAGFVIVIVGIIDDIFEIDAITKLIGQILGAMVMSLMGLSWTLLYLPFGDGTTVLIDQFQSTVVTALFTVTLINAINFVDGLDGLAAGLGMISGCAILVFALTILHDQGGTVSAYPPAIIAAALVGICLGFLPHNFEPSRIFMGDSGSMLIGLLLAAAATSASGKINMSLYGAVDMVALISPFIVVVAAVFVPLLDLVMAVVRRVSKGRSPFSADKMHLHHRLLGLGHSHRSVVLLLYMWVSVVAFGAVAFSAIPAPYALAGILISLAMALVYTFSPVF-RSARTGE----------------------------------------------------------GNTGAPEGHRQASLRTATDAR-------------------------</t>
  </si>
  <si>
    <t>MGAGA-GVPLRELGLVLLVALSLAYLTTGVIRYLMVRSNWMTEIRDRDVHTIPKPRMGGVAMFTGFIGAVFLADQLPALTRGFQPITPEMNAVVGGAVIIVMLGAIDDLWELDALTKIIGQLLGALIMSMLGLNWTLLYIPFGDGTTVLLDQFWSVVITVLFTVTLINAINFVDGLDGLAAGLGMIAGGSILLFSLTILHDQGGMVSAYPPAIIAAGLVGVCAGFLPHNFEPSRIFMGDSGSMLIGFLLAAASTSASGKINMGLYGAVDMVALLSPIIVVLAAVAIPLLDLVMAVVRRVRKGQSPFSADKKHLHHRLLTLGHSHRNVVLLLYTWVFVVAVGAVAYSMVPPLWATIGLVVALIFATLATRGPV--KRARAELPPRPRLVISHRPHILHREKPPPEVSTAPEVPVAHEVV----------DSGVTNHAVVAGETVNREVTRPSATHRVANHDAPHYDKSNRNMPGGEETLDEAPETS</t>
  </si>
  <si>
    <t>MGAGA-GVPLRELGLVLLVALSLAYLTTGVIRYLMVRSNWMTEIRDRDVHTIPKPRMGGVAMFTGFIGAVFLADQLPALTRGFQPITPEMNAVVGGAVIIVMLGAIDDLWELDALTKIIGQLLGALIMSMLGLNWTLLYIPFGDGTTVLLDQFWSVVITVLFTVTLINAINFVDGLDGLAAGLGMIAGGSILLFSLTILHDQGGMVSAYPPAIIAAGLVGVCAGFLPHNFEPSRIFMGDSGSMLIGFLLAAASTSASGKINMGLYGAVDMVALLSPIIVVLAAVAIPLLDLVMAVVRRVRKGQSPFSADKKHLHHRLLTLGHSHRNVVLLLYTWVFVVAVGAVAYSMVPPLWATIGLVVALIFATLATRGPV--KRARAELPPRPRRVISHRPHILHREKPPPEVSTAPEVPVAHEVVDSGPAALETMDSGVANHAVVAGETVNREVTRPSATHRVANHDAPHYDKSNRNMPGGEETLDEAPETS</t>
  </si>
  <si>
    <t>GC_00000661</t>
  </si>
  <si>
    <t>PF05496.18</t>
  </si>
  <si>
    <t>Holliday junction DNA helicase RuvB P-loop domain</t>
  </si>
  <si>
    <t>K03551</t>
  </si>
  <si>
    <t>holliday junction DNA helicase RuvB [EC:5.6.2.4]</t>
  </si>
  <si>
    <t>COG2255</t>
  </si>
  <si>
    <t>Holliday junction resolvasome RuvABC, ATP-dependent DNA helicase subunit RuvB (RuvB) (PDB:1HQC)</t>
  </si>
  <si>
    <t>KEGG Orthology (KO)&gt;&gt;&gt;09120 Genetic Information Processing&gt;&gt;&gt;09124 Replication and repair&gt;&gt;&gt;03440 Homologous recombination [PATH:ko03440]|Enzymes&gt;&gt;&gt;5. Isomerases&gt;&gt;&gt;5.6  Isomerases altering macromolecular conformation&gt;&gt;&gt;5.6.2  Enzymes altering nucleic acid conformation&gt;&gt;&gt;5.6.2.4  DNA 3'-5' helicase|DNA repair and recombination proteins&gt;&gt;&gt;Prokaryotic type&gt;&gt;&gt;DSBR (double strand breaks repair)&gt;&gt;&gt;HR (homologous recombination)&gt;&gt;&gt;RecBC pathway proteins|DNA repair and recombination proteins&gt;&gt;&gt;Prokaryotic type&gt;&gt;&gt;DSBR (double strand breaks repair)&gt;&gt;&gt;HR (homologous recombination)&gt;&gt;&gt;RecFOR pathway proteins</t>
  </si>
  <si>
    <t>MAEIERTEFNIA-PSARTPTSQRIDGS-----SPIEPTAQSEDNDIESGLRPKSLSEFIGQPKVRNQLDLVLTGAKRRGVVPDHVLLSGPPGLGKTTMAMIIAQELGSSLRMTSGPALERAGDLAAMLSNLMEGDVLFIDEIHRIARPAEEMLYMAMEDFRIDVIVGKGPGATSIPLEIAPFTLVGATTRSGMLTGPLRDRFGFTAQMEFYDVADLTKVVTRAARILGVGIDPDAAVEIASRSRGTPRIANRLLRRVRDYAEVHADGHIDFSSAQAALVVFDVDEMGLDRLDRAVLDALINGHGGGPVGVSTLAVAVGEEPSTVEEVCEPYLVRAGMVARTGRGRVATAAAWRHLGLEPPEGAIGL--</t>
  </si>
  <si>
    <t>MADVEKTEFNL--PAGKGPGRGGAHAGGRPTDSAIDANAQAGDNDLETNLRPKSLEEFIGQPKVRNQLDLVLTGARNRGVAPDHVLLSGPPGLGKTTMAMIIAQELGTSLRMTSGPALERAGDLAAMLSNLMEGDVLFIDEIHRIARPAEEMLYMAMEDFRIDVIVGKGPGATSIPLEIAPFTLVGATTRSGMLTGPLRDRFGFTAQMEYYDVPDLTRVVTRAAKILNVSINHDAAEEIASRSRGTPRIANRLLRRVRDFAEVYSDGHVDLGAAKAALLLFDVDERGLDRLDRAVLNVLVKGHGGGPVGVSTLAIAVGEEPSTVEEVCEPYLVRAGMIARTGRGRVATAAAWRHVGLEPPEGTIGGYE</t>
  </si>
  <si>
    <t>MANVEKTEFNLAGPSGPTGGTPPTDPA-TVRRGTINPHALNTETDIETTLRPRSLAEFIGQPKVRDQLNLVLTGAKNRNVTPDHVLLSGPPGLGKTTMAMIIAYEMGTSLRMTSGPALERTGDLAAMLSNLMEGDVLFIDEIHRMARPAEEMLYMAMEDFRIDVIVGKGPGATSIPLELAPFTLVGATTRSGMLTGPLRDRFGFTAQMEFYDTPDLTQVVSRAAKIIGVGIDPDAAVEIASRSRGTPRIANRLLRRVRDYADVHGTGHIDLQAVRAALIVFDVDAMGLDRLDRAVLTALIKGHGGGPVGVSTLAIAVGEEASTVEEVCEPYLVRAGMITRTGRGRVATAAAWRHLGLEPPEGTIGS--</t>
  </si>
  <si>
    <t>MANVEKTEFNLAGPSGPTGGTPPTDPA-TARRGTINPHALNTETDIETTLRPRSLAEFIGQPKVRDQLNLVLTGAKNRNVTPDHVLLSGPPGLGKTTMAMIIAYEMGTSLRMTSGPALERTGDLAAMLSNLMEGDVLFIDEIHRMARPAEEMLYMAMEDFRIDVIVGKGPGATSIPLELAPFTLVGATTRSGMLTGPLRDRFGFTAQMEFYDTPDLTQVVSRAAKIIGVGIDPDAAVEIASRSRGTPRIANRLLRRVRDYADVHGTGHIDLQAVRAALIVFDVDAMGLDRLDRAVLTALIKGHGGGPVGVSTLAIAVGEEASTVEEVCEPYLVRAGMITRTGRGRVATAAAWRHLGLEPPEGTIGS--</t>
  </si>
  <si>
    <t>GC_00000662</t>
  </si>
  <si>
    <t>PF02823.21</t>
  </si>
  <si>
    <t>ATP synthase, Delta/Epsilon chain, beta-sandwich domain</t>
  </si>
  <si>
    <t>K02114</t>
  </si>
  <si>
    <t>F-type H+-transporting ATPase subunit epsilon</t>
  </si>
  <si>
    <t>COG0355</t>
  </si>
  <si>
    <t>FoF1-type ATP synthase, epsilon subunit (AtpC) (PDB:3OAA) (PUBMED:29149348;30304218)</t>
  </si>
  <si>
    <t>MAEIAAELVAVERVLWSGKASIVTAQTIEGEIGVLPGHEPMLGQLVDNGVVTITPVDGDKLIAACHGGFLSVSPEKVTILADYAAWATEVDVDSAEEDAQSSDEDVKTRGEAELRAVRRMKES</t>
  </si>
  <si>
    <t>MAEIAVELVAVERMLWSGQASIVTAQTTEGEIGVLPGHEPMLGQLVDNGVVVIRPVDGDKLVAAVQGGFLSISEDKVTILAEFAVWVDEIDVAEAEAAAASDDEETKALGEAKLRAVRRNQES</t>
  </si>
  <si>
    <t>MASVTVELVSVERMMWHGEASIVVAQTTEGEIGVLPGHEPMLAELGESGAVIIRPIEGNALVAAVQGGFLSVAKDKVTVLAEYAVWADEVDADAAQAMLDTDDESLHARGAAELMAIRRSSQS</t>
  </si>
  <si>
    <t>MASVTVELVSVERMMWRGEASIVVAQTTEGEIGVLPGHEPMLAELGDSGAVIIRPIEGNALVAAVQGGFLSVAKDKVTVLAEYAVWADEVDADAAQAMLDTDDESLHARGAAELMAIRRSSQS</t>
  </si>
  <si>
    <t>GC_00000663</t>
  </si>
  <si>
    <t>PF22505.1</t>
  </si>
  <si>
    <t>Ribonuclease J, beta-CASP domain</t>
  </si>
  <si>
    <t>K12574</t>
  </si>
  <si>
    <t>ribonuclease J [EC:3.1.-.-]</t>
  </si>
  <si>
    <t>COG0595</t>
  </si>
  <si>
    <t>mRNA degradation ribonuclease J1/J2 (RnjA) (PDB:3T3N)</t>
  </si>
  <si>
    <t>ko00001|ko03019</t>
  </si>
  <si>
    <t>KEGG Orthology (KO)&gt;&gt;&gt;09120 Genetic Information Processing&gt;&gt;&gt;09123 Folding, sorting and degradation&gt;&gt;&gt;03018 RNA degradation [PATH:ko03018]|Messenger RNA biogenesis&gt;&gt;&gt;Prokaryotic type&gt;&gt;&gt;Bacterial mRNA degradation factors&gt;&gt;&gt;RNA degradosome components&gt;&gt;&gt;Ribonucreases</t>
  </si>
  <si>
    <t>MTEPRTRSRKVTRKAGPPETPE---FQAPSAPAEGSDSGSSASSSEGAKQSSGANDGERKGAQRGGSSRNGERSSNSRNRRSRGRGGNSNGSSNRESRGGNNKGSSNSGGNSNGNRNRSPRRNVVKSMQGADLTQRLPQPPKAPKDGLRIVALGGISEIGRNMTVFEYRGRLLIVDCGVLFPSSGEPGVDLILPDFSYIEDKLDKIEALVVTHGHEDHIGAIPWLLKLRPDLPILASRFTCALIQAKCQEHRQRPKLIEVNEQSDVNRGPFNLRFFAVNHSIPDCLGIAIKTGAGLVVHTGDIKLDQTPTDGRPTDLPALSRFGDEGVDLFLCDSTNATTPGVSGSEADIAPTLKRLIGEAKQRVILASFASNVYRVQSAVDAAVAAGRKVAFNGRSMIRNMEIAEKMGYLKAPRGTIITMDEAAKMAPHRVVLITTGTQGEPMAALSRMARREHRQITVRDGDLIILSSSLVPGNEEAVFGVINMLAQIGATVITGRDAKVHTSGHGYSGELLFLYNAVRPTNAMPVHGEWRHLRANKELAISTGVNRDNVVLAQNGVFVDLVDGNARVVGQRDVGNLYVDGVTMGDIDEEVLADRTSMGEGGLISITVVIDNRTGRPLERPTVQAKGFSEDHLAMMPEVTDLVENTMLDLAGEGENEVYRMVQKLRRTVSRYVEQKWRRKPMIIPTVVPTAGE-VH--VSDEDIAAARQSL</t>
  </si>
  <si>
    <t>MTEPRNRTRKVTRKAGPPEAVE---FQAPQSADTDGRSEKSTEKKKSKVP-------AKTSADNSGNSRNGNGNGGARGRRNGNR------SNNRG------------------------RRNVVKSMQGADLTHRLPAPPRPPKDGLRIVALGGISEIGRNMTVFEYRGRLLIVDCGVLFPSSGEPGVDLILPDFSYLEDKMDRVEALVVTHGHEDHIGAIPWLLKQRPDLPIIASRFTCALIHAKTQEHRQRPKLIEVNEKSREKRGPFDVRFFAVNHSIPDCLGVAIKTGAGLVVHTGDIKLDQTPPDGRPTDLPALARFGDEGVDLLMCDSTNATTPGVSGSESDIAPTLKRLVADAKQRVIVASFASNVYRVQAAVDAAVAAGRRVAFNGRSMIRNMEIAEKMGFLKAPRGTFITMDEAAKLAPHKVMLVTTGTQGEPMAALSRMARREHRQITVRDGDLIILSSSLVPGNEEAVFGVINMLAQIGATVVTGRDAKVHTSGHGYSGELLFLYNVVRPTNAMPVHGEWRHLRANKELAISTGVEADRVVLAQNGVVVDLVDGRASVVGQVPVGNLYVDGTTMGDIDEEVLADRTSMGEGGLISITVVIDNRTGRPLEHPAVQATGFSEDAVAMMPEVAELVENTMLELAGEGENDPYRMVRQLRRRVARFVEQKWRRKPMIIPTVVPMSSDPVQ--ADDDDIKGTRPSL</t>
  </si>
  <si>
    <t>MTEPRSRSRKVTRKAGPPEAAESPVFQAPIAAKTAAKTTPKNSKTGAPKTTTTKTGAAKTATKTTTSQKTG---GSKTPKKTTGRGSGPVGRDNRN------------------------RRNVVKSMQGADLTGRLPLPKNPPKNGLRIYALGGISEIGRNMTVFEYNNRLLIVDCGVLFPSSGEPGVDLILPDFGPIEDKIGNVDALVITHGHEDHIGAIPWLLKLRPDLPIIASKFTLALIAAKCREHHQRPKLIEVGNTSVENRGPFNLRFWAVNHSIPDCLGIAIKTKAGLVVMTGDIKLDQTPPDGRPTDLPALSRLGDEGIDLFLCDSTNATTPGISGSESAIAPTLKRIVADAKQRVILACFASNVYRVQAAVDAAVAAGRKVAFNGRSMIRNMEIAEKLGYLRVPRGTIVSMDDATKMAPHKVMLITTGTQGEPMAALSRMARREHRQITVRDGDVIVLSSSLVPGNEEAVFGVINMLAQIGATVITNKDANVHTSGHGYSGELLFLYNAARPRNAMPVHGEWRHLRANKELAIATGVDRNQVVLAQNGVVVDMVNGKISVAGQIPVGNLYVDGVTMGDIDQEVLDDRTSMGEGGLISITAVIDNRTGRLLEHPTVHAKGFSDDAKTMMPEVQNLVENTMNDLAAEGENDPYRMVQHLRRKVSRYVEQTWRRNPMIMPTVVPMSSD-VHSPIDDDEVKRSRPSL</t>
  </si>
  <si>
    <t>MTEPRSRSRKVTRKAGPPEAAESPVFQAPTAAKTAAKTTPKNSKTGAPKTTTTKTGAAKTATKTTTSQKTG---GSKTPKKTTGRGSGPVGRDNRN------------------------RRNVVKSMQGADLTGRLPLPKNPPKNGLRIYALGGISEIGRNMTVFEYNNRLLIVDCGVLFPSSGEPGVDLILPDFGPIEDKIGNVDALVITHGHEDHIGAIPWLLKLRPDLPIIASKFTLALIAAKCREHHQRPKLIEVGNTSVENRGPFNLRFWAVNHSIPDCLGIAIKTKAGLVVMTGDIKLDQTPPDGRPTDLPALSRLGDEGIDLFLCDSTNATTPGISGSESAIAPTLKRIVADAKQRVILACFASNVYRVQAAVDAAVAAGRKVAFNGRSMIRNMEIAEKLGYLRVPRGTIVSMDDATKMAPHKVMLITTGTQGEPMAALSRMARREHRQITVRDGDVIVLSSSLVPGNEEAVFGVINMLAQIGATVITNKDANVHTSGHGYSGELLFLYNAARPRNAMPVHGEWRHLRANKELAIATGVDRNQVVLAQNGVVVDMVNGKISVAGQIPVGNLYVDGVTMGDIDQEVLDDRTSMGEGGLISITAVIDNRTGRLLEHPTVHAKGFSDDAKTMMPEVQNLVENTMNDLAAEGENDPYRMVQHLRRKVSRYVEQTWRRNPMIMPTVVPMSSD-VHSPIDDDEVKRSRPSL</t>
  </si>
  <si>
    <t>GC_00000664</t>
  </si>
  <si>
    <t>MGNHTQNFPKVVSGQDAQDMHGLQPEPHRLIEMRNIVKSFNIGDQGELTIIHGCDFDVDRGEFVSVVGASGSGKSTLMNIIGLLDRPTEGTYFFDGVDMLDSNDDQLARYRSKNIGFVFQNFNLIARINAIKNVEIPMIYAGYSAKERYERATELLELVGMKDRMKHQPNELSGGQKQRVAIARALANNPEVLLADEPTGALDSSTGRLVMDLFHQLNQEQGKTIVFITHNAELAEETTRIVTMVDGVF---------------------------------------------------------------------------------------------------------------------------------------A--------</t>
  </si>
  <si>
    <t>--------------MAKKRNPAEETDSDLLIDMQDIVKTFNIGTPNELTILHGVNFNLARGEFLSVVGTSGSGKSTLMNIIGLLDKPTSGTYNLDGVDVLELSDDKAALYRSKHIGFVFQNFNLIGRISARRNVELPMMYAGVDRKDRTERANHLLEMVGMQERADHLPAELSGGQKQRVAIARALSNSPDLMLADEPTGALDTATGRMVMDLFHDLNQNHGVTIALITHNPELAEETTRIVTMNDGILTGPPAP</t>
  </si>
  <si>
    <t>GC_00000665</t>
  </si>
  <si>
    <t>PF00154.27</t>
  </si>
  <si>
    <t>recA bacterial DNA recombination protein</t>
  </si>
  <si>
    <t>K03553</t>
  </si>
  <si>
    <t>recombination protein RecA</t>
  </si>
  <si>
    <t>COG0468</t>
  </si>
  <si>
    <t>RecA/RadA recombinase (RecA) (PDB:1B22)</t>
  </si>
  <si>
    <t>ko00001|ko03400|ko03400|ko03400</t>
  </si>
  <si>
    <t>KEGG Orthology (KO)&gt;&gt;&gt;09120 Genetic Information Processing&gt;&gt;&gt;09124 Replication and repair&gt;&gt;&gt;03440 Homologous recombination [PATH:ko03440]|DNA repair and recombination proteins&gt;&gt;&gt;Prokaryotic type&gt;&gt;&gt;TLS (translesion DNA synthesis) factors&gt;&gt;&gt;Other SOS response factors|DNA repair and recombination proteins&gt;&gt;&gt;Prokaryotic type&gt;&gt;&gt;DSBR (double strand breaks repair)&gt;&gt;&gt;HR (homologous recombination)&gt;&gt;&gt;RecBC pathway proteins|DNA repair and recombination proteins&gt;&gt;&gt;Prokaryotic type&gt;&gt;&gt;DSBR (double strand breaks repair)&gt;&gt;&gt;HR (homologous recombination)&gt;&gt;&gt;RecFOR pathway proteins</t>
  </si>
  <si>
    <t>MAAKKSAKVAQAGAGDRDQALAAALAKIEKDYGKGAVMRLGDETRPRIQVISSGNTAIDIALGIGGFPRGRIVEIYGPESSGKTTVALHAVAQAQQAGGIAAFIDAEHALDPEYARKLGVDTDALLVSQPDTGEQALEIADMLVRSGAIDIIVIDSVAALTPKAEIEGEMGDSHVGLQARLMSQALRKMTGALYNSGTTAIFINQLREKIGVMFGSPETTTGGKALKFYASVRCDVRRIQTLKDGTDAIGNRTKLKVVKNKVSPPFKIAEFDIIYGEGISRESSLIDLGVDNNVIKKSGSWFTYNGDQLGQGKEKVRLYLKENKELADEIEQKIFEKVGLLEPAE-GGDDLSDEPVDMVPNVDFDD---DES--</t>
  </si>
  <si>
    <t>MAAKK-TKTTTATSDDRNKALTNALAQIEKDFGKGAIMRLGDDNRPPIQAISSGNTAIDIALGIGGFPRGRIIEVYGPESSGKTTVALHAIAQAQKGGGIAAFIDAEHALDPEYARKLGVDTDALLVSQPDTGEQALEIADMLIRSGAIDIIVIDSVAALTPKAEIEGDMGDSHVGLQARLMSQALRKMTGALYNSGTTAIFINQLREKIGVMFGSPETTTGGKALKFYASVRCDVRRIQTLKDGQDAIGNRTKLKVVKNKVSPPFKIAEFDIIYGEGISRESSIIDLGVEHGIVKKSGSWFTYNGDQLGQGKEKVRLFLKSNPAISDEIEQKIFAKLGVGEHAT-AEDTLSDDPVDVVPNVDFDDSDLDDE--</t>
  </si>
  <si>
    <t>MATKKSTKTTKAAVNDRQKALDTALEQIEKDFGKGAVMRLGDDNRPPISAISSGNTAIDVALGIGGFPRGRIVEIYGPESSGKTTVALHAIASAQREGGIAAFIDAEHALDPEYARKLGVDTDALLVSQPDHGEQALEIADMLIRSGAIDLIVVDSVAALTPKAEIEGDMGDSHVGLQARLMSQALRKMTGALHNSGTTAIFINQLREKIGVMFGSPETTTGGKALKFYATVRCDVRRTQTLKDGQDAIGNRTKLKVVKNKVSPPFKIAEFDIVYGEGISRESTLIDMGVDNGIIKKSGSWFTYEGDQLGQGKEKVRMLLKNTPELADEIEEKILKKLKVGKYANLPDEETTNDSVDSVPDVDFDDNADEQQAE</t>
  </si>
  <si>
    <t>GC_00000666</t>
  </si>
  <si>
    <t>PF01138.27</t>
  </si>
  <si>
    <t>3' exoribonuclease family, domain 1</t>
  </si>
  <si>
    <t>K00962</t>
  </si>
  <si>
    <t>polyribonucleotide nucleotidyltransferase [EC:2.7.7.8]</t>
  </si>
  <si>
    <t>COG1185</t>
  </si>
  <si>
    <t>Polyribonucleotide nucleotidyltransferase (polynucleotide phosphorylase) (Pnp) (PDB:1E3P)</t>
  </si>
  <si>
    <t>ko00001|ko01000|ko03019|ko03016</t>
  </si>
  <si>
    <t>KEGG Orthology (KO)&gt;&gt;&gt;09120 Genetic Information Processing&gt;&gt;&gt;09123 Folding, sorting and degradation&gt;&gt;&gt;03018 RNA degradation [PATH:ko03018]|Enzymes&gt;&gt;&gt;2. Transferases&gt;&gt;&gt;2.7  Transferring phosphorus-containing groups&gt;&gt;&gt;2.7.7  Nucleotidyltransferases&gt;&gt;&gt;2.7.7.8  polyribonucleotide nucleotidyltransferase|Messenger RNA biogenesis&gt;&gt;&gt;Prokaryotic type&gt;&gt;&gt;Bacterial mRNA degradation factors&gt;&gt;&gt;RNA degradosome components&gt;&gt;&gt;Other RNA degradosome components|Transfer RNA biogenesis&gt;&gt;&gt;Prokaryotic type&gt;&gt;&gt;tRNA degradation factors</t>
  </si>
  <si>
    <t>--------------------------------------------MSDVTFANDPDFGITEAIATIDNGDFGTRTIRFETGQLARQAGGSVTAYLDDDTMMLATTTASKKPREGFDFFPLTVDVEERMYAAGRIPGSFFRREGRPSTEAILACRLIDRPLRPTFVKGLRNEVQVVVTVMSMDPEDMYDVVAINASSAATQLSGLPVSGPVGGVRMALIADDKHPKGQWVAFPTHTQSKDALFEIVVAGRIVTRTKG</t>
  </si>
  <si>
    <t>MRMLAGIFLGALLWSRGVLVQDDGHSMAPTTIAEAKLKRSFVLTMKDVVINKDTEYGIVEALATIDNGDFGTRTIRFETGQLARQADGSVTAYLDEDTMLLSTTTASNQPREGFDFFPLTVDVEERMYAAGRIPGSFFRREGRPSTEAILAARLIDRPLRPTFVKGLRNEVQVIVTVMSMDPKDMYDVVAINAASASTQLSGLPVSGPVGGVRMALIADDDHPKGQWVAFPTHEQHEQALFEIVVAGRIVSKKKGRKTINDVAIMMVEAGATSQVVERIKDGAPSPTESVVAQGLEAAKPFIEVLCRAQMGLAKEAAKETQEFPLFPPYTDDIYAAVEKKAAKKLEQLLTIKNKQERDEATNEHMDSIVEDLSSR---FEEQ----------EKDIRAAYNALMKAIVRRRILTDHFRIDGRGITDIRDLGVEVDLIPRAHGSSLFERGETQILGVTTLDMLKMEQQIDSLTPVDHKRYIHHYNFPPYSTGETGRVGSPKRREIGHGALAERALIPVIPSREEFPYTIRQVSEALGSNGSTSMGSVCASTLSLYNAGVPLKAPVAGIAMGLVSDEVKGETRYVALTDILGAEDAFGDMDFKVAGTADFITALQLDTKLDGIPSSVLADALSQARDARLTILETMAEVIDTPDEMSSFAPRITTVSVPPSKIGELIGPKGKTINTITEETGANISIEEDGTVFVSATNGEAADAAIEKINSIANPQLPKVGERFLGTVVKTTAFGAFVSLLPGRDGLVHISKLGGGKRIDKVEDVVNVGDKIQVEIADIDNRGKISLVPVED--</t>
  </si>
  <si>
    <t>--------------------------------------MSNKNTRKAISYNEDTEFGITEATVTVDNGDFGSRTIRFETGQLARQAGGSVTTYLDEDTMLLSTVTASKQPREGFDFFPLTVDVEERMYAAGRIPGSFFRREGRPSTEAILACRLIDRPLRPTFVKGLRNEVQVVVTVLSIDPKDMYDVVAINGASAATQLSGLPVSGPVGGVRMALIADKKHPKGQWVAFPTHAQHEEAIFELVVAGRIVEKKVG</t>
  </si>
  <si>
    <t>GC_00000667</t>
  </si>
  <si>
    <t>PF01569.27</t>
  </si>
  <si>
    <t>PAP2 superfamily</t>
  </si>
  <si>
    <t>K27842</t>
  </si>
  <si>
    <t>decaprenylphosphoryl-5-phosphoribose phosphatase [EC:3.1.3.111]</t>
  </si>
  <si>
    <t>COG0671</t>
  </si>
  <si>
    <t>Membrane-associated phospholipid phosphatase (PgpB) (PDB:1D2T)</t>
  </si>
  <si>
    <t>KEGG Orthology (KO)&gt;&gt;&gt;09190 Not Included in Pathway or Brite&gt;&gt;&gt;09191 Unclassified: metabolism&gt;&gt;&gt;99980 Enzymes with EC numbers|Enzymes&gt;&gt;&gt;3. Hydrolases&gt;&gt;&gt;3.1  Acting on ester bonds&gt;&gt;&gt;3.1.3  Phosphoric-monoester hydrolases&gt;&gt;&gt;3.1.3.111  decaprenylphosphoryl-5-phosphoribose phosphatase</t>
  </si>
  <si>
    <t>MPSSSQALLRDVADRWSAWKAGPEWEADALVAIQSATHDVAGVLPTARVMSHVGEHALGWLGLSAAGALFDKHRRRQWCGLGTAALVAHAASVVLKRVVRRPRPHDERIVVGVSTPSNHSFPSSHATSTTATMAALAVLTGSSVPYVGAGAMMLSRMILGVHYPTDVTCGALVGVAAAKAVMPYFEG--------------</t>
  </si>
  <si>
    <t>-----------------MVKGDPFNETEMLVRIQDSLFDAPGVQATARLLSHFGEHSLGWISVGAVGALVDKRRRGKWVKLIAASLLSHAASVVIKRVVRRPRPHDDRIAVGVGTPSRLSFPSSHATSTTAALVSLAKLTRSPLPLLGVPIMMLSRMVLGVHYPTDVAAGALVGAVTAETISRIRRET-------------</t>
  </si>
  <si>
    <t>----------------------MKNESDILVSLQDRL-ATPGIFRIARGLSHFGEHSLGWLGLGFIGALVDKNHRGRWFKLMAAAFVSHALSVVVKRIVRRKRPHDPRIQVGVGTPSELSFPSSHATSTTAALVTLAKITRNPLPLLGVPVMMLSRMVLGVHYPTDVLAGAIVGAVTAQVIDRKVAGCGQCGVRGA-----</t>
  </si>
  <si>
    <t>GC_00000668</t>
  </si>
  <si>
    <t>COG2233</t>
  </si>
  <si>
    <t>Xanthine/uracil permease (UraA) (PDB:3QE7)</t>
  </si>
  <si>
    <t>-----------------------------------------MQHVVAMFGATLLVPTLTGFPVNTTLLFSGIGTILFLLITRNRLPSYLGSSFAFIAPLTATQASGIALQMGGVVAAGIALILVGVIVKVLGRGVIDAVMPPAVTGAIVALIGLNLAPAATSSYQNQPLIATVTLAAILILNVAGRAMVSRLSILFGVIIGWVFAWLSGGIDDAARQAISEARWFGAPTFHTPEFTVSAVLISLPVVIVLIAENV</t>
  </si>
  <si>
    <t>MGSRPFPRWGWTVHGDGKHITPGDVVAPEERLSWGRTIGIGMQHVIAMFGATLLVPTLTGFPVNTTLLFSGVGTIVFLLITRNRLPSYLGSSFAFIAPLTATQGEGIAVQLGGIVVVGVVVVALGVVVKTAGPRVLDAVMPPAVTGAIVALIGLNLAPTAATNYAAQPLVATVTMAAILIATVAGRGMVARLGILIGVIVGWLFATATGNLAEGAGETIANAAWIGLPGFHTPQFQVSAALVTLPVVIVLVAENVGHVKAVSAMTGRTMDDLAGDALIADGVATTLAGGLGGSGTTTYAENIGVMAATKVYSTAAYWVAALTAIALAFVPKFGALIFTIPTGVLGGATIVLYGLIGLLGVRIWQDNAVNFNNPVNITAAAVALVAGIGNLTLTVFGVELEGIAWGSAGIIVLYPVLQWLYRTVGEGQGS---</t>
  </si>
  <si>
    <t>MSTSSFGLFRWSIHGDGKTIQPGAVVAPDERLSWGRTIGIGMQHVIAMFGATLLVPTLTGFPVNTTLLFSGVGTMVFLVITRNQLPSYLGSSFAFIAPLLASKSLGFGAQLGGVVAAGLALMAVGLVVKRLGKGIIDTVMPPAVTGAIVALIGFNLSASATKNFATQPMVATVTLGAIMVFTVAGRGMVARLGILLGVITGWVFAAVTGNLSEGASEAIAAAPWVGLPQFHTPEFHLSAVMVSLPVVIVLIAENVGHVKAVSEMTGRNLDGQAGNALIADGLGTVLAGGFGGSGTTTYAENIGVMAATRVYSTAAYWVAALTAVGLAFVPKFGALIFTIPAGVLGGAALVLYGLIGMLGVRIWQDNKVNFNNPVNLIAAAVALVAGIGNLTLVVFGIHLEGIAWGSVGIIAGYPLLRWIYTTMGEGKTARF-</t>
  </si>
  <si>
    <t>------------------------MVAPDERLSWGRTIGIGMQHVIAMFGATLLVPTLTGFPVNTTLLFSGVGTMVFLVITRNQLPSYLGSSFAFIAPLLASKSLGFGAQLGGVVAAGLALMAVGLVVKRLGKGIIDTVMPPAVTGAIVALIGFNLSASATKNFATQPMVATVTLGAIMVFTVAGRGMVARLGILLGVITGWVFAAVTGNLSEGASAAIAAAPWVGLPQFHTPEFHLSAVMVSLPVVIVLIAENV</t>
  </si>
  <si>
    <t>GC_00000669</t>
  </si>
  <si>
    <t>PF19320.4</t>
  </si>
  <si>
    <t>Galactofuranosyltransferase-2, domain 3</t>
  </si>
  <si>
    <t>K16650</t>
  </si>
  <si>
    <t>galactofuranosylgalactofuranosylrhamnosyl-N-acetylglucosaminyl-diphospho-decaprenol beta-1,5/1,6-galactofuranosyltransferase [EC:2.4.1.288]</t>
  </si>
  <si>
    <t>KEGG Orthology (KO)&gt;&gt;&gt;09100 Metabolism&gt;&gt;&gt;09107 Glycan biosynthesis and metabolism&gt;&gt;&gt;00572 Arabinogalactan biosynthesis - Mycobacterium [PATH:ko00572]|Enzymes&gt;&gt;&gt;2. Transferases&gt;&gt;&gt;2.4  Glycosyltransferases&gt;&gt;&gt;2.4.1  Hexosyltransferases&gt;&gt;&gt;2.4.1.288  galactofuranosylgalactofuranosylrhamnosyl-N-acetylglucosaminyl-diphospho-decaprenol beta-1,5/1,6-galactofuranosyltransferase|Glycosyltransferases&gt;&gt;&gt;Polysaccharide&gt;&gt;&gt;Bacterial polysaccharide (excluding LPS)</t>
  </si>
  <si>
    <t>MRAFVGCVRVTRSERLEVFTLSERTTVKSDTVANAGAQNAGAQKGGGP-----EQLQRVLLPRLGEPHDVRTLYVLEAETNRERARWDNRTQVRIPAGSELSFQTYFNAFPASYWRRWSQLSRVLLRVDVAGTARVDVYRSKIDGSRIGVEGKVVSDGVAEFDLDLAPFEDGGWYWFDVTAESDTEIVSAGWFAAEAPGPQVMPDGSTVGPFEPRVTVGIPTFNRPADAVAALEALASDPVVDAVIDTVIMPDQGNKHPADEPGYAAATEHFGDRFFEFRQGNLGGSGGYSRIMYEALGGPDGTKPAGAKKSPYILYMDDDIAIEPDSVLRALQAARYAKTPTLIGGQMLNLQERSHLHSMGEVINRADFMWTSAPHVHYDHDFSEMPLSYKGSPGDKPDAKNSRDLHRRIDVDYNGWWMCMIPHVVAERIGLPLPLFIKWDDAEYGLRAGKAGFPTATWPGIAIWHMAWSDKDDAIDWQAYFHLRNRLIVAAMDHDGPVKGIIRSMQKATLKHLLCLEYSTVAIQNEAMKDFLAGPDQLFDILETSLPRIAAIRKTYPDAVVLPTAAQLPKPTGAPGVPTKDIGGRLAPVKKAVWLAKGLKHSLTKEDPAHHDVPQANFAPIEARWFSLSRVDGATVTMADGRGVVYRQRDLNKAKDLLKESRRLQKLVEERFDELRGQYRAAHSRLSSLDAWKDIFDA--------------------</t>
  </si>
  <si>
    <t>---------------------------MTKAQESSGSSTKGASGGSSPHTKAVEQLQRVLLPRRGEPHDVRSLYLLEVETNKTRATWDDRTSVTIPAGSEVSFQTYFNAFPASYWRRWSQLDTVVLQVEALGEARVEVYRSKIDGARISVDGGMVSDGVIEFELSLAPFEDGGWLWFDITAETDVTIASAGWFAPQAPAPQIMPDGSEVGPFEPRVTVGIPTFNRPTDAVAALDALRSDPLVDAVIDTIIMPDQG</t>
  </si>
  <si>
    <t>---------------------------MND-----------------------YRLQRFLLPRVGEPHDVRMLYLIESEYNKQRAMWTDRSSITITAGSEVSFLSYFNAFPASYWRRWSQLDSVILKVKVTGAARIDVYRSKFDGARIGVEGKQVKNGEVEFNLSLAPFEIGGWLWWDITAETDVTVEEAGWYAPHAPKAQTLPDGTQVGPFEPRVTVGIPTFNRPDDAVAALEALAQDPEVDAVIDTIIMPDQG</t>
  </si>
  <si>
    <t>---------------------------MND-----------------------YRLQRFLLPRVGEPHDVRMLYLIESEYNKQRAMWTDRSSITITAGSEVSFLSYFNAFPASYWRRWSQLDSVILKVRVTGAARIDVYRSKFDGARIGVEGKQVKNGEVEFNLSLAPFEIGGWLWWDITAETDVTVEEAGWYAPHAPKAQTLPDGTQVGPFEPRVTVGIPTFNRPDDAVAALEALAQDPEVDAVIDTIIMPDQG</t>
  </si>
  <si>
    <t>GC_00000670</t>
  </si>
  <si>
    <t>MNSAIKYQFGAIEAAAADINASSGQINAMLDDLKRGIQPMVATWEGDSATAYQEAQMKWDKAAAELNQILATIAQAVRQGNDHMSEMNRAAASSWM</t>
  </si>
  <si>
    <t>GC_00000671</t>
  </si>
  <si>
    <t>PF14561.12</t>
  </si>
  <si>
    <t>Tetratricopeptide repeat</t>
  </si>
  <si>
    <t>K05838</t>
  </si>
  <si>
    <t>putative thioredoxin</t>
  </si>
  <si>
    <t>MTTPNTPHRFIAGAIDLGEVKAKAEARAQAAQEGAGNPGGTRTGVAAALTLTMENVEDELLKRSAQVPVIVLIGTPRSEDSNRLRTDFTDLAEAGHYSFVFRYADADATPDIARMFGVQGLPTVVAIAAGQPIANFAGGQPKEALTQWVAAVKDAVAGQLTGIPAEELAGPADNEA------AEPEDPRFIPAEKAMAEGDYTAAIGVYEDILAQDPKNTAARAARDNARLLGRLTDA---GDTDPIAEANANLTDVAAGFAAADAEAAAGDAESAFDRLLALMA-VAPDRKPEIRDRLLELFALFDPTDPRVLAARGKLASTLF</t>
  </si>
  <si>
    <t>MTTPNTPHRFIAGAIDLGEVKAKAEARAQAAQGGAGNPGGTRTGVAAALTLTMENVEDELLKRSAQVPVIVLIGTPRSEDSNRLRADFTDLAEAGHYSFVFRYADADATPDIARMFGVQGLPTVVAIAAGQPIANFAGGQPKEALTQWVAAVKDAVAGQLTGIPAEELAGAADNEA------AEPEDPRFIPAEKAMAEGDYATAISVYEGILAQDPKNAAARAARDNARLLGRLTDA---GDTDPIAEANANLTDVAAGFAAADAEAAAGDAESAFDRLLALMA-AAPDRKPEIRDRLLELFALFDPTDPRVLAARGKLASALF</t>
  </si>
  <si>
    <t>GC_00000672</t>
  </si>
  <si>
    <t>PF14437.12</t>
  </si>
  <si>
    <t>MafB19-like deaminase</t>
  </si>
  <si>
    <t>K11991</t>
  </si>
  <si>
    <t>tRNA(adenine34) deaminase [EC:3.5.4.33]</t>
  </si>
  <si>
    <t>COG0590</t>
  </si>
  <si>
    <t>tRNA(Arg) A34 adenosine deaminase TadA (TadA) (PDB:2A8N)</t>
  </si>
  <si>
    <t>Pyrimidine salvagetRNA modification</t>
  </si>
  <si>
    <t>Enzymes&gt;&gt;&gt;3. Hydrolases&gt;&gt;&gt;3.5  Acting on carbon-nitrogen bonds, other than peptide bonds&gt;&gt;&gt;3.5.4  In cyclic amidines&gt;&gt;&gt;3.5.4.33  tRNA(adenine34) deaminase|Transfer RNA biogenesis&gt;&gt;&gt;Prokaryotic type&gt;&gt;&gt;tRNA modification factors&gt;&gt;&gt;Deaminases</t>
  </si>
  <si>
    <t>MCPALRRPGFRVAAEAKMRHALAVP--TPLGDVPVGAVIFDPDGNVIGRGSNRREADGDPTAHAEIIAIREAVRNFHDGWRLTDCTIAVTLEPCCMCAGALVAARIGTIIFGAYEPKMGACGSVFDVVRDPQVLYQPQVIGGVLADECAAQLGVFFQECR</t>
  </si>
  <si>
    <t>GC_00000673</t>
  </si>
  <si>
    <t>PF02922.24</t>
  </si>
  <si>
    <t>Carbohydrate-binding module 48 (Isoamylase N-terminal domain)</t>
  </si>
  <si>
    <t>K00700</t>
  </si>
  <si>
    <t>1,4-alpha-glucan branching enzyme [EC:2.4.1.18]</t>
  </si>
  <si>
    <t>COG0296</t>
  </si>
  <si>
    <t>1,4-alpha-glucan branching enzyme (GlgB) (PDB:4LPC) (PUBMED:25871919)</t>
  </si>
  <si>
    <t>KEGG Orthology (KO)&gt;&gt;&gt;09100 Metabolism&gt;&gt;&gt;09101 Carbohydrate metabolism&gt;&gt;&gt;00500 Starch and sucrose metabolism [PATH:ko00500]|Enzymes&gt;&gt;&gt;2. Transferases&gt;&gt;&gt;2.4  Glycosyltransferases&gt;&gt;&gt;2.4.1  Hexosyltransferases&gt;&gt;&gt;2.4.1.18  1,4-alpha-glucan branching enzyme|Exosome&gt;&gt;&gt;Exosomal proteins&gt;&gt;&gt;Exosomal proteins of other body fluids (saliva and urine)</t>
  </si>
  <si>
    <t>MNTIPERER-------------LNHCHYHDPHGVYGWHDN-----TIRTRQIGATSISVELLDGTVIAMEHAGEGYFTADVSGHER-CDYRFQINW-GEHSTTLADPYAFLPTLGPMDLHLIGEGRHERLWDVLGANTTSY-TTAMGEVRGTAFAVWAPNAIGVAVVGDFNGWNAAQHPMRSLGSSGVWELFIPEVHAGAIYKFAVQTPEGHRIDKADPLAKRAEVPPQTGSIVVESSYTWGDKKWMSSRERVDHDSSPMSIYEVHLGSWNMGKNYEDLATELVTYVSDMGYTHVEFMPVAEHPFGGSWGYQVSGYYAPTSRWGTPDQLRHLIDAMHQAGIGVIIDWVPAHFPKDDFALARFDGRPVYEHPDWRRGEQRDWGTYVFDFGRPEVRNFLVANALYWAQEFHIDGLRVDAVASMLYLDYSREEGEWAPNQYGGREHLEAVQFLQEMNATVHREHPGVLTIAEESTSWPGVTTPTEAGGLGFSMKWNMGWMNDTLEYFSEDPINRRYHHNEITFSMVYAYSEKFVLPISHDEVVHGKGTLWTRMPGDSWNKAAGVRTLLAYMWAHPGKQLLFQGQDFAQVGEWSEARSLDWGDQDGWEGEYHAGALELVRALNTIYKRTPALFTQDFVPEGFSWNKSDDADRNVLSFLRHSAPDADGNVETLMCVLNLGGQSHTDYTLGVPEAGTWKLLLNTDAAVFGGADNPLG-DAQAVTYPWDGFDASVTLHLPAMSAQWYKLQR--</t>
  </si>
  <si>
    <t>MTPAPEHDPRF-IFEEDLHR--LRHCQHHDPHGFYGWHAV-DGGAVVRTRQLGAERVELLINGRSPVDMDPIGDDIFAIWLDDAQP-QDYRLRITWPNQDPITTADPYYFLPTLGETDIYLISEGRHERLWEVLGSTVRSY-TTVMGEVHGTSFAVWAPNAIGVAVVGDFCGWNSSQYPMRSLGSSGIWELFIPNVGDGDVYKYAIQTREGHRRDKADPLAKLSETPPRTGSVVTTSQYTWQDSEWMERREAINNIDAPISVYEVHLGSWKQGLSYSDLATELVDYVVEQGFTHVEFLPVAEHPFGGSWGYQVSGYFAPSSRWGTPDEFRALVDAFHQHGIGVLVDWVPGHFPKDDFALARFDGEALYEHPDWRRGEQKEWGTYVFDFGRTEVRNFLVANALYWLDEFHIDGLRVDAVASMLYLDYSRKDGEWLPNQYGGRENLDAVQLLQEVNATVHRAFPGVLTVAEESTSWPGVTAPTEEGGLGFSLKWNMGWMNDTLEYFSKDPVHREYHHNEITFSMVYAYSEKFILPFSHDEVVHGKGSLWNRMPGDAWNKAAGLRSLFAYMWAHPGKNLLFQGQEFGQIEEWSEARSIDWYDMEGWEGEYHCGINALVRTLNSLYKELPALYSQDHNYEGFSWAKSDDASHNVLAFHRHG---TDG--SKLLCVFNFGGASHLGYTLGVPEGGQWVRILNTDDGIYEGADNDLPTEVEAVSFPWDGYDFSVQLHVPAMSGQWYCWEPEK</t>
  </si>
  <si>
    <t>-MSSPITDPNHPLYFNDHNRALLTQCRHYDPHSIYGWHPMEEGGAVFRTRQLNAKKVELITPDGGSIELEPLGDDIFGTVLTGENTGGGHKLRITWNNDITTETYDPYSFWPTLGELDMYLIREGRHERLWDVLGSHVCEIETDNFGPVKGTRFAVWAPNAAGVAVIGDFCGWNPNQFPMRSLGSSGIWEIFIPGVGEGEVYKYAIHTQEGWRLDKADPLARRTEVPPRTGSIVTESHYEWQDKEWLEKRDKAQH</t>
  </si>
  <si>
    <t>GC_00000674</t>
  </si>
  <si>
    <t>K08221</t>
  </si>
  <si>
    <t>MFS transporter, ACDE family, multidrug resistance protein</t>
  </si>
  <si>
    <t>Transporters&gt;&gt;&gt;Major facilitator superfamily (MFS)&gt;&gt;&gt;Drug transporters&gt;&gt;&gt;Putative aromatic compound/drug exporter (ACDE) family [TC:2.A.1.32]</t>
  </si>
  <si>
    <t>MTSMVLMTSSSSEQSPSRTPIPREIWVLVSAALVIALGYGMVAPILPQFAKSFDVSIAAASAVVSAFAGMRLLFAPAAGRLLNAFGSRTVYLSGLLMVAVSTGLVATAHDYWHVLVLRAAGGIGSTMFTVSAMGLIVRIAPPSIRGKASSTYATAFLLGNILGPLLGSALAGLGMRVPFIIYGIALLIATALVWIMLDPAV-IRDVEQHGAS-AMRLREAWGRTCYRAALVGAFYNGWANYGVRVAIIPLYVATF--HSAALTGMILASFAAGNAVALQGAGRLADTLGRKPLALTGIVTNATFAAVLGLSQHTAVLIGVSVLAGAGAGILAPAQQATVADVIGQERSGGGVLATFQMVQDLGTISGPLIIGMVAEAFGFRWAFALCAAIGLVAVAAWAPAEE----PLGLGQSR-----------------------------------------------------------------------------------------------PQ------------PA----------</t>
  </si>
  <si>
    <t>-MTNPNAARDVTETAPPP-KIPREIWVLVAAAFIIAAGFGLVSPIIPQFARSFDVSTTAASAVVSVFAASRLLFAPASGKLIDLIGSRKVYITGLLTVAVTTGAVAFAQEYWHILAFRAIGGIGSTMFTVSAAGLIVRIAPPSIRGRASSTYATAFLLGSVIGPVAGSGLAVLGMRPPFLIYGVSLILASAVVWKLLRPEV-IHDLESHDESTPMLASEAVKNPAYRSALISGFANGWVNFGVRVSTVPLFAAML</t>
  </si>
  <si>
    <t>K03574</t>
  </si>
  <si>
    <t>8-oxo-dGTP diphosphatase [EC:3.6.1.55]</t>
  </si>
  <si>
    <t>ko01000|ko03400|ko03400</t>
  </si>
  <si>
    <t>Enzymes&gt;&gt;&gt;3. Hydrolases&gt;&gt;&gt;3.6  Acting on acid anhydrides&gt;&gt;&gt;3.6.1  In phosphorus-containing anhydrides&gt;&gt;&gt;3.6.1.55  8-oxo-dGTP diphosphatase|DNA repair and recombination proteins&gt;&gt;&gt;Eukaryotic type&gt;&gt;&gt;Other factors with a suspected DNA repair function&gt;&gt;&gt;Modulation of nucleotide pools|DNA repair and recombination proteins&gt;&gt;&gt;Prokaryotic type&gt;&gt;&gt;Other factors with a suspected DNA repair function&gt;&gt;&gt;Modulation of nucleotide pools</t>
  </si>
  <si>
    <t>------MTTNSDSTARPAERIPREIWILVIAAFIIALGYGFISPILPQLATSFGVGAVAAGAVISAFSFTRLVFAPAGGKLVDKLGARWVYITGLLIVAVTTGLIAAAQEYWHLVLLRGLAGFGSTMFTVSAMGLIVRLAPPTIRGRCSGAYASGFLFGSVFGPALGSVLSVLGFRWPFLIYGLFLALASLVVWLSMPKHIGSRVAQSQDTRLELGVLEALRHPTYRAIIVTSFANGWVNFGVRVAVVPLFVEAT</t>
  </si>
  <si>
    <t>------MTTNSDPTARPAERIPREIWILVIAAFIIALGYGFISPILPQLATSFGVGAVAAGAVISAFSFTRLVFAPAGGKLVDKLGARWVYITGLLIVAVTTGLIAAAQEYWHLVLLRGLAGFGSTMFTVSAMGLIVRLAPPTIRGRCSGAYASGFLFGSVFGPALGSLLSVLGFRWPFLIYGLFLALASLVVWLSMPKHIGSRVAQSQDTRLELGVMEALRHPTYRAIIVTSFANGWVNFGVRVAVVPLFVEAT</t>
  </si>
  <si>
    <t>GC_00000675</t>
  </si>
  <si>
    <t>PF01784.24</t>
  </si>
  <si>
    <t>Duf34/NIF3 (NGG1p interacting factor 3)</t>
  </si>
  <si>
    <t>H|S</t>
  </si>
  <si>
    <t>Coenzyme transport and metabolism|Function unknown</t>
  </si>
  <si>
    <t>K22391</t>
  </si>
  <si>
    <t>GTP cyclohydrolase I [EC:3.5.4.16]</t>
  </si>
  <si>
    <t>COG0327|COG3323</t>
  </si>
  <si>
    <t>Putative GTP cyclohydrolase 1 type 2, NIF3 family (NIF3) (PDB:3SY1) (PUBMED:24435797;26385509)|PII-like insert in the uncharacterized protein YqfO, YbgI/NIF3 family (YqfO) (PDB:2GX8) (PUBMED:17187687;29625546;31118925)</t>
  </si>
  <si>
    <t>M00126|M00988</t>
  </si>
  <si>
    <t>Tetrahydrofolate biosynthesis, GTP =&gt; THF|PreQ1 biosynthesis, GTP =&gt; 7-Aminomethyl-7-deazaguanine</t>
  </si>
  <si>
    <t>MNSNNTAHAGNTAPTTTASTASTTSTATVADVIAVMEQAYPPELAESWDKVGLICGDPDAPVRRVGFALDCTNAVAQAAVDADIDMLITHHPLLLRGVHSVATNTPKGATVTTLIKGDVALFAAHTNADSARPGVSDQLAEILGITPGQPISPNKNN--------------PEL----------------------------------------------------------------------------------------------GLGRIGTLDTPMPLAEFVQRVADRLPTTEWGVRAAGDPDATITTVAVASGAGDSFLDTIIELSDTTPIDAYLTSDLRHHPVDEYLRAGGPSIIDTAHWASESPWLTQAQQLIHDTLG-LECHMIDIRTDPWNLAAKQATK-----</t>
  </si>
  <si>
    <t>-------------------------MTTVADIRAIVEEAYPPHLAESWDKVGLICGDPADRVHKVVFALDCTQEVAERAVEAGAQMLVVHHPLLLFGTHTVAADTPKGRIIHTLIRHGVALMAAHTNADSARPGVNDRLAELLGVTPERPLEPKNTSTVDKWGVMVPLDHIDEVKAAVFAAGAGAIGDYRECAFEWSGQGQFRPVDGANPTLGQVGSVFTGTETRVEFVAPTGRRHAIMVALREAHPYEEVAFDV</t>
  </si>
  <si>
    <t>-------------------------MTTVADAIAVLDRAYPPHLAESWDKVGLICGDPAGPADTILLALDCTQEVADAAVAAGADMLVVHHPLLLRGVTSVAANTPKGKIIHTLIRNGVALFAAHTNADSARPGVNDQLAHLVGITPGRPIKPIRRG-LDKWGVQVPVDQAPALKSALFAAGAGNIGEYSECAFAWEGAGQFRPSTSAQPAIGNRDELTKVTELRIEFVAPSRLRDAIMGALRTAHPYEEPAFDV</t>
  </si>
  <si>
    <t>-------------------------MTTVADAIAVLDRAYPPHLAESWDKVGLICGDPADPADTILLALDCTQEVADAAVAAGADMLVVHHPLLLRGVTSVAANTPKGKIIHTLIRNGVALFAAHTNADSARPGVNDQLAYLVGVTPGRPIKPIRRG-LDKWGVQVPVDQAPALKSALFAAGAGNIGEYSECAFAWEGAGQFRPSTSAQPAIGNRNELTKVTELRIEFVAPSRLRETIMGALRTAHPYEEPAFDV</t>
  </si>
  <si>
    <t>GC_00000676</t>
  </si>
  <si>
    <t>H|H</t>
  </si>
  <si>
    <t>Coenzyme transport and metabolism|Coenzyme transport and metabolism</t>
  </si>
  <si>
    <t>K13540</t>
  </si>
  <si>
    <t>precorrin-2 C20-methyltransferase / precorrin-3B C17-methyltransferase [EC:2.1.1.130 2.1.1.131]</t>
  </si>
  <si>
    <t>COG1010|COG2243</t>
  </si>
  <si>
    <t>Precorrin-3B methylase (CobJ) (PDB:2ZVB)|Precorrin-2 methylase (CobF) (PDB:2QBU)</t>
  </si>
  <si>
    <t>Cobalamine/B12 biosynthesis|Cobalamine/B12 biosynthesis</t>
  </si>
  <si>
    <t>KEGG Orthology (KO)&gt;&gt;&gt;09100 Metabolism&gt;&gt;&gt;09108 Metabolism of cofactors and vitamins&gt;&gt;&gt;00860 Porphyrin metabolism [PATH:ko00860]|Enzymes&gt;&gt;&gt;2. Transferases&gt;&gt;&gt;2.1  Transferring one-carbon groups&gt;&gt;&gt;2.1.1  Methyltransferases&gt;&gt;&gt;2.1.1.130  precorrin-2 C20-methyltransferase|Enzymes&gt;&gt;&gt;2. Transferases&gt;&gt;&gt;2.1  Transferring one-carbon groups&gt;&gt;&gt;2.1.1  Methyltransferases&gt;&gt;&gt;2.1.1.151  cobalt-factor II C20-methyltransferase</t>
  </si>
  <si>
    <t>MTHSAHTPAGSAASRTAPFGSDDAAWDLPGTLIGVSVGPGDPELLTLKAVRAIEQADVVVYHSKKGRPSAAAIPAKDLLGAGRQRGQHHVHLEYPVTTGSTDHPGGYAGALAEFYVDAERTIEQFLAEGKTVAVLALGDALLYSSYQHIHRMFEARCNCEVIPGISSIAGATAVVAKPLTEDDETLVVVSGTLEEAELRRRLTNADCAVVMKLGRTFNKVRCALEHAGMLDRAVLVTRVGMDGQSAQPVREVDASTVPYFSVVIVPSVLAQQDKIRASVPKRDVIDSAAETTGEVVVVGLGPGAQRWTTPEVQHELEQATDLVGYSTYINRVPQRPGQRRHLSDNKVEAERAAFALDMAKRGRRVAVVSSGDPGVFAMAAAVLETADDDLWREVPVRIIPGMTAAQAVASRAGAPLGHDFGMISLSNRLKPWEQIEKRIRALAGADMAFAVYNPASKERREHIERLKEIVSEYQGPNTPVIVARAVGSEQEKVTITTLKAFDPTVVDMRTMVIIGASTTRAYDGPQGP------RVYTSRTYGLS</t>
  </si>
  <si>
    <t>----M-----------------------SAQLIGVGVGPGDPELLTLAAVAAIESADVVAYHARPGGSSTARSIAERFF----RDGQIHELLHYPVTTGITDHPGGYAGAMAEFYVEAAARLSAHLDAGRTVAVLALGDPMLYSSYQHLHRILEGRYPTRVIPGVPSVTAAADVLGQPLAEDEEVLTILPGTLPESELVEHLRRTDTAVIMKLGRTFTKVRRALQATGAVERAYVVSRVGMDNQDTVAVADADPE</t>
  </si>
  <si>
    <t>MTQPP-----------------------TGTLIGVGVGPGDPELLTIKAVKAIQTADVIAFHARPGGVSAAKTIATNYL----SDNHELELLEYPVTTGIVDHPGGYAGAMADFYLEATTRLAAHLAAGKTVAVLTLGDPMLYSSYQHLHRVLAEQFPSTIIPGIPSITAAADALGQPLCEEEEILTVLPGTLDQAVLTARLRDTDCAVIMKLGRTFPKVKQALIDAGVANKAYVVVRASMTDETIIPVLAADPETIPYFAVAVVPST--------GGIDATDAIPAGDKPRGEVVVVGLGPGSPQWITPEATMELAHATDIVGYSTYVNRVPHRAGQKRHPSDNKVEAERAAMALDLAKRGRRVAVVSSGDPGVFAMAAAVIETADDDQWRDVPVRIVPGMTAAQAVASRVGAPLGHDFGMISLSDRLKPFEVVENRVRALAGADMAFAVYNPASKERRDQVAILKKIVAEYQAPTTPVIVARAVGSNHEQVTVTTLADFDPSVVDMQTMLIIGASTTRTYQAGVGTDEGGVKRVFTSRRYG--</t>
  </si>
  <si>
    <t>MTQPP-----------------------TGTLIGVGVGPGDPELLTIKAVKAIQTADVIAFHARPGGVSAAKTIATNYL----SDNHELELLEYPVTTGIVDHPGGYAGAMADFYLEATTRLAAHLAAGKTVAVLTLGDPMLYSSYQHLHRVLAEQFPSTIIPGIPSITAAADALGQPLCEEEEILTVLPGTLDQVVLTARLRDTDCAVIMKLGRTFPKVKQALIDAGVADKAYVVVRASMTDETIIPVLAADPETIPYFAVAVVPST--------GGIDATDAIPAGDKPRGEVVVVGLGPGSPQWITPEATMELAHATDIVGYSTYVNRVPHRAGQKRHSSDNKVEAERAAMALDLAKRGRRVAVVSSGDPGVFAMAAAVIETADDDQWRDVPVRIVPGMTAAQAVASRVGAPLGHDFGMISLSDRLKPFEVVENRVRALAGADMAFAVYNPASKERRDQVAILKKIVAEYQAPTTPVIVARAVGSNHEQVTVTTLADFDPSVVDMQTMLIIGASTTRTYQAGVGTDEGGVKRVFTSRRYG--</t>
  </si>
  <si>
    <t>GC_00000677</t>
  </si>
  <si>
    <t>K00930</t>
  </si>
  <si>
    <t>acetylglutamate kinase [EC:2.7.2.8]</t>
  </si>
  <si>
    <t>COG0548</t>
  </si>
  <si>
    <t>N-acetylglutamate kinase (ArgB) (PDB:3S6G)</t>
  </si>
  <si>
    <t>M00028</t>
  </si>
  <si>
    <t>Ornithine biosynthesis, glutamate =&gt; ornithine</t>
  </si>
  <si>
    <t>KEGG Orthology (KO)&gt;&gt;&gt;09100 Metabolism&gt;&gt;&gt;09105 Amino acid metabolism&gt;&gt;&gt;00220 Arginine biosynthesis [PATH:ko00220]|Enzymes&gt;&gt;&gt;2. Transferases&gt;&gt;&gt;2.7  Transferring phosphorus-containing groups&gt;&gt;&gt;2.7.2  Phosphotransferases with a carboxy group as acceptor&gt;&gt;&gt;2.7.2.8  acetylglutamate kinase</t>
  </si>
  <si>
    <t>MTD-----LPEALTPHMRATVLAEALPWLQHLRDKIVVVKYGGNAMVDEDLKAAFAADMVFLRTVGAKPVVVHGGGPQISSMLERVGLKGEFLGGFRVTTPEVMEIVRMVLFGQVNRELVGLINSHGPYAVGTSGEDAGLFTATKRLVEVEGELTDIGLVGDIAHVDATALMDLIDAGRIPVVSTIAPD-NAGQVYNINADTAAGALAAAIGAERLIILTNVEGLYTDWPDKSSLVSELDTAQLASILPSLDSGMIPKMESCLDAVNAGVKGAHVIDGRVAHSVLLELLTSGGIGTMVTPA-------PQGQKDNNNA-----</t>
  </si>
  <si>
    <t>MTNPQQKQLMAALTPEIRANVLVEALPWLQHFRDKIVVVKYGGNAMVDDDLKAAFAADMIFLRTVGAKPVVVHGGGPQISSMLARVGLEGEFLGGFRVTTPEVMEIVRMVLFGKVGRELVGLINSYGPYAVGTSGEDAGLFTATKRLIDVDGELTDIGLVGDIVHVDATPLVDLIEAGRIPVVSTIAPG-EDGEVYNINADTAAASLAVALGAERLLILTNVEGLYADWPDKSSLVSTIRTKDLEALFPKLDTGMIPKMEACLHAVEHGVKAAHVIDGRVAHSVLLELLTSGGIGTMVLPNNYEDDDYPEGPAQGTVFWGGEQ</t>
  </si>
  <si>
    <t>---------MRYMTPQKRAQVLVEALPWLQHLNNKIVVVKYGGNAMIDNELKAAFAADMAFLRTVGVKPVVVHGGGPQITAMLDRLGLEGEFKGGFRVTTPEVMEVVRMVLFGQVGRDLVGLINNHGPYAVGTSGEDAGLFQAEKRLVEVDGKLTDIGLVGEIVNVDASSLMDIIDAGRIPVVSTIAPGFDDDEVYNINADTAAGALAVALGAERLLILTDVEGLYANWPDKTSLISQTSVSELAELLPQLDTGM</t>
  </si>
  <si>
    <t>---------MRYMTPQKRAQVLVEALPWLQHLNNKIVVVKYGGNAMIDNELKAAFAADMAFLRTVGVKPVVVHGGGPQITAMLDRLGLEGEFKGGFRVTTPEVMEVVRMVLFGQVGRDLVGLINNHGPYAVGTSGEDAGLFQAEKRLVEVDGKLTDIGLVGEIVNVDASSLMDIIDAGRIPVVSTIAPGFDDGEVYNINADTAAGALAVALGAERLLILTDVEGLYANWPDRTSLISQTSVSELAELLPQLDTGM</t>
  </si>
  <si>
    <t>GC_00000678</t>
  </si>
  <si>
    <t>MAKPQANQGILPVKISLTEGDYFTLWAPTYRQHNEEWQAFLGHGEHIYFFNSPAEVLAFIRSGQPHDLDSHPSWNDFAQRPANWVTPTAGDTYDLIGVPQMLADRPSHNAVKCVARCFRITQSLASVLSLLPIQSTFSSHSVLANVQRGSDHYAGENGLSEWSAVGRVVATNWDSIIDSLDEHVYRPDDLIDDAAVKDAEQAIAEADAQVER----EKEEKEKAIADIDPYDASVWGASGIDPIKIAIEGRTLYTLRTYVGGRPVFLGHYGQIYTFNNRKAMTRWLTEHGEHDLAAVSTWQDVMDAINGGTVDVIVDPLNVYTFTGLAEDINNGPNNVDTQQLGRAYELIADAADWARDDAVSSVLVANPQTQEYLAYMLGST--SGYVPSAPYTAEVEGWRQLENGLVARFSKF</t>
  </si>
  <si>
    <t>GC_00000679</t>
  </si>
  <si>
    <t>PF01728.25</t>
  </si>
  <si>
    <t>FtsJ-like methyltransferase</t>
  </si>
  <si>
    <t>K06442</t>
  </si>
  <si>
    <t>23S rRNA (cytidine1920-2'-O)/16S rRNA (cytidine1409-2'-O)-methyltransferase [EC:2.1.1.226 2.1.1.227]</t>
  </si>
  <si>
    <t>COG1189</t>
  </si>
  <si>
    <t>Predicted rRNA methylase YqxC, contains S4 and FtsJ domains (YqxC) (PDB:3OPN)</t>
  </si>
  <si>
    <t>ko01000|ko01000|ko03009|ko03009</t>
  </si>
  <si>
    <t>Enzymes&gt;&gt;&gt;2. Transferases&gt;&gt;&gt;2.1  Transferring one-carbon groups&gt;&gt;&gt;2.1.1  Methyltransferases&gt;&gt;&gt;2.1.1.226  23S rRNA (cytidine1920-2'-O)-methyltransferase|Enzymes&gt;&gt;&gt;2. Transferases&gt;&gt;&gt;2.1  Transferring one-carbon groups&gt;&gt;&gt;2.1.1  Methyltransferases&gt;&gt;&gt;2.1.1.227  16S rRNA (cytidine1409-2'-O)-methyltransferase|Ribosome biogenesis&gt;&gt;&gt;Prokaryotic type&gt;&gt;&gt;rRNA modification factors&gt;&gt;&gt;16S rRNA modification factors|Ribosome biogenesis&gt;&gt;&gt;Prokaryotic type&gt;&gt;&gt;rRNA modification factors&gt;&gt;&gt;23S rRNA modification factors</t>
  </si>
  <si>
    <t>MVARRRLDAELVRRKMARSRDHAVEMIRGGRVFVGGMRAVKPATVVDGEESIRVIEGESDDWASRGAHKLLGAVEAFEPFGLSIEGRRVLDAGASTGGFTDVLLRRGAREVVAVDVGYGQLVWRLQNDDRVLVLDRTNIRHLTVDMTEGPCDMMVGDLSFISLKLTLPAIAHCLTEGADLLPMVKPQFEVGKDRLGAGGVVRSAQLREDVTVEVAEFAATLGLSMQAVVASPLPGPSGNVEYFLWLKKDGGASAVSAEDMRHMIHRAVEEGPQ</t>
  </si>
  <si>
    <t>MVARRRLDAELVRRKMARSREHAVEMIRGGRVLVGGMRAVKPATVVDAEESIRVIEGESDDWASRGAHKLLGAVEAFEPFGLSIEGRRVLDAGASTGGFTDVLLRRGAREVVAVDVGYGQLVWRLQNDDRVLVLDRTNIRHLTVDMTGGPCDMMVGDLSFISLKLTLPAIAHCLTEGADLLPMVKPQFEAGKDRLGAGGVVRSAQLREDVTVEVAEFAATLGLSMQAVVASPLPGPSGNVEYFLWLKKDGGASAASAEDMRHMIHRAVEEGPQ</t>
  </si>
  <si>
    <t>MSDRRRLDAELVRRKIARSREQAVELIRGGQVLVQGMPAIKPATQVSSGVSIQVLGGAVDDWASRGAHKLLGALEAFEPAGLSVVGKKVLDAGASTGGFTDVLLRRGAREVVAVDVSYGQLVWRLQNDDRVRVVDRTNIRYVTADQCGGLCDVMVGDLSFISLTLVLPAIVSCVVDGGDVVPMVKPQFEVGKDRLGSGGVVRSPQLRAEVTTDVAVSAQELGLSLRGVVASPLPGPKGNVEYFLWLVKDGGVAKLPRGEVAAMVDRAVREGPE</t>
  </si>
  <si>
    <t>GC_00000680</t>
  </si>
  <si>
    <t>K01000</t>
  </si>
  <si>
    <t>phospho-N-acetylmuramoyl-pentapeptide-transferase [EC:2.7.8.13]</t>
  </si>
  <si>
    <t>KEGG Orthology (KO)&gt;&gt;&gt;09100 Metabolism&gt;&gt;&gt;09107 Glycan biosynthesis and metabolism&gt;&gt;&gt;00550 Peptidoglycan biosynthesis [PATH:ko00550]|Enzymes&gt;&gt;&gt;2. Transferases&gt;&gt;&gt;2.7  Transferring phosphorus-containing groups&gt;&gt;&gt;2.7.8  Transferases for other substituted phosphate groups&gt;&gt;&gt;2.7.8.13  phospho-N-acetylmuramoyl-pentapeptide-transferase|Peptidoglycan biosynthesis and degradation proteins&gt;&gt;&gt;Precursor biosynthesis&gt;&gt;&gt;Glycosyltransferase</t>
  </si>
  <si>
    <t>MTQIIISGALSFLVAIFFTPVLIRRFSAEGLGQEIREEGPKSHLRKRGTPTMGGIAILTGIVFAYVVTNLYSMIRGTGGFTASGLLVLGLTVGLGALGFADDYIKLVKVRNLGLNKKAKLIGQLAVSLGFGVALLQFPDEHGLTPGSEKLSFVRDIGTFTLAVGPKIIGLLLFLLFIYIVVSAWSNAVNLTDGLDGLAAGSTAMVLGTYSIVTFWQFRNSCSVAAVPGCYSVRDPLDLAVLTAAGLGACLGFLWWNAAPAKIFMGDTGSLALGGLVAGISIASRTELLMVVVGALFVIEAASVAIQVVVFRTKGTRFFRMAPFHHHFENGGWAETMVVIRFWLITAMACMIGIALFYTDWLTAAGV--</t>
  </si>
  <si>
    <t>MTQIIISGAISFLVAIFLTPLLIRRFSAEGLGQEIREDGPRSHLRKRGTPTMGGIAILAGIIVAYVATNIVGTINGKGGFTVSGILVLGLTLALGGLGFADDYIKLAQSRNLGLNKKAKLIGQAAVALVFGFLVLQFKDEYKLTPGSTHLSYIRDIPTVDISLGAGVFGFILFMLFIYILISAWSNAVNLTDGLDGLAAGSTAMVMGAYTTITFWQFRNSCEVNVEPGCYSVRDPLDLAILAAAGLGGCLGFLWWNAAPAKIFMGDTGSLALGGLVAGISVASRTELLMIIIAALFVIEAASVVIQVFVFRTRGTRFFRMAPFHHHFENGGWAETTVVVRFWLISAMACITGMALFYSEWLLTTGV--</t>
  </si>
  <si>
    <t>MTQMIIAGAIGLLVSIFITPWLIRKFSAVGIGQEIREEGPKSHLRKRGTPTMGGIAILIGITVAYVTVDVYGEIANVGGFTVSGLLVLGLTLSLGGLGFADDYIKLVKHRNLGLNKKAKLIGQFVIALAFGIMIRLFPNEVGLTPGSTHLSFLRDLDTVDLAFGGGIFGMVFFLLFMYLLISAWSNAVNLTDGLDGLASGATAFVMGAYAALTFWQFRNSCAGTPQPGCYNVRDPLDLAVLAAAGLGACIGFLWWNAAPAKIFMGDTGSLALGGLVAGLSVASRTELLMVIVGALFVVEALSVVIQVIGFRTRGIRIFRMAPFHHHFENGGWAETTVVVRFWLIAAMASLAGAAMFYGEWLNLGGIKP</t>
  </si>
  <si>
    <t>MTQMIIAGAIGLLVSIFITPWLIRKFSAVGIGQEIREEGPKSHLRKRGTPTMGGIAILIGITVAYVTVDVYGEIANVGGFTVSGLLVLGLTLSLGGLGFVDDYIKLVKHRNLGLNKKAKLIGQFVIALAFGIMIRLFPNEVGLTPGSTHLSFLRDLDTVDLAFGGGIFGMVFFLLFMYLLISAWSNAVNLTDGLDGLASGATAFVMGAYAALTFWQFRNSCAGTPQPGCYNVRDPLDLAVLAAAGLGACIGFLWWNAAPAKIFMGDTGSLALGGLVAGLSVASRTELLMVIVGALFVVEALSVVIQVIGFRTRGIRIFRMAPFHHHFENGGWAETTVVVRFWLIAAMASLAGAAMFYGEWLNLGGIKP</t>
  </si>
  <si>
    <t>GC_00000681</t>
  </si>
  <si>
    <t>PF01208.23</t>
  </si>
  <si>
    <t>Uroporphyrinogen decarboxylase (URO-D)</t>
  </si>
  <si>
    <t>K01599</t>
  </si>
  <si>
    <t>uroporphyrinogen decarboxylase [EC:4.1.1.37]</t>
  </si>
  <si>
    <t>COG0407</t>
  </si>
  <si>
    <t>Uroporphyrinogen-III decarboxylase HemE (HemE) (PDB:2DG5)</t>
  </si>
  <si>
    <t>M00868|M00121|M00926</t>
  </si>
  <si>
    <t>Heme biosynthesis, animals and fungi, glycine =&gt; heme|Heme biosynthesis, plants and bacteria, glutamate =&gt; heme|Heme biosynthesis, bacteria, glutamyl-tRNA =&gt; coproporphyrin III =&gt; heme</t>
  </si>
  <si>
    <t>KEGG Orthology (KO)&gt;&gt;&gt;09100 Metabolism&gt;&gt;&gt;09108 Metabolism of cofactors and vitamins&gt;&gt;&gt;00860 Porphyrin metabolism [PATH:ko00860]|Enzymes&gt;&gt;&gt;4. Lyases&gt;&gt;&gt;4.1  Carbon-carbon lyases&gt;&gt;&gt;4.1.1  Carboxy-lyases&gt;&gt;&gt;4.1.1.37  uroporphyrinogen decarboxylase</t>
  </si>
  <si>
    <t>--------------------------------------------------------MLDSCFMPELLAEITMQPVRRHDVDAAILFSDIVVPLKAAGIDVDIVPGRGPVMAAPIRTRADIDALPILDTNVEEVAQGIALINEELTPTQALIGFVGAPFTLASYLIEGGPSKNHERTKALMHDSPDDWHALMERLVPTITTFLRTQLDAGIDAMQLFDSWVGFLPQADYRTHVLPYSQRILASVRDAGYSIPRIHF</t>
  </si>
  <si>
    <t>MAGAENTIMGLMSRTLTNAPLIDAAQGRTPTRTPVWFMRQAGRSLPEYREVREGIPMLDSCFMPELLAEITMQPVRRHDVDAAILFSDIVVPLKAAGVDVDIVPGRGPVVAQPIRSLRDAAALPILENDVDEVATGIGLITEELTPVQALIGFAGAPFTLASYLVEGGPSKNHDVTKAMMHSDPDAWHTLMRRLVPTIVRFLTTQINAGIDALQLFDSWAGFLTERDYRAHVLPYSTEIFAEVA----RVPRIHFGVGTGELLGVMSEAGSEVMGVDWRVPLDQAAQRM---VEPKVLQGNLDPAMLFAGRDAIAREVAVIKHQARVAIQEGHARQHIFNLGHGVLPTTDPGVITEAVSIIHEEN----</t>
  </si>
  <si>
    <t>GC_00000682</t>
  </si>
  <si>
    <t>K00954</t>
  </si>
  <si>
    <t>pantetheine-phosphate adenylyltransferase [EC:2.7.7.3]</t>
  </si>
  <si>
    <t>COG0669</t>
  </si>
  <si>
    <t>Phosphopantetheine adenylyltransferase (CoaD) (PDB:3F3M)</t>
  </si>
  <si>
    <t>KEGG Orthology (KO)&gt;&gt;&gt;09100 Metabolism&gt;&gt;&gt;09108 Metabolism of cofactors and vitamins&gt;&gt;&gt;00770 Pantothenate and CoA biosynthesis [PATH:ko00770]|Enzymes&gt;&gt;&gt;2. Transferases&gt;&gt;&gt;2.7  Transferring phosphorus-containing groups&gt;&gt;&gt;2.7.7  Nucleotidyltransferases&gt;&gt;&gt;2.7.7.3  pantetheine-phosphate adenylyltransferase</t>
  </si>
  <si>
    <t>--MRVVCPGSFDPVTMGHLDVFERAARQFERVTVLVTHNPNKQ-GMFTVEERMQLIEQAAADLDNVDVDSWSGLLVDYTTNHGVSVLVKGLRSGLDYEYELPMAQMNHRMTGLDTFFLLTDPKYGYISSTLSKEVARYGGDTSGILPPNVVEALNKKLA-</t>
  </si>
  <si>
    <t>--MRVVCPGSFDPVTMGHIDIIERSARQFDQVTVLVTHNPNKT-GLFSVDERVSLIEQATAHLTNVDVDTWSGLLVDYTTQHGITAMVKGLRSSLDYEYELPMAQMNQHLSKVDTFFLLTDPRYAYISSTLCKEVARYGGDVQGLLPDVVAQAIRAKF--</t>
  </si>
  <si>
    <t>--MRVVCPGSFDPVTMGHIDIIERSARQFDQVTVLVTHNPNKT-GLFSVDERVSLIEQATAHLTNVDVDTWSGLLVDYTTQHGITAMVKGLRSSLDYEYELPMAQMNQHLSKVDTFFLLTDPRYAYISSTLCKEVARYGGDVQGLLPDVVAQAIRAKL--</t>
  </si>
  <si>
    <t>MVHRAVCPGSFDPITMGHVDIFRRAAQQFDEMVVLVTGNPNKPSGLFSISERVELAEKAVADLPNVTVDWWGGLLVDYTTKHDIGVIVKGLRSALDYEYEVPMAQMNRSLSGVDTMFFMTNPKYGHVSSTLCKEVIKYGGDIHDVLPPDVEEAIQKKLSG</t>
  </si>
  <si>
    <t>GC_00000683</t>
  </si>
  <si>
    <t>PF01649.23</t>
  </si>
  <si>
    <t>Ribosomal protein S20</t>
  </si>
  <si>
    <t>K02968</t>
  </si>
  <si>
    <t>small subunit ribosomal protein S20</t>
  </si>
  <si>
    <t>COG0268</t>
  </si>
  <si>
    <t>Ribosomal protein S20 (RpsT) (PDB:4V4H)</t>
  </si>
  <si>
    <t>MANIKSQMKRIKTNEKARMRNKAVRSELHTATRKLRALVEAGDKAAATEQLRVVSRKLDKAVSKGVLHRNNAANKKSRLAKAVNKLG</t>
  </si>
  <si>
    <t>MANIKSQIKRIRTNEERRLRNKSVRSAVRTEIRKLREAVDAGDKAAAEAQLRVASRALDKAVSKGVFHRNNAANKKSNMASAVNKMG</t>
  </si>
  <si>
    <t>MANIKSQKKRVLTNEKRRQRNQAIRSAVRTEIRKFREAVASGDKAAAEAQLRVASRAMDKAVTKGVFHRNNGANKKSKMANAFNKMS</t>
  </si>
  <si>
    <t>GC_00000684</t>
  </si>
  <si>
    <t>PF01434.24</t>
  </si>
  <si>
    <t>Peptidase family M41</t>
  </si>
  <si>
    <t>K03798</t>
  </si>
  <si>
    <t>cell division protease FtsH [EC:3.4.24.-]</t>
  </si>
  <si>
    <t>COG0465</t>
  </si>
  <si>
    <t>ATP-dependent Zn proteases (HflB) (PDB:1LV7)</t>
  </si>
  <si>
    <t>ko01002|ko03110</t>
  </si>
  <si>
    <t>Peptidases and inhibitors&gt;&gt;&gt;Metallo peptidases&gt;&gt;&gt;Family M41: FtsH endopeptidase family|Chaperones and folding catalysts&gt;&gt;&gt;Other chaperones and cochaperones&gt;&gt;&gt;AAA proteases</t>
  </si>
  <si>
    <t>MDNKKLLRISAIAAIVLMSLYVFTVFSDTSRGYRPVDTSVAMKQLDDKNVKEARIADREQRVLLKLKDPISVDEKDGIEQVVAEYPARVTPDVFSKVEASGAEKYTTKVSRDSFLGSMLQMLLPMLILFGLITFMITRMQGGGMGMFGIGGSRAKELTKDMPTNTFDDVAGADEAVDELQEIKDFLQDPSRYEALGAKIPRGVLLYGPPGTGKTLLARAVAGEAGVPFFSISGSDFVEMFVGVGASRVRDLFKQAKENSPCIIFVDEIDAVGRQRGSGMGGGHDEREQTLNQLLVEMDGFGDREGVILIAATNRPDILDQALLRPGRFDRQIPVTNPDLKGREQILEVHAKGKPFAKDADLKALAKRTAGMSGADLANVLNEAALLTARVGGNVITGDALEEATDRVIGGPRRSSKIISEKEKKVTAYHEGGHTIAAWAMKDIERVYKVTILARGKTGGHAMTAQEDDKGMYNRNELFARIVFAMGGRSAEEVVFGEPTTGASNDIEQATKIARAMITEYGMSPQMGTVKYGEEQGDPFSGRGGGGTLEYSPEVANQIDEQVRYLVGKAHEVAYNILKDRREYLDKLATKLLEKETLRRPDLEALFEDMPKEERIEVFPGESDYFPSQ-GLEPVKTPTELAIERGEEPPKPFNIIEASRAARARRQAELE---RQQKMGMFPDNP--------GAAAQPAQ-------PEQS-EQHDSQQPASPRQYGGTPP--PAGWTVPGWPGGG---------KQQDSGDYRQHPGWSNYGTPGTDGQS---------------------------------------------------------------------------------GLPAQAQQAQQPAEEI--------GFHTGIPE-----------AQQSSAAPVEQEEYGFALPAHEKPDHPEVVADEPVSDKPETDAEGHDTAT---------DAEIEEQPAADEHKGFPWDTPAPKHLKNPDSPERED</t>
  </si>
  <si>
    <t>MDNKKILRFGTIAAVVLIVLFGITVLIDDTRGFRKVDTSVAMAQLNDNNVKEVQIDDREQRLRLTLKNGINVDKRDGVTEIIAEYPARSAPVIFDKVQASNPEKYTTKVNRENFFTSMLGMLLPMLILFGLIMFFFNRMQGGGMGMFGFGGSRAKELTKDMPTNTFADVAGADEAVDELHEIKDFLQDPSRYEALGAKIPRGVLLYGPPGTGKTLLARAVAGEAGVPFYSISGSDFVEMFVGVGASRVRDLFKQAKENSPCIIFVDEIDAVGRQRGSGMGGGHDEREQTLNQLLVEMDGFGDRQGVILMAATNRPDILDPALLRPGRFDRQIPVTNPDLKGREQILQVHAKGKPFADDADLKSLAKRTAGMSGADLENVLNEAALLTARIGGNVITADALEEATDRVVGGPRRSSKIISEHEKKVTAYHESGHTLAAWAMKDIERVYKVTILARGRTGGHAMTAAEDDKGMYNRAELFARLVFSMGGRAAEELVFGQPTTGASNDIEQATKIARAMITEYGMSPELGVVKYGEEQGDPFVGRGAGNQMDYSPAVAATIDEQTRYLMNKAHEEAYNILRDNRDVLDKLAEKLLEKETLRRPDLEVLFEGMPQRERVEVFPNEATYFPAQIGREPVKTPTELAIERGEEPPKRFSLLEASKAARARREAE------RAAQGLMPLPPVDAATRRDGTSNGPGNYNNGAGGPGSG-GSRGPQHTGGQPTYGGTPP--PANWTVPGWDSQS---------PQSPQDTPQGAPQGAQPSQPSDGGRH---------------------------------------------------------------------------------AQPEPQPRGQHPGMNSY-------GP--GAPDTYGDQPTQNSHAAKNPPSSAPTEIIGFRLPDNEQPEYPE---------RPEHGSG--DSSR---------DQK-------DDHA----------------------</t>
  </si>
  <si>
    <t>MDNKKILRFGTIAAVVLIVLFGITVLIDDTRGFRKVDTSVAMAQLNDNNVKEVQIDDREQRLRLTLKNGINVDKRDGVTEIIAEYPARSAPVIFDKVQASNPEKYTTKVNRENFFTSMLGMLLPMLILFGLIMFFFNRMQGGGMGMFGFGGSRAKELTKDMPTNTFADVAGADEAVDELHEIKDFLQDPSRYEALGAKIPRGVLLYGPPGTGKTLLARAVAGEAGVPFYSISGSDFVEMFVGVGASRVRDLFKQAKENSPCIIFVDEIDAVGRQRGSGMGGGHDEREQTLNQLLVEMDGFGDRQGVILMAATNRPDILDPALLRPGRFDRQIPVTNPDLKGREQILQVHAKGKPFADDADLKSLAKRTAGMSGADLENVLNEAALLTARIGGNVITADALEEATDRVVGGPRRSSKIISEHEKKVTAYHESGHTLAAWAMKDIERVYKVTILARGRTGGHAMTAAEDDKGMYNRAELFARLVFSMGGRAAEELVFGQPTTGASNDIEQATKIARAMITEYGMSPELGVVKYGEEQGDPFVGRGAGNQMDYSPAVAAIIDEQTQYLMNKAHEEAYNILRDNRDVLDKLAEKLLEKETLRRPDLEVLFEGMPQRERVEVFPNEATYFPAQIGREPVKTPTELAIERGEEPPKRFSLLEASKAARARREAE------RAAQGLMPLPPVDAATRRDGTSNGPGNHNNGAGGPGSG-GSRGPQHTGGQPTYGGTPP--PADWTVPGWDSQS---------PQSPQDTPEGAPQGAQPSQPSDGGRH---------------------------------------------------------------------------------AQPEPQPRGQHPGMNSY-------GP--GVPDTYGDQPTQSSHAAKNPPSSAPTEIIGFRLPDNEQPEYPE---------RPEYGSG--DSSR---------DQK-------DDHA----------------------</t>
  </si>
  <si>
    <t>MKNKKIIQIGAITAIALISLYLISLLSSTTRGFVNVETSVAMTQLKKNNVTEANIDDREQRLRLKLKQGIEHDGKQNVTEIMTQYPARTSPDIFKKVEASKTDKFTTNVTQDSILVQMLSYILPMLIVFGLILWFFSRMQGGGMGMFGFGGNRAKELTKDMPTNTFADVAGADEAVDELQEIKDFLQDPSRYEALGAKIPRGVLLYGPPGTGKTLLARAVAGEAGVPFYSISGSDFVEMFVGVGASRVRDLFKQARENSPCIIFVDEIDAVGRQRGSGMGGGHDEREQTLNQLLVEMDGFGDREGVILMAATNRPDILDQALLRPGRFDRQIPVTNPDLKGREAILKVHAEGKPFAKDVDLAALARRTAGMSGADLANVLNEAALLTARIGGNVITADALEEATDRVIGGPRRSSKVISEKEKKVTAYHEGGHTLAAWALKNIERVYKVTILARGRTGGHAMTAQEDDKGMYNRDELYARLVFAMGGRAAEELVFGEPTTGASADIEMATKIAKSMLVEYGMSPSLGMVKYGDEQGDPFMGRGGQGQLEYSQDTAALIDREMKFLLDKAHSDAYEILSEYRDYLDKLAEKLLEKETLRRPDLEALFDGITPREVGEVFPGEDYRFPRQVGREPVKTPTELAIERGEEPPKPFSLLEASKAARAKRAAELEAMKRKEEAGLAGAGA--------GAGAGIGAGVNAPNGFGANFNSGGPGGPGGPN--GGSPQGGPNGLNGPGSGPQGRGAGPQPQQPQQSQQQQQPQPQVPQNHNGQQGGSHSAGAEVGSGAGNNQKQKTSLSRSVLGASARRLIERPNSDRSDRGTRGDRGGRSDGLGGSLGGAHDKSQQQSVSQNTAGMPQGPASQSPQGEKPGERRYAGSPPPAGW--TVPGDRANNPYANS-AQRHSAPVPPEEEIGFRLPENERTEHPW------RDEEPKTDSSSQSQSQSQSQHFRSWDKQMRDNQATDIFDRFPNDDDKSEGKHR--------</t>
  </si>
  <si>
    <t>MKNKKIIQIGAITAIALISLYLISLLSSTTRGFVNVETSVAMTQLKKNNVTEANIDDREQRLRLKLKQGIEHDGKQNVTEIMTQYPARTSPDIFKKVEASKTDKFTTNVTQDSILVQMLSYILPMLIVFGLILWFFSRMQGGGMGMFGFGGNRAKELTKDMPTNTFADVAGADEAVDELQEIKDFLQDPSRYEALGAKIPRGVLLYGPPGTGKTLLARAVAGEAGVPFYSISGSDFVEMFVGVGASRVRDLFKQARENSPCIIFVDEIDAVGRQRGSGMGGGHDEREQTLNQLLVEMDGFGDREGVILMAATNRPDILDQALLRPGRFDRQIPVTNPDLKGREAILKVHAEGKPFAKDVDLAALARRTAGMSGADLANVLNEAALLTARIGGNVITADALEEATDRVIGGPRRSSKVISEKEKKVTAYHEGGHTLAAWALKNIERVYKVTILARGRTGGHAMTAQEDDKGMYNRDELYARLVFAMGGRAAEELVFGEPTTGASADIEMATKIAKSMLVEYGMSPSLGMVKYGDEQGDPFMGRGGQGQLEYSQDTAALIDREMKFLLDKAHSDAYEILSEYRDYLDKLAEKLLEKETLRRPDLEALFDGITPREVGEVFPGEDYRFPRQVGREPVKTPTELAIERGEEPPKPFSLLEASKAARAKRAAELEAMKRKEEAGLAGAGA--------GAGAGVGAGVNAPNGFGANFNSGGPGGPGGPN--GGSPQGGPNGLNGPGSGPQGRGAGPQPQQPQQSQQQQQPQPQVPQNHNGQQGGSHSAGAEVGSGAGNNQKQKTSLSRSVLGASARRLIERPNSDRSDRGTRGDRGGRSDGLGGSLGGAHDKSQQQSVSQNAAGMPQGPASQSPQGEKPGERRYAGSPPPAGW--TVPGDRANNPYANS-AQRHSAPVPPEEEIGFRLPENERTEHPW------RDEEPKTDSSSQSQSQSQSQHFRSWDKQMRDNQATDIFDRFPNDDDKSEGKHR--------</t>
  </si>
  <si>
    <t>GC_00000685</t>
  </si>
  <si>
    <t>PF03966.22</t>
  </si>
  <si>
    <t>Trm112p-like protein</t>
  </si>
  <si>
    <t>K09791</t>
  </si>
  <si>
    <t>COG2835</t>
  </si>
  <si>
    <t>RNA methyltransferase activator Trm112/YbaR (Trm112) (PDB:2KPI) (PUBMED:27986851;30010922)</t>
  </si>
  <si>
    <t>MTIDQKLLDVLACPQDKGPLSYDEAHQVLVNDRLGIAYRIDDGIPVMLADEAITWPPTA--------</t>
  </si>
  <si>
    <t>MSIDPTLLEVLACPQDKGPLEYLSEEQVLYNPRLGVAYRIDNGIPVMLIDEAMPWPAEHATQTERDD</t>
  </si>
  <si>
    <t>MSIDPTLLEVLACPQDKGPLEYLSEEQVLYNPRLGVAYRIDNGIPVMLIDEAMAWPEEHATQTERDD</t>
  </si>
  <si>
    <t>MSLDPQLLEVLACPQDHGPLTYLEDKNVLFNPRLKIAYPIVDDIPVMLIDEATPYSPED--------</t>
  </si>
  <si>
    <t>MSLDPQLLEVLACPQDHGPLTYLEDKNVLVNPRLKIAYPIIDDIPVMLIDEATPYSLED--------</t>
  </si>
  <si>
    <t>GC_00000686</t>
  </si>
  <si>
    <t>PF16921.10</t>
  </si>
  <si>
    <t>Tex protein YqgF-like domain</t>
  </si>
  <si>
    <t>K06959</t>
  </si>
  <si>
    <t>protein Tex</t>
  </si>
  <si>
    <t>COG2183</t>
  </si>
  <si>
    <t>Transcriptional accessory protein Tex/SPT6 (Tex) (PDB:2OCE)</t>
  </si>
  <si>
    <t>--------MIQARLAQELAITPEQVKATVALLDEGNTVPFIARYRKEITGGLDDTQLRQLEERLGYMRELEERKKTILAAIEEQGKLTDQLAALINECDTKARLEDLYLPFKKRRKTKADAAREAGLEPLLEQLLAN-EGEPDNLAANYLNESISDTKSALDGARAILIDRFATNADLVGAVREHMYTHGSMRAEPSRDVNTSNPGDAAKFKDYFEFSEPFRTLPSHRILALLRGEKEGALALTLDAGPDDIYEQ</t>
  </si>
  <si>
    <t>PF22706.1</t>
  </si>
  <si>
    <t>Tex central region-like</t>
  </si>
  <si>
    <t>----MLVQMINSTIARELGVSESQVAATVALLDEGNTVPFIARYRKEITGGLDDSQLRQLEERLAYLRELEERKQSILAAIEEQGKLTDDLRALILACETKARLEDLYLPFKKRRKTKADVAREAGIEALVDALIDVPSTDATSAATAYVCEGFEDEKKVLEGARAILVDRCATNADLVGEVREEMLSRGHMTAS----VAEGKEQEGAKFKDYFEFSESCESLPSHRILALLRGEKEGVLNLHLDAGDDAFYEG</t>
  </si>
  <si>
    <t>----MLVQMINSTIARELGVSESQVAATVALLDEGNTVPFIARYRKEVTGGLDDSQLRQLEERLAYLRELEERKQSILAAIEEQGKLTDDLRALILACETKARLEDLYLPFKKRRKTKADVAREAGIEALVDALIDVPSTDATSAATAYVCEGFEDEKKVLEGARAILVDRCATNADLVGEVREEMLSRGHMTAS----VAEGKEQEGAKFKDYFEFSESCESLPSHRILALLRGEKEGVLNLHLDAGDDAFYEG</t>
  </si>
  <si>
    <t>MSSASTAPHIAAHIATELHVPEANVLAALGLIAEGNTVPFIARYRKEATGGLDDTQLRTIEERATYLTELADRKQTILAAIEEQGKLTDDLKALILACDTKARLEDLYLPYKKRRKTKADAAREAGLEPLLDRLIAEPHGDPVAAAEAYVCAGFEDPKKALDGARAILIDRFALDANLVGELRETMYSTGSMESQ----VVQGKEQDGAKFTDYFSFAEPFTSLPSHRILALFRGEKEGVLHLNLNAGDDDHYCGIIANQFELDTSSSWLADAIRWGWKTKLYISSGLDIRMRLKETAEEAALEVFARNLKDVLLAAPAGQRATLGLDPGYRNGVKCATVDGTGKVLSTLIVHPHQPQNQWSHAVQALAHECATHHVDLIAIGNGTASRETEKLAGEVANLIAKAGGTRPTPVVVSESGASVYSASEIAAAEFPDMDVSLRGAVSIARRLQDPLAELVKIDPKAIGVGQYQHDVNQTALAKTLDAVVEDAVNAVGVDLNTASVPLLARVAGITNTIAHNIVTYRDTNGVFANRAGLKHVPRLGPKAFEQCAGFLRITGGSDPLDASAVHPEAYPVVRRIAESTGLGVADLIGNTAVLSRLKPTDFADDTFGIPTVTDILAELDKPGRDPRPEFTTATFKEGVEKLSDLTPGMILEGTVTNVAAFGAFVDVGVHHDGLVHVSALANKYVSDPHDIVRSGQVVKVKVMDVDVERHRIGLSMRLDDEPGQPATRKRGGDQRGSGHGRRRTDRQGDRRGDRRGGNKAAPQGAMADALKKAGFGR</t>
  </si>
  <si>
    <t>MSSASTAPHIAAHIATELHVPEANVLAALGLIAEGNTVPFIARYRKEATGGLDDTQLRTIEERATYLTELADRKQTILAAIEEQGKLTDDLKALILACDTKARLEDLYLPYKKRRKTKADAAREAGLEPLLDRLIAEPHGDPVAAAEAYVCDGFEDPKKALDGARAILIDRFALDANLVGELRETMYSTGSMESQ----VVQGKEQDGAKFTDYFSFVEPFTSLPSHRILALFRGEKEGVLHLNLNAGDDDHYCGIIANQFELDTSSSWLADAIRWGWKTKLYISSGLDIRMRLKETAEEAALEVFARNLKDVLLAAPAGQRATLGLDPGYRNGVKCATVDGTGKVLSTLIVYPHQPQNQWSHAVQALAHECATHHVDLIAIGNGTASRETEKLAGEVANLIAKAGGTRPTPVVVSESGASVYSASEIAAAEFPDMDVSLRGAVSIARRLQDPLAELVKIDPKAIGVGQYQHDVNQTALAKTLDAVVEDAVNAVGVDLNTASVPLLARVAGITNTIAHNIVTYRDTNGVFANRAGLKHVPRLGPKAFEQCAGFLRITGGSDPLDASAVHPEAYPVVRRIAESTGLGVADLIGNTAVLSRLKPTDFADDTFGIPTVTDILAELDKPGRDPRPEFTTATFKEGVEKLSDLTPGMILEGTVTNVAAFGAFVDVGVHHDGLVHVSALANKYVSDPHDIVRSGQVVKVKVMDVDVERHRIGLSMRLDDEPGQPATRKRSGDQRGSGHGRRRTDRQGDRRGDRRGGNKAAPQGAMADALKKAGFGR</t>
  </si>
  <si>
    <t>GC_00000687</t>
  </si>
  <si>
    <t>PF13829.11</t>
  </si>
  <si>
    <t>Domain of unknown function (DUF4191)</t>
  </si>
  <si>
    <t>MSDA--------KKEARAAKRAQRKQQYRQFWQAFNMQRKQDKALLPIMLATVVGVALAFFLIGLLWGGEWFMLIIGIMFGILAALWVFTRRMERNVYAQAEGQPGAAAWAVENLRSGPGMVWRSTPNVEVTHQLDAVHRVVGLCGVVLISEGDPHRVKSLLAKQRKRISKIVGNTPVYEIHTGTGEGEVPLAKLQRQLVKLPRNIKKNEVHSLSTRLESIDRTMGAGAALPKGPIPKG--ARVSGMNRRMKRAQKH-----</t>
  </si>
  <si>
    <t>MADAQKQAAKAAEKEARSAKWAQRKQAFAQLWQAFNIQRKQDKQLIPLMLLALIGIAAAFFLIGLIFHMQWLLLPIGIAFGIVAALFIFTRRLERSVYERASDQPGAAGWALENMRNGVGMVWKTKTAVAATTHMDAVHRVVGLCGIVLVGEGEPRRVRPLIAQQKKRLDRISGGVPIYEMMAGEGEDQVPISKLQRELMKLPRNMKKDDVYALAARLESADKLSSQTANMPKGPMPKN--VSTGGMNRRARRAAERNKRG-</t>
  </si>
  <si>
    <t>MADAQKQAAKAAEKEARSAKWAQRKQAFAQLWQAFNIQRKQDKQLIPLMLLALIGIAAAFFLIGLIFHMQWLLLPIGIAFGIVAALFIFTRRLERSVYERASDQPGAAGWALENMRNGVGMVWKTKTAVAATTHMDAVHRVVGLCGIVLVGEGEPRRVRPLIAQQKKRLDRISGGVPIYEMMAGEGEDQVPISKLQRELMKLPRNMKKDDVYALAARLESADKLSSQAANMPKGPMPKN--VSTGGMNRRARRAAERNKRG-</t>
  </si>
  <si>
    <t>MAED-----KNAKKEERAAKRARRKENWVQLWQAFQMQRKQDSKLVPLMLLAVIGTGVLFFLIGLLWRGQWLMLVTGLLLGVAIALWIFSRRLQNNVYNQAAGQPGAAGWALENMREGVGMAWRTKSAVAYNTQMDIVHRVIGVGGIVLVGEGEPHRLRPLFQQQQKRLRRLAPGVPINTIIVGDGEDQVPLRKLQSRLMRMERKYKKEDVHEIAARIEAMDAADQNRQGLPRGPLPKGAQAKMSGMNRRARRHAERQNKGK</t>
  </si>
  <si>
    <t>MAED-----KNAKKEERAAKRARRKENWAQLWQAFQMQRKQDSKLVPLMLLAVIGTGVLFFLIGLLWRGQWLMLVTGLLLGVAIALWIFSRRLQNNVYNQAAGQPGAAGWALENMREGVGMAWRTKSAVAYNTQMDIVHRVIGVGGIVLVGEGEPHRLRPLFQQQQKRLRRLAPGVPINTIIVGDGEDQVPLRKLQSRLMRMERKYKKEDVHEIAARIEAMDAADQNRQGLPRGPLPKGAQAKMSGMNRRARRHAERQNKGK</t>
  </si>
  <si>
    <t>GC_00000688</t>
  </si>
  <si>
    <t>PF05697.18</t>
  </si>
  <si>
    <t>Bacterial trigger factor protein (TF)</t>
  </si>
  <si>
    <t>K03545</t>
  </si>
  <si>
    <t>trigger factor</t>
  </si>
  <si>
    <t>COG0544</t>
  </si>
  <si>
    <t>FKBP-type peptidyl-prolyl cis-trans isomerase (trigger factor) (Tig) (PDB:5OWI)</t>
  </si>
  <si>
    <t>MKSSVEKLSDTRVKVSVEIPIDELKPEIDQAYAALAQQVQIPGFRRGKAPRQLIEARFGRGAVMEQVVNDTLSNRYGQLLDEHELKVVSQPEIDLTKVDPNSGVDFNFEVDVRPEFEVPSFDDVAVEVPAIEVSDKDVEEALNSLRQRFGSLKEVERAAAKDDFVVMDLAAT-VDGEPLEEASAEGMSHQVGQDELIEGLDEAVVGLSAGESATFTTTVPGGEHEGKEAEVTVTVTTVKERELPEADDEFAQTASEFDTIEELRNDLRDNVAEQKKSEQAVAIRDAVLDEVLGKTEFPLPETMVDEQVQAQVQQLLAQVGGNEELLNTLLEAQGTSREKFEADARESAEKAVRTQLFLDSLSEIEKPEVSQQDLSDHLMFTAQTYGMDPNQLAAQLQQSGQIANLFAEVRRGKALAAAICKVAVTDSKGEKVDPAEYFGEDTAEEESAE----------</t>
  </si>
  <si>
    <t>MKSSVDQLNDTRVKVTVEVPFSELGPELDKAYQALAQQINIPGFRRGKAPRQLIDARVGRGPVLEQVVNDMLPTRYGQAIEELDIKALGQPNIDITKLEDGDVIEFVAEVDVRPEFDLPDFSDISVEVPALGSTEERIDHELEHLRERFGSLKTVDREAGDEDFITLNLSAT-VDGEEIEDAKVEDMSYRVGSGDLIEGLDEAVKGLKADESATFTSKLVFGEYADKDAEVTVTVTAVKERELPELDDDFAQMASEFDTVEELRADLASGAEESAKAEQAASIREEVLKVALEKTQFPLPASVVDEQVNAQVQQLMGQLGGDEALFEKLLEAQGTSREEFNEQTRTSAEEAVRTQLFLDVLAEKEEPEVTQDELNDHIVFTARRYGVEPQQFLMQLQQSGQLLNLVSDVRRGKALANAICSVTVKDSDGNDVDPKIYFGDEEETAQDSDES--------</t>
  </si>
  <si>
    <t>MKSSVDQLNDTRVKVTVEVPFSELGPELDKAYQALAQQINIPGFRRGKAPRQLIDARVGRGPVLEQVVNDMLPTRYGQAIEELDIKALGQPNIDITKLEDGDVIEFVAEVDVRPEFDLPDFSEISVEVPALGSTEERIDHELEHLRERFGSLKTVDREAGDEDFITLNLSAT-VDGEEIEDAKVEDMSYRVGSGDLIEGLDEAVKGLKADESATFTSKLVFGEYADKDAEVTVTVTAVKERELPELDDDFAQMASEFDTVEELRADLASGAEESAKAEQAASIREEVLKVALEKTQFPLPASVVDEQVNAQVQQLMGQLGGDEALFEKLLEAQGTSREEFNEQTRTSAEEAVRTQLFLDVLAEKEEPEVTQDELNDHIVFTARRYGVEPQQFLMQLQQSGQLLNLVSDVRRGKALANAICSVTVKDSDGNDVDPKIYFGDEEETAQDSDES--------</t>
  </si>
  <si>
    <t>MKSSVEKLNDTRVKMTVEVPFEELTNEIDQAYKTIAASVNIPGFRKGKAPRKLIDARFGRGPVLEQVVNDALPSRYEAAIAENQLVPLGQPKLDLTKIEDGDVIEFTAEVDVRPDITLPDFNEVSVQVPALGDEEEAVNKELDRLRERFAELKDVDEPVAEDNFVTIDIKAVDAEGNPVDDLAADALSYQVGSKDLMDGLDDAIIGKNKGDEVTFT---------ENDNTITVTINAVKHRTLPEVDEDFVQLASEFDNVDELRADLREQAVAYLKNEQAGAIRDAVLDKVLAETPFEVPAGMVDEQAHAALHQIFGELAHDEDFMNRVLEAQNSSMEQFMAESKQHAEKDLRVQIFLDVLAEQEKPEVSQQELTEHIVFTARSYNMSPEEFMSQVTKGNQLGALFADITRGKALAAALCRVNVTDETGATIDPKEYFAPEAAEEAEAAESTEDATDNA</t>
  </si>
  <si>
    <t>MKSSVEKLNDTRVKMTVEVPFEELTNEIDQAYKTIAASVNIPGFRKGKAPRKLIDARFGRGPVLEQVVNDALPSRYEAAIAENQLVPLGQPKLDLTKIEDGDVIEFTAEVDVRPDITLPDFTEVSVQVPALGDEEEAVNKELDRLRERFAELTDVDEPVAEDNFVTIDIKAVDAEGNPVDDLAADALSYQVGSKDLMDGLDDAIIGKNKGDEVTFT---------ENDNTITVTINAVKHRTLPEVDEDFVQLASEFDTVDELRADLREQAVAYLKNEQAGAIRDAVLDKVLADTPFEVPAGMVDEQAHAALHQIFGELAHDEDFMNRVLEAQNSSMEQFMAESKQHAEKDLRVQIFLDVLAEQEKPEVSQQELTEHIVFTARSYNMSPEEFMSQVTKGNQLGALFANITRGKALAAALCRVNVTDETGATIDPKEYFAPEAAEEAEAAESTEDATDNA</t>
  </si>
  <si>
    <t>GC_00000689</t>
  </si>
  <si>
    <t>PF00731.26</t>
  </si>
  <si>
    <t>AIR carboxylase</t>
  </si>
  <si>
    <t>K01588</t>
  </si>
  <si>
    <t>5-(carboxyamino)imidazole ribonucleotide mutase [EC:5.4.99.18]</t>
  </si>
  <si>
    <t>COG0041</t>
  </si>
  <si>
    <t>Phosphoribosylcarboxyaminoimidazole (NCAIR) mutase (PurE) (PDB:1D7A)</t>
  </si>
  <si>
    <t>KEGG Orthology (KO)&gt;&gt;&gt;09100 Metabolism&gt;&gt;&gt;09104 Nucleotide metabolism&gt;&gt;&gt;00230 Purine metabolism [PATH:ko00230]|Enzymes&gt;&gt;&gt;5. Isomerases&gt;&gt;&gt;5.4  Intramolecular transferases&gt;&gt;&gt;5.4.99  Transferring other groups&gt;&gt;&gt;5.4.99.18  5-(carboxyamino)imidazole ribonucleotide mutase</t>
  </si>
  <si>
    <t>MNNPTPLVGLIMGSDSDWDTVQPAAEVLAEFGIPFEVGVVSAHRTPARMLAYAEQAADRGLKAIIACAGGAAHLPGMVAAATPLPVIGIPRALKDLDGMDSLLSIVQMPAGVPVATVSIGGAKNAGLLAARILAAANPELLQQMKNYQQKMNDEVLRKDEALRRRLTGGQD</t>
  </si>
  <si>
    <t>---MNPLVGLIMGSDSDWPTVEPAAEVLADFGVPFEVGVVSAHRTPERMLTYAKEAHTRGLKCIIACAGGAAHLPGMVAAATPLPVIGIPRALKDLDGMDSLLSIVQMPGGVPVATVSIGGAKNAGLLAVRILSAGIPELSDKMVAYQEGMRDEVLAKDEALRKKLMG---</t>
  </si>
  <si>
    <t>---MNPLVGLIMGSDSDWPTVEPAAEVLADFGVPFEVGVVSAHRTPERMLTYAKEAHTRGLKCVIACAGGAAHLPGMVAAATPLPVIGIPRALKDLDGMDSLLSIVQMPGGVPVATVSIGGAKNAGLLAVRILSAGIPELLDKMVAYQEGMRDEVLAKDEALRRKLMG---</t>
  </si>
  <si>
    <t>---MTALVGLIMGSDSDWVTVEPTVEVLAEFGIPFEVGVVSAHRTPEEMLAYARAAQGNGLKCIIACAGGAAHLPGMVAAATPLPVIGIPRALDTLDGMDSLLSIVQMPAGVPVATVSIGGAKNAGLLAVRILGAGDPALLDQMAQYQEKMRLEVEEKDRRLRRLLLGE--</t>
  </si>
  <si>
    <t>---MTALVGLIMGSDSDWVTVEPTVEVLAEFGIPFEVGVVSAHRTPEKMLAYARAAQGNGLKCIIACAGGAAHLPGMVAAATPLPVIGIPRALDTLDGMDSLLSIVQMPAGVPVATVSIGGAKNAGLLAVRILGAGDPALLDQMAQYQEKMRLEVEEKDRRLRRLLLGE--</t>
  </si>
  <si>
    <t>GC_00000690</t>
  </si>
  <si>
    <t>PF02361.21</t>
  </si>
  <si>
    <t>Cobalt transport protein</t>
  </si>
  <si>
    <t>K16785</t>
  </si>
  <si>
    <t>energy-coupling factor transport system permease protein</t>
  </si>
  <si>
    <t>COG0619</t>
  </si>
  <si>
    <t>ECF-type transporter transmembrane protein EcfT (EcfT) (PDB:4HZU)</t>
  </si>
  <si>
    <t>KEGG Orthology (KO)&gt;&gt;&gt;09130 Environmental Information Processing&gt;&gt;&gt;09131 Membrane transport&gt;&gt;&gt;02010 ABC transporters [PATH:ko02010]|Transporters&gt;&gt;&gt;ABC transporters, prokaryotic type&gt;&gt;&gt;Metallic cation, iron-siderophore and vitamin B12 transporters&gt;&gt;&gt;Energy-coupling factor transporter</t>
  </si>
  <si>
    <t>-MNVLEKVNPVVRLIAVMLLTTPLLFSVDVVSAAVCLAFVVALAPLCGVGLVQLAKTAWPVFAVLPVAGLSMALYGKRGGHEYFSFFYAHVTDNSLMLAAAIMVRMLAVSLPVIIVARTLDSTRLGDGLAQVLHFPARFVIGAVSAVRMVGLFRRDWQALGRARRSRGLANDGRIFRAFTMVFALLVLALRRADKLATAMDARGFGAPGKRTWARPSTVGMSDVAAVCVAIAVAAISIAVAVVTGSYDFLNLGSS</t>
  </si>
  <si>
    <t>MTSFMDAINPVTRIGAVLLLATPLLVSVDVVSAAVALTATILLAPLAGMPWLQLIRRSWPILAAAPISGLSMALYGRPEGTEYASFLFAHITDNSLQLALAIMVRVLAIGLPVVVLTARVDPTDFGDGLAQVLRFPARFVIGAVAGVRLLGLFRRDWASLGRARRARGVADTSRIRHAATMSFSLLVVALRRGTKLATAMEARGFGAPGLRTWGRASTVGWRDAVVLMIAAFISTAAIAVAVYAGTFRFLGA-----</t>
  </si>
  <si>
    <t>MTSFMDAINPVTRIGAVLLLATPLLVSVDVVSAAVALTATILLAPLAGMPWLQLIRRSWPILAAAPISGLSMALYGRPEGTEYASFLFAHITDNSLQLALAIMVRVLAIGLPVVVLTARVDPTDFGDGLAQVLRLPARFVIGAVAGVRLLGLFRRDWASLGRARRARGVADTSRIRHAATMSFSLLVVALRRGTKLATAMEARGFGAPGLRTWGRASTVGWRDAVVLMIAALISTAAIAVAVYAGTFRFLGA-----</t>
  </si>
  <si>
    <t>MSMNLQAVNPVARVIALLVFTTPLLVSIDLVSALVSLACTIIGAPILGVGYRVLFRRGLPIVLIAPVSGISMALYGRPEGREYFSVAFAHVTDNSLGLAAAIMVRVLAVGLPVIVLLGTIDPTELGDGLSQILKFPPRFVIGTVAGARLVSLFQRDWEAMRRARRVRGLDGHNRVRRALTMTFGLLVLALRRGTKLATAMEARGFGKDVSRTWARESRWGRAETLLVVACAVAGAMSIIIAVWCGSFRFLGA-----</t>
  </si>
  <si>
    <t>MSMNLQAVNPVARVIALLVFTTPLLVSIDLVSALVSLACTIIGAPILGVSYRVLFRRGLPIVLIAPVSGISMALYGRPEGREYFSVAFAHVTDNSLGLAAAIMVRVLAVGLPVIVLLGTIDPTELGDGLSQILKFPPRFVIGTVAGARLVSLFQRDWEAMRRARRVRGLDGHNRVRRALTMTFGLLVLALRRGTKLATAMEARGFGKDVSRTWARESRWGRAETLLVVACAVAGAMSIIIAVWCGSFRFLGA-----</t>
  </si>
  <si>
    <t>GC_00000691</t>
  </si>
  <si>
    <t>K00712</t>
  </si>
  <si>
    <t>poly(glycerol-phosphate) alpha-glucosyltransferase [EC:2.4.1.52]</t>
  </si>
  <si>
    <t>KEGG Orthology (KO)&gt;&gt;&gt;09100 Metabolism&gt;&gt;&gt;09107 Glycan biosynthesis and metabolism&gt;&gt;&gt;00552 Teichoic acid biosynthesis [PATH:ko00552]|Enzymes&gt;&gt;&gt;2. Transferases&gt;&gt;&gt;2.4  Glycosyltransferases&gt;&gt;&gt;2.4.1  Hexosyltransferases&gt;&gt;&gt;2.4.1.52  poly(glycerol-phosphate) alpha-glucosyltransferase|Glycosyltransferases&gt;&gt;&gt;Polysaccharide&gt;&gt;&gt;Bacterial polysaccharide (excluding LPS)</t>
  </si>
  <si>
    <t>----MLCWRDSTHPQGGGSERYLERVAEYLAAHGHQVTYRSAKHPGALRKQQRNGVTYIRAGGKFGVYFRAQLAIVLQR-----YRDVDVVIDTQNGVPFFARLFTTKPVILLTHHCHREQWPVAGPVLSRIGWWLESVVSPRVHRSTTIVTVSQPSADELAQLGVPS--ITIIRNGIDPVPAAPQG----VEKSHPHRLVTLCRLVPHKDIEHALDVLAAI---DSTHLDIIGSGWWEDELKAYAVDLGVDHRV</t>
  </si>
  <si>
    <t>MKILLLCWRDTHHPQGGGSERYLERVGDFLVSQGHEVFFHTAMYPGAPRRSVQRGVAYTRAGGKLTVYPLAWLRLVGARLGVGRFRDVDVVVDTQNGIPFFAGPLSGKPTVLLTHHCHREQWPVAGPILSRVGWCVERWVAPWLYRRTPYVTVSLPSATELMQLGVDANRIEIIRNGVDPLPDATSENSLLRHDDGRVHLVTLSRLVPHKQIEHAMDVLAAVSATHDVVLDVIGSGWWDAQLRDYAAELGVSDRVEFHGQVSEGMKHALLARATLHVMPSRKEGWGLAVIEAAQHAVPTVGYRSSAGLQDSIIDDHTGILVSDKAELIRATTLLLDDPAYRTRLGTAAQERAREFSWHTTGMQFEQLLASLSEPPRETHQRHGQPQHREEHA</t>
  </si>
  <si>
    <t>MKILLLCWRDTHHPQGGGSERYLERVGDFLVSQGHEVLFHTAMYPGAPRRSVQRGVAYTRAGGKMTVYPLAWLRLVAARLGIGRFRDVDVVVDTQNGIPFFAGPLSGKPTVLLTHHCHREQWPVAGPILSRVGWCVERWVAPWLYRRTPYVTVSLPSATELMQLGVDANRIEIIRNGVDPLPDTTSENSLLRRDDGRVHLVTLSRLVPHKQIEHAMDVLAAVSATHDVVLDVIGSGWWDAQLRDYAAELGVSDRVEFHGQVSEGMKHALLARATLHVMPSRKEGWGLAVIEAAQHAVPTVGYRSSAGLQDSIIDDHTGILVSDKAELIRATTLLLDDPAYRTRLGTAAQERAREFSWHTTGTQFEQLLASLSEPPRETHQRHSEPQHREEHA</t>
  </si>
  <si>
    <t>MKILLLCWRDTTHPQGGGSERYLEHVARYLSDRGHEVIYRTAAHTDCRRKSVRDGITFYRGGGKLGVYPRAAIMMLLGRCGIGSLKDVDVVVDTQNGIPFFGQFFSGKPTVLLTHHCHREQWPVAGKLLASLGWFLESRVSPRVHRNTQVVTVSAPSKQDLISLGFPPDNITIIHNGVDPIPATLPQ----LEDDGRIHIVTLSRLVPHKQIEHAIDAVRGLP--DNVVLDIIGSGWWEDKLRDY---IGADPRITLHGQVTEDYKHALLARAAVHLMPSRKEGWGLAVVEAAQHRVPTVGYASAGGLRDSIDDGVTGLLVSDPIELQSALQRLLIDDAFRAALGSAAQLKAQDYSWEETGRRFADTLEAMGEVPSLGNQMV----------</t>
  </si>
  <si>
    <t>MKILLLCWRDTTHPQGGGSERYLEHVARYLSDRGHEVIYRTAAHTDCRRKSVRDGITFYRGGGKLGVYPRAAIMMLLGRCGIGSLKDVDVVVDTQNGIPFFGQFFSGKPTVLLTHHCHREQWPVAGKLLASLGWFLESRISPRVHRNTQVVTVSAPSKQDLISLGFPPDNITIIHNGVDPIPATLPQ----LEDDGRIHIVTLSRLVPHKQIEHAIDAVRGLP--DNVVLDIIGSGWWEDKLRDY---IGADPRITLHGQVTEDYKHALLARAAVHLMPSRKEGWGLAVVEAAQHRVPTVGYASAGGLRDSIDDGATGLLVSDPIELQAALQRLLIDDAFRAALGSAAQLKAQDYSWEETGRRFADTLEAMGEVPSLGNQMV----------</t>
  </si>
  <si>
    <t>GC_00000692</t>
  </si>
  <si>
    <t>PF01406.26</t>
  </si>
  <si>
    <t>tRNA synthetases class I (C) catalytic domain</t>
  </si>
  <si>
    <t>K15526</t>
  </si>
  <si>
    <t>L-cysteine:1D-myo-inositol 2-amino-2-deoxy-alpha-D-glucopyranoside ligase [EC:6.3.1.13]</t>
  </si>
  <si>
    <t>COG0215</t>
  </si>
  <si>
    <t>Cysteinyl-tRNA synthetase (CysS) (PDB:1LI5)</t>
  </si>
  <si>
    <t>KEGG Orthology (KO)&gt;&gt;&gt;09190 Not Included in Pathway or Brite&gt;&gt;&gt;09191 Unclassified: metabolism&gt;&gt;&gt;99980 Enzymes with EC numbers|Enzymes&gt;&gt;&gt;6. Ligases&gt;&gt;&gt;6.3  Forming carbon-nitrogen bonds&gt;&gt;&gt;6.3.1  Acid-D-ammonia (or amine) ligases (amide synthases)&gt;&gt;&gt;6.3.1.13  L-cysteine:1D-myo-inositol 2-amino-2-deoxy-alpha-D-glucopyranoside ligase</t>
  </si>
  <si>
    <t>MHSWSRPSLPEISPALLSDQQLSLYDSASQTVREVKAFNDDAAGAVAGMYVCGITPYDATHLGHAATYVTFDLVYRMLLAQGVRVEYVQNVTDVDDPLFERAERDGVDWRELGSSQIQVFRDVMEQLSVLPPVAFVGAMESVDEVIDMVQTLLDKGAAYQVEG-EYPDVYAKVDATKQFGYESHYDRPTMEALFAERGGDPDRQGKQDPLDALLWRAARPGEPSWEAPFGAGRPGWHVECSAIAMNRIGSVFSIQGGGSDLMFPHHEFSAAHAEACYGIDRMAGHYVHAGMIGLDGEKMSKSLGNLVFASKLIEQGVDPSAIRLGLYASHYRDDREWSTEILDAAIERLQRWREAFKLPGSVQRDRAMVRGVHATLANDLDTPRVLFLIDQWADARLEQSAYAGDAADAAALSESSEQVAHAIEALLGVRLVP</t>
  </si>
  <si>
    <t>MHSWPQPSVPSVGGTPVA---LQLFDTADAALKPVAVYDGG-----AGMYVCGITPYDSTHLGHAATYLTFDLIHRILLDNGVSVRFVQNITDVDDPLFERAARDGVDWRELGESQINLFRSDMEDLRVIPPHDYVSVTDSVDEVIDMVSALLTIGAAYVVDDPDHPDIYASIDATPQFGYESNYSRDVMEQLFAERGGDPDRPGKRDPLDALIWRAARDGEPAWDAPFGAGRPGWHIECSAIAKNRIGSLFSIQGGGSDLIFPHHEFSAAHFEAAVPAKRMADHYVHAGMIALDGVKMSKSLGNLVFVSRLTAAGHDPAAIRLGVYAGHYRSDRDWSDVVLHDAEERLARWRAAVHISSSEEAAQELVRTVRMHLANDLDTPSALAAVDGWVD------TLSGD-------GDGGEVVTRAIDALLGVKL--</t>
  </si>
  <si>
    <t>MHSWPQPSVPSVGGTPVA---LQLFDTADAALKPVAVYDGG-----AGMYVCGITPYDSTHLGHAATYLTFDLIHRILLDNGVSVRFVQNITDVDDPLFERAARDGVDWRELGESQINLFRSDMEDLRVIPPHDYVSVTDSVDEVIDMVSALLTIGAAYVVDDPDHPDIYASIDATPQFGYESNYSRDVMEQLFAERGGDPDRPGKRDPLDALIWRAARDGEPAWDAPFGAGRPGWHIECSAIAKNRIGSHFSIQGGGSDLIFPHHEFSAAHFEAAVPAKRMADHYVHAGMIALDGVKMSKSLGNLVFVSRLTAAGHDPAAIRLGVYAGHYRSDRDWSDVVLHDAEERLARWRAAVHISSSEEAAEELVRTVRMHLANDLDTPSALAAVDGWVD------TLSGD-------GDGGEVVTRAIDALLGVKL--</t>
  </si>
  <si>
    <t>MHSWPSPHIPTVPGPAVP---LRLYDTADETLKPVRVTHNQ-----AGMYVCGITPYDSTHLGHAATYLAFDLIHRLLIDAGVQVTYVQNITDVDDPLFERATRDGVDWRELGSSQIDLFRSDMADLSVIPPQDYVGAMESVGEVITMVQQLLDAGAAYVVDDPDYPDIYASITATDRFGYESNYPRQRMLELFAERGGDPDRPGKRDPLDALLWRVAREGEPAWDAPFGAGRPGWHVECSAIATNRLGSSFAIQGGGSDLIFPHHEFSAAHAEAALASPRMAEHYVHTGMISLDGVKMSKSLGNLVFVSKLTEAGHDPSAIRLGVYLGHYRSDRDWSDKVLWAAEHRLVYWRMATTLASDEAAARALVQQIRSLLADDLNTPAAIKAIDEWADSCNATAADPGD-----AITPAGSIVATAVDALMGVKIS-</t>
  </si>
  <si>
    <t>MHSWPSPHIPTVPGPAVP---LRLYDTADETLKPVRVTHNQ-----AGMYVCGITPYDSTHLGHAATYLAFDLIHRLLIDAGVQVTYVQNITDVDDPLFERATRDGVDWRELGSSQIDLFRSDMADLSVIPPHDYVGAMESVGEVITMVQQLLDAGAAYVVDDPDYPDIYASITATDRFGYESNYPRQRMLELFAERGGDPDRPGKRDPLDALLWRAAREGEPAWDAPFGAGRPGWHVECSAIATNRLGSSFAIQGGGSDLIFPHHEFSAAHAEAALASPRMAEHYVHTGMISLDGVKMSKSLGNLVFVSKLTEAGHDPSAIRLGVYLGHYRSDRDWSDKVLWAAEHRLVYWRMATTLASDESAARALVQQIRSLLADDLNTPAAIKAIDEWADSCNAPATDPGD-----AITPAGSIVATAVDALMGVKIS-</t>
  </si>
  <si>
    <t>GC_00000693</t>
  </si>
  <si>
    <t>PF00551.24</t>
  </si>
  <si>
    <t>Formyl transferase</t>
  </si>
  <si>
    <t>K11175</t>
  </si>
  <si>
    <t>phosphoribosylglycinamide formyltransferase 1 [EC:2.1.2.2]</t>
  </si>
  <si>
    <t>COG0299</t>
  </si>
  <si>
    <t>Folate-dependent phosphoribosylglycinamide formyltransferase PurN (PurN) (PDB:1C2T) (PUBMED:25013077)</t>
  </si>
  <si>
    <t>KEGG Orthology (KO)&gt;&gt;&gt;09100 Metabolism&gt;&gt;&gt;09104 Nucleotide metabolism&gt;&gt;&gt;00230 Purine metabolism [PATH:ko00230]|KEGG Orthology (KO)&gt;&gt;&gt;09100 Metabolism&gt;&gt;&gt;09108 Metabolism of cofactors and vitamins&gt;&gt;&gt;00670 One carbon pool by folate [PATH:ko00670]|Enzymes&gt;&gt;&gt;2. Transferases&gt;&gt;&gt;2.1  Transferring one-carbon groups&gt;&gt;&gt;2.1.2  Hydroxymethyl-, formyl- and related transferases&gt;&gt;&gt;2.1.2.2  phosphoribosylglycinamide formyltransferase 1</t>
  </si>
  <si>
    <t>MTNNPEPLRVAVLASGSGSLLQAILNAQDNSYVVVGVFADKPCEAIDRARRHTPRPPIVQVVDFSDFGQARRPQWNNLLADSVAASSPDVVVSAGFMRILGEEFLDRFGGRTINTHPALLPKFPGAHAVRDALAAGAKVTGTTVHYVDAGVDTGPVIEQREVPVHPGDDESTLHERIKTVEREMIVDVLRDFRSLGTRARPGG-----</t>
  </si>
  <si>
    <t>-------MRVVILASGTGTLAQAIIDAADKHYTVVGVVADQPCQAIARAEAAGISHTVVEL--GED-----RQEWNRRLAAAVDTHRPDLVVSAGFMRILGPEFLGVFGGKVINTHPALLPSFPGAHAVRDALAHGVKVTGTTVHYVDEGVDTGPIIAQEAVVIQPDDTEDTLHERIKQVERALIVSVLKNERFASV-----------</t>
  </si>
  <si>
    <t>-------MRVVILASGTGTLAQAIIDAADKHYTVVGVVADQLCQAIARAEAAGISHTVVEL--GED-----RQEWNRRLAAAVDTHRPDLVVSAGFMRILGPEFLGVFGGKVINTHPALLPSFPGAHAVRDALAHGVKVTGTTVHYVDEGVDTGPIIAQEAVVIQPDDTEDTLHERIKQVERALIVSVLKNERFASV-----------</t>
  </si>
  <si>
    <t>GC_00000694</t>
  </si>
  <si>
    <t>PF03721.20</t>
  </si>
  <si>
    <t>UDP-glucose/GDP-mannose dehydrogenase family, NAD binding domain</t>
  </si>
  <si>
    <t>K00012</t>
  </si>
  <si>
    <t>UDPglucose 6-dehydrogenase [EC:1.1.1.22]</t>
  </si>
  <si>
    <t>COG1004</t>
  </si>
  <si>
    <t>UDP-glucose 6-dehydrogenase (Ugd) (PDB:1DLI)</t>
  </si>
  <si>
    <t>M00014|M00129</t>
  </si>
  <si>
    <t>Glucuronate pathway (uronate pathway)|Ascorbate biosynthesis, animals, glucose-1P =&gt; ascorbate</t>
  </si>
  <si>
    <t>KEGG Orthology (KO)&gt;&gt;&gt;09100 Metabolism&gt;&gt;&gt;09101 Carbohydrate metabolism&gt;&gt;&gt;00040 Pentose and glucuronate interconversions [PATH:ko00040]|KEGG Orthology (KO)&gt;&gt;&gt;09100 Metabolism&gt;&gt;&gt;09101 Carbohydrate metabolism&gt;&gt;&gt;00053 Ascorbate and aldarate metabolism [PATH:ko00053]|KEGG Orthology (KO)&gt;&gt;&gt;09100 Metabolism&gt;&gt;&gt;09101 Carbohydrate metabolism&gt;&gt;&gt;00520 Amino sugar and nucleotide sugar metabolism [PATH:ko00520]|KEGG Orthology (KO)&gt;&gt;&gt;09100 Metabolism&gt;&gt;&gt;09101 Carbohydrate metabolism&gt;&gt;&gt;00541 Biosynthesis of various nucleotide sugars [PATH:ko00541]|Enzymes&gt;&gt;&gt;1. Oxidoreductases&gt;&gt;&gt;1.1  Acting on the CH-OH group of donors&gt;&gt;&gt;1.1.1  With NAD+ or NADP+ as acceptor&gt;&gt;&gt;1.1.1.22  UDP-glucose 6-dehydrogenase</t>
  </si>
  <si>
    <t>MRMSVIGTGYLGATHAACMAELGHQVMGVDVDAAKIEALSAGRVPFFEPGLQEVLQRNIRAGRLRFSTS-IDDAARFAKVHFLGVGTPQRSRSYAADVRYVDAAVDALSQAAGP---GHVLLGKSTVPVGTAERLQRNSR---VEIAWNPEFLREGYAVRDTISPDRIVLGVRDNPSVDVVGLAR--EIYAAPIAAGTPFLETDLATAELVKVSANAFLATKISFINAVSEICERTGADVMALADAIGYDERIGRKFLGAGLGFGGGCLPKDIRAFMARAGELGANEALTFLLEVDAINLRRRERMVQLVHKACGGSLLGARVTVLGAAFKPNSDDVRDSPALAVAGALSLGGAATTVYDPQAMANAAAVYPTLRYVDSCADAVQGADVVVLATEWQEFIDLDPVEVGERVRSKVILDGRNVLDSAAWQAAGWDYQALGRG---</t>
  </si>
  <si>
    <t>MKISVIGCGYLGAVHAACMASLGHDVVGVDTDATKIAALSAGHSPFYEPGFEDVLRDSLASGRLRFVAAPATDELADVDVHFIAVGTPQSADSGAADLSYVDSAAEAVIAATGTADHNPVVVGKSTVPVGTAQNLADRLEAHGITLVWNPEFLREGFAVADTLHPDRIVYGLSNDPDRAQLGENALDQVYATILAEDVPKIATNYPTAELVKVAANSFLATKISFINAMAELCEATGGNVTKLAEALGYDARIGHRFLRAGVGFGGGCLPKDIRAFVARAEELGVQEAVSFLKEVDSINQRRRDRVVSEVLRSLSGNVDGAHVTVLGAAFKPNSDDIRDSPALEVAQRLHDLGAVVTVTDPKALDAVAKVRPDLPTEADPIRALTGADVVVLVTEWEDFVQLDPAEVAAVVNRPAIIDGRNALNPQRWRDAGWDYSGLGRYNHH</t>
  </si>
  <si>
    <t>MKISVIGCGYLGAVHAACMASLGHDVVGVDTDATKIAALSAGHSPFYEPGFEDVLRDSLASGRLRFVAAPATDELADVDVHFIAVGTPQSADSGAADLSYVDSAVEAVIAATGTADHNPVVVGKSTVPVGTAQNLADRLEAHGITLVWNPEFLREGFAVADTLHPDRIVYGLSNDPDRAQLGENALDQVYATILAEDVPKIATNYPTAELVKVAANSFLATKISFINAMAELCEATGGNVTKLAEALGYDARIGHRFLRAGVGFGGGCLPKDIRAFVARAEELGVQEAVSFLKEVDSINQRRRDRVVSEVLRSLSGNVDGAHVTVLGAAFKPNSDDIRDSPALEVAQRLHDLGAVVTVTDPKALDAVAKVRPDLPTEADPIRALTGADVVVLVTEWEDFVQLDPAEVAAVVNRPAIIDGRNALDPQRWRDAGWDYSGLGRYNHH</t>
  </si>
  <si>
    <t>MKINVIGCGYLGTVHAACLATLGHEVVGVDTDAAKVERLSHGDPGFFEPGLPKLLAQALGSGRLSFATEPTP-----AEVYFLTVGTPQVADGLAADVSFVHAAIDSILPVASL---DAVVVGKSTVPVGTAAGLVDKLG--GRALVWSPEFLREGFAVADTLHPDRLVYGLPDDPATACRAQNALDQVYESMLAADVPRLTMNYATAELVKMAANSFLATKISFMNTMAELCECTGGDVTLLAEALGLDARIGPLFLRAGIGFGGGCLPKDIRAVIARATELGVDDTVSFLHHVDAINQHSRDRVVDRALQLLGDEPEGKKVTVLGASFKPNSDDIRDSPALEVADRLHDQGAEVTVTDPQALFGVHRSFPHLHTESDITAALTGAELVLLLTEWQEFSHLDPQATIDLVERPQLIDGRNALNPRAWRAAGWRYTGMGR----</t>
  </si>
  <si>
    <t>MKINVIGCGYLGTVHAACLATLGHEVVGVDTDAARVQRLSRGEAGFFEPGLPELLAQALGSGRLSFATEPTP-----AEVYFLTVGTPQVADGLAADVSFVHAAIDSILPVASL---DAVVVGKSTVPVGTAAGLVDKLG--GRALVWSPEFLREGFAVADTLHPDRLVYGLPDDPATACRAQNALDQVYESMLAADVPRLTMNYATAELVKMAANSFLATKISFMNTMAELCECTGGDVTLLAEALGLDARIGPLFLRAGIGFGGGCLPKDIRAIIARATELGVDDTVSFLHHVDAINQHSRDRVVDRALQLLGDEPEGKKVTVLGASFKPNSDDIRDSPALEVADRLHDQGAEVTVTDPQALFGVHRSFPHLHTESDITAALTGAELVLLLTEWQEFSHLDPQATIDLVERPQLIDGRNALNPRAWRAAGWRYTGMGR----</t>
  </si>
  <si>
    <t>GC_00000695</t>
  </si>
  <si>
    <t>PF05661.17</t>
  </si>
  <si>
    <t>Protein of unknown function (DUF808)</t>
  </si>
  <si>
    <t>K09781</t>
  </si>
  <si>
    <t>COG2354</t>
  </si>
  <si>
    <t>Membrane protein MutK/YedI, may be involved in DNA repair (MutK) (PUBMED:9922251;10411738;31497001)</t>
  </si>
  <si>
    <t>MAGGLAALLDDVALIAKAASASVDDVAAATAKTSAKAAGVVIDDAAVTPQFVHGVTPARELPIIWRIAKGSLFNKAIIILPIALALNYFAPWALPPLLLIGGLFLSFEGAEKILEAVGLLKHHDDDAADTPIAAQEPASAKEQEKSLVMGAIRTDLILSAEIMIISLAEVAQRSLGIQIAVLLAVALVITAGVYGVVGVLVKLDDIGLRISTRPKASGFGVHLGRVMVRAMPIILEILSKVGTFAMLWVGGHIAIHNLHELGVDGPHHVVEWLLHATHAASVGAASWVVDTLASAAFGLVVGAIITAVVVALKALVSKK----------------</t>
  </si>
  <si>
    <t>MPGGLAALLDDVALIAKTASASIDDVAAAAGKTSAKATGIVVDDAAVTPRFVQGVTPARELPIIWRIAKGSLFNKLVIILPVALLLSWLAPWLLNPILMLGGAYLCFEGAEKVWEKISGHEDHEEAAVDT---------GPDAENKLVRGAVTTDLILSAEIMVISLNEVAAEPLAMRTIVLIIVAIGITALVYGVVGLLVKMDDVGMGLASRDSA--GAQKLGRGMVAAMPRLLNIIAVIGTFAMLWVGGHIIVSGLDQLGWHTPHDIIHHATHAVHHLG-GFAEWLVDTFCSLIVGSIVGALIVGVMHLLPFRKKH-----------------</t>
  </si>
  <si>
    <t>MPGGLAALLDDVALIAKTASASIDDAAAAAGKTSAKATGIVVDDAAVTPRFVQGVTPARELPIIWRIAKGSLFNKLVIILPVALLLSWLAPWLLNPILMLGGAYLCFEGAEKVWEKISGHEDHEEAAVDT---------GPDAENKLVRGAVTTDLILSAEIMVISLNEVAAEPLAMRTIVLIIVAIGITALVYGVVGLLVKMDDVGMGLASRDSA--GAQKLGRGMVAAMPRLLNIIAVIGTFAMLWVGGHIIVSGLDQLGWHTPHDIIHHATHAVHHLG-GFAEWLVDTFCSLIVGSIVGALIVGVMHLLSFRKKH-----------------</t>
  </si>
  <si>
    <t>MPSGLAALLDDVALITKAASASVDDVAAAAARTSAKAAGVVIDDTAVTPRFVAGVTPARELPIIFRIAKGSVVNKIAIILPICLLLNALAPWALTPLLMLGGLYLSFEGAEKVWEFFSGHNEEAEEKA-----------AAKDENTLVRGAITTDLILSAEIMVISLNEVATKSFWMQLVVLIVVAFVVTAMVYGAVAVLVKMDDVGLKLSAGENA--FRKRLGHGLVTAMPKVLHTISIIGMFAMLWVGGHILLVGANELGWHAPYELVHGWAHHVAHLG-GFVEWLVETLCSLVIGLAVGAIVVVVLHFIPRRKAKAPEGVHDAEGKPATSDE</t>
  </si>
  <si>
    <t>MPSGLAALLDDVALIAKAASASVDDVAAAAARTSAKAAGVVIDDTAVTPRFVAGVTPARELPIIFRIAKGSVVNKIAIILPICLLLNALAPWALTPLLMLGGLYLSFEGAEKVWEFFSGHNEDAEEKA-----------AAKDENTLVRGAITTDLILSAEIMVISLNEVATKSFWMQLVVLIVVAFVVTAMVYGAVAVLVKMDDVGLKLSAGENA--FRKRLGHGLVTAMPKVLHTISIIGMFAMLWVGGHILLVGANELGWYAPYELVHGWAHHVAHLG-GFVEWLVETLCSLVIGLAVGTIVVVVLHFTPRRKAKAPEGAHDAEGKPATSDE</t>
  </si>
  <si>
    <t>GC_00000696</t>
  </si>
  <si>
    <t>PF03483.22</t>
  </si>
  <si>
    <t>B3/4 domain</t>
  </si>
  <si>
    <t>J|J</t>
  </si>
  <si>
    <t>Translation, ribosomal structure and biogenesis|Translation, ribosomal structure and biogenesis</t>
  </si>
  <si>
    <t>K01890</t>
  </si>
  <si>
    <t>phenylalanyl-tRNA synthetase beta chain [EC:6.1.1.20]</t>
  </si>
  <si>
    <t>COG0072|COG0073</t>
  </si>
  <si>
    <t>Phenylalanyl-tRNA synthetase beta subunit (PheT) (PDB:3L4G)|tRNA-binding EMAP/Myf domain (EMAP) (PDB:1MKH)</t>
  </si>
  <si>
    <t>MLISRQWVQRLLDRTNPTWT-VTDEELDAGYVRVGFETEGYAPIEETTGPLVIGRIESIEELTGFKKPIRHCMVNVGDANGTGELQSIVCGARNFAEGDLVVVSLPGAVLPGNFAIAARETYGRMSAGMICSAAELGLTDKQTKGIITL-PEGIADPGTDAREIVGLEDTVFDVNITPDRGYALSARGLTREIASAFDL----VYKDPAQDALELFDLQAPEVDGALDRTVNVQPETKARRFGLRAVRGIDPSKESPLWMQRELLLCGQRPVNAATDVTNYVMLLLGQPMHAFDGDKINGDLSVRLAQEGEKLRTLDDVERELHSEDVVICDDSGIQSLAGVMGGSTSEISDTTSAVYFEAANWDPITVARTSRRHKLSSEASRRFERGVDPALIEVALDLACALLLDIAGGSVDRGRLIVGDTPAMPNISMSAQRPGQIAGVDYSDATVVSRLEEVGCAVEASD--GMLSVTPPTWRPDLRMPADLVEEVVRLEGLEDIPSIVPTAPAGRGLSASQRRRRAIGHALAYNGYVEVLPTPFIANDVFDVWGLDADDERRKTVRVQNPLDADYAVLGTTLLPSLLDAIKRNVARGEKDVTLFGIEQVTIARGEGRSPMPSTAQRPSDEEVENLLNSLPLQPLHVATVACGLIDHHGPWGEGRAYTYADAIESAQVVARASDVQLDVVAAEQLPWHPGRCAALKVGDQVVGYAGELHPQVLERAGLPQRTCAMELNISALPFAPSAPAPVLSAFPLLLQDVALVVDEDVPSEKVRRVLEEHAGE--LLEKVELFDVYRSESLGEDKKSLAFALSFRATDRTLTDDECTEAKMAAVEAAQKAVGAQLRA</t>
  </si>
  <si>
    <t>MLVAQNWLSRLLRGVNPSWDGVSAEEMDAAFVRVGFETEGFEPIPETTGPLVIGRVESIEELTGFKKPIRHCMMNVGNANGTGELQSIICGARNFSEGDMVVVALPGCVLPGDFAISARETYGRMSAGMICSAAELGLTPQQNKGIITLDPQLQVEVGADARPVIGLSDTVFDVNITPDRGYALSARGLSREIASALDLDFSDVAENP---QLAGLSVTVPDVSGDL-LSVELRPETKALRFGLRKVSGIDPTVESPWWLQRELMLCGQRPVNAATDVTNYLMLLLGQPMHAFDVDRITGDLVVRCAAEGEKMTTLDDVQRELHAEDVVICDDSGVQSLAGVMGGSTSEISDTTTDVYFEAATWDPITVARTSRRHKLSSEASRRFERGVDPALVEVALDMAASLLVSIAGGTISAERTIVGDVPRRPSILMAASLPGDIAGVEYSRDTVIDRLEEIGCTVEVSSCGAKLEVTPPTWRTDLTMPADLVEEVLRLEGLEDIPSIVPTAPAGRGLTPAQRRRRAIGHALAYNGYAEILPTPFIADDVFDVWNLPADDPRRNVVTVQNPLEASNSSLGTTLLPSMLDAVKRNISRGEPNVALFGVEQVTIAHGHGVSPMPSVANRPSDEQIADLLDSLPVQPLHVATVGTGQWELTGPWGDGRAYSYADAIESAQVVARAAGVDLTLENAEMLPWHPGRCAALKVGETVVGYAGELHPQVLERAGLPARTCAMELDVSALPFDQKLPAPVLSSFPALLQDVALVVDEAVPAESVRAVVEEGAGTSGLLESVELFDVYRSEALGEGKKSLAFSLRFRAPDRTLTDDECSEARLQAVERAGQRFGAELRA</t>
  </si>
  <si>
    <t>MLVAQNWLSRLLRGVNPSWDGVSAEEMDAAFVRVGFETEGFEPIPETTGPLVIGRVESIEELTGFKKPIRHCMVNVGNANGTGELQSIICGARNFSEGDMVVVALPGCVLPGDFSISARETYGRMSAGMICSAAELGLTPQQNKGIITLDPQLQVEVGEDARPVIGLSDTVFDVNITPDRGYALSARGLSREIASALDLDFSDVAENP---QLAGLSVTVPDVSGDL-LSVELRPETKALRFGLRKVSGIDPTVESPWWLQRELMLCGQRPVNAATDVTNYLMLLLGQPMHAFDVDRITGDLVVRCAAEGEKMTTLDDVQRELHAEDVVICDDSGVQSLAGVMGGSTSEISDTTTNVYFEAATWDPITVARTSRRHKLSSEASRRFERGVDPALVEVALDMAASLLVSIAGGTISAERTIVGDVPRRPSILMAASLPGDIAGVEYSRDTVIDRLEEIGCTVEVSSCGAKLEVTPPTWRTDLTMPADLVEEVLRLEGLEDIPSIVPTAPAGRGLTPAQRRRRAIGHALAYNGYAEILPTPFIADDVFDVWNLPADDPRRNVVTVQNPLEASNSSLGTTLLPSMLDAVKRNVSRGEPNVALFGVEQVTIAHGHGVSPMPSVANRPSDEQIADLLDSLPVQPLHVATVGTGQWELTGPWGDGRAYTYADAIESAQVVARAAGVDLTLENAEMLPWHPGRCAALKVGETVVGYAGELHPQVLERAGLPARTCAMELDVSALPFDQKLPAPVLSSFPALLQDVALVVDEAVPAESVRAVVEEGAGTSGLLEGVELFDVYRSEALGDGKKSLAFSLRFRAPDRTLTDDECSEARLQAVERAGQRFGAELRA</t>
  </si>
  <si>
    <t>MLITQSWVQSLL----PGFTGVTPAELDAMYVQVGFETEGYESIPETTGPLVLGRVVAIEELTEFKKPIRYCQVLV----GSDQVQNIICGAQNFSVGDIVVVALPGTVLPGGFEISARQTYGHVSEGMICSAAELGLTTRSS-GILTLDS---GEPGADAREVLGLDDTVFDVNITPDRGYALSARGLSRELASGFGL--SAVYQDP---ALAEFP-QVPRPTSKL-IDVDLRPETKAKRFGLRRVSGIDPKATTPWWLQRELLLSGQQPVNPATDVTNYVMLALGQPMHAFDAEKISGDLVMRLARQGEQLETLDHVVRKLDPEDVVICDDAGIQSLAAVMGGVLSEISADTTEVYFEAATWDPIVTARSSRRHKLSSEASRRFERGVDPALVEVALDMACALLQDIAGGTISTGRTVVGEVPVMPTIRMAVSRPGQIAGVDYAPETVVGRLREVGCKVTEHD--GMLDVVPPTWRPDLTEDADLVEEVLRLEGLADIPAIVPTVSAGKGLTPAQKRRRAIGHALAYGGYVEILPTPFIRQDTFDTWGLAATDERRNAVAVRNPLDADYAIVGTTLLPSMLEAVARNVARGMTNLSLFGQQQVSVVQGAGMSPMLSVAQRPSDAEIAGLLATLPYQPLHVATVGTGLIEFSGPWGEGREYSYADAIESAKLVARAAGVSLTVENAEYLPWHPGRCAALLVDGVVVGHAGELHPQVVERLGLPKRTCAMELNVSALPLTQVLPAPVLSAFPAVKQDLALVVPEDVPAETVRQTIIAGGGD--LLETVELFDVYRSAGLGADVKSLAFALVFRAPDRTLTDEECSVGRLAAAELAAERFGAHMRA</t>
  </si>
  <si>
    <t>MLITQSWVQSLL----PDFAGVTPAELDAMYVQVGFETEGYESIPETTGPLVLGRVVAIEELTEFKKPIRYCQVLV----GPDQVQNIICGAQNFSVGDIVVVALPGTVLPGGFEISARQTYGRVSEGMICSAAELGLTTRSS-GILTLDS---GEPGADAREVLGLDDTVFDVNITPDRGYALSARGLSRELASGFGL--SAVYQDP---ALAEFP-QVPQPTSKL-IGVELRPETKAKRFGLRRVSGIDPKATTPWWLQRELLLSGQQPVNPATDVTNYVMLALGQPMHAFDAEKISGDLVVRLARQGEQLETLDHVVRKLDPEDVVICDDAGIQSLAAVMGGVSSEISADTTEVYFEAATWDPIVTARSSRRHKLSSEASRRFERGVDPALVEVALDMACALLQDIAGGTISTGRTVVGEVPVMPTIRMAVSRPGQIAGVDYAPETVVGRLREVGCKVTEHD--GMLDVVPPTWRPDLTEDADLVEEVLRLEGLADIPAIVPTVSAGKGLTPAQKRRRAIGHALAYGGYVEILPTPFIRQDTFDTWGLAAEDERRNAVAVRNPLDADYAIVGTTLLPSMLEAVARNVARGMTNLSLFGQQQVSVVQGAGMSPMLSVAQRPSDAEIAGLLSTLPYQPLHVATVGTGLIEFSGPWGEGREYSYADAIESAKLVARAAGVSLTVENAEYLPWHPGRCAALLVDGVVVGHAGELHPQVVERLGLPKRTCAMELNVSALPLTQVLPAPVLSAFPAVKQDLALVVPEDVPAETVRQTIIAGGGD--LLETVELFDVYRSAGLGADVKSLAFALVFRAPDRTLTDEECSVGRLAAAELAAKRFGAHMRA</t>
  </si>
  <si>
    <t>GC_00000697</t>
  </si>
  <si>
    <t>PF01131.25</t>
  </si>
  <si>
    <t>DNA topoisomerase</t>
  </si>
  <si>
    <t>L|S</t>
  </si>
  <si>
    <t>Replication, recombination and repair|Function unknown</t>
  </si>
  <si>
    <t>K03168</t>
  </si>
  <si>
    <t>DNA topoisomerase I [EC:5.6.2.1]</t>
  </si>
  <si>
    <t>COG0550|COG1754</t>
  </si>
  <si>
    <t>DNA topoisomerase IA (TopA) (PDB:1CY0)|Uncharacterized C-terminal domain of topoisomerase IA</t>
  </si>
  <si>
    <t>Enzymes&gt;&gt;&gt;5. Isomerases&gt;&gt;&gt;5.6  Isomerases altering macromolecular conformation&gt;&gt;&gt;5.6.2  Enzymes altering nucleic acid conformation&gt;&gt;&gt;5.6.2.1  DNA topoisomerase|DNA replication proteins&gt;&gt;&gt;Prokaryotic type&gt;&gt;&gt;DNA Topoisomerases|DNA repair and recombination proteins&gt;&gt;&gt;Prokaryotic type&gt;&gt;&gt;DSBR (double strand breaks repair)&gt;&gt;&gt;NHEJ (non-homologous end-joining)&gt;&gt;&gt;SHIIR (short-homology-independent illegitimate recombination)&gt;&gt;&gt;Facilitator</t>
  </si>
  <si>
    <t>MAQQQAGTKRLVIVESATKAKKIAPYLGSDYIVEASVGHIRDLPRGAADVPAKYKKEKWARLGVDVEHDFAPLYVVSPDKKKKVADLKAKLKQVDELYLATDPDREGEAIAWHLLEVLKPKVPVRRMVFNEITKPAILAAAENTRELDDNLVDAQETRRILDRLYGYEVSPVLWKKVMPRLSAGRVQSVATRVIVERERERMNFTSAEYWDIVATFDA-----------GGVSTATNPSQFDARLTAVDGSRVAAGRDFGDDGKLTAAATKAGVIIVDKQRAESLANSLEGASATVDSVEEKPYTRRPYPPFMTSTLQQEAGRKLHYTSERTMRIAQRLYENGHITYMRTDSTSLSQSGIDAARAQARELYGPEYLSPQPRQYTRKVKNSQEAHEAIRPAGERFSTPEQLRGVLDAEEYKLYELIWQRTVACQMADAKGMSVKVSIS-----ANECEFSATGRTIVFPGFLRAYVETSRTADGRDVADNAEKRLPLLDEGQKLDVLNLLADEHSTNPPARYTEASLVKKMEDLGIGRPSTYASIIKTIQDRGYVYSRGNALVPSWVAFAVVGLMESSFSSLVDYDFTSSMEDELDEIAAGQENRTEWLNGFYFGNDKASDNMADTIARLGGLKHLVGDNLEHIDAREVNSLRLFDDSEGRPIIVRVGKFGPYLERVVGTDSEGNPEHQRANLPDAMTPDELDLETAEKLFATPQSGRELGRNPANGRMIVAKEGRFGAYVTELVTDEEKAGALKVAEKVVADERAAEDAQRAAEGKKPKNWETKTAAAAKEKRINQVIEETLKPATASLFSSMETATVTLDEALKLLSLPREVGMD--GEEMITAQNGRYGPYLKKGSDSRSLSSEEQIFRITLDEAKKIYAEPKRRGRGATSASALRTLGLNDVSGKPMVIKDGRFGPYVTDGTTNASLRKGDTPETMTDARACELLSERRAKAPA----------------KKTTKRTVKKG-RKTTKNAAKKT----</t>
  </si>
  <si>
    <t>MAAKG--TRRLVIVESATKAKKIAPYLGSDYVVEASVGHIRDLPRGAADVPAKYKKEAWARLGVDVDHGFTALYVVSPDKKKKVADLKAKLKDVDELFLATDPDREGEAIAWHLLEVLKPKVPVRRMVFNEITKPAILAAAENTRELDDNLVDAQETRRILDRLYGYEISPVLWKKVMPRLSAGRVQSVATRVIVERERERMAFVPATYWDLTAELDT------------GKDDGDNPRRFNARLTAVDKQRVAVGRDFNDKGELKNNA-----VVLNADTAQALAENLHKASMSVANVEEKPYTRKPYPPFMTSTLQQEAGRKLHYTSERTMRIAQRLYENGHITYMRTDSTTLSESGISAARAQARELYGAEYVADAPRQYTRKVKNSQEAHEAIRPAGETFATPGQLHSQLDAEEFKLYELIWQRTVASQMADARGTSMKVTINGVARTGEECEFSATGRTITFPGFLKAYVEVS-TLDGRDVADNAEKRLPRLTAGDALTAEDVTADGHSTNPPARYTEASLVKKMEDLGIGRPSTYASIIKTIQDRGYVYSRGNALVPSWVAFAVVGLMESSFASLVDYDFTSSMEDELDDIATGNEDRTDWLTGFYFGNADASDRTAETVARLGGLKALVRDNLEHIDARLVNSLHLFNDAEGRSIVVRVGRYGPYLERVVGVDKNGEPEHQRANLPDSVTPDELTLEVAEKLFATPQSGRELGVNPANGRMVVAKEGRYGAYVTEVVTDAERESAAEVAEKKIAEERAAEDAQRAAEGKRAKNWETKTAIAQKEKRLEQLIQEILKPESQSLFSTMETSTVTLDDALQLLSLPREVGVAP-DGEVITAQNGRYGPYLKKGSDSRSLASEAQLLTITLDEALAIYAEPKRRGRSA--PQAIRVLGNNDVSGKPMLIKDGRFGAYVTDGETNASLRRGDTPETLTDARACELLSERRAKDAEN---PKKATKKAA---KKTTKKTTKKATKKATKKVAKR-----</t>
  </si>
  <si>
    <t>MAAKG--TRRLVIVESATKAKKIAPYLGSDYVVEASVGHIRDLPRGAADVPAKYKKEAWARLGVDVDHGFTALYVVSPDKKKKVADLKAKLKDVDELFLATDPDREGEAIAWHLLEVLKPKVPVRRMVFNEITKPAILAAAENTRELDDNLVDAQETRRILDRLYGYEISPVLWKKVMPRLSAGRVQSVATRVIVERERERMAFVPATYWDLTAELDT------------GKDDGDNPRRFNARLTAVDKQRVAVGRDFNDKGELKNNA-----VVLNADTAQALAENLHKASMSVANVEEKPYTRKPYPPFMTSTLQQEAGRKLHYTSERTMRIAQRLYENGHITYMRTDSTTLSESGISAARAQARELYGAEYVADAPRQYTRKVKNSQEAHEAIRPAGETFATPGQLHSQLDAEEFKLYELIWQRTVASQMADARGTSMKVTINGVARTGEECEFSATGRTITFPGFLKAYVEVS-TLDGRDVADNAEKRLPRLTAGDALTAEDITADGHSTNPPARYTEASLVKKMEDLGIGRPSTYASIIKTIQDRGYVYSRGNALVPSWVAFAVVGLMESSFASLVDYDFTSSMEDELDDIATGNEDRTDWLTGFYFGNADASDRTAETVARLGGLKALVRDNLEHIDARLVNSLHLFNDAEGRSIVVRVGRYGPYLERVVGVDKNGEPEHQRANLPDSVTPDELTLEVAEKLFATPQSGRELGVNPANGRMVVAKEGRYGAYVTEVVTDAERESAAEVAEKKIAEERAAEDAQRAAEGKRAKNWETKTAIAQKEKRLEQLIQEILKPESQSLFSTMDTSTVTLDDALQLLSLPREVGVAP-DGEVITAQNGRYGPYLKKGSDSRSLASEAQLLTITLDEALAIYAEPKRRGRSA--PQAIRVLGNNDVSGKPMLIKDGRFGAYVTDGETNASLRRGDTPETLTDARACELLSERRTKDAEN---PKKATKKAA---KKTTKKTTKKATKKATKKVAKR-----</t>
  </si>
  <si>
    <t>-MAEGNDIKRLVIVESTTKAKKIAPYLGSNYIVEASVGHIRDLPRGAADVPPKYKKEPWARLGVNVDKNFTPLYVVSPDKKKKVADLKAKLKDVDELLLATDPDREGEAIAWHLLQTLKPKVPVRRMVFHEITKPAILAAAQNTRELDNNLVDAQETRRILDRLYGYEVSPVLWKKVMPRLSAGRVQSVATRVIVDRERNRMVFVPAEYWDLAAEFTAPASAGTASQGSSISTDGGDDRKFTGRLSRVNGKRVAA</t>
  </si>
  <si>
    <t>-MAEGNDIKRLVIVESTTKAKKIAPYLGSNYIVEASVGHIRDLPRGAADVPPKYKKEPWARLGVNVDKNFTPLYVVSPDKKKKVADLKAKLKDVDELLLATDPDREGEAIAWHLLQTLKPKVPVRRMVFHEITKPAILAAAQNTRELDNNLVDAQETRRILDRLYGYEVSPVLWKKVMPRLSAGRVQSVATRVIVDRERNRMVFVPAEYWDLAAEFTAPASAGTASQGSSTSTDGGDDRKFTGRLSRVNGKRVAA</t>
  </si>
  <si>
    <t>GC_00000698</t>
  </si>
  <si>
    <t>PF13292.11</t>
  </si>
  <si>
    <t>1-deoxy-D-xylulose-5-phosphate synthase</t>
  </si>
  <si>
    <t>K01662</t>
  </si>
  <si>
    <t>1-deoxy-D-xylulose-5-phosphate synthase [EC:2.2.1.7]</t>
  </si>
  <si>
    <t>COG1154</t>
  </si>
  <si>
    <t>Deoxyxylulose-5-phosphate synthase (Dxs) (PDB:2O1S)</t>
  </si>
  <si>
    <t>KEGG Orthology (KO)&gt;&gt;&gt;09100 Metabolism&gt;&gt;&gt;09108 Metabolism of cofactors and vitamins&gt;&gt;&gt;00730 Thiamine metabolism [PATH:ko00730]|KEGG Orthology (KO)&gt;&gt;&gt;09100 Metabolism&gt;&gt;&gt;09109 Metabolism of terpenoids and polyketides&gt;&gt;&gt;00900 Terpenoid backbone biosynthesis [PATH:ko00900]|Enzymes&gt;&gt;&gt;2. Transferases&gt;&gt;&gt;2.2  Transferring aldehyde or ketonic groups&gt;&gt;&gt;2.2.1  Transketolases and transaldolases&gt;&gt;&gt;2.2.1.7  1-deoxy-D-xylulose-5-phosphate synthase</t>
  </si>
  <si>
    <t>---MNKPTETPNDGQQRQQTPLINSISGPQDLKDLSTQQLEQLAAEIRSFLVDKVSATGGHLGPNLGVVELSIALHTVFDSPRDPIIFDTSHQSYVHKILTGRAQQFNTLRQKGGLSGYTSRSESEHDWTESSHASASLSYAEGLSKAFALQGEKDRCVVAVVGDGALTGGMCWEALNNIAADRQRNLVIVVNDNGRSYSPTIGGFAENLADLRMQPFYDKVMEQGKSTLNSMGWVGRRTFDLMHAFKEGVKHTV</t>
  </si>
  <si>
    <t>-------------------MSILNRISSPEDLKALSTDELTQLATEVREFLVAKVSATGGHLGPNLGVVELTLALHRVFDSPRDAIIFDTSHQSYVHKIVTGRANLFDTLRQKDGLSGYTSRAESEHDWTESSHASAALSYADGMAKAFELTGQADRNVVAIVGDGALTGGMCWEALNNIAAGKDRNVVIIVNDNGRSYSPTIGGFADNLADLRMQPFYDKVMEQGKSTLNSMGWVGKRTFDVMHALKEGVKYTV</t>
  </si>
  <si>
    <t>-------------------MSILNRISSPEDLKALSTDELTQLATEVREFLVAKVSATGGHLGPNLGVVELTLALHRVFDSPRDAIIFDTSHQSYVHKIVTGRANLFDTLRQKDGLSGYTSRAESEHDWTESSHASAALSYVDGMAKAFELTGQADRNVVAIVGDGALTGGMCWEALNNIAAGKDRNVVIIVNDNGRSYSPTIGGFADNLADLRMQPFYDKVMEQGKSTLNSMGWVGKRTFDVMHALKEGVKYTV</t>
  </si>
  <si>
    <t>MFVSLLSSSVAVKGRIFRLMNILPTISTPADVKRLDYPELTQLAQEIRDFLVAKVSATGGHLGPNLGVVELTIAIHRIFNSPHDPIIFDTSHQSYVHKILTGRANQFDTLRQKDGLSGYTNRAESEHDWTESSHASAALSYADGLAKAFQLTGQPDRTIIAVVGDGALTGGMCWEALNNIAACHDRKVVIIINDNGRSYSPTIGGLAENLANLRIHNRYDQVMEQGKATLKSLGWVGERTFEALHAFKEGVKSSVIPTEMFSDLGLKYVGPVNGHHQKALDAAMAYARDHDGPLLVHVVTEKGRGYAPAENDVAELMHSTGQINPETGLPLQVKKPDWTGVFSEELLAVARSRDDIVAITAAMPGPTGLTPFQEEFPRRFFDVGIAEQHAIASAAGLALGGMHPVVAVYATFLNRAFDQLLMDVGLLNLPVTVILDRAGVTGSDGASHNGVWDYAITGMVPGIHVAAPRDGDQLKALFHEAIAM-DTPTVVRFPKGTLPPVIPAVETLDDGVDIIRYT---------DASADEDNVPVVLIVAIGAFIGQALAVADALSEAGVAVTVVDPRWVVPVAPTLVTLAAAHDLVITIEDGIITGGIGSMIATAMSDAGVFTPIRHLAFPQIFPHHATRDELLAEVGLDNAGCVQSAVAWVDELFPPAASDEDQLEQ-</t>
  </si>
  <si>
    <t>MFVSLLSSSVAVKGRIFRLMNILPTISTPADVKRLDYPELTQLAQEIRDFLVAKVSATGGHLGPNLGVVELTIAIHRIFNSPHDPIIFDTSHQSYVHKILTGRANQFDTLRQKDGLSGYTNRAESEHDWTESSHASAALSYADGLAKAFQLTGQSDRTIIAVVGDGALTGGMCWEALNNIAACHDRKVVIIINDNGRSYSPTIGGLAENLANLRIHNRYDQVMEQGKATLKSLGWVGERTFEALHAFKEGVKSSVIPTEMFSDLGLKYVGPVNGHHQKALDAAMAYARDHDGPLLVHVVTEKGRGYAPAENDVAELMHSTGQINPETGLPLQVKKPDWTGVFSEELLAVARSRDDIVAITAAMPGPTGLTPFQEEFPRRFFDVGIAEQHAIASAAGLALGGMHPVVAVYATFLNRAFDQLLMDVGLLNLPVTVILDRAGVTGSDGASHNGVWDYAITGMVPGIHVAAPRDGDQLKALFHEAIAM-DTPTVVRFPKGTLPPVIPAVETLDDGVDIIRYT---------DASADEDNVPVVLIVAIGAFIGQALAVADALSEAGVAVTVVDPRWVVPVAPTLVTLADAHDLVITIEDGIITGGIGSMIATAMSDAGVFTPIRHLAFPQIFPHHATRDELLAEVGLDDAGCVQSAVAWVDELFPPAASDEDQLEQ-</t>
  </si>
  <si>
    <t>GC_00000699</t>
  </si>
  <si>
    <t>PF02511.20</t>
  </si>
  <si>
    <t>Thymidylate synthase complementing protein</t>
  </si>
  <si>
    <t>K03465</t>
  </si>
  <si>
    <t>thymidylate synthase (FAD) [EC:2.1.1.148]</t>
  </si>
  <si>
    <t>COG1351</t>
  </si>
  <si>
    <t>Thymidylate synthase ThyX, FAD-dependent family (ThyX) (PDB:1KQ4)</t>
  </si>
  <si>
    <t>KEGG Orthology (KO)&gt;&gt;&gt;09100 Metabolism&gt;&gt;&gt;09104 Nucleotide metabolism&gt;&gt;&gt;00240 Pyrimidine metabolism [PATH:ko00240]|KEGG Orthology (KO)&gt;&gt;&gt;09100 Metabolism&gt;&gt;&gt;09108 Metabolism of cofactors and vitamins&gt;&gt;&gt;00670 One carbon pool by folate [PATH:ko00670]|Enzymes&gt;&gt;&gt;2. Transferases&gt;&gt;&gt;2.1  Transferring one-carbon groups&gt;&gt;&gt;2.1.1  Methyltransferases&gt;&gt;&gt;2.1.1.148  thymidylate synthase (FAD)</t>
  </si>
  <si>
    <t>MVNQASLSVELVGCSNFLPPSSVDFATEAQGG-EALIEFAGRACYESFDKPNPRTRDYDAYIRHVLEVGHMALFEHATATVYIRGISRVAAAELMRHRHFSCSQLSQRYVH-DDNPVVVPPLVAADDALLSLFQRAADESRFAYEELLSALEQRLTDEHGENNALLRMKQARQAARMILPGATESRLVVTGNFRTWRHFIGMRASEHADVEIRTVAVEICRLLSDQAPTAFGDFQIDSLPDGSLMATSPYVTDF</t>
  </si>
  <si>
    <t>MAHHVDLNVQLIACTEFTPPMDVEWTTDAEGG-EALIEFAGRACYESFDKPNPRTATNEAYLRHIMEVGHTALLEHASATMYIRGISRSATHELVRHRHFSFSQLSQRFVHPDEASVIVPPLIREDEDLTRLFDRAINESRFAFDELLDALEDKLGEEP---NALLRKKQARQAARSVLPNATESRIVVSGNFRSWRHFIGMRATEHADVEIRHVAVECLKLLQEVAPVVFGDFQVATLSDGSEMATSPFVTDF</t>
  </si>
  <si>
    <t>MAHHVDLNVQLIACTEFTPPMDVEWTTDAEGG-EALIEFAGRACYESFDKPNPRTATNEAYLRHIMEVGHTALLEHASATMYIRGISRSATHELVRHRHFSFSQLSQRFVHPDEASVIVPPLIREDEDLTRLFDRAINESRFAFDELLDALEDKLGEEP---NALLRKKQARQAARSVLPNATESRIVVSGNFRSWRHFIGMRATEHADVEIRHVAVECLKLLQEIAPVVFGDFQVATLSDGSEMATSPFVTDF</t>
  </si>
  <si>
    <t>MAQASHLDVQLVAHSQFHPPTDIGWETDAATDPEALVEFAGRACYETFNKPNPRTRSNDAYIRHIMEVGHLALLEHPTATIYVRGISRGATHELTRHRHFSFSQLSQRFVHPEESEVAVPKLIADDAELSQVFFRAIDNTRLAYDELLAALELKLRDEP---NAVLRRKQAHQAAQAILPRATESRIVVTGNFRTWRHFIGMRATEHADVEIRELAVACLKLLKTAAPTVFSDFEIAALADGTEMATSPYVTDF</t>
  </si>
  <si>
    <t>MARASHLHVQLVAHSQFHPPTDIGWETDAATDPEALVEFAGRACYETFNKPNPRTRSNDAYIRHIMEVGHLALLEHPTATIYVRGISRGATHELTRHRHFSFSQLSQRFVHPEESEVAVPKLIADDAELSQVFFRAIDNTRLAYDELLAALELKLRDEP---NAVLRRKQAHQAAQAILPRATESRIVVTGNFRTWRHFIGMRATEHADVEIRELAVACLKLLKTAAPTVFSDFEIAALADGTEMATSPYVTDF</t>
  </si>
  <si>
    <t>GC_00000700</t>
  </si>
  <si>
    <t>MDDYRAEKDTGNTSAPQAIATLLRTHGVDLDWQRPLYETFHANPELSGMEVETAARIKQQLNAFDCEVTGNIGGHGIVAIFRNGP----GPVALMRADFDGLPVLETTGAPFASTKTRINKDGVEVPAMHACGHDMHTTSLLGACAILDAHRDAWSGTFIALFQPAEEDSTGARKMVDDGLGRIIPRPDVCLGQHIVPGPAGQVMSMPGASLAACDTITVKIFGHSAHGSMPHNSIDPTFIAAMIVVRLQGIVAREVSPFDFAVVSVGTLSSGNSNNTIPADATLVLNCRFYSEKVRDKVYAAIERVVRAECAASGCTQEPTFEWSCHGELTDNTPVAFNRVRPVFDSVFGEDSADAQPWTASEDFSNIPRHFD----CPYLYWTVGVTPRTLWNKAIAHDRVAQDVPGNHMGTFLPDYEPTMRACTLAAAGAVLAYLHA---</t>
  </si>
  <si>
    <t>MSTHDAGTHAAHGDAHSTLADFINHHGVDTQWQRRFYEHMHAYPELSGEEKETAGFIQDKLREFDCEVITNIGGHGIVALFHNGE----GPTVLFRADFDGLPVQEATGVPFAS-----KNEG----RMHACGHDMHTTALLGLCQILNESRDRWQGTFIALFQPAEETASGAAAMVADGLTSRIPTPDVCFGQHIVAGQAGKIMSMPGPALAACDTITIELFGRSAHGSMPHDSIDPTFLAAMIVVRLQGIVGREVSPEHFAVVTVGTLTSGHTNNTIPGSATLVLNCRFYDDDVKARTYAAIERVVRGECIASGCEKEPTFTYSNHGELTDNSPEVFGKVRPLFDAVFDDASVDAQRWTASEDFSEVPRAFG----VPYFFWLIGANSDD------------ADAPGNHMPDFLPDYEPVVSASNRAALAAVLAYLAV---</t>
  </si>
  <si>
    <t>MSTHNAGTHAAHGDAHSNLADFINHHGVDTQWQRGFYEHMHAYPELSGEEQETAGFIQDKLREFDCEVITNIGGHGIVALFHNGE----GPTVLFRADFDGLPVQEATGVPFAS-----KNEG----QMHACGHDMHTTALLGLCQILNESRDRWQGTFIALFQPAEETASGAAAMVADGLTSRIPAPDVCFGQHIVAGQAGKIMSMPGPALAACDTITIELFGRSAHGSMPHDSIDPTFLAAMIVVRLQGIVGREVSPEHFAVVTVGTLTSGHTNNTIPGSATLVLNCRFYDDDVKARTYAAIERVVRGECIASGCEKEPTFTYSNHGELTDNSPEVFDKVRPLFDAVFDDASVDAQRWTASEDFSEVPRAFG----VPYFFWLIGANSDD------------ADAPGNHMPDFLPDYEPVVSASNRAALAAVLAYLAV---</t>
  </si>
  <si>
    <t>-----------MSTSIEAIVD-----STDLSWQWDFYRGLHGYPELSGQEEWTAAQIVAQLAAYDATVIDHIGGHGIVAIFTNGDPGDSDATVLLRADIDALPVVETTGADYAS------KNG----NMHACGHDMHATALLGLCAILDANRDKWRGTVIALFQPAEENGSGALAMLDDGLVGRIPRPDVFLAQHIIPGPAGTVFSKEGPTLAGSDSIEIIVHGRSAHGSMPHTAIDPTYVAAMIVVRLQGIVGR</t>
  </si>
  <si>
    <t>-----------MSTSIEAIVD-----STDLSWQWDFYRGLHGHPELSGQEEWTAAQIVAQLAAYDATVIDHIGGHGIVAIFTNGDPKDSDATVLLRADIDALPVVETTGADYAS------KNG----NMHACGHDMHATALLGLCAILDANRDKWRGTVIALFQPAEENGSGALAMLDDGLVGRIPRPDVFLAQHIIPGPAGTVFSKEGPTLAGSDSIEIIVHGRSAHGSMPHTAIDPTYVAAMIVVRLQGIVGR</t>
  </si>
  <si>
    <t>GC_00000701</t>
  </si>
  <si>
    <t>K23980</t>
  </si>
  <si>
    <t>cysteinylglycine-S-conjugate dipeptidase [EC:3.4.13.23]</t>
  </si>
  <si>
    <t>Enzymes&gt;&gt;&gt;3. Hydrolases&gt;&gt;&gt;3.4  Acting on peptide bonds (peptidases)&gt;&gt;&gt;3.4.13  Dipeptidases&gt;&gt;&gt;3.4.13.23  cysteinylglycine-S-conjugate dipeptidase|Peptidases and inhibitors&gt;&gt;&gt;Metallo peptidases&gt;&gt;&gt;Family M20</t>
  </si>
  <si>
    <t>------MPASSTPAVPRRASLHW-----------------------------DGMSETTINPELNDQAARIRDVINGQRDHIKQQLTELVSYNSVHNEPSCEQDCAAAGAWVKSAMTEVGLDVREEKTADGSLAYIGTKHVSDTAPTVLLYCHYDVVPAGNPDLWVSGAFELTERDGRWYGRGTADCKGNVVMHFAALRAAEELGGAKCNITMLVEGSEERGGEGLDDLIKRHPELFEADTIIIADTGNVAVGVP</t>
  </si>
  <si>
    <t>-----MVGECGANLTRIRCFISWHSHVSSAKSVLAVSPVECKARALKLRRMSDHITTAKI------PADTVRASVEKQRDRIKQDLTELVSFNSVHGDPSTKADTQAAKEWVKNALQAADFAVDEHVTDDGSVTLIGNRAGSPDAPTVLLYSHYDVVPAGDPSLWTTNPFALSERNSRWYGRGTADCKGNLVMHLATLRTVQELGGTQLNLKAVIEGSEEQGGEGLERLIRTQPDLFQADIIFIADTGNVAAGTP</t>
  </si>
  <si>
    <t>-----MVGECGANLTRIRCFISWHSHVSSAKSVLAVSPVECKARALKLRRMSDHITTAKI------PADTVRASVEKQRDRIKQDLTELVSFNSVHGDPSTKADTQAAKEWVKNALQAADFAVDEHVTDDGSVTLIGNRAGSPDAPTVLLYSHYDVVPAGDPSLWTTDPFALSERNSRWYGRGTADCKGNLVMHLATLRTVQELGGTQLNLKAVIEGSEEQGGEGLERLIRTQPDLFQADIIFIADTGNVAAGTP</t>
  </si>
  <si>
    <t>MNREGVDKQCETGPAHTGTQLHF-----------------------------SVMTTETI--------AKVRPIVTGQRDRIFTDLKEITSFNSVQGVPELVEQHAHAAAWVKAAFESVGLTVTTYQEDTPAPLFIASKPAKGDAPTVLLYCHYDVVLAGDPSKWDSDPFTLTERNGRWYARGAADCKGNVVMHLAALRAVNELGGTDLGIKVLIEGSEEQGGAELSELIKARPELFAADVILIADTGNAAVGEPTLTTSLRGGAQITVQVDTLQNPVHSGSFGGAAPDATAALIRLIDSFRDEHGRVQIDSVDVDQKWSGAQYDPETFRKDAGVLDGVEIMGTSADNPADMVWARPAITVTGFTSTPVSEAVNAVPATASAKLNLRVPPGMDASEVAAAVTKHLRSHVPWNARLSVQVSDVNNPFSSNIEGPAVTTFIQCLRGAYDNKELTLVGAGGSIPLCAELIDAVPSAELTLFGVEEPQTTIHSANESVDPTEIENIAIAEAAFLLTYHS</t>
  </si>
  <si>
    <t>------------------------------------------------------MTTETI--------AKVRPIVTGQRDRIFTDLKEITSFNSVQGVPELVEEHAHAAAWVKAAFESVGLTVTTYQEDTPAPLFIASKPAKGDAPTVLLYCHYDVVLAGDPSKWDSDPFTLTERNGRWYARGAADCKGNVVMHLAALRAVNELGGTDLGIKVLIEGSEEQGGAELSELIKARPELFAADVILIADTGNAAVGEP</t>
  </si>
  <si>
    <t>GC_00000702</t>
  </si>
  <si>
    <t>MTLRCTMVGMSGAGRYAPSPSGDLHYGNLRTALLAWLWARSTGRDFRMRVDDIDTQRSSATSAERQLADLAALGIDWDGEVLYQHDRFDAYANTLRHLEQRGLVYECYCSRREIQEAARAPHAVPGSYPGTCRSLDDATRAQRRANLAAAGRVPALRLRADVTQWTVHDFFAGDYTGDVDDMVLRRGGQAPDWAYNLAVVVDDAFQGVDQVVRGRDLLSSAPRQAYLAGLLGIEAPDYVHVPLVLGPTGRRLAKRDGA-VTLREMLHDA-TPGEVVSRLAASLGFGQVSSAAELLEVFDPAALSGEDYVWG</t>
  </si>
  <si>
    <t>MTLRCTMVGMSGAGRYAPSPSGDLHYGNLRTALLAWLWARSTGRDFRMRVDDIDTQRSSATSAERQLADLAALGIDWDGEVLYQHDRFDAYAKALRHLEQRGLVYECYCSRREIQEASRAPHALPGSYPGTCRLLDDATRAQRRADLAAAERVPALRLRADVTQWTVHDFFAGNYTGDVDDMVLRRGGQAPDWAYNLAVVVDDAFQGVDQVVRGRDLLSSAPRQAYLAGLLGIEAPDYVHVPLVLGPTGRRLAKRDGA-VTLREMLHDA-TPGEVVSRLAVSLGFGQVSSAAELLEVFDPAVLSGEDYVWG</t>
  </si>
  <si>
    <t>GC_00000703</t>
  </si>
  <si>
    <t>PF13593.11</t>
  </si>
  <si>
    <t>SBF-like CPA transporter family (DUF4137)</t>
  </si>
  <si>
    <t>K14347</t>
  </si>
  <si>
    <t>solute carrier family 10 (sodium/bile acid cotransporter), member 7</t>
  </si>
  <si>
    <t>COG0385</t>
  </si>
  <si>
    <t>Predicted Na+-dependent transporter YfeH (YfeH) (PDB:4N7X) (PUBMED:21175741)</t>
  </si>
  <si>
    <t>ko02000|ko04147</t>
  </si>
  <si>
    <t>Transporters&gt;&gt;&gt;Solute carrier family (SLC)&gt;&gt;&gt;SLC10: Sodium bile salt cotransporter|Exosome&gt;&gt;&gt;Exosomal proteins&gt;&gt;&gt;Exosomal proteins of hepatic cells</t>
  </si>
  <si>
    <t>MTTPHTTAGAKVKNFFGRLDPLIVLIISAVLVTIVLPARGEFAEHFSLATKLAIALLFFLYGARLSPQEAVAGLKHWRLHLTILAFTYAIFPLIGVALRPLHLVFGMPLYLGILYLTLVPSTVQSSVAFTSIARGNVAGAIVSASASNLIGVVLTPVLVMITM------GGSVTLSPRIFADIAIQLLLPFVVGQLLRPL--VKDFAKNKATKLVDRGSITMVVYSTFSAGMVEGIWGTVRPLELLGLVVLAVLLVGFMLWLTRAVARWLKFSDADVKAIQFCGTKKSLATGLPMAAVIFGGANLGLLILPLMIFHQVQLMMCSFLAGRYAKQ-----LD-</t>
  </si>
  <si>
    <t>---MLSKFGSKVSSRFGSLDPLIIFIVLAVIVAIFFPISGRPAEWFSTATVIAVAVLFFLYGARLSTREALDGLTNWRLHATILAFTFVLFPLIGVTLRPVGMAYNPELYMGVLYLTLVPSTVQSSVAFTSIARGNVAGAIVSASASNVLGVVATPALVMLLMSQRSGGGNGVVIDAHVFGDIALQLLLPFILGQFARRWGSVAEFAAKKATKLVDRGSIVMVVYSAFSAGVVAGVWSTIGVRDIVILCVFSVVL</t>
  </si>
  <si>
    <t>---MLSKFGSKVSSRFGSLDPLIIFIVLAVIVAIFFPISGRPAEWFSTATVVAVAVLFFLYGARLSTREALDGLTNWRLHATILAFTFVLFPLIGVALRPVGMSYNPELYMGVLYLTLVPSTVQSSVAFTSIARGNVAGAIVSASASNVLGVVVTPALVMLLMSQRSGGGSGVVIDAHVFGDIALQLLLPFILGQFARRWGSVAEFAARKATKLVDRGSIVMVVYSAFSAGVVAGVWSTIGVRDIVILCVFSVVL</t>
  </si>
  <si>
    <t>GC_00000704</t>
  </si>
  <si>
    <t>PF01161.25</t>
  </si>
  <si>
    <t>Phosphatidylethanolamine-binding protein</t>
  </si>
  <si>
    <t>COG1881</t>
  </si>
  <si>
    <t>Uncharacterized conserved protein, phosphatidylethanolamine-binding protein (PEBP) family (PEBP) (PDB:1A44)</t>
  </si>
  <si>
    <t>MSTNSDRPDYVDPRFPGPDPYAALGDHPTFPLSSTDFNNGDKFGPGIVATEDNPGLSPQLSWSNLPEGTKSIAITCLDPDAPTGSGYWHWAVFNIPVEVNELPTGAGSTAALERISSVDGAEHIVTLKGDSGLRQYFGPMPPSGHGPHRYLFAVHAVDVETLDIDPDATPTVLGFNLYFHTLARSIAWGWYEND</t>
  </si>
  <si>
    <t>MTHYAD-----DPRFPGPDPYAPLKDLPNFTLTSSDFSNGDKISELYIGGSD---ISPQLSWSGLPEGTQSLAVTCFDPDAPTLSGYWHWAVFNIPADVTELPTGAGSTA-------NAGIDGAITLRNDAGMTAYFGPQPPAGHAPHRYLFAVDAVDVEKLDIDPNASPTVLSFNLHFHSLGRAILWGWYENP</t>
  </si>
  <si>
    <t>MTHYAD-----DPRFPGPDPYAPLKDLPNFTLTSSDFSNGDKISELHIGGSD---ISPQLSWSGLPEGTQSLAVTCFDPDAPTLSGYWHWAVFNIPADVTELPTGAGSTA-------NAGIDGAITLRNDAGMTAYFGPQPPAGHAPHRYLFAVDAVDVEKLDIDPNASPTVLSFNLHFHSLGRAILWGWYENP</t>
  </si>
  <si>
    <t>MSSYAS-----DPRFPGPDPYAPLRDLPDFPLTSTDFGCGDAIPDTYVAPAN---VSPQLAWSGLPEGTKSIAVTMFDPDAPTASGFWHWAAFNIPATVTELPTGAGLAD-----QPLLGLDETVTLRGDSGIRGYYGPNPPAGHGPHRYLFAIHAVDVDRLDIPADATPTVLGFNLYYHSLARAVYWGWYRND</t>
  </si>
  <si>
    <t>MSSYAS-----DPRFPGPDPYAPLRDLPDFPLTSTDFANGDAIPDTYVAPAN---VSPQLAWSGLPEGTKSIAVTMFDPDAPTASGFWHWAAFNIPATVTELPTGAGLAD-----QPLLGLDETVTLRGDSGIRGYYGPNPPAGHGPHRYLFAIHAVDVDRLDIPADATPTVLGFNLYYHSLARAVYWGWYRND</t>
  </si>
  <si>
    <t>GC_00000705</t>
  </si>
  <si>
    <t>PF00152.25</t>
  </si>
  <si>
    <t xml:space="preserve">tRNA synthetases class II (D, K and N) </t>
  </si>
  <si>
    <t>K04567</t>
  </si>
  <si>
    <t>lysyl-tRNA synthetase, class II [EC:6.1.1.6]</t>
  </si>
  <si>
    <t>COG1190</t>
  </si>
  <si>
    <t>Lysyl-tRNA synthetase (class II) (LysU) (PDB:1BBU)</t>
  </si>
  <si>
    <t>KEGG Orthology (KO)&gt;&gt;&gt;09120 Genetic Information Processing&gt;&gt;&gt;09122 Translation&gt;&gt;&gt;00970 Aminoacyl-tRNA biosynthesis [PATH:ko00970]|Enzymes&gt;&gt;&gt;6. Ligases&gt;&gt;&gt;6.1  Forming carbon-oxygen bonds&gt;&gt;&gt;6.1.1  Ligases forming aminoacyl-tRNA and related compounds&gt;&gt;&gt;6.1.1.6  lysine---tRNA ligase|Amino acid related enzymes&gt;&gt;&gt;Aminoacyl-tRNA synthetase&gt;&gt;&gt;Class II (A)|Transfer RNA biogenesis&gt;&gt;&gt;Eukaryotic type&gt;&gt;&gt;Aminoacyl-tRNA synthetases (AARSs)&gt;&gt;&gt;Multi-aminoacyl-tRNA synthetase complex (MSC)|Transfer RNA biogenesis&gt;&gt;&gt;Prokaryotic type&gt;&gt;&gt;Aminoacyl-tRNA synthetases (AARSs)&gt;&gt;&gt;Other AARSs</t>
  </si>
  <si>
    <t>----MTQANNTLDLPEQLKIRRDKRAKLLESGVEAYPVEVDRTISISDLRKQFVVNKPSDDDAASAASKVPEG-ARVLEVGEETDVEVAIAGRVIFVRNTGKLCFATVQEGNGTQVQAMLSLAEVGEEALAAWKQDVDLGDFVSVRGRVISSKRGELSVMAKSWHMAAKSLRPLPVAHKDMSEDSRVRHRYTDLIMREQARTNAMTRIKVMRALRNYLESQDFVEVETPMLQTLHGGAAARPFQTRSNALDIDLY</t>
  </si>
  <si>
    <t>MTDAKNPHNRNDDVPEQLRIRREKRARLLEDGIDAYPVVVDRTTSITDLRNNYVVLR--EDESVDKHEEKREG-VRYLAVGEETQDEVAVAGRVIFVRNTGKLCFATLQEGNGTKLQAMLSLAEVGEESLANWKTTVDLGDIVSVRGRVISSKRGELSVLASTWHMASKALRPLPVAHKDMSEDTRVRQRYTDLIMRDAARTNALTRIKVMRALRNYLEGEGFLEVETPMLQTLHGGAAARPFVTHSNALDIDLYLRIAPELYLKRCVVGGMERVFEVNRNFRNEGVDSSHSPEFAMLETYQAWGTYDDGAEMIKGLIQSVAREVFGSTTVTLADGTDYDLGG-EWATMEMYPSLNEALQRKHPGQPEVTVDSTVEELKALADVVGVKVPENGGWGHGKLVEEIWEELCADQLYGPVFVRNFPVETSPLTRQHRTERGVTEKWDLYIRGFELATGYSELVDPVIQRERFEDQARLAAGGDDEAMVLDEDFLAAMEQGMPPTAGTGMGIDRLLMALTGLGIRETVLFPIVKPEA--</t>
  </si>
  <si>
    <t>MTDAKNPHNRNDDVPEQLRIRREKRARLLEDGIDAYPVVVDRTTSITDLRNSYVVLR--EDEGVDKHEDEREG-VRYLAVGEETQDEVAVAGRVIFVRNTGKLCFATLQEGNGTKLQAMLSMAEVGEESLANWKTTVDLGDIVSVRGRVISSKRGELSVLASTWHMASKALRPLPVAHKDMSEDTRVRQRYTDLIMRDAARTNALTRIKVMRALRNYLEGEGFLEVETPMLQTLHGGAAARPFVTHSNALDIDLYLRIAPELYLKRCVVGGMERVFEVNRNFRNEGVDSSHSPEFAMLETYQAWGTYDDGAEMIKGLIQSVAREVFGSTTVTLADGTEYDLGG-EWATMEMYPSLNEALQRKHPGQPEVTVDSTVEELKALADVVGVKVPENGGWGHGKLVEEIWEELCADQLYGPVFVRNFPVETSPLTRQHRTERGVTEKWDLYIRGFELATGYSELVDPVIQRERFEDQARLAAGGDDEAMVLDEDFLAAMEQGMPPTAGTGMGIDRLLMALTGLGIRETVLFPIVKPEA--</t>
  </si>
  <si>
    <t>-------------MPEQQRIRREKREKLLQSGGEAYPVIVDRTISITDLRDKYVVLA--EGENEPESTPAHAAPVTYLRAGDETTDEVAIAGRVLFIRNTGKLCFATIQEGSGTQIQAMLSLAEVGPDLLAAWKSDVDLGDIVSVRGRVIVSKRGELSVLASSWHMAAKALRPLPVAFADMSEDMRVRHRYTDLIMREKARENALTRIKVMRALRNYLESQGFLEVETPMLQTLHGGAAARPFVTHSNALDIDLY</t>
  </si>
  <si>
    <t>-------------MPEQQRIRREKREKLLQSGGEAYPVIVDRTISITDLRDKYVVLA--EGENEPESTPAHAVPVTYLRAGDETTDEVAIAGRVLFIRNTGKLCFATIQEGSGTQIQAMLSLAEVGPDLLAAWKSDVDLGDIVSVRGRVIVSKRGELSVLASSWHMAAKALRPLPVAFADMSEDMRVRHRYTDLIMREKARENALTRIKVMRALRNYLESQGFLEVETPMLQTLHGGAAARPFVTHSNALDIDLY</t>
  </si>
  <si>
    <t>GC_00000706</t>
  </si>
  <si>
    <t>PF02545.19</t>
  </si>
  <si>
    <t>Maf-like protein</t>
  </si>
  <si>
    <t>K06287</t>
  </si>
  <si>
    <t>nucleoside triphosphate pyrophosphatase [EC:3.6.1.-]</t>
  </si>
  <si>
    <t>COG0424</t>
  </si>
  <si>
    <t>7-methyl-GTP pyrophosphatase and related NTP pyrophosphatases, Maf/HAM1 superfamily (Maf) (PDB:2P5X) (PUBMED:24210219)</t>
  </si>
  <si>
    <t>KEGG Orthology (KO)&gt;&gt;&gt;09100 Metabolism&gt;&gt;&gt;09104 Nucleotide metabolism&gt;&gt;&gt;00240 Pyrimidine metabolism [PATH:ko00240]</t>
  </si>
  <si>
    <t>MKIVLASGSASRLSILRNAGVEPFVDPPNVDEQSIITSLNDAEPADVLTSLAAAKAAAIAGKHPDDVIIAADSMLLLDGELQGKPHTVEATIERWKNQRGKTGHLMTGHCIISPGGRAVYEHVASTTVTF-GIPSDYDIERYAASGEPLPCAGAFTLEALGGWFIDRIEGDPSNVIGLSLPVVRAALYSFGLHVSQFWK-----</t>
  </si>
  <si>
    <t>MRIVLASASPSRRFILESAGVDPIIHPANIDEDALIASLNDAPPREVILALCAAKAEAVAAQYPDDIVIGCDSMLLLNGTLQGKPHTIDATINRWKAQRGKNADLITGHCIVAPGGEQRVLDAASTSVTF-GDVSDADIDAYARSGEPLECAGAFTLEALGGWFIDRINGDPSNVIGLSLPLVRRALYSFGIDVADVWR-----</t>
  </si>
  <si>
    <t>MRIVLASASPSRRFILESAGVDPIIHPANIDEDALIASLNDAPPREVILALCAAKAEAVAAQYPDDIVIGCDSMLLLNGTLQGKPHTIDATINRWKAQRGKTADLITGHCIVAPGGEQRVLDAASTSVTF-GDVSDADIDAYARSGEPLKCAGAFTLEALGGWFIDRINGDPSNVIGLSLPLVRRALYSFGIDVADVWR-----</t>
  </si>
  <si>
    <t>GC_00000707</t>
  </si>
  <si>
    <t>PF12555.13</t>
  </si>
  <si>
    <t>SteA-like C-terminal domain</t>
  </si>
  <si>
    <t>COG4825</t>
  </si>
  <si>
    <t>Uncharacterized conserved protein, contains thiamine pyrophosphokinase N- and C- domains (MT1736)</t>
  </si>
  <si>
    <t>---MSLFSRNSDLPGLHATARECSPHA-KGLKKLSEGEIAVVNAPDISRAFAETLVAARPAAVVNTASFSSGRVPNVGPQLLLDAGITLVDAAGSELWSQFKDGKKARLTDDGQLFYGEKLIAGGTVLTVADAVASFDDAQQSLIDHMEAFFGNTIQFIHSESPLLIDGLGIPDTTVDIDGKKVIIVSPGAGHEEELKGLKYFIREYEPVIIAVDSAADTVVEHGVTPDLIVGNPSGIGSEALRSGARVVLPAAP</t>
  </si>
  <si>
    <t>MSAMSLFSRNADLPGLQGVVRDCSATG-KGFKRLAPGDIAVVDAPDIDRSLAQRLIDAKVAVVINTSQFTTGSVPNYGPQMMLDAGMLLIEGVGSDVWSSVKDGKKGRVTDEGKLFFGERLVASGTVLEQEWAESAFSDAQQSLMDDMEAFFGNTIQFIHSETPLLIDGIGIPSTGIDFKDRKVLIVGPGYEHRKQVKELRNFIREYDPVLVGVDEAADTLVDLGYKPDLIVGNPAGIGAEALRSGAKVVLPADPDGHAIGLERIQDLGVGAMTFPAASDSATDLALLLADYHGASMIVNAGSPLDLGMIFNEEPEATPSALLTRAKVGAKLVDARSVIELYTIRSAGNLAWLWVIFGLLVAVGVIVAIAGTAGDGSFADNLVNTWNNMTGTVRGWFR-----</t>
  </si>
  <si>
    <t>MSAMSLFSRNADLPGLQGVVRDCSATG-KGFKRLAPGDIAVVDAPDIDRSLAQRLIDTKVAVVINTSQFTTGSVPNYGPQMMLDAGMLLIEGVGSDVWSSVKDGKKGRVTDEGKLFFGERLVASGTVLEQEWAESAFSDAQQSLMDDMEAFFGNTIQFIHSETPLLIDGIGIPSTGIDFKDRKVLVVGPGYEHRKQVKELRNFIREYDPVLVGVDEAADTLVDLGYKPDLIVGNPAGIGAEALRSGAKVVLPADPDGHAIGLERIQDLGVGAMTFPAASDSATDLALLLADYHGASMIVNAGSPLDLGMIFNEEPEATPSALLTRAKVGAKLVDARSVIELYTIRSAGNLGWLWVIFGLLVAVGVIVAIAGTAGDGSFADNLVNTWNNMTGTVRGWFR-----</t>
  </si>
  <si>
    <t>---MSLFSRTVDLPGVQAVMRDLSVRGKKGYKKLGAGDIAVIDAPDVSRAVAQWLIDSQVVAVVNTGEFSTGAIPNFGPQMMLDAGIMLVEDVGDGVLVGLKDGKKGRLTESGELFCGDKLLGSGVVVTPEDAEERFLVAQQRLVDYMEAFFGNTIQFIHSESPLLIDGLGIPEVGDALRDRKVLVVSPGRYFRSELKELRNFIREFSSVIIAVDEAADALVELGYGVDFIVGDPGGIGAAALRSGARVVVPAGP</t>
  </si>
  <si>
    <t>---MSLFSRTVDLPGVQAVMRDLSVRGKKGYKKLGAGDIAVIDAPDVSRAVAQWLIDSQVVAVVNTGEFSTGAIPNFGPQMMLDAGIMLVEDVGDGVLVGLKDGKKGRLTESGELFCGDKLLGSGVVVTPADAEERFLVAQQRLVDYMEAFFGNTIQFIHSESPLLIDGLGIPEVGDALRDRKVLVVSPGRYFRSELKELRNFIREFSPVIIAVDEAADALVELGYGVDFIVGDPGGIGAAALRSGARVVVPAGP</t>
  </si>
  <si>
    <t>GC_00000708</t>
  </si>
  <si>
    <t>PF07972.16</t>
  </si>
  <si>
    <t xml:space="preserve">NrdI Flavodoxin like </t>
  </si>
  <si>
    <t>K03647</t>
  </si>
  <si>
    <t>protein involved in ribonucleotide reduction</t>
  </si>
  <si>
    <t>COG1780</t>
  </si>
  <si>
    <t>Flavodoxin NrdI, NrdF-interacting activator of class Ib ribonucleotide reductase (NrdI) (PDB:1RLJ) (PUBMED:20688982)</t>
  </si>
  <si>
    <t>KEGG Orthology (KO)&gt;&gt;&gt;09190 Not Included in Pathway or Brite&gt;&gt;&gt;09191 Unclassified: metabolism&gt;&gt;&gt;99984 Nucleotide metabolism</t>
  </si>
  <si>
    <t>MLVVYFSSATENTRRFVDKLQLPNVRIPLRANEPELVVDEPYVLVCPTYGGGVSISG-KQGKPVPIQVVKFLNNPHNRSLIRAVVAGGNSNFGSDFGKAGDVIAAKCNVPYVYRFELMGNDEDVATLRNGLIANAATLGLQ-------------PPRVA</t>
  </si>
  <si>
    <t>MLVVYFSSATGNTHRFVTKLGLPSARIPLHRNDPPLVVDEPYVLVCPTYGGGASISG-NEPRPVPGQVIRFLNNEHNRSLIRAVVSSGNTNFGTDYGKAGDVIAAKTGVPYVYRFELLGTDEDVRILRAGLLDNAEKLGLNRNPHDDAAGDAGVDTRG-</t>
  </si>
  <si>
    <t>MLVVYFSSATGNTHRFVTKLGLPSARIPLHRNDPPLVVDEPYVLVCPTYGGGASISG-NEPRPVPGQVIRFLNNEHNRSLIRAVVSSGNTNFGTDYGKAGDVIAAKTGVPYVYRFELLGTDEDVRILRAGLLDNAEKLGLNRNPHDDVAGDAGVDTRG-</t>
  </si>
  <si>
    <t>MLVVYFSSATRNTERFVEKLDLPSKRIPLHKTEPPLVVDEPYVLICPTYGGGASISGATNTKPVPPQVIRFLNNPHNRNLIRAVIASGNSNFGVDFGKAGDLIAAKCHVPYVYRFELMGLPEDAQAVRAGLLDNAEQLGLL--------------PLG-</t>
  </si>
  <si>
    <t>MLVVYFSSATRNTERFVEKLDLPSKRIPLRKTEPPLVVDEPYVLICPTYGGGASISGATNTKPVPPQVIRFLNNPHNRNLIRAVIASGNSNFGVDFGKAGDLIAAKCHVPYVYRFELMGLPEDAQAVRAGLLDNAEQLGLL--------------PLG-</t>
  </si>
  <si>
    <t>GC_00000709</t>
  </si>
  <si>
    <t>PF02028.23</t>
  </si>
  <si>
    <t>BCCT, betaine/carnitine/choline family transporter</t>
  </si>
  <si>
    <t>COG1292</t>
  </si>
  <si>
    <t>Choline-glycine betaine transporter (BetT) (PDB:2WIT)</t>
  </si>
  <si>
    <t>-MTKNPSEEQPDIHTTEVSASREQQDTAAAGHAATDVDHFDDVTAEHAERTEEVSAHSQLAVLLDNHEELPAELGDADIDAAFDNDEAGMNWPVVVPAMAAVLAVVVWGLAASESFSNFASTALSFVVNNFGWAFVLFGTVFVFFIIAIAVSKFGLIRLGRQDEAPEFSTVSWIAMMFAAGMGIGLMFYGTTEPLTFYRNGVPGHTEHEVGTAFATTLFHWTLHPWSIYGIVGLAIAYSTFRMGRKQLLSSAFVS</t>
  </si>
  <si>
    <t>MTNPDPTYVDPVVETP-------------------------------------ISATEELAAMLDHKQHIAPELVEEPIELEGESDSATLNWGVIAPAALIIVAVVVWGLFFPGSFSAFAATALTKVVDNLGWAFVFFGTIFVFYIIAIACSKFGNIRLGRDDEAPEFSNFSWFAMMFAAGMGIGLMFYGTTEPLTFYRNGVPGHETHDIGNAFASTLFHWTLHPWAIYAIVGLAIAYNTFRIGKKQLLSSAFIPLIGERRAEGWLGRLIDLLAIVATVFGTAASLGIGALQIGAGLDRTGLITSPSMKVLVGIVLVLTLAFIFSAMSGVGKGIQYISNANMVLAAILAIFVFVFGPTVSILNMLPMSVGSYFNSFFEMASRTADLDSGDTATWLSSWTIFYWAWWISWSPFVGMFVARISRGRSIREFVVGVMIIPAAVTVVWFSIFGGTAIHFEQENRSVWGEGDAKRQLFDLLYSLPGGTIAAIVAMILLATFFITSADSAATVMGSMSQQGVLVANKWVTAAWGVLTAAIGLTLLVSGGNDALSNLQNVTIIAASPFLVVIIGLMVSLYRGLSDDPLYLDHKEQQKFAMRLARERRVHSEMRAELQAEQRRRARKAARVNRRPIRFRAPKTD</t>
  </si>
  <si>
    <t>MTNPDPTYVDPAVETP-------------------------------------ISATEELAAMLDHKQHIAPELVEEPIELEGESDSATLNWGVIAPAALIIVAVVVWGLFFPGSFSAFAATALTKVVDNLGWAFVFFGTIFVFYIIAIACSKFGNIRLGRDDEAPEFSNFSWFAMMFAAGMGIGLMFYGTTEPLTFYRNGVPGHETHDIGNAFASTLFHWTLHPWAIYAIVGLAIAYNTFRIGKKQLLSSAFIPLIGERRAEGWLGRLIDLLAIVATVFGTAASLGIGALQIGAGLDRTGLITSPSMKVLVGIVLVLTLAFIFSAMSGVGKGIQYISNANMVLAAILAIFVFVFGPTVSILNMLPMSVGSYFNSFFEMASRTADLDSGDTATWLSSWTIFYWAWWISWSPFVGMFVARISRGRSIREFVVGVMIIPAAVTVVWFSIFGGTAIHFEQENRSVWGEGDAKRQLFDLLYSLPGGTIAAIVAMILLATFFITSADSAATVMGSMSQQGVLVANKWVTAAWGVLTAAIGLTLLVSGGNDALSNLQNVTIIAASPFLVVIIGLMVSLYRGLSDDPLYLDHKEQQKFAMRLARERRVHSEMRAELQAEQRRRARKAARVNRRPIRFRAPKTD</t>
  </si>
  <si>
    <t>--MEKPTN---------------------------------------------VSATQELAEMLESPPAKVP--AEPKIVFESEKDDVGIDYRVTIPAVVIVLSVVLWGLLNPTSFSDFSQKALSVVITNFGWAFVLCTTVFLAFAIIVALSKFGNIKLGRNDEAPEFSTFSWIAMMFAAGMGIGLMFYGVTEPLTHYRTGIPGNEPKNIGDAMSSTLLHWTLHPWAIYGIFGLAIAYSTFRLGRRQLLSSAFIP</t>
  </si>
  <si>
    <t>--MEKPTN---------------------------------------------VSATQELAEMLESPPAKVP--AEPKIVFESEKDDVGIDYRVTIPAVVIVLSVVLWGLLNPTSFSDFSQKALSVVITNFGWAFVLCTTIFLAFAIIVALSKFGNIKLGRNDEAPEFSTFSWIAMMFAAGMGIGLMFYGVTEPLTHYRTGIPGNEPKNIGDAMSSTLLHWTLHPWAIYGIFGLAIAYSTFRLGRRQLLSSAFIP</t>
  </si>
  <si>
    <t>GC_00000710</t>
  </si>
  <si>
    <t>PF00815.25</t>
  </si>
  <si>
    <t>Histidinol dehydrogenase</t>
  </si>
  <si>
    <t>K00013</t>
  </si>
  <si>
    <t>histidinol dehydrogenase [EC:1.1.1.23]</t>
  </si>
  <si>
    <t>COG0141</t>
  </si>
  <si>
    <t>Histidinol dehydrogenase (HisD) (PDB:1K75)</t>
  </si>
  <si>
    <t>KEGG Orthology (KO)&gt;&gt;&gt;09100 Metabolism&gt;&gt;&gt;09105 Amino acid metabolism&gt;&gt;&gt;00340 Histidine metabolism [PATH:ko00340]|Enzymes&gt;&gt;&gt;1. Oxidoreductases&gt;&gt;&gt;1.1  Acting on the CH-OH group of donors&gt;&gt;&gt;1.1.1  With NAD+ or NADP+ as acceptor&gt;&gt;&gt;1.1.1.23  histidinol dehydrogenase</t>
  </si>
  <si>
    <t>-----------MSSLLNVIDLRGQTPTLSSLRRTLPRGGTDVDSVLGIVAPIVTEIREGGASVALDYGERFDHVRPKSVRVPQEIIDAAVAGLSQHVRLALEESIARVRTVHEAQRPKDHTTELAPGATVTEKFIAVERVGLYVPGGNAVYPSSVIMNVVPAQAAGVEGMVVASPPQAEHGGWPHPTILAACGMLGVDEIWAVGGAQAIALLAYGDEDSSEALVPVDMITGPGNIFVTAAKRLCRSVVGIDSEAG</t>
  </si>
  <si>
    <t>MDESKHKCWDVVFLMLNVVDLRGRTASISELRRTLPRGGTDVDSVLPVVEPLVREVRGRGAEAALEYGEKFDGVQPASIRVPADVIEQAACELDPKVTEALRESIARVRAVHAAQKPAGHTVELAAGGTVTEKFIPVERVGLYVPGGNAVYPSSVIMNVVPAQEAGVSSLVVASPPQAQFGGWPHPTILAACQLLGVQEVWAVGGAQAVALLAYGDE--PHQLEPVDMITGPGNIYVTAAKRLCRSVVGIDSEAGPTEIAIVADDTANPVSVAYDLISQAEHDVMAASVLITPSAQLAADVDREVEARYGVTLNAERVAQALRGEQSGIVLVDDLDAAIRVADAYAAEHLEIHTENAREVAERITNAGAIFVGEHSPVPLGDYSAGSNHVLPTSGTARHSSGLSTHTFLKSVHLIDYDEAALKDIADTVVTLADAEQLPAHGEAIRARFENL----</t>
  </si>
  <si>
    <t>MDESKHKCWDVVFLMLNVVDLRGRTASISALRRTLPRGGTDVDSVLPVVEPLVREVRGRGAEAALEYGEKFDGVQPASIRVPADVIEHAARDLDPKVTEALRESIARVRAVHAAQKPAGNTVELAAGGTVTEKFIPVERVGLYVPGGNAVYPSSVIMNVVPAQEAGVSSLVVASPPQAQFGGWPHPTILAACQLLKVQEVWAVGGAQAVALLAYGDD--THQLEPVDMITGPGNIYVTAAKRLCRSVVGIDSEAGPTEIAIVADDTANPVSVAYDLISQAEHDVMAASVLITPSAQLAADVDREVEARYGVTLNAERVAQALRGEQSGIVLVDDLDAAIRVADAYAAEHLEIHTENAREVAERITNAGAIFVGEHSPVPLGDYSAGSNHVLPTSGTARHSSGLSTHTFLKSVHLIDYDEAALKDIADTVVTLADAEQLPAHGEAIRARFENL----</t>
  </si>
  <si>
    <t>--------------MLNLINLQQKPLTTSELRRTLPRGGVDVDAVLPTVTPVVTAIRDHGVSAALDYGERFDHVRPESLQVPSTVIDQAVADLDPDLRAALEESIARVRAVHADQKPQPHTTELTAGGTVTEIFQPIARVGLYVPGGNAVYPSSVIMNVVPAQEAGVTSLVVASPPQADHNGWPHPTILAACGLLGVTEVWAIGGAQAVALMAYGDT----DLEPVDMITGPGNIYVTAAKRLVRGVVGIDSEAG</t>
  </si>
  <si>
    <t>--------------MLNLINLQQKPLTTSELRRTLPRGGVDVDAVLPTVTPVVTAIRDHGVSAALDYGEQFDHVRPESLQVPSTVIDQAVADLDPDLRAALEESIARVRAVHADQKPQPHTTELTAGGTVTEIFQPIARVGLYVPGGNAVYPSSVIMNVVPAQEAGVTSLVVASPPQADHNGWPHPTILAACGLLGVTEVWAIGGAQAVALMAYGDT----NLEPVDMITGPGNIYVTAAKRLVRGVVGIDSEAG</t>
  </si>
  <si>
    <t>GC_00000711</t>
  </si>
  <si>
    <t>COG1884</t>
  </si>
  <si>
    <t>Methylmalonyl-CoA mutase, N-terminal domain/subunit (Sbm) (PDB:6OXC)</t>
  </si>
  <si>
    <t>MTDNQSAAASELPE-LSTKYDAWYKAVAGVFARVQKKDVADVPLDVWKKLVRTTYDGIDINPLYTRQDELQEAAEPGVFPFVRGAQVSDPSRIGWGVTETFGSVPGVSPTEVNKQLLHALANGTTNIVIDLTQGLSAADLPAVLQDVYLDLAPIRLKAGAKVADAAQQIFSLVDAAGVAEGSVLELGACPLTAGFDETDTVSLDEAVELAVACSKRPGKVRAIVVDGVSLSNQGATDAQEVGFSLAAGVEYLRALTEAGLSAAEALEQITFRFAATDDQFAQIAKFRAARELWARVASVVGAPEAGSAPQHAVTAPLMFSQRDPWVNMLRSTVAAFAAGVGGATDVEVLPFDWAVKGGLEGTSRNFAHRIARNTNLLLLEESHLGFVVDPAGGSYFVEALTDELADKAWEVFTGVEANEGFITNTASGAVAEALDASFERLRADVAHRRKQITGINEFPNLGEKPLDASRRVEPKGVRRWAVDFAEMRNRSDAFFEANGQRPQVGLIPLGPLSKHNVRTGFSTNLLASGGIEALNPGQVVPGTEEFAAAARAADIAVICGTDPEYAESGVEAVKALREAGVSTVLLAGAPASFEGAEVAPDGYLNMKIDAAATLSELLDKLGA</t>
  </si>
  <si>
    <t>MTDTQSGAPNTLPEDFDAKQQAWYKSVAGVFARVQKKDVADIPLDVWKKLIKSTYDDIDINPLYTRADELDEVAAPGVFPFIRGSYVSDASRAGWGVTETFGTHG--TAADVNKLILHALNNGTTNVVLDLTGDLSADDLSTVLGDVYLDLVPLRLHAGTDTPAAATALYALIDAAGVAESTTVELGATPLTSRVDGSDTTSLDDAIALAVDASARPGDVRAIMIDGVALSNQGATDAQEVGMALAAGVDYLRALTAAGLTPEQALKQLSFRFAATDEQFEEIAKFRAARGLWARIAEVVGAPEAGSAPQHAITAPVMFSQRDPWVNMLRCTVAAFGGGVGGASDVEVLPFDYVVPGGMPGTSRTFASRIARNTNLLLLEESHLGFVVDPAGGSFFVEDLTDKLADKAWAVFTEIESHGGFTAAVASGAIATALDASHERTRADIARRVKKLTGINEFPNLGEQPLSDDRRVEPRGIRRWAAEFEALRNRSDVYLAAKGTRPQAVLIPLGPLAKHNIRTGFATNLLASGGIEALNPGQVVPGTPEFDTAAQSAPIAVICGTDAEYGETGVEAVQALRKAGVETVLLAGSPASFEGAEAAPDDYLNLKIDAAATLATLLDKLGA</t>
  </si>
  <si>
    <t>MTDTQSGAPNTLPEDFDAKQQAWYKSVAGVFARVQKKDVADIPLDVWKKLIKSTYDDIDINPLYTRADELDEVAAPGVFPFIRGSYVSDASRAGWGVTETFGTHG--TAADVNKLILHALNNGTTNVVLDLTGDLSADDLSTVLGDVYLDLVPLRLHAGTDTPAAATALYALIDAAGVAESTTVELGATPLTSRVDGSDTTSLDDAIALAVDASARPGDVRAIMIDGVALSNQGATDAQEVGMALAAGVDYLRALTAAGLTPEQALKQLSFRFAATDEQFEEIAKFRAARGLWARIAEVVGAPEAGSAPQHAITAPVMFSQRDPWVNMLRCTVAAFGGGVGGASDVEVLPFDYVVPGGMPGTSRTFASRIARNTNLLLLEESHLGFVVDPAGGSFFVEDLTDKLADKAWAVFTEIESHGGFTAAVESGAIATALDASHERTRADIARRVKKLTGINEFPNLGEQPLSDDRRVEPRGIRRWAAEFEALRNRSDVYLAAKGTRPQAVLIPLGPLAKHNIRTGFATNLLASGGIEALNPGQVVPGTPEFDTAAQSAPIAVICGTDAEYGETGVEAVQALRKAGVETVLLAGSPASFEGAEAAPDDYLNLKIDAAATLAALLDKLGA</t>
  </si>
  <si>
    <t>MTD----APNTLIE----KQQAWYKAVAGVFARVQKKDVADIPLDIWQKLIKTTYDGIPINPLYNRADELDEAALPGVFPYRRGAAGVGQENQGWGVAESF------DEKSTNQQVLDSLYNGTTNLVIQ-----GSADIATLLNGVYLSLCPVRLFAGVRTVEQAKALFAVADSQQ-ETPQLIELGATPLTSMVNGGATISLDDTIELAKQAAQR-DNTRAILVDAVTFSNQGATDAEEIGLALAAGVEYLRALTDAGFTVEQALDQISFRFATTDEQFAQIAKFRAARQLWARVAEIVGAPEHGTCPQHALTAPVMFTQRDPWVNMLRSTVAAFAAGVGGATDVEVLPFDWAIPGGLPKTSRSFARRIARNTNLLLLEESHLSHVIDPGGGSYFIEAFTTQLADKAWEVFTSVEAEGGLQQAIAAGTVAKLLDDAHEAQRKDIARRIKKITAINEFPNLAEAPLPADLRVEPSRVRRWAAEFEALRNRSDAYMEVRGTRPTAVLIPLGPLAKHNIRTGFATNLLASGGIEALNPGQVTPGTEEFTTAAKSAPIAVICGTDQEYDATGKDAYEALRAAGVDTILLAGSP----GHEFEPDGYLNMKIDAAATLAELLTKLGA</t>
  </si>
  <si>
    <t>MTD----APNTLIE----KQQAWYKAVAGVFARVQKKDVADIPLDIWQKLIKTTYDGIPINPLYNRADELEEAALPGVFPYRRGAAGVGQENQGWGVAESF------DEKSTNQQVLDSLYNGTTNLVIQ-----GSADIATLLNGVYLSLCPVRLFAGVRTVEQAKALFAVADSQQ-ETPQLIELGATPLTSMVNGGATISLDDTIELAKQAAQR-DNTRAILVDAVTFSNQGATDAEEIGLALAAGVEYLRALTDAGFTIEQALDQISFRFATTDEQFAQIAKFRAARQLWARVAEIVGAPEHGTCPQHALTAPVMFTQRDPWVNMLRSTVAAFAAGVGGATDVEVLPFDWAIPGGLPKTSRSFARRIARNTNLLLLEESHLSHVIDPGGGSYFIEAFTTQLADKAWEVFTSVEAEGGLQQAIAAGTVAKLLDDAHEAQRKDIARRIKKITAINEFPNLAEAPLPADLRVEPSRVRRWAAEFEALRNRSDAYMEVRGTRPAAVLIPLGPLAKHNIRTGFATNLLASGGIEALNPGQVTPGTEEFTTAAKSAPIAVICGTDQEYDATGKDAYEALRAAGVDTILLAGSP----GHEFEPDGYLNMKIDAAATLAELLTKLGA</t>
  </si>
  <si>
    <t>GC_00000712</t>
  </si>
  <si>
    <t>PF02934.20</t>
  </si>
  <si>
    <t>GatB/GatE catalytic domain</t>
  </si>
  <si>
    <t>K02434</t>
  </si>
  <si>
    <t>aspartyl-tRNA(Asn)/glutamyl-tRNA(Gln) amidotransferase subunit B [EC:6.3.5.6 6.3.5.7]</t>
  </si>
  <si>
    <t>COG0064</t>
  </si>
  <si>
    <t>Asp-tRNAAsn/Glu-tRNAGln amidotransferase B subunit (GatB) (PDB:3H0M)</t>
  </si>
  <si>
    <t>MGTQVKSLAMSLLMDYDDVVEQFDPVMGLEVHVELATETKMFSASSAHFGSAPNSNVDPVSLGLPGALPVVNAKGVEWAIKIGLALNCSIAESSRFARKNYFYPDQPKNYQISQYDEPIAYDGYLDVVLDDGTEWRVEIERAHMEEDTGKLTHLGGADGRIHGATSSLVDCNRAGIPLIEIVTKPIEGAGERAPEVARAYVSALRELVKALGVSDARMDQGSMRVDSNLSLKPKGQQEFGTRTETKNINSLKSVEQAVRYEMMRQAQVIVDGGTIIQETRHYQETDGSTTAGRLKETAEDYRYFNDPDLPPVIAPREWVEEIRATLPELPWVRKARIQKEWGLSDAEMRDLVNAGALELIIETVDAGTTPGEARSWWVSYLTQKANAADIELFDLAITPAQVAEVVSLINEGKLTNKLARQAVDGVLEGEGTVSEVVAARGLEVVRDDGAIEKAVDEALAANPDIVEKIRGGNAKAGGAIVGAVMKATRGKADPALVNKLIAEKTR-</t>
  </si>
  <si>
    <t>-----MTAAVYDLMDYDDVLEKYDPVMGMEVHVELATETKMFSASSAHFGAEPNSNVDPVSLGLPGALPVVNAKGVEWAIKIGLALNCSIAESSRFARKNYFYPDQPKNYQISQYDEPIAYDGYLDVVLDDGTEWRVEIERAHMEEDTGKLTHLGGADGRIHGATSSLVDCNRAGVPLIEIVTKPIEGAGERAPEVARAYVSALRDLVKALDVSDARMDQGSMRVDSNVSLRPKGTTEFGTRTETKNINSLRSVE</t>
  </si>
  <si>
    <t>-----MTAAVYDLMDYDDVLEKYDPVMGMEVHVELATETKMFSASSAHFGAEPNSNVDPVSLGLPGALPVVNAKGVEWAIKIGLALNCSIAESSRFARKNYFYPDQPKNYQISQYDEPIAYDGYLDVVLDDGTEWRVEIERAHMEEDTGKLTHLGGADGRIHGATSSLVDCNRAGVPLVEIVTKPIEGAGERAPEVARAYVSALRDLVKALGVSDARMDQGSMRVDSNVSLRPKGTTEFGTRTETKNINSLRSVE</t>
  </si>
  <si>
    <t>-----MTTAFDELMDYDDVLEQYEPVMGMEVHVELATETKMFSTSSARFGAEPNSHVDPVSLGLPGALPVVNAKGVEWAIKIGLALNCSIAESSRFARKNYFYPDQPKNYQISQYDEPIAYDGYLDVILDDGTEWRVEIERAHMEEDTGKLTHIGGTDGRIHGATSSLVDCNRAGVPLIEIVTKPIIGAGHRAPEVARAYVAALRDLVKALGVSDARMDQGSMRVDSNVSLKPIGATEFGTRTETKNINSLRSVY</t>
  </si>
  <si>
    <t>-----MTTAFDELMDYDDVLEQYEPVMGMEVHVELATETKMFSTSSARFGAEPNSHVDPVSLGLPGALPVVNAKGVEWAIKIGLALNCSIAESSRFARKNYFYPDQPKNYQISQYNEPIAYDGYLDVILDDGTEWRVEIERAHMEEDTGKLTHIGGTDGRIHGATSSLVDCNRAGVPLIEIVTKPIIGAGRRAPEVARAYVAALRDLVKALGVSDARMDQGSMRVDSNVSLKPIGATEFGTRTETKNINSLRSVY</t>
  </si>
  <si>
    <t>GC_00000713</t>
  </si>
  <si>
    <t>K04104</t>
  </si>
  <si>
    <t>acyl-CoA carboxylase subunit beta [EC:6.4.1.-]</t>
  </si>
  <si>
    <t>COG0777|COG0825</t>
  </si>
  <si>
    <t>Acetyl-CoA carboxylase beta subunit (AccD) (PDB:2F9I)|Acetyl-CoA carboxylase alpha subunit (AccA) (PDB:2F9I)</t>
  </si>
  <si>
    <t>Fatty acid biosynthesis|Fatty acid biosynthesis</t>
  </si>
  <si>
    <t>------------------------MSTQSKSTDSNAKTKHTSAKELISHVLDEGTFVSWDTPPDYGDIDDDYAASLSRAREKTGVDESVITGEGLVGGARVAFIVSEFGFLGGSIGAATARRIIASIHRATHERLPLLISPSSGGTRMQEGTPAFALMVSITTAVYRHKDANLPFLVYLRNPTTGGVMASWGSAGHFTFAEPNALLGFLGPRVVELTTGTPMPEGVQSGENLAEHGVIDGVVDPDQLRVAVLKII</t>
  </si>
  <si>
    <t>MQLTLGELDIFGAATPAGTPTYHNSCHLTCPSRYGVTMTHTSAHDLINKVLDPDSFISWDAPPDYGSISPSYEADLARAREKSGVDEAVITGEGTVGGVRVAFVLSEFSFLGGSIGAATARRIIAGIHRATELGLPLLISPSSGGTRMQEGSPAFAMMVSITTAVYRHKDKNLPFLVYLRNPTTGGVLASWGSAGHFTFAEPGALLGFLGPRVVELTTGTPIPEGVQTGENLARHGVIDGVISPSQLRTAVLKIVSVLFPAEKEEQDVDTGVLDTEV--SIERSAWESITITRNPERPGLRDLVEAL-SPNTVALSGTGDGRTSRAVTVMLARIGSRPVVLIGQDRHKQPPLGRHSLGPSALRMARRGIQLAHELQLPLISIIDTPGAELSQHAEENAMAGSIARTLGELVDVDVPTVSIILGQGCGGGALAMLPSDRVLAAENAWLSPLPPEGASAIIYRDTSHAPRMMEEQRVSARALVSAGIVDDIIPEKGDAAAEPEEFVRRTMFYIEHTIKELETSPQRVGREQRFQHYESLAKRLI--</t>
  </si>
  <si>
    <t>MQLTLGELDIFGAATPAGTPTYHNSCHLTCPSRYGVTMTHTSAHDLINKVLDPDSFISWDAPPDYGSISPSYEADLARAREKSGVDEAVITGEGTVGGVRVAFVLSEFSFLGGSIGAATARRIIAGIHRATELGLPLLISPSSGGTRMQEGSPAFAMMVSITTAVYRHKDKNLPFLVYLRNPTTGGVLASWGSAGHFTFAEPGALLGFLGPRVVELTTGTPIPEGVQTGENLARHGVIDGVISPSQLRTAVLKIVSVLFPAEKEEQDVDTRVLDTEV--SVERSAWESITITRNTERPGLRHLVEAL-SPNTVALSGTGDGRTSRAVTVMLARIGSRPVVLIGQDRHKQPPLGRHPLGPSALRMARRGIQLAHELQLPLISIIDTPGAELSQHAEENAMAGSIARTLGELVDVDVPTVSIILGQGCGGGALAMLPSDRVLAAENAWLSPLPPEGASAIIYRDTSHAPRMMEEQRVSARALVSAGIVDDIIPEKGDAAAEPEEFVRRTMSYIEHTIKELETSPQRVGREQRFQHYESLAKCLI--</t>
  </si>
  <si>
    <t>-------------------------------------MTHITAQQLIDEVLDPHTFQSWDETPHYGTISDDYRAAIDRAKTKSGVDEAVITGEGMISGTRVAFVLSEFTFLGGSIGAATARRIITAIHRATAEQLPLLISPSSGGTRMQEGTPAFALMVSITTAVYRHKDAHLPFIVYLRNPTTGGVMASWGSAGHITFAEPGALLGFLGPRVVELTTGKTIPAGIQQGEHLAQHGVIDGVISPKQLRAAVQKLA</t>
  </si>
  <si>
    <t>-------------------------------------MTHITAQQLIDEVLDPHTFQSWDETPHYGTISDDYQAAIDRAKTKSGVDEAVITGEGMISGTRVAFVLSEFTFLGGSIGAATARRIITAIHRATAEQLPLLISPSSGGTRMQEGTPAFALMVSITTAVYRHKDAHLPFIVYLRNPTTGGVMASWGSAGHITFAEPGALLGFLGPRVVELTTGKTIPTGIQQGEHLAQHGVIDGVISPKQLRAAVQKLA</t>
  </si>
  <si>
    <t>GC_00000714</t>
  </si>
  <si>
    <t>PF02355.23</t>
  </si>
  <si>
    <t>Protein export membrane protein SecD/SecF, C-terminal</t>
  </si>
  <si>
    <t>K03074</t>
  </si>
  <si>
    <t>preprotein translocase subunit SecF</t>
  </si>
  <si>
    <t>COG0341</t>
  </si>
  <si>
    <t>Preprotein translocase subunit SecF (SecF) (PDB:2FYH) (PUBMED:28830929)</t>
  </si>
  <si>
    <t>MNTTPDTKVSVAQRMLTGAGGLDFVGRRKTWYSITAVVIVVCFAAIILRGFSLGIDFSGGTKMNMPAGGINPSSVSQTFEEATGVEPEQVQVVGSGESRILEINSQRLDQSQIDAARLALFDAYQPKDSTGTASPDAIGDSTVSESWGSTITHRMLLSLGIFLVLIFGYITLRFERDMAISAIAALGVDGIVIAGIYAITGFEVTPATVIGWLTVLAFSLYDTVVVFDKVKENAAGFLGSRRRTYAELANAAVNQTVMRSISTTLFSAIPIASLMVVAVWLMGVGTLKDLALVQLIGVVEGTFSSIFLATPFLVSLKSRQAKIRKHDAAV--LRARV---QVAGEEPGDLVDASVDVVEESE--KRHVSLA---QDPDAGLTWRP----</t>
  </si>
  <si>
    <t>-----MTNAGTLSRLYTGEGGLDFVGRRRLWYSITGVLLLVCLLAIIFRGFTLGIDFQGGTKMNMPAGDTETSQVEEVFTQATGVTPQLVQVVGSGDSRILEINSERLTDDQINKARSALFERFQPKDATGVANPDAVGDSTVSESWGSTITYRMLIALGVFFILIFLYIAFRFERDMAIAALAALGVDAVVIGGTYALIGFEVSPATIIGLLTVLAFSLYDTVVVFDKVKENTAGLLDSRRRTYAEQANLAVNQ</t>
  </si>
  <si>
    <t>-----MTNTGTLSRLYTGEGGLDFVGRRRLWYSITGVLLLVCLLAIIFRGFTLGIDFQGGTKMNMPAGDTETSQVEEVFTQATGVTPQLVQVVGSGDSRILEINSERLTDDQINKARSALFERFQPKDATGVANPDAVGDSTVSESWGSTITYRMLIALGVFFILIFLYIAFRFERDMAIAALAALGVDAVVIGGTYALIGFEVSPATIIGLLTVLAFSLYDTVVVFDKVKENTAGLLDSRRRTYAEQANLAVNQ</t>
  </si>
  <si>
    <t>-----MSSPSTATQIFTGDGNIDFVDKRRTAYWATLAIIVVCLLGITLRGFNLGIDFEGGTKMNMPAANLETSQVEETFTKATGVDPEQVQIVGSGDTRILEINSKRLTQGQIDAARQALFDAYKPVNSAGQQTPDAIGDSTVSESWGSTITNRMLMSMGVFLIAAFAYIAIRLQREMAVAAILALFVDLITITGLYAIAGFEVTPATVIGLLTVLAFSLYDTVIVFDKVRENTAGYLGNKRMTYGEHANLAINQ</t>
  </si>
  <si>
    <t>GC_00000715</t>
  </si>
  <si>
    <t>PF01790.23</t>
  </si>
  <si>
    <t>Prolipoprotein diacylglyceryl transferase</t>
  </si>
  <si>
    <t>K13292</t>
  </si>
  <si>
    <t>phosphatidylglycerol---prolipoprotein diacylglyceryl transferase [EC:2.5.1.145]</t>
  </si>
  <si>
    <t>COG0682</t>
  </si>
  <si>
    <t>Prolipoprotein diacylglyceryltransferase (Lgt) (PDB:5AZB)</t>
  </si>
  <si>
    <t>KEGG Orthology (KO)&gt;&gt;&gt;09190 Not Included in Pathway or Brite&gt;&gt;&gt;09191 Unclassified: metabolism&gt;&gt;&gt;99980 Enzymes with EC numbers|Enzymes&gt;&gt;&gt;2. Transferases&gt;&gt;&gt;2.5  Transferring alkyl or aryl groups, other than methyl groups&gt;&gt;&gt;2.5.1  Transferring alkyl or aryl groups, other than methyl groups (only sub-subclass identified to date)&gt;&gt;&gt;2.5.1.145  phosphatidylglycerol---prolipoprotein diacylglyceryl transferase</t>
  </si>
  <si>
    <t>MTQELFAAIPSPPQGVWHLGPIPIRAYALCIMTGVIVAILWSRKRYAARGGDPEVVMDAAVYVIIFGLIGGRAYHVLTQWDSYFCSDCQPLRVFNLTEGGLGILGAISLATVAVWLRFRRLGLSFATFADAVAPTIAVAQAIGRLGNWFNQELYGRETTVPWGLEIYRRVDDTGHYAPLSGHSTGEVLTVVHPTFLYEGLCSLAVAAILVWADRRFSLTGGRLFALYAVGYSVSRLWVESMRSDPANHIMGLRVNTVMYAIV-LLCAVAFFLL-RGSAMRA--RALQEANQRTSDDARG</t>
  </si>
  <si>
    <t>MIVENLSLIPSPPQGVWYLGPIPIRAYALCIITGIIAAVWLSRRRYVARGGDPEVVMDATLVLVPAGIIGGRLYHVITDSDQYFCSDCNPMQVFNIASGGLGIWGAVTLGTLAVAVMMRVKKLPFAPLADAAAPGIILAQAIGRLGNWFNQELYGRPTSVPWGLEIYNRVDDAGKVAPMTGHSTGEVLAVVHPTFLYEMLWNLLICAVLLWVDRRFRMDRGRLFALYVVGYTLGRFWIELMRSDAATLILGLRVNTIVSAVV-LLAGVAYLVITRRRGEKN--TGVTGDTSTV------</t>
  </si>
  <si>
    <t>MIVENLSLIPSPPQGVWYLGPIPIRAYALCIITGIIAAVWLSRRRYVARGGDPEVVMDATLVLVPAGIIGGRLYHVITDSDQYFCSDCNPMQVFNIASGGLGIWGAVTLGTLAVAVMMRVKKLPFAPLADAAAPGIILAQAIGRLGNWFNQELYGRPTSVPWGLEIYNRVDDAGKVAPMTGHSTGEVLAVVHPTFLYEMLWNLLICAVLLWVDRRFRMDRGRLFALYVVGYTLGRFWIELMRSDAATLILGLRVNTIVSAVV-LLAGVAYLVITRRRGGKN--TGVTGDTSTV------</t>
  </si>
  <si>
    <t>MTETILALIPSPPQGVWHLGPVPIRAYALCIIAGIIVALWIGQKRYAARGGEREIVLDAAIVAVPTGIIGGRLYHVMTDYDKYFCSTCDPVDALKITNGGLGIWGAVVLGTVSVYAYLRLKKIPFAPFADALAPAVVLAQAIGRLGNWFNQELFGAETTVPWGLKIFNRVDELGNYAPVTGHSTGEVLQVVHPTFLYELLWNVLVFGFLILVDRKFTLGHGRVFALYVAGYTLGRTVIESMRTDPATMVFGLRINFIVSIVVFIIAVVVFFLLKRGRETQDEVRGVSLSTSSEPESAEK</t>
  </si>
  <si>
    <t>MTETILALIPSPPQGVWHLGPVPIRAYALCIIAGIIVALWIGQKRYAARGGEREIVLDAAIVAVPTGIIGGRLYHVMTDYDKYFCSTCDPVDALKITNGGLGIWGAVVLGTVSVYAYLRFKKIPFAPFADALAPAVVLAQAIGRLGNWFNQELFGAETTVPWGLKIFNRVDELGNYAPVTGHSTGEVLQVVHPTFLYELLWNVLVFGFLILVDRKFTLGHGRVFALYVAGYTLGRTVIESMRTDPATMVFGLRINFIVSIVVFIIAVVVFFLLKRGRETQDEVRGVSLSTSSEPESAEK</t>
  </si>
  <si>
    <t>GC_00000716</t>
  </si>
  <si>
    <t>PF00406.28</t>
  </si>
  <si>
    <t>Adenylate kinase</t>
  </si>
  <si>
    <t>K00939</t>
  </si>
  <si>
    <t>adenylate kinase [EC:2.7.4.3]</t>
  </si>
  <si>
    <t>COG0563</t>
  </si>
  <si>
    <t>Adenylate kinase or related kinase (Adk) (PDB:1AK2)</t>
  </si>
  <si>
    <t>KEGG Orthology (KO)&gt;&gt;&gt;09100 Metabolism&gt;&gt;&gt;09104 Nucleotide metabolism&gt;&gt;&gt;00230 Purine metabolism [PATH:ko00230]|KEGG Orthology (KO)&gt;&gt;&gt;09100 Metabolism&gt;&gt;&gt;09108 Metabolism of cofactors and vitamins&gt;&gt;&gt;00730 Thiamine metabolism [PATH:ko00730]|Enzymes&gt;&gt;&gt;2. Transferases&gt;&gt;&gt;2.7  Transferring phosphorus-containing groups&gt;&gt;&gt;2.7.4  Phosphotransferases with a phosphate group as acceptor&gt;&gt;&gt;2.7.4.3  adenylate kinase|Exosome&gt;&gt;&gt;Exosomal proteins&gt;&gt;&gt;Exosomal proteins of other body fluids (saliva and urine)</t>
  </si>
  <si>
    <t>MRLVLLGPPGAGKGTQAAILTEKLGVPHISTGDLFRANIGEGTPLGKEAKEYIDAGKLVPTDVTARMVEDRLSQDDAAEGFLLDGFPRTVEQADLLAEMLERHGVKLDGVINYQVDEDTVVERMLGRGRADDNEETIRTRLQVYRNETAPLIDHYGDAVISIKAEGSVEEINEATLKAL---GK</t>
  </si>
  <si>
    <t>MRLVLLGPPGAGKGTQAAILSDKLGVPHISTGDLFRANIGEGTPLGVEAKQYIDAGKLVPTDVTARMVASRLAEADTANGFLLDGFPRTVEQAELLKDILADAGVSLDGVVEFRVSEDVVVERMLARGRADDNEETIRTRLGVYRDETAPLIEYYGDRLITINAEGSVEDINARTLEALETVGK</t>
  </si>
  <si>
    <t>MRLVLLGPPGAGKGTQAAILSNKLGVPHISTGDLFRANIGEGTPLGVEAKQYIDAGKLVPTDVTARMVASRLAEADTANGFLLDGFPRTVEQAELLKDILADAGVSLDGVVEFRVSEDVVVERMLARGRADDNEETIRTRLGVYRDETAPLIEYYGDRLITINAEGSVEDINARTLEALETVGK</t>
  </si>
  <si>
    <t>MRLVLLGPPGAGKGTQAVILSEKLGVPHISTGDLFRANIGDGTPLGLEAKSYIDAGKLVPTDVTARMVKERLAEDDARDGFLLDGFPRTVEQAEILDGFLTEAGVALDGVVNFQVSEDVVVDRMLARGRADDNEETIRTRLQVYRSETAPLIEHYADRIITIPAEGTVEEINAATMAAL---GK</t>
  </si>
  <si>
    <t>MRLVLLGPPGAGKGTQAVILSEKLGVPHISTGDLFRANIGDGTPLGLEAKSYIDAGKLVPTDVTARMVKERLAEDDARDGFLLDGFPRTVEQAEILDGILTEAGVVLDGVVNFQVSEDVVVDRMLARGRADDNEETIRTRLQVYRNETAPLIEHYADRIITIPAEGTVEEINAATMAAL---GK</t>
  </si>
  <si>
    <t>GC_00000717</t>
  </si>
  <si>
    <t>K18917</t>
  </si>
  <si>
    <t>mycoredoxin [EC:1.20.4.3]</t>
  </si>
  <si>
    <t>KEGG Orthology (KO)&gt;&gt;&gt;09190 Not Included in Pathway or Brite&gt;&gt;&gt;09191 Unclassified: metabolism&gt;&gt;&gt;99980 Enzymes with EC numbers|Enzymes&gt;&gt;&gt;1. Oxidoreductases&gt;&gt;&gt;1.20  Acting on phosphorus or arsenic in donors&gt;&gt;&gt;1.20.4  With disulfide as acceptor&gt;&gt;&gt;1.20.4.3  mycoredoxin</t>
  </si>
  <si>
    <t>MAVFKKWGQLCTPVAAALFFRHYGTMSEAHVTLYTTTWCPFCQKLVKNLDRTNTPYVNIDVEDDLEAAEWVKSVNDGNRVVPTVKYSDGSYATNPPASEVRAKVEELSN---</t>
  </si>
  <si>
    <t>---------------------------MNELTLYTTTWCPFCQRLTSDLDAAGVTYVNIDVDEDEAAGEWVKSVNDGNRIVPTVKYPDGSHATNPRARAVMRKLDELAG---</t>
  </si>
  <si>
    <t>---------------------------MNELTLYTTTWCPFCKRLTSDLDAAGVTYVNIDVDEDEAAGEWVKSVNDGNRIVPTVKYPDGSHATNPRARAVMRKLDELAG---</t>
  </si>
  <si>
    <t>GC_00000718</t>
  </si>
  <si>
    <t>K03529</t>
  </si>
  <si>
    <t>chromosome segregation protein</t>
  </si>
  <si>
    <t>COG1196</t>
  </si>
  <si>
    <t>Chromosome segregation ATPase Smc (Smc) (PDB:5XG3)</t>
  </si>
  <si>
    <t>MHLKSLTLKGFKSFASATTLKFEPGICAVVGPNGSGKSNVVDALAWVMGEQGAKTLRGGKMQDVIFAGAGDRKPLGRAEVTLTIDNSDGALDIDYSEVSITRRMFRDGASEYEINGAKARLMDIQELLSDSGIGREMHVIVGQGRLAQILESRPEERRAFIEEAAGVLKHRRRKEKAQRKLVSMQANVDRLHDLTDELKRQLKPLARQAQAASRAATVQATVRQARLVLAADQITTLRAQVDSSEHDVALVAEQLAEVTAQADEAAARREELERVVEELEPKVAAAQQRWFDCSALFERTQATERIARERASNTGQLSAYQGPDPEELQARADQADAQLEQLEQQVVIATERCEVIADQAAEVEQTARDAEREHMAQVRAIADRREGVIKLIAAAESLEARREQAAADAESLEEQAEEAFERVEVTRRALEQLVDTQASSSSTREPLAQADAQAQSEAKAAEARVDELTARERELERTVSRLQATIDTLGSQVRQQSA----SAADHVGT---LAPVAEFLSAE----DGFDKALASALGDFASAFVARDVPASAHKLAEALAGIDDAAVDRVALLSPG-NAQSWRLDIDLPAGASWLLDHIDFKDSDGQGHGVSPVAVALNRILVDVAVVESTAQAIDVVVTEPRLRVVTPSGRLFGQGWCVVGQGSPTPVEVGADIARAQAQLAAVTEELEQMQGTLAGARTAAQDARIAAATAASKIKEHDAAVTALEREHNQAANAHEHAKKAHEKITARLVAAQQRVADIEQQLAEANDRLERVEQPEDAEEPSTAERDQAQAELAQIKAMEMEARLSVRTAEERAHQARGHGEALRRQAQQSLEARAAHDKAMAAKQHQARVAEVVMECATILAQRLETEISEATATRDQLAEQKNTASAALAQAKDAAHTLEVHKALLSDKNHAADVARSRAQVRAEEAEATVVEQLGLSVEELLADNPIDEDFDREHWQRTLKKAEKDLQALGKVNPLALEEYKALQERFEYLNTQLADVEQARADLRDVINEVDDKILQLFSDAWADVEAAFPEVFSTLFPGGEGRLVLTDPDDMLTTGIEVEARPPGKRVRRLSLLSGGEKSLTALAMLVAIFKARPSPFYVMDEVEAALDDVNLRRLINLFEQLRQSSQLIVITHQKPTMDVANVLYGVTMRGDGVTRVISQRMSPA-------------</t>
  </si>
  <si>
    <t>----------------------------MVGPNGSGKSNVVDALAWVMGEQGAKTLRGGKMEDVIFAGAGDRKPLGRAEVTLTIDNSDGALPIDYSEVSVTRRMFRDGASEYEINGARARLMDIQELLSDSGIGREMHVIVGQGRLSQILESRPEERRAFIEEAAGVLKHRRRKEKAQRKLVGMQANLDRLTDLTTELGRQLKPLARQAEAARRAQTVQAELRDARLKLAADELVRLSESLSSATSKAEMLAEQV</t>
  </si>
  <si>
    <t>MYLKSLTLRGFKSFASATTLKFEPGICVVVGPNGSGKSNVVDALAWVMGEQGAKTLRGGKMEDVIFAGAGGRKPLGRAEVTLTIDNSDGALDIDYTEVSVTRRMFRDGASEYEINGSKARLMDIQELLSDSGIGREMHVIVGQGRLSQILESRPEERRAFIEEAAGVLKHRRRKEKAQRKLVSMQANLDRLTDLTGELRRQLKPLARQAEAARRAATVQADLREARLRLAGYELTQLQEKLGSAEEQTAMLLAQVEEVTTQLDAATEIHTNLEAELAVAAPAADAAQQLWFDLSSLVERISATKRIADDRVGSFQETP-YAGQDPDQLERRAQRAAAEYQELATHVEIAAERLDNMRDEVAIRQEAADQADREHLAQVRALADRREGIVRLLAQEESQRAQVTALEEEITRHNELVAETLTRLQEAEAQHQELGETLARLTLDTEPLRETHVRADAEAKAAEQRLEQVRSQQQNLERHVSRLESRIETLRATVPVTHGALSDSLTKASGITHEFTPLAQHITIRPTAPAGVDGALALALGALSEAVTGTTRLDATTRNVLATIP---ESVPRTAVILPG-TGGIWHLDADLPADAAWLIDHIDVDAD---------YAATVSRLLADVVWAETLDSACAIVDADARLKAVTPAGVFVGDGWFIAGRGTRGAVEITAQIATAQAELADAHADLNQLAGTFAGAKQAAEDARIRAAGATSALREQETRVAELTRDLKRLKSQVTANRKEYERTTGHAMQAATRLAELQHKLADTTDRLARVEEDTDLEEPTTQARDAAAQALAQVKAMELEAQLALRTAEERAESVRGKSTNLFRQAEQERQAKARHEQAMARRRAQAALARVVADAARDLLARATDATERATSDRDAAITRRNQVQTRLATAKDQVTALRTQQTRLTDNAHNMEIARSQAQVRMEEAQTKLVEQLGVPVTDIMRDYTPGPEFDLKQEKARLKQAEKDLSSLGKVNPLALEEYKALEERYEFLSTQLDDVEQARKDLTDVIEDVDAKILQLFTDAWLDVQAEFPKVFATLFPGGEGRLVLTEPGSMLTTGIEVEARPPGKKVKRLSLLSGGEKSLTALAMLVAIFRARPSPFYVMDEVEAALDDVNLRRLIALFVELRKDSQLIVITHQKPTMDVANVLYGVTMRGDGITRVISQRMTPGDLANPPAPQSSQS</t>
  </si>
  <si>
    <t>MYLKSLTLRGFKSFASATTLKFEPGICVVVGPNGSGKSNVVDALAWVMGEQGAKTLRGGKMEDVIFAGAGGRKPLGRAEVTLTIDNSDGALDIDYTEVSVTRRMFRDGASEYEINGSKARLMDIQELLSDSGIGREMHVIVGQGRLSQILESRPEERRAFIEEAAGVLKHRRRKEKAQRKLVSMQANLDRLTDLTGELRRQLKPLARQAEAARRAATVQADLREARLRLAGYELTQLQEKLGSAEEQTAMLLAQVEEVTTQLDVATEIHTNLEAELAVAAPAADAAQQLWFDLSSLVERISATKRIADDRVGSFQETP-YAGQDPDQLERRAQRAAAEYQELATHVEIAAERLDNMRDEVAIRQEAADQADREHLAQVRALADRREGIVRLLAQEESQRAQVTALEEEITRHDELVAETLTRLQEAEAQHQELGETLARLTLDTEPLRETHVRADAEAKAAEQRLEQVRSQQQNLERHVSRLESRIETLRATVPVTHGALSDSLTKASGVTHEFTPLAQHITIRPTAPAGVDGALALALGALSEAVTGTTRLDATTRNALATIP---ESVPRTAVILPG-TGGIWHLDADLPADAAWLIDHIDVDAD---------YAATVSRLLADVVWAETLDSACAIVDADARLKAVTPTGVLVGDGWFIAGRGTRGAVEITAQIATAQAELADAHADLNQLAGTFAGAKQAAEDARIRAAGATSALQEQETRVAELTRDLKRLESQVTANRKEYERTTGHAMQAATRLAELQHKLADTTDRLARVEEDTDLEEPTTQARDAAAQALAQVKAMELEAQLALRTAEERAESVRGKSTNLFRQAEQERQAKARHEQAMARRRAQAALARVVADAARDLLARATDATERATSDRDAAITRRNQVQTRLATAKDQVTALRTQQTRLTDNAHNMEIARSQAQVRMEEAQTKLVEQLGVPVTDIMRDYTPGPEFDLKHEKARLKQAEKDLSSLGKVNPLALEEYKALEERYEFLSTQLDDVEQARKDLTDVIEDVDAKILQLFTDAWLDVQAEFPKVFATLFPGGEGRLVLTEPGSMLTTGIEVEARPPGKKVKRLSLLSGGEKSLTALAMLVAIFRARPSPFYVMDEVEAALDDVNLRRLIALFVELRKDSQLIVITHQKPTMDVANVLYGVTMRGDGITRVISQRMTPGDLANPPAPQSSQS</t>
  </si>
  <si>
    <t>GC_00000719</t>
  </si>
  <si>
    <t>PF05649.18</t>
  </si>
  <si>
    <t>Peptidase family M13</t>
  </si>
  <si>
    <t>K07386</t>
  </si>
  <si>
    <t>putative endopeptidase [EC:3.4.24.-]</t>
  </si>
  <si>
    <t>COG3590</t>
  </si>
  <si>
    <t>Predicted metalloendopeptidase (PepO) (PDB:1DMT)</t>
  </si>
  <si>
    <t>ko01002</t>
  </si>
  <si>
    <t>Peptidases and inhibitors&gt;&gt;&gt;Metallo peptidases&gt;&gt;&gt;Family M13: neprilysin family</t>
  </si>
  <si>
    <t>MDDLYRSINGRWLDTHEIPADRASDGNFHQLRDQAEEQVHAIVREG-DGLACALYRSFMDESAI--PGVEALADDFSLVD-VASVADFLRGAGQLDRVGVGGPVACYVAKSAADEQVVLYVYQSGLGLPDEAYYREASHAPVLEAYRAHIARMLPFAKEFLAGEWASAERELAGNADGAALHNDSTENNGATKNNDAAVAAVLADRIIALETDLARGHVDVVAARDAEARFNPGTVADLPGSAQALLLAMGAQADWPINNAMPDYLTHLDGLLTEERLPDFILAAKWNILASRAGLLRDEISKANFEFFGTQLTGATQQRDRWKRAVGLAENLVGFSIGKEFVQRHFPAASKIAMDGLVEQLLDAYRQRISQLGWMTEATREKALVKLGSFKAKIGYPETWIDYEGLEFSASGADVVANVRAGSEWNHDYSLSKVGKPADRDEWVTTPQTVNAFYNPVVNDITFPAAILQPPFFDVDADPAANFGAIGAVIGHEIGHGFDDQGSKYDEVGNLNSWWSDEDRAAFESLTEVLVEQFDGLVPSALQGSAGAAGAEGTDAASAGVNGRFTLGENIGDLGGLGIAVVAYRNLMEERG-----------------------EQPNYVELFNSWARVWRNKVRPEMAAQLLAMDPHSPAEFRCNVIAANIPEFYEAFPETDESSPMWIDPERRLTIW</t>
  </si>
  <si>
    <t>MHDLYRLVNGPWLDTHTIPDDRGVDGTFHALRDTAEADVRAIVEES-TGLAGTLYQSFMDTDAINSAGTAPLAEDFALID-VPTITDFLPALGALDRTGVGSPLGFYVTKDSDGDNNVLYLAQSGLGLPDEAYYRDPDHADTLADYEHHIATMLAFLDD---------------------------EQLGGVTPVDA------ARRIVELEKDIAAGHWDVVDSRDSLKTFNPTDFADLPETVRSILLASGV-PELKLINMMPSFVQHLDRLFTEDRLEDWKLWATWHILLNRAGLLTDDISRTNFDFYGTKLSGATEQRERWKRGVGLAENHVGEEIGQEFVARHFAPEYKAHMLELVDYLLAAYKERISALPWMTEETREKALVKLSKFRAKIGYPEVWRSFEGLSFNPSGASLVANARAGSAFTHDYELGKLGKPVDRDEWVTTPQTVNAFYHPVLNDVTFPAAILRPPFYSPDADAATNFGAIGAVIGHEIGHGFDDQGSQYDGDGNLNSWWSDKDRTAFEELTGKLVTQFDGKVPAVL-----------ADTDSKGVNGKFTLGENIGDLGGLGIAVVAYKRYLADHGKDFSTTERMTVDIAGSDPSMQDVEYNGLQRLFLSWARIWRTKIRPELATQYLAVDPHSPAEFRCNIIAANVAEFYDAF-DVDPESGTWIAPNDRVTIW</t>
  </si>
  <si>
    <t>MHDLYRLVNGPWLDTHTIPDDRGVDGTFHALRDTAEADVRAIVEES-TGLAGTLYQSFMDTDAINSAGTVPLTEDFALID-VPTITDFLPALGALDRTGVGSPLGFYVTKDSDGDNNVLYLAQSGLGLPDEAYYRDPDHADTLADYEHHIATMLAFLDD---------------------------EQLGGVTPVDA------ARRIVELEKDIAAGHWDVVDSRDSLKTFNPTDFADLPETVRSILLASGV-PELKLINMMPSFVQHLDRLFTEDRLEDWKLWATWHILLNRAGLLTDDISRTNFDFYGTKLSGATEQRERWKRGVGLAENHVGEEIGQEFVARHFAPEYKAHMLELVDYLLAAYKERISALPWMTEETREKALVKLSKFRAKIGYPEVWRSFEGLSFNPSGASLVANARAGSAFTHDYELGKLGKPVDRDEWVTTPQTVNAFYHPVLNDVTFPAAILRPPFYSPDADAATNFGAIGAVIGHEIGHGFDDQGSQYDGDGNLNSWWSDKDRTAFEELTGKLVTQFDGKVPAVL-----------ADTDSKGVNGKFTLGENIGDLGGLGIAVVAYKRYLADHGKDFSTTERMTVDIAGSDPSMQDVEYNGLQRLFLSWARIWRTKIRPELATQYLAVDPHSPAEFRCNIIAANVAEFYDAF-DVDPESGTWIAPNDRVTIW</t>
  </si>
  <si>
    <t>MTDLFRFVNEGWLATHAIPDDRPIDGTFYQLRDQAELDVYEIVKNSPDSRAGKLFHSFMDTEAIEAAGIAPLDPDLQLIDAVTSVDELVAAFVKLCRTGVDVPVGAYVAKDSGSDDAIPYLAQAGLGLPDEAYYREPMHQQTLTAYQQHVGTMLAFLG------------------------------------LDATA----AERVVALEKDIAAGHWDVVSARDAVKTYNPTALADLPGPVRDLMAGILQGTTDKVIVRMPSFLDHVAGLLTADRLDDWKLWAKWHVLRGRAGLLTDEISQANFAFYGTVLTGTPVQRDRWKRGLDLANGYVGQEIGQLFVAEHFPESSKTEMVELVDYLVKAYHERISQLPWMTPATRERALEKLAKFQAKIGYPDKWRDYTGLEFESDGSALVENVRRGSAFLHDYELNKVSKPYDRSEWFSTPQTVNAFYNPTVNDITFPAAILRLPFYSPDADAAENFGAIGAVIGHEIGHGFDDQGSQYDGDGNLHSWWSDEDRAAFTERTAKLVDQFQGLVPTSVRE---------AGIETTGVNGEFTLGENIGDLGGLGIAIVAYRMYLADRGLTLADAPVRPFVAEGGSPELAKHEFSGLQRLFLAWSHVWRSKTRPELDVQLMASDPHSPSEFRCNVIAGNVAELYEAF-EVPADAPMFIAPENRVTIW</t>
  </si>
  <si>
    <t>MTDLFRFVNEGWLATHAIPDDRPIDGTFYQLSEQAELDVYEIVKNSPDSRAGKLFHSFMDTEAIEAAGIAPLDPDLQLIDAVTSVDELVAAFVKLCRTGVDVPVGAYVAKDSGSDDAIPYLAQAGLGLPDEAYYREPMHQQTLAAYQQHVGTMLAFLG------------------------------------LDATA----AERVVALEKDIAAGHWDVVSTRDAVKTYNPTALADLPGPVRDLMVGILQGTTDKVIARMPSFLDHVAGLLTADRLDDWKLWAKWHVLRGRAGLLTDEISQANFAFYGTVLTGTPVQRDRWKRGLDLADSYVGQEIGQLFVAKHFPESSKTEMVELVDYLVKAYHERISQLPWMTPATRERALEKLAKFQAKIGYPDKWRDYTGLEFESDGAALVENVRRGSAFLHDYELNKVSKPYDRSEWFSTPQTVNAFYNPTVNDITFPAAILRPPFYSPDADAAENFGAIGAVIGHEIGHGFDDQGSQYDGDGNLHSWWSDEDRAAFTERTAKLVDQFQGLVPTSVRE---------AGIETTGVNGEFTLGENIGDLGGLGIAIVAYRMYLADRGLTLADAPVRPFVAEGGSPELAKHEFSGLQRLFLAWSHVWRSKTRPELDVQLMASDPHSPSEFRCNVIAGNVAEFYEAF-EVPADAPMFIAPENRVTIW</t>
  </si>
  <si>
    <t>GC_00000720</t>
  </si>
  <si>
    <t>PF17991.7</t>
  </si>
  <si>
    <t>Thioredoxin like C-terminal domain</t>
  </si>
  <si>
    <t>O|C|O</t>
  </si>
  <si>
    <t>Posttranslational modification, protein turnover, chaperones|Energy production and conversion|Posttranslational modification, protein turnover, chaperones</t>
  </si>
  <si>
    <t>COG0526|COG0785</t>
  </si>
  <si>
    <t>Thiol-disulfide isomerase or thioredoxin (TrxA) (PDB:1XFL)|Cytochrome c biogenesis protein CcdA (CcdA) (PDB:5VKV)</t>
  </si>
  <si>
    <t>MWELAAIGLIGGVVTGISPCILPVLPVVLAVTTGERARPFRVVAGIALSFSAITLLGTVVLGALGLPTGILRWVGITLLVLVGLGMIVPQLGHLVDKPFEYLPRPVFLQNKARGRGGFVVGMALGAVYVPCAGPVLAAVTVAGATGDIGWSTVVLTVAFALGASAPLLVFALAGNKIGERIDAAQKNRTIMRGAAGSVVLVLALALAIDAPARIQRALPDWTASAQRSLGDNSQVQEALGAVRNGASTSGGGSLDSCRDADPGELHDCGVAPAFAGLSGWLNTDEPVDPTK--QVTLVDFWAYACINCQRANQHVTALYDTYRDYGLQVVGLHAPEYGFEHEAANVQAATKEQNIHYPVAQDNDFATWKNYNNRYWPAHYLIDSHGKVRQIHEGEGAYADTEKLVRTLLKEANPDVELPDPIETSGADGGRAAEGTEGHRNPETYLGTARARYYANPGSKYVTGVQTFEEVEKPDRYFYTLGGTWNLKSDSITPAASEGASLTLNFRAAVVQLVASGHGVLKVTYPDGSTKDIPVPDVPGSIDLIRGDSAQEGLLNVSVPEGVEMYSMTFG</t>
  </si>
  <si>
    <t>MWELAAIGLIGGVVTGISPCILPVLPVVLAVTTGERARPFRVVAGIALSFSAITLLGTVVLGALGLPTGILRWIGITLLVLVGLGMIVPQLGHLVDKPFEYLPRPVFLQNKARGRGGFVVGMALGAVYVPCAGPVLAAVTVAGATGDIGWSTVVLTVAFALGASAPLLVFALAGNKIGERIDAAQKNRTIMRGAAGSVVLVLALALAIDAPARIQRALPDWTASAQRSLGDNSQVQEALGAVRNGTSTSGGGSLDSCRDADPGELHDCGVAPAFAGLSGWLNTDEPVDPTK--QVTLVDFWAYACINCQRANQHVTALYDTYRDYGLQVVGLHAPEYGFEHEAANVQAATKEQNIHYPVAQDNDFATWKNYNNRYWPAHYLIDSHGKVRQIHEGEGAYADTEKLVRTLLKEANPDVELPDPIETSGAGGERAAEGTEGHRNPETYLGTARARYYANPGSKYVTGVQTFEEVEKPDRYFYTLGGTWNLKSDSITPAASEGASLTLNFRAAVVQLVASGHGVLKVTYPDGSTKDIPVPDVPGSIDLIRGDSAQEGLLSISAPEGVEMYSMTFG</t>
  </si>
  <si>
    <t>MVSLILIGLIGGVLTSLSPCIIPVLPLVLAVSAGDKRRPYYVVAGMVVSFAAITLSGSIVLNLLGLPQDTVRWVGIGLLVLVGLGMLIPVLGEWVQAPFDRLPRLHALLTKAQGRGGFMVGLALGAVYVPCAGPVLAAITVAAATGEIDASIIALTIAFAIGAAIPLSMFALGGNRMSDWF---RSHHTAFRRSAGAVVIAMAVLLAVDAPTVLQRLVPDWTSSAQQALGNH---------------IIGNQDLESCRKGDPGTPHDCGPVPQLSRLENWINTDQAIDPATSGKVTLVDFWAYACINCQRANEHVVKLYDHYKDYGLDVIGVHAPEYAFERDADNVRKAIVAQHIKYPVAQDNSFATWKNFHNRYWPAHYLADHTGRLRQVHEGEGKYAETERVVRQLLQERNPGIALPNPIE-------QDEHAITEPRSPETYLGASRSQYRVS---------------GTPPLGYYALQGEWDVNPMDITP-RSDGAAVELHYQARWVQLVASGRGTVTVKRADDTEQTFDITG-DGTVDIIRKDNGDPELITIAPSPGVHLYSITFG</t>
  </si>
  <si>
    <t>MVSLILIGLIGGVLTSLSPCIIPVLPLVLAVSAGDKRRPYYVVAGMVVSFAAITLSGSIVLNLLGLPQDTVRWVGIGLLVLVGLGMLIPVLGEWVQAPFDRLPRLHALLTKAQGRGGFVVGLA----------------------------------------------------------------------------------------------------------------------------------LARCTFRAPG--------------------------------------------------------------------------------------------------------------RSWPP-------------------------------------LLLPRP-------------------------------------------------------------------PVRLIP-RSSH------------------------------------------------------------------------</t>
  </si>
  <si>
    <t>GC_00000721</t>
  </si>
  <si>
    <t>K02340</t>
  </si>
  <si>
    <t>DNA polymerase III subunit delta [EC:2.7.7.7]</t>
  </si>
  <si>
    <t>COG1466</t>
  </si>
  <si>
    <t>DNA polymerase III, delta subunit (HolA) (PDB:3ZH9)</t>
  </si>
  <si>
    <t>PF21694.2</t>
  </si>
  <si>
    <t>DNA polymerase III delta subunit, C-terminal domain</t>
  </si>
  <si>
    <t>--------------------MHLILGEDDFLTERARRDIIDAIKKTSADPGAVGIITMRASDLTEGEVAMHLSPSLFGEERILVITNAEDTIKDAHDALLLAARNDQPGIYVIIQHTGKGRAKNMVKALSKLGVVHDAAKLNASQRGQFVTNEFRRHNVRPTPDVTRAVLEGVGSDLRELAAAISQLVADTGGDVTVDHVRTYFTGVAEVSGFDIADLACNGETQRAIASTRRALQLGIDPIVLAAALGGNIAAI</t>
  </si>
  <si>
    <t>MAWGGCAGARYSGCVNQPAPVHLILGEDDFLTERARRDIIDAIKKTSADPGAVGIITMRASDLTEGEVAMHLSPSLFGEERILVITNAEDTIKDAHDALLLAAHNDQPGIYVIIQHTGKGRAKNMVKALSKLGVVHDAAKLNASQRGQFVTNEFRRHNVRPTPDVTRAVLEGVGSDLRELAAAISQLVADTGGDVTVDHVRTYFTGVAEVSGFDIADLACNGETQRAIASTRRALQLGIDPIVLAAALGGNIAAIARLYSARSVGEAKDRAGVVKMPPWKIESTYKKARRWDGDNISKAVIIIAELDAATKGQGGDPGYAIENAVRQIAELAP-</t>
  </si>
  <si>
    <t>----------MPTPITPSPQVHIIVGAEEFLAERARLDIVAQLKQQSPEGENLMVTTLRAGDVTESELIELCSPSLFGEDRIVVLTKLEDAGKEPADLILKFAVNPAPGVAIILMHNGGGRTKALIPKLKKIATVHQAEKLKPQERMGWVTNEFRRHNVRPTPDVVQAVLAGVGSDLRELASAVSQLVADTGGVVTAQAVHDYYAGVAEVSGFDIADYACSGQEQRALVSMRRALQLGLEPAALAAALAMKVSGI</t>
  </si>
  <si>
    <t>----------MPTPITPSPQVHLIVGAEEFLAERARLDIVAQLKQQSSEGENLMVTTLRAGDVTESELIELCSPSLFGEDRIVVLTKLEDAGKEPADLILKFAVNPAPGVAIILMHNGGGRTKALVPKLKKIATVHQAEKLKPQERMGWVTNEFRRHNVRPTPDVVQAVLAGVGSDLRELASAVSQLVADTGGVVTAQAVHDYYAGVAEVSGFDIADYACSGQEQRALVSMRRALQLGLEPAALAAALAMKVSGI</t>
  </si>
  <si>
    <t>GC_00000722</t>
  </si>
  <si>
    <t>PF00324.27</t>
  </si>
  <si>
    <t>Amino acid permease</t>
  </si>
  <si>
    <t>K16237</t>
  </si>
  <si>
    <t>aromatic amino acid permease</t>
  </si>
  <si>
    <t>COG1113</t>
  </si>
  <si>
    <t>L-asparagine transporter or related permease (AnsP)</t>
  </si>
  <si>
    <t>--------------------------------------------MTTDSTQLGKGLKTRHLTMMGLGSAIGAGLFLGTGVGISVAGPAILLAYIFAGLIVVFVMQMLGEMAAARPASGSFSTYGQMAFGHWAGFMLGWMYWFMLTMVMGAEITGASAIMAQWFGVAPWIPALVCVVLFSIINLAGVRGFGEFEFWFAFIKVAVIGLFLVIGALLIFGLWPNSQPVGLDNFIGEHGFMPNGISGVAAGLLAVAFAF</t>
  </si>
  <si>
    <t>-------------------------------------MSSVNSSEKSGDNQLGSGLKTRHLTMMGLGSAIGAGLFLGTGVGIKAAGPAVLLAYIIAGAIVVCVMRMLGEMAAARPASGSFSTYGEMAFGRWAGFSTGWLYWFLLVMVMGAEMTGAAELMGHWFGIPAWIPALVCVVLFAVINLAQVGGFGEFEFWFAFVKVAVIIFFLVVGVLLIFGLLPGHSAVGLDNFIGKSGFMPNGIPGVAAGLLAVAFAF</t>
  </si>
  <si>
    <t>MTESTANNPTPRVTPTGADNHQGGDTTGVGESSQSEPQQQSNHSPTVSTTKLGRGLKTRHLTMMGLGSAIGAGLFLSTGVGIHIAGPAVILGYVLAGIIVLLIMQMLGEMAAARPNSGSFAVYAEQALGHWAGFSLGWLYWFMLTMVMGAEMTGAAGIMGQWFGIDPWIPALVCVTFFAVVNLANVQGFGEFEFWFAFVKVAVIIIFLIVGILLIFGLLPGTEFVGAHNLTNGS-FMPNGIPGVAAGLLAVAFAFGGIEIVTIAAAESENPSSAIATAVRSVIWRISLFYLGSVTVIIFLMPYDMIGGAKTAAESPFTIILGMAHIPYVVGFMELIIVLALLSAFNAQIYGTSRLVYSFAKRHDAPQVFAKTNKNKVPMNSVLLSMFFAFVSVGLQYWNPPGLLTFLLNAVGGCTITLWIMVAVTWLRLHPVLVSGKEITTVRMPGYPWTAIVCLILLGGLVLLMLSDAASQSQVISVAMVFGFASLMSFV-AKRFHLSTRNLES</t>
  </si>
  <si>
    <t>MTESTANNPTPRVTPTGADNHQGGDATGVGGSSQSEPQQQSTHSPTVSTTKLGRGLKTRHLTMMGLGSAIGAGLFLSTGVGIHIAGPAVILGYVLAGIIVLLIMQMLGEMAAARPNSGSFSVYAEQALGHWAGFSLGWLYWFMLTMVMGAEMTGAAGIMGQWFGIDPWIPALVCVTFFAVVNLANVQGFGEFEFWFAFVKVAVILFFLIVGILLIFGLLPDTEFVGAHNLTNGS-FMPNGIPGVAAGLLAVAFAFGGIEIVTIAAAESENPSSAIATAVRSVIWRISLFYLGSVTIIIFLMPYDMIGGAKTAAESPFTIILGMAHIPYVVGFMELIIVLALLSAFNAQIYGTSRLVYSFAKRHDAPQVFAKTNKNKVPTNSVLLSMFFAFVSVGLQYWNPPGLLAFLLNAVGGCMITLWIMVAVTWLRLHPVLVAGEEITTVRMPGYPWTAIVCLLLLGGLVLLMLSDAASRSQVISVAMVFGFASLMSFV-AKRFHPSTRNLES</t>
  </si>
  <si>
    <t>GC_00000723</t>
  </si>
  <si>
    <t>K10237</t>
  </si>
  <si>
    <t>COG1175</t>
  </si>
  <si>
    <t>ABC-type sugar transport system, permease component (UgpA) (PDB:3FH6)</t>
  </si>
  <si>
    <t>----------------------------MKQSRSAALLIAPTLLVLAVVIGYPITRAIWLSFHDDKALDPVTGMFTESGFAGFDHYIYWLTQRCMTASGEVGTCPSGVIASDFWPAVRITIFFAVVTVALETVLGFWMATVMNKEFRGRGLLRAAVLVPWAIPTAVTAKLWQFIFAPRGIVNSLLGTDIGWTTDPWAARTAVIVADVWKTTPFMALLILAGLQMIPRGVYEAARVDGASTWQMFRSITLPLVKPA</t>
  </si>
  <si>
    <t>MVSTPLFVLSALPLRVLPFEEVMGRVSTPKQSRAAALLIAPTMIVLAIVIGYPIVRAIWLSFQADKGLDPTTGVFTDGGFAGLEHYLYWTTQRCMSPSGAVSTCPPGVLATDFWPALRITLFFTVVTVALETLLGMWMATVMNHDFKGRGMLRAAVLIPWAIPTAVTAKLWQFIFADHGIINSLLGTHVHWTTDPWAARIAVIIADVWKTTPFMALLILAGLQMIPKDLYEAARVDGASRWQMFTQITMPLVKPALMVAVLFRTLDALRMYDLPVILISSSSNSPTATISQLVVEDMRQNHFNSASALSTLVFLLIFFVAFVMIRFLGADVSGSGDQRIMKRAQRRAQKQARKQQAQTRPAHAKQR----KEATR</t>
  </si>
  <si>
    <t>MVSTPLFVLSALPLRVLPFEEVMGRVSTPKQSRAAALLIAPTMIVLAIVIGYPIVRAIWLSFQADKGLDPTTGVFTDGGFAGLEHYLYWTTQRCMSPSGAVSTCPPGVLATDFWPALRITLFFTVVTVALETLLGMWMATVMNRDFKGRGMLRAAVLIPWAIPTAVTAKLWQFIFADHGIINSLLGTHVHWTTDPWAARIAVIIADVWKTTPFMALLILAGLQMIPKDLYEAARVDGASRWQMFTQITMPLVKPALMVAVLFRTLDALRMYDLPVILISSSSNSPTATISQLVVEDMRQNHFNSASALSTLVFLLIFFVAFVMIRFLGADVSGSGDQRIMKRAQRRAQKQARKQQAQTRPAHAKQR----KEATR</t>
  </si>
  <si>
    <t>MFGFSWLVEDYVLMK-------------QGSTRAAVLLIAPAITVLAVVIGYPIVRAVYLSFQSDKHLDPVTGVFVQGGFAGFDHYVYWLSQRCGTA-----TCPPGVLASDFWPSVKVTLFFAVVTVALEIVLGMLMALVMHREFAGRGIVRAAVLVPWAIPTAVTAKLWQFIFADRGIVNSLLGKPVAWTTDPWAARLAVIIADVWKTTPFMALLILAGLQMIPRDVYEAAKVDGANAWQQFWKITLPLVKPALMVAVLFRTLDALRMYDLPVILISSSANSPTATISQLVVTDMRQNNFNSASALSTMVFLLIFFVAFIMIRFLGADVSGNKEKRELRRAKRVEQD---IELDPVGPGVTQQPLVMIGAGRA</t>
  </si>
  <si>
    <t>MFGFSWLVEDYVLMK-------------QGSTRAAVLLIAPAITVLAVVIGYPIVRAVYLSFQSDKHLDPVTGVFVQGGFAGFDHYVYWLSQRCGTA-----TCPPGVLASDFWPSVKVTLFFAVVTVALEIVLGMLMALVMHREFAGRGIVRAAVLVPWAIPTAVTAKLWQFIFADRGIVNSLLGKPVAWTTDPWAARLAVIIADVWKTTPFMALLILAGLQMIPRDVYEAAKVDGANAWQQFWKITLPLVKPALMVAVLFRTLDALRMYDLPVILISSSANSPTATISQLVVTDMRQNNFNSASALSTMVFLLIFFVAFIMIRFLGADVSGNKEKRELRRAKRVEQD---VEFDPVGPGATQQPLVMIGAGRA</t>
  </si>
  <si>
    <t>GC_00000724</t>
  </si>
  <si>
    <t>K08256</t>
  </si>
  <si>
    <t>phosphatidyl-myo-inositol alpha-mannosyltransferase [EC:2.4.1.345]</t>
  </si>
  <si>
    <t>KEGG Orthology (KO)&gt;&gt;&gt;09100 Metabolism&gt;&gt;&gt;09107 Glycan biosynthesis and metabolism&gt;&gt;&gt;00571 Lipoarabinomannan (LAM) biosynthesis [PATH:ko00571]|Enzymes&gt;&gt;&gt;2. Transferases&gt;&gt;&gt;2.4  Glycosyltransferases&gt;&gt;&gt;2.4.1  Hexosyltransferases&gt;&gt;&gt;2.4.1.345  phosphatidyl-myo-inositol alpha-mannosyltransferase|Glycosyltransferases&gt;&gt;&gt;GPI-anchor biosynthesis&gt;&gt;&gt;Phosphatidylinositol mannoside</t>
  </si>
  <si>
    <t>MKIGMVCPYSFDEPGGVQAHIIDVAQHFIDRGHDVRVIGPCSPETPVPSFVVKGGKSLPIPYNGSVARLSLGPAVDQKLAQFIEQGHFDVLHIHEPNSPSFSMRALKLAQGPIVATYHASSSGSMLLKAAAPMLRPLLEKVRGGIAVSEMARRWQVQQLGTDPVLIPNGVDTSMFVAARSKEAPASDGVVRVVFLGRIDEPRKGLQLLLEALHIDRSRNNRSDTEPELTVDVIGSGTPIDTPGVAYHGKVSDKEKARLLGKADIYVAPNTGGESFGIVLVEAMAAGCAVVASDIEAFKAVCNADSDSPAGLLFRSGDSDSLQQALRRAANDSALRNRLANAGRARAVEFDWDHVAASIMRVYETVADGSTVTLEKPRDKPLSVLKTARLQANSPSPLHGAQGECEEDKE</t>
  </si>
  <si>
    <t>PF13692.12</t>
  </si>
  <si>
    <t>MKIGMVCPYSFDEPGGVQAHILDLAEHFIAQGHHVEVLGPCSDNTDVPSFVMKGGRSIPIRYNGSVARLALGPHMDRYIRSFITNGNFDVLHIHEPNSPSYSMRTLRLVEGPIVATYHASSSGSLLLKAALPALRPLLEKIRGGIAVSEMARRWQVEQLGGDSVLIPNGVDTARFRKAQAPRAEDDERPLEIVFLGRLDEPRKGLDILLAAL---------AQVQRPFHCTVIGGGTPRHVPNVTYAGRVSDQEKAEILGRADIYVAPNTGGESFGIVLVEAMAAGCTVVASDIEAFRTVCNADSAEPAGLLFANGDSADLARSLQQLIDAPAERAVLQQRGRERAAVFDWDKVSEEVMRVYETVADGTKVHMR-----------------------------------</t>
  </si>
  <si>
    <t>MKIGMVCPYSFDEPGGVQAHILDLAEHFIAQGHHVEVLGPCSDNTDVPSFVMKGGRSIPIRYNGSVARLALGPHMDRYIRSFITNGNFDVLHIHEPNSPSYSMRTLRLVEGPIVATYHASSSGSLLLKAALPALRPLLEKIRGGIAVSEMARRWQVEQLGGDSVLIPNGVDTARFRKAQAPRAEDDERPLEIVFLGRLDEPRKGLDILLAAL---------AQVQRPFHCTVIGGGTPRHVPNVTYAGRVSDQEKAEILGRADIYVAPNTGGESFGIVLVEAMAAGCAVVASDIEAFRTVCNADSAEPAGLLFANGDSADLARSLQQLIDAPDERAVLQQRGRERAAVFDWDKVSEEVMRVYETVADGTKVHMR-----------------------------------</t>
  </si>
  <si>
    <t>MRIGLVCPYSFDEPGGVQAHILDLATHLIGQGHFVRVIGPCGDDTEVPDFVVRGGTSVPISYNGSVARLSFGPRTFTKIREFIIAGHFDVLHIHEPNSPSFSLAALQVAEGPIVATYHASATGSKLLKLVLPLLRPRLEKIRGGIAVSEMARRWQVEQLGGDPVLIPNGVDTQAFARGVVPPVPG--RPPELVFLGRLDEPRKGLDILLAAL---------SGLDRGVAVTVMGGGSPRNVPGVNFVGRVSDDEKIAILDRADIYIAPNTGGESFGIVLVEAMAARCAVVASDLEAFAAVCDVESDNPAGLLFRTGDVDDLRAKLRQLIDDPGQRAKLVEAGSRRATLYDWDHVAAEVVRVYETVADGTTVTVD-----------------------------------</t>
  </si>
  <si>
    <t>MRIGLVCPYSFDEPGGVQAHILDLATHLIGQGHFVRVIGPCGDDTEVPDFVVRGGTSVPISYNGSVARLSFGPRTFTKIREFIIAGHFDVLHIHEPNSPSFSLAALQVAEGPIVATYHASATGSKLLKLVLPLLRPRLEKIRGGIAVSEMARRWQVEQLGGDPVLIPNGVDTQAFARGVVPPVPG--RPPELVFLGRLDEPRKGLDILLAAL---------SGLDRGVTVTVMGGGSPRNAPGVNFVGRVSDDEKIAILDRADIYIAPNTGGESFGIVLVEAMAARCAVVASDLEAFAAVCDVESDNPAGLLFRTGDVDDLRAKLRQLIDDPGQRAKLVEAGSRRATLYDWDHVAAEVVRVYETVADGTTVTVD-----------------------------------</t>
  </si>
  <si>
    <t>GC_00000725</t>
  </si>
  <si>
    <t>PF01515.24</t>
  </si>
  <si>
    <t>Phosphate acetyl/butaryl transferase</t>
  </si>
  <si>
    <t>K13788</t>
  </si>
  <si>
    <t>phosphate acetyltransferase [EC:2.3.1.8]</t>
  </si>
  <si>
    <t>COG0280</t>
  </si>
  <si>
    <t>Phosphotransacetylase (includes Pta, EutD and phosphobutyryltransferase) (Pta) (PDB:1QZT) (PUBMED:28754323)</t>
  </si>
  <si>
    <t>M00579|M00357|M00617|M00618</t>
  </si>
  <si>
    <t>Phosphate acetyltransferase-acetate kinase pathway, acetyl-CoA =&gt; acetate|Methanogenesis, acetate =&gt; methane|Methanogen|Acetogen</t>
  </si>
  <si>
    <t>Pathway modules; Energy metabolism; Carbon fixation|Pathway modules; Energy metabolism; Methane metabolism|Signature modules; Module set; Metabolic capacity|Signature modules; Module set; Metabolic capacity</t>
  </si>
  <si>
    <t>KEGG Orthology (KO)&gt;&gt;&gt;09100 Metabolism&gt;&gt;&gt;09101 Carbohydrate metabolism&gt;&gt;&gt;00620 Pyruvate metabolism [PATH:ko00620]|KEGG Orthology (KO)&gt;&gt;&gt;09100 Metabolism&gt;&gt;&gt;09101 Carbohydrate metabolism&gt;&gt;&gt;00640 Propanoate metabolism [PATH:ko00640]|KEGG Orthology (KO)&gt;&gt;&gt;09100 Metabolism&gt;&gt;&gt;09102 Energy metabolism&gt;&gt;&gt;00720 Other carbon fixation pathways [PATH:ko00720]|KEGG Orthology (KO)&gt;&gt;&gt;09100 Metabolism&gt;&gt;&gt;09102 Energy metabolism&gt;&gt;&gt;00680 Methane metabolism [PATH:ko00680]|KEGG Orthology (KO)&gt;&gt;&gt;09100 Metabolism&gt;&gt;&gt;09106 Metabolism of other amino acids&gt;&gt;&gt;00430 Taurine and hypotaurine metabolism [PATH:ko00430]|Enzymes&gt;&gt;&gt;2. Transferases&gt;&gt;&gt;2.3  Acyltransferases&gt;&gt;&gt;2.3.1  Transferring groups other than aminoacyl groups&gt;&gt;&gt;2.3.1.8  phosphate acetyltransferase</t>
  </si>
  <si>
    <t>MMEGPTLSANSVIFTSIGRTCKGVDVAGLARALGLTHKSLVAGEVN--SLAAVIAAEPLS--EPSLLQGTGSLDFDAKAAAALGVPLLLLVAEDIDARVALSYEHAEDLGAVIAGHVTAAELDNLDDAATLERITELTRTPADVVMNAVTFEHWLLKEAAQHRAHIVLPEGDDDRILTAASQLLAQDICELTILGDPQAIEARAAELGVDLSRAHLKDP--ETDPQREEFAQQFAEMRKAKGLTLEEARETMRDISYYATMMVHNGLADGMVSGAAHTTAHTIKPSFQIIKTAPGASVVSSIFLMVLRGRLWAFGDCAVNPNPTAEQLGEIAVVSAQTAAKFGIDPRVAVLSYSTGTSGSGPDVDRAAQAVEIARGLDPELKVDGPLQFDAAVDKGVAAKKMPGSEVAGQASVFIFPDLEAGNIGYKTAQRTGHALAIGPILQGLNKPVNDLSRGATVPDIVNTVAITAIQ------AGGR</t>
  </si>
  <si>
    <t>M00579|M00617|M00618</t>
  </si>
  <si>
    <t>Phosphate acetyltransferase-acetate kinase pathway, acetyl-CoA =&gt; acetate|Methanogen|Acetogen</t>
  </si>
  <si>
    <t>Pathway modules; Energy metabolism; Carbon fixation|Signature modules; Module set; Metabolic capacity|Signature modules; Module set; Metabolic capacity</t>
  </si>
  <si>
    <t>----MTQTTHSVLLTAIRRRLDQAEVAEFAAALGLDITPLVPAGHDEPTIADVLKHAPAG---PVLYTGTGNLNFDARAAAALGVPLVLQTPSE-SLSTALARVEARDLGASIAAIIMGDQ-------PLTAAVTAAQETPAEIVMTADVFENWLLGMAKKHRAHIVLPEGDDDRILTAAGILLAEDACDLTILGVPEEVAARAAELGVTLDGATLVNPWADDDPHREEFAQQFYELRKTKGVSLEQARETMTDI</t>
  </si>
  <si>
    <t>GC_00000726</t>
  </si>
  <si>
    <t>PF13393.11</t>
  </si>
  <si>
    <t>Histidyl-tRNA synthetase</t>
  </si>
  <si>
    <t>K01892</t>
  </si>
  <si>
    <t>histidyl-tRNA synthetase [EC:6.1.1.21]</t>
  </si>
  <si>
    <t>COG0124</t>
  </si>
  <si>
    <t>Histidyl-tRNA synthetase (HisS) (PDB:1KMM)</t>
  </si>
  <si>
    <t>KEGG Orthology (KO)&gt;&gt;&gt;09120 Genetic Information Processing&gt;&gt;&gt;09122 Translation&gt;&gt;&gt;00970 Aminoacyl-tRNA biosynthesis [PATH:ko00970]|Enzymes&gt;&gt;&gt;6. Ligases&gt;&gt;&gt;6.1  Forming carbon-oxygen bonds&gt;&gt;&gt;6.1.1  Ligases forming aminoacyl-tRNA and related compounds&gt;&gt;&gt;6.1.1.21  histidine---tRNA ligase|Amino acid related enzymes&gt;&gt;&gt;Aminoacyl-tRNA synthetase&gt;&gt;&gt;Class II (A)|Transfer RNA biogenesis&gt;&gt;&gt;Eukaryotic type&gt;&gt;&gt;Aminoacyl-tRNA synthetases (AARSs)&gt;&gt;&gt;Other AARSs|Transfer RNA biogenesis&gt;&gt;&gt;Prokaryotic type&gt;&gt;&gt;Aminoacyl-tRNA synthetases (AARSs)&gt;&gt;&gt;Other AARSs</t>
  </si>
  <si>
    <t>MTDDASKTTAPQVDAVRPAKKKNKSFSAPKGVLDYVPSRSATFVAVREAFAQNAAAAGFGHVELPVFEDTELFARGVGESTDVVSKEMYTFEDRGGRSVTLRPEGTAGVMRAVIEHGLDRGQLPAKLSYTGPFFRYERPQAGRYRQLQQFGVEAIGVDDPALDAEVIALADRCFRSIGLDGYRLELTSLGDSTCRPQYRQKLQEFLLGLPLDEETRRRAHINPLRVLDDKRPEVKEMTAEAPLMLDHLSAEAAEHFDTVRSYLDALGVDYLVNPRLVRGLDYYTKTCFEFVHDGLGAQSGIGGGGRYDGLMAELGGQDLSGIGFGLGLDRALLALEAEGKSFGPQSRVDVYGVAMGREAKAQMVHLINQVRQAGLRADMSYGDRGLKGAMKGADRAGARYALVLGDQELEQGTVVVKDLAAHEQVDVALVDVVQVLRRRMA--</t>
  </si>
  <si>
    <t>MSNS----------------KKIQRFSAPKGVPDYVPPASTEFLRVRNGFLHQAHVAGYEYIELPIFEETALFARGVGESTDVVSKEMYTFQDRGERSVTLRPEGTAGVMRAVIEHGLDRGQLPTKLMYAGPCFRYERPQAGRYRQLQQMGVESIGVDDPALDAEVVALADRCYKSVGLTGYRLEITSLGDSTCRPAYRQKLQEFLFALPLDEETRRRAEINPLRVLDDKRPEVQDMTADAPLMLDHLSPETREHFETVTGLLDDMGVAYVINPRMVRGLDYYTKTCFEFVHDGLGAQSGIGGGGRYDGLMAQLGGQELSGIGFGLGIDRTLLALQAEQAETVDTRRVDVFGVPMGSAAKRAMAVLINQLRSNGVSSDMSYGDRGLKGAMKGADRAHARFALILGDRELENGTIAVKDLAAQTQTDMDLAAVVPYLVEELG--</t>
  </si>
  <si>
    <t>MSNS----------------KKIQRFSAPKGVPDYVPPASTEFLRVRNGFLHQAHVAGYEYIELPIFEETALFARGVGESTDVVSKEMYTFQDRGERSVTLRPEGTAGVMRAVIEHGLDRGQLPTKLMYAGPCFRYERPQAGRYRQLQQMGVESIGVDDPALDAEVVALADRCYKSVGLTGYRLEITSLGDSTCRPAYRQKLQEFLFALPLDEETRRRAEINPLRVLDDKRPEVQDMTADAPLMLDHLSPETREHFETVTGLLDDMGVAYVINPRMVRGLDYYTKTCFEFVHDGLGAQSGIGGGGRYDGLMAQLGGQELSGIGFGLGIDRTLLALQAEQAETGDTRRVDVFGVPMGSAAKRAMAVLINQLRSNGVSSDMSYGDRGLKGAMKGADRAHARFALILGDRELENGTIAVKDLAAQTQTDMDLAAVVPYLVDELG--</t>
  </si>
  <si>
    <t>MTD-----------------KKLNKISAPKGVPDYVPPNSAQFIAVRDTFAHHIRLAGYEHIELPIFEDTTLFARGVGESTDVVSKEMYTFADRGGRSVTLRPEGTAGVMRAVIEHNLDRGQLPVKLGYYGPFFRYERPQAGRYRQLQQVGVEAIGVDDPTLDAEVIALANRCFSSIGLKDYRLELTSLGDATCRPAYREKLQEFLLKLPLDDATRHRAEINPLRVLDDKRPEVQELTADAPLMLDYLSPQAQEHFEAVTGCLDDLGVTYVINPRMVRGLDYYTKTCFEFVHDGLGAQSGIGGGGRYDGLMAQLGGQELSGIGFGLGVDRALLALEAEHTQAADPARVDVYGVALGAPAKRRLLTLVNELRAAGIRADMSYGDRGLKGAMKGADRAGARFALVLGDRELDAGLVAVKNLVDHTQTDVPLGQVVETLGHHVRGQ</t>
  </si>
  <si>
    <t>MTD-----------------KKLNKISAPKGVPDYVPPASAQFIAVRDTFAHHIRLAGYEHIELPIFEDTTLFARGVGESTDVVSKEMYTFADRGGRSVTLRPEGTAGVMRAVIEHNLDRGQLPVKLGYYGPFFRYERPQAGRYRQLQQVGVEAIGVDDPTLDAEVIALADRCFSSIGLKDYRLELTSLGDATCRPAYREKLQEFLLKLPLDDATRHRAEINPLRVLDDKRPEVQELTADAPLMLDYLSPQAREHFEAVTGCLDDLGVTYVINPRMVRGLDYYTKTCFEFVHDGLGAQSGIGGGGRYDGLMAQLGGQELSGIGFGLGVDRALLALEAEHTQVADPARVDVYGVALGAPAKRRLLTLINELRAAGIRADMSYGDRGLKGAMKGADRAGARFALVLGDRELDAGIVAVKNLVDHTQTDVPLGQVAETLGHHVRGQ</t>
  </si>
  <si>
    <t>GC_00000727</t>
  </si>
  <si>
    <t>PF00476.26</t>
  </si>
  <si>
    <t>DNA polymerase family A</t>
  </si>
  <si>
    <t>K02335</t>
  </si>
  <si>
    <t>DNA polymerase I [EC:2.7.7.7]</t>
  </si>
  <si>
    <t>COG0258|COG0749</t>
  </si>
  <si>
    <t>5'-3' exonuclease Xni/ExoIX (flap endonuclease) (ExoIX) (PDB:3ZDA) (PUBMED:19000038;23821668)|DNA polymerase I, 3'-5' exonuclease and polymerase domains (PolA) (PDB:1D8Y)</t>
  </si>
  <si>
    <t>ko00001|ko00001|ko00001|ko00001|ko01000|ko03032|ko03400|ko03400</t>
  </si>
  <si>
    <t>KEGG Orthology (KO)&gt;&gt;&gt;09120 Genetic Information Processing&gt;&gt;&gt;09124 Replication and repair&gt;&gt;&gt;03030 DNA replication [PATH:ko03030]|KEGG Orthology (KO)&gt;&gt;&gt;09120 Genetic Information Processing&gt;&gt;&gt;09124 Replication and repair&gt;&gt;&gt;03410 Base excision repair [PATH:ko03410]|KEGG Orthology (KO)&gt;&gt;&gt;09120 Genetic Information Processing&gt;&gt;&gt;09124 Replication and repair&gt;&gt;&gt;03420 Nucleotide excision repair [PATH:ko03420]|KEGG Orthology (KO)&gt;&gt;&gt;09120 Genetic Information Processing&gt;&gt;&gt;09124 Replication and repair&gt;&gt;&gt;03440 Homologous recombination [PATH:ko03440]|Enzymes&gt;&gt;&gt;2. Transferases&gt;&gt;&gt;2.7  Transferring phosphorus-containing groups&gt;&gt;&gt;2.7.7  Nucleotidyltransferases&gt;&gt;&gt;2.7.7.7  DNA-directed DNA polymerase|DNA replication proteins&gt;&gt;&gt;Prokaryotic type&gt;&gt;&gt;DNA Replication Elongation Factors&gt;&gt;&gt;Elongation factors (bacterial)&gt;&gt;&gt;Other elongation factors|DNA repair and recombination proteins&gt;&gt;&gt;Prokaryotic type&gt;&gt;&gt;SSBR (single strand breaks repair)&gt;&gt;&gt;BER (base exicision repair)&gt;&gt;&gt;DNA polymerase I|DNA repair and recombination proteins&gt;&gt;&gt;Prokaryotic type&gt;&gt;&gt;SSBR (single strand breaks repair)&gt;&gt;&gt;NER (nucleotide excision repair)&gt;&gt;&gt;GGR (global genome repair) factors</t>
  </si>
  <si>
    <t>---------------MTSP---------------KRLMLIDGHSMAFRAFYALPAEKFSTSSGQCTNAVYGFVSMLSNLISKEKPTHIAAAFDVGRTTFRSEMFPEYKAQRESAPEEFKGQVGLIKELLETLGIATLEKENYEADDIIATLATEATAEGDFETLIVTGDRDSFQLVNSATTVLYPMKGVSVLHRFTPEAVEEKYGLTPQQYPDFAALRGDPSDNMPGIPGVGEKTAQKWIVGYGSLAQLLEQADS</t>
  </si>
  <si>
    <t>MVMSGFLNSIGCVTSTTSPAASPATTPTRTPDTSRRLMLIDGHSMAFRAFYALPAENFATTGGQHTNAVYGFLSMLTNLIKEEQPTHVAVAFDVGRHTFRSEMFPEYKAQRDATPEEFKGQVELIKQVLEPLGITTLEKENYEADDIIATLSTAAEPLG-FETLIVTGDRDSFQLVNGTTTVLYPMRGVSTLHRFTPDAVEEKYGLTPQQYPDFAALRGDPSDNLPGIPGVGEKTAQKWIVQYGSLANLLDHADEVKGKVGNSLRERLDQVKLNRDLTAMVKDVSLPVTPDQLELQPAQVAEVAAKFDELEFGTNLRERVLSVVEADGAAPDVVEETAR----------------EVVVDTQPLGEWLAARAGQGLALAVAGNPQPADGDAWSLALLDAQSHAVAVDLAAITEEEERVLAEWLASENPKYLHHAKAAFHMLAGRGFELNGIAQDTAIAAYLLRPGQRTYELKDVYQRHLQRQLSEEENTGQLSLL-DAPDDS---RPLIDQASAIYELAVELTKELQKINEFELYRDLEVPLIGVLARMEAAGIAVDVATLEEQRDQFVDMVANEEAAARELANDPNLNLSSPKQLQVVLFETLSMPKTKKTKTGYSTAAKEIEALAVTNPHPFLDHLLAHREYQKMKTTLDGLIKAVGADGRIHTTFNQTVASTGRLSSTDPNLQNIPVRTPAGRKIRSAFVVGSGYETLLTADYSQIEMRVMAHLSGDAGLIDAYKRGEDLHNYVGSRVFDVPVDQVTPELRRRVKAMSYGLVYGLSAFGLAQQLGIPQGEAKRIMENYFERFGGVKRYLDDVVVEARNEGYTATLFGRRRYLPELLSDNRVARENAERAALNAPIQGTAADIIKVAMLRVDTALKKAGITSRVLLQVHDELVVEIAPGELEQVQEIVEREMDNAITLTVPLEVSAGHGPN----------------------WDAAAH--</t>
  </si>
  <si>
    <t>MVVSGFLNSIGCVTSTTSPAASPATTPTRTPDTSRRLMLIDGHSMAFRAFYALPAENFATTGGQHTNAVYGFLSMLTNLIKEEQPTHVAVAFDVGRHTFRSEMFPEYKAQRDATPEEFKGQVELIKQVLEPLGITTLEKENYEADDIIATLSTAAEPLG-FEILIVTGDRDSFQLVNGTTTVLYPMRGVSTLHRFTPDAVEEKYGLTPQQYPDFAALRGDPSDNLPGIPGVGEKTAQKWIVQYGSLANLLDHADEVKGKVGNSLRERLDQVKLNRDLTAMVKDVSLPVTPDQLELQPAQVAEVAAKFDELEFGTNLRERVLSVVEADGTAPDVVEETAR----------------EVVVDTQPLGEWLAARTGQGLALAVAGNPQPAGGDASSLALLDAQSHAVAVDLAAITEEEERVLAEWLASENPKYLHHAKAVFHMLAGRGFELNGIAQDTALAAYLLRPGQRTYELKDVYQRHLQRQLSEEESTGQLSLL-DAPDDS---RPLIDQASAIYELAVELTKELQKINEFELYRDLEVPLIGVLARMEAAGIAVDVATLEEQRDQFVDMVANEEAAARELADDPNLNLSSPKQLQVVLFETLSMPKTKKTKTGYSTAAKEIEALAVTNPHPFLDHLLAHREYQKMKTTLDGLIKAVGADGRIHTTFNQTVASTGRLSSTDPNLQNIPVRTPAGRKIRSAFVVGSGYETLLTADYSQIEMRVMAHLSGDVGLIDAYKRGEDLHNYVGSRVFDVPVDQVTPELRRRVKAMSYGLVYGLSAFGLAQQLSIPQGEAKRIMENYFERFGGVKRYLDDVVAEARNEGYTATLFGRRRYLPELLSDNRVARENAERAALNAPIQGTAADIIKVAMLRVDTALKKAGITSRVLLQVHDELVVEIAPGELGHVQEIVEREMDNAITLTVPLEVSAGHGPN----------------------WDAAAH--</t>
  </si>
  <si>
    <t>--------------------------------------------MAFRAFYALPTEKFTTSTGQATNAIYGFLSMLATLLHDEQPTHVAVAFDVGHTTFRTEMFPDYKAQRDETPPEFISQIPILKNLLTALGITTIEKPNYEADDIIATLATTAQPLG-FETLIVTGDRDALQLVNNTTTVLYPMKGVSVIHRFTPQAVQDKYGLTPEQYPDFAALRGDPSDNLPSIPKVGEKTATKWIVQHGNLTNLLNNADT</t>
  </si>
  <si>
    <t>--------------------------------------------MAFRAFYALPTEKFTTSTGQATNAIYGFLSMLATLLHDEQPTHVAVAFDVGRTTFRTEMFPDYKAQRDETPPEFISQIPILKNLLTALGITTIEKPNYEADDIIATLATTAQPLG-FETLIVTGDRDSLQLVNNTTTVLYPMKGVSVIHRFTPQAVQDKYGLTPEQYPDFAALRGDPSDNLPSIPKVGEKTATKWIVQHGNLTNLLNNADT</t>
  </si>
  <si>
    <t>GC_00000728</t>
  </si>
  <si>
    <t>K00821</t>
  </si>
  <si>
    <t>acetylornithine/N-succinyldiaminopimelate aminotransferase [EC:2.6.1.11 2.6.1.17]</t>
  </si>
  <si>
    <t>COG4992</t>
  </si>
  <si>
    <t>Acetylornithine/succinyldiaminopimelate/putrescine aminotransferase (ArgD) (PDB:2E54)</t>
  </si>
  <si>
    <t>M00016|M00028|M00845</t>
  </si>
  <si>
    <t>Lysine biosynthesis, succinyl-DAP pathway, aspartate =&gt; lysine|Ornithine biosynthesis, glutamate =&gt; ornithine|Arginine biosynthesis, glutamate =&gt; acetylcitrulline =&gt; arginine</t>
  </si>
  <si>
    <t>Pathway modules; Amino acid metabolism; Lysine metabolism|Pathway modules; Amino acid metabolism; Arginine and proline metabolism|Pathway modules; Amino acid metabolism; Arginine and proline metabolism</t>
  </si>
  <si>
    <t>ko00001|ko00001|ko01000|ko01000|ko01007</t>
  </si>
  <si>
    <t>KEGG Orthology (KO)&gt;&gt;&gt;09100 Metabolism&gt;&gt;&gt;09105 Amino acid metabolism&gt;&gt;&gt;00300 Lysine biosynthesis [PATH:ko00300]|KEGG Orthology (KO)&gt;&gt;&gt;09100 Metabolism&gt;&gt;&gt;09105 Amino acid metabolism&gt;&gt;&gt;00220 Arginine biosynthesis [PATH:ko00220]|Enzymes&gt;&gt;&gt;2. Transferases&gt;&gt;&gt;2.6  Transferring nitrogenous groups&gt;&gt;&gt;2.6.1  Transaminases&gt;&gt;&gt;2.6.1.11  acetylornithine transaminase|Enzymes&gt;&gt;&gt;2. Transferases&gt;&gt;&gt;2.6  Transferring nitrogenous groups&gt;&gt;&gt;2.6.1  Transaminases&gt;&gt;&gt;2.6.1.17  succinyldiaminopimelate transaminase|Amino acid related enzymes&gt;&gt;&gt;Aminotransferase (transaminase)&gt;&gt;&gt;Class III</t>
  </si>
  <si>
    <t>MSGSLSALEQWPHVMMNTYGIPQVELVSGSGAQVTDSSGRTYIDMLAGIAVNSLGHAHPAIVSAVSSQVTRLGHVSNLFASEPVVHVGEELIRRFARNDGDLAASTRVFFCNSGAEANETAFKIARLTGRTRILAAVNGFHGRTMGALALTGQPDKQGPFEPMTPGVSYYPFGDIDYLTTLVEMNPQQTAAIFLEPIQGETGVIPAPEGFLRAVRDLCDKHGILMMVDEVQTGIGRTGDFFAFQHE-GVVPDVVTMAKGLGGGLPIGACLAHGHAAELMQPGKHGTTFGGNPVSCAAAGAVLHVIDD-DFCRGVATRGQRLAELITERVPGVVEVRGRGLMVGVVLEQPIAQEVVKEALNHGLILNAPSPSVLRLTPPLVVTDEDCETAVSRLAATITHVRALVDAAQESDG</t>
  </si>
  <si>
    <t>MSGSLSALEQWPHVMMNTYGIPQVELVSGSGAQVTDSSGRTYIDMLAGIAVNSLGHAHPAIVSAVSSQITQLGHVSNLFASEPVVHVGEELIRRFARNDGDLAASTRVFFCNSGAEANETAFKIARLTGRTRILAAVNGFHGRTMGALALTGQPDKQGPFEPMTPGVSYYPFGDIDYLTTLVEMNPQQTAAIFLEPIQGETGVIPAPEGFLRAVRDLCDKHGILMMVDEVQTGIGRTGDFFAFQHE-GVVPDVVTMAKGLGGGLPIGACLAHGHAAELMQPGKHGTTFGGNPVSCAAAGAVLHVIDD-DFCHGVATQGQRLAELITECVPGVVEVRGRGLMVGVVLEQPIAQEVVKEALNHGLILNAPSPSVLRLTPPLVVTDEDCETAVSRLAETITHVRALVDAAQESDG</t>
  </si>
  <si>
    <t>-------MPTWPDVIMNTYGTPAITLVSGAGAEVTDSEGRTHIDLLAGIAVNALGHGHPAVVQAVSEQIATLGHVSNLYASQPVIDVAAGLIDRFGDPD------ARVFFCNSGTEANEAAFKIARATGRSRILAAEHGFHGRTMGALALTGQPDKRKKFEPMPAGVEYYTYGDIESFPPLD----DDVAAIFLEPIQGETGVVPAPDGFLAQVRQLCDEHGILMICDEVQTGVGRTGEFFAFQHD-NVRPDVVT</t>
  </si>
  <si>
    <t>GC_00000729</t>
  </si>
  <si>
    <t>MDLKRLSSSLLFKIVVAIVLGIIGSQILPDSIAKAFVTFNGLFGNFLGFFIPVLIFALITPAISGIGKGAGKWLAVTTGIAYASTVFAGLLAFGTASLLYPKLLAGQSLIAAVDVDEGALSPYFSIEMPPPMGVMTALLLAFTLGTAMTAVKSDALDHVVRDLERVIMRVISKFIIPLLPIFICGMFISMGKNGNLTATLTGFAQVLLVAIVMTILLLVVQFLIAGVFAGRNPFKALATMMPAYVTALGTSSSAATIPVTYECAKKNGVSPTVAGFSIPLCATTHLSGSMLKISLFAFAIMYMTDIPLTFGTALGFILMLGITMVAAPGVPGGAIMAATGLLASNLGFDDNMVALMIAAYIAIDSFGTACNVTGDGAIAMVLNKLAKGKISRSEIQEPPMGYEIEAIEEDLDAAEAAEASGKA-------------</t>
  </si>
  <si>
    <t>MDLRRLSSSLLFRIVVAIISGIVCSLFFPDWLGRVFATFNGLFGNFLGFFIPVLIFALITPAIAGIGKGAGKWLAITTAIAYASTIFAGLMAYLSASALYPRLLAGQGMVAAADVEKGALSPYFKIDMEPPMGVMTALLLAFTIGVAMTAVRSDTLFAGVRDLERVVMHVITKFIIPLLPIFIFGMFLSMGMNGNLLQILSAFARVLVLAVVLTIVLLLIQFVIAGSIAGKNPFVALKNMLPAYVTALGTSSSAATIPVTYDCAKRNNVAPSVAGFTVPLCATTHLAGSMLKIGLFAFAITYMADIELTPGKAIGFIFMLGITMVAAPGVPGGAIMAAVGLLSSMLGFTNDQVGLMIAAYIAIDSFGTACNVTGDGAIALVVNKLAKGQISRAELVD------VQSSRDDIIEE----------------------</t>
  </si>
  <si>
    <t>MDLRRLSSSLLFRIVVAIISGIVCSLFFPDWLGRVFATFNGLFGNFLGFFIPVLIFALITPAIAGIGKGAGKWLAITTAIAYASTIFAGLMAYLSASALYPRLLAGQGMVAAADVEKGALSPYFKIDMEPPMGVMTALLLAFTIGVAMTAVRSDTLFAGVRDLERVVMHVITKFIIPLLPIFIFGMFLSMGMNGNLLQILSAFARVLVLAVVLTIVLLLIQFVIAGSIAGKNPFVALKNMLPAYVTALGTSSSAATIPVTYDCAKRNNVAPSVAGFTVPLCATTHLAGSMLKIGLFAFAITYMADIELTPGKAIGFIFMLGITMVAAPGVPGGAIMAAVGLLSSMLGFTNDQVGLMIAAYIAIDSFGTACNVTGDGAIALVVNKLAKGQISRAELVD------VQSNRDDIIEE----------------------</t>
  </si>
  <si>
    <t>MDLKRITSSLLFKIVVAIILGIACSFFFPVWLARVFATFNGLFGNFLGFFVPVLIFALITPAIAGLGRGAGKWLAVTTAIAYLSALVAGLISWGLATVLYPILLAGQESVKTGDIEKGALEPYLKVDMPAPMEVMTALILAFVVGVAMTSVKSDTLYGGVADLRRVVMKVITVMIIPLLPVYIFGLFLSLGMNGKLVDVLSAFSKVLVLAIVVSFVMLIVQYSIAGTIVRKNPFRSLKNMMPAYFTALGTSSSAATIPVTYECTRKNGVSASVAGFVIPLCATIHLSGSMLKITLFAFAVMFMDGMHIPLGVAVGFILMLGVTMVAAPGVPGGAITAAVGLLSASLGFNDDQVALMIAAYIAIDSFGTACNVTGDGAIALVIDKLAKGTIQRSELDDDD-ELGLAAAIAGIEETEEKEAEGGADQQSADQATSKEA</t>
  </si>
  <si>
    <t>MDLKRITSSLLFKIVVAIILGIACSFFFPVWLARVFATFNGLFGNFLGFFVPVLIFALITPAIAGLGRGAGKWLAVTTAIAYLSALVAGLISWGLATVLYPVLLAGQESVKTGDIEKGALEPYLKVDMPAPMEVMTALILAFVVGVAMTSVKSDTLYGGVADLRRVVMKVITVMIIPLLPVYIFGLFLSLGMNGKLVDVLSAFSKVLVLAIVVSFIMLIVQYSIAGTIVRKNPFRSLKNMMPAYFTALGTSSSAATIPVTYECTRKNGVSASVAGFVIPLCATIHLSGSMLKITLFAFAVMFMDGMHIPLGVAVGFILMLGVTMVAAPGVPGGAITAAVGLLSASLGFNDDQVALMIAAYIAIDSFGTACNVTGDGAIALVIDKLAKGTIQRSELDDDD-ELGLAAAIAGIEETEEKEAEGKADQQSADQATSKEA</t>
  </si>
  <si>
    <t>GC_00000730</t>
  </si>
  <si>
    <t>PF13822.11</t>
  </si>
  <si>
    <t>Acyl-CoA carboxylase epsilon subunit</t>
  </si>
  <si>
    <t>K27095</t>
  </si>
  <si>
    <t>acyl-CoA carboxylase epsilon subunit</t>
  </si>
  <si>
    <t>KEGG Orthology (KO)&gt;&gt;&gt;09100 Metabolism&gt;&gt;&gt;09101 Carbohydrate metabolism&gt;&gt;&gt;00630 Glyoxylate and dicarboxylate metabolism [PATH:ko00630]|KEGG Orthology (KO)&gt;&gt;&gt;09100 Metabolism&gt;&gt;&gt;09101 Carbohydrate metabolism&gt;&gt;&gt;00640 Propanoate metabolism [PATH:ko00640]|KEGG Orthology (KO)&gt;&gt;&gt;09100 Metabolism&gt;&gt;&gt;09103 Lipid metabolism&gt;&gt;&gt;00074 Mycolic acid biosynthesis [PATH:ko00074]|KEGG Orthology (KO)&gt;&gt;&gt;09100 Metabolism&gt;&gt;&gt;09105 Amino acid metabolism&gt;&gt;&gt;00280 Valine, leucine and isoleucine degradation [PATH:ko00280]</t>
  </si>
  <si>
    <t>MSENPENTSDSGEQDATATPPAKPFLEVINGNPDATQVAAITTLFAVMANNAAAQDAAEKDRNRWGDVEERLRKPVTYNPNAFRNVTFY</t>
  </si>
  <si>
    <t>GC_00000731</t>
  </si>
  <si>
    <t>PF01725.21</t>
  </si>
  <si>
    <t>Ham1 family</t>
  </si>
  <si>
    <t>K01519</t>
  </si>
  <si>
    <t>XTP/dITP diphosphohydrolase [EC:3.6.1.66]</t>
  </si>
  <si>
    <t>COG0127</t>
  </si>
  <si>
    <t>Inosine/xanthosine triphosphate pyrophosphatase, all-alpha NTP-PPase family (RdgB) (PDB:1B78)</t>
  </si>
  <si>
    <t>KEGG Orthology (KO)&gt;&gt;&gt;09100 Metabolism&gt;&gt;&gt;09104 Nucleotide metabolism&gt;&gt;&gt;00230 Purine metabolism [PATH:ko00230]|KEGG Orthology (KO)&gt;&gt;&gt;09100 Metabolism&gt;&gt;&gt;09111 Xenobiotics biodegradation and metabolism&gt;&gt;&gt;00983 Drug metabolism - other enzymes [PATH:ko00983]|Enzymes&gt;&gt;&gt;3. Hydrolases&gt;&gt;&gt;3.6  Acting on acid anhydrides&gt;&gt;&gt;3.6.1  In phosphorus-containing anhydrides&gt;&gt;&gt;3.6.1.66  XTP/dITP diphosphatase</t>
  </si>
  <si>
    <t>MLLHVATHNAKKLKELARVLEAAGVEGIELVSSEDLLGYPEPVEDGRTFADNALIKARVGAKETGLVTLADDSGLSVDELGGMPGVLSARWSGKHGDDEANNELLLAQMADVPDKRRAAQFVSVCAVVTPEGDEYLEKGVWKGRLVRKATGDNGFGYDPLFIPEEEDARVAGTDDKPRTSAELSAEEKDALSHRGKALAALVPALAELARAAEHKGEGATPDNDGALAVVTPEEAQGEDKDTNTKGNEED</t>
  </si>
  <si>
    <t>MKIHVASRNPKKLQELARVLDAAGIDGVELVSTADVAPYEEPVENGRSFTDNALIKARAGAAATGLVTLADDSGLTVDELGGMPGVLSARWSGQHGDDAANNALLLAQMADVPNDRRAAAFVSVCALVTPDGAEYVSEGVWPGLLLRSVVGEGGFGYDPIFAPLDEAA-------GGRSSAELAPEEKDALSHRGKALAGLVPVFRELAAG---------------------------------------</t>
  </si>
  <si>
    <t>MKIHVASRNPKKLQELARVLDAAGIDGVELVSTADVAPYEEPVENGRTFTDNALIKARAGAAATGLVTLADDSGLTVDELGGMPGVLSARWSGQHGDDAANNALLLAQMVDVPNDRRAAAFVSVCALVTPDGAEYVSEGVWPGLLLRSVVGEGGFGYDPIFAPLDEAA-------GGRSSAELAPEEKDALSHRGKALAGLVPVFRELAAG---------------------------------------</t>
  </si>
  <si>
    <t>MKILLASNNPKKAHELRTILANSGI---EILTLADVPHYDEPIEDGRTFADNALIKARAGAQHTGLVTIADDSGFTVEELNGCPGVLSARWSGQHGDDQANNILLLKQMAHVPEERRQAAFVSVCALVVPNGEEHVVTGQWDGWMLTEPRGDNGFGYDPLFLPNEEFP-------NGRSSAQLSPAEKNALSHRGKALAQLVPIVTQLSQLSEANSD---------------------------------</t>
  </si>
  <si>
    <t>MKILLASNNPKKAHELRTILANSGI---EILTLADVPHYAEPIEDGRTFADNALIKARAGAQHTGLVTIADDSGFTVEELNGCPGVLSARWSGQHGDDQANNLLLLKQMAHVPEERRQAAFVSVCALVVPNGEEHVVTGQWDGWMLTEPRGDNGFGYDPLFLPNEEFP-------NGRSSAQLSPAEKNALSHRGKALAQLVPIVTQLSQLSEANSD---------------------------------</t>
  </si>
  <si>
    <t>GC_00000732</t>
  </si>
  <si>
    <t>K05565</t>
  </si>
  <si>
    <t>multicomponent Na+:H+ antiporter subunit A</t>
  </si>
  <si>
    <t>COG1009|COG2111</t>
  </si>
  <si>
    <t>Membrane H+-translocase/NADH:ubiquinone oxidoreductase subunit 5 (chain L)/Multisubunit Na+/H+ antiporter, MnhA subunit (NuoL) (PDB:3RKO)|Multisubunit Na+/H+ antiporter, MnhB subunit (MnhB)</t>
  </si>
  <si>
    <t>NADH dehydrogenase</t>
  </si>
  <si>
    <t>MSLMIVLGIAALAVVCSPVLVRVMDRAAGVPLGLMYVAAAGVLTGTFPTVFAGGGHGSGAVEWSTTWVRDFPAPGQHIDVAFRGDALSVFFAMLALCVGAVVFIYSASYLHHKD-SNTSFYVIMSAFMLAVLLLVLANDIVVLFIAWEFVSIGSFFLIARAGS-GGEAGAIRTLVLTFTGGLSLLAATAITATAAGTTDLHEILQSEFWVERPGMATALAVLFAVAAFTKSAQLPFHFWLPEAMAAATPVSAFLHAAAVVKAGVYVLLRFSAVFHDNHVWNVLLIVVGMSTAVMASLFAIQKTDLKKLTAYSTVSHLGWIVATIGVGTPFALAAAAVHTLAHAMFKSSLFMLIGVIDHQAHSRDVRRLGKMYKQLPFTFTAVVIGALSMAAIPPMFGFVSKEAMLEAFTGAPLANGGVIVLLIAAFSGAVFTMTYSTRLVFGAFVDGRRDMSEVREAPVRLWLPAALPGVASLPIVFFLSRLDSPIDSLVAAAAPTAHRAHLHLALWHGITLPFLISAVAMCVALVMVAYRHALFEWITPKNFFPTTGNDLLNKLYNRSQKWGRFAASMADSLSPSRHLTYPLLLILYLAG----GALLSPGSTGIELAPRVPGIDQPMDVLPLIIVIVSVLALVRTHNRLLAVVLLGIAGVGVTLQILLLGAPDVALTQFLVELLIVVVMMMVVRFQPTDFIQTGNTKKFSAG---TLAVLVGVVTFIGVYALVGRHDRPDLAMWYLQEAPSISGGSNVVNTILVEFRALDTMGELSVLGMAGVVIAAVVGSIPRHSRDEDTPP-PFGMELSNSIPLRTVLKVLSPVLLVLSFVIFMRGHNAPGGGFIAALVASGAIMLAYLSKPADRRIVRPNLPFILTGVGMLTALGSGFLGLLKGSFLFPIHGHIAGEHVTTSMIFDVGVFLAVLGMVTLAINALGGTRRPGVDKLLLPFIR--------------SRSNPLPASDLHKEARAEQEAQTSPVHSVVGAQFTPYRAVTTD------------SVSTARRVDQPRDKEEGDRR</t>
  </si>
  <si>
    <t>MTLLVVLVLSAVAVGVSPFAVRVLDRKAGWPLAALFIAAAWVVGRHVPDVIS-----HSPLSYKITWLKDAIAPGMDIDFALRGDALSVFFALLALVIGAAVFIYSAAYLHNND-GNTSFYLIMSAFMLSVLLLVLSDDVVVLFIAWELVSIGSFLLIARAGS-GGEAGSMRTLILTFTGGLTLLAAVAIMATQAGTTNLTDIIASNFWTEKPGLTTAIAMLIAVSAFTKSAQFPFHFWLPEAMAAATPVSAFLHAAAVVKAGIYLLLRFSPVFHNNAAWNVVLITVGMFTAVMAALFAVQKTDLKRLTAYSTVSHLGWIVATIGVGTPFALAAALVHTFAHALFKSSLFMLIGVVDHQAGSRDVRRLGSLYRQMPFTFISVVVGALSMAAVPPLLGFISKEGMLEAYTEAPLPTAAVWLLLAAAATGALLTITYSTRLVFGAFVDGPRDMSQVKEAPVVLWLPAALPGLMSVPLAFMVGVLDAPVGAAVDT--------HVHLGLWHGVSTPLLISLGVLAAGAVVVWKRQAVFALADARHFLPFNGNKALQGLLLGMARWGRFVARMADSYSPTPHLTYPILMIVLLAA----GTTMFPGVDGVPMQPRVDGIDRPMDLLPLAIVVVSVITLITTHSRLTAAVMLGTTGVGVTLQILMLGAPDVALTQFLVELLVVVIIMFVLRQQPELFHRTSRPRSARAG---IIAIAAGVATFLGVWALLGRHERPEIAMWYLREAPGISGGANVVNTILVEFRALDTMGELSVLGMAGVVIAAVVGSIPRHPFLKGTHPAPFTLPEVNSIPMRMLCRALVPVLSVLAFVIFMRGHNDPGGGFIAALVACAAVVARYLSKGSDGPIVKQNTPFYLTGFGMLTALFAGVLGLTHGSFLYPIHGHILHQHVTTSMIFDLGVFLAVLGMLTLAINALGGPQRPGADRDLLPFTR--------------GSNHPLPQTPQ---------------------------------------------------VDASDTSEAGVSS</t>
  </si>
  <si>
    <t>MTLLVVLVLSAVAVGVSPFAVRVLDRKAGWPLAALFIAAAWVVGRHVPDVIS-----HSPLSYKITWLKDAIAPGMDIDFALRGDALSVFFALLALVIGAAVFIYSAAYLHNND-GNTSFYLIMSAFMLSVLLLVLSDDVVVLFIAWELVSIGSFLLIARAGS-GGEAGSMRTLILTFTGGLTLLAAVAIMATQAGTTNLTDIIASNFWTEKPGLTTAIAMLIAVSAFTKSAQFPFHFWLPEAMAAATPVSAFLHAAAVVKAGIYLLLRFSPVFHNNAAWNVVLITVGMFTAVMAALFAVQKTDLKRLTAYSTVSHLGWIVATIGVGTPFALAAALVHTFAHALFKSSLFMLIGVVDHQAGSRDVRRLGSLYRQMPFTFISVVVGALSMAAVPPLLGFISKEGMLEAYTEAPLPTAAVWLLLAAAATGALLTITYSTRLVFGAFVDGPRDMSQVKEAPVVLWLPAALPGLMSVPLAFMVGVLDAPVGAAVDT--------HVHLGLWHGVSTPLLISLGVLAAGAVVVWKRQAVFALADARHFLPFNGNKALQGLLLGMARWGRFVARMADSYSPTPHLTYPILMIVLLAA----GTTMFPGVDGVPMQPRVDGIDRPMDLLPLAIVVVSVITLITTHSRLTAAVMLGTTGVGVTLQILMLGAPDVALTQFLVELLVVVIIMFVLRQQPELFHRTSRPRSARAG---IMAIAAGVATFLGVWALLGRHERPEIAMWYLREAPGISGGANVVNTILVEFRALDTMGELSVLGMAGVVIAAVVGSIPRHPFLKGTHPAPFTLPEVNSIPMRMLCRALVPVLSVLAFVIFMRGHNDPGGGFIAALVACAAVVARYLSKGSDGPIVKQNTPFYLTGFGMLTALFAGVLGLTHGSFLYPIHGHILHQHVTTSMIFDLGVFLAVLGMLTLAINALGGPQRPGADRDLLPFTR--------------GSNHPLPQTPQ---------------------------------------------------VDASDTSEAGVSS</t>
  </si>
  <si>
    <t>----------MLALADTVLLARELPRALVEPITISYP-----------------------------WVPGALA---DIGFSVRLDGLSAIFALLALVVGAVVFLYSAAYLPARGAGATNFYTLMTAFMASVLLLVLADDVFLLFIAWELVSLASFMLIARSGGRGGEAGSQRTLILTFIGGLTLLVAMSIAATQAGTTSIHGILRSSFWVDKPGLTAALAVLVAVSAFTKAAQFPFHFWLPEAMAAITPVSAFLH</t>
  </si>
  <si>
    <t>----------MLALADTVLLARELPRALVEPITISYP-----------------------------WVPGALA---DIGFSVRLDGLSAIFALLALVVGAVVFLYSAAYLPARGAGATNFYTLMTAFMTSVLLLVLADDVFLLFIAWELVSLASFMLIARSGGRGGEAGSQRTLILTFIGGLTLLVAMSIAATQAGTTSIHGILRSSFWVDKPGLTAALAVLVAVSAFTKAAQFPFHFWLPEAMAAITPVSAFLH</t>
  </si>
  <si>
    <t>GC_00000733</t>
  </si>
  <si>
    <t>PF04607.23</t>
  </si>
  <si>
    <t>Region found in RelA / SpoT proteins</t>
  </si>
  <si>
    <t>K07816</t>
  </si>
  <si>
    <t>GTP pyrophosphokinase [EC:2.7.6.5]</t>
  </si>
  <si>
    <t>COG2357</t>
  </si>
  <si>
    <t>ppGpp synthetase catalytic domain (RelA/SpoT-type nucleotidyltranferase) (YjbM) (PDB:5F2V)</t>
  </si>
  <si>
    <t>KEGG Orthology (KO)&gt;&gt;&gt;09100 Metabolism&gt;&gt;&gt;09104 Nucleotide metabolism&gt;&gt;&gt;00230 Purine metabolism [PATH:ko00230]|Enzymes&gt;&gt;&gt;2. Transferases&gt;&gt;&gt;2.7  Transferring phosphorus-containing groups&gt;&gt;&gt;2.7.6  Diphosphotransferases&gt;&gt;&gt;2.7.6.5  GTP diphosphokinase</t>
  </si>
  <si>
    <t>MPQTSSPARLGQVYHAWRREHPTAAQDFKDAIEDLLDDSGVTYDRVTSRVKTWRSFKAKALSRTADGTPRYNDPWNEIRDLVGVRITTYHSTAIPEVINVLRQSFKVVKSVDKAAQTKISGGFGYGSHHLYVEIPSGIEG--LEEYAGMLFEVQIRTVLQHAWAEFEHDVRYK-SGDC--LDPRVDRAFTLAAGLIELADQQFDQIATIHG---------DTPDHGSDVELTAETLPGVLTVLVGNRFPTSKIAHYTWMEELLSAHGITTLAQLRNLLDDAAIADVHTKMQYRFVPSQLRLIDDLLLRTYGEEHIEKTAKTGNRAQQRPERLRGRLAKLRKDS-------</t>
  </si>
  <si>
    <t>-----MTATLERIYTEWTAAHPHAAEDFHSTIEDLLVDAGVAFDRVTVRVKDLRSLNAKAAKRDSDGNPIYPDPWADIHDVVGVRVTTYHSTEIPTVLSVLQDSFILEKSVDKAEETKISGGFGYGSHHLTLTVPQGMQD--LEDYADFTFEVQVRTVLQHAWAEFEHDIRYKRPADA--LDPRIDRAFTLAAGLIELADQQFDQIAAIKEVEAAETREQDQDEHTRDVAITADMLPGMLATILGNRFSSSRTST</t>
  </si>
  <si>
    <t>-----MTATLKRIYTKWTTAHPHAAEDFHSTIEDLLVDAGVAFDRVTVRVKDLRSLNAKAAKRDSDGNLIYPDPWADIHDVVGVRVTTYHSTEIPTVLSVLQDSFILEKSVDKAEETKISGGFGYGSHHLTLTVPQGMQD--LEDYADFTFEVQVRTVLQHAWAEFEHDIRYKRPADA--LDPRIDRAFTLAAGLIELADQQFDQIAAIKEVEAAETRERDQDEHTRDVAITADMLPGMLATILGNRFSSSRTST</t>
  </si>
  <si>
    <t>GC_00000734</t>
  </si>
  <si>
    <t>PF04079.22</t>
  </si>
  <si>
    <t>Segregation and condensation complex subunit ScpB</t>
  </si>
  <si>
    <t>K06024</t>
  </si>
  <si>
    <t>segregation and condensation protein B</t>
  </si>
  <si>
    <t>COG1386</t>
  </si>
  <si>
    <t>Chromosome segregation and condensation protein ScpB (ScpB) (PDB:1T6S)</t>
  </si>
  <si>
    <t>MKDSEPSEQQAPRSGVQALRPYIESVLLVTDAPVTVEQLARVLDDDAATIATVLTEMSAEFTQQGSGFDLRETAEGWRLYTRPEYADVVEAFILDGNHTRLSRAALETLAVVAYRQPVTRSQVSAVRGVNVDGVMRTLQLRGLIKEVDVDASTG-AHLYATTEMLLEQLGIESLDQLPDLAPLLPDVESIEEEY-</t>
  </si>
  <si>
    <t>GC_00000735</t>
  </si>
  <si>
    <t>MNTATSSASKTLTSHNTPQSEVEKAESEQSVGPTEWNPRPVGLGPWAEEHPGQPLP-DDPRYDPVLLAEGDRRNVVDHYRYWRREAIVEDLDTKRHPLHIAIENFENDANIGTVVRTANAFAASMVHIVGRSRWNRRGAMVTDRYQHLMHHPDVDHLLKWARENGLIVVAIDNTPGCVPLETTDLPRNCLLLFGQEGPGVTEAAQQGALMTCSIAQFGSTRSINAGVAAGIAMHAWIRQHADYGNSW</t>
  </si>
  <si>
    <t>GC_00000736</t>
  </si>
  <si>
    <t>PF01053.26</t>
  </si>
  <si>
    <t>Cys/Met metabolism PLP-dependent enzyme</t>
  </si>
  <si>
    <t>K01740</t>
  </si>
  <si>
    <t>O-acetylhomoserine (thiol)-lyase [EC:2.5.1.49]</t>
  </si>
  <si>
    <t>COG2873</t>
  </si>
  <si>
    <t>O-acetylhomoserine/O-acetylserine sulfhydrylase, pyridoxal phosphate-dependent (MET17) (PDB:2CTZ)</t>
  </si>
  <si>
    <t>KEGG Orthology (KO)&gt;&gt;&gt;09100 Metabolism&gt;&gt;&gt;09105 Amino acid metabolism&gt;&gt;&gt;00270 Cysteine and methionine metabolism [PATH:ko00270]|Enzymes&gt;&gt;&gt;2. Transferases&gt;&gt;&gt;2.5  Transferring alkyl or aryl groups, other than methyl groups&gt;&gt;&gt;2.5.1  Transferring alkyl or aryl groups, other than methyl groups (only sub-subclass identified to date)&gt;&gt;&gt;2.5.1.49  O-acetylhomoserine aminocarboxypropyltransferase</t>
  </si>
  <si>
    <t>MTDNTHRSYDNSGADSWALETRSIHAGQPVDSDTGSRNLPIYLTSSFLFNSAEHARQRFALEDLGPVYSRLTNPTVEAVEQRIASLEGGVHAVLFASGQAAETAAILNVARAGSHIVSSPRLYGGTETLFAVTLARLGIETTFVDNPDDPESWAAAVKPNTVAFYGETFANPQADVLDIPAIAEVAHAHQVPLIVDNTLATAALVRPLELGADIVVASVTKFYTGNGSGLGGVLVDGGSFDWTVERD-GQPVFPDFVTPDPAYHGLKYADLGPAAFGLKARVGLLRDTGAAPSPFNAWVTAQGLDTLSLRVERHNENALAVAKFLDVHPKVERVNYAGLESSPWFEVKEKLGLRYTGSVLSFDIKGGKDEAWAFIDALKLHSNLANVGDVRSLVVHPATTTHSQSDEESLRRAGINQATVRLSVGIEHIDDIIADLSQAFDAV-</t>
  </si>
  <si>
    <t>----MSTKYDNSKPQNWSLETQAIHAGQPVDSDTGARNLPLYLTTSYVFNSAEHAKQRFALEDIGPIYSRLTNPTNEVLENRLAALEGGVYAVSFASGQAAETAAILNLAQAGDHIVASPRLYGGTLTLFTGPLERLGISTTFVEDPDDPASWQAAVQPNTKAFYGETFANPQADVLDIPTIAEVAHRNNVPLIVDNTIATAALVRPLELGADIVVASLTKFYTGNGSVIGGIVIDGGKFDWTVKNSAGEPVFPG</t>
  </si>
  <si>
    <t>----MSTKYDNSKPQNWSLETQAIHAGQPVDSDTGARNLPLYLTTSYVFNSAEHAKQRFALEDIGPIYSRLTNPTNEVLENRLAALEGGVYAVSFASGQAAETAAILNLAQAGDHIVASPRLYGGTLTLFTGPLERLGISTTFVEDPDDPASWQAAVQPNTKAFYGETFANPQADVLDIPAIAEVAHRNNVPLIVDNTIATAALVRPLELGADIVVASLTKFYTGNGSVIGGIVIDGGKFDWTVKNSAGEPVFPG</t>
  </si>
  <si>
    <t>GC_00000737</t>
  </si>
  <si>
    <t>PF02390.23</t>
  </si>
  <si>
    <t xml:space="preserve">Putative methyltransferase </t>
  </si>
  <si>
    <t>K03439</t>
  </si>
  <si>
    <t>tRNA (guanine-N7-)-methyltransferase [EC:2.1.1.33]</t>
  </si>
  <si>
    <t>COG0220</t>
  </si>
  <si>
    <t>tRNA G46 N7-methylase TrmB (TrmB) (PDB:1YZH) (PUBMED:19373903;16600901)</t>
  </si>
  <si>
    <t>Enzymes&gt;&gt;&gt;2. Transferases&gt;&gt;&gt;2.1  Transferring one-carbon groups&gt;&gt;&gt;2.1.1  Methyltransferases&gt;&gt;&gt;2.1.1.33  tRNA (guanine46-N7)-methyltransferase|Transfer RNA biogenesis&gt;&gt;&gt;Eukaryotic type&gt;&gt;&gt;tRNA modification factors&gt;&gt;&gt;Methyltransferases|Transfer RNA biogenesis&gt;&gt;&gt;Prokaryotic type&gt;&gt;&gt;tRNA modification factors&gt;&gt;&gt;Methyltransferases</t>
  </si>
  <si>
    <t>-----------------------------------------------MSTHANKPAPHVDPRPSGNRPPQTDFGD----DLDYPRLGAVSFRRGTLTDNQEKTWEDNWPIFGKELSEDS--SIIDAAEWFGRQ-APLIVEIGSGTGTSTAAMAPVEADTNVVAVELYKPGLAKLLGSIVRGDISNIRMVKGDGVEVLARMFAPESLDGIRIFFPDPWPKARHHKRRIIQSGPLNLIASRLKKGGVLHVATDHAGY</t>
  </si>
  <si>
    <t>MYPARLPPRTSTISDYPTVIPQAPRLVQRMPSYQGMHHSRDIEVRPRKGAKYETMSIPEKTQPHGRRPLQSEFND----GRDYPRLGSVSFRRGTLTENQEKTWEEHWPQRGRELTNDPADQTIDIAGWFGREGHPTILEIGSGTGTSTVAMAPLEPDTNIIAVELYRPGLAKLLGASVRGGVDNIRMIKGDGVEVLNRMFPEASLDGVRIFFPDPWPKARHHKRRIIQSGTLHLIATRLKPGGVLHVATDHADYADWITELATVEPLLDYKGWPWAECPQLTDRQVITKFEGKGLQKDHTIAEFLWQRTADNVAEGTPDSVGDGSPSATTVT</t>
  </si>
  <si>
    <t>MYPARLPPRTSAISDYPTVIPQAPQLVQRMPSYQGMHHSRDIEVRPRKGAKYETMSIPEKTQPHGRRPLQSEFND----GRDYPRLGSVSFRRGTLTENQEKTWEEHWPQRGRELTNDPADQTIDIAGWFGREGHPTILEIGSGTGTSTVAMAPLEPDTNIIAVELYRPGLAKLLGASIRGGVDNIRMIKGDGVEVLNRMFPEASLDGVRIFFPDPWPKARHHKRRIIQSGTLHLIATRLKPGGVLHVATDHADYADWITELATVEPLLDYKGWPWAECPQLTDRQVITKFEGKGLQKDHTIAEFLWQRTADNVAEGTPDSVGDGSPSATTVT</t>
  </si>
  <si>
    <t>----------------------------------------------------------------MNRPQQTDFNELFHNDLDYPRLGGVSFRRGSLTDNQAARWDKYWPTLGTTLAN----RIIDIDDWFGRSGAKTIVEIGSGTGTSTAAMAPHEADTNIIAVELYKSGLAKLLGTIVRENITNIRMISGDGVEVLTRMFEPGTVDGVRIFFPDPWPKARHHKRRIIQSGVLNLIASRLKPGGVLHVATDHADY</t>
  </si>
  <si>
    <t>----------------------------------------------------------------MNRPQQTDFNELFHNDLDYPRLGGVSFRRGSLTDNQAARWDEYWPTLGTTLAD----RIIDIDDWFGRSGAKTIVEIGSGTGTSTAAMAPHEADTNIIAVELYKSGLAKLLGAIVRENITNIRMISGDGVEVLTRMFEPGTVDGVRIFFPDPWPKARHHKRRIIQSGVLNLIANRLKPGGVLHVATDHADY</t>
  </si>
  <si>
    <t>GC_00000738</t>
  </si>
  <si>
    <t>PF00128.31</t>
  </si>
  <si>
    <t>Alpha amylase, catalytic domain</t>
  </si>
  <si>
    <t>K01214</t>
  </si>
  <si>
    <t>isoamylase [EC:3.2.1.68]</t>
  </si>
  <si>
    <t>COG1523</t>
  </si>
  <si>
    <t>Pullulanase/glycogen debranching enzyme (PulA) (PDB:2WSK)</t>
  </si>
  <si>
    <t>M00565</t>
  </si>
  <si>
    <t>Trehalose biosynthesis, D-glucose 1P =&gt; trehalose</t>
  </si>
  <si>
    <t>KEGG Orthology (KO)&gt;&gt;&gt;09100 Metabolism&gt;&gt;&gt;09101 Carbohydrate metabolism&gt;&gt;&gt;00500 Starch and sucrose metabolism [PATH:ko00500]|Enzymes&gt;&gt;&gt;3. Hydrolases&gt;&gt;&gt;3.2  Glycosylases&gt;&gt;&gt;3.2.1  Glycosidases, i.e. enzymes that hydrolyse O- and S-glycosyl compounds&gt;&gt;&gt;3.2.1.68  isoamylase</t>
  </si>
  <si>
    <t>-----------MWPGEAYPLGSTYDGAGTNFALFSDVATSVELCLISEDGHETRVEVTEVDAQTWHCYLPGVQPGQRYGWRVHGPYDPDNGHRCDPSKLLVDPYAKAFCGEFDGHPSLFSYDISDPDNPEGRNTEDSLGHTMTSVVISPFFDWASDRAPKTPFHKTVIYEAHVKGMTMTHPGVPEELRGTYAGLAHPVIIRYLKDLGITAIELLPVHQFLQDDRLRDLGLRNYWGYNTFGFFAPHQDYAAATKPG</t>
  </si>
  <si>
    <t>-MSSTYEHSFQVWPGEAYPLGSTYDGAGTNFALFSDVAERVELCLLDREDNETRINIEEVDAHIWHCYIPGIQPGQRYGYRVYGPYDPANGHRCDPNKLLVDPYAKAFDGEFDGHPSLFSYDITDPGNPEGRNTEDSLGHTMKSVVINPFFDWANDRAPRTPYHETVIYEAHVKGMTMTHPDVPDNLRGTYAGLAHPAIISYLKDLGITAIELMPVHQFLQDDRLRELGLRNYWGYNSFGFFAPHQEYAAARKPG</t>
  </si>
  <si>
    <t>-MSSTYEHSFQVWPGEAYPLGSTYDGAGTNFALFSDVAERVELCLLDREDNETRINIEEVDAHIWHCYIPGIQPGQRYGYRVYGPYDPANGHRCDPNKLLVDPYAKAFDGEFDGHPSLFSYDITDPGNPEGRNTEDSLGHTMKSVVINPFFDWANDRAPRTPYHETVIYEAHVKGMTMTHPDVPDNLRGTYAGLAHPAIINYLKDLGITAIELMPVHQFLQDDRLRELGLRNYWGYNSFGFFAPHQEYAAARKPG</t>
  </si>
  <si>
    <t>MTSAPTSEPRKIWPGDAYPLGSKYDGAGTNFAIFSDIAEKVELCLIDDDGNEERINLEEVDNHTWHCYLPGVSHGQRYGYRVHGPYDPANGHRCDASKLLVDPYARAFDGEFDGHPSLFSYDITKPYDMYSRNTEDSLGHTMLSVVVNPFFDWGGEKPPNVPYHETIIYEAHVKGMTMTHPEVPEDLRGTYAGMAHPEVIKYFKELGVTTIELMPVHQFLQDDRLRELGLRNYWGYNTFGFFAPHQDYAASIEVGGAVNEFKSMVRTFHEAGLEVILDVVYNHTAEGNHLGPTIAFRGIDNDSYYRLVDDSKAHYMDYTGTGNSLNVRDPHSLQMIMDSLRYWVEEMHVDGFRFDLASTLARELHDVDRLATFFDLVQQDPVVSRVKLIAEPWDVGEGGYQVGNFPTLWAEWNGKYRDTVRDFWRGEPSTLGEFASRLTGSSDLYAHNGRRPTASINFVTAHDGFTLNDLVSYNSKHNLANGEDDRDGESHNRSWNCGVEGPTDDPAINQLRDQQRRNFLTTLLLSQGTPMIAHGDEIARTQQGNNNVYCQDNELSWINWDFVNTNADLLEFTKRLIRIRKNHPVFRRRRFLAGDPFGF-DAADRDIAWLVPSGRLMTQGDWEFAFGKSLMVYLNGRSIVEPDRRGQKVEDDSFLLMFNAHYDSIDFTIPGKQFGVSWKLIVDTTEATGYPAEAKHVSANGSITVPARSIIILRQIELPTAEADAEDHGTVDQKSVGEVSAPLNLTVMQPTEEPVAEPEPAADTEEQQEPKAEAEPEVKAEAETEAAPQQPESEEPKPTKSAK---------PAKSTKSAKP-AKPAKPTE-PAAEPAVDKQETPDPATTVDKPDD-----------YSAKNNYGDES</t>
  </si>
  <si>
    <t>MTSAPTSEPRKIWPGDAYPLGSKYDGAGTNFAIFSDIAEKVELCLIDDDGNEERINLEEVDNHTWHCYLPGVSHGQRYGYRVHGPYDPANGHRCDASKLLVDPYARAFDGEFDGHPSLFSYDITKPYDMYSRNTEDSLGHTMLSVVVNPFFDWGGEKPPNVPYHETIIYEAHVKGMTMTHPEVPEDLRGTYAGMAHPEVIKYFKELGVTTIELMPVHQFLQDDRLRELGLRNYWGYNTFGFFAPHQDYAASIEVGGAVNEFKSMVRTFHEAGLEVILDVVYNHTAEGNHLGPTIAFRGIDNDSYYRLVDDSKAHYMDYTGTGNSLNVRDPHSLQMIMDSLRYWVEEMHVDGFRFDLASTLARELHDVDRLATFFDLVQQDPVVSRVKLIAEPWDVGEGGYQVGNFPTLWAEWNGKYRDTVRDFWRGEPSTLGEFASRLTGSSDLYAHNGRRPTASINFVTAHDGFTLNDLVSYNSKHNLANGEDDRDGESHNRSWNCGVEGPTDDPAINQLRDQQRRNFLTTLLLSQGTPMIAHGDEIARTQQGNNNVYCQDNELSWINWDFVNTNADLLEFTKRLIRIRKNHPVFRRRRFLAGDPFGF-DAADRDIAWLVPSGRLMTQGDWEFAFGKSLMVYLNGRSIVEPDRRGQKVEDDSFLLMFNAHYDSIDFTIPGKQFGVSWKLIVDTTEATGYPAEAKHVSANGSITVPARSIIILQQIELPTAEADAEDHGTVDQKSVGEVSAPLNLTVMQPTQEPVAEPEPAVDTEEQQEPKAEAEPEVKAEAETEAAPQQPESEEPKPAKPAK---------PAKSTKSAKP-AKPAKPTE-PATEPAVDKQETPDPATTVDKPDD-----------YSAKNNYGDES</t>
  </si>
  <si>
    <t>GC_00000739</t>
  </si>
  <si>
    <t>K01883</t>
  </si>
  <si>
    <t>cysteinyl-tRNA synthetase [EC:6.1.1.16]</t>
  </si>
  <si>
    <t>KEGG Orthology (KO)&gt;&gt;&gt;09120 Genetic Information Processing&gt;&gt;&gt;09122 Translation&gt;&gt;&gt;00970 Aminoacyl-tRNA biosynthesis [PATH:ko00970]|Enzymes&gt;&gt;&gt;6. Ligases&gt;&gt;&gt;6.1  Forming carbon-oxygen bonds&gt;&gt;&gt;6.1.1  Ligases forming aminoacyl-tRNA and related compounds&gt;&gt;&gt;6.1.1.16  cysteine---tRNA ligase|Amino acid related enzymes&gt;&gt;&gt;Aminoacyl-tRNA synthetase&gt;&gt;&gt;Class I (G)|Transfer RNA biogenesis&gt;&gt;&gt;Eukaryotic type&gt;&gt;&gt;Aminoacyl-tRNA synthetases (AARSs)&gt;&gt;&gt;Other AARSs|Transfer RNA biogenesis&gt;&gt;&gt;Prokaryotic type&gt;&gt;&gt;Aminoacyl-tRNA synthetases (AARSs)&gt;&gt;&gt;Other AARSs</t>
  </si>
  <si>
    <t>MGGLPSRLLWCIGVYRLDTVTLRIYDSATRQLRDFEPLRPGHASVYLCGATVQSVPHIGHLRSGVAFDIVRNWLEYKGFDVAFVRNVTNIDDKILTKAADNGRPWWEWAATHERAFNWAYSQLGVRPPSLEPRATGHITEMVEYMQRIIDAGHGYASDGNVYCSPATI-----EGYGQLSGQKLDEMDQGESAGTGKRDPRDFTMWKAAKPGEPSWPTPWGDGRPGWHIECTAMATKYLGAEFDIHGGGLDLKFPHHENEIAQAHAAGDGFARYWMHNGWVTMAGEKMSKSLGNVLSVENITKIVRPVELRYYLGSAHYRSMIEYSEGALLEAAAGYRRIEDFVSKF------PDAEPGEVAPEFAEAMDEDFAVPKALAVIHGAVRKGNTALAEGDREQASALAQSVRAMAAVLGVDPLAETWHS-GQDN--SAAMGALDALVEAQLVRRAQARANKDWAVADEVRDTLAAAGVEVIDTADGAQWQLKAGK</t>
  </si>
  <si>
    <t>--------------------------------------------MYLCGATPQTHPHIGHVRSGVAFDIVRRWLMASGYDVAFVRNVTDIDDKILTKAAEANRPWWEWVSTYERAFSHAYDMLGVLPPSVEPRATGHMTQMITYMQRLIDAGFAYPAQGSVYFDVAAWSAADGSDYGSLSGNNLVDMEQGETDNVGKRSPQDFALWKAAKPGEPSWPTPWGDGRPGWHLECSAMSTWYLGPEFDIHGGGLDLQFP</t>
  </si>
  <si>
    <t>--------------------------------------------MYLCGATPQTNPHIGHVRSGVAFDIVRRWLMASGYDVAFVRNVTDIDDKILTKAAEANRPWWEWVSTYERAFSHAYDMLGVLPPSVEPRATGHMTQMITYMQRLIDAGFAYPAQGSVYFDVAAWSAADGSDYGSLSGNNLIDMEQGETDNVGKRSPQDFALWKAAKPGEPSWPTPWGDGRPGWHLECSAMSTWYLGPEFDIHGGGLDLQFP</t>
  </si>
  <si>
    <t>GC_00000740</t>
  </si>
  <si>
    <t>------------------------------------------------MFSCDLTWLESHWGCGFGTPACRGIDSTSPSVGCCNHGAFMCDEEDREQLLDAVRRMPARYWQL--RPTGVDTHLEPE------ELEPWLEWDELDDE-----PALRTKVVDGACIFANRDGS----GCALHQWGVDNGEDLTVVKPEVCWQLPLRRLEDYEERTDGEEILRTTITEYDRRGWGNGGEDFDWYCTTAPACHQSQDPI</t>
  </si>
  <si>
    <t>--------MFLGFPADSPAAASIRSGAELPPDFPRDWFEFTHPEDPLHVFSCDLTWLESHWGCGFGTPACRGIDSTSPSVGCCNHGAFMCDEEDREQLLDAVRRMPARYWQL--RPTGVDTHLEPE------ELEPWLEWDELDDE-----PALRTKVVDGACIFANRDGS----GCALHQWGVDNGEDLTVVKPEVCWQLPLRRLEDYEERTDGEEILRTTITEYDRRGWGNGGEDFDWYCTTAPACHQSQDPI</t>
  </si>
  <si>
    <t>MNHPDIETVYLGFPKSSPAAHSILAGQELAPDFPRQWLEFVHPSDEKHVFSIDLTWLESHYSCGFGTPACRGILADLPSVGCCHHGAFLCDETDRDQLFDAVSRMPRRFWQF--YSDEIAAFLADPTTVDASDVEPWLVWDELDDEDGNPEPALKTALVDGACIFANRPGWPTGVGCALHQWAVAAGEDLTVVKPEVCWQLPLRRLEAWEERADGEEILRTTITEYERRGWGNGGEDFDWYCTTAPACHKNAQPLWQSCEAELRTLMGDECFEVLAGHLRERATLFDAQGLPPA------ALNPHPATVTAFRDT------</t>
  </si>
  <si>
    <t>------------------------------------------------------------------------------------------------------------------------------------------MWDELDDEDGNPEPALKTALVDGACIFANRPGWPTGVGCALHQWAVAAGEDLTVVKPEVCWQLPLRRLEVWEERADGEEILRTTITEYERRGWGNGGEDFDWYCTTAPACHKNAQPL</t>
  </si>
  <si>
    <t>GC_00000741</t>
  </si>
  <si>
    <t>PF01475.25</t>
  </si>
  <si>
    <t>Ferric uptake regulator family</t>
  </si>
  <si>
    <t>K03711</t>
  </si>
  <si>
    <t>Fur family transcriptional regulator, ferric uptake regulator</t>
  </si>
  <si>
    <t>COG0735</t>
  </si>
  <si>
    <t>Fe2+ or Zn2+ uptake regulation protein Fur/Zur (Fur) (PDB:1MZB)</t>
  </si>
  <si>
    <t>Transcription factors&gt;&gt;&gt;Prokaryotic type&gt;&gt;&gt;Helix-turn-helix&gt;&gt;&gt;Fur family</t>
  </si>
  <si>
    <t>MAQTRTVKNISKDKKSPPMPKLGARSTRQRAAVVTVLRDLENFYSARYIHDELIVRGESVGLTTVYRTLQSLAEINAVDVLHMHTGETLYRHCASSHHHHHVVCTNCGKTTEIDGGPVEQWAAEQAVEHGYRLTNHTAEVFGLCPKCQEKADAENK</t>
  </si>
  <si>
    <t>--------------MDQPIPKLGVRSTRQRTAVITVLREMENFASAKTIHQELLKRDLKVGLTTVYRTLQSLSEAKAVDVLHMSNGESLYRHCRNSDHHHHLVCTQCGRTIEIDGGPVEQWANEIATKYGFRLTGHDAEVFGLCNQCL----ASN-</t>
  </si>
  <si>
    <t>--------------MDQPIPKLGVRSTRQRTAVITVLREMENFASAKTIHQELLKRDLKVGLTTVYRTLQSLSEAKAVDVLHMSNGESLYRHCRNSDHHHHLVCTQCGRTIEIDGGPVEQWANEIATKYGFRLTGHDAEVFGLCNQCL----AGN-</t>
  </si>
  <si>
    <t>GC_00000742</t>
  </si>
  <si>
    <t>K09017</t>
  </si>
  <si>
    <t>TetR/AcrR family transcriptional regulator</t>
  </si>
  <si>
    <t>MVRQRMSGSQRREQLISVGRSVFAARGYDAASVEEIAARAGVSKPVVYDHFGGKEGLYAVVVDREMVRLQEVITQALAKGRSRTRIEQAVLALLTYVEEHTDGFQILVRDVPQGGDRGYATLLNDAVGQVSHILGEAFMRLGLDPDTAVLYGQALVGMVSMTAQWWLDVRTPD----KEAVAAHIVNLCWNGLARMESHPVLSE------------------------------------DL-----------</t>
  </si>
  <si>
    <t>MVKQRMTGKERREQLISIGRGVFAERGFEGTSVEEIAARAGVSKPVLYEHFGGKEGLYAVVVDREMLRLEGIITAALENGRSRFRIEQAVLALLTYVEEHTDGFQILVRDVSPGGEHSYSTMLNEAVGQVSHILEQAFIRSGLDSDHAVLYGQALVGMVSMTAQWWLDVRQPS----KEQVAVHIVNLCWNGLARMEREPHLLT-----------------------APVTNPTPLAATPDDGGDVEPDGE--</t>
  </si>
  <si>
    <t>MAKRRMTGKERREQLIAIGRSVFAERGFEGTSVEEIAARAGVSKPVLYEHFGGKEGLYAVVVDREMLRLEGIITAALENGRSRFRIEQAVLALLTYVEEHTDGFQILVRDVSPGGEHSYSTMLNEAVGQVSHILEQAFIRSGLDSDHAVLYGQALVGMVSMTAQWWLDVRQPS----KEQVAVHIVNLCWNGLARMEREPHLLT-----------------------APVTNPTPLAATPDDGGDVEPDGE--</t>
  </si>
  <si>
    <t>GC_00000743</t>
  </si>
  <si>
    <t>PF02618.21</t>
  </si>
  <si>
    <t>YceG-like family</t>
  </si>
  <si>
    <t>K07082</t>
  </si>
  <si>
    <t>peptidoglycan lytic transglycosylase G [EC:4.2.2.29]</t>
  </si>
  <si>
    <t>COG1559</t>
  </si>
  <si>
    <t>Endolytic transglycosylase MltG, terminates peptidoglycan polymerization (MltG) (PDB:2R1F) (PUBMED:26507882)</t>
  </si>
  <si>
    <t>ko01000|ko01011</t>
  </si>
  <si>
    <t>Enzymes&gt;&gt;&gt;4. Lyases&gt;&gt;&gt;4.2  Carbon-oxygen lyases&gt;&gt;&gt;4.2.2  Acting on polysaccharides&gt;&gt;&gt;4.2.2.29  peptidoglycan lytic transglycosylase|Peptidoglycan biosynthesis and degradation proteins&gt;&gt;&gt;Peptidoglycan biosynthesis and degradation&gt;&gt;&gt;Lytic transglycosylase</t>
  </si>
  <si>
    <t>MNSNSPKRHSIS-----MHPVHVKRRQRGLAVIIATLIVLIGATIYIAVERS-SVRNPGDFEGDGNGVVEMVEIEPGSSVSAVGPELEQRGIVKSNAAFQSAAANEPKAAQLPPGVYRLQQQMSAAAAVAAFVNPANRVQSLDIANGATLMDVRVVGG---SVRPGIFSQIHDVMCAQSPDNCFSVDELEDVAANVDPAELGAPQWAHDKVRAQGANPRRLEGLIEPGEYVLSPNSTAQEVLTQLLTASTKSYNETNILERAQTIGLTPYELLTAASLVEREAPAGDFGKVARVILNRLDEDMQLEFDSTVNYDLEDQEVATTDEDRARETPWNTYAKVGLPDTPIASPSLDAIKAMENPADGDWLFFVTVDQKGTTEFNRTFEEHQQDMQKSIDNGVLDSNR-</t>
  </si>
  <si>
    <t>MPSNSNRRRSRTRRTRRMEPVYVKRRQRGLAVLIASLLLIIFTIIYVASQRVFPTGNSTDYEGNGNGVVQMVEIKEGSTVSELGPELVNRGIVKSNSAFQTAANSSTKASAIEPGFYRLQGEMSAAAAIAALVNPANKVEALDIVGGATLMDINVVGG---QTRYGIYSQISKVTCYEGSRNCINAQDLQNIAATTDPAELGVPDWALDAVRAHNGDPRRLEGLIVPGQYMVNPEHDARAVLTELITKSATAYNNTGIVERAQGVGLSPYQLITAASLVEREAPAGEFDKVARVILNRLKAPMKLEFDSTVNYGLTSQEVATTDEDRKRVTPWNTYAKEGLPDTPIASPSIQAIEAVENPAQGNWLFFVTIDKKGTTVFNDTYEAHLRDTQQAISNGVLDSNR-</t>
  </si>
  <si>
    <t>MPSNSNRRRSRTRRTRRMEPVYVKRRQRGLAVLIASLLLIIFTIIYVASQRVFPTGNSTDYEGNGNGVVQMVEIKEGSTVSELGPELVNRGIVKSNSAFQTAANSSTKASAIEPGFYRLQGEMSAAAAIAALVNPANKVEALDIVGGATLMDINVVGG---QTRYGIYSQISKVTCYEGSRNCINAQDLQNIAATTDPAELGVPDWALDAVRAHNGDPRRLEGLIVPGQYMVNPDHDARAVLTDLITKSATAYNNTGIVERAQGVGLSPYQLITAASLVEREAPAGEFDKVARVILNRLKAPMKLEFDSTVNYGLTSQEVATTDEDRKRVTPWNTYAKEGLPDTPIASPSIQAIEAVENPAQGNWLFFVTIDKKGTTVFNDTYEAHLRDTQQAISNGVLDSNR-</t>
  </si>
  <si>
    <t>-------MRKVK---------YVKRRQRGAAVLLASLILLLGAAIYIGTQLA--TTSTRDYKGSGNGQYELITVKDGQTLSELGPELKQRGIIANESVFQTATYNNPNASNFKPGVYRLQHEMSVKAALAALLDPKNKIEALAVNGGDGLMDVKGVGGGENDVRYGIFSKISKVTCFENSDHCITIEALQQEASTANLQELGVPAWAIEPVTRRGADPKRLEGLIAPGEYTIDPKSDAKAILKDLITKSAQEYQK</t>
  </si>
  <si>
    <t>GC_00000744</t>
  </si>
  <si>
    <t>MVFTFVSDRLCAPLGRVAAVAMLRRSWRLLRSFSFEQSDPGRFYGPLAEDTAELIVAIAADMEVSGEPVA------VLDVGGGPGYFHRAFASRGMDYVTVEPDVGEMAAAGISVPASVRGSGMDLPFRDECFDVVYSSNVAEHVTKPWQMADEMLRVTKPGGVMVLSYTVWLGPFGGHETGLWPHYVGGDFARRRYERVHGRRPKNVFGESLFAVSCAQGLRWGRR---QGAV----FFPRYHPWWAWWVVRVPILREFLTSNLVIVVKKKGG----</t>
  </si>
  <si>
    <t>COG2227</t>
  </si>
  <si>
    <t>2-polyprenyl-3-methyl-5-hydroxy-6-metoxy-1,4-benzoquinol methylase (UbiG) (PDB:1BHJ)</t>
  </si>
  <si>
    <t>-------------------MATLSRSLFLLRSFGYEQSDPAYFYGNLAEDTAQFIASLYSDRVVGGAPAAALHNARILDVGGGPGFFSEAFTARGSTYITVEPDVGEMAAANIEVPGSVRGSGDALPFADASFDIVYSSNVAEHMPNPWDMGDEMLRVTRPGGLVVLSYTIWLGPFGGHETGLWQHYIGGNFARNLYTRTHGHPPKNVFGESLFDVSCADGINWASRVQESGTASLVGLIPRYHPRWAWWLVHVP</t>
  </si>
  <si>
    <t>-------------------MATLSRSLFLLRSFGYEQSDPAYFYGNLAEDTAQFIASLYSDRVVGGAPAAALHNARILDVGGGPGFFSEAFTARGSTYITVEPDVGEMAAANIEVPGSVRGSGDALPFADASFDIVYSSNVAEHMPNPWDMGDEMLRVTRPGGLVVLSYTIWLGPFGGHETGLWQHYIGGNFARNLYTRTHGHPPKNVFGESLFDVSCADGINWAARVQESGTASLVGLIPRYHPRWAWWLVHVP</t>
  </si>
  <si>
    <t>GC_00000745</t>
  </si>
  <si>
    <t>K03885</t>
  </si>
  <si>
    <t>NADH:quinone reductase (non-electrogenic) [EC:1.6.5.9]</t>
  </si>
  <si>
    <t>COG1252</t>
  </si>
  <si>
    <t>NADH dehydrogenase, FAD-containing subunit (Ndh) (PDB:5NA4)</t>
  </si>
  <si>
    <t>KEGG Orthology (KO)&gt;&gt;&gt;09100 Metabolism&gt;&gt;&gt;09102 Energy metabolism&gt;&gt;&gt;00190 Oxidative phosphorylation [PATH:ko00190]|Enzymes&gt;&gt;&gt;1. Oxidoreductases&gt;&gt;&gt;1.6  Acting on NADH or NADPH&gt;&gt;&gt;1.6.5  With a quinone or similar compound as acceptor&gt;&gt;&gt;1.6.5.9  NADH:quinone reductase (non-electrogenic)</t>
  </si>
  <si>
    <t>MSDNQAPIEATRPDGGRHHVVVIGSGFGGLFATHRLADADVDVTLIDRTNHHLFQPLLYQVATGILSAGEIAPSTRQILKKQDNAHVVKGEVVDIDVDKQVVTTQLGDFTRSYSYDSLILAAGANQSYFGNDHFAQFAPGMKSIDDALEIRARIIGAFERAELCNDPAQREKLLTFVVVGAGPTGVELAGQLAEMAHRTLKGEYSNFDPSSAKIILLDGAPQVLPPFGKRLGRNAQRQLEKLGVTVKLNSIVTDVTDSSVTFKSTKDDSVETIDSFCKIWSAGVQASPLGKLVADQCGVEVDRAGRVPVNPDCSVGDKSNVFIIGDMMSLDRLPGVAQVAIQTGEYVAENIAEEAEGRSVEEREKFEYFDKGSMATVSRFSAVVKLGKVEVTGFIGWVLWLAVHLMFLVGFRNRLVSAVSWGLNVLSRNRWQLTTTRQQLHARNAIALLDELSSPGADAPIEVKDNRRFALKKILNKD</t>
  </si>
  <si>
    <t>MSE-----KPFRPDGGRTHIVIIGSGFGGLFAAQKFNNTDVDVTIIDRTNHHLFQPLLYQVATGLLSTGEIAPSTRQIFKDQENVHVVKGEVTDINIEQQIVTTELGAIIRRYEYDYLIVAAGAGQSYFGNDHFAEFAPGMKTIDDALEIRARIIGAFERAELATDPEQRERLLTFVIVGAGPTGVELAGQVAEMAHRTLRDEYSNFDTNSAKVVLLDGAPQVLPPFGKRLGRNAQRQLEKLGVTVKLNAIVTDITKDSVTYKSTQDDTIETIPCFCKIWSAGVAASPLGKLIADQTGVEIDRAGRVMVNPDLSVGDHNNVFVIGDMMNYNNLPGVAQVAIQGGEYTAENIVAEVDGRDPNAREPFEYFDKGSMATVSRYSAVVKLGKVEFTGFIGWVAWLLVHMMFLVGFRNRATAAASWGLNVLSRNRWQLTTTRQQLHSRNALQKFEEVVGSSGDTPIELRDTRRFGGK------</t>
  </si>
  <si>
    <t>MSE-----KPFRPDGGRTHVVIIGSGFGGLFAAQKFNNTDVDVTIIDRTNHHLFQPLLYQVATGLLSTGEIAPSTRQIFKDQENVHVVKGEVTDINIEQQIVTTELGAIVRRYEYDYLIVAAGAGQSYFGNDHFAEFAPGMKTIDDALEIRARIIGAFERAELATDKEQRERLLTFVIVGAGPTGVELAGQVAEMAHRTLRDEYSNFDTNSAKVVLLDGAPQVLPPFGKRLGRNAQRQLEKLGVTVKLNAIVTDITKDSVTYKSTQDDTIETIPCFCKIWSAGVAASPLGKLIADQTGVEIDRAGRVMVNPDLSVGDHNNVFVIGDMMNYNNLPGVAQVAIQGGEYAAENIVAEVDGRDPNAREPFEYFDKGSMATVSRYSAVVKLGKVEFTGFIGWVAWLLVHMMFLVGFRNRATAAASWGLNVLSRNRWQLTTTRQQLHSRNALQKFEEVVGSSGDTPIELRDTRRFGGK------</t>
  </si>
  <si>
    <t>MTD-----APYRPEGGRHHVVVIGSGFGGLFAVQNLKNANVDITLIDRTNHHLFQPLLYQVATGILSHGEIAPSTRQILANQDNVSVFKAEVTGIDTKHKTVTAELSEYTKVFSYDSLIISAGAGQSYFGNDHFAEFAPGMKTIDDALELRARILGAFERAEVTEDPLERERLLTFVIVGAGPTGVELAGQVAEMAHRTLAGSFRRSNPANAKIILLDAAPQVLPPFGKRLGRNAQRQLEKIGVTVKLNAMVTDITDSTVKYQVKGDDTVYTIESFCKIWSAGVAASPLGKLVANQLGAEVDRSGRVLVNHDLSVGSDKNVFVIGDMMNYQNLPGVAQVAIQAGEYVAEQIAAEAQGRSDMERPTFEYFDKGSMATISRFNAVVKMGNVEITGFFGWVLWLVVHVMFLVGFRNRITSIVSWGINALSRNRWNLAATRQQLYARAAMHEVEKKPEH-----------------------</t>
  </si>
  <si>
    <t>MTD-----APYRPEGGRHHVVVIGSGFGGLFAVQNLKNANVDITLIDRTNHHLFQPLLYQVATGILSHGEIAPSTRQILANQDNVSVFKAEVTGIDTKHKTVTAELSEYTKVFSYDSLIISAGAGQSYFGNDHFAEFAPGMKTIDDALELRARILGAFERAEVTEDPLERERLLTFVIVGAGPTGVELAGQVAEMAHRTLAGSFRRSNPANAKIILLDAAPQVLPPFGKRLGRNAQRQLEKIGVTVKLNAMVTDITDSTVKYQVKGDDTVYTIESFCKIWSAGVAASPLGKMVADQLGAEVDRSGRVLVNHDLSVGSDKNVFVIGDMMNYQNLPGVAQVAIQAGEYVAEQIAAEAQGRSDMERPTFEYFDKGSMATISRFNAVVKMGNVEITGFFGWVLWLVVHVMFLVGFRNRITSIVSWGINALSRNRWNLAATRQQLYARAAMHEVEKKPEH-----------------------</t>
  </si>
  <si>
    <t>GC_00000746</t>
  </si>
  <si>
    <t>PF17767.7</t>
  </si>
  <si>
    <t>Nicotinate phosphoribosyltransferase (NAPRTase) N-terminal domain</t>
  </si>
  <si>
    <t>K00763</t>
  </si>
  <si>
    <t>nicotinate phosphoribosyltransferase [EC:6.3.4.21]</t>
  </si>
  <si>
    <t>COG1488</t>
  </si>
  <si>
    <t>Nicotinic acid phosphoribosyltransferase (PncB) (PDB:1VLP)</t>
  </si>
  <si>
    <t>KEGG Orthology (KO)&gt;&gt;&gt;09100 Metabolism&gt;&gt;&gt;09108 Metabolism of cofactors and vitamins&gt;&gt;&gt;00760 Nicotinate and nicotinamide metabolism [PATH:ko00760]|Enzymes&gt;&gt;&gt;6. Ligases&gt;&gt;&gt;6.3  Forming carbon-nitrogen bonds&gt;&gt;&gt;6.3.4  Other carbon-nitrogen ligases&gt;&gt;&gt;6.3.4.21  nicotinate phosphoribosyltransferase</t>
  </si>
  <si>
    <t>-------------------------------------MTSTQRSSALLTDKYELTMLQASLADGSAHRQCAFEVFARRLNGERRYGVVAGTARVVRAIEDFVFTEEQLASLDFLDDVTLDYLRNYRFSGQVDGYAEGELYFPYSPILTIRGTFAECVILETVILSIMNSDSAVASAAARMVTAADGRPIIEMGSRRTHEYAAVSSSRAAYLAGFDATSNLEAAHRYGIPASGTAAHAWTLLHVNPDGSPNEEAAF</t>
  </si>
  <si>
    <t>MFVNTENSTTHPPKGVSKKTTDTTSDASLIDASTAESPHVPHRSSALLTDKYELTMLQASLADGTAHRPCTFEVFARRLPNERRYGVVAGTARVLRAVQDFVFTEEQLANLSFLDDTTLDYLRNYHFSGHIDGYREGDLYFPHSPILTVRGTFAECVILETVILSIMNSDSAIASAAARMVTAADGRTLIEMGSRRTHEYAAVSASRAAYLAGFDATSNLEAAHRYGIPAAGTAAHAWTLVHVNEDGTPNEETAFRAQVESLGISTTLLVDTYDITKGVETAIKVAGPELGGVRIDSGDLGVLTRQVRKQLDDLGAHNTKIVVSSDLDEFAIAGLRGDPVDVFGVGTSLVTGSGAPTAGMVYKLVEVEGRPVAKRSRNKASYGGAKRAVRTSRNTGTAVEEVVYPFANDIPTIG--TLTATELTVPLMRNGSVLEGLPSLQESREYLAAQLVTLPWEGLALSRDEPALATRFIGF-</t>
  </si>
  <si>
    <t>MFVNTENSTTHPPKGVSKKTTDTTSDASLIDASTAESPHVPHRSSALLTDKYELTMLQASLADGTAHRPCTFEVFARRLPNERRYGVVAGTARVLRAVQDFVFTEEQLANLSFLDDTTLDYLRNYHFSGHIDGYREGDLYFPHSPILTVRGTFAECVILETVILSIMNSDSAIASAAARMVTAADGRTLIEMGSRRTHEYAAVSASRAAYLAGFDATSNLEAAHRYGIPAAGTAAHAWTLVHVNEDGTPNEEAAFRAQVESLGVSTTLLVDTYDITKGVETAIKVAGPELGGVRIDSGDLGVLTRQVRKQLDDLGAHNTKIVVSSDLDEFAIAGLRGDPVDVFGVGTSLVTGSGAPTAGMVYKLVEVEGRPVAKRSRNKASYGGAKRAVRTSRNTGTAVEEVVYPFANDIPTIG--TLTATELTVPLMRNGSVLEGLPSLQESREYLAAQLVTLPWEGLALSRDEPALATRFIGF-</t>
  </si>
  <si>
    <t>--------------------------------------MYDSLSTALLTDMYELTMLQSALADGTAHRMCAFEVFSRRLPNERRYGVVAGTARVLEAVTNFRFTEKQLESLDFLNQETLDYLRNYRFTGQIDGYREGELYFPYSPIMLVRGTFAECVVLETLILSILNADSAVASAAARMITAADGRPIIEMGSRRTNELAAVSAARAAYLAGFTATSNLEAVHRYGIPGTGTAAHAWTLLHINDDGTPNEEAAF</t>
  </si>
  <si>
    <t>--------------------------------------MYDSLSTALLTDMYELTMLQSALADGTAHRMCAFEVFSRRLPNERRYGVVAGTARVLEAVTNFRFTEKQLESLDFLNQETLDYLRNYRFTGQIDGYREGELYFPYSPIMLVRGTFAECVVLETLILSILNADSAVASAAARMITAADGRPIIEMGSRRTNELAAVTAARAAYLAGFTATSNLEAVHRYGIPGTGTAAHAWTLLHINDDGTPNEEAAF</t>
  </si>
  <si>
    <t>GC_00000747</t>
  </si>
  <si>
    <t>PF01145.31</t>
  </si>
  <si>
    <t>SPFH domain / Band 7 family</t>
  </si>
  <si>
    <t>COG0330</t>
  </si>
  <si>
    <t>Regulator of protease activity HflC, stomatin/prohibitin superfamily (HflC)</t>
  </si>
  <si>
    <t>MSADTPSTDPAQEETIVVSDTPVGHSGTNVDVMEKPAWTMGPGAAIAAILVSLALTVGSVVAVLAKAAQEDAKQLGGQINVTLIGLGILGVVMGTLVAGMIKVNSPGHTQVIQLFGRYLGTNRRTGLSLVPPLTNAKKVSVRVRNFETNEIKVNDLNGNPVVIGAIVVWQVADTAKATFAVEDMKEFIYSQSESALRHVATTHPYDSTNIDTVPSLSGSTDLVSQELADEVAARVAVAGLEIVEARISALSYAPEIAQAMLQRQQATAIVDARETIVEGAVTMVESALDKLDERDIVDLDSERRASMVSNLLVVLCSDSSTQPVVNTGSLYT</t>
  </si>
  <si>
    <t>MSADTPSTDPAQEETIVVSDTPVGHSGTNVDVMEKPAWTMGPGAAIAAILVSLALTVGSVVAVLAKAAQEDTKQLGGQINVTLIGLGILGVVMGTLVAGMIKVNSPGHTQVIQLFGRYLGTNRRTGLSLVPPLTNAKKVSVRVRNFETNEIKVNDLNGNPVVIGAIVVWQVADTAKATFAVEDMKEFIYSQSESALRHVATTHPYDSTNIDTVPSLSGSTDLVSQELADEVAARVAVAGLEIVEARISALSYAPEIAQAMLQRQQATAIVDARETIVEGAVTMVESALDKLDERDIVDLDSERRASMVSNLLVVLCSDSSTQPVVNTGSLYT</t>
  </si>
  <si>
    <t>------------MSTPDITATPVGHSGTAVDITERKSWSGGGGLATIIILISIILIAPAIFLIGTTSTKLDAGTISVPLGVALILAGACCFILSLLGLTSIRIISPGETRVIQFFGRYIGTIRHTGLRAIPPLSNPTKVSIKVRNFETNTIKVNDLNGNPINIGAIVVWQVADTAKATFAVENVDDFIHSQAESALRHVATTHPYDSTDTTTIPSLSGSTDIVSAELAEEVAARATIAGLEIIETRISSLAYAPE</t>
  </si>
  <si>
    <t>------------MSTPDITATPVGHSGTAVDITERKSWSGGGGLATIIILISIILIAPAIFLIGSTAPKLDAGTISVPLGVALILAGACCFILSLLGLTSIRIISPGETRVIQFFGRYIGTIRHTGLRAIPPLSNPTKVSIKVRNFETNTIKVNDLNGNPINIGAIVVWQVADTAKATFAVENVDDFIHSQAESALRHVATTHPYDSTDTTTIPSLSGSTDIVSAELAEEVAARATIAGLEIIETRISSLAYAPE</t>
  </si>
  <si>
    <t>GC_00000748</t>
  </si>
  <si>
    <t>PF00293.34</t>
  </si>
  <si>
    <t>NUDIX domain</t>
  </si>
  <si>
    <t>COG1051</t>
  </si>
  <si>
    <t>ADP-ribose pyrophosphatase YjhB, NUDIX family (YjhB) (PDB:3GZ5)</t>
  </si>
  <si>
    <t>MHQGSEGESAKVLIINTLPVRHHDTIVWMSDNERHQATDQATQPAARKRRRRSRRRATNTPSSRSSGAPTSQPITSDAEKKRSEQPKRRRRRRNPQRNPEGTAGKGTAATTNTAGKDGGARRKDNGGVAKQNSKRRNNRQRDQRRSRTNQTRQRSSARPRMETSIETSAGGLVVSGLAEAVMPDGTVDLARLYVALIGRLDRRGRLLWSMPKGHVEAGEAHASTAEREVWEETGVYGQVFAELGVIDYWFVSDGKRIHKTVHHHLLRFLDGDLNDEDPEVTEVAWIPVSELIERLAYADERKLARLAHDMLPELARTEKAEGRITPR</t>
  </si>
  <si>
    <t>MHQDSEGESAKVLIINTLPVRHHDTIVWMSDNERHQATDQATQPAARKRRRRSRRRATNTTSSRSSGAPTSQPITSDAEKKRSEQPKRRRRRRNPQRNPEGTAGKGTAATTNTAGKDGGARRKDNGGVAKQNSKRRNNRQRDQRRSRTNQTRQRSSARPRMETSIETSAGGLVVSGLAEAVMPDGTVDLARLYVALIGRLDRRGRLLWSMPKGHVEAGEAHASTAEREVWEETGVYGQVFAELGVIDYWFVSDGKRIHKTVHHHLLRFLDGDLNDEDPEVTEVAWIPVSELIERLAYADERKLARLAHDMLPELARTEKAEGRITPR</t>
  </si>
  <si>
    <t>GC_00000749</t>
  </si>
  <si>
    <t>PF00126.33</t>
  </si>
  <si>
    <t>Bacterial regulatory helix-turn-helix protein, lysR family</t>
  </si>
  <si>
    <t>K05596</t>
  </si>
  <si>
    <t>LysR family transcriptional regulator, chromosome initiation inhibitor</t>
  </si>
  <si>
    <t>ko03000|ko03036</t>
  </si>
  <si>
    <t>Transcription factors&gt;&gt;&gt;Prokaryotic type&gt;&gt;&gt;Helix-turn-helix&gt;&gt;&gt;LysR family|Chromosome and associated proteins&gt;&gt;&gt;Prokaryotic type&gt;&gt;&gt;Nucleoid associated proteins&gt;&gt;&gt;Other nucleoid associated proteins</t>
  </si>
  <si>
    <t>---MNPAHLATLLAVLDEGTFEAAAHSLGITPSAVSQRIKALESQAGRVLVRRSTPPTTTPAGEVFAQLARRMQLLQAEAEAEIGSLLSRVPLTVAVNADSLATWFRDVISEVAHWDNATLNLRVEDEAATLNLLRLGEVVGAITSEPTSVAGCDVVPIGEVRYYACATPSLTAAHAATEPTNGELYDLQSMPSLRYGPNDRMSD-----RLISF--------NELHHVSEIPSSEAYLHAVTAGLGWGLLPEAQ</t>
  </si>
  <si>
    <t>MLVMNPIHLQTLLTIVDEGSFEDAAYILGISPSAVSQRIKTLEKTVGRLLLRRGTPVSATEAGEVLMQAARRMALLQAETMANLKERIATIPLSVAINADSLATWFPPVLARVASWDAVTLTLRIEDESHSLNLLRRGDVLGAVTRDPHPAPGCDAIELGTMRYVSVANPWLLDKYT----TDGQV-DWEAMPALRFGPRDGLQDEGLKTHVQKTRHEPDNAQPIMRRISQIPSAEAFAEATRVGLGWSLLPLQHAQPLLMSGDVVRLDDTILDVPLYWHRWRLESPALEKLTTAVQTAAQTLQQ----</t>
  </si>
  <si>
    <t>MLVMNPIHLQTLLTIVDEGSFEDAAYILGISPSAVSQRIKTLEKTVGRLLLRRGTPVSATEAGEVLMQAARRMALLQAETMANLKERIATIPLSVAINADSLATWFPPVLARVASWDAVTLTLRIEDESHSLNLLRRGDVLGAVTRDPHPAPGCDAIELGTMRYVSVANPWLLDKYT----TDGQV-DWEAMPALRFGPRDGLQDEGLKTHVQKTRHEPDNAQPIMRRISQIPSAEAFTEATRVGLGWSLLPLQHAQPLLMSGDVVRLDDTILDVPLYWHRWRLESPALEKLTTAVQTAAQTLQQ----</t>
  </si>
  <si>
    <t>GC_00000750</t>
  </si>
  <si>
    <t>K02503</t>
  </si>
  <si>
    <t>histidine triad (HIT) family protein [EC:3.9.1.-]</t>
  </si>
  <si>
    <t>ko03016|ko04147</t>
  </si>
  <si>
    <t>Transfer RNA biogenesis&gt;&gt;&gt;Eukaryotic type&gt;&gt;&gt;Aminoacyl-tRNA synthetases (AARSs)&gt;&gt;&gt;AARS associated factors|Exosome&gt;&gt;&gt;Exosomal proteins&gt;&gt;&gt;Exosomal proteins of haemopoietic cells  (B-cell, T-cell, DC-cell, reticulocyte, and mast cell)</t>
  </si>
  <si>
    <t>----------MFYPSIVELMSSVFSKIIAGELPGRFVYRDDSVVAFLTIEPFTPGHTLVVPVEEVDKWTDLSPELWAHLNAVAQKVGRAVMDVTGTERAAYMIAGFEVPHTHIHVFGANGMDEITAPPMPSLDD---AAMDDLAARLAEALG--------</t>
  </si>
  <si>
    <t>MDRHMRATHARRVPVSWETMSSIFSKIIHGEIPGRFVYRDDDIVAFLTIEPLAYGHTLVVPVQEVDRWTDLPPEVWAKLNAVAQRVGQAIIKVFDAPRAGYIIAGFDVPHTHIHVFPTSKMSDYDFSKVIGMNDTDPAKMDAAASALRAELAKTNPAESA</t>
  </si>
  <si>
    <t>MDRHMCATHARRVPVSWETMSSIFSKIIRGEIPGRFVYRDDDIVAFLTIEPLAYGHTLVVPVQEVDRWTDLPPEVWAKLNAVAQRVGQAIIKVFDAPRAGYIIAGFDVPHTHIHVFPTSKMSDYDFSKVIGMNDTDPAKMDAAASALRAELAKTNPAESA</t>
  </si>
  <si>
    <t>GC_00000751</t>
  </si>
  <si>
    <t>K01069</t>
  </si>
  <si>
    <t>hydroxyacylglutathione hydrolase [EC:3.1.2.6]</t>
  </si>
  <si>
    <t>KEGG Orthology (KO)&gt;&gt;&gt;09100 Metabolism&gt;&gt;&gt;09101 Carbohydrate metabolism&gt;&gt;&gt;00620 Pyruvate metabolism [PATH:ko00620]|Enzymes&gt;&gt;&gt;3. Hydrolases&gt;&gt;&gt;3.1  Acting on ester bonds&gt;&gt;&gt;3.1.2  Thioester hydrolases&gt;&gt;&gt;3.1.2.6  hydroxyacylglutathione hydrolase</t>
  </si>
  <si>
    <t>MSAKTRELELHQISVSKMDNNCYLLVDGEEAMLIDAADDATALLELAEQAGAKITAVLTTHRHADHVRALQEVLEATGARHYASVQDADALPAPVDVRLDDGDTITLGDSTLDVRILRGHTPGGVAVIAEIDGDTHAFVGDSLFPGGVGKTENPEEFHQLLDDVTYRLFDCY-DDAIIHPGHGEPTTLAEERGSLDRWRERGW</t>
  </si>
  <si>
    <t>GC_00000752</t>
  </si>
  <si>
    <t>K01012</t>
  </si>
  <si>
    <t>biotin synthase [EC:2.8.1.6]</t>
  </si>
  <si>
    <t>COG0502</t>
  </si>
  <si>
    <t>Biotin synthase or related enzyme (BioB) (PDB:1R30)</t>
  </si>
  <si>
    <t>M00123|M00950|M00573|M00577</t>
  </si>
  <si>
    <t>Biotin biosynthesis, pimeloyl-ACP/CoA =&gt; biotin|Biotin biosynthesis, BioU pathway, pimeloyl-ACP/CoA =&gt; biotin|Biotin biosynthesis, BioI pathway, long-chain-acyl-ACP =&gt; pimeloyl-ACP =&gt; biotin|Biotin biosynthesis, BioW pathway, pimelate =&gt; pimeloyl-CoA =&gt; biotin</t>
  </si>
  <si>
    <t>KEGG Orthology (KO)&gt;&gt;&gt;09100 Metabolism&gt;&gt;&gt;09108 Metabolism of cofactors and vitamins&gt;&gt;&gt;00780 Biotin metabolism [PATH:ko00780]|Enzymes&gt;&gt;&gt;2. Transferases&gt;&gt;&gt;2.8  Transferring sulfur-containing groups&gt;&gt;&gt;2.8.1  Sulfurtransferases&gt;&gt;&gt;2.8.1.6  biotin synthase</t>
  </si>
  <si>
    <t>MSTPTTEQPLAHSSEVDILDIAREKVLGRGVGLDKEETLRVLQLPDDRLEELLGLAHEVRLKWCGEEVEMEGIISLKTGGCPEDCHFCSQSGLFESPVRSAWLDIPALVEAAKQTAKSGATEFCIVAAVKGPDERLLSQLEQAVAAIKAEVDIEVAASIGILTQEQVDRLAAAGVHRYNHNLETARSYFPNVVTTHTWESRRETLRMVKEAGMEVCSGGILGMGETLEQRAEFASDLAALDPTEVPMNFLDPRPGTPFADYPVMESSDALRAIGAFRLALPKTMLRFAGGRELTLGDLGAEKGLLGGINAIIVGNYLTTLGRPQEQDLDMMGKLRLPIKALNATV</t>
  </si>
  <si>
    <t>--MTTTQLP-------AILELAREKVLKQGIGLSKEEILQVLQLPDDNLQDLLALAHEVRLAWCGEEVEVEGIVSLKTGGCPEDCHFCSQSGLFESPVRAAWLDIPGLVEAAKQTAKTGATEFCIVAAVKGPDENLMSQMEKAIAAIQAEVDIHVAASVGILTQEQVDRLAAAGIHRYNHNLETAKSFFPSVVTTHTWESRRETLRMIKEAGIEVCSGGILGMGESLEQRAEFAADLQELQPEEVPMNFLDPRPG</t>
  </si>
  <si>
    <t>--MTTTQLP-------PILELAREKVLKQGIGLSKEEILQVLQLPDDNLQDLLALAHEVRLAWCGEEVEVEGIVSLKTGGCPEDCHFCSQSGLFESPVRAAWLDIPGLVEAAKQTAKTGATEFCIVAAVKGPDENLMSQMEKAIAAIQAEVDIHVAASVGILTQEQVDRLAAAGIHRYNHNLETAKSFFPSVVTTHTWESRRETLRMIKEAGIEVCSGGILGMGESLEQRAEFAADLQELQPEEVPMNFLDPRPG</t>
  </si>
  <si>
    <t>MPLTESAKP------TDILELARTKVLDQGIGLDQGETLQVLQLGDDRITEILELAHQVRLKWCGEEIEAEGIISLKTGGCPEDCHFCSQSGLFESPVRSAWLDIAGLVEAAKQTQKSGATEFCIVAAVKGPDDRLMNQLEQAVAAIKAEVDIEVAASVGILTQEQVDRLKAAGVHRYNHNLETARSFFPNVVTTHTWESRRETLRMVAAAGIEVCSGGILGMGESLEQRAEFASDLAELNPTEVPMNFLDPRPGTPFADKEVMATTDALRAIGAFRLALPKTILRFAGGRELTLGDLGTEQGLLGGINAMIVGNYLTTLGRPMENDLDMLDKLRIPLKVLTTSV</t>
  </si>
  <si>
    <t>MPLTESAKP------TDILELARTKVLDQGIGLDQGETLQVLQLGDDRITEILELAHQVRLKWCGEEIEAEGIISLKTGGCPEDCHFCSQSGLFESPVRSAWLDIAGLVEAAKQTQKSGATEFCIVAAVKGPDDRLMNQLEQAVAAIKAEVDIEVAASVGILTQEQVDRLKAAGVHRYNHNLETARSFFPNVVTTHTWESRRDTLRMVAAAGIEVCSGGILGMGESLEQRAEFASDLAELNPTEVPMNFLDPRPGTPFADKEVMATADALRAIGAFRLALPKTILRFAGGRELTLGDLGTEQGLLGGINAMIVGNYLTTLGRPMENDLDMLDKLRIPLKVLTTSV</t>
  </si>
  <si>
    <t>GC_00000753</t>
  </si>
  <si>
    <t>PF00682.25</t>
  </si>
  <si>
    <t>HMGL-like</t>
  </si>
  <si>
    <t>K01649</t>
  </si>
  <si>
    <t>2-isopropylmalate synthase [EC:2.3.3.13]</t>
  </si>
  <si>
    <t>COG0119</t>
  </si>
  <si>
    <t>Isopropylmalate/homocitrate/citramalate synthases (LeuA) (PDB:4JN6)</t>
  </si>
  <si>
    <t>M00432</t>
  </si>
  <si>
    <t>Leucine biosynthesis, 2-oxoisovalerate =&gt; 2-oxoisocaproate</t>
  </si>
  <si>
    <t>Pathway modules; Amino acid metabolism; Branched-chain amino acid metabolism</t>
  </si>
  <si>
    <t>KEGG Orthology (KO)&gt;&gt;&gt;09100 Metabolism&gt;&gt;&gt;09101 Carbohydrate metabolism&gt;&gt;&gt;00620 Pyruvate metabolism [PATH:ko00620]|KEGG Orthology (KO)&gt;&gt;&gt;09100 Metabolism&gt;&gt;&gt;09105 Amino acid metabolism&gt;&gt;&gt;00290 Valine, leucine and isoleucine biosynthesis [PATH:ko00290]|Enzymes&gt;&gt;&gt;2. Transferases&gt;&gt;&gt;2.3  Acyltransferases&gt;&gt;&gt;2.3.3  Acyl groups converted into alkyl groups on transfer&gt;&gt;&gt;2.3.3.13  2-isopropylmalate synthase</t>
  </si>
  <si>
    <t>-MANDTFFTAP-AEITTPTGDRTPGQPAWNKQRNSSMPVDRYQPFAQEVEDIRLPDRTWPDKKITHAPQWCAVDLRDGNQALIDPMSPERKRRMFDLLVKMGYKEIEVGFPSASQTDFDFVREIIEGDRIPDDVTIQVLVQAREHLIRRTFEACEGAKNVIVHFYNSTSILQRRVVFRKDKEAIKKLATDAAELIKEIAKDYPGTNWRWEYSPESYTGTELAYTKEVCDAVVEVMDPTPDNPIIINLPSTVEMIT</t>
  </si>
  <si>
    <t>MAPSDAFISAP-RDISTPAGPRPDGQPAWNKQRNSSMPVKRYHPFEVEVEKIELPDRTWPDKVVDSAPQWCAVDLRDGNQALIDPMSSERKHRMFELLVRMGYKEIEVGFPSASQTDFDFIRDIIENSLIPDDVTIQVLVQAREHLIRRTFEACEGAKNVIVHLYNSTSILQRNVVFRKDKDSIKKLATDAAQLIKEIATEYPNTNWRWEYTPESFTGTEVAYAKEVCDAVVEVMDPTPENPIIVNLPSTVEMTTPNVYADAIEWMHRNLNRRDSIILSLHPHNDRGTGVAAAELGYMAGADRIEGCLFGNGERTGNVCLVTLGLNLLTQGVDPQIDFSDIEQIRRTVEYCNQLRVPERHPYGGDLVFTAFSGSHQDAVNKGLDAMAAKLRPGASHTDVSWEELQDIEWEVPYLPIDPKDVGRTYEAVIRVNSQSGKGGVAYIMKTDHGLTLPRPMQVEFSSVVQNVTDAEGGEVESKHMFDIFAQEYLDRTTPLEQVSMQVDAAKTENDTATITAQIRFNGKDVTVTGTGNGPVSAYANALESIGVDVEVQEYTQHALSAGDDAAAAAYIYAEVNGQKVWGVGIARSITYASLKAVTSAVNRALG--</t>
  </si>
  <si>
    <t>MAPSDAFISAP-RDISTPAGPRPDGQPAWNKQRNSSMPVKRYHPFEVEVEKIELPDRTWPNKVIDSAPQWCAVDLRDGNQALIDPMSSERKHRMFELLVRMGYKEIEVGFPSASQTDFDFIRDIIENNLIPDDVTIQVLVQAREHLIRRTFEACEGAKNVIVHLYNSTSILQRNVVFRKDKDSIKKLATDAAQLIKEIATEYPNTNWRWEYSPESFTGTEVAYAKEVCDAVVEVMDPTPENPIILNLPSTVEMTTPNVYADAIEWMHRNLNRRDSIILSLHPHNDRGTGVAAAELGYMAGADRIEGCLFGNGERTGNVCLVTLGLNLLTQGVDPQIDFSDIEQIRRTVEYCNQLRVPERHPYGGDLVFTAFSGSHQDAVNKGLDAMAAKLRPGASHTDVSWEELQDIEWEVPYLPIDPKDVGRTYEAVIRVNSQSGKGGVAYIMKTDHGLTLPRPMQVEFSSVVQNVTDAEGGEVESKHMFDIFAQEYLDRTTPLEQVSMQVDAAKTENDTATITAQIRFNGKDVTVTGTGNGPVSAYANALESIGVDVEVQEYTQHALSAGDDAAAAAYIYAEVNGQKVWGVGIARSITYASLKAVTSAVNRALS--</t>
  </si>
  <si>
    <t>MAIHDTFISAPTSDITKPAGEPPADQPKWNKQRGSAMPAHRYQPFAQEVEDVTLPDRTWPDNKITHAPAWCAVDLRDGNQALIDPMSPERKRRMFNLLVQMGYKEIEVGFPSASQTDFDFVREIIEQDMIPDDVTIQVLVQAREHLIRRTFEACEGAKNVIVHFYNSTSILQRNVVFRKDKAAIKKLATDAGELIKTTAKEYPNTNWRWEYSPESFTGTELAYAKEVVDAVVEVMDPTPENPIIINLPSTVEMITPNVYADAIEWMHRNLNRRDSIILSLHPHNDRGTGVASAELAFMAGADRIEGCLFGNGERTGNVCLVTLGLNLLTQGVDPQIDFTNINQIRSTVEYCNQLRVPERHPYGGDLVFTAFSGSHQDAVNKGLDAMAARVHPGANHSDVKWEELRNELWEVPYLPIDPKDVGRNYEAVIRVNSQSGKGGVAYIMKTDHGMVLPRPMQVEFSSVVQDVTDAQGGEIESKAMWDIFAETYLDATTPLEQVAMRVDAAVTERDQAKITAELRFQGESVTVSGTGNGPIAAYANALEQLGIDVEVQEYTQHARTAGDDAEAAAYIFADVNGQKVWGVGIAGSITYASLKAVTSAVNRAYQAF</t>
  </si>
  <si>
    <t>MAIHDTFISAPTSDITKPAGEPPADQPKWNKQRGSAMPAHRYQPFAQEVEDVTLPDRTWPDNKITHAPAWCAVDLRDGNQALIDPMSPERKRRMFNLLVQMGYKEIEVGFPSASQTDFDFVREIIEQDMIPDDVTIQVLVQAREHLIRRTFEACEGAKNVIVHFYNSTSILQRNVVFRKDKAAIKKLATDAGELIKTIAKEYPDTNWRWEYSPESFTGTELAYAKEVVDAVVEVMDPTPENPIIINLPSTVEMITPNVYADAIEWMHRNLNRRDSIILSLHPHNDRGTGVASAELAFMAGADRIEGCLFGNGERTGNVCLVTLGLNLLTQGVDPQIDFTNINQIRSTVEYCNQLRVPERHPYGGDLVFTAFSGSHQDAVNKGLDAMAARVHPGANHSDVKWEQLRDELWEVPYLPIDPKDVGRNYEAVIRVNSQSGKGGVAYIMKTDHGMVLPRPMQVEFSSVVQDVTDAQGGEIESKAMWDIFAETYLDATTPLEQVAMRVDAAVTERDQAKITAELRFQGESVTVSGTGNGPIAAYANALEQLGIDVEVQEYTQHARTAGDDAEAAAYIFADVNGQKVWGVGIAGSITYASLKAVTSAVNRAYQAF</t>
  </si>
  <si>
    <t>GC_00000754</t>
  </si>
  <si>
    <t>K01262</t>
  </si>
  <si>
    <t>Xaa-Pro aminopeptidase [EC:3.4.11.9]</t>
  </si>
  <si>
    <t>COG0006</t>
  </si>
  <si>
    <t>Xaa-Pro aminopeptidase (PepP) (PDB:1A16)</t>
  </si>
  <si>
    <t>Enzymes&gt;&gt;&gt;3. Hydrolases&gt;&gt;&gt;3.4  Acting on peptide bonds (peptidases)&gt;&gt;&gt;3.4.11  Aminopeptidases&gt;&gt;&gt;3.4.11.9  Xaa-Pro aminopeptidase|Peptidases and inhibitors&gt;&gt;&gt;Metallo peptidases&gt;&gt;&gt;Family M24</t>
  </si>
  <si>
    <t>MTMLADTRFSNRRRALAAQLAALRIDTVLVTHLKHVRYLSNFSGSNGAVLLNKDLSATIATDGRYLTQIEEEVPDLEKVIATKAVDLELLSRITGPRRVAFEADFVSVKQLEALQEAAPEDITLVPISGVIEEIRLRKDPLELERLRGVAALASQAFEDMLAAGEVAAGRSERQVAADLEYRMRVLGAEHPSFDTIVASGPNSAKPHHGAGDRILEQGDLVTIDFGAHDRGFNSDMTRTLAIGQPDPFLKEIYDVVLAAQLAGVEASTPGTPLTDVDAAARDVINDAGYGEYFVHSTGHGIGLDVHEAPYASNRKGTSELEPGMTLTIEPGIYVPGRGGVRIEDTLIIREGAPEIITKVGKELRIV</t>
  </si>
  <si>
    <t>GC_00000755</t>
  </si>
  <si>
    <t>PF22234.2</t>
  </si>
  <si>
    <t>Mycothiol-dependent nitroreductase Rv2466c</t>
  </si>
  <si>
    <t>COG3917</t>
  </si>
  <si>
    <t>2-hydroxychromene-2-carboxylate isomerase (NahD)</t>
  </si>
  <si>
    <t>MSTSPTPVTLYFDVSCPFCWVTSRWIKEVEKVRDVAVTFAPMSLAVLNEGREELPEDYKAKMQANWGPARVFAKVALERPEKVDELYTAMGTLIHNGGQGGKQGFGAYNGVIAQALEQVGLPASFADVADTDEVDGHLREFQARAMERVGNDVGTPVIELGDRAFFGPVLTRIPRGEQAGELFDAAVALGTYPHFFELKRGRDESPTFD--</t>
  </si>
  <si>
    <t>---MSEKVSFWFDVSCPYCWVTSRWIKEVEKVRDIEVEWIPMSLSVLNEGRDYLPEDYRRKMEANWVLQRVFAAVKANHSDKVDALYTDLGTRIHNGEQGGKEGYGAYEALIAESLAAVGLPASLLDVASTTEVDDQLRAYHQGAMDRVGDEVGTPVVALGDTAFFGPVLTRIPRGEDAGSIFDGAVLLAKYPHFFELKRSRTEGLEFN--</t>
  </si>
  <si>
    <t>---MSEKVSFWFDVSCPYCWVTSRWIKEVEKVRDIEVEWIPMSLSVLNEGRDYLPEDYRRKMEANWGPARVFAAVKANHSDKVDALYTDLGTRIHNGEQGGKEGYGAYEALIAESLAAVGLPASLLDVASTTEVDDQLRAYHQGAMDRVGDEVGTPVVALGDTAFFGPVLTRIPRGEDAGSIFDGAVLLAKYPHFFELKRSRTEGPEFN--</t>
  </si>
  <si>
    <t>---MSEKVTFWFDVSCPFCWITSRWIKEVEQVRDITIDWVPMSLSVLNDGRDLDPD-YMKKMEANWGPARVFAAVATREPEKLDELYTILGTKIHHGQQGGKQGYGAYNELIREALADAGLDPAYADVADTDTVDDKLRAFHQTAMDEVGNDVGTPVVKFGDTAFFGPVLTRIPRGEEAGELFDASVRLASFPYFFEIKRSRTETPQL---</t>
  </si>
  <si>
    <t>GC_00000756</t>
  </si>
  <si>
    <t>PF13481.12</t>
  </si>
  <si>
    <t>K04485</t>
  </si>
  <si>
    <t>DNA repair protein RadA/Sms</t>
  </si>
  <si>
    <t>COG1066</t>
  </si>
  <si>
    <t>DNA repair protein RadA/Sms, contains AAA+ ATPase domain (Sms) (PDB:5LKM) (PUBMED:30877841)</t>
  </si>
  <si>
    <t>ko03400</t>
  </si>
  <si>
    <t>DNA repair and recombination proteins&gt;&gt;&gt;Prokaryotic type&gt;&gt;&gt;DSBR (double strand breaks repair)&gt;&gt;&gt;HR (homologous recombination)&gt;&gt;&gt;RecFOR pathway proteins</t>
  </si>
  <si>
    <t>-----------MAKKVRPVHVCTDCGYQAPKWLGRCPECGAWGTLNEQLPSQP--------STQAVSG-------QSTTPQPITSIPVDATTATTTGIAELDRVLGNGLVPGSVVLLSGEPGVGKSTLLLDVAAHAAR-------ANNGQNKVLYATAEESTGQVRLRAERTGALDENLLLVAESNLDTIFHHVDKLKPTLIVVDSVQTMHAPGVEGVPGGVAQSRAVTAALTTLAKTTGVSVILVGHVTKDGNV</t>
  </si>
  <si>
    <t>MVSTLRNMAKTAVKKPRTQYQCTDCGYTCAKWLGRCPECGSWGTLEEKRVAATSKNGGGGAAVAAFTGALPTGLTPTAPALPIVRIDPASSTTTSTGIGELNRVLGSGLVPGSVVLLAGEPGVGKSTLLLEVAAKWATQPAEGEASTRDTRTALYVTAEESVGQVRMRAQRTGALKDTLFLAAESDLDVVFGHVEQLKPSLLIVDSVQTMHAPGVEGVAGGVAQSRAVTAALTALAKNTGIPILLVGHVTKDGNVAGPRVLEHLVDVVLNFEGDRHSSLRMLRGIKNRFGATDEVGCFEQVSDGIKEVEDPSGLFLSHRDDSPDGTAVTVAMDGVRPILAEVQSLLVTTPSKNPRRAVTGLDATRVPMVLAVLAARAGRSSADKEVYIATVGGMRVHEPAADLAIALATASAMAHKALPAKMVVLGEVGLAGEIRRIPNTVRRLQEAQRLGFTTAIIPNGEKV---TVPGITVNYVRDITDAISTAFSA</t>
  </si>
  <si>
    <t>MVSTLRSMAKTAVKKPRTQYQCTDCGYTCAKWLGRCPECGSWGTLEEKRVAATSKNGGGSAAVAAFTGALPTGLTPTAPALPIVRIDPASSTTTSTGIGELDRVLGSGLVPGSVVLLAGEPGVGKSTLLLEVAAKWATQPVEGEASTRDTRTALYVTAEESVGQVRMRAQRTGALKDTLFLAAESDLDVVFGHVEQLKPSLLIVDSVQTMHAPGVEGVAGGVAQSRAVTAALTALAKNTGIPILLVGHVTKDGNVAGPRVLEHLVDVVLNFEGDRHSSLRMLRGIKNRFGATDEVGCFEQVSDGIKEVEDPSGLFLSHRDDSPDGTAVTVAMDGVRPILAEVQSLLVTTPSKNPRRAVTGLDATRVPMVLAVLAARAGRSSADKEVYIATVGGMRVHEPAADLAIALATASAMAHKALPAKMVVLGEVGLAGEIRRIPNTVRRLQEAQRLGFTTAIIPNGEKV---TVPGITVNYVRDITDAISTAFSA</t>
  </si>
  <si>
    <t>-----------MAKKPRPVHRCTECGYSSPKWLGRCPECGTWGSMQEHQPAVA-----GSATQAATTGVVTKGLTPTSPAQKITTISATKATSQTTGIGELDRVLGSGIVPGSVVLLAGEPGVGKSTLLLEVASRWA----------KLDRVALYVTAEESAGQVRMRAERTGALHDSLYLAAESNLDVVFGHVDQLKPSLLIVDSVQTMNATDVEGVAGGVAQSRAVTAALTTLAKTTGIPVLLVGHVTKDGNV</t>
  </si>
  <si>
    <t>-----------MAKKPRPVHRCTECGYSSPKWLGRCPECGTWGSMQEHQPAAA-----GSATQAATTGVVTKGLTPTSPAQKITTISATKATSQTTGIGELDRVLGSGIVPGSVVLLAGEPGVGKSTLLLEVASRWA----------KLDRVALYVTAEESAGQVRMRAERTGALHDSLYLAAESNLDVVFGHVDQLKPSLLIVDSVQTMNATDVEGVAGGVAQSRAVTAALTTLAKTTGIPVLLVGHVTKDGNV</t>
  </si>
  <si>
    <t>GC_00000757</t>
  </si>
  <si>
    <t>PF00224.27</t>
  </si>
  <si>
    <t>Pyruvate kinase, barrel domain</t>
  </si>
  <si>
    <t>K00873</t>
  </si>
  <si>
    <t>pyruvate kinase [EC:2.7.1.40]</t>
  </si>
  <si>
    <t>COG0469</t>
  </si>
  <si>
    <t>Pyruvate kinase (PykF) (PDB:6QXL)</t>
  </si>
  <si>
    <t>M00001|M00002</t>
  </si>
  <si>
    <t>Glycolysis (Embden-Meyerhof pathway), glucose =&gt; pyruvate|Glycolysis, core module involving three-carbon compounds</t>
  </si>
  <si>
    <t>ko00001|ko00001|ko01000|ko04131|ko04147</t>
  </si>
  <si>
    <t>KEGG Orthology (KO)&gt;&gt;&gt;09100 Metabolism&gt;&gt;&gt;09101 Carbohydrate metabolism&gt;&gt;&gt;00010 Glycolysis / Gluconeogenesis [PATH:ko00010]|KEGG Orthology (KO)&gt;&gt;&gt;09100 Metabolism&gt;&gt;&gt;09101 Carbohydrate metabolism&gt;&gt;&gt;00620 Pyruvate metabolism [PATH:ko00620]|Enzymes&gt;&gt;&gt;2. Transferases&gt;&gt;&gt;2.7  Transferring phosphorus-containing groups&gt;&gt;&gt;2.7.1  Phosphotransferases with an alcohol group as acceptor&gt;&gt;&gt;2.7.1.40  pyruvate kinase|Membrane trafficking&gt;&gt;&gt;Autophagy&gt;&gt;&gt;Chaperone mediated autophagy (CMA)&gt;&gt;&gt;Selective cargos|Exosome&gt;&gt;&gt;Exosomal proteins&gt;&gt;&gt;Proteins found in most exosomes</t>
  </si>
  <si>
    <t>-------------MDRRTKIVCTLGPAVASAEGILGLAEAGMDVARLNFSHGDYADHQKNYDWVREATDKTGRAIGVLADLQGPKIRLGRFEEGSTYWADGEVVRITVDDVPGTHDRVSTTYKGLAKDAKPGDRLLVDDGKVGLVCLRVEGNDVVCEVVEGGPVSNNKGVSLPGMDISVPALSEKDIADLRFALKLGVDFIALSFVRSPADVDLVHAIMDEEKRRVPVIAKLEKPEAVDALESIILAFDAVMIAR</t>
  </si>
  <si>
    <t>MWLVGPKVVRVGGVDRRTKIVCTLGPAVASKEGILGLVEAGMDVARMNFSHGDHKDHEQNYEWVREATDETGRAVGILADLQGPKIRLGRFVDGEAYWNDGEIVRITVDDVPGTHDRVSTTYKGLAKDAKPGDRLLVDDGKVGLVCVEVDGNDVVCKVVEGGPVSNNKGVSLPGMDVSVPALSEKDIEDLRFALKLGVDMVALSFVRSPADVELVHQVMDEEKRRVPVIAKLEKPEAVDALESIILAFDGIMVARGDLGVEVPLEEVPLVQKRAIQIARENAKPVIVATQMLDSMIENSRPTRAEASDVANAVLDGADAVMLSGETSVGRDPQNVVSTMSRIVKSAEADGEVPQLSHMPRTKRGVISYSARDIAERLNAKALVAFTTSGDTARRVARLHTHLPLLVFTPNQEVRSQLALTWGAQTFLCPVVDSTDSMMREIDEALLAMDEYNRDDMMVVVAGTPPGVTGNTNMIHVHPLGEDLH-----RNVKEDLNKTTKE-------TAKKESKKAKPAVKKR</t>
  </si>
  <si>
    <t>----------MGGVDRRTKIVCTLGPAVASKEGILGLVEAGMDVARMNFSHGDHKDHEQNYEWVREATDETGRAVGILADLQGPKIRLGRFVDGEAYWNDGEIVRITVDDIPGTHDRVSTTYKGLAKDAKPGDRLLVDDGKVGLVCVEVDGNDVVCKVVEGGPVSNNKGVSLPGMDVSVPALSEKDIEDLRFALKLGVDMVALSFVRSPADVELVHQVMDEEKRRVPVIAKLEKPEAVDALESIILAFDGIMVAR</t>
  </si>
  <si>
    <t>-------------MERRTKIVCTLGPAVASQEGILRLVQDGMDVARMNFSHGDHADHEQNYRWVREATDATGRAVGVLGDLQGPKIRLGRFVEGATFWADGEEVRITVDDVEGTHDRVSTTYKHLAKDAKPGDRLLVDDGKVALVCKEVDGNDVVCEVVEGGPVSNNKGVSLPGMDISVPALSEKDIEDLRFGLKLGVDFIALSFVRSPQDVELVHQVMDEEGRRVPVIAKLEKPEAVEALESIILAFDGIMVAR</t>
  </si>
  <si>
    <t>-------------MERRTKIVCTLGPAVASQEGILRLVQDGMDVARMNFSHGDHADHEQNYRWVREATDATGRAVGVLGDLQGPKIRLGRFVEGATFWADGEEVRITVDDVEGTHDRVSTTYKHLAKDAKPGDRLLVDDGKVALVCKEVDGNDVVCEVVEGGPVSNNKGVSLPGMDISVPALSEKDIEDLRFGLKLGVDFIALSFVRSPQDVELVHQIMDEEGRRVPVIAKLEKPEAVEALESIILAFDGIMVAR</t>
  </si>
  <si>
    <t>GC_00000758</t>
  </si>
  <si>
    <t>K01873</t>
  </si>
  <si>
    <t>valyl-tRNA synthetase [EC:6.1.1.9]</t>
  </si>
  <si>
    <t>COG0525</t>
  </si>
  <si>
    <t>Valyl-tRNA synthetase (ValS) (PDB:1GAX)</t>
  </si>
  <si>
    <t>KEGG Orthology (KO)&gt;&gt;&gt;09120 Genetic Information Processing&gt;&gt;&gt;09122 Translation&gt;&gt;&gt;00970 Aminoacyl-tRNA biosynthesis [PATH:ko00970]|Enzymes&gt;&gt;&gt;6. Ligases&gt;&gt;&gt;6.1  Forming carbon-oxygen bonds&gt;&gt;&gt;6.1.1  Ligases forming aminoacyl-tRNA and related compounds&gt;&gt;&gt;6.1.1.9  valine---tRNA ligase|Amino acid related enzymes&gt;&gt;&gt;Aminoacyl-tRNA synthetase&gt;&gt;&gt;Class I (U)|Transfer RNA biogenesis&gt;&gt;&gt;Eukaryotic type&gt;&gt;&gt;Aminoacyl-tRNA synthetases (AARSs)&gt;&gt;&gt;Other AARSs|Transfer RNA biogenesis&gt;&gt;&gt;Prokaryotic type&gt;&gt;&gt;Aminoacyl-tRNA synthetases (AARSs)&gt;&gt;&gt;Other AARSs</t>
  </si>
  <si>
    <t>-----------------MNLPKSWEPAAVESELYEHWVDKGYFTADPTSKKPAFSIVLPPPNVTGQLHMGHALDHTLMDAIARRKRMQGFEVLWLPGMDHAGIATQTKVEAQLKETEGKDRFDYEREEFVEKVWEWKREYGGKIGRQMRAIGDSVDWSRERFTMDEGLSRAVQTIFKNLYDQGLIYRANRLVNWSPVLETAVSDIEVVYKDVEGELVSIRYGSLDDNEPHVIVATTRVETMLGDVAVAVHPDDER</t>
  </si>
  <si>
    <t>MARVTDKNTLNHSTSRADALPKSWDPKAVEAALYQQWLDRGYFTADVTSEKPPFSIVLPPPNVTGQLHMGHALDHTLMDALARRKRMQGFEVLWLPGMDHAGIATQTKVEAMLKKTEGKDRYDYDRDEFVAKVWEWKNEYGGKIGEQMRAIGDSVDWSRERFTLDEGLSRAVQTIFKELFDRGMIYRAHRLVNWSPVLETAVSDIEVVYKDVEGELVSIRYGSLDDNEPHVVVATTRVETMLGDVAVAVHPDDPRYTDLVGTSLPHPFIPGRELIIVADDYVDPEFGTGAVKITPAHDPNDYALGLRHNLDMPTILDTTGRIADTGTQFDGMDRFEARVKIREALAEQGRIVAEKRPYLHSVGHSERSGEPVEPRLSEQWFVKVDELARMAGDAVRNGDTTIHPASQNPRYFEWVDDMHDWTISRQLWWGHRIPIWYGPDGDVVCVGPDEQAPEGYVQDPDVLDTWFSSALWPFSTMGWPDATPELSKFYPTSVLVTGYDILFFWVARMMMFGTFAASLPGSPLG-------KVPFTDLYLHGLVRDEKGRKMSKSLGNGIDPMDWVEQYGADALRFTLARGANPGVDLPVGDDSAQSSRNFATKLFNATRFALMNGATVGELPDRAELTDADRWILDRLEAVRAEIDDLLDRYQFAKAYELLYQFTWGELCDWYVEIAKVQIPRDGGSASPEEQRRGENTQLVLGNTLDTVLRLLHPVMPFVTETLWTVLTGGESLVIASWPTAIT---DAPADDTAARRMADVEKLVTELRRFRSDQGVKPSQKVPARLRFADADLEQQESIVQALARVEEPAEGFEASASIEVRLSQATLLVELDTSGTVDVAAERKRLDKELAAATKELEGTEKKLGNAAFLDKAPAAVVEKIRQRHQVAEEEIARVTARLKEL-G</t>
  </si>
  <si>
    <t>MARVTDKNTPNHSTSRADALPKSWDPKAVEAALYQQWLDHGYFTADVTSEKPPFSIVLPPPNVTGQLHMGHALDHTLMDALARRKRMQGFEVLWLPGMDHAGIATQTKVEAMLKKTEGKDRYDYDRDEFVAKVWEWKNEYGGKIGEQMRAIGDSVDWSRERFTLDEGLSRAVQTIFKELFDRGMIYRAHRLVNWSPVLETAVSDIEVVYKDVEGELVSIRYGSLDDNEPHVVVATTRVETMLGDVAVAVHPDDPRYTDLVGNSLPHPFIPGRELTIVADDYVDPEFGTGAVKITPAHDPNDYALGLRHNLDMPTILDTTGRIADTGTQFDGMDRFEARVKIREALAEQGRIVAEKRPYLHSVGHSERSGEPVEPRLSEQWFVKVDELARMAGDAVRNGDTTIHPASQNPRYFEWVDDMHDWTISRQLWWGHRIPIWYGPDGDVVCVGPDEQAPEGYVQDPDVLDTWFSSALWPFSTMGWPDATPELSKFYPTSVLVTGYDILFFWVARMMMFGTFAASLPGSPLG-------KVPFTDLYLHGLVRDEKGRKMSKSLGNGIDPMDWVEQYGADALRFTLARGANPGVDLPVGDDSAQSSRNFATKLFNATRFALMNGATVGELPDRAELTDADRRILDRLEAVRAEVDDLLDRYQFAKAYELLYQFTWGELCDWYVEIAKVQIPRDGGSASPEEQRRGENTQLVLGNTLDTVLRLLHPVMPFVTETLWTVLTGGESLVIASWPTAIT---DAPADETAARRMADVEKLVTELRRFRSDQGVKPSQKVPARLRFADADLEQQESIVRALARVEEPAEGFEASASIEVRLSQATLLVELDTSGTVDVAAERKRLDKELAAATKELEGTEKKLGNAAFLDKAPAAVVEKIRQRHQVAEEEIARVTARLKEL-G</t>
  </si>
  <si>
    <t>----------MAENNRADKLPKSWDPATVESALYQEWVDRGYFTADVNSPKPAFSIVLPPPNVTGQLHMGHALDHTLMDAIARRKRMQGYEVLWLPGMDHAGIATQSKVEARLKETEGKTRWDYTREEFIAKVWEWKREFGGTIGEQMRAIGDSVDWSRERFTLDEGLSRAVQTIFKQLYDRGLIYRAHRLINWSPVLETAVSDIEVVYKDVDGELVSIRYGSLDDDQPHVVVATTRVETMLGDVAVAVHPDDER</t>
  </si>
  <si>
    <t>----------MAENNRADKLPKSWDPATVESALYQEWVDRGYFTADVNSLKPAFSIVLPPPNVTGQLHMGHALDHTLMDAIARRKRMQGYEVLWLPGMDHAGIATQSKVEARLKETEGKTRWDYSREEFIAKVWEWKREFGGTIGEQMRAIGDSVDWSRERFTLDEGLSRAVQTIFKQLYDRGLIYRAHRLINWSPVLETAVSDIEVVYKDVDGELVSIRYGSLDDDQPHVVVATTRVETMLGDVAVAVHPDDER</t>
  </si>
  <si>
    <t>GC_00000759</t>
  </si>
  <si>
    <t>PF01416.25</t>
  </si>
  <si>
    <t>tRNA pseudouridine synthase</t>
  </si>
  <si>
    <t>K06173</t>
  </si>
  <si>
    <t>tRNA pseudouridine38-40 synthase [EC:5.4.99.12]</t>
  </si>
  <si>
    <t>COG0101</t>
  </si>
  <si>
    <t>tRNA U38,U39,U40 pseudouridine synthase TruA (TruA) (PDB:1DJ0)</t>
  </si>
  <si>
    <t>Enzymes&gt;&gt;&gt;5. Isomerases&gt;&gt;&gt;5.4  Intramolecular transferases&gt;&gt;&gt;5.4.99  Transferring other groups&gt;&gt;&gt;5.4.99.12  tRNA pseudouridine38-40 synthase|Transfer RNA biogenesis&gt;&gt;&gt;Eukaryotic type&gt;&gt;&gt;tRNA modification factors&gt;&gt;&gt;Psudouridine synthases|Transfer RNA biogenesis&gt;&gt;&gt;Prokaryotic type&gt;&gt;&gt;tRNA modification factors&gt;&gt;&gt;Psudouridine synthases</t>
  </si>
  <si>
    <t>MNTLTQAKLEPVDTTRVTTGGNMVRLRLDIAYDGTDFHGWAKQ--PPLRTVEGTLEDTLGLISRTPVTLTVAGRTDAGVHATGQVAHVDVPGHILEHRSIDGDPRRLVRRLAKLLPEDVRVHDVTYAPPGFDARFSALRRHYRYRITTNPRGALPTRARDTATFNKPVDVDAMNAAAHHLIGLHDFAAFCRAKPNATTIRDLQTFRFRDVSTPEEPQLYEAEVSADAFCWNMVRSLVGFCLAVGSGARSPEFAHELLAETTRSSAIPVAAAKGLRLTGVDYPPSSELASRAEQTRNRRD-----------</t>
  </si>
  <si>
    <t>----------------------MARLRLDVAYDGTDFHGWASQ--DGLRTVQGVLEDALSMILRVPTSLTVAGRTDAGVHASGQVAHVDVPTASLDTRSIGGDPMRMVRRLARLLPEYIRVQDCTFAPAGFDARFSALRRHYTYRVTTHPGGALPTRARDTATWPKPVDMAAMQESANYLVGLHDFAAFCKARPNSTTVRDLQSFTWHDVSTDAEPQLYEAHVTADAFCWSMVRSLVGACLAVGEGRRQATFAEL</t>
  </si>
  <si>
    <t>----------------------MARLRLDVAYDGTDFHGWASQ--DGLRTVQGVLEDALSMILRVPTPLTVAGRTDAGVHASGQVAHVDVPTASLDTRSIGGDPMRMVRRLARLLPEDIRVQDCTFAPAGFDARFSALRRHYTYRVTTHPGGALPTRARDTATWPKPVDMAAMQESANYLVGLHDFAAFCKARPNSTTVRDLQSFTWHDVSTDAEPQLYEAHVTADAFCWSMVRSLVGACLAVGEGRRQATFAEL</t>
  </si>
  <si>
    <t>--------------------MTPIRIRLDLAYDGTNFHGWARQGHSELRTVQQVLEDALTLVLRQPIALTVAGRTDAGVHAAAQVAHFDVPAAALDTRSIAGDPGRLVRRLARLLPTDVRVHAATIAPPDFDARFSALRRHYVYRLTTHPRGALPTRVTDTAHHPKPVDLAAMQACAAELIGLHDFAAFCRYRDGATTIRDLQEFTWNDISTPIEPDTFEAHVTADAFCWSMVRSLVGCCLVVGEGKRPAGFATS</t>
  </si>
  <si>
    <t>--------------------MTPIRIRLDLAYDGTHFHGWARQGHSELRTVQQVLEDALTLVLRQPIALTVAGRTDAGVHAAAQVAHFDVPAAALDTRSIAGDPGRLVRRLARLLPTDVRVHAATIAPPDFDARFSALRRHYVYRLTTHPRGALPTRVTDTAHHPKPVDLAAMQACAAELIGLHDFAAFCRHRDGATTIRDLQEFTWNDISTPIEPDTFEAHVTADAFCWSMVRSLVGCCLVVGEGKRPAGFATS</t>
  </si>
  <si>
    <t>GC_00000760</t>
  </si>
  <si>
    <t>PF02867.20</t>
  </si>
  <si>
    <t>Ribonucleotide reductase, barrel domain</t>
  </si>
  <si>
    <t>K00525</t>
  </si>
  <si>
    <t>ribonucleoside-diphosphate reductase alpha chain [EC:1.17.4.1]</t>
  </si>
  <si>
    <t>COG0209</t>
  </si>
  <si>
    <t>Ribonucleotide reductase alpha subunit (NrdA) (PDB:1R1R)</t>
  </si>
  <si>
    <t>MDAHLGASVTGNA-ASESMDYHALNALLNLYNEDGLIQFDKDREAANQFFLQHVNQNTVFFHDLEEKFDYLVNNHYYEQEVVDKYDFAFIKALFKRAYAVKFRFPTFLGAYKYYTSYTLQTFDGRRYLERYEDRVCMVALTLADGDTALAEHLVDEIMAGRFQPATPTFLNSGKKQRGEPVSCFLLRIEDNMESIGRAINSALQLSKRGGGVALLLSNLRESGAPIKKIENQSSGVIPVMKLLEDSFSYANQLGARQGAGAVYLHAHHPDIMKFLDTKRENADEKIRIKTLSLGVVIPDITFELAKRNDDMYLFSPYDVERVYGKPFADVPISEHYEEMVEDPRIRKSKINARQFFQTLAEIQFESGYPYIMFEDTVNKANPIAGRITHSNLCSEILQVSTASEFNPDLSYSHIGEDISCNLGSLNIAKAMDSPDFSKTIETAIRGLTAVSEQTSIDSVPSIKKGNDAAHAIGLGQMNLHGFFGREGIFYGSEEGLDFTNAYFAAVMFECIKASCQIAKERGVRFEGFEDSAYASGEFFDSFDPEDFAPKTDKVKQLFANSSIHTPSAEEWAALKQDVAEHGMFNRNLQAVPPTGSISYINNSTSSIHPIASRIEIRKEGKIGRVYYPAPYMTNDNLEYYQDAYEIGFEKIIDTYAVATKYVDQGLSLTLFFKDTATTRDINRAQIYAWRKGIKTIYYIRLRQTALEGTEVQGCVSCML</t>
  </si>
  <si>
    <t>-----------MA-EREELDYHALNALLNLWDDNGNIQFDKDRQAANQFFLQHVNQNTVFFHDLEEKFHYLLSNNYYEQEVVDQYSFDFIKSLFKRAYAKKFRFPTFLGAYKYYTSYTLQTFDGRRYLERYEDRVCMVALTLAAGDTKLAESLVDEIMSGRFQPATPTFLNSGKAQRGEPVSCFLLRIEDNMESIGRAINSALQLSKRGGGVALLLSNLREAGAPIKRIENQSSGVIPVMKLLEDSFSYANQLGA</t>
  </si>
  <si>
    <t>MTTTYGKSVAEPASEKEQLDYHALNALLNLYDSNGQIQFGKDREAANQFFLQHVNRNTVFFHDLEEKMEYLVENKYYDPEVLARYDFDFIKDLFKQAYAHKFRFRTFLGAYKYYTSYTLKTFDGTRYLERFEDRVCMVALGLADGDTELARHLVDEIMTGRFQPATPTFLNMGKAQRGEPVSCFLLRIEDNMESIGRSINSALQLSKRGGGVALLLSNLREAGAPIKHIENQSSGVIPVMKLLEDSFSYANQLGARQGAGAVYLNAHHPDILSFLDTKRENADEKVRIKTLSLGVVIPDITFELARNNSDMYLFSPYDVQRVYGKAFADISITEHYQEMVEDPRIRKKKINARVFFQTLAEIQFESGYPYIMFEDVVNRANPIAGRVNMSNLCSEILQVNSPSTYHDDLTYDEVGEDISCNLGSLNIAMAMDSPDFAKTVETAIRGLTAVSEQTSIHSVPSIRKGNEHAHAIGLGQMNLHGYLGRERIHYGSEEALDFTNAYFAAVLYQCLRASNKLARERGQSFGGFEDSEYASGAYFDRFSPADFAPKTAKVQELFDASSITVPTAAEWEALKSDVMTHGLYNRNLQAVPPTGSISYINNSTSSIHPIASRIEIRKEGKIGRVYYPAPHMDNTNLEYFQDAYEIGYEKVIDTYAAATKYVDQGLSLTLFFKDNVTTRDINRAQIYAWRKGIKTLYYIRLRQVALEGTEVEGCVSCML</t>
  </si>
  <si>
    <t>MTTTYGKSVAEPASEKEQLDYHALNALLNLYDSNGQIQFGKDREAANQFFLQHVNRNTVFFHDLEEKMEYLVENKYYDPEVLARYDFDFIKDLFKQAYAHKFRFRTFLGAYKYYTSYTLKTFDGTRYLERFEDRVCMVALGLADGDTELARHLVDEIMTGRFQPATPTFLNMGKAQRGEPVSCFLLRIEDNMESIGRSINSALQLSKRGGGVALLLSNLREAGAPIKHIENQSSGVIPVMKLLEDSFSYANQLGARQGAGAVYLNAHHPDILSFLDTKRENADEKVRIKTLSLGVVIPDITFELARNNSDMYLFSPYDVQRVYGKAFADISITEHYQEMVEDPRIRKKKINARVFFQTLAEIQFESGYPYIMYEDVVNRANPIAGRVNMSNLCSEILQVNSPSTYHDDLTYDEVGEDISCNLGSLNIAMAMDSPDFAQTVETAIRGLTAVSEQTSIHSVPSIRKGNEHAHAIGLGQMNLHGYLGRERIHYGSEEALDFTNAYFAAVLYQCLRASNKLAQERGQSFGGFEDSEYASGAYFDRFSPADFAPKTAKVQELFDASSITVPTAAEWDALKSDVMTHGLYNRNLQAVPPTGSISYINNSTSSIHPIASRIEIRKEGKIGRVYYPAPHMDNTNLEYFQDAYEIGYEKVIDTYAAATKYVDQGLSLTLFFKDNVTTRDINRAQIYAWRKGIKTLYYIRLRQVALEGTEVEGCVSCML</t>
  </si>
  <si>
    <t>GC_00000761</t>
  </si>
  <si>
    <t>PF17764.6</t>
  </si>
  <si>
    <t>3'DNA-binding domain (3'BD)</t>
  </si>
  <si>
    <t>K04066</t>
  </si>
  <si>
    <t>primosomal protein N' (replication factor Y) (superfamily II helicase) [EC:5.6.2.4]</t>
  </si>
  <si>
    <t>COG1198</t>
  </si>
  <si>
    <t>Primosomal protein N' (replication factor Y) - superfamily II helicase (PriA) (PDB:6DCR)</t>
  </si>
  <si>
    <t>KEGG Orthology (KO)&gt;&gt;&gt;09120 Genetic Information Processing&gt;&gt;&gt;09124 Replication and repair&gt;&gt;&gt;03440 Homologous recombination [PATH:ko03440]|Enzymes&gt;&gt;&gt;5. Isomerases&gt;&gt;&gt;5.6  Isomerases altering macromolecular conformation&gt;&gt;&gt;5.6.2  Enzymes altering nucleic acid conformation&gt;&gt;&gt;5.6.2.4  DNA 3'-5' helicase|DNA repair and recombination proteins&gt;&gt;&gt;Prokaryotic type&gt;&gt;&gt;DSBR (double strand breaks repair)&gt;&gt;&gt;HR (homologous recombination)&gt;&gt;&gt;RecBC pathway proteins</t>
  </si>
  <si>
    <t>----------------------MATTPRVPASDRPVARVVPLLGLPQLDRFYDYQVPEDLSAAAQPGVRIRVRFAGRKVDALIIERLSDTDHSGELAWIDRVISELVVYPPATARLVDSLALRYAGTRSDIFRAAIPPRHAAAEKAALAASTTWEELGGVSEPDLSDWMAYAHGQSFVDAVLGGAPARAAWQMLPGRDWLQALSALIVKTALTGGGVLVVVPDQRDVDRLVDACTQHVSPKHITVLNSQLGPQAR</t>
  </si>
  <si>
    <t>MGAHQPRAGTTSSGWPVICSAMSASTARVPAPTRPVARVLPLLGLSPLDRLFDYKVDATQDDAAQPGTRIRVYFSGRLTDALIIARGDTTDYPGELAWIKNVISPEVVYPPQMRRLTDALCDRYAGIRSDIIRAAIPSRHARAEES--DTTTPWDELGDVEEPDLSAWSAYQHGESFVDAVLGGTTARAAWQILPGDSWADALAALAVKTVMGDGGALIVVPDQRDVDKLEAALRKLVSAKQITVLTASLGPQARYRRFLSVLHGQGRLVIGTRSAAFAPMNNLKLAVILNDGDDSLVDPRAPYVHAREVLTTRSVIEGCSLIMAGHTRTPEVQLMVQQGWAHDLVGSRDTIRMRMPRIHAVADTDTALERDPHARTARLPKIAFEAVRRALDADKPVLIQVPRKGYVPVLACGNCVAVARCRHCNGPLGLPTAGSADEAAVPTCRWCGRPDPRHRCNECGSTKLRAIVLGTDRTAEEFGRAFPKVPIELSGGNKILDTVSDGARIIVATPGAEPTVTDGSYGALLLLDTWALLRRPDLRATEDALHKWAAASSLVAPHHKGGEVVVVAPSGLMPVQALIRWDMVRAAAIELDQRAEVDFPPTVHMAALDGAAASLEKYLGLV----ELPPNAEILGPVDLPPGVTLPGEYDERRYG-PPQRYLIRVPLAESRRYALGKALRAGLVK-LYLQRDNLPLRVQVDPLHVG</t>
  </si>
  <si>
    <t>MGAHQPRAGTTSSGWPVICSAMSASTARVPAPTRPVARVLPLLGLSPLDRLFDYKVDATQDDAAQPGTRIRVYFSGRLTDALIIARGDTTDYPGELAWIKNVISPEVVYPPQMRRLTDALCDRYAGIRSDIIRAAIPSRHARAEES--DTTTPWDELGDVEEPDLSAWSAYQHGESFVDAVLGGTTARAAWQILPGDSWADALAALAVKTVMGDGGALIVVPDQRDVDKLEAALRKLVSAKQITVLTASLGPQARYRRFLSVLHGQGRLVIGTRSAAFAPVNNLKLAVILNDGDDSLVDPRAPYVHAREVLTTRSVIEGCSLIMAGHARTPEVQLMVQQGWAHDLVGSRDTIRMRMPRIHAVADTDTALERDPHARTARLPKIAFEAVRRALDADKPVLIQVPRKGYVPVLACGNCVAVARCRHCNGPLGLPTSGSADEAAVPTCRWCGRPDPRHRCNECGSTKLRAIVLGTDRTAEEFGRAFPKVPIELSGGNKILDTVSDGARIIVATPGAEPTVTDGSYGALLLLDTWVLLRRPDLRATEDTLHKWAAASSLVAPHHKGGEVVVVAPSGLMPVQALIRWDMVRAAAIELDQRAEVDFPPTVHMAALDGAAASLEKYLGLV----ELPPNAEVLGPVDLPPGVTLPGEYDERRYG-PPQRYLIRVPLAESRRYALGKALRAGLVK-LYLQRDNLPLRVQVDPLHVG</t>
  </si>
  <si>
    <t>----MPK-------------------TREPATYAPVARVLPLLGLSVIDRYFDYRIDTKLSDAAQPGVRVRVRFHNRMVDGILLDRVAESEFGGELSWLDRVVSPEIVYPPSTRKLVEAIVNRYAGTTSDLIRLAIPSRHAGAETT--DTTTAWEELGKVGEPDLSHWSSYTHGESFVDAVLRGQTARAAWQILPGDDWAAALAALAVKVVKDGGGALIILPDQRDIDHMERALRNLVSPKQITILTASQGPQAR</t>
  </si>
  <si>
    <t>GC_00000762</t>
  </si>
  <si>
    <t>PF01071.24</t>
  </si>
  <si>
    <t>Phosphoribosylglycinamide synthetase, ATP-grasp (A) domain</t>
  </si>
  <si>
    <t>K01945</t>
  </si>
  <si>
    <t>phosphoribosylamine---glycine ligase [EC:6.3.4.13]</t>
  </si>
  <si>
    <t>COG0151</t>
  </si>
  <si>
    <t>Phosphoribosylamine-glycine ligase (PurD) (PDB:1GSO)</t>
  </si>
  <si>
    <t>KEGG Orthology (KO)&gt;&gt;&gt;09100 Metabolism&gt;&gt;&gt;09104 Nucleotide metabolism&gt;&gt;&gt;00230 Purine metabolism [PATH:ko00230]|Enzymes&gt;&gt;&gt;6. Ligases&gt;&gt;&gt;6.3  Forming carbon-nitrogen bonds&gt;&gt;&gt;6.3.4  Other carbon-nitrogen ligases&gt;&gt;&gt;6.3.4.13  phosphoribosylamine---glycine ligase</t>
  </si>
  <si>
    <t>MRILVIGSGAREHALLTGM--KAPHNELHVVPGNAGMADLATLHKGV--VDDQANMVALAQDIKPDLIVVGPEIPLVAGVSDALRHAGFLVFGPSQAAAQIEGSKAFAKDVMAEAGVRTAHAEVVPAGSTPEEIDAALDRFGPTWVVKDDGLAGGKGVVVTPNINEARAHVNAVHKAGNPVLLESFLDGPEVSLFCLVDGETVVPLLPAQDHKRVRDNDEGPNTGGMGAYTPLPWLPTDGVQRIVDEVCVPVAREMVRRGNPYQGLLYAGLAWGSEGPAVVEFNCRFGDPETQAVLMMLETPLDDVLAAVARGELADLPPLTWREGYALTVVLGAPGYPEKPVTGGVITGAENTDNADSDDVAVVLHAGTSRGENGELVSAGGRVLNVVAHGATLEQARDAAYKRLEQINLDGGHYRTDIALPAVEGRITIPN</t>
  </si>
  <si>
    <t>MRILVIGSGAREHALLLGLSQDPAVSDLHVVPGNAGMADLATLHKGT--VTDPAEMTQLATSLNVDLVVIGPEIPLVAGVADALREKGIKVFGPDKDAARIEGSKAFAKDVMAAAGVKTAHAEALAPGASNDDIEAALNRFGPIWVVKDDGLAGGKGVVVTPDRDAARAHIDAVHAAGNPVLLETFLDGPEVSLFCLVDGETVVPLLPAQDHKRVGNNDEGPNTGGMGAYTPLPWLPKDGVQRIVDEVCVPVAKEMVARGCSYSGLLYAGLAWGQDGPAVVEFNCRFGDPETQAVLALLKTPLGQLLASVAEGTLAEQPPLEWKDGYALTVVLAAQNYPDSPRTGDVITGAEN---------PAVLHAGTARNANGELVSAGGRVLNVIGTGPTLTDARDAAYAVLNTISLDGSHYRSDIALSAVEGRISV--</t>
  </si>
  <si>
    <t>MRILVIGSGAREHALLLGLSQDPAVSDLHVVPGNAGMADLATLHKGT--VTDPAEMTQLATSLDVDLVVIGPEIPLVAGVADALREKGIKVFGPNKDAARIEGSKAFAKDVMAAAGVKTAHAEALSPGASNDDIEATLDRFGPTWVVKDDGLAGGKGVVVTPDRDAARAHIDAVHAAGNPVLLETFLDGPEVSLFCLVDGETVVPLLPAQDHKRVGNNDEGPNTGGMGAYTPLPWLPKDGVQRIVDEVCVPVAKEMVARGCSYSGLLYAGLAWGQDGPAVVEFNCRFGDPETQAVLALLKTPLGQLLASVAEGTLAEQPPLEWEDGYALTVVLAAQNYPDSPRTGDVITGAEN---------PAVLHAGTARNANGELVSAGGRVLNVIGTGPTLTDARDAAYAVLGTISLDGSHYRSDIALPAVEGRISV--</t>
  </si>
  <si>
    <t>MRILVLGSGAREHALVLSLFHDPAVDDIHVAPGNVGMKPLATLHSEVTRIDDPDTVVALARDIAADLVVIGPEIPLVAGVADALRSAGFLVFGPNKAAARIEGSKAFAKDVMAAAGVRTARSEQLTSELSDSEIESALDRFGPHYVVKDDGLAGGKGVVVTDDRTAARAHVDAVLAAGNPVLLESFLTGPEVSLFCLVDGETVVPLIPAQDHKRVGDGDQGPNTGGMGAYCPLPWLPADGVRRIVDEVCVPVAKELVQRGCAYSGLLYAGLAWGPDGPAVVEFNCRFGDPETQAVLALLKTPLGEVLHAVAAGTLADLPPLEWYDEYAVTVVLAAEGYPEHPHLGEVITGASDK--------SAVRHAGTAYNEAGELVSAGGRVLNVIGTGATLADARDAAYSVLSEITLPGGHYRSDIALPAVLGNISV--</t>
  </si>
  <si>
    <t>MRILVLGSGAREHALVLSLFHDPAVDDIHVAPGNVGMKPLATLHSEVTRIDDPDTVVALARDIAADLVVIGPEIPLVAGVADALRSAGFLVFGPNKAAARIEGSKAFAKDVMAAAGVRTARSEQLTSELSDSEIESALDRFGPHYVVKDDGLAGGKGVVVTDDRTAARAHVDAVLAAGNPVLLESFLTGPEVSLFCLVDGETVVPLIPAQDHKRVGDGDQGPNTGGMGAYCPLPWLPADGVRRIVDEVCVPVAKELVRRGCAYSGLLYAGLAWGPDGPAVVEFNCRFGDPETQAVLALLKTPLGEVLHAVAAGTLADLPPLEWYDEYAVTVVLAAEGYPEHPHLGEVITGASDK--------SAVRHAGTAYNEAGELVSAGGRVLNVIGTGATLADARDAAYSVLSEITLPGGHYRSDIALPAVLGNISV--</t>
  </si>
  <si>
    <t>GC_00000763</t>
  </si>
  <si>
    <t>PF00800.23</t>
  </si>
  <si>
    <t>Prephenate dehydratase</t>
  </si>
  <si>
    <t>K04518</t>
  </si>
  <si>
    <t>prephenate dehydratase [EC:4.2.1.51]</t>
  </si>
  <si>
    <t>COG0077</t>
  </si>
  <si>
    <t>Prephenate dehydratase (PheA2) (PDB:1PHZ)</t>
  </si>
  <si>
    <t>M00024</t>
  </si>
  <si>
    <t>Phenylalanine biosynthesis, chorismate =&gt; phenylpyruvate =&gt; phenylalanine</t>
  </si>
  <si>
    <t>KEGG Orthology (KO)&gt;&gt;&gt;09100 Metabolism&gt;&gt;&gt;09105 Amino acid metabolism&gt;&gt;&gt;00400 Phenylalanine, tyrosine and tryptophan biosynthesis [PATH:ko00400]|Enzymes&gt;&gt;&gt;4. Lyases&gt;&gt;&gt;4.2  Carbon-oxygen lyases&gt;&gt;&gt;4.2.1  Hydro-lyases&gt;&gt;&gt;4.2.1.51  prephenate dehydratase</t>
  </si>
  <si>
    <t>MSCTVAYLGPQGTFTEAALIRFAELGCIPG-------------------------------GTAELQPLAVTSPAEAIGAVLNPTNPSQQPPTRADYAVVAIENSVDGPVTPTFDALAAHPGAQIYHEIDIDVAFAIVVRTGRRLGDIRTFTTHPVAKPQVAQWLERNLPDATFIAATSNAAAAQMVAEGKADAAAAPLRAADIYHLDVIEHPVADVAGARTRFALIGPAGAPTPRTGNDRTSIMVTLPNEAGTLVGALQELATRGVDMSRIESRPTRTGLGTYRFHIDIVGHIDDAPVAEALRAIYLRAEKVEYLGSWPSC----EQPRSPINLEEIHR---AHEWTDNLRAGIR-------</t>
  </si>
  <si>
    <t>MTVTVAYLGPAGTFTEAALWKFREQTL----------------------------------PDVTVQPLPVDSPAMALDAVRSGD---------ADYACVAIENSVDGPVTPTFDALAAAPGVQIYGETDIDITFAIMMRPGFDSATIRTFSTHPVARQQVADWVADNLPEVDFIPASSNAAAAQAVAEGRVDAAAAPERAADLFNLEVVARDIADVRGAHTRFVLVGRSGVPCPRTGDDRTSVVFNLPQRPGTLVGALTEFALRGVDLSRIESRPTRTNIGTYRFHVDLNGHIDDAPVAEAISALYLRCDDLTYLGSWPAA----RREGEQVRNNTVARIAEAHAWVERMRRGDIPERRNPE</t>
  </si>
  <si>
    <t>MTVTVAYLGPAGTFTEAALWKFREQTL----------------------------------PDVTVQPLPVDSPAMALDAVRSGD---------ADYACVAIENSVDGPVTPTFDALAAAPGVQIYGETDIDITFAIMMRPEFDSATIRTFSTHPVARQQVADWVADNLPEVDFIPASSNAAAAQAVAEGRVDAAAAPERAADLFNLEVVARDIADVRGAHTRFVLVGRSGVPCPRTGDDRTSVVFNLPQRPGTLVGVLTEFALRGVDLSRIESRPTRTNIGTYRFHVDLNGHIDDAPVAEAISALYLRCDDLTYLGSWPAA----RREGEQVRNNTVARIAEAHAWVERMRRGDIPERRNPE</t>
  </si>
  <si>
    <t>MSVTVAYLGPAGTFTEAALWEFAHRGYLTTPVTDTKTMLVDATRGGGADLEAGAGGSSAASPADNVIPLPCTSPREAISALRAGD---------ADYAVVAIENSVDGFVTPTFDALDAD-GIQIYAELDLPIAFAMMMRPGMSLSEVTTVTTHPVAYQQVKTWLADTIGEHTFVPASSNAAAAQIVADGGADLAAAPVRSAELFHLTVVAENIADVAGARTRFVVVGPTGMSPAPTGVDRTAVVFTLRNEPGSLVAALTEFAVRGVDLSRIESRPIENGLGTYRFHVDLNGHVTQPMVAEALRALYVRCESIKFLGSWPAAPTASERERQLHHNNRL--LAEAESWVSAAQTGRMM------</t>
  </si>
  <si>
    <t>MSVTVAYLGPAGTFTEAALWEFAHRGYLTTPVTDAKTMLVDATRGGGAGLEAGAGGAPAASPADNVIPFPCTSPREAISALRAGD---------ADYAVVAIENSVDGFVTPTFDALDAD-GIQIYAELDLPIAFAMMMRPGMSLSEVTTVTTHPVAYQQVKTWLADTIGEHTFVPASSNAAAAQIVADGGADLAAAPVRSAELFHLTVVAENIADVAGARTRFVVVGPTGMSPAPTGVDRTAVVFTLRNEPGSLVAALTEFAVRGVDLSRIESRPIENGLGTYRFHVDLNGHVTQPMVAEALRALYVRCESIKFLGSWPAAPTASERERQLHHNNRL--LAEAESWVSAAQTGRMM------</t>
  </si>
  <si>
    <t>GC_00000764</t>
  </si>
  <si>
    <t>PF01741.23</t>
  </si>
  <si>
    <t>Large-conductance mechanosensitive channel, MscL</t>
  </si>
  <si>
    <t>K03282</t>
  </si>
  <si>
    <t>large conductance mechanosensitive channel</t>
  </si>
  <si>
    <t>COG1970</t>
  </si>
  <si>
    <t>Large-conductance mechanosensitive channel (MscL) (PDB:2OAR)</t>
  </si>
  <si>
    <t>MLKGFKDFIMRGNVVDLAVAVVIGGAFTAIVTAFTENLIQPLIASLGSGDVPGLGFFIKKGNEATFVNFGAVINAAIDFILIAAVVYFVIVLPMNKIKELQEARQGTKTDEEAPV--PVETQLLTEIRDLLAKQ----</t>
  </si>
  <si>
    <t>MLKGFKDFILRGNVIDLAVAVVIGAAFTAIVTSFADNLINPLIASIGGANADGLGFYLRAGKEATFIDFGKIITAALNFLITAGVVYFIFVLPMNKFKEFSAARAGTTDEDEDSVILSSEAELLVEIRDLLKAQRSQR</t>
  </si>
  <si>
    <t>MLKGFKDFILRGNVIDLAVAVVIGAAFTAIVTSFADNLINPLIASIGGANADGLGFYLRAGKEATFIDFGKIITAALNFLITAGVVYFIFVLPMNKFKELAAARAGT-ADEEDSVILSSEAELLVEIRDLLKAQRSQR</t>
  </si>
  <si>
    <t>MLKGFRDFILRGNVIELAVAVVIGSAFTNIVTAFTNKIINPLIASLGSTEVKGLGFQIRPGVAETFVDFGAVITAAINFLMVAAVVYFVLIVPMNKLSSLMSSKEKKEAAETVL---DPDVVLLTEIRDLLKTQR---</t>
  </si>
  <si>
    <t>MLKGFRDFILRGNVIELAVAVVIGSAFTNIVTAFTNKIINPLIASLGSTEVKGLGFQIRPGVAETFVDFGAVITAAINFLMVAAVVYFVLIVPMNKLSSLMSSKEKKEAAETAP---AADVVLLTEIRDLLKTQR---</t>
  </si>
  <si>
    <t>GC_00000765</t>
  </si>
  <si>
    <t>PF02574.22</t>
  </si>
  <si>
    <t>Homocysteine S-methyltransferase</t>
  </si>
  <si>
    <t>E|E</t>
  </si>
  <si>
    <t>Amino acid transport and metabolism|Amino acid transport and metabolism</t>
  </si>
  <si>
    <t>K00548</t>
  </si>
  <si>
    <t>5-methyltetrahydrofolate--homocysteine methyltransferase [EC:2.1.1.13]</t>
  </si>
  <si>
    <t>COG0646|COG1410</t>
  </si>
  <si>
    <t>Methionine synthase I (cobalamin-dependent), methyltransferase domain (MetH1) (PDB:1LT7)|Methionine synthase I, cobalamin-binding domain (MetH2) (PDB:4DJD)</t>
  </si>
  <si>
    <t>Methionine biosynthesis|Methionine biosynthesis</t>
  </si>
  <si>
    <t>KEGG Orthology (KO)&gt;&gt;&gt;09100 Metabolism&gt;&gt;&gt;09105 Amino acid metabolism&gt;&gt;&gt;00270 Cysteine and methionine metabolism [PATH:ko00270]|KEGG Orthology (KO)&gt;&gt;&gt;09100 Metabolism&gt;&gt;&gt;09106 Metabolism of other amino acids&gt;&gt;&gt;00450 Selenocompound metabolism [PATH:ko00450]|KEGG Orthology (KO)&gt;&gt;&gt;09100 Metabolism&gt;&gt;&gt;09108 Metabolism of cofactors and vitamins&gt;&gt;&gt;00670 One carbon pool by folate [PATH:ko00670]|Enzymes&gt;&gt;&gt;2. Transferases&gt;&gt;&gt;2.1  Transferring one-carbon groups&gt;&gt;&gt;2.1.1  Methyltransferases&gt;&gt;&gt;2.1.1.13  methionine synthase</t>
  </si>
  <si>
    <t>---MALKTRTEFLDALSTRVLIGDGAMGTQLQGYDLDVDKDFLGLEGCNEILNDTRPDVLREIHRAYFEAGADLVETNTFGCNLPNLADYGIEDRCQELAYKGVKIAREVADEMGPGPDGMPRFVVGSLGPGTKLPSLGHAPYEDLKAYYIKAALGMVEAGADAILVETAQDLLQVKAAVLGCHEAFEQAGVRLPIICHVTVETTGTMLLGSEIGAALTALEPLGIDMIGLNCATGPAEMSEHLRYLSQHSTIPV</t>
  </si>
  <si>
    <t>-----MITKTGFLDALSSRVLIGDGAMGTQLQSFDLDVDKDFLGLEGCNEILNDTRPDVLRKIHRAYFDAGADVVETNTFGCNLPNLADYGIEDRCRELALKGTALAREVADEYE------EKFVLGSMGPGTKLPSLGHAHYEDLKRYYKEAALGMIEGGADGILIETAQDLLQVKAAVLGCHEAFDELQITLPIVCHVTVETTGTMLLGSEIGAALTALEPLGINMIGLNCATGPHEMSEHLRYLSQHASIPV</t>
  </si>
  <si>
    <t>-----MITKTGFLDALSSRVLIGDGAMGTQLQSFDLDVDKDFLGLEGCNEILNDTRPDVLRQIHRAYFDAGADVVETNTFGCNLPNLADYGIEDRCRELALKGTALAREVADEYE------EKFVLGSMGPGTKLPSLGHAHYEDLKRYYKEAALGMIEGGADGILIETAQDLLQVKAAVLGCHEAFDELQITLPIVCHVTVETTGTMLLGSEIGAALTALEPLGINMIGLNCATGPHEMSEHLRYLSQHASIPV</t>
  </si>
  <si>
    <t>MSTVLPVKTPDFLDALHSRVLIGDGAMGTQLQGFDLDVETDFLGLEGCNEILNDTRPDVVAQIHRAYFTAGADLVETNTFGCNLPNLADYNIADRCQELAYKGTRIARTVADELGPGRDGMRRFVLGSMGPGTKLPSLGHAPYLDLKTYYREAALGMVDGGADGILIETAQDLLQVKAAIHGCQEAFAEVGYRLPIVCHVTVETTGTMLLGSEIGAALTALEPLGIDMIGLNCATGPDEMSEHLRYLSHNAQIPVSVMPNAGLPILGKNGAEYPLKPAELAASLKTFIEEYGLAMVGGCCGTTPEHITAVHTMVTG-----GITPAERTTPDSDAVSSLYTSVNLTQDAGVTIIGERTNANGSKAFREAMLAGDLETCVDIAKQQTRDGAHMLDLCVDYVGRDGRGDMAALASLLATSSTLPIMIDSTEPDVIQTGLEHLGGRCAVNSVNFEDGDGPGSRYQRIMQLVKTHGAAVVALTIDEEGQARTAEKKLAIAERLITDITENWGLDESDIIVDTLTFPISTGQEETRRDGIETINAIRELKARHPRVHTTLGLSNISFGLNPAARQVLNSVFLNECVAAGLDSAIAHSSKLVPMNRIEDRQREVALDMIYDRRRDGYDPLQTFMDLFEGVSAAEAKDARAEALAALPLFERLSQRIIDGEKTGIETDLDAAMAEKSPIDIINQDLLGGMKTVGELFGSGQMQLPFVLQSAETMKHAVAYLENYMEATDDSGNKGTMVIATVKGDVHDIGKNLVDIILSNNGYNVINIGIKQPIATIISAAREHNADVVGMSGLLVKSTVVMKENLEEMNAQNASDIPVILGGAALTRSYVEHDLDNIYAGDVHYARDAFEGLSLMDEIMARKRGETITEDVTK--------QRKKAERKARRERSQKIAAERKAKAKPVQLPERSEVAADFPVATPPFWGTRIIKGLSVSDYLPMLDERALFMGQWGLKSTRG-DGPDYEALVESEGRPRLRAWIDQLKSRGVLDHAAVVYGYFPAVSVKDTVLILAEPRPDAEVIRELKFPRQQRGKFLCIADYVRSRTLAEETGQVDVLPLQLVTMGDPIARYANELFAMNNYRDYLEVHGIGVQLTEALAEYWHSRIRAELRLPDGTHVGDSDAHDTRRFFDLDYSGARYSFGYGSCPNLTDRQAIVDLLHSERIGVTLSEEYQLHPEQSTDAFVLYHPEAKYFNV</t>
  </si>
  <si>
    <t>MSTVLPVKTPDFLDALHSRVLIGDGAMGTQLQGFDLDVETDFLGLEGCNEILNDTRPDVVAQIHRAYFTAGADLVETNTFGCNLPNLADYNIADRCQELAYKGTRIARTVADELGPGRDGMRRFVLGSMGPGTKLPSLGHAPYLDLKTYYREAALGMVDGGADGILIETAQDLLQVKAAIHGCQEAFAEVGYRLPIVCHVTVETTGTMLLGSEIGAALTALEPLGIDMIGLNCATGPDEMSEHLRYLSRNARIPVSVMPNAGLPILGKNGAEYPLKPAELAASLKTFIEEYGLAMVGGCCGTTPEHITAVHTMVTG-----GITPAERTTPDSDAVSSLYTSVNLTQDAGVTIIGERTNANGSKAFREAMLAGDLETCVDIAKQQTRDGAHMLDLCVDYVGRDGRDDMAALASLLATSSTLPIMIDSTEPNVIQTGLEHLGGRCAVNSVNFEDGDGPGSRYQRIMQLVKTHGAAVVALTIDEEGQARTAEKKLAIAERLITDITENWGLDESDIIVDTLTFPISTGQEETRRDGIETINAIRELKARHPRVHTTLGLSNISFGLNPAARQVLNSVFLNECVAAGLDSAIAHSSKLVPMNRIEDRQREVALDMIYDRRRDGYDPLQTFMDLFEGVSAAEAKDARAEALAALPLFERLSQRIIDGEKTGIETDLDAAMAEKSPINIINQDLLGGMKTVGELFGSGQMQLPFVLQSAETMKHAVAYLENYMEATDDSGNKGTMVIATVKGDVHDIGKNLVDIILSNNGYNVINIGIKQPIATIISAAREHNADVVGMSGLLVKSTVVMKENLEEMNAQNASDIPVILGGAALTRSYVEHDLDNIYAGDVHYARDAFEGLSLMDEIMARKRGETITEDVTK--------QRKKAERKARRERSQKIAAERKAKAKPVQLPERSEVAADFPVATPPFWGTRIIKGLSVSDYLLMLDERALFMGQWGLKSTRG-DGPDYEALVESEGRPRLRAWIDQLKSRGVLDHAAVVYGYFPAVSVKDMVLILAEPRPDAEVIRELKFPRQQRGKFLCIADYVRSRTLAEETGQVDVLPLQLVTMGDPIARYANELFAMNNYRDYLEVHGIGVQLTEALAEYWHSRIRAELRLPDGTHVGDSDAHDTRRFFDLDYSGARYSFGYGSCPNLTDRQAIVDLLHSERIGVTLSEEYQLHPEQSTDAFVLYHPEAKYFNV</t>
  </si>
  <si>
    <t>GC_00000766</t>
  </si>
  <si>
    <t>K00384</t>
  </si>
  <si>
    <t>thioredoxin reductase (NADPH) [EC:1.8.1.9]</t>
  </si>
  <si>
    <t>COG0492</t>
  </si>
  <si>
    <t>Thioredoxin reductase (TrxB) (PDB:3FBS)</t>
  </si>
  <si>
    <t>KEGG Orthology (KO)&gt;&gt;&gt;09100 Metabolism&gt;&gt;&gt;09106 Metabolism of other amino acids&gt;&gt;&gt;00450 Selenocompound metabolism [PATH:ko00450]|Enzymes&gt;&gt;&gt;1. Oxidoreductases&gt;&gt;&gt;1.8  Acting on a sulfur group of donors&gt;&gt;&gt;1.8.1  With NAD+ or NADP+ as acceptor&gt;&gt;&gt;1.8.1.9  thioredoxin-disulfide reductase</t>
  </si>
  <si>
    <t>MTEASPDTPTIHDVAIVGSGPAGYTAAIYAARADLQPIVFEGIEFGGSLMTTTEVENYPGFAEGIMGPELMEQMRTQAERFGADLRMELVD--RLEVDGE-----IKKIFVGDEEFQARTVILAMGSAPRYLGVPGEQELLGHGVSSCATCDGFFFRDQDIAVIGGGDSAMEEALFLTRFAKSVMVVHRREEFRASAIMLERARANEKITFVTNAVVDRVLSEDNKVSGLELKDTVTGETRQVDVAAMFVAIGADPRSELVKGQVDTDASGHVLVAHPSTKTNVPGVFAVGDLVDDHYQQAITAAGSGARAAIDAQHYLVS-</t>
  </si>
  <si>
    <t>MTEASPDTPTIHDVAIVGSGPAGYTAAIYAARADLQPIVFEGIEFGGSLMTTTEVENYPGFAEGIMGPELMEQMRTQAERFGADLRMELVD--RLEVDGE-----IKKIFVGDEEFHARTVILAMGSAPRYLGVPGEQELLGRGVSSCATCDGFFFRDQDIAVIGGGDSAMEEALFLTRFAKSVMVVHRREEFRASAIMLERARANEKITFVTNTVVDRVLSEDNKVSGLELKDTVTGETRQVDVAAMFVAIGADPRSELVKGQVDTDASGHVLVAHPSTKTNVPGVFAVGDLVDDHYQQAITAAGSGARAAIDAQHYLVS-</t>
  </si>
  <si>
    <t>GC_00000767</t>
  </si>
  <si>
    <t>PF03547.23</t>
  </si>
  <si>
    <t>Membrane transport protein</t>
  </si>
  <si>
    <t>K13936</t>
  </si>
  <si>
    <t>malonate transporter and related proteins</t>
  </si>
  <si>
    <t>COG0679</t>
  </si>
  <si>
    <t>Predicted permease, AEC (auxin efflux carrier) family (YfdV)</t>
  </si>
  <si>
    <t>MLHPPSCAPPRGIVGRVIGVIQGFSIIFAVIAVGYVLARLRIIGGDEQRLVLNRVAFFAATPALLFTVVAQSPVHHLFSPVIGVQALSAILTAGVFVLLSLKCFPSDKGSTVMGAASTAYVNSNNIGLPVGIYVLGNAAYVPPLLVLQLVVFTPFILALIAPG--------KALAAVKQAVLSPIVLATAAGLAVSMNQWSVPELIWEPLHLLGGASIPMILLSFGASLRDARPLSEPPFRRAALTGTALKVVGMPAISALLA-LGLGLNGDALYASVILAALPTAQNVYNYAATYQKGTVVARDVILLSTFIALPAMLIVAMVFGR</t>
  </si>
  <si>
    <t>GC_00000768</t>
  </si>
  <si>
    <t>PF08353.15</t>
  </si>
  <si>
    <t>MurT ligase C-terminal</t>
  </si>
  <si>
    <t>K23393</t>
  </si>
  <si>
    <t>COG0769</t>
  </si>
  <si>
    <t>UDP-N-acetylmuramyl tripeptide synthase (MurE) (PDB:1E8C)</t>
  </si>
  <si>
    <t>-----------------------------MTGRGAGGMIGGLIAGAIDPNIMANLGGGRPVALITGTNGKSTTTRMLAAALRTQYAVATNEGGDNMDAGIISALMAGRGASHVVLECDELHVPAVADRLNPSCLVLLNLTRDQLDRVGEINTIERRLRACVEAHPEMTVIANCDDVLVTSVAYDAPNVIWVSAGAGWVGDSVSCPRTGGHIVR--DGDDWHALTPLADGRTFRRPTPTWSISESGIAVPSEVSAE</t>
  </si>
  <si>
    <t>MSLNLPAPLQRLRTTVATTAATLATKASQMTGRGAGGMIGGLIAGAIDPNIMANLGGGRPVALITGTNGKSTTTRMLAAALRTQYAVATNEGGDNMDAGIISALMAGRGASHVVLECDELHVPAVADRLNPSCLVLLNLTRDQLDRVGEINTIERRLRACVEAHPEMTVIANCDDVLVTSVAYDAPNVIWVSAGAGWVGDSVSCPRTGGHIVR--DGDDWHALTPLADGRTFRRPTPTWSISESGIAVPSEVSAEVVSLSLTLPGNANRGNATEALAAAIEVFKIPLDGAVQAVQAVSNVAGRYSTITFEQWEVHMLLAKNPAGWQEALSMVDRTADGIVISVNGQVADGEDLSWLWDVSFEAFENTHIVAAGERGTDLAVRLIYADVPHTHVPNTVAAIRSCPPGRVEVLANYTAFRDLKKALEKITE--VRK-</t>
  </si>
  <si>
    <t>GC_00000769</t>
  </si>
  <si>
    <t>PF02566.24</t>
  </si>
  <si>
    <t>OsmC-like protein</t>
  </si>
  <si>
    <t>K07397</t>
  </si>
  <si>
    <t>putative redox protein</t>
  </si>
  <si>
    <t>COG1765</t>
  </si>
  <si>
    <t>Uncharacterized OsmC-related protein (YhfA) (PDB:1LQL)</t>
  </si>
  <si>
    <t>MSDLTPNHKPGEPLQPIDKDALNALAQKNIDNPEGGKRTVRTHTEADGQFRNYTKVRELEPVLVSEPPALLGDDTAPNPTEVAQAALAACISVGIQAIATHRGVTLTKIEIDIEGDIDISPTWGVGDLSEDKRPGVSDVRVKIALEGDADRDTLDQIQKDAIKWSPVVNTYTRPAKLTSELV</t>
  </si>
  <si>
    <t>MSDLTPNHKPGEPLQPIDKDALNALAQKNIDNPEGGKRTVRTHTEADGQFRNYTKVRELEPVLVSEPPALLGDDTAPNPTEVAQAALAACISVGIQAVATHRGVTLTKIEIDIEGDIDISPTWGVGDLSEDKRPGVSDVRVKIALEGDADRDTLDQIQKDAIKWSPVVNTYTRPAKLTSELV</t>
  </si>
  <si>
    <t>MSDLTPNHNPGEPLQPIDKEGLAKLAQKNIDNPEGGRKTVRTHTEADGQFRNYTKVRGLDPVLVSEPPALLGDDSAPNPTEVAQAALAACISVGIQAIATHRGVTLTAIEIDIEGDIDISPTWGVGDLSDDKRPGVSDVRVKVKLEGDADRDTLDQIHRDAVKWSPVVNTYTRPARLTSELV</t>
  </si>
  <si>
    <t>MSDLTPNHNPGEPLQPIDKEGLAKLAQKNIDNPEGGRKTVRTHTEADGQFRNYTKVRGLDPVLVSEPPALLGDDSAPNPTEVAQAALAACISVGIQAIATHRGVTLTAIEIDIEGDIDISPTWGVGDLSDDKRPGVSDVRVKVKLEGDADRDTLDQIHRDAIKWSPVVNTYTRPARLTSELV</t>
  </si>
  <si>
    <t>GC_00000770</t>
  </si>
  <si>
    <t>PF00510.24</t>
  </si>
  <si>
    <t>Cytochrome c oxidase subunit III</t>
  </si>
  <si>
    <t>K02276</t>
  </si>
  <si>
    <t>cytochrome c oxidase subunit III [EC:7.1.1.9]</t>
  </si>
  <si>
    <t>COG1845</t>
  </si>
  <si>
    <t>Heme/copper-type cytochrome/quinol oxidase, subunit 3 (CyoC) (PDB:1QLE)</t>
  </si>
  <si>
    <t>MTNTGKPVILEHVTSAVGNTGSAATQRVAALNRPNMVSVGTIVFLSQELMFFAGLFAMYFVSRANGQDS-TWHEDAAHLNVPYAMVITTILVASSFTAQAGVFAAERGDVFKLRRWYALSALMGTIFLIGQGYEYFHLVEHGLTIQNSIYGSVFYITTGFHAAHVLAGVLAFVVVLLRTAKSKFTPAQATAAMVVSYYWHFVDVVWIGLFITIYFIK</t>
  </si>
  <si>
    <t>MTSPAEPVILIDVTSAVGNTGMTAPQRVAALNRPNMVSVGTIVFLSQELMFFAGLFAMYFVSRANGQGE-TWDYGASHLNVPYALTITIILVASSFTAQAGVFAAERGDVFALRRWYAISALMGTVFLVGQGYEYYHLVEHGLTIQSSVYGSVFYITTGFHAAHVLAGVLAFVVVLLRVAKGKFTPAQATAAMVVSYYWHFVDVVWIGLFATIYFIQ</t>
  </si>
  <si>
    <t>GC_00000771</t>
  </si>
  <si>
    <t>----------------------------------MSTKPTFTDVDGKKVVCAFLDQNGFEYLEVSLLDEATGSTERALLLNMYDAKKLHDATNQFMQRTIARNFADMNGQLSPTEREEMFGED--</t>
  </si>
  <si>
    <t>MHTPARLVLLRGRKFHSKLYWILSRDWTQRGALLTNLKPNFTDVDGRKIVTRIVEHKDFEYLSVELLNEEDGTTEILMRLNMYDAKKMGSACDVFLQHTVAKNFGNFSGHLSPTERADLFNDDDV</t>
  </si>
  <si>
    <t>GC_00000772</t>
  </si>
  <si>
    <t>K01744</t>
  </si>
  <si>
    <t>aspartate ammonia-lyase [EC:4.3.1.1]</t>
  </si>
  <si>
    <t>COG1027</t>
  </si>
  <si>
    <t>Aspartate ammonia-lyase (AspA) (PDB:6WNG)</t>
  </si>
  <si>
    <t>KEGG Orthology (KO)&gt;&gt;&gt;09100 Metabolism&gt;&gt;&gt;09105 Amino acid metabolism&gt;&gt;&gt;00250 Alanine, aspartate and glutamate metabolism [PATH:ko00250]|Enzymes&gt;&gt;&gt;4. Lyases&gt;&gt;&gt;4.3  Carbon-nitrogen lyases&gt;&gt;&gt;4.3.1  Ammonia-lyases&gt;&gt;&gt;4.3.1.1  aspartate ammonia-lyase</t>
  </si>
  <si>
    <t>MATKNSKKNTAADNAADTSNAAADTSTTKTESKQTPATTGPAASKSKARDGYRMEVDLLGEMEVPNDAYYGVHTLRAVENFQISRTTINHVPEFIRGMVAVKKATALANRRLHTLPKEKCDAIVWACDEILDKGRCMDQFPIDVFQGGAGTSLNMNTNEVVANLALEHLGYDKGRYDIINPNDDVNMSQSTNDAYPTGFRLGVYAAMEELIAKIDLLQQAFQAKGTEFVDILKMGRTQLQDAVPMTLGEEFHAFAHNLAEEQSVLRDASARLLEVNLGATAIGTGVNTPSGYRHQVTAALSEVTGLEIKSARDLIEATSDTGAYVLAHGAIKRAAMKLSKICNDLRLLSSGPRAGLGEINLPPRQAGSSIMPAKVNPVIPEVVNQVCFKVFGNDLTVTMAAEAGQLQLNVMEPVIGEALFQSIRILGNAAEALREKCVEGITANADVCRAYVDNSIGIVTYLNPFIGHHNGDLIGKEAAATGKSVRELVLEKGLMDEETLDQVLSPENLMHPMFRGQLYLD-</t>
  </si>
  <si>
    <t>--------------------------MSKTKKTTTPT----------ARTGYRLEEDLLGTMEVPNDAYYGIHTLRAIDNFNISRTTINHIPEFIRGMVQVKKATALANRRLHTLPAKKCEAIVWACDQILDKGRCMDQFPIDVFQGGAGTSLNMNTNEVIANLALEYLGEPKGNYSVINPNDDVNMSQSTNDAYPTGFRLGVYAALIELIKQIDQLQSAFHAKGTEFVDILKMGRTQLQDAVPMTLGEEFQAFA</t>
  </si>
  <si>
    <t>--------------------------MSKTKKTTTPT----------ARAGYRLEEDLLGTMEVPNDAYYGIHTLRAIDNFTISRTTINHVPEFIRGMVQVKKATALANRRLHTLPAKKCEAIVWACDQILDKGRCMDQFPIDVFQGGAGTSLNMNTNEVIANLALEYLGEPKGNYSVINPNDDVNMSQSTNDAYPTGFRLGVYAALIELIKQIDQLQSAFHAKGTEFVDILKMGRTQLQDAVPMTLGEEFQAFA</t>
  </si>
  <si>
    <t>MAKSAPKKD--------------EKPIQAPQKPTSPT---------------RKEVDLLGEMEVSNEHYYGIHTLRAMDNFHISGKTINDVPDFIRGMVQVKKAAALANRRLHTLPAKKCDAIVWACDQILHHDRCMDQFPIDVFQGGAGTSLNMNTNEVIANLALEHLGEPKGAYDIINPNDDVNMSQSTNDAYPTGFRLGVYACMQRLIEQIDDLQHAFHRKADEFVDILKMGRTQLQDAVPMTLGDEFNAFAHNLAEEQAILRDAADRLLEINLGATAIGTGLNTPAGYRHQVTATLAEVTDLPIKSAADLIEATSDTGAYVLAHSAVKRAAMKLSKICNDLRLLASGPTAGLHEINLPERQAGSSIMPAKVNPVIPEVVNQVCFKVFGNDFTVLMAAEAGQLQLNVMEPAIGQALFESIEILGNAATTLREKCVNGITANPGVCRKYVENSIGIVTYLNPFIGHHNGDLIGKEAARTGKSVRDLVLEKGLMDEATLNQVLSTENLMHPMFRGTLYLDN</t>
  </si>
  <si>
    <t>MAKSAPKKD--------------EKPIQAPQKPTSPT---------------RKEVDLLGEMEVSNEHYYGIHTLRAMDNFHISGKTINDVPDFIRGMVQVKKAAALANRRLHTLPAKKCDAIVWACDQILHHGRCMDQFPIDVFQGGAGTSLNMNTNEVIANLALEHLGEPKGAYDIINPNDDVNMSQSTNDAYPTGFRLGVYACMQRLIERIDELQHAFHRKADEFVDILKMGRTQLQDAVPMTLGDEFNAFAHNLAEEQAILRDAADRLLEINLGATAIGTGLNTPAGYRHQVTATLAEVTDLPIKSAADLIEATSDTGAYVLAHSAVKRAAMKLSKICNDLRLLASGPTAGLHEINLPERQAGSSIMPAKVNPVIPEVVNQVCFKVFGNDFTVLMAAEAGQLQLNVMEPAIGQALFESIEILGNAATTLREKCVNGITANAGVCRKYVENSIGIVTYLNPFIGHHNGDLIGKEAARTGKSVRDLVLEKGLMDEATLNQVLSTENLMHPMFRGTLYLDN</t>
  </si>
  <si>
    <t>GC_00000773</t>
  </si>
  <si>
    <t>PF20511.4</t>
  </si>
  <si>
    <t>Phosphomannose isomerase type I, catalytic domain</t>
  </si>
  <si>
    <t>K01809</t>
  </si>
  <si>
    <t>mannose-6-phosphate isomerase [EC:5.3.1.8]</t>
  </si>
  <si>
    <t>COG1482</t>
  </si>
  <si>
    <t>Mannose-6-phosphate isomerase, class I (ManA) (PDB:1PMI)</t>
  </si>
  <si>
    <t>KEGG Orthology (KO)&gt;&gt;&gt;09100 Metabolism&gt;&gt;&gt;09101 Carbohydrate metabolism&gt;&gt;&gt;00051 Fructose and mannose metabolism [PATH:ko00051]|KEGG Orthology (KO)&gt;&gt;&gt;09100 Metabolism&gt;&gt;&gt;09101 Carbohydrate metabolism&gt;&gt;&gt;00520 Amino sugar and nucleotide sugar metabolism [PATH:ko00520]|KEGG Orthology (KO)&gt;&gt;&gt;09100 Metabolism&gt;&gt;&gt;09101 Carbohydrate metabolism&gt;&gt;&gt;00541 Biosynthesis of various nucleotide sugars [PATH:ko00541]|Enzymes&gt;&gt;&gt;5. Isomerases&gt;&gt;&gt;5.3  Intramolecular oxidoreductases&gt;&gt;&gt;5.3.1  Interconverting aldoses and ketoses, and related compounds&gt;&gt;&gt;5.3.1.8  mannose-6-phosphate isomerase</t>
  </si>
  <si>
    <t>MQLLTGIVRNYPWGSRTALARLRGAE-PTDQREAEMWFGAHPLAPSLVGE------RTLIDVIADDPTHSLGNT--ADQGQGLPFLLKLLAADEVLSLQAHPSREQAKEGYARENEAGIALNAPHRNYKDDNHKPELIVALSEFEAMAGFRPVPLTNELFDVLACPELERYRSLLPDAPADSVAQGSGDNVRALFTTWITIPPAARVELISAVVASARAVLDDSSREVPQWMREALSNIVELNEMYPGDVGVLGALLLNKLTLQPGEALYLDAGNLHAYVRGLGVEIMANSDNVLRGGLTSKHVDVPELVKVLNFDTLEDARLAGEE-SVVEGARVVRYPVPIDEFALTRV------ELDGRWEVPTGTPTIIVCTEGTVKADDAATVLDLRAGEAAWIPAGNAQVVL-EGSG--QLFVATHA------</t>
  </si>
  <si>
    <t>MQLLSGAMRSYPWGSHTAIAELRGHASPSDSPEAELWYGAHPGDPSTLHGSEPQDTKPLDQAIAADPEYHLGARVRREFGDTLPFLLKILAAGEPLSLQAHPSRAQAQEGFARENAAGISLDAPERNYKDDNHKPELIVALTDFQAMTGFRPLARTLEIAAALNCPELDRYISMLDVDNEDS-------SIRALFTTWIAIPVANRTKLIDAMTVAARAYVARPD--AVDWIADTLNNILLLDERYPGDSGVLGAFLLNKINLKPGEAIYLDAGELHAYVHGLGIEIMANSDNVLRGGLTTKHVDVPELVRVLNFTPLTDPSIRESDLAETTTANRITYPVPINEFALSALNFDGSGEETVEWSSD--GPSIVLCTGGELHLTDSGSELVIHPGESVWIPAANDQVTIRSGGGAAQAFVASV-------</t>
  </si>
  <si>
    <t>MQLLSGAMRSYPWGSHTAIAELRGHASPSDSPEAELWYGAHPGDPSTLHVSEPQDTKPLDQAIAADPEYHLGARVRREFGDTLPFLLKILAAGEPLSLQAHPSRAQAQEGFARENAAGISLDAPERNYKDDNHKPELIVALTDFQAMTGFRPLARTLEIAAALNCPELDRYISMLDVDNEDS-------SIRALFTTWIAIPVANRTKLIDAMTAAARAYVARPD--AVDWIADTLNNILLLDERYPGDSGVLGAFLLNKINLKPGEAIYLDAGELHAYVHGLGIEIMANSDNVLRGGLTTKHVDVPELVRVLNFTPLTDPSIRESDLAETTTANRITYPVPINEFALSALNFDGSGEETVEWSSD--GPSIVLCTGGELHLTDSGSELVIHPGESVWIPAANDQVTIRPGGGAAQAFVASV-------</t>
  </si>
  <si>
    <t>MFSLNPSLQSYSWGSKTLIADLRGEESPTQHPQAELWYGAHPAAPADIAG------VPLTDIIAADPDRELGAAVRARFGDRLPFLLKILAVAEPLSLQAHPSLAQAQEGFRRENAQGIDVRAGNRNYRDDNHKPELIVALTPFHAMAGFRPLAATLELFAALDCPSLARYVGMIDSTGEEAV------NLRMLFTTWITIPAAVRKQLIDDIIVAAKRVVAEGS--AAEWQRETLANIIELDTHYPGDVGVLGALLLNYVRLEPGEGIYLDAGNLHAYCRGLGVEVMANSDNVLRGGLTAKHVDVPELARVLRFTSLVNPR---------TSNDAGWFEVPVEEFDMRMV----TAMEESPWSAQIPGPRVVLCTAGQVTVTVGPATQVLHPTEAVWISAAEEPLVQVTGAG--QAFVVGVGARLSTP</t>
  </si>
  <si>
    <t>MFSLNPSLQSYSWGSKTLIADLRGEESPTQHPQAELWYGAHPAAPADIAG------VPLTDIIAADPDRELGAAVRARFGDRLPFLLKILAVAEPLSLQAHPSLAQAQEGFQRENAQGIDVRAGNRNYRDDNHKPELIVALTPFHAMAGFRPLAATLELFAALDCPSLARYVGMIDSTGEEAV------NLRMLFTTWITIPAAVRKQLIDDIIVAAKRVVAEGS--AAEWQRETLANIIELDTHYPGDVGVLGALLLNYVRLEPGEGIYLDAGNLHAYCRGLGVEVMANSDNVLRGGLTAKHVDVPELARVLRFTSLVNPR---------TSNDTGWFEVPVEEFDMRMV----TATEESPWSAQIPGPRVVLCTAGHVTVTVGPATQVLHPTEAVWISAAEEPLVQVTGAG--QAFVVGVGARLSTP</t>
  </si>
  <si>
    <t>GC_00000774</t>
  </si>
  <si>
    <t>PF00881.29</t>
  </si>
  <si>
    <t>Nitroreductase family</t>
  </si>
  <si>
    <t>COG0778</t>
  </si>
  <si>
    <t>Nitroreductase (NfnB) (PDB:1F5V)</t>
  </si>
  <si>
    <t>MILEEPLSTDVYTAINNRRAIREYTTEPITQEVLDRVVSAALEAPSAFNLQLRDVVVVRDPEVKQALTDSSQQPQFAAADTVLVFVARAEAVPDDAAEILPADYLASV-EKIKAAASPAALRENALKDAMLAAGFALVAASAEGLATSPTTGWDEEKVKEIIGLGGREDRAIGLVVAMGHPAATAKHPGRQASRRVEERYS</t>
  </si>
  <si>
    <t>------MSLTVAEAIASRRATRKFEDKDIPADVLDRVVSHALEAPSSFNLQLRDLVVIRDPEVKQALFEASGQRQFIDAPVVLVTVARAETFPKDAEEILGAERKAVV-AQWRDPKTPAELREAGMKDAMLVAGFALLAAQAEGLATSPTTGWDEEKVKEAIGLGGRDDRAIGLVTAVGYPAEFPAHPGRAADRLVIDRY-</t>
  </si>
  <si>
    <t>------MSLTVAEAIASRRATRKFEDKDIPAEVLDRVVSHALEAPSSFNLQLRDLVVIRDPEVKQALFEASGQRQFIDAPVVLVTVARAETFPKDAEEILGAERKAVV-AQWRDPKTPAELREAGMKDAMLVAGFALLAAQAEGLATSPTTGWDEEKVKEAIGLGGRDDRAIGLVTAVGYPAEFPAHPGRAADRLVIDRY-</t>
  </si>
  <si>
    <t>------MTLNVNDAIKNRRATRKYTDQEITDEVLDRVVNLALEAPSAFNAQRADLVVVRDQAVKDAIFAASGQAQHRDAPVVLVTIARTGK-PTDLTEILGPDRAAYADENFFGVLDAAGLRETAMKDAMLVSGFALLAAQNEGLGTSPTTPLNEAGVLKAVGLEGSTDHGVAMVISLGYPAEHPAHPGRQANRRVNDTY-</t>
  </si>
  <si>
    <t>------MTLNVNDAIKTRRATRKYTDQEVTDEVLDRVVNLALEAPSAFNVQRADLVVVRDQAVKDAIFAASGQAQHRDAPVVLVTIARTGK-PTDLVEILGPDRAGYV-EKFFGGLDAAQLRETALKDAMLVSGFALLAAQNEGLGTSPTTGWDEAGVLKAVGLEGSTDHGVAMVISLGYPAEHPAHPGRQANRRVNDTY-</t>
  </si>
  <si>
    <t>GC_00000775</t>
  </si>
  <si>
    <t>MSSSPE-----SPINQVALAQSTRMEDLPLRDELCGDKAYGAPQLHVDVRLNTNENPYPPSDALVEDFIARVRSVASDLNRYPERDAVELRTELARYISRATGVDATVDNVWAANGSNEVLHQLLQAFGGPGRRALGFTPSYSMHPLLSKGTHTEFVSCPR-GEDMRIDMDAALQAIADSHPDVVFVTTPNNPTGDVTSLEDIERIVQASPGIVIVDEAYAEFSDGPSAVTLIERYPAKLVVSRTMSKAFDFAGGRLGYFVASPAFVEAVLLVRLPYHLSSLSQLAAIVALRHSEDTLATVAVLAKERDRVSEALTAMGYSLVPSASNFVFFGLFDDAASAWQQFLDRGVLIRDVGVEGYLRATIGLPEENDAFLRAAQEI----IKENS</t>
  </si>
  <si>
    <t>MTKSTA-----SEPTAQPLAASTTLADLPLREELRSEEAYGAPQLEVDVRLNTNENPYAPSEALVADLVEEIGTQARTLNRYPERDNVELRTALAEYITSQTGVAVTRDNLWAANGSNEVLQQLLQAFGGPGRTALGFQPSYSMHPILSTGTHTKFLNCPRVGENFDIDLDAALRTIAEEQPHVIFITTPNNPTGGVTSLDDIRTILDAAPGIVIVDEAYAEFSDSPSAVTLLEEYPATLVVSRTMSKAFDFAGGRLGYFVAAPAFVQAVMLVRLPYHLSKLSQAAAIVALRHSDDTLATVAKLASERDRVVAGLEKLGYSIVPTEANFVFFGDFSDSAAAWQAFLGEGVLIRDVGVPGYLRATVGLPEENDALLAAAAKVAPIHMKK--</t>
  </si>
  <si>
    <t>MTESTASEPIASEPTAQPLAASTTLADLPLREELRSEEAYGAPQLDVDVRLNTNENPYAPSEALVADLVKEIGTQARTLNRYPERDNVELRTALAEYITSQTGVAVTHENLWAANGSNEVLQQLLQAFGGPERTALGFQPSYSMHPILSTGTHTHFLNCPRVGENFDIDLDAALRTIAEEQPHVIFITTPNNPTGGVTSLDDIRTILDAAPGIVIVDEAYAEFSDSPSAVTLLEEYPATLVVSRTMSKAFDFAGGRLGYFVAAPAFVQAVMLVRLPYHLSKLSQAAAIVALRHSEDTLATVAKLASERDRVVAGLEKLGYSIVPTEANFVFFGDFSDSAAAWQAFLGEGVLIRDVGVPGYLRATVGLPEENDALLAAAAKVAPIHMKK--</t>
  </si>
  <si>
    <t>GC_00000776</t>
  </si>
  <si>
    <t>PF13307.12</t>
  </si>
  <si>
    <t>Helicase C-terminal domain</t>
  </si>
  <si>
    <t>K03722</t>
  </si>
  <si>
    <t>ATP-dependent DNA helicase DinG [EC:5.6.2.3]</t>
  </si>
  <si>
    <t>COG1199</t>
  </si>
  <si>
    <t>Rad3-related DNA helicase DinG (DinG) (PDB:5H8W)</t>
  </si>
  <si>
    <t>ko01000|ko03400</t>
  </si>
  <si>
    <t>Enzymes&gt;&gt;&gt;5. Isomerases&gt;&gt;&gt;5.6  Isomerases altering macromolecular conformation&gt;&gt;&gt;5.6.2  Enzymes altering nucleic acid conformation&gt;&gt;&gt;5.6.2.3  DNA 5'-3' helicase|DNA repair and recombination proteins&gt;&gt;&gt;Prokaryotic type&gt;&gt;&gt;Other factors with a suspected DNA repair function&gt;&gt;&gt;DNA helicases</t>
  </si>
  <si>
    <t>-------MSTRTYNSPEAMLSHVVEHIGGARREGQVRMTNAVARALATHRHLAVQAGTGTGKSMAYLVPAIEHAQRTDSTVVVSTATIALQNQLVGRDLPRLVVALDGVVDRTPSFAIVKGRSNYVCLQRVGQAEADDAAQPSLDSG---------SPVELTEL---GAHMQRVRDFAQDSDTGDRDDLAPGVPDTVWRAVSVTAKECIGASRCPFGADCFAEKARAEASDVDVVVTNHAMLAIDALADANILPE</t>
  </si>
  <si>
    <t>MSSSQSTRPLSALPTTAELLEAAVAALGGSPRTGQQRMAEAVTRALDVQRHLAVQAGTGTGKSLAYLVPAIRHAQATGTTVVVSTATIALQTQLVERDLPRLAEALEPLLERAPTFAILKGRSNYLCLNKLAR-----DEDPD-------------ALIEEEDLSWVGKQVARLADWANDTDTGDRDTLNPGVPDLAWRQVSVTSRECLGSSRCPQGEDCFAEQARRKAQKVDVVVTNHAMLAIDALSEVSILPEHDVVIIDEAHELDGRITAVATADLSVTALTLAAKRAGKLGGTKDHDVKVTDLAKELDDALGTCNDGRWTTLPEQVQPPLRALTDALTSLRFAI--ATAPDGEGTNDPEKNAERTSLSAHLQELHDSIIRMLEVF-----------AEDDPAK-------QRDVVWLTRDDRRGDSLKVAPLSVAGLLHSQLFLDNTVVLASATLTIGGNFNAMAASWGLPKGSWDSLDAGTPFDPAKSGILYSTRHLPQPGRDGLSEEFLDELASLITAAGGRTLGLFSSRRAAVQATEAMRARLPFDIFCQGDDSTGVLVDKFAKDENSCLFGTLSLWQGVDVPGSSCSLVVIDRIPFPRPDDPLLQARKEAADAEGRNGFMEVAATHAALLMAQGAGRLLRHVTDRGVVAVLDSRFATKRYGGFLRSSMPALWPTSDIAVVTAALRRLVAS</t>
  </si>
  <si>
    <t>MSSSQSTRPLSALPTTAELLEAAVAALGGSPRTGQQRMAEAVTRALDVQRHLAVQAGTGTGKSLAYLVPAIRHAQSTGTTVVVSTATIALQTQLVERDLPRLAEALEPLLERAPTFAILKGRSNYLCLNKLAR-----DEDPD-------------ALIEEEDLSWVGKQVARLADWANDTDTGDRDTLNPGVPDLAWRQVSVTSRECLGSSRCPQGEDCFAEQARRKAQKVDVVVTNHAMLAIDALSEVSILPEHDVVIIDEAHELDGRITAVATADLSVTALTLAAKRAGKLGGTKDHDVKVTDLAKELDDALVTCNDGRWTTLPEQVQPPLRALTDALTSLRFAI--ATAPDGEATNDPEKNAERTSLSAHLQELHDSIIRMLEVF-----------AEDDPAK-------QRDVVWLTRDDRRGDSLKVAPLSVAGLLHSQLFLDNTVVLASATLTIGGNFNAMAASWGLPKGSWDSLDAGTPFDPAKSGILYSTRHLPQPGRDGLSEEFLDELASLITAAGGRTLGLFSSRRAAVQATEAMRARLPFDIFCQGDDSTGVLVEKFAKDENSCLFGTLSLWQGVDVPGSSCSLVVIDRIPFPRPDDPLLQARKEAADAEGRNGFMEVAATHAALLMAQGAGRLLRHVTDRGVVAVLDSRFTTKRYGGFLRSSMPALWPTSDIAVVTAALHRLVAS</t>
  </si>
  <si>
    <t>-------------MTATELLAAAVTALGGATRPGQVAMTEAVATALESERHLAVQAGTGTGKSLAYLVPAVAHAQETDSTVIVSTATIALQRQLVDRDLPRLADSLEPLLDHKPSFAIMKGRQNYLCQNKVAQATALEADDPNSGDADGNAGGAQTALVDESELSWLGRHMARIYEWANETETGDRDSLEPGVPDLVWRQVSVGAKECIGANRCPFGDSCFAELARRKARDVDVVVTNHALLAVDAMLDINVLPD</t>
  </si>
  <si>
    <t>-------------MTATELLAAAVTALGGATRPGQVAMTEAVATALESERHLAVQAGTGTGKSLAYLVPAVAHAQETESTVIVSTATIALQRQLVDRDLPRLAESLEPLLDHKPSFAIMKGRQNYLCQNKVAQATALEADDPNSGDADGNAGGAQTALVDESELSWLGRHMARIYEWANETETGDRDSLEPGVPDLAWRQVSVGAKECIGANRCPFGDSCFAELARRKARDVDVVVTNHALLAVDAMLDINVLPD</t>
  </si>
  <si>
    <t>GC_00000777</t>
  </si>
  <si>
    <t>PF00871.23</t>
  </si>
  <si>
    <t>Acetokinase family</t>
  </si>
  <si>
    <t>K00925</t>
  </si>
  <si>
    <t>acetate kinase [EC:2.7.2.1]</t>
  </si>
  <si>
    <t>COG0282</t>
  </si>
  <si>
    <t>Acetate kinase (AckA) (PDB:3SK3)</t>
  </si>
  <si>
    <t>KEGG Orthology (KO)&gt;&gt;&gt;09100 Metabolism&gt;&gt;&gt;09101 Carbohydrate metabolism&gt;&gt;&gt;00620 Pyruvate metabolism [PATH:ko00620]|KEGG Orthology (KO)&gt;&gt;&gt;09100 Metabolism&gt;&gt;&gt;09101 Carbohydrate metabolism&gt;&gt;&gt;00640 Propanoate metabolism [PATH:ko00640]|KEGG Orthology (KO)&gt;&gt;&gt;09100 Metabolism&gt;&gt;&gt;09102 Energy metabolism&gt;&gt;&gt;00720 Other carbon fixation pathways [PATH:ko00720]|KEGG Orthology (KO)&gt;&gt;&gt;09100 Metabolism&gt;&gt;&gt;09102 Energy metabolism&gt;&gt;&gt;00680 Methane metabolism [PATH:ko00680]|KEGG Orthology (KO)&gt;&gt;&gt;09100 Metabolism&gt;&gt;&gt;09106 Metabolism of other amino acids&gt;&gt;&gt;00430 Taurine and hypotaurine metabolism [PATH:ko00430]|Enzymes&gt;&gt;&gt;2. Transferases&gt;&gt;&gt;2.7  Transferring phosphorus-containing groups&gt;&gt;&gt;2.7.2  Phosphotransferases with a carboxy group as acceptor&gt;&gt;&gt;2.7.2.1  acetate kinase</t>
  </si>
  <si>
    <t>-----------MALALVLNSGSSSIKFQLVDPTCNATDTPFVSGLVEQIGEPQGNITLKYDGNKYTKQAPIPDHSVGLDLAFELMNEHGCGPRDVEIAAVGHRVVHGGILFSQPEIITDEILDMIRDLIPLAPLHNPANIDGIEVARRILPDVDHVAVFDTGFFHSMPPAAALYAINADVAINHGVRRYGFHGTSHEYVSSHVPEMLGMPAEAVNQITLHLGNGASAAAIRGGRAVDTSMGMTPLSGLVMGTRSG</t>
  </si>
  <si>
    <t>MNTVEPQVQAPENLALVLNSGSSSIKFQLVDPKKHATDEPFASGLVEQIGEKQGTVTLKFGGEKYTTSAPIPDHSAGLDMAFALMGEHGCGLEDVHISAVGHRVVHGGVLFSQPVIITDEVLGMVRDLIPLAPLHNPANIDGIEVARNLLSDVPHVAVFDTGFFSTVPPAAAVYAINAEVAAEHGVRRYGFHGTSHEYVSQHIPELLGKPADEVNQITLHLGNGASASAIRGGMAVDTSMGMTPLAGLVMGTRSGDVDPGIIFHLHRSAGMSIDEIDQLLNRSSGVKGISGVNDFRELDQLIEQGDQDAWLAYNIYIHQLRRYIGSYMVALGRVDAITFTAGVGENAPNVRADALANLEELGIKIDPERNSLPNNGAREISTDDSKIKVFVVPTNEELAIARYAMKLAAEA</t>
  </si>
  <si>
    <t>MNTVEPQVQAPENLALVLNSGSSSIKFQLVDPKKHATDEPFASGLVEQIGEKQGTVTLKFGGEKYTTSAPIPDHSAGLDMAFALMGEHGCGLEDVHISAVGHRVVHGGVLFSQPVIITDEVLGMVRDLIPLAPLHNPANIDGIEVARNLLSDVPHVAVFDTGFFSTVPPAAAVYAINAEVAAEHGVRRYGFHGTSHEYVSQHIPELLDKPADEVNQITLHLGNGASASAIRGGMAVDTSMGMTPLAGLVMGTRSGDVDPGIIFHLHRSAGMSIDEIDQLLNRSSGVKGISGVNDFRELDQLIEQGDQDAWLAYNIYIHQLRRYIGSYMVALGRVDAITFTAGVGENAPNVRADALANLEELGIKIDPERNSLPNNGAREISTDDSKIKVFVVPTNEELAIARYAMKLAAEA</t>
  </si>
  <si>
    <t>-----------MSLVLVLNSGSSSIKFQLVDPDQHATDEPFASGLVEQIGEPMGRVTLKHAGEKHVVEAPIPDHTVGLDLAFKLMAEHECGPTDVELVAVGHRLVHGGLVFSKPELITDQIVDLARSLIPLAPLHNPANIDGIEVARKLLPDVPHVAVFDTGFFHGMPPAAALYAVDKELAAETGVRRYGFHGTSHEYVSNKVAELMELPKAAINQITLHLGNGASCAAIKGEQPIDTSMGMTPLAGLVMGTRSG</t>
  </si>
  <si>
    <t>GC_00000778</t>
  </si>
  <si>
    <t>PF17757.6</t>
  </si>
  <si>
    <t>UvrB interaction domain</t>
  </si>
  <si>
    <t>K03702</t>
  </si>
  <si>
    <t>excinuclease ABC subunit B</t>
  </si>
  <si>
    <t>COG0556</t>
  </si>
  <si>
    <t>Excinuclease UvrABC helicase subunit UvrB (UvrB) (PDB:1C4O)</t>
  </si>
  <si>
    <t>KEGG Orthology (KO)&gt;&gt;&gt;09120 Genetic Information Processing&gt;&gt;&gt;09124 Replication and repair&gt;&gt;&gt;03420 Nucleotide excision repair [PATH:ko03420]|DNA repair and recombination proteins&gt;&gt;&gt;Prokaryotic type&gt;&gt;&gt;SSBR (single strand breaks repair)&gt;&gt;&gt;NER (nucleotide excision repair)&gt;&gt;&gt;GGR (global genome repair) factors|DNA repair and recombination proteins&gt;&gt;&gt;Prokaryotic type&gt;&gt;&gt;DSBR (double strand breaks repair)&gt;&gt;&gt;NHEJ (non-homologous end-joining)&gt;&gt;&gt;SHDIR (short-homology-dependent illegitimate recombination)&gt;&gt;&gt;Supressor</t>
  </si>
  <si>
    <t>----MAFAAENPKLSYSEYRPLGEVERSDARFEVISEYEPAGDQPAAIKELTERINRGERDVVLLGATGTGKSATAAWLIEQVQRPTLVLAPNKTLAAQLANELKQLLPNNAVEYFVSYYDNYQPEAYIAQTDTYIEKDSSINEDVERLRHAATSALLSRRDVVVVSSVSCIYGLGTPQSYLDRSIVVRVGEEIERDRLLRLLVDIQYGRNDVAFTRGTFRVKGDTVDIIPAYEDLAVRVEFFGDEVDALYYIHP</t>
  </si>
  <si>
    <t>MLGIMAFAAEHPVLSHSEHRPVGDIERVAKEFEVVSEYQPAGDQPSAIAELADRINRGERDIVLMGATGTGKSATAAWLIEKVQRPTLVMAPNKTLAAQLANELRQLLPNNAVEYFVSYYDYYQPEAYIAQTDTYIEKDSSINEDVERLRHSATSSLLSRRDVVVVSSVSCIYGLGTPQSYLDRSVLLKVGDEVERDRFLRLLVDIQYARNDVAFSRGTFRVKGDTVDIIPAYEELAVRVEFFGDEIDALYYIHPLTGDVISQADELRIFPATHYVAGPERMEKAVEAIKAELAARLEDLENRGKLLEAQRLRMRTEYDLEMIEQVGFCSGIENYSRHIDGRDAGSAPATLIDYFPEDFLLIIDESHVTVPQIGGMYEGDASRKRNLVDFGFRLPSALDNRPLTWQEFDDRRGQAVFMSATPGTFEMAASGGEFVEQVIRPTGLVDPKVVVKPTDGQIDDLIHEIRLRVEKKERVLVTTLTKKMAEDLTDYLLENGVRVRYLHSDIDTLQRVELLRQLRLGEYDVLVGINLLREGLDLPEVSLVAILDADKEGFLRSTTSLIQTIGRAARNVSGEVHMYADRITDSMQNAIEETERRREKQIAYNTEHGIDPQPLRKKIADILDEVYEDGGELPATEDASADAAVARDTADVSGMPREQVQKLIDDLTAQMGAAARELKFELAGRLRDEIADLRKELRGMKEAGL</t>
  </si>
  <si>
    <t>MLGIMAFAAEHPVLSHSEHRPVGDVERVAKEFEVVSEYQPAGDQPSAIAELADRINRGERDIVLMGATGTGKSATAAWLIEKVQRPTLVMAPNKTLAAQLANELRQLLPNNAVEYFVSYYDYYQPEAYIAQTDTYIEKDSSINEDVERLRHSATSSLLSRRDVVVVSSVSCIYGLGTPQSYLDRSVLLKVGDEVERDRFLRLLVDIQYARNDVAFSRGTFRVKGDTVDIIPAYEELAVRVEFFGDEIDALYYIHPLTGDVISQADELRIFPATHYVAGPERMEKAVEAIKAELAVRLEDLENRGKLLEAQRLRMRTEYDLEMIEQVGFCSGIENYSRHIDGRDAGSAPATLIDYFPEDFLLIIDESHVTVPQIGGMYEGDASRKRNLVDFGFRLPSALDNRPLTWQEFDDRRGQAVFMSATPGTFEMAASGGEFVEQVIRPTGLVDPKVVVKPTDGQIDDLIHEIRLRVEKKERVLVTTLTKKMAEDLTDYLLENGVRVRYLHSDIDTLQRVELLRQLRLGEYDVLVGINLLREGLDLPEVSLVAILDADKEGFLRSTTSLIQTIGRAARNVSGEVHMYADRITDSMQNAIEETERRREKQIAYNTEHGIDPQPLRKKIADILDEVYEDGGELPAAEDATADAAVARDTADVSGMPREQVQKLIDDLTAQMGAAARELKFELAGRLRDEIADLRKELRGMKEAGL</t>
  </si>
  <si>
    <t>----MSSVNSH-------HRP-DDIGRTPGRFEVISDYQPAGDQPAAIAELTQRINRGERDIILLGATGTGKSATAAWLIEQVQRPTLIMAPNKTLAAQLANELRQLLPNNAVEYFVSYYDYYQPEAYIAQTDTYIEKDSAINDDVERLRHRATSSLLSRRDVVVVSSVSCIYGLGNPQTYLDRSVLLNVGDEIDRDHFLRLLVDIQYERNDIGFTRGAFRVKGDTIDIIPAYEETAVRAEFFGDEIDALYHINP</t>
  </si>
  <si>
    <t>----MSSVNSH-------HQP-DDIARTPGRFEVISDYQPAGDQPAAIAELTQRINRGERDIILLGATGTGKSATAAWLIEQVQRPTLIMAPNKTLAAQLANELRQLLPNNAVEYFVSYYDYYQPEAYIAQTDTYIEKDSAINDDVERLRHRATSSLLSRRDVVVVSSVSCIYGLGNPQTYLDRSVLLNTGDEIDRDHFLRLLVDIQYERNDIGFTRGAFRVKGDTIDIIPAYEETAVRVEFFGDEIDALYHINP</t>
  </si>
  <si>
    <t>GC_00000779</t>
  </si>
  <si>
    <t>PF01782.24</t>
  </si>
  <si>
    <t>RimM N-terminal domain</t>
  </si>
  <si>
    <t>K02860</t>
  </si>
  <si>
    <t>16S rRNA processing protein RimM</t>
  </si>
  <si>
    <t>COG0806</t>
  </si>
  <si>
    <t>Ribosomal 30S subunit maturation factor RimM, required for 16S rRNA processing (RimM) (PDB:2QGG)</t>
  </si>
  <si>
    <t>Ribosome biogenesis&gt;&gt;&gt;Prokaryotic type&gt;&gt;&gt;ribosomal protein modification factors</t>
  </si>
  <si>
    <t>MTNWPTTPIRMGQGRVYRSVTWRVWSSCWQFFEVLLLAAPWGGALAVGAWVFAHTGSHILDALSQNHPCGGAVSSYLMEELLIGKVIKSHGIRGEVVVDPTTDEPGRRFAVGTVVHGTQGPKEHELRIDAVRPHKGRLLIMFEGITDRTTADSLRGTHFFAPPLENDDDEEGFYDHELEGLAVIHDGQRIGEVTGVMHGPAGEILEVELSGGKQALIPFVHAIVPDVNLDEQTITITPPDGLLDL</t>
  </si>
  <si>
    <t>GC_00000780</t>
  </si>
  <si>
    <t>---MPNNDWNQRIELAEKMIPLLGQLRRNNNVVTSIFGSLLDNATAVDIAKSHRFARRISGTELSLHKTYPIVELLTTLNLGTASIDLGELAVRYDERGG-------DLEAFLREELADVI--------DAPVTKTDEVDVVLYGFGRIGRLLARILLAKQSYGRGVNLRAIVVRKNGDNDLQKRASLLRRDSVHGAFDGTIKVDEDNNIIWANGTPIQVIYSSDPATVDYTEYGINNAIVVDNTGRWRDREGLS</t>
  </si>
  <si>
    <t>MAAQAHNDWNERIALAQQMLPLLGQLHRNNNVVTSVFGRLLVNVSDVDIIKSHRYARHITEHELPLEKTLPIVQELVAMNLGTASIDLGHLVTLHDEQGG-------DLGEFLKRELADVI---------GTSTEHKQTDVVLYGFGRIGRLLARILIDHQSVDTGCRLRAIVVRKNGENDLTKRASLLRRDSVHGPFHGSISIDHDNDILWANGTPIQIIYSNDPATVDYTRYGINDAVLVDNTGRWRDREGLEQHLKSTGVSKVLLTAPGKGDVKNIVYGINHDVIGADDTILSAASCTTNAITPVLKAVNDRYGVEFGHVETVHSFTNDQNLIDNFHKGSRRGRAATLNMVLTETGAARAVAKALPELAGKLTGNAIRVPTPDVSMAVLNLTLKQDVDRDEVNNYLRSVSLLSGLRQQIGYIESPEIVSTDFVGSTHAGIVDGLATIAQDNHLVLYVWYDNEFGYSNQVIRIVEEIAGVRPAVLPRRKELSEL</t>
  </si>
  <si>
    <t>MAAQAHNDWNERIALAQQMLPLLGQLHRNNNVVTSVFGRLLVNVSDVDIIKSHRYARHITEHELPLEKTLPIVQELVAMNLGTASIDLGHLVTLHDEQGG-------DLGEFLKRELADVI---------GTSTEHKQTDVVLYGFGRIGRLLARILIDHQSVDTGCRLRAIVVRKNGENDLTKRASLLRRDSVHGPFHGSISIDHDNDILWANGTPIQIIYSNDPATVDYTRYGINDAVLVDNTGRWRDREGLEQHLKSTGVSKVLLTAPGKGDVKNIVYGINHDVIEADDTILSAASCTTNAITPVLKAVNDRYGVEFGHVETVHSFTNDQNLIDNFHKGSRRGRAATLNMVLTETGAARAVAKALPELAGKLTGNAIRVPTPDVSMAVLNLTLKQDVDRDEVNNYLRSVSLLSGLRQQIGYIESPEIVSTDFVGSTHAGIVDGLATIAQDNHLVLYVWYDNEFGYSNQVIRIVEEIAGVRPAVLPRRKELSEL</t>
  </si>
  <si>
    <t>----MAPDWNTKLTSAQEMLPLLYNLHHNNNIITSIFGRILMGVTDIDIVKAHRYSRLATDTELTPAQTLPIVQALATLNPTSASIDIGTLAVRYAEHHSDNHGEPEDLVTFLRTELAEVLPADDAGDHENPASATPPRDIVLYGFGRIGRLLARILISREAAFGSVKLRAVVVRKNGDNDLQKRASLLRRDSVHGAFNGTITVDEEHNVIWANGTKIQIIYSNDPASVDYTSYGITDAIVVDNTGRWRDEAGLQ</t>
  </si>
  <si>
    <t>----MAPDWNTKLTSAQEMLPLLYNLHHNNNIITSIFGRILMGVTDIDIVKAHRYSRLATDTELTPAQTLPIVQALATLNPTSASIDIGTLAVRYAEHHSDNHGEPEDLVAFLRTELAEVLPADDAGDHENPVSATPPRDIVLYGFGRIGRLLARILISREAAFGSVKLRAVVVRKNGDNDLQKRASLLRRDSVHGAFNGTITVDEEHNVIWANGTKIQIIYSNDPASVDYTNYGITDAIVVDNTGRWRDEAGLQ</t>
  </si>
  <si>
    <t>GC_00000781</t>
  </si>
  <si>
    <t>PF01432.26</t>
  </si>
  <si>
    <t>Peptidase family M3</t>
  </si>
  <si>
    <t>K01284</t>
  </si>
  <si>
    <t>peptidyl-dipeptidase Dcp [EC:3.4.15.5]</t>
  </si>
  <si>
    <t>COG0339</t>
  </si>
  <si>
    <t>Zn-dependent oligopeptidase, M3 family (Dcp) (PDB:5L43) (PUBMED:25239919;31422053)</t>
  </si>
  <si>
    <t>Enzymes&gt;&gt;&gt;3. Hydrolases&gt;&gt;&gt;3.4  Acting on peptide bonds (peptidases)&gt;&gt;&gt;3.4.15  Peptidyl-dipeptidases&gt;&gt;&gt;3.4.15.5  peptidyl-dipeptidase Dcp|Peptidases and inhibitors&gt;&gt;&gt;Metallo peptidases&gt;&gt;&gt;Family M3</t>
  </si>
  <si>
    <t>MKATTHHRVGGGFFASMADVTTQIDAHRDTDNFSNPLIAPSELPFQLPPFADIKIEHFLPAFDTALLDHEAEINAIVNNPEPATWANTVEALEASGRALERVSAVFFNLHGTDSSPEMDAIAEQIIPKLSEHSDALYQNEVLYQRLQQATPPADDGEGQRLKDKLLRSFRRRGAELDATGKKRLSELNSRLAVLSEQFGKNLRESTAALAVGLTEDDVAGWDEARKNAARKTAEDYKDNPQLASFEYVVPLGLPAVQPDQTDLDNPAARKALMAASLKRGVIGGDNGAVLTEIAALRAQRARLLGYDTHADYVLEEETAGSTDAVMQLLRDLSPAASANAAGEYKLLVEEAQAADPTA-----------TVRDADWSYWESKVKQRDYSLNEAELKKYFPLDQVLRDGVFYAANRLYGITVEPRDDLQGYHPEVAVYEVKDADGSSIGLFLTDYFARPSKRGGAWMSSFVDQSRLLDSKPVVVNVMNITKPADGSQPLLSIDEVHTLFHEFGHALHGLLSDVRYPTFSGTNVPRDYVEFPSQINENWAFDPAVVRNYARHVDTGEVITDELIAAVDAASKFGQGFATSEYLAASIIDMAWHTLTPEQAAAV--DDIDAFERAALADAGLEVDNLHARYKSRFFNHIFGGGYSAGYYSYLWAEALDADGFEWFKETGAAGHSSDDVAARAAGARFRELVLSAGGSRDYEEAFTTLRGRAKDVTALLERRGLAGAR-</t>
  </si>
  <si>
    <t>-------------------------------MNANPLLVPSDLPYQLPRFADIRDEHFIPAFDAAIAEHTAEIAAIATNPEPATWENTVEALERSGQALGRVHAVFANLYGTDASEALDAVATDITPKLAAHSDSVYQNADLYARIQAVTPPPGDEESSRLHAYLLRAFRRRGADLSTDAKAELISINQRLSVLSDEFSKNLLSETNALAVDLSEGELAGFDASRRQAAAAAAT------ALGRAGYVVPLDLPT</t>
  </si>
  <si>
    <t>-------------------------------MNANPLLVPSDLPYQLPRFADIRDEHFIPAFDAAIAEHTAEIAAIATNPEPTTWENTVEALERSGQALGRVHAVFANLYGTDASEALDAVATDITPKLAAHSDSVYQNADLYARIQAVTPPPGDEESSRLHAYLLRAFRRRGADLSTDAKAELVSINQRLSVLSDEFSKNLLSETNALAVDLSEGELAGFDASRRQAAAAAAT------ALGRTGYVVPLDLPT</t>
  </si>
  <si>
    <t>-------------------------------MTVNPFAQPSTLPYELPPFDHISEDHFRPAFRDGMAHHEQELDAIATNPEPPTWENTIEALERSGAELRRVSAVFFNLLGTDATEELEAIAAEIAPQLAAHTDKLYLNEQLYERITAITPP-DDPESRRLHDHILRQFRRHGAALDTEDKQRLTQLNERLSVLAEQFTHNLREETTRLAVAFERDELQGLDEGRIASAAEDAQ------ALGQAGYVIPLGLPT</t>
  </si>
  <si>
    <t>-------------------------------MTVNPFAQPSTLPYELPPFDHISEDHFRPAFRDGMAHHEQELDAIATNPEPPTWENTIEALERSGAELRRVSAVFFNLLGTDATEELEAIAADIAPQLAAHTDKLYLNEQLYGRITAVTPP-DDPESRRLHDHILRQFRRHGAALDAEDKQRLTQLNERLSVLAEQFTHNLREETTRLAVAFERDELQGLDEGHIASAAEDAQ------ALGKTGYVIPLGLPT</t>
  </si>
  <si>
    <t>GC_00000782</t>
  </si>
  <si>
    <t>PF01746.26</t>
  </si>
  <si>
    <t>tRNA (Guanine-1)-methyltransferase</t>
  </si>
  <si>
    <t>K00554</t>
  </si>
  <si>
    <t>tRNA (guanine37-N1)-methyltransferase [EC:2.1.1.228]</t>
  </si>
  <si>
    <t>COG0336</t>
  </si>
  <si>
    <t>tRNA G37 N-methylase TrmD (TrmD) (PDB:1P9P)</t>
  </si>
  <si>
    <t>Enzymes&gt;&gt;&gt;2. Transferases&gt;&gt;&gt;2.1  Transferring one-carbon groups&gt;&gt;&gt;2.1.1  Methyltransferases&gt;&gt;&gt;2.1.1.228  tRNA (guanine37-N1)-methyltransferase|Transfer RNA biogenesis&gt;&gt;&gt;Prokaryotic type&gt;&gt;&gt;tRNA modification factors&gt;&gt;&gt;Methyltransferases</t>
  </si>
  <si>
    <t>MRIDVVTIFPEYLEPLRHALLGKAIEQGLISVGVHDLRQWASGAHRTVDDSPCGGGPGMVMLPTVWGPALDDVAEGNLEAS-LSSAQPHADKPRHDDLQPSSFSGYTHGESTYSDGTDDRPLLVVPTPTGTPFTQETAQRWSRERHVVFACGRYEGIDSRVITDAAKRYKVEEVSIGDYVLIGGEVATLVMAEAVVRLIPGVLGNASSHLEDSFSDGLLEGPSYTKPRHWRGQSVPDILFSGDHNAIARWHRDQSLALTAARRPDLLDAARQRGDLSERDEQALD----LRDVITEIQILIDPKQLKGLTKDLPTRLAKDNIFFATVTTEEISQACQADNMLIAAYEQQHGQPPATQRTIQLYIHARTTLGDAACTRAVAN-KLPEGTQWYGTTHHA--------------</t>
  </si>
  <si>
    <t>MRLDVITIFPEYLDPFRHALLGKAIEKNILQVGVHNLRDWATDVHKSVDDTPYGGGPGMVMKPEVWGPALDDVAVGVADAPLLESVQPHLIKSSDADVHGG-------GD---QEGVDKKPLLIVPTPAGKPFTQDMARSWSAENHIVFACGRYEGIDQRVIDDATRNYRVEEVSIGDYVLIGGEVAVLVIAEAIVRLIPGVLGNTRSHEEDSFSDGLLEGPSYTKPRTWRGHSVPDVLFSGNHALVDRWRRDQSLLRTASRRPDLIDALRASGGLNSADESVLDKIAAARPVRVSLNVLLTPAEWVRSQALLSD---VEGFTVESLEAEEMSGFCEAENMLVAQYQQLHGRSPVVEVVHRIEITGTTTLSDRDVTRAVVDSAFPEGTLWYGTAIAE--------------</t>
  </si>
  <si>
    <t>MRLDVITIFPEYLDPFRHALLGKAIEKNILQVGVHNLRDWATDVHKSVDDTPYGGGPGMVMKPEVWGPALDDVAVGVADAPLLESAQPHLIKSSDADVHGG-------GD---QEGVDKKPLLIVPTPAGKPFTQDMARSWSAENHIVFACGRYEGIDQRVIDDATRNYRVEEVSIGDYVLIGGEVAVLVIAEAIVRLIPGVLGNTRSHEEDSFSDGLLEGPSYTKPRTWRGHSVPDVLFSGNHALVDRWRRDQSLLRTASRRPDLIDALRASGGLNSADESVLDKIAAARTVRVSLNVLLTPAEWVRSQALLSD---VEGFTVESLEAEEMSGFCEAENMLVAQYQQLHGRSPVVEVVHRIEITGTTTLSDRDVTRAVVDSAFPEGTLWYGTAIAE--------------</t>
  </si>
  <si>
    <t>MRIDIVTIFPEYVEPLRHALLGKALEQGILSVGVHDLRDWAQDAHKSVDDTPCGGGPGMVMKPTVWGPALDDIALGAVAGKELDSAAPH--RDTHTYV----------GE---VDDTADLPLLLVPTPAGTPFTQADARAWAKEPHIVFACGRYEGIDQRVIEDAAKRYRVREVSIGDYVLIGGEVAVLVIAEAVVRLIPGVLGNKRSHQEDSFSDGLLEGPCYTKPRVWRDLEVPEVLFSGDHKRIDRWRRDQSLLRTKQVRPELLKRVV----LDEDDTMTLH----GRPISTDMNILVTRSEWQKIAPKLPKKLSKNDYRVSAIHAEEINLSCEPDNMLVSEYEQAEGHPPVSEILHRVIIHGVTALPLVDATKAVTQ-ALPKGTYWYGTSLEGTLDPEVTAFCAWQG</t>
  </si>
  <si>
    <t>MRIDIVTIFPEYVEPLRHALLGKALEQGILSVGVHDLRDWAQDAHKSVDDTPCGGGPGMVMKPTVWGPALDDIALGAIAGKELDSAALH--RDTRTYI----------GE---VDDAADLPLLLVPTPAGTPFTQADAQAWAKEPHIVFACGRYEGIDQRVIEDAAKRYRVREVSIGDYVLIGGEVAVLVIAEAVVRLIPGVLGNKRSHQEDSFSDGLLEGPCYTKPRVWRDLEVPEVLFSGDHKRIDRWRRDQSLLRTKQVRPELLDRVV----LDEDDTMTLH----GRPISTDMNILVTRSEWQKIAPKLPKKLSKNGYRVSAIHAEEINLSCEPDNMLVSEYEQAEGHPPVSEILHRVIIHGVTALPLVDATKAVTQ-ALPKGTYWYGTSLEGTLDPEVTAFCAWQG</t>
  </si>
  <si>
    <t>GC_00000783</t>
  </si>
  <si>
    <t>K01897</t>
  </si>
  <si>
    <t>long-chain acyl-CoA synthetase [EC:6.2.1.3]</t>
  </si>
  <si>
    <t>M00086</t>
  </si>
  <si>
    <t>beta-Oxidation, acyl-CoA synthesis</t>
  </si>
  <si>
    <t>ko00001|ko00001|ko00001|ko00001|ko00001|ko01000|ko01004|ko04147|ko04147</t>
  </si>
  <si>
    <t>KEGG Orthology (KO)&gt;&gt;&gt;09100 Metabolism&gt;&gt;&gt;09103 Lipid metabolism&gt;&gt;&gt;00061 Fatty acid biosynthesis [PATH:ko00061]|KEGG Orthology (KO)&gt;&gt;&gt;09100 Metabolism&gt;&gt;&gt;09103 Lipid metabolism&gt;&gt;&gt;00071 Fatty acid degradation [PATH:ko00071]|KEGG Orthology (KO)&gt;&gt;&gt;09140 Cellular Processes&gt;&gt;&gt;09141 Transport and catabolism&gt;&gt;&gt;04146 Peroxisome [PATH:ko04146]|KEGG Orthology (KO)&gt;&gt;&gt;09140 Cellular Processes&gt;&gt;&gt;09143 Cell growth and death&gt;&gt;&gt;04216 Ferroptosis [PATH:ko04216]|KEGG Orthology (KO)&gt;&gt;&gt;09140 Cellular Processes&gt;&gt;&gt;09145 Cellular community - prokaryotes&gt;&gt;&gt;02024 Quorum sensing [PATH:ko02024]|Enzymes&gt;&gt;&gt;6. Ligases&gt;&gt;&gt;6.2  Forming carbon-sulfur bonds&gt;&gt;&gt;6.2.1  Acid-thiol ligases&gt;&gt;&gt;6.2.1.3  long-chain-fatty-acid---CoA ligase|Lipid biosynthesis proteins&gt;&gt;&gt;Acyl-CoA ligase&gt;&gt;&gt;Long/very long chain acyl-CoA ligase|Exosome&gt;&gt;&gt;Exosomal proteins&gt;&gt;&gt;Exosomal proteins of breast milk|Exosome&gt;&gt;&gt;Exosomal proteins&gt;&gt;&gt;Exosomal proteins of breast cancer cells</t>
  </si>
  <si>
    <t>------------MTDTAHAANLNSNRP----------------------------WLQHYPEWVPHNLEYGDTTLLDVYDNNLALNADKPATYFFGKTQTYAELDKQVRRAASGLRAFGVRPGDRVAILLPNCPQHLAAFYAVLKLGATVVEHNPLYTPHELEYPFKDHGARVAICWDKAAPMLEKLRGITDLETIISVDMTLAMPKTQQFALKLPIPAVHKARQKLTGDAPNTVPWEILLGNAIGGDGRDVTTP</t>
  </si>
  <si>
    <t>-----------MQHTNLRCGNPSQRAPDEGTLMSATESS----------AFESKAWLKHYAEWTPTTIEYGDTTLLDFYDNNLAINSDKPAIYFFGRTQTYGEFDKHVRHAAAGLRALGVRAGDRVAILLPNCPQHLAAFYAVLKLGATVVEHNPLYTAHELEHPFNDHGARVAICWDKAAPTLEKLRGCTPLETIVSVNMTEAMPLLQKIALRLPIPSLRKARAQLTADAPNTIPWESLINPAIGGDGSDVESP</t>
  </si>
  <si>
    <t>-----------MQHTNLRCGNPSQRAPDEGTLMSATESS----------AFESKAWLKHYAEWTPTTIEYGDTTLLDFYDNNLAINSDKPALYFFGRTQTYGEFDKHVRHAAAGLRALGVRAGDRVAILLPNCPQHLAAFYAVLKLGATVVEHNPLYTAHELEHPFNDHGARVAICWDKAAPTLEKLRGRTPLETIVSVNMTEAMPLLQKIALRLPIPSLRKARAQLTADAPNTIPWESLINPAIGGDGSDVESP</t>
  </si>
  <si>
    <t>MPKQEPSSQNSPSHEAAQPETLNQDTQETPAISEASAASEETAGQKKPQAYETKAWLDLYGPWTPHSLDYGDTTLLDIYDNNLSLNADKPATYFFGRTQTYSELDKQVRSAAAGLRALGVRAGDRVAIVLPNCPQHVAAYFAVLKLGAIVVEHNPLYTTHELESPFNDHAARVAIVWDKAASTLEKLRRTTPLETIVSVNMIDAMPKAKQFILGLPLPMITKRREALTAPAPNSIPWDLLISSALGGNGDDVVSNIDVTTKSVAVILYTSGTTGDPKGAQLTHGGLFANLLQGKAWVKDLGS--EERLLGALPFFHAYGLTIVLNLAVYIGGEIMLLPAPQIPLIMQIMKKRTPTWVPGVPTLYQKIVDAAKADGISINGVRNSFSGASTLPVDTVEQWEKLTGGLLVEGYGLTETSPIIVGNPMNSNRRPGYVGIPFPDTEIRIGNPKNLDETMPDGQEGEVLVRGPQVFAGYLNNPEATEKAFHHGWYRTGDVGIMEEDGFIRLVARIKEVIITGGFNVHPLEVEEALLSHPDITDCAVVGMPRKDGSESVVAAITLGPGAALDPEGLKEFCRGRLTRYKVPRTFYHFEDMPRDQMGKIRRREVQAELIRKFIN----</t>
  </si>
  <si>
    <t>MPKQEPSSQNSPSHEAAQPETLNQDTQETPAISEASAASEETTGQKKPQAYETKAWLDLYGPWTPHSLDYGDTTLLDIYDNNLSLNADKPATYFFGRTQTYSELDKQVRSAAAGLRALGVRAGDRVAIVLPNCPQHVAAYFAVLKLGAIVVEHNPLYTAHELESPFNDHAARVAIVWDKAASTLEKLRRTTPLETIVSVNMIDAMPKAKQFILGLPLPMITKRREALTAPAPNSIPWDLLISSALGGNGDDVVSNIDVTTKSVAVILYTSGTTGDPKGAQLTHGGLFANLLQGKAWVKDLGS--EERLLGALPFFHAYGLTIVLNLAVYIGGEIMLLPAPQIPLIMQIMKKRTPTWVPGVPTLYQKIVDAAKTDGISINGVRNSFSGASTLPVDTVEQWEKLTGGLLVEGYGLTETSPIIVGNPMNSNRRPGYVGIPFPDTEIRIGNPKNLDETMPDGQEGEVLVRGPQVFAGYLNNPEATEKAFHHGWYRTGDVGIMEEDGFIRLVARIKEVIITGGFNVHPLEVEEALLSHPDITDCAVVGMPRKDGSESVVAAITLGPGAALDPEGLKEFCRGRLTRYKVPRTFYHFEDMPRDQMGKIRRREVQAELIRKFIN----</t>
  </si>
  <si>
    <t>GC_00000784</t>
  </si>
  <si>
    <t>K03629</t>
  </si>
  <si>
    <t>DNA replication and repair protein RecF</t>
  </si>
  <si>
    <t>COG1195</t>
  </si>
  <si>
    <t>Recombinational DNA repair ATPase RecF (RecF) (PDB:5Z67)</t>
  </si>
  <si>
    <t>KEGG Orthology (KO)&gt;&gt;&gt;09120 Genetic Information Processing&gt;&gt;&gt;09124 Replication and repair&gt;&gt;&gt;03440 Homologous recombination [PATH:ko03440]|DNA repair and recombination proteins&gt;&gt;&gt;Prokaryotic type&gt;&gt;&gt;DSBR (double strand breaks repair)&gt;&gt;&gt;HR (homologous recombination)&gt;&gt;&gt;RecFOR pathway proteins</t>
  </si>
  <si>
    <t>MHLRKLELRNYRSWRELNLELAPGVTVLVGRNGFGKTNVVEAIGYLAHLSSHRVHNDAPLVHAGHTAARVSATAVNGDRELTAHLLIKAQGANKAQINRTKVGSPREILGIVKSILFAPEDLALVRGEPEQRRRYLDEVIATRSPRLAGVKADYDKVLRQRNALLRNASYALRRGYEDADGQAALTTLDAWDSRLAQLGAQVIAARLNVLSELEPHIHSSYARLAPESRPARVQYSSS---VPLDDATDAALIEAGMLTELSKQRRRDIERGMSTVGPHRDDVVLLLGDHPAKGFASHGETWSYALALRLAVFFLLRSEGTDPILILDDVFAELDAQRRRKLVDIALEAEQVIITAAVGEDIPDTLNPT---VHTVLTETDNDGRFSLLGDQVETSVEAQPEEGAADE</t>
  </si>
  <si>
    <t>MYLRHLELRDFRSWPELTVDLHPGVTVFVGRNGHGKTNVVEAVGYLAHLSSHRVSQDAPLVRATADNARISGTAVNNGRELTAHLLINPKKANQAQLNRTRLSTPRQLLGVVKTVLFAPEDLALVRGEPAERRRYLDEVMSTRQPRLAGVKADYDKVLRQRNALLKSANQALRRGYGNDDGASALATLDVWDGQLAALGAQLTAARMQLVTDLAPRVHEAYHTLAPESREAHIHYRSTLIDAP-DAAVDVDVLEATMLTELGHMRQREIERGLSLVGPHRDDLELMLGSQPAKGFASHGETWSFALSLRLAVFSLFRSDGTDPILILDDVFAELDTQRRRALVGIATTAEQVLITAAVGDDLPDSLDDAVVHTHTVRAIDNDGTRKSVL------DVEDMTDDHA---</t>
  </si>
  <si>
    <t>MYLRHLELRDFRSWPELTVDLHPGVTVFVGRNGHGKTNVVEAVGYLAHLSSHRVSQDAPLVRATADNARISGTAVNNGRELTAHLLINPKKANQAQLNRTRLSTPRQLLGVVKTVLFAPEDLALVRGEPAERRRYLDEVMSTRQPRLAGVKADYDKVLRQRNALLKSANQALRRGYGNDDGASALATLDVWDGQLAALGAQLTAARMQLVTDLAPRVHEAYHTLAPESREAHIHYRSTLIDVP-DAAVDVDVLEATMLTELGHMRQREIERGLSLVGPHRDDLELMLGSQPAKGFASHGETWSFALSLRLAVFSLFRSDGTDPILILDDVFAELDTQRRRALVGIATTAEQVLITAAVGDDLPDSLDDAVVHTHTVRAIDNDGTRKSVL------DVEDMTDDHA---</t>
  </si>
  <si>
    <t>MFIRELSLRDFRSWPHCHVRLNPGITLFVGRNGHGKTNLVEAIGYVAHLGSHRVAQDAPLVRHGQPNARVSATAVRDDRELTAHLLINASGANQASINRTRLNSPRELLGVVRTVLFCPEDLALVRGEPAERRRYLDNIIATRRPRLAGVKADYEKVLRQRTTLLKTSSAALRRGYSGDDG--SLATLDVWDAQLARQGAQMIAARRALVAELDPLVHEAYAGIAPESRPAHIAYEST---VP-DVGEDPALIEAAMLAELGRMRPKEIDRGRSLVGPHRDDLVITLGDVPAKGFASHGETWSMVLALRLGEFQLLRADGTDPVLILDDVFAELDALRRERLVHLTQDVEQVLITVAVPDDLPPDLGD----IHRIPVVMTD--HTSVI------SSNES--------</t>
  </si>
  <si>
    <t>MFIRELSLRDFRSWPHCHVRLGPGITLFVGRNGHGKTNLVEAIGYVAHLGSHRVAQDAPLVRHGQPNARVSATAVRDDRELTAHLLINASGANQASINRTRLNSPRELLGVVRTVLFCPEDLALVRGEPAERRRYLDNIIATRRPRLAGVKADYEKVLRQRTTLLKTSSAALRRGYSGDDG--SLATLDVWDAQLARQGAQMIAARRALVTELDPLVHEAYAGIAPESRPAHIAYEST---VP-DVGEDPALIEAAMLAELGRMRPKEIDRGRSLVGPHRDDLVITLGDVPAKGFASHGETWSMVLALRLGEFQLLRADGTDPVLILDDVFAELDALRRERLVHLTQDVEQVLITVAVPDDLPPDLGD----IHRIPVVMTD--RTSVI------SSNES--------</t>
  </si>
  <si>
    <t>GC_00000785</t>
  </si>
  <si>
    <t>PF06831.19</t>
  </si>
  <si>
    <t>Formamidopyrimidine-DNA glycosylase H2TH domain</t>
  </si>
  <si>
    <t>K05522</t>
  </si>
  <si>
    <t>endonuclease VIII [EC:3.2.2.- 4.2.99.18]</t>
  </si>
  <si>
    <t>COG0266</t>
  </si>
  <si>
    <t>Formamidopyrimidine-DNA glycosylase (Nei) (PDB:1EE8)</t>
  </si>
  <si>
    <t>KEGG Orthology (KO)&gt;&gt;&gt;09120 Genetic Information Processing&gt;&gt;&gt;09124 Replication and repair&gt;&gt;&gt;03410 Base excision repair [PATH:ko03410]|Enzymes&gt;&gt;&gt;4. Lyases&gt;&gt;&gt;4.2  Carbon-oxygen lyases&gt;&gt;&gt;4.2.99  Other carbon-oxygen lyases&gt;&gt;&gt;4.2.99.18  DNA-(apurinic or apyrimidinic site) lyase|DNA repair and recombination proteins&gt;&gt;&gt;Prokaryotic type&gt;&gt;&gt;SSBR (single strand breaks repair)&gt;&gt;&gt;BER (base exicision repair)&gt;&gt;&gt;DNA glycosylases</t>
  </si>
  <si>
    <t>-------MPEGHVIHRLARDINNNFAGHHVRVTSPQGRFATEAAQLDGCELTQAVAVGKHLFICFDAP---WAIHIHLGLVGKFHFTH-GEPRGVVRLRIGLEDTDTYADLKGPQWCRLITAASIPDIADTLGADPILGGPPERRDAVLQQVARSKRTAASVLMDQKLFAGVGNIYRAETLFRLGIDPMTPSREIDAPTWRDIWDDLETLMRAGVDAGRIDTVRPEHTPDAMGRPPRKDDHGGEVYVYRRAGDPC</t>
  </si>
  <si>
    <t>MGLDYTPMPEGHVIHRLAQHLNREFTDTSPIVTSPQGRFDAQARTLDGQPYLESDAYGKHLFIEFDVSQPERIIYIHLGLIGSLHFEDPAETKGQIRLHMATDTIA--ANLRGPQWCRLITAEEKAVAVDKLGADPLRADADP--KPIKEKVNKSNRSIASLLMDQSLFPGVGNIYRAETLFRLGIDPFSSGKDAD---FDAIWADLVQLMAEGVKAGRIDTVRPEHTPEAMNRPPRVDDHGGEVYVYRRAGQKCYICGTPISEQVMEGRNLFWCPTCQKGD</t>
  </si>
  <si>
    <t>MGLDYTPMPEGHVIHRLAQHLNREFTDTSPIVTSPQGRFDAQARTLDGQPYLESDAYGKHLFIEFDVSQPERIIYIHLGLIGSLHFEDPAETKGQIRLHMATNTIA--ANLRGPQWCRLITAEEKAVAVDKLGADPLRADADP--KPIKEKVNKSNRSIASLLMDQSLFPGVGNIYRAETLFRLGIDPFSSGKDAD---FDAIWADLVQLMAEGVKAGRIDTVRPEHTPEAMNRPPRVDDHGGEVYVYRRAGQKCYICGTPINEQVMEGRNLFWCPTCQKGD</t>
  </si>
  <si>
    <t>GC_00000786</t>
  </si>
  <si>
    <t>K01951</t>
  </si>
  <si>
    <t>GMP synthase (glutamine-hydrolysing) [EC:6.3.5.2]</t>
  </si>
  <si>
    <t>KEGG Orthology (KO)&gt;&gt;&gt;09100 Metabolism&gt;&gt;&gt;09104 Nucleotide metabolism&gt;&gt;&gt;00230 Purine metabolism [PATH:ko00230]|KEGG Orthology (KO)&gt;&gt;&gt;09100 Metabolism&gt;&gt;&gt;09111 Xenobiotics biodegradation and metabolism&gt;&gt;&gt;00983 Drug metabolism - other enzymes [PATH:ko00983]|Enzymes&gt;&gt;&gt;6. Ligases&gt;&gt;&gt;6.3  Forming carbon-nitrogen bonds&gt;&gt;&gt;6.3.5  Carbon-nitrogen ligases with glutamine as amido-N-donor&gt;&gt;&gt;6.3.5.2  GMP synthase (glutamine-hydrolysing)|Peptidases and inhibitors&gt;&gt;&gt;Cysteine peptidases&gt;&gt;&gt;Family C26: gamma-glutamyl hydrolase family</t>
  </si>
  <si>
    <t>MTDNATVN----HRPVLVVDFGAQYAQLIARRVREANMYSEVVPHTATAEDIRAKDPAALILSGGPSSVYEDGAPKLDPEILELGVPVFGICYGFQAMTHALGGVVANTGIREYGRTDMM-VDGGILHEGLDTTHKVWMSHGDAVHQAPEGFTATAHSEGAPVAAFECKERRMAGVQYHPEVLHSPHGQQVLVRFLTDIAGLEQNWTAANIAEELIDAVRSQVGDTGRAICGLSGGVDSAVAAALVQRAIGDRLTCVFVDHGLLRAGEREQVENDFVAATGAKLVTVDERANFLNKLAGVTEPEAKRKAIGAEFIRSFERAVAGVLEDAPEGS--TVDYLVQGTLYPDVVESGGGTGTANIKSHHNVGGLPDDVEFELVEPLRLLFKDEVRAVGRELGLPEEIVNRQPFPGPGLGIRIIGEVTEERLETLRAADLIARTELTNAGLDDQIWQCPVVLLADVRSVGVQGDGRTYGHPIVLRPVSSEDAMTADWTRIPYDVLEKISTRITNEVSDVNRVVLDCTSKPPGTIEWE</t>
  </si>
  <si>
    <t>MTQQT-------HRPVLVIDFGAQYAQLIARRVREARIYSEVVPHTASAEDIKAKNPAALILSGGPSSVYAEGAPSLDAGIFDLDIPVFGICYGFQAMTHALGGTVANTGNREYGRTDMT-IDGGLLHEGFEQTHKVWMSHGDAVSTAPEGFAVTAQSAGAPVAAFENLERRMAGVQYHPEVMHSPHGQEVLVRFLTQIAGLEQDWTPANIAEELIDAVRTQVGENGRAICGLSGGVDSAVAAAIVQRAIGDRLTCVFVDHGLLRAGEREQVQNDFVAATGAKLVTLDERKAFLAKLAGVTDPEDKRKAIGHEFIRAFERAVAGVLADAPENS--SVDFLVQGTLYPDVVESGGGSGTANIKSHHNVGGLPDDVEFDLVEPLRLLFKDEVRAVGRELGLPEEIVNRQPFPGPGLGIRIIGEVTEDRLDTLRAADLIARTELTAAGLDSKIWQCPVVLLADVRSVGVQGDGRTYGHPIVLRPVSSEDAMTADWTRLPYDVLERISTRITNEVSDVNRVVLDCTSKPPGTIEWE</t>
  </si>
  <si>
    <t>MTQQT-------HRPVLVIDFGAQYAQLIARRVREARIYSEVVPHTASAEDIKAKNPAALILSGGPSSVYAEGAPSLDAGIFDLDIPVFGICYGFQAMTHALGGTVANTGNREYGRTDMT-IDGGLLHDGFEQTHKVWMSHGDAVSTAPEGFVVTAQSAGAPVAAFENLERRMAGVQYHPEVMHSPHGQEVLVRFLTQIAGLEQDWTPANIAEELIDAVRTQVGENGRAICGLSGGVDSAVAAAIVQRAIGDRLTCVFVDHGLLRAGEREQVQNDFVAATGAKLVTLDERKAFLVKLAGVTDPEDKRKAIGHEFIRAFERAVAGVLAGAPENS--SVDFLVQGTLYPDVVESGGGSGTANIKSHHNVGGLPDDVEFDLVEPLRLLFKDEVRAVGRELGLPEEIVNRQPFPGPGLGIRIIGEVTEDRLDTLRAADLIARTELTAAGLDSEIWQCPVVLLADVRSVGVQGDGRTYGHPIVLRPVSSEDAMTADWTRLPYDVLERISTRITNEVPDVNRVVLDCTSKPPGTIEWE</t>
  </si>
  <si>
    <t>MTKQTHPHNPHKHNPVLVVDFGAQYAQLIARRVREAKIYSEVIPHTATIAEIKAKNPAALVLSGGPSSVYESGAPALQSELLDLGIPVFGICYGFQAMTHALGGTVANTGNREYGRTDLTIIDSGVLHAGLETTHKVWMSHGDAVSAAPEGFTVTASSAGAPVAAFECAARRMAGVQYHPEVLHSPHGQEILVRFLTEIAGLEQNWTPANIADELIETVREQVGDTGRAICGLSGGVDSAVAAALVQRAIGDRLTCVFVDHGLLRAGEREQVQTDFVKATGAKLVTVDEREAFLSKLAGVTDPEAKRKAIGNEFIRSFERAVGLVLADEPADTAGAVEFLVQGTLYPDVVESGGGAGTANIKSHHNVGGLPEDLEFQLVEPLRLLFKDEVRAVGRELGLPEEIVNRQPFPGPGLGIRIIGEVTEDRLETLRAADLIARTELTNAGLDNEIWQCPVVLLADVRSVGVQGDGRTYGHPIVLRPVSSEDAMTADWTRLPYDVLEKISTRITNEVDGVNRVVLDCTSKPPGTIEWE</t>
  </si>
  <si>
    <t>MTKQTHPHNPHKHNPVLVVDFGAQYAQLIARRVREAKIYSEVIPHTATIAEIKAKNPAALVLSGGPSSVYESGAPALQSELLDLGIPVFGICYGFQAMTHALGGTVANTGNREYGRTDLTVIDPGVLHAGLETTHKVWMSHGDAVSAAPEGFTVTASSAGAPVAAFECAARRMAGVQYHPEVLHSPHGQEILVRFLTEIAGLEQNWTPANIADELIETVREQVGDTSRAICGLSGGVDSAVAAALVQRAIGDRLTCVFVDHGLLRAGEREQVQTDFVKATGAKLVTVDEREAFLSKLAGVTDPEAKRKAIGNEFIRSFERAVGLVLADEPADTVGAVEFLVQGTLYPDVVESGGGAGTANIKSHHNVGGLPEDLEFQLVEPLRLLFKDEVRAVGRELGLPEEIVNRQPFPGPGLGIRIIGEVTEDRLETLRAADLIARTELTNAGLDNEIWQCPVVLLADVRSVGVQGDGRTYGHPIVLRPVSSEDAMTADWTRLPYDVLEKISTRITNEVDGVNRVVLDCTSKPPGTIEWE</t>
  </si>
  <si>
    <t>GC_00000787</t>
  </si>
  <si>
    <t>PF20668.2</t>
  </si>
  <si>
    <t>Domain of unknown function (DUF6815)</t>
  </si>
  <si>
    <t>E|H|J|Q</t>
  </si>
  <si>
    <t>Amino acid transport and metabolism|Coenzyme transport and metabolism|Translation, ribosomal structure and biogenesis|Secondary metabolites biosynthesis, transport and catabolism</t>
  </si>
  <si>
    <t>COG0189</t>
  </si>
  <si>
    <t>Glutathione synthase, LysX or RimK-type ligase, ATP-grasp superfamily (LysX) (PDB:1GLV)</t>
  </si>
  <si>
    <t>MHKAIVVFEVEGGNDKQFNGHRKDTLPIVDAIKAQGWNAEVVYYRPEWAEQLFEYVSNNFDAYISRVNPGNIPGGEKGYFDLLTRLSKDAGLVGMSTPEEMMAYGAKDALVKLADTDLVPSDTYAYYDVESFHKTFPSSLSYGERVLKQNRGSTGSGIWRVQLEDKELAAKVEPGTELPLDTKLRCTEAVDNHTEIRELGEFMDFCDQYIVGDNGMLVDMRFMPRIVEGEIRILLVGPHPVFVVHKKPAAGGDNFSATLFSGATYTYDKPSDWQELVDMFAEARPVIAEKLGGDNIPLIWTADFMLDDAKDGGDTYVLGEINCSCVGFTSELDMGIQEMVADEAIKRVEAKHA-</t>
  </si>
  <si>
    <t>MHKSIVVFEVEGGSDKQFNGHRKDTMPIVDAIKDQGWHAEVVYYRPEWSDDLYDYVSNNFDAYISRVNPGNIPGGEKGYFDLLTRLSDEAGLVGMSRPDEMMSYGAKDALVKLADTDLVPSDTYAYYDVDTFHKTFPSSLSYGERVLKQNRGSTGSGIWRVQLEDKELAASIEPGTTLPLDTKLRCTEAVDNHTEVRELGEFMDFCDQYIIGDNGMLVDMRFMPRIVEGEIRILLVGPHPVFVVHKKPAAGGDNFSATLFSGAQYTYDSPEKWQELVDMFAEVRPVIAEKLGGDNIPLIWTADFMLDDAPGGGDTYVLGEINCSCVGFTSELDMGIQEMVAKEAISRVEAKNAS</t>
  </si>
  <si>
    <t>MHKSIVVFEVEGGSDKQFNGHRKDTMPIVDAIKDQGWHAEVVYYRPEWSDDLYDYVSNNFDAYISRVNPGNIPGGEKGYFDLLTRLSDEAGLVGMSRPDEMMSYGAKDALVKLADTDLVPSDTYAYYDVDTFHKTFPSSLSYGERVLKQNRGSTGSGIWRVQLEDKELAASIEPGATLPLDTKLRCTEAVDNHTEVRELGEFMDFCDQYIIGDNGMLVDMRFMPRIVEGEIRILLVGPHPVFVVHKKPAAGGDNFSATLFSGAQYTYDSPEKWQELVDMFAEVRPVIAEKLGGDNIPLIWTADFMLDDAPGGGDTYVLGEINCSCVGFTSELDMGIQEMVAKEAISRVEAKNAS</t>
  </si>
  <si>
    <t>MHKSIVVFEVEGGSDKFIDGHRKDTMPIVNAIKDAGWHAEVVYYRPEWAETLFEYVSSNFDAYISRVNPGNIPGGEKGYFDLLTKLS-EAGLVGMSTPAEMMAYGAKDALVKLKDTDLVPSDTAAYYDVETFHKTFPTSLSYGERVLKQNRGSTGSGIWRVQLEDKELAASVTPGTALPLDTKLRCTEAVDNHTEIRELGEFMDFCDQYIIGDNGMLVDMRFMPRIVEGEIRILLVGPHPVFVVHKKPAAGGDNFSATLFSGAKYTYDKPESWQDLVDMFAAARPVIAEKLGGDNIPLIWTADFMLADAEDGSDTYVLGEINCSCVGFTSELHMGIQELVAKEAIGRVEAKNA-</t>
  </si>
  <si>
    <t>MHKSIVVFEVEGGSDKFIDGHRKDTMPIVNAIKDAGWHAEVVYYRPEWAETLFEYVSSNFDAYISRVNPGNIPGGEKGYFDLLTKLS-EAGLVGMSTPAEMMAYGAKDALVKLKDTDLVPSDTAAYYDVETFHKTFPTSLSYGERVLKQNRGSTGSGIWRVQLEDKELAASVTPGTALPLDTKLRCTEAVDNHTEIRELGEFMDFCDQYIIGDNGMLVDMRFMPRIVEGEIRILLVGPHPVFVVHKKPAAGGDNFSATLFSGAKYTYDKPESWQDLVDMFAAARPVIAEKLGGDNIPLIWTADFMLADAEDGSDTYVLGEINCSCVGFTSELHMGIQELVAKEAIGRVEAKNT-</t>
  </si>
  <si>
    <t>GC_00000788</t>
  </si>
  <si>
    <t>PF00398.26</t>
  </si>
  <si>
    <t>Ribosomal RNA adenine dimethylase</t>
  </si>
  <si>
    <t>K02528</t>
  </si>
  <si>
    <t>16S rRNA (adenine1518-N6/adenine1519-N6)-dimethyltransferase [EC:2.1.1.182]</t>
  </si>
  <si>
    <t>COG0030</t>
  </si>
  <si>
    <t>16S rRNA A1518 and A1519 N6-dimethyltransferase RsmA/KsgA/DIM1 (may also have DNA glycosylase/AP lyase activity) (RsmA) (PDB:1QYR)</t>
  </si>
  <si>
    <t>Enzymes&gt;&gt;&gt;2. Transferases&gt;&gt;&gt;2.1  Transferring one-carbon groups&gt;&gt;&gt;2.1.1  Methyltransferases&gt;&gt;&gt;2.1.1.182  16S rRNA (adenine1518-N6/adenine1519-N6)-dimethyltransferase|Ribosome biogenesis&gt;&gt;&gt;Prokaryotic type&gt;&gt;&gt;rRNA modification factors&gt;&gt;&gt;16S rRNA modification factors</t>
  </si>
  <si>
    <t>----------------------------------------------MTELLGPAEIRQLADKLGVVPTKKLGQNFVHDPNTVRRIVADSGIG--SEDHVVEIGPGLGSLTLELLDKAGRVTAVEIDDRLAAELPYTVEWRAPEHADKLRVLNKDALKIEASDLP-GG---PTALVANLPYNVSVPVLLHFLATFPTIRRVLVMVQLEVAERLAAAPGSKVYGVPSVKAAFYGKVSLAGKIGKNVFWPAPNIESGL</t>
  </si>
  <si>
    <t>KEGG Orthology (KO)&gt;&gt;&gt;09100 Metabolism&gt;&gt;&gt;09109 Metabolism of terpenoids and polyketides&gt;&gt;&gt;00900 Terpenoid backbone biosynthesis [PATH:ko00900]|Enzymes&gt;&gt;&gt;2. Transferases&gt;&gt;&gt;2.7  Transferring phosphorus-containing groups&gt;&gt;&gt;2.7.1  Phosphotransferases with an alcohol group as acceptor&gt;&gt;&gt;2.7.1.148  4-(cytidine 5'-diphospho)-2-C-methyl-D-erythritol kinase</t>
  </si>
  <si>
    <t>------------------------------------------MVNHTSALLGPAEIRQLADKLDIRPTKKLGQNFVHDPNTVRRIVAAAEVT--AQDHVLEVGPGLGSLTLALIDTVQDVTAVEIDPRLAAELPATLAWRAPEHAHKLRLIVKDALQVTRQDVDDVGAPMPTALVANLPYNVSVPVLLHLLEEFPTITRVLVMVQSEVADRLAAAPGSKVYGVPSVKASFYGQVRRAGAVGKNVFWPAPKIESGL</t>
  </si>
  <si>
    <t>------------------------------------------MVNHTSALLGPAEIRQLADKLDIRPTKKLGQNFVHDPNTVRRIVAAAEVT--AQDHVLEVGPGLGSLTLALIDTVQDVTAVEIDPRLAAELPFTLAWRAPDHAHKLRLIVKDALQVTCQDVDDVGAPMPTALVANLPYNVSVPVLLHLLEEFPTITRVLVMVQSEVADRLAAAPGSKVYGVPSVKASFYGQVRRAGAVGKNVFWPAPKIESGL</t>
  </si>
  <si>
    <t>--------------------------------------------MTTARLLGPADIRTLASELDITPTKKLGQNFLHDPNTVRMIVTTAQFTDVTNRHVLEVGPGLGSLTLGLVTACEKVTAIEIDPRLADRLPRTVAEFAPDHADRLTVSNRDALTVSPQDID-MSTP-PTALVANLPYNVSVPILLHLLAEFPSIARVVVMVQAEVADRLAARPGTKIYGVPSVKAAFYGQVRRAGTIGKNVFWPAPKIDSGL</t>
  </si>
  <si>
    <t>MTPPSTSNPGCLDPATVPGAYCQGRASYLAVMPKILGGKVDYLSMTTARLLGPADIRTLASELDITPTKKLGQNFLHDPNTVRMIVTTAQFTDVTNRHVLEVGPGLGSLTLGLVTACEKVTAIEIDPRLAARLPRTIAEFAPDYADRLTVSNRDALTVSPQDID-MSTP-PTALVANLPYNVSVPILLHLLAEFPSIARVVVMVQAEVADRLAARPGTKIYGVPSVKAAFYGQVRRAGTIGKNVFWPAPKIDSGLVSIDCTHP----YS--SSLRDTVFPLIDAAFLQRRKTLRAALSGVYGSASQAEEALRRAQIDPTLRGEKLDISDFIRLA--------------------------------------------------TSGQSSR-----------------------------------------------------------------------------------------------------------------------------------------------------------------------------------------------------------------------------------------------------</t>
  </si>
  <si>
    <t>GC_00000789</t>
  </si>
  <si>
    <t>PF21086.3</t>
  </si>
  <si>
    <t>ACT domain</t>
  </si>
  <si>
    <t>E|T</t>
  </si>
  <si>
    <t>Amino acid transport and metabolism|Signal transduction mechanisms</t>
  </si>
  <si>
    <t>K01079</t>
  </si>
  <si>
    <t>phosphoserine phosphatase [EC:3.1.3.3]</t>
  </si>
  <si>
    <t>COG0560|COG3830</t>
  </si>
  <si>
    <t>Phosphoserine phosphatase (SerB) (PDB:3N28)|ACT domain, binds amino acids and other small ligands (ACT) (PDB:5IS2)</t>
  </si>
  <si>
    <t>M00020</t>
  </si>
  <si>
    <t>Serine biosynthesis, glycerate-3P =&gt; serine</t>
  </si>
  <si>
    <t>ko00001|ko00001|ko01000|ko01009</t>
  </si>
  <si>
    <t>KEGG Orthology (KO)&gt;&gt;&gt;09100 Metabolism&gt;&gt;&gt;09102 Energy metabolism&gt;&gt;&gt;00680 Methane metabolism [PATH:ko00680]|KEGG Orthology (KO)&gt;&gt;&gt;09100 Metabolism&gt;&gt;&gt;09105 Amino acid metabolism&gt;&gt;&gt;00260 Glycine, serine and threonine metabolism [PATH:ko00260]|Enzymes&gt;&gt;&gt;3. Hydrolases&gt;&gt;&gt;3.1  Acting on ester bonds&gt;&gt;&gt;3.1.3  Phosphoric-monoester hydrolases&gt;&gt;&gt;3.1.3.3  phosphoserine phosphatase|Protein phosphatases and associated proteins&gt;&gt;&gt;HAD phosphatases&gt;&gt;&gt;Other HAD phosphatases</t>
  </si>
  <si>
    <t>---MNSSTSLASDITVNLSPGLVPAVVIVSGADRPGVSGAFFRVLASHQVQLLDVEQSQFRGRLNLASLIGVDPARVETLKEGLSETLRGYGQSVSVEVQETLHSTRPLSTHAVVVLGDPVTASHVSRIGQTLADYGANIDTIRGIADYPLTGLELSVTVADPTPGGGVAMRKALAELTRQIGVDIAIERAGLQRRSKRLICFDCDSTLITGEVIEMLAARAGREAEVAEVTARAMRGELDFEESLRERVQALAG</t>
  </si>
  <si>
    <t>MTLVTETTDTMHDITVNLTPGLSPAVITVAGADRPGVSGAFFRVLSAYRVQLLDVEQSLFRGRLNLAALVGINADRADTLTEGLTETLKAYGQKVTVELKGDLHFARPLSTHAVVVLGAPVTASHISRIGQTLADYGANIDTIRGIADYPVTGLELKVTVADPKPGGGVALRKALAELTREIGVDIAIERAGLVRRSKRLICFDCDSTLITGEVIEMLASYAGKEAEVAAVTERAMRGELDFEQSLRERVATLKGLDVSVIDQVANAIQLTPGARTTIRTLKRMGYKTAVVSGGFIQVLEGLSQELELDYTRANTLEIVDGKLTGRVIGKVVDRAAKAEFLTEFAEDSGMQLHQTVAVGDGANDIDMLSAAGLGIAFNAKPALQEVADASVNHPFLDEVLYILGISRDEIDEADLDDGS-FRRVPLEQ--------------</t>
  </si>
  <si>
    <t>MTLVTETTDTMHDITVNLTPGLSPAVITVAGADRPGVSGAFFRVLSAYRVQLLDVEQSLFRGRLNLAALVGINADRADTLTEGLTETLKAYGQKVTVQLKGDLHFARPLSTHAVVVLGAPVTASHISRIGQTLADYGANIDTIRGIADYPVTGLELKVTVADPKPGGGVALRKALAELTREIGVDIAIERAGLVRRSKRLICFDCDSTLITGEVIEMLASYAGKEAEVAAVTERAMRGELDFEQSLRERVATLKGLDVSVIDQVASAIQLTPGARTTIRTLKRMGYKTAVVSGGFIQVLEGLSQELELDYTRANTLEIVDGKLTGRVIGKVVDRAAKAEFLTEFAEDSGMQLHQTVAVGDGANDIDMLSAAGLGIAFNAKPALQEVADASVNHPFLDEVLYILGISRDEIDEADLDDGS-FRRVPLEQ--------------</t>
  </si>
  <si>
    <t>---MTETTE---QFTVELQPGLVPAVVTSIGNDQPGVTAAFFRVLAANNVQILDVEQAPFRGHLSLAAYVGIPAGSHERLKTGLADTLKSHGQTVTVELQDRVSSSRPRSTHEIVILGNPVSASDIARVGQTLADYNANIDTIRGIADYPVTGLELKVTVPNPKPGGAVPLRKALAQLTGELKVDIAIERAGLIRRSKRLICFDCDSTLITGEVIEMLAAHAGKEAEVAAVTERAMQGELDFEQSLRERVRTLAG</t>
  </si>
  <si>
    <t>GC_00000790</t>
  </si>
  <si>
    <t>K14260</t>
  </si>
  <si>
    <t>alanine-synthesizing transaminase [EC:2.6.1.66 2.6.1.2]</t>
  </si>
  <si>
    <t>COG0436</t>
  </si>
  <si>
    <t>Aspartate/methionine/tyrosine aminotransferase (AspB) (PDB:2O0R)</t>
  </si>
  <si>
    <t>ko00001|ko00001|ko00001|ko01000|ko01000|ko01007</t>
  </si>
  <si>
    <t>KEGG Orthology (KO)&gt;&gt;&gt;09100 Metabolism&gt;&gt;&gt;09105 Amino acid metabolism&gt;&gt;&gt;00250 Alanine, aspartate and glutamate metabolism [PATH:ko00250]|KEGG Orthology (KO)&gt;&gt;&gt;09100 Metabolism&gt;&gt;&gt;09105 Amino acid metabolism&gt;&gt;&gt;00290 Valine, leucine and isoleucine biosynthesis [PATH:ko00290]|KEGG Orthology (KO)&gt;&gt;&gt;09100 Metabolism&gt;&gt;&gt;09105 Amino acid metabolism&gt;&gt;&gt;00220 Arginine biosynthesis [PATH:ko00220]|Enzymes&gt;&gt;&gt;2. Transferases&gt;&gt;&gt;2.6  Transferring nitrogenous groups&gt;&gt;&gt;2.6.1  Transaminases&gt;&gt;&gt;2.6.1.2  alanine transaminase|Enzymes&gt;&gt;&gt;2. Transferases&gt;&gt;&gt;2.6  Transferring nitrogenous groups&gt;&gt;&gt;2.6.1  Transaminases&gt;&gt;&gt;2.6.1.66  valine---pyruvate transaminase|Amino acid related enzymes&gt;&gt;&gt;Aminotransferase (transaminase)&gt;&gt;&gt;Class I</t>
  </si>
  <si>
    <t>----------------------MSNSQYRPRRIFDQSEKMKDVLYEIRGPVSAEAERLELDGHRILKLNTGNPAVFGFEAPDVIMRDMIAALPTSQGYTTSKGIIPARRAIVTRYEVIEGFPYFDVNDVFLGNGVSELISMVTQALLNDGDEVLIPMPDYPLWTAATSLAGGKPVHYLCDEEDDWNPSIEDIRAKVTDKTKAIVVINPNNPTGAVYSRKVLEEIAQVARENDLLILADEIYDRILYDGAEHISMA</t>
  </si>
  <si>
    <t>---------------------------------------MKNVLYEIRGPVAAEAERLEMDGHRVLKLNTGNPAVFGFEAPDVIMRDMIAALSTSQGYSTSKGIIPARRAIVTRYEVIPNFPDFDVDDVFLGNGVSELISMVTQALLNDGDEVLIPSPDYPLWTAATSLAGGKPVHYLCDEEDDWNPSIEDIKAKVTDKTKAIVVINPNNPTGAVYSREILKQIVDIAREHQLLILADEIYDRILYDDAQHISIA</t>
  </si>
  <si>
    <t>MNNKEPHNTPTEAPVETPTETRTPLRRPQRRRIFDQSEKMKNVLYEIRGPVAEEAERLELDGHRILKLNTGNPAIFGFEAPDVIVQDMIAALPFSQGYSTSKGIITARRAVVTRYEVIPGFPKFSINDVYLGNGVSELITMVTQALLNDGDEVLIPAPDYPLWTAAVSLAGGKPVHYICDEAADWNPDIADMRAKITERTKAIVVINPNNPTGAVYSPETLKQIIEIAREYGLLILADEIYDRILYDDATHTSIASLAPDLLCITFNGLSKTYRVAGYRAGWMVLTGPKDHARGFIEGLDLLSSTRLCANVPAQHAIQVALGGRQSIYDLTSAHGRLTRQRDVTWEKLNEIPGVSCVKPKGALYAFPKLDLEYYDIHDDSQLMLDLLRAEKILLVHGTGFNWPQPDHFRVVTLPWANELAEAIDRLGNFLSSYKQ</t>
  </si>
  <si>
    <t>MNNKEPHNTPTEAPVETPTETRTPLRRPQRRRIFDQSEKMKNVLYEIRGPVAEEAERLELDGHRILKLNTGNPAIFGFEAPDVIVQDMIAALPFSQGYSTSKGIITARRAVVTRYEVIPGFPKFSINDVYLGNGVSELITMVTQALLNDGDEVLIPAPDYPLWTAAVSLAGGKPVHYICDEAADWNPDIADMRAKITERTKAIVVINPNNPTGAVYSPETLKQIVEIAREYGLLILADEIYDRILYDDATHTSIASLAPDLLCITFNGLSKTYRVAGYRAGWMVLTGPKDHARGFIEGLDLLSSTRLCANVPAQHAIQVALGGRQSIYDLTSAHGRLTRQRDVTWEKLNEIPGVSCVKPKGALYAFPKLDLEYYDIHDDSQLMLDLLRAEKILLVHGTGFNWPQPDHFRVVTLPWANELAEAIDRLGNFLSSYKQ</t>
  </si>
  <si>
    <t>GC_00000791</t>
  </si>
  <si>
    <t>PF01761.26</t>
  </si>
  <si>
    <t>3-dehydroquinate synthase N-terminal</t>
  </si>
  <si>
    <t>K01735</t>
  </si>
  <si>
    <t>3-dehydroquinate synthase [EC:4.2.3.4]</t>
  </si>
  <si>
    <t>COG0337</t>
  </si>
  <si>
    <t>3-dehydroquinate synthetase (AroB) (PDB:3ZOK)</t>
  </si>
  <si>
    <t>KEGG Orthology (KO)&gt;&gt;&gt;09100 Metabolism&gt;&gt;&gt;09105 Amino acid metabolism&gt;&gt;&gt;00400 Phenylalanine, tyrosine and tryptophan biosynthesis [PATH:ko00400]|Enzymes&gt;&gt;&gt;4. Lyases&gt;&gt;&gt;4.2  Carbon-oxygen lyases&gt;&gt;&gt;4.2.3  Acting on phosphates&gt;&gt;&gt;4.2.3.4  3-dehydroquinate synthase</t>
  </si>
  <si>
    <t>-----------MSIVNVSSASPYEVVIEHGLAPRIAECAAKAPGATKVAIIHQPGGATDLLFRLKAAIEQCGLECHMLPIPDAEAAKTVSTCATLWDALGAANFGRRDVIIGFGGGAATDLAGFVAATWMRGIKVIQVPTTLLAMVDAAVGGKTGINTAAGKNLVGSFHEPYAVFIDLDAIATLPKEELVAGSAEIIKTGFIADPVILERYETDPQACLRV--DGYLPELIERSVAVKASVVASDLKESGLREIL</t>
  </si>
  <si>
    <t>PF24621.2</t>
  </si>
  <si>
    <t>3-dehydroquinate synthase C-terminal</t>
  </si>
  <si>
    <t>MSTPDNPATAAVTTVEVTGPNPYTVTIGHDLAGVITDFAAELH-PTQIAIITQP-ALADYATALAEAAKTRGITPTIMEIPDAESGKTLAVAENCWNELGEKAFGRRDVVIGIGGGAATDLAGFVAASWMRGVRVIQVPTTLLAMVDAAVGGKTGVNTAAGKNLVGAFHEPAAVFIDLDMLATLPEGEIVAGSAEIIKTGFIADPVILQRYETDPAACLRVADGGYLPELIRRSVAVKASVVGEDLKESGLREILNYGHTFGHAVELNEQFAWRHGNAVAVGMMFIANLSHARGLIDAELVARHANILSSVGLPTSYKPGEFDRLYQGMTRDKKNRDGKIRFVALTKVGECTRITDATKAELEAAYQRISGK</t>
  </si>
  <si>
    <t>MSTPDNPATAAVTTVEVTGPNPYTVTIGHDLAGVITDFAAELH-PTQIAIITQP-ALADYATALAEAAKTRGITPTIMEIPDAESGKTLAVAENCWNELGEKAFGRRDVVIGIGGGAATDLAGFVAASWMRGVRVIQVPTTLLAMVDAAVGGKTGVNTAAGKNLVGAFHEPAAVFIDLDMLATLPEGEIVAGSAEIIKTGFIADPVILQRYETDPAACLRVADGGYLPELIRRSVAVKASVVGEDLKESGLREILNYGHTFGHAVELNEQFVWRHGNAVAVGMMFIANLSHARGLIDAELVARHANILSSVGLPTSYKPGEFDRLYRGMTRDKKNRDGKIRFVALTKVGECTRITDATKAELEAAYQRISGK</t>
  </si>
  <si>
    <t>GC_00000792</t>
  </si>
  <si>
    <t>PF01979.26</t>
  </si>
  <si>
    <t>Amidohydrolase family</t>
  </si>
  <si>
    <t>K01465</t>
  </si>
  <si>
    <t>dihydroorotase [EC:3.5.2.3]</t>
  </si>
  <si>
    <t>COG0044</t>
  </si>
  <si>
    <t>Dihydroorotase or related cyclic amidohydrolase (AllB) (PDB:1J79)</t>
  </si>
  <si>
    <t>KEGG Orthology (KO)&gt;&gt;&gt;09100 Metabolism&gt;&gt;&gt;09104 Nucleotide metabolism&gt;&gt;&gt;00240 Pyrimidine metabolism [PATH:ko00240]|Enzymes&gt;&gt;&gt;3. Hydrolases&gt;&gt;&gt;3.5  Acting on carbon-nitrogen bonds, other than peptide bonds&gt;&gt;&gt;3.5.2  In cyclic amides&gt;&gt;&gt;3.5.2.3  dihydroorotase</t>
  </si>
  <si>
    <t>MNTADSQLGGKSTADNAASYPATGTLAAPFAGTVLIRNVKPYGETDGVNIVIEDGVITDVDAASDTQADRVVEGNGAVLLPGLVDIHVHLREPGREDTETIATGSAAAAKGGFTAVFTMANTIPVMDQPIIAESVWAKGQQIGLCDVHPVGSITKGLQGKELTEFGMMARSEAKVRMFSDDGVCVANPQLMRRAIEYSRAADVLLAQHCEEPHLTEGAVAHEGDMAARLGLRGWPRAAEEMIVARDALLGRDYGGRVHICHASTTGTVELLKWAKSQGISLTAEVTPHHLILTDQRLDTYDGVNRVNPPLREEHDTIALREALLDGTIDCVATDHAPHGSEDKCCEFEKARPGMLGLETSLAIIADLFVKQGLADWRFVAKVMSERPAEIVRLPGHGRPIAVGEPANLTLVDPNHTWVANGEDMRSKSNNTPYEGMEFSTRVTATLLRGHVTYSLEDDQQTQASAEPRVEGK</t>
  </si>
  <si>
    <t>--------------MSQNNYPATGDLGPVERGSVLIRNVRPYGEGEPVNILIEDGLIADMDAADDANADTVIDAKGTVLLPGLVDLHVHLREPGREDTETIATGSAAAAKGGFTAVFTMANTMPVMDQPVIAESVWFKGQSIGLCDVHPVGSITKGLEGKELTEFGMMAHSAAKVRMFSDDGKCVDNPLIMRRAIEYSRGQDVLLAQHCEEPRLTEGAVAHEGPNAARLGLRGWPRAAEESIVARDALLARDYGG</t>
  </si>
  <si>
    <t>--------------MSQNNYPATGDLGPVERGSVLIRNVRPYGEGEPVNILIEDGLIADMDAADDANADTVIDAKGMVLLPGLVDLHVHLREPGREDTETIATGSAAAAKGGFTAVFTMANTMPVMDQPVIAESVWFKGQSIGLCDVHPVGSITKGLEGKELTEFGMMAHSAAKVRMFSDDGKCVDNPLIMRRAIEYSRGQDVLLAQHCEEPRLTEGAVAHEGPNAARLGLRGWPRAAEESIVARDALLARDYGG</t>
  </si>
  <si>
    <t>-----------------MNYPATGELADAEPGTLLITNVRPYGEGEPVSVLITDGVITEVGTAA-TTADRVIDGENNVLLPGLVDIHVHLREPGREDTETIATGSAAAAKGGFTAVFTMANTNPVMDQPVIAESVWYKGQAIGLCDVHPVGSITKGLAGKELTEFGMMVHSDAKVRLFSDDGKCVDNPQIMRRAIEYAKGFDVLLAQHCEDPRLTEGAVAHEGEIAAKLGLRGWPRVAEEAIVARDALLCRDYGN</t>
  </si>
  <si>
    <t>-----------------MNYPATGELADAEPGTLLITNVRPYGEGEPVSVLITDGVITEVGTAA-TTADRVIDGENNVLLPGLVDIHVHLREPGREDTETIATGSAAAAKGGFTAVFTMANTNPVMDQPVIAESVWYKGQAIGLCDVHPVGSITKGLAGKELTEFGMMVHSDAKVRLFSDDGKCVDNPLIMRRAIEYAKGFDVLLAQHCEDPRLTEGAVAHEGEIAAKLGLRGWPRVAEEAVVARDALLCRDYGN</t>
  </si>
  <si>
    <t>GC_00000793</t>
  </si>
  <si>
    <t>K20470</t>
  </si>
  <si>
    <t>trehalose monomycolate/heme transporter</t>
  </si>
  <si>
    <t>MFVRWGHFAFKYRRVLPLAIVALIAGIYLIWGTQLGARMSQEGWDDPNSSSTRAAAIEQEVFGRDNNGDVILMFKGSPD-ALTDDAVARDVNKQLTAFKDAHPSEISHINSYFEKRNPNLLNADKTLAFAAVGLAGDGEDVLKNFRAIEGDI-PAE---VDGLEVSVAGQTAIADALDDGMAGDISRAEVYALPAVAVLLLLVFASVVAAAMPLIVGVLSILGSLGVLAILAGFTQVNVFAQSVVTLLGLGLAIDYGLFMVSRFREELDA--GSSVEDAVVNATATAGKTVVFSAAMVAVALSGLLIFPQAFLKSVAYGAISAVGLAAALSIAVLPSIFGLLGRRVDMWSMPWRRKAQATNSADTT-------------------------------DTADLVQPGTSRL----WAAIPAWAIKHSVWVTVALVGALLALTLPLAGVKFGGINETYLPPQQKVRVAQQTFDENFPEYRTEPIKLVVT-DADNRGLSSIIKQANQVEGLTGRFSPSQPTKDGTTVLSAGIADRGDNAAVVDQLRAIEVPEGAEVFIGGSPALEVESIEALFKKLPWMALYIVAATFILMSLVFSSVILPAKAVIMTILGMGATLGVLTLMFVDGVGASLFGFTPGPLMSPVLVLIMAIIYGLSTDYEVFLVSRMVEARGKGKSTDDAIVYGTAHTGSIITAAAVIMIVVCGAFGFSEIVMMKYIAFGMIAALLLDATVIRMLLVPAVMHLLREDNWWGPRWL-TAIGGFGH------------------------------------------------------------------------------------------------------------------------------------------------------------------GSSVDAASLQVS--------------------------------------------------------------------------------------------------------------------------TEPTVD-----------DVQVDTRPVRSGR---TTTDDPDLIPFDQLVKRLQEES-------</t>
  </si>
  <si>
    <t>MFTAWGHFAYQHRKVVPAVIVSVVLLCFLIFGTKLDERMSQEGWDDPHSSSTRAAQIEQEVFGRDNSGDIIMLFDAAPSVALNDPSTAQKAKDFLDKIKTEHPEQVDHIDSYFDNRNAQLLSPDQRTAFAAIGLKGDGEDVLKNYRALEGSLTPGDGTLPDGITVSIAGSTAVADALDEGMAGDIRRAEVYALPAVAILLLFVFGSVVAAGMPLVVGILSILGSLGVLSILATQTQVNVFAQSVVTLLGLGLAIDYGLFMVSRFREELSK--DVPIPDAVANTTATAGQTVVFSAGMVAVALSGLFIFPQAFLKSVAYGAISAVSLAALLSVTVLPSMFGLLGKNIDKWTVRR-------------------------------------------------TARSESNLDASFWSRIPAWAMRHSGLVTAGIVAVLVALTIPLMGVKFGGINETYLPPDNKVRQAQAEFDEKFPNFRTDPVKLVVTGTTGNDQLVQVFTQANSVEGLTGRFTAQGATTDGTTVLSAGITDRDDNAKVIKQLREIEAPEGAEVHIGGTPALEVESIEALLSKLPWMFLYIIAATFILMALVFGSMILPAKAIIMTILGLGATLGVLTAMFVDGVGSSIFNFTAGPLMSPVLVLIMSIVYGLSTDYEVFLVSRMVEAKQKGATTDQAIRYGTAHTGSIITAAAVIMIVVCGAFGFSEIVMMKYIAFGMIAALLLDATVIRMLLVPAVMHILREDNWWAPPFVKKASTYLGHTSEPAGAQPTFAEVGAATTGGVGATETSLPRPVTIGGVNTPQVVDSIPENRVIPSAGSIPGVETIPSSVAQAAAAETVVNVRPVASAPPTPQHQQEPVEEPRQKSASAPSNPSVHGQVPESQPDVPAASHTALLPQVPKPGQGPAHDAKATPVAVQKVEEAVGKGLDKAVLLVRQGMKKVQETREEAAKKQQARKEAHEKQQLQEEQNTAVVQDEAQVPVGQSASRIPGPPVPGMQSQPRRQSAPRR-------QMPTTPPTPTPAAVPRQQAPQPPMTQQKPQQQQQWPSGTQQRPSPIDELSLDDIPLQDLHILAADDAARGGR---RASEDTKLIPFTELMERLNTNDPQGRPQQ</t>
  </si>
  <si>
    <t>MFTAWGHFAYQHRKVVPAVIVSVVLLCFLIFGTKLDERMSQEGWDDPHSSSTRAAQIEQEVFGRDNSGDIIMLFDAAPSIALNDPSTAQKAKDFLDKIKTEHPEQVDHIDSYFDNRNAQLLSPDQRTAFAAIGLKGDGEDVLKNYRALEGSLTPGDGTLPDGITVSIAGSTAVADALDEGMAGDIRRAEVYALPAVAILLLFVFGSVVAAGMPLVVGILSILGSLGVLSILATQTQVNVFAQSVVTLLGLGLAIDYGLFMVSRFREELSK--DVPIPDAVANTTATAGQTVVFSAGMVAVALSGLFIFPQAFLKSVAYGAISAVSLAALLSVTVLPSMFGLLGKNIDKWTVRR-------------------------------------------------TARSESNLDASFWSRIPAWAMRHSGLVTAGIVAVLVALTIPLMGVKFGGINETYLPPDNKVRQAQAEFDEKFPNFRTDPVKLVVTGTTGNDQLVQVFTQANSVEGLTGRFTAQGATTDGTTVLSAGITDRDDNAKVIKQLREIEAPEGAEVHIGGTPALEVESIEALLSKLPWMFLYIIAATFILMALVFGSMILPAKAIIMTILGLGATLGVLTAMFVDGVGSSMFNFTAGPLMSPVLVLIMSIVYGLSTDYEVFLVSRMVEAKQKGATTDQAIRYGTAHTGSIITAAAVIMIVVCGAFGFSEIVMMKYIAFGMIAALLLDATVIRMLLVPAVMHILREDNWWAPPFVKKASTYLGHTSEPAGAQPTFAEVGAATTGGVGATETSLPRPVTIGGVNTPQVVDSIPENRVIPSAGSIPGVETIPSSVAQAAAAETVVNVRPVASAPPTPQHQQEPVEEPRQKSASAPSNPSVHGQVPESQPDVPAASHTALLPQVPKPGQGPAHDAKATPVAVQKVEEAVGKGLDKAVLLVRQGMKKVQETREEAAKKQQARKEAQEKQQLQETQSAAVVQDEVQVPVGQSASRIPGPPVPGMQSQPRRQSAPRR-------QMPTTPPAPTPAAVPHQQAPQPPMTQQKPQQQQQWPSGTQQRPNPVDELSLDDIPLQDLHILAADDAARGGR---RASEDTKLIPFTELMERLNTNDPQGRPQQ</t>
  </si>
  <si>
    <t>MFSRWGEFAYQHRRVIPLVVVAVIILLYLTFGMRLSDRMSQEGWDDPNSDSTTAAAIEARTFGRDNNGDVILLFTAETG-TIDESPEFGHIQEYLTNLLAGHPDQIDHITSYFDKRVDRLISQDKRTAFAAIALKGDGDQTLKDFRAIEAQL-AGAGRMFPGVSTQIAGATAVADALDEGMSRDISRAEFYALPAVALLLLVVFGSLVAACMPLIVGGLSIVGSLGVLSILAGFTQVNVFAHSVVTLLGLGLAIDYGLFMVSRFREELNRGGGQDVHTAVRRATGTAGKTVVFSAAMVAVALSGLLVFPQAFLKSVAYGAISAVGLAAVLSVTMLPALFSLLGHNIDKFMVRRPRWAGVTGVVAHALGRGK---QAGRRSTRGRGYSRSHSRSR---AAAAAASKGSKRLSETWWYRLPNWSMGHAVWVTCAIVGGLLLLALPIGGVEFGGINETYLPPTNEVRAAQSTFDREFPEFRTEPIKLVVT-NADNDQLVQVYQQAEQVEGLTGRFTPTSATKDGITVLSAGIVDRAHNQSVVDQLRAIEPPAGVKVYVGGTPALEIESIEALFDKLPLMSFYIVLATFVLMALVFGSLVLPAKAVIMTLLGMGATIGLLTWMFVDGVGANLFGFTPGPLMSPVLVLIMAIIYGLSTDYEVFLVSRMVEARERRAATDVAIKFGTAHTGGIISAAAIIMIVVCGAFGFSDIVMMKYIAFGMIFALLFDATIIRMMLVPAVMHLLQDDNWWAPPWVKSAAGALGHR------------------------------------------------------------------------------------------------------------------------------------VSRNQGPGQSRNQ----------------GRGRGQAGLPKR---------------------------------------------------------APRPQPQPSQATRPRRLARSAQQGQPARPVRRPRTNIPKQDSRASVRIERDRASSSKQPSNQHPRREETIELATGSLPPQRFDKPRTTNPSTHRHFSPTTGRNTKQVPFTELLKRLESED-------</t>
  </si>
  <si>
    <t>MFSRWGEFAYQHRRVIPLVVVAVIILLYLTFGMRLSDRMSQEGWDDPNSDSTTAAAIEARTFGRDNNGDVILLFTAETG-TIDESPEFGHIQEYLTNLLANHPDQIDHITSYFDKRVDRLISQDKRTAFAAIALKGDGDQTLKDFRAIKVQL-AGAGRMFPGVSTQIAGATAVADALDEGMSQDISRAEFYALPAVALLLLVVFGSLVAACMPLIVGGLSIVGSLGVLSILAGFTQVNVFAHSVVTLLGLGLAIDYGLFMVSRFREELNRGGGQDVRTAVRRATGTAGKTVVFSAAMVAVALSGLLVFPQAFLKSVAYGAISAVGLAAVLSVTMLPALFSLLGHNIDKFMVRRPRWAGVTGMVAHTLGRGRQSGQAGQRSAGGRGRSRSYSHSRTAVAAPAAASKGSKKLSETWWYRLPNWSMQHAVWVTCAIVGGLMLLALPIGDVEFGGINETYLPPTNQVRTAQSTFDREFPEFRTEPIKLVVT-NADNDQLVQVYQQAAQVEGLTGRFTPTSATKDGITVLSAGIVDRAHNQSVVDQLRAIEPPPGVKVYVGGTPALEIESIEALFDKLPLMSFYIVLATFVLMALVFGSLVLPAKAVIMTLLGMGATIGLLTWMFVDGVGANLFGFTPGPLMSPVLVLIMAIIYGLSTDYEVFLVSRMVEAREHRAATDVAIKFGTAHTGGIISAAAIIMIVVCGAFGFSDIVMMKYIAFGMIFALLFDATIIRMMLVPAVMHLLQDDNWWAPPWVKSAAGALGHR------------------------------------------------------------------------------------------------------------------------------------VSRNQGQGQGQ------------------GRGRGQAGLPKR---------------------------------------------------------APRPQPQPPRAAQPRQ---------PARPVRRPRTNIPEPDSRASVRMERDRASSSNQPSNQHPRREETIELATGSLPPQRFDKPRTTNPSTHRHFSPTTGRNTKQVPFTELLKRLESED-------</t>
  </si>
  <si>
    <t>GC_00000794</t>
  </si>
  <si>
    <t>MGFRKKNKTIPAKTPAELDAMQAAGEIVGKALVAVKAAAAPGVTLKDLDDVAEQTIRDAGAVPTFLGYQGFPASICASVNDVIVHGIPTKETVLAEGDLVSIDCGATFEGWVGDSAWSFGVG---ELADDVQALNAATEWVLMEGLKAMVPGNRLTDVSHALEVATRKAEQRFGVQLGIVDGYGGHGIGRTMHEDPYLANEGKPGRGPVIQEGSVLAIEPMLTLGTVDSAVLEDDWTVVTLDGSWASHWEHTVAATAGGPRILTPRPAGA-</t>
  </si>
  <si>
    <t>GC_00000795</t>
  </si>
  <si>
    <t>COG1022</t>
  </si>
  <si>
    <t>Long-chain acyl-CoA synthetase (AMP-forming) (FAA1)</t>
  </si>
  <si>
    <t>----METEYSTPAEYTIGRKETCLTAMLAMAHARPYGVMFTRPKSFEWVNVTAREFADEVFEVAKGLIANGVQKGDRVALLSETRYEWSLLDYAIWAAGAVSVPIYGSSSVSQVRWIIEDSGAVFAISETPDHTDLMKHLELDSEGNPALKDSTSQLRRILEINSSAITTLKFEGRSISDEEVQARIDATTSEDLASLVYTSGTTGRPKGCKLTHHNWLAEVRALLTHPIGAIAIPGTRVLTFLPLAHVLARAVS</t>
  </si>
  <si>
    <t>MTSVHTGEYSTPAEYTIGPKESCVTALLATAAARPYGVLFTRPQNFEWVNVTAQEFVDEVFEVAKGLIANGVTQGDRVALLSETRYEWSLLDFAIWAAGAVTVPIYGSSSLSQVEWIIEDSGAVFAVTETPEHTDMVKRLELDTEGRPPLKGSSSKLRRVLEINASAIPTLKFEGRGISDDEVRARIDATDSSDLASLVYTSGTTGRPKGCRLTHHNWLAQVRALLTHPIGAIAVPGTRVLTFLPLAHVLSRAVSLAVAIGGATQSHWSDFSSLSVEFQRARPNMILGVPRVFEKVRNGAAANAQDNGPLRAAAFAQAERVAQDYSRALDTPEGPSRALRMKHAMFDKLVYSKIRAAMGASVKYCISGGSAMSPDLLHFFRGMGVTVYEGYGLTETTAAAAVNFDD-NVIGSVGRPVGGMSARINDDGEILLRGETLFDGYWNNSEATAENIDQEGWFNTGDLGELLDSGHIVITGRKKDLIVTAGGKNVSPGPLEDRLRSHPLISQALVVGDGKPYVGVLIALDEAALKRWKLTHNIPESRTVSELAVNPTLRAEIQDAINDANSLVSHSESIKRFYILDRDLSEEENELTPTMKIKRNVVVRRFKKEIDQIYKR</t>
  </si>
  <si>
    <t>MTSVHTGEYTTPAEYTIGPKESCVTALLATAAARPYGVLFTRPQNFEWVNVTAQEFVDEVFEVAKGLIANGVTQGDRVALLSETRYEWSLLDFAIWAAGAVTVPIYGSSSLSQVEWIIEDSGAVFAVTETPEHTDMVKRLELDTEGRPPLKGSSSKLRRVLEINASAIPTLKFEGRGISDDEVRARIDATDSSDLASLVYTSGTTGRPKGCRLTHHNWLAQVRALLTHPIGAIAVPGTRVLTFLPLAHVLSRAVSLAVAIGGATQSHWSDFSSLSVEFQRARPNMILGVPRVFEKVRNGAAANAQDNGPVRAAAFAQAERVAQDYSRALDTPEGPSRALRMKHAMFDKLVYSKIRAAMGASVKYCISGGSAMSPDLLHFFRGMGVTVYEGYGLTETTAAAAVNFDD-NVIGSVGRPVGGMSARINDDGEILLRGETLFDGYWNNSEATAENIDQEGWFNTGDLGELLDSGHIVITGRKKDLIVTAGGKNVSPGPLEDRLRSHPLISQALVVGDGKPYVGVLIALDEAALKRWKLTHNIPESRTVSELAVNPTLRAEIQDAINDANSLVSHSESIKRFYILDRDLSEEENELTPTMKIKRNVVVRRFKKEIDQIYKR</t>
  </si>
  <si>
    <t>-----MEEVHTPAEYVVGESDTCLTALLGSAAARPYGVIFTRPQNFEWVNVTAAEFIAEVYEVAKGFIANGVQQGDRIALLSETRYEWSLLDFAIWAAGAVSVPIYGSSSLSQIEWIIEDSGAVFAVTETREHTELMKNLVLGEDGKPLLHGSTSQLRRILEINASAIATLKFEGRPIDDDQVDERIHATKSRDLASLVYTSGTTGRPKGCRLTHANWLSEVHGLLTNPIGAIARPGSRVLTFLPLAHVLSRAVS</t>
  </si>
  <si>
    <t>-----MEEVHTPAEYAVGESDTCLTALLGSAAARPYGVIFTRPQNFEWVNVTAAEFIAEVYEVAKGFIANGVQQGDRIALLSETRYEWSLLDFAIWAAGAVSVPIYGSSSLSQIEWIIEDSGAVFAVTETREHTELMKNLVLGEDGKPLLHGSTSQLRRILEINASAIATLKFEGRPIDDDQVDERIHATKSRDLASLVYTSGTTGRPKGCRLTHANWLSEVHGLLTNPIGAIARPGSRVLTFLPLAHVLSRAVS</t>
  </si>
  <si>
    <t>GC_00000796</t>
  </si>
  <si>
    <t>PF13344.12</t>
  </si>
  <si>
    <t>Haloacid dehalogenase-like hydrolase</t>
  </si>
  <si>
    <t>K06117</t>
  </si>
  <si>
    <t>glycerol-1-phosphatase [EC:3.1.3.21]</t>
  </si>
  <si>
    <t>COG0647</t>
  </si>
  <si>
    <t>Ribonucleotide monophosphatase NagD, HAD superfamily (NagD) (PDB:1PW5)</t>
  </si>
  <si>
    <t>KEGG Orthology (KO)&gt;&gt;&gt;09100 Metabolism&gt;&gt;&gt;09103 Lipid metabolism&gt;&gt;&gt;00561 Glycerolipid metabolism [PATH:ko00561]|Enzymes&gt;&gt;&gt;3. Hydrolases&gt;&gt;&gt;3.1  Acting on ester bonds&gt;&gt;&gt;3.1.3  Phosphoric-monoester hydrolases&gt;&gt;&gt;3.1.3.21  glycerol-1-phosphatase</t>
  </si>
  <si>
    <t>MSAAALSDAHDALLLDLDGTVWEGGRAILGAVEAIVGSGVAALYVTNNASRAPGVVAEMLRGIGLGADSRDVITSAEAAVELVASRIPAGSRVLVLGSDSFKDIARSAGFDVVDSADAEPAAVLHGHNPATGWAELSEAALAIRAGAVYVASNVDSTLPMERGLMVGNGSMVAAVTHATGVVPDSAGKPAAAMFHSGVRRVGASAPLAVGDRLDTDIAGAVAAGIPSLHVLTGVSGFYDLCAASAEQRPVYVGADMSALGCSAGVLSVGQQGGFSAAVVAQDASGHRVVELSFDADAAGVWAASVPEAQVGSAVNVSPQLCALRTVLAVLWESSAAT-SVEVRPADDASARALEAWW</t>
  </si>
  <si>
    <t>---MAVAQDYDALLLDLDGTIWEGGRAIPGAVEGVIASGLPAMYVTNNASRAPEAVAEQLRSIGLPAKDSDVLTSAQAAIEMVSDRIPAGSKVFVLGSSSFRALAEQAGFVVVDSADDAPIAVLQGHSPETGWAQLSEAALAIQRGAVYVASNLDTTLPQERGLMIGNGSMVAAVVTATGVVPDSAGKPGPPMFFSAAAKLGSSRPLAVGDRLNTDIAGGNAAGMDTFQVLTGVSGYHAVLRAIPEERPTMFADS</t>
  </si>
  <si>
    <t>---MAVAQDYDALLLDLDGTIWEGGRAIPGAVEGVIASGLPAMYVTNNASRAPEAVAEQLRSIGLTAKDSDVLTSAQAAIEMVSDRIPAGSKVFVLGSPSFRALAEQAGFVVVDSADDAPIAVLQGHSPETGWAQLSEAALAIQRGAVYVASNLDTTLPQERGLMIGNGSMVAAVVSATGVVPDSAGKPGPPMFLSAAAKLGSSRPLAVGDRLNTDIAGGNSAGMDTFQVLTGVSGYHAVLRAIPEERPTMFADS</t>
  </si>
  <si>
    <t>-MTESLLTTYDSLLFDLDGTVWEGGRLLPHAQKYLTTASIPVMYITNNASRGPEVVAEILTKLGVPTDERHVVTSAQAAVEFAQQRLQPGDPVYVLGSESFKNLARHGGFRVVDSADDNPKAVLHGHNPETGWAELSEAALSIRNGAYYFASNLDTTLPMERGLMVGNGSMVAAVTTATGVTPLSAGKPEPAMFHSAAAKVQSTRPLAVGDRLNTDIAGGVAANMDTFHVLTGVSRHWALVHAEPTERPTYIAED</t>
  </si>
  <si>
    <t>-MTESLLTTYDSLLFDLDGTVWEGGRLLPHAQKYLTTASIPVMYITNNASRGPEVVAEILTKLGVPTDERHVVTSAQAAVEFAQQRLQPGDPVYVLGSESFKNLARHGGLRVVDSADDNPKAVLHGHNPETGWAELSEAALSIRNGAYYFASNLDTTLPMERGLMVGNGSMVAAVTTATGVTPLSAGKPEPAMFHSAAAKVQSTRPLAVGDRLNTDIAGGVAANMDTFHVLTGVSRHWALVHAEPTERPTYIAED</t>
  </si>
  <si>
    <t>GC_00000797</t>
  </si>
  <si>
    <t>PF00358.26</t>
  </si>
  <si>
    <t>phosphoenolpyruvate-dependent sugar phosphotransferase system, EIIA 1</t>
  </si>
  <si>
    <t>G|G|G</t>
  </si>
  <si>
    <t>Carbohydrate transport and metabolism|Carbohydrate transport and metabolism|Carbohydrate transport and metabolism</t>
  </si>
  <si>
    <t>K02757</t>
  </si>
  <si>
    <t>beta-glucoside PTS system EIICBA component [EC:2.7.1.-]</t>
  </si>
  <si>
    <t>COG1263|COG1264|COG2190</t>
  </si>
  <si>
    <t>Phosphotransferase system IIC components, glucose/maltose/N-acetylglucosamine-specific (PtsG1)|Phosphotransferase system IIB components (PtsG2) (PDB:1IBA)|Phosphotransferase system IIA component (NagE) (PDB:1AX3)</t>
  </si>
  <si>
    <t>KEGG Orthology (KO)&gt;&gt;&gt;09130 Environmental Information Processing&gt;&gt;&gt;09131 Membrane transport&gt;&gt;&gt;02060 Phosphotransferase system (PTS) [PATH:ko02060]|Transporters&gt;&gt;&gt;Phosphotransferase system (PTS)&gt;&gt;&gt;Enzyme II [TC:4.A]&gt;&gt;&gt;Beta-glucoside-specific II component</t>
  </si>
  <si>
    <t>MSTNTATVSQFILDKVGGAENVTSLTHCATRLRFQLADQSKADIEALDSNDAVMGVVPQGSTGLQVIMGGGVAEYYAGIKALPGMADS-DAK--AASSKKEYGGVRGKYSWIDYGFEVLSDTFRPILWALLGASLIITMLVLADTFGLQDFRAEN--QPPTYQFMHAMWRSVFYFLPIMVGATAARKLGANEWVGAAIPAALLTPEFLKFSDPEYAKGLAD---ISEVAGRTVYTYHVFGLPMVINDYGGQVFPPLIAAVALFFVEKLFKKIIPSAVHMVFVPFFSLLVMIPATAFVFGPIGIGVGNGISHFLEAVNNWNSFVLAIIIPLLYPFLVPLGLHWPLNAIMLQNINSLGYDFIQGPMGAWNFACFGVVTGVFVMSVREKNTTMRQVSLGGALAGLLGGISEPSLYGVLLRFRRSYLSLLPGCALGGAVMGFFNVKASAFVFTSLLTIPAMSPMLGYMVGIAVAFFTSFFLVIALDYRTKDEKAEILAKLAAER---------GNGSEAVA--AEAADVNEVVETSERVDAAEDAVNNGGNVAAAAAGAGAATAVAAKPAKPLKPAMQPGAETIISSPMEGTCVPLSEVPDAGFASGAVGKGVAIEPTGDSVYAPADGVVAVAFPTGHAVALKLDSGVEFLMHVGVDTVNMKGDGFQLHVKQKQRVSKGDKLITFDREKIAAAGYPAITPVLVTNHKKFGSVEGMNFGTAGLDTDVIKVDAKDA---</t>
  </si>
  <si>
    <t>MASKVATASQSILDNVGGADNIASLTHCATRLRFQLVDQSKADQTALDDIPEVLGVVPQGSTGLQVVMGGDVANYYQELVKLPGVDKSGEEKKAASSGKKEYGGVRGRFGWVDYCFEFLSDTFRPILWALLGASLIITILVLCDTAGIQDFRAEV--QPPTFQFMHAMWRSVFYFLPIMVGATAARKLGANEWVGAAIPAALLTPEFLAM------KELPDTVVTQNSVGVDIYTVDVWGIPMVLNDYGGQVFPPMLAAIALYWLEKGLKRIIPAAVQMVFVPFICLLVLIPATAFLLGPFGIGVGNGISSALEAINNFSPFILAIVIPLLYPFLVPLGLHWPLNAIMIQNINTLGYDFIQGPMGAWNFACFGVVAGVLVVSWREKNRQMRQVSFGSLMAGLLGGISEPSLYGVLLRFRKTYMRLLPGCFAGGVVMGLFSVKAYAFVFTSALTTVAMKPTFGYIIGITVAFVTSFLLVVFFDYRSADEKAEVLAQIAAEEGKEDSDDAAGDDAPAAA--ASAEAAAPVAAAAT----------------ATATASATATAVAEAPA---KTALEPGAVTELTAPLEGKALPLSEVPDPIFAGGRLGDGVAIEPSNNTVVAPADAKVLMVQKSGHAVALRLDSGVEVLIHVGLDTVQLGGEGFDVHVTRNQKVTAGEPLITFDPQVVKAAGYPLITPVVVSNTKKFEKVEGHPADQVTADSVIITTTAKSEKSD</t>
  </si>
  <si>
    <t>MASKVATASQSILDNVGGADNIASLSHCATRLRFQLVDQSKADQTALDDIPEVLGVVPQGSTGLQVVMGGDVANYYQELIKLPGVDKSGEAKKAASSGKKEYGGVRGRFGWVDYCFEFLSDTFRPILWALLGASLIITILVLCDTAGIQDFRAEV--QPPTFQFMHAMWRSVFYFLPIMVGATAARKLGANEWVGAAIPAALLTPEFLAM------KELPDTVVTQNSVGVDIYTVDVWGIPMVLNDYGGQVFPPMLAAIALYWLEKGLKRIIPAAVQMVFVPFICLLVLIPATAFLLGPFGIGVGNGISSALEAINNFSPFILAIVIPLLYPFLVPLGLHWPLNAIMIQNINTLGYDFIQGPMGAWNFACFGVVAGVLVISWREKNRQMRQVSFGSLMAGLLGGISEPSLYGVLLRFRKTYMRLLPGCFAGGVVMGLFSVKAYAFVFTSALTTVAMKPTFGYIIGITVAFVTSFLLVVFFDYRSADEKAEVLAQIAAEEGKKDSDDAAGDDAPAAAASAEATAAAPVAAAAT----------------ATATASATATAVAEAPA---KTALEPGAVTELTAPLEGKALPLSEVPDPIFAGGRLGDGVAIEPSNNTVVAPADAKVLMVQKSGHAVALRLDSGVEVLIHVGLDTVQLGGEGFDVHVTRNQKVTAGEPLITFDPQVVKAAGYPLITPVVVSNTKKFEKVEGHPADQVTADSVIISTTAKSEKSD</t>
  </si>
  <si>
    <t>MATNVKEVSEFILDKVGGAENITSLTHCATRLRFQLADQSKADQDALDNNPSVLGVVPQGTTGLQVVMGGDVAEYYKGIKALPGMGDD-DTKAAAASNKKEYGGVRGKYAFVDYAFEFLSDTFRPILWALLGASLVITLLVLFDTFGIQAFQDDIKTQPPVFQLLHATYQSVFYFLPIMVGACAARKLGANEWVGAAIPAAFLTPEFLAM-------------------GSRGDTVNVVGLPLVINTYSGQVFPPLIAAIGLFWVEKGLKKIIPSSVHMVFVPFLSLLIMVPLTAFLLGPFGIGVGNGIAAAFAAVNNFNTFILAIIIPLIYPFLVPLGLHWPLNAIMIQNIATYKEDVIQGPMGSWNFACFGVITGVLILSIKERNKSMQQVALGGTTAGLLGGISEPSLYGVLLRFKKSYSRLLPGCLAGGFVAGFFSIKAHAFVFTSLLTIPAMDPMLGYALSIAVAFGTSLTLVLMFDYRTPEEKAEALAKIAAEH---------GEAAPPAV--APAADDAPAVAASD----------------APADGSGVAT--LTKPV---KTALQSGAVTEITSPLEGEAVALKDVPDPIFAGAKLGKGVAIKPSGDTVFAPADATVLAVQKSGHAVGLRLDSGVELLVHVGIDTVQLGGEGFTVHVEAKQHVTAGTPLITFDTKFIESKGYNMITPVLVSNTKKFAEVEGFPTDHADTDTVVVKTTAKTAE--</t>
  </si>
  <si>
    <t>MATNVKEVSEFILDKVGGAENITSLTHCATRLRFQLADQSKADQDALDNNPSVLGVVPQGTTGLQVVMGGDVAEYYKGIKALPGMGDD-DTKAAAASNKKEYGGVRGKYAFVDYAFEFLSDTFRPILWALLGASLVITLLVLFDTFGIQAFRDDIKTQPPVFQLLHATYQSVFYFLPIMVGACAARKLGANEWVGAAIPAAFLTPEFLAM-------------------GSQGDTVNVVGLPLVINTYSGQVFPPLIAAIGLFWVEKGLKKIIPSSVHMVFVPFLSLLIMVPLTAFLLGPFGIGVGNGIAAAFAAVNDFSAFILAIIIPLIYPFLVPLGLHWPLNAIMIQNIATYGEDVIQGPMGSWNFACFGVITGVLILSIKERNKSMQQVALGGTMAGLLGGISEPSLYGVLLRFKKSYSRLLPGCLAGGFVAGFFSIKAHAFVFTSLLTIPAMDPMLGYALSIAVAFGTSLTLVLMFDYRTPEEKAEALAKIAAEH---------GEAAPPAV--APVADDAPAVAASD----------------APADGSGVAT--LTKPV---KTALQSGAVTEITSPLEGEAVALKDVPDPIFAGAKLGKGVAIKPSGDTVFAPADATVLAVQKSGHAVGLRLDSGVELLVHVGIDTVQLGGEGFTVHVEAKQHVTAGTPLITFDTKFIESKGYNMITPVLVSNTKKFAEVEGFPTDHADTDTVVVKTTAKTAES-</t>
  </si>
  <si>
    <t>GC_00000798</t>
  </si>
  <si>
    <t>MPAPFDPHPNFAEYAHPEKLVSASWLSARLGTPGLRVVESDEDSLLYDIGHIAGAVRIDWLKDLNDVEIRDYIDGEAFAELMRSKGIHPDDTIVVYGDKSNWWAAFTMWVFELFGHKDVRLLNGGRDAWMAEERDTSYEVPEFPRSDYPVPTRDDKTVRVFVDGVLKHI---------GKGP--------IIDARSHEEYTGELRNMEGYPQEGVQRPGHVPTAVSVPWNLSVYPNSRFRSRAELDEIYKDFDPNDPTVVYCRIGDRSAHSWFVLTYLLGFNNVRNYDGSWVEWGNMVRMPIVQGEQPGEPTA----------</t>
  </si>
  <si>
    <t>MPVPNDPSPEFKDYAHPERLVSASWLSARLGSPGLRVVESDEDALLYDIGHVPGALRIDWRTELNDPVIRDFIGPEDFAELMRSKGINRDDTVVIYGDKSNWWAAFTFWVFELFGHPDVRLLNGGRDAWIAEERDTSFAVPEYPRTTYPVPERDDAPSRAFSSDVLDHI---------GKGT--------ILDTRTPEEYVGNRTSFGSASDSAIARGGHIPTAVNVSWDRSVHPNSRFRSRTELEVIYAGLDPHSPTVTYCRVGDRSAHTWFVLKYLLGFENVRNYDGSWVEWGNMIRMPIYVGDEPGEFGQ----------</t>
  </si>
  <si>
    <t>MPVPNDPSPEFKDYAHPERLVSASWLSARLGSPGLRVVESDEDALLYDIGHVPGALRIDWRTELNDPVIRDFIGPEDFAELMRSKGINRDDTVVIYGDKSNWWAAFTFWVFELFGHPDVRLLNGGRDAWIAEERDTSFAVPEYPRTTYPVPERDDAPSRAFSSDVLDHI---------GKGT--------ILDTRTPEEYVGNRTSFGSASDSAIARGGHIPTAVNVSWDRSVHPNSRFRSRTELEEIYAGLDPHSPTVTYCRVGDRSAHTWFVLKYLLGFENVRNYDGSWVEWGNMIRMPIYVGDEPGEFGQ----------</t>
  </si>
  <si>
    <t>MPASFDPQPQFQNYAHPERLVSASWLSARLGTPGLRVVESDADPLQYDIGHIPGAVRIDWRRELNDPLSRDLLTAENFAALMSAKGINRDDTVVVYGDKANSWAAFTIWVFELFGHQDVRLLDGGRDAWMAEERDTSFVVPDYPPTQYPVVERDDVTNRAFVADVLAGITNLSKNGSEGQSSDTSDDTIAIVDVRNGKEYMGDIP--DNSPDSGVIRHGHIPSAINICWENSVLVNARFRSVSDLKAAFAPALKAEKVFVYCYQGHQAAHAWFVLKYLLGHNNVVNYDGSWAEWGNMIRMPVRKGSDPDNVEMSLSWTGTHML</t>
  </si>
  <si>
    <t>GC_00000799</t>
  </si>
  <si>
    <t>PF17760.6</t>
  </si>
  <si>
    <t>UvrA interaction domain</t>
  </si>
  <si>
    <t>K03701</t>
  </si>
  <si>
    <t>excinuclease ABC subunit A</t>
  </si>
  <si>
    <t>COG0178</t>
  </si>
  <si>
    <t>Excinuclease UvrABC ATPase subunit (UvrA) (PDB:2R6F)</t>
  </si>
  <si>
    <t>MADTLIVKGAREHNLKGVDIEIPRDTLTVFTGLSGSGKSSLAFDTIFAEGQRRYVESLSSYARQFLGQMDKPDVDFIEGLSPAVSIDQKSTNRNPRSTVGTITEVYDYLRLLYARAGTAHCPECDAVIERQTPQQIVDQVLRMDEGLKFQVLAPVVRTRKGEFVELFADLASQGYSRVMVDGQVHQLSDPPKLEKQVKHDIDVVVDRLQVKASQQKRLTDSVETALALADGVVVLDFVGLDDDDPNRVRRFSEKMACPNGHRLGVDELEPRSFSFNSPYGACPTCDGLGTALEVDVDLLVPDKQASLLKAIAPWASSPNHKYFDKLLTALAGEMGFDPKTPFDELSDEQRDAVLNGSSTRVNVRYKNRFGRMRSWTAAFEGVLPYLHRKIDTADSASQKDRLMEYMRFVPCPACDGARLRPEILSVRLASGAHGQMSIANLTRLSVADAAAFLNDLALGKREEMIAGAVLREIQARLKFLLDVGLNYLSLDRAAGTLSGGEAQRIRLATQIGSGLAGVLYVLDEPSIGLHQRDNQRLIATLEHLRDIGNTLIVVEHDEDTINAADWLIDIGPKAGEYGGEVVYQGKPSGILKARESITGQYLSGKRVLGVPDSRRPIDSERVLKVVGARENNLQDIDVTIPLGVLCAVTGVSGSGKSTLVNQILAKTLTNKLNKARQVPGRATRVEGIEHLDKLVQVDQSPIGRTPRSNPATYTGVFDKIRTLFAETTEAKVRGYKAGRFSFNVKGGRCEACSGDGTLKIEMNFLPDVYVPCEQCHGARYNRETLEVKYKGKSIAEVLDMPISEAAEFFAPITSIARYLNTLVDVGLGYVRLGQSATTLSGGEAQRVKLAAELQKRSNGRTIYILDEPTTGLHFEDIRKLMLVVQSLVDKGNSVLVIEHNLDVIKAADWVVDMGPEGGSGGGTVVAEGTPEQVAAVKQSHTGQFLKAMLA-</t>
  </si>
  <si>
    <t>MADRLVVRGAREHNLKGVDIDLPRDTMVVFTGLSGSGKSSLAFDTIFAEGQRRYVESLSSYARQFLGQMDKPDVDFIEGLSPAVSIDQKSTNRNPRSTVGTITEVHDYLRLLYARAGTAHCPKCDAVIERQTPQQIVDQILDMEEGLKFQVLAPVVRTRKGEFVDLFADLAAQGYSRVRVDGEVHQLSNPPKLEKQIKHDIDVVVDRLQVKPTQRQRLTDSVETALQLADGVVVFDFITLEDSDPHRTRRFSEKMACPNGHALAVDELEPRSFSFNSPYGACPACDGLGTALEVDLDLVIPDRDAPLLRAIQPWTTGFNVSYFEKLLTGLAVAMDFDPNTPFSELTSAQQKAVLHGSEHHVSVRYKNRYGRVRNWIAPFEGVLAYLKRKLENTDSESQKDRFLAYMREVPCSSCKGARLKPEILSVRLDSGAHGELSIAGVSALSVEGAAEFLSTLQLGKREEMIAGAVLKEIQARLKFLLDVGLNYLSLDRAAGTLSGGEAQRIRLATQIGSGLAGVLYVLDEPSIGLHQRDNQRLIATLEHLRDIGNTLIVVEHDEDTIKAADWLVDIGPRAGEYGGEVVYQGPPAGIVDSEESVTGAYLSGRKTLGVPDSRRPIDPDRQLTVVGAKENNLKNVDVSIPLGVLTCITGVSGSGKSTLINQILAKVLANRLNKARQVPGKATRVDGLQHLDKLVQVDQSPIGRTPRSNPATYTGVFDKIRTLFAETSEAKVRGYKPGRFSFNVKGGRCEACHGDGTLKIEMNFLPDVYVPCEVCQGARYNRETLEVKYKGKSISEVLDMPISEAAEFFEPITSISRYLNTLVEVGLGYVRLGQAATTLSGGEAQRVKLAAELQKRSNGRTIYILDEPTTGLHFEDIRKLMLVIQGLVDKGNSVLIIEHNLDVIKAADWIVDMGPEGGAGGGQVVAQGTPEDIAAVEASHTGKFLKELLAP</t>
  </si>
  <si>
    <t>MADRLVVRGAREHNLKGVDIDLPRDTMVVFTGLSGSGKSSLAFDTIFAEGQRRYVESLSSYARQFLGQMDKPDVDFIEGLSPAVSIDQKSTNRNPRSTVGTITEVHDYLRLLYARAGTAHCPKCDAVIERQTPQQIVDQILDMEEGLKFQVLAPVVRTRKGEFVDLFADLAAQGYSRVRVDGEVHQLSNPPKLEKQIKHDIDVVVDRLQVKPTQRQRLTDSVETALQLADGVVVFDFITLEDSDPHRTRRFSEKMACPNGHALAVDELEPRSFSFNSPYGACPACDGLGTALEVDLDLVIPDRDAPLLRAIQPWTTGFNVSYFEKLLTGLAVAMDFDPNTPFSELTSAQQKAVLHGSEHHVSVRYKNRYGRVRNWTAPFEGVLAYLKRKLDNTDSESQKDRFLAYMREVPCSSCKGARLKPEILSVRLDSGAHGELSIAGVSALSVEGAAEFLSTLQLGKREEMIAGAVLKEIQARLKFLLDVGLNYLSLDRAAGTLSGGEAQRIRLATQIGSGLAGVLYVLDEPSIGLHQRDNQRLIATLEHLRDIGNTLIVVEHDEDTIKAADWLVDIGPRAGEYGGEVVYQGPPAGIVDSEESVTGAYLSGRKTLGVPDSRRPIDPDRQLTVVGAKENNLKNVDVSIPLGVLTCITGVSGSGKSTLINQILAKVLANRLNKARQVPGKATRVDGLQHLDKLVQVDQSPIGRTPRSNPATYTGVFDKIRTLFAETSEAKVRGYKPGRFSFNVKGGRCEACHGDGTLKIEMNFLPDVYVPCEVCQGARYNRETLEVKYKGKSISEVLDMPISEAAEFFEPITSISRYLNTLVEVGLGYVRLGQAATTLSGGEAQRVKLAAELQKRSNGRTIYILDEPTTGLHFEDIRKLMLVIQGLVDKGNSVLIIEHNLDVIKAADWIVDMGPEGGAGGGQVVAQGTPEDVATVETSYTGKFLKELLAP</t>
  </si>
  <si>
    <t>MADRLIVRGAKEHNLKNININIPRNALTVFTGLSGSGKSSLAFDTIFAEGQRRYVESLSSYARQFLGQMDKPDVEFIEGLSPAVSIDQKSTNRNPRSTVGTITEIYDYLRLLYARAGTPHCPTCDAIIDRQTPQQIVDQVLEMEPGLRFQVLAPVVRTRKGEFVELFADLAAQGYARARVDGKTYQLTDPPTLKKQVKHDIDVIVDRLTVKPTQKQRLTDSIETALRLADGVVVLDFVSLADDHPHRVRRFSEKLACPNGHALGIDELEPRSFSFNSPYGACPTCDGLGMRQEIDIDLVIPDPSAPALTSVQPWYSSPNSKYFSQLIAGLGATMGFDPQTPYNQLPEEAQHALIHGSDDVVTVHYKNRYGRVRNWSAPFEGVLGYMNRKIETSESQTQKDRLLGYTREVACPACQGARLRPEILAVRMASENHGDLSIAGLAELSVAEAAEFLSGLVLGPREQLIAGAVLKEIQARLQFLIDVGLTYLTLNRAAGTLSGGEAQRIRLATQIGSGLAGVLYVLDEPSIGLHQRDNQRLIATLERLRDIGNTLIVVEHDEDTIKAADWLVDIGPQAGEYGGEVVYQGEPAGIGECEKSLTGAYLAGRRQLGVPNQRRPIDPDRKLTVVGARENNLKGIDVDIPLGVLVCVTGVSGSGKSTVVNQILARTLANKLNRARQVPGRAVRVDGVEHLDKLVQVDQSPIGRTPRSNPATYTGVFDKIRGLFAETTEAKVRGYKPGRFSFNVKGGRCEACQGDGTLKIEMNFLPDVYVPCEVCHGARYNRETLEVRYKGKNIAEVLEMPIAEAVEFFQPITAIHRYLHTLTEVGLGYVRLGQAATTLSGGEAQRVKLAAELQKRSNGRTIYILDEPTTGLHFEDIRKLMLVIQSLVDKGNSVIIIEHNLDVIKAADWIIDMGPEGGAGGGEIVAAGTPEEVAQVAGSYTGAFLAPLLA-</t>
  </si>
  <si>
    <t>MADRLIVRGAKEHNLKNININIPRNALTVFTGLSGSGKSSLAFDTIFAEGQRRYVESLSSYARQFLGQMDKPDVEFIEGLSPAVSIDQKSTNRNPRSTVGTITEIYDYLRLLYARAGTPHCPTCDAIIDRQTPQQIVDQVLEMEAGLRFQVLAPVVRTRKGEFVELFADLAAQGYARARVDGKTYQLTDPPTLKKQVKHDIDVIVDRLTVKPTQKQRLTDSIETALRLADGVVVLDFVSLADDHPHRVRRFSEKLACPNGHALGIDELEPRSFSFNSPYGACPTCDGLGMRQEIDIDLVIPDPSAPALTSVQPWYSSPNSKYFSQLIAGLGATMGFDPQTPYNQLPEEAQHALIHGSDDVVTVHYKNRYGRVRNWSAPFEGVLGYMNRKIETSESQTQKDRLLGYTREVACPACQGARLRPEILAVRMASEHHGDLSIAGLAELSVAEAAEFLSGLVLGPREQLIAGAVLKEIQARLQFLIDVGLTYLTLNRAAGTLSGGEAQRIRLATQIGSGLAGVLYVLDEPSIGLHQRDNQRLIATLERLRDIGNTLIVVEHDEDTIKAADWLVDIGPQAGEYGGEVVYQGEPAGIGECEKSLTGAYLAGRRKLGVPNQRRPIDPDRKLTVVGARENNLKGIDVDIPLGVLVCVTGVSGSGKSTVVNQILARTLANKLNRARQVPGRAVRVDGVEHLDKLVQVDQSPIGRTPRSNPATYTGVFDKIRGLFAETTEAKVRGYKPGRFSFNVKGGRCEACQGDGTLKIEMNFLPDVYVPCEVCHGARYNRETLEVRYKGKNIAEVLEMPIAEAVEFFQPITAIHRYLHTLTEVGLGYVRLGQAATTLSGGEAQRVKLAAELQKRSNGRTIYILDEPTTGLHFEDIRKLMLVIQSLVDKGNSVIIIEHNLDVIKAADWIIDMGPEGGAGGGEIVAAGTPEEVAQVAGSYTGAFLAPLLA-</t>
  </si>
  <si>
    <t>GC_00000800</t>
  </si>
  <si>
    <t>PF00579.31</t>
  </si>
  <si>
    <t>tRNA synthetases class I (W and Y)</t>
  </si>
  <si>
    <t>K01866</t>
  </si>
  <si>
    <t>tyrosyl-tRNA synthetase [EC:6.1.1.1]</t>
  </si>
  <si>
    <t>COG0162</t>
  </si>
  <si>
    <t>Tyrosyl-tRNA synthetase (TyrS) (PDB:4OUD)</t>
  </si>
  <si>
    <t>KEGG Orthology (KO)&gt;&gt;&gt;09120 Genetic Information Processing&gt;&gt;&gt;09122 Translation&gt;&gt;&gt;00970 Aminoacyl-tRNA biosynthesis [PATH:ko00970]|Enzymes&gt;&gt;&gt;6. Ligases&gt;&gt;&gt;6.1  Forming carbon-oxygen bonds&gt;&gt;&gt;6.1.1  Ligases forming aminoacyl-tRNA and related compounds&gt;&gt;&gt;6.1.1.1  tyrosine---tRNA ligase|Amino acid related enzymes&gt;&gt;&gt;Aminoacyl-tRNA synthetase&gt;&gt;&gt;Class I (A)|Transfer RNA biogenesis&gt;&gt;&gt;Eukaryotic type&gt;&gt;&gt;Aminoacyl-tRNA synthetases (AARSs)&gt;&gt;&gt;Other AARSs|Transfer RNA biogenesis&gt;&gt;&gt;Prokaryotic type&gt;&gt;&gt;Aminoacyl-tRNA synthetases (AARSs)&gt;&gt;&gt;Other AARSs|Mitochondrial biogenesis&gt;&gt;&gt;Mitochondrial DNA transcription, translation, and replication factors&gt;&gt;&gt;Mitochondrial transcription and translation factors&gt;&gt;&gt;Other mitochondrial DNA transcription and translation factors</t>
  </si>
  <si>
    <t>MFSLMSNDTTAPAHTNIIDELSWRGLINQSTDLDALREAAEQPITLYCGFDPTGPSLHAGHLVPLLMLRRFQKAGHTPIALAGGATGMIGDPRDVGERSMLSEETIQDNIERIKVQLARFVDFGSTGDGGEGKAVLVNNADWTRGLDVISFLRDVGKHFSLNTMLNRETVKRRLDNDGISYTEFSYMLLQSNDYVHLHRDFGCDLQIGGGDQWGNIVSGVDLVRRVTGDSVHALTVPLVTDSEGNKFGKSTGGGKLWLDPEMTSPYAWYQYFLNAADADVIKYLRWFTFLSKEELDALAAEVEERPFKREAQRRLAREMTNLVHGVEATDAVELAAQALFGKADLAELDEKTLAAALAEAGVVELEAAGSRSVVDVVVASGLCASKGEARRTIKEGGCYVNNERVADEDATIDDAALLSGGYVVLRRGKKNFAGARFV</t>
  </si>
  <si>
    <t>------------MTNNIIDELQWRGLINQSTDLEQLREACEQPITLYCGFDPTGPSLHAGHLVPLLMLRRFQQAGHNPIVLAGGATGMIGDPRDVGERAMLADDQVAEWADRIINQLSRFVDF-----DGEHAARLVNNNDWTKNLSVTQFLRDVGKHFSLNTMLARDTVKRRLDNDGISYTEFSYMLLQANDYVQLHNTYGCSLQIGGGDQWGNIVSGVDLNRRINGATVHALTVPLVTDADGNKFGKSTGGGK</t>
  </si>
  <si>
    <t>------------MTNNIIDELQWRGLINQSTDLDQLREACEQPITLYCGFDPTGPSLHAGHLVPLLMLRRFQQAGHNPIVLAGGATGMIGDPRDVGERAMLADDQVAEWADRIINQLSRFVDF-----DGEHAARLVNNNDWTKNLSVTQFLRDVGKHFSLNTMLARDTVKRRLDNDGISYTEFSYMLLQANDYVQLHNAYGCSLQIGGGDQWGNIVSGVDLNRRINGATVHALTVPLVTDADGNKFGKSTGGGK</t>
  </si>
  <si>
    <t>--------------MNIVDELLWRGLINQATDVDELRAACEQPITLYCGFDPTGASLHAGHLVPLIMLKRFQNAGHRVLTLAGGATGMIGDPRDVGERSMLSEEEIAHNIAAIQDQIRSFIDY------TDGKAIMVNNADWLGKFSLIDYLRDLGKNFSLNTMLDRETVKRRLGSDGISYTEFSYMLLQSYDYVHLNREYDCVLQIGGGDQWGNIVSGVDLNRRMNQTKVHGLTVPLVTDAQGQKFGKSTGGGK</t>
  </si>
  <si>
    <t>GC_00000801</t>
  </si>
  <si>
    <t>PF01180.27</t>
  </si>
  <si>
    <t>Dihydroorotate dehydrogenase</t>
  </si>
  <si>
    <t>K00254</t>
  </si>
  <si>
    <t>dihydroorotate dehydrogenase [EC:1.3.5.2]</t>
  </si>
  <si>
    <t>COG0167</t>
  </si>
  <si>
    <t>Dihydroorotate dehydrogenase (PyrD) (PDB:1GT8)</t>
  </si>
  <si>
    <t>KEGG Orthology (KO)&gt;&gt;&gt;09100 Metabolism&gt;&gt;&gt;09104 Nucleotide metabolism&gt;&gt;&gt;00240 Pyrimidine metabolism [PATH:ko00240]|Enzymes&gt;&gt;&gt;1. Oxidoreductases&gt;&gt;&gt;1.3  Acting on the CH-CH group of donors&gt;&gt;&gt;1.3.5  With a quinone or related compound as acceptor&gt;&gt;&gt;1.3.5.2  dihydroorotate dehydrogenase (quinone)</t>
  </si>
  <si>
    <t>------MAHPIRTKAYSLALKAMFQLKPERIHVLMNDGLSALHWAT-PVNRILNKMLPVHDERLAQEVFGVRFPRPLGLAAGFDKNASAADVWSPIGFGFAELGTVTASPQPGNPTPRLFRLPEDKAILNRMGFNNKGAAAAADNLRRRQSNDVIGINIGKTKVVPPEGAVDDYRRSATLLGNLADYLVVNVSSPNTPGLRDLQAVESLRPILQAVQEATNVPVLVKIAPDLSDEDVDAVADLAVELGLAGIVAT</t>
  </si>
  <si>
    <t>------MHHPFRTKAYAAALKVMFMLSPERIHHLMVNGLGALQLAS-PVNRVLSKKLAVQDPILSQEVFGVTFPRPLGLAAGFDKNASCADVWTAVGFGYSELGTVTASPQPGNPTPRLFRLPRDKAILNRMGFNNEGAAAVADNLRRRRSHDVIGINIGKTKVVPAEQAVSDYRRSASLLGDLADFLVVNVSSPNTPGLRDLQAVESLRPILVAVQESTRVPVLVKIAPDLSDEDVDAVADLAVDLGLAGIVAT</t>
  </si>
  <si>
    <t>MTSYSITPHPWRTKAYALALKGMFRLSPERIHGIISAALRVLQATPRPVNRLVGKIVQVNDPILSQEVFGTVFPQPLGLAAGFDKNGRLADVWHTIGFGYAELGTVTAAGQPGNPAPRLFRLPKDKAILNRMGFNNEGAADVAFHLRHRKTRAVVGINIGKTKVVDAAAAADDYRRSASLLGDLAQFLVVNVSSPNTPGLRDLQAVESLRPILQAVQEATNTPVLVKIAPDLSDEDVDAVADLALELGLDGIVATNTTISRDGLVTPESQVAAMGPGGISGPPVADRALEVLKRLRGRVGDSLVLIGVGGISTPKDAWERIAAGATLVQGYTGLIYGGLDWIRDIHLGIAAQLRAYGLNNISEAVGSNLPWTLD--</t>
  </si>
  <si>
    <t>MTSYSITPHPWRTKAYALALKGMFRLSPERIHGIISAALRVLQATPRPVNRLVGKIVQVNDPILSQEVFGTVFPQPLGLAAGFDKNGRLADVWHTIGFGYAELGTVTAAGQPGNPAPRLFRLPKDKAILNRMGFNNEGAADVAFHLRHRKTRAVVGINIGKTKVVDAAAAADDYRRSASLLGDLAQFLVVNVSSPNTPGLRDLQAVESLRPILQAVQGATNTPVLVKIAPDLSDEDVDAVADLALELGLDGIVATNTTISRDGLVTPESQVAAMGPGGISGPPVADRALEVLKRLRGRVGDSLVLIGVGGISTPKDAWERIAAGATLVQGYTGLIYGGLDWIRDIHLGIAAQLRAYGLNNISEAVGSNLPWTLD--</t>
  </si>
  <si>
    <t>GC_00000802</t>
  </si>
  <si>
    <t>PF01220.24</t>
  </si>
  <si>
    <t>Dehydroquinase class II</t>
  </si>
  <si>
    <t>K03786</t>
  </si>
  <si>
    <t>3-dehydroquinate dehydratase II [EC:4.2.1.10]</t>
  </si>
  <si>
    <t>COG0757</t>
  </si>
  <si>
    <t>3-dehydroquinate dehydratase (AroQ) (PDB:1D0I)</t>
  </si>
  <si>
    <t>KEGG Orthology (KO)&gt;&gt;&gt;09100 Metabolism&gt;&gt;&gt;09105 Amino acid metabolism&gt;&gt;&gt;00400 Phenylalanine, tyrosine and tryptophan biosynthesis [PATH:ko00400]|Enzymes&gt;&gt;&gt;4. Lyases&gt;&gt;&gt;4.2  Carbon-oxygen lyases&gt;&gt;&gt;4.2.1  Hydro-lyases&gt;&gt;&gt;4.2.1.10  3-dehydroquinate dehydratase</t>
  </si>
  <si>
    <t>---MLIYVLNGPNLDRLGKRQPDIYGTTTLEDVLEGMQQRAEELGAELVCVQSNHEGVLIDAVHEAADKQAAVIINPGGFTHTSVALRDALAEIADGQGFVEVHISNVHAREPFRHHSYLSPIARAVIAGCGTQGYELALRYLCADAN----</t>
  </si>
  <si>
    <t>MNNTAVVVLNGPNLNRLGKRQPDVYGTTTLADVEATLRKRAKDYGIDLDFKQSNSEAELIDWVHDAADRRAAVIINPGGLTHTSVALRDALAEIADGAGFIEVHISNVHAREEFRHHSYLSPIAIGVIAGLGVKGYELALEYFAGPVWGSLI</t>
  </si>
  <si>
    <t>MNNTAVVVLNGPNLNRLGKRQPDVYGTTTLADVEATLRKRAEDYGIDLDFKQSNSEAELIGWVHDAADRRAAVIINPGGLTHTSVALRDALAEIADGAGFIEVHISNVHAREEFRHHSYLSPIAIGVIAGLGVKGYELALEYFAGPVWGSLI</t>
  </si>
  <si>
    <t>---MHIMVLNGPNLNRLGKRQPDVYGHTTLTDVTDMVTTHAAQHGIEVTCRQSNHEGELIDWVHEAADNGWPVIINPGGFTHTSVALRDALAEVADTSGFVEVHISNVHAREPFRQKSLLSPIAVGVIAGLGVDGYRLAIDYFARR------</t>
  </si>
  <si>
    <t>---MHIMVLNGPNLNRLGKRQPDVYGHTTLADVTDMVTTHAAQHGIEVTCRQSNHEGELIDWVHEAADNGWPVIINPGGFTHTSVALRDALAEVADTSGFVEVHISNVHAREPFRQKSLLSPIAVGVIAGLGVEGYRLAIDYFARR------</t>
  </si>
  <si>
    <t>GC_00000803</t>
  </si>
  <si>
    <t>PF17392.7</t>
  </si>
  <si>
    <t>Urocanase C-terminal domain</t>
  </si>
  <si>
    <t>K01712</t>
  </si>
  <si>
    <t>urocanate hydratase [EC:4.2.1.49]</t>
  </si>
  <si>
    <t>COG2987</t>
  </si>
  <si>
    <t>Urocanate hydratase (HutU) (PDB:1UWK)</t>
  </si>
  <si>
    <t>KEGG Orthology (KO)&gt;&gt;&gt;09100 Metabolism&gt;&gt;&gt;09105 Amino acid metabolism&gt;&gt;&gt;00340 Histidine metabolism [PATH:ko00340]|Enzymes&gt;&gt;&gt;4. Lyases&gt;&gt;&gt;4.2  Carbon-oxygen lyases&gt;&gt;&gt;4.2.1  Hydro-lyases&gt;&gt;&gt;4.2.1.49  urocanate hydratase</t>
  </si>
  <si>
    <t>MSETTTNTNGSRVIRAPRGTELNAKSWQTEAPLRMLMNNLDPEVAERPEELVVYGGTGKAARNWEAFDTIVETLKTLEDDETLLVQSGKPVGVFRTNEWAPRVLIANSNLVGDWATWPEFRKLEAEGLMMYGQMTAGSWIYIATQGILQGTFETFAAIARKRFGGTLKGTITLTGGCGGMGGAQPLAVTLNGGVCIIVDADRSRLERRQSKRYLGCVADSLDDAVSRALAAQAAGEALSIGVEGNAAEIFPELLRRHRAGEIKVDIVTDQTSAHDPLSYLPIEVAFEDWHREAAEDPITFTKKARESMAAQVQAMVEFQDEGAEVFDYGNSIRDEARQAGYNRAFEFPGFVPAYIRPLFCEGNGPFRWAALSGDPEDIRVTDQALKELFPDNEHLHRWLDAAEEFVEFEGLPARICWLGYGERHKAGMLFNKLVREGKLKAPVVIGRDHLDSGSVASPYRETESMLDGSDAIADWPLLNALTSTSSGATWVSLHHGGGVGIGRSIHAGQVIVADGTDLAEKKLERVLTNDPGMGVIRHVDAGYNRADEVARERGVRIPMPFNSRENTDN</t>
  </si>
  <si>
    <t>-------MNAPREVRAPRGTELNAKSWQTEAPLRMLMNNLDPEVAERPEDLVVYGGTGRAARSWEAFDAIVETLKDLEDDETLLVQSGKPVGVWRTNPWAPRVLIANSNLVGDWATWPEFRKLEAEGLIMYGQMTAGSWIYIATQGILQGTFETFAAIARKRFDGTLAGTLTLTGGCGGMGGAQPLAVTLNGGVCIIADVDEARLKRRQAKRYLDVVATDLNEAIALATEAKEQKKPLSVGVVGNASEVFPEMLL</t>
  </si>
  <si>
    <t>-------MNAPREVRAPRGTELNAKSWQTEAPLRMLMNNLDPEVAERPEDLVVYGGTGRAARSWEAFDAIVETLKDLEDDETLLVQSGKPVGVWRTNPWAPRVLIANSNLVGDWATWPEFRKLEAEGLIMYGQMTAGSWIYIATQGILQGTFETFAAIARKRFGGTLAGTLTLTGGCGGMGGAQPLAVTLNGGVCIIADVDEARLKRRQAKRYLDVVATDLNEAIALATEAKEQKKPLSVGVVGNASEVFPEMLL</t>
  </si>
  <si>
    <t>------MTAGPREVRAPRGTTLTAKSWQTEAPMRMLMNNLDPEVAERPNDLVVYGGTGKAARNWDAFDAIIAALKDLNTDETLLIQSGKPVAVWKTNPWAPRVLIANSNLVGDWATWPEFRKLEAEGLIMYGQMTAGSWIYIATQGILQGTFETFGAIARKRFGGSLAGTITLTGGCGGMGGAQPLAVTLNGGVCIIADVDKARLERRHAKRYLDTIATDLDDAITQANQAKADKRALSIGVVANAADVFPELLA</t>
  </si>
  <si>
    <t>------MTAGPREVRAPRGTTLTAKSWQTEAPMRMLMNNLDPEVAERPNDLVVYGGTGKAARNWDAFDAIIAALKDLNTDETLLIQSGKPVAVWKTNPWAPRVLIANSNLVGDWATWPEFRKLEAEGLIMYGQMTAGSWIYIATQGILQGTFETFGAIARKRFGGSLAGTITLTGGCGGMGGAQPLAVTLNGGVCIIADVDKTRLERRHAKRYLDTIATDLDDAITQANQAKADKRALSIGVVANAADVFPELLA</t>
  </si>
  <si>
    <t>GC_00000804</t>
  </si>
  <si>
    <t>K00604</t>
  </si>
  <si>
    <t>methionyl-tRNA formyltransferase [EC:2.1.2.9]</t>
  </si>
  <si>
    <t>COG0223</t>
  </si>
  <si>
    <t>Methionyl-tRNA formyltransferase (Fmt) (PDB:1FMT)</t>
  </si>
  <si>
    <t>KEGG Orthology (KO)&gt;&gt;&gt;09120 Genetic Information Processing&gt;&gt;&gt;09122 Translation&gt;&gt;&gt;00970 Aminoacyl-tRNA biosynthesis [PATH:ko00970]|Enzymes&gt;&gt;&gt;2. Transferases&gt;&gt;&gt;2.1  Transferring one-carbon groups&gt;&gt;&gt;2.1.2  Hydroxymethyl-, formyl- and related transferases&gt;&gt;&gt;2.1.2.9  methionyl-tRNA formyltransferase</t>
  </si>
  <si>
    <t>MRLVFAGTPEPAVVALEALLASEHDVVAVLTRPDARRGRGRSLQPSPVAQCALEHGIEVLRPTSLKPDTDDGVEIRQRLEELAPDCIPVVAYGNLITPDLLDIAPHGWVNLHFSLLPQWRGAAPVQAAIKAGQSSTGVSTFRIDEGLDTGPVIDMREYAIEGTDTADDLLTRLAYRGAELLVDTMDQLGRGTAVLRAQSGEASYAPKITKEDARIDWHQSTKAIDCAIRAHTPAPGAWTLLGDQRFKIGPVVPAQEPGL---EPGLIKTTKSSVFVGTGDGAVRLGALQAPGKKMVAAEDFARGTDI---DGMRFS</t>
  </si>
  <si>
    <t>MRIVFAGTPDPAVVALQHLIDSGHDVVGVITRPDARKGRGRTMHLSPVAALAEKHAIPMVKPTSLKPGTEDGDDVRERLRQWQPECIPVVAYGNLITSDLLDVAPHGWVNLHFSLLPAWRGAAPVQAAILHGDEITGASTFRIEQGLDTGPVLGSITEPIHPTDTSDDLLTRLAYKGAELLVATLDGLEAGTVVARPQDGTATYAPKIDKHDARIDWQQPAHMIDRQIRAHTPAPGAWTMMGEDRVKVGPVTQASPEGSTPDHPGHVVVTKRGVFVGTGTDPVQLGQMQVPGKKMMSASDWARGAQVHGDEGVVWQ</t>
  </si>
  <si>
    <t>MRIVFAGTPDPAVVALQHLIDSGHDVVGVITRPDARKGRGRTIHPSPVAALAEKHALPVVKPTSLKPGTEDGDDVRERLRQWQPECIPVVAYGNLITSDLLGVAPHGWVNLHFSLLPAWRGAAPVQAAILHGDDITGASTFRIEQGLDTGPVLGSITEPIHPTDTSDDLLTRLAYKGAELLVATLDGLEAGTVVARPQDGTATYAPKIDKQDAHIDWQQPAHVIDRKIRAHTPAPGAWTMMGEDRVKVGPVTQASPEGSAPDHPGHVVVTKRGVFVGTGTDPVQLGQMQVPGKKMMSASDWARGAQVHGDEGVVWQ</t>
  </si>
  <si>
    <t>MRIIFAGTPEPAACALTALLASNHDVIAVITRPDARKGRGRTYYPSPVKELATSHDIPVLTPTSLR----DNDEFRSELRRLKPDCVPVVAYGNLIPQDVLDLVPYGFINLHFSLLPRWRGAAPVQAAIHAGDAVTGATTFRIDPGLDTGDIIGQLTEPIDPADTADSLLERLAHRGANLLTHTMDMIADGTAEYRPQDGVATHAHKITVADARVDWTQPAESIDRAIRAVTSSPGAWSTIGEQRIKLGPVTHTTDPHM---QPGDIHVAKNRILVGTGTTPVSLGRVQPSGKKPMPAADWARGTMI---EGKRFE</t>
  </si>
  <si>
    <t>MRIIFAGTPEPAACALTALLASNHDVIAVITRPDARKGRGRTYYPSPVKELATSHDIPVLTPTSLR----DNDEFRSELRRLKPDCVPVVAYGNLIPQDVLNLVPCGFINLHFSLLPRWRGAAPVQAAIHAGDAVTGATTFRIDPGLDTGDIIGQLTEPIDPADTADSLLERLAHRGANLLTRTMDMIADGTAEYRPQDGVATHAHKITVADARVDWTQPAESIDRAIRAVTSSPGAWSTIGEQRIKLGPVTHTTDPHM---RPGDIHVAKNRILVGTGTTPVSLGRVQPSGKKPMPAADWARGTMI---EGKRFE</t>
  </si>
  <si>
    <t>GC_00000805</t>
  </si>
  <si>
    <t>K13498</t>
  </si>
  <si>
    <t>indole-3-glycerol phosphate synthase / phosphoribosylanthranilate isomerase [EC:4.1.1.48 5.3.1.24]</t>
  </si>
  <si>
    <t>COG0134|COG0135</t>
  </si>
  <si>
    <t>Indole-3-glycerol phosphate synthase (TrpC) (PDB:6BMA)|Phosphoribosylanthranilate isomerase (TrpF) (PDB:1DL3)</t>
  </si>
  <si>
    <t>Aromatic amino acid biosynthesis|Aromatic amino acid biosynthesis</t>
  </si>
  <si>
    <t>KEGG Orthology (KO)&gt;&gt;&gt;09100 Metabolism&gt;&gt;&gt;09105 Amino acid metabolism&gt;&gt;&gt;00400 Phenylalanine, tyrosine and tryptophan biosynthesis [PATH:ko00400]|Enzymes&gt;&gt;&gt;4. Lyases&gt;&gt;&gt;4.1  Carbon-carbon lyases&gt;&gt;&gt;4.1.1  Carboxy-lyases&gt;&gt;&gt;4.1.1.48  indole-3-glycerol-phosphate synthase|Enzymes&gt;&gt;&gt;5. Isomerases&gt;&gt;&gt;5.3  Intramolecular oxidoreductases&gt;&gt;&gt;5.3.1  Interconverting aldoses and ketoses, and related compounds&gt;&gt;&gt;5.3.1.24  phosphoribosylanthranilate isomerase</t>
  </si>
  <si>
    <t>MSNHTAGL-PTVLEEIVATRRTHLPEIRARVAGV-EP---EPSTRSLFDSLNQGLGGRRFIMECKSSSPSLGMIREAYNPGDIARIYSCYAAGISVLCEPTRFGGSYDHLATVAASTHLPVLCKDFIIDVAQVKAARVYGADAILLMLSVLSDEEYRQLSAEAERYGLDVLTEVIDADEVARAIALGAKIFGCNNRNLHDLSIDRGRTARLAPLVPAGAVFISESGIRTNEHVKDITRFVNGFLVGSQLTGESDVDRAARELVYGPTKVCGLRTPSAAQAARAAGATYGGVICESASPRNVSRETIEKITAAEPGLTYVAVSRRT--ENFSELNNLPEVDVLQVHAP-NVTVSEELDLIARARAEAPD-LQIWRAVNMADPQAHT-----------------------IIEALVDQGIVTMFVLDNGNGGTGNHFDWSSLNLSSEVLSRCLIAGGIEPDNAAAALSTGVAGVDLNSGVEYTAEVVAGAPELAHHKDPSRIRAALEAVRTFTPSH---</t>
  </si>
  <si>
    <t>-----MGDMPTVLESIVTARRGHLADIQRRIAHV-DPATLAASTRSLYDSLGSRGEGR-FIMECKSASPSLGLIRADYHPGDIARIYSRYAAGISVLCEPDRFGGDYDHLATVAASTHLPVLCKDFIIDTVQIHAARYFGADAVLLMLSVLDDEEYSALSAEAARLGMDVLTEAIDAEEVHRALRLGARIIGINHRNLHDLSIDLSRTAELAPLVPEDVALIAESGIRDHATVRMLGGMVNGFLVGSQLTSRPDV</t>
  </si>
  <si>
    <t>-----MGDMPTVLESIVTARRGHLADIQRRIAHV-DPATLAASTRSLYDSLGSRGEGR-FIMECKSASPSLGLIRADYHPGDIARIYSRYAAGISVLCEPDRFGGDYDHLATVAASTHLPVLCKDFIIDAVQIHAARYFGADAVLLMLSVLDDEEYSALSAEAARLGMDVLTEAIDAEEVHRALRLGARIIGINHRNLHDLSIDLSRTAELAPLVPEDVALIAESGIRDHATVRMLGGMVNGFLVGSQLTSQPDV</t>
  </si>
  <si>
    <t>MHNHTPDTTPTILADIVRARRTHLPDIAHRIRNIPEP---QPSTRSLYHNLKAGGA---FIMECKSASPSLGLIRADYNPSAIAQIYSQYAAGISVLCEPERFGGDYDHLAAVAATTHLPVLCKDFIIDPIQIRAARHYGADAILLMLSVLTDAEYRTLAAEAHRWNLDILTEVITKTEVTRAINLGANIFGINNRNLHDLSIDLTRTPTLARHVPDDAVIISESGIRNNATVRTLKPYVHGFLVGSQLTSQPNIDYAARELIYGTTKICGLTSPAAAQAARAAGATHGGLIFEQASPRAITPTTARTIIAAEPGLKFVAVSRSTNPEEWAELAAIPGIATLQIHSPYQGSTDAEHALIDTIRQATGNRAEIWRAVSMTGPTGTAGTANQPGESDQAGPASQAEAGQEWARAVAD--RVDKLVLDAGDGGSGTSFNWET--IPAELAGKTLLAGGINPQNLAEALAAGTAGLDLNSGFEYAPG----------KKDTGALNSAFDIIRAYYPHDPRA</t>
  </si>
  <si>
    <t>MHNHTPDATPTILADIVRARRTHLPNIAHRIRNIPEP---QPSTRSLYHNLKAGNA---FIMECKSASPSLGLIRADYNPSTIAQIYSQYAAGISVLCEPERFGGDYDHLAAVAATTHLPVLCKDFIIDPIQIRAARHYGADAILLMLSVLTDAEYRTLAAEAHRWNLDILTEVITETEVARAINLGANIFGINNRNLHDLSIDLTRTPTLARHVPDDAVIISESGIRNNVTVRTLKPYVHGFLVGSQLTSQPSIDYAARELIYGTTKICGLTSPAAAQAARAAGATHGGLIFEQASPRAITPTTARTIIAAEPGLKFVAVSRSTNAEEWAELAAIPGIAALQIHSPYQGSVDAEHALIDTIRQATGNRAEIWRAVSMTGPTGTAGTANQPGESDQAGPASQAEAGQEWARAVAD--RVDKLVLDAGDGGSGTSFNWET--IPAELAGKTLLAGGINPQNLAEALAAGTAGLDLNSGFEYAPG----------KKDTGALNSAFDIIRAYYPHDPRA</t>
  </si>
  <si>
    <t>GC_00000806</t>
  </si>
  <si>
    <t>PF09819.14</t>
  </si>
  <si>
    <t>ABC-type cobalt transport system, permease component</t>
  </si>
  <si>
    <t>K16925</t>
  </si>
  <si>
    <t>COG4721</t>
  </si>
  <si>
    <t>ABC-type thiamine/hydroxymethylpyrimidine transport system, permease component (YkoE) (PDB:5EDL)</t>
  </si>
  <si>
    <t>Transporters&gt;&gt;&gt;ABC transporters, prokaryotic type&gt;&gt;&gt;Metallic cation, iron-siderophore and vitamin B12 transporters&gt;&gt;&gt;Energy-coupling factor transporter</t>
  </si>
  <si>
    <t>----------------MSFASSEPSAQPSTQPQFGATPRRSWRAIDIIVACVLSVAIGLIFWVWNTVGVIWGDSLSALTPGLHGLALGIWLLGGPMVMLVIRKPGAAFIGELLAASVSASLGSVWGIGVLYSGLAQGLGAELIFLIFAYRRFGAGVAMLAGAGAGLGAVILELFMYGNLAKSIEFNVIYGITSMISGAILAGLLSFFLVRALAQTGALDKFPAGRERMKTV--</t>
  </si>
  <si>
    <t>-----------------------------------MKKMMTWRVVDIVVAAVLGVACGLLFWVWNSIGYAWYTAAQAITPGFGGIATGIWLIGGVLGALVIRKPGAAIFVEVVAACVSAVLGNQWGIETVYSGLAQGLGAELMFAIFVYRRFSLPVAVLGGIGAAVGGWALELVTSANYAMSVTFNVIYLSTMCVSGALLAGALGFVLVRGLAATGALDRFAVGRERQRLV--</t>
  </si>
  <si>
    <t>-----------------------------------MKKMMTWRVVDIVVAAVLGVACGLLFWVWNSIGYAWYTAAQAITPGFGGIATGIWLIGGVLGALVIRKPGAAIFVEVVAACVSAVLGNQWGIETVYSGLAQGLGAELMFAIFVYRRFSLPVAVLGGIGAAVGGWALELVTSANYAMSVTFNVIYLSTMCISGALLAGALGFVLVRGLAATGALDRFAVGRERQRLV--</t>
  </si>
  <si>
    <t>MTQNMVRRIVEPDPGHTGARKKEIMNMANTISSNPARPLLAWRVIDIIIAAVFAVAIGLIFWVWNSVGYAWYTAANAVTPGLGGIATGIWLLGGVVGGLVIRKPGAAIFVEVVAACVSAGIGNQWGIETVYSGLAQGLGAELIFAVFVYRKFGLVTSVLAGMGSAVGAFVLELFISGNAAKGMAYNTMYLGSLLVSGAVLAGGVGYFLVISLARTGALDRFAVGRERRAVVDA</t>
  </si>
  <si>
    <t>MTQNMVRRIVEPDPGHTGARKKEIMNMANTISSNPARPLLAWRVIDIIIAAVFAVAIGLIFWVWNSVGYAWYTAANAVTPGLGGIATGMWLLGGVVGGLVIRKPGAAIFVEVVAACVSAGIGNQWGIETVYSGLAQGLGAELIFAVFVYRKFGLVTSVLAGMGSAVGAFVLELFISGNAAKGMAYNTMYLGSLLVSGAVLAGGVGYFLVISLARTGALDRFAVGRERRAVVDA</t>
  </si>
  <si>
    <t>GC_00000807</t>
  </si>
  <si>
    <t>PF00857.26</t>
  </si>
  <si>
    <t>Isochorismatase domain</t>
  </si>
  <si>
    <t>H|R</t>
  </si>
  <si>
    <t>Coenzyme transport and metabolism|General function prediction only</t>
  </si>
  <si>
    <t>K08281</t>
  </si>
  <si>
    <t>nicotinamidase/pyrazinamidase [EC:3.5.1.19 3.5.1.-]</t>
  </si>
  <si>
    <t>COG1335</t>
  </si>
  <si>
    <t>Nicotinamidase-related amidase (PncA) (PDB:1ILW)</t>
  </si>
  <si>
    <t>KEGG Orthology (KO)&gt;&gt;&gt;09100 Metabolism&gt;&gt;&gt;09108 Metabolism of cofactors and vitamins&gt;&gt;&gt;00760 Nicotinate and nicotinamide metabolism [PATH:ko00760]|Enzymes&gt;&gt;&gt;3. Hydrolases&gt;&gt;&gt;3.5  Acting on carbon-nitrogen bonds, other than peptide bonds&gt;&gt;&gt;3.5.1  In linear amides&gt;&gt;&gt;3.5.1.19  nicotinamidase</t>
  </si>
  <si>
    <t>MRALIVVDVQPDFCPGGPLATSQGDAVAAGIAQYIRNNAGRYDAIVSTQDWHIDPGSHFSETPDFKDSWPVHCVADTSGAALHPSLDSVVDSIEAHFLKGEYSAAYSGFEGHLAGSETTLAQWLQGRGITDVDVCGIATDYCVRATATDALAEGFDVRVLQDLCSAVAEDAGQQALSALEGSGAAIASTSE</t>
  </si>
  <si>
    <t>MRALIIVDVQNDFCPGGPLATADGNNVARRIATFVKDHGKDYSAVVATKDWHIDPGEHFSPTPDFLDTWPVHCVANSDGADFHPMIDPSV--FDAVFLKGQYTSAYSGFEGA-TEDGTPLATWLRDREITHVDIAGIATDYCVRATALDALSEGFTTHVLTDLCAAVAPDTGRAALEELAAEGANVDKQN-</t>
  </si>
  <si>
    <t>MRALIIVDVQNDFCPGGPLATADGNNVARRIATFVKDHGKDYSAVVATKDWHIDPGEHFSPNPDFLDTWPVHCVANSDGADFHPMIDPSV--FDAVFLKGQYTSAYSGFEGA-TEDGTPLATWLRDREITHVDIAGIATDYCVRATALDALSEGFTTHVLTDLCAAVAPDTGRAALEELAAEGANVDKQN-</t>
  </si>
  <si>
    <t>MRALVIVDVQNDFCPGGALGVADGAAVAEGIAEWVK--AKDYPVVVTTQDWHIDPGAHFNAEPDFRDSWPVHCVAGSAGAELHSALADVP--VTAAFFKGQHSAAYSGFEGA-TNDGVGLADWLRAHDVDIIDVVGIATDYCVRATVLDALREGFEVRVLTDLVAAVADETGEAALQEMVGAGAQLA----</t>
  </si>
  <si>
    <t>MRALVIVDVQNDFCPGGALGVAGGTAVAEGIAEWVK--AKDYPVVVTTQDWHIDPGAHFNADPDFRDSWPVHCVAGSPGAELHSALADVP--VTAAFFKGQHSAAYSGFEGA-TNDGVGLADWLRAHDVDIIDVVGIATDYCVRATVLDALREGFEVRVLTDLVAAVADETGEAALQEMVGAGAQLA----</t>
  </si>
  <si>
    <t>GC_00000808</t>
  </si>
  <si>
    <t>K01867</t>
  </si>
  <si>
    <t>tryptophanyl-tRNA synthetase [EC:6.1.1.2]</t>
  </si>
  <si>
    <t>COG0180</t>
  </si>
  <si>
    <t>Tryptophanyl-tRNA synthetase (TrpS) (PDB:3N9I)</t>
  </si>
  <si>
    <t>KEGG Orthology (KO)&gt;&gt;&gt;09120 Genetic Information Processing&gt;&gt;&gt;09122 Translation&gt;&gt;&gt;00970 Aminoacyl-tRNA biosynthesis [PATH:ko00970]|Enzymes&gt;&gt;&gt;6. Ligases&gt;&gt;&gt;6.1  Forming carbon-oxygen bonds&gt;&gt;&gt;6.1.1  Ligases forming aminoacyl-tRNA and related compounds&gt;&gt;&gt;6.1.1.2  tryptophan---tRNA ligase|Amino acid related enzymes&gt;&gt;&gt;Aminoacyl-tRNA synthetase&gt;&gt;&gt;Class I (G)|Transfer RNA biogenesis&gt;&gt;&gt;Eukaryotic type&gt;&gt;&gt;Aminoacyl-tRNA synthetases (AARSs)&gt;&gt;&gt;Other AARSs|Transfer RNA biogenesis&gt;&gt;&gt;Prokaryotic type&gt;&gt;&gt;Aminoacyl-tRNA synthetases (AARSs)&gt;&gt;&gt;Other AARSs</t>
  </si>
  <si>
    <t>MHTASNRQNRLACMSSETITKPERKQRVVSGLQPTSDSYHLGNYLGAVRQFIALQDEYDAFYFIPDLHAITVDQDPKELRHRTLAGVAQLLALGIDPAKSTLFVQSHVPEHAELGWVLTCMTGFGEASRMTQFKDKSAKRGADRTGAGLFAYPMLMAADILLYRPQLVPVGEDQRQHIELTRNLAERFNSRYKKTFVVPEGFIPEGAAKIYDLQDPTSKMSKSGSNPKGIINLLDDPKVSAKRIRSAVTDNDGVITYDKENKPGVSNLLVIQSALTGTSIDKLVEHYDGQGYGVLKVETAEALEAFTTPLKAQFDEYMADTAELEKILADGAEKARSNASKTLADVYERVGFLMPKR-</t>
  </si>
  <si>
    <t>----------------MSEQTSAKKQRAVSGIQPTADSYHLGNYLGALKQWIALQDEYEAFYFIPDLHAITVDQNPKELHERTIAGAAQLLTLGIDPSKSTLFVQSQVPEHAQLAWVLNCLTGYGEASRMTQFKDKSVKQG-DRTSVGLFTYPMLMAADILLYRPQVVPVGEDQRQHLELTRNLAERFNARYKKTFVVPEGIIPDGTSKIYDLQNPTAKMSKSGDNPKGLINLLDDPKVSAKRIKSAVTDNDGEI</t>
  </si>
  <si>
    <t>---------------------MEKTQRILSGIQPTSDSYHLGNYLGALKQWIDLQDTYEAFYFIPDLHAITVDQDPKELRARTISGAAQLLALGIDPDKAALFVQSHVPEHAQLAWVFTCLTGFGEASRMTQFKDKSTKQGADRTSAGLYAYPMLMAADILLYRPEIVPVGEDQRQHLELTRTLAERFNSRYQETFPVPEPFIPTGSAKIYDLQDPTAKMSKSTSNPKGLINLLDDPKISTKRIKSAVTDNDGEI</t>
  </si>
  <si>
    <t>GC_00000809</t>
  </si>
  <si>
    <t>PF01808.24</t>
  </si>
  <si>
    <t>AICARFT/IMPCHase bienzyme</t>
  </si>
  <si>
    <t>K00602</t>
  </si>
  <si>
    <t>phosphoribosylaminoimidazolecarboxamide formyltransferase / IMP cyclohydrolase [EC:2.1.2.3 3.5.4.10]</t>
  </si>
  <si>
    <t>COG0138</t>
  </si>
  <si>
    <t>AICAR transformylase/IMP cyclohydrolase PurH (PurH) (PDB:1G8M)</t>
  </si>
  <si>
    <t>ko00001|ko00001|ko01000|ko01000|ko04147</t>
  </si>
  <si>
    <t>KEGG Orthology (KO)&gt;&gt;&gt;09100 Metabolism&gt;&gt;&gt;09104 Nucleotide metabolism&gt;&gt;&gt;00230 Purine metabolism [PATH:ko00230]|KEGG Orthology (KO)&gt;&gt;&gt;09100 Metabolism&gt;&gt;&gt;09108 Metabolism of cofactors and vitamins&gt;&gt;&gt;00670 One carbon pool by folate [PATH:ko00670]|Enzymes&gt;&gt;&gt;2. Transferases&gt;&gt;&gt;2.1  Transferring one-carbon groups&gt;&gt;&gt;2.1.2  Hydroxymethyl-, formyl- and related transferases&gt;&gt;&gt;2.1.2.3  phosphoribosylaminoimidazolecarboxamide formyltransferase|Enzymes&gt;&gt;&gt;3. Hydrolases&gt;&gt;&gt;3.5  Acting on carbon-nitrogen bonds, other than peptide bonds&gt;&gt;&gt;3.5.4  In cyclic amidines&gt;&gt;&gt;3.5.4.10  IMP cyclohydrolase|Exosome&gt;&gt;&gt;Exosomal proteins&gt;&gt;&gt;Exosomal proteins of other body fluids (saliva and urine)</t>
  </si>
  <si>
    <t>-----MSDSKDAGNGGQNVGRKIIRRALISVYDKTGLEDLARALFDANVEIVSTGSTAARIAELGIPVTPVDQLTGFPECLEGRVKTLHPHVHAGILADTRKPDHCAQLADLGVAPFELVVVNLYPFSETVASGADFDACVEQIDIGGPSMVRAAAKNHPSVAVVVDPARYGDVAAALAAGGFTLAERTSLAVAAFQHTAAYDVAVATWLGEQQITQAFDDKPAGFPQWWGNTYELSHELRYGENPHQAAALYVG</t>
  </si>
  <si>
    <t>MISPIMSDSKDAGNGGQNAGRKTIRRALISVYDKTGLEDLAWALFDANVEIVSTGSTAARIAELGIPVTPVDQLTGFPECLEGRVKTLHPHVHAGILADTRKPDHCAQLADLGVAPFELVVVNLYPFSETVASGADFDACVEQIDIGGPSMVRAAAKNHPSVAVVVDPARYGDVAAALAAGGFTLAERTHLAVAAFQHTAAYDVAVATWLGEQQITQTFDDKPAGFPQWRGNTYELSHELRYGENPHQAAALYVGQSAAGAGLAQATQLHGKEMSYNNYTDADAAWRAAWDHDRPCVAIIKHANPCGIAVSEQSIAAAHQAAHACDPVSAYGGVIAANREVTVEMANQVAGIFTEVIIAPSYEEGAVAVLSAKKNLRVLQAPRPAEQKFESREISGGVLVQQRDLLTAAGDNPDTWKLVAGAAASPELLRELEFAWRAVRAVKSNAILLAKDGATVGVGMGQVNRVDAAKLAVERANTLAGDEQRAVGSVAASDAFFPFADGFEILAAAGVTAVVQPGGSIRDDEVIAAAEKAGVTMYLTGARHFAH</t>
  </si>
  <si>
    <t>GC_00000810</t>
  </si>
  <si>
    <t>PF00308.24</t>
  </si>
  <si>
    <t>Bacterial DnaA ATPAse domain</t>
  </si>
  <si>
    <t>K02313</t>
  </si>
  <si>
    <t>chromosomal replication initiator protein</t>
  </si>
  <si>
    <t>COG0593</t>
  </si>
  <si>
    <t>Chromosomal replication initiation ATPase DnaA (DnaA) (PDB:1L8Q)</t>
  </si>
  <si>
    <t>ko00001|ko00001|ko03032|ko03036</t>
  </si>
  <si>
    <t>KEGG Orthology (KO)&gt;&gt;&gt;09130 Environmental Information Processing&gt;&gt;&gt;09132 Signal transduction&gt;&gt;&gt;02020 Two-component system [PATH:ko02020]|KEGG Orthology (KO)&gt;&gt;&gt;09140 Cellular Processes&gt;&gt;&gt;09143 Cell growth and death&gt;&gt;&gt;04112 Cell cycle - Caulobacter [PATH:ko04112]|DNA replication proteins&gt;&gt;&gt;Prokaryotic type&gt;&gt;&gt;DNA Replication Initiation Factors&gt;&gt;&gt;Initiation factors (bacterial)|Chromosome and associated proteins&gt;&gt;&gt;Prokaryotic type&gt;&gt;&gt;Nucleoid associated proteins&gt;&gt;&gt;Other nucleoid associated proteins</t>
  </si>
  <si>
    <t>VDHRGVRTEHVRTKVAEHSTSLEETWRQVVEDLLRLSEQPDS-GIPTLNGRARGFLKLVKPIALFNGFAVLSTPHAMAKDAVEKDLGGYITTVLSERMGRPYSLAVSIDPGVE-------EPD---------PEP-----------------PIV----------AATPEPAQAHPE-GMWNTTSI---SMPDQAATISR-----------------------------GRFTHDDGRRFTREPAGP-------------APQQDRSLNPRYTFENFVIGSSNRFAHAAAVAVAENPANAFNPLFISGGSGLGKTHLLHAAGNYAQVLQPGLRVKYVSSEEFTNDYINSVRDDRQESFKRRYRNLDILMVDDIQFLEGKEGTQEEFFHTFNALHQANKQIILSSDRPPKQLTTLEDRLRTRFEGGLITDIQPPDLETRIAILEKKAQIDQTVMDRDVLELIASRFEASIRELEGALIRVSAYSSLNGETTISREMAEIALRDIMPEAPDVEITASTIMEVTADYFDVSLDALRGSGKTRAVAYARQLAMYLCRELTDLSLPKIGDNFGGKDHTTVMYADRKIRKEMTEKRDTYNQIQELTQIIKNRGR--</t>
  </si>
  <si>
    <t>--------------MAEHSTSLEETWRQVVEDLLRLSEQPDS-GIPTLNGRARGFLKLVKPIALFNGFAVLSTPHAMAKDAVEKDLGGYITTVLSERMGRPYSLAVSIDPGVE-------EPD---------PEP-----------------PIV----------AATPEPAQAHPE-GMWNTTSI---SMPDQAATISR-----------------------------GRFTHDDGRRFTREPAGP--------</t>
  </si>
  <si>
    <t>------------MTSSDSNQASQKTWKSVVKELINGSEQSDDLHIEPIGPQQRAYLNLARLIGLLDGVAVLAVPSAKAKEYLEGNLYGVICMALSNKFGREYSLAVTVNPTIGKRRDEPEESEDAEQQMLDIATPTSGGRGSRGATTKTAARKTPRNSRRGKTAAKPTPTPAATAPQ-ATTPSVSEPPPAQPPSGKSVPRKSAAATPDASPQLELDDRDMLTITATGWTTSHTDQADNPVTPQPATTAGATLRSR</t>
  </si>
  <si>
    <t>------------MTSSDSNQASQKTWKSVVKELINGSEQSDDLHIEPIGPQQRAYLNLARLIGLLDGVAVLAVPSAKAKEYLEGNLYGVICMALSNKFGREYSLAVTVNPTIGKRRDEPEESEDAEQQMLDIATPTSGGRGSRGATTKTAARKTPRNSRRGKTAAKPAPTPAAAAPQ-ATTPSVSEPPPAQPPSGKSVPRKSAAAAPDASPQLELDDRDMLTITATGWTTSHTDQADNPVTPQPATTARATLRSR</t>
  </si>
  <si>
    <t>GC_00000811</t>
  </si>
  <si>
    <t>PF04602.18</t>
  </si>
  <si>
    <t>Mycobacterial cell wall arabinan synthesis protein</t>
  </si>
  <si>
    <t>K11387</t>
  </si>
  <si>
    <t>arabinosyltransferase C [EC:2.4.2.-]</t>
  </si>
  <si>
    <t>---MSTVEAPQPAK---------------G-----IQLAAIISGIAGFILFVLTPFMPVNQVQSEVSWPQE-EVGSLTSPLISYAPVTWSADIPLRDVNKLNEGQSLVLGTLPADSKDPTARGLFVRSTDSGVDVIVRNQVPLELSADELQKLPEDAVLSISSTSTETTAEVPGTK------FQ-----GTIEGDVRPQVTGFYTEL--DP---TQVTTDGLHATTEVNSRFTSSPTLWKYLTMFGGVALLIISL</t>
  </si>
  <si>
    <t>---MPEKPSETAPR---------------W-----VKRLAIVSGLLGFVLFVLTPFMPVNQTQSSFSWPQQNQLNSITAPLISYAPQSIEASIPLQSLQDMNPDQSMVLSTLPADSKDATTRGLFVRYSESGLDVVVRNKVPLELNREQINALPPGAVLQISSTEESTVASIPGARDSSGEEYR-----GELKGDERPQLTGIYTELANTPANTASLIDAGLNVQVEINSRFTSSPSIWKYMSMYGGLVMLVASL</t>
  </si>
  <si>
    <t>---MPEKPSETAPR---------------W-----VKRLAIVSGLLGFVLFVLTPFMPVNQTQSSFSWPQQNQLNSITAPLISYAPQSIEASIPLQSLQDMNPDQSMVLSTLPADSKDATTRGLFVRYSESGLDVVVRNKVPLELNREQINALPPGAVLQISSTEESTVASIPGARDSSGAEYR-----GELKGDERPQLTGIYTELANTPANTASLIDAGLNVQVEINSRFTSSPSIWKYMSMYGGLVMLVASL</t>
  </si>
  <si>
    <t>MDNVDEKQSDTPIDPQVAPEASDALRRQVWRQNAMLRRVAAISGVVGFVLFMLTPFMPVDQVQSSLTWPQNGNLNSVNAPLVSYAPENLDITVPISALKSLREDETTVVSTLPSTSEKATERGLFVRSDKGALDVVLRDNVFFQMDAEEVAALPRDAVLKIHSGLKETWVEIPGATDANGQPLRKANDKKDDKEDLRPQISGIYTELTGDA---EPLIRAGLNVQVEINSRYTSSPTVLKYFTMIGGVLCTLVALWALFRIDRLDGKGRYPFWPKGFFRPRPLDGLVAGVLVLWYFFGANTSDDGFILTMARVSLESDYMANYYRWFGVPESPFGAPYYDFLALMTRVSTASTWMRLPSLVAGLLIWLIVSREVLPRLGAGIAARRAAHWTAALMFLAFWLPYNNGLRPEPIIALGTLTAWVSFERSIEQKRLTPAAIGTIIAAFTLACGPTGLMAVSALLVTLSSLIRIMNRWLD---YFGVTEDSTRWQRISGWTAMLAPFMAAGTSVFIAVFGDQTLANVRESTYVRADKGPSLQWFQEWVRYEVLFQQEVDGSFSRRFAVLIAFMSIVFVFASMLRNGKVPGSSRGPSLRLMMIFIGTLFFMSFTPTKWTHHFGVWAGIAAALGGLGAIALSEFANRSRHTRTLVLGGLLFMFAFALSGTNGWWYVSSYGIPWWDKSIQFKAIEASTVVMVISVIVLLVGIVQSFRVGLATELDDASAAYKKADRKPSRFTLLFS---------APIAAFCLVAILFSMLSFTKAFITQYPAYSVGLGNMNSVVGKTCGLADYVLVETNTNESFLKPLTSK-LGDSLQVDKKTRGFEPDRIPQL-------------------GSDQLPDLVSAGDRLNVEGGRSTTKGVNGSKWVLPFNLDPAKVPVMGSYTVGRQYYAQITTDWYDLPKSTPEAPLIVVSAAGIIEGVDADGVTQEGRKLLLEYGKKNASGGVDKLGETQMLDIGPKKKWRNLRLPIDDLPKEADAVRIYAEDDSLDPEQWLVVTPPRVPKLDSLNSVVGSTEPGLLDWSVPLQFTCQRPFSHYAGVAEIPTFRILPDYKGKRSGASFEDYHGGGVLGTAESVNYSYELPGYAKDDWLRDWGSLELYALRPNSQGQTPDVARIDRTTKTRWGWWSPGHQNIDTDKKDYLN</t>
  </si>
  <si>
    <t>MDNVDEKQSDTPIDPQVAPEASDALRRQVWRQNAMLRRVAAISGVVGFVLFMLTPFMPVDQVQSSLTWPQNGNLNSVNAPLVSYAPENLDITVPISALKSLREDETTVVSTLPSTSEKATERGLFVRSDKGALDVVLRDNVFFQMDAEEVAALPRDAVLKIHSGLKETWVEIPGATDANGQPLRKANDKKDDKEDLRPQISGIYTELTGDA---EPLIRAGLNVQVEINSRYTSSPTVLKYFTMIGGVLCTLVALWALFRIDRLDGKGRYPFWPKGFFRPRPLDGLVAGVLVLWYFFGANTSDDGFILTMARVSLESDYMANYYRWFGVPESPFGAPYYDFLALMTRVSTASTWMRLPSLVAGLLIWLIVSREVLPRLGAGIAARRAAHWTAALMFLAFWLPYNNGLRPEPIIALGTLTAWVSFERSIEQKRLTPAAIGTIIAAFTLACGPTGLMAVSALLVTLSSLIRIMNRWLD---YFGVTEDSTRWQRISGWTAMLAPFMAAGTSVFIAVFGDQTLANVRESTYVRADKGPSLQWFQEWVRYEVLFQQEVDGSFSRRFAVLIAFMSIVFVFASMLRNGKVPGSSRGPSLRLMMIFIGTLFFMSFTPTKWTHHFGVWAGIAAALGGLGAIALSEFANRSRHTRTLVLGGLLFMFAFALSGTNGWWYVSSYGIPWWDKSIQFKAIEASTVVMVISVIVLLVGIVQSFRVGLATELDDASAAYKKADRKPSRFTLLFS---------APIAAFCLVAILFSMLSFAKAFITQYPAYSVGLGNMNSVVGKTCGLADYVLVETNTNESFLKPLTSK-LGDSLQVDKKTRGFEPDRIPQL-------------------GSDQLPDLVSAGDRLNVEGGRSTTKGVNGSKWVLPFNLDPAKVPVMGSYTVGRQYYAQITTDWYDLPKSTPEAPLIVVSAAGIIEGVDADGVTQEGRKLLLEYGKKNASGGVDKLGETQMLDIGPKKKWRNLRLPIDDLPKDADAVRIYAEDDSLDPEQWLVVTPPRVPKLDSLNSVVGSTEPGLLDWSVPLQFTCQRPFSHYAGVAEIPTFRILPDYKGKRSGASFEDYHGGGVLGTAESVNYSYELPGYAKDDWLRDWGSLELYALRPNSQGQTPDVARIDRTTKTRWGWWSPGHQNIDTDKKDYLN</t>
  </si>
  <si>
    <t>GC_00000812</t>
  </si>
  <si>
    <t>PF01547.30</t>
  </si>
  <si>
    <t>Bacterial extracellular solute-binding protein</t>
  </si>
  <si>
    <t>K10236</t>
  </si>
  <si>
    <t>trehalose/maltose transport system substrate-binding protein</t>
  </si>
  <si>
    <t>COG1653</t>
  </si>
  <si>
    <t>ABC-type glycerol-3-phosphate transport system, periplasmic component (UgpB) (PDB:2Z8D)</t>
  </si>
  <si>
    <t>MKT--NRKMFRAVAATTLVGGLFLASCSSDNSSSAPATDSKASEGTADRGPITFAMGKNDTDKIIPIIEKWNAEHPDEKVELKELAGEADAQRETLVQSLQAKKDDYDVMALDVVWTAEFAANQWIAPLTGDLKVDTSDLLQPTVDSATYKDTLYALPQNTNGQLLFRNTELAPNAPEKWQDLVDACGEVKD--KDCLLLQLKQYEGLTVNTTDFMEGWGGSVL--GGEEITVDSPDSQAGLRALVDGYKDGVIAKSATATTEEETNLAFVAGDTAFAINWPYMYDNAV-ESEATNGKFEVQPLVGKDGVGTSTLGGYNNAINVNSKHKATALDFMKFIVNKENQTSFAEAAFPPVLASIYDDNALVEKFPYLPALKTSLENAAPRPVSPFYPAISKAIQDNAYAAITGDKSVEDATKDMKAAIENASK</t>
  </si>
  <si>
    <t>MKLYYTRKAATALAASALIAGIALAGCSSGGSS------SNGGDNNTDHGPITFAMGKNDTDKIKPVIEKWNQEHPDEKVTLKELAGEADAQRETLVQALQAKNSDYDVMALDVIWTADFAANQWLTPLTGDLKVDTDKLLPATVKSATYKDTLYAVPQNTNGQLLFRNTELAPNAPKNWGELTESCHQVQG--KDCLTLQLKQYEGLTVNTAGFMSGWGGGVLESDGTTPAVDSAASKEGLQELVKGYKDGVIAKSSTSATEEETNLAFVEGKTAYAVNWPYMYANATKEGSAVAGKVEVQPLVGKDGVGVSTLGGYNNGISAFSKHKGTAHDFVEFVINEENQTSFADNSFPPVLASIYDNPELVAKYPYLPALKESLENASPRPVSPFYPAISKAIQDNAYAALTTDKSVDAATADMKAAIENASK</t>
  </si>
  <si>
    <t>MKLYYTRKAATALAASALIAGIALAGCSSGGSS------SNGGDNNTDHGPITFAMGKNDTDKIKPVIEKWNQEHPDEKVTLKELAGEADAQRETLVQALQAKSSDYDVMALDVIWTADFAANQWLTPLTGDLKVDTDKLLPATVKSATYKDTLYAVPQNTNGQLLFRNTELAPNAPKNWGELTESCHQVQG--KDCLTLQLKQYEGLTVNTAGFMSGWGGGVLESDGTTPAVDSAASKEGLQELVKGYKDGVIAKSSTSATEEETNLAFVEGKTAYAVNWPYMYANATKEGSAVAGKVEVQPLVGKDGVGVSTLGGYNNGISAFSKHKGTAHDFVEFVINEENQTSFADNSFPPVLASIYDNPELVAKYPYLPALKESLENASPRPVSPFYPAISKAIQDNAYAALTTDKSVDAATADMKAAIENASK</t>
  </si>
  <si>
    <t>MAL---RSTWKSIAAVVLVSGLVLSGCSKESTGSS----SSGSSNEGGRGPITYAMGKVDSEKLQHVIEKWNSVHPDEKVTFKELAGEADDQRDSLVQTLQAGRDDIDVMALDVVWTAEFAANQWLAPLEGDLAVDTSGLLQSTVASGTYNNKLYALPQNTNGQLLYRNTEVMPESPQTFQELVDSCSKAKDAKQECLTLQLKQYEGLTVNTIGFMEGWGGKVLDDSG-KPVVDSENSKAGLKALVDAYTAGNISKDSTSTTEEETAQAFTEGKTAYAINWPYMFDLAGKDPSKVKDKFEVQPLVGKDGVGVSTLGGFNNGINVNSKHKATAKDFIEFVINEENQTYFAENSFPPVLASVYDDQALIEKYPYFPALKQSLENAVPRPASPFYPKISKAIQDNAYAALTAGKSVDDATKDMKAAIE-AAK</t>
  </si>
  <si>
    <t>MAL---RSTWKSIAAVVLVSGLVLSGCSKESTGSS----SGGSSNEGGRGPITYAMGKVDSEKLQHVIEKWNSVHPDEKVTFKELAGEADDQRDSLVQTLQAGRDDIDVMALDVVWTAEFAANQWLAPLEGDLAVDTSGLLQSTVASGTYNNKLYALPQNTNGQLLYRNTEVMPESPQTFQELVDSCSKAKDAKQECLTLQLKQYEGLTVNTIGFMEGWGGKVLDDSG-KPVVDSENSKAGLKALVDAYTAGNISKDSTSTTEEETAQAFTEGKTAYAINWPYMFDLAGKDPSKVKDKFEVQPLVGKDGVGVSTLGGFNNGINVNSKHKATAKDFIEFVINEENQTYFAENSFPPVLASVYDDQALIEKYPYFPALKQSLENAVPRPASPFYPKISKAIQDNAYAALTAGKSVDDATKDMKAAIE-AAK</t>
  </si>
  <si>
    <t>GC_00000813</t>
  </si>
  <si>
    <t>PF01509.24</t>
  </si>
  <si>
    <t>TruB family pseudouridylate synthase (N terminal domain)</t>
  </si>
  <si>
    <t>K03177</t>
  </si>
  <si>
    <t>tRNA pseudouridine55 synthase [EC:5.4.99.25]</t>
  </si>
  <si>
    <t>COG0130</t>
  </si>
  <si>
    <t>tRNA U55 pseudouridine synthase TruB, may also work on U342 of tmRNA (TruB) (PDB:1K8W)</t>
  </si>
  <si>
    <t>Enzymes&gt;&gt;&gt;5. Isomerases&gt;&gt;&gt;5.4  Intramolecular transferases&gt;&gt;&gt;5.4.99  Transferring other groups&gt;&gt;&gt;5.4.99.25  tRNA pseudouridine55 synthase|Transfer RNA biogenesis&gt;&gt;&gt;Eukaryotic type&gt;&gt;&gt;tRNA modification factors&gt;&gt;&gt;Psudouridine synthases|Transfer RNA biogenesis&gt;&gt;&gt;Prokaryotic type&gt;&gt;&gt;tRNA modification factors&gt;&gt;&gt;Psudouridine synthases</t>
  </si>
  <si>
    <t>MTSPSPIDPLQSSGVLIVDKPQGMTSHDVISRVRRLFGTRKVGHAGTLDPMATGVLVLGLERGTKFLAHVVAETKTYEATIRLGSATHSDDAEGDAVFVAPEGAVDALDDAPLLAAVGKFRGDIMQRPSSVSAIKIDGKRAHQRVREGEEVSIPPRKVTVFSFDVAGIRRLVADGAPVVDVDVRVHCSSGTYIRALARDLGELLGVGGHLVALRRTEVGPFSLAQARTLEQLEHSPSLSLSLDEALTVCYPVVEVSAKEALDLSMGKWLEPRGLKGVHAAVAPNGAAVAMVKEQGKRLATVFVARPNTL-</t>
  </si>
  <si>
    <t>MT-----DRLLGSGLIIVDKPAGMTSHDVISRLRRIFRTRRVGHAGTLDPMATGVLVVGIERGTRFLAHLVTETKTYRTTIRLGASTTTDDAEGD---ITSRTDTTDVTDTLIDAAIAQLTGDIMQKPAAVSAIKIDGKRAHERVRDGETVDIPARPVTVHRFDVLDQRSV--DG--YIDLDVDVFCSSGTYIRSLARDLGNALGVGGHLTALRRTTVGPFDLTHARTLEELEDNPQLSLTLDQALAASFPVLRVSGEEGHKLAMGQWLEPRGLKEIHAAVTPDGRAVALVKEKGKRLATVFVARPSTL-</t>
  </si>
  <si>
    <t>MT-----DRLLGSGLIIVDKPAGMTSHDVISRLRRIFRTRRVGHAGTLDPMATGVLVVGIERGTRFLAHLVTETKTYRATIRLGASTTTDDAEGD---ITSRTDTTDVTDTLIDAAIAQLTGDIMQKPAAVSAIKIDGKRAHERVRDGETVDIPARPVTVHRFDVLDRRSV--DG--CIDLDVDVFCSSGTYIRSLARDLGNALGVGGHLTALRRTTVGPFDLTHARTLEELEDNPQLSLTLDQALAASFPVLRVSGEEGHKLAMGQWLEPRGLKGIHAAVTPDGQAVALVKEKGKRLTTVFVARPSTL-</t>
  </si>
  <si>
    <t>MTQASP-DPLATSGLVVVDKPAGMTSHDVIGRLRRIFHTRRVGHAGTLDPLATGVLIVGINRGTKFLTHLVAATKSYQATIRLGMATTTDDAEGA---EISRADTTHLTDDDITAALSQFIGRIMQRPAAVSAIKIDGKRAHERVRAGESITIPAREVTISQLTPTGFDHH--DK--FIDMNITVDCSSGTYIRSIARDLGEVLHVGGHITALRRTAVGNFTLADTRTLTQLETNPHLSLSLDQTLTRCYPTLAITEAEATALSLGQWLPARGLDGTHAAVSPDGRSIALVKETGNRLATVFVARPATLT</t>
  </si>
  <si>
    <t>MTQASP-DPLATSGLVVVDKPAGMTSHDVIGRLRRIFHTRRVGHAGTLDPLATGVLIVGINRGTKFLTHLVAATKSYQATIRLGMATTTDDAEGA---EISRADTTHLTDDDITAALSQFIGRIMQRPAAVSAIKIDGKRAHERVRAGESITIPAREVTISQLTPTGFDHH--DE--FIDMNITVDCSSGTYIRSIARDLGEVLHVGGHITALRRTAVGNFTLADTRTLTQLETNPHLSLSLDQTLTRCYPTLAITEAEATALSLGQWLPARGLDGTHAAVSPDGRSIALVKETGNRLATVFVARPATLT</t>
  </si>
  <si>
    <t>GC_00000814</t>
  </si>
  <si>
    <t>MPPCPVSDPLEVLDYQQWEQRMHAHQQRVAELTHDHLERRTRGIKHPIFDFLFDYYPTTPGQLSRWHPGLGVALDANDRTPPHSAWRFYKQVEHETAGRIVMFDAQEMLQQRRVLVAFIHDLLTRDT--PARFDCFGLHEWAMVYQ-GTPRHDMPLRLSEQATNEVVDTHSIRCSHYDAFRFFTEAARPLNAFQPTRETQPVLEHPGCLHATMDLYKWATKLGPAVDGETWLETFRLARDVRILDMEASPYDCRPLGFGVVAIETPEGKAEYVARQRDFTRRAEVLRKRLSDCAAGVFGTFLKDS</t>
  </si>
  <si>
    <t>--------MTTVLSPEQWQEQAELHRQRAESLTAEHLERRRAGKKHPIFDFLFEYYPTKPAQLARWHPGAGVLLEGN---PPHAGWRDYTTFSD-----GVGVDVRGFWGRRKEALLYIETLLSSTITNPAHFDCFGLHEWAMVYKTDSPRHDLDLRLTREETNQVVESHSIRCTHYDAFRFFTTPARPLNFRVLERSDQVASDQVGCLHVTMDLYKWATKLGPLVPGPLWLDCFELARDVRILDMEASPYDVRP</t>
  </si>
  <si>
    <t>--------MTTVLSPEQWQEQAELHRQRAESLTAEHLERRRAGKKHPIFDFLFEYYPTKPAQLARWHPGAGVLLEGN---PPHAGWRDYTTFSD-----GVGVDVRGFWGRRKEALLYIETLLSSTITNPAHFDCFGLHEWAMVYKADSPRHDLDLRLTREETNQVVESHSIRCTHYDAFRFFTTPARPLNFRVLERSDQVASDQVGCLHVTMDLYKWATKLGPLVPGPLWLDCFELARDVRILDMEASPYDVRP</t>
  </si>
  <si>
    <t>---------MNILTETEWRAQNNNHITRARRYTDDHLARRKAGTTHPIFDFLFEYYPIRISHLHRWHPGIGIGLADPHRASPHSAWRYYHHHNG-----VTTADVSAFLTAHKPAITQIRTILTNTTANPTRFDCFGLHEWAMVYRTDHPRHNLPLRLTPAETNQVVEQHTIKCTHFDAYRFFTPEAQPLNLTVLTRENREHGEQRGCLHATMDLYKWAAKLGPLIPGDLWLDTFELAWQARILDMEASPYDCQS</t>
  </si>
  <si>
    <t>---------MNILTETEWRAHNNNHITRARRYTDDHLARRKAGTAHPIFDFLFEYYPIRISHLHRWHPGIGIGLADPHRASPHSAWRYYYHHNG-----VTTTDVSAFLAAHKPAITQIRTILTNTTANPTRFDCFGLHEWAMVYRTDHPRHNLPLRLTPAETNQVVEQHTIKCTHFDAYRFFTPEAQPLNLTVLTRENREHGEQRGCLHATMDLYKWAAKLGPLIPGDLWLDTFELAWQARILDMEASPYDCRS</t>
  </si>
  <si>
    <t>GC_00000815</t>
  </si>
  <si>
    <t>PF24553.2</t>
  </si>
  <si>
    <t>Probable histone acetyltransferase Rv0428c C-terminal</t>
  </si>
  <si>
    <t>K22476</t>
  </si>
  <si>
    <t>N-acetylglutamate synthase [EC:2.3.1.1]</t>
  </si>
  <si>
    <t>COG0456</t>
  </si>
  <si>
    <t>Ribosomal protein S18 acetylase RimI and related acetyltransferases (RimI) (PDB:1GHE)</t>
  </si>
  <si>
    <t>KEGG Orthology (KO)&gt;&gt;&gt;09100 Metabolism&gt;&gt;&gt;09105 Amino acid metabolism&gt;&gt;&gt;00220 Arginine biosynthesis [PATH:ko00220]|Enzymes&gt;&gt;&gt;2. Transferases&gt;&gt;&gt;2.3  Acyltransferases&gt;&gt;&gt;2.3.1  Transferring groups other than aminoacyl groups&gt;&gt;&gt;2.3.1.1  amino-acid N-acetyltransferase</t>
  </si>
  <si>
    <t>-------------------MRQYVVQTPSVGDRVIVRRQLGDAQGYLTDVIGHVLSVEP--LVVRPQSVGGLESSAEAVAIDEDSVVALRVLPARRVRNSDIRAVEVATAKAFPGLEHVWCGGWLLRAGDGITERSNSAAPLGHSAGFEPVPVEEIVDFYARHSMTPRIMLPDRIGRPAESLCVPPRWRRGSEISVMVKDLEAAQPPQLEGVEFRCDEQPDEEWMGLYHFRGKPLPAHALELLRHQIDGVMGFGR</t>
  </si>
  <si>
    <t>-------------------MR--KISTPSIGDRVVVRRFVPDQPGKVSDIIGHVLATEP--LTVRPQD--GTPE----VIIPVELIQILKIIPPQRVRNSDIRAVETATAKAFPGIDHRWEGQWLLRAGDGITERSNSAAPLGHSAGLSEVPTQAIFEFYQHHNLPIRILIPDRIGNPARTLCQGPAWHYGPEISVMTRTL--NDLPEAPEVRFRLDVQPTKDWLNLYHFRGTALPEHALNLLRTRIDGTMGFGQ</t>
  </si>
  <si>
    <t>-------------------MR--KISTPSIGDRVVVRRFVPDQPGKVSDIIGHVLATEP--LTVRPQD--GSPE----VTIPAELIQILKIIPPQRVRNSDIRAVETATAKAFPGIDHRWEGQWLLRAGDGITERSNSAAPLGHSAGLSEVPTQAIFDFYQRHNLPVRILIPDRIGNPARTLCQGPAWHYGPEISVMTRTL--NDLPKAPEVRFRLDVQPTKDWLNLYHFRGTALPEHALNLLRTRIDGTMGFGQ</t>
  </si>
  <si>
    <t>MPASPGCQVLTPTRLDTTMSRIFRSDEVQPGDRVVLRRIAPEMEDKFSDIIGHIVSVTPTETVIRPQDIGGMPSFKDGIVVPAADIKIVKKLSPRTIRNSDIRKLEVAYSKAFPGIEHRQVGQWLLRAGDGITERSNSAAPLGPSALFDPVPVAEIHEFYSRHGLPPLVLIPERIGRVVEKLVE----RLGPEIIVMARKL-GDEVSVEKHAEFRIDTQPDDDWLRLYHFRGKPLPRRALELLRTQIDGEMGFGRLL-IDGRTVAITRGTIT---DG--YLGYSAVEVAPEYRRQGLGTQLGNHMLNWGLAHEAHTAYLQVIASNTAGINLYTKLGFLEHHRHRYGLLKNPETS</t>
  </si>
  <si>
    <t>MPASPGCQVLTPTRLDTTMSRIFRSDEVQPGDRVVLRRIAPEMEDKFSDIIGHIVSVTPTETVIRPQDIGGMPSFKNGIVVPAADIKIVKKLSPRTIRNSDIRKLEVAYSKAFPGIEHRQVGQWLLRAGDGITERSNSAAPLGPSALFDPVPVAEIHEFYSRHGLPPLVLIPERIGRVVEKLVE----RLGPEIIVMARKL-GDEVSVEKHAEFRIDTQPDDDWLRLYHFRGKPLPRRALELLRTQIDGEMGFGRLL-IDGRTVAITRGTIT---DG--YLGYSAVEVAPEYRRQGLGTQLGNHMLNWGLAHEAHTAYLQVIASNTAGINLYTKLGFLEHHRHRYGLLKNPETS</t>
  </si>
  <si>
    <t>GC_00000816</t>
  </si>
  <si>
    <t>PF08494.16</t>
  </si>
  <si>
    <t>DEAD/H associated</t>
  </si>
  <si>
    <t>K03724</t>
  </si>
  <si>
    <t>ATP-dependent helicase Lhr and Lhr-like helicase [EC:5.6.2.6 5.6.2.4]</t>
  </si>
  <si>
    <t>COG1201</t>
  </si>
  <si>
    <t>Lhr-like helicase (Lhr) (PDB:5V9X)</t>
  </si>
  <si>
    <t>ko01000|ko01000|ko03400</t>
  </si>
  <si>
    <t>Enzymes&gt;&gt;&gt;5. Isomerases&gt;&gt;&gt;5.6  Isomerases altering macromolecular conformation&gt;&gt;&gt;5.6.2  Enzymes altering nucleic acid conformation&gt;&gt;&gt;5.6.2.4  DNA 3'-5' helicase|Enzymes&gt;&gt;&gt;5. Isomerases&gt;&gt;&gt;5.6  Isomerases altering macromolecular conformation&gt;&gt;&gt;5.6.2  Enzymes altering nucleic acid conformation&gt;&gt;&gt;5.6.2.6  RNA 3'-5' helicase|DNA repair and recombination proteins&gt;&gt;&gt;Prokaryotic type&gt;&gt;&gt;Other factors with a suspected DNA repair function&gt;&gt;&gt;DNA helicases</t>
  </si>
  <si>
    <t>--------MSADVVDRFPQPVAHWFRSSFQRPTSVQAAAWEEISAGRNALVVAPTGSGKTLAAFLWSLGQLCR----------PRSEGTSVQDSAPQQ--------------------------------------------------GVRVVYVSPLKALGVDVDNNLRAPLKGIALAAEKLGVDVASVTVGVRSGDTSQAERARQVRRPPDILITTPESLYLLLTSKGGRMLRTVDTLIIDEVHAVAGTKRGA</t>
  </si>
  <si>
    <t>------------MLARFCPPVAEWFRGVFAAPTPVQQEAWEAISAGEHALVVAPTGSGKTLAAFLWALNSLVSAPGQLSLIDAPPTAASSRKGT------------------------------------------------------GVRVLYVSPLKALGVDVENNLRAPLLGIGRTGERLGQPVPEVRVGVRSGDTTSAERSRQVRQPPDILITTPESLYLMLTSKAGDILVDVDTVIIDEIHAIAGTKRGA</t>
  </si>
  <si>
    <t>------------MLARFCPPVAEWFRGVFAAPTPVQQEAWVAISAGEHALVVAPTGSGKTLAAFLWALNSLVSAPGQLSLIDAPPTAASSRKGT------------------------------------------------------GVRVLYVSPLKALGVDVENNLRAPLLGIGRTGERLGQPVPEVRVGVRSGDTTSAERSRQVRQPPDILITTPESLYLMLTSKAGDILADVDTVIIDEIHAIAGTKRGA</t>
  </si>
  <si>
    <t>MPTNPIPEPEDHILDKFSPHIATWFRDVFAHPTPVQTAAWSAISAGENALVVAPTGSGKTLAAFLWALNTLATAPGQTRLPVVNPTTKTSLQETLTAESDGNTTEKPRPYPTTSDMIDAASGPAHAPSSGATHSQIDTQADMQADAPAGVKILYISPLKALGTDVELNLRAPLTGINHTAARLGIHHPDITVAVRSGDTTAAERAAHIRNPPDILITTPESAYLMLTSKATTILSTVTTVIVDEIHAIAGTKRGVHLALTLERLEHLAEKP----LQRIGLSATVRPHETIARFLGGRHPVTIIDPPATKTWDLSVVVPVPDMSDLPAPELGSTIGDYTIDDPLGLT----SPLVTDDGADDSEALDGSALGSSEMLGGSNVPEAADSSETPDAVAGPDAGMISDPPVVLGATSA-GAANLDIPAASDTTTSIWPHIEQHLYATIMVHQSTLVFVNSRRIAEKLTAKLNELHAHACAHDRARAAGVGVQGGDDTDGVDTWSAQQTP-PIPPAARRGRPPADMMKPSDEIVTAPRDIARAHHGSVAQEERARTETLLKEGLIKAVVATSSLELGIDMGAIDLVVQIESPPSVASGLQRVGRAGHIVGAASTGIFYPKHRADLVNTAVTVQRMRAGLIEEIRIPTNALDVLLQHTIAAVSVADWDVEQWFETVTRAYPYHNLDREVFDAVINLASGSYPSTDFAELRPRIIYDRITGTLSARPGAQRIAVTSGGTIADRGMFGVFLLGGGE--GARRVGELDEEMVYESRVGDVFTLGASSWRIEEITRDQVLVTPAPGSSGRLPFWLGDQVGRPAELGRAVGEFRRAVAQ--SLAVDSAQDVTEKPNVESEQIFDGLDEWASDNIRRFISEQRDATGIVPDEKTLLVERFRDEVGDWRVVLHSPYGRGVNAAWALAVGAKISSDMGIDAQPVSGDDGIVLRLPESDVVPGAG---LFQIDPDDIADIVAEQVGNSALFAARFRECAARGLLLPRHNPGKRAPLWQQRQRAAQLLDVARKYPNFPIILEAVRECLQDVYDLPALVQLCEDIRGMRVRIAEVETMQPSPFAVVMLFTYTGAFIYETDSPLAEKRAAALALDPKLLAKLLGSVELRDLLDPDIIADVDARLRRIAPDRRARTGEELIDALRILGPIP----IADLPQHMLV----DAFHID---------DLDRQRVMRVRIAGVEHLAQVSDAPLLRDGLGIPVPPGVAAPTALVPDALEQLASRWCRTRGPFLLADMVAAFGLAPGVAHNLLSGLVDTGLIIVGHYRHGVDDPEYVAADVLKLIRSHSLAAARAQTQPVSHSAYARFLIDWHGISPIGTTGQPCH-------------DSLDVGDEIYAVCEQLAGVRLPASAWETLILPSRVRDYNPADLQQLCHDGDIRIVGAGLAGTNDPWVLLLPAEYAADLVPVEVEPPTLSPAARSIYDMMSGSPGGGFLFDSLVDQVGD----PAATRA-------ALWELFDCGLVSPDSFAPLAARLA---QGKTAHRTSQTPARSRLRAGRP---GR-SGRQGRMGRMGRDHAGVIHQTP---PDMTGRWGLSP-----IPTADPTSRS---VALGEAWLDRYGVVTRGAIQAENVLGGFALAYKVLSGFEESGKALRGHFITDLGAAQFATAAVIDRLRGFADTDDVTGWPSGTSEPNVCVIAACDPANPYGAALPWPGD-GKSPSRAAGALVVLADGLPAAHLTRGGKTLTWFPSPRAEIS-----------EETIIRLV---VQALSGAVGKNLTTRITIEKLNGKPVHESPHLEAFRTAGARLTPSGLRIGAPAVPRPQK-------RGRSVAEAIEQLGDGLPGSSGRGSTGRRRWR</t>
  </si>
  <si>
    <t>MPTNPIPEPEDHILDKFSPHIATWFRDVFAHPTPVQTAAWSAISAGENALVVAPTGSGKTLAAFLWALNTLATAPGQTHLPVVNPTTKTSLQETLTAESDGNTTEKPRPYPTTSDMIETAGVPAHAPSSGATHSQIDTQTNTQTDAPAGVKILYISPLKALGTDVELNLRAPLTGINHTAARLGIHHPDITVAVRSGDTTAAERAAHIRNPPDILITTPESAYLMLTSKAATILSTVTTIIVDEIHAIAGTKRGVHLALTLERLEHLVEKP----LQRIGLSATVRPHETIARFLGGRHPVTIIDPPATKTWDLSVVVPVPDMSDLPAPELGSTIGDYTIDDPLGLA----SPLVADDGADDSE-----ALGGSEMLGG---------SETSNAVVGPDAGMISDPPVASGATSALGAAILDVPVASDTTTSIWPHIEQHLYATIMAHQSTLVFVNSRRIAEKLTAKLNELHAHACAHDRARAAGVGVQGGDDTDGADARSARQAP-PIPPAARRGRPPADMMKPSDEIVTAPRDIARAHHGSVAQEERARTETLLKEGLIKAVVATSSLELGIDMGAIDLVVQIESPPSVASGLQRVGRAGHIVGVASTGIFYPKHRADLVNTAVTVQRMRAGLIEEIRIPTNALDVLLQHTIAAVSVADWDVEQWFETVTRAYPYHNLDREVFDAVINLASGSYPSTDFAELRPRIIYDRITGTLSARPGAQRIAVTSGGTIADRGMFGVFLLGGGE--GARRVGELDEEMVYESRVGDVFTLGASSWRIEEITRDQVLVTPAPGSSGRLPFWLGDQVGRPAELGRAVGEFRRAVAQ--SLAVDSAQDVAEKPNAESEHIFDGLDEWASDNIRRFISEQRDVTGIMPDEKTLLVERFRDEVGDWRVVLHSPYGRGVNAAWALAVGAKISSDMGIDAQPVSGDDGIVLRLPESDVVPGAG---LFQIDPDDIADIVAEQVGNSALFAARFRECAARGLLLPRHNPGKRAPLWQQRQRAAQLLDVARKYPNFPIILEAVRECLQDVYDLPALVQLCEDIKGMRVRIAEVETMQPSPFAVAMLFTYTGAFIYETDSPLAEKRAAALALDPKLLAKLLGSVELRDLLDPDIIADVDARLRRIAPDRRARTGEELIDALRILGPIP----IVDLPQHMLV----DAFRID---------DLDRQRVMRVRIAGVEHLAQVSDAPLLRDGLGIPVPPGVAAPTALVPDALEQLASRWCRTRGPFLLADMVAAFGLAPSVAHNLLSGLVDTGLIIVGHYRHGVDEPEYVAADVLKLIRSRSLAAARAQTQPVSHSAYARFLIDWHGISPIKTTGQPRH-------------DSLDVGDEIYAVCEQLAGVRLPASAWETLILPSRVRDYNPADLQQLCHDGDIRIVGAGLAGTNDPWVLLLPAEYAADLVPVEVEPPTLSPAARSIYDMMSGSPGGGFLFDSLVDQVGD----PAATRA-------ALWELFDCGLVSPDSFAPLAARLA---QGKTAHRTSRTPARSRLRAGRP---GR-PGRQGRMGRMGG-YVGVIHQTP---PDMTGRWGLSP-----IPTADPTSRS---VALGEAWLDRYGVVTRGAIQAENVLGGFALAYKVLSSFEESGKALRGHFITDLGAAQFATAAVIDRLRGFADTDDVTGWPSGTLEPNVCVIAACDPANPYGAALPWPGD-GKSPSRAAGALVVLADGLPVAHLTRGGKTLTWFLPPRAEIS-----------EETIIRLV---VQALSGAVGKNLTTRITIEKLNGKPVHESPHLEAFRTAGARLTPSGLRIGAPPVPGPQN-------RGRSVTEAIEQLGDGLSGASGRGSTGRRRWR</t>
  </si>
  <si>
    <t>GC_00000817</t>
  </si>
  <si>
    <t>K27802</t>
  </si>
  <si>
    <t>aconitate hydratase A / 2-methylisocitrate dehydratase [EC:4.2.1.3 4.2.1.99]</t>
  </si>
  <si>
    <t>COG1048</t>
  </si>
  <si>
    <t>Aconitase A (AcnA) (PDB:1ACO)</t>
  </si>
  <si>
    <t>Lysine biosynthesisTCA cycle</t>
  </si>
  <si>
    <t>M00009|M00010|M00012|M00740|M00982|M00173</t>
  </si>
  <si>
    <t>Citrate cycle (TCA cycle, Krebs cycle)|Citrate cycle, first carbon oxidation, oxaloacetate =&gt; 2-oxoglutarate|Glyoxylate cycle|Methylaspartate cycle|Methylcitrate cycle|Reductive citrate cycle (Arnon-Buchanan cycle)</t>
  </si>
  <si>
    <t>Pathway modules; Carbohydrate metabolism; Central carbohydrate metabolism|Pathway modules; Carbohydrate metabolism; Central carbohydrate metabolism|Pathway modules; Carbohydrate metabolism; Other carbohydrate metabolism|Pathway modules; Carbohydrate metabolism; Other carbohydrate metabolism|Pathway modules; Carbohydrate metabolism; Other carbohydrate metabolism|Pathway modules; Energy metabolism; Carbon fixation</t>
  </si>
  <si>
    <t>KEGG Orthology (KO)&gt;&gt;&gt;09100 Metabolism&gt;&gt;&gt;09101 Carbohydrate metabolism&gt;&gt;&gt;00020 Citrate cycle (TCA cycle) [PATH:ko00020]|KEGG Orthology (KO)&gt;&gt;&gt;09100 Metabolism&gt;&gt;&gt;09101 Carbohydrate metabolism&gt;&gt;&gt;00630 Glyoxylate and dicarboxylate metabolism [PATH:ko00630]|KEGG Orthology (KO)&gt;&gt;&gt;09100 Metabolism&gt;&gt;&gt;09101 Carbohydrate metabolism&gt;&gt;&gt;00640 Propanoate metabolism [PATH:ko00640]|KEGG Orthology (KO)&gt;&gt;&gt;09100 Metabolism&gt;&gt;&gt;09102 Energy metabolism&gt;&gt;&gt;00720 Other carbon fixation pathways [PATH:ko00720]|Enzymes&gt;&gt;&gt;4. Lyases&gt;&gt;&gt;4.2  Carbon-oxygen lyases&gt;&gt;&gt;4.2.1  Hydro-lyases&gt;&gt;&gt;4.2.1.3  aconitate hydratase|Enzymes&gt;&gt;&gt;4. Lyases&gt;&gt;&gt;4.2  Carbon-oxygen lyases&gt;&gt;&gt;4.2.1  Hydro-lyases&gt;&gt;&gt;4.2.1.99  2-methylisocitrate dehydratase</t>
  </si>
  <si>
    <t>MTASKNSFNALSTLEVGEKSYDYYALNAVPGMEKLPYSLKVLGENLLRTEDGANITAEHIEAIANWDASAEPSIEIQFTPARVLMQDFTGVPCVVDLATMREAVKTLGGDPDKVNPLNPAEMVIDHSVIIEAFGSEDALSKNVEIEYERNEERYQFLRWGSKAFSNFRVVPPGTGIVHQVNIENLARVVFDNQGLAYPDTCIGTDSHTTMENGLGILGWGVGGIEAEAAMLGQPVSMLIPRVVGFKLTGQIPAGVTATDVVLTITEMLRQHGVVQKFVEFYGSGVKAVPLANRATIGNMSPEFGSTCAMFPIDEETTKYMRLTGRSEEQVALVEAYAKAQGMWLDENTPEAEYSEYLELDLSTVVPSIAGPKRPQDRILLSEAKEQFRKDLPTYCSDEVVEDESPAAIRMGAEGEAQDDNENLAPNFNSSREGHGESAAVGAKGRASKPVVVKSPNGGEYTLDHGMVAIASITSCTNTSNPSVMIGAGLIARKAAEKGLKAKPWVKTICAPGSQVVDGYYKRADLWKDLEALGFYLSGFGCTTCIGNSGPLPEEISKAINEHDLTATAVLSGNRNFEGRISPDVKMNYLASPIMVIAYAIAGTMDFDFETQPLGQDQDGNDVFLTDIWPSTEEIEATIEQAISRELYEADYADVFKGDEQWQNLPTPEGKTFAWDEKSTYIRKAPYFDGMTMEVAPVKDIKGARVLAKLGDSVTTDHISPASSIKPGTPAAQYLDENGVARNDYNSLGSRRGNHEVMMRGTFANIRLQNQLVDIAGGYTLDFTKDDKPQSFIFDACVNYKEAGIPLVVLGGKEYGTGSSRDWAAKGTNLLGVKAVITESFERIHRSNLIGMGVIPLQFPAGESHESLGLTGHEVFDIEGIEELNNGTTPKTVHVTATKEDGSTVEFDAVVRIDTPGEADYYRNGGILQYVLRNMAKA</t>
  </si>
  <si>
    <t>MTDSKNSFNAKSTLEVGEKSYEYFALSAVPGMEKLPYSLKVLGENLLRTEDGANITTEHIEAIANWDPTAEPSIEIQFTPARVLMQDFTGVPCVVDLATMREAVKTLGGDPDKVNPLNPAEMVIDHSVIIEAFGNSDALSTNVDIEYERNEERYQFLRWGSKAFSNFRVVPPGTGIVHQVNIENLARVVFDNNGLAYPDTCIGTDSHTTMENGLGILGWGVGGIEAEAAMLGQPVSMLIPRVVGFKLTGEIPAGVTATDVVLTITEMLREHGVVQKFVEFYGSGVKAVPLANRATIGNMSPEFGSTCAMFPIDEQTTKYMRLTGRSEEQIALVEAYAKAQGMWLDENTPEATYSEYLELDLSTVVPSIAGPKRPQDRILLSEAKQQFRTDLPNYLGE----DGTFEPVDLGPAGE---------PNYNSSRAGHGESAAEGADGRASRPVVVHSPRGGEYTLDHGMVAIASITSCTNTSNPSVMIGAGLIARKANEKGLKAKPWVKTICAPGSQVVDGYYKRADLWKDLEALGFYLAGFGCTTCIGNSGPLPEEVSQAINEYDLTATAVLSGNRNFEGRISPDVKMNYLASPIMVIAYAIAGTMDFDFATQPLGQDQDGNDVFLTDIWPSTEEIEATIESAISRELYEADYADVFLGDETWQNLPTPEGKTFDWDEKSTYIRKAPYFDGMTMEPEPVTDIKGARVLAKLGDSVTTDHISPASSIKPGTPAAQYLDENGVARNDYNSLGSRRGNHEVMMRGTFANIRLQNQLVDVAGGYTRDFTQDGGPQSFIFDACENYKKAGIPLVVLGGKEYGTGSSRDWAAKGTNLLGVKAVITESFERIHRSNLIGMGVIPLQFPAGESHESLGLDGTEVFDIEGIEELNNGVTPKTVKVTATKDNGSVVEFDAVVRIDTPGEAEYYRNGGILQFVLRNMAKS</t>
  </si>
  <si>
    <t>MTDSKNSFNAKSTLEVGEKSYEYFALSAVPGMEKLPYSLKVLGENLLRTEDGANITTEHIEAIANWDPTAEPSIEIQFTPARVLMQDFTGVPCVVDLATMREAVKTLGGDPDKVNPLNPAEMVIDHSVIIEAFGNSDALSTNVDIEYERNEERYQFLRWGSKAFSNFRVVPPGTGIVHQVNIENLARVVFDNNGLAYPDTCIGTDSHTTMENGLGILGWGVGGIEAEAAMLGQPVSMLIPRVVGFKLTGEIPAGVTATDVVLTITEMLREHGVVQKFVEFYGSGVKAVPLANRATIGNMSPEFGSTCAMFPIDEQTTKYMRLTGRSEEQIALVEAYAKAQGMWLDENTPEATYSEYLELDLSTVVPSIAGPKRPQDRILLSEAKQQFRTDLPNYLGE----DGTFEPVDLGPAGE---------PNYNSSRAGHGESAAEGADGRASRPVVVHSPRGGEYTLDHGMVAIASITSCTNTSNPSVMIGAGLIARKANEKGLKAKPWVKTICAPGSQVVDGYYKRADLWKDLEALGFYLAGFGCTTCIGNSGPLPEEVSQAINEYDLTATAVLSGNRNFEGRISPDVKMNYLASPIMVIAYAIAGTMDFDFATQPLGQDQDGNDVFLTDIWPSTEEIEATIESAISRELYEADYADVFLGDETWQNLPTPEGKTFDWDEKSTYIRKAPYFDGMTMEPEPVTDIKGARVLAKLGDSVTTDHISPASSIKPGTPAAQYLDDNGVARNDYNSLGSRRGNHEVMMRGTFANIRLQNQLVDVAGGYTRDFTQDGGPQSFIFDACENYKKAGIPLVVLGGKEYGTGSSRDWAAKGTNLLGVKAVITESFERIHRSNLIGMGVIPLQFPAGESHESLGLDGTEVFDIEGIEELNNSVTPKTVKVTATKDNGSVVEFDAVVRIDTPGEADYYRNGGILQFVLRNMAKS</t>
  </si>
  <si>
    <t>MTDSKNSFNAKSTLRVGDKSYDYFALSAVPGMEKLPYSLKVLGENLLRTEDGANITADHIEAIAGWDPTAEPSIEIQFTPARVLMQDFTGVPCVVDLATMREAVKTLGGDPDKVNPLNPAEMVIDHSVIIEAFGTASALKQNVEIEYERNEERYQFLRWGAENFSNFRVVPPGTGIVHQVNIEYLARVVFDNEGLAYPDTCIGTDSHTTMENGLGILGWGVGGIEAEAAMLGQPVSMLIPKVVGFKLTGEIPAGATATDVVLTITEMLREHGVVQKFVEFYGNGVKSIPLANRATIGNMSPEFGSTCAIFPIDEETIKYLHLTGRPQEQIDLVEAYAKAQGLWLEQDAPEAKYSEYLELDLSTVVPSIAGPKRPQDRILLSEAKEAFRRDLPNYCND----TETLPATTLTGTFE---------ANYNSSRPGKGESAAEGAQGRLSHPVTITSPQGGEYTVDHGMVAIASITSCTNTSNPSVMVGAGLIARKAAAKGLKAKPWVKTICAPGSQVVDGYYQRADLWKDLEALGFYLSGFGCASCIGNSGPLPDEVSAAINEYDLTATAVLSGNRNFEGRISPDVKMNYLASPIMVIAYAIAGTMDFDFATQPLGQDQDGNDVFLTDIWPSTEEIEETMASAISRELYEADYADVFKGDKQWQELDIPTGKTFAWNEDSTYIRKAPYFDGMTMEPQPVTDIHGARVLAKLGDSVTTDHISPASSIKPGTPAAQYLDANGVARKDYNSLGSRRGNHEVMMRGTFANIRLQNQLVDIAGGYTRDFTQEGGPQAFVFDACENYKAAGIPLVVLGGKEYGTGSSRDWAAKGTNLLGVKAVITESFERIHRSNLIGMGVIPLQFPAGESHESLGLDGTETFDITGIEQLNSGVTPETVHVTATKESGDVVEFDAVVRIDTPGEADYYRNGGILQYVLRNMAKS</t>
  </si>
  <si>
    <t>MTDSKNSFNAKSTLRVGDKSYDYFALSAVPGMEKLPYSLKVLGENLLRTEDGANITADHIEAIAGWDPTAEPSIEIQFTPARVLMQDFTGVPCVVDLATMREAVKTLGGDPDKVNPLNPAEMVIDHSVIIEAFGTATALKQNVEIEYERNEERYQFLRWGAENFSNFRVVPPGTGIVHQVNIEYLARVVFDNEGLAYPDTCIGTDSHTTMENGLGILGWGVGGIEAEAAMLGQPVSMLIPKVVGFKLTGEIPAGATATDVVLTITEMLREHGVVQKFVEFYGNGVKSIPLANRATIGNMSPEFGSTCAIFPIDEETIKYLHLTGRPQEQIDLVEAYAKAQGLWLEQDAPEAKYSEYLELDLSTVVPSIAGPKRPQDRILLSEAKEAFRRDLPNYCND----TETLPATTLTDTFE---------ANYNSSRPGSGESAAEGAEGRLSHPVTIASPQGGEYTVDHGMVAIASITSCTNTSNPSVMVGAGLIARKAAAKGLKAKPWVKTICAPGSQVVDGYYQRADLWKDLEALGFYLSGFGCASCIGNSGPLPDEVSAAINEYDLTATAVLSGNRNFEGRISPDVKMNYLASPIMVIAYAIAGTMDFDFATQPLGQDQDGNDVFLTDIWPSTEEIEATMASAISRELYEADYADVFKGDKQWQELDIPTGKTFAWNEDSTYIRKAPYFDGMTMEPQPVTDIHGARVLAKLGDSVTTDHISPASSIKPGTPAAQYLDANGVARKDYNSLGSRRGNHEVMMRGTFANIRLQNQLVDIAGGYTRDFTQEGGPQAFVFDACENYKAAGIPLVVLGGKEYGTGSSRDWAAKGTNLLGVKAVITESFERIHRSNLIGMGVIPLQFPAGESHESLGLDGTETFDITGIEQLNSGVTPETVHVTATKESGDVVEFDAVVRIDTPGEADYYRNGGILQYVLRNMAKS</t>
  </si>
  <si>
    <t>GC_00000818</t>
  </si>
  <si>
    <t>PF01026.27</t>
  </si>
  <si>
    <t>TatD related DNase</t>
  </si>
  <si>
    <t>N</t>
  </si>
  <si>
    <t>Cell motility</t>
  </si>
  <si>
    <t>K03424</t>
  </si>
  <si>
    <t>TatD DNase family protein [EC:3.1.21.-]</t>
  </si>
  <si>
    <t>COG0084</t>
  </si>
  <si>
    <t>3'-&gt;5' ssDNA/RNA exonuclease TatD (TatD) (PDB:1J6O) (PUBMED:10747959;25114049)</t>
  </si>
  <si>
    <t>MAKKKPRPQPVPAPLIPGETIIDAHTHLASCGARTPEEVGAIVERAKAAGVARICTVGDGLDEAELALQAAHSNADVFAACAIHPTRALELDDAARARLSEMAADPRCVAIGETGLDTYWI-GKSEDCAPLDVQAEALRWHIGLACSAGKALMIHNREADAELMEVLADAPRPRDVILHCFSSPLEVAEEALSRGYVLSFAGNVTFKRNDFLREAARIAPAGQYLIETDAPYMTAEPYRGTRNEPAFVGHAAHCIAQARGVDPAVVARDVSETFARVYQV---</t>
  </si>
  <si>
    <t>MSRKKPRPIPVPARTIPG--LIDAHTHLASC----KDDAAALVDRACAAGVDKLCTVGDGLAEAEAALAAAHAFPQVYAACAIHPTRVGELDQAAQARLVEMIADPRCVAVGETGLDTYWI-GKSETCAPLDMQEEALRWHIDRAVEADKALMIHNREADADLLRVLADAPAPRATILHCFSSPLDVAREALDRGYVLSFAGNVTFKRNEELREAARLAPTGQVLIETDAPYMTPEPFRGSRNEPSLIGHTALCVAEARGLSPEELAEEISATFDRVYGQA--</t>
  </si>
  <si>
    <t>MSRKKPRPTPVPARTIPG--LIDAHTHLASC----KDDAAALVERAGAAGVDKLCTVGDGLAEAEAALAAAHAFPQVYAACAIHPTRAGELDQAARARLVEMIADPRCVAVGETGLDTYWI-GKSETCAPLDMQEEALRWHIDRAVEADKALMIHNREADADLLRVLADAPAPRATILHCFSSPLDVAREALDRGYVLSFAGNVTFKRNEELREAARLAPTGQVLIETDAPYMTPEPFRGSRNEPSLIGHTALCVAEVRGLSPEELAEEVSATFDRVYGQA--</t>
  </si>
  <si>
    <t>--------MPEPAEYIAH--LTDAHTHLASCGARDAATVAEFVTRAHTAGVERICTVGDGLAEAELALAAAESHPDVVAACAIHPTKARELDDAARARLREMAAHPKCVAIGETGLDTYWIRHRPDDTAPLAVQEEALRFHIDVAVAAEKALMIHNREADADLLRVLGDAPSPKYTILHCFSSPTAVAEEAIARGYVLSFAGNVTFKNNEELRQIAAMVPIDQLLIETDAPFMTPVPYRGAKNEPAFIGHTALCV</t>
  </si>
  <si>
    <t>--------MPEPAEYIAH--LTDAHTHLASCGARDAATVAEFVTRAHAAGVERICTVGDGLVEAELALAAAESHPDVVAACAIHPTKARELDDAARARLREMAAHPKCVAIGETGLDTYWIRHRPDDTAPLAVQEEALRFHIDVAVAAEKALMIHNREADTDLLRVLGDAPSPKYTILHCFSSPTAVAKEAIARGYVLSFAGNVTFKNNEELRQIAAMVPIDQLLIETDAPFMTPVPYRGAKNEPAFIGHTALCV</t>
  </si>
  <si>
    <t>GC_00000819</t>
  </si>
  <si>
    <t>K14254</t>
  </si>
  <si>
    <t>aminotransferase</t>
  </si>
  <si>
    <t>M00780|M00823</t>
  </si>
  <si>
    <t>Tetracycline/oxytetracycline biosynthesis, pretetramide =&gt; tetracycline/oxytetracycline|Chlortetracycline biosynthesis, pretetramide =&gt; chlortetracycline</t>
  </si>
  <si>
    <t>Pathway modules; Biosynthesis of terpenoids and polyketides; Type II polyketide biosynthesis|Pathway modules; Biosynthesis of terpenoids and polyketides; Type II polyketide biosynthesis</t>
  </si>
  <si>
    <t>ko00001|ko00001|ko01008</t>
  </si>
  <si>
    <t>KEGG Orthology (KO)&gt;&gt;&gt;09100 Metabolism&gt;&gt;&gt;09109 Metabolism of terpenoids and polyketides&gt;&gt;&gt;01057 Biosynthesis of type II polyketide products [PATH:ko01057]|KEGG Orthology (KO)&gt;&gt;&gt;09100 Metabolism&gt;&gt;&gt;09109 Metabolism of terpenoids and polyketides&gt;&gt;&gt;00253 Tetracycline biosynthesis [PATH:ko00253]|Polyketide biosynthesis proteins&gt;&gt;&gt;Polyketide tailoring proteins&gt;&gt;&gt;Others</t>
  </si>
  <si>
    <t>MNYAIHPPQRTPL--NLPDFPWDSIADAKKLASEHPDGLINLSVGTPVDDVAPSIQLALAEAAAIPGYPQTIGTPELRNAIADAMHRRYNIGSLTDDE-ILPVIGTKEAIANLPHLLGIGAGHTIVIPEIAYPTYEVAARITGANVVRADSLLQL-----GPTTPTLMFINTPSNPTGKVLGRDHLRKVVQWCQQRGVILCSDECYLGLNWSEEKAHSILDDEICDGNHTGLIAIHSLSKTSNMASYRSGYLLGDPTLISELREVRKHAGFMMPTQIQHATIAALNDDAQEQAQQLRYAQRRATLTSALLEAGFTIDQSEAGLYLWITRNENCRDTLNWFAQRGILVAPGDFYGPKAHNHIRMALTGTDEQIAQVPQRLQTNP----</t>
  </si>
  <si>
    <t>-------MARITLSSTLPDFPWNLLEPAKRKAGAHPDGLVNLSVGSPVDAVAPGIQLALAEAGAYPGYPQTIGTAALRDAIVASLERRYHIPRNDETTAVLPVIGTKEAIAWLPTLLGCRG--TVIIPEIAYPTYEVGVLLAGATPVRSDAPWELDEESINPDDIDLIFLNSPANPTGKILDAAHLRKVIDWARDHDVIVASDECYLGLVW-EGEAQSILSPEVTTGDHRNLLAIHSLSKTSNLASYRVGFLAGD</t>
  </si>
  <si>
    <t>GC_00000820</t>
  </si>
  <si>
    <t>PF20628.3</t>
  </si>
  <si>
    <t>Dyp-type peroxidase, C-terminal</t>
  </si>
  <si>
    <t>K15733</t>
  </si>
  <si>
    <t>dye decolorizing peroxidase [EC:1.11.1.19]</t>
  </si>
  <si>
    <t>COG2837</t>
  </si>
  <si>
    <t>Periplasmic deferrochelatase/peroxidase EfeB (EfeB) (PDB:2D3Q)</t>
  </si>
  <si>
    <t>KEGG Orthology (KO)&gt;&gt;&gt;09190 Not Included in Pathway or Brite&gt;&gt;&gt;09191 Unclassified: metabolism&gt;&gt;&gt;99980 Enzymes with EC numbers|Enzymes&gt;&gt;&gt;1. Oxidoreductases&gt;&gt;&gt;1.11  Acting on a peroxide as acceptor&gt;&gt;&gt;1.11.1  Peroxidases&gt;&gt;&gt;1.11.1.19  dye decolorizing peroxidase</t>
  </si>
  <si>
    <t>----------------------------MGVSRRAFLKGGFALGAASAAGAALSACDNQ-------PEHTTGDGAQ---EKAQLVGFDGPHQAGISTEAQTTLNLVGFNVLAQTDPTSIRNLLRLWTEDARALCSGRNPVGSLEPELSENPANMTITCGFGPRLFEILGR-DI-PEILSPIPSFSKDQLDPAWGQTDLALQICGDDAVTVAHATRHMIRSAVEYVAVEWIQQGF------NEPAERGTPRNLFGL</t>
  </si>
  <si>
    <t>MTPDNGVDPTVQQPDTPAKTTDQPRTLPPQVSRRGFIL-GAATAAAAAGTTGLVACGNIN----RTTEAADDDDPTQAFLADDIVPFDGVHQAGIDTPGQAHLNIIAFTLRAGTTIDDVRRLMTVWTEDARQLTRGHNPIGSLEPELATIPANLTITCGFGPRFFDIIGKTDQRPEWLKPIPVFSKDKLEDTWGEADLALQICCDDPLTLAFATRHMTRAGGKLLETRWMQQGFLNARGATDPGT--TPRNLFGQKDGTVNPQSTAEYDDYVWIDENSSDPQWVRGGTCMVVRRIAMNLDTWEELDRTSREVAMGRYLESGAPLTGKEEFDTADFKAKDQFGLPVIDPRSHMALAAPPTDNPKEKMRRRAYNYLESHIP---GSDHTTNVGLVFICFQQNPVTQFTAIQQRLNDNDRLNTWITHIGSAVFAVPPGTSEVGAGKDQYWGASLLES-</t>
  </si>
  <si>
    <t>MTPDNGVDPTVQQPDTPAKTTDQPRTLPPQVSRRGFIL-GAATAAAAAGTTGLAACGNIN----RTTEAADDDDPTQAFLADDIVPFDGVHQAGIDTPGQAHLNIIAFTLRAGTTIDDVRRLMTVWTEDARQLTRGHNPIGSLEPELATIPANLTITCGFGPRFFDIIGKTDQRPEWLKPIPVFSKDKLEDTWGEADLALQICCDDPLTLAFATRHMTRAGGKLLETRWMQQGFLNARGATDPGT--TPRNLFGQKDGTVNPQSTAEYDDYVWIDENSSDPQWVRGGTCMVVRRIAMNLDTWEELDRTSREVAMGRYLESGAPLTGKEEFDTADFKAKDQFGLPVIDPRSHMALAAPPTDNPKEKMRRRAYNYLESHIP---GSDHTTNVGLVFICFQQNPVTQFTAIQQRLNDNDRLNTWITHIGSAVFAVPPGTSEVGAGKDQYWGASLLES-</t>
  </si>
  <si>
    <t>GC_00000821</t>
  </si>
  <si>
    <t>PF00185.30</t>
  </si>
  <si>
    <t>Aspartate/ornithine carbamoyltransferase, Asp/Orn binding domain</t>
  </si>
  <si>
    <t>K00611</t>
  </si>
  <si>
    <t>ornithine carbamoyltransferase [EC:2.1.3.3]</t>
  </si>
  <si>
    <t>COG0078</t>
  </si>
  <si>
    <t>Ornithine carbamoyltransferase (ArgF) (PDB:1A1S)</t>
  </si>
  <si>
    <t>M00844|M00029|M00978</t>
  </si>
  <si>
    <t>Arginine biosynthesis, ornithine =&gt; arginine|Urea cycle|Ornithine-ammonia cycle</t>
  </si>
  <si>
    <t>Pathway modules; Amino acid metabolism; Arginine and proline metabolism|Pathway modules; Amino acid metabolism; Arginine and proline metabolism|Pathway modules; Amino acid metabolism; Arginine and proline metabolism</t>
  </si>
  <si>
    <t>KEGG Orthology (KO)&gt;&gt;&gt;09100 Metabolism&gt;&gt;&gt;09105 Amino acid metabolism&gt;&gt;&gt;00220 Arginine biosynthesis [PATH:ko00220]|Enzymes&gt;&gt;&gt;2. Transferases&gt;&gt;&gt;2.1  Transferring one-carbon groups&gt;&gt;&gt;2.1.3  Carboxy- and carbamoyltransferases&gt;&gt;&gt;2.1.3.3  ornithine carbamoyltransferase</t>
  </si>
  <si>
    <t>MSTYS--NLRHFLTDDDLTPQEQTEVLTLARELKQAPLSARPLEGGRTVAVLFDKTSTRTRFSFATAISHMGGSDITVDTSASQMGKGETYQDTGAVLSRFVEAIVWRTYAQSNLEEMAETATVPIVNALTDDFHPCQILADLQTCIEHLCPEQGPEGLRGLKAVYLGDGNNNMANSYMLGFATAGMDITICAPEEFQPQQQFIDRARQRAQETGATVTVSADVAQSVADAHVVITDTWVSMGMENDGLDRTTPFKPYQVNSAVMAQADPQAIFLHCLPAYRGSEVSADVIDGDQSVVFDEAENRLHAQKALLVWLMEKSR-----------</t>
  </si>
  <si>
    <t>MSSLTHIPVRHFLADDDLSPSEQADVLNLAAELKKQPFLMRPLQGPLSVAVLFDKTSTRTRFSFDAGISQLGGNPIVVSAGDSQLGKGETIQDTGAVLSRFVSMIVWRTFAQKNLTDMAETATVPIINALSDAFHPCQLLADLQTCVEHLCPEQGPAGLKGKKAVYLGDGSNNMTNSYMIGFATSGMDVSIITPKEFQPRQDYVERARRRAAETGATVTVTDSLDE-VAGADVVITDTWVSMGMEHDGKDRRTPFLPYQVNDDLMAKAKDTAIFLHCLPAYRGQEVTASVIDGPQSVVFDEAENRLHAQKALMAWLLEQNRHYTRQGSDHAG</t>
  </si>
  <si>
    <t>MSSLTHIPVRHFLADDDLSPSEQADVLNLAAELKKQPFLMRPLQGPLSVAVLFDKTSTRTRFSFDAGISQLGGNPIVVSAGDSQLGKGETIQDTGAVLSRFVSMIVWRTFAQKNLTDMAETATVPIINALSDAFHPCQLLADLQTCVEHLCPEQGPAGLKGKKAVYLGDGSNNMTNSYMIGFATAGMDVSIITPKEFQPRQDYVERARRRAAETGATVTVTDSLDE-VVGADVVITDTWVSMGMEHDGKDRRTPFLPYQVNDDLMAKAKDTAIFLHCLPAYRGQEVIASVIDGPQSVVFDEAENRLHAQKALMAWLLEQNRHYTRQGSDYAG</t>
  </si>
  <si>
    <t>MTN----NVRHFLADDHLTPAEQAEVLTMAAELKHARFASQPLKGPQSVAVLFDKTSTRTRFSFATGIAELGGNAIVVESGKTQMGKGETYQDTGALLSRMVSLIVWRTFAHQNLWDMAETSQVPIINALCDSFHPCQVLADLQTIIENLCPKQGPSGLRGHKAVYLGDGRNNMANSYMLGFATAGLDISIIAPADFQPEPYFVERARTRAAETGATITVTSDINE-VAGADVVITDTWVSMGMENDGLDRRTPFLPYQVNDEIMSKANKNAIFMHCLPAYRGSEVTASVIDGPQSVVFDEAENRLHAQKALMTWLLWNQPKPNK-------</t>
  </si>
  <si>
    <t>MTT----NVRHFLADDHLTPAEQAEVLTMAAELKHARFASQPLKGPQSVAVLFDKTSTRTRFSFATGIAELGGNAIVVESGKTQMGKGETYQDTGALLSRMVSLIVWRTFAHQNLWDMAETSQVPIINALCDSFHPCQVLADLQTIIENLCPKQGPSGLRGHKAVYLGDGCNNMANSYMLGFATAGLDISIIAPADFQPEPYFVERARTRAAETGATITVTSDINQ-VAGADVVITDTWVSMGMENDGLDRRTPFLPYQVNDEIMSKANKNAIFMHCLPAYRGSEVTASVIDGPQSVVFDEAENRLHAQKALMTWLLWNQPKPNK-------</t>
  </si>
  <si>
    <t>GC_00000822</t>
  </si>
  <si>
    <t>PF00982.27</t>
  </si>
  <si>
    <t>Glycosyltransferase family 20</t>
  </si>
  <si>
    <t>K00697</t>
  </si>
  <si>
    <t>trehalose 6-phosphate synthase [EC:2.4.1.15 2.4.1.347]</t>
  </si>
  <si>
    <t>COG0380</t>
  </si>
  <si>
    <t>Trehalose-6-phosphate synthase, GT20 family (OtsA) (PDB:1UQT) (PUBMED:28830929)</t>
  </si>
  <si>
    <t>ko00001|ko01000|ko01000|ko01003</t>
  </si>
  <si>
    <t>KEGG Orthology (KO)&gt;&gt;&gt;09100 Metabolism&gt;&gt;&gt;09101 Carbohydrate metabolism&gt;&gt;&gt;00500 Starch and sucrose metabolism [PATH:ko00500]|Enzymes&gt;&gt;&gt;2. Transferases&gt;&gt;&gt;2.4  Glycosyltransferases&gt;&gt;&gt;2.4.1  Hexosyltransferases&gt;&gt;&gt;2.4.1.15  alpha,alpha-trehalose-phosphate synthase (UDP-forming)|Enzymes&gt;&gt;&gt;2. Transferases&gt;&gt;&gt;2.4  Glycosyltransferases&gt;&gt;&gt;2.4.1  Hexosyltransferases&gt;&gt;&gt;2.4.1.347  alpha,alpha-trehalose-phosphate synthase (ADP-forming)|Glycosyltransferases&gt;&gt;&gt;Others&gt;&gt;&gt;Trehalose</t>
  </si>
  <si>
    <t>MSRTSSFVVASLRLPIDISVDECGNQVVSSSPGGLVSALRPVLAQRDGVWVGWPGAIDHELAPMKLE-GLSLHPVALSQTDFEQFYEGFSNATLWPLYHDLIVTPEFNEQWWETYRQVNERFAQAVVECAEPGATVWVQDYQLQLLPQLLKQARPDLTVGFFLHIPFPSVDLFQQLPWRRELLVGMDAADVIGFQLSSGADNYLQLR--------QSLLEPEE--LQRTPVVRD-----------------FPISIDYGSMAARAKQARESGAVEALRRRLGNPQAVLLGVDRLDYTKGISQRLQAFRQLLDQLPNHDPGSVVFVQVATPSRERIDHYRATRDSVEQLVGRINGECAAVGTPVVHYLHRSLSAEELAALYAAADVMVVTPLKDGMNLVSKEYVACHEDGSGALVLSEFAGAAAQLNEAHLCNPHDVPSITEAMLQA---LRGGGVVRNSDDAVSDAQARMSLMVDNVRMFDVHRWAQDFLDLLEVK-</t>
  </si>
  <si>
    <t>MSGENQFVVVANRLPVDLTTHPDGTEEWTPSPGGLVAALTPVLAKQRGCWVGWPGVADAAPEPFHTDDGVLLHPVKLTSVDYEEFYEGFSNATLWPLYHDLIVPPEYHRDWWESYREVNLKFAQEVAEVAAEGATVWVQDYQLQLVPGILRQTRPDLRIGFFLHIPFPSPDLFRQLPWREEIVRGLLGADVIGFHLKINADNFLTLARQVAGDTGSHIGQPDQLAVEGEASMNSITATISVPDGREVGVAAFPISIDTASVIAQANNADPA----SIRHSLADTETIILGVDRLDYTKGILQRLLAFEELLES-GALDPNDVVLVQVATPSRERIEHYRTARHAVEQAVGRINGRFGSIGRPVVHYVHRSISKDQLMGIYAAADVMLITAFKDGMNLVAKEYVACHGDGSGALVLSEFAGAAVELNQAFLCNPHDIESIKKQLLAAVTELRS---------APEETRERMEAMHQQVVEHDVEAWAKSFLTCLERHA</t>
  </si>
  <si>
    <t>MSGENQFVVVANRLPVDLTTHPDGTEEWTPSPGGLVAALTPVLAKQRGCWVGWPGVADAAPEPFHTDDGVLLHPVKLTSVDYEEFYEGFSNATLWPLYHDLIVPPEYHRDWWESYREVNLKFAQEVADVAAEGATVWVQDYQLQLVPGILRQTRPDLRIGFFLHIPFPSPDLFRQLPWREEIVRGLLGADVIGFHLKINADNFLTLARQVAGDTGSHIGQPDQLAVEGEASMNSITATISVPDGREVGVAAFPISIDTASVIAQANNADPA----SIRHSLADTETIILGVDRLDYTKGILQRLLAFEELLES-GALDPNDVVLVQVATPSRERIEHYRTARHAVEQAVGRINGRFGSIGRPVVHYVHRSISKDQLMGIYAAADVMLITAFKDGMNLVAKEYVACHGDGSGALVLSEFAGAAVELNQAFLCNPHDIESIKKQLLAAVTELRS---------APEETRERMEAMHQQVVEHDVEAWAKSFLTCLERHA</t>
  </si>
  <si>
    <t>---MNDFVVVANRLPVDLHYDDNGAPVWTPSPGGLVAALTPVLAQHHGCWIGWPGTTTEAPEPFRTESGILLNPVSLSQSDYEEFYEGFANATLWPLYHDLIVTPRYHRNWWDAYQRVNQKFAETAAQVAAPNATVWVQDYQLQLVPGMLRELRPDLTIGFFLHIPFPAPDLFRQLPWREEILTGVLGADMVGFHLASNARNFLHVV--------AHYSEHD---VSGTVSVRDITAHVHTSDNRKVGIGAFPIA</t>
  </si>
  <si>
    <t>---MNDFVVVANRLPVDLHYDDNGAPVWTPSPGGLVAALTPVLAQHHGCWIGWPGTTTEAPEPFRTESGILLNPVSLSQSDYEEFYEGFANATLWPLYHDLIVTPRYHRNWWDAYQRVNQKFAETAAQVAAPNATVWVQDYQLQLVPGMLRELRPDLTIGFFLHIPFPAPDLFRQLPWREEILTGVLGADMVGFHLASNARNFLHVV--------AHYSEHD---VSGTVSVRDITAHVHTSDDRQVGIGAFPIA</t>
  </si>
  <si>
    <t>GC_00000823</t>
  </si>
  <si>
    <t>PF00393.24</t>
  </si>
  <si>
    <t>6-phosphogluconate dehydrogenase, C-terminal domain</t>
  </si>
  <si>
    <t>K00033</t>
  </si>
  <si>
    <t>6-phosphogluconate dehydrogenase [EC:1.1.1.44 1.1.1.343]</t>
  </si>
  <si>
    <t>COG0362</t>
  </si>
  <si>
    <t>6-phosphogluconate dehydrogenase (Gnd) (PDB:2ZYA) (PUBMED:25329577)</t>
  </si>
  <si>
    <t>M00004|M00006</t>
  </si>
  <si>
    <t>Pentose phosphate pathway (Pentose phosphate cycle)|Pentose phosphate pathway, oxidative phase, glucose 6P =&gt; ribulose 5P</t>
  </si>
  <si>
    <t>KEGG Orthology (KO)&gt;&gt;&gt;09100 Metabolism&gt;&gt;&gt;09101 Carbohydrate metabolism&gt;&gt;&gt;00030 Pentose phosphate pathway [PATH:ko00030]|KEGG Orthology (KO)&gt;&gt;&gt;09100 Metabolism&gt;&gt;&gt;09106 Metabolism of other amino acids&gt;&gt;&gt;00480 Glutathione metabolism [PATH:ko00480]|Enzymes&gt;&gt;&gt;1. Oxidoreductases&gt;&gt;&gt;1.1  Acting on the CH-OH group of donors&gt;&gt;&gt;1.1.1  With NAD+ or NADP+ as acceptor&gt;&gt;&gt;1.1.1.44  phosphogluconate dehydrogenase (NADP+-dependent, decarboxylating)|Enzymes&gt;&gt;&gt;1. Oxidoreductases&gt;&gt;&gt;1.1  Acting on the CH-OH group of donors&gt;&gt;&gt;1.1.1  With NAD+ or NADP+ as acceptor&gt;&gt;&gt;1.1.1.343  phosphogluconate dehydrogenase (NAD+-dependent, decarboxylating)</t>
  </si>
  <si>
    <t>MTDQ--LAQIGVVGLAVMGSNIARNFARHGHTVAVYNRSFDKTERFMAEHSSEGAFVASDSIEAFVASLERPRRALIMVQAGKATDAVIEQLADAMEPGDIIIDGGNSLYTDTIRREAAMSERGIHFVGAGISGGEEGALNGPSIMPGGPAESYESLGPLLESIAAQVDGTPCCTHIGPDGAGHFVKMVHNGIEYADMQVIGEAYHLLRYAAGLEPKEIAAVFREWNAGDLDSYLVEITAEVLDQVDQRTGKPLVDVIVDAAGQKGTGRWTVKAALDLGIPVTGIGEAVFARALSGARTMREATIGNLPSGTL-DTRAV--PDRDAFIEDVRRALYASKLVAYAQGFDEIKAGSAEHGWDVDPRDLATIWRGGCIIRAKFLNRIVDAYNANGDLESLLLDPYFNGEMTNLVDSWRRIVVAATERGLPIPVFASSLSYYDGLRAERLPAALIQGQRDFFGAHTYERVDTQGHFHTLWSGDRSEVETS</t>
  </si>
  <si>
    <t>MTDQKALAQIGVVGLAVMGSNIARNFARHDYTVAVYNRSTEKTDAFMAEYGKDGDFIPSTTIKEFVASLERPRRALIMVQAGEATDAVIAQLADAMDKGDIIIDGGNSLFTDTIRREADMSARGLHFVGAGISGGEEGALNGPSIMPGGPAESYESLGPLLESIAAHVDDVPCCTHIGPNGAGHFVKMVHNGIEYADMQVIGEAYHLLRYAAHMTPAEIAEVFREWNTGDLDSYLVEITAEVLSQVDAETGKPLIDVIVDQAGQKGTGRWTVKAALDLGIPTTGIGEAVFARALSGAADQRAATEGQLPTGDIADGVSD--DERPEFIEDVRRALYASKLVAYAQGFDEIKAGSEEYGWDIDPRDLATIWRDGCIIRAKFLNRIVDAYNTNPDVESLLLDPYFKNEMGDLINSWRRVVIAATQTGLPIPVFASSLSYYDSLRADRLPAALIQGQRDYFGAHTYQRVDKPGTFHTQWSGDRSEVEA-</t>
  </si>
  <si>
    <t>MTDQKALAQIGVVGLAVMGSNIARNFARHDYTVAVYNRSTEKTDAFMAEYGKDGDFIPSTTIKEFVASLERPRRALIMVQAGEATDAVIAQLADAMDKGDIIIDGGNSLFTDTIRREADMSARGLHFVGAGISGGEEGALNGPSIMPGGPAESYESLGPLLESIAAHVDDVPCCTHIGPNGAGHFVKMVHNGIEYADMQVIGEAYHLLRYAAHMTPAEIAEVFREWNTGDLDSYLVEITAEVLSQVDAETGKPLIDVIVDQAGQKGTGRWTVKAALDLGIPTTGIGEAVFARALSGAADQRAATEGQLPTGDIADGVSD--DERPEFIEDVRRALYASKLVAYAQGFDEIKAGSEEYGWNIDPRDLATIWRDGCIIRAKFLNRIVDAYNTNPDVESLLLDPYFKNEMGDLINSWRRVVIAATQTGLPIPVFASSLSYYDSLRADRLPAALIQGQRDYFGAHTYQRVDKPGTFHTQWSGDRSEVEA-</t>
  </si>
  <si>
    <t>MTEQGNLAQIGVVGLAVMGSNLARNFARNGHTVAVYNRSTEKTHNFMANHGTEGDFIPSETITDFVASLEKPRRAIIMVQAGNATDAVIHQLADAMDDGDIIIDGGNALYTDTIRREQEIADRGLNFVGAGISGGEEGALNGPAIMPGGPEKTWEALGPLLESIAANVDGVPCVTHIGPDGAGHFVKMVHNGIEYADMQVIGEAYQLLRYGAGMTPAEIAEVFRTWNAGDLDSYLIGITAEVLAQVDAETGKPLIDLIVDSAGQKGTGRWTVKAALDLGIPVTGIGEAVFARALSGATNQRQATIGNLPSGTL-TTLAELGADRDTFIEDVRRALYASKLVAYAQGFDEITAGSADHNWNVDPRDLATIWRGGCIIRAKFLNRIVEAYNANPELPTLLLDPYFKAELAGLIDSWRRVVTLATQIGQPIPVFASSLSYYDSLRIDRLPAALIQGQRDYFGAHTYQRVDKPGTYHTLWSGNRTEIEA-</t>
  </si>
  <si>
    <t>-----------------MGSNLARNFARNGHTVAVYNRSTEKTRNFMANHGAEGDFIPSETITDFVASLEKPRRAIIMVQAGNATDAVIHQLADAMDDGDIIIDGGNALYTDTIRREQEIADRGLNFVGAGISGGEEGALNGPAIMPGGPEKTWEALGPLLESIAANVDGVPCVTHIGPDGAGHFVKMVHNGIEYADMQVIGEAYQLLRYGAGMTPAEIAEVFRTWNAGDLDSYLIDITAEVLAQVDAETGKPLI</t>
  </si>
  <si>
    <t>GC_00000824</t>
  </si>
  <si>
    <t>COG0516</t>
  </si>
  <si>
    <t>IMP dehydrogenase/GMP reductase (GuaB) (PDB:1B3O)</t>
  </si>
  <si>
    <t>MRDYVEIGMGREARRYYSLNDIAIVPSRRTRSSKDVDTTWHIDAYTFNIPFVSHPTDALATPEFVIEMDRQGGLGVINAEGLWGRHADLEGAIQQVVEAARDEFDFINEGNTQGIAKLQELHAAPLDTELLSERIAQVRASGATVAVRVSPQNARELAPVVIKAGAELLFIQGTIISAEHVEAGGEPLNLKEFVGSLDVPVIAGGVGDYTTALHLMRSGVAGVIVGSGQSTN-DLALGVSSYMATAIADVAAARRDYLDETEGRYVHVIADGEVYRSGQAVKAFACGADAVMLGMPLCIAQEAPAPNTYWPSVAAHPRFPRGAVDEVFLENF--AGGQPTLETVLHGPSASAGGELNFVGALRRTLAKCGYTNLKSFQKVDLAVER--</t>
  </si>
  <si>
    <t>MRNNVELGIGREARRSYSLNEIAIVPSRRTRSSKDVDTSWNIDAYSFDIPFMSHPSDALASPEFVMEMHRQGGLGVINAEGMWGRHADLDAAIAEVLNAAVDEYGGYDFNNAKAVAVLQKLHSAPINEDLLTERIAEVRASGATVAVRVSPQHAHELAPLVIKAGTELLVIQGTLISAEHVAADGEPLNLKEFIGSLDVPVIAGGVTDYTTALHLMRTGAAGIIIGGGTSTT-DLALGIDAPMATAIADAAAARRDYLDETGGRYVHLIADGEIETSGDVAKAIACGADAVMLGAPLAQASEAAAPGYYWPAVAGHPRFPRGVVEPAPGRVYEEADQRPSLEVVLHGPSADAFGALNLVGGLRRAMAKCGYTDLKKFQKVQLAIRGE-</t>
  </si>
  <si>
    <t>MRNNVELGIGREARRSYSLNEIAIVPSRRTRSSKDVDTSWNIDAYSFDIPFMSHPSDALASPEFVMEMHRQGGLGVINAEGMWGRHADLDAAIAEVLNAAVDEYGGYDFNNAKAVAVLQKLHSAPINEDLLTERIAEVRASGATVAVRVSPQHARELAPLVIKAGTELLIIQGTLISAEHVAADGEPLNLKEFIGSLDVPVIAGGVTDYTTALHLMRTGAAGIIIGGGTSTT-DLALGIDAPMATAIADAAAARRDYLDETGGRYVHLIADGEIETSGDVAKAIACGADAVMLGAPLAQASEAAAPGYYWPAVAGHPRFPRGVVEPAPGRVYEEADQRPSLEVVLHGPSADAFGALNLVGGLRRAMAKCGYTDLKKFQKVQLAIRGG-</t>
  </si>
  <si>
    <t>MRDYVEIGIGRKARRTYSLEAITVLPTRRTRSSKEVDTSWNIDAYSFDIPFVSHPTDAIADPEFAIEMDRLGGMGVINAEGLLGRHVDVEAAIDQVVAAARDENGEFSYHNTDAIAKLQELHAAPLDTDLLSERISQIRAAGATVAVRVSPQNAAELAPVVIKAGADLLFIQGTLLSAEHYLSQGEPLNLKEFIASLDIPVIVGGVSDYTTAMHMMRTGAVGVIVGAGDGINGGEALGIQPALATAIADVAAARRDYLDETGGRYVHIIADGEIYTSGNVVVAIACGADAVVLGSPLATAKEAAGKGYFWPSAAGHPRFPRGRVEPV-SEVD--PEQRPSLETLLYGPSSDPSGTQNFAGGLRRAVAKCGFQDLKSFQKVELAYRIGF</t>
  </si>
  <si>
    <t>MRDYVEIGIGRKARRTYSLEAITVLPTRRTRSSKEVDTSWNIDAYSFDIPFVSHPTDAIADPEFAIEMDRLGGMGVINAEGLLGRHVDVEAAIDQVVAAARDENGEFSYHNTDAIAKLQELHAAPLDTDLLSERINQIRAAGATVAVRVSPQNAAELAPVVIKAGADLLFIQGTLLSAEHYLSQGEPLNLKEFIASLDIPVIVGGVSDYTTAMHMMRTGAVGVIVGAGDGINGGEALGIQPALATAIADVAAARRDYLDETGGRYVHIIADGEIYTSGNVVVAIACGADAVVLGSPLATAKEAAGKGYFWPSAAGHPRFPRGRVEPV-SEVD--PEQRPSLETLLYGPSSDPSGTQNFAGGLRRAVAKCGFQDLKSFQKVELAYRIGF</t>
  </si>
  <si>
    <t>GC_00000825</t>
  </si>
  <si>
    <t>K01928</t>
  </si>
  <si>
    <t>UDP-N-acetylmuramoyl-L-alanyl-D-glutamate--2,6-diaminopimelate ligase [EC:6.3.2.13]</t>
  </si>
  <si>
    <t>KEGG Orthology (KO)&gt;&gt;&gt;09100 Metabolism&gt;&gt;&gt;09105 Amino acid metabolism&gt;&gt;&gt;00300 Lysine biosynthesis [PATH:ko00300]|KEGG Orthology (KO)&gt;&gt;&gt;09100 Metabolism&gt;&gt;&gt;09107 Glycan biosynthesis and metabolism&gt;&gt;&gt;00550 Peptidoglycan biosynthesis [PATH:ko00550]|Enzymes&gt;&gt;&gt;6. Ligases&gt;&gt;&gt;6.3  Forming carbon-nitrogen bonds&gt;&gt;&gt;6.3.2  Acid-D-amino-acid ligases (peptide synthases)&gt;&gt;&gt;6.3.2.13  UDP-N-acetylmuramoyl-L-alanyl-D-glutamate---2,6-diaminopimelate ligase|Peptidoglycan biosynthesis and degradation proteins&gt;&gt;&gt;Precursor biosynthesis&gt;&gt;&gt;Amino acid ligase</t>
  </si>
  <si>
    <t>MSVVECPTLAQL--ADIAGGRIDSIVDVAGVTVQAIGINAQELPQGGVFAAVPGSNAHGARFAGQADASAVLTDAQGLSIVRDELGLDVPVIVVDQVREVLGAVSSAVYGNPSQSLRIIGITGTSGKTTTSYLMEKALMAQGKKVGLIGTTGTRIDGRAVPTKLTTPEAPKLQELFASMRDQGVTDVVMEVSSHAISLGRVAGTRFVVKAFNNLSQDHLDFHHSMEEYFEAKAAWFVPDDQ---CTFIVNVDDQWGRTLADRTGALTLSLH---DAAGVEVSQRVTAGDNSQSFVWRREGGEPVKVSIPLPGEFNVANAAMALACVSVVDPDGVAVAAEALGQVAVPGRMQRVDVGQDFLAVVDYAHKPAAIAAILEELSSQVKGRIGVVVGAGGDRDQAKRPLMGREAARCADLVVVTDDNPRSEDPALIRAAVLEGTQGTNAEVVEIGDRAQAIAQAVAWAQPGDAIVVAGKGHETGQIIGGVTHHFDDREQLEAAIVARLDEERQR</t>
  </si>
  <si>
    <t>GC_00000826</t>
  </si>
  <si>
    <t>PF01189.24</t>
  </si>
  <si>
    <t>16S rRNA methyltransferase RsmB/F</t>
  </si>
  <si>
    <t>K03500</t>
  </si>
  <si>
    <t>16S rRNA (cytosine967-C5)-methyltransferase [EC:2.1.1.176]</t>
  </si>
  <si>
    <t>COG0144</t>
  </si>
  <si>
    <t>16S rRNA C967 or C1407 C5-methylase, RsmB/RsmF family (RsmB) (PDB:2FRX)</t>
  </si>
  <si>
    <t>Enzymes&gt;&gt;&gt;2. Transferases&gt;&gt;&gt;2.1  Transferring one-carbon groups&gt;&gt;&gt;2.1.1  Methyltransferases&gt;&gt;&gt;2.1.1.176  16S rRNA (cytosine967-C5)-methyltransferase|Ribosome biogenesis&gt;&gt;&gt;Prokaryotic type&gt;&gt;&gt;rRNA modification factors&gt;&gt;&gt;16S rRNA modification factors</t>
  </si>
  <si>
    <t>-----MAGGFRSRSTQNQSSNKSAGHTPARETNSNQRRSGNRAPSARGHNGRSSNDRGSSKAQRGRVDAPRIVAVGALIEVSEHGAYANLVLPKLLRAEKLSGLDAAFATELLYGTLRAQGIVDAVLAKVSSRSLQSMAPEVRAALRLGVYQSLFTRVGQHAAVDTTVELVVFLGQERARGFVNGILRTVTRTNVDVWLERLQPSTELGRLAFRHSHPEWIAQSFARVLGMHD-LEAALEADSQRPVVHLAARPG</t>
  </si>
  <si>
    <t>-----MAGGFRSRSKSGDKPTSTSMSRPKGAKDGGRKQSQPR-QQRRSPQQREVRRFVEAG-----VDKPRAAAFDVLTDVRVNDAYANLVLPALLRERRITGRDAAFATELTYGTLRTQGVLDRVIAASSSRSVTQIDPTLLDALRLGVYQLLYTRVEQHAAVDTTVRMAEAVGQPKAKGFVNAVMRTTSRSTPEQWMEQLTPEESLAAVAFRHAHPEWIARSFVRALGSDAELDEALEADSQRPTVHLVARPG</t>
  </si>
  <si>
    <t>-----MAGGFRSRSKSGDKPTSTSTSRPKGAKDGGRKQSQPR-QQRRSPQQREVRRFAEAG-----VDKPRAAAFDVLTDVRVNDAYANLVLPALLRERRITGRDAAFATELTYGTLRTQGVLDRVIAASSSRSVTQIDPTLLDALRLGVYQLLYTRVEQHAAVDTTVRMAEAVGQPKAKGFVNAVMRTTSRSTPEQWMEQLTPEESLAAVAFRHAHPEWIARSFVRALGSDAELDEALEADSQRPTVHLVARPG</t>
  </si>
  <si>
    <t>MSLEKKPGGFRSRAK-GEKRAPAFGNRSAA----------PR-PTRYQPGG-DPRALGD-------VDLARAVAFDVLYRVNVEGTYANLALPKALTEYRLKRRDAAFATEITYGTLRVQGILDIVIAHCSSRPLDSIDPAVLGAIRLGAYQLLYTRVEPHAAVDSAVKIVAATGNEQAKGFANGILRKISRTTPEAWWEKLQPADELAAIAFRHAHPEWVAKSFEQALGGRDELDAALAADSERPIVHLVARPGEITAEELALMTGGDEGTYSPYAVYLPGGDPGRIDAVRDGLAAVQDEGSQLIARALTEAPLDGPDGGHWLDLCAGPGGKAALLGAIARIESATVDAVEVQPHRAKLVQQTVRDLPVTVHTMDGRNPSFEYQFDRVLVDAPCSGLGALRRRPEARWRKQESDIAQLAQLQYELLASAINLTRPGGIIVYSTCSPDLRETRGVVNKALENH--PVVELDAHPLVPNMENTGEEKSVQMWPHRHHTDAMFFAVLKKTPEKLG</t>
  </si>
  <si>
    <t>MSLEKKPGGFRSRAK-GEKRAPAFGNRPMA----------PR-PTRYQPGG-DPRALGD-------VDLARAVAFDVLYRVNVEGTYANLALPKALTEYRLKRRDAAFATEITYGTLRVQGILDIVIAHCSSRPLDSIDPAVLGAIRLGAYQLLYTRVEPHAAVDSAVKIVAATGNEQAKGFANGILRKISRTTPEAWWEKLQPADELAAIAFRHAHPEWVAKSFEQALGGRDELDAALAADSERPIVHLVARPGEITAEELALMTGGDEGTYSPYAVYLPGGDPGRIDAVRDGLAAVQDEGSQLIARALTEAPLDGPDGGHWLDLCAGPGGKAALLGAIARIESATVDAVEVQPHRAKLVQQTVRDLPVTVHTMDGRNPSFEYQFDRVLVDAPCSGLGALRRRPEARWRKQESDIAQLAQLQYELLASAINLTRPGGIIVYSTCSPDLRETRGVVNKALENH--PVVELDAHPLVPNMENTGEEKSVQMWPHRHHTDAMFFAVLKKTPEKLG</t>
  </si>
  <si>
    <t>GC_00000827</t>
  </si>
  <si>
    <t>PF00762.24</t>
  </si>
  <si>
    <t>Ferrochelatase</t>
  </si>
  <si>
    <t>K01772</t>
  </si>
  <si>
    <t>protoporphyrin/coproporphyrin ferrochelatase [EC:4.98.1.1 4.99.1.9]</t>
  </si>
  <si>
    <t>COG0276</t>
  </si>
  <si>
    <t>Protoheme ferro-lyase (ferrochelatase) (HemH) (PDB:1AK1)</t>
  </si>
  <si>
    <t>KEGG Orthology (KO)&gt;&gt;&gt;09100 Metabolism&gt;&gt;&gt;09108 Metabolism of cofactors and vitamins&gt;&gt;&gt;00860 Porphyrin metabolism [PATH:ko00860]|Enzymes&gt;&gt;&gt;4. Lyases&gt;&gt;&gt;4.98  ATP-independent chelatases&gt;&gt;&gt;4.98.1  Forming coordination complexes&gt;&gt;&gt;4.98.1.1  protoporphyrin ferrochelatase|Enzymes&gt;&gt;&gt;4. Lyases&gt;&gt;&gt;4.99  Other lyases&gt;&gt;&gt;4.99.1  Sole sub-subclass for lyases that do not belong in the other subclasses&gt;&gt;&gt;4.99.1.9  coproporphyrin ferrochelatase</t>
  </si>
  <si>
    <t>MQRATVLYMPEKHTIDPVDNHPFDGLLLLSFGGPEGHEDVRPFLENVTRGRGIPPERLDEVEEHYHHFGGVSPLNSLNREIIDHVEQELHTRGRDLPVFFGNRNWHPFAEDTVEQMVAAGHRRIAVFATSAWGGYSGCRQYHEDIARCMQHLEQRGLAEGVQMVKLRQFFDHPRYIDAMVDAVDEALAKVRAHGRG-DRIRLVFTAHSIPLSADRSSGVDSDGALYSSQIRYASELVAQRCGFSPIDDAASAVGAHAADGFYDVVWQSRSGPEHVPWLDPDVVDHIAAIHG-DVDAAVVCPIGFVSDHIEVVWDLDSELQQEAADFDIDIVRTRTAGPTADFAAMVVDLLEELECGAPVARVDSTRPGGASDVPGGVPALRGCRANGEPCAQGCCAPRKRPAAHGGARPGA</t>
  </si>
  <si>
    <t>--MGIVFPMPPT----------FDALLFLSFGGPEGHEDVRPFLENVTRGRGVPPERLDEVEVHYHHFGGVSPLNELNREIIANVQAELKAQGLDLPMYFGNRNWHPLAADTAVEMEKAGVRRALVFATSAWAGYSGCRQYDEDIDAMRQHLKNQGLND-IEFTKLRQFYDHPLYIEAMTEAVQEAFADLPDDLC--DNARLIFTAHSIPMSADHTSGIDADGALYSRQVQESAALVAQQLGITE----------</t>
  </si>
  <si>
    <t>--------MPPT----------FDALLFLSFGGPEGHEDVRPFLENVTRGRGVPPERLDEVEVHYHHFGGVSPLNELNREIIANVQAELKAQGLDLPVYFGNRNWHPLAVDTAVEMEKAGVRRALVFATSAWAGYSGCRQYDEDIDAMRQHLKNRGLND-IEFTKLRQFYDHPLYIEAMTEAVQEAFADLPADVC--DNARLIFTAHSIPISADHTSGIDADGALYSRQVQESAALVAQQLGITE----------</t>
  </si>
  <si>
    <t>-------MNTPT---------PVDALLVLSFGGPEKPEDVRPFLENVTRGRGIPASRLDEVAVHYHHFDGYSPLNDCNREIIANVEAELRRRGSTLPVYFGNRNWHPYANDIALELAENGHRNVAVFATSAWGGYSGCRQYGEDIQKMRHHLAEHHKTP-IDFYRLRQFFDHPTFIEAGAHAIRNAYQQYADQGIGRDDIRLIFTAHSIPVVADQRSGTDADGALYSRQVHETARLIAGRLGVAD----------</t>
  </si>
  <si>
    <t>-------MNTPT---------PVDALLVLSFGGPEKPEDVRPFLENVTRGRGIPASRLDEVAVHYHHFDGYSPLNDCNREIIANVEAELRRRGSTLPVYFGNRNWHPYANDIALELAENGHRNVAVFATSAWGGYSGCRQYGEDIQKMRHHLAEHHKTP-IDFYRLRQFFDHPTFIEAGAHAIRNAYQQYADQGIGRDDIRLVFTAHSIPVVADQRSGTDADGALYSRQVHETARLIAGRLGVAD----------</t>
  </si>
  <si>
    <t>GC_00000828</t>
  </si>
  <si>
    <t>PF01351.25</t>
  </si>
  <si>
    <t>Ribonuclease HII</t>
  </si>
  <si>
    <t>K03470</t>
  </si>
  <si>
    <t>ribonuclease HII [EC:3.1.26.4]</t>
  </si>
  <si>
    <t>COG0164</t>
  </si>
  <si>
    <t>Ribonuclease HII (RnhB) (PDB:1EKE)</t>
  </si>
  <si>
    <t>ko00001|ko01000|ko03032|ko03032</t>
  </si>
  <si>
    <t>KEGG Orthology (KO)&gt;&gt;&gt;09120 Genetic Information Processing&gt;&gt;&gt;09124 Replication and repair&gt;&gt;&gt;03030 DNA replication [PATH:ko03030]|Enzymes&gt;&gt;&gt;3. Hydrolases&gt;&gt;&gt;3.1  Acting on ester bonds&gt;&gt;&gt;3.1.26  Endoribonucleases producing 5'-phosphomonoesters&gt;&gt;&gt;3.1.26.4  ribonuclease H|DNA replication proteins&gt;&gt;&gt;Prokaryotic type&gt;&gt;&gt;DNA Replication Elongation Factors&gt;&gt;&gt;Elongation factors (bacterial)&gt;&gt;&gt;RNase H|DNA replication proteins&gt;&gt;&gt;Prokaryotic type&gt;&gt;&gt;DNA Replication Elongation Factors&gt;&gt;&gt;Elongation factors (archaeal)&gt;&gt;&gt;RNase H</t>
  </si>
  <si>
    <t>MRTLKHLRTYEVSLQRAGLGPVAGVDEAGRGACAGPISIAACILPPQLITELERLTDSKKLSPRTRAELFPLIQQHAVAWSIITISAKDIDHYGIQHANISGMRRAVATLSHAPGYVLSDAMKIPGLRSPHLPIIGGDAASRCIAAASVLAKHSRDVIMEQLDDLHPGYGLVAHKGYGTKVHMDAVRRLGGTPEHRYSYANVARAHADWQRATAQQQRN-----------------</t>
  </si>
  <si>
    <t>MRTLKQLRTYEVTLSKSGLGPVAGVDEAGRGACAGPIAIAACILPDHPITDLAELTDSKKLTARQRQRLFPLVKNHALSWAVVLVSAQDIDAHGIQDANVSGMRRAVAALDTRPGFVLVDALRIPGFPVPSLPIIGGDSRARCIAAASVLAKQTRDNLMMELDSRYPAYGFAAHKGYGTVSHMDAVRRHGACPEHRYSYSNVAAAHSEWEQSCV----------------------</t>
  </si>
  <si>
    <t>MRTLKQLRTYEVTLSKSGLGPVAGVDEAGRGACAGPIAIAACILPDHPITDLAELTDSKKLTARQRQRLFPLVKKHALSWAVVLVSAQDIDTHGIQDANVSGMRRAVAALDTRPGFVLVDALRIPGFPVPSLPIIGGDSRARCIAAASVLAKQTRDNLMMELDSRYPAYGFAAHKGYGTVSHMDAVRRHGACPEHRYSYSNVAAAHSEWEQSCV----------------------</t>
  </si>
  <si>
    <t>MRVLKHHRTFEVALHQAGLGPVAGVDEAGRGACAGPITIAACILPPQPLAALSRLTDSKKLSAATRAALFPLIQHHAVAWSILHISAADIDQYGIQHANVFGMRRAVALLDVQPGYVLTDALKVDGFACSYLPIIGGDAAARCISAASVLAKHARDVVMAELAETYPRYEFASHKGYGTKVHMTAVRRYGASPVHRYSYANVAAAHSEWLGQTPTHTQKPTPCEAHTTAGGEQFLF</t>
  </si>
  <si>
    <t>MRVLKHHRTFEVALHQAGLGPVAGVDEAGRGACAGPITIAACILPPQPLAALSRLTDSKKLSAATRAALFPLIQHHAVAWSILHISAADIDQYGIQHANVFGMRRVVALLDVQPGYVLTDALKVDGFACSYLPIIGGDAAARCISAASVLAKHARDLVMAELAETYPRYEFASHKGYGTKVHMTAVRRYGASPVHRYSYANVAAAHSEWLGQTPTHTQKPTPGEAHTTAGGEQFLF</t>
  </si>
  <si>
    <t>GC_00000829</t>
  </si>
  <si>
    <t>PF01032.23</t>
  </si>
  <si>
    <t>FecCD transport family</t>
  </si>
  <si>
    <t>K02015</t>
  </si>
  <si>
    <t>iron complex transport system permease protein</t>
  </si>
  <si>
    <t>COG0609</t>
  </si>
  <si>
    <t>ABC-type Fe3+-siderophore transport system, permease component (FepD) (PDB:2NQ2)</t>
  </si>
  <si>
    <t>-----MRLS--LLSLLLSILLLLSLIASLTFGSVEYSHAQVWEVVSARLQGMHGPD---KAIDSIVWELRAPRGLLAAVVGAGLALAGVAIQTLVRNPLADPYLLGISSGSAVGATAVITFGLFSGLGVYALSGGALLGAIAATAAVYLVTVAQGGITPLRLILTGVVLSSAFSAASSFLVFKGPDPRAAQSVMFWMLGSVAAAHWDTLLLPAIIVAVSLVILVLLSGKLDALAAGPDTAAALGVDVGALRKFLF</t>
  </si>
  <si>
    <t>MV---KKLAAPTLCVVLMALTAVSFVASLTFGSVDYNNAQVWEVVQAHLQSGKGPN---QAVDSIVWELRAPRGVLALIVGAGLSLAGVAMQTLVRNPLADPYLLGVSSGASVGATAVLTFGLFSSLGLYALSGGALIGALVATATVYAITMAQGGLTPLRLILSGVVLSSAFSAMASFLVFKGPDARAAQGVMFWMLGSVAGGQWNKLLLPAVVVAIALVVLVALSRPMDALAAGPDTAAALGVRVGLLRQVLFFIQALLVGAMVAIAGGIGFVGLVIPHLARMMVGSLHLRLLPIAAVLGALFVLWVDVIARISAPPQEIPLGVVTGVLGAPLFLLLMGR-NRYRFGGQN</t>
  </si>
  <si>
    <t>MV---KKLAAPTLCVVLMALTAVSFVASLTFGSVDYNNAQVWEVVQAHLQSGKGPN---QAVDSIVWELRAPRGVLALIVGAGLSLAGVAMQTLVRNPLADPYLLGVSSGASVGATAVLTFGLFSSLGLYALSGGALIGALVATATVYAITMAQGGLTPLRLILSGVVLSSAFSAMASFLVFKGPDARAAQGVMFWMLGSVAGGQWNKLLLPAVVVAIALVVLVALSRPMDALAAGPDTAAALGVRVGLLRQVLFFIQALLVGAMVAIAGGIGFVGLVIPHLARMMVGSLHLRLLPIAAVLGALFVLWVDVIARISAPPQEIPLGVVTGVLGAPLFLLLMGR-NRYRFGGQD</t>
  </si>
  <si>
    <t>MIITRRKIAAPVIFVLLFAAAAVSFVISLTFGSVAYDAIDVWDVVAAHIGIIPGDDVFGSTIDSVVWSLRAPRGLLALIVGAGLALAGVVMQTLVRNPLADPYLLGVSSGASVGATAVITIGVFTSFGLYAISVGALFGALAATAIVYLITLAQGGLTPLRLILTGVVASSAFSALASFLVFKAQDARAAQGVMFWMLGSVVGAQWDRLLLPALVVLAAFLILMFMSNPLDAMAAGPDTAAALGVNVERLRQILFFIQALLVGAMVAVAGGIGFVGLVIPHLARIMVGSLHRRLLPIAMVLGAVFMVWVDVIARIAAPPQEIPLGVVTGVLGAPLFLLLMGR-GRYQFGGS-</t>
  </si>
  <si>
    <t>MIITRRKIAAPVIFVLLLAAAAVSFVISLTFGSVAYDAIDVWDVVAAHIGIIPGDDVFGSTIDSVVWSLRAPRGLLALIVGAGLALAGVVMQTLVRNPLADPYLLGVSSGASVGATAVITIGVFTSFGLYAISVGALFGALAATAIVYLITLAQGGLTPLRLILTGVVASSAFSALASFLVFKAQDARAAQGVMFWMLGSVVGAQWDRLLLPALVVLAAFLILMFMSNPLDAMAAGPDTAAALGVNVERLRQILFFIQALLVGAMVAVAGGIGFVGLVIPHLARIMVGSLHRRLLPIAMVLGAVFMVWVDVIARIAAPPQEIPLGVVTGVLGAPLFLLLMGR-GRYQFGGS-</t>
  </si>
  <si>
    <t>GC_00000830</t>
  </si>
  <si>
    <t>K08264</t>
  </si>
  <si>
    <t>heterodisulfide reductase subunit D [EC:1.8.98.1]</t>
  </si>
  <si>
    <t>M00567|M00357|M00356|M00563</t>
  </si>
  <si>
    <t>Methanogenesis, CO2 =&gt; methane|Methanogenesis, acetate =&gt; methane|Methanogenesis, methanol =&gt; methane|Methanogenesis, methylamine/dimethylamine/trimethylamine =&gt; methane</t>
  </si>
  <si>
    <t>Pathway modules; Energy metabolism; Methane metabolism|Pathway modules; Energy metabolism; Methane metabolism|Pathway modules; Energy metabolism; Methane metabolism|Pathway modules; Energy metabolism; Methane metabolism</t>
  </si>
  <si>
    <t>KEGG Orthology (KO)&gt;&gt;&gt;09100 Metabolism&gt;&gt;&gt;09102 Energy metabolism&gt;&gt;&gt;00680 Methane metabolism [PATH:ko00680]|Enzymes&gt;&gt;&gt;1. Oxidoreductases&gt;&gt;&gt;1.8  Acting on a sulfur group of donors&gt;&gt;&gt;1.8.98  With other, known, physiological acceptors&gt;&gt;&gt;1.8.98.1  dihydromethanophenazine:CoB-CoM heterodisulfide reductase</t>
  </si>
  <si>
    <t>MPLFASCPTITAETMTIGLLGLILSAPAWWFFGKGVARLVTFIRSGAKENTINDVAELTATSRLNQPGRRLATLVKEVALHTELARKPLVAAAHWLVMVGFLLGSFVWFEAYIQTFNPAGGWPLIGRTAAYHAVDEFLGVGTVLGILVLMVIR-----RLNRRRFYGSNERAALFVELVVLLEGAGMILVKAGKISTYPLLNHADWTSPVSGLIAQWLPANATMVSAFALLKLLTGMVWLYIVGQQLSWGVAWHRFLAFFNIFYQRNPDGAPALGK-LP----TPNLDATSSTGEDTPPGVGTVGHMPWKMLLDAATCTECGRCQEQCPAWNTGKPLSPKLFVRDLRDAALDGPAYL---------TLVDNV-----------IEPDVLWSCTNCGACVEQCPVDIEHIDHVANLRRYQVLGASDFPSELTSLFKNVETKGNPWGRNSSERMDWIEAARRDGIEVPL----AHEVDDFEYLFWVGCAGTYDDNARATTRATVELLHTAGVKFAVLGSDETCTGDPVRRAGNEFLFQMLAQENVNTLNNAFGNNDAAEEATSSRAQRKIITTCAHCFNTLRNEYPDFGGHFDVFHHTQLLNRLVREGLLKPIPRTSSDRKPITYHDPCFLGRHNKVFDPPRELLESIAGGPAGLVEMNRNRNNGFCCGAGGARMFMEEKLGTRIADNRAEEARSTGAGEVAVGCPFCNTMLGGGIKATAAAGEDAADAPQVRDVAVMLRDSIMVDGALPKPRAKAFLGTPVRRQR-----------SETTVNEPAVTEQPTGSVGSVGSVDSEKPAAPAGSPAPVVPVPPA----------PPAPAAPAPGGAVPK----PGGS-----ASKPGSS-VPR----------------------PGGAVPKPGASVPKPATPAPGGAVPKPGSAAPAPG---------------SAVPKPGTSVPKPAAPAPGGAVPKPGSAAPAPGGAVPKPGASVPKPGS---AAPAPGGAVPKP----------------GASVPKPGSS-APKPGSSVPRPGGAVP--------RPGSDTDS---------</t>
  </si>
  <si>
    <t>------MP-LAA-TTVLGIAGIVLSLPAWFYFLRGAVRLYRLIASGKPDP--------GHIPRINRPVRRLITLIKETVFHTELMRKPVVAVAHWCVMVGFLIGSSVWFEAYIQTFNPAGGWPIISDWPLYHLADEVLALVTVLGILVLIFIRLVTGNNNRIDRFYGSNARSAHFVEGVVLLEGIGMMLVKAGKIATFDVHPHV-WTDFLTMQLAKILPASPVLVSIFALIKLLTGMVWLLVVGNQLHWGVAWHR</t>
  </si>
  <si>
    <t>------MP-LAA-TTVLGIAGIVLSLPAWFYFLRGAVRLYRLIASGKPDP--------GHIPRINRPVRRLITLIKETVFHTELMRKPVVAVAHWCVMVGFLIGSSVWFEAYIQTFNPAGGWPIIGDWPLYHLADEVLALVTVLGILVLIFIRLVTGNNNRIDRFYGSNARAAHFVEGVVLLEGIGMMLVKAGKIATFDVHPHV-WTDFLTMQLAKILPASPVLVSIFALIKLLTGMVWLLVVGNQLHWGVAWHR</t>
  </si>
  <si>
    <t>------MPAVTP-TLIMGVLGIVLSAPAWVLFIRAARRLYLFIAAGQPAP--------G---RTNRPLRRGVQVLKEVFFHTELMRRPAIAVAHWFVMVGFLIGSLVWFEAYIQTFNPAGGWPLLSQWSLYHFAEEVLAIGTVLGIGFLFAIRLSTGMRERLSRFYGSNALSAFFVEGVIFLEGAGMLLVKAGKIATYG-HASP-WADFLTQYLARFLPASPIMVSVFALFKLLVGMVWLVVVARNLTWGVAWHR</t>
  </si>
  <si>
    <t>------MPAVTP-TLIMGVLGIVLSAPAWVLFIRAARRLYLFIAAGQPAP--------G---RTNRPVRRGVQVLKEVFFHTELIRRPAIAVAHWFVMVGFLIGSLVWFEAYIQTFNPAGGWPLLSQWSLYHFAEEVLAIGTVLGIGFLFAIRLSTGMRERLSRFYGSNALSAFFVESVIFLEGAGMLLVKAGKIATYG-HASP-WADFFTQYLARFLPASPIMVSVFALFKLLVGMVWLVVVARNLTWGVAWHR</t>
  </si>
  <si>
    <t>GC_00000831</t>
  </si>
  <si>
    <t>K01005</t>
  </si>
  <si>
    <t>polyisoprenyl-teichoic acid--peptidoglycan teichoic acid transferase [EC:2.7.8.-]</t>
  </si>
  <si>
    <t>KEGG Orthology (KO)&gt;&gt;&gt;09100 Metabolism&gt;&gt;&gt;09107 Glycan biosynthesis and metabolism&gt;&gt;&gt;00552 Teichoic acid biosynthesis [PATH:ko00552]</t>
  </si>
  <si>
    <t>MSDNYGDNYGEGDDYGDDIARDRFGRPILDRFGRPVRNVRPTKYPVTPRERRQPRETREPRRPQ--------PIQRPEQTRVYDARQQP---PRRHYAENPTVGR------GERRRTP---------QAVHAGTAQHTP--------AHHMPAGRTPKKRPAKKKGS-------------ILGRIFRRLLAAIMVVVLIIGGTLIWVDTKLIRVDA--GTSASFSTGTNWLLVGSDSRAGLSEEDAARLATGGDLGSARTDTIMLVHVPLSGKPTILSIPRDSYVNIPGYGMEKINSAFFFGGPELLTQTVEEATGVKVNHYAEIGLGGFAQLVDAVDGVELCPAEPMYDPLAGLDIPAGCQVMDGATALGYVRTRATAMGDLDRVVRQREFFSAVVHKLSH----VNPLHINDLI-GVTSYLTVGKHDHSWNLARLAWAMRGGVDTETVPVAGFEDTEIGNVVIWDEGAAQQMFSQF-</t>
  </si>
  <si>
    <t>-----------MNSRGDDYLSDSHGNPILDRFGRPVRRRSAQSSGNQRGAQRPPRPSRNS-APP--------PSVEPTRQLDRPTQYIP---PQQSAPQ-QVPGQ-----VGQVNYQP---------PVQYAGQPPQVP--------PQQPPRPPKQ-RRPRRRFRP-------------GCGCF---SLVLITVLTLVVVGTL-WADSKLNRIDALPDTKAANTAGTNWLLVGSDSRQGLTEDQINTLGTGGDI</t>
  </si>
  <si>
    <t>-----------MNSRGDDYLSDSHGNPILDRFGRPVRRRSAQSSGNQRGAQRPPRPSRNS-APP--------PSVEPTRQLDRPTQYIP---PQQSAPQ-QVPGQ-----VGQVNYQP---------PVQYAGQPPQVP--------PQQPSRPPKQ-RRPRRRFRP-------------GCGCF---SLVLITVLTLVVVGTL-WADSKLNRIDALPDTKAANTAGTNWLLVGSDSRQGLTEDQINTLGTGGDI</t>
  </si>
  <si>
    <t>---------------------------MVDRYGRPIRGRE----GATPRGQRPQRPQQQPARQPRQTGGGQQPRQGQQRQTGRPQQYIPDPAESQQYYETQQLGRDGGAPMGQQRQSPGQRRPRTAGQGQRQGQGRRTPQQRSGQRAPQRRPQQGQQRRRPAGNQSPWGNLGNFRLPRLRPRGCLSGLAWTLVVVLVLAVAGTF-WLDSRLNRVAADPPQHIAATSGTNWLLVGSDSRTGLSEADAQRLGTGGDI</t>
  </si>
  <si>
    <t>-------------------------------------------------------------------------------------------------------------------------------------------------------------------------------------------------MVLVLAVAGTF-WLDSRLNRVAADPPQHIAATSGTNWLLVGSDSRTGLSEADAQRLGTGGDI</t>
  </si>
  <si>
    <t>GC_00000832</t>
  </si>
  <si>
    <t>K04042</t>
  </si>
  <si>
    <t>bifunctional UDP-N-acetylglucosamine pyrophosphorylase / glucosamine-1-phosphate N-acetyltransferase [EC:2.7.7.23 2.3.1.157]</t>
  </si>
  <si>
    <t>COG1207</t>
  </si>
  <si>
    <t>Bifunctional protein GlmU, N-acetylglucosamine-1-phosphate-uridyltransferase/glucosamine-1-phosphate-acetyltransferase (GlmU) (PDB:3FWW)</t>
  </si>
  <si>
    <t>KEGG Orthology (KO)&gt;&gt;&gt;09100 Metabolism&gt;&gt;&gt;09101 Carbohydrate metabolism&gt;&gt;&gt;00520 Amino sugar and nucleotide sugar metabolism [PATH:ko00520]|KEGG Orthology (KO)&gt;&gt;&gt;09100 Metabolism&gt;&gt;&gt;09101 Carbohydrate metabolism&gt;&gt;&gt;00541 Biosynthesis of various nucleotide sugars [PATH:ko00541]|Enzymes&gt;&gt;&gt;2. Transferases&gt;&gt;&gt;2.3  Acyltransferases&gt;&gt;&gt;2.3.1  Transferring groups other than aminoacyl groups&gt;&gt;&gt;2.3.1.157  glucosamine-1-phosphate N-acetyltransferase|Enzymes&gt;&gt;&gt;2. Transferases&gt;&gt;&gt;2.7  Transferring phosphorus-containing groups&gt;&gt;&gt;2.7.7  Nucleotidyltransferases&gt;&gt;&gt;2.7.7.23  UDP-N-acetylglucosamine diphosphorylase</t>
  </si>
  <si>
    <t>MAYVGTRAIPHGVIGNTTVFGTVILGSSPGGEATLLLPKSNRHAPWPTFWGAVRVRGTVVCVQRVQPDEFAIGATLSMSNVAVVILAAGAGTRMKSTTPKMLHSVAGRTMLAHALHAAAGLKPQHLITVVGHGREQVLPAIDAETAALRDYGVDTVATATQEQQNGTGDAVACGLAELPEDFDGTVLVTTSDVPMLNSDTLAGLLAEHNAKPRAAVTVLTATVDAPRGYGRIVRSVDGEVMRIVEEKDATDDIRAITEVNSGVYAFDAELLRHALTRLDTNNAQGEFYLTDVISIARELDRTVRGHRLDDAALVAGVNDRVQLAAMGKEMNRRICEKAMRGGATIIDPDTTWIDIDVEIGRDVIIHPGTQLKGCTTIADNCEIGPDTTLIDMEVHEGASVIRTHGSLSVIGKDATVGPYTYIRPGTELGEKGKLGGFVEAKNAKIGRGSKVPHLTYIGDATVGEESNIGASSVFVNYDGVNKHHTTIGDHVRTGSDTMFIAPVTVGDGAYSGAGTVIREDVPAGALVVSGGKQRNIEGWVEAKRPGTPAAEAAARAQQRAQQ------------</t>
  </si>
  <si>
    <t>----------------------------------------------------------------------------MADDIAVIILAAGAGTRMKSATPKMLHEVAGRSMVAHALHAAAGVHPQHLIAVVGHGRDQVVPAIAQE--DLSDYGVTEVATAVQEEQNGTGHAVACGLNELPDDFSGTVLVTTSDIPMLNAETLAALLAEHDTLPRAAVTVLTTNVDKPTGYGRIVRTADGEVMGIVEEKDATEDQRA</t>
  </si>
  <si>
    <t>---------------------------------------------------------------------------MSTQPIAVVVLAAGAGTRMKSHLQKTLHVIGGRSLLSHSLHSAAGITPQQIVAVIGHRREQVGPAVAEVAKELP----VPVSTAIQEEQNGTGHAMQCAMNQLA-DFSGTIVVTYADVPLLRPATLQGLVDAHTSVP-TAVTVLTSNVADPTGYGRIVRNREGEVVAIVEQKDADEKTLA</t>
  </si>
  <si>
    <t>-------------------------------------------------------------MSVFVLVYFFKEHPLSTQPIAVVVLAAGAGTRMKSHLQKTLHVIGGRSLLSHSLHSAAGITPQQIVAVIGHRREQVGPAVTEVAKELP----VPVSTAIQEEQNGTGHAMQCAMNQLA-DFSGTIVVTYADVPLLRPATLQGLVDAHTSVP-TAVTVLTSNVADPTGYGRIVRNREGEVVAIVEQKDADEKTLA</t>
  </si>
  <si>
    <t>GC_00000833</t>
  </si>
  <si>
    <t>PF01557.24</t>
  </si>
  <si>
    <t>Fumarylacetoacetate (FAA) hydrolase C-terminal</t>
  </si>
  <si>
    <t>K05921</t>
  </si>
  <si>
    <t>5-oxopent-3-ene-1,2,5-tricarboxylate decarboxylase / 2-hydroxyhepta-2,4-diene-1,7-dioate isomerase [EC:4.1.1.68 5.3.3.-]</t>
  </si>
  <si>
    <t>COG0179</t>
  </si>
  <si>
    <t>2-keto-4-pentenoate hydratase/2-oxohepta-3-ene-1,7-dioic acid hydratase (catechol pathway) (YcgM) (PDB:1GTT)</t>
  </si>
  <si>
    <t>M00533</t>
  </si>
  <si>
    <t>Homoprotocatechuate degradation, homoprotocatechuate =&gt; 2-oxohept-3-enedioate</t>
  </si>
  <si>
    <t>KEGG Orthology (KO)&gt;&gt;&gt;09100 Metabolism&gt;&gt;&gt;09105 Amino acid metabolism&gt;&gt;&gt;00350 Tyrosine metabolism [PATH:ko00350]|Enzymes&gt;&gt;&gt;4. Lyases&gt;&gt;&gt;4.1  Carbon-carbon lyases&gt;&gt;&gt;4.1.1  Carboxy-lyases&gt;&gt;&gt;4.1.1.68  5-oxopent-3-ene-1,2,5-tricarboxylate decarboxylase</t>
  </si>
  <si>
    <t>MRYGRIATPDGMTFCVVEGEGDSIRYKAIEGHPFSESVYTGKEYGAEEARVLAPMLPSKIVAIGRNYADHVAEVFKKSAESLPPTMFLKPPTAVVGPEAPIKIPDFATRVEFEGELALVISRPCKKVKAEDWKSVVLGYTIMNDVSSRDLQFADGQWARAKGIDTFAPMGPFIVTDLDSIDLDNLPIKAYLTHEGNTELKQDSNSDQMILSIGEIIERITESMTLLPGDVVSTGSPAGTAPMVPGDYIRIEIPGVGTLGNPVERA</t>
  </si>
  <si>
    <t>MRFGRIATPEGMCFCVIEGDGADTMCKEIVGHPFGDPEYTGKQWPLADVRLLAPMLPSKIVAIGRNYADHVAEVFKKSAESLPPTLFIKPPTAVIGPGAAIKIPDFATNVEFEGELALVIGRACKNVKAEDWKTVVRGYTIINDVSSRDLQFSDGQWARAKGMDTFAPLGPWIETNLDAIDLGNLPIKAHLTHDGTTETKQDSNSTQMIMSVGEIIEYITASMTLLPGDIVSTGSPAGTAPMVPGDYIEIEIPGIGRLGNPVERA</t>
  </si>
  <si>
    <t>MRFGRIATPEGMCFCVIEGDGAGTMCKEIVGHPFGDPEYTGKQWPLADVRLLAPMLPSKIVAIGRNYADHVAEVFKKSAESLPPTLFIKPPTAVIGPGAAIKIPDFATNVEFEGELALVIGRTCKNVKAEDWKTVVRGYTIINDVSSRDLQFSDGQWARAKGMDTFAPLGPWIETNLDAIDLGNLPIKAHLTHDGTTETKQDSNSTQMIMSVGEIIEYITASMTLLPGDIVSTGSPAGTAPMVPGDYIEIEIPGIGRLGNPVERA</t>
  </si>
  <si>
    <t>MRFGRIATPDGMFFCTIDGAGDDEKYRVIRDTPFTTPNYTGQEYTKDQVRLLAPVLPSKIVAIGRNYADHVAEVFQKSAEHLPPTLFIKPPTAVVGPGAAIKIPDFATKVEFEGELALVIGKPCKKVKADDWKSVVLGFTIINDVSSRDLQFADGQWARAKGIDTFAPLGPWIETDINSIDVDNLPIKAHLTHDGVTETKQDSNSNQMIMNLGEIIEMITESMTLLPGDVICTGSPAGTAAMFPGDFIEIEIPGIGKLGNPVKRA</t>
  </si>
  <si>
    <t>MRFGRIATPDGMFFCTIDGVGDDEKYRVIRDTPFTTPNYTGQEYTKDQVRLLAPVLPSKIVAIGRNYADHVAEVFQKSAEHLPPTLFIKPPTAVVGPGAAIKIPDFATKVEFEGELALVIGKPCKKVKADDWKSVVLGFTIINDVSSRDLQFADGQWARAKGIDTFAPLGPWIETDINSIDVDNLPIKAHLTHDGVTETKQDSNSSQMIMNLGEIIEMITESMTLLPGDVICTGSPAGTAAMFPGDFIEIEIPGIGKLGNPVKRA</t>
  </si>
  <si>
    <t>GC_00000834</t>
  </si>
  <si>
    <t>PF00215.30</t>
  </si>
  <si>
    <t>Orotidine 5'-phosphate decarboxylase / HUMPS family</t>
  </si>
  <si>
    <t>K01591</t>
  </si>
  <si>
    <t>orotidine-5'-phosphate decarboxylase [EC:4.1.1.23]</t>
  </si>
  <si>
    <t>COG0284</t>
  </si>
  <si>
    <t>Orotidine-5'-phosphate decarboxylase (PyrF) (PDB:1DBT)</t>
  </si>
  <si>
    <t>KEGG Orthology (KO)&gt;&gt;&gt;09100 Metabolism&gt;&gt;&gt;09104 Nucleotide metabolism&gt;&gt;&gt;00240 Pyrimidine metabolism [PATH:ko00240]|Enzymes&gt;&gt;&gt;4. Lyases&gt;&gt;&gt;4.1  Carbon-carbon lyases&gt;&gt;&gt;4.1.1  Carboxy-lyases&gt;&gt;&gt;4.1.1.23  orotidine-5'-phosphate decarboxylase</t>
  </si>
  <si>
    <t>-----MSGDALTFGDRLVELAGKRGGRLCVGIDPHAALLKAWGLGVDVAGLRTFTQICVEAFKDTAALVKPQVAFYEAFGSQGFAVLEQAIADLRDAGALVVADAKRGDIGSTMAGYAAAWLDDSSPLCSDAVTVSPFLGYHSLDPVLDVAEATGRGVFVLAATSNPEGRQVQDTLNPRGVSTSQMMVDCAADSNASHGEQGSVGNVGVVVGATLDNPPALDRLNGPILMPGVGAQGGSARDVARIAGDCAHLVF</t>
  </si>
  <si>
    <t>---------MRSFGEKLQTVSLER-GRLCVGIDPHPALLEQWGLGVTADGLRRFSRICVEAFGPSVALVKPQVAFYEAFGSQGYAVLEETIRDLREQGALVVADAKRGDIGSTMAAYAEAWLSDSSPLCADAVTVSPYLGFEALRPELDLAHTHGRGVFVLAATSNPEGRQVQDCVNTDGVRLDQLMVDAAAAENSSWRKAGEFGDVGVVVGATLDSVPDLTDLNGPVLMPGVGAQGASAADVDTLAEKMSAWVF</t>
  </si>
  <si>
    <t>---------MRSFGEKLQAVSLER-GRLCVGIDPHPALLEQWGLGVTADGLRRFSRICVEAFGPSVALVKPQVAFYEAFGSQGYAVLEETIRDLREQGALVVADAKRGDIGSTMAAYAEAWLSDSSPLCADAVTVSPYLGFEALRPALDLAHTHGRGVFVLAATSNPEGRQVQDCVNTDGVRLDQLMVDAAAAENSSWRKAGEFGDVGVVVGATLDSVPDLTDLNGPVLMPGVGAQGASAADVDTLAEKMSAWVF</t>
  </si>
  <si>
    <t>MHDSGNTDSDSTFGEKLRA-AGERHGRLCVGIDPHKSLLESWGFENTIEGLAAFSTICVDAFAGHVALVKPQVAFYEAFGSAGFAVLETTMAALRSAGTLVVADAKRGDIGSTMAGYAEAWLTPGSPLEADAVTLSPYLGFESLRPALDIAQKFGKGVFVLAATSNPEAATVQGCRTEHGVTISQQIVDACAQENSAYQPA--VGSVGVVVGATLATPPDLRKLHGPVLLPGVGAQGATAKDVKRITKDLVGLSFPSVSRGILSVGPKVSTLKKAVDNVVKEI-----</t>
  </si>
  <si>
    <t>MHDSGNTDSGSTFGEKLRA-AGERHGRLCVGIDPHKSLLESWGFENTIEGLAAFSAICVDAFAGHVALVKPQVAFYEAFGSAGFAVLETTMAALRSAGTLVVADAKRGDIGSTMAGYAEAWLTPGSPLEADAVTLSPYLGFESLRPALDIAQKFGKGVFVLAATSNPEAATVQGCHTEHGVTISQQIVDACAQENSAYQPA--VGSVGVVVGATLATPPDLRKLHGPVLLPGVGAQGATAKDVKRITKELVGLSFPSVSRGILSVGPKVSTLKKAVDNVVKEI-----</t>
  </si>
  <si>
    <t>GC_00000835</t>
  </si>
  <si>
    <t>PF02775.26</t>
  </si>
  <si>
    <t>Thiamine pyrophosphate enzyme, C-terminal TPP binding domain</t>
  </si>
  <si>
    <t>K01652</t>
  </si>
  <si>
    <t>acetolactate synthase I/II/III large subunit [EC:2.2.1.6]</t>
  </si>
  <si>
    <t>COG0028</t>
  </si>
  <si>
    <t>Acetolactate synthase large subunit or other thiamine pyrophosphate-requiring enzyme (IlvB) (PDB:1BFD)</t>
  </si>
  <si>
    <t>-----MPESTP------------------------------QKMTGAQAIVRSLEELGADVVFGLPGGAVLPLYDPIYSSEKLRHVLVRHEQGAGHAATGYAQATGKVGVCIATSGPGATNLVTPLADANLDSVPIVAITGQVGHTLLGTDAFQEADIRGITMPVTKHNFMITDANQIPAAIAEAFHLASTGRPGPVLVDIPKDIQNSEMEFVWPPELNLPGYKPTTTPHPRQIEEAVRMISEAKQPVFYIGGGV</t>
  </si>
  <si>
    <t>MNVAAQHQPTPATVAHRNAARAASNGRAAAQDSTTKETVASERMTGAQAIVRSLEELGADVVFGLPGGAVLPLYDPIYSSTKMRHVLVRHEQGAGHAATGYAQVSGKVGVCIATSGPGATNLVTPIADANLDSVPMVAITGQVGHTLLGTDAFQEADIRGITLPVTKHNFMVTDPNDIPAALAEAFYVASTGRPGAVLVDVPKDIQNAEMDFVWPPKINLPGYRPVTTPHTRQIEEAVRLISQAKQPVFYIGGGVIKANAHKELKEFAEYTGIPVVTTLMALGSFPDSHELHMGMPGMHGTVPAVAAMQRSDLLITIGARFDDRVTGDVATFAPDAKVIHADIDPAEIGKIRAVDVPIVGDAREVLSGLLSVYQNSGLAAPSLSNWRDYLNDLKQRFPRGWEDQSDGSLSPQFVIQALSQEAGPDAIYCAGVGQHQMWAAQFVDYEKPRTWLNSGGLGTMGYAIPAAMGAKAARPDAEVWAIDGDGCFQMTNQELVTCAMEGFPIKVALINNGNLGMVRQWQALFYGERYSNTRLREQGNYMPDFVKLSESMGCVAIRVTKEEEVLPAIRKAREINDRPVVIDFIVGEDAQVWPMVSAGSSNSDIQYALGLRPLFDEDSAAESPAHIDEVVDANA---------------------------------TAASHKVTKEDNN</t>
  </si>
  <si>
    <t>MNVAAQHQPTPATVAHRNAARAAANGRAAAQDSATKETVASERMTGAQAIVRSLEELGADVVFGLPGGAVLPLYDPIYSSTKMRHVLVRHEQGAGHAATGYAQVSGKVGVCIATSGPGATNLVTPIADANLDSVPMVAITGQVGHTLLGTDAFQEADIRGITLPVTKHNFMVTDPNDIPAALAEAFYVASTGRPGAVLVDVPKDIQNAEMDFVWPPQIKLPGYRPVTTPHARQIEEAVRLISQAKQPVFYIGGGVIKANAHKELKEFAEYTGIPVVTTLMALGSFPDSHELHMGMPGMHGTVPAVAAMQRSDLLITIGARFDDRVTGDVASFAPDAKVIHADIDPAEIGKIRAVDVPIVGDAREVLSGLLSVYQNSGLAVPSLGNWRDYLNDLKQRFPRGWENQSDGALSPQFVIQTLSQEAGPDAIYCAGVGQHQMWAAQFVDYEKPRTWLNSGGLGTMGYAIPAAMGAKAARPDAEVWAIDGDGCFQMTNQELVTCAMEGFPIKVALINNGNLGMVRQWQALFYGERYSNTRLREQGNYMPDFVKLSESMGCVAIRVTKEEEVLPAIRKAREINDRPVVIDFIVGEDAQVWPMVSAGSSNSDIQYALGLRPLFDEDSAAESPAHIDEVVDANA---------------------------------TAASHKVTKEDNN</t>
  </si>
  <si>
    <t>--MAASSHPTPATVAHR------------SQKPQDTTKPQAERISGAEAIVRSLENLGTDLVFGLPGGAVLPLYEALYSSTKLRHILVRHEQGAGHAATGYAQVSGKVGVCIATSGPGATNLVTPIADAYLDSVPIVAITGQVPRPILGTDAFQEADIRGITMPVTKHNFIITDAAQIPQVIAEAFHLAATGRPGPVLVDIPKDIQNTELDFVWPPQLELPGYRPVTTPHSRPIEQAIKLIGEAKRPVLYIGGGV</t>
  </si>
  <si>
    <t>--MAASSHPTPATVAHR------------SQKPQDTTKPQAERISGAEAIVRSLENLGTDLVFGLPGGAVLPLYEALYSSTKLRHILVRHEQGAGHAATGYAQVSGKVGVCIATSGPGATNLVTPIADAYLDSVPLVAITGQVPRPILGTDAFQEADIRGITMPVTKHNFIITDAAQIPQVIAEAFHLAATGRPGPVLVDIPKDIQNTELDFVWPPQLELPGYRPVTTPHSRPIEQAIKLIGEAKRPVLYIGGGV</t>
  </si>
  <si>
    <t>GC_00000836</t>
  </si>
  <si>
    <t>K02228</t>
  </si>
  <si>
    <t>precorrin-6A synthase [EC:2.1.1.152]</t>
  </si>
  <si>
    <t>COG2243</t>
  </si>
  <si>
    <t>Precorrin-2 methylase (CobF) (PDB:2QBU)</t>
  </si>
  <si>
    <t>KEGG Orthology (KO)&gt;&gt;&gt;09100 Metabolism&gt;&gt;&gt;09108 Metabolism of cofactors and vitamins&gt;&gt;&gt;00860 Porphyrin metabolism [PATH:ko00860]|Enzymes&gt;&gt;&gt;2. Transferases&gt;&gt;&gt;2.1  Transferring one-carbon groups&gt;&gt;&gt;2.1.1  Methyltransferases&gt;&gt;&gt;2.1.1.152  precorrin-6A synthase (deacetylating)</t>
  </si>
  <si>
    <t>MRTVYVIGIGAGSPKHVTVEAIEALQAVDAVVALDKGDSKDDLLGVRRQILAEHAPKVRLVSVVDPPRDRQPGDAAAYRAEVRRWHSARAQLLTDALVGAVDEGGSAAFLVWGDPSLYDSTLRIIDRMRGECGLECEVRVIPGITSVQALTAAHGILINRIGEAIHVTTARNLPATSAADRRNCVVMLDGGAGWREVSGPDTYMWWGAYVGTDMQVLRSGWVSDIGDDIAELKASLREQHGWIMDVYLLRELDGHEEPSRL</t>
  </si>
  <si>
    <t>MRHIRVIGIGAGNPQHITLEAISALQGADAVLALDKGEIKADLLQLRQLIVDTHAPAVPIVTVDDPPRDRYPRN---YSSEVRRWHQARAQLLNDALVDTVPEDGTAAFLVWGDPSLYDSTLRIIDHMRETCGLECDVSVVPGVTAVQVLTAAHGITINRIGEAIHITTGRNLHATSEKDRRNCVVMLDGGTAWQDAHTEHTYIWWGAYLGTSQQELRYGYVKDVGDEIAELKASLREEHGWIMDTYLLREVD--------</t>
  </si>
  <si>
    <t>MRHIRVIGIGAGDPQHITLEAISALQGADAVLALDKGEIKADLLQLRQLIVDTHAPEVPIVTVDDPPRDRYPRN---YSSEVRRWHQARAQLLNDALVNAVSEDGTAAFLVWGDPSLYDSTLRIIDHMRETCGLECDVSVVPGVTAVQVLTAAHGITINRIGEAIHITTGRNLHATSEKDRRNCVVMLDGGTAWQDAHTEHTYIWWGAYLGTSQQELRYGYVKDVGDEIAELKASLREEHGWIMDTYLLREVD--------</t>
  </si>
  <si>
    <t>MRRIAIIGIGSGNPQHLTVEGVTTLQQADVVIAIDKGEEKHDLLELRKEILATHSPDVPLVTVLDPPRDRKPVD---YQAEVQRWHQARAEVVERAVVENTPEDGTAAILVWGDPSLYDSTLRVIERFTTP----VDVVVIPGITAVQALTAAHRIVLNRIGEEIVITTGRQL--MDGARHRNCVVMLDGGAAWLTAYTPYTYMWWGAYLGTDKEVLRSGYAHDIGAEVAALKTRLRKEHGWIMDIYLLRELN--------</t>
  </si>
  <si>
    <t>MRRIAIIGIGSGNPQHLTVEGVATLQQADVVIAIDKGEEKHDLLELRKEILATHSPDVPLVTVLDPPRDRKPVD---YQAEVQRWHQARAEVVERAVVENTPEDGTAAILVWGDPSLYDSTLRVIERFTTP----VDVVVIPGITAVQALTAAHRIVLNRIGEEIVITTGRQL--MDGARHRNCVVMLDGGAAWLTAYTPYTYMWWGAYLGTDKEVLRSGYAHDIGAEVAALKTRLRKEHGWIMDIYLLRELN--------</t>
  </si>
  <si>
    <t>GC_00000837</t>
  </si>
  <si>
    <t>PF00589.27</t>
  </si>
  <si>
    <t>Phage integrase family</t>
  </si>
  <si>
    <t>K04763</t>
  </si>
  <si>
    <t>integrase/recombinase XerD</t>
  </si>
  <si>
    <t>COG4974</t>
  </si>
  <si>
    <t>Site-specific recombinase XerD (XerD) (PDB:1A0P)</t>
  </si>
  <si>
    <t>MARASDGLAEQIGRWLTHQAIERGLSRNTMDSYRRDSARYVDFLRTVGRTCLADVSETDVEEYVKFLRQQGKS-------VATANRALVVVRSIHGFALKEGDVDVDVARAVSPAKLPQHLPDTLSIAEVARLIDAIPVGPAATPADLRDAALLEMLYGTGARISEIVALNVDDVAGVIDGSADIVLLHGKGDKQRVVPIGTKAVEAVQSYSVAGRDQLARGKSPALFLNARGGRLSRQSAWAVIQRWVEAAGIDKEVSPHSLRHSFATHLLEGGADVRVVQELLGHASVATTQIYTHVTADSLRAVWKTSHPRAR</t>
  </si>
  <si>
    <t>-MTSAAGVDSLIAAWLGHLSVEKGVSANTLSNYRRDLKRYRDWLVSAGKTDLADVTTADVEAYVADLRRGDPSVGRAPLAASSSGRALVVARGLHKFGVLEGMLSVDVAADVHPPATGRRLPDTLSISDVTALIDAVPTGDTATPTDLRDRALIELLYGTGARISEVLGLAVDD----FTDCEGLIMLHGKGDKQRIVPVGSKALEVVEAYLVRARPVLSKGKSHALLLNKRGGALSRQSAWAVLKDTAARAGIT</t>
  </si>
  <si>
    <t>-MTSTAGVDGLIAAWLGHLSVEKGVSANTLSNYRRDLKRYRDWLVSAGKTDLADVTTADVEAYVADLRRGDPSVGRAPLAASSSGRALVVARGLHKFGVLEGMLSVDVAADVHPPATGRRLPDTLSISDVTALIDAVPTGDTATPTDLRDRALIELLYGTGARISEVLGLAVDD----FTDCEGLIMLHGKGDKQRIVPVGSKALEAVEAYLVRARPVLSKGKSHALLLNKRGGALSRQSAWAVLKDTAARAGIT</t>
  </si>
  <si>
    <t>------MLDDVVAAWLTHLKVEKGYSSNTLSNYRRDLYRYVTWLHAVGVTDLNQVTTSQVEAYVTELRRGDPDRNIKPLAVSSTARALIVARGLHKFALLEGLVAVDVAADVSPPATGRHLPDVLTIAEITQLIDAIPTDDTASPIDLRDRALIELLYGTGARISEITALTVDN----FHDNDGMLRITGKGNKQRLVPVGSQAMAAVDQYLVRARPVFATGASHALLLNTRGRTLSRQSAWAVLKTAAARAHIT</t>
  </si>
  <si>
    <t>------MLDDVVAAWLTHLKVEKGYSSNTLSNYRRDLYRYVTWLHAVGVTDLNQVTTSQVEAYVTELRRGDPDRNIKPLAVSSAARALIVARGLHKFALLEGLVTTDVAADVSPPATGRHLPDVLTIAEVTQLIDAIPTDDTASPIDLRDRALIELLYGTGARISEITALTVDN----FHDNDGMLRITGKGNKQRLVPVGSQAMAAVDQYLVRARPVFATGASHALLLNTRGRTLSRQSAWAVLKTAAARAHIT</t>
  </si>
  <si>
    <t>GC_00000838</t>
  </si>
  <si>
    <t>PF01259.24</t>
  </si>
  <si>
    <t>SAICAR synthetase</t>
  </si>
  <si>
    <t>K01923</t>
  </si>
  <si>
    <t>phosphoribosylaminoimidazole-succinocarboxamide synthase [EC:6.3.2.6]</t>
  </si>
  <si>
    <t>COG0152</t>
  </si>
  <si>
    <t>Phosphoribosylaminoimidazole-succinocarboxamide synthase (PurC) (PDB:1A48)</t>
  </si>
  <si>
    <t>KEGG Orthology (KO)&gt;&gt;&gt;09100 Metabolism&gt;&gt;&gt;09104 Nucleotide metabolism&gt;&gt;&gt;00230 Purine metabolism [PATH:ko00230]|Enzymes&gt;&gt;&gt;6. Ligases&gt;&gt;&gt;6.3  Forming carbon-nitrogen bonds&gt;&gt;&gt;6.3.2  Acid-D-amino-acid ligases (peptide synthases)&gt;&gt;&gt;6.3.2.6  phosphoribosylaminoimidazolesuccinocarboxamide synthase</t>
  </si>
  <si>
    <t>MSN-----------------LRPQLSDYTHVSAGKVRDIYRIDDDHVLLVVSDRISAYDYILSTPIPDKGRILTAMSFFFFEEIAARTGYATHVAGGPDDPRIPQEVLGRAMVCKSLEMLPFECVARGYLTGSGMKEYSATGAVCGVVLPDGLVEASKLPQPIFTPATKAEVGDHDENVTFDRVVQDLGRERAEQLRDATLEIYSTAADVAAERGVILADTKFEFGLDGD-RLVLGDEVLTPDSSRYWPAEGYAPGKVQPSFDKQYVRDWLTSEESGWDKQSE--PPALPEDVVAATRARYIEAYELISGKSFGEWIAP--</t>
  </si>
  <si>
    <t>MAHRKVSHGIGYYTGLKCLLMRPELSSYNHLAAGKVREIYEIDDDNLLMVVSDRISAYDHVLDTEIPDKGRVLTAMTVFFFANI----DFPNHLAGPVDDPRIPEEVLGRALVCKKLDMIPFECVARGYLTGSGLAEYQETGTVCGIPLPAGLRESSKLPEPIFTPATKAELGDHDENVPFEAVVEKLGEARANELREATLSIYKQAAALAEEHGLILADTKLEFGIDADGKLVLADEVLTPDSSRYWPSSDYVEGKTQPSFDKQYVRNWLNCPKAGWDRNGMAPPPSLPGSVVEATRERYIEAYERISGKKFTTWIGSCA</t>
  </si>
  <si>
    <t>MAHRKVSHGIGYYTGLKCLLMRPELSSYNHLAAGKVREIYEIDDDNLLMVVSDRISAYDHVLDTEIPDKGRVLTAMTVFFFTNI----DFPNHLAGPVDDPRIPEEVLGRALVCKKLDMIPFECVARGYLTGSGLAEYQETGTVCGIPLPAGLRESSKLPEPIFTPATKAELGDHDENVPFEAVVEKLGEARANELREATLSIYKQAAALAEEHGLILADTKLEFGIDADGKLVLADEVLTPDSSRYWPSSDYVEGKTQPSFDKQYVRNWLNCPKAGWDRNGMAPPPSLPGSVVEATRERYIEAYERISGKKFTTWIGSCA</t>
  </si>
  <si>
    <t>GC_00000839</t>
  </si>
  <si>
    <t>PF01148.25</t>
  </si>
  <si>
    <t>Cytidylyltransferase family</t>
  </si>
  <si>
    <t>K00981</t>
  </si>
  <si>
    <t>phosphatidate cytidylyltransferase [EC:2.7.7.41]</t>
  </si>
  <si>
    <t>COG0575</t>
  </si>
  <si>
    <t>CDP-diglyceride synthetase (CdsA) (PDB:4Q2E)</t>
  </si>
  <si>
    <t>M00093</t>
  </si>
  <si>
    <t>Phosphatidylethanolamine (PE) biosynthesis, PA =&gt; PS =&gt; PE</t>
  </si>
  <si>
    <t>KEGG Orthology (KO)&gt;&gt;&gt;09100 Metabolism&gt;&gt;&gt;09103 Lipid metabolism&gt;&gt;&gt;00564 Glycerophospholipid metabolism [PATH:ko00564]|KEGG Orthology (KO)&gt;&gt;&gt;09130 Environmental Information Processing&gt;&gt;&gt;09132 Signal transduction&gt;&gt;&gt;04070 Phosphatidylinositol signaling system [PATH:ko04070]|Enzymes&gt;&gt;&gt;2. Transferases&gt;&gt;&gt;2.7  Transferring phosphorus-containing groups&gt;&gt;&gt;2.7.7  Nucleotidyltransferases&gt;&gt;&gt;2.7.7.41  phosphatidate cytidylyltransferase</t>
  </si>
  <si>
    <t>MSVPAQGHHDDDSYGAPEGGHGAGDSAPQGTHEHSVTAFRRPDTQGSTAHEHRIKPRNSAGRDLKSAIGVGVGLGAVVLLAIFVIPGGWYPLVALAAAAATWEVHSRLKEH-GYVVSLPTVLVGGQVMLWSSLFFGVEGLIAGFVTSVLALMFGRLFYHG--------------------------------RHSAPQNYLRDAAIGVFVLTWIPLFASFATMLSQISG-EAVSGRYYIVTFMLCVIASDTGGYITGVLFGKNPMAPAVSPKKSWEGFAGSVLFGAVTGALCEHFLIHGYWWSGVILGLCLVVCATLGDLVESQFKRELGIKDMSNILPGHGGVMDRLDGMLPSAMVTWLILSWTMPM</t>
  </si>
  <si>
    <t>MSVPAQGHHDDDNYGAPEGGHGAGDSAPQGTHEHSVTAFRRPDTQGSTEHEHRIKPRNSAGRDLKSAIGVGVGLGAVVLLAIFVIPGGWYPLVALAAAAATWEVHSRLKEH-GYVVSLPTVLVGGQVMLWSSLFFGVEGLIAGFVTSVLALMFGRLFYHG--------------------------------RHSAPQNYLRDAAIGVFVLTWIPLFASFAAMLSQISG-EAVSGRYYIVTFMLCVIASDTGGYITGVLFGKNPMAPAVSPKKSWEGFAGSVLFGAVTGALCEHFLIHGYWWSGVILGLCLVVCATLGDLVESQFKRELGIKDMSNILPGHGGVMDRLDGMLPSAMVTWLILSWTMPM</t>
  </si>
  <si>
    <t>GC_00000840</t>
  </si>
  <si>
    <t>PF04228.19</t>
  </si>
  <si>
    <t>Putative neutral zinc metallopeptidase</t>
  </si>
  <si>
    <t>K07054</t>
  </si>
  <si>
    <t>COG2321</t>
  </si>
  <si>
    <t>Predicted metalloprotease (YpfJ)</t>
  </si>
  <si>
    <t>MLTLMTFRGDLNRPTRNIS--GGGGGVKLAAGGGIGTLVLVGLFLLMGGNPADLDQILGSNQQQSGPAEVDSGDTSTFDHCQTGADANTFNDCRLWFTAASLDQVWSSQLPQQAQLKYTEPGLTLFKGATQTACGAASSATGPFYCPGDRTAYFDTSFFDQLKQLGGKDAPFAQEYIVAHEFGHHIQNIEGTLGLSDYNNPGADSAAVKVELQADCYAGIWAHYADKGQDAF---LEAVSEAQVYDAVTTARAVGDDNIQQRTSGKVRPDMFTHGSSEQRQQAFLAGYTSGKMSSCDFFNRGVYN-</t>
  </si>
  <si>
    <t>----MTFKPDVPLDENRVE--TSGNRGLVIGGSSIGALILAGILWYLGVDPGQLQDVLGTGGTST------SQSASKQSHCKTTNDANKYADCRVGATAESLDRVWGQQLPEQANLQYKKPRVVNFTNSTRSGCGVASSATGPFYCPTDQTAYFDVSFFDQLKNYGATNTPFAQEYIVAHEFGHHIQKLQNTLGMSNYNEPGPESNAVKIELQADCYAGVWAYHAERDPANDKVSLQSITQEELAGAINAARAVG</t>
  </si>
  <si>
    <t>----MTFKPDVPLEEDRVK--TSGNRGLVIGGSSIGALILAGILWYLGVDPSQLQDVLGTGDAST------SQSTSGLAHCKTTNEANKYAECRIKATAQSLDRVWGQQLPEQAKLQYKRPEVIVFTNSTRSGCGVASSATGPFYCPTDQTAYFDVSFFDQLKNYGATNTPFAQEYIVAHEFGHHIQKLQNTLGMSNYNEPGPESNAVKIELQADCYAGVWAYHAERDPEDNKVSLQSITEEQLAGAINAARAVG</t>
  </si>
  <si>
    <t>GC_00000841</t>
  </si>
  <si>
    <t>PF00437.27</t>
  </si>
  <si>
    <t>Type II/IV secretion system protein</t>
  </si>
  <si>
    <t>U|W</t>
  </si>
  <si>
    <t>Intracellular trafficking, secretion, and vesicular transport|Extracellular structures</t>
  </si>
  <si>
    <t>K02283</t>
  </si>
  <si>
    <t>pilus assembly protein CpaF [EC:7.4.2.8]</t>
  </si>
  <si>
    <t>COG4962</t>
  </si>
  <si>
    <t>Pilus assembly protein, ATPase of CpaF family (CpaF)</t>
  </si>
  <si>
    <t>ko00001|ko01000|ko02044|ko02035</t>
  </si>
  <si>
    <t>KEGG Orthology (KO)&gt;&gt;&gt;09130 Environmental Information Processing&gt;&gt;&gt;09132 Signal transduction&gt;&gt;&gt;02020 Two-component system [PATH:ko02020]|Enzymes&gt;&gt;&gt;7. Translocases&gt;&gt;&gt;7.4  Catalysing the translocation of amino acids and peptides&gt;&gt;&gt;7.4.2  Linked to the hydrolysis of a nucleoside triphosphate&gt;&gt;&gt;7.4.2.8  protein-secreting ATPase|Secretion system&gt;&gt;&gt;Type II secretion system&gt;&gt;&gt;Tight adherence (Tad) export apparatus|Bacterial motility proteins&gt;&gt;&gt;Pilus system&gt;&gt;&gt;Pilus assembly proteins</t>
  </si>
  <si>
    <t>MSPRTRTPRSTHQAGPQEGHRVNEELVDRIVRRIAHEVGLSATGELAAARRAEIIREEA-GVISDHAVLELLRTLRHESEGIGALEPLLSLQGLTDIVVNGPDDVWFDRGQGMEKSPLVFEDEAHVRSLATRLALACGRRLDDAAPYCDGRILRDDGSAIRVHAVLSPPADGGTCISLRVLRSARLGLGDLLDKGMMPEGVAAQLADIVHNRQAFLIAGGTGSGKTTLLAAMLTAVAPTERIICIEDTAELSPTHPHVVTMVARNNNAEGTGEITLSDLLKQALRMRPDRIVVGEIRGAEVVDLLAALNTGHEGGAGTLHANSIHEIPARIEALAALGGLDREAAHAQLSAAVDVVISVARTREG-RIIDEIGRIEGPPLRIRSIWKA---GETEYEHRLG--</t>
  </si>
  <si>
    <t>---------------------MYEALVEKVQRRLAERPGA------AAADIAQLVREEA-GVISDVDVLGVLRKLRNDSTGAGILEQVLAIEGVTDVVVNGPDSIWFDRGQGLQKAGLRFDSDDEVRQLATRLAVACGRRLDDAQPFADGRLRRDDDSSIRVHALLSPPADGGTCLSLRVLRQAVTTLDGLVDRGTMPSDIADTLTGIVESKKAFLVVGGTGSGKTTLLGAMLAAIGHNERIICIEDTPELHPPH</t>
  </si>
  <si>
    <t>---------------------MYEALVEKVQRRLAERPSA------AAADIAQLVREEA-GVISDVDVLGVLRKLRNDSTGAGILEQVLAIEGVTDVVVNGPDSIWFDRGQGLQKAGLRFDSDDEVRQLATRLAVACGRRLDDAQPFADGRLRRDDDSSIRVHALLSPPADGGTCLSLRVLRQAVTTLDGLVDRGTMPSDIADTLTGIVESKKAFLVVGGTGSGKTTLLGAMLAAIGHNERIICIEDTPELHPPH</t>
  </si>
  <si>
    <t>------------------MPVDAAVIADKVQRVLAAVPAEQAC---DPGYVAHTIRAEAGGIMSDVEVLSVLRKLRHDSVGVGPLEQVLSLPGVTDVLVNGTQGVWFDRGRGLEPADIGFASEQEVRQLATRLLVSAGRRLDDTQCFADGQLSRDDGSSVRVHAILSPPAQGGTCISLRVLRHAVTSLETLCERGTMSEPTKACLQQLVAARRSFLVIGGTGSGKTTLLAALLGEVSHRQRIICIEDTAELRPNH</t>
  </si>
  <si>
    <t>------------------MPVDAAVIADKVQRVLAAVPAEQAC---DPGYVAHTIRAEAGGIMSDVEVLSVLRKLRHDSVGVGPLEQVLSLPGVTDVLVNGTQGVWFDRGRGLEAADIGFASEREVRQLATRLLVSAGRRLDDTQCFADGQLSRDDGSSVRVHAILSPPAQGGTCISLRVLRHAVTSLETLCERGTMSRPTKACLQQLVAARRSFLVIGGTGSGKTTLLAALLGEVSHRQRIICIEDTAELRPNH</t>
  </si>
  <si>
    <t>GC_00000842</t>
  </si>
  <si>
    <t>PF01252.23</t>
  </si>
  <si>
    <t>Signal peptidase (SPase) II</t>
  </si>
  <si>
    <t>M|U</t>
  </si>
  <si>
    <t>Cell wall/membrane/envelope biogenesis|Intracellular trafficking, secretion, and vesicular transport</t>
  </si>
  <si>
    <t>K03101</t>
  </si>
  <si>
    <t>signal peptidase II [EC:3.4.23.36]</t>
  </si>
  <si>
    <t>COG0597</t>
  </si>
  <si>
    <t>Lipoprotein signal peptidase (LspA) (PDB:5DIR)</t>
  </si>
  <si>
    <t>KEGG Orthology (KO)&gt;&gt;&gt;09120 Genetic Information Processing&gt;&gt;&gt;09123 Folding, sorting and degradation&gt;&gt;&gt;03060 Protein export [PATH:ko03060]|Enzymes&gt;&gt;&gt;3. Hydrolases&gt;&gt;&gt;3.4  Acting on peptide bonds (peptidases)&gt;&gt;&gt;3.4.23  Aspartic endopeptidases&gt;&gt;&gt;3.4.23.36  signal peptidase II|Peptidases and inhibitors&gt;&gt;&gt;Aspartic peptidases&gt;&gt;&gt;Family A8: signal peptidase II family</t>
  </si>
  <si>
    <t>MNSTRPHTRSLLAAIAAVVAADQLSKAVVLATLEPGQPLYLIGDWFRFYLLFNSGAAFSMGENLTPVFTAIQLFFGIGITIVILRGKVSRIFGRPDAIAGLGLALIAGGALGNVIDRLFRAPGFFVGHVVDFISVGSFAVFNLADSAITIGVALIVLRSIMEAK---------------------------------</t>
  </si>
  <si>
    <t>----------MLAIAITVGIIDQITKIIVLARLEPGVAYPIIGDWFRFFLIFNSGAAFSFGQGMTWIFTLIQLGYIIAIAFYAPRIR--------TLTTAVSLALVAGGALGNLIDRLFRAPAFFVGHVVDFISVGSFAIFNVADSAITVGVALFVVSAFLDARRQGAATESEVAR---------------------</t>
  </si>
  <si>
    <t>----------MLAIAITVGIIDQITKIIVLARLEPGVVYPIIGDWFRFFLIFNSGAAFSFGEGMTWIFTLIQLGYIIAIAFYAPRIR--------TLATAVSLALVAGGALGNLIDRLFRAPAFFVGHVVDFISVGSFAIFNVADSAITVGVALFVVSAFLDARRQGAATESEVAR---------------------</t>
  </si>
  <si>
    <t>GC_00000843</t>
  </si>
  <si>
    <t>PF01264.26</t>
  </si>
  <si>
    <t>Chorismate synthase</t>
  </si>
  <si>
    <t>K01736</t>
  </si>
  <si>
    <t>chorismate synthase [EC:4.2.3.5]</t>
  </si>
  <si>
    <t>COG0082</t>
  </si>
  <si>
    <t>Chorismate synthase (AroC) (PDB:1Q1L)</t>
  </si>
  <si>
    <t>KEGG Orthology (KO)&gt;&gt;&gt;09100 Metabolism&gt;&gt;&gt;09105 Amino acid metabolism&gt;&gt;&gt;00400 Phenylalanine, tyrosine and tryptophan biosynthesis [PATH:ko00400]|Enzymes&gt;&gt;&gt;4. Lyases&gt;&gt;&gt;4.2  Carbon-oxygen lyases&gt;&gt;&gt;4.2.3  Acting on phosphates&gt;&gt;&gt;4.2.3.5  chorismate synthase</t>
  </si>
  <si>
    <t>MLRWTTAGESHGQALITTIEHMPAGVPITREDISYQLARRKLGYGRGARMKFEADELTLLAGIRHGLTLGSPIAIMIGNTEWPKWTTIMSPDPIDMKDAEVRAAMESGRGASLTRPRPGHADFSGMLKYGFDEARPVLERASARETAARVAAATVARNFLREALGVEVFSHVLSIGRSEPYSGPTPTFDLLEVIDNSPVRAADA-----VAEQSMVEQIEAAKKAGDTLGGIVEVVVDGLPIGLGSHISGEDRLDAQLAAAVMGIQAIKGVEIGDGFEEARRRGSEAHDEMVRTDDAASVTRLTNRAGGLEGGMTNGQPLIVRAAMKPISTVPRALKTVDMATGQPASAIHQRSDVCAVPAAGVVAEAMVALVLARAVLAKFGGDSLAEIRRNINSYLEETHRRLRFDNGV-</t>
  </si>
  <si>
    <t>MLRWTTAGESHGQALIALLEHMPAGVPITSDDISTQLARRRLGYGRGARMKFEADEVTMLTGVRHGQTLGGPIAIMIGNTEWPKWTTIMSADPIDTSDSDIAAAMNSGRGAKLTRPRPGHADFAGMLKYDMDEARPILERASARETAARVAAATVARNFLRETLGVEVLSHVISIGESESYQGPIPTFSDLDAIDASPVRAYDS-----GAEQDMITQIEAAKKAGDTLGGVVEVIVHGLPIGLGSHVSSDDRLDAQLAAALMGIQAIKGVEIGDGFAEARRRGSQAHDEIIRTDTG-AITRTSNRAGGLEGGMTNGQPLIVRAAMKPISTVPRALKTIDMATGDPASAIHQRSDVCAVPAAGVVAEAMVTLVLARAVLNKFAGDNISETSRNINSYLAKVTERLEFNS---</t>
  </si>
  <si>
    <t>MLRWTTAGESHGQALIALLEHMPAGVPITSDDISTQLARRRLGYGRGARMKFEADEVTMLTGVRHGQTLGGPIAIMIGNTEWPKWTTIMSADPIDTSDSDIAAAMNSGRGAKLTRPRPGHADFAGMLKYDMDEARPILERASARETAARVAAATVARNFLRETLGVEVLSHVISIGESEPYQGPIPTFSDLDAIDASPVRAYDN-----GAEQDMITQVEAAKKAGDTLGGVVEVIVHGLPIGLGSHVSSDDRLDAQLAAALMGIQAIKGVEIGDGFAEARRRGSQAHDEIIRTDTG-AITRTSNRAGGLEGGMTNGQPLIVRAAMKPISTVPRALKTIDMATGDPASAIHQRSDVCAVPAAGVVAEAMVTLVLARAVLNKFAGDNISETSRNINSYLAKVTERLEFNS---</t>
  </si>
  <si>
    <t>-----------------MVEHMPSGVPLTTTDIATQLARRRLGYGRGARMKFEADAVTILGGVRHGETLGSPIAIMIGNSEWPKWTTLMSADPIDPTDPEAASALDSGRGAKLTRPRPGHADFAGMLKYDFDEARPILERASARETAARVAAATTARNLLRATLGVEVFSHVVSIGRSNPYDGPEPTFDDLGAIDASPVRANTATPEGQAAEASMIAEIEAAKKAGDTLGGIVEVIVSGLPIGLGSHVSGDDRLD</t>
  </si>
  <si>
    <t>-----------------MVEHMPSGVPLTTTDIATQLARRRLGYGRGARMKFEADAVTILGGVRHGETLGSPIAIMIGNSEWPKWTTLMSADPIDPTDPEAASALDSGRGAKLTRPRPGHADFAGMLKYDFDEARPILERASARETAARVAAATAARNLLRATLGVEVFSHVVSIGRSNPYDGPEPTFDDLGAIDASPVRANTATPEGQAAEASMIAEIEAAKKAGDTLGGIVEVIVSGLPIGLGSHVSGDDRLD</t>
  </si>
  <si>
    <t>GC_00000844</t>
  </si>
  <si>
    <t>PF03235.19</t>
  </si>
  <si>
    <t>GmrSD restriction endonuclease, N-terminal domain</t>
  </si>
  <si>
    <t>V|S</t>
  </si>
  <si>
    <t>Defense mechanisms|Function unknown</t>
  </si>
  <si>
    <t>COG1479|COG3472</t>
  </si>
  <si>
    <t>DNAse/DNA nickase specific for phosphorothioated or glycosylated phage DNA, GmrSD/DndB/SspE family, contains DUF262 and HNH nuclease domains (GmrSD) (PDB:6JIV) (PUBMED:17188297;32251370)|Uncharacterized conserved protein domain, often C-terminal to DUF262</t>
  </si>
  <si>
    <t>MGFSTPSYDLIDLFARIDRGDLQLPDFQREYSWDIDRMRALVVTVLRGYPMGSIMALDTRNTPMRFRPRPLADAPDHGVNPGLLLLDGQQRLTTLYHCLRGDGFVDARDFRNKKIRRAFYVDIAKAVSQDVMPDGAVISVDGRGVIRSHFSTLKPIDLDDPASALSHGVIPVAALLSDEGTDMLFDLAEHKPDM------------KEAIKSFHNQVAKPLIRYQVPMIRLDRETAQGGVGSIFAAANNAGLPMGIFDLLTAVFSSQDPDFKLVEDWERTSAQLRQHPNLDGIKRTEWLQAVALYVTARAGHSSGQCEDILNLTLKDYLAVAQPLREGFIKAADYLAERCMLARSDVPYTFQIVPLAVILTLLDRKLAAEGEAAMTQPQLDRLNRWFWCGVFGELYGSSAVIHRAAIDIAEVPAWVLDAPAPGEKGSKDSNDVAGRPGVQVPSSVQGATFNESRLLSGTDKSAVYKGVYALIQGRGAKDWRSTLPFKG-NQEELDPDFAPMFPLAWCAEVGIEPALATSVINRTPMSPKTQVLIDGTLPTRYLPRVQSKSLLDDAEFDAVLTSHLIDPELLHRGQAMEFLADRRDRLIGMVEYAMGSTAVRDVNESDLRGGEEGPNAFI</t>
  </si>
  <si>
    <t>MGFSTLSYDLIDLFARIDRGDLQLPDFQRDYSWDVDRIRALIVTVLRGYPMGCLMALDTRNEKMRFRPRPLEGAPNTGNNPGMLLLDGQQRLTTLYHSLQGDGIVDTVDFRNKRIRRKFYVDVNKALSADILPLEAVFSVNEKGVVKSHFGPDIPGGVTDRETALAAGVIPVSALLSDEGTDMIFDLAE-GPDLVGETATAFTGSARDRAKHFHNTVAKPLIRYSVPMIRLDRETAQGGVGSIFAQANSAGLQMDVFDLLTAVFANEDPDFKLRDDWADIETTLRQYPALDSVGRTEFLTAVALFVTAQEGYASGQREDILRLNLPTYRAASAAIRAAFVETAEFLRQRCIVDPSLVPYPAQLVPLTAILALLGGS-AELGEDDTHSEAWDRLYRWFWCGIFGELYGSAAIGIRAARDIDEVTPWI-----------RDTEQSSGTPARE-PATVTDARFVESRLLSVDPESAVYKGIYALIMARGAKDWRTAQPFTGANFTELGTRFSRIFPAQWCVDHDVESVLVDSVLNHTPMGRRTEHLIENSSPARYLPRVQAKSLMEDSEFDAVLAGHFLDPELLHKAQAEEFFADRRQRLIDMVEYAMGKQATRDVVESDLHGGEEGPNAFL</t>
  </si>
  <si>
    <t>MGFSTLSYDLIDLFARIDRGDLQLPDFQRDYSWDVDRIRALIVTVLRGYPMGCLMALDTRNEKMRFRPRPLEGAPNTGNNPGMLLLDGQQRLTTLYHSLQGDGIVDTVDFRNKRIRRKFYVDVNKALSADILPLEAVFSVNEKGVVKSHFGPDIPGGVTDRETALAAGVIPVSALLSDEGTDMIFDLAE-GPDLVAEAATAFSGSARDRAKHFHNTVAKPLIRYSVPMIRLDRETAQGGVGSIFAQANSAGLQMDVFDLLTAVFANEDPDFKLHDDWADTEATLRQYPALDSMGRTEFLTAVALFVTAQEGYASGQREDILRLNLPTYRAASAAIRAAFVETAEFLRQRCIVDPSLVPYPAQLVPLTAILALLGGS-AELGEDDTHSEAWDRLYRWFWCGIFGELYGSAAIGIRAARDIDEVTPWI-----------RDTEQSSGTPARE-PATVTDARFVESRLLSVDPESAVYKGIYALIMARGAKDWRTAQPFTGANFAELGTRFSRIFPAQWCVDHDVEPVLVDSVLNHTPMGRRTEHLIETSSPARYLPRVQAKSLMEDSEFDAVLAGHFLDPELLHKAQAEEFFADRRQRLIDMVEYAMGKQATRDVVESDLHGGEEGPNAFL</t>
  </si>
  <si>
    <t>MGFTTPSYDLIDLFDLINRGELQLPDFQRDYRWNVDRIRSLLVTVLRGYPIGSFMALDTHDVPVYFRPRPIETAPDIGVSPGLLLLDGQQRLTTLYQCMRGDGLVESTDFRKKKVRRRFFIDVNKAVSEDVLPDEAVVSVDENGHVKSHFAPDLPEGLATREAALAAGYIPVCDLLFDGGTDLLFDIAQ-SADA----------DARERAKNFYTRIIKPLVGYAVPVIQLSRSTDHAGIGSIFAHANSVGLQMDVFELLTAKFATEDPTFRLQDDWEKTEKILRAYPALAEIDRTDFLTSVALYVTAKKGHASAFRESIIELTLDEYRPAADTMRLAFHEAANFMAHRCIITTSQVPYSAQLVPLAVIVALLAERPGVLSQ----QQAWDRIHQWFWCGVFGELYGSPALTIRIGNDVDEVTAWV--------------TDFDGRNNVPTPRSIVQARFVESRLLSAGPNSGLYKGIYSLIMGRGAKDWRTTIEFNHETFSELGTHFRPIFPLSWCEANGIDSILANSVLNRTPMSRRTHVMVEESSPARYLYRVQSKSLLNDDDFDAVLETHLVDPKLLFQANAPKFFTDRRHRLLKMIEEAMGMTAIHDVDETDLHAGEEGPGAFA</t>
  </si>
  <si>
    <t>MGFTTPSYDLIDLFDLINRGELQLPDFQRDYRWNVDRIRSLLVTVLRGYPIGSFMALDTHDVPVYFRPRPIETAPDIGVSPGLLLLDGQQRLTTLYQCMRGDGLVESTDFRKKKVRRRFFIDVNKAVSEDVLPDEAVVSVDENGHVKSHFAPDLPEGLATREAALAAGYIPVCDLLFDGGTDLLFDIAQ-SADA----------DARERAKNFYTRIIKPLVGYAVPVIQLSRSTDHAGIGSIFAHANSVGLQMDVFELLTAKFATEDPTFRLQDDWEKTEKILRAYPALAEIDRTDFLTSVALYVTAKKGHASAFRESIIELTLDEYRPAADTMRLAFHEAANFMAHRCIITTSQVPYSAQLVPLAVIVALLAERPGVLSQ----QQAWDRIHQWFWCGVFGELYGSPALTIRIGNDVDEVTAWV--------------TDFDGRNNVPTPRSIVQARFVESRLLSAGPNSGLYKGIYSLIMGRGAKDWRTTIEFNHETFSELGTHFRPIFPLSWCKANGIDSILANSVLNRTPMSRRTHVMVEESSPARYLYRVQSKSLLNDDDFDAVLETHLVDPKLLFQANAPKFFTDRRHRLLKMIEEAMGMTAIHDVDETDLHAGEEGPGAFA</t>
  </si>
  <si>
    <t>GC_00000845</t>
  </si>
  <si>
    <t>PF09754.15</t>
  </si>
  <si>
    <t>PAC2 family</t>
  </si>
  <si>
    <t>COG1938</t>
  </si>
  <si>
    <t>Predicted ATP-dependent carboligase, ATP-grasp superfamily (PDB:3GAA)</t>
  </si>
  <si>
    <t>-------MYELEYPAPDV-HDGPGDPTLIVALHGYADAGNAIYASSTHLLDALEHTKLATFHNDELIDYRSRRPTAFIDANQVVDIDPMDIGVDLLRDINNRPFLLLSGPEPDMRWEAFSDSVLKLVKDFDIKQTICLYSAPMAVPHTRPLVITAHGNEPALLKDYYTLDAKISLPGAAQLHIEHTLSTNNHTVTGLTAHVPHYVANADYPQATLSLLQALERSAQLTLPLGTIEQDVEKASIQLAEHTDTTPEV</t>
  </si>
  <si>
    <t>MSQEQPRMYELEYPSPDMSASDTEGPTLIVALQGYADAGQAIDASAQHILAALEHGLVASFNNDELVDYRSRRPTVVLDHNRIADVDPLEIGLHVVRDNAGKPFLLLTGPEPDMRWSAFTKAVADLAERFGVSQTLCLYSAPMAVPHTRPLVVTAHGNIPELTGKHFTLDSRIHIPGAASLMLERTLDERGKNVGGLTAHVPHYLAASDYPLATLRLLESLSDDAGLSIPLGTLQADADRVMQQLSSQIDDAPEIHQVVRALEQQYDRELERYEASQESAAL------DFEAIPSGEALGEAFEQFLATFDPPNDSD--SLENGDSDK</t>
  </si>
  <si>
    <t>MSQEQPRMYELEYPSPDMSASDTEGPTLIVALQGYADAGQAIDASAQHILAALEHGLVASFNNDELVDYRSRRPTVVLDHNRIADVDPLEIGLHVVRDNAGKPFLLLTGPEPDMRWSAFTKAVADLAERFGVSQTLCLYSAPMAVPHTRPLVVTAHGNIPELTGKHFTLDSRIHIPGAASLMLERTLDDRGKNVGGLTAHVPHYLAASDYPLATLRLLESLSDDAGLSIPLGTLQADADRVMQQLSSQIDDAPEIHQVVRALEQQYDRELERYEASQESAAL------DFEAIPSGEALGEAFEQFLATFDPPNDSD--SLENGDSDK</t>
  </si>
  <si>
    <t>MEDNNRKMYELEFPVPAVSQPGKEGPTMVVALQGYADAGHAVDQSSAYLLAALDHRPVASFNNDEFIDYRSRRPMTTIDHNSVADVEEINLGIQVVLDANDKPFLLLTGPEPDLRWEAFSQAVADLIERLGVTQTICLYSAPMTVPHTRPMVISAHGNSLELLEPYFKMDTRFSIPGSASLQLEYLLNKQGRNVAGYTAHVPHYLAASPYPQATLKLLEAVSQAAGLAIPLGALEEDSRRMAAQIAEQIQGTAEIQQVVDLLEQQYDENLEQYHEDHPHMALPG---HSAEPMPSGDELGEEFERFLAALDTPDDSA-----DDEDGN</t>
  </si>
  <si>
    <t>MEDNNRKMYELEFPVPAVSQPGKEGPTMVVALQGYADAGHAVDQSSAYLLAALDHRPVASFNNDEFIDYRSRRPMTTIDHNSVADVEEINLGIQVVLDANDKPFLLLTGPEPDLRWEAFSQAVADLIERLGVTQTICLYSAPMTVPHTRPMVISAHGNSLELLEPYFKMDTRFSIPGSASLQLEYLLNKQGRNVAGYTAHVPHYLAASPYPQATLKLLEAVSQAAGLAIPLGALEEDSRRMAAQIAEQIQGTAEIQQVVDLLEQQYDENLEQYHEDHPHMALPG---HSAEPMPSGDELGEEFERFLAALDTPDDSA-----DDEDDN</t>
  </si>
  <si>
    <t>GC_00000846</t>
  </si>
  <si>
    <t>MTDNNRPVQESLFDI-GPDQTVGYRVPIACQVAGITYRQLDYWARTQLVVPSIRSARGSGSQRLYSFRDILVLKIVKGLLDTGISLQNIRLAVSNLRDLGVDDLATITLVSDGTTVYECRSNEEVIDLLAGGQGVFGIAVPGIMKELTGTIAAFPSESITHD---DTAVADFRDELAARRARRQVS</t>
  </si>
  <si>
    <t>MTDTQRPVQESLFDM-GPDEEVGYRVPIACQVAGITYRQLDYWARTKLVVPSIRSARGSGSQRLYSFKDILVLKIVKGLLDTGISLQNIRLAVDKLRDLGVDDLATITLVSDGTTVYECRSGEEVIDLLGGGQGVFGIAVPGIMKELTGTIAAFPSERVSDTAQPAAHPADAIDELAERRARRRIS</t>
  </si>
  <si>
    <t>MTDTQRPVQESLFDM-GPDEAVGYRVPIACQVAGITYRQLDYWARTKLVVPSIRSARGSGSQRLYSFKDILVLKIVKGLLDTGISLQNIRLAVDKLRDLGVDDLATITLVSDGTTVYECRSGEEVIDLLGGGQGVFGIAVPGIMKELTGTIAAFPSERVSDTAQPAAHPADAIDELAERRARRRIS</t>
  </si>
  <si>
    <t>GC_00000847</t>
  </si>
  <si>
    <t>----------------MAVEIVEALAQRGIHHTFAIQELTLPIALDGHDLIGQARTGMGKTLGFGVPLLDRVFDDASIEELDGTPRALVVVPTRELAVQVSDDLTQAASNLPVRVLTIYGGRPYEEQIDALKQGADVVVGTPGRLIDLHQRGNLALDNVAILVLDEADEMLDLGFLPDIEKLMRALTHKHQTMLFSATMPGPILSLARSFLNKPIHIRAEQAEASATHTTTTQIVFQAHRMDKPAIIAQALQAPG</t>
  </si>
  <si>
    <t>--MSKQSSTPTFAQLGVAIEITDALDSFGIQHTFAIQELTLPLALDGIDLIGQARTGQGKTLGFGVPLLDRIFDSADIAELDGTPRALVVTPTRELAIQVADDLHRAAKNLPVRILTIYGGRPYEEQINALDKGIDVVVGTPGRLLDLYQRGSLTLDQVAILVLDEADEMLNLGFLPAIEKLLKALTHKHQTMLFSATMPGPIVTLARTFMHKPVHIRAEEPDAAQTNQDIRQVVFQAHRMDKVAVVSRILQAQG</t>
  </si>
  <si>
    <t>--MSKQSSTPTFAQLGVAIEITDALDSFGIQHTFAIQELTLPLALDGIDLIGQARTGQGKTLGFGVPLLDRIFDSADIAELDSTPRALVVTPTRELAIQVADDLHRAAKNLPVRILTIYGGRPYEEQINALDKGIDVVVGTPGRLLDLYQRGSLTLDQVAILVLDEADEMLNLGFLPAIEKLLKALTHKHQTMLFSATMPGPIVTLARTFMHKPVHIRAEEPDAAQTNQDIRQVVFQAHRMDKVAVVSRILQAQG</t>
  </si>
  <si>
    <t>MKVCSNKDQPTFFELGVAVEITNALAQQGIIHTFAIQEQTLPIALDGRDIIGQARTGMGKTYGFGIPLLDRVFDAADIAELDGTPRALVVTPTRELAIQVSTDLTKAAMFTPIRVTTVYGGRPIDEQRAVLDDGVDVVVGTPGRLLDLHKRGILRLDHVAILVLDEADEMLDLGFFPDVEKLLAALTHRHQTMLFSATMPGPVLTLAREFLHQPVHIRAENVDAPQTHTTTNQVVFQSHHLDKKATCAKILQANNRGKTIIFARTKRSTADLATDLAKRGFSVGAVHGDLGQAARETSLNAFR-----ANRVDILVATDVAARGIDVDDVTHVINFQTPDDPMTYVHRIGRTGRAGHSGTAVTLVGYDELQKWRIINDELQLDNPEPPPWFSTSPELFSALDIPADATDTIGASKRVYGLGPGAGLAKPRGARNARGTQSGRNQRSGDSRRTHGSRSYNNHSHNNSRGNSRTTRR</t>
  </si>
  <si>
    <t>MKVSSNKDQPTFFELGVAIEITNALAQQGIIHTFAIQEQTLPIALDGRDIIGQARTGMGKTYGFGIPLLDRVFDAADIAELDGTPRALVVTPTRELAIQVSTDLTKAAMFTPIRVTTVYGGRPIDEQRAVLDDGVDVVVGTPGRLLDLHKRGILRLDHVAILVLDEADEMLDLGFFPDVEKLLAALTHRHQTMLFSATMPGPVLTLAREFLHQPVHIRAENVDAPQTHTTTNQVVFQSHHLDKKATCAKILQANNRGKTIIFARTKRSAADLATDLAKRGFSVGAVHGDLGQAARETSLNAFR-----ANRVDILVATDVAARGIDVDDVTHVINFQTPDDPMTYVHRIGRTGRAGHSGTAVTLVGYDELQKWRIINDELQLDNPEPPPWFSTSPELFSALDIPEDATDTIGASKRVYGLGPGAGLAKPRGARNARGAQSGRNQRSGDSRRTHGSRSYNNHSHNNSRGNSRTTRR</t>
  </si>
  <si>
    <t>GC_00000848</t>
  </si>
  <si>
    <t>PF14559.12</t>
  </si>
  <si>
    <t>COG0457</t>
  </si>
  <si>
    <t>Tetratricopeptide (TPR) repeat (TPR) (PDB:3AS4)</t>
  </si>
  <si>
    <t>MGEGFGSDR------------------GRGRGDSGRGGRPW----------------------------------------EGRGDRRDRAWGEREDRRGDGAAGRRDDRRGGRRDDARDAGRGGRFDRRGGGRRQHAQRGGADRPE--RRTGPQRSGFREERIMKRQNDPDIPGDISAKDLDPSVLQDLRSLSKDNADTVARHMVMAAIWMEDDPQLALRHARAAKDRAGRVSVVRETAGIAAYHAGEWKEALTELRAARRISGGPGMLAVMADCERGLGHPEKALELGRTEDLSGLDDDSRVELAIVLAGARADMGDFDSAVVELKSVGLEDTRSDITSMRLFYAFADCLVQAGRGDEAREWFLRSAELDTEGVLDARERAADLES</t>
  </si>
  <si>
    <t>PF13428.12</t>
  </si>
  <si>
    <t>MADSYSRGRRSDGRRDDHRRGESRDTGERRRHDDRRESRPYGDRDRDRRRGRDYDRRDRDDRRRDDRRDWDDDRRQSRNDCHSRDDRGDRNYRSRDDRYSRSERRYSDGDAGGRTQGSRNRRDRDGQRGDGHRQRRHSQRAGSGRNEGQRRSGPSRPNFREERTAKRMKEPSLPQDITSRDLDPSILQDLRSLSKDNAEQVGRHMVMAATLMQDDPQLALQHARAAKERAGRVAVVRETCGIAAYHAGEWKEALAELRAARRMSGGPGLMAVMADCERGLGHPEKAIEIARSEELSRLDAASMVELAIVVAGARQDMGQFDAAVAELERQDLNPSRHGVSASRLFYAYADALAAAGRTAEARQWFEHAADADEDELLDAADRLHELEG</t>
  </si>
  <si>
    <t>GC_00000849</t>
  </si>
  <si>
    <t>A</t>
  </si>
  <si>
    <t>RNA processing and modification</t>
  </si>
  <si>
    <t>K13288</t>
  </si>
  <si>
    <t>oligoribonuclease [EC:3.1.-.-]</t>
  </si>
  <si>
    <t>COG1949</t>
  </si>
  <si>
    <t>Oligoribonuclease (3'-5' exoribonuclease) (Orn) (PDB:1YTA)</t>
  </si>
  <si>
    <t>ko00001|ko03019|ko03009</t>
  </si>
  <si>
    <t>KEGG Orthology (KO)&gt;&gt;&gt;09120 Genetic Information Processing&gt;&gt;&gt;09122 Translation&gt;&gt;&gt;03008 Ribosome biogenesis in eukaryotes [PATH:ko03008]|Messenger RNA biogenesis&gt;&gt;&gt;Prokaryotic type&gt;&gt;&gt;Bacterial mRNA degradation factors&gt;&gt;&gt;RNA degradosome components&gt;&gt;&gt;Ribonucreases|Ribosome biogenesis&gt;&gt;&gt;Eukaryotic type&gt;&gt;&gt;Pre-60S particles&gt;&gt;&gt;RNases</t>
  </si>
  <si>
    <t>---MSKHDRLVWIDLEMTGLDPDHHVVVEVAALVTDADLNILGQGVDIVVHATEEQLAGMNELVADMHGSSGLTEAIRTSTTTIEQAEQAVLDLIAEHCDPDHPAPLAGNSIATDRSFIRKHMPRLDSALHYRMIDVSTLKELARRWYPRIYFNQPEKGLAHRALADIVESIRELDYYRRSFITPDPGPTTAECIDAAKESMASYQRFLQ--</t>
  </si>
  <si>
    <t>---MSKHDRLVWIDLEMTGLDPDHHVVVEVAALVTDADLNVLGQGVDIVVHATEEQLAGMNELVADMHGSSGLTEAIRTSTTTIEQAEQAVLDLIAEHCDPDHPAPLAGNSIATDRSFIRKHMPRLDSALHYRMIDVSTLKELARRWYPRVYFNQPEKGLAHRALADIVESIRELDYYRRSFITPDPGPTTAECIDAAKESMASYQRFLQ--</t>
  </si>
  <si>
    <t>MADMDKHDRIVWIDLEMTGLDIHEHTIVEVAALITDADLNVLGEGVDVVVHASEEELGRMNEFVTNMHESSGLLAEIRESKVTLKEAEDAVLELIAKHCDSEHPAPLAGNSIGTDRGFIREYMPRLDEALHYRMIDVSTVKELARRWAPRVYYHQPEKDMSHRALADIVESVRELDFYRRVLFVAN--PRNQACESAQAAAIERYQEYLQP-</t>
  </si>
  <si>
    <t>MADMDKHDRIVWIDLEMTGLDIHEHTIVEVAALITDADLNVLGEGVDVVVHASEEELGQMNEFVTNMHESSGLLAEIRESKVTLKEAEDAVLELIAKHCDLEHPAPLAGNSIGTDRGFIREYMPRLDEALHYRMIDVSTVKELARRWAPRVYYHQPEKDMSHRALADIVESIRELDFYRRVLFVAN--PRNQACESAQAAAIERYQEYLQP-</t>
  </si>
  <si>
    <t>GC_00000850</t>
  </si>
  <si>
    <t>PF00475.24</t>
  </si>
  <si>
    <t>Imidazoleglycerol-phosphate dehydratase</t>
  </si>
  <si>
    <t>COG0131</t>
  </si>
  <si>
    <t>Imidazoleglycerol phosphate dehydratase HisB (HisB2) (PDB:1RHY)</t>
  </si>
  <si>
    <t>K01693</t>
  </si>
  <si>
    <t>imidazoleglycerol-phosphate dehydratase [EC:4.2.1.19]</t>
  </si>
  <si>
    <t>KEGG Orthology (KO)&gt;&gt;&gt;09100 Metabolism&gt;&gt;&gt;09105 Amino acid metabolism&gt;&gt;&gt;00340 Histidine metabolism [PATH:ko00340]|Enzymes&gt;&gt;&gt;4. Lyases&gt;&gt;&gt;4.2  Carbon-oxygen lyases&gt;&gt;&gt;4.2.1  Hydro-lyases&gt;&gt;&gt;4.2.1.19  imidazoleglycerol-phosphate dehydratase</t>
  </si>
  <si>
    <t>MTDTTTLTGPTPAARTATVSRTTSESDITVTINLDGSGKSNINTGVPFFDHMLTAFCVHGAFDLKVHAQGDTHIDAHHTVEDVAIVLGQALAEAVGDKQGIRRFGSFSVPMDEALCEAVVDFSGRPYYVMRGEPEHMLTSVIGSHYATVINEHFFESLATNARVTLHVICHYGRDPHHITEAEFKAVARAIRAAVDIDPQVTGIPSTKGAL</t>
  </si>
  <si>
    <t>MTDTTTLTGPTPAARTATVSRTTSESDITVTINLDGSGKSNINTGVPFFDHMLTAFCVHGAFDLKVHAQGDTHIDAHHTVEDVAIVLGQALAEAVGDKQGIRRFGSFSVPMDEALCEAVVDFSGRPYYVMRGEPEHMLTSVIGGHYATVINEHFFESLATNARVTLHVICHYGRDPHHITEAEFKAVARAIRAAVDIDPQVTGIPSTKGAL</t>
  </si>
  <si>
    <t>GC_00000851</t>
  </si>
  <si>
    <t>PF02195.25</t>
  </si>
  <si>
    <t>ParB N-terminal domain</t>
  </si>
  <si>
    <t>K03497</t>
  </si>
  <si>
    <t>ParB family transcriptional regulator, chromosome partitioning protein</t>
  </si>
  <si>
    <t>COG1475</t>
  </si>
  <si>
    <t>Chromosome segregation protein Spo0J, contains ParB-like nuclease domain (Spo0J) (PDB:1R71)</t>
  </si>
  <si>
    <t>ko03000|ko03036|ko04812</t>
  </si>
  <si>
    <t>Transcription factors&gt;&gt;&gt;Prokaryotic type&gt;&gt;&gt;Other transcription factors&gt;&gt;&gt;Others|Chromosome and associated proteins&gt;&gt;&gt;Prokaryotic type&gt;&gt;&gt;Chromosome partitioning proteins&gt;&gt;&gt;Other chromosome partitioning proteins|Cytoskeleton proteins&gt;&gt;&gt;Prokaryotic cytoskeleton proteins&gt;&gt;&gt;MinD / ParA class of bacterial cytoskeletal proteins</t>
  </si>
  <si>
    <t>MASKRPTKRTGGLGRGLAALIPQSDPVDND-----------------AAPTAANKAASGAKAAAQPKGARGAQSSKAASSERKVDMTNVVPGGKSKPRLSSGAASVLLG-------------------------DGPQNTASSGRAAEAAAKAGTNAD--------------SFGAVYEELPIGAIAPNSKQPRQVFDEAALEELIHSIREFGLMQPIVVRRAPHGT-YELIMGERRLRAATKAGLKRIPAIVRETDDADMLRDALLENIHRVQLNPLEEAHAYQQLLEEFGVTQTELADKIGRSRPLITNMLRLLQLPVGAQRKVASGVISAGHARALLGLKAGAQAQEALADRIVAEGLSVRATEEAVVLINRGDEPAKKAKREKAPTPEFFTRAAESLADGLDTRVSVSVGKRKGRIVVEFGDKDDFERIIGLLRGSDER------------------------------</t>
  </si>
  <si>
    <t>---MAPDKRKGGLGRGLAALIPNGPSTNKPRLGEDAANILMGGSGPLAAATEEPQAVETAETESVPAPTRTQKSAKATKKTTKKAPTKAAKKAASAKNVSDQLAAAHAAVTRPSTRTAGTKLDGASQESREKDKQAPKAATAPSATPRTPATETAQDTKETQKKPNVPQSPEDIGASYQEIPVNQIVPNPHQPRQVFDEEALAELVHSIKEFGLMQPIVVRRAADDSGFEIIMGERRWRAASKAGLETIPAIVRE</t>
  </si>
  <si>
    <t>---MAPDKRKGGLGRGLAALIPNGPSTNKPRLGEDAANILMGGSGPLTATTEEPQAAKTAETESVPAPTRTQKSAKATKKTTKKAPTKAAKKAASAKNVSDQLAAAHAAVTRPSTRTAGTKQDGTPQEPREKDKQAPKAAAAPSATPRTPATETAQDTKETQKKPNVPQSPEDIGASYQEIPVNQIVPNPHQPRQVFDEEALAELVHSIKEFGLMQPIVVRRAADDSGFEIIMGERRWRAASKAGLETIPAIVRE</t>
  </si>
  <si>
    <t>GC_00000852</t>
  </si>
  <si>
    <t>PF02153.23</t>
  </si>
  <si>
    <t>Prephenate dehydrogenase, nucleotide-binding domain</t>
  </si>
  <si>
    <t>K04517</t>
  </si>
  <si>
    <t>prephenate dehydrogenase [EC:1.3.1.12]</t>
  </si>
  <si>
    <t>COG0287</t>
  </si>
  <si>
    <t>Prephenate dehydrogenase (TyrA) (PDB:2F1K)</t>
  </si>
  <si>
    <t>M00025</t>
  </si>
  <si>
    <t>Tyrosine biosynthesis, chorismate =&gt; HPP =&gt; tyrosine</t>
  </si>
  <si>
    <t>KEGG Orthology (KO)&gt;&gt;&gt;09100 Metabolism&gt;&gt;&gt;09105 Amino acid metabolism&gt;&gt;&gt;00400 Phenylalanine, tyrosine and tryptophan biosynthesis [PATH:ko00400]|KEGG Orthology (KO)&gt;&gt;&gt;09100 Metabolism&gt;&gt;&gt;09110 Biosynthesis of other secondary metabolites&gt;&gt;&gt;00401 Novobiocin biosynthesis [PATH:ko00401]|Enzymes&gt;&gt;&gt;1. Oxidoreductases&gt;&gt;&gt;1.3  Acting on the CH-CH group of donors&gt;&gt;&gt;1.3.1  With NAD+ or NADP+ as acceptor&gt;&gt;&gt;1.3.1.12  prephenate dehydrogenase</t>
  </si>
  <si>
    <t>---MCAMLVGVMSMRPVCVIGLGLIGGSLLRDLHAKGW--------------PVFGFNRSPSAVKQACDEGFDASSCLEDTLQRAEREGALIVLATPMPAIPSMLDAVMEHAPSCGITDVVSVKAEVYSLVCERGLQDRYVGGHPMAGTANSGWEAAHEGLFQGAAWVVTFDQAAEDPEGVSEQWVGLWRDVATVASAVGAEVIPARVGVHDAAVARISHLPHVLAEALAIVGDNGGALALSLAAGSFRDGTRVA</t>
  </si>
  <si>
    <t>MCHTCQVTTTDIS-RPVCILGLGLIGGSLLRDLTTSGH--------------AAFGYNRSPSAARAARAEGFDVTDSLEDALRRAEEEFALIVLATPMPAIDALLHDIKEYAPSCGFTDVVSVKGKVYELVKQHGLEDRYVGGHPMAGTADSGWRASKNGLFDGAAWVVTFDHALDTRP--SQSWIDLWIDVVHMATRVGAEVIPARVDHHDAAVARISHLPHILAEALAIVGDNGGTLALSLAAGSFRDGTRVAGSAPSLVRAMCETNHAALLDALDETLTLLQDARANLDADKPSVGELVDAGYRSRIRYEARSNSRSGSSSGGSVHSGPGSDMSARPVIRFHPGADNWVSQLIQAENVGARIEVF</t>
  </si>
  <si>
    <t>MCHTCQVTTTDIS-RPVCILGLGLIGGSLLRDLTTSGH--------------AAFGYNRSPSAARAARAEGFDVTDSLEDALRRAEEEFALIVLATPMPAIDALLHDIKEYAPSCGFTDVVSVKGKVYELVKQHGLEDRYVGGHPMAGTADSGWRASKNGLFDGAAWVVTFDHALDTRP--SQSWIDLWIDVVHMATRVGAEVIPARVDHHDAAVARISHLPHILAEALAIVGDNGGTLALSLAAGSFRDGTRVAGSAPSLVRAMCETNHAALLDALDETLTLLQDARANLDADKPSVGELVDAGYRSRIRYEARSNSRSGSTSGGSVHSGPGSDMSARPVIRFHPGADNWASQLIQAENVGARIEVF</t>
  </si>
  <si>
    <t>GC_00000853</t>
  </si>
  <si>
    <t>K01756</t>
  </si>
  <si>
    <t>adenylosuccinate lyase [EC:4.3.2.2]</t>
  </si>
  <si>
    <t>COG0015</t>
  </si>
  <si>
    <t>Adenylosuccinate lyase (PurB) (PDB:2HVG)</t>
  </si>
  <si>
    <t>M00048|M00049</t>
  </si>
  <si>
    <t>De novo purine biosynthesis, PRPP + glutamine =&gt; IMP|Adenine ribonucleotide biosynthesis, IMP =&gt; ADP,ATP</t>
  </si>
  <si>
    <t>Pathway modules; Nucleotide metabolism; Purine metabolism|Pathway modules; Nucleotide metabolism; Purine metabolism</t>
  </si>
  <si>
    <t>KEGG Orthology (KO)&gt;&gt;&gt;09100 Metabolism&gt;&gt;&gt;09104 Nucleotide metabolism&gt;&gt;&gt;00230 Purine metabolism [PATH:ko00230]|KEGG Orthology (KO)&gt;&gt;&gt;09100 Metabolism&gt;&gt;&gt;09105 Amino acid metabolism&gt;&gt;&gt;00250 Alanine, aspartate and glutamate metabolism [PATH:ko00250]|Enzymes&gt;&gt;&gt;4. Lyases&gt;&gt;&gt;4.3  Carbon-nitrogen lyases&gt;&gt;&gt;4.3.2  Amidine-lyases&gt;&gt;&gt;4.3.2.2  adenylosuccinate lyase</t>
  </si>
  <si>
    <t>---------MKNVLANRYASDELVRLWSPEHKIVLERQLWIAVMKAQKDQGIDIPDEAIAAYEAHIDEVNLESIAARERVTRHDVKARIEEFNALAGYEHIHKGMTSRDLTENVEQLQIYRSLELMRDKAIAVAARIGVRAEENRSLVMAGRSHNVAAQATTLGKRFASAADELLVAIDRAEDLLGRYPLRGIKGPMGTAQDMLDLTGS-QSNLDALERRIAEHLGFDRIFDSVGQVYPRSLDFDAVSALVQLGA</t>
  </si>
  <si>
    <t>MGDVAEKKKIANVLSNRYASAELTELWSPEAKIIMERQLWIAVMKAQKDLGVDIPVEAIAAYENVINHVDLASIAERERVTRHDVKARIEEFNALAGYEHIHKGMTSRDLTENVEQLQVCRSLELVRDKAVAVVARIGARAGEYQSLVMAGRSHNVAAQATTLGKRFASAADEMLVAIERVEELLRRYPLRGIKGPMGTAQDMLDLMGGDENKLASLETRVADHLGFRRVFDSVGQVYPRSLDFDVVSALVELGAGPSSLATTIRLMAGNEVVTEGFKEGQVGSSAMPHKMNARSCERVGGMQILLRGYLTMVADLAGQQWNEGDVFCSVVRRVALPDAFFTIDGMCETFLTVLDEFGAFPAMIERELERYLPFLATTRILMAAVRAGVGRETAHEAIKENAVAVALNMRENGAEQDLIQRLADDDRIPLTLEQLQDALADRSVFIGAAESQVARVLARVNDVVSRHPEAAAYKPGEIL</t>
  </si>
  <si>
    <t>MGDVAEKKKIANVLSNRYASAELTELWSPEAKIIMERQLWIAVMKAQKDLGVDIPVEAITAYENVINHVDLASIAERERVTRHDVKARIEEFNALAGYEHIHKGMTSRDLTENVEQLQVCRSLELVRDKAVAVVARIGARAGEYQSLVMAGRSHNVAAQATTLGKRFASAADEMLVAIERVEELLRRYPLRGIKGPMGTAQDMLDLMGGDENKLASLETRVADHLGFRRVFDSVGQVYPRSLDFDVVSALVELGAGPSSLATTIRLMAGNEVVTEGFKEGQVGSSAMPHKMNARSCERVGGMQILLRGYLTMVADLAGQQWNEGDVFCSVVRRVALPDAFFTIDGMCETFLTVLDEFGAFPAMIERELERYLPFLATTRILMAAVRAGVGRETAHEAIKENAVAVALNMRENGAEQDLIQRLADDDRIPLTLEQLQDALADRGVFIGAAESQVARVLARVNDVVSRHPEAAAYKPGEIL</t>
  </si>
  <si>
    <t>-----MKKQIANVLANRYASAELVDLWSAETKIILERQLWIAVLKAQRDLGVDVPAEAIAAYENVIDKVDLESIANREKITRHDVKARIEEFNALAGYEQVHKGMTSRDLTENVEQLQVYRSLELIRTKAITVALRIAERAAEYDTLVMAGRSHNVAAQATTLGKRFASAAEELLVAIERIENLIERYPLRGIKGPMGTAQDMLDLMGGDETKLADLESRIATHLGFARVFDSVGQVYPRSLDFDALSALVQLGA</t>
  </si>
  <si>
    <t>-----MKKQIANVLANRYASAELVDLWSAETKIILERQLWIAVLKAQRDLGVDVPAEAIAAYENVIDKVDLESIANREKITRHDVKARIEEFNALAGYEQVHKGMTSRDLTENVEQLQVYRSLELIRTKAITVVLRIAERAAEYDTLVMAGRSHNVAAQATTLGKRFASAAEELLVAIERIENLIERYPLRGIKGPMGTAQDMLDLMGGDETKLAELESRIATHLGFARVFDSVGQVYPRSLDFDALSTLVQLGA</t>
  </si>
  <si>
    <t>GC_00000854</t>
  </si>
  <si>
    <t>PF13286.11</t>
  </si>
  <si>
    <t>Phosphohydrolase-associated domain</t>
  </si>
  <si>
    <t>K01129</t>
  </si>
  <si>
    <t>dGTPase [EC:3.1.5.1]</t>
  </si>
  <si>
    <t>COG0232</t>
  </si>
  <si>
    <t>dGTP triphosphohydrolase (Dgt) (PDB:6OI7)</t>
  </si>
  <si>
    <t>KEGG Orthology (KO)&gt;&gt;&gt;09100 Metabolism&gt;&gt;&gt;09104 Nucleotide metabolism&gt;&gt;&gt;00230 Purine metabolism [PATH:ko00230]|Enzymes&gt;&gt;&gt;3. Hydrolases&gt;&gt;&gt;3.1  Acting on ester bonds&gt;&gt;&gt;3.1.5  Triphosphoric-monoester hydrolases&gt;&gt;&gt;3.1.5.1  dGTPase</t>
  </si>
  <si>
    <t>MHYQYSSLDEQRRHPEEAKGSTVSGTLPDTRRAFVRDRARVLHSAALRRLADKTQVVGPRDGDTPRTRLTHSLEVAQIARGIGAGVGADPDLCELAGLCHDIGHPPYGHNGEVALNELAGDI-GFEGNAQSLRILTLLEPKVCDVE-TSFGLNLTRAALDAACKYPWTRSQAEAKNTKKYGCYDEDAHILEWIRSGSDTHLKPPIEGQVMDISDDVAYSVHDVEDGILAGRIDLKVMWDLVELAALAEKGARAFGGNPDELVEAADRLRQLDVVSRAADYDATFPSLVGLKALTSELVGRFVGAIITATRK-------NNGEA------------LGRHNGQLVVPPDVAAEVTLLKTIAVLYVMDEPVHLRRQDRQRERIYRVFDYLSMGAPGSLDPSFAHWYMQADSDQQRRRVIIDQIASLTESRLERL---AHLAAGVSGFYG</t>
  </si>
  <si>
    <t>-MRHYTDKDVERRYPEPLKQSQYDN--PDGRGAFNRDRARVLHSAALRRLADKTQVVGPRDGDTPRTRLTHSLEVAQIARGIGSGIGVDPDLAELAALSHDIGHPPYGHNGEVALNMLADQCGGFEGNAQTLRILSRLEPKIISDEDESFGLNLTRAALRAASKYPWPKVGSDGVERTKYGAYVEDQHILDWILDGSSMPAGVSVEAQVMDASDDIAYSVHDVEDGILSGRVSLSVLWDLVELAALAEKGQRAFG</t>
  </si>
  <si>
    <t>-MRHYTDKDVERRYPEPLKQSQHDN--PDGRGAFNRDRARVLHSAALRRLADKTQVVGPRDGDTPRTRLTHSLEVAQIARGIGSGIGVDPDLAELAALSHDIGHPPYGHNGEVALNTLADQCGGFEGNAQTLRILSRLEPKIISDEGESFGLNLTRAALRAASKYPWPKVGSDGVERTKYGAYGEDQHILDWILDGSSMPASVSVEAQVMDASDDIAYSVHDVEDGILSGRVSLSVLWDLVELAALAEKGQRAFG</t>
  </si>
  <si>
    <t>-MYHYTDHDIARMYHEPAKRSMLVSH-QDERGPFARDRARVLHSAALRSLADKTQVVSPKEGDTPRTRLTHSLEVAQIARGIGAGLGLDPNLCEMAGLTHDIGHPPYGHNGEHALNELAVHCGGFEGNAQTLRILTRLEPKVLDERDHSYGLNLTRAALDAACKYPVTKTNPDGTTNRKYSCYDEDRQILEWVRDG-HTDGRAAMEAQVMDFADDIAYSVHDVEDGIISGRIHLNALWDQEALESLGASGETAFG</t>
  </si>
  <si>
    <t>-MYHYTDHDIARMYHEPAKRSMLVSH-QDERGPFARDRARVLHSAALRSLADKTQVVSPKEGDTPRTRLTHSLEVAQIARGIGAGLGLDPNLCEMAGLTHDIGHPPYGHNGEHALNELAVHCGGFEGNAQTLRILTRLEPKVLDARDHSYGLNLTRAALDAACKYPVTKTNPDGTTNRKYSCYDEDRQILEWVRDG-HTDDRAAMEAQVMDFADDIAYSVHDVEDGIISGRIHLNALWDQESLESLGASGETAFG</t>
  </si>
  <si>
    <t>GC_00000855</t>
  </si>
  <si>
    <t>K15738</t>
  </si>
  <si>
    <t>ABC transport system ATP-binding/permease protein</t>
  </si>
  <si>
    <t>Transporters&gt;&gt;&gt;ABC transporters, eukaryotic type&gt;&gt;&gt;Other subfamilies&gt;&gt;&gt;Other ABC transporters</t>
  </si>
  <si>
    <t>MANLINLENVSQSYGLKTVLDQVSLGIQTGDRIGVVGLNGGGKTTLLRILAGLEQPDSGRVSHTGDLAMAVVTQGAELDDDATVAEVVLEPLGVHTYEWASNAKVREVLEGLGIVDLGLDTPVGSLSGGERRRTNLAAALVRDLDLIILDEPTNHLDVEGVQWLADYLLANKAALIVVTHDRWFLDTVATKTWEVHDGQVDTYEGGYNDWTFARAERARQADAAEQRRQNLARKELAWLRRGAPARTSKPRYRIETAEQLINDVPPPRDSVELMAFSRKRQGKKVIDLVDATIQTPDGRVLVDDLTWRLAPGERIGLVGVNGSGKTTLLRTIAGEHPLAAGSRTEGTTVRLGWLRQELDDLDQDMRLLDAVEQVASYVQLGKKELSASQLAERLGFSAKRQRTPIKDLSGGERRRLQLTRVLMAEPNVLLLDEPTNDLDIDTLQELESLLDGWPGTLIVISHDRYLIERVCDSTWALFGDGTLTNLPGGIEEYLQRRASLAQSTVASNVGSAAAQSRSVSSPAASSSSPDVAGAGAGASTSGLSAAEERKLTKELQSLERKIAKLDDKQAQIEQAMAEAADDFARVAELNEQLSAVREEKDELDMQWMEVADKL--</t>
  </si>
  <si>
    <t>MANLVSVENVSKSFGLKTLLDGVSLGVQTGDRIGVVGLNGGGKSTLLKVLTGQEQPDEGRVSLMNDIRVAMVTQEANLNPEDTVADVMLKPLGVETFEWASKSSVRDVLDGLGITELGLDSKVGQLSGGERRRTNLAAALVQELDLLVLDEPTNHLDVEGVQWLADYLLKTKAALVVVTHDRWFLDTVATRTWEVHDGRVDTYEGGYNDWVYARAERARQADAVEQRRRNLARKELAWLRRGAPARTSKPRYRIEAAEALIADVPAPRDTVELMAFSKQRQGKVVIELEDAYIATPDGRDLVCDLTWRLAPGERIGLVGVNGSGKTTLLRVLAGEYALGTGRRIEGKTVRLGWLRQELDDLDPTMRLLDAVESVASYVQFGKKELSASQLAERLGFSAKRQRTPVGDLSGGERRRLQLTRVLMAEPNVLLLDEPTNDLDIDTLQELESLLDSWPGTLVVISHDRYLIERICDSTWALFGDGHLTNLPGGIDEYLRRRRDMAGSGVIAGGGSAAVAEKK------------------------RDAAADHKTRKAMTSLERKITKLQEREQGITAKMAEVATDMDALNELNTELAGVRDEIETLEMEWMELGEQLEG</t>
  </si>
  <si>
    <t>MANLVSVENVSKSFGLKTLLDGVSLGVQTGDRIGVVGLNGGGKSTLLKVLTGREQPDEGRVSQMNDIRVAMVTQEANLNPEDTVADVVLKPLGVETFEWASKSSVRDVLDGLGITELGLDSKVGQLSGGERRRTNLAAALVQELDLLVLDEPTNHLDVEGVQWLADYLLKTKAALVVVTHDRWFLDTVATRTWEVHDGRVDTYEGGYNDWVYARAERARQADAVEQRRRNLARKELAWLRRGAPARTSKPRYRIEAAEALIADVPAPRDTVELMAFSKQRQGKVVIELEDAYIATPDGRDLVRDLTWRLAPGERIGLVGVNGSGKTTLLRVLAGEYALGTGRRLEGKTVRLGWLRQELDDLDPAMRLLDAVESVASYVQFGKKELSASQLAERLGFSAKRQRTPVGDLSGGERRRLQLTRVLMAEPNVLLLDEPTNDLDIDTLQELESLLDSWPGTLVVISHDRYLIERICDSTWALFGDGRLTNLPGGIDEYLRRRRDMAGSGVTAG-GSAAVAEKK------------------------RDAAADHKTRKAMTSLERKITKLQEREQGITAKMAEVATDMDALNELNTELAGVRDEIETLEMEWMELGEQLEG</t>
  </si>
  <si>
    <t>MVNLINLENVNKSFGLKTLLHKVSLGVQSGDRIGVVGINGGGKTTLIEVLTGVEQPDAGRVSHNSSLRMAVVTQRMQLTGTDTIADVVVAPLGLETYEWASNARVREVLHGLGIERLGLDTPVGQLSGGEQRRVNLAAALVRELDLVVLDEPTNHLDIEGVQWLADHLLSRKLSVVVVTHDRWFLDTVATSTWEVHDGQVDAYEGGYNDWIFARAERSRQADAMEQRRQNLARKELAWLRRGAPARTSKPRYRIDAAEALIAAVPPPRDKVELMAFSRQRQGRIVVELEDARIDTPDGRPLVDDLTWRLGPGERIGLVGVNGSGKTTLLRALAGEYPLAAGRRIEGRTVRLGWLRQELDDLDPDMRLLDAVEEVASYVQLGKKELSAAQLAERLGFSPKRQRTPIKDLSGGERRRLQLTRVLMSEPNVLLLDEPTNDLDIDTLQELESLLDNWAGTLVVISHDRYLIERIADSTWALFGDGKLTNLPGGIDDYLKRRHAIAARTPAPE--PKPESEKP------------------------RSGSEMRRLSKEMAAVERKIAKTRDQLAAVEADMAAYATDMDQLVTLGAQADELKHQLDELETRWLELGEQLEG</t>
  </si>
  <si>
    <t>MVNLINLENVDKSFGLKTLLHKVSLGVQSGDRIGVVGINGGGKTTLIEVLTGVEQPDAGRVSHNSSLRMAVVTQRMQLTGTDTIADVVVAPLGLQTYEWASNARVREVLHGLGIERLGLDTQVGQLSGGEQRRVNLAAALVRELDLVVLDEPTNHLDIEGVQWLADHLLSRKLSVVVVTHDRWFLDTVATRTWEVHDGQVDAYEGGYNDWIFARAERSRQADAMEQRRQNLARKELAWLRRGAPARTSKPRYRIDAAEALIAAVPPPRDKVELMAFSRQRQGRIVVELEDARIDTPDGRPLVDDLTWRLGPGERIGLVGVNGSGKTTLLRALAGEYPLAAGRRIEGRTVRLGWLRQELDDLDPDMRLLDAVEEVASYVQLGKKELSAAQLAERLGFSPKRQRTPIKDLSGGERRRLQLTRVLMSEPNVLLLDEPTNDLDIDTLQELESLLDNWAGTLVVISHDRYLIERIADSTWALFGDGKLTNLPGGIDDYLKRRHAIAARTPAPE--PKPESEKP------------------------RSGSEMRRLSKEMAAVERKIAKTRDQLAAVEADMAAYATDMDQLVTLGAQADELKHQLDELETRWLELGEQLEG</t>
  </si>
  <si>
    <t>GC_00000856</t>
  </si>
  <si>
    <t>PF01960.23</t>
  </si>
  <si>
    <t>ArgJ family</t>
  </si>
  <si>
    <t>K00620</t>
  </si>
  <si>
    <t>glutamate N-acetyltransferase / amino-acid N-acetyltransferase [EC:2.3.1.35 2.3.1.1]</t>
  </si>
  <si>
    <t>COG1364</t>
  </si>
  <si>
    <t>Glutamate N-acetyltransferase (ornithine transacetylase) (ArgJ) (PDB:1VRA)</t>
  </si>
  <si>
    <t>KEGG Orthology (KO)&gt;&gt;&gt;09100 Metabolism&gt;&gt;&gt;09105 Amino acid metabolism&gt;&gt;&gt;00220 Arginine biosynthesis [PATH:ko00220]|Enzymes&gt;&gt;&gt;2. Transferases&gt;&gt;&gt;2.3  Acyltransferases&gt;&gt;&gt;2.3.1  Transferring groups other than aminoacyl groups&gt;&gt;&gt;2.3.1.1  amino-acid N-acetyltransferase|Enzymes&gt;&gt;&gt;2. Transferases&gt;&gt;&gt;2.3  Acyltransferases&gt;&gt;&gt;2.3.1  Transferring groups other than aminoacyl groups&gt;&gt;&gt;2.3.1.35  glutamate N-acetyltransferase</t>
  </si>
  <si>
    <t>MSITTPAGFSAAATTAGIKASGKKDMALVVNNGPDYTAAGVFTRNRVVAAPVKLTRRAVADGQLRAVVYNSGNANACNGAQGDADAYHTAEQLAALLDVPVSEVAVCSTGLIGEPLPMPILLEGLAPLV---------DGLGSQPTDG-TAAAEAIMTTDMVVKET-VVHGEGWTIGGMGKGAGMMAPSLATMLVCLTTDASITPDMADAALRAATSVTFDTLDIDGSTSTNDTVVLLASGASGVTPSQEEFAQAVRAACDDLASQMQADAEGVTKRVSITVVGTSTDEQALAAARTVGRDNLFKCAMFGSDPNWGRVLAAVGMADADMDPEHISVYFNDQAVCLDSCGAPGARDVDLSGADIEVRIDLGTGGPGRATVKTTDLSHAYVEINSEYST</t>
  </si>
  <si>
    <t>MSITTPTGFSAAATTAGIKASGKKDMALVVNNGPVYTAAGVFTRNRVVAAPVKLTRRAVADGQLRAVVYNSGNANACNGAQGDADAYQTAEQLAVLLDVPVSEVAVCSTGLIGEPLPMPILLGGLAPLV---------DGLGSQPTDG-TAAAEAIMTTDMVVKET-VIHGDGWTIGGMGKGAGMMAPSLATMLVCLTTDASVTPDMADAALRAATSVTFDTLDIDGSTSTNDTVVLLASGASGVTPSQEEFAQAVRAACDDLASQMQADAEGVTKRVSITVVGTSTDEQALAAARTVGRDNLFKCAMFGSDPNWGRVLAAVGMADADMDPEHISVYFNDQAVCLDSCGAPGARDVDLSGADIEVRIDLGTGGPGRATVKTTDLSHAYVEINSEYST</t>
  </si>
  <si>
    <t>GC_00000857</t>
  </si>
  <si>
    <t>MPSLKDDLDFENSFTERTPRIVAAAKLLKSQGRRKADAFLAEGFNSVEAAVVTGAASDVFTTQKAAARYPEVIAAARNMGVYVHPISDRAAQHLSDTVTPAGLFALCSPVLWSAKEVLGKAPQIVAVPVQTSDPGNAGTLIRVSDAIGADCVLFAGETTDPQGPKAVRSSAGSLFHIPVARDTNFQAVIDRLKAKNLTILATTADGEHSLDDGHFEKTVLRQPVAWLFGNEAHGLPQELIDRADYTVRIPIHGRAESLNLATAASICLYESAKQRHTSS--------</t>
  </si>
  <si>
    <t>----MSSLDFTEAFTERTPRIVKAAKLHRTAVRRKEGRFIVEGSNSVEAAVATGSATDVFITAEAAKRFADIVVAAGHMQVFVHPITAGAARSLADTATAPGIFAVCRPVLWRVGDALGRSPRLVTVAVGTNDPGNAGTLVRVSDALGADAVIFAGDTVDPQSSKAVRASAGSVFHVPVARSRDVGEVLRLLKGRGLQLMATAADGEVDLGTAN---ELLTRPTAWLFGNEAHGLGPELMELADHRVAIPIKGSA</t>
  </si>
  <si>
    <t>----MSSLDFTEAFTERTPRIVKAAKLHRTAVRRKEGRFIVEGSNSVEAAVATGSATDVFITAEAAKRFADIVVAAGHMQVFVHPITTGAARSLADTATAPGIFAVCRPVLWRVGEALGRSPRLVTVAVGTNDPGNAGTLVRVSDALGADAVIFAGDTVDPQSSKAVRASAGSVFHVPVARSRDVGEVLRLLKGRGLQLMATAADGEVDLGTAN---ELLARPTAWLFGNEAHGLGPELMELADHRVAIPIKGSA</t>
  </si>
  <si>
    <t>GC_00000858</t>
  </si>
  <si>
    <t>PF00342.24</t>
  </si>
  <si>
    <t>Phosphoglucose isomerase</t>
  </si>
  <si>
    <t>K01810</t>
  </si>
  <si>
    <t>glucose-6-phosphate isomerase [EC:5.3.1.9]</t>
  </si>
  <si>
    <t>COG0166</t>
  </si>
  <si>
    <t>Glucose-6-phosphate isomerase (Pgi) (PDB:1B0Z)</t>
  </si>
  <si>
    <t>M00001|M00004|M00892|M00909</t>
  </si>
  <si>
    <t>Glycolysis (Embden-Meyerhof pathway), glucose =&gt; pyruvate|Pentose phosphate pathway (Pentose phosphate cycle)|UDP-N-acetyl-D-glucosamine biosynthesis, eukaryotes, glucose =&gt; UDP-GlcNAc|UDP-N-acetyl-D-glucosamine biosynthesis, prokaryotes, glucose =&gt; UDP-GlcNAc</t>
  </si>
  <si>
    <t>KEGG Orthology (KO)&gt;&gt;&gt;09100 Metabolism&gt;&gt;&gt;09101 Carbohydrate metabolism&gt;&gt;&gt;00010 Glycolysis / Gluconeogenesis [PATH:ko00010]|KEGG Orthology (KO)&gt;&gt;&gt;09100 Metabolism&gt;&gt;&gt;09101 Carbohydrate metabolism&gt;&gt;&gt;00030 Pentose phosphate pathway [PATH:ko00030]|KEGG Orthology (KO)&gt;&gt;&gt;09100 Metabolism&gt;&gt;&gt;09101 Carbohydrate metabolism&gt;&gt;&gt;00500 Starch and sucrose metabolism [PATH:ko00500]|KEGG Orthology (KO)&gt;&gt;&gt;09100 Metabolism&gt;&gt;&gt;09101 Carbohydrate metabolism&gt;&gt;&gt;00520 Amino sugar and nucleotide sugar metabolism [PATH:ko00520]|Enzymes&gt;&gt;&gt;5. Isomerases&gt;&gt;&gt;5.3  Intramolecular oxidoreductases&gt;&gt;&gt;5.3.1  Interconverting aldoses and ketoses, and related compounds&gt;&gt;&gt;5.3.1.9  glucose-6-phosphate isomerase|Exosome&gt;&gt;&gt;Exosomal proteins&gt;&gt;&gt;Exosomal proteins of haemopoietic cells  (B-cell, T-cell, DC-cell, reticulocyte, and mast cell)|Exosome&gt;&gt;&gt;Exosomal proteins&gt;&gt;&gt;Exosomal proteins of other body fluids (saliva and urine)|Exosome&gt;&gt;&gt;Exosomal proteins&gt;&gt;&gt;Exosomal proteins of colorectal cancer cells</t>
  </si>
  <si>
    <t>------------------MSNSTTDGDNTVINLPQWKALEDAYARISNTTLRELFAADPERASRMTFDAAGLHVDLSKNLVDQDTIDKLIALAEACNLAESREKMFEGVHINNTEDRAVLHTALRLPVDQELTVDGQDVAADVHEVLGRMRDFAHALRSGEWLGYTGHTIKTIVNIGIGGSDLGPAMAVQALRSEATAGISARFVSNVDPADMVATLDGLDPASTLFIVASKTFTTQETLANAHAAKRWIIDAF-</t>
  </si>
  <si>
    <t>-------------------------MASDITSTTQWKALENHHNSLREVTLRELFDADPSRASTLTFNAAGLHVDLSKNRVNDETLALLIDLANAAGLKEKTEAMFTGAHLNNTEDRAVLHTALRLPVEEDLVVDSQDVAADVHDVLGRMRDFAHALRSGDWLGHTGHTIKTIVNIGIGGSDLGPAMATLALREYATAGITARFVSNVDPADLVSKLDGLDPGSTLFVVASKTFTTQETLANATAARRWLLDAFD</t>
  </si>
  <si>
    <t>MRPSYMGMRYALRHYFPQFEMERISMTTDITTTDAWAKVAQAQQSLAQKTLRELFDADPQRGEKLSFTAADLHVDLSKNLVDDSTRDALIELAQAAGLSERIEAMFRGDKINNTENRSVLHTALRLPVTEDLVVDGQDVAADVHEVLSRMRDFATSLRSGAWLGYTGHTIKTVVNIGIGGSDLGPAMATRALRTYATAGISAKFVSNVDPADIISVLDECDPESTLFVVASKTFTTQETLTNAHAAKRWLVEKL-GTEEAVAKHFVAVSTNAEKVAAFGIDTKNMFGFWEWVGGRYSVDSAIGLSLMAVIGPQDFMRFLEGMHAMDVHFRSTPLAENVPVLMGLLGVLYNDFFGAQTHAVLPYSEDLGRFPAYLQQLTMESNGKSVRRDGTAVTVNTGEIYWGEPGTNGQHAFFQLMHQGTKLVPADFIGFARPKQDLPTADGTGSMHDLLMSNFFAQTKVLAFGKTAEEIAAEGVAPAVVPHKVMPGNRPSTTIMAEELTPAVLGMLIALYEHITFVEGTIWDINSFDQWGVELGKQQANDLAPAVSGAVKVDSGDSSTDTLISWYREHRN</t>
  </si>
  <si>
    <t>-------------------------MTTDITTTDAWAKVAQAQQSLAQKTLRELFDADPQRGEKLSFTAADLHVDLSKNLVDDSTRDALIELAQAAGLSERIEAMFRGDKINNTENRSVLHTALRLPVTEDLVVDGQDVAADVHEVLSRMRDFATSLRSGAWLGYTGHTIKTVVNIGIGGSDLGPAMATRALRTYATAGISAKFVSNVDPADIISVLDECDPESTLFVVASKTFTTQETLTNAHAAKRWLVEKL-</t>
  </si>
  <si>
    <t>GC_00000859</t>
  </si>
  <si>
    <t>PF03631.20</t>
  </si>
  <si>
    <t>Virulence factor BrkB</t>
  </si>
  <si>
    <t>K07058</t>
  </si>
  <si>
    <t>membrane protein</t>
  </si>
  <si>
    <t>COG1295</t>
  </si>
  <si>
    <t>Uncharacterized membrane protein, BrkB/YihY/UPF0761 family (not an RNase) (BrkB)</t>
  </si>
  <si>
    <t>--------MAAITRTASENTDEYGIERVRKNEPGFVDKLRDKWPWFDHIMAMQERYASMGGNQYSAGITYFSVLSMFPILMLVFAAAGFVLAARPETLSDIQMHITDSISGDVGSQINEIIDTAINQRSAIAGIGALTALWSGLNWMNNLRYGVSKIWKLDPSDGNFVVKKLWDLVGLIALLVALIIAFGITAAGSSGLTSILLEYLKLDHIVGIDAITRVIAITVGLIANYLVFFWLIIFLPRGKVPVKSAAKA</t>
  </si>
  <si>
    <t>MTSNNENGTTPTTRPHPRDTDDFGIERVTQDEPGFVDRYRQKWPWFDHIMRMNERYSQMGGSQYSAGITYFSVLSMFPILMLAFAVIAFILAGRPDYVEQVQQHISRMVNGEMGESVNSIIEVAISQRGTIAGLGAFTAVWSGLGWMNNLRYGVSKMWKIDPTRGSAVMMKLKDLLGLVLLFFIFSLAAAIAVLGSSGVSHQVLSFLRIDQSLAFAPLLKVIAILLGVVANFVLCFWLIAYLPRTKVPRRSAFHAAMIAAVAFEVFKQVGSMFFSSALTNPAGATFGPVIGVMVLLYILWQILLYCSAWAATTEESLATAHIDAPEPAVIRIRQEVALV---PEPATSAKMLGIGAALG-LAVSAMWRGVTRTQRR</t>
  </si>
  <si>
    <t>MTSNNENGTTPTTRPHPRDTDDFGIERVTQDEPGFVDRYRQKWPWFDHIMRMNERYSQMGGSQYSAGITYFSVLSMFPILMLAFAVIAFILAGRPDYVEQVQQHISRMVNGEMGESVNSIIEVAISQRGTIAGLGAFTAVWSGLGWMNNLRYGVSKMWKIDPTRGSAVMMKLKDLLGLVLLFFIFSLAAAIAVLGSSGVSHQVLSFLRIDQSLAFAPLLKVIAILLGVVANFVLCFWLIAYLPRTKVPRRSAFHAAMIAAVAFEVFKQVGSMFFSSALTNPAGATFGPIIGVMVLLYILWQILLYCSAWAATTEESLAIAHVDAPEPAVIRIRQEVALV---PEPATSAKMLGIGAALG-LVVSAMWRGVTRTQRR</t>
  </si>
  <si>
    <t>--------MATTTQFNEKYADEYGIERANLDDPSFIDKYRRRWGWFDHLMLMNERYTSIGGNQFAAGITYFSVLSMFPLLMIVFAVAATVLASRPDLLGQINNQLTTSIGGELGKTLHGILISAVDQRGSLYGVGGITALWTGINWMNNLRYAVSKIWNYSIDAKNFIITKLVDLLELVLLLVLLIIAVGITAVGNSGLSRSLLAFLRLDHIPGIGAVTVAVALILGLVANFLVIYTLIKIIPHGEVPRKSAFQG</t>
  </si>
  <si>
    <t>--------MATTTHFNEKYADEYGIERANLDDPGFIDKYRRRWGWFDHLMLMNERYTSIGGNQFAAGITYFSVLSMFPLLMIVFAVAATVLASRPDLLSQINNQLTTSIGGELGKTLHNILITAVDQRGSLYGVGGVTALWTGTNWMNNLRYAISKIWNYSSDAKNFVITKLVDLLELVLLLVLLIVAVGITAVGNSGLSRSLLAFLRLDHIPGIGAVTVAVALILGLVANFLVIYTLIKIIPHGEVPRKSAFQG</t>
  </si>
  <si>
    <t>GC_00000860</t>
  </si>
  <si>
    <t>MRPVPEGDSVYQLARRLRFVEGCEVTHTSIRVPNYAVASFDGSRCRRVWPYGKHLFMQFDEQILHTHLKMEGTWAFHPAGTRWKKPGYTARVVLRLRSQALAARGFDEVELVGHSLGFVKVYDAAELEAHTGHLGPDVLGAQWEPQGRDEAVRRVLARPERSVGAALMDQTNLAGIGNEYRAEICFLCGVHPETTVAAVGEAGVDKLVDTSRALMWANKDSPLRVTTGVRRPGENGYVFGRYSKPCRRCGALIEKSTLGG-DDPLAPGELERIIWWCPRCQPLLG</t>
  </si>
  <si>
    <t>GC_00000861</t>
  </si>
  <si>
    <t>---------------------------MDDMRIVNWNVNSARTRVDRMTDFLQRHDVDVLAVQETKCTDAQFPYLAFEALGYEVAHYGLNQWNGVAIISRVGI--DDVRTSFPGQPGFAKDPSAPQDVEARAIGAFCGGVDIWSLYVPNGREIADRHYDYKLRWLYALGNYASTRL-------DVPAVFLGDYNIAPRDEDVWDMAFFEGKTHVTEPERAAFDDLLDLGLSETTRQFTEGGYTYWDYKSGRFGKN</t>
  </si>
  <si>
    <t>MRHGRVHTTETYGSSDEFPRGVPQAARVDDMRIVNWNVNSARTRVDRMTDFLQRHDVDVLAVQETKCTDAQFPYLAFEALGYEVAHYGLNQWNGVAVISRVGI--DNVRTSFPGQPGFAKDPAAPQDVEARAIGALCGGVDVWSLYVPNGREIADRHYDYKLRWLYALGNYASTRL-------DVPAVFLGDYNIAPRDEDVWDMAFFEGKTHVTEPERAAFDDLLDLGLSETTRQFSEGGYTYWDYKSGRFGKNEGMRIDFQLATPLL--TPIGGFIDVEERSTKGASDHAPVVVDYE-----VGGDASGASKA-----------------SGEDTP-</t>
  </si>
  <si>
    <t>------------------------------MRIANWNVNSVRTRVDRIVAALARLDIDVLLVQETKCKDKQFPFDAF--PGYEIAHHGLNQWNGVAILSRVGL--ADIQTSFPHQPGFAKDPKKPQNLEARAISADCGGVRVWSLYVPNGRAIADRHYDYKLRWLDALARHVEDQAGDPEQPSSQPLVLGGDFNIAPTDANVWDITAFIDHTHVTEAERQAFAGLIEASLT-VTSPTSG--YSYWDYKAGRFPKN</t>
  </si>
  <si>
    <t>------------------------------MRIANWNVNSVRTRVDRIVAALARLDIDVLLVQETKCKDKQFPFDAF--PGYEIAHHGLNQWNGVAILSRVGL--ADIQTSFPHQPGFAKDPKKPQNLEARAISADCGGVRVWSLYVPNGRAIADRHYDYKLRWLDALARHVEDQAGDPEQPSSQPLVLGGDFNIAPTDANVWDITAFIDHTHVTEAERQAFAGLIEAGLT-VTSPTSG--YSYWDYKAGRFPKN</t>
  </si>
  <si>
    <t>GC_00000862</t>
  </si>
  <si>
    <t>K03521</t>
  </si>
  <si>
    <t>electron transfer flavoprotein beta subunit</t>
  </si>
  <si>
    <t>COG2086</t>
  </si>
  <si>
    <t>Electron transfer flavoprotein, alpha and beta subunits (FixA) (PDB:5OL2)</t>
  </si>
  <si>
    <t>MSTIFVLVKHVPDTWSTKTLNPDFTLHREGVDEVIDEINEYAVEQALRLKESLGESTVVALSMGAPSSEEALRKALAMGADHAVLLSDPALAGSDALGTVWALNCAIDAAAQTFGAPDVIIAGNASSDGSMGVVPGVLSEYRQVPALTNVREISVDGGVIKAVREDHSGTYQLSAPMPLVISVTEKNDKPRFPNFKGIMAAKKAEIVRLSLADTAAEATQVGLANAATVVTAAANRPERSGGRIVRGEQG------VEELVA--FLKDRI</t>
  </si>
  <si>
    <t>MPTIVVLVKNVPDSWSEHSLNPDYTLDRESVTEVIDEINEYAVEKALALRDSNEGFRVVTLSAGPERAEDALRKALAMGADEAVLLVDDALKGSDALGTAWALHNAINAIDDV----QLIVTGVASSDGATGALPGIIAEYRQIPALTSLRSCDLVDGKLTGIREVMEGEYTLEAPLPALVSVTEKSDKPRFANFQGIRAAKAATIRHLSLADIGVAPEHVGLAHAATTVHSAETRPERSQGQIVVD-HGDAATVIADFLAAEKFI----</t>
  </si>
  <si>
    <t>MPTIVVLVKNVPDSWSEHSLNPDYTLDRESVTEVIDEINEYAVEKALALRDSNEGFRVVALSAGPERAEDALRKALAMGADEAVLLVDDALKGSDALGTAWALHNAINTIDDV----QLIVTGVASSDGATGALPGIIAEYRQIPALTSLRSCDLVDGKLTGIREVMEGEYTLEAPLPVLVSVTEKSDKPRFANFQGIRAAKAATIRHLSLADIGVAPEHVGLAHAATTVHSAETRPERSQGQIVVD-HGDAATVIADFLAAEKFI----</t>
  </si>
  <si>
    <t>MPAIVVLVKNVPDTWSTKSLTADFTLDREAADNVIDEINEFAVEQALRLREANPEFTVVALSAGPAGSEEALRKALAMGADDAVLLIDDALAGSDILGTAWALTNALQQIPDV----SLIISGVASSDAGTGALTGVLAEYRNQPALTACNSVSIESGVVKGVRETAEGHFNIEAPLPAIVSVTDQADKPRFPNFKGIMAAKKAEIRQLELADIGVDPQQVGLGYASTAVTAAVTRPVRTQGEIIRDEPAAAAARIVDYLVAEKLISDQK</t>
  </si>
  <si>
    <t>MPAIVVLVKNVPDTWSTKSLTADFTLDREAADNVIDEINEFAVEQALRLREANPEFTVVALSAGPAGSEEALRKALAMGADDAVLLIDDALAGSDILGTAWALTNALQQIPDV----SLIISGVASSDAGTGALTGVLAEYRNQPALTACNSVSIESGVVKGVRETAEGHFNIEAPLPAIVSVTDQADKPRFPNFKGIMAAKKAEIRQLELADIGVDPQQVGLGYASTAVTAAVTRPVRTQGEIIRDEPAAAATRIVDYLVAEKLISDQK</t>
  </si>
  <si>
    <t>GC_00000863</t>
  </si>
  <si>
    <t>K00563</t>
  </si>
  <si>
    <t>23S rRNA (guanine745-N1)-methyltransferase [EC:2.1.1.187]</t>
  </si>
  <si>
    <t>Enzymes&gt;&gt;&gt;2. Transferases&gt;&gt;&gt;2.1  Transferring one-carbon groups&gt;&gt;&gt;2.1.1  Methyltransferases&gt;&gt;&gt;2.1.1.187  23S rRNA (guanine745-N1)-methyltransferase|Ribosome biogenesis&gt;&gt;&gt;Prokaryotic type&gt;&gt;&gt;rRNA modification factors&gt;&gt;&gt;23S rRNA modification factors</t>
  </si>
  <si>
    <t>MLTDIIDVLADPTDGSSLRIADDGTRIVSDTGHSYDIARQGYVTLAGGEGLRYSGDDAAMIASRETFLSQGHFAQFVEAMTANVHTALDSRESTNDDDEFDAPVTLCEIGAGTGYYLAHSLDDIMGSRGVGIDISIPAAKRLAQSHPRVGAVVADAWSRLPIADNSVDVVTVVFAPRNAQEFARILKPGGQVVVLTADTGHLGELREPLGIIDVEKGKVERMIQQASGFLTPVGEQENVEFTMSLDQASIAAQIGMSPSARHIHPEVLQERIAALPAHMDVTARACITRFEVAS---</t>
  </si>
  <si>
    <t>MLKDIIDLLADPVDGTDLHGADEFTRLVSDSGHSYDVARQGYVTLAGGAGLRYSGDDATMIKDRETFLSRGHYAPFVESVTHNVDLALD--DAGVDD---DAAVSICEIGAGTGYYLSHTLDAIQGARGVGIDVSVHAAKHLAKCHPRVGAVVADAWARLPLRDDSIDAITVIFAPRNAAEFARVLKAGGQVIVLTADTGHLAELREPLGIIDVEKGKVERMIEQASGHLRPVTEPQLVEFSMTLDQPSIAAQIGMSPSARHIHPDLLAQRIAALPMHMTVTARAKVTRLARIED--</t>
  </si>
  <si>
    <t>MLKDIIDLLADPVDGTDLYGADEFTRLVSDSGHSYDVARQGYVTLAGGAGLRYSGDDATMIKDRETFLSRGHYAPFVESVTHNVDLALD--DAGVDD---DAAVSICEIGAGTGYYLSHTLDAIQGARGVGIDVSVHAAKHLAKCHPRVGAVVADAWARLPLRDDSIDAITVIFAPRNAAEFARVLKAGGQVIVLTADTGHLAELREPLGIIDVEKGKVERMIEQASGHLRPVTEPQLVEFSMTLDQPSIAAQIGMSPSARHIHPDLLAQRIAALPMHMTVTARAKVTRLARIED--</t>
  </si>
  <si>
    <t>MIKDIIDVLADPIDGTALTGNDDFTQLISESGHAYDVAPAGYITLAGDNGLRYSGDDLSMITARETFLSHGHFAPFVEAVSTTIEDLFD--DIGLPD---DAQPVITEVGAGTGYYLSHVLDSVAGARGIGIDVSTHAAELLAVCHPRVGAVVADVWFRLPIRDASVDAIAVVFAPRNAAEFARILKPQGEVIVVTPNHGHLAELRRPLGIADIEEGKLDRMIAQAAEHLVPVADSTTIEFVMNLDQQSIATQIGMSPSARHIHPDILAERIATLPDTMQVTARASVTRLRRAHQDY</t>
  </si>
  <si>
    <t>MIKDIIDVLADPIDGTALTGNDDFTQLISESGHVYDVAPAGYITLAGDNGLRYSGDDLSMITARETFLSHGHFAPFVEAVSTTIEDLFD--DIGLPD---DAQPVITEVGAGTGYYLSHVLDSVAGARGIGIDVSTHAAELLAVCHPRVGAVVADVWSRLPIRDASVDAIAVVFAPRNAAEFARILKPQGEVIVVTPNHGHLAELRRPLGIADIEEGKLDRMIAQAAEHLVPVADSTTIEFVMNLDQQSIATQIGMSPSARHIHPDILAERIATLPDTMQVTARASVTRLRRVHQDY</t>
  </si>
  <si>
    <t>GC_00000864</t>
  </si>
  <si>
    <t>PF02786.22</t>
  </si>
  <si>
    <t>Carbamoyl-phosphate synthase L chain, ATP binding domain</t>
  </si>
  <si>
    <t>E|F</t>
  </si>
  <si>
    <t>Amino acid transport and metabolism|Nucleotide transport and metabolism</t>
  </si>
  <si>
    <t>K01955</t>
  </si>
  <si>
    <t>carbamoyl-phosphate synthase large subunit [EC:6.3.5.5]</t>
  </si>
  <si>
    <t>COG0458</t>
  </si>
  <si>
    <t>Carbamoylphosphate synthase large subunit (CarB) (PDB:1C30)</t>
  </si>
  <si>
    <t>M00051|M00978</t>
  </si>
  <si>
    <t>De novo pyrimidine biosynthesis, glutamine (+ PRPP) =&gt; UMP|Ornithine-ammonia cycle</t>
  </si>
  <si>
    <t>Pathway modules; Nucleotide metabolism; Pyrimidine metabolism|Pathway modules; Amino acid metabolism; Arginine and proline metabolism</t>
  </si>
  <si>
    <t>KEGG Orthology (KO)&gt;&gt;&gt;09100 Metabolism&gt;&gt;&gt;09104 Nucleotide metabolism&gt;&gt;&gt;00240 Pyrimidine metabolism [PATH:ko00240]|KEGG Orthology (KO)&gt;&gt;&gt;09100 Metabolism&gt;&gt;&gt;09105 Amino acid metabolism&gt;&gt;&gt;00250 Alanine, aspartate and glutamate metabolism [PATH:ko00250]|KEGG Orthology (KO)&gt;&gt;&gt;09100 Metabolism&gt;&gt;&gt;09105 Amino acid metabolism&gt;&gt;&gt;00220 Arginine biosynthesis [PATH:ko00220]|Enzymes&gt;&gt;&gt;6. Ligases&gt;&gt;&gt;6.3  Forming carbon-nitrogen bonds&gt;&gt;&gt;6.3.5  Carbon-nitrogen ligases with glutamine as amido-N-donor&gt;&gt;&gt;6.3.5.5  carbamoyl-phosphate synthase (glutamine-hydrolysing)</t>
  </si>
  <si>
    <t>MPKRNDINHVLVIGSGPIVIGQACEFDYSGTQACRVLKEEGLRVTLINSNPATIMTDPEFADHTYVEPIQPEYIEKIFEREIEQGHPIDAVLATLGGQTALNAAIALDRRGSLKKYNVELIGADIDAIERGEDRQKFKDIVAKIGGESARSRVCHNMDEVRETVAELGLPVVVRPSFTMGGLGSGLAFTEEDLERIAGGGLAASPEANVLIEESILGWKEYELELMRDANDNCVVVCSIENVDALGVHTGDSVTVAPSMTLTDREFQIMRNQGIAILREVGVDTGGCNIQFAINPTDGRLITIEMNPRVSRSSALASKATGFPIAKIAAKLAIGYTLDEITNDITGVTPAAFEPTLDYVVVKAPRFAFEKFVGADDTLTTTMKSVGEAMALGRNYIAALGKVMRSLENKQNGFWTVPDESFAGERAGDKAAVLEDLKRPTEGRLYDAELALRLGATVDEVYEASGIDPWFLAELKNLVDFRQVLIDAPVLDQDLLRTAKYFGLSDKQIAALRPEFAGEDGVRRLRWSLGIRPVFKTVDTCAAEFEAKTPYHYSAYELDPAAESEVAPQTEREKVIILGSGPNRIGQGIEFDYSCVHAALELSRVGYETVMVNCNPETVSTDYDTADRLYFEPLTFEDVMEVYHAECESGTVAGVIVQLGGQTPLGLAERLRDAGVPVVGTSPEAIDLAEDRGEFGEVLRKAQLPAPAFGTATSFAEAKAVAEGIGYPVLVRPSYVLGGRGMEIVYDEASLEDYINRATEITSDHPVLVDRFLDNAIEIDVDALCDGENVYLAGVMEHIEEAGIHSGDSACALPPMTLGEEDIANVRRSTEALAHGIGVKGLMNVQFALKDDILYVIEANPRASRTVPFVSKATGVPLAKAASRIMLGATIPELQAEGMIPTDHDGGSLPLDAPIAVKEAVLPFNRFRTPEGHMLDTLLSPEMKSTGEVMGLADNFGTAYGKAEAGAYGALPTEGTVFVSVANRDKRTLIFPIQRLAALGFRMLATAGTARMLRRNGVECETVFKQSDIKRMQESGENPEARSIVDIIKAGEVDLILNTPAGSSGARHDGYDIRAAAVNGGVTLVTTVQGVTAAVQGIEALRAGDLSVRALQEIDHSGDKAPEEQVQA----------</t>
  </si>
  <si>
    <t>MPQRTDINHVLVIGSGPIVIGQACEFDYSGTQACRVLKEEGLRVTLINSNPATIMTDPEFADHTYVEPIQPEYIEKIFEAEIAAGHPIDAVLATLGGQTALNAAIALDRRGSLDKYNVELIGADIDAIERGEDRQKFKDIVAKIGGESARSRVCHTMDEVRETVTELGLPVVVRPSFTMGGLGSGLAFTNEDVERIAGGGLAASPEANVLIEESILGWKEYELELMRDANDNCVVVCSIENVDALGVHTGDSVTVAPAMTLTDREFQIMRNQGFAILREVGVDTGGCNIQFAVNPRDGRLITIEMNPRVSRSSALASKATGFPIAKIAAKLAIGYTLDEITNDITGVTPAAFEPTLDYVVVKAPRFAFEKFTGADDTLTTTMKSVGEAMALGRNYIAALGKVMRSLENKQAGFWTVPDETFAGDRATDVSAVLADLKRPTEGRIYDAELALRLGATVDEVYAASGIDPWFLAELKALVDFRAELVDAPVLTEELLRTAKYNGLSDRQIAALRPEFAGEEGVRRLRWSLGIRPVFKTVDTCAAEFEAQTPYHYSAYELDPAAESEVTRQTEREKVIILGSGPNRIGQGIEFDYSCVHAALELSRVGYETVMVNCNPETVSTDYDTADRLYFEPLTFEDVMEVYHAESQSGTVAGVIVQLGGQTPLGLAEKLRNAGVPVVGTTPEAINLAEDRGEFGEVLRTAGLPAPAFGTATSFEQARDVAEKIGYPVLVRPSYVLGGRGMEIVYDERSLRNYIERATEITSDHPVLVDRFLDNAIEIDVDALCDGTDVYLAGVMEHIEEAGIHSGDSACALPPMTLGTEDINKVRESTAALAHGIGVRGLINVQFALKDDILYVIEANPRASRTVPFVSKATGVPLAKAASRIMLGATIAELQEEGIIPTSHDGGSLPLDAPIAVKEAVLPFTRFRRPDGSMLDSLLSPEMKSTGEVMGLADNFGAAYAKAEAGAFGELPTSGTVFVSVANRDKRTLIFPIQRLASLGFTMLATAGTAGMLRRNGIPCETVLKHSDI-KAGTDG-----VSIVDRIKNGEVDLILNTPAGSAGARHDGYDIRAAAVNVGIPLVTTVQGVTAAVQGIEALRAGELSVRALQELDYTED-------------------</t>
  </si>
  <si>
    <t>MPQRTDINHVLVIGSGPIVIGQACEFDYSGTQACRVLKEEGLRVTLINSNPATIMTDPEFADHTYVEPIQPEYIEKIFEAEIAAGHPIDAVLATLGGQTALNAAIALDRRGSLDKYNVELIGADIDAIERGEDRQKFKDIVAKIGGESARSRVCHTMDEVRETVDELGLPVVVRPSFTMGGLGSGLAFTNEDVERIAGGGLAASPEANVLIEESILGWKEYELELMRDANDNCVVVCSIENVDALGVHTGDSVTVAPAMTLTDREFQIMRNQGFAILREVGVDTGGCNIQFAVNPRDGRLITIEMNPRVSRSSALASKATGFPIAKIAAKLAIGYTLDEITNDITGVTPAAFEPTLDYVVVKAPRFAFEKFTGADDTLTTTMKSVGEAMALGRNYIAALGKVMRSLENKQAGFWTVPDEAFAGDRATDVSAVLADLKRPTEGRIYDAELALRLGATVDEVYAASGIDPWFLAELKALVVFRAELVDAPVLTEELLRTAKYNGLSDRQIAALRPEFAGEEGVRRLRWSLGIRPVFKTVDTCAAEFEAQTPYHYSAYELDPAAESEVTRQTEREKVIILGSGPNRIGQGIEFDYSCVHAALELSRVGYETVMVNCNPETVSTDYDTADRLYFEPLTFEDVMEVYHAESQSGTVAGVIVQLGGQTPLGLAEKLRNAGVPVVGTTPEAINLAEDRGEFGEVLRTAGLPAPAFGTATSFEQARDVAEKIGYPVLVRPSYVLGGRGMEIVYDEHSLRNYIERATEITSDHPVLVDRFLDNAIEIDVDALCDGTDVYLAGVMEHIEEAGIHSGDSACALPPMTLGTEDINKVRESTAALAHGIGVRGLINVQFALKDDILYVIEANPRASRTVPFVSKATGVPLAKAASRIMLGATIAELQEEGMIPTSHDGGSLPLDAPIAVKEAVLPFTRFRRPDGSMLDSLLSPEMKSTGEVMGLADNFGAAYAKAEAGAFGELPTSGTVFVSVANRDKRTLIFPIQRLASLGFTMLATAGTAGMLRRNGIPCETVLKHSDI-KAGTDG-----VSIVDRIKNGEVDLILNTPAGSAGARHDGYDIRAAAVNVGIPLVTTVQGVTAAVQGIEALRAGELSVRALQELDYTED-------------------</t>
  </si>
  <si>
    <t>MPKRNDINHVLVIGSGPIVIGQACEFDYSGTQACRVLKEEGMRVTLINSNPATIMTDPEFADHTYVEPIEAEYIERIFEKEIAQGHPIDAVLATLGGQTALNAAIQLDRRGSLKNYNVELIGADIDAIERGEDRQKFKDIVAKIGGESARSRVCHTMDEVHETVAELGLPVVVRPSFTMGGLGSGLAFTPEDLERIAGGGLAASPEANVLIEESILGWKEYELELMRDGADNVVVICSIENVDALGVHTGDSVTVAPAMTLTDREYQKMRDQGIAIIREVGVDTGGCNIQFALNPTTGRLITIEMNPRVSRSSALASKATGFPIAKIAAKLAIGYTLDEITNDITGITPAAFEPTLDYVVVKAPRFAFEKFVGADDTLTTTMKSVGEAMALGRNYIAALGKVMRSLENKQAGFWTIPDETFAGDRATNIDAILADLNRPTEGRMYDVELALRLGATIDQVHQASGIDPWFLAELSNLVQFRDELVTARVLDEHLLRRAKYYGLSDRQIAALRPEFAGEDGVRRLRWSLGIRPVFKTVDTCAAEFEATTPYYYSSYELDPAAETEVTPQTTKEKIIILGSGPNRIGQGIEFDYSCVHAALELSRVGYETVMVNCNPETVSTDYDTADRLYFEPLTFEDVMEVYHAETQSGTVAGVIVQLGGQTPLGLAEKLRDAGVPVIGTTPEAINLAEDRGEFGEVLHAANLPAPAFGTATSFAEAKNVANHIGYPVLVRPSYVLGGRGMEIVYDEPSLADYIQRATEITSDHPVLVDRFLDNAIEIDVDALCDGTDVYLAGVMEHIEEAGIHSGDSACALPPMTLGPEDIDKVRASTVALAHGIGVHGLMNVQFALKDDILYVIEANPRASRTVPFVSKATGVHLAKAAARIMTGTTIAQLKAEGLIPTDYDGGSLPLDAPIAVKEAVLPFNRFRRPDGTSLDTLLSPEMKSTGEVMGLADNFGAAYAKAEQAAFGALPTTGTVFVSVANRDKRTLIFPIQRLASLGFTMLATTGTAAMLRRNGVQCETVLKHSDVAQPGDNR-----KSIVDLIRAGEVDLILNTPAGSAGARHDGYGIRAAAVNVGVPLITTVQGVTAAVQGIEALQRGGLGVRALQELDHSPKHAAYVAAKTAAEDSTGKGE</t>
  </si>
  <si>
    <t>MPKRNDINHVLVIGSGPIVIGQACEFDYSGTQACRVLKEEGMRVTLINSNPATIMTDPEFADHTYVEPIEAEYIERIFEKEIAQGHPIDAVLATLGGQTALNAAIQLDRRGSLKNYNVELIGADIDAIERGEDRQKFKDIVAKIGGESARSRVCHTMDEVHETVAELGLPVVVRPSFTMGGLGSGLAFTPEDLERIAGGGLAASPEANVLIEESILGWKEYELELMRDGADNVVVICSIENVDALGVHTGDSVTVAPAMTLTDREYQKMRDQGIAIIREVGVDTGGCNIQFALNPTTGRLITIEMNPRVSRSSALASKATGFPIAKIAAKLAIGYTLDEITNDITGITPAAFEPTLDYVVVKAPRFAFEKFVGADDTLTTTMKSVGEAMALGRNYIAALGKVMRSLENKQAGFWTIPDETFAGDRATNIDAILADLNRPTEGRMYDVELALRLGATIDQVHQASGIDPWFLAELSNLVQFRDELVTARVLDEHLLRRAKYYGLSDRQIAALRPEFAGEDGVRRLRWSLGIRPVFKTVDTCAAEFEATTPYYYSSYELDPAAETEVTPQTTKEKIIILGSGPNRIGQGIEFDYSCVHAALELSRVGYETVMVNCNPETVSTDYDTADRLYFEPLTFEDVMEVYHAETQSGTVAGVIVQLGGQTPLGLAEKLRDAGVPVIGTTPEAINLAEDRGEFGEVLHAANLPAPAFGTATSFAEAKNVANHIGYPVLVRPSYVLGGRGMEIVYDEPSLADYIQRATEITSDHPVLVDRFLDNAIEIDVDALCDGTDVYLAGVMEHIEEAGIHSGDSACALPPMTLGPEDIDKVRASTVALAHGIGVHGLMNVQFALKDDILYVIEANPRASRTVPFVSKATGVHLAKAAARIMTGTTIAQLKAEGLIPTDYDGGSLPLDAPIAVKEAVLPFNRFRRPDGTSLDTLLSPEMKSTGEVMGLADNFGAAYAKAEQAAFGALPTTGTVFVSVANRDKRTLIFPIQRLASLGFTMLATTGTAAMLRRNGVQCETVLKHSDVAQPGDTR-----KSIVDLIRAGEVDLILNTPAGSAGARHDGYGIRAAAVNVGVPLITTVQGVTAAVQGIEALQRGGLGVRALQELDHSPKHAAYVAAKTAAEDSTGKGE</t>
  </si>
  <si>
    <t>GC_00000865</t>
  </si>
  <si>
    <t>K27306</t>
  </si>
  <si>
    <t>mycolic acid reductase</t>
  </si>
  <si>
    <t>MPLPSPSPDSRALITGASQGIGMAIARNLAKQGHHVILVARRKDVLEQFAAELTSRYNVTAEVFPCDLSDEQQRHKLIADIKDRDISIIINSAGIASFGPFMDQEWEYETNQFELNATAVFELTRAVLPRMLANRKGAILNVGSAAGNLPIPNNATYVFTKAGVNVFTEALHYELKGSGVSCTLLAPGPVRDAVIPEEEKSIVDKVVPDFLWTTYESCAKESLEALAKNKRRVVPGPLSKVLNVASLVAPRGIASPLIGSFYKKMS-</t>
  </si>
  <si>
    <t>MPLPSPSPDSRALITGASQGIGMAIARDLAKQGHHVILVARRKDVLEQFAAELTSRYNVTAEVFPCDLSDEQQRHKLIADIKDRDISIIINSAGIASFGPFMDQEWEYETNQFELNATAVFELTRAVLPRMLANRKGAILNVGSAAGNLPIPNNATYVFTKAGVNVFTEALHYELKGSGVSCTLLAPGPVRDAVIPEEEKSIVDKVVPDFLWTTYESCAKESLEALAKNKRRVVPGPLSKVLNVASLVAPRGIASPLIGSFYKKMS-</t>
  </si>
  <si>
    <t>MTLPAPSIDARALVTGASQGIGMAIARDLAKLGHNLILVARRADILAQLADELERKHSIIAEVYPCDLADTDQLHKLIDDIRDRNINIIINSAGIASFGPFINQDWNYETTQFALNATAVFELTHAVLPGMIRRKTGAICNVGSAAGNIPIPNNATYVLTKAGVNAFTEALHYELKNTGVSCTLLAPGPVRDAIIPENEKSIVDKVVPDVLWTTYESCAKETLEAMAKNRRRVVPGPLSKAMNVVSSVAPTRVLSPVMGWFYKKMS-</t>
  </si>
  <si>
    <t>MTLPAPSIDARALVTGASQGIGMAIARDLAKLGHNLILVARRADILAQLADELERKHSIIAEVYPCDLADPDQLHKLIDDIRDRNINIIINSAGIASFGPFINQDWNYETTQFALNATAVFELTHAVLPGMIRRKTGAICNVGSAAGNIPIPNNATYVLTKAGVNAFTEALHYELKNTGVSCTLLAPGPVRDAIIPENEKSIVDKVVPDVLWTTYESCAKETLEAMAKNRRRVVPGPLSKAMNVVSSVAPTRVLSPVMGWFYKKMS-</t>
  </si>
  <si>
    <t>GC_00000866</t>
  </si>
  <si>
    <t>L|K</t>
  </si>
  <si>
    <t>Replication, recombination and repair|Transcription</t>
  </si>
  <si>
    <t>K03723</t>
  </si>
  <si>
    <t>transcription-repair coupling factor (superfamily II helicase) [EC:5.6.2.4]</t>
  </si>
  <si>
    <t>COG1197</t>
  </si>
  <si>
    <t>Transcription-repair coupling factor (superfamily II helicase) (Mfd) (PDB:2EYQ)</t>
  </si>
  <si>
    <t>KEGG Orthology (KO)&gt;&gt;&gt;09120 Genetic Information Processing&gt;&gt;&gt;09124 Replication and repair&gt;&gt;&gt;03420 Nucleotide excision repair [PATH:ko03420]|Enzymes&gt;&gt;&gt;5. Isomerases&gt;&gt;&gt;5.6  Isomerases altering macromolecular conformation&gt;&gt;&gt;5.6.2  Enzymes altering nucleic acid conformation&gt;&gt;&gt;5.6.2.4  DNA 3'-5' helicase|DNA repair and recombination proteins&gt;&gt;&gt;Prokaryotic type&gt;&gt;&gt;SSBR (single strand breaks repair)&gt;&gt;&gt;NER (nucleotide excision repair)&gt;&gt;&gt;TCR (transcription coupled repair) factors&gt;&gt;&gt;TRCF (transcription-repair coupling factor)</t>
  </si>
  <si>
    <t>--------------MTAAFSMAVKAP--LSGLLKAVASSTTFKGIVPNLDEQRLAITGPEQVRPWLVGVMAGAQDRPVLVVTANGREAEDLASELSSMLGDVVDLFPSWETLPHERLSPGVDIVGHRARVLDRLGAGQCRVVVAAARALSQPIVDTAIK----VIELRVDQECLGLADRLTHAGYHHVDLVAKRGEFATRGGIIDVFPTTADFPVRVEFWGDEVSDLRPFSVADQRTLTLPEGEELREVQVYPCR</t>
  </si>
  <si>
    <t>MSDPSYIVGQVSTQNSSHTTKHATTP-MLAGLLSTAVTDPKLTGLLTHIGEPYLHITGIAQSRPWTVAAI--AQRAPVLLVTATGREAEDVTAELRAMMGESVAWFPSWETLPHERLSPGVDIVGQRAEVLHKL--PELKVVVAAARAFCQPILSSAPGRDPLVVEVDREYSFEDITRDLVFRGYSHVDMVGKRGEFATRGGIIDIFPTTLDYPVRIEFWGDEVTDIRQFSVADQR--TIPD-IEVARVEVYPCRELLVTDEVSRRAQQLAVQHPGNPTLVELLTKLADGTPADGMEALIPALID---APLTPLPALMPQGTHVVLLDPEKIRTRIADLEATDAEFLAAGWEAAAMGASGPVAAEGLDLSASSYRSYKSLEISTTKAGNSWWTFAPEGMFAADETDT---LPLAFQPAPAPRGDVAQIDAMMAELLEHTRKGGPVAYIAPGAGPIKRMVERFADKGIPTSVATPGAQPTGGEVTLYQALSHAGLVF---DSSGG----QLIVITETDLTGNRVGDIAGAKRRPAKRRHKVDPLALKTGDLVVHETHGIGRFVKMTERTINTGDETSRREYVVLEYAPSRRGAPADQLYVPMDSLDMLSRYVGGEKPTLSKMGGSDWKNTKKKARAAVREIAGELVELYAKRQAAPGHAFAADSPWQREMEDNFPFVETEDQMLAIDAVKGDMERAVPMDRVIVGDVGYGKTEVAVRAAFKAVQDGKQVAVLVPTTLLAQQHLATFEQRMDGFPVTIRGLSRFTSNADAKKITQGLADGTVDIVIGTHRLLQTGVQWKNLGLVVVDEEQRFGVEHKEHIKALRTHVDVLTMSATPIPRTLEMSMAGIREMSTILTPPEDRHPVLTYVGAQEDKQIAASIRRELLRDGQVFYVHNKVASIDKRARELRELVPEARIVVAHGQMSEDLLEQTVQGFWARDYDVLVCTTIVETGLDIANANTLIVENAHHMGLSQLHQLRGRVGRSRERGYAYFLYPKGIELTETSYDRLATIAQNNDLGAGMAVAMKDLEMRGAGNVLGAEQSGHIAGVGFDLYVRLVGEAVEAFRSLADGKVVDGADKAPKEIRVDLPVDAHIPDTYVNSERLRLEVYRALAQSTSETDLRLTVEEMEDRYGPIPVEVSRLLAVARLRHVMRAARLSDVGVQGTRIKVHPVELLDSQQVRLKRLFPGATYRAAAKAIQLPFPKAGRNVTDPQLRDVDLVQWVADFIATMFDVDGIDVTGGGDRDAQGAQKRVISVGGAQGKGKPSRTADRTSRRSRR</t>
  </si>
  <si>
    <t>MSDPSYIVGQVSTQNSSHTTKHATTP-MLAGLLSTVVTDPKLTGLLTHIGEPYLHITGIAQSRPWTVAAI--AQRAPVLLVTATGREAEDVTAELRAMMGESVAWFPSWETLPHERLSPGVDIVGQRAEVLHKL--PELKVVVAAARAFCQPILSSAPGRDPLVVEVDRESSFDDITRELVFRGYSHVDMVGKRGEFATRGGIIDIFPTTLDYPVRIEFWGDEVTDIRQFSVADQR--TIPD-IDVARVEVYPCRELLVTDEVSRCAQQLAVQHPGNPTLVELLTKLADGTPADGMEALIPALID---APLTPLPALMPQGTHVVLLDPEKIRTRIADLEATDAEFLAAGWEAAAMGASGPVAAEGLDLSASSYRSYESLEISTTKAGNSWWTFAPEGMFAADETDT---LPLAFQPAPAPRGDVAQIDAMMAELLEHTRKGGPVAYIAPGAGPIKRMVERFADKGIPTSVATPGAQPTGGEVTLYQALSHAGLVF---DSSDG----QLIVITETDLTGNRVGDIAGAKRRPAKRRHKVDPLALKTGDLVVHETHGIGRFVKMTERTINTGDETSRREYVVLEYAPSRRGAPADQLYVPMDSLDMLSRYVGGEKPTLSKMGGSDWKNTKKKARAAVREIAGELVELYAKRQAAPGHAFAADSPWQREMEDNFPFVETEDQMLAIDAVKGDMERAVPMDRVIVGDVGYGKTEVAVRAAFKAVQDGKQVAVLVPTTLLAQQHLATFEQRMDGFPVTIRGLSRFTSNADAKKITQGLADGTVDIVIGTHRLLQTGVQWKNLGLVVVDEEQRFGVEHKEHIKALRTHVDVLTMSATPIPRTLEMSMAGIREMSTILTPPEDRHPVLTYVGAQEDKQIAASIRRELLRDGQVFYVHNKVASIDKRARELRELVPEARIVVAHGQMSEDLLEQTVQGFWARDYDVLVCTTIVETGLDIANANTLIVENAHHMGLSQLHQLRGRVGRSRERGYAYFLYPKGIELTETSYDRLATIAQNNDLGAGMAVAMKDLEMRGAGNVLGAEQSGHIAGVGFDLYVRLVGEAVEAFRSLADGKVVDGADKAPKEIRVDLPVDAHIPDTYVNSERLRLEVYRALAQSTSETDLRLIVEEMEDRYGPIPVEVSRLLAVARLRHVMRAARLSDVGVQGTRIKVHPVELLDSQQVRLKRLFPGATYRAAAKAIQLPFPKAGRNVTDPQLRDVDLVQWVADFIATMFDVDGIDVTGGGDRDAQAAQKRVISVGGAQGKGKPSRTSDRTSRRSRR</t>
  </si>
  <si>
    <t>----------MSTQPAAPTT--ATTPAMLSGLLKTAATDPKLKGLISHVGDPTLSIATIDQAQPWAIGAL--AHHTPLLVVTATGREAEDLTAELKAMWGDQVAWFPAWETLPHERLSPAADVAGTRAKILHNL--ANLRIVVTAARGVCQPILETTPGRDPLTLTVGHDYDFTELTHHLVFKAYKHVDLVARRGEFATRGGIIDIFPTTGEHPIRAEFWGDELTDLRAFSVADQR--AFPD-LDYPTVDVYPAR</t>
  </si>
  <si>
    <t>----------MSTQPAAPTA--ATTPAMLSGLLKTAATDPKLKGLISHVGDPTLSIATIDQARPWAIGAL--AHHTPLLVVTATGREAEDLTAELKAMWGDQVAWFPAWETLPHERLSPAADVAGTRAKILHNL--ANLRIVVTAARGVCQPILETNPGRDPLTLTVGHDYDFTDLTHHLVFKAYKHVDLVARRGEFATRGGIIDIFPTTGEHPIRAEFWGDELTDLRAFSVADQR--AFPD-LDYPAVDVYPAR</t>
  </si>
  <si>
    <t>GC_00000867</t>
  </si>
  <si>
    <t>COG0596</t>
  </si>
  <si>
    <t>2-succinyl-6-hydroxy-2,4-cyclohexadiene-1-carboxylate synthase MenH and related esterases, alpha/beta hydrolase fold (MenH) (PDB:4MYS)</t>
  </si>
  <si>
    <t>MSDARLVGSTTRFGHTLKSWEMDVPWDHNNPNTNDTLTIFAREIVPPKGEELPLLVYLQGGPGFPSPRPTSASGWLREFLKHYRVLLLDQRGTGRSGRVD---KVNVLPTERYSLLRADSIVADCEAFRHAFGVDTWLLFGQSFGGFCITTYASMFPESLERVFLTGGLPAIDCHADDIYRATFDKLQFRHDQLYRHFPWIEARIREVCAHLDHSDELLPTGERLSSRRLRTIGIELGRDRGFDTLAYLFEDPFVTVKGEKKLRSDFLNSVGSRVSFEQGPLYAVVHESIYGGTVPG--PTNWSAHRIREDKPGFEEHADPTDMTQPFYLTGEHIFPWQFEEDPALCPFIDAAHALAAKDDWRSLYDKNSLGHGP-AVAAAAIYVDDVFVPFEHSMNTARVFRDLRPFITNAFQHDGIHWGSQEIITRLITTADEY</t>
  </si>
  <si>
    <t>MSDARLVGSTTRFGHTLKSWEMDVPWDHNNPNTNDTLTIFAREIVPPKGEELPLLVYLQGGPGFPSPRPTSASGWLGEFLKHYRVLLLDQRGTGRSGRVD---KVNVLPTERYSLLRADSIVADCEAFRRAFGVDTWSLFGQSFGGFCITTYASMFPESLEKVFLTGGLPAIDCHADDIYRATFDKLQFRHDQFYRHFPWIEARIREVCAHLDHSDELLPTGERLSSRRLRTIGIELGRDRGFDTLAYLFEDPFVTVKGEKKLRSDFLNSVGSRVSFEQGPLYAVVHESIYGGTVPG--PTNWSAHRIREDKPGFEEHADPTDMTQPFYLTGEHIFPWQFEEDPALRPFIDAVHALAAKDDWRSLYDKNSLGHGP-AVAAAAIYVDDVFVPFEHSMNTARVFRDLRPFITNAFQHDGIHWGSQEIITRLITTADEY</t>
  </si>
  <si>
    <t>MLTSTP--PVRHFGHTIIEHRLPVPWDPASP--DDTFELFAREVYADGGADNPPLVFFQGGPGFPAIRPYGATGWFGELLEHYRVILLDQRGTGNSHRIDAAGDPQDRTLERLAVLRQDYIVEDAEALRRALGIEKWALFGQSFGGFCITAYLSAYPESVTEAFLTGGLPTITDPVDDVYRATYTKLTFRQEQFFTQVPWANDRIREIAYHLDNSDETLPTGERLSSRRFRTIGINLGRGDGYLSLAYLLENPFVTVKGVKRLRRDFLASVGSQVSFEGAPLYAAIHESIYGG-VGGTHPTNWSAHRIREEIAGYEEGADPRTADK-FYLTGEHIYPWQFTEDPALRPFAESAEQLAQHEWRRSPYDADTLGSAASPTAAAAVYVDDVFVPFELSMATAHAYRDVRPHITNFYQHDGIGFGGAEILGILRDKVRDH</t>
  </si>
  <si>
    <t>-----------------------MPWDPASP--DDTFELFAREVYADGGADNPPLVFFQGGPGFPAIRPYGATGWFGELLQHYRVILLDQRGTGNSHRIDAAGDPQDRALERLAVLRQDYIVEDAEALRRALGIEKWALFGQSFGGFCITAYLSAYPESVTEAFLTGGLPTITDPVDDVYRATYTKLTFRQEQFFTQVPWANDRIREIAYHLDNSDETLPTGERLSSRRFRTIGINLGRGDGYLSLAYLLENPFV</t>
  </si>
  <si>
    <t>GC_00000868</t>
  </si>
  <si>
    <t>PF01207.24</t>
  </si>
  <si>
    <t>Dihydrouridine synthase (Dus)</t>
  </si>
  <si>
    <t>K05540</t>
  </si>
  <si>
    <t>tRNA-dihydrouridine synthase B [EC:1.-.-.-]</t>
  </si>
  <si>
    <t>COG0042</t>
  </si>
  <si>
    <t>tRNA-dihydrouridine synthase (DusA) (PDB:1VHN)</t>
  </si>
  <si>
    <t>Transfer RNA biogenesis&gt;&gt;&gt;Prokaryotic type&gt;&gt;&gt;tRNA modification factors&gt;&gt;&gt;Dihydorouridine synthases</t>
  </si>
  <si>
    <t>-------------------------------------------------------------------------------------------------------MAGVTNVAFRTLCRELEREKMGSVAGLYVCEMITARALCERNEKTMHMTTFAPDEDPRSLQLYTTDPHWTYEAAKMIVEENLADHIDMNFGCPVPKVTRRGGGSALPYKRRLFANIVAAAVKATEGTDIPVTVKFRVGIDAEHHTHLDAGRI</t>
  </si>
  <si>
    <t>MTHLDNQQASYPHHNKPSAPSLLFEQIIVWTFTQKAPPIATPSRCGAVAPVSQPIAGLLKLDFRDSGEFVAHPEVSTMACVAQPAAPLSIGSLTLTSPVVLAPMAGVTNVAFRTLCREQEREKMGSVSGLYVCEMVTARALVERNEKTLHMTTFAPDENPRSLQLYTTDPHWTYEAAKMIVDENLADHIDMNFGCPVPKVTRRGGGSALPYKRKLFGNIVAAAVRATEGTDIPVTVKFRVGIDDAHKTHLDAGRIAAAEGAAAVALHARTAAQRYSGKADWSEIARLKEHM---ADSGIPVLGNGDIFAASDAAAMMDQTGCDGVVVGRGCLGRPWLFAELAAQLTGRPLPPQPTLGEVTRIIQRHAELLAAHHGEEHGCRELRKHVSWYLRGFPVGGDMRRDLARVSTLAHLADILAPFSDSPALADDADGARGRQGSPGKVVLPEGWLDDPEDDTVPEGADIMHSGG</t>
  </si>
  <si>
    <t>MTHLDNQQASYPHHNKPSAPSPLFEQIIVWTFTQKAPPLSTPSRCGAVAPVSQPIAGLLKLDFRDSGEFVAHPEVSTMACVAQPAAPLSIGSLTLTSPVVLAPMAGVTNVAFRTLCREQEREKMGSVSGLYVCEMVTARALVERNEKTLHMTTFAPDENPRSLQLYTTDPHWTYEAAKMIVDENLADHIDMNFGCPVPKVTRRGGGSALPYKRKLFGNIVAAAVRATEGTDIPVTVKFRVGIDDAHKTHLDAGRIAAAEGAAAVALHARTAAQRYSGKADWSEIARLKEHM---ADSGIPVLGNGDIFAASDAAAMMDQTGCDGVVVGRGCLGRPWLFAELAAQLTGRPLPPQPTLGEVTRIIQRHAELLAAHHGEEHGCRELRKHVSWYLRGFPVGGDMRRDLARVSTLAHLADILAPFSGSPALADDADGARGRQGSPGKVVLPEGWLDDPEDDTVPEGADIMHSGG</t>
  </si>
  <si>
    <t>GC_00000869</t>
  </si>
  <si>
    <t>PF03275.19</t>
  </si>
  <si>
    <t>UDP-galactopyranose mutase</t>
  </si>
  <si>
    <t>K01854</t>
  </si>
  <si>
    <t>UDP-galactopyranose mutase [EC:5.4.99.9]</t>
  </si>
  <si>
    <t>COG0562</t>
  </si>
  <si>
    <t>UDP-galactopyranose mutase (Glf) (PDB:1I8T)</t>
  </si>
  <si>
    <t>KEGG Orthology (KO)&gt;&gt;&gt;09100 Metabolism&gt;&gt;&gt;09101 Carbohydrate metabolism&gt;&gt;&gt;00052 Galactose metabolism [PATH:ko00052]|KEGG Orthology (KO)&gt;&gt;&gt;09100 Metabolism&gt;&gt;&gt;09101 Carbohydrate metabolism&gt;&gt;&gt;00520 Amino sugar and nucleotide sugar metabolism [PATH:ko00520]|KEGG Orthology (KO)&gt;&gt;&gt;09100 Metabolism&gt;&gt;&gt;09101 Carbohydrate metabolism&gt;&gt;&gt;00541 Biosynthesis of various nucleotide sugars [PATH:ko00541]|Enzymes&gt;&gt;&gt;5. Isomerases&gt;&gt;&gt;5.4  Intramolecular transferases&gt;&gt;&gt;5.4.99  Transferring other groups&gt;&gt;&gt;5.4.99.9  UDP-galactopyranose mutase</t>
  </si>
  <si>
    <t>------------------------MTYDLIVVGSGLFGLTIAERAA-HANKRVLIVEKRPHLGGNAYSEADPDTGIEVHKYGAHLFHTSNKRVWDYVNQFTTFTGYQHRVFAMHKGQAYQFPMGLGLIAQFFGKYYSPEEAKALIAEQAAEINTDEATNLEEKAISLIGRPLYEAFIRDYTAKQWQTDPKELPAGNITRLPVRYNFDNRYFNDTYEGLPVDGYAAWLENMAASDNIDVRLDTDWFDVREQVRGEN</t>
  </si>
  <si>
    <t>----------------MEQKDAKTGTYDLIVVGSGLFGLTVAERAASQLGKNVLIVERRPHLGGNAYSEAEPETGIEVHKYGAHLFHTSNKRVWDYVNQFTDFTGYQHRVFAMHNGTAYQFPMGLGLINQFFGKYYSPEDAKKLIQEQAAEINSEDATNLEEKAISLIGRPLYEAFIRDYTAKQWQTDPKELPAGNITRLPVRYTFDNRYFNDTYEGLPVDGYAAWLNNMADHELIEVRLNTDWFEVRDQIRADN</t>
  </si>
  <si>
    <t>----------------MEQKDAKTGTYDLIVVGSGLFGLTVAERTASQLGKNVLIVERRPHLGGNAYSEAEPETGIEVHKYGAHLFHTSNKRVWDYVNQFTDFTGYQHRVFAMHNGTAYQFPMGLGLINQFFGKYYSPEDAKKLIQEQAAEINSEDATNLEEKAISLIGRPLYEAFIRDYTAKQWQTDPKELPAGNITRLPVRYTFDNRYFNDTYEGLPVDGYAAWLNNMADHELIEVRLNTDWFEVRDQIRADN</t>
  </si>
  <si>
    <t>MFSNCGFSTHGAASKSKVIRLSTMNTYDLIVVGSGFFGLTIAEQAASQLGKRVLIIERRSHIGGNAYSEAEPETGIEIHKYGAHLFHTSNKRVWDYVNQFTSFTGYQHRVFAMHNGSAYQFPMGLGLINQFFGRYYSPDEARELIREQAAEIDSDDATNLEEKAISLIGRPLYEAFIRDYTAKQWQTDPRELPAGNITRLPVRYNFNNRYFNDTYEGLPVDGYTAWLENMANHPNIEVRLDTDWFDVRETLRAASPEAPVVYTGPLDRYFEYSAGHLGWRTLDFETEVLPTGDFQGTPVMNYNDAEYPYTRIHEFRHFHPERDDRYPKDKTVIMKEYSRFAEEGDEPYYPINTPEDRAKLLKYRQLAEAETETNRVYFGGRLGTYQYLDMHMAIASALSMFDNKLKAELETN-</t>
  </si>
  <si>
    <t>MFPNCGFSTHGAASKSKVIRLSTMNTYDLIVVGSGFFGLTIAEQAASQLGKRVLIIERRSHIGGNAYSEAEPETGIEIHKYGAHLFHTSNKRVWDYVNQFTSFTGYQHRVFAMHNGSAYQFPMGLGLINQFFGRYYSPDEARELIREQAAEIDSDDATNLEEKAISLIGRPLYEAFIRDYTAKQWQTDPRELPAGNITRLPVRYNFNNRYFNDTYEGLPVDGYTAWLENMANHPNIEVRLDTDWFDVRETLRAASPKAPVVYTGPLDRYFEYSAGHLGWRTLDFETEVLPTGDFQGTPVMNYNDAEYPYTRIHEFRHFHPERDDRYPKDKTVIMKEYSRFAEEGDEPYYPINTPEDRAKLLKYRQLAEAETETNRVYFGGRLGTYQYLDMHMAIASALSMFDNKLKAELETN-</t>
  </si>
  <si>
    <t>GC_00000870</t>
  </si>
  <si>
    <t>K11263</t>
  </si>
  <si>
    <t>acetyl-CoA/propionyl-CoA/long-chain acyl-CoA carboxylase, biotin carboxylase, biotin carboxyl carrier protein [EC:6.4.1.2 6.4.1.3 6.4.1.- 6.3.4.14]</t>
  </si>
  <si>
    <t>COG4770</t>
  </si>
  <si>
    <t>Acetyl/propionyl-CoA carboxylase, alpha subunit (PccA) (PDB:3U9S)</t>
  </si>
  <si>
    <t>M00741|M00082|M00885|M00886|M00887</t>
  </si>
  <si>
    <t>Propanoyl-CoA metabolism, propanoyl-CoA =&gt; succinyl-CoA|Fatty acid biosynthesis, initiation|Meromycolic acid biosynthesis, initiation and elongation FAS II (KasA)|Meromycolic acid biosynthesis, initiation and elongation FAS II (KasA and KasB)|Mycolic acid biosynthesis, meromycolic acid + alpha-carboxyacyl-CoA + trehalose =&gt; TMM =&gt; TDM/mAGP/GMM</t>
  </si>
  <si>
    <t>Pathway modules; Carbohydrate metabolism; Other carbohydrate metabolism|Pathway modules; Lipid metabolism; Fatty acid metabolism|Pathway modules; Lipid metabolism; Fatty acid metabolism|Pathway modules; Lipid metabolism; Fatty acid metabolism|Pathway modules; Lipid metabolism; Fatty acid metabolism</t>
  </si>
  <si>
    <t>ko00001|ko00001|ko00001|ko00001|ko00001|ko00001|ko01000|ko01000|ko01000</t>
  </si>
  <si>
    <t>KEGG Orthology (KO)&gt;&gt;&gt;09100 Metabolism&gt;&gt;&gt;09101 Carbohydrate metabolism&gt;&gt;&gt;00620 Pyruvate metabolism [PATH:ko00620]|KEGG Orthology (KO)&gt;&gt;&gt;09100 Metabolism&gt;&gt;&gt;09101 Carbohydrate metabolism&gt;&gt;&gt;00630 Glyoxylate and dicarboxylate metabolism [PATH:ko00630]|KEGG Orthology (KO)&gt;&gt;&gt;09100 Metabolism&gt;&gt;&gt;09101 Carbohydrate metabolism&gt;&gt;&gt;00640 Propanoate metabolism [PATH:ko00640]|KEGG Orthology (KO)&gt;&gt;&gt;09100 Metabolism&gt;&gt;&gt;09103 Lipid metabolism&gt;&gt;&gt;00061 Fatty acid biosynthesis [PATH:ko00061]|KEGG Orthology (KO)&gt;&gt;&gt;09100 Metabolism&gt;&gt;&gt;09103 Lipid metabolism&gt;&gt;&gt;00074 Mycolic acid biosynthesis [PATH:ko00074]|KEGG Orthology (KO)&gt;&gt;&gt;09100 Metabolism&gt;&gt;&gt;09105 Amino acid metabolism&gt;&gt;&gt;00280 Valine, leucine and isoleucine degradation [PATH:ko00280]|Enzymes&gt;&gt;&gt;6. Ligases&gt;&gt;&gt;6.3  Forming carbon-nitrogen bonds&gt;&gt;&gt;6.3.4  Other carbon-nitrogen ligases&gt;&gt;&gt;6.3.4.14  biotin carboxylase|Enzymes&gt;&gt;&gt;6. Ligases&gt;&gt;&gt;6.4  Forming carbon-carbon bonds&gt;&gt;&gt;6.4.1  Ligases that form carbon-carbon bonds (only sub-subclass identified to date)&gt;&gt;&gt;6.4.1.2  acetyl-CoA carboxylase|Enzymes&gt;&gt;&gt;6. Ligases&gt;&gt;&gt;6.4  Forming carbon-carbon bonds&gt;&gt;&gt;6.4.1  Ligases that form carbon-carbon bonds (only sub-subclass identified to date)&gt;&gt;&gt;6.4.1.3  propionyl-CoA carboxylase</t>
  </si>
  <si>
    <t>MSVETKKITKVLVANRGEIAIRVIRAARDAGIASVAVYAEPDADAPFVSMADEAFALGGQNSAESYLVFDKILDAAKKSGADAIHPGYGFLSENGDFAQAVIDAGLIWIGPSPQSIRDLGDKVTARHIAMRANAPMAPGSKEPVKDAAEVRAFAEEHGLPIAIKAAFGGGGRGMKVAYEMDEVEDLYESATREAVAAFGRGECFVERYLDKARHVECQVVADMHGNVVVAGTRDCSLQRRFQKLVEEAPAPFLTDEQRTRLHESAKAICKEAGYYGAGTVEYLVGSDGLISFLEVNTRLQVEHPVTEVTTGLDLVREQFRIAEGRELHIKEDPTPRGHAFEFRINGEDAGSNFMPAPGKITKYIEPAGPGVRMDSGIVEGSVIGGQFDSMLAKLIVFGESREEALQRARRALSEYVIEGMPTVLPFHAHIVENPAFVGDGEKFDVYTKWIEEEWDNPIPAYVDPADVEEEEEATPKQKVVVEIDGRRVEIALPGDLALAGGGASGAKKKAKKRRAGGGKKAVSGDAVAAPMQGTVIKVNVEEGQEVNEGDTVVVLEAMKMENPVKAHKSGVVTGLSAAAGEGVTKGAVLMEIK</t>
  </si>
  <si>
    <t>MTVELKKITKVLVANRGEIAIRVIRAARDAGIASVAVYAEPDADAPFVSMADEAFALGGQNSAESYLVFDKILDAAKKSGADAIHPGYGFLSENGDFAEAVINAGLTWIGPSPQSIRDLGDKVTARHIALRAEAPMAPGTKEPVKDADEVIAFAEQYGLPIAIKAAFGGGGRGMKVAYTMEEVRDLYESATREALAAFGRGECFVERYLDKARHVECQVLADQHGNVVVAGTRDCSLQRRFQKLVEEAPAPFLTDEQRERLHSSAKAICKEAGYYGAGTVEYLVGSDGLISFLEVNTRLQVEHPVTEVTTGLDLVREQFRIAEGKELHIKEDPTPRGHAFEFRINGEDAGNNFMPAPGKITKYIEPAGPGVRMDSGVVEGSVIGGQFDSMLAKLIVFGETRDQALQRARRALAEYIIEGMPTAIPFHKHIIENPAFVGDGEKFDVYTKWIEEEWDNPIPAYVDPADVEDDEETTPAQKVVVEIDGRRVEIALPGDLALAGGNGGAAKKKAKKRRAGGGKKAVSGDAVAAPMQGTVIKVNVEEGQEVAEGETVVVLEAMKMENPVKAHKSGVVTGLSAAAGEGVTKGSVLMEIK</t>
  </si>
  <si>
    <t>MTVELKKITKVLVANRGEIAIRVIRAARDAGIASVAVYAEPDADAPFVSMADEAFALGGQNSAESYLVFDKILDAAKKSGADAIHPGYGFLSENGDFAEAVINAGLTWIGPSPQSIRDLGDKVTARHIALRAEAPMAPGTKEPVKDADEVIAFAEQYGLPIAIKAAFGGGGRGMKVAYTMEEVRDLYESATREALAAFGRGECFVERYLDKARHVECQVLADQHGNVVVAGTRDCSLQRRFQKLVEEAPAPFLTDEQRERLHSSAKAICKEAGYYGAGTVEYLVGSDGLISFLEVNTRLQVEHPVTEVTTGLDLVREQFRIAEGKELHIKEDPTPRGHAFEFRINGEDAGNNFMPAPGKITKYIEPAGPGVRMDSGVVEGSVIGGQFDSMLAKLIVFGETRDEALQRARRALAEYIIEGMPTAIPFHKHIIENPAFVGDGEKFDVYTKWIEEEWDNPIPAYVDPADVEDDEETTPAQKVVVEIDGRRVEIALPGDLALAGGNGGAAKKKAKKRRAGGGKKAVSGDAVAAPMQGTVIKVNVEEGQEVAEGETVVVLEAMKMENPVKAHKSGVVTGLSAAAGEGVTKGSVLMEIK</t>
  </si>
  <si>
    <t>MTVESRKITKILVANRGEIAIRVIRAARDAGIPSVAVYAEPDANAPFVSLADEAFALGGQNSAESYLVFDKILDAAKKSGANAIHPGYGFLSENGDFAEAVINAGLIWIGPSPQSIRDLGDKVTARHIAQRAKAPMAPGTKAPVKDVNEVVAFAEEFGLPIAIKAAFGGGGRGMKVAYTKEEVPELYESATREALAAFGRGECFVERYMDKARHVECQVLADMHGNVIVAGTRDCSLQRRFQKLVEEAPAPFLTEEQRTTLHESAKRICKEAGYYGAGTVEYLVDSTGLINFLEVNTRLQVEHPVTEVTTGLDLVREQFRIAEGKELHIKQDPTPRGHAFEFRINGEDAGSNFMPAPGAITKYVEPSGPGVRMDSGVREGSVVGGQFDSMLAKLIVFGETREEALQRSRRALSEYVIEGMPTVVPFHRHIVENPAFVGDDTHFDVYTKWIEEEWDNPIPPYVDPADAEEAEEATPNQKVVVEIDGRRVEIALPGDLALAGGGAGGAKKKAKKRRSGGSKAGVSGDAVAAPMQGTVIKVNVEEGQEVAEGEVVVVLEAMKMENPVKAHKSGVVTDLAVSAGEGVTKGSVMMELK</t>
  </si>
  <si>
    <t>MTVESRKITKILVANRGEIAIRVIRAARDAGIPSVAVYAEPDANAPFVSLADEAFALGGQNSAESYLVFDKILDAAKKSGANAIHPGYGFLSENGDFAEAVINAGLIWIGPSPQSIRDLGDKVTARHIAQRAKAPMAPGTKEPVKDVNEVVAFAEEFGLPIAIKAAFGGGGRGMKVAYTKEEVPELYESATREALAAFGRGECFVERYMDKARHVECQVLADMHGNVIVAGTRDCSLQRRFQKLVEEAPAPFLTEEQRTTLHESAKRICKEAGYYGAGTVEYLVDSTGLINFLEVNTRLQVEHPVTEVTTGLDLVREQFRIAEGKELHIKQDPTPRGHAFEFRINGEDAGSNFMPAPGAITKYVEPSGPGVRMDSGVREGSVVGGQFDSMLAKLIVFGETREEALQRSRRALSEYVIEGMPTVVPFHRHIVENPAFVGDDTHFDVYTKWIEEEWENPIPPYVDPADAEEAEEATPNQKVVVEIDGRRVEIALPGDLALAGGGAGGAKKKAKKRRSGGSKAGVSGDAVAAPMQGTVIKVNVEEGQEVAEGEVVVVLEAMKMENPVKAHKSGVVTDLAVSAGEGVTKGSVMMELK</t>
  </si>
  <si>
    <t>GC_00000871</t>
  </si>
  <si>
    <t>PF05173.19</t>
  </si>
  <si>
    <t>Dihydrodipicolinate reductase, C-terminus</t>
  </si>
  <si>
    <t>K00215</t>
  </si>
  <si>
    <t>4-hydroxy-tetrahydrodipicolinate reductase [EC:1.17.1.8]</t>
  </si>
  <si>
    <t>COG0289</t>
  </si>
  <si>
    <t>4-hydroxy-tetrahydrodipicolinate reductase (DapB) (PDB:1ARZ) (PUBMED:29684280)</t>
  </si>
  <si>
    <t>KEGG Orthology (KO)&gt;&gt;&gt;09100 Metabolism&gt;&gt;&gt;09105 Amino acid metabolism&gt;&gt;&gt;00300 Lysine biosynthesis [PATH:ko00300]|KEGG Orthology (KO)&gt;&gt;&gt;09100 Metabolism&gt;&gt;&gt;09110 Biosynthesis of other secondary metabolites&gt;&gt;&gt;00261 Monobactam biosynthesis [PATH:ko00261]|Enzymes&gt;&gt;&gt;1. Oxidoreductases&gt;&gt;&gt;1.17  Acting on CH or CH2 groups&gt;&gt;&gt;1.17.1  With NAD+ or NADP+ as acceptor&gt;&gt;&gt;1.17.1.8  4-hydroxy-tetrahydrodipicolinate reductase</t>
  </si>
  <si>
    <t>MSSQRSIRVGVLGASGRVGSAVCEGVEASKDLELVARIDRGDSLEQLVESGAEVIVDFTQPGVVMDNLKFCISHGIHCVVGTTGFDDERLATVRGWC-AEEGKGKVGVLIAPNFAISAVLTMVLAAQAAQFFDSAEVIELHHPNKLDAPSGTAVHTARGIARARAEAGLDEQPDATEMSLDGARGANVDGVPVHAVRMTGMVAHEKVIFGAEGQTLTICQDSYSRSSFVPGVLLGVRDIAAHPGLTVGLEHFMGL</t>
  </si>
  <si>
    <t>GC_00000872</t>
  </si>
  <si>
    <t>PF00290.26</t>
  </si>
  <si>
    <t>Tryptophan synthase alpha chain</t>
  </si>
  <si>
    <t>K01695</t>
  </si>
  <si>
    <t>tryptophan synthase alpha chain [EC:4.2.1.20]</t>
  </si>
  <si>
    <t>COG0159</t>
  </si>
  <si>
    <t>Tryptophan synthase alpha chain (TrpA) (PDB:6HUL)</t>
  </si>
  <si>
    <t>-MSRYDALFAALDAKNEGAFVPFVTLGDPNEEASYRIIKALIEGGADALELGVPFSDPVADGPTIQAAHIRAHASGIDVDAALRVVRRIRDEHADIPIGLLIYGNVAFARGTEQFYRDVAQAGADSVLLPDIPVREGESFAQAATAAGVDPIFIAPPNANPSTLEGVARLSRGYIYAVSRVGVTGAEKESSTEGLSDVVANLNNFGGAPALLGFGISTPAHVADAIAAGAAGAITGSAVTAIVAKHCEQQEDGHW</t>
  </si>
  <si>
    <t>MSSRYDHLFSRLTEANEGAFVPFVMLGDPDLDTSFEIITSLVEGGADALELGIPFSDPVADGPTIQAAHIRALDAGVTVDQALSLVARIRSTWPELPIGLLIYGNVAFARGMERFYADVAQAGADSVLLPDVPVREGAPFAAAAEAAGVDQIFIAPPHASEETLAGVARHSRGYIYAVSRVGVTGAEWESSTDGLADVVANLKRFGGVPPLLGFGISTPTHVADAVAAGAAGAISGSAVTALIARHCSDSPGERRTVDDIDALKTELREFVANMKAATRR--</t>
  </si>
  <si>
    <t>MSSRYDHLFSRLTEANEGAFVPFVMLGDPDLDTSFEIITSLVDGGADALELGIPFSDPVADGPTIQAAHIRALDAGVTVDQALSLVARIRSAWPSLPIGLLIYGNVAFARGMERFYADVAQAGADSVLLPDVPVREGAPFAAAAKAAGVDQIFIAPPHASEETLAGVARHSRGYIYAVSRVGVTGAEWESSTDGLAGVVANLKRFGGVPPLLGFGISTPTHVADAVAAGAAGAISGSAVTALIAQHCSDSPGERRTVDDIDTLKAELREFVAAMKAATRR--</t>
  </si>
  <si>
    <t>-MDRYAALFSRLSTSHEGAFVPFIMLGDPGPEESLEIIRTVIAAGADALELGVPFSDPVADGPTIQKSHLRALDNGATVAGSIALITQVRAEFPDIPIGLLIYGNVPFSQGLDNFYREFAAAGADSVLIPDVPVREGAPFVAAAQKAGIAPIFIAPAQALETTLAGVAKASEGYIYAISRDGVTGTEKESSTVGLRDVVANITRFGGAPVLLGFGISTPQHVANAIAAGARGAITGSAITKIIESHCVGNHPEPA</t>
  </si>
  <si>
    <t>-MDRYAALFSRLSTSHEGAFVPFIMLGDPGPEESLEIIRTVIAAGADALELGVPFSDPVADGPTIQKSHLRALDNGATVAGSIALITQVRAEFPDIPIGLLIYGNVPFSQGLDNFYREFAAAGADSVLIPDVPVREGAPFVAAAQKAGIAPIFIAPAQALETTLAGVAKASEGYIYAISRDGVTGTEKESSTVGLRDVVANITRFGGAPVLLGFGISTPQHVANAIAAGARGAITGSAITKIIESHCAGNHPEPA</t>
  </si>
  <si>
    <t>GC_00000873</t>
  </si>
  <si>
    <t>MTTSQ-----------------------------------------------------------------------------------NSRAEALLDGLNPQQHDAVLHTGSPLLIVAGAGSGKTAVLTRRIAYLMRARGVQPYEILAITFTNKAAAEMRERVTELVGPVAQQMWVSTFHSTCVRILRQQAHLVEGLNSNFTIYDSDDSKRLVTQILKEMDVDIKKVTPRSILGVISNWKNELVSAQQAAAEEGAQAQAYGARSGSGQSLAAEVYEVYQRRLRQANAVDFDDLIALVVSVFINHPQVAETYRRRFRHVLIDEYQDTNHAQYRLVAELVGKPGG---AVPPSELCVVGDADQSIYAFRGATIRNIEEFERDYPQARTIVLEQNYRSTQRILTAANAVIAQNQGRREKRLWTSHGDGEPIIGYVADNEHDEARFIAQEIDELADQGYSFSDIAVMYRTNNSSRAIEDMLMRNGINYRVVGGTRFYERKEIRDVVAYLRVVDNPQDAVSLRRVINTPRRGIGDKALGLIDTHARLRGIGFWQALQDAARGDVDGLSSRGRNAVAGFVAVIEQLQAAAVNAVSEQTGLPDVGAIVGNVLEFTGYKSSLEGSNDPQDGTRLDNLHELVAIAREFSSEAAMQQTYEDFADDAALAQQAGQAAAE--GLAEPGSLQAFLERVSLVADADQIPDEDEGVVTLMTLHTAKGLEFPVVFVVGWEDGQFPHMRALGDPEELAEERRLAYVGITRARERLYVTRASMRSAWGNATQNPPSRFLGEIPSEVLSWRREEPEWMSYGSGFGGGSGYGGSGYGRG---------GGF-------------GNSGFGASRGSGFSSKPPLP---KAAEKRPQLHLVVGDKVNHEKYGLGTVKELSSMGGFDMAVIDFGSSGTVKMMLNGTAPMEKL</t>
  </si>
  <si>
    <t>----------------------------------------------------------------------------------------MENSRDLTAGLNPQQKEAVEHTGVPLLIVAGAGSGKTAVLTRRIAYLLQHRGVHPGQILAITFTNKAAAEMRERVMDVVGPVAERMWVSTFHSTCVRILRQHASMIPGLNTNFSIYDSDDSRRLLAQIAKDMQLDLKKFTARSLATAISNLKNELVSPQDAATEAEK</t>
  </si>
  <si>
    <t>----------------------------------------------------------------------------------------MENSRDLTAGLNPQQKEAVEHTGVPLLIVAGAGSGKTAVLTRRIAYLLQHRGVHPGQILAITFTNKAAAEMRERVMDVVGPVAERMWVSTFHSTCVRILRQHASMIPGLNTNFSIYDSDDSRRLLAQIAKDTQLDLKKFTARSLATAISNLKNELVSPQDAATEAEK</t>
  </si>
  <si>
    <t>MTAAQNPSPHSDQPEQPDLFAGVTGFEAYSATPPPEAPRADEPLPPPPEEPPAYDTIPPDPEAAAGILDYPVPAVWDDSSAHQTWASSEGSADDLIADLNPQQRAAVEHSGSPLLIVAGAGSGKTAVLTRRIAYLLRMRGVAPGQILAITFTNKAAAEMRDRVIDLVGPTATRMWVATFHSACVRILREQAHLLPGLNTNFTIYDADDSKRLLGMIAKDLQINAQKFPPRLLAAAISALKTELTDPDAASDEAAATRNPF-------DRTIAEVYTEYQRRLRAANALDFDDLIGETVRVFTTHPEIAAYYRKRFRHVLIDEYQDTNHAQYVLISTLVGTGPD------ASELSVVGDSDQSIYAFRGATIRNIEEFERDYPQARTILLEQNYRSTQNILSAANAVISHNHGRREKKLWTDHGAGAKITGYVADNEHDEARFIATEIDALFDMGVGYGDIAVMYRTNNSSRAIEEVFIRTGIPYKVVGGTRFYERKEIRDLIAYLRVLDNPTDEISLRRIINTPRRGIGDRAIATVNLYAENFGMSFADALVDAAHGKVTALGTRAKNAIAAFLELMDGLRVDAAEATNAITGLPDIGVVVSRILDATGYKAELEASTDPQDGARLDNLNELVSVAREFSSEAANLMAYAAMGAGTGAGVEGNDLAEPMVGEPQTGSIHAFLEKVSLVADSDQLPDDSTNVVTLMTLHTAKGLEFPVVFLIGWEDGQFPHLRALGDPQELAEERRLAYVGITRARETLYLTRAMLRASWGNAVANPASRFLEDIPEKLMYWRREEPG----VGGWD--DDWGASGWSSGSFVGGYGGYGGYGGSGGSGGSGGAGGAGGYSGRESGGSYRKPKTSRSSRSSTPAANLYLEVGDKVNHDKYGLGTVQSVDGSGPHTSVTIDFGSAGTVKLMLIGGVPLEKL</t>
  </si>
  <si>
    <t>MTAAQNPSPHSDQPEQPDLFAGVTGFEAYSATPPPEAPRADEPLPPPPEEPPAYDTIPPDPEAAAGILDYPVPAAWDNLSAHQPWASAEGSADDLIADLNPQQRAAVEHSGSPLLIVAGAGSGKTAVLTRRIAYLLRMRGVAPGQILAITFTNKAAAEMRDRVIDLVGPTATRMWVATFHSACVRILREQAHLLPGLNTNFTIYDADDSKRLLGMIAKDLQINAQKFPPRLLAAAISALKTELTDPDAASDEAAATRNPF-------DRTIAEVYTEYQRRLRAANALDFDDLIGETVRVFTTHPEIAAYYRKRFRHVLIDEYQDTNHAQYVLISTLVGTGPD------ASELSVVGDSDQSIYAFRGATIRNIEEFERDYPQARTILLEQNYRSTQNILSAANAVISHNHGRREKKLWTDHGAGAKITGYVADNEHDEARFIATEIDALFDMGVGYGDIAVMYRTNNSSRAIEEVFIRTGIPYKVVGGTRFYERKEIRDLIAYLRVLDNPTDEISLRRIINTPRRGIGDRAIATVNLYAENFGMSFADALVDAAHGKVTALGTRAKNAIAAFLELMDGLRVDAAEATNAITGLPDIGVVVSRILDATGYKAELEASTDPQDGARLDNLNELVSVAREFSSEAANLMAYAAMGAGTGAGVEGNDPAEPMVGEPQPGSIHAFLEKVSLVADSDQLPDDSTNVVTLMTLHTAKGLEFPVVFLIGWEDGQFPHLRALGDPQELAEERRLAYVGITRARETLYLTRAMLRASWGNAVANPASRFLEDIPEKLMYWRREEPG----AGGWD--DDWGASGWGGGSFVGGYGGYGGY------------GGAGGYSGRKPGGSYRKPKIPRSSRSSTPAANLHLEVGDKVNHDKYGLGTVQSVDGSGPHTSVTIDFGSAGTVKLMLIGGVPLEKL</t>
  </si>
  <si>
    <t>GC_00000874</t>
  </si>
  <si>
    <t>PF02152.23</t>
  </si>
  <si>
    <t>Dihydroneopterin aldolase</t>
  </si>
  <si>
    <t>K01633</t>
  </si>
  <si>
    <t>7,8-dihydroneopterin aldolase/epimerase/oxygenase [EC:4.1.2.25 5.1.99.8 1.13.11.81]</t>
  </si>
  <si>
    <t>COG1539</t>
  </si>
  <si>
    <t>Dihydroneopterin aldolase (FolB) (PDB:1B9L)</t>
  </si>
  <si>
    <t>M00126|M00840</t>
  </si>
  <si>
    <t>Tetrahydrofolate biosynthesis, GTP =&gt; THF|Tetrahydrofolate biosynthesis, mediated by ribA and trpF, GTP =&gt; THF</t>
  </si>
  <si>
    <t>ko00001|ko01000|ko01000|ko01000</t>
  </si>
  <si>
    <t>KEGG Orthology (KO)&gt;&gt;&gt;09100 Metabolism&gt;&gt;&gt;09108 Metabolism of cofactors and vitamins&gt;&gt;&gt;00790 Folate biosynthesis [PATH:ko00790]|Enzymes&gt;&gt;&gt;1. Oxidoreductases&gt;&gt;&gt;1.13  Acting on single donors with incorporation of molecular oxygen (oxygenases)&gt;&gt;&gt;1.13.11  With incorporation of two atoms of oxygen&gt;&gt;&gt;1.13.11.81  7,8-dihydroneopterin oxygenase|Enzymes&gt;&gt;&gt;4. Lyases&gt;&gt;&gt;4.1  Carbon-carbon lyases&gt;&gt;&gt;4.1.2  Aldehyde-lyases&gt;&gt;&gt;4.1.2.25  dihydroneopterin aldolase|Enzymes&gt;&gt;&gt;5. Isomerases&gt;&gt;&gt;5.1  Racemases and epimerases&gt;&gt;&gt;5.1.99  Acting on other compounds&gt;&gt;&gt;5.1.99.8  7,8-dihydroneopterin epimerase</t>
  </si>
  <si>
    <t>MADRIELTGLRAYGYHGVFEHEKAEGQEFIADITCWMDFPRNAEGQPVDQLERTVHYGELAELAHGILAGPSFDLIETVAGTIADTIMDTYPILHAVEVTIHKPSAPIPLTFDDVAVVARRSRKTRSTRA-----</t>
  </si>
  <si>
    <t>MADRIELRGLECFGYHGVFEEEKRTGQTFLVDLICWLDCAEAAR---TDDLNLTINYADLAHMAHTIVSGPSCDLIETVAANIADSAMAEYPQLHAVEVTLHKPQAPIPLSFADVAVVARRSRKKAASAPRVVG-</t>
  </si>
  <si>
    <t>MADRIELRGLECFGYHGVFEEEKRTGQTFLVDLICWLDCAEAAR---TDDLNLTINYADLAHMAHTIVSGPSCDLIETVAANIADSAMAEYPQLHAVEVTLHKPQAPIPLSFADVAVVARRSRKKAASAPQVVGR</t>
  </si>
  <si>
    <t>MADRIELTGLKARGYHGVFPEENRDGQDFLVDLICWLDATRAVE---TDDVADTINYADLAEIAHQVITGPPYNLIEKVAGTIANIIMARYEQLYAVEVTVHKPQAPIPLDFTDVAVVARRSRRRI---------</t>
  </si>
  <si>
    <t>MADRIELTGLKARGYHGVFPEENRDGQEFLVDLICWLDATRAVE---TDDVADTINYADLAEIAHQVITGPPYNLIEKVAGTIANIIMARYEQLYAVEVTVHKPQAPIPRDFTDVAVVARRSRRRI---------</t>
  </si>
  <si>
    <t>GC_00000875</t>
  </si>
  <si>
    <t>K09690</t>
  </si>
  <si>
    <t>homopolymeric O-antigen transport system permease protein</t>
  </si>
  <si>
    <t>COG1682</t>
  </si>
  <si>
    <t>ABC-type polysaccharide/teichoic acid/polyol phosphate export permease (TagG) (PDB:6JBH)</t>
  </si>
  <si>
    <t>KEGG Orthology (KO)&gt;&gt;&gt;09130 Environmental Information Processing&gt;&gt;&gt;09131 Membrane transport&gt;&gt;&gt;02010 ABC transporters [PATH:ko02010]|Transporters&gt;&gt;&gt;ABC transporters, prokaryotic type&gt;&gt;&gt;ABC-2 type and other transporters&gt;&gt;&gt;Homopolymeric O-antigen</t>
  </si>
  <si>
    <t>---MLLPWQRPLRLGWFTVLGQSSNRPTDVARMTRVDAADSPPSQSKTLSAAINDLVRGFRQHELWLQLGWQDIKQRYRRSVLGPLWITIATGVMALALGLLYSVLFKIPVAEFLPHVTVGLIMWNFISGCIKEGSDIFIDNEGLIKQLPSALSVHCYRLVWKQALFLMHNMVIWVVLMLVFPRPLGWDLLLAIPAMALLIVNGVWVTMFFGIIATRYRDVSPLLEAMTQLLFYVTPIVWTTQTLTEQGGAVSER</t>
  </si>
  <si>
    <t>MPAYPASRTRAARVVVVSDKAVPKESQETFARITQVDASETHTSQSRTFRAAWSDLVRGFLQHELWLQLGWQDIKQRYRRSMLGPLWITIATGVMAATLGLLYSVLFKVPVEKFLPHVTVGLIMWNFISGSIKEGSEIFIDNEGLIKQLPSALSVHVYRLVWKHTLFLAHNMVIWVVLMFVFPRPLGWHLLLAIPGLALLVINGVWVSMFFGIIATRYRDVAPLLDSLIQLLFYVTPIVWMTDILTAQGGDVASRARIAQLNPLYHYMEVFRSPLIGAPLPTYHWWVVIGFTVAGLLLALFAMKQWRFRVSYWV</t>
  </si>
  <si>
    <t>MPAYPASRTRAARVVVVSDKAVPKESQETFARITQVDASETHTSQSRTFRAAWSDLVRGFLQHELWLQLGWQDIKQRYRRSMLGPLWITIATGVMAATLGLLYSVLFKVPVEKFLPHVTVGLIMWNFISGSIKEGSEIFIDNEGLIKQLPSALSVHVYRLVWKHTLFLAHNMVIWVVLMFVFPRPLGWHLLLAIPGLALLVINGVWVSMFFGIIATRYRDVAPLLDSLIQLLFYVTPIVWMTDILTAQGGDVASRARIAQLNPLYHYMEVFRSPLIGAPLPTYHWWVVIGFTIAGLLLALFAMKQWRFRVSYWV</t>
  </si>
  <si>
    <t>-----------------------MTLSEQINRITNATDLDPEPSGSKTFAAAWHDLVRGFHQHELWLQLGWQDIKQRYRRSVLGPLWITIATGVMAAALGLLYSVLFKIPVAQFLPHVTVGLIMWTFISGCIKEGAQVFIDNEGLIKQLPSALSVHVYRLVWKQTLFLGHNLIIWVALMVIFPRPLGWDFLLAIPALMLLIANGVWVSMFFGIIATRYRDVAPLLEAGTQLLFYVTPIVWMTQTLKDQGGAISDR</t>
  </si>
  <si>
    <t>GC_00000876</t>
  </si>
  <si>
    <t>COG4221</t>
  </si>
  <si>
    <t>NADP-dependent 3-hydroxy acid dehydrogenase YdfG (YdfG) (PDB:3P19)</t>
  </si>
  <si>
    <t>--------------------------------------------------------------------------------------------------------------------------------------------------------------------------------MTTQLPTTQG-----------------------KIAVVTGGSTGIGEASARALAADGWHVIVASRSVDKLTAIAEEIGG</t>
  </si>
  <si>
    <t>K16066</t>
  </si>
  <si>
    <t>3-hydroxy acid dehydrogenase / malonic semialdehyde reductase [EC:1.1.1.381 1.1.1.-]</t>
  </si>
  <si>
    <t>M00939</t>
  </si>
  <si>
    <t>Pyrimidine degradation, uracil =&gt; 3-hydroxypropanoate</t>
  </si>
  <si>
    <t>KEGG Orthology (KO)&gt;&gt;&gt;09100 Metabolism&gt;&gt;&gt;09104 Nucleotide metabolism&gt;&gt;&gt;00240 Pyrimidine metabolism [PATH:ko00240]|KEGG Orthology (KO)&gt;&gt;&gt;09100 Metabolism&gt;&gt;&gt;09105 Amino acid metabolism&gt;&gt;&gt;00260 Glycine, serine and threonine metabolism [PATH:ko00260]|Enzymes&gt;&gt;&gt;1. Oxidoreductases&gt;&gt;&gt;1.1  Acting on the CH-OH group of donors&gt;&gt;&gt;1.1.1  With NAD+ or NADP+ as acceptor&gt;&gt;&gt;1.1.1.381  3-hydroxy acid dehydrogenase</t>
  </si>
  <si>
    <t>--------------------------------------------------------------------------------------------------------------------------------------------------------------------------------MTK------------------------------KIAVVTGASSGIGKAAAVALAADGWHVVAAARRVDRLEELVEAISA</t>
  </si>
  <si>
    <t>--------------------------------------------------------------------------------------------------------------------------------------------------------------------------------MTK------------------------------KIAVVTGASSGIGKATAVALAADGWHVVAAARRADRLEELVEAISA</t>
  </si>
  <si>
    <t>PF03352.18</t>
  </si>
  <si>
    <t>Methyladenine glycosylase</t>
  </si>
  <si>
    <t>K01246</t>
  </si>
  <si>
    <t>DNA-3-methyladenine glycosylase I [EC:3.2.2.20]</t>
  </si>
  <si>
    <t>KEGG Orthology (KO)&gt;&gt;&gt;09120 Genetic Information Processing&gt;&gt;&gt;09124 Replication and repair&gt;&gt;&gt;03410 Base excision repair [PATH:ko03410]|Enzymes&gt;&gt;&gt;3. Hydrolases&gt;&gt;&gt;3.2  Glycosylases&gt;&gt;&gt;3.2.2  Hydrolysing N-glycosyl compounds&gt;&gt;&gt;3.2.2.20  DNA-3-methyladenine glycosylase I|DNA repair and recombination proteins&gt;&gt;&gt;Prokaryotic type&gt;&gt;&gt;SSBR (single strand breaks repair)&gt;&gt;&gt;BER (base exicision repair)&gt;&gt;&gt;DNA glycosylases</t>
  </si>
  <si>
    <t>MRITTHHPELTESGLVRCEDGGLRPPWAAVSDELRHYYDTEWGAPVMDETHIFERICLEGFQSGLSWQTILAKRPLLRQLFHGFDPDAVAKFTEADIERLMQVSGMIRNRRKIAAVIANAKATIELRKTGGLSHLVWSFRPAHHKRPTTMAEIPSVSKESTALAKELKRHGFQFVGPTTVYATMQAIGLVDDRVVGAAPLVRYGEHMSEKTAVVTGGSSGIGEAAARALAADGWHVIVAARRLENLQRIAKEIGGT-----AIRLDVTDDDSVAEFAAQVSRCDLLVNNAGGAKGLDPIAEADVADWQWMYDTNVMGTMRVTKALLPRLTEA-HGHVVNIGSIAGLRSYRGGAGYNAAKHGVHSLSHVMRMEFVDAGVRVTEINPGRVQT-DFSLVRFKGDAERANAVYDGHQNLVADDIAETIRWVAGLPSHVNIDQVVVTPQEQVIW</t>
  </si>
  <si>
    <t>MRITTHHPELTESGLVRCEDGGLRPPWAAVSDELRHYYDTEWGAPVTDEAHIFERICLEGFQSGLSWQTILAKRPLLRKLFHGFDPDEVAKFTEADIERLMQVSGMIRNRRKIAAVIANAKATIELRKSGGLSHLVWSFRPTHHERPTTVAGIASTSPESTALAKELKRHGFQFVGPTTVYATMQAIGLVDDRVVGAAPLVRYGEHMSEKTAVVTGGSSGIGEAAARALAADGWHVIVAARRLENLQRIAKEIGGT-----AIRLDVTDDDSVAEFAAQVSRCDLLVNNAGGAKGLDPIAEADVADWQWMYDTNVMGTMRVTKALLPRLTEA-HGHVVNIGSIAGLRSYRGGAGYNAAKHGVHSLSHVMRMEFVDAGVRVTEINPGRVQT-DFSLVRFKGDAERANAVYDGHQNLVADDIAETIRWVAGLPSHVNIDQVVVTPQEQVIW</t>
  </si>
  <si>
    <t>GC_00000877</t>
  </si>
  <si>
    <t>PF06778.18</t>
  </si>
  <si>
    <t>Chlorite dismutase</t>
  </si>
  <si>
    <t>H|P</t>
  </si>
  <si>
    <t>Coenzyme transport and metabolism|Inorganic ion transport and metabolism</t>
  </si>
  <si>
    <t>K00435</t>
  </si>
  <si>
    <t>hydrogen peroxide-dependent heme synthase [EC:1.3.98.5]</t>
  </si>
  <si>
    <t>COG3253</t>
  </si>
  <si>
    <t>Coproheme decarboxylase/chlorite dismutase (HemQ) (PDB:1T0T) (PUBMED:15965735;25602700;27758026;31423350)</t>
  </si>
  <si>
    <t>M00926</t>
  </si>
  <si>
    <t>Heme biosynthesis, bacteria, glutamyl-tRNA =&gt; coproporphyrin III =&gt; heme</t>
  </si>
  <si>
    <t>KEGG Orthology (KO)&gt;&gt;&gt;09100 Metabolism&gt;&gt;&gt;09108 Metabolism of cofactors and vitamins&gt;&gt;&gt;00860 Porphyrin metabolism [PATH:ko00860]|Enzymes&gt;&gt;&gt;1. Oxidoreductases&gt;&gt;&gt;1.3  Acting on the CH-CH group of donors&gt;&gt;&gt;1.3.98  With other, known, physiological acceptors&gt;&gt;&gt;1.3.98.5  hydrogen peroxide-dependent heme synthase</t>
  </si>
  <si>
    <t>MTSSSHKRIDYATLNQVQRYTQWAVFRVRPGELGDTRQEAIEEARSFFQQLQDRGLVVTRGIYDVSGIREGADYMIWWHAEEIRDIQQAFNDFRRNTTLGRCSDNVWLASALHRPAEFNKSHIPSFIMGEEPGDWITVYPFVRSYDWYLLDDTDRRRILAEHGRSGRDFPDVRTNTVPSFALGDYEWILAFEGPELHRMVDLMHRMRYTEARLHVREETPFYSGRRVDDIEEIINVLP</t>
  </si>
  <si>
    <t>MTES--RRLDYAALNSVQRYTQWAVFRIIPGGLGVERADIISQTQDFFAQLESTGTVVVRGIYDISSIRAEADYMIWWHAENIEDIQKAYNDFRRTTVLGQVSEVFWTGTAVHRPAEFNKSHLPSFIMGEDPGAWITVYPFVRSYDWYLMDDKDRRRILAEHGRSGRDFPDVRANTVPSFSLGDYEWILAFEGPDLGRIVDLMHKMRYTEARLHVREETPFFTGRRVADVSEIIEVLP</t>
  </si>
  <si>
    <t>MTES--RRLDYAALNSVQRYTQWAVFRIIPGGLGVERADIISQTQDFFAQLESAGTVVVRGIYDISSIRAEADYMIWWHAENIEDIQKAYNDFRRTTVLGQVSEVFWTGTAVHRPAEFNKSHLPSFIMGEDPGAWITVYPFVRSYDWYLMDDKDRRRILAEHGRSGRDFPDVRANTVPSFSLGDYEWILAFEGPDLGRIVDLMHKMRYTEARLHVREETPFFTGRRVADVSEIIEVLP</t>
  </si>
  <si>
    <t>MV----NKIDYEKLNNVQCYCQWATFKAIPGALGTDRGKAITQAQEFFAALEAEGNVTVRGIYDITGGRAEADFMFWWHAEEFADIKDAYNRFRRDLILGQSSEVFWLGNGLHRPSEFNKSHLPSFIMGEEPGDWIAVYPFVRSYDWYVMDPAERRRILAEHGRTARPFPDVRANTVEAFALGDYEWMLAFEAKELQRIVDLMHQMRYTDARLHVRKEIPFFTGHRVTDIADLIKVLP</t>
  </si>
  <si>
    <t>MV----NKIDYEKLNNVQCYCQWATFKAIPGALGTDRAQAITQAQEFFAALEAEGNVTVRGIYDITGGRAEADFMFWWHAEEFSDIKDAYNRFRRDLILGQSSEVFWLGNGLHRPSEFNKSHLPSFIMGEEPGDWIAVYPFVRSYDWYVMDPAERRRILAEHGRTARPFPDVRANTVEAFALGDYEWMLAFEAKELQRIVDLMHQMRYTDARLHVRKEIPFFTGHRVTDVADLIKVLP</t>
  </si>
  <si>
    <t>GC_00000878</t>
  </si>
  <si>
    <t>PF00817.25</t>
  </si>
  <si>
    <t>impB/mucB/samB family</t>
  </si>
  <si>
    <t>K02346</t>
  </si>
  <si>
    <t>DNA polymerase IV [EC:2.7.7.7]</t>
  </si>
  <si>
    <t>COG0389</t>
  </si>
  <si>
    <t>Nucleotidyltransferase/DNA polymerase DinP involved in DNA repair (DinP) (PDB:4R8U) (PUBMED:16544291)</t>
  </si>
  <si>
    <t>Enzymes&gt;&gt;&gt;2. Transferases&gt;&gt;&gt;2.7  Transferring phosphorus-containing groups&gt;&gt;&gt;2.7.7  Nucleotidyltransferases&gt;&gt;&gt;2.7.7.7  DNA-directed DNA polymerase|DNA repair and recombination proteins&gt;&gt;&gt;Prokaryotic type&gt;&gt;&gt;TLS (translesion DNA synthesis) factors&gt;&gt;&gt;Y-family DNA polymerases</t>
  </si>
  <si>
    <t>-MSRWVLHIDMDAFFASVEQLTRPTLRGRPVLVGGMGGRGVVAGASYEARAFGAHSAMPTNQAKRQVGPGVVVVRPRHAVYSAASHRVFSLVAEQAGVIQQISIDEAFIEPQQLVGATEEEVGDWAEGLRAKVLEVTGLTASIGAGSGKQYAKIASGLAKPDGVMVLPRDTEMEFLAPLPVRKLWGVGAVAGQKLRQIGVETIEDLAALTQKEAEMTLGRAVGLSLWQRARGIDPEPVEPRGVSKSIGAEYTYPK</t>
  </si>
  <si>
    <t>-MQRWVLHIDMDAFFASVEQLTRPTLRGRPVVVGGVDGRGVVAGASYEARTFGVRSATPMHQAKALIGLSAVVVRPRMVVYKAASKRVFELVARHAGVIEQLSVDEAFMEPTALIGATENEVREWGEGLRRLIREETGLTSSIGAGSGKQYAKIASGQAKPDGVFVVPRAREHELLDPLPVRKLWGIGPVAETKLQRIGVATIGDFAKLSGVEVDMTLGSTVGRALWQLAKGHDDRPVEPRAIAKQISAEHTYSK</t>
  </si>
  <si>
    <t>-MQRWVLHIDMDAFFASVEQLTRPTLRGRPVVVGGVDGRGVVAGASYEARAFGVRSATPMHQAKALIGLSAVVVRPRMVVYKAASKRVFELVAGHAGVIEQLSVDEAFMEPTALIGATDNEVREWGEGLRRLIREETGLTSSIGAGSGKQYAKIASGQAKPDGVFVVPRTREHELLDPLPVRKLWGIGPVAETKLQRIGVATIGDFAKLSGVEVDMTLGSTVGRALWQLAKGHDDRPVEPRAIAKQISAEHTYSK</t>
  </si>
  <si>
    <t>MYQRWVLHIDMDAFFASVEQLTRPTLRGRPVLVGGTSGRGVVAGASYEARRFGAHSAMPMHQARALVGFAAITVQPRIGLYRVASRRVFDLVARHAGTIEQISVDEAFLEPTGLRGATPDDVATWANNLRTQIRQETGLPSSIGVGPGKQSAKIASSMAKPNGLYIIPKDQEADILGPLPVRKLWGVGPVSEIKLQRMGVKTIADLANLPQTEVEASLGKTVGLGLWHRARGIDTAPVEPRAEAKSVGAEYTYPHDLTTRPEVDVAIDRAFEAALRRLRTDGRGARTVNVKLKLADFHTLTRAQSFPYAIDDPAILRNATNLLVRYPHEVGPIRLVGVSFSNLDHPSQEMLFPDLHPTTPATAPTDSVDWETGVRGNNSPDEDATNPAANPITTDGWYPTQDVTHPDHGHGWIQGIGHGKLTVRFETRTTPRGHTRTFATTNPDLQPADPLTSLDWDDWLAEHQ</t>
  </si>
  <si>
    <t>MYQRWVLHIDMDAFFASVEQLTRPTLRGRPVLVGGTSGRGVVAGASYEARRFGAHSAMPMHQARALVGFSAITVQPRIGLYRVASRRVFDLVARNVGTIEQISVDEAFLEPIGLRGATPDDVATWANNLRTQIRQETGLPSSIGAGPGKQSAKIASSMAKPNGLYIIPKDQEADILGPLPVRKLWGVGPVSEIKLQRMGVKTIADLANLPQTEVEASLGKTVGLGLWHRARGIDTAPVEPRAEAKSVGAEYTYPHDLTTRPEVDAAIDRAFEAALRRLRTDGRGARTVNVKLKLADFHTLTRAQSFPYAIDDPAILRNATNLLVRYPHEVGPIRLVGVSFSNLDHPSQEMLFPDLHPATPTTAPTHSVDWEAGVRGNNPPDEDATNPAANLITTDGWYPTQDVTHPDHGHGWIQGIGHGKLTVRFETRTTPRGHTCTFATTNPDLQPADPLTSLDWDDWLAEHQ</t>
  </si>
  <si>
    <t>GC_00000879</t>
  </si>
  <si>
    <t>PF17831.6</t>
  </si>
  <si>
    <t>Pyruvate dehydrogenase E1 component middle domain</t>
  </si>
  <si>
    <t>K00163</t>
  </si>
  <si>
    <t>pyruvate dehydrogenase E1 component [EC:1.2.4.1]</t>
  </si>
  <si>
    <t>COG2609</t>
  </si>
  <si>
    <t>Pyruvate dehydrogenase complex, dehydrogenase (E1) component (AceE) (PDB:1L8A)</t>
  </si>
  <si>
    <t>KEGG Orthology (KO)&gt;&gt;&gt;09100 Metabolism&gt;&gt;&gt;09101 Carbohydrate metabolism&gt;&gt;&gt;00010 Glycolysis / Gluconeogenesis [PATH:ko00010]|KEGG Orthology (KO)&gt;&gt;&gt;09100 Metabolism&gt;&gt;&gt;09101 Carbohydrate metabolism&gt;&gt;&gt;00020 Citrate cycle (TCA cycle) [PATH:ko00020]|KEGG Orthology (KO)&gt;&gt;&gt;09100 Metabolism&gt;&gt;&gt;09101 Carbohydrate metabolism&gt;&gt;&gt;00620 Pyruvate metabolism [PATH:ko00620]|KEGG Orthology (KO)&gt;&gt;&gt;09100 Metabolism&gt;&gt;&gt;09108 Metabolism of cofactors and vitamins&gt;&gt;&gt;00785 Lipoic acid metabolism [PATH:ko00785]|Enzymes&gt;&gt;&gt;1. Oxidoreductases&gt;&gt;&gt;1.2  Acting on the aldehyde or oxo group of donors&gt;&gt;&gt;1.2.4  With a disulfide as acceptor&gt;&gt;&gt;1.2.4.1  pyruvate dehydrogenase (acetyl-transferring)</t>
  </si>
  <si>
    <t>MADK-----PLDDTNFAMIRDGVASYLNDSDPEETREWMESLDGLLEEASPDRARFLMLRLLERATAKRVPLPPLTSTDYVNTIPTTMEPDFPGDEDIEKRYRKWIRWNAAIMVHRAQRPGVGVGGHISTYASSAPLYEVGMNHFFRGKDHPGGGDQIFFQGHASPGMYARAFLEGRLSEDDMDGFRQEVSREQGGMPSYPHPKCMPEFWEFPTVSMGLGPMDAIYQARFNRYLHNRGIKDTSQQHVWAFLGDGEMDEPESRGLIQQAALNNLDNLTFVINCNLQRLDGPVRGNTKIIQELESFFRGAGWSVIKVVWGREWDELFEKDKDGALVDLMNNTSDGDFQTFKANDGAYVREHFFNRDPRTAKLVEDMTDEEIWRLPRGGHDYRKIYAAFKRAMETKDRPTVILAHTIKGYGLGHNFEGRNATHQMKKLTLEDLKLFRDKQQIPISDEVLEKDPYLPPYYNPGKDSEEIKYMLERRKDLGGWVPERRTSYKPLSVPSMDDLKIMRKDSGKQQVATTMAVVRTFKELMRDKELGKRFVPIIPDEARTFGMDSWFPTLKIYNSHGQNYTPVDHDLMLSYREAVDGQIMHEGINEAGSMAEFIAAGTSYATHGEAMIPLYIFYSMFGFQRTGDSVWAAADQMARGFLLGATAGRTTLTGEGLQHMDGHSPILAGTNPAVISYDPAFAYEVAHIIREGIDRMYGEGRGEDVIYYLTVYNEPTHQPAEPENLDVEGLHKGIYLYSPASGDGHEVSLLASGIGMQAALQAKEILAEQFGVKANIFSVTSWNELAREGHELEREQLRHPDREVTEPFVAKQLSKASGPFVAVSDFATALPEQIRKWVPGDYTTLGADGFGFSDTRPAARRFFNIDAESVVVAALSGLAREGKIDKSVAAQAAKDFNLSDPTAV</t>
  </si>
  <si>
    <t>MADQKLGGSPNDDSNFALIRDGVASYLNDVDPEETAEWMESLDGLLAEATPDRARFLMLRMLERATAKRVALPPLTSTDYVNTIPTSMEPDFPGDEELEKRYRRWMRWNAAIMVHRAQRPEIGVGGHISTYASSAPLYEVGFNHFFRGKDHPGGGDQVFFQGHASPGMYARAFLEGRLTEDDLDGFRQEVSRPQGGMPSYPHPHGMPEFWEFPTVSMGLGPMDAIYQARFNRYLHNRGIKDTSQQHVWAFLGDGEMDEPESRGLIQMAALHNLDNLTFVINCNLQRLDGPVRGNTKIIQELESFFRGAGWSVIKVVWGREWDELFEKDKDGALVNLMNTTHDGDFQTFRANDGAYVREFFFNRDEKTKKLVEDMTDEEIWKLKRGGHDYRKIYAAFKRAMETKDRPTVILAHTIKGYGLGHNFEGRNATHQMKKLTLEDLKHFRDRQGIPISDAELEKDPYLPPYYNPGPDSPEIKYMLERRKELGGFLPERRTNYEPLTVPDVGTMKPLLKGSGKQKVATTMAVVRTFKELMRDKELSKRLVPIIPDEARTFGMDSWFPTLKIYNPHGQNYTPVDNDLMLSYREAVDGQIMHEGINEAGSVASFIAAGTSYATQGVAMIPLYIFYSMFGFQRTGDSIWAAGDQMTRGFLLGATAGRTTLTGEGLQHMDGHSPLLAGTNPAVVSYDPAFAYEVAHLIREGIDRMYGPGRGENVMYYLTIYNEPTPQPAQPENLDVEGLHKGIYLYSPAESGGHQASILASGIGMQAALQARDILAEEYGVHANIFSVTSWNELARDGQRHDLAQLREPAAQIAEPFVAQKLSGVSGPFVAVSDFATALPEQIRKWVPGDYTTLGADGFGFSDTRPAARRYFNIDAESVVVAVLSALAREGKLDISVADDAAKKYKLTDPTSV</t>
  </si>
  <si>
    <t>MADQKLGGSPNDDSNFALIRDGVASYLNDVDPEETAEWMESLDGLLAEATPDRARFLMLRMLERATAKRVALPPLTSTDYVNTIPTSMEPDFPGDEELEKRYRRWMRWNAAIMVHRAQRPEIGVGGHISTYASSAPLYEVGFNHFFRGKDHPGGGDQVFFQGHASPGMYARAFLEGRLTEDDLDGFRQEVSRPQGGMPSYPHPHGMPEFWEFPTVSMGLGPMDAIYQARFNRYLHNRGIKDTSQQHVWAFLGDGEMDEPESRGLIQMAALHNLDNLTFVINCNLQRLDGPVRGNTKIIQELESFFRGAGWSVIKVVWGREWDELFEKDKDGALVNLMNTTHDGDFQTFRANDGAYVREFFFNRDEKTKKLVEDMTDEEIWKLKRGGHDYRKIYAAFKRAMETKDRPTVILAHTIKGYGLGHNFEGRNATHQMKKLTLEDLKHFRDRQGIPISDAELEKDPYLPPYYNPGPDSPEIKYMLERRKELGGFLPERRTNYEPLTVPDVGTMKPLLKGSGKQKVATTMAVVRTFKELMRDKELSKRLVPIIPDEARTFGMDSWFPTLKIYNPHGQNYTPVDNDLMLSYREAVDGQIMHEGINEAGSVASFIAAGTSYATQGVAMIPLYIFYSMFGFQRTGDSIWAAGDQMTRGFLLGATAGRTTLTGEGLQHMDGHSPLLAGTNPAVVSYDPAFAYEVAHLIREGIDRMYGPGRGENVMYYLTIYNEPTPQPAQPENLDVEGLHKGIYLYSPAEDGGHQASILASGIGMQAALQARDILAEEYGVHANIFSVTSWNELARDGQRHDLAQLREPAAQIAEPFVAQKLSGVPGPFVAVSDFATALPEQIRKWVPGDYTTLGADGFGFSDTRPAARRYFNIDAESVVVAVLSALAREGKLDISVADDAAKKYKLTDPTSV</t>
  </si>
  <si>
    <t>MADPKPGKHP-DDTNFALIRDGVASYLNDSDPEETSEWLESLDGLLREASPDRARYLMLRMLERASAKRVPLPAMTSTDYVNTIPTSMEPEFPGDEEIEKRYRRWIRWNSAVMVHRAQRPGIGVGGHISTYAGAAPLYEVGFNYFFRGKDHPGGGDQVFFQGHASPGMYARAFLEGRLSEDDLDGFRQEVSREQGGLPSYPHPHGMKTFWEFPTVSMGLGPMNAIYQAKFNRYLLNRGIKDTSDQHVWAFLGDGEMDEPESRGLIQMAALNNLDNLTFVINCNLQRLDGPVRGNTKIIQELESFFRGAGWSVIKVVWGREWDQLFEADKEGALVDLMNTTADGDFQTMKANDGAYVREHFFGKDPRTAKLVENWTDAEIWKLPRGGHDYRKIYAAYKRALETKDRPTVILAHTIKGYGLGSNFEGRNATHQMKKLTLEDLKKLRDKQGIPITDEELEKDPYLPPYYHPGQDSPEIQYLQARRKELGGYLPERRVNYKPLQVPPLTKLRGLRKGSGKQKVATTMAVVRAFKELLRDPELGKRIVPIVPDEARTFGMDSWFPPLGIYNPHGQNYVPVDHDLMLSYTEKVDGQILHEGISEAGSTASFIAAGTSYATHGEPMIPLYIFYSMFGFQRTGDDFWAAGDQMTRGFILGATAGRTTLTGEGLQHMDGHSPLLAATNPAVVSYDPAFAYEIAHLLLEGIDRMYGPGRGEDVMYYLTIYNEPISQPAEPADLDVEGLHKGIYLYEKATGGDHEVSVLASGIGMQQALRAKEILRDEYNIGTNIFSVTSWVELAREGHEKSRQNLRHPENPPEEAFATKQLRKASGPYIAVSDFASDLQEQIRRFVPGDYTTLGADGFGFSDTRSAARRFFNIDAESIVVAALNALALEGKIDRSVAAEAARRFNLTDPTKA</t>
  </si>
  <si>
    <t>MADPKPGKHP-DDTNFALIRDGVASYLNDSDPEETSEWLESLDGLLREASPDRARYLMLRMLERASAKRVPLPAMTSTDYVNTIPTSMEPEFPGDEEIEKRYRRWIRWNSAVMVHRAQRPGIGVGGHISTYAGAAPLYEVGFNYFFRGKDHPGGGDQVFFQGHASPGMYARAFLEGRLSEDDLDGFRQEVSREQGGLPSYPHPHGMKTFWEFPTVSMGLGPMNAIYQAKFNRYLLNRGIKDTSDQHVWAFLGDGEMDEPESRGLIQMAALNNLDNLTFVINCNLQRLDGPVRGNTKIIQELESFFRGAGWSVIKVVWGREWDQLFEADKEGALVDLMNTTADGDFQTMKANDGAYVREHFFNKDPRTAKLVENWTDAEIWKLPRGGHDYRKIYAAYKRALETKDRPTVILAHTIKGYGLGSNFEGRNATHQMKKLTLEDLKKLRDKQGIPITDEELEKDPYLPPYYHPGQDSPEIQYLQARRKELGGYLPERRVNYKPLQVPPLTKLRGLRKGSGKQKVATTMAVVRAFKELLRDPELGKRIVPIVPDEARTFGMDSWFPPLGIYNPHGQNYVPVDHDLMLSYTEKVNGQILHEGISEAGSTASFIAAGTSYATHGEPMIPLYIFYSMFGFQRTGDDFWAAGDQMTRGFILGATAGRTTLTGEGLQHMDGHSPLLAATNPAVVSYDPAFAYEIAHLLLEGIDRMYGPGRGEDVMYYLTIYNEPIPQPAEPADLDVEGLHKGIYLYEKAAGGDHEVSVLASGIGMQQALRAKEILRDEYNIGTNIFSVTSWVELAREGHEKSRQNLRHPENPPEEAFATKQLRKASGPYIAVSDFASDLQEQIRRFVPGDYTTLGADGFGFSDTRSAARRFFNIDAESIVVAALNALALEGKIDRSVAAEAARRFNLTDPTKA</t>
  </si>
  <si>
    <t>GC_00000880</t>
  </si>
  <si>
    <t>K01754</t>
  </si>
  <si>
    <t>threonine dehydratase [EC:4.3.1.19]</t>
  </si>
  <si>
    <t>COG1171</t>
  </si>
  <si>
    <t>Threonine deaminase (IlvA) (PDB:3IAU)</t>
  </si>
  <si>
    <t>M00975|M00570</t>
  </si>
  <si>
    <t>Betaine degradation, bacteria, betaine =&gt; pyruvate|Isoleucine biosynthesis, threonine =&gt; 2-oxobutanoate =&gt; isoleucine</t>
  </si>
  <si>
    <t>Pathway modules; Amino acid metabolism; Serine and threonine metabolism|Pathway modules; Amino acid metabolism; Branched-chain amino acid metabolism</t>
  </si>
  <si>
    <t>KEGG Orthology (KO)&gt;&gt;&gt;09100 Metabolism&gt;&gt;&gt;09105 Amino acid metabolism&gt;&gt;&gt;00260 Glycine, serine and threonine metabolism [PATH:ko00260]|KEGG Orthology (KO)&gt;&gt;&gt;09100 Metabolism&gt;&gt;&gt;09105 Amino acid metabolism&gt;&gt;&gt;00290 Valine, leucine and isoleucine biosynthesis [PATH:ko00290]|Enzymes&gt;&gt;&gt;4. Lyases&gt;&gt;&gt;4.3  Carbon-nitrogen lyases&gt;&gt;&gt;4.3.1  Ammonia-lyases&gt;&gt;&gt;4.3.1.19  threonine ammonia-lyase</t>
  </si>
  <si>
    <t>--------MGLTHLEPAQSCGYNNRMTSHVTQE----PIHAADIQIAQARISSVIAPTPLQYCPRLSEETGAEVYLKREDLQDVRSYKIRGAYNNISQLSGEERAAGIAAASAGNHAQGVAYACKKLKIKGRIFVPNQTPKQKRDRILVHGGEWVEVVVTGDTFDAANEAAHAYAQETGATVVEPFDARNTIIGQGTVAAEILAQLTAMGKNCDSVVVPVGGGGLISGVVSYMADMAPHTAVIGVEPAHAASMQA</t>
  </si>
  <si>
    <t>MTVRTDSADAGAAAKPTTTAGTPTPSKTSRPTTLPMLPIHAADIQLAQARISSVIAPTPLQYCPRLSEQTGAEVYLKREDLQDVRSYKIRGAYNNIAQLTPEEREAGIVAASAGNHAQGVAYACKKLQIKGRIYVPKQTPKQKLDRIRVHGNGNVELMLTGTTFDEASQAAKEYAAETGATLVEPFDARETIVGQGTVAAEILAQLTALGKQADTIIVPVGGGGLISGVASYLADMAPRTAIVGVEPSSAASMKAALENDGPVTLQDIDPFVDGAAVKRIGDNNYQVMDEHRSRVHLMDVSEGAVCTEMLDLYQNEGIVAEPAGALSVTGLGEYRARKGEVIVCIISGGNNDVLRYNEIVERSLVHRGLKHYFLVDFPQEPGQLRLFLTDILGPNDDITRFEYLKRNNRETGVALVGLQLGDAADMEPLLQRMEESHLHCQQLKPDTPEYGFLV-</t>
  </si>
  <si>
    <t>MTVRTDSADAGAAAKPTTTAGTPTPSKTSRPTTPPMLPIHAADIQLAQARISSVIAPTPLQYCPRLSEQTGAEVYLKREDLQDVRSYKIRGAYNNIAQLTPEEREAGIVAASAGNHAQGVAYACKKLQIKGRIYVPKQTPKQKLDRIRVHGNGNVELMLTGTTFDEASQAAKEYAAETGATLVEPFDARETIVGQGTVAAEILAQLTALGKQADTIIVPVGGGGLISGVASYLADMAPRTAIVGVEPSSAASMKAALENDGPVTLQDIDPFVDGAAVKRIGDNNYQVMDEHRSRVHLMDVSEGAVCTEMLDLYQNEGIVAEPAGALSVTGLGEYRARKGEVIVCIISGGNNDVLRYNEIVERSLVHRGLKHYFLVDFPQEPGQLRLFLTDILGPNDDITRFEYLKRNNRETGVALVGLQLGDAADMEPLLQRMEESHLHCQQLKPDTPEYGFLV-</t>
  </si>
  <si>
    <t>------------------------MNQTAVTTE-----IHAADVQLAQARISATIAPTPLQYCPRLSHLTGAEIYLKREDLQDVRSYKIRGAVNAISQLSDAQRAAGIVAASAGNHAQGVAFACRSMGIPGRIYVPAATPKQKRDRIKVHGGNMVELVVTGANFDEASAAAHDYAEETGATIIEPFAARDTIVGQGTVAAEILSQLSAMGKSPDTIVVPVGGGGLISGILSYLADMSPRTAVVGVEPAGAPSLNA</t>
  </si>
  <si>
    <t>-------------MQKTNGLSCMPMNQTAVTTE-----IHAADVQLAQARISATIAPTPLQYCPRLSHLTGAEIYLKREDLQDVRSYKIRGAVNAISQLSDAQRAAGIVAASAGNHAQGVAFACRSMGIPGRIYVPAATPKQKRDRIKVHGGNMVELVVTGANFDEASAAAHDYAEETGATIIEPFAARDTIVGQGTVAAEILSQLSAMGKSPDTIVVPVGGGGLISGILSYLADMSPRTAVVGVEPAGAPSLNA</t>
  </si>
  <si>
    <t>GC_00000881</t>
  </si>
  <si>
    <t>PF08275.17</t>
  </si>
  <si>
    <t>DNA primase catalytic core, N-terminal domain</t>
  </si>
  <si>
    <t>K02316</t>
  </si>
  <si>
    <t>DNA primase [EC:2.7.7.101]</t>
  </si>
  <si>
    <t>COG0358</t>
  </si>
  <si>
    <t>DNA primase (bacterial type) (DnaG) (PDB:3B39) (PUBMED:28128549)</t>
  </si>
  <si>
    <t>ko00001|ko01000|ko03032</t>
  </si>
  <si>
    <t>KEGG Orthology (KO)&gt;&gt;&gt;09120 Genetic Information Processing&gt;&gt;&gt;09124 Replication and repair&gt;&gt;&gt;03030 DNA replication [PATH:ko03030]|Enzymes&gt;&gt;&gt;2. Transferases&gt;&gt;&gt;2.7  Transferring phosphorus-containing groups&gt;&gt;&gt;2.7.7  Nucleotidyltransferases&gt;&gt;&gt;2.7.7.101  DNA primase DnaG|DNA replication proteins&gt;&gt;&gt;Prokaryotic type&gt;&gt;&gt;DNA Replication Initiation Factors&gt;&gt;&gt;Initiation factors (bacterial)</t>
  </si>
  <si>
    <t>MFSLMGKGRIPESDIQAIRERTAIEEIVGEYVQLKPGGSDSLKGLSPFKDEKTPSFHVRPSRGYYHCFSTGKGGDVFSFLMEMEHISFPEAVEVCAEKIGYQINYEGGGPGRRE-EPGTRQRLVAANKAAHEFYRQQLETDDAATARAFLTDRGFTAEHAHEFGCGYAPAGWDTLTKHLMRKGFDFKELEAAGLSTMGRRGPIDRFHRRLLWPIRNLAGDVIGFGARKLFDDDKLGKYMNTPETMLYKKSKVLFGLDMAKKSIAAGHQAVVVEGYTDVMACHAAGITTAVAACGTAFGEEHLQMLRRLMLDDNFFRGELIYTFDGDEAGQKAAMRAFEGEQQFTGQSYVAVAPDGMDPCDLRLQKGDAAVRDLVASRVPMFEFVIRSLVESYSLDSVDGRVQAIRRAVPVVAGIRDEALRNEYARQLAGWTGWGDPAEIVAQVRAAKAAPKPATKPLRARRFAQATSA-------PVDTAPASTLVLPDPKNPRLWCEREALKVALQYPSLAGSFFDGLEQGCFSNPAYQAVRQAIIDAGGSATGATMSAKQWVPEVSSKVNDLVAQSLIAELAVESMHVSDDSLEAYADSVLARLQEVRVGNQIAQLKGQLQRMRPGDDSAAYNSLFADLVALEQVRRQLLDRAIKPQVR</t>
  </si>
  <si>
    <t>----MAKGRIPESDIAAIRERTPIEDIVGEYVQLKPAGVDSLKGLSPFKDEKTPSFHVRPNRGYFHCFSSGEGGDVFSFLMKMEHISFPEAVEICAEKIGYRINYEGGGPGRRE-EPGTRKRLVAANKAAHEFFRAQLETPGAEAARNFLTERGFSADHAHQFGCGYAPEGWDTLTKHLLRKGFSYEELNAAGLAKMGRRGPIDQFHRRLLWPIKNLAGDVIGFGARKLFDDDNMGKYMNTPDTLLYKKSKVLFG</t>
  </si>
  <si>
    <t>----MAKGRIPESDIAAIRERTPIEDIVGEYVQLKPAGVDSLKGLSPFKDEKTPSFHVRPNRGYFHCFSSGEGGDVFSFLMKMEHISFPEAVEICAEKIGYRINYEGGGPGRRE-EPGTRKRLVAANKAAHEFFRAQLETPEAEAARNFLTERGFSADHAHQFGCGYAPEGWDTLTKHLLRKGFSYEELNAAGLAKMGRRGPIDQFHRRLLWPIKNLAGDVIGFGARKLFDDDNMGKYMNTPDTLLYKKSKVLFG</t>
  </si>
  <si>
    <t>----MARGRIPNSDIQAIRERAAIEEIIGEYVQLKPSGSDSLKGLSPFKDEKTPSFHVRPNHGYYHCFSTGKGGDVFNFLMEMEHLTFPEAVELVADKINYHINYQGGSTGAPAVEPGTRKRLIEANRAAHEFYRKQLETPQAQVARTFLLDRGFSKELIYSFECGYAPEEWDAVTKHLLKK-FTFPELEAAGLSVMGRRGPIDRFRRRLLWPIKNISGDVIGFGARKLFEDDQLGKYLNTPETLLYKKSKVLFG</t>
  </si>
  <si>
    <t>----MARGRIPNSDIQAIRERAAIEEIIGEYVQLKPSGSDSLKGLSPFKDEKTPSFHVRPNHGYYHCFSTGKGGDVFNFLMEMEHLTFPEAVELVADKINYHINYQGGSTGAPAVEPGTRKRLIEANRAAHAFYRKQLETPQAQVARTFLLDRGFSKELIYSFECGYAPEGWDAVTKHLLKK-FTFPELEAAGLSVMGRRGPVDRFRRRLLWPIKNISGDVIGFGARKLFEDDQLGKYLNTPETLLYKKSKVLFG</t>
  </si>
  <si>
    <t>GC_00000882</t>
  </si>
  <si>
    <t>PF04127.22</t>
  </si>
  <si>
    <t>DNA/pantothenate metabolism flavoprotein C-terminal domain</t>
  </si>
  <si>
    <t>K13038</t>
  </si>
  <si>
    <t>phosphopantothenoylcysteine decarboxylase / phosphopantothenate---cysteine ligase [EC:4.1.1.36 6.3.2.5]</t>
  </si>
  <si>
    <t>COG0452</t>
  </si>
  <si>
    <t>Phosphopantothenoylcysteine synthetase/decarboxylase CoaBC (CoaBC) (PDB:3QJG)</t>
  </si>
  <si>
    <t>M00120|M00914</t>
  </si>
  <si>
    <t>Coenzyme A biosynthesis, pantothenate =&gt; CoA|Coenzyme A biosynthesis, archaea, 2-oxoisovalerate =&gt; 4-phosphopantoate =&gt; CoA</t>
  </si>
  <si>
    <t>KEGG Orthology (KO)&gt;&gt;&gt;09100 Metabolism&gt;&gt;&gt;09108 Metabolism of cofactors and vitamins&gt;&gt;&gt;00770 Pantothenate and CoA biosynthesis [PATH:ko00770]|Enzymes&gt;&gt;&gt;4. Lyases&gt;&gt;&gt;4.1  Carbon-carbon lyases&gt;&gt;&gt;4.1.1  Carboxy-lyases&gt;&gt;&gt;4.1.1.36  phosphopantothenoylcysteine decarboxylase|Enzymes&gt;&gt;&gt;6. Ligases&gt;&gt;&gt;6.3  Forming carbon-nitrogen bonds&gt;&gt;&gt;6.3.2  Acid-D-amino-acid ligases (peptide synthases)&gt;&gt;&gt;6.3.2.5  phosphopantothenate---cysteine ligase (CTP)</t>
  </si>
  <si>
    <t>MSQSAAHKPTDKPARLNVVVGVAGGIAAYKACNLIRLFKEQGHDVTAVPTESALRFVGAATFEALSGNPVSTTVFEAVDEVRHVSVGKNADLLVIAPATADLIARLAAGRAADLLTATALMATCPVVVAPAMHTEMWQHPATQANVATLRSRGVIVIDPAHGRLTGSDSGPGRLPDPEQIHQLALAAVDGANFARDLDGQKVVITAGGTVEDIDPVRFISNRSSGKQGFALAEIAAQRGADVVLITGNVD-DMPAPISARIV-PVRSAQDMLDAVRTEVFADGAAAADVLIMAAAVADYRPEYTATSKIKKGS-TNELRSIQLMENPDILATVVKQRDAGD-NPDLTIVGFAAETGDDKYSALEYAQQKIARKGCDVLMCNEVGVNKVFGQSTNAGWLVNKDGGYSDVERASKLVVASKILDSLHI--------</t>
  </si>
  <si>
    <t>GC_00000883</t>
  </si>
  <si>
    <t>PF13603.12</t>
  </si>
  <si>
    <t>Leucyl-tRNA synthetase, editing domain</t>
  </si>
  <si>
    <t>K01869</t>
  </si>
  <si>
    <t>leucyl-tRNA synthetase [EC:6.1.1.4]</t>
  </si>
  <si>
    <t>COG0495</t>
  </si>
  <si>
    <t>Leucyl-tRNA synthetase (LeuS) (PDB:6LPF)</t>
  </si>
  <si>
    <t>KEGG Orthology (KO)&gt;&gt;&gt;09120 Genetic Information Processing&gt;&gt;&gt;09122 Translation&gt;&gt;&gt;00970 Aminoacyl-tRNA biosynthesis [PATH:ko00970]|Enzymes&gt;&gt;&gt;6. Ligases&gt;&gt;&gt;6.1  Forming carbon-oxygen bonds&gt;&gt;&gt;6.1.1  Ligases forming aminoacyl-tRNA and related compounds&gt;&gt;&gt;6.1.1.4  leucine---tRNA ligase|Amino acid related enzymes&gt;&gt;&gt;Aminoacyl-tRNA synthetase&gt;&gt;&gt;Class I (U)|Transfer RNA biogenesis&gt;&gt;&gt;Eukaryotic type&gt;&gt;&gt;Aminoacyl-tRNA synthetases (AARSs)&gt;&gt;&gt;Multi-aminoacyl-tRNA synthetase complex (MSC)|Transfer RNA biogenesis&gt;&gt;&gt;Prokaryotic type&gt;&gt;&gt;Aminoacyl-tRNA synthetases (AARSs)&gt;&gt;&gt;Multi-aminoacyl-tRNA synthetase complex (MSC)|Mitochondrial biogenesis&gt;&gt;&gt;Mitochondrial DNA transcription, translation, and replication factors&gt;&gt;&gt;Mitochondrial transcription and translation factors&gt;&gt;&gt;Other mitochondrial DNA transcription and translation factors</t>
  </si>
  <si>
    <t>-----MTPEHRYSPELAGQIESAWQNYWIDNGTFNAPNPVGNLAVENPANPGAADKPKLFVQDMFPFPSGAGLHVGHPLGYIATDVYARYNRMLGKNVLHTLGYDAFGLPAEQYAIQTGTHPRIKTQESIDNMERQLGRLGLGHDRRRSVATTDVEFYKWTQWIFLQIFNAYFDQDEQKAKPIAQLIERLERGEVE---------GHEDYPTLDRAAQAEVVDSFRLVYRSNSMVNWCPGLGTVLANEEVTADGK</t>
  </si>
  <si>
    <t>MTNPSETPAHRYSPELAATIEKTWQKFWIDNGTFNAPNPVGDLA---PTGGETLPEEKLFVQDMFPFPSGAGLHVGHPLGYIATDVFGRYNRMLGKNVLHTLGYDAFGLPAEQYAIQTGTHPRVKTQESISNMERQLGRLGLAHDKRRAVATTDVEFYRWTQWIFLQIFNAWFDPAQQKARPIAELHPLLESGEVTVPEELAVKFGTSAYAELTPQQKAEVVDSFRLVYRTNSLVNWCPGLGTVLANEEVTADGRSERGNFPVFRKNLSQWMMRITAYADRLLDDLALLDWPDKVKSMQQNWIGRSRGAEVDFAV-----EAAAGEAVAGEATITVFTTRPDTLFGATYMVLAPEHPLVDALVDAAPANAYAADAVDARWTFGHSTPSKAVAAYRASIAAKSDLERQENKEKTGVFLGVYATNPVNGARIPVFIADYVLTGYGTGAIMAVPAHDSRDYEFAGEFGLPLVEVVAGGDISVEAYTEAGVAVNSANESGLDINGLGKEDAIAAVISWLEARSLGREKIQYKLRDWLFARQRYWGEPFPIVYDADGIAHGLPESMLPIELPDVEDYNPVSFDPNDADSEPQPPLAKAKDWVEVELDLGDGVQRYTRDTNVMPQWAGSSWYQLRYIDPTNADEFCNIDNERYWTGP---RSTSDSGGVDLYVGGVEHAVLHLLYARFWHKVLYDLGYVTSREPYRRLYNQGYIQAFAYVDSRGMYVPAAEVEERDGRFFYNGEEVTQEYGKMGKSLKNSVSPEEICDDYGADTLRVYEMAMGPLDTSRPWATKDVVGAQRFLQRLWRLVIDENTGNLVVVDDAVLTDDDNKALHRTVAGVREDYAELRLNTVVAKLIEYVNYLTKAYPA-GAPRSAVEPVVLMVAPVAPHIAEELWTRLGNKTADGTVAYEPFPTFDEQWLVDDTIELPVQVNGKVRGRVTVAVDAAQADIIAAALADPGIANHVEGKTVVKEIVVPGRMVNLVVK</t>
  </si>
  <si>
    <t>MTNPSETPAHRYSPELAATIEKTWQKFWIDNGTFNAPNPVGDLA---PTGGETLPEEKLFVQDMFPFPSGAGLHVGHPLGYIATDVFGRYNRMLGKNVLHTLGYDAFGLPAEQYAIQTGTHPRVKTQESISNMERQLGRLGLAHDKRRAVATTDVEFYRWTQWIFLQIFNAWFDPAQQKARPIAELHPLLESGEVTVPEELAVKFGTSAYAELTPQQKAEVVDSFRLVYRTNSLVNWCPGLGTVLANEEVTADGRSERGNFPVFRKNLSQWMMRITAYADRLLDDLALLDWPDKVKSMQQNWIGRSRGAEVDFAVEADTGEAVAGEAVAGEATITVFTTRPDTLFGATYMVLAPEHPLVDALVDAAPANAYAADAVDARWTFGHSTPSKAVAAYRASIAAKSDLERQENKEKTGVFLGVYATNPVNGARIPVFIADYVLTGYGTGAIMAVPAHDSRDYEFAGEFGLPLVEVVAGGDISVEAYTEAGVAVNSANESGLDINGLGKEDAIAAVISWLEARSLGREKIQYKLRDWLFARQRYWGEPFPIVYDADGIAHGLPESMLPIELPDVEDYNPVSFDPNDADSEPQPPLAKAKDWVEVELDLGDGVQRYTRDTNVMPQWAGSSWYQLRYIDPTNADEFCNIDNERYWTGP---RSTSDSGGVDLYVGGVEHAVLHLLYARFWHKVLYDLGYVTSREPYRRLYNQGYIQAFAYVDSRGVYVPAAEVEERDGRFFYNGEEVSQEYGKMGKSLKNSVSPEEICDDYGADTLRVYEMAMGPLDTSRPWATKDVVGAQRFLQRLWRLVIDENTGNLVVVDDAVLTDDDNKALHRTVAGVREDYAELRLNTVVAKLIEYVNYLTKAYPA-GAPRSAVEPVVLMVAPVAPHIAEELWTRLGNKTADGTVAYEPFPTFDEQWLVDDTIELPVQVNGKVRGRVTVAGDAAQADIIAAALADPGIANHVEGKTVVKEIVVPGRMVNLVVK</t>
  </si>
  <si>
    <t>MNNPSEVPAHRYSPELAGVIEKKWQTLWRENGTFQAPNPVGTLA-----TGVELPSNKLFVQDMFPFPSGAGLHVGHPLGYIATDTFARFNRMLGKNVLHTLGYDAFGLPAEQYAIQTGTHPAIKTQESIENMERQLGRLGLGHDKRRAIATTDEDYYRWTQWIFLQIFNAWFDTESNKARRITELVPLLEDGSRPVPEKLAQEFGTSDFTKLDKVQQSKVIDEYRLVYRSYSMVNWCPGLGTVLANEEVTADGRSERGNFPVFRKKLSQWMMRITAYADRLIDDLEVLDWPDKVKNMQRNWIGRSRGAEVDFTA-------------AGH-SITVFTTRPDTLFGATYLVLAPEHELVDALTADTP---YPAG-TDSRWTGGRVTPAAAVAAYRAAIAAKSDVERQENKDKTGVFLGTYATNPVNGEQVPIFIADYVLTGYGTGAIMAVPAHDTRDYEFATVFGLPIVPVL-DGDVTTEAFVGDAPHINSANADGLDINGKDTPTAIADTIAWLVAHNVGTEKIQYKLRDWLFARQRYWGEPFPIVYDENDVAHALPESSLPVVLPEVEDYKPVSFDPDDADSVPHPPLAKATDWVNVELDLGDGLKHYRRDTNVMPQWAGSSWYQLRYIDPQNPDEFCALENERYWTGP---QSPGDCGGVDLYVGGVEHAVLHLMYARFWHKVLFDLGYVSSYEPYRRLYNQGYIQAFAYTDSRGVYVPAAEVEERDGKFYYQGEEVTQEYGKMGKSLKNSVSPDEICDDYGADTLRVYEMAMGPLDTSRPWATKDVVGAQRFLQRLWRLVVDEETGD-VTVSDAELDDDTAKALHRTIAGIRDDYENLRLNTVVAKAIEYVNFLTKHFATTSVPRAAVTPIVIMIAPIAPHIAEELWQRLGH---DDTITYAKFPTFDEKWLVDDEIELPVQINGKVRSRIMVPTEADRDQIAAIALADATIQSHIADKTVVKQIVVPGRMVNLVVK</t>
  </si>
  <si>
    <t>MNNPSEVPAHRYSPELAGVIEKKWQTLWRENGTFQAPNPVGTLA-----TGAELPSNKLFVQDMFPFPSGAGLHVGHPLGYIATDTFARFNRMLGKNVLHTLGYDAFGLPAEQYAIQTGTHPAIKTQESIENMERQLGRLGLGHDKRRAIATTDEDYYRWTQWIFLQIFNAWFDAESNKARRIAELVPLLENGSRPVPEKLAQEFGTSDFTKLDKVQQAKVIDEYRLVYRSYSMVNWCPGLGTVLANEEVTADGRSERGNFPVFRKKLSQWMMRITAYADRLIDDLEVLDWPDKVKNMQRNWIGRSRGAEVDFTA-------------AGH-SITVFTTRPDTLFGATYLVLAPEHELVDALTADTP---YPAG-TDSRWTGGQATPAAAVAAYRAAIAAKSDVERQENKDKTGVFLGTYATNPVNGEQVPIFIADYVLTGYGTGAIMAVPAHDTRDYEFATVFGLPIVPVL-DGDVTTEAFVGDAPHINSANTDGLDINGKDTPTAIADTIAWLVAHNVGTEKIQYKLRDWLFARQRYWGEPFPIVYDENDVAHALPESSLPVVLPEVEDYKPVSFDPDDADSVPHPPLAKATDWVNVELDLGDGLKHYRRDTNVMPQWAGSSWYQLRYIDPQNPDEFCALENERYWTGP---QFPGDCGGVDLYVGGVEHAVLHLMYARFWHKVLFDLGYVSSYEPYRRLYNQGYIQAFAYTDSRGVYVPAAEVEERDGKFYYQGEEVTQEYGKMGKSLKNSVSPDEICDDYGADTLRVYEMAMGPLDTSRPWATKDVVGAQRFLQRLWRLVVDEETGD-VTVSDAELDDDTAKALHRTIAGIRDDYENLRLNTVVAKAIEYVNFLTKHFAATPVPRAAVIPIVIMIAPIAPHIAEELWQRLGH---DDTITYVDFPIFDEKWLVDDEIELPVQINGKVRSRIMVPTEADRDQIAAIALADATIQSHIADKTVVKQIVVPGRMVNLVVK</t>
  </si>
  <si>
    <t>GC_00000884</t>
  </si>
  <si>
    <t>K07056</t>
  </si>
  <si>
    <t>16S rRNA (cytidine1402-2'-O)-methyltransferase [EC:2.1.1.198]</t>
  </si>
  <si>
    <t>COG0313</t>
  </si>
  <si>
    <t>16S rRNA C1402 (ribose-2'-O) methylase RsmI (RsmI) (PDB:3KWP) (PUBMED:24078611)</t>
  </si>
  <si>
    <t>Enzymes&gt;&gt;&gt;2. Transferases&gt;&gt;&gt;2.1  Transferring one-carbon groups&gt;&gt;&gt;2.1.1  Methyltransferases&gt;&gt;&gt;2.1.1.198  16S rRNA (cytidine1402-2'-O)-methyltransferase|Ribosome biogenesis&gt;&gt;&gt;Prokaryotic type&gt;&gt;&gt;rRNA modification factors&gt;&gt;&gt;16S rRNA modification factors</t>
  </si>
  <si>
    <t>MLVGMISDDAPAAATLEDGYVLGVVVAGTPLGNAGDASPRLQRALAVADVIAAEDTRRTRALCDALGVVPRGKIVSNFDHNEASRVEGLLEVARSGMVLVVSDAGMPVVSDPGFPLVEAAHDAGIRVSSVPGPSAVTTALALCGLRVGHFAFDGFAPRKPGARRAWLESLRGERRAVCFFESPHRIASTLDDAASVLGEQRRVAVCRELTKAFEEVKRGSLGEVAAWAQGGVRGEITVVLEGAAASAQPVGEDELAACVEEVERLVASGERLKSACAWVAERVGGVSKKQLYEAVLLARSEG</t>
  </si>
  <si>
    <t>--MNIPVEPLPR----------GIIIAATPLGNVGDASPRLAQALAQADVIAAEDTRRTRSLAAALGVEITGRVVSNFDHNEQDRVTQLLDAARTGTVVVVTDAGMPSVSDPGFALIDAAHTAGLPVTCFPGPSAVPTALALSGLPVGRFCFDGFAPRKSGARRAWLEELRGEKRAVCFFESPHRISDTLSEAAEVLGEDRRAAVCRELTKTFEEVRRGGLGELADWARDGIRGEVSVVIEGTTQAGADV---NL</t>
  </si>
  <si>
    <t>------MTPLPR----------GIILAATPLGNIDDATPRLRQALAEADYIAAEDTRRTRNLAQALGVELRGQILSNFDHNEQDRVEQLIHHARTATVVVVTDAGMPIVSDPGFPLVAAAHDSGVPITCFPGPSAVPVAIALSGLHVGKFAFDGFAPRKSGARRAWLESLITEERAVCFFESPHRIAATLADAVEILGPDRRAAVARELTKIYEEVRRGTLAELADWTAGGIKGEITCVIEGSLPETRTI---EL</t>
  </si>
  <si>
    <t>------MTPLPR----------GIILAATPLGNIDDATPRLRQALAEADYIAAEDTRRTRNLAQALGVELRGQVLSNFDHNEQDRVEQLIHHARTATVVVVTDAGMPIVSDPGFPLVAAAHDAGVPITCFPGPSAVPVAIALSGLHVGKFAFDGFAPRKSGARRAWLESLITEERAVCFFESPHRIAATLAEAVEILGPNRRAVVARELTKIYEEVRRGTLAELADWTAGGIKGEITCVIEGALPETRTI---EL</t>
  </si>
  <si>
    <t>GC_00000885</t>
  </si>
  <si>
    <t>PF00448.28</t>
  </si>
  <si>
    <t>SRP54-type protein, GTPase domain</t>
  </si>
  <si>
    <t>K03106</t>
  </si>
  <si>
    <t>signal recognition particle subunit SRP54 [EC:3.6.5.4]</t>
  </si>
  <si>
    <t>COG0541</t>
  </si>
  <si>
    <t>Signal recognition particle GTPase (Ffh) (PDB:2V3C)</t>
  </si>
  <si>
    <t>ko00001|ko00001|ko00001|ko01000|ko02044|ko02044</t>
  </si>
  <si>
    <t>KEGG Orthology (KO)&gt;&gt;&gt;09120 Genetic Information Processing&gt;&gt;&gt;09123 Folding, sorting and degradation&gt;&gt;&gt;03060 Protein export [PATH:ko03060]|KEGG Orthology (KO)&gt;&gt;&gt;09130 Environmental Information Processing&gt;&gt;&gt;09131 Membrane transport&gt;&gt;&gt;03070 Bacterial secretion system [PATH:ko03070]|KEGG Orthology (KO)&gt;&gt;&gt;09140 Cellular Processes&gt;&gt;&gt;09145 Cellular community - prokaryotes&gt;&gt;&gt;02024 Quorum sensing [PATH:ko02024]|Enzymes&gt;&gt;&gt;3. Hydrolases&gt;&gt;&gt;3.6  Acting on acid anhydrides&gt;&gt;&gt;3.6.5  Acting on GTP to facilitate cellular and subcellular movement&gt;&gt;&gt;3.6.5.4  signal-recognition-particle GTPase|Secretion system&gt;&gt;&gt;Sec (secretion) system&gt;&gt;&gt;Prokaryotic Sec-SRP core components|Secretion system&gt;&gt;&gt;Sec (secretion) system&gt;&gt;&gt;Eukaryotic Sec-SRP protein</t>
  </si>
  <si>
    <t>MFESLSDRLTGALGGLRGKGKLTEADINATAREIRLALLEADVSLPVVRAFIKRIKERALGADVSAALNPAQQVIKIVNEELQQILGGETERLRLAKNPPTVIMLAGLQGAGKTTLAGKLSAYLAKQGHTPMLVACDLQRPGAVQQLQIVAERAGVACFAPDPGTALDSHDHVMGTSHGDPVEVARRGIDEARRTQHDVVIVDTAGRLGIDQELMTQARNIRDAINPDEVLFVIDAMIGQDAVSTAEAFRDGVDFTGVVLTKLDGDARGGAALSIREVTGRPIKFASTGEKLEDFDVFHPERMASRILGMGDVLTLIEQAEAKIDQQEAMASATKMFSGELTLDDFLNQMQMIRRMGPLGNLLKMLPGGKQMSQMADMVDEKQLDRIQAIIRGMTPEERANPSILNASRRKRIANGSGVTVADVNQLVKRFEDAKKMMGQMTGQF-----QGRSATKKKPKGRKGKNGKRKPAKGRGPSRGPAMPNIPGMPNMAELQKLQENAGGLGASDEGMQ--GMPSVEELEKMQKQLGKG----LP-GMGGLGGFPGMPGMGGFGKK----</t>
  </si>
  <si>
    <t>MFESLSDRLTGALQGLRGKGKLSEADINATAREIRLALLEADVSLPVVRAFIKRIKERAAGAEVSQALNPAQQVVKIVNEELIDILGGETRRLQLAKTPPTVIMLAGLQGAGKTTLAGKLAKHLAGQGHTPMLVACDLQRPGAVQQLQIVAERAGVSCFAPDPGTAIDSHDHDMGTSHGDPVDVARRGIEEAKRTQHDVVIVDTAGRLGIDETLMTQARNIRDAVNPDEVLFVIDAMIGQDAVATAEAFRDGVDFTGVVLTKLDGDARGGAALSIREVTGKPIMYASTGEKQDDFDVFHPERMASRILGMGDMLTLIEQAEAVMDEEKALEAASRLGSGELTLEDFLDQMLMIRRMGPLGNILKMLPGGKQMSEMADMVDEKHLDRIQAIIRGMTPEERINPKILNASRRKRIANGSGVTVTDVNQLVERFFEAKKMMGAMAGQMGMGGMGKRSATKKKPKGRKGKNGKRKGGGRRGPSQ-PRMP-MGGFP-------------GMGGGMPGMPGGGMPDMAELQKLQQQMGGK----LPKGMENI-DFSQL-GIEQDKKK----</t>
  </si>
  <si>
    <t>MFESLSDRLTGALQGLRGKGKLSEADINATAREIRLALLEADVSLPVVRAFIKRIKERAAGAEVSQALNPAQQVVKIVNEELIDILGGETRRLQLAKTPPTVIMLAGLQGAGKTTLAGKLAKHLAGQGHTPMLVACDLQRPGAVQQLQIVAERAGVSCFAPDPGTAIDSHDHDMGTSHGDPVDVARRGIEEAKRTQHDVVIVDTAGRLGIDETLMTQARNIRDAVNPDEVLFVIDAMIGQDAVATAEAFRDGVDFTGVVLTKLDGDARGGAALSIREVTGKPIMYASTGEKQDDFDVFHPERMASRILGMGDMLTLIEQAEAVMDEEKALEAASRLGSGELTLEDFLDQMLMIRRMGPLGNILKMLPGGKQMSEMADMVDEKHLDRIQAIIRGMTPEERINPKILNASRRKRIANGSGVTVTDVNQLVERFFEAKKMMGAMAGQMGMGGMSKRSATKKKPKGRKGKNGKRKGGGRRGPSQ-PRMP-MGGFP-------------GMGGGMPGMPGGGMPDMAELQKLQQQMGGK----LPKGMENI-DFSQL-GIEQDKKK----</t>
  </si>
  <si>
    <t>MFESLSDRLSAALSGLRSKGKVTEADVNTVSREIRLALLEADVSLPVVRGFIKRIKERALGVEVSKALNPAEQVIKIVNEELTTILGGETRRMNVSKKPPTVIMLAGLQGAGKTTLAGKLAYSLKEQGHTPILVACDLQRPGAVQQLQIVGERAGVPTFAPDPGTSLDTLEHEMGTSHGDPVAVARAGVAEARQKKHDYVIVDTAGRLGIDETLMTQARNIRDAIQPDEVFFVIDAMIGQDAVTTAEAFRDGVDFTGVVLTKLDGDARGGAALSIREVTGKPIMFASTGEKMTDFDVFHPDRMANRILGMGDVLTLIEQAEKSLDQEQALETASKLSTGELTLEDFLNQMLMIRKMGPIANLLKMLPGGSQMSAMADMIDEKQLDRVQAIIRGMTPLERNNPKILNASRRRRIANGSGVTVTEVNQLIERFFEAKKMMGQMANQMGFG--GGRSATKKKPKGRKGKNGKRRPPKQ---SRGGGMPNMGGMP-------------GMGG--------GMPSMAELQKMQEQLGGGGMPPMPKGLEGV-DLNNLDFSQVDKKKKRPR</t>
  </si>
  <si>
    <t>MFESLSDRLSAALSGLRSKGKVTEADVNTVSREIRLALLEADVSLPVVRGFIKRIKERALGVEVSKALNPAEQVIKIVNEELTTILGGETRRMNVSKKPPTVIMLAGLQGAGKTTLAGKLAYSLKEQGHTPILVACDLQRPGAVQQLQIVGERAGVPTFAPDPGTSLDTLEHEMGTSHGDPVAVARAGVAEARQKKHDYVIVDTAGRLGIDETLMTQARNIRDAIQPDEVFFVIDAMIGQDAVTTAEAFRDGVDFTGVVLTKLDGDARGGAALSIREVTGKPIMFASTGEKMTDFDVFHPDRMANRILGMGDVLTLIEQAEKSLDQEQALETASKLSTGELTLEDFLNQMLMIRKMGPIANLLKMLPGGSQMSAMADMIDEKQLDRVQAIIRGMTPLERNNPKILNASRRRRIANGSGVTVTEVNQLIERFFEAKKMMGQMANQMGLG--GGRSATKKKPKGRKGKNGKRRPPKQ---SRGGGMPNMGGMP-------------GMGG--------GMPSMAELQKMQEQLGGGGMPPMPKGLEGV-DLNNLDFSQVDKKKKRPR</t>
  </si>
  <si>
    <t>GC_00000886</t>
  </si>
  <si>
    <t>PF11896.14</t>
  </si>
  <si>
    <t>Alpha-1,4-glucan:maltose-1-phosphate maltosyltransferase, domain N/S</t>
  </si>
  <si>
    <t>K16147</t>
  </si>
  <si>
    <t>starch synthase (maltosyl-transferring) [EC:2.4.99.16]</t>
  </si>
  <si>
    <t>COG0366</t>
  </si>
  <si>
    <t>Glycosidase/amylase (phosphorylase) (AmyA) (PDB:2P67) (PUBMED:29684280)</t>
  </si>
  <si>
    <t>KEGG Orthology (KO)&gt;&gt;&gt;09100 Metabolism&gt;&gt;&gt;09101 Carbohydrate metabolism&gt;&gt;&gt;00500 Starch and sucrose metabolism [PATH:ko00500]|Enzymes&gt;&gt;&gt;2. Transferases&gt;&gt;&gt;2.4  Glycosyltransferases&gt;&gt;&gt;2.4.99  Transferring other glycosyl groups&gt;&gt;&gt;2.4.99.16  starch synthase (maltosyl-transferring)</t>
  </si>
  <si>
    <t>MTVRQNARLGIDDVRPSIAGGTIPAKAVVGEVIPVFALIWREGHDALSATLNVKGPKDSPSAAKTKKITMQHSPSDPDQVNAVFVPDAIGTWTFRIDAWSDPMATWRHAVTAKIDAGQSPEELANDLESGARLFERAAQGAP-KAHRPMLLDVAECLRSEDKELRARVAPGLSRDVLQLLELHPVRDLLTRGKTYKVAVERSKALVSSWYEFFPRSTGGWDDQGNPVHGTLKTAARELERAARMGFDTVYFPPIHPIGEVNRKGRNNTLTPESHDVGSPWAIGSAAGGHDAIHPDLGTLKDFDALIKKAKQLGIEIALDLALQCAPDHPWAAEHPEWFTVLPDGTIAYAENPPKKYQDIYPLNFDNDPDGIYAEILRVVLFWVKRGVKTFRVDNPHTKPANFWDWLIESVHATHPEVIFLAEAFTRRPRLYGLAMAGFSQNYTYFTWQTSKWELEQFGQEIARMADVSRPNLFVNTPDILHASLQHGGRAMFAIRAVLASTMSPLWGMYSGYELYEHQAVAPGSEEYLDSEKYELRPRDYDAALASGDSLEPFITRLNQIRSTNSALQQLRNIHFHAVDNDNIIAYSKVNTLTGNAVLVVVNLDPNNAQESAVHLNLHALGLDGRDHFEVHDEVTGATYTWGEHNFVRLEPWSNVAHIFVLPTVPSAAREQLAWRHVDTYNA</t>
  </si>
  <si>
    <t>----MTGRLGIDDVRPVVSGGAYPSKAVVGELIPVFAFVWREGHDALSATLNVKGPDDSSVAPRTKRIPMQRSDDDPDQVNAIFVPDVPGRWTFRVDVWSDPLATWRHAVTAKIEAGQSAEELANDLEHGARLFEKAAKAVP-KAQRPHLQDVAQSLRG-NGDLRARVAPGLSRETLNILELHPLRELLTRGKGHKVNVERRKALVSSWYEFFPRSTGGWDENGNPVHGTFATAAEELDRVARMGFDTVYFPPIH</t>
  </si>
  <si>
    <t>----MTGRLGIDDVRPVVSGGAYPSKAVVGELIPVFAFVWREGHDALSATLNVKGPDDSSVAPRTKRIPMQRSDNDPDQVNAIFVPDVPGRWTFRVDVWSDPLATWRHAVTAKIEAGQSAEELANDLEHGARLFEKAAKAVP-KAQRPHLQDVAQSLRG-NGDLRARVAPGLSRETLNILELHPLRELLTRGKGHKVNVERRKALVSSWYEFFPRSTGGWDENGNPVHGTFATAAEELDRVARMGFDTVYFPPIH</t>
  </si>
  <si>
    <t>----MTGRLAIEDVRPQLSAGTYPSKAVVGELVPVSAQVWREGHDAISATLTITGPKDSQIAASPLHITMHQDEFNEDLVHAFFIPDVMGTWTFQVDAWSDPMRTWRHAVTKKIEAGQSEEELANDLIHGADLFDKAAKGVPDKSQRKVLQAIAKELRTHKEQLRTRVAPALSETTLSILAEHPLRELLTTGQPNAVLVERRDALVNSWYELFPRSTGGVDADGNPIHGTFETTARALNRVAKMGFDTVYFPPIH</t>
  </si>
  <si>
    <t>GC_00000887</t>
  </si>
  <si>
    <t>PF04107.18</t>
  </si>
  <si>
    <t>Glutamate-cysteine ligase family 2(GCS2)</t>
  </si>
  <si>
    <t>K06048</t>
  </si>
  <si>
    <t>glutamate---cysteine ligase / carboxylate-amine ligase [EC:6.3.2.2 6.3.-.-]</t>
  </si>
  <si>
    <t>COG2170</t>
  </si>
  <si>
    <t>Gamma-glutamyl:cysteine ligase YbdK, ATP-grasp superfamily (YbdK) (PDB:1R8G) (PUBMED:15211520)</t>
  </si>
  <si>
    <t>KEGG Orthology (KO)&gt;&gt;&gt;09100 Metabolism&gt;&gt;&gt;09106 Metabolism of other amino acids&gt;&gt;&gt;00480 Glutathione metabolism [PATH:ko00480]|Enzymes&gt;&gt;&gt;6. Ligases&gt;&gt;&gt;6.3  Forming carbon-nitrogen bonds&gt;&gt;&gt;6.3.2  Acid-D-amino-acid ligases (peptide synthases)&gt;&gt;&gt;6.3.2.2  glutamate---cysteine ligase</t>
  </si>
  <si>
    <t>--MFP---GSGPTVGIEYELALIDSEGQLVNRAQAVIDAASPMLAKCEAEVP--RLEREFLANTVEVVTGVCDTIPQAMKQIRGGVRAVAEAAEGEGLAVWSAGSHPFAQWEDQEVSDKGTYSEIIERTQFWGRQMLIWGLHVHVGVSEQRRVWPIINALMVKFPHLLALSASSPAWNGVDTGYASNRTMLYQQLPTADIPYTFRSWAEYEDYMEQQGRSGVTSHTGSMHFDIRPAVEYGTVEVRVCDAPASLDD</t>
  </si>
  <si>
    <t>MDLLPFNRSDKPTLGLEWELALVDPV------TRDLVPRAPEIVQRVAETHPDIHIEREFLANTVELVTSVCETVPEAVEELRRGLHAVRSAAAELGLRVWTAGSHPFSDWQTQPVSEKGTYTEIIERTQFWGRQMLIWGIHAHVGIRHEDRVWPLIHALMTCHPHMLALSSSSPGWNGLDTGYASNRTMLYQQLPTAGLPPQIHSWEEWSSYMKDQSRSGVINHTGSMHLDIRPAGKWGTVELRVCDSVSSTIELAALSAFMHCLVVYFDEKI---------DRGEP-----LPSLQPWHVEENKWRAARYGMDAIIIKNRDTDEILVREDLEWWVRELGETAQKLGCYPQLCDVSQMIYRTPNYARQRELYRVANNWNPAVDAICDEIERD-</t>
  </si>
  <si>
    <t>MDLLPFNRSDKPTLGLEWELALVDPV------TRDLVPRAPEIVQRVAETHPDIHIEREFLANTVELVTSVCETVPEAVEELRRGLHAVRSAAAELGLRVWTAGSHPFSDWQTQPVSEKGTYTEIIERTQFWGRQMLIWGIHAHVGIRHEDRVWPLIHALMTCHPHMLALSSSSPGWNGLDTGYASNRTMLYQQLPTAGLPPQIHSWEEWSSYMKDQSRSGVINHTGSMHLDIRPAGKWGTVELRVCDSVSNTIELAALSAFMHCLVVYFDEKI---------DRGEP-----LPSLQPWHVEENKWRAARYGMDAIIIKNRDTDEILVREDLEWWVRELGETAQKLGCYPQLCDVSQMIYRTPNYARQRELYRVANNWNPAVDAICDEIERD-</t>
  </si>
  <si>
    <t>--MQEFHASAQPTLGVEWEVALIDPV------TRDLVSRAADVVALVQAEHPEIHLEREFLANTVELVTPVCHTVPEAVASLRVALDAVKAAADSLGLKLWGSGSHPFCDFRTQPTSDKGHYSEIIERTRYWGNQMLIWGIHTHVGISDKERVWPIINALLTKFPHLLALTASSPGWEGIDTGYASNRTMLYQQLPTAGLPYQFQSWSEWEDYMRDQDRSGVINHTGSMHFDIRPAGKWGTVEVRICDSTSNLRE</t>
  </si>
  <si>
    <t>GC_00000888</t>
  </si>
  <si>
    <t>PF02826.25</t>
  </si>
  <si>
    <t>D-isomer specific 2-hydroxyacid dehydrogenase, NAD binding domain</t>
  </si>
  <si>
    <t>K00058</t>
  </si>
  <si>
    <t>D-3-phosphoglycerate dehydrogenase / 2-oxoglutarate reductase [EC:1.1.1.95 1.1.1.399]</t>
  </si>
  <si>
    <t>COG0111</t>
  </si>
  <si>
    <t>Phosphoglycerate dehydrogenase or related dehydrogenase (SerA) (PDB:3OET)</t>
  </si>
  <si>
    <t>ko00001|ko00001|ko00001|ko01000|ko01000|ko04147</t>
  </si>
  <si>
    <t>KEGG Orthology (KO)&gt;&gt;&gt;09100 Metabolism&gt;&gt;&gt;09102 Energy metabolism&gt;&gt;&gt;00680 Methane metabolism [PATH:ko00680]|KEGG Orthology (KO)&gt;&gt;&gt;09100 Metabolism&gt;&gt;&gt;09105 Amino acid metabolism&gt;&gt;&gt;00260 Glycine, serine and threonine metabolism [PATH:ko00260]|KEGG Orthology (KO)&gt;&gt;&gt;09100 Metabolism&gt;&gt;&gt;09105 Amino acid metabolism&gt;&gt;&gt;00270 Cysteine and methionine metabolism [PATH:ko00270]|Enzymes&gt;&gt;&gt;1. Oxidoreductases&gt;&gt;&gt;1.1  Acting on the CH-OH group of donors&gt;&gt;&gt;1.1.1  With NAD+ or NADP+ as acceptor&gt;&gt;&gt;1.1.1.95  phosphoglycerate dehydrogenase|Enzymes&gt;&gt;&gt;1. Oxidoreductases&gt;&gt;&gt;1.1  Acting on the CH-OH group of donors&gt;&gt;&gt;1.1.1  With NAD+ or NADP+ as acceptor&gt;&gt;&gt;1.1.1.399  2-oxoglutarate reductase|Exosome&gt;&gt;&gt;Exosomal proteins&gt;&gt;&gt;Exosomal proteins of other body fluids (saliva and urine)</t>
  </si>
  <si>
    <t>MSQ---PVVLIADKLAQSTVDALGDKVEVRWVDGPNRPELLAAVADADALLVRSATTVDREVLEAAPNLKIVGRAGVGLDNVDIPAATERGVMVCNAPTSNIHSACEHAIALLLSTARQIPAADKTLREGEWKRSSFNGVEIFDKTVGIVGFGHIGQLFAQRLAAFETTIIAYDPYANPTRAAQLGVELV-ELEELMGRSDFVTIHLPKTKETAGMFDKDLLAKAKKGQIIVNAARGGLVDEQALADAITSGHIRGAGFDVYASEPCTDSPLFALPQVVVTPHLGASTVEAQDRAGTDVADSVLKALAGEFVADAVNVEGGRVAEEVALWLDLARKLGLVAAEVLDSACDTIEVEARGELSHEQVDALGLSAMRGVFSGIVDEPVTFVNAPRIAEERGVTLKVSTAPESATHRSVLEVKAISASGQVVSVIGALTGLERIEKIVRINGRGLDMRAEGRNLFLHYSDVPGMLGKVGTMLGASDININAAALSQDSDGEKATLILRVDKEVPEALLEDIRADLGAVAFQLDLD</t>
  </si>
  <si>
    <t>MSQNDRPVVLIADKLAQSTVDALGNGVEVRWVDGPNRPELLAAVGEADALLVRSATTVDAEVLAAAPKLKIVGRAGVGLDNVDIDAATERGVMVANAPTSNIHSACEHAISLLLSTARQIPAADKTLRDGEWKRSSFSGVEIFGKTIGIVGFGHIGQLFAQRLAAFETTIIAYDPYANPARAAQLGVELV-SLDELMSRADFVTIHLPKTKETAGMFDADMLAKAKKGQIIINAARGGLVDEQALADAIESGHIRGAGFDVYASEPCTDSPLFARPEVVVTPHLGASTVEAQDRAGTDVADSVLKALAGEFVPDAVNVSGGRVDEEVALWLELARKLGLVAGHLLGGAPVTLEVEARGELSTEAVDILGLSAMRGVFSAIIDEPVTFVNAPRIAEERDVELKVSTAPESVSHRSVLEVKAIAANGTVASVVGALTGLERVDKIVRINGRGVDMRAEGRNLFLHYEDAPGALGKVGTKLGAAGINIIAAALSQDTEGTGAILILRVDGEVPEALVDEIASELGASAIQLELG</t>
  </si>
  <si>
    <t>MSQNDRPVVLIADKLAQSTVDALGDGVEVRWVDGPNRPELLAAVGEADALLVRSATTVDAEVLAAAPKLKIVGRAGVGLDNVDIDAATERGVMVANAPTSNIHSACEHAISLLLSTARQIPAADKTLRDGEWKRSSFSGVEIFGKTIGIVGFGHIGQLFAQRLAAFETTIIAYDPYANPARAAQLGVELV-TLDELMSRADFVTIHLPKTKETAGMFDADMLAKAKKGQIIINAARGGLVDEQALADAIDSGHIRGAGFDVYASEPCTDSPLFARPEVVVTPHLGASTVEAQDRAGTDVADSVLKALAGEFVPDAVNVSGGRVDEEVALWLELARKLGLVAGHLLGGAPVTLEVEARGELSTEAVDILGLSAMRGVFSAIIDEPVTFVNAPRIAEERDVELKVSTAPESVSHRSVLEVKAIAANGTVASVVGALTGLERVDKIVRINGRGVDMRAEGRNLFLHYEDAPGALGKVGTKLGAAGINIIAAALSQDTEGTGAILILRVDGEVPEALVDEIASELGASAIQLELG</t>
  </si>
  <si>
    <t>MSHNGKPVVLIADKLAQSTIDALGDQVEVRWVDGPNRPELINAVKDADALLVRSATTVDREVLEAAPHLKIVGRAGVGLDNVDIATATERGVMVANAPTSNIHSACEHAISLLLTTARQIPAADATLRQHTWKRSEFTGVEIFGKTIGIVGFGHIGQLFAQRLAAFETTIIAYDPYANRARAAQLGVELVTDLSELMSRADFVTIHLPKTPETAGMFNAELLAKAKKGQIIINAARGGLVNEQALADAIRSGHIRGAGFDVFTTEPCTDSPLFDLPEVVVTPHLGASTAEAQDRAGTDVAASVLKALAGEFVADAVNVSGGQVSEEVALWLELARKLGLVVGRMLAKAPVRLEVEARGELSTEDVNVLGLSAVRGLFSGIVDEPVTFVNADSIAADRGVTIAVTTVPESVSHRSVLDVTGIAADGTRVSVVGALTGLERVEKIVRINGRGIDLRASGHNLFFNYSDAPGALGIVGSALGDAGINIVAAALTQESGGEFAVLILRVEREVPDELLESIAESLHAESFQLNLS</t>
  </si>
  <si>
    <t>MSHNGKLVVLIADKLAQSTIDALGDQVEVRWVDGPNRPELINAVKDADALLVRSATTVDREVLEAAPHLKIVGRAGVGLDNVDIATATERGVMVANAPTSNIHSACEHAISLLLTTARQIPAADATLRQHTWKRSEFTGVEIFGKTIGIVGFGHIGQLFAQRLAAFETTIIAYDPYANRARAAQLGVELVADLSELMSRADFVTIHLPKTPETAGMFDAELLAKAKKGQIIINAARGGLVNEQALADAIRSGHIRGAGFDVFTTEPCTDSLLFDLPEVVVTPHLGASTAEAQDRAGTDVAASVLKALAGEFVADAVNVSGGQVSEEVALWLELARKLGLVVGRMLAKAPVRLEVEARGELSTEDVNVLGLSAVRGLFSGIVDEPVTFVNADTIAADRGVTIAVTTAPESVSHRSVLDVTGIAADGTRVSVVGALTGLERVEKIVRINGRGIDLRASGHNLFFNYSDAPGALGIVGSALGDAGINIVAAALTQESGGEFAVLILRVEREVPDELLESIAESLHAESFQLNLS</t>
  </si>
  <si>
    <t>GC_00000889</t>
  </si>
  <si>
    <t>PF11296.14</t>
  </si>
  <si>
    <t>DUF3097, C-terminal domain</t>
  </si>
  <si>
    <t>MTGFDRYGGDILKGHSRRSPTEYPKVPAEPGLVVEVRATGFVGAVTGFERTYDGDFVRLEDRHGRENLFKLREGAFMIDGRIVTLTRYVTDQARQLAQAMKHSNSGSRRVAQVEAKVAAPSRIWVEGIHDAAIVEKVWGHDLRVEGVVVEFLEGLDNLPERLAEFGPSEGRRVGVLADHLVSGSKETRLTESVGPHVLVTGHPFIDIWAAVKPERLGIKQWPEVPRDEDWKTGICHRLGWGDTREGWNRVYSAVNSFRDLDSTLIGAVERLVDFVTVPEIRKEDLL</t>
  </si>
  <si>
    <t>MSINDPYGGDIFAGHARNKTPDYPTVPAEPGLVVEVRATGYVGAVVGFERTYDGDFVRLEDRHGAQHLFKLRTGAFMVDGQIVSLTRFVAKQQPA------RSNSGSRKVAGVQAKVAAPSRIWVEGIHDAAIVEKVWGHDLRVEGVVVEYLEGLDNLPERLAEFQPGPGRRVGVLADHLVTGSKETRLTEQVGPHVAVTGHPFIDIWAAVKPERLGMRAWPDVPRNEDWKTGICRRLGWDDTREGWNRVYGAVNGFRDLDSTLIGAVERLIDFVTIPEVSKSDLM</t>
  </si>
  <si>
    <t>MSINDLYGGDIFAGHARNKTPDYPTVPAEPGLVVEVRATGYVGAVVGFERTYDGDFVRLEDRHGAQHLFKLRTGAFMVDGQIVSLTRFVAKQQPA------RSNSGSRKVAGVQAKVAAPSRIWVEGIHDAAIVEKVWGHDLRVEGVVVEYLEGLDNLPERLAEFQPGPGRRVGVLADHLVTGSKETRLTEQVGPHVAVTGHPFIDIWAAVKPERLGMRAWPDVPRNEDWKTGICRRLGWGDTREGWNRVYGAVNGFRDLDSTLIGAVERLIDFVTIPEVSKSDLM</t>
  </si>
  <si>
    <t>GC_00000890</t>
  </si>
  <si>
    <t>PF00591.27</t>
  </si>
  <si>
    <t>Glycosyl transferase family, a/b domain</t>
  </si>
  <si>
    <t>K00766</t>
  </si>
  <si>
    <t>anthranilate phosphoribosyltransferase [EC:2.4.2.18]</t>
  </si>
  <si>
    <t>COG0547</t>
  </si>
  <si>
    <t>Anthranilate phosphoribosyltransferase, glycosyltransferase domain (TrpD) (PDB:1KGZ)</t>
  </si>
  <si>
    <t>KEGG Orthology (KO)&gt;&gt;&gt;09100 Metabolism&gt;&gt;&gt;09105 Amino acid metabolism&gt;&gt;&gt;00400 Phenylalanine, tyrosine and tryptophan biosynthesis [PATH:ko00400]|Enzymes&gt;&gt;&gt;2. Transferases&gt;&gt;&gt;2.4  Glycosyltransferases&gt;&gt;&gt;2.4.2  Pentosyltransferases&gt;&gt;&gt;2.4.2.18  anthranilate phosphoribosyltransferase</t>
  </si>
  <si>
    <t>MMNTQPSTTANAAANTTPEQLLHTLLMGQQLGAEDTTSVFRALAAGAFSPTQIAALLATLRTRGETPTDITGAAQAFIEAARPFPVTGSPLIDCVGTGGDGANTINISTTAALLAAAGGLQVVKHGNRSVSSKSGAADVLEALGFDLGQDPDAASQQLASSGFCFLFAPGYHPAFAHVMPVRKELAIPTIFNVLGPLLNPARPALQLMGTVRPDLGPMLIESMRNLGRERALVVHGSGTDEVAVHGSTDVWELRDGEITQYSITPSDLGLGTYDLSDLVGGEGSDNAQVVRDIFAGTASEAHRDAVLASAGALFYLAGAADSWADGVAAARDVISSGRAATWLAQFSTAGERA</t>
  </si>
  <si>
    <t>------------MSDEQTLDRLRAYLDNPHPTVEEAHDVFMPLTVGDYDDVHIAALLATIRTRGETAADITGAAQAFLKAARPFPITGHGVLDTAGTGGDGANTINISTGASLITAAGGCMVVKHGNRSVSSKSGSADVLEALNIPLDLDVDRAERQVRVSNFTFLFAPAYHPAIAHVMPVRKALKVPTLFNILGPLLSPARPALQVMGVNRPSLGEPLIQVMKELGRERALVVHGSGTDEFAVHGPTQVWELRD</t>
  </si>
  <si>
    <t>------------MSDEQTLDRLRAYLDNPHPTVEEAHDVFMPLTVGDYDDVHIAALLATIRTRGETTADITGAAQAFLKAARPFPITGHGVLDTAGTGGDGANTINISTGASLITAAGGCMVVKHGNRSVSSKSGSADVLEALDIPLDLDVDRAERQVRASNFTFLFAPAYHPAIAHVMPVRKALKVPTLFNILGPLLSPARPALQVMGVNRPSLGEPLIQVMKELGRERALVVHGSGTDEFAVHGPTQVWELRD</t>
  </si>
  <si>
    <t>---------------MDLIDNLITYLTNPNPTADEAQAAFEPLTNGNYSDIHIAALLATLKTRGETAADITGAARAFLKAARPFPITGTGVLDTAGTGGDGANTINISTGASLIVAAGGCRVVKCGNRSVSSRSGSADVLEALNIPLDLNPERAVHQVEASNFTFLFAPAYHPAVAHVMPVRRALRMPTIFNTLGPILSPARPALQIMGIANPDLGQIIAEVFLELGRERALVVHGSGVDEIAVHGPTTIWELRN</t>
  </si>
  <si>
    <t>---------------MDLIDNLITYLTNPNPTADEAQAAFEPLTNGDYSDIHIAALLATLKARGETAADITGAARAFLKAARPFPITGAGVLDTAGTGGDGANTINISTGASLIVAAGGCRVVKCGNRSVSSRSGSADVLEALNIPLDLNPERAVHQVEASNFTFLFAPAYHPAVAHVMPVRRALRMPTIFNTLGPILSPARPALQIMGIANPDLGQIIAEVFLELGRERALVVHGSGVDEIAVHGPTTIWELRN</t>
  </si>
  <si>
    <t>GC_00000891</t>
  </si>
  <si>
    <t>K06941</t>
  </si>
  <si>
    <t>23S rRNA (adenine2503-C2)-methyltransferase [EC:2.1.1.192]</t>
  </si>
  <si>
    <t>COG0820</t>
  </si>
  <si>
    <t>Adenine C2-methylase RlmN of 23S rRNA A2503 and tRNA A37 (RlmN) (PDB:3RFA)</t>
  </si>
  <si>
    <t>Enzymes&gt;&gt;&gt;2. Transferases&gt;&gt;&gt;2.1  Transferring one-carbon groups&gt;&gt;&gt;2.1.1  Methyltransferases&gt;&gt;&gt;2.1.1.192  23S rRNA (adenine2503-C2)-methyltransferase|Ribosome biogenesis&gt;&gt;&gt;Prokaryotic type&gt;&gt;&gt;rRNA modification factors&gt;&gt;&gt;23S rRNA modification factors</t>
  </si>
  <si>
    <t>-------------MVWKDICIMASPLPLVFDASRRSMPPKHFADLSTEERREAVVALGLPKFRVDQLARHYYARLEADPRTMTDLPAARRDDVAKALFPTLMTPVKAVECDGGETAKTLWRLHDGTLLESVLMKYPDRATLCISSQAGCGMACPFCATGQGGLDRNLSTAEIVDQVRAAAASMQAEGGRLSNIVFMGMGEPLANYKRVVSAVRQITSPAPEGFGISQRNVTVSTVGLAPAIRKLADEGLSVTLAV</t>
  </si>
  <si>
    <t>-----------------MPSTSPTALPLVFTASRRGMPPTHFADLSAEERIDAVTKLGLPKFRAQQIARHYYTRFEADPLSMTDLPESARGKVKDALFPELMASIREISCDDGQTQKTLWKLHDGTLLESVLMRYPDRATLCISSQAGCGMACPFCATGQGGLDRNLSTGEIVDQVRAAAAAMQSEGGRLSNVVFMGMGEPLANYKRVVSAVRQITQPSPEGFGISQRNVTVSTVGLAPAIRKLADEGLSVTLAV</t>
  </si>
  <si>
    <t>-----------------MPSTSPTALPLVFTASRRGMPPTHFADLSAEERIDAVTELGLPKFRAQQIARHYYTRFEADPLLMTDLPESARGKVKDALFPELMIPIRDISCDDGQTQKTLWKLHDGTLLESVLMRYPDRATLCISSQAGCGMACPFCATGQGGLDRNLSTGEIVDQVRAAAATMQSEGGRLSNVVFMGMGEPLANYKRVVSAVRQITQPSPEGFGISQRNVTVSTVGLAPAIRKLADEGLSVTLAV</t>
  </si>
  <si>
    <t>MGSVMIRQIDVGKKTWHDVWVMPTPIPLNFSTPRRAMPPKHFADLTPDQRIAALADLGLPKFRANQLAKHYYGRLEADPRTMTDLPAAVRDAVAEALFPTLMTPVRQVTADDGETHKTLWRLHDGTLLESVLMRYPNRATLCISSQAGCGMACPFCATGQAGLDRNLSTGEIIDQVRSAAHTMAAEGSRLSNIVFMGMGEPLANYKRVVSAVRQITAPVPQGFGISQRNVTVSTVGMAPMIRKLADENLSVTLAVSLHTPDDELRDTLVPVNNRWSVAEVLDAAAYYADQSGRRVSIEYALIRDINDQGWRADLLGKKLHKALGSKAHVNLIPLNPTPGSKWDASPREQQAEFVRRVIAQGVTCTVRDTKGQEIAAACGQLAAENRATA</t>
  </si>
  <si>
    <t>MGSVMIRQIDVGKKTWHDVWVMPTPIPLNFSTPRRAMPPKHFADLTPDQRIAALADLGLPKFRANQLAKHYYGRLEADPRTMTDLPAAVRDAVAEALFPTLMTPVRQVTADDGETHKTLWRLHDGTLLESVLMRYPNRATLCISSQAGCGMACPFCATGQAGLDRNLSTGEIIDQVRSAARTMVAEGSRLSNIVFMGMGEPLANYKRVVSAVRQITAPVPQGFGISQRNVTVSTVGMAPMIRKLADENLSVTLAVSLHTPDDELRDTLVPVNNRWSVAEVLDAAAYYADRSGRRVSIEYALIRDINDQGWRADLLGKKLHKALGSKAHVNLIPLNPTPGSKWDASPREQQAEFVRRVIAQGVTCTVRDTKGQEIAAACGQLAAENRATA</t>
  </si>
  <si>
    <t>GC_00000892</t>
  </si>
  <si>
    <t>K06168</t>
  </si>
  <si>
    <t>tRNA-2-methylthio-N6-dimethylallyladenosine synthase [EC:2.8.4.3]</t>
  </si>
  <si>
    <t>COG0621</t>
  </si>
  <si>
    <t>tRNA A37 methylthiotransferase MiaB (MiaB) (PDB:4JC0) (PUBMED:17407324;20472640;20584901)</t>
  </si>
  <si>
    <t>Enzymes&gt;&gt;&gt;2. Transferases&gt;&gt;&gt;2.8  Transferring sulfur-containing groups&gt;&gt;&gt;2.8.4  Transferring alkylthio groups&gt;&gt;&gt;2.8.4.3  tRNA-2-methylthio-N6-dimethylallyladenosine synthase|Transfer RNA biogenesis&gt;&gt;&gt;Prokaryotic type&gt;&gt;&gt;tRNA modification factors&gt;&gt;&gt;Methylthiotransferases</t>
  </si>
  <si>
    <t>-----MIQNAPA-----------RSYEVRTFGCQMNVHDSERLSGLLEEAGYVPVAEGHTPDLVVFNTCAVRENADMRLYGTLGNLRATKREHPGMQIAVGGCLAQKDKDTVVRKAPWVDVVFGTHNIGSLPALLDRARHNKRAEVEIVDSLEQFPSVLPAKRESAYAGWVSVSVGCNNTCTFCIVPSLRGKELDRRPGDILAEVKALVDQGVSEVTLLGQNVNAYGVNFADPDAPRDRGAFSKLLRACGDIEGL</t>
  </si>
  <si>
    <t>PF00919.26</t>
  </si>
  <si>
    <t>Uncharacterized protein family UPF0004</t>
  </si>
  <si>
    <t>-----MLQDSKTHE---------KTYEVRTFGCQMNVHDSERLSGLLEEAGYIRASEGVEPDLVVFNTCAVRENADNRLYGTLGQLRSVKENHPGMQIAVGGCLAQKDKDMVVKKAPWVDVVFGTHNIGSLPALLDRAAHNEEAAVEIVDSLEQFPSVLPAKRESAYAGWVSVSVGCNNTCTFCIVPSLRGREIDRRPGDILAEVQALVDQGVSEVTLLGQNVNAYGVNFADPDIKRDRSAFSKLLRACGEIEGL</t>
  </si>
  <si>
    <t>MKNEANLADYTTPTATTPDSVAGRTYEVRTFGCQMNVHDSERLSGLLEDAGYQPVVAGDTPDLIVFNTCAVRENADMRLYGTLGSLRSVKERHPGMQIAVGGCLAQKDKDAVVKKAPWVDVVFGTHNIGSLPALLKRASHNHQAEVEIVDALEQFPSVLPAKRESAYAGWVSVSVGCNNTCTFCIVPSLRGKEIDRRPGDILAEVQALVDQGVVEVTLLGQNVNAYGVNFADPDLPRDRSAFSRLLRACGEITGLERVRFTSPHPAEFTSDVIDAMAETPTVCPQLHMPLQSGSDKVLKEMRRSYRTKKFLAILDEVRQKIPHAAITTDIIVGFPGETEEDFQATLDVVEKARFTSAFTFQYSPRPGTPAAEYEQQVPKEVVQERYERLIALQERVCLEENQKLVNTEVELLVQADGGKKNAKTHRMTGRARDGRLVHFHPVGS---------------IDQSIRPGDIITTTVTEAKPHFLIADAGVLTHRRTVAGDMSEAGKVPTTAPIGVGLGMPKIGAPAPAVSASTSNCDSTGCGC</t>
  </si>
  <si>
    <t>MKNEANLADYTTPTATTPDSVAGRTYEVRTFGCQMNVHDSERLSGLLEDAGYQPVVAGNTPDLIVFNTCAVRENADMRLYGTLGSLRSVKERHPGMQIAVGGCLAQKDKDAVVKKAPWVDVVFGTHNIGSLPALLKRASHNHQAEVEIVDALEQFPSVLPAKRESAYAGWVSVSVGCNNTCTFCIVPSLRGKEIDRRPGDILAEVQALVDQGVVEVTLLGQNVNAYGVNFADPDLPRDRSAFSRLLRACGEITGLERVRFTSPHPAEFTSDVIDAMAETPTVCPQLHMPLQSGSDKVLKEMRRSYRTKKFLAILDEVRQKIPHAAITTDIIVGFPGETEEDFQATLDVVEKARFTSAFTFQYSPRPGTPAAEYEQQVPKEVVQERYERLIALQERVCLEENQKLVNTEVELLVQADGGKKNAKTHRMTGRARDGRLVHFHPVGS---------------IDQSIRPGDIITTTVTEAKPHFLIADAGVLTHRRTVAGDMSEAGKVPTTAPIGVGLGMPKIGAPAPAVSASTSNCDSTGCGC</t>
  </si>
  <si>
    <t>GC_00000893</t>
  </si>
  <si>
    <t>MAGNVGRPRKNSPRRRGGTAREEILDAAAELFTTQGFATTSTHQIADAVGIRQASLYYYFPSKTEIFLTLLNSTVNPAVELAERFSTIGDLTPELRLWSLVAAETRLLLSQRWNIGKLYQLPVAASEDFAEFHAQRADLQATFRQFSADITGAPLESALNDLPFHIALSVTDMRPNDGKAPFDPSGGTALPELAIMLADAALRVVGADLPADRADRCASLLDPHD-</t>
  </si>
  <si>
    <t>MAGAVGRPRKNSPRRRGNTAREEILDASAELFTTRGFATTSTHQIADAVGIRQASLYYHFPSKTEIFLTLLKSTVEPSMALAAELGAS-DASPAQRLWALVAAETHLLLSTRWNVGRLYQLPIVASEEFAEFHAQRHELKNTYRTLAAEIVGA--DDPRLDLPFHIAQTVTDMRDNTGTAPY-PADG-ALPETAIMLADAALTVIGAPLPDDRIERTRELLPS---</t>
  </si>
  <si>
    <t>MAGAVGRPRKNSPRRRGNTAREEILDASAELFTTRGFATTSTHQIADAVGIRQASLYYHFPSKTEIFLTLLKSTVEPSMALAAELGAS-DASPAQRLWALVAAETHLLLSTRWNVGRLYQLPIVASEEFAEFHAQRHELKNTYRTLAAEIVGA--DDPRLDLPFHIAQTVTDMRDNTGTAPY-PADG-ALPETAIMLADAALTVIGALLPDDRIERTRELLSS---</t>
  </si>
  <si>
    <t>MAGAVGRPRKNNSRRRGNTAREEILDASAELFTTQGFATTSTHQIADAVGIRQASLYYHFPSKTEIFLALLTSTVTPSTALAAKFEEI-DVPAPLRLWALTAAECRLLLSTRWNVGRLYQLPVASSPEFSEYHQQRTQLQTVFRSIAAKIVGP--DDPRAGLPFHIALSVIEMRPNDGVAPE-PLSATRLPSLAIMLADAALAVLGAPLPENRLERTLELLADMDS</t>
  </si>
  <si>
    <t>MAGAVGRPRKNNSRRRGNTAREEILDASAELFTTQGFATTSTHQIADAVGIRQASLYYHFPSKTEIFLALLTSTVTPSTALAAKFEEI-DVPAPLRLWALTAAECRLLLSTRWNVGRLYQLPVASSPEFSEYHQQRTQLQAVFRSIAAKIVGP--DDPRAGLPFHIALSVIEMRPNDGVAPE-PLSATRLPSLAIMLADAALAVLGAPLPENRLERTLELLADMDS</t>
  </si>
  <si>
    <t>GC_00000894</t>
  </si>
  <si>
    <t>PF00920.27</t>
  </si>
  <si>
    <t>Dihydroxy-acid/6-phosphogluconate dehydratase N-terminal</t>
  </si>
  <si>
    <t>E|G</t>
  </si>
  <si>
    <t>Amino acid transport and metabolism|Carbohydrate transport and metabolism</t>
  </si>
  <si>
    <t>K01687</t>
  </si>
  <si>
    <t>dihydroxy-acid dehydratase [EC:4.2.1.9]</t>
  </si>
  <si>
    <t>COG0129</t>
  </si>
  <si>
    <t>Dihydroxyacid dehydratase/phosphogluconate dehydratase (IlvD) (PDB:2GP4)</t>
  </si>
  <si>
    <t>KEGG Orthology (KO)&gt;&gt;&gt;09100 Metabolism&gt;&gt;&gt;09105 Amino acid metabolism&gt;&gt;&gt;00290 Valine, leucine and isoleucine biosynthesis [PATH:ko00290]|KEGG Orthology (KO)&gt;&gt;&gt;09100 Metabolism&gt;&gt;&gt;09108 Metabolism of cofactors and vitamins&gt;&gt;&gt;00770 Pantothenate and CoA biosynthesis [PATH:ko00770]|Enzymes&gt;&gt;&gt;4. Lyases&gt;&gt;&gt;4.2  Carbon-oxygen lyases&gt;&gt;&gt;4.2.1  Hydro-lyases&gt;&gt;&gt;4.2.1.9  dihydroxy-acid dehydratase</t>
  </si>
  <si>
    <t>MNSPRNSNAIPLRSKVTTVGRNAAGARSLWRATGMTDSDFGKPIIAIANSFTEFVPGHVHLRDMGRIVAEAVHAAGGVAKEFNTIAVDDGIAMGHGGMLYSLPSREIIADSVEYMVNAHTADALVCISNCDKITPGMLNAALRLNIPVVFVSGGPMEAGKAVVVDGVAHAPTDLVTAISASANNEVGEEGLDAVERSACPTCGSCSGMFTANSMNCLTEALGLSLPGNGSTLATHAARKALFQRAGSLIVELAQRYYAQGDESVLPRSIANAHAFDNAMALDMAMGGSTNTVLHILAAAQEAELDFTLDDIDALSRRVGCLSKVAPNSDYHMEDVHRAGGIPAILGELHRGGLLHDDVRAVHADSLQQWLDDWDIRGGKATDEAIKLFHAAPGGVRTTEPFSTNNRWDSLDVDAASGCIRDVEHAYTKDGGLAVLRGNLAVDGAIIKAAGVDESLWHFSGPARVVESQEEAVSVILNGTIQAREVLVVRYEGPSGGPGMQEMLHPTAFLKGAGLGKKCALVTDGRFSGGSSGLSVGHVSPEAAHGGLIGLVRDGDQITIDVHTRELSVDLDEAEIERRREQELQRDVPFSPTSRQRTVTKALRAYAKLATSADKGAVRQVD</t>
  </si>
  <si>
    <t>--------MIPLRSKVTTVGRNAAGARALWRATGMKDNDFGKPIVAIANSYTQFVPGHVHLKDVGEIVADAVRAAGGVAKEFNTIAVDDGIAMGHGGMLYSLPSREIIADSVEYMVNAHTADALVCISNCDKITPGMLNAAMRLNIPVVFVSGGPMEAGKAVVVDGVAHAPTDLVTAISASASDDVSDEGLSSVERSACPTCGSCSGMFTANSMNCLTEALGLSLPGNGSTLATHKARKALFTRAGEIIVELCRR</t>
  </si>
  <si>
    <t>--------MFPLRSRVTTVGRNASGARALWRATGTQEHEFGKPIVAIVNSYTQFVPGHVHLKNVGDIVADAVRAAGGVPKEFNTIAVDDGIAMGHGGMLYSLPSREIIADSVEYMCNAHTADAMVCISNCDKITPGMLNAALRLNIPAVFVSGGPMEAGKVVAVDGIAHTPTDLITAITASASEDVSDQDLHAIEASACPTCGSCSGMFTANSMNCLTEALGLSLPGNGTTLATHTARRQLFEQAGEMIVDLCRR</t>
  </si>
  <si>
    <t>GC_00000895</t>
  </si>
  <si>
    <t>PF01433.26</t>
  </si>
  <si>
    <t>Peptidase family M1 domain</t>
  </si>
  <si>
    <t>K01256</t>
  </si>
  <si>
    <t>aminopeptidase N [EC:3.4.11.2]</t>
  </si>
  <si>
    <t>COG0308</t>
  </si>
  <si>
    <t>Aminopeptidase N, contains DUF3458 domain (PepN) (PDB:6ATK) (PUBMED:24123841)</t>
  </si>
  <si>
    <t>KEGG Orthology (KO)&gt;&gt;&gt;09100 Metabolism&gt;&gt;&gt;09106 Metabolism of other amino acids&gt;&gt;&gt;00480 Glutathione metabolism [PATH:ko00480]|Enzymes&gt;&gt;&gt;3. Hydrolases&gt;&gt;&gt;3.4  Acting on peptide bonds (peptidases)&gt;&gt;&gt;3.4.11  Aminopeptidases&gt;&gt;&gt;3.4.11.2  membrane alanyl aminopeptidase|Peptidases and inhibitors&gt;&gt;&gt;Metallo peptidases&gt;&gt;&gt;Family M1</t>
  </si>
  <si>
    <t>MSSINLTQIEAQQRAELISNCHYDITLDVTSAPTEQPTFASTTDIRFT-SGQGETFLDLRAASVREVILDGTTIDDAPAA-----YTPEHGIAL-SLTAGEHTLRVVADCEYSRTGQGLHRFTDPADQETYLYTQFETADAKRVFACFDQPDIKATYSMTVTTPAGWKVVSNPA-----MVEDTTTNIHRGEVNYLLSTYLVAFCIGPYHEVRDSWSGRLTHHPETPSDQPTELTVPLGIYCRKSLAHALDAAQIFRETKQGFDYYHEHFGMAYPFVKYDQVFCPEYNMGAMENAGCVTFRDEYVFTSKVTRRMYERRCDTILHELAHMWFGDLVTMQWWGDLWLNESFATWSAAMSQAEATEFDTAWVTFANVEKSWAYAQDQLPSTHPIVASAKDIETVEQNFDGITYAKGASVFKQLQAYVGREPFFAGVRRHFANHAFSNATFEDLLGALADASGRDLSGWAQQWLTTTGINTLRPTFTI-QNGVYTDFAVEQTGAQPGAGELRTHRIAVGLYSLV--DGQVKRTKRVELDIEGARTAVPELVEFPAADLVLVNDDDLTYALMELDDHSLEFVLDNIANIADPMARALCWSSCWQMTRSGQMRARDFVRLVAEGARTESEIFVLEALLGQASRALNSFADPQWAESTGRALLSDALLEAARAAAPGSDQQLAFVQSLSAQVMGDDAAELMQQIVRGESTLEGLEIDFDAQWRALVALIARGDVSDPAAAIADLRAKDTSASGRNWAWVAEAAVNTAENKQAVFDAI-VQRGSQMSNLELRHKGQGLTWAGSASNLMPLTAQFFEAAPGIWKEFTSEVALRTLEQIYPGWDISESAIAMADGVLSGDH-SDGFKRVLSEGQDNVRRALRNRAVDAG-</t>
  </si>
  <si>
    <t>MTSLNLTRVEAAERARMLSVQRYDIALDLTHG---DKEFGSITTVKFTVKEPCDTFIDLRAARVREVILDGNDITEGAITLDEKGYDPTHGVALRDLTTGEHTLRITADCEYSRTGQGLHRFVDPADGETYLYTQFETADAKRVFACFDQPDLKARYKLTVRTPDNWKVISNAEQD---VQKTADGEVHISRIDYPLSTYLVALCAGPYHEVRSSWTGTLTRHPETPEDQPDTITAPFGLYCRASLAPHLDAERIFEQTKQGFDWYHRNFGMAYPFGKYDQVFCPEYNMGAMENAGCVTFRDEYIFTSKVTRYLYERRCDTILHELAHMWFGDLVTMEWWGDLWLNESFATWAAAISQAEETEFDTAWVTFANIEKSWAYRQDQLPSTHPVFTDASDVETVEQNFDGITYAKGASILKQLQAYVGRDAFLAGVRRHFANHAFGNATFDDLLAALAEASGRDLLGWADQWLKTTGINTIRPRFTV-QNGSYLTFEVEQLGAAPGAGELRDHRIAVGLYSVVPDTGKVVRTHRVELDLSGASTPVPELVEIPVADLVLVNDDDLTYCLMGLDQDSLHFITHHIADIEDPMARSLCWSAAWQMTRNGEMKARDFLTLVAQGAATETEIGVLELILAQAREALASYADPDWTEATGRKLLVDALLHGARSSAPGSDYQLAFVKALARTRQTEDSIAFFTSILADEPPAEGLVMDTELRWAALSILVGANAVTEVEAAIQEELGRDSSATSHNYAQRTRAAVNTPEAKQAVFAEL-TDVSSTLSNLDRRHKLDGFTYPGSAPSLTDLGPRYFEVAADLWRGFSSEVALQVLTGLYPTWDISEDSIAAADVLLTQDDLPAGLARVVVENQDRVKRALRNQRFDAA-</t>
  </si>
  <si>
    <t>MTSLNLTRVEAAERARMLSVQRYDIALDLTHG---DKEFGSITTVKFTVKEPGDTFIDLRAARVREVILDGNDITEGAITLDEKGYDPTHGVALRDLTTGEHTLRITADCEYSRTGQGLHRFVDPADGETYLYTQFETADAKRVFACFDQPDLKARYKLTVRTPDNWKVISNAEQD---VQKTADGEVHISRIDYPLSTYLVALCAGPYHEVRSSWTGTLTRHPETPEDQPDTITVPFGLYCRASLAPHLDAERIFEQTKQGFDWYHRNFGMAYPFGKYDQVFCPEYNMGAMENAGCVTFRDEYIFTSKVTRYLYERRCDTILHELAHMWFGDLVTMEWWGDLWLNESFATWAAAISQAEETEFDTAWVTFANIEKSWAYRQDQLPSTHPVFTDASDVETVEQNFDGITYAKGASILKQLQAYVGRDAFLAGVRRHFANHAFGNATFDDLLAALAEASGRDLLGWADQWLKTTGINTIRPRFTV-QNGSYLTFEVEQLGAAPGAGELRDHRIAVGLYSVVPDTGKVVRTHRVELDLSGASTPVPELVEAPVADLVLVNDDDLTYCLMGLDQDSLHFVTHHIADIEDPMARSLCWSAAWQMTRNGEMKARDFLTLVAQGAATETEIGVLELILAQAREALASYADPDWAEATGRKLLVDALLHGARSSAPGSDYQLAFVKALARTRQTEDSIAFFTSILADEPPAEGLVMDTELRWAALSILVGANAVTEVEAAIQEELGRDSSATSHNYAQRTRAAVNTPEAKQAVFAEL-TDVSSTLSNLDRRHKLDGFTYPGSAPSLADLGPRYFEIAADLWRGFSSEVALQVLTGLYPTWDISEDAIAAADALLAQDDIPAGLARVVAENQDRVKRALRNQRFDAA-</t>
  </si>
  <si>
    <t>MSSTNLTRQEAQERRAIIGAVDYGIAVDVTRG---DATFPSVTTVRFEVAAPGSTFIDLIAQSVESVTLDGELVDVT--------YRPDFGIPLDDLTTGSHELVVTATCEYSRTGQGLHRFVDPVDHEVYLYTQFETADAKRVFACFDQPDVKATYTLAVTAPANWSVVTNSPQEVSPVEGDAGKAVFTSRIDYLLSTYLVALCAGPYHKVTDEWRGEVAAHPENL-DEPREVVIPLGLYCRKSLADHLDADTLFTETKQGFDFYHQNFGAAYPFGKYDQLFVPEFNAGAMENAGAITYRDEYVFTSKHTRHSYERRCETVLHEMAHMWFGDLVTMTWWDDLWLNESFATWGSVVAQSEMTEYDTAWVTFANVEKAWAYDQDQLPSTHPVASDAHDIETVEQNFDGITYAKGASILKQLQAYVGRDAFFAGVRRHFASHAFGNATFDDLLGALAEASGKDLSWWADQWLKTTGMNELSADVEVDESGRYTRFAVAQGGATPGAGELRTHRIGVGLYSLV--DGAVVRTHRVDMDIDSASTSVPEFVGLPKADLVLVNDDDLTYCMMKLDAESLAFVTENIDKITDPLARTLCWSAAWQATRSGEMRARDYIQLVVRGAAAESEMSVVSSVLRQAQTALRRYADPQWAASTGRQLLCGGLVAAARAAEPGSDHQLAFVQALSTMWLDDDATALLKAIVKGDSPLPGLVVDNQLRWDALTALAAMG-LHDVEHQVSVLLEVDPSATGRACAARTRAAVPTSKAKRKVFNELTTNATTKLSNVAIRYKLAGFGFGCADEAMQQFNSEFFDAVLPVWELLPNDTATTIIRGLYPWWDISETGLGHASEFLTEDA-PEAVARTIRECQSQVERALRNRLVDAGE</t>
  </si>
  <si>
    <t>MSSTNLTRQEAQERRAIIGAVDYGIAVDVTRG---DATFPSVTTVRFEVVAPGSTFIDLIAQSVESVTLDGELVDVT--------YRPDFGIPLDDLTAGSHELVVTATCEYSRTGQGLHRFVDPVDHEVYLYTQFETADAKRVFACFDQPDVKATYTLAVTAPTNWSVVTNSPQEVSPVEGDAGKAVFTSRIDYLLSTYLVALCAGPYYKVTDEWRGEVAAHPENL-DEPREVVIPLGLYCRKSLAEHLDADTLFTETKQGFDFYHQNFGAAYPFGKYDQLFVPEFNAGAMENAGAITYRDEYVFTSKHTRHSYERRCETVLHEMAHMWFGDLVTMTWWDDLWLNESFATWGSVVAQSEMTEYDTAWVTFANVEKAWAYDQDQLPSTHPVASDAHDIETVEQNFDGITYAKGASILKQLQAYVGRDAFFAGVRRHFASHAFGNATFDDLLGALAEASGKDLSWWADQWLKTTGMNELSADVEVDESGRYTRFAVAQGGATPGAGELRTHRIGVGLYSLV--DGAVVRTHRVDMDIDSASTSVPEFVGLPKADLVLVNDDDLTYCMMKLDAESLAFVTENIDKITDPLARTLCWSAAWQATRSGEMRARDYIQLVVRGAAAESEMSVVSSVLRQAQTALRRYADPQWAASTGRQLLCGGLVAAARAAEPGSDHQLAFVQALSTMWLDDDATALLKAIVKGDSPLPGLVVDNQLRWDALTALAATG-LHDVEHQVSVLLEVDPSATGRACAARTRAAVPTSKAKRKVFNELTTNATTKLSNVAIRYKLAGFGFGCADEAMQQFNSEFFDAVLPVWELLPNDTATTIIRGLYPWWDISEAGLGRASEFLTEDA-PEAVARTIRECQSQVERALRNRLVDAGE</t>
  </si>
  <si>
    <t>GC_00000896</t>
  </si>
  <si>
    <t>MRTRESVEAVIKAYDVRGVVGEDGFDADFMRETGAAFGRLMRTEGARVVAVGHDMRDSSPQLSAAFGEGVASQGLDVIALGLTSTDELYYASGVLECPGAMFTASHNPAKYNGIKMCRSGARPVGQDSGLKTIIDDLVQGVEPYGSTPGTIEDRDMLGSYAEYLRELVDLRNIRPLKVAVDAGNGMAGLTVPEVFK--GLPIEIVDLYFELDGNFPNHEANPLEPSNLVDLQRFVVEQKADIGLAFDGDADRCFVVDERGEAVSPSAVCAIVAERYLADNPGATIIHNLITSKAVPELIAEKGGTAVRTRVGHSFIKAQMAETGAVFGGEHSAHYYFSEFFNADSGMLAALHVLAALGSQEQPLSVMMKDYERYVASGELNSRLASAEAGAERTQAVLDAFADRIESTDTLDGVTVDLKGTPAWFNIRASNTEPLLRLNVEGETSEQVDALVEEILGIIRA</t>
  </si>
  <si>
    <t>MRTRESVEAVIKAYDVRGIVGE-GFDAEFMQETGAAFGRLMRGEDANVVVIGHDMRDSSPGLSRAFANGVADQGLNVLYLGLTSTDELYYASGVLDCPGAMFTASHNPAEYNGIKMCRSGARPVGQESGLRTIIDDLVAGVPTYDGARGTISDRDVLDGYGEFLRDLVDLRGIRPLKVAVDAGNGMGGLTVPAVLGAAGLPLDIEPLYFELDGSFPNHEANPLEPKNLVDLQKFVVETGSDIGLAFDGDADRCFVVDDKGQPVSPSAICGIVAERYLAQKPGGTIIHNLITSKAVPEIIEENGGNPVRTRVGHSFIKAKMAETGAIFGGEHSAHYYFTEFFNADSGMLAAMHVLAALGHQDKPLSEMMAAYNRYEASGEINSRVADQE---ESTQQVLDAFADRIDSIDTLDGVTVQLKGTPAWFNVRGSNTEPLLRLNVEAPTRAEVDALVDEILGIIRR</t>
  </si>
  <si>
    <t>MRTRESVEAVIKAYDVRGIVGE-GFDAEFMQETAAAFGRLMRGEDANVVVIGHDMRDSSPGLSRAFANGVADQGLNVLYLGLTSTDELYYASGVLDCPGAMFTASHNPAEYNGIKMCRSGARPVGQESGLRTIIDDLVAGVPTYDGARGTISDRDVLDGYGEFLRDLVDLRGIRPLKVAVDAGNGMGGLTVPAVLGAAGLPLDIEPLYFELDGSFPNHEANPLEPKNLVDLQKFVVETGSDIGLAFDGDADRCFVVDEKGQPVSPSAICGIVAERYLAQKPGGTIIHNLITSKAVPEIIEENGGTPVRTRVGHSFIKAKMAETGAIFGGEHSAHYYFTEFFNADSGMLAAMHVLAALGHQDKPLSEMMAAYNRYEASGEINSRVADQE---ESTQQVLDAFADRIDSIDTLDGVTVQLKGTPAWFNVRGSNTEPLLRLNVEAPTRAEVDALVDEILGIIRR</t>
  </si>
  <si>
    <t>MRSREEVTDVIKAYDVRGIVGE-SITPELITDVGAAFGRLMRKEEAHTIAIGHDMRPSSPELARAFADGVLSQGMDVLFLGLTSTDQLYFVSGDRDIPGAMFTASHNPAEYNGIKMCRSGARPVGQETGLADIVTNLVEKIPTYHGHPGELTEADTLADYAAFLRKLVPLDDIRPLKVAVDAANGMAGLTVPEVFA--GLPLTIEPLYFELDGTFPNHEANPLDPKNLVDLQKFVKETGADIGLAFDGDADRCFVVDENGDPVSPSAICALIAERYLKKHPEATIIHNLITSKAVPEVIAENGGTAVRTRVGHSFIKSQMAETHAVFGGEHSAHYYFSEFFNADSGILAAMHILAALGNQEKPLSELMASYERYESSGEINTRLESQEEQQERTQAVLDAFADRTESVDTLDGVTVQLRDTPAWFSVRASNTEPLLRLNVEAPTKDEVTTLVTEILDIIRK</t>
  </si>
  <si>
    <t>MRSREEVTDVIKAYDVRGIVGE-SITPELITDVGAAFGRLMRKEEAHTIAIGHDMRPSSPELARAFADGVLSQGMDVLFLGLTSTDQLYFVSGDRDIPGAMFTASHNPAEYNGIKMCRSGARPVGQETGLADIVTNLVEKIPTYHGHPGELTEADTLADYAAFLRKLVPLDDIRPLKVAVDAANGMAGHTVPEVFA--GLPLTIEPLYFELDGTFPNHEANPLDPKNLVDLQKFVKETGADIGLAFDGDADRCFVVDENGDPVSPSAICALIAERYLKKHPEATIIHNLITSKAVPEVIAENGGTAVRTRVGHSFIKSQMAETHAVFGGEHSAHYYFSEFFNADSGILAAMHILAALGNQEKPLSELMASYERYESSGEINTRLESQEEQQERTQAVLDAFADRTESVDTLDGVTVQLRDTPAWFSVRASNTEPLLRLNVEAPTKDEVTALVTEILDIIRK</t>
  </si>
  <si>
    <t>GC_00000897</t>
  </si>
  <si>
    <t>PF02897.21</t>
  </si>
  <si>
    <t>Prolyl oligopeptidase, N-terminal beta-propeller domain</t>
  </si>
  <si>
    <t>K01354</t>
  </si>
  <si>
    <t>oligopeptidase B [EC:3.4.21.83]</t>
  </si>
  <si>
    <t>COG1770</t>
  </si>
  <si>
    <t>Protease II (PtrB) (PDB:4BP9)</t>
  </si>
  <si>
    <t>Enzymes&gt;&gt;&gt;3. Hydrolases&gt;&gt;&gt;3.4  Acting on peptide bonds (peptidases)&gt;&gt;&gt;3.4.21  Serine endopeptidases&gt;&gt;&gt;3.4.21.83  oligopeptidase B|Peptidases and inhibitors&gt;&gt;&gt;Serine peptidases&gt;&gt;&gt;Family S9: prolyl oligopeptidase family</t>
  </si>
  <si>
    <t>MNHNASKA----APVAKKVAHVRRAHDYEFVDNYEWMRDKDSVDTQAYLEAENAYTEFKTAHLATLQDNLFTELKSRVQETDMSVPVRVEEFWYYDRIDEGQSYGRSCRVRADLDPRWQDQWNPPEVSADAPIDGEEVLLDREELAKEHEFFSLGGASVAKGGRYMAYATDTSGDERYDLRIKDLNTGELLPDAIDGMTGNFDWLGDNYLFYTRCDESWRPYQVWRHVLGTPASEDQLVYEEPDERFWIGVGASRSEKFMFIVAGSKLTSETRVLDFADPTGTFSVVKPREEGVEYDVSEVYIGDTWWWMVTHNAHGPNSELGLAPIFDADGSFAQVDLEQLTVLVEHRPDVRLQGVDTFKKQAILGYRESGVGKVALLKLPERVEDIGSFTPIEFDEELYSAGFAQNPEWDSPVLRMVYGSFTTPACVMNFDVATGQRTVLKQQEVLGGYNPADYLAERVWVSARDGAQIPVSLVRRADLDVSVAQPTMLYGYGSYEACVDPSFSCARLSMLDRGMIIAYAHVRGGGEMGRLWYDDGKIMKKRNTFTDFIDVADALLERGVTTREQLVADGGSAGGLLMGAVANMGGDRFKAISANVPFVDPLTSMLMPELPLTVAEWEEWGDPLHSKEVYDYMATYAPYENIEAKPYPNILATTSLNDTRVLYVEPAKWIAKLRDLATAGEFLLKTEMAAGHGGVSGRYESWRQDCFERAWIINQATGLEV---------------</t>
  </si>
  <si>
    <t>MTETDRTAPKPQAPKAPKHPTTRTHHGRVFVDDYEWLRDKGAAETIAYLEAENAYTDEATKDQQQLQEDIFQEIKSRVKETDMSVPSRDGDYWYYGRTEEGKSYFLSCRLPVLPD---QDPWTPPVIPENSAPEGEEIILDGNVLAEGHEFFSLGGSGVTQSGRFLAYSTDTTGDERYTLHIKDLATGELLEDTIEGISSGLTWCGEEYLFYQRVDDAWRPDSVWRHKVGTPVTDDVRVFYEPDERFWVGVSSDRMEKFLYIESGSKLSSEIWVLECDNPTSEFRCLRTREAEVEYDVTYAEVGGEPRWLVLHNAHGPNFELGECPLGPLPD-----DLDDLRVLVPHRDTVRLNAVGAWARYLVLSYRQEGASKLAVMQLGE--QGFTEFKELEFDEELYDVGFGTGHYWDAPCFRLSYDSFTTPARLYDYWPATGELRLLKEQEIPGGYNRDDYVAHRLWVTAQDGAQVPVSVIHRADLDMSVPNPTLLYGYGSYESTIDPSMSILWLSLLDRGIIVAVAHVRGGGEMGRLWYDNGKMLTKKNTFTDFIDVADYLISSNMTTPELLVAQGGSAGGLLMGAVANMGGDRFKAIHAVVPFVDPLTSILMPELPLTVIEWEEWGNPLEDVAVYDYMASYSPYENVEAKPYPNILASTSLNDTRVLYVEPAKWIAKLRDMATSGDFLLKTEMSAGHGGVSGRYESWKQAAFEHAWIIDQLRGGTPA--------------</t>
  </si>
  <si>
    <t>MTETDRTAPKPQAPKAPKHPTTRTHHGRVFVDDYEWLRDKGAAETIAYLEAENAYTDEATKDQQQLQEDIFQEIKSRVKETDMSVPSRDGDYWYYGRTEEGKSYFLSCRLPVLPD---QDPWTPPVIPENSAPEGEEIILDGNVLAEGHEFFSLGGSGVTQSGRFLAYSTDTTGDERYTLHIKDLATGELLEDTIEGISSGLTWCGEEYLFYQRVDDAWRPDSVWRHKVGTPVTDDVRVFYEPDERFWVGVSSDRMEKFLYIESGSKLSSEIWVLECDNPTSEFRCLRTREAEVEYDVTYAEVGGEPRWLVLHNAHGPNFELGECPLGSLPD-----DLDDLRVLVPHRDTVRLNAVGAWARYLVLSYRQEGASKLAVMQLGE--QGFTEFKELEFDEELYDVGFGTGHYWDAPCFRLSYDSFTTPARLYDYWPATGELRLLKEQEIPGGYNRDDYVAHRLWVTAQDGAQVPVSVIHRADLDMSVPNPTLLYGYGSYESTIDPSMSILWLSLLDRGIIVAVAHVRGGGEMGRLWYDNGKMLTKKNTFTDFIDVADYLIGSNMTTPELLVAQGGSAGGLLMGAVANMGGDRFKAIHAAVPFVDPLTSILMPELPLTVIEWEEWGNPLEDVAVYDYMASYSPYENVEAKPYPNILASTSLNDTRVLYVEPAKWIAKLRDRATSGDFLLKTEMSAGHGGVSGRYESWKQAAFEHAWIIHQLQGDTPHKGGPYAGLNNDFPV</t>
  </si>
  <si>
    <t>MTFTE--------PIAPVHPITRTHHDISFIDNYEWLRDKESAETTAYLEAENAYTAQETAHLKTLEDNIFQEIKSRVKETDMSVPTRLGRYWYYGRMEEGKSYGISARVPVIDD------WVPPVVSETGSLPDEEILLDANQLAKGHDFFSLGASTVDDTGRYLAYSTDTEGNERFTLYIKDLETGELLDDVIDNVFYGVTWAGTDYLFYTRVDDAWRSDSVWRHKVGTPASEDVRVFHEEDERFNVGVGSSRSKRFLMIESSSKVTSESWVLELDNPTGEFRVIRPREHNVEYSVSHAVLSGKDAWLIVHNAHGPNFELGWMWTTDTLG-----SFDDLRVLVPHRDTVRIEGVDAYEHQLVIGYRREAISRAGVMKLDQ--GNLTEFVELEFPEELYTIEVMGNPEWDAPVLRLAYSSYVTPTRIYDYTVATGELRLLKEQEVLGGYNPDDYVASRVWVTASDGVDIPVSLVHRRDVDLSHPNPTILYGYGSYEISLDPGFSVASLSLMDRGMIFAFAHVRGGGELGRHWYDNGKMLHKRNTFTDFIAVADYLLDHNLTTRDTLVALGGSAGGLLMGAVANLGGDRFKAIEANVPFVDPLTSMLMPELPLTVPEWEEWGNPLADKDVYDYMAGYAPYENIEAKTYPNILALTSINDTRVLYVEPAKWIAQLRATATGGKFLLKTEMAAGHGGVSGRYESWRQTAFEYAWLINQATGKVE---------------</t>
  </si>
  <si>
    <t>MTFTE--------PIAPVHPVTRTHHNISFIDNYEWLRDKESAETTAYLEAENAYTAQETAQLKTLEDNIFQEIKSRVKETDMSVPTRLGRYWYYGRMEEGKSYGISARVPVIED------WVPPVVSETGSLPDEEILLDANQLAEGHDFFSLGASTVDDTGRYLAYSTDTEGNERFTLYIKDLETGELLDDVIDNVFYGVTWAGTDYLFYTRVDDAWRSDSVWRHKVGTPASEDVRVFHEEDERFNVGVGSSRSKRFLIIESSSKVTSESWVLELDNPTGEFRVIRPREHNVEYSVSHAVLSGKDAWLIVHNAHGPNFELGWMWTTDTLG-----SFDDLRVLVPHRDTVRIEGVDAYEHQLVIGYRREAISRAGVMKLDQ--GNLTEFVELEFPEELYTIEVMGNPEWDAPVLRLAYSSYVTPTRIYDYTVATGELRLLKEQEVLGGYNPDDYVASRVWVTASDGVDIPVSLVHRRDVDLSHPNPTILYGYGSYEISLDPGFSVASLSLMDRGMIFAFAHVRGGGELGRHWYDNGKMLHKRNTFTDFIAVADYLLDHNLTTRDTLVALGGSAGGLLMGAVANLGGDRFKAIEANVPFVDPLTSMLMPELPLTVPEWEEWGNPLADKDVYDYMAGYAPYENIEAKTYPNILALTSINDTRVLYVEPAKWIAQLRATATGGKFLLKTEMAAGHGGVSGRYESWRQTAFEYAWLINQATGKVE---------------</t>
  </si>
  <si>
    <t>GC_00000898</t>
  </si>
  <si>
    <t>MGGFGWLWNMLGDTSGRNQKRSIALVKKAESLLDDVAALPDEQLSERGR---AAAQSEDYAALLAVLSVASQRWLGMVPFDVQLQATLRLLEGDVVHMATGEGKTLVGAMAATGFALRGKRVHCITVNDYLAHRDAQWMRPLVEFFGLSVASIGEKMDSDSRRDAYRCDVVYAPVSEIGFDVLRDQLIVRPEDAVQHGADVAIVDEADSVLVDEALVPLVLAGSAPGVAPAGQITEIVSRLTESEHFEVSEDGRTVFLNDRGAAVVERELGISSLYDQEHVGTTLVQVNLALHAEHLLHRDVHYIVRDGKVQIIDASRGRVADLQRWPDGVHAAVEAKEGLDVTEGGRILDTITLQALMGRYPMVCGMTGTAVEAIDQLRQFYDLRVSVIERSAPLRRFDEADRIYATVEDKTAAIVQEIARIHATGQPVLVGTHDVAESETLAERLGDQGIDVVVLNAKNDAEEARIIAEAGDVGKVTVSTQMAGRGTDIRLGGADESRRDEVVELGGLAVIGTGRYRTQRLDNQLRGRAGRQGDPGLSLFFVSLDDDVVLAGGAGESVKADVASDGRIDSKRVGDFVAHCQRVTEGQLLEIHSQTWKYNKLISDQRAIIDERRFDLLHTAVAWEELRAHNPQRAGELEASGVSVETLEQAAREIVLYHLDYGWSEHLALLDDVRESIHLRAIAKETPIDEFHRIAVLEFKALREKAVRDARETFATIDIDAEGAHLDDLGLHRPSATWTYMVGDNPLQSSGNSVINALTSAFR</t>
  </si>
  <si>
    <t>MAGFDWFWKAMGGQSSRNQKRSRAIVDQATSQQTKLAKLSDAALAKKARELAASGEISDAATFLAILAIAAERTLGFTPFPVQSQATLRLLEGDVVHMATGEGKTLVGAMAATGFGLMGKRVHAITVNDYLAQRDAEWMRPLVEFFGLTVASITEKLDASERREAYAADIVYGPVNEIGFDVLRDQLITNRKDAVQYGADVAIVDEADSVLVDEALVPLVLAGNEPGRAPRGKITEVVRGLRKKRDFTIDDDHRNVFLTDEGAAKIERALGIGSLYSDEHVGTTLVQVNLALHAQELLIRDVHYIVRDGKVALIDASRGRVADLQRWPDGLQSAVEAKEGLAVTEGGRILDTITLQALMGRYPMVCGMTGTAVEATDQLRQFYDLRVSVIDRNRELQRFDEADRVYATLAEKNDAIVEEICLLHEAGQPVLVGTHDVAESEALAARLREYDIDVNVLNAKNDAEEARIIAEAGDVGRVTVSTQMAGRGTDIRLGGADERDRDAVVAAGGLAVIGTGRHRTARLDNQLRGRSGRQGDPGLSVFFVSLEDDMVVAGGSGESVTAQPDAEGRINAKRIEDFVEHCQRVTEGQLLEIHAQTWKYNKLLADQRVIIDERRADLLDTPKAWEELAARVPERA--ASLSDLPQPVLEQAARDIMLYHLDRGWSDHLALLDDVRESIHLRAIARETPIDEFHRIAVGEFKQLAQRAVDEAVSTFETVRIDAAGAHLDDEGLARPSATWTYMVNDNPLSGNGNSVIGAISSMFR</t>
  </si>
  <si>
    <t>MAGFDWFWKAMGGQSSRNQKRSRAIVDQATSQQTKLAKLSDAALAKKARELAASGEINDAATFLAILAIAAERTLGFTPFPVQSQATLRLLEGDVVHMATGEGKTLVGAMAATGFGLMGKRVHAITVNDYLAQRDAEWMRPLVEFFGLTVASITEKLDASERREAYAADIVYGPVNEIGFDVLRDQLITNRKDAVQYGADVAIVDEADSVLVDEALVPLVLAGNEPGRAPRGKITEVVRGLRKKRDFTIDDDHRNVFLTDEGAAKIERALGIGSLYSDEHVGTTLVQVNLALHAQELLIRDVHYIVRDGKVALIDASRGRVADLQRWPDGLQSAVEAKEGLAVTEGGRILDTITLQALMGRYPMVCGMTGTAVEATDQLRQFYDLRVSVIDRNRELQRFDEADRVYATLAEKNDAIVEEIRLLHEAGQPVLVGTHDVAESEALAARLREYDIDVNVLNAKNDAEEARIIAEAGDVGRVTVSTQMAGRGTDIRLGGADESDREAVVAAGGLAVIGTGRHRTARLDNQLRGRSGRQGDPGLSVFFVSLEDDMVVAGGSGESVTAQPDAEGRINAKRIEDFVEHCQRVTEGQLLEIHAQTWKYNKLLADQRVIIDERRADLLDTPKAWEELAARVPERA--ASLSDLPQPVLEQAARDIMLYHLDRGWSDHLALLDDVRESIHLRAIARETPIDEFHRIAVGEFKQLAQRAVDEAVSTFETVRIDAAGAHLDDEGLARPSATWTYMVNDNPLSGNGNSVIGAISSMFR</t>
  </si>
  <si>
    <t>MAGFDWFWKAMGGKQGRNQKRSLAIVDQAAARVAKLNARSDEDLVARAREITASGEVADAAEFLAILSIAATRTLGMTPFPVQLQAVLRLLEGDVIQMATGEGKTLVGAMANTGFGLMGKRVHSVTVNDYLAARDAEWMGPLVKFFGLTVAAVTESMTTDERRKAYKANIVYAPVNEIGFDVLRDQLITDRADAVQHGADVALIDEADSVLVDEALVPLVLAGNEPGTAPGGRITDLVRRLKKNQHYVVDEDGRNASLTDVGARLLERQLGITSLYDDEHVGSTLVQVNLALHAHALLTRDVHYIVRDGKVALIDASKGRVADLQRWPDGVQAAVEAKEGLAVTEGGRILDTITLQALMHRYPMVCGMTGTAVEATDQLRSFYDLRVSVIDRNEPLQRFDEADRVYATIRDKNRAIIDEIKAIHDTGQPVLVGTQDVAESEALAEALREYDIDVNVLNAKNDAEEARIIAEAGDIGRVTVSTQMAGRGTDIKLGGADETDHDAVVKLGGLAVIGTSRHRTARLDNQLRGRAGRQGDPGLALFFVSLEDDVVVVGGAGEEVTARPAADGSIESKRIRDWIEHCQRVTEGQLLEIHSQTWKYNKLLADQRDIIDKRRAELLDTDRAWQEIFERSARAT--LLDKELPRDTLVRAAREIMLYHLDLGWSDHLALMDDVRESIHLRAIARETPIDEFHRIAVREFKELAQRAVDNAVDTFNEVPIDADGAHLEEQGLARPSATWTYMVSDNPLAGSGNSLLRGIGNIFR</t>
  </si>
  <si>
    <t>MAGFDWFWKAMGGKQGRNQKRSLAIVDQAAARVAKLNARSDEDLVARAREITASGEVADAAEFLAILSIAATRTLGMTPFPVQLQAVLRLLEGDVIQMATGEGKTLVGAMANTGFGLMGKRVHSVTVNDYLAARDAEWMGPLVKFFGLTVAAVTESMTTDERRKAYKANIVYAPVNEIGFDVLRDQLITDRADAVQHGADVALIDEADSVLVDEALVPLVLAGNEPGTAPGGRITDLVRRLKKNQHYVVDEDGRNASLTDVGARLLERQLGIASLYDDEHVGSTLVQVNLALHAHALLTRDVHYIVRDGKVALIDASKGRVADLQRWPDGVQAAVEAKEGLAVTEGGRILDTITLQALMHRYPMVCGMTGTAVEATDQLRSFYDLRVSVIDRNEPLQRFDEADRVYATIRDKNRAIIDEIKAIHDTGQPVLVGTQDVAESEALAEALREYDIDVNVLNAKNDAEEARIIAEAGDIGRVTVSTQMAGRGTDIKLGGADENDHDAVVKLGGLAVIGTSRHRTARLDNQLRGRAGRQGDPGLALFFVSLEDDVVVVGGAGEEVTARPAADGSIESKRIRDWIEHCQRVTEGQLLEIHSQTWKYNKLLADQRDIIDKRRAELLDTDRAWQEIFERSARAT--LLDKELPRDTLVRAAREIMLYHLDLGWSDHLALMDDVRESIHLRAIARETPIDEFHRIAVREFKELAQRAVDNAVDTFNEVPIDADGAHLEEQGLARPSATWTYMVSDNPLAGSGNSLLRGIGNIFR</t>
  </si>
  <si>
    <t>GC_00000899</t>
  </si>
  <si>
    <t>K01755</t>
  </si>
  <si>
    <t>argininosuccinate lyase [EC:4.3.2.1]</t>
  </si>
  <si>
    <t>COG0165</t>
  </si>
  <si>
    <t>Argininosuccinate lyase (ArgH) (PDB:1AOS)</t>
  </si>
  <si>
    <t>KEGG Orthology (KO)&gt;&gt;&gt;09100 Metabolism&gt;&gt;&gt;09105 Amino acid metabolism&gt;&gt;&gt;00250 Alanine, aspartate and glutamate metabolism [PATH:ko00250]|KEGG Orthology (KO)&gt;&gt;&gt;09100 Metabolism&gt;&gt;&gt;09105 Amino acid metabolism&gt;&gt;&gt;00220 Arginine biosynthesis [PATH:ko00220]|Enzymes&gt;&gt;&gt;4. Lyases&gt;&gt;&gt;4.3  Carbon-nitrogen lyases&gt;&gt;&gt;4.3.2  Amidine-lyases&gt;&gt;&gt;4.3.2.1  argininosuccinate lyase|Exosome&gt;&gt;&gt;Exosomal proteins&gt;&gt;&gt;Exosomal proteins of other body fluids (saliva and urine)</t>
  </si>
  <si>
    <t>MSEVNAENNPAAHGTNQGALWGGRFSGGPSEAMFALSVSTHFDWVLAPYDVLASKAHAKVLNRAGLLSDGDLEAMLDGLTTLGERVASGQFVPEPTDEDVHGAMERGLIDIVGPELGGRLRAGRSRNDQVATLFRMWVRDAVRDIAADVSDLVDALAAQAAAHPDAIMPGKTHSQAAQPVLLAHQLLAHAQPLLRDIERLRDLDKRLAVSPYGSGALAGSSLKLDPEAIAAELGFDAACDNSIDGTSSRDFASETAFVLAQIAVDMSRLAEEIIYWCTPEYGYVTLDDAWSTGSSIMPQKKNPDVAELTRGKTGRLIGNLAGLMATLKAQPLAYNRDLQEDKEPIVDSVAQLGLLLPAMTGLVSTLVFHTDRMHELAPAGFTLATDLAEWMVRQGVPFREAHEASGACVRLAESRGCTLNELTDEDFAMVDPRLTPSVREVLTVEGAVASRSTRGGTAGPRVAEQRQRVEAASAEHRRWATTPVR-</t>
  </si>
  <si>
    <t>---------MDSHGTNEGALWGGRFAGGPADAMFALSVSTHFDWVLAPYDVLASKAHAKVLHAAGLLSDADLDTMLAGLDQLGRDVASGDFTPLPTDEDVHGAMERGLIDRVGPEVGGRLRAGRSRNDQVATLFRMWVRDAIRDIAIGVTELIDALVAQAAAHPDAIMPGKTHFQAAQPVLLAHQLLAHAQPLLRDVDRIQDLDKRLAVSPYGSGALAGSSLTLNPEAIAEELGFDSAADNSIDATSSRDFASET</t>
  </si>
  <si>
    <t>--------MAQQHKTNQGALWGGRFAGGPSDAMFALSVSTHFDWVLAPYDVQASKAHAKVLHKAGLLSDADLDTMLDGLDRLGEKVASGDFVPLPTDEDVHGALERGLIEIVGPEVGGRLRAGRSRNDQVATLFRMWVRDAIRDIAVEVTDLIAALSTQAANHPGVIMPGKTHFQAAQPILLAHALLAHAHPLLRDIERLQDLDKRLAVSPYGSGALAGSSLHLDPEAIAAELGFAEAADNSLDATSSRDFAAET</t>
  </si>
  <si>
    <t>GC_00000900</t>
  </si>
  <si>
    <t>MDIFLSILALVGFVALTAATGFFVAIEFALTGLERSQIDNHVRDTGDSTALAIQKAHNNLSFELSGAQLGITITTLATGYLAEPVLSRFFTPVLELSGLSDQAARPVALVLALIIATLLSMVYGELVPKNMAITDPLAAARLTVRPVHLFNVVFAGFVRLLNAAANALVRKLGIEPAEELASARSAQELGALVRNSAKHGGLDKAKAAMLDRSLKFGEESAEDFMTPRAKIETLDAAASVQDLLELALDTGHSRFPVIDGDLDATIGVVHVKDAFGVAKASRSRTPAVQFARPVPQVPASLDGDAVLAVVRKAGSQMALVADEYGGTAGIVTIEDVVEEILGEVYDEHDDAEAERDFLR-VGASWEIAGLVRVDELSEKVGYYAPEGPYETLGGLIMASLGRIPKAGDVVLLPETDRDSMDEFESGIQGRWIARVTLMDGRRIDKCVLTPMSEDEAHDYVKDYQ</t>
  </si>
  <si>
    <t>MDIALSILSLFGFVALTVGTGFFVAIEFALTGLERSTIDNHVENKGDATARAIQKAHNKLSFELSGAQLGITITTLATGYLAEPILARYFTPALELVGLSDNAAPAVSLVLAMIVATLLSMVYGELVPKNMAITNPLTTARVTVGPVRLFNRVFAGVIHSLNKTANTLVRRMGIEPADELASARSPQELGALVRNSAKHGGLEESQAKMLDRSLKFGETNAEELMTPRSTIAALDADDTVTDLLALALETGHSRFPVTDGDLDATIGVVHVKDAFSIPREQHNATKLRLLARPVPTVPISLDGDAVLNAVRSAGSQVVLVADEYGGTAGIVTIEDVVEEILGEVYDEHDDT-GDKDFAQ-LGDSWQVSGLVRVDDLPENTGYFSPEGPYETIGGLVMDTLGRIPMEGDVVLLPQTDRDFLDEFESGIRGRWIARVVAMDDRRVDKVILTPISDEEAEEYKR---</t>
  </si>
  <si>
    <t>MDIALSILSLLGFVALTVGTGFFVAIEFALTGLERSTIDNHVENKGDATARAIQKAHNKLSFELSGAQLGITITTLATGYLAEPILAQYFTPALELVGLSDNAAPAVSLVLAMIVATLLSMVYGELVPKNMAITNPLTTARVTVGPVRLFNRVFAGVIHSLNKTANALVRRMGIEPADELASARSPQELGALVRNSAKHGGLEESQAKMLDRSLKFGETNAEELMTPRSTIAALDADDTVTDLLALALETGHSRFPVTDGDLDATIGVVHVKDAFSIPREQHSATKLRLLARPVPTVPISLDGDAVLNAVRSAGSQVVLVADEYGGTAGIVTIEDVVEEILGEVYDEHDDT-GDKDFAQ-LGDSWQVSGLVRVDDLPENTGYFSPEGPYETIGGLVMDTLGRIPMEGDVVLLPQTDRDFLDEFESGIRGRWIARVVAMDDRRVDKVILTPISDEEAEEYKR---</t>
  </si>
  <si>
    <t>MDLLLSILSLIGFILLTASTGLFVAVEFALTGLERATIDQDLAAHNDSRAHAVKRAFHNLSFVLSGAQLGITITTLATGYLAEPILAKFLNPLLRLTGLSETWTTPTALVLALIIATFLSMVFGELVPKNIAITNPIRTARFTIQPAHAFNLIFKGFITLLNKTANALVRAIGIEPADELATARSAQELTTLVRNSVGDDGFDETIANFLGRSLLFGATTAEELMTPRSTIETLSHDDTILDLLAKAATTGYSRFPVVNGDLDDTIGIVHYKDAFAIPTHQRATTTLGSIAHTVRAVPESLDGDAVLNTVRAAGAQVILVKDEYGGTAGLITIEDVIEEILGDVYDEHDNEEEQQEFHQNTTSTWTISGLVRLDELEENLGYLAPEGPYETLGGLIMYNLGRIPKTGDELILPPTANQPTDDITPPPTT-WHATVLAMEDRRVDKVLLTPTTNLN---------</t>
  </si>
  <si>
    <t>MDLLFSILSLIGFILLTASTGLFVAVEFALTGLERATIDQDLNTHNDSRAHAVKRAFHNLSFVLSGAQLGITITTLTTGYLAEPILAKFLNPLLRLTGLSETWTTPTALVLALIIATFLSMVFGELVPKNIAITNPIRTARFTIQPAHAFNLIFKGFITLLNKTANALVRAIGIEPADELATARSAQELTTLVRNSVGDDGFDETIANFLGRSLLFGATTAEELMTPRSTIETLSHDDTILDLLAKAATTGYSRFPVVNGDLDDTIGIVHYKDAFAIPTHQRATTTLGSIAHTVRAVPESLDGDAVLNTVRAAGAQVILVKDEYGGTAGLITIEDVIEEILGDVYDEHDNEEEQQEFHQNTTSTWTISGLVRLDELEENLGYLAPEGPYETLGGLIMYNLGRIPKTGDELILPPTANQPTDDITPPPTT-WHATVLAMEDRRVDKVLLTPTTNLN---------</t>
  </si>
  <si>
    <t>GC_00000901</t>
  </si>
  <si>
    <t>K00762</t>
  </si>
  <si>
    <t>orotate phosphoribosyltransferase [EC:2.4.2.10]</t>
  </si>
  <si>
    <t>COG0461</t>
  </si>
  <si>
    <t>Orotate phosphoribosyltransferase (PyrE) (PDB:4WML)</t>
  </si>
  <si>
    <t>KEGG Orthology (KO)&gt;&gt;&gt;09100 Metabolism&gt;&gt;&gt;09104 Nucleotide metabolism&gt;&gt;&gt;00240 Pyrimidine metabolism [PATH:ko00240]|Enzymes&gt;&gt;&gt;2. Transferases&gt;&gt;&gt;2.4  Glycosyltransferases&gt;&gt;&gt;2.4.2  Pentosyltransferases&gt;&gt;&gt;2.4.2.10  orotate phosphoribosyltransferase</t>
  </si>
  <si>
    <t>MTKVDQ-----LALKRLAELVKKLAVVHGRVTLSSGKEADYYVDLRRATLHHEASPLIGKLLRQLTSDWDYAHVGGLTLGADPVATAIMHAEGRPVDACVVRKEAKKHGMQRRIEGPDIVGKKVLVVEDTTTTGNSPLTAVAALREAGAEVVGVATVVDRNTGAGEVIAAEGLEYRYLLGLEDLDLA</t>
  </si>
  <si>
    <t>--MLNESTSTGAKKQELAELVRELAVVHGKVILSSGKEADYYVDLRRATLEHRASRLIGELLRELTADWDYAAVGGLTLGADPVATSIMHADGRPIDAFVVRKEAKKHGMQRRIEGPDVAGKRVLVVEDTTTTGNSPLTAVAALREAGAEVVGVATVVDRDTGAQDAIAAAGLEYRYVLGLADLGL-</t>
  </si>
  <si>
    <t>--MLNESTSTGAKKQELAELVRELAVVHGKVILSSGKEADYYVDLRRATLEHRASRLIGELLRELTADWDYAAVGGLTLGADPVATSIMHADGRPIDAFVVRKEAKKHGMQRRIEGPDVAGKRVLVVEDTTTTGNSPLTAVAALREAGAEVVGVATVVDRNTGAQDAIAAAGLEYRYVLGLADLGL-</t>
  </si>
  <si>
    <t>GC_00000902</t>
  </si>
  <si>
    <t>K08162</t>
  </si>
  <si>
    <t>MFS transporter, DHA1 family, multidrug resistance protein</t>
  </si>
  <si>
    <t>COG2223</t>
  </si>
  <si>
    <t>Nitrate/nitrite transporter NarK (NarK) (PDB:4JR9)</t>
  </si>
  <si>
    <t>Transporters&gt;&gt;&gt;Major facilitator superfamily (MFS)&gt;&gt;&gt;Drug transporters&gt;&gt;&gt;Drug:H+ antiporter-1 (12 spanner) (DHA1) family [TC:2.A.1.2]</t>
  </si>
  <si>
    <t>------------------MRSLPAATQLLLVTQMLFNVGFYLVVPFLANYMTESLAATGAIVGIVLGLRTFSQQGLFFIGGGLTDRFGVKPVLLTGIAIRVIGFIAAGLSHNIEMLTLSVVLIGFAAALFSPAAESAFAEIGRCIEEHGGMTRSELFALDAFFSRIGALTGPLLGAVVINQGFNIACFIAAGIFAFLFFSHLLVIPSVRTQRQQTL--GFGTVLRNRTFLWFALAYSTGLVAYNQQYLALPAELH</t>
  </si>
  <si>
    <t>---------MSVLHDASRFLRLPLLVQLLLVTQMLFNVGFYLVVPFLATYMTDNLAASGAMIGFILGLRTFSQQGLFFIGGGLTDRCGIKPVLLFGIAIRVLGFVVTGTAHSTFHIMVGVVLIGFAAALFSPAAETALAVSGRDVEKARVMTRSELFGMDAFFSRVGALTGPLLGAELIDAGFHLTCFVAAGIFAFLFVSHLLLIPSVHTESSSSMLTGFSSVLRNRRFLVFALAYSTGLVAYNQQYLSLPVELT</t>
  </si>
  <si>
    <t>---------MSVLHDASRFLRLPLSVQLLLVTQMLFNVGFYLVVPFLATYMTDNLAASGAMIGFILGLRTFSQQGLFFIGGGLTDRCGIKPVLLFGIAIRVLGFVVTGTAHSTFHIMVGVVLIGFAAALFSPAAETALAVSGRDVEKARVMTRSELFGMDAFFSRVGALTGPLLGAELIDAGFHLTCFVAAGIFAFLFVSHLLLIPSVHTESSSSMLTGFSSVLRNRRFLVFALAYSTGLVAYNQQYLSLPVELT</t>
  </si>
  <si>
    <t>MTSQTRISRSALTAQLRSFRHLPLAVRLLLFTEMMFNIGFYLVVPFLATYMSESLAATGTMIGLVLGLRTFSQQGLFFLGGALTDRFGVKRILLIGITIRIIGFVAAGLSHTTMQLMVAVILIGFAAALFSPAAEASFAVAGREAEDDGIITRSDLFALDALFLRIGALIGPVLGALLLSSGFDVMCFIAAGIFGILLVSHAIIIPAVDTPTGEPLLASLTTVLCNPLFLVFALFYSTGLVSYNQQYLLLPIELERATGSQSALGWMFVFASVLVLTLQMPLATWAQRRSAATSLMVGFGAMALCFAIVAVAAPFPSFSGI---GALIPALMMLVFLHVGQMIALPIARDLVGIIAAEKHVGTYFGFLNSFGGLAVLISSLVLGKLEDWAKTPQPPATVPWLLLTAALLLSTVALPKIAVIATRRRKTLVESVTD</t>
  </si>
  <si>
    <t>MTSQTRIGRSALTTQLRSFRRLPLAVRLLLFTEMMFNIGFYLVVPFLATYMSESLAATGTMIGLVLGLRTFSQQGLFFLGGALTDRFGVKRILLIGITIRIIGFVAAGLSHTTMQLMVAVILIGFAAALFSPAAEASFAVAGREAEDEGIITRSDLFALDALFLRIGALIGPVLGALLLSSGFDVMCFIAAGIFGILLVSHAIIIPAVDTPAGEPLLASLTTVLRNPLFLVFALFYSTGLVTYNQQYLLLPIELERATGSQSALGWMFVFASVLVLTLQMPLAAWAQRRSTATSLMVGFGAMALCFAIVAVAAPFPPFSGV---GALIPALMMLVFLHVGQMIALPIARDLVGIIAAEKHVGTYFGFLNSFGGLAVLISSLVLGRLEDWAKTPQPPATVPWLLLTAALLLSTVALPKIAVIATRRRKALVESVTD</t>
  </si>
  <si>
    <t>GC_00000903</t>
  </si>
  <si>
    <t>PF00380.25</t>
  </si>
  <si>
    <t>Ribosomal protein S9/S16</t>
  </si>
  <si>
    <t>K02996</t>
  </si>
  <si>
    <t>small subunit ribosomal protein S9</t>
  </si>
  <si>
    <t>COG0103</t>
  </si>
  <si>
    <t>Ribosomal protein S9 (RpsI) (PDB:4V4H)</t>
  </si>
  <si>
    <t>MTDQNINDNLVAE-----AAAAASEEFTNTIGDAVAVEAEAE--VAAPVIMDGPIQTVGRRKRAIVRVRMVEGSGKFVCNGRSLEEYFPNKLHQQLIKAPLVLLDRDGQFDIHANLTGGGASGQAGAFRLAIARALNLYNPAERAALKKAGFLTRDSRAVERKKAGLHKARRAPQYSKR</t>
  </si>
  <si>
    <t>MTEPNNTENLAADAADIAAAQAATEEFTNTIADAVAVEVEEETVVPAPAELDQPIQTVGRRKRAIVRVRMTAGTGQIICNGRSLEDYFPNKLHQQLIKSPLVLIDREGQFDIHANLNGGGPSGQAGALRLAIARALNVYNPTDRPALKKAGFLTRDARAVERKKAGLHKARRAPQYSKR</t>
  </si>
  <si>
    <t>MTESNNTENLAADAADIAAAQAATEEFTNTIADAVAVEVEEETVVPAPAELDQPIQTVGRRKRAIVRVRMTAGTGQIICNGRSLEDYFPNKLHQQLIKSPLVLIDREGQFDIHANLNGGGPSGQAGALRLAIARALNVYNPTDRPALKKAGFLTRDARAVERKKAGLHKARRAPQYSKR</t>
  </si>
  <si>
    <t>MSDNNVTENFEADAADIAAAAAATEEFTNTIGEIMVTETEIE--ADLPTYHEGPIQTVGRRKRAIVRVRMVEGTGQFVCNGRTLEEYFPNKLHQQLIKAPLVLIDRDGQFDIHANLTGGGPTGQAGAFRLAIARALNIYNPADRPALKKAGFLTRDARAVERKKAGLHKARRAPQYSKR</t>
  </si>
  <si>
    <t>MSDNNVTEDFEADAADIAAAAAATEEFTNTIGEIMVTETEIE--ADLPTYHEGPIQTVGRRKRAIVRVRMVEGSGQFVCNGRTLEEYFPNKLHQQLIKAPLVLIDRDGQFDIHANLTGGGPTGQAGAFRLAIARALNIYNPADRPALKKAGFLTRDARAVERKKAGLHKARRAPQYSKR</t>
  </si>
  <si>
    <t>GC_00000904</t>
  </si>
  <si>
    <t>PF00303.24</t>
  </si>
  <si>
    <t>Thymidylate synthase</t>
  </si>
  <si>
    <t>K00560</t>
  </si>
  <si>
    <t>thymidylate synthase [EC:2.1.1.45]</t>
  </si>
  <si>
    <t>COG0207</t>
  </si>
  <si>
    <t>Thymidylate synthase (ThyA) (PDB:1AN5)</t>
  </si>
  <si>
    <t>KEGG Orthology (KO)&gt;&gt;&gt;09100 Metabolism&gt;&gt;&gt;09104 Nucleotide metabolism&gt;&gt;&gt;00240 Pyrimidine metabolism [PATH:ko00240]|KEGG Orthology (KO)&gt;&gt;&gt;09100 Metabolism&gt;&gt;&gt;09108 Metabolism of cofactors and vitamins&gt;&gt;&gt;00670 One carbon pool by folate [PATH:ko00670]|Enzymes&gt;&gt;&gt;2. Transferases&gt;&gt;&gt;2.1  Transferring one-carbon groups&gt;&gt;&gt;2.1.1  Methyltransferases&gt;&gt;&gt;2.1.1.45  thymidylate synthase</t>
  </si>
  <si>
    <t>-----MATIDTPYEDLLAKILAEGTHKDDRTGTGTTSLFAQQMRFDLSESFPLITTKKVHVKSVVGELLWFLRGESNIQFLHDNGITIWDEWADANGDLGPVYGVQWRSWPTPNGQHIDQIAGALELLRSNPDSRRNIVSAWNVSELDNMALPPCHLLFQLYVADGKLSCQLYQRSADMFLGVPFNIASYSLLTHMFAQQAGLEVGEFVWTGGDCHIYDNHQEQVRLQLSRQARPYPQLNLRKAADMFSYTFDDM</t>
  </si>
  <si>
    <t>-----MTGVATPYEDLLRTILEHGTHKDDRTGTGTTSLFGQQIRFDLQHSFPLITTKKVHVKSIVGELLWFLRGDSNISFLHEHGITIWDEWASPDGELGPVYGVQWRSWPTPNGGHIDQIAGALDMLKNNPDSRRNIVSAWNVSEIDNMALPPCHLLFQLYVADGTLSCQLYQRSADMFLGVPFNIASYSLLTHMFAQQAGLKVGEFIWTGGDCHIYDNHREQVKLQLSREPRPYPQLELRKADSMFEYTFDDI</t>
  </si>
  <si>
    <t>-----MTGVATPYEDLLRIILEHGTHKDDRTGTGTTSLFGQQIRFDLQHSFPLITTKKVHVKSVVGELLWFLRGDSNISFLHEHGITIWDEWASPDGELGPVYGVQWRSWPTPNGGHIDQIAGALDMLKNNPDSRRNIVSAWNVSEIDNMALPPCHLLFQLYVADGTLSCQLYQRSADMFLGVPFNIASYSLLTHMFAQQAGLKVGEFIWTGGDCHIYDNHREQVELQLSREPRPYPQLELRKADSMFEYTFEDI</t>
  </si>
  <si>
    <t>MPDNNTVTIATPYEDLLRKILAEGTHKNDRTGTGTTSLFAQQLRFDLAESFPLITTKQVHFHSVVGELLWFLSGSSNVAWLQENGIRIWNEWADDRGELGPVYGVQWRSWPTPDGGYVDQISASLAMLQADPDSRRNIVSAWNVGELPKMALPPCHLLFQLYVADNRLSCQVYQRSADMFLGVPFNIASYSLLTHMLAQQAGLHVGEFIWTGGDCHIYDNHREQVALQLTRDPRPYPQLELRKAADLFSYTFSDVVVRGYDPHPRIPARVSV</t>
  </si>
  <si>
    <t>MPDNNTVTIATPYEDLLRKILAEGTHKNDRTGTGTTSLFAQQLRFDLAESFPLITTKQVHFHSVVGELLWFLSGSSNVAWLQENGIRIWNEWADDQGELGPVYGVQWRSWPTPDGGYVDQISASLAMLRADPDSRRNIVSAWNVGELPKMALPPCHLLFQLYVADNRLSCQVYQRSADMFLGVPFNIASYSLLTHMLAQQAGLRVGELIWTGGDCHIYDNHREQVALQLTRDPRPYPQLELRKAADLFSYTFSDVAVRGYNPHPRIPARVSV</t>
  </si>
  <si>
    <t>GC_00000905</t>
  </si>
  <si>
    <t>PF03099.24</t>
  </si>
  <si>
    <t>Biotin/lipoate A/B protein ligase family</t>
  </si>
  <si>
    <t>K03524</t>
  </si>
  <si>
    <t>BirA family transcriptional regulator, biotin operon repressor / biotin---[acetyl-CoA-carboxylase] ligase [EC:6.3.4.15]</t>
  </si>
  <si>
    <t>COG0340</t>
  </si>
  <si>
    <t>Biotin-(acetyl-CoA carboxylase) ligase (BirA2) (PDB:1BIA) (PUBMED:32188788)</t>
  </si>
  <si>
    <t>KEGG Orthology (KO)&gt;&gt;&gt;09100 Metabolism&gt;&gt;&gt;09108 Metabolism of cofactors and vitamins&gt;&gt;&gt;00780 Biotin metabolism [PATH:ko00780]|Enzymes&gt;&gt;&gt;6. Ligases&gt;&gt;&gt;6.3  Forming carbon-nitrogen bonds&gt;&gt;&gt;6.3.4  Other carbon-nitrogen ligases&gt;&gt;&gt;6.3.4.15  biotin---[biotin carboxyl-carrier protein] ligase|Transcription factors&gt;&gt;&gt;Prokaryotic type&gt;&gt;&gt;Helix-turn-helix&gt;&gt;&gt;Other families</t>
  </si>
  <si>
    <t>MFWNYRSLISFWPQKRPENALNVSNPSYFGRVILALMTSREPLDIDALRRSL--PH--YARIDYAPTMGSTNTELVAAANNGAPAWTATLTDYQTAGHGRGGRAWTAPENSQLILSVLIRPGADAIDNLGTMPLVTGLAIIDAL---------KELGYDAALKWPNDVLLDGRKLCGILAEAVSLGHEPAFVIGLGLNISLTEEELPVPHAISLALADPSRTDTLNRTDIAACVLGALHTRLSAWARGDIQPLLRDYRQACATIGADVRVLLPGDTSLSGTVTDIADSGQLLVKDPRGVIHELSAGDVEHVRLRNGSYS</t>
  </si>
  <si>
    <t>------------------------------------MTSREPVDIAAIRAAVANPSGPYARVDYTAFTGSTNADLVAAGHQNAPAWTAAVTEYQNSGRGRHGRVWTAPKGSQVTLSILIRPTAESIERLGTMPLVSGLAIIDALTATAARHPDATDKLTPQLKWPNDVLIDGRKLCGILAEAVSLGPEPAVVIGLGLNVSITTEELPVPHATSLDLEAPGI--EIDRAQLTADVLLALHHRINQWVDAD-PQLMA</t>
  </si>
  <si>
    <t>------------------------------------MTSREPVDIAAIRAAVANPNGPYARVDYTAFTGSTNADLVAAGHQNAPAWTAAVTEYQNSGRGRHGRVWTAPKGSQVTLSILIRPTAESIERLGTMPLVSGLAIIDALTATAARHPDATDKLTPQLKWPNDVLIDGRKLCGILAEAVSLGPEPAVVIGLGLNVSITTEELPVPHATSLDLEAPGI--EIDRAQLTADVLLALHHRINQWVDAD-PQLMA</t>
  </si>
  <si>
    <t>------------------------------------MDNRDPLDIDYLRTQLI-ANGPYQRIEYFPEVSSTNTELVAAAHDGAPAWTAFLTDHQTAGRGRMGRSFSAPPRSQMPLSILIRPPHESVTRLGTMPLATGLALIDAL---------ATPQI--QLKWPNDLVIDGRKLCGILAEAVSLGDQPAVVIGLGLNTSLTKEELPVPHATSLHLE--GI--PYERNELAIRVLNALHHRLTQWETND-PALMP</t>
  </si>
  <si>
    <t>------------------------------------MDNRDPLDIDYLRTQLI-ANGPYQRIEYFPEVSSTNTELVAAAHDGAPAWTAFLTDHQTAGRGRMGRSFSAPPRSQMPLSILIRPPHESVTRLGTMPLATGLALIDAL---------ATPQI--QLKWPNDLVIDGRKLCGILAEAVSLGDQPAVVIGLGLNTSLTKEELPVPHATSLHLE--GI--PYERNELAVRVLNALHHRLTQWETND-PALMP</t>
  </si>
  <si>
    <t>GC_00000906</t>
  </si>
  <si>
    <t>K03110</t>
  </si>
  <si>
    <t>fused signal recognition particle receptor</t>
  </si>
  <si>
    <t>COG0552</t>
  </si>
  <si>
    <t>Signal recognition particle GTPase FtsY (FtsY) (PDB:4AK9)</t>
  </si>
  <si>
    <t>MTNSVLLLVLLALVVAVLIVALIVVLGLQRKKNKTISF--NKEEQPKEIDQSTQSGNYTSQGGFNFAPAEDKPREKLVV----------------------------------------DQPRPVAQP-----------------------------------------------------------EPVVEPE-----------------------PVV------------------------------------------------------------------------------------------------------------------------------------------------------------------------------------------------------------------------------EPEPAQQIDEP----APAAGRLGKLRGRLSRSQNVIGQGVLGILSAGDLDEDAWEEIEDTLLMADLGTATTMRVVEALRDKIAQRGVTNEDEAKAMLRETLIEACKPDLNRAVKAMPAEGKPAVVLVVGVNGTGKTTTTGKLARVLVSMGHTVLLGAADTFRAAAADQLETWGRRVGAETVRGNEGADPASVAFDAVARGVDTGVDVVLVDTAGRLHTSVGLMDQLGKVKRVVEKKANVDEVLLVLDATIGQNGLMQARTFRDVVDITGVVLTKLDGTAKGGIVFQVQEELGVPVKLVGLGEGADDLAPFEPEAFIDALLG</t>
  </si>
  <si>
    <t>MTA-----IILIAVFLLFMLGVLILVGLRRSDAKKVSF--TTTEEPKELTQQEKSGNYQAHGGFNFAPAKADDKEPAVLPGQELK-----------------------------AEPSHFDPVPLEQEA----------------------------------------------------QQQAVQEPVKEPEEPTAE------TEQAAAEQVASKPVVAEPVATESAVTVPPA-----------SEKTDASQVEDEAAEETTKESAEDNTDVADSQEE-----------------------------------EAPEEAAEVSTANAVVVEELDDELELEEVTASEVIAETP-------PAETPEEAPSKENTSDEGTTDAAKDEDETEDDASEPGDEHKDDAEEAKEAADSAQTQVAAAEQALEETPVPEAPAQKAESQKPESTAQQQAPKEDIAPAAGRLGRLRGRLSKSQNVFGQSVLGMLSAGDLDDDAWEEIEDTLLMADLGTTITMDVVEKLREKIAERGVSSEEEARAMLRETLIEACKPELDRSIKAMPYEGKPAVIMLVGVNGTGKTTTTGKLARVLVSMGHKVLLGAADTFRAAAADQLETWGRRVGADTVRGAEGADPASVAFDAVAQGVDTQVDVVLVDTAGRLHTSVGLMDQLGKVKRVVEKKAQVDEVLLVLDATIGQNGLMQARTFRDVVDITGVVLTKLDGTAKGGIVFQVQEELGVPVKLVGLGEGADDLAPFEVESFIDALLG</t>
  </si>
  <si>
    <t>MTA-----IILIAVFLLFMLGVLILVGLRRSDAKKVSF--TTTDEPKELTQQEKSGNYQAHGGFNFAPAKADDKEPAVLPGQELK-----------------------------AEPSHFDPAPLEQEV----------------------------------------------------QQQAVQEPVKEPEEPTAE------TEQAAAEQVASKPVVAEPVATESAVTVPPA-----------SEKTDASQAKDEAAEETTKESAEDNTDVADSQEE-----------------------------------EAPEEAAEVSTANAVVVEELDDELELEEVTASEVIAETP-------PAETPEEAPSKENTSDEGTTDAAKD--ETEDDASEPGDEHKDDAEEAKEAADSAQTQVAAAEQALEETPVPEAPAQKAESQKPESTAQQQAPKEDIAPAAGRLGRLRGRLSKSQNVFGQSVLGMLSAGDLDDDAWEEIEDTLLMADLGTTITMDVVEKLREKIAERGVSSEEEARAMLRETLIEACKPELDRSIKAMPYEGKPAVIMLVGVNGTGKTTTTGKLARVLVSMGHKVLLGAADTFRAAAADQLETWGRRVGAETVRGAEGADPASVAFDAVAQGVDTQVDVVLVDTAGRLHTSVGLMDQLGKVKRVVEKKAQVDEVLLVLDATIGQNGLMQARTFRDVVDITGVVLTKLDGTAKGGIVFQVQEELGVPVKLVGLGEGADDLAPFEVESFIDALLG</t>
  </si>
  <si>
    <t>MEAAII--VVLVVVFAILVVMMIIALGSRRKDSKTISFESKTTDEPKQLTQQEKSGNYQAQGGFNFAPAK---KEEAVLPGQELKTSATAAIPTAAQSASQPTAHTDAPSASAVSEKPHEDPEPVAEAAVAEPETLTVEAEAKPEDPAVVTKKPERETEKEDEPVAAVTETAEDSEQDTKPEDPETEEPETKPEEPEDEKLETKPETVENEEQPEVEPVDDEPVENQSAVAEPEADDAAEAKAETVEDRSAKKPVETDEVQPAKKPAAEDEPEKEEVKEEVAEAPQPEEQPEPSKPGRQKRNKPQKRQKQRGKKQQQSRAAAQEKLEEAVAAGEASEKPQKSDSDTTKDHKEEPALAPQNAQGDRDEQANDVADTELEGSFEKLDEFHELVEELPDSEEIPVVEQAEPEDVDKQDALEAAAAVSAVAEAADKARAETSAPTEKPKPADAEPKPQDTIEPAVGRIGKLRGRLSKSQNVFGRLVLGMLSAGDLDDDAWEDIETQLIQADLGVKITTNVVDELREMIAERGVSSEDEARAMLRECLIAACKPELDRSIKAMPYDGKPAVVLVVGVNGTGKTTTTGKLARVLVSMGHKVLLGAADTFRAAAADQLEAWGRRVGATTVRGAEAADPASVAFDAVSKGVETHADVVLIDTAGRLHNSTNLMDQLRKVKRVVEKKAVVDEVLLVLDATTGQNGLVQAKTFGDVVNITGVVLTKLDGTAKGGIVFQVQEDLGVPVKLVGLGEGADDLAPFEVEGFVDALLG</t>
  </si>
  <si>
    <t>MEAAII--VVLVVVFAILVVMMIIALGSRRKDSKTISFESKTTDEPKQLTQQEKSGNYQAQGGFNFAPAK---KEEAVLPGQELKTSATAAIPTAAQPASQPTANIDAPSASAASEKPHEDPEPVAEAAVAEPETLTVEAEAKPEDPAVVTKKPERETEKEDEPVAAVTETAEDSEQDTKPEDPETEEPETKPEEPEDEKL----ETVENEEQPEVEPVDDEPVENQSAVEEPEA-DAAGMNAETVEDRSAKKPVETDEVQPAKKPAAEDEPEKEEVAKA----PQPEEQPEPSKPGRQKRNKPQKRQKQRGKK-QQSRAAAQEKPEEAVAADEASEKPQKSDSDTTKDHKEEP--APQNAQSDRDEQTKDVADTELEGSFEKLDEFHELVEELPDSEEIPVVEQAEPEDVDKQDALEAAAAASAVVEAADKARAETPAPTEKPKPADAEPKPQDTIEPAVGRIGKLRGRLSKSQNVFGRSVLGMLSAGDLDDDAWEDIETQLIQADLGVKITTNVVDELREMIAERGVSSEDEARAMLRECLIAACKPELDRSIKAMPYNGKPAVVLIVGVNGTGKTTTTGKLARVLVSMGHKVLLGAADTFRAAAADQLEAWGRRVGATTVRGAEAADPASVAFDAVSKGVETHADVVLIDTAGRLHNSTNLMDQLRKVKRVVEKKAVVDEVLLVLDATTGQNGLVQAKTFGDVVNITGVVLTKLDGTAKGGIVFQVQEDLGVPVKLVGLGEGADDLAPFEVEGFVDALLG</t>
  </si>
  <si>
    <t>GC_00000907</t>
  </si>
  <si>
    <t>K01739</t>
  </si>
  <si>
    <t>cystathionine gamma-synthase [EC:2.5.1.48]</t>
  </si>
  <si>
    <t>COG0626</t>
  </si>
  <si>
    <t>Cystathionine beta-lyase/cystathionine gamma-synthase (MetC) (PDB:1CL1)</t>
  </si>
  <si>
    <t>KEGG Orthology (KO)&gt;&gt;&gt;09100 Metabolism&gt;&gt;&gt;09102 Energy metabolism&gt;&gt;&gt;00920 Sulfur metabolism [PATH:ko00920]|KEGG Orthology (KO)&gt;&gt;&gt;09100 Metabolism&gt;&gt;&gt;09105 Amino acid metabolism&gt;&gt;&gt;00270 Cysteine and methionine metabolism [PATH:ko00270]|KEGG Orthology (KO)&gt;&gt;&gt;09100 Metabolism&gt;&gt;&gt;09106 Metabolism of other amino acids&gt;&gt;&gt;00450 Selenocompound metabolism [PATH:ko00450]|Enzymes&gt;&gt;&gt;2. Transferases&gt;&gt;&gt;2.5  Transferring alkyl or aryl groups, other than methyl groups&gt;&gt;&gt;2.5.1  Transferring alkyl or aryl groups, other than methyl groups (only sub-subclass identified to date)&gt;&gt;&gt;2.5.1.48  cystathionine gamma-synthase</t>
  </si>
  <si>
    <t>------MGFNTDAIHAGYHPDSTFGAINPPIYASTTFAQNGLNELRGGFEYTRCGNPTIRVLEDTVAALESAAHCRAFSSGMAATDCFFRSVLTPGSHLVMGNDVYGGTFRLIDSVYQQWGVSYTVVDTSDTHAVAEAIQDNTALVWLETPTNPLLGISDVAGIAEHTQARGVILGVDNTFASPYLQKPLELGANVVLHSTTKYLGGHSDVVGGVVATNNPEIDEQLLFYQGGVGPIPSVFDCYLTIRGIKTLGV</t>
  </si>
  <si>
    <t>K01760</t>
  </si>
  <si>
    <t>cysteine-S-conjugate beta-lyase [EC:4.4.1.13]</t>
  </si>
  <si>
    <t>---MSQRGFATNAVHAGYAPDPNVGAVNPPIYASTTFVQDGLNELRGGFEYTRCGNPTIAVLEEAVATLEGGEYGRAFSSGMAATDVVLRAVLQPGDHMIVGNDAYGGTFRLIDTVFGQWGVEYSVVDTADAQAIAGALQSNTKLIWVETPTNPLLNVSDIAALAEVAHSNGTLVAVDNTFATPYLQQPLALGADVVVHSTTKYLGGHSDVVGGVVVCNDAELDEKIQFLQGGAGAIPSPFDAFLTIRGLKTLNL</t>
  </si>
  <si>
    <t>---MSQRGFATNAVHAGYAPDPNVGAVNPPIYASTTFVQDGLNELRGGFEYTRCGNPTIAVLEEAVATLEGGEYGRAFSSGMAATDVVLRAVLQPGDHMIVGNDAYGGTFRLIDTVFGQWGVEYSVVDTADAQAIAGALRPHTKLIWVETPTNPLLNVSDIAALAEVAHSNGTLVAVDNTFATPYLQQPLALGADVVVHSTTKYLGGHSDVVGGVVVCNDAELDEKIQFLQGGAGAIPSPFDAFLTIRGLKTLNL</t>
  </si>
  <si>
    <t>MSAPKPQGFATASIHAGYDPDSLYGAINTPIYASTTFAQNGLNELRGGYEYTRCGNPTIAALEKTVAALEGATYGRAFSSGMAATDVLLRTLLRPGDHLIFGHDAYGGTFRLIDSVFAEWGITYTVVDTTSTDAIAAAITPDTKLVWLETPSNPALAITDIAAVAELL--DGPQLVVDNTFASPYLQNPLALGADHVLHSTTKYLGGHSDVVGGVVVTNSAKLDEELAFLQGGAGAIPSVFDAYLTARGIKTLAVRMDRHCDNAEAIARHLQQSPKVKAVLYPGLETHPGHEVALRQMRRFGAMISVRFHDEAAARAFCLATRLICLAESLGGVESLVEHPATMTHQSVTGSTLEVPRDLVRISIGIEDLDDLIADIDAALAEVE--</t>
  </si>
  <si>
    <t>MSAPKPQGFATASIHAGYDPDSLYGAINTPIYASTTFAQNGLNELRGGYEYTRCGNPTIAALEKTVAALEGAAYGRAFSSGMAATDVLLR----PGDHLIFGHDAYGGTFRLVDSVFAEWGITYTVVDTTSTDAIAAAITSDTKLVWLETPSNPALAITDIAAVAELL--DGPQLVVDNTFASPYLQNPLALGADHVLHSTTKYLGGHSDVVGGVVVTNSAKLDEELAFLQGGAGAIPSVFDAYLTARGIKTLAVRMDRHCDNAEAIARHLQQSPKVKAVLYPGLETHPGHEVALRQMRRFGAMISVRFHDEAAARAFCLATRLICLAESLGGVESLVEHPATMTHQSVTGSTLEVPRDLVRISIGIEDLDDLIADIDAALAAVE--</t>
  </si>
  <si>
    <t>GC_00000908</t>
  </si>
  <si>
    <t>PF00710.25</t>
  </si>
  <si>
    <t>Asparaginase, N-terminal</t>
  </si>
  <si>
    <t>J|E</t>
  </si>
  <si>
    <t>Translation, ribosomal structure and biogenesis|Amino acid transport and metabolism</t>
  </si>
  <si>
    <t>K01424</t>
  </si>
  <si>
    <t>L-asparaginase [EC:3.5.1.1]</t>
  </si>
  <si>
    <t>COG0252</t>
  </si>
  <si>
    <t>L-asparaginase/archaeal Glu-tRNAGln amidotransferase subunit D (AnsA) (PDB:1ZQ1)</t>
  </si>
  <si>
    <t>KEGG Orthology (KO)&gt;&gt;&gt;09100 Metabolism&gt;&gt;&gt;09105 Amino acid metabolism&gt;&gt;&gt;00250 Alanine, aspartate and glutamate metabolism [PATH:ko00250]|KEGG Orthology (KO)&gt;&gt;&gt;09100 Metabolism&gt;&gt;&gt;09106 Metabolism of other amino acids&gt;&gt;&gt;00460 Cyanoamino acid metabolism [PATH:ko00460]|Enzymes&gt;&gt;&gt;3. Hydrolases&gt;&gt;&gt;3.5  Acting on carbon-nitrogen bonds, other than peptide bonds&gt;&gt;&gt;3.5.1  In linear amides&gt;&gt;&gt;3.5.1.1  asparaginase</t>
  </si>
  <si>
    <t>MLPEALGCGTLDSMKKIVVLTTGGTIACTTSPEGVLLPTVSGRDLIAPVAARFGE-DFSFDVRELNRLDSAAMTFADVDEIVGEIHRVFEDPSVTGIVVTHGTDSMEETAVAVDCFHNDSRPVIFTGAQKSFDHPEADGPGNLFEACVIAADDSARGIGTLVVFGHAVIPARGCVKWHTSDELAFATNGPEEPTRPDPIAPVALDGTRVDIVPAFAGADRTLIDAAVAAGAEGIVVEAMGAGNVGRQLALGIVDALDAGIPVVVTTRVPRGDVFGSYGGAGGGATLAAKGALGSTYFRAAQARVLLAVAIASGVHPATLF</t>
  </si>
  <si>
    <t>------------MTKKIVVFTTGGTIACTAGPDGALIPTVSGEDLVRPVAERFADSSIVCEVRELTRLDSSSMTFADVDEIVAAVQEAFDDPETTGVVVTHGTDSMEETAIAVDTFHSDSRPVVFTGAQKPSNHPEADGPENLFDAIVIAADDSARDIGCLIVFNHAVIPARGAVKWHTSDNLAFATNGPEEPTRPDPILPHPLAGIQVDIIPAYAGAPRTLIDAAVAAGSQGLVIEAMGAGNVGREMALGVADA</t>
  </si>
  <si>
    <t>------------MTKKIVVFTTGGTIACTAGPDGALIPTVSGEDLVRPVAERFADSSIVCEVRELTRLDSSSMTFADVDEIVAAVQEALDDPETTGVVVTHGTDSMEETAIAVDTFHSDSRPVVFTGAQKPSNHPEADGPENLFDAIVIAADDSARDIGCLIVFNHAVIPARGAVKWHTSDNLAFATNGPEEPTRPDPILPHPLAGIQVDIIPAYAGAPRTLIDAAVAAGSQGLVIEAMGAGNVGREMALGVADA</t>
  </si>
  <si>
    <t>---MTDQNHPNKAQPKVIVITTGGTISCTTDPTGALVPTVAGTTLVQPVADRFAG-NLTIEVRELTRLDSSSLTFADLDTIIAACHDALTDPTVVGVVVTHGTDSMEETAVALDTFHTDPRPIVLTGSQKPYDHPESDGFANLFEAVMIASDTSARDIGVLVVFGHAVLPARGVCKWHTSDELAFATNAPEEPTRADPIPLVPLKDTQVAIISAYPGAPGTLVEAAIAAGVQGLVVEAMGSGNVGVEMGRALGAA</t>
  </si>
  <si>
    <t>---MTDQNHPNKAQPKVIIITTGGTISCTTDPTGALVPTVAGTTLVQPVADRFAG-NLTIEVRELTRLDSSSLTFADLDTIIAACHDALTDPTVVGVVVTHGTDSMEETAVALDTFHTDPRPIVLTGSQKPYDHPESDGFANLFEAVMIASDTSARDIGVLVVFGHAVLPARGVCKWHTSDELAFATNAPEEPTRADPIPLVPLKDTQVAIISAYPGAPGTLVEAAIAAGVQGLVVEAMGSGNVGVEMGRTLGAA</t>
  </si>
  <si>
    <t>GC_00000909</t>
  </si>
  <si>
    <t>K04487</t>
  </si>
  <si>
    <t>cysteine desulfurase [EC:2.8.1.7]</t>
  </si>
  <si>
    <t>COG1104</t>
  </si>
  <si>
    <t>Cysteine desulfurase/Cysteine sulfinate desulfinase IscS or related enzyme, NifS family (NifS) (PDB:4IXO) (PUBMED:22773787;25825430)</t>
  </si>
  <si>
    <t>ko00001|ko00001|ko01000|ko03016|ko03016|ko03029|ko02048</t>
  </si>
  <si>
    <t>KEGG Orthology (KO)&gt;&gt;&gt;09100 Metabolism&gt;&gt;&gt;09108 Metabolism of cofactors and vitamins&gt;&gt;&gt;00730 Thiamine metabolism [PATH:ko00730]|KEGG Orthology (KO)&gt;&gt;&gt;09120 Genetic Information Processing&gt;&gt;&gt;09123 Folding, sorting and degradation&gt;&gt;&gt;04122 Sulfur relay system [PATH:ko04122]|Enzymes&gt;&gt;&gt;2. Transferases&gt;&gt;&gt;2.8  Transferring sulfur-containing groups&gt;&gt;&gt;2.8.1  Sulfurtransferases&gt;&gt;&gt;2.8.1.7  cysteine desulfurase|Transfer RNA biogenesis&gt;&gt;&gt;Eukaryotic type&gt;&gt;&gt;tRNA modification factors&gt;&gt;&gt;Thiolation factors|Transfer RNA biogenesis&gt;&gt;&gt;Prokaryotic type&gt;&gt;&gt;tRNA modification factors&gt;&gt;&gt;Thiolation factors|Mitochondrial biogenesis&gt;&gt;&gt;Mitochondrial quality control factors&gt;&gt;&gt;Regulator of mitochondrial biogenesis&gt;&gt;&gt;Proteins involved in Fe-S cluster biogenesis|Prokaryotic defense system&gt;&gt;&gt;DNA phosphothiolation system&gt;&gt;&gt;Sulfur modification proteins</t>
  </si>
  <si>
    <t>-MQVFLDHAATSPTREVAIEAYLEHAHLLNPGGQYALGRQAKAALEQAREDIGELLGAEPIEVIFCASGTEADNLAIHGLW--GNATHGVVFTSPLEHPGVREPIRHL---AGARVVDMPLGRNNTARVDSELFRRQLVEYAVAHSAGDTVDIR--FATCMMANNETGAIQPIADIARLCAQPPAVPGAGPQLTPFPLHVDAVQAVGHIPVDFHALGATTLAASAHKFGGLRGVGLLLAKRSPALHPLLTGGGQE</t>
  </si>
  <si>
    <t>MPPVYLDHAATTPMRDCAREAWLEASTLLNPGGQYATGRRARAALEQAREDIALLLDCEPIEVIFTASGTEADNIAIQGLY--RASDSHRIVSSPIEHPAALETVRGLAAGAEVEVSWLPVSPSGVV------------------GVGDTLDTPAALASCMWANNETGAIQPISDV---------VSAAATQATPV--HIDAVQAVGHIPVSFAQSGATTLAASAHKFGGPRGTGLLLAARSPAPTGVLFGGGQERGIRPGTADVAGAVGTAAALKEAINEMDAEMQRVAALRDQLRAGILSQVDDVIVHTPAE-ALPGHLHLSFPGAEGDSLIMLLDSLGFECSTGSACSSGVNRASEVLLAMGVSEHDARGAIRFTLGRTTTSDDVTALLGVIADVVARARIAGMAG</t>
  </si>
  <si>
    <t>MPPVYLDHAATTPMRDCAREAWLEASTLLNPGGQYATGRRARAALEQAREDIASLLDCEPIEVIFTASGTEADNIAIQGLY--RASDSHRIVSSPIEHPAALETVRGLAAGAGAEVSWLPVSPSGVV------------------AVGDTLDTPAALVSCMWANNETGAIQPISDV---------VSAAAGQATPV--HIDAVQAVGHIPVSFAQSGATTLAASAHKFGGPRGTGLLLAARSPSPTGVLFGGGQERGIRPGTADVAGAVGTAAALKEAINEMDAETQRVAALRDQLRAGILSQVDDVIVHTPAE-ALPGHLHLSFPGAEGDSLIMLLDSLGFECSTGSACSSGVNRASEVLLAMGVSEHDARGAIRFTLGRTTTSDDVMALLGAIADVVARARIAGMAG</t>
  </si>
  <si>
    <t>GC_00000910</t>
  </si>
  <si>
    <t>PF03971.19</t>
  </si>
  <si>
    <t>Monomeric isocitrate dehydrogenase</t>
  </si>
  <si>
    <t>K00031</t>
  </si>
  <si>
    <t>isocitrate dehydrogenase [EC:1.1.1.42]</t>
  </si>
  <si>
    <t>COG2838</t>
  </si>
  <si>
    <t>Monomeric isocitrate dehydrogenase (IcdM) (PDB:1ITW)</t>
  </si>
  <si>
    <t>M00009|M00010|M00740|M00173|M00614</t>
  </si>
  <si>
    <t>Citrate cycle (TCA cycle, Krebs cycle)|Citrate cycle, first carbon oxidation, oxaloacetate =&gt; 2-oxoglutarate|Methylaspartate cycle|Reductive citrate cycle (Arnon-Buchanan cycle)|Anoxygenic photosynthesis in green sulfur bacteria</t>
  </si>
  <si>
    <t>Pathway modules; Carbohydrate metabolism; Central carbohydrate metabolism|Pathway modules; Carbohydrate metabolism; Central carbohydrate metabolism|Pathway modules; Carbohydrate metabolism; Other carbohydrate metabolism|Pathway modules; Energy metabolism; Carbon fixation|Signature modules; Module set; Metabolic capacity</t>
  </si>
  <si>
    <t>KEGG Orthology (KO)&gt;&gt;&gt;09100 Metabolism&gt;&gt;&gt;09101 Carbohydrate metabolism&gt;&gt;&gt;00020 Citrate cycle (TCA cycle) [PATH:ko00020]|KEGG Orthology (KO)&gt;&gt;&gt;09100 Metabolism&gt;&gt;&gt;09102 Energy metabolism&gt;&gt;&gt;00720 Other carbon fixation pathways [PATH:ko00720]|KEGG Orthology (KO)&gt;&gt;&gt;09100 Metabolism&gt;&gt;&gt;09106 Metabolism of other amino acids&gt;&gt;&gt;00480 Glutathione metabolism [PATH:ko00480]|KEGG Orthology (KO)&gt;&gt;&gt;09140 Cellular Processes&gt;&gt;&gt;09141 Transport and catabolism&gt;&gt;&gt;04146 Peroxisome [PATH:ko04146]|Enzymes&gt;&gt;&gt;1. Oxidoreductases&gt;&gt;&gt;1.1  Acting on the CH-OH group of donors&gt;&gt;&gt;1.1.1  With NAD+ or NADP+ as acceptor&gt;&gt;&gt;1.1.1.42  isocitrate dehydrogenase (NADP+)</t>
  </si>
  <si>
    <t>MAKIIYTRTDEAPLLATYSLKPVVEAFASTAGIDVETRDISLAGRILAQFPDYLGEDQKVADALAELGELAKTPEANIIKLPNISASVPQLKAAVKELQAQGFALPDYPDNPSTDEEKDIRGRYDSVKGSAVNPVLREGNSDRRAPIAVKNFAKAHPHRMGAWTKDSKTNVATMSDNDFRHNEQSVIMPAADELSIVHIAADGTETALKSGLKVLEGEVVDATVMRAAALDEFLAAQVKRAKEEGVLFSTHLKATMMKVSDPIIFGHVVRAFFADVYAQYGEQLLAAGLDGENGLAAVYAGLDNLDNGAEIKAAFDKALAEGPAVAMVNSDKGITNLHVPSDVIVDASMPAMIRTSGHMWNAAGEEQDTLAVLPDSSYAGVYQTVIEDCRANGAFDPATMGTVPNVGLMAQKAEEYGSHDKTFKIAGDGKVVVRNAAGETLMEHEVSEGDIWRACQAKDAPIRDWVKLAVTRSRLSGMPAVFWLDPERAHDRNLITLVEKYLGEHDTEGLDIRIMSPVEATQFSIDRIRKGEDTISVTGNVLRDYLTDLFPILELGTSAKMLSVVPLMAGGGLFETGAGGSAPKHVQQLVEENHLRWDSLGEFLALGESLRHFSNTDGNTKAAVLADALDKATERLLNDGKSPSRKVGEIDNRGSHFYLTAYWADELAKQTDDAELAEIFAPVAKELSDNADAIAAELLEVQGKAVELDGYYNPNDAKATAAMRPSEKFNAIVDGLKK</t>
  </si>
  <si>
    <t>MAKIIYTRTDEAPLLATYSLKPVVEAFAATAGIDVETRDISLAGRILSQFSDYLSEEQRADDALAELGKLAQTPEANIIKLPNISASVPQMKAAIAELQSQGYALPNYPDSPSTDEEKDVRARYDAVKGSAVNPVLREGNSDRRAPIAVKNFAKAHPHRMGVWSQSSKTNVATMDDHDFRHNEKSVIMPADDVLTIKLVGADGTETVLKSDLKVLAGEVIDGTFMSAKALDQFLAAQVARAKEEGVLFSTHLKATMMKVSDPVLFGHVVRAYFADVFDQYGDQLNAAGLNGENGLAAIYAGLDSLDNGTEIKAAFDKALAEGPALAMVNSDKGITNLHVPSDVIVDASMPAMIRTSGHMWNAAGEEQDTLAVIPDSSYAGVYQTVIDDCRAHGAFDPSTMGTVPNVGLMAQKAEEYGSHDKTFKIPADGTVQVVNSAGDVLIEHAVEAGDVWRACQTKDAPIQDWVKLAVTRSRLSGMPAIFWLDPERAHDRNLTTLVEKYLKDHDTEGLDISIKSPVEATQVSIDRIREGKDTISVTGNVLRDYNTDLFPILELGTSAKMLSVVPLMAGGGLFETGAGGSAPKHVQQLVEENHLRWDSLGEFLALAESLRHFANTDGNAKAAVLADALDRATETLLNEGKSPSRKAGEIDNRGSHFYLTLNWAKELATQTEDADLAAVFAPVAEALAAAESEITATFIDVQGSPADLGGYYSPSEEKTNAVMRPSATFNAIIDGVKK</t>
  </si>
  <si>
    <t>MAKIIYTRTDEAPLLATYSLKPVVEAFAATAGIDVETRDISLAGRILSQFSDYLSEEQRADDALAELGKLAQTPEANIIKLPNISASVPQMKAAIAELQSQGYALPDYPDSPSTDEEKDVRARYDAVKGSAVNPVLREGNSDRRAPIAVKNFAKAHPHRMGVWSQSSKTNVATMDDHDFRHNEKSVIMPADDVLTIKLVGADGTETVLKSDLKVLAGEVIDGTFMSAKALDQFLAAQVARAKEEGVLFSTHLKATMMKVSDPVLFGHVVRAYFADVFDQYGDQLNAAGLNGENGLAAIYAGLDSLDNGTEIKAAFDKALAEGPALAMVNSDKGITNLHVPSDVIVDASMPAMIRTSGHMWNAAGEEQDTLAVIPDSSYAGVYQTVIDDCRAHGAFDPSTMGTVPNVGLMAQKAEEYGSHDKTFKIPADGTVQVVNSAGDVLIEHAVEAGDVWRACQTKDAPIQDWVKLAVTRSRLSGMPAIFWLDPERAHDRNLTTLVEKYLKDHDTEGLDISIKSPVEATQVSIDRIREGKDTISVTGNVLRDYNTDLFPILELGTSAKMLSVVPLMAGGGLFETGAGGSAPKHVQQLVEENHLRWDSLGEFLALAESLRHFANTDGNAKAAVLADALDRATETLLNEGKSPSRKAGEIDNRGSHFYLTLNWAKELATQTEDADLAAVFAPVAEALAAAESEITATFIDVQGSPADLGGYYSPSEEKTNAVMRPSATFNAIIDGVKK</t>
  </si>
  <si>
    <t>MAKIIWTRTDEAPLLASLSLRPIVSAFAATAGVEVEERDISLAGRILAQFPDYLPADQQVSDALAELGSLAQTPAANIIKLPNISASVPQLKAAVAELQANGFAIPDYPDNPVTDEEQAIRARYDAVKGSAVNPVLREGNSDRRAPSAVKNFAKKHPHRMGVWSQDSQTTVATMEANDFRHNEKSVIMPAADVLTIKHVAADGTETVLRDNLKVLAGEVVDGTFMSAKALDEFLAAQVAKAAATGVLFSTHLKATMMKVSDPVIFGHVVRAYFADVFDKYGDVLLANGLNGENGLAAIYAGLDSLENGAEIAAAFDAALANGPALAMVNSDKGITNLHVPSDVIVDASMPAMIRTSGHMWNAAGEEQDTLAVIPDSSYAGVYQAVIDDCKAHGAFDPTTMGTVPNVGLMAQKAEEYGSHDKTFKVPADGTVQVVNSAGDVFIEHEVESGDIWRACQTKDAPIQDWVKLAVTRARLSGMPAIFWLDPERAHDRNVKGLVEKYLADHDTTGLDISIKSPVEATKVSIARIRRGEDTISVTGNVLRDYNTDLFPILELGTSAKMLSIVPLMAGGGLFETGAGGSAPKHVQQVQAENHLRWDSLGEFLALAESLRHISNTGGTPKAAVLADALDAATERLLDENKSPSRKAGEIDNRGSHFFLAMAWAQALAEQTADAELAAIFAPVAAALTEQADTIAAELLAVQGAPADLGGYYLPSE-KATSVMRPSAAFNAIIDGLTA</t>
  </si>
  <si>
    <t>MAKIIWTRTDEAPLLASLSLRPIVSAFAATAGVEVEERDISLAGRILAQFPDYLPADQQVSDALAELGSLAQTPAANIIKLPNISASVPQLKAAVAELQANGFAIPDYPDNPVTDEEQAIRARYDAVKGSAVNPVLREGNSDRRAPGAVKNFAKKHPHRMGVWSQDSQTTVATMEANDFRHNEKSVIMPAADVLTIKHVAADGTETVLRDNLKVLAGEVVDGTFMSAKALDEFLAAQVAKAAATGVLFSTHLKATMMKVSDPVIFGHVVRAYFADVFEKYGDVLLANGLNGENGLAAIYAGLDSLDNGAEIAAAFDAALANGPALAMVNSDKGITNLHVPSDVIVDASMPAMIRTSGHMWNAAGEEQDTLAVIPDSSYAGVYQAVIDDCKAHGAFDPTTMGTVPNVGLMAQKAEEYGSHDKTFKVPADGTVQVVNSAGDVLIEHEVEAGDIWRACQTKDAPIQDWVKLAVTRARLSGMPAIFWLDPERAHDRNIKGLVEKYLTDHDTTGLDISIKSPVEATKVSIARIRRGEDTISVTGNVLRDYNTDLFPILELGTSAKMLSIVPLMAGGGLFETGAGGSAPKHVQQVQAENHLRWDSLGEFLALAESLRHISNTGGTPKAAVLADALDAATERLLDENKSPSRKAGEIDNRGSHFFLAMAWAQALAEQTADAELAAIFAPVAAALTEQADTIAAELLAVQGAPADLGGYYLPSE-KATSVMRPSAAFNAIIDGLTA</t>
  </si>
  <si>
    <t>GC_00000911</t>
  </si>
  <si>
    <t>PF08768.17</t>
  </si>
  <si>
    <t>THAP4-like, heme-binding beta-barrel domain</t>
  </si>
  <si>
    <t>MLLGLKVMSDDMVNNEPHEEPADAPK--ISLGGSDAVNLAAEQWKETAHRNIP------GLGDLPIPDDTANLREGPSLHDGLLALLPLVGVWRGTGQALDHTDADAKPTQFGQQIIFAHDGENYLTYSSRVWKLDDEGN--QVGLDHRETGFWRITGKDEIEVVVAHSTGVVEIFYGNPIKERAWEITSASTLVTTTGPKNLGAGKRLFGLMPNNNLGWVDERMVDGEYHPRMSAELSRVIG</t>
  </si>
  <si>
    <t>MLLGLKVMSDDMVNNEPHEEPTDAPK--ISLGGSDAVNLAAEQWKETAHRNIP------GLGDLPIPDDTANLREGPSLHDGLLALLPLVGVWRGTGQALDHTDADAKPTQFGQQIIFAHDGENYLTYSSRVWKLDDEGN--QVGLDHRETGFWRITGKDEIEVVVAHSTGVVEIFYGNPIKERAWEITSASTLVTTTGPKNLGAGKRLFGLMPNNNLGWVDERMVDGEYHPRMSAELSRVIG</t>
  </si>
  <si>
    <t>GC_00000912</t>
  </si>
  <si>
    <t>PF12002.13</t>
  </si>
  <si>
    <t>MgsA AAA+ ATPase C terminal</t>
  </si>
  <si>
    <t>K07478</t>
  </si>
  <si>
    <t>putative ATPase</t>
  </si>
  <si>
    <t>COG2256</t>
  </si>
  <si>
    <t>Replication-associated recombination protein RarA (DNA-dependent ATPase) (RarA) (PDB:3PVS)</t>
  </si>
  <si>
    <t>MNTRNGGRASEDDLFGSTLAQPDQPGGSAPRGSAHQFFSAGANAPLAARMRPRTIDEVVGQEHILGPGKPLRRLIEGAGDTSVILYGPPGTGKTTLASLVSSATGRSFVALSALNSGVKEVREVIEDARRRLIHGEQTVLFIDEIHRFSKNQQDALLGAVENRTVLLVAATTENPSFAVVSPLLSRSLLLQLHSLDSDAVGKVLDRAVVDERGLGGAVSLDPAARDHIIALSGGDARRSLTYLEAIAETVMSSWDSSDASGPIITVEDVRSGINKAVVRYDRDGDQHYDVVSAFIKSIRGSDVDAALHYLARMIEAGEDPRFIARRLVVQASEDIGLADPTALTTAVAAMQAAQFVGLPEARLSLTQATIHLATAPKSNAVIAAIDSAIADVRQGLVGPVPPHLRDGHYEGAQRLGNAQGYVYPHDDPRGVVAQQYLPTQPVELHERTYYTPTGRGNEATLTSIIGRVRRIIRGH---</t>
  </si>
  <si>
    <t>----MNNTSSQDSLFPSTHTEPPQPTS--------DYFHPGDHAPLAARMRPRSLDDVVGQEHLLGEGRPLRRLVEGSGEASVILYGPPGTGKTTIASLLSSATGHRFVGLSALNSGVKEVRIVIDQARRDLIHGIRTVLFIDEVHRFSKTQQDALLSAVENRTVLLVAATTENPSFSIVSPLLSRSLLLQLHSLDDAAIRTVLTRALTDPRGLDNRITITDEALDQLVLLAGGDARRALTYLEAAAEAVVDSGE</t>
  </si>
  <si>
    <t>----MNNTSSQDSLFPSTHTEPPQPTS--------DYFHPGDHAPLAARMRPRSLDDVVGQEHLLGEGRPLRRLVEGSGEASVILYGPPGTGKTTIASLLSSATGHRFVGLSALNSGVKEVRTVIDQARRDLIHGIRTVLFIDEVHRFSKTQQDALLSAVENRTVLLVAATTENPSFSIVSPLLSRSLLLQLHSLDDAAIRTVLTRALTDPRGLDNRITITDEALDQLVLLAGGDARRALTYLEAAAEAVVDSGE</t>
  </si>
  <si>
    <t>GC_00000913</t>
  </si>
  <si>
    <t>------------------------------------MRRLLAAVMACVMVVSVACTPKPKSADPVVEQFFALIAARDFDAAGALTDKPEEAASIIRSSFEDLQAEAFSSSINDVVVTNSGSDGTHVASSEADFSVVWSLPRDREFSYDSRMVLTRGDGKWVIRWQPSVLYPRLGAGQHLQLRAINAPKASVVSSDGAAIIQPGTQFRVLVDKDKVTSVAGTATRISQALETAD------IHVPAAELAASLSDAK</t>
  </si>
  <si>
    <t>MCSTHGRSFKMKHHFYVVHVLREHRQRGGVIFDRMRRGSVLVTVVAFVTGMVAGCTPKPDDVDPVVQDFFEAVSRNDMAAAAGMSDNSELAEQILSGSFSGLQAEGVGVSVDSVNASDQ--------QATAKYTLTWDLPKDRSFSYSTEMNLSKSKGEWKVRWQPSVLHPKLGANQHLELRSLPAERANVVTADGASVLQPGTVYRLLIDPGKTDDLDTTVQRITQTLASVRAEDDSVPQVSAQKLTEDLQGRTSPYSVTMLSDAAGRAALQQLGDVPAVTFNQEAAMVRTDPSFAPDIVSRVEKIVNDDLEGANGWQIGAVNTHGALIDALETHAPKPAPAVRISLDHKVQQAAQKAVDTRQGMKAMMVAIRPSTGDILAIAQTETADEDGNIALMGQYPPGSTFKIITAAAGMQSEKMTPDTIVPCPGTMDIGNRIVTNYNQFSRGNVPLETAFAASCNTSFADISSRLKPGELKNYAKQFGLGVDYTIEGLDTLTGSVSGGDDIMDRVDAGFGQGHDLASPFGMALVAATAAAGKTPTPVLISGHETKVDTQVDPPSPEAIAALQQMMRSVV-TSGTARGMQTGGEVHGKTGEAEISNGSHAWFTGYRDDIAFATLIVLGGGSQSAVSITDQFFKTLDQPDAATTSATGGVQ</t>
  </si>
  <si>
    <t>MCSTHGRSFKMKHHSYVVHVLREHRQRGGVIFDRMRRGSVLVTVVAFVTGMVAGCTPKPDDVDPVVQDFFEAVSRNDMAAAAGMSDNSELAEQILSGSFSGLQAEGVGVSVDSVNASDQ--------QATAKYTLTWDLPKDRSFSYSTEMNLSKSKGEWKVRWQPSVLHPKLGANQHLELRSLPAERANVVTADGASVLQPGTVYRLLIDPGKTDDLDTTVQRITQTLASVRAEDDSVPQVSAQKLTEDLQGRTSPYSVTMLSDAAGRAALQQLGDVPAVTFNQEAAMVRTDPSFAPDIVSRVEKIVNDDLEGANGWQIGAVNTHGALIDALETHAPKPAPAVRISLDHKVQQAAQKAVDTRQGMKAMMVAIRPSTGDILAIAQTETADEDGNIALMGQYPPGSTFKIITAAAGMQSEKMTPDTIVPCPGTMDIGNRIVTNYNQFSRGNVPLETAFAASCNTSFADISSRLKPGELKNYAKQFGLGVDYTIEGLDTLTGSVSGGDDIMDRVDAGFGQGHDLASPFGMALVAATAAAGKTPTPVLISGHETKVDTQVDPPSPEAIAALQQMMRSVV-TSGTARGMQTGGEVHGKTGEAEISNGSHAWFTGYRDDIAFATLIVLGGGSQSAVSITDQFFKTLDQPDAATTSATGGVQ</t>
  </si>
  <si>
    <t>-------------------------------------------------MWLTGCTPKPLSAQPVIDEFMQHMSATDFAAAAHLTDQPDTVTQVWETTWNGLQAEALHVDVHDITIRDS--------VATAAYTMTWQLPRDRKFTYDTTMTLNRINDQWVIRWQPTVLHPKLGANQHLELQAINAQRASVVSSDGSDILVPGSVERILIDTHKMTDATRTARAIAAALTTAKATDHTLVTIEPADLAKKLATTT</t>
  </si>
  <si>
    <t>-------------------------------------------------MWLTGCTPKPLSAQPVIDEFMRHMSATDFAAAAHLTDQPDTVTQVWETTWNGLQAEALHVDVHDITIRDS--------VATAAYTMTWQLPRDRKFTYDTAMTLNRINDQWVIRWQPTVLHPKLGANQHLELQAINAQRASVVSSDGSDILVPGSVERILVDTHKVTDATRTARTIAAALTTAKATDHTLVTIDPADLAKKLAATT</t>
  </si>
  <si>
    <t>GC_00000914</t>
  </si>
  <si>
    <t>PF00988.28</t>
  </si>
  <si>
    <t>Carbamoyl-phosphate synthase small chain, CPSase domain</t>
  </si>
  <si>
    <t>K01956</t>
  </si>
  <si>
    <t>carbamoyl-phosphate synthase small subunit [EC:6.3.5.5]</t>
  </si>
  <si>
    <t>COG0505</t>
  </si>
  <si>
    <t>Carbamoylphosphate synthase small subunit (CarA) (PDB:1C30)</t>
  </si>
  <si>
    <t>MSAQHNQKDDTVTDKFTPAIVVLANGKTYRGFAFGAQGTTLGEAVFTTGMTGYQETMTDPSYHRQIVVCTAPQIGNTGWNDEDGESRNDQIWVAGLVIRDLAQRVSNWRSARSLEEEMKSQGIIGIRGVDTRALTRALRSEGSIAAGIFSGQDAAHSEEELLEIVRSQPSMKGADLAGDVSADDTYIVEPEGEARYTVVAFDMGIKTNTPRNFAARGIRTVVVPANTSFDKIKEHNPDGVFVSNGPGDPATADAMVEVVREVLAAKIPFFGICFGNQILGRALGMETYKLKFGHRGINVPVMNHLTGKIDITAQNHGFALKGKAGEVFDTDFGPAQVTHTCLNDDVVEGVALVDGSAYSVQYHPEAAAGPHDANPLFDQFIALMEGAK----</t>
  </si>
  <si>
    <t>-----------MTST-PPAILVLADGRVFRGVGFGATGTTLGEAVFTTAMTGYQETMTDPSYHRQIVVATAPQIGNTGWNDEDGESHGDKIWVAGLVIRDLAHQASNWRAARSLEDEMTAQGIVGIRGVDTRALVRHVRNHGSIAAGLFSGEDAQRPEAELLAIVKAQPSMAGSDLAGDVSTDDTYVVEPEGEQRFTVVAYDMGIKTNTPRNFVQRGIRTIVVPANTSYEDIMRHNPDGVFVSNGPGDPATADEM</t>
  </si>
  <si>
    <t>-----------MTST-PPAILVLADGRVFRGVGFGATGTTLGEAVFTTAMTGYQETMTDPSYHRQIVVATTPQIGNTGWNDEDGESHGDKIWVAGLVIRDLAHQASNWRAARSLEDEMTAQGIVGIRGVDTRALVRHVRNHGSIAAGLFSGEDAQRPEAELLAIVKAQPSMAGSDLAGDVSTDDTYVVEPEGEQRFTVVAYDMGIKTNTPRNFVQRGIRTIVVPANTSYEDIMRHNPDGVFVSNGPGDPATADEM</t>
  </si>
  <si>
    <t>-----------MTHHRTTARLVLADRKVFTGTSFGATGTTLGEAVFTTAMTGYQETMTDPSYHRQIVVATAPQIGNTGWNDEDDESRGSRIWVAGLVIRDLSAQVSSWRATRSLEDEMIAQNIIGIAGVDTRTIVRHLRNFGSISAGIFSGAAADQPVEKLVDIVRSQPAMAGLDLAEQVSTTEPYIVEPIGEHKFTVVAYDMGIKTNTPRNFAHRGIRTIVVPANTPYADIAAYNPDGVFVSNGPGDPATADTM</t>
  </si>
  <si>
    <t>-----------MTHHRTTARLVLADGKVFTGTSFGATGTTLGEAVFTTAMTGYQETMTDPSYHRQIVVATAPQIGNTGWNDEDDESRGSRIWVAGLVIRDLSAQVSSWRATRSLEDEMIAQNIIGIAGVDTRTIVRHLRNFGSISAGIFSGEAADQPVEKLIETVRSQPAMAGLDLAEQVSTTEPYIVEPIGEHKFTVIAYDMGIKTNTPRNFAHRGIRTIIVPANTPYADIAAYNPDGVFVSNGPGDPATADTM</t>
  </si>
  <si>
    <t>GC_00000915</t>
  </si>
  <si>
    <t>K03655</t>
  </si>
  <si>
    <t>ATP-dependent DNA helicase RecG [EC:5.6.2.4]</t>
  </si>
  <si>
    <t>COG1200</t>
  </si>
  <si>
    <t>RecG-like helicase (RecG) (PDB:1GM5)</t>
  </si>
  <si>
    <t>KEGG Orthology (KO)&gt;&gt;&gt;09120 Genetic Information Processing&gt;&gt;&gt;09124 Replication and repair&gt;&gt;&gt;03440 Homologous recombination [PATH:ko03440]|Enzymes&gt;&gt;&gt;5. Isomerases&gt;&gt;&gt;5.6  Isomerases altering macromolecular conformation&gt;&gt;&gt;5.6.2  Enzymes altering nucleic acid conformation&gt;&gt;&gt;5.6.2.4  DNA 3'-5' helicase|DNA repair and recombination proteins&gt;&gt;&gt;Prokaryotic type&gt;&gt;&gt;DSBR (double strand breaks repair)&gt;&gt;&gt;HR (homologous recombination)&gt;&gt;&gt;RecFOR pathway proteins</t>
  </si>
  <si>
    <t>MLGWHDDRPLGSIIPPKQA----AKLDFDNVYELLTYYPRAWASHGSGVDIDAANDGDVVTFVGTIARAQSGYTSAGKFMHRVDVDVQSPLGARSINATFFQAR-----LPAKQLTQGARVMMSGKVKFFRGNPQVSHPTYVVITDPDAHTTTPRRRTTGGGGLTQLSDYGSPEQLQELMESLDYLAIYPARKGTTSWAILGAVNAVLQATPPIREPLGD-TPEDLPSFDEAIRGIHQPDHRGPRPFVDRIKYNEALALALVMALRRADTAHRTAPPCPPTPEP---SWQQLTASLPFEQTSGQRDVIADISRDLSSTHPMSRLLQGEVGSGKTLVALAAMLQVVDAGKQCAFLAPTEVLAVQHARGITNMLGRAGLGTSVVCLTGSMSTAAKRDALLSIISGQADIVVGTHALIQDSVEFFELGLVIVDEQHRFGVQQRDRLRHTGSD-VIPHLLVMTATPIPRTIAMTTFGDLDVSTLTQLPGGRKPITSVVVPEEKPAWVARAWERIREEVNAGHQAYVVCPRIEGDGGVEAVALMLGQQIFPDLRVAALHGRMHPEDKDAVMASFGRGDIDVLVSTTVIEVGIDVPNATVMYIREADNFGVSQLHQLRGRVGRGGHASLCLLHTHQPIDSDSYTRLSDIAATSDGFKLAELDLRSRHEGDVLGTVQSGKTKSVKLLSLIDDAALIERANRDAASLVEKNIELARRLVSDIEVDAREFIDKS</t>
  </si>
  <si>
    <t>MLGWVDNRPLSDLLPDKEAKALAKAFGYRTVQDLLEHYPRTWSHHGTGVNLDTVNEGDIVTCVGEIVWEHTSFTSSGKMMHKVVISDGS---GGQIGATFFQAK-----LPARQLVTGARAMFSGKLTFYRGNPQLSHPTYVLLKGDKGNRP---RTGAGSGGLRSLSAYGDASSMQELLSSMEFLPVYPGTKAVPSWRVLGAINEVLNHTDPVPEPLDV-VPEGLVSFDEAVRGIHRPDSRGVEPLIERLKYNEALSLALVMALRRADVAARVAPTCPPLAEG---YRTSLLSRLPFALTDGQVDVLSEIEADLSTATPMSRLLQGEVGSGKTIVSLLAMLQVVDAGRQCALLAPTEVLAVQHARALTQLLSDAAVPATVVVLTGSMSQSAKKRALLDIVSGQADIVVGTHALIQEGVEFFDLGLVVVDEQHRFGVEQRDHLRNQGRNGVTPHLLVMTATPIPRTIAMTTFGDLAVSTLTELPGGRRPISTTVVPGWKLPWVMRAWQRIREEAEAGRQAYVVCPRIDGDGGVMDMFDQLSRLEYPDLNVGLLHGRMRGEEKDRVMSDFAAGGIDILVSTTVIEVGIDVPNATVMYIREADNFGVSQLHQLRGRVGRGGFDSVCLLHTDQSQDTPSYQRLVAIAKTTDGFQLADIDLRSRQEGDVLGTAQSGAYRRVKFLNFLDDAAIIERATEDAEKLVARNKQLAEQLVSDVALERQEYLDKS</t>
  </si>
  <si>
    <t>MLGWVDNRPLSDLLPDKEAKALAKAFGYRTVQDLLEHYPRTWSHHGTGVNLDTVNEGDIVTCVGEIVWEHTSFTSSGKMMHKVVISDGS---GGQIGATFFQAK-----LPARQLVAGARAMFSGKLTFYRGNPQLSHPTYVLLKGDKGNRP---RTGAGSGGLRSLSAYGDASSMQELLSSMEFLPVYPGTKAVPSWRVLGAINEVLNHTDPVPEPLDV-VPEGLVSFDEAVRGIHRPDSRGVEPLIERLKYNEALSLALVMALRRADVAARVAPTCPPLAEG---YRTSLLSRLPFALTEGQVDVLSEIEADLSTATPMSRLLQGEVGSGKTIVSLLAMLQVVDAGRQCALLAPTEVLAVQHARALTQLLSDAAVPATVVVLTGSMSQSAKKRALLDIVSGQADIVVGTHALIQEGVEFFDLGLVVVDEQHRFGVEQRDHLRNQGRNGVTPHLLVMTATPIPRTIAMTTFGDLAVSTLTELPGGRRPISTTVVPGWKLPWVMRAWQRIREEAEAGRQAYVVCPRIDGDGGVMDMFDQLSRLEYPDLNVGLLHGRMRGEEKDRVMSDFAAGGIDILVSTTVIEVGIDVPNATVMYIREADNFGVSQLHQLRGRVGRGGFDSVCLLHTDQSQDTPSYQRLVAIANTTDGFQLADIDLRSRQEGDVLGTAQSGAYRRVKFLNFLDDAAVIERATEDAEKLVARNKQLAEQLVSDVALERQEYLDKS</t>
  </si>
  <si>
    <t>MLNWEDNRKLTDLLPEKEAKTIRATLGYTTAKELLTHYPRAYATHNDTPFLNQANDGDIVTCIGEIIHTATIHTKRTTIIYTITIQTTN----ELIKATFFHAKPHQAAWCERTLTRGTTAIFTGKIKTYRGAPQLQHPDFLLLNTPHPTST---------GALKQLTAYGNDTDISNFLTSLPAIPIYPARQRITTWRILGAIHHILDHTNLIPDPLGPFTPPDLPTFDRALRGIHQ-DGTNAYTYRHRLAYNEALALALVMEIRRHDTTTRHATPLAPNPTGAPHHRETLINNLPYTLTTGQQTIINTIATDLNSPHPMQRLLQGEVGSGKTIIALIAMLQAVENGKQCALLAPTSVLAHQHGHSLTELLTNAGINLTITTLTGDMTPTQKNHALLAIISGDANIIIGTHALIQDTVEFYDLGLVIIDEQHRFGVEQRDSLRTKGKNHTTPHLLVMTATPIPRTIAMTFFGDLNHSTLNELPGGRRPIKSYVVPEYLPKYTTRAYEVMREHIHQGHQIYIVCPRINGPGGVLETHQHLSETEFKNYRIGLLHGQLKDADKDTTMRQFANGDLDILIATTVIEVGIDVPNATIIMIRESENLGVSQLHQLRGRVGRGGYDSICFFHHTAERGTPADKRIWQMAATTDGFQVAEIDLIQRHEGDVLGTSQSGTNRKIAFLNLARDIGLINRANRDAKNIVAHNLDLARQLIAGIDDITQDYLDKS</t>
  </si>
  <si>
    <t>MLNWEDNRKLTDLLPEKEAKTIRTTLGYTTAKELLTHYPRAYATHNDTPFLNQANDGDIVTCIGEIIHTATIHTKKTTTIYTITIQTTN----ELIKATFFHAKPHQAAWCERTLTRGTTAIFTGKIKTYRGAPQLQHPDFLLLNTPHPTST---------GALKQLTAYGNDTDISNFLTSLPAIPIYPARQRITTWRILGAIHHILDHTNPIPDPLGPFTPPDLPTFDRALRGIHQ-DGTNAYTYRHRLAYNEALALALVMEIRRHDTTTRHATPLSPHPTGAPHHRETLINNLPYTLTTGQQTIINTIATDLNSPHPMQRLLQGEVGSGKTIIALIAMLQAVENGKQCALLAPTSVLAHQHGHSLTELLTNAGINLTITTLTGDMTPTQKNHALLAIISGDANIIIGTHALIQDTVEFYDLGLVIIDEQHRFGVEQRDSLRTKGKNHTTPHLLVMTATPIPRTIAMTFFGDLNHSTLNELPGGRRPIKSYVVPEYLPKYTTRAYEVMREHIHQGHQIYIVCPRINGPGGVLETHQHLSETEFKNYRIGLLHGQLKDADKDTTMRQFANGDLDILIATTVIEVGIDVPNATIIMIRESENLGVSQLHQLRGRVGRGGYDSICFFHHTAERGTPADKRIWQMAATTDGFQVAEIDLIQRHEGDVLGTSQSGTNRKIAFLNLARDIGLINRANRDAKNIVAHNLDLARQLIAGIDDITQDYLDKS</t>
  </si>
  <si>
    <t>GC_00000916</t>
  </si>
  <si>
    <t>PF07733.18</t>
  </si>
  <si>
    <t>Bacterial DNA polymerase III alpha NTPase domain</t>
  </si>
  <si>
    <t>K02337</t>
  </si>
  <si>
    <t>DNA polymerase III subunit alpha [EC:2.7.7.7]</t>
  </si>
  <si>
    <t>COG0587</t>
  </si>
  <si>
    <t>DNA polymerase III, alpha subunit (DnaE) (PDB:2HNH)</t>
  </si>
  <si>
    <t>MLDGMAKVDLLAEEVKRQGMPAVGMTDHGNMFGSDAFYRKMVDAGIKPIIGIEAYLAPESRFNKQRVRWGEPHQKSDDVSASGAYLHQTMLAETATGLRNLFYLSSMASYEGQLGKWPRMDAELIAENATGIIATTGCPSGDVQTRLRLGQFDEALEAAAMWQDIYGKENYFLELMDHGLDIENRVRSELLEIGRKLDLPPLVTNDCHYVLKSQAEAHEAMLCVQTGKTLADPDRFKFDGDGYYIKSAEEMRVTWDNMVPGACDNTLLIAERVQDYGEIWEPHTHDRMPIADVPDRHTPTSWLTHQVMEGLKDRFDGGQVPQEYVDRAKYEIEVIDMKGYPSYFLIVADLIKHARSIGIRVGPGRGSAAGALVAYALTITNIDPIEHGLLFERFLNPERPSAPDIDIDFDDRRRGEMIRYAADNWGEDKVAQVITFGTVKTKQAIKDSARVQFGQPGYQIADRITKALPPAIMAKDIPLSGIMDPEHPRYGEAGEVRTLIETDPDVKKIYDTARGLEGVVRQAGVHACAVIMASVPLLDCIPMWKRAQDGALITGWPYPACEEIGLLKMDFLGLRNLTVIGDCIDNIKSNRGFDLDLEALTTDDEEAYKLLARGDTLGVFQLDSGGMRELLKRMEPTGFDDIVAALALYRPGPMGMGAHWAYADRKNGREEITPIHPELEEPLQEILADTYGLIVYQEQIMRISQKVANYTAGQADGFRKAMGKKKPEVLAKEFITFEAGMKSNGFSDAAIKALWDTIEPFASYAFNKSHAAGYGLVSFWTAYLKANYTAEYMAALLTSVADKKDKSAIYLSDCRHLGIHVLSPDVNESALTFQSVGEDIRFGLGAVRNVGEDVVASIVKTREEKGPFTDFSDYLEKIDTLPCSKRVTESLIKAGAFDSMGHTRKGLMLIHEDAIDSVITTKKAADKGQFDLFASL---SGEDAASSSVFAISVPEDNWERKHELALEREMLGLYVSGHPLDGFDEALAAQTDTPLTTILGGELRHGQEVTIGGIISGVDRRFSKKDGSPWAIVTLEDHNGASVELLVFNKVYALVGSMIAEDNIVLAKAHVSIREDRMSLFCDDMKMPDLGVAGG-GVPLRLTMRTDQCSMSNIAKLKEVLVANPGDSDVYLNLVDGENSTIMVLGEHLRVDRSGSLMGDLKATMGPGILG</t>
  </si>
  <si>
    <t>MLDGMAKVDMLAAEVKRQGMPAVGITDHGNMFGSDAFYQKMVAEGIKPIIGIEAYLAPESRFNKNRIRWGEPHQKSDDVSASGAYLHQTMIAETATGLQNLFYLSSMASYEGQLGKWPRMDADLIAENATGIIATTGCPSGDVQTRLRLGQFDEALEAAAMWQDIYGKENYFLELMDHGLDIENRVRSELLEIGRKLDLPPLVTNDCHYVLQDQAHAHEVMLCVQTGKTMQDPDRFKFDGDGYFIKSAAEMRATWDNLVPGACDNTLLIAERVQDYSKLWEAHPHDRMPIASVPDGHTPTSWLTHEVMEGLKERFDGGIVPQVYIDRANYEIEVIDMKGYPSYFLIVADLIKHARSIGIRVGPGRGSAAGALVAYALTITNIDPIKHGLLFERFLNPERPSAPDIDIDFDDRRRGEMIRYAADNWGEDKVAQVITFGTVKTKQALKDSARALFGQPGYQIADRITKALPPAIMAKDIPLYGIMDPEHERYGEAGEVRGLIENDPDVRNIYETARGLEGVVRQAGVHACAVIMASVPLLDCIPMWKRPADGALITGWPYPSCEAIGLLKMDFLGLRNLTVIGDCIENIKTNRGIDLDLEALETEDVPTYELLSRGDTLGVFQLDSGGMRELLKRMEPTCFDDIVAALALYRPGPMGVGAHWAYADRKNGREEITPIHPELEEPLREILDETYGLIVYQEQIMRISQKVANYTAGQADGFRKAMGKKKPEVLAKEFVTFEAGMKENGFSSEAIKALWDTIEPFAAYAFNKSHAAGYGLVSFWTGYLKANYTSEYMAALLTSVADRKDKSAIYLADCRHLGIRVLSPDVNESAYTYQSVGEDIRFGLGAVRNVGEDVVASIVNSRGKIGKFKDFSHYLESIDTVACSKRVTESLIKAGAFDSLGHPRKGLALIHEDAVDAVISTKKAADKGQFDLFAGFGDSGGDSGGVDNFFAVQVPDEEWERKHELALEREMLGLYVSGHPLDGYEEAIAAQTDTELTTILGGELKHGTEVVIGGIISSVDRRFSKKDGSPWAIVTVEDHNGASVELLVFNKLYALVSPQIVEDNIILAKAHISIRDDRMSLFCDDLKTPDLGPGNGAGLPLRLTMRTDQCTMPTIAKLKQVLVANSGDSDVYLKLVDGDESTLMILGDHLRVTRSASLMGDLKAAMGPGILG</t>
  </si>
  <si>
    <t>MLDGMAKVDMLAAEVKRQGMPAVGITDHGNMFGSDAFYQKMVAEGIKPIIGIEAYLAPESRFNKNRIRWGEPHQKSDDVSASGAYLHQTMIAETATGLQNLFYLSSMASYEGQLGKWPRMDADLIAENATGIIATTGCPSGDVQTRLRLGQFDEALEAAAMWQDIYGKENYFLELMDHGLDIENRVRSELLEIGRKLDLPPLVTNDCHYVLQDQAHAHEVMLCVQTGKTMQDPDRFKFDGDGYFIKSAAEMRATWDNLVPGACDNTLLIAERVQDYSKLWEAHPHDRMPIASVPDGHTPTSWLTHEVMEGLKERFDGGIVPQVYIDRANYEIEVIDMKGYPSYFLIVADLIKHARSIGIRVGPGRGSAAGALVAYALTITNIDPIKHGLLFERFLNPERPSAPDIDIDFDDRRRGEMIRYAADNWGEDKVAQVITFGTVKTKQALKDSARALFGQPGYQIADRITKALPPAIMAKDIPLSGIMDPEHERYGEAGEVRGLIENDPDVRNIYETARGLEGVVRQAGVHACAVIMASVPLLDCIPMWKRPADGALITGWPYPSCEAIGLLKMDFLGLRNLTVIGDCIENIKTNRGIDLDLEALETEDVPTYELLSRGDTLGVFQLDSGGMRELLKRMEPTCFDDIVAALALYRPGPMGVGAHWAYADRKNRREEITPIHPELEEPLREILDETYGLIVYQEQIMRISQKVANYTAGQADGFRKAMGKKKPEVLAKEFVTFEAGMKENGFSSEAIKALWDTIEPFAAYAFNKSHAAGYGLVSFWTGYLKANYTSEYMAALLTSVADRKDKSAIYLADCRHLGIRVLSPDVNESAYTYQSVGEDIRFGLGAVRNVGEDVVASIVNSRGKIGKFKDFSHYLESIDTVACSKRVTESLIKAGAFDSLGHPRKGLALIHEDAVDAVISTKKAADKGQFDLFAGFGDSGGDSGGVDNFFAVQVPDEEWERKHELALEREMLGLYVSGHPLDGYEEAIAAQTDTELTTILGGELKHGTEVVIGGIISSVDRRFSKKDGSPWAIVTVEDHNGASVELLVFNKLYALVSPQIVEDNIILAKAHISIRDDRMSLFCDDLKTPDLGPGNGAGLPLRLTMRTDQCTMPTIAKLKQVLVANSGDSDVYLKLVDGDESTLMILGDHLRVTRSASLMGDLKAAMGPGILG</t>
  </si>
  <si>
    <t>MLDGMAKIDMLAEEATRLGMSAVGMTDHGNMFGSDSFYRAMTKAGIKPIIGIEAYLAPGSRFDMKRQRWGDESQKSDDVSASGAYLHQTMIAETAEGLHNLFYLSSMASYEGQLGKWPRMDAELIAEHATGIIGTTGCPSGDIQTRLRLGQFDKALETAAMWQDIYGRDNFFLELMDHGLNIENRVRSELLEIGRKLDLPPLVTNDCHYVLESQAHAHEVMLCVQTGKTMSDPDRFKFDGTGYFVKSAEQMRELWDDLVPDACDNTLWIAERVQDYSSIWEAHPYDRMPIADVPEGHTPTTWLRHQVLDGLRDRFDGAEVPANYIERAEYEIGVIDMKGYPSYFLIVAELIKHARSIGIRVGPGRGSAAGSLVAYALTITNIDPIHHGLLFERFLNPERPSAPDIDIDFDDRRRGEMIRYASERWGEDKIAQVITFGTVKTKQAIKDSARALYGQPGYQIADRITKVLPPPIMAKDISLAGIMDPEHDRYTEAGEVRQLIETDPDVRQIYDTARGLEGVVRQAGVHACAVIMASVPLLDCIPMWKRAADGALITGWPYPACEAIGLLKMDFLGLRNLTVIGDALENIKINRDETIDLENLAITDPNVYKLLARGDTLGVFQLDSGGMQELLKRMQPTEFNDIVAALALYRPGPMGVNAHLDYADRKNGRKPITPIHPELEEALKDILDETYGLIVYQEQIMEISRRVANYTAGEADGFRKAMGKKKPEVLAAEYEKFSAGMFSNGYSKDAVDALWGTIEPFASYAFNKSHAAGYGLVSYWTAYLKANYTAEYMAALLTSVSDKKDKSAIYLANCRHLGIAVLSPDVNESAYNFLPVGQDIRFGLGAVRNVGEDVVASIVRERKAKGLYKDFTDYLEKIDLTACNKRVTESLIKAGAFDSMGYSRKGLMMVFEDAVDAAIGPKKAMDKGQFDLFSAL---GGESEVAENVFSISVPDDTWDRKHQLALERDMLGLYVSGHPLDGFEEALDAQVDTSLSVVASEELKNGAEVQIGGIISAVDRRVSKKDGSPWAIVTIEDQHGVQVEMLVFNKVYALVGPQIVEDNIVVAKAHVSIRDDRFGVFCDDMKVPELGPGGGAGLPLRLTLRTDQCTMGNISRLKQVLVANKGDSDVYLNVVCGTESKMMILGEHLRVNRSASLMGDLKATMGPGILG</t>
  </si>
  <si>
    <t>MLDGMAKIDMLAEEATRLGMSAVGMTDHGNMFGSDSFYRAMTKAGIKPIIGIEAYLAPGSRFDMKRQRWGDESQKSDDVSASGAYLHQTMIAETAEGLHNLFYLSSMASYEGQLGKWPRMDAELIAEHATGIIGTTGCPSGDIQTRLRLGQFDKALETAAMWQDIYGRDNFFLELMDHGLNIENRVRSELLEIGRKLDLPPLVTNDCHYVLESQAHAHEVMLCVQTGKTMSDPDRFKFDGTGYFVKSAEQMRELWDDLVPDACDNTLWIAERVQDYSSIWEAHPYDRMPIADVPEGHTPTTWLRHQVLDGLRDRFDGAEVPANYIERAEYEIGVIDMKGYPSYFLIVAELIKHARSIGIRVGPGRGSAAGSLVAYALTITNIDPIHHGLLFERFLNPERPSAPDIDIDFDDRRRGEMIRYASERWGEDKIAQVITFGTVKTKQAIKDSARALYGQPGYQIADRITKVLPPPIMAKDISLAGIMDPEHDRYTEAGEVRQLIETDPDVRQIYDTARGLEGVVRQAGVHACAVIMASVPLLDCIPMWKRAADGALITGWPYPACEAIGLLKMDFLGLRNLTVIGDALENIKINRDETIDLENLAITDPNVYKLLARGDTLGVFQLDSGGMQELLKRMQPTEFNDIVAALALYRPGPMGVNAHLDYADRKNGRKPITPIHPELEEALKDILDETYGLIVYQEQIMEISRRVANYTAGEADGFRKAMGKKKPEVLAAEYEKFSAGMFSNGYSKDAVDALWGTIEPFASYAFNKSHAAGYGLVSYWTAYLKANYTAEYMAALLTSVSDKKDKSAIYLANCRHLGIAVLSPDVNESAYNFLPVGQDIRFGLGAVRNVGEDVVASIVRERKAKGLYKDFTDYLEKIDLTACNKRVTESLIKAGAFDSMGYSRKGLMMVFEDAVDAAIGPKKAMDKGQFDLFSAL---GGESEVTENVFSISVPDDTWDRKHQLALERDMLGLYVSGHPLDGFEEALDAQVDTSLSVVASEELKNGAEVQIGGIISAVDRRVSKKDGSPWAIVTIEDQHGVQVEMLVFNKVYALVGPQIVEDNIVVAKAHVSIRDDRFGVFCDDMKVPELGPGGGAGLPLRLTLRTDQCTMGNISRLKQVLVANKGDSDVYLNVVCGTESKMMILGEHLRVNRSASLMGDLKATMGPGILG</t>
  </si>
  <si>
    <t>GC_00000917</t>
  </si>
  <si>
    <t>PF03328.21</t>
  </si>
  <si>
    <t>HpcH/HpaI aldolase/citrate lyase</t>
  </si>
  <si>
    <t>K01644</t>
  </si>
  <si>
    <t>citrate lyase subunit beta / citryl-CoA lyase [EC:4.1.3.34]</t>
  </si>
  <si>
    <t>COG2301</t>
  </si>
  <si>
    <t>Citrate lyase beta subunit (CitE) (PDB:4ROQ)</t>
  </si>
  <si>
    <t>KEGG Orthology (KO)&gt;&gt;&gt;09130 Environmental Information Processing&gt;&gt;&gt;09132 Signal transduction&gt;&gt;&gt;02020 Two-component system [PATH:ko02020]|Enzymes&gt;&gt;&gt;4. Lyases&gt;&gt;&gt;4.1  Carbon-carbon lyases&gt;&gt;&gt;4.1.3  Oxo-acid-lyases&gt;&gt;&gt;4.1.3.34  citryl-CoA lyase</t>
  </si>
  <si>
    <t>---MINDSYICGPAVLFAPANRPEIFPKAAAAADMVILDLEDGAGEAPKQQCRRNIIDSTLDPARTIVRVTGPDHPDFIDDVACAKTSPYDLIMVPKVRASLPEEVQGLKVIAMVETPQAVVGIDRLASDPSVVGMFWGAEDLTMELGGTHSRFLVDEGAPSGRPGPYRDTMRLARATMHLHASAWGKFTIDAVHADFNDEAGMFAEAVDAARSGFAASACIHPRQVATVRKAYQPDPGQLEWARRVVDEAASFP</t>
  </si>
  <si>
    <t>MHRSRPDDLIVGPAILFAPANRPDIFPKATAIADMVILDLEDGAGDAERDVARNNIAQASLDPSRVIVRVCGPDDPGFKEDVEMVRSTPYSLVMVPKVYTDIPKELEGLHVIAMIETPQAVVGIQGIAEHPDVVGLFWGAEDLTVLLGGTHSRFMPDEGAPDNRPGPYRDTMRLTRALMHIHAAAAGKFTIDAVHADFHDQQGMFEEAVDAARSGFAGSACIHPKQVETVRRAYRPEPAQVEWALRVVDESQHYPGAFKLDGEMVDAPLIAQAHRVLARAHGAG</t>
  </si>
  <si>
    <t>MHRSRPDDLIVGPAILFAPANRPDIFPKAAAIADMVILDLEDGAGDAERDVARNNIAQASLDPSRVIVRVCGPDDPGFKEDVEMVRSTPYSLVMVPKVYTDIPKELEGLHVIAMIETPQAVVGIQGIAEHPDVVGLFWGAEDLTVLLGGTHSRFMPDEGAPDNRPGPYRDTMRLTRALMHIHAAAAGKFTIDAVHADFHDQQGMFEEAVDAARSGFAGSACIHPKQVETVRRAYRPEPAQVEWALRVVDESQHYPGAFKLDGEMVDAPLIAQAHRVLARAHGAG</t>
  </si>
  <si>
    <t>-----MTLYVPGPAILFAPAGRPDIIPKAAAKADMVILDLEDGAGDIDRDQAYRNIRTANLDPQATIVRIVGPTDPNFAADLEFVRTTPYTTVMVPKVYADLPAGLDGLNIIAMIETPQAVVNIHKIAEHPQVVALFWGAEDLTMGLGGTHSRHLADE----PRTGSYRDTMRVTRALMHIHAAAAGKLTIDAVYADFHDPDGLYAEALDAARSGFAASACIHPKQVDVIRRAYQPDAEQIDWARRVVAEAQHHP</t>
  </si>
  <si>
    <t>-----MTLYVPGPAILFAPAGRPDIIPKAAAKADMVILDLEDGAGDIDRDQAYRNIRTANLDPQATIVRIVGPTDPNFAADLEFVRTTSYTTVMVPKVYADLPAGLDGLNIIAMIETPQAVVNIHKIAEHPQVVALFWGAEDLTMGLGGTHSRHLADE----PRTGSYRDTMRVTRALMHIHAAAAGKLTIDAVYADFHDPDGLYAEALDAARSGFAASACIHPKQVDVIRRAYQPDAEQIDWARRVVAEAQHHP</t>
  </si>
  <si>
    <t>GC_00000918</t>
  </si>
  <si>
    <t>PF00701.28</t>
  </si>
  <si>
    <t>Dihydrodipicolinate synthetase family</t>
  </si>
  <si>
    <t>E|M</t>
  </si>
  <si>
    <t>Amino acid transport and metabolism|Cell wall/membrane/envelope biogenesis</t>
  </si>
  <si>
    <t>K01714</t>
  </si>
  <si>
    <t>4-hydroxy-tetrahydrodipicolinate synthase [EC:4.3.3.7]</t>
  </si>
  <si>
    <t>COG0329</t>
  </si>
  <si>
    <t>4-hydroxy-tetrahydrodipicolinate synthase/N-acetylneuraminate lyase (DapA) (PDB:2R91) (PUBMED:27574185)</t>
  </si>
  <si>
    <t>KEGG Orthology (KO)&gt;&gt;&gt;09100 Metabolism&gt;&gt;&gt;09105 Amino acid metabolism&gt;&gt;&gt;00300 Lysine biosynthesis [PATH:ko00300]|KEGG Orthology (KO)&gt;&gt;&gt;09100 Metabolism&gt;&gt;&gt;09110 Biosynthesis of other secondary metabolites&gt;&gt;&gt;00261 Monobactam biosynthesis [PATH:ko00261]|Enzymes&gt;&gt;&gt;4. Lyases&gt;&gt;&gt;4.3  Carbon-nitrogen lyases&gt;&gt;&gt;4.3.3  Amine-lyases&gt;&gt;&gt;4.3.3.7  4-hydroxy-tetrahydrodipicolinate synthase</t>
  </si>
  <si>
    <t>MNAPNVISISTAASVFGTVSVAMVTPFTAEGGVDFDAAARLSSYLVEQGCDALVLSGTTGESPTTTPAEKRALIQAVREAVGPNIKLTAGVGTYNTAESVELAKQATEAGADGLLVVTPYYSRPSQEGIYRHFTTVADATDTPICLYDIPSRSAVGINSDTIKRLAEHKNIQALKDAKGDLGAAASLIATTGLDWYSGDDSLNLPWLSIGATGFISVIGHVAAAQLRQLLESFEEGDLARAREINATLTPLTNAQARLGGVSFAKAALNLMGMQVGEPRLPQIHAGEADLGPLTEDLTQAGVL--</t>
  </si>
  <si>
    <t>MNSG--FAVTTGAEDFGTVAVAMVTPFAADGSLDVAAARALAAHLVDKGCDSLILSGTTGESPTTTMAEKIDLITHVRAEVGDGVKLVAGAGTYNTAESMELARASAQAGADALLVVTPYYSKPNQEGLYRHFTMIANATDLPICLYDIPPRSVIPIENDTIRRLADHKNIKALKDAKGDIAGSAPLILETGLAWYSGDDTLNLPWLAVGATGFISVIGHAAPHILRELHTSFEEGDLARAREINATLTPLVAAQARLGGVSFAKAALRLQGIEVGDPRLPQIAASDAQLEELRRDLEKAGVLTI</t>
  </si>
  <si>
    <t>MNSG--FAVTTGAEDFGTVAVAMVTPFAADGSLDVAAARALAAHLVDKGCDSLILSGTTGESPTTTMAEKIDLITHVRAEVGDGVKLVAGAGTYNTAESVELARASAQAGADALLVVTPYYSKPNQEGLYRHFTMIADATDLPICLYDIPPRSVIPIENDTIRRLADHKNIKALKDAKGDIAGSAPLILETGLAWYSGDDTLNLPWLAVGATGFISVIGHAAPHILRELHTSFEEGDLARAREINATLTPLVAAQARLGGVSFAKAALRLQGIEVGDPRLPQIAASDAQLEELRRDLEKAGVLTI</t>
  </si>
  <si>
    <t>MSTG--LAAKTGADVFGTISVAMVTPFTTTNNVDLDKATQLARHLVDHGVDSLVLAGTTGESPTTTLSEKLDLLTAVRREVGDSIKIIAGAGTNNTVTSVELARASAQAGADALLVVTPYYSKPSQEGIYHHFATVAQATDLPVCLYDIPPRSVVPIAADTMRRLAELPTIQAVKDAKGNIAEATALIAETGLAWYSGDDPLNLPWLSVGATGFISVIGHLAPAQLVQLHQSFNNGDLAQARKINASLNPLVAAQGKLGGVTMAKAGLKLQGLDMGTPRLPVMAATTEEIEALRRNMEKSGVL--</t>
  </si>
  <si>
    <t>MSTG--LAAKTGADVFGTISVAMVTPFTTTNNVDLDKATQLARHLVDHGVDSLVLAGTTGESPTTTLSEKLDLLTAVRREVGDSIKIIAGAGTNNTVTSVELARASAQAGADALLVVTPYYSKPSQEGIYHHFATVAQATDLPVCLYDIPPRSVVPIAADTMRRLAELPTIQAVKDAKGNIAEATALIAETGLAWYSGDDPLNLPWLSVGATGFISVIGHLAPAQLVQLHQSFNNGDLAQARKINASLNPLVAAQGKLGGVTMAKAGLKLQGLDMGTPRLPVMAATTEEIEALRHNMEKSGVL--</t>
  </si>
  <si>
    <t>GC_00000919</t>
  </si>
  <si>
    <t>PF00248.27</t>
  </si>
  <si>
    <t>Aldo/keto reductase family</t>
  </si>
  <si>
    <t>K06221</t>
  </si>
  <si>
    <t>2,5-diketo-D-gluconate reductase A [EC:1.1.1.346]</t>
  </si>
  <si>
    <t>COG0656</t>
  </si>
  <si>
    <t>Aldo/keto reductase, related to diketogulonate reductase (ARA1) (PDB:1Q13)</t>
  </si>
  <si>
    <t>KEGG Orthology (KO)&gt;&gt;&gt;09190 Not Included in Pathway or Brite&gt;&gt;&gt;09191 Unclassified: metabolism&gt;&gt;&gt;99980 Enzymes with EC numbers|Enzymes&gt;&gt;&gt;1. Oxidoreductases&gt;&gt;&gt;1.1  Acting on the CH-OH group of donors&gt;&gt;&gt;1.1.1  With NAD+ or NADP+ as acceptor&gt;&gt;&gt;1.1.1.346  2,5-didehydrogluconate reductase (2-dehydro-L-gulonate-forming)</t>
  </si>
  <si>
    <t>--MLTKTIAPNVEMPMLGFGVFQVDDRDLCINSVQTALKTGYRLIDTAASYQNEDAVGEAIRTSDVARKDVFITTKLWVDDQGYDNAQAAVERSLKLLDVDYIDLYLIHQPYGDYYGSWRALEELNQQGVVRAIGVSNFAPDRLVDLALHNQVLPAVNQVETHPFHQQAQAHFTMEELGVTHEAWAPFAEGKNGLFTNPVLAAIGESYGKTTAQVVLRWLLQRDIVAIPKSATPSRIEANFDIFDFELNAEDMKA</t>
  </si>
  <si>
    <t>--MQTVTLNNGVEMPILGLGVYQLTEPGECERVVSEALELGYRSIDTAASYRNEEAVGRAIAASGIPRDELFITSKVWIQDAGEKPARAAFERSLERLGLDYLDLYLIHQPMGDVYGSWRALENINKEGLSRAVGVSNFYPDRLVDLILHNEITPAVNQVETHPFHQQVEAQKVMQEYNVQIESWGPFAEGKNDLFTNPTLAAIAEEHGKSVGQVVLRWLIQRGVVVIPKSARRERLEENINVFDFTLSDAQMNT</t>
  </si>
  <si>
    <t>--MQTVTLNNGVEMPILGLGVYQLTEPGECERVVSDALELGYRSIDTAASYRNEEAVGRAIAASGIPRDELFITSKVWIQDAGEKPARAAFERSLERLGLDYLDLYLIHQPMGDVYGSWRALENINKEGLSRAVGVSNFYPDRLVDLILHNEITPAVNQVETHPFHQQVEAQKVMQEYNVQIESWGPFAEGKNDLFTNPTLAAIAEEHGKSVAQVVLRWLIQRGVVVIPKSARRERLEENINVFDFTLSDAQMAD</t>
  </si>
  <si>
    <t>MAIPQISLNNNVEIPQLGFGVYQV-DPAETERVVSDALAAGYRHIDTAAAYFNEEAVGRAIASSGIPRNEIFVTTKLWISDAGDDGARRGFERSRTKLGLDYIDLYLIHQPYGDVYGSWRTLEKIYAEGGARAIGVSNFAPDRYLDLVLHNQIVPAVNQIETHPFLQRTEEQQFLAKHGTILESWGPFAEGRNQLFTNAVLTKIGDQYGKTTAQVVLRWFIQRGIIVIPKSVRPERMAENLDIFDFELSETDMAAIATLGGDVSLFIDHTSPEAVEMLVHALTIE</t>
  </si>
  <si>
    <t>MAIPQISLNNNVEIPQLGFGVYQV-DPAETERVVSDALAAGYRHIDTAAAYFNEEAVGRAIASSGIPRNEIFVTTKLWISDAGDDGARRGFERSRTKLGLDYIDLYLIHQPYGDVYGSWRTLEKIYAEGGARAIGVSNFAPDRYLDLVLHNQIVPAVNQVETHPFLQRTEEQQFLAKHGTILESWGPFAEGRNQLFTNAVLTKIGDQYGKTTAQVVLRWFIQRGIIVIPKSVRPERMAENLDIFDFELSETDMTAIATLGGDASLFIDHTTPEAVEMLVHALMIE</t>
  </si>
  <si>
    <t>GC_00000920</t>
  </si>
  <si>
    <t>PF08148.17</t>
  </si>
  <si>
    <t>DSHCT (NUC185) domain</t>
  </si>
  <si>
    <t>K03727</t>
  </si>
  <si>
    <t>ATP-dependent RNA helicase HelY [EC:5.6.2.6]</t>
  </si>
  <si>
    <t>MSITAHTDPNDHDNRSVGSSQSTAFQRFQQSLSFELDPFQIEGCQALEEGRGVLVCAPTGAGKTIVGEFAVALAKEQGVRCIYTTPIKALSNQKFHDL-QAYGE--VGLLTGDVSINPDADIVVMTTEVLRNMLYAGSPTLERLGFVVMDEIHYLADPSRGAVWEEVILNLPDTVQIIGLSATVSNSEEFGDWLRTVRGDTRVVVTDNRPVPLDQWMMAGQKIYPMFSKGE-----------------------------------------------------PNPQLRSLHGSSRVNRPAMIRVLGEMGMLPAIDFIFSRAGCDDALFDCLRSKISLTSKEEAAQIATIIDEGIEDIDTADLKVLNFPRLRQALMRGFAAHHAGMLPAFKHIVEKLFVRGLVKVVFATETLALGINMPARTVVIEKLTKFNGDSHVELTPAQYTQLTGRAGRRGIDTIGNAVVMWHPRQDPTSVAGLASTRTYPLESTFTPGYNMSVNLINTIGYVHARGLIEQSFAQYQIDGSVVDKARRIEQAKAKKARAQAEFERLLRRASSQAEDDAHYQGDAQAPTVEQLEAYAQLRQEISTMERTLAKDSARSRKAEAAKILSHADIGDVIALPVKKGSMLGVVVRRPRSQRDPEIMIITEDGWVGSVVAEHFPIAPRIVGAMSVAPEVLNNPRRRKGSIIKHFARTKYPRPKLNKLKAPK--SAKLTALREALRAHPVHNMPGLEPALRAAQKAAKADREVAWLEEQVSEAHNGLGRTFDAILELLEHWGYVSYPEHDEDSPTGAAGEDAGPIVTEEGHMLARIHSESDLLIVQCIRRGIFDPLDPAELAALASVCVFEKRRETRGRAQAATPAINTAISHVFRIWEELVYDEQRLGLKPTREPEPSFALAMHQWTAGAPLDYCLQAAAECGAEMTAGDFVRQALRVVDLLEQM---AAFDSLREP-ARQAVDAIRRGVVAL--</t>
  </si>
  <si>
    <t>--------------MSFTAPVGTHLAEFCDHLDFPLDDFQIEGCQAVEADYGVLVCAPTGAGKTIVGEFAVSLALSRGTKCFYTTPIKALSNQKYHDLVEAHGDDAVGLLTGDVSINGSADIVVMTTEVLRNMIYAESPALERLTHVVMDEIHFLADASRGPVWEEVILNLAESVNIIGLSATVSNSEEFGAWLTTVRGDTTVIVSEQRPVPLDQWMLVNRTLLPLFQPGSTEHVNKKLEAKVHKLESGSISTQS</t>
  </si>
  <si>
    <t>----------------------MHLDEFAAHLKFPLDEFQHQACQAVENDHGVLVCAPTGAGKTIIGEFAVSLALSRGTKCFYTTPIKALSNQKYHDLVAAHGPETIGLLTGDTTINHNADILVMTTEVLRNMIYAQSPTFDRLTHVVMDEIHYLSDKTRGSVWEEIILGLHDSIKIIGLSATVSNSEEFGHWLTTVRGNTDIIVTDHRPVPLNQWMLVGTTLHPLFEPNTTT-LNHQLATHINKLE------HT</t>
  </si>
  <si>
    <t>----------------------MHLDEFAAHLKFPLDEFQHQACQAVENDHGVLVCAPTGAGKTIIGEFAVSLALSRGTKCFYTTPIKALSNQKYHDLVAAHGPETIGLLTGDTTINHNADILVMTTEVLRNMIYAQSPTFDRLTHVVMDEIHYLSDKTRGSVWEEIILGLHDSIKIIGLSATVSNSEEFGHWLTTVRGNTDIIVTDHRPVPLNQWMLVSTTLHPLFEPNTTT-LNHQLASHINKLE------HT</t>
  </si>
  <si>
    <t>GC_00000921</t>
  </si>
  <si>
    <t>PF08354.15</t>
  </si>
  <si>
    <t>Fatty acid synthase subunit beta/Fas1-like, helical</t>
  </si>
  <si>
    <t>I|Q|I|I|I|I</t>
  </si>
  <si>
    <t>Lipid transport and metabolism|Secondary metabolites biosynthesis, transport and catabolism|Lipid transport and metabolism|Lipid transport and metabolism|Lipid transport and metabolism|Lipid transport and metabolism</t>
  </si>
  <si>
    <t>K11533</t>
  </si>
  <si>
    <t>fatty acid synthase, bacteria type [EC:2.3.1.-]</t>
  </si>
  <si>
    <t>COG0304|COG0331|COG2030|COG4981|COG4982</t>
  </si>
  <si>
    <t>3-oxoacyl-(acyl-carrier-protein) synthase (FabB) (PDB:2UV8) (PUBMED:21652641)|Malonyl CoA-acyl carrier protein transacylase (FabD) (PDB:1YXC)|Acyl-CoA dehydratase PaaZ (MaoC) (PDB:5ZY8)|Enoyl reductase domain of yeast-type fatty acid synthase (PDB:2UV8)|3-oxoacyl-ACP reductase domain of yeast-type fatty acid synthase FAS1 (FabG2) (PDB:2UV8)</t>
  </si>
  <si>
    <t>M00082|M00083</t>
  </si>
  <si>
    <t>Fatty acid biosynthesis, initiation|Fatty acid biosynthesis, elongation</t>
  </si>
  <si>
    <t>Pathway modules; Lipid metabolism; Fatty acid metabolism|Pathway modules; Lipid metabolism; Fatty acid metabolism</t>
  </si>
  <si>
    <t>ko00001|ko00001|ko01004</t>
  </si>
  <si>
    <t>KEGG Orthology (KO)&gt;&gt;&gt;09100 Metabolism&gt;&gt;&gt;09103 Lipid metabolism&gt;&gt;&gt;00061 Fatty acid biosynthesis [PATH:ko00061]|KEGG Orthology (KO)&gt;&gt;&gt;09100 Metabolism&gt;&gt;&gt;09103 Lipid metabolism&gt;&gt;&gt;00074 Mycolic acid biosynthesis [PATH:ko00074]|Lipid biosynthesis proteins&gt;&gt;&gt;Fatty acid synthase&gt;&gt;&gt;Bacteria type</t>
  </si>
  <si>
    <t>MTTNLHAFG----TDRLLDRLGSQPFALAFAGQGFDWLSTLAQATAAGAGSDVQDIVDAAGDLLAPVAAEVAASRPFGFAPVDWAKAMQQEGAPTYDFAQAAVSVPGIFVSQLAVLNNLEAQGLPIENAVAAIGHSQGVLGKHLLADLLNPAPILAIAELVGVCVAHQARKVGLIQNGDVEQQGTMPMLLIQGISREKLQAAIDQLFD--AGYELRPQIGLRNGFDAYVLVGTPDDVARVQDVLAAWAAKDAQAIADKLKGGTPFNPTFIPLNVQVGFHHTALIPAVDRVVKLAEACGLDADLARSIAEDVIVNPVDWVVDVNSAVDAGARWIFDVGPGGGVDMLTAPIVAGLGVGSFAIDSAEGQARLFDLGQPLELPTAWSRFAPRVEQVDGRTRVVTKFTELTGRSPMLLPGMTPTTVDPEIVAAAANAGHWAELAGGGQVTPEILEGNLAKLQQLLEPGVNAQFNSMFLDPYLWKMQIGGKRLVAKARANGAPIDGVVVTAGMPEHDEAVALVHELRAAGFPWVVFKPGAIKQIINVLAVARAVPSIPIIIQVEGGRAGGHHSWEDLDDLLLATYADIRACDNVVLCVGGGIGTPERAADYITGEWARAYDRPLMPVDGILLGTVTMACKEAKTSDSVKQLLVDTKGIDEWVGAGHAKNGMASGRSQLGADIHEIDNSAAKAGRLLDDVAGDETAVTARRAEIIEAIGKTAKPYFGDLEAMTYAEWLGRYLELSGPTEEYPN---------WVDVSWQRRFEQMVARAEARLNPQDKGEF----DAQVDVAGEPRG--VINRLEELYPQAATQLLHPADVAWFVKLARTPGKPVNFVPVIDKDVRRWWRSDSLWQAQDPRYDADQVCVIPGTEAVAGITVKDEPVADLLQRFCDVSAERVQALAAQSDETQVDAAGIEARDVVTHVLHAPGTFWAGRNTGSLVARIGEPSQWTITNDAAGDGAGAGTVAVHQATGAQLRALDETHAELIAPIGGA---GTTGGALLRIRLTADPSQPHVVPVVTQEDAEAAMGELTRVAAGGTLAEVEGGVARAQAQITEDLIAQYNTVTQSFLPGEIRAGGTAPDVLVGLAWPAVFAAVKAAVIPGTDAASVVEGMLSLVHLEHHLKLVEETLPAAGT----SVDIEARAEEVSDTDMGRIVVVRARLSQNGQPVATLSERFAIRGRGGKAVARTNTSILPSVVDTPRSFRAQASVTAPQDMTSFAIVTGDRNPIHVSDTAAALAGLPGVIVHGMWTSAIAELIAAGAYVGEQGPATRASRVVEYTATMLAPILPGARIEFVVERAGVDNRPGCGEVREVTATVDGNLVLKATAVMAAPTTFYAFPGQGIQSQGMGMDAYGRSAAARGVWDRADAHTRAKLGFSVLEIVRNNPVEVVVQGERFHHPKGVLFLTQFTQVAMATLGVAQVAEMREASALNQRAFFAGHSVGEYNALAAYAGVLSLESVVEIVYRRGLTMHRLVERDEQGNSNYGLAALRPNKMGLTADNVAEFVAQVSQQSGEFLEIVNYNLAGLQYAVAGTVAGLKALGAAAESKAPGQRALIMIPGIDVPFHSSVLRDGVADFREHLTSLLPDRIDLEVLLGRYIPNLVARPFELSLGFVDAMREVVDSPLLDDAAEFFASRGDQVVGLEDQDDPEVQRVARTVLIELLAWQFASPVRWIETQDLALTTL--GGHGVDRFVEVGVGSAPTIANMMGQTLRLPQYAAKAASVEVLNVERERAIVFASDEVTRDV--IVEEQQEAPVAEAHHTTNQALAATETPETP----AAPAAPA-GGERPADIAFTPADATELLVALWTKVRPDQMAPADSIEALVEGVSSRRNQLLLDLGVEFGLGAIDGAADAELSDLKVTVAKMAKSYTAFGPVLSDATADALRRITGPTGKRPAYVAERVTGTWQLGQGWADHVVAAVVTGSREGASLRGGDLATLSPASPSNAGELDALIDAAVAQVAANHGVSVGLPSAGGAG-GGVVDSAALGEFAEQVTGKAGVLAETARTILAQLGLNHVPQTEGLSEDEADEKIFELISRELGSDWPRQVSRAFTPERAILLDDRWASAREDLARLATGAVDAAQMDAASFTGAGEAVAAQAEYWGLSAHAAAARDTRSLPLADDVAVVTGASPNSIAASVVANLLQQGATAVVTTSSLGHARLGYYKDLYRNNARGNAALWVAPANLSSYGDLDALIEWIGNEQTATVNGQKKQLKPALVPTLLFPFAAPRVMGTLADAGPRAENEMRLLLWSVEKLIAGLSEIAADTHVGRRMHVVLPGSPNRGRFGGDGAYGEAKAALDALVTRWYAEPVWGNRTSLVHAHIGWVRGTGLMGGNDPLVDAVEAAGVTTYSTEEMAEKLVAQVTTEVREQAATGPVTVDFTGGLGEADLDLAQLGRDAQRAAEAASTTEDAEPTRVLTALPNPYAPPAATSLDFSS-ATRSLDEMVVIVGAGELGPYGSSRTRFDAELSGDLSAAGVIELAWSMGLINWDNGWVITDGGEEIDEADIYARFHDEVLGRVGVRRYHDDFGMVDNLAPELTTIYLDQPLSFQVASKEDARTFVDSE-DGTTAHVDPETGEWIVTRPAGSAVRVPRRMAMSRFVGGQIPEGFDPKVWGIPADMADNLDRVACWNLVCTVDAFLSSGFTPAEIMRAIHPTRVSSTQGTGMGGMESMRSLYIDGLLAEPRANDILQEALPNVVAAHVMQSYVGGYGQMIHPVAACATAAVSVEEGMDKIRLGKADFVVAGGLDDLSIEGITGFGDMAATAPSGELAAKGIEERYFSRANDRRRAGFVESAGGGTILLARGSVAAQLGLPVHGVVAFAESFADGAHTSIPAPGLGALSAAQGGSQSRLAVALRDHGVSADEVTIISKHDTSTTANDPNESDLHERIAASLGRAQGNPLFVISQKTLTGHAKGGAAAFQIIGLTQVLRGGVIPPNRSLDCVDPVLAKHQHLVWLRQPL-------AFQAKAGLVTSLGFGHVSALIAIVHPDLFV-----QLASRVNPDYVEQASRRERAGYARIVSAMYGGDPLYTRPVDRNLGA-SGDAAKEREAAVLLDPAARLVDGVLRTSSEL</t>
  </si>
  <si>
    <t>MSDHQHTFS----RDRLVQKFGEQPFSLVFSGQGFNWLKTLREAVAAGAGFNVNSIVERAASLTEPVADELIAARPFGFDPVDWASNDDD---PAFDISQAVLSVPGIFVSQLATLDTLEAQRLSLEKSTVTIGHSQGALGVHLLKDLTQAAEILAIAELIGAAGVHTARVNGLIRNGELS-----PMVSVQGVTQEQLEEAIAATTADSADDATRPIIGLRNTRDSFVVVGRPDDVQRVQSFLQARAAKDAKAIANKERGGKPFAPVFNPLDVQIAFHHPAMQPAVDQVVEWAKACDLNEELAEQCAKDVLVNPEDWVEQVNKAIDAGVRWLLDVGPDGGVVKLTNAVAQGRGALSFAVCDNDGQALLFDPGMGPTLPKKWTEFAPKLVTSKTGTKVETKFTRLTGRSPMMLAGMTPTTVDPEIVAAAANAGHWAEMAGGGQVTPEILESNIEKLTGLLNPGVNAQFNSMFLDPYLWKMQIGGKRLVQRARENGAPIDGVVVTAGMPDRDDAVALIKELRDNGFPWVCFKPGAVKHIKKVLDVARQVPDIPVIIQVEGGKAGGHHSWEDLDDLLIATYDEIRQQPNAVLVVGGGIGTPERAADYISGEWALSYDLPKMPVDGVLVGTAAMATKEAKTSPQVKKLLADTKGVDSWVGAGSAVNGMASGRSQLGADIHEIDNSAAQAGRLLDEVAGDEEAVQARREEIIAAMAKTCKPYFGDVEAMTYEQWLKRYLELSGPTANTETASTETTDKGWTDVSWFNRFTQMLERVEARLTDQDHGEF----TPLITLAQDEPAEKAVARLVEEYPQAATDVLHPADVAWFLKLARTPGKPVNFVPVIDKDVRRWWRSDSLWQAQDARYDADAVCIIPGPAAVAGITKVDEPVAELLGRFNTASVKRLEELGVSAEDVTNTP--------VERVINAAGTYWAGRNTASVIERLGDTHAWTLTEDASE--------ASHAPTGAQLVTEDENHAVLTVPLAGSTAFGTTADLTIRFNLTDTDG---AVPQVTQADAEAAMAELTRIAAGGTLAEVKDGTATWTTRIDAAQTADYNNVTAAFLPTSLTASGTAPDVLVGHAWPAIFAAVRNAVIPGTDGDSVVEGMLSLVHVEHHIKLA-DTLPEGTA----ELTITAHTDEVKDTNIGRLILVRAEIDADGTRLATLSERFAIRGRRGTSTARTNSSALPSVIDTPRSFRAFATVTAPESMLSFALVSGDRNPIHVSETAAHLAGLPNVIVHGMWTSALAELIAAAGY-SDDTTTTAPNRVVEYTATMLAPIMPGASIDFLVERAGVDNRPGCGEVREITATVDGNLVLKATAVMAAPVTFYAFPGQGIQSQGMGMEARKNSKAAKEVWDRADRHTRAKLGFSVLEIVKNNPTEVVVKGEKFHHPKGVLFLTQFTQVAMATLGVAQVAEMREAGALNQRAFFAGHSVGEYNALAAYAGVLSLESVVEIVYRRGLTMHRLVDRDAEGNSNYGLAALRPNKMGLTADNVFDFVANISKESGEFLEIVNYNLAGLQYAVAGTRAGLKALREAAEEMAPGQRSFIMIPGIDVPFHSSVLRDGVADFRAHLDSLLPDTVDLDVLVGRYIPNLVARPFELTREFVESMEEVVSSPLLDEILADF-----------DAAAKNEQKLARTILIELLAWQFASPVRWIETQDLALTTL-----GVDRFVEVGVGSAPTIANMMGQTLTLPQY--ADVDIEVLNVERERGVVFATDEVVREVATDADEADDAAPAESAPAAPEPASVTSAASAPTEDGAFTAAPATGGPRPEDIPFTPADATEMLVAVWTKVRPDQMAATDSIETLVEGVSSRRNQLLLDLGVEFGLGAIDGAADAELNDLKATVSRMAKGYTAFGPVLSDASADALRRITGPTGKRPAYIAERVTGTWQLGQGWADHVTAAVVIGAREGASLRGGDLATLSPIAPSSASELDALIDAAVAQVAANHGVSVALPSGGAGGSGGVVDSAALGEYAEQVTGKAGVLAETARTILQQLGL-EPHRTVNLDDKDADAAIFDVVAQELGSDWPRLVATAFDANKAVLLDDRWASAREDIARVAVGVLDAKDVDVT---GAGEAVARQAKHWGLDELAAQALDTSALPYAKDVAVVTGASPNSIAAAVTGELLGGGATVVATTSNLNHERLTFYKELYRTHARGQAALWIVPANLSSFADLDSVIEWVGSEQTATVNGAKKVLKPALVPTLLFPFAAPRVSGSLADAGPRAETEMRLLLWSVERLIAGLSAIGVNTEVGRRLHVVIPGSPNRGRFGGDGAYGESKAALDALVNRWHAEPVWGENTSLVHALIGWVRGTGLMGGNDPLVEAVEAAGVTTFSTEDIAKLLVSNISQDVRDKAATEPVTVDYTGGLGDADVNLAELARNA--AANAASTSED-EEPRTVRALPTPYRRFQATTPDFTGQVSQKLDDMIVIVGAGELGPYGSARTRFDAELTGDLSAAGVTELAWTMGLISWEDGSWVDADGSEIAEEDIYDRYHDEVLGRVGVRRYHDDFGMVSNLAPELTTVYLDRDLSFTVSDKEAARTFVDSEPDNTSAAYSEETGEWIVTRHAGSAIRVPRRMAMSRFVGGQIPEGFDPSVYGIPADMVDNLDRVALWNIVCTVEAFLSSGFSPAELMRSIHPTRVSSSQGTGMGGMESLRSLYVDGLLAEPRANDILQEALPNVTAAHVMQSYIGGYGQMVHPVAACATAAVSVEEGMDKIRLGKADFVVAGGFDDLSIEGITGFGDMAATAPSAELEGKGIDERYFSRANDRRRAGFIESAGGGTILLTRGSIAADLGLPVLGVVGFAESFADGAHTSIPAPGLGALGAAQGGEVSRLAKALYALGVNADEVSVISKHDTSTTANDPNESDLHERLATAMGRGEGNPLFVVSQKSLTGHAKGGAAAFQIIGLTQVLRSGLLPANRSLDCVDPVLNKHQRLVWLRKPLDLGAAGEGFAPKAGIVTSLGFGHVSALVAIVHPAAFVEAVREERGATGVAEWEDAATTRENAGLRRILDAMHGGAALYERPVDRNLGG-TGDAAKEREAAALLDSGARLVDGVLRVTGEF</t>
  </si>
  <si>
    <t>MSDHQHTFS----RDRLVQKFGEQPFSLVFSGQGFNWLKTLREAVAAGAGFNVNSIVERAASLTEPVADELIAARPFGFDPVDWASNDDD---PAFDISQAVLSVPGIFVSQLATLDTLEAQRLSLEKSAVTIGHSQGALGVHLLKDLTQAAEILAIAELIGAAGVHTARVNGLIRNGELS-----PMVSVQGVTQGQLEEAIAATTADSADDATRPIIGLRNTRDSFVVVGRPDDVQRVQSFLQARAAKDAKAIANKERGGKPFAPVFNPLDVQIAFHHPAMQPAVDQVVEWAKACGLNEELAEQCAKDVLVNPEDWVEQVNKAIDAGVRWLLDVGPDGGVVKLTNAVAQGRGALSFAVCDNDGQALLFDPGMGPTLPKKWTEFAPKLVTSKTGTKVETKFTRLTGRSPMMLAGMTPTTVDPEIVAAAANAGHWAEMAGGGQVTPEILESNIEKLTGLLNPGVNAQFNSMFLDPYLWKMQIGGKRLVQRARENGAPIDGVVVTAGMPDRDDAVALIKELRDNGFPWVCFKPGAVKHIKKVLSVAREVPDIPVIIQVEGGKAGGHHSWEDLDDLLIATYDEIRQQPNAVLVVGGGIGTPERAADYISGEWALSYDLPKMPVDGVLVGTAAMATKEAKTSPQVKKLLADTKGVDSWVGAGAAVNGMASGRSQLGADIHEIDNSAAQAGRLLDEVAGDEEAVQARREEIIAAIAKTCKPYFGDVEAMTYAQWLKRYLELSGPTTNTETASTETTDKGWTDVSWFNRFTQMLERTEARLTDQDHGEF----TPLITLAQDEPAEKAVARLVEEYPQAATDVLHPADVAWFLKLARTPGKPVNFVPVIDKDVRRWWRSDSLWQAQDARYDADAVCIIPGPAAVAGITKVDEPVAELLGRFNTASVKRLEELGVSSEDVTTTP--------VERVINAAGTYWAGRNTASVIERLGDTHAWTLTEDASE--------ASHAPTGAQLVTEGENHAVLTVPLAGSTAFGTTADLTIRFTLTDTDG---AVPQVTQADAEAAMAELTRIAAGGTLAEVKDRTATWTTRIDAAQTADYNNVTAAFLPTSLTASGTAPDVLVGHAWPAIFAAVRNAVIPGTDGDSVVEGMLSLVHVEHHIKLA-DTLPEGTA----ELTITAHTDEVKDTNIGRLILVRAEIDADGTRLATLSERFAIRGRRGTSTARTNSSALPSVIDTPRSFRAFTTVTAPESMLSFALVSGDRNPIHVSETAAHLAGLPNVIVHGMWTSALAELIAAAGY-SDDTTTTAPNRVVEYTATMLAPIMPGASIDFLVERAGVDNRPGCGEVREITATVDGNLVLKATAVMAAPVTFYAFPGQGIQSQGMGMEARKNSKAAKEVWDRADRHTRAKLGFSVLEIVKNNPTEVVVKGEKFHHPKGVLFLTQFTQVAMATLGVAQVAEMREAGALNQRAFFAGHSVGEYNALAAYAGVLSLESVVEIVYRRGLTMHRLVDRDAEGNSNYGLAALRPNKMGLTADNVFDFVANISKESGEFLEIVNYNLAGLQYAVAGTRAGLKALREAAEEMAPGQRSFIMIPGIDVPFHSSVLRDGVADFRAHLDSLLPDTVDLDVLVGRYIPNLVARPFELTREFVESMEEVVSSPLLDEILADF-----------DAAAKNEQKLARTILIELLAWQFASPVRWIETQDLALTTL-----GVDRFVEVGVGSAPTIANMMGQTLTLPQY--ADVDIEVLNVERERGVVFATDEVVREVATDADEADDAAPAESAPASPEPASVTSAASAPTEDGAFTAAPATGGPRPEDIPFTPADATEMLVAVWTKVRPDQMAATDSIETLVEGVSSRRNQLLLDLGVEFGLGAIDGAADAELNDLKATVSRMAKGYTAFGPVLSDASADALRRITGPTGKRPAYIAERVTGTWQLGQGWADHVTAAVVIGAREGASLRGGDLATLSPIAPSSASELDALIDAAVAQVAANHGVSVALPSGGAGGSGGVVDSAALGEYAEQVTGKAGVLAETARTILQQLGL-EPHRTVNLDDKDADAAIFDVVAQELGSDWPRLVATAFDANKAVLLDDRWASAREDIARVAVGVLDAKDVDVT---GAGEAVARQAKHWGLDELAAQALDTSALPYAKDVAVVTGASPNSIAAAVTGELLGGGATVVATTSNLNHERLTFYKELYRTHARGQAALWIVPANLSSFADLDSVIEWVGSEQTATVNGAKKVLKPALVPTLLFPFAAPRVSGSLADAGPRAETEMRLLLWSVERLIAGLSAIGVNTEVGRRLHVVIPGSPNRGRFGGDGAYGESKAALDALVNRWHAEPVWGENTSLVHALIGWVRGTGLMGGNDPLVEAVEAAGVTTFSTEDIAKLLVSNISQDVRDKAATEPVTVDYTGGLGDADVNLAELARNA--AANAASTSED-EEPRTVRALPTPYRRFQATTPDFTGQVSQKLDDMIVIVGAGELGPYGSARTRFDAELTGDLSAAGVTELAWTMGLISWEDGSWVDADGSEIAEEDIYDRYHDEVLGRVGVRRYHDDFGMVSNLAPELTTVYLDRDLSFTVSDKEAARTFVDSEPDNTSAAYSEETGEWIVTRHAGSAIRVPRRMAMSRFVGGQIPEGFDPSVYGIPADMVDNLDRVALWNIVCTVEAFLSSGFSPAELMRSIHPTRVSSSQGTGMGGMESLRSLYVDGLLAEPRANDILQEALPNVTAAHVMQSYIGGYGQMVHPVAACATAAVSVEEGMDKIRLGKADFVVAGGFDDLSIEGITGFGDMAATAPSAELEGKGIDERYFSRANDRRRAGFIESAGGGTILLTRGSIAADLGLPVLGVVGFAESFADGAHTSIPAPGLGALGAAQGGEVSRLAKALYALGVNADEVSVISKHDTSTTANDPNESDLHERLATAMGRGEGNPLFVVSQKSLTGHAKGGAAAFQIIGLTQVLRSGLLPANRSLDCVDPVLNKHQRLVWLRKPLDLGAAGEGFAPKAGIVTSLGFGHVSALVAIVHPAAFVEAVREERGATGVAEWEDAATIRENAGLRRILDAMHGGAALYERPVDRNLGG-TGDAAKEREAAALLDSGARLIDGVLRVTGEF</t>
  </si>
  <si>
    <t>MTDHSINVGLRAGSDRLVARFAQEPFALVFSGQGFDWLTTLKTAVNQGASRTVAPLVEQANELIAPVVDQIAGTRTVGFDPIGWASSTKE---ISFDATQAAISVPGIFVSQLAVLDVLESQGLDVDAAVTSLGHSQGILGVFACQDLTRAAEVLAIAQLVGAAVTRQARVTGLVAQGDAG-----PMVAIGNITREQLQQAIDTACGD-LDESIRPTIGLRNARTTYVLVGRPEDNRKILDLLRHQAAKDAKAVENKLRGGAPFNPNIAPLDVQVGFHHPAMIPAVDQVVLWATEAGLNQELAREVATKVMVTPVDWVEQVRDAVAAGARWLLDVGPDTGVTFLTEEILAGSGAATLPVANPDGQALLFDADQAPELPRPYSDYAPTLADSPRGPRLVTKFTELTGRTPMMLAGMTPTTVDPEIVAAAANAGHWAELAGGGQVTPELLEANIEKLTGLLDEGVNAEFNSMFLDPYLWKMQIGGKRLVPKARDNGAPIDGIVISAGMPDHDDAITLIRELRDGGFPWIAFKPGAVRQVAKVLSVAKDVPDIPIIMQVEGGKAGGHHSWADLDELLIATYESIRSCANVVLCVGGGIGTPQQAAHYLTGDWSLKYDLPAMPVDGILIGTAAMATREAKTSPSVKRLLVETKGINGWVGAGHADGGMASGRSQLGADIHEIDNSFARAGRLLDEVAGDAEAVAARREEIIAAIAKTAKPYFGDVEQMSYLEWLERYVELSGPYRGK-----------WTDPSWFERFVQMVRRAEARLVDQDHGEFVPSVAPTVSMTDDPAA--VVARLGKLYPR-ATDLVHPSDAAWFLELAKTPGKPVNFVPVIDQDVRRWWRSDSLWQSQDERYDADQVAIIPGISAVAGITRIDEPVEELLARFNEAAIDLLFERGVELTDAFPDP--------VPMVLAASGTYWAGRHQPSVIARLGDVDAWELREDPEE-----YTSAYHPPTGATLVASNGEQSVLTVPLAGSTAFGTTANLAIRFT-TPIMAPRNVVPQVIDRDAESAMRDLTRIAAGGSLGVEHDGVVTWETTLDANDIADYKNVTAGYLPKTILPAGTAPDVLVGRAWPAIFAAVQAAKIPGSRGDSVVEGMLSLVHLEHHITLV-DDLPDPAAGEIVDLSVTARPEEVVDTEIGRIVVIRAEISVDGRPLAKLTERMAIRGRRGNSTARTNTSVLPTHEPAPRSFRAYAKVTAPESMHPFAVVSGDRNPIHVSNTAAKLAGLPGVIVHGMWTSAVAELVAAGGY-SDETVTTVPNRVAEYTATMLAPILPGSEVEFVVERTGIDTRPGRGEVREVTATVDGQVVLVATATLAAPDTFYAFPGQGIQSQGMGMEARAKSPAAKDVWARADRHTRNKLGFSVLEIVQNNPQEVVVRGEKFTHPKGVLFLTQFTQVAMACLGVAQVAQMREAHALNQRAYFAGHSVGEYNALAAYAAVLSLENVIEIVYQRGLTMHRLVERDEHGVSNYGLAALRPHKMGLNADNVFDYVQSIAAESGEFLEIVNYNLAGMQYAVAGTMKGLKALQADCEAKAPGLRAFILIPGIDVPFHSSHLLSGVDNFREHLDDLLPAEVDLDILVGRYIPNLVARPFELTRDFVQAMLDVVDAPILRKVLKNF-----------DEELRRPARLARTLLVELLAWQFASPVRWIETQDLLLRPKADGGLGVHRFVEVGVGSAPTLANMMAQTAALPQY--RGTDLEILNVEREAGIVFATDEFHREVPAAAGSGADRDVEADAPATEVPAPVLAKVTEPE---LAPAAPAVG--VPADIEFSPSDATAMLIALWTKVRPDQMTATDSIETLVEGVSSRRNQLLLDLGVEFGLGAIDGAADAELADLYKTVTRMAKGYTAFGPVLSDAVGDALRRLTGPTGKRPNYVAERVTGTWGLGQGWADHVVAAVVMGAREGASLRGGDLATLAPANPGTAADLDQLIDAAVQAVAADRGVAVAKPGAGGSG-GGVVDSAALGEFAEQVTGKAGVLAQTARTILSNLGLAEPATVVDLDDADADAALYELVARELGSDWPRQVAPSFDARKTVLLDDRWASAREDVSRVALGELDAADLDLT---GAGEAVARQAEYFGLDDLAAQARDPRPLEFADDIAVVTGASPNSIAASVVKQLLRGGATVVVTTSSLSHARLGFYKQLYAESARGQAALWVVPANLSSYADLDNVIEWIGSEQTATVNGATKLIKPALKPTLLFPFAAPSVSGTLVDAGAPAEMQMRLLLWSVERLIAGLSAIGTSTHVGARLHVVLPGSPNRGRFGGDGAYGESKASLDALVNRWNAETTWKPNTSLVHMLIGWVRGTGLMGGNDPLVAAVEKAGVTTYSTDEIAELLIEQISEDVRRKAAEQPIVVDATGGLGKSDINLSELARQA--KAQQPATGGDADQPDTIPALPTPYRPIAETTPDFTGQVTQDLDDMVVIVGVGEVGPLGSDRTRFDVELTGDLTAAGVIELAWTMGLIHWDTDSWYTRDDEPIDEADIYDRYHDDALARVGVRRYHDDFGMVGNLAPELTTIYLDQDLSFNVADKATAKTYVDSEPDTTTASFDEEAGEWTVTRKAGSAVRVPRRMAMSRFVGGQIPEGFDPAVYGIPADMIDNLDRVAIWNLVATVEAFLNSGFSPAELLRAVHPARVSSTQGTGLGGMESMRSLYIDGLLAEPRQNDILQEALPNVMAAHVMQSYVGGYGQMIHPVAACATAAVSVEEGVDKIKLGKSDFVVAGGYDDLSIEGITGFGDMAATADSNEMAAKGIDERYFSRANDRRRGGFVESAGGGTVLLARGSVAADLGLPVLGVIGFAESFADGVHTSIPAPGLGALGAGRGGTESRLRKQLAQVGVGVDDIAVISKHDTSTTANDPNESDLHERLAAAIGRTPGNPLYVVSQKTLTGHAKGGAAAFQMIGLTQVLRSGQVPANRALDCVDPVLAGYEYLVWLRKPLDLT----SRLPKAGIVTSLGFGHVSALVAIVHPAAFVAAVRAQRGAAAAAKWADQAHTRQQAGARRLLDAMYGGLPLYERPQDRNLGG-TGAPAKEREAAVLLSDKARLVDGVLTIIDD-</t>
  </si>
  <si>
    <t>MTDHSINVGLRAGSDRLVARFAQEPFALVFSGQGFDWLTTLKTAVNQGASRTVAPLVEQANELIAPVVDQIAGTRTVGFDPIGWASSTKE---ISFDATQAAISVPGIFVSQLAVLDVLESQGLDVDAAVTSLGHSQGILGVFACQDLTRAAEVLAIAQLVGAAVTRQARVTGLVAQGDAG-----PMVAIGNITREQLQQAIDTACGD-LDESIRPTIGLRNARTTYVLVGRPEDNRKILDLLRHQAAKDAKAVENKLRGGAPFNPNIAPLDVQVGFHHPAMIPAVDQVVLWATEAGLNQELAREVATKVMVTPVDWVEQVRDAVAAGARWLLDVGPDTGVTFLTEEILAGSGAATLPVANPDGQALLFDADQAPELPRPYSDYAPTLADSPRGPRLVTKFTELTGRTPMMLAGMTPTTVDPEIVAAAANAGHWAELAGGGQVTPELLEANIEKLTGLLDEGVNAEFNSMFLDPYLWKMQIGGKRLVPKARDNGAPIDGIVISAGMPDHDDAITLIRELRDGGFPWIAFKPGAVRQVAKVLSVAKDVPDIPIIMQVEGGKAGGHHSWADLDELLIATYESIRSCANVVLCVGGGIGTPQQAAHYLTGDWSLKYDLPAMPVDGILIGTAAMATREAKTSPSVKRLLVETKGISGWVGAGHADGGMASGRSQLGADIHEIDNSFARAGRLLDEVAGDAEAVAARREEIIAAIAKTAKPYFGDVEQMSYLEWLGRYVELSGPYRGK-----------WTDPSWFERFVQMVRRAEARLVDQDHGEFVPSVAPTVSMTDDPAA--VVARLGKLYPR-ATDLVHPSDAAWFLELAKTPGKPVNFVPVIDQDVRRWWRSDSLWQSQDERYDADQVAIIPGISAVAGITRVNEPVEELLARFNDAAIDLLFERGVELAEAFPDP--------VPMVLAASGTYWAGRHQPSVIARLGDVDAWELREDPEE-----YTSAYHPPTGATLVASNGEQSVLTVPLAGSTAFGTTANLAIRFT-TPIMAPRNVVPQVIDRDAESAMRDLTRIAAGGSLGVEHDGVVTWETTLDANDIADYKNVTAGYLPKAILPAGTAPDVLVGRAWPAIFAAVQAAKIPGSRGDSVVEGMLSLVHLEHHITLV-DDLPDPAAGEVVDLSVTARPEEVVDTEIGRIVVIRAEISADGRPLAKLTERMAIRGRRGNSTARTNTSVLPTHEPAPRSFRAYAKVTAPESMHPFAVVSGDRNPIHVSNTAAKLAGLPGVIVHGMWTSAVAELVAAGGY-SDETVTTVPNRVAEYTATMLAPILPGSEVEFVVERTGIDTRPGRGEVREVTATVDGQVVLVATATLAAPDMFYAFPGQGIQSQGMGMEARSKSPAAKDVWARADRHTRNKLGFSVLEIVQNNPQEVVVRGEKFTHPKGVLFLTQFTQVAMACLGVAQVAQMREAHALNQRAYFAGHSVGEYNALAAYAAVLSLENVIEIVYQRGLTMHRLVERDEHGVSNYGLAALRPHKMGLNADNVFDYVQSISAESGEFLEIVNYNLAGMQYAVAGTMKGLKALQADCEAKAPGLRAFILIPGIDVPFHSSHLLGGVDNFREHLDDLLPAEVDLDILVGRYIPNLVARPFELTRDFVQAMLDVVDAPILRKVLKNF-----------DEELRRPARLARTLLVELLAWQFASPVRWIETQDLLLRPKADGGLGVHWFVEVGVGSAPTLANMMAQTAALPQY--RGTDLEILNVEREAGIVFATDEFHREVPAVAGSDADRDVEADAPATEVPAPVLAKVTEPE---LAPAAPAVG--VPADIEFSPSDATAMLIALWTKVRPDQMAATDSIETLVEGVSSRRNQLLLDLGVEFGLGAIDGAADAELADLYKTVTRMAKGYTAFGPVLSDAVGDALRRLTGPTGKRPNYVAERVTGTWGLGQGWADHVVAAVVMGAREGASLRGGDLATLAPANPGTVADLDQLIDAAVQAVAADRGVAVAKPGAGGSG-GGVVDSAALGEFAEQVTGKAGVLAQTARTILSNLGLAEPATVVDLDDADADAALYELVARELGSDWPRQVAPSFDARKTVLLDDRWASAREDVSRVALGELDAADLDLT---GAGEAVARQAEYFGLDDLAAQARDLRPLEFADDIAVVTGASPNSIAASVVKQLLRGGATVVVTTSSLSHARLGFYKQLYAESARGQAALWVVPANLSSYADLDNVIEWIGSEQTATVNGATKLIKPALKPTLLFPFAAPSVSGTLVDAGAPAEMQMRLLLWSVERLIAGLSAIGTSTHVGARLHVVLPGSPNRGRFGGDGAYGESKASLDALVNRWNAETTWKPNTSLVHMLIGWVRGTGLMGGNDPLVEAVEKAGVTTYSTDEIAELLIEQISEDVRRKAAEHPVVVDATGGLGKSDINLSELARQA--KAQQPTTGGDADQPDTIPALPTPYRPIAETTPDFTGQVTQDLDDMVVIVGVGEVGPLGSDRTRFDVELTGDLTAAGVIELAWTMGLIHWDTDSWYTRDDEPIDEADIYDRYHDDVLARVGVRRYHDDFGMVGNLAPELTTIYLDQDLSFNVADKATAKTYVDSEPDTTTASFDEEAGEWIVTRKAGSAVRVPRRMAMSRFVGGQIPEGFDPAVYGIPADMIDNLDRVAIWNLVATVEAFLNSGFSPAELLRAVHPARVSSTQGTGLGGMESMRSLYIDGLLAEPRQNDILQEALPNVMAAHVMQSYVGGYGQMIHPVAACATAAVSVEEGVDKIKLGKSDFVVAGGYDDLSIEGITGFGDMAATADSNEMAAKGIDERYFSRANDRRRGGFVESAGGGTVLLARGSVAADLGLPVLGVIGFAESFADGVHTSIPAPGLGALGAGRGGTESRLRKQLAQVGVGVDDIAVISKHDTSTTANDPNESDLHERLAAAIGRTPGNPLYVVSQKTLTGHAKGGAAAFQMIGLTQVLRSGQVPANRALDCVDPVLADYEYLVWLRKPLDLT----SRPPKAGIVTSLGFGHVSALVAIVHPAAFVAAVRAQRGAAAAAKWADQAHTRQQAGTRRLLDAMYGGLPLYERPQDRNLGGTTGAPAKEREAAVLLSDKARLVDGVLTIIDD-</t>
  </si>
  <si>
    <t>GC_00000922</t>
  </si>
  <si>
    <t>K01868</t>
  </si>
  <si>
    <t>threonyl-tRNA synthetase [EC:6.1.1.3]</t>
  </si>
  <si>
    <t>COG0441</t>
  </si>
  <si>
    <t>Threonyl-tRNA synthetase (ThrS) (PDB:1NYQ)</t>
  </si>
  <si>
    <t>KEGG Orthology (KO)&gt;&gt;&gt;09120 Genetic Information Processing&gt;&gt;&gt;09122 Translation&gt;&gt;&gt;00970 Aminoacyl-tRNA biosynthesis [PATH:ko00970]|Enzymes&gt;&gt;&gt;6. Ligases&gt;&gt;&gt;6.1  Forming carbon-oxygen bonds&gt;&gt;&gt;6.1.1  Ligases forming aminoacyl-tRNA and related compounds&gt;&gt;&gt;6.1.1.3  threonine---tRNA ligase|Amino acid related enzymes&gt;&gt;&gt;Aminoacyl-tRNA synthetase&gt;&gt;&gt;Class II (C/G)|Transfer RNA biogenesis&gt;&gt;&gt;Eukaryotic type&gt;&gt;&gt;Aminoacyl-tRNA synthetases (AARSs)&gt;&gt;&gt;Other AARSs|Transfer RNA biogenesis&gt;&gt;&gt;Prokaryotic type&gt;&gt;&gt;Aminoacyl-tRNA synthetases (AARSs)&gt;&gt;&gt;Other AARSs</t>
  </si>
  <si>
    <t>-MCITDSSSAHLSPFTVPAGTAIGAAMRELELPNKGPEAIVCAQTQDGTLKDLSFVPDSDTVFYPVPANTEAGRAVIRHSCTHVLAQAVQAEFPGTTLGIGPAIDNGFYYDFDAAEPFTPEDLKRIEKRMKKIIKQGQKFERRVYASQEEAWEAFKHEPYKLELIEDKGNVDPNSDEATEVGAGELTGYYNLNPRTGEVEWYDLCRGPHVPTTKYIPAFALTRSSAAYWRGDQSNAGLQRIYGTAWESKEALEAY</t>
  </si>
  <si>
    <t>-MNNVSVKSSSFPSFSVPAGTAVGAAMRDLELPNKGESAIVCVRDNNGNLKDLSFIPEETTEFTPVPAHSPDGRAVIRHSATHVLAQAVQAEFPGTKLGIGPAIDNGFYYDFDVEEPFTPEDLKRIEKRMKKIIKSGQKFERRVYESLEDAREALKNEPYKLELIEDKGNVDPDSDEATEVGAGELTGYYNVNPRTGEVEWYDLCRGPHVPTTRYIPAFALTRSSAAYWRGDQSNAGLQRIYGTAWESKEALEEY</t>
  </si>
  <si>
    <t>-MNNVSVKSSSFPSFSVPAGTAVGAAMRDLELPNKGESAIVCVRDNNGNLKDLSFIPEETTEFTPVPAHSPDGRAVIRHSATHVLAQAVQAEFPGTKLGIGPAIDNGFYYDFDVEEPFTPEDLKRIEKRMKKIIKSGQKFERRVYKSLEDAREALKNEPYKLELIEDKGNVDPDSDEATEVGAGELTGYYNVNPRTGEVEWYDLCRGPHVPTTRYIPAFALTRSSAAYWRGDQSNAGLQRIYGTAWESKEALEEY</t>
  </si>
  <si>
    <t>MAQLTDAQANPHHPFLVPAGTPVGAAMRELNLPNTGPEAIVVVKDTEGHLKDLSHVPETDAEFLPIPANTAEGRAVIRHSCTHVLAQAVQQEFPGTKLGIGPAIDNGFYYDFDVAEPFTPEDLQRIEKRMKKIIKQGQKFERRVYADQAEAAEALKNEPYKLELIADKGSVDPQSDEATEVGAGELTGYYNLNPRTKAVEWYDLCRGPHVPTTKYIPAFALTRSSAAYWRGDQANAGLQRIYGTAWESPDALAEYQHKMAEAEKRDHRRLGQELDLFSFPDEIGSGFPVFHPNGGIVRLEMEEHSRRRHIAAGYSFVNTPHLTKGELFEKSGHLDFYADGMFPPMKLDGEVDADGNVTKPAVDYYVKPMNCPMHNLIFASRGRSYRELPLRLFEFGTVYRYEKSGVIHGLTRARGFTQDDAHIYCTEDQLEAELTSVLDFVISLLRDYGLDDFYLELSTKDPEKFVGSDEIWEKSTAILQRVADKSGLDLVPDPGGAAFYGPKISVQARDAIGRTWQMSTVQLDFNLPDRFHLEYTAPDGTKKQPIMIHRALFGSIERFFGVLLEHYAGAFPAWLAPQQVMGIPVADTFIPHLESVINELQARGVRASVDTSDDRMQKKIRTYTQAKVPFMLLAGARDVEAQAVSFRFLDGSQLNGVPVAQAISLIDEWVRSRTNEQPNHDNVAEKL---------</t>
  </si>
  <si>
    <t>MAQLTDAQANPHHPFLVPAGTPVGVAMRELNLPNTGPEAIVVVKDTEGHLKDLSHVPETDAEFLPIPANTAEGRAVIRHSCTHVLAQAVQQEFPGTKLGIGPAIDNGFYYDFDVAEPFTPEDLQRIEKRMKKIIKQGQKFERRVYADQAEAAEALKNEPYKLELIADKGSVDPQSDEATEVGAGELTGYYNLNPRTKAVEWYDLCRGPHVPTTKYIPAFALTRSSAAYWRGDQANAGLQRIYGTAWESPDALAEYQHKMAEAEKRDHRRLGQELDLFSFPDEIGSGFPVFHPNGGIVRLEMEEHSRRRHIAAGYSFVNTPHLTKGELFEKSGHLDFYADGMFPPMKLDGEVDADGNVTKPAVDYYTKPMNCPMHNLIFASRGRSYRELPLRLFEFGTVYRYEKSGVIHGLTRARGFTQDDAHIYCTEDQLEAELTSVLDFVISLLRDYGLDDFYLELSTKDPEKFVGSDEIWEKSTAILQRVADKSGLDLVPDPGGAAFYGPKISVQARDAIGRTWQMSTVQLDFNLPDRFHLEYTAPDGTKKQPIMIHRALFGSIERFFGVLLEHYAGAFPAWLAPQQVMGIPVADTFIPHLESVINELQARGVRASVDTSDDRMQKKIRTYTQAKVPFMLLAGARDVEAQAVSFRFLDGSQLNGVPVAQAISLIDEWVRSRTNEQPNHDNVAEKL---------</t>
  </si>
  <si>
    <t>GC_00000923</t>
  </si>
  <si>
    <t>PF09334.17</t>
  </si>
  <si>
    <t>tRNA synthetases class I (M)</t>
  </si>
  <si>
    <t>K01874</t>
  </si>
  <si>
    <t>methionyl-tRNA synthetase [EC:6.1.1.10]</t>
  </si>
  <si>
    <t>COG0143</t>
  </si>
  <si>
    <t>Methionyl-tRNA synthetase (MetG) (PDB:1A8H)</t>
  </si>
  <si>
    <t>ko00001|ko00001|ko01000|ko01007|ko03016|ko03016</t>
  </si>
  <si>
    <t>KEGG Orthology (KO)&gt;&gt;&gt;09100 Metabolism&gt;&gt;&gt;09106 Metabolism of other amino acids&gt;&gt;&gt;00450 Selenocompound metabolism [PATH:ko00450]|KEGG Orthology (KO)&gt;&gt;&gt;09120 Genetic Information Processing&gt;&gt;&gt;09122 Translation&gt;&gt;&gt;00970 Aminoacyl-tRNA biosynthesis [PATH:ko00970]|Enzymes&gt;&gt;&gt;6. Ligases&gt;&gt;&gt;6.1  Forming carbon-oxygen bonds&gt;&gt;&gt;6.1.1  Ligases forming aminoacyl-tRNA and related compounds&gt;&gt;&gt;6.1.1.10  methionine---tRNA ligase|Amino acid related enzymes&gt;&gt;&gt;Aminoacyl-tRNA synthetase&gt;&gt;&gt;Class I (U)|Transfer RNA biogenesis&gt;&gt;&gt;Eukaryotic type&gt;&gt;&gt;Aminoacyl-tRNA synthetases (AARSs)&gt;&gt;&gt;Multi-aminoacyl-tRNA synthetase complex (MSC)|Transfer RNA biogenesis&gt;&gt;&gt;Prokaryotic type&gt;&gt;&gt;Aminoacyl-tRNA synthetases (AARSs)&gt;&gt;&gt;Other AARSs</t>
  </si>
  <si>
    <t>MSKSVLTAVAWPYANGPRHIGHVAGFGVPSDVFARYQRMAGADVLMISGTDEHGTPLLVQAEKEGVSVQELADRYNRQIVEDLAGLGLTYDLFTRTTTRNHYAVVQELFKGLYTNGYMIKETTFGAISPSTGRTLPDRYIEGTCPICNAPGARGDQCDNCGNQLDPANLIDPVSKINGETPKFVETEHFLLDLPALAEALSQWLSTREDWRPNVLKFSLNLLDDIRPRAMTRDIDWGVPVPIEGWQDNNAKKLYVWFDAVVGYLSASIEWAYRTGNPDAWRTFWTDPEALSYYFMGKDNITFHSQIWPAELLGYRGEGARGGEVGEFGELQLPTEVVSSEYLTMSGSKFSSSKGVVIYVKDFLKDFGPDPLRYFIAVAGPENTDTDFTWDEFVRRVNNELANGWGNLVNRTVSMAHKNFGQVPTPGRLTEEDQAILDLATDAFGIVGEALENNRFKAGITHAMHVVGEANAYIAAMEPWKLAKD----------------------DTQRERLGTVLWTALQVVSHINTLLTPYLPHTAQKVHETLGREGVWAPMPKIVEVHDDMPVNPVGVGVPKEGKSYPVIMGDYSSAQAKWEPIALESGTPLSKPKPLIAKLDPELGQTGPEWAPAQQG-</t>
  </si>
  <si>
    <t>MTKSVLTAVAWPYANGPRHIGHVAGFGVPSDVFARYQRMTGANVLMVSGTDEHGTPLLVQAEKEGLTVQELADRYNRQIVHDLAGLGLSYDLFTRTTTRNHYAVVQELFRGLHDNGYMVKETTMGAISPSTGRTLPDRYIEGTCPICGADGARGDQCDNCGNQLDPADLINPVSKINGETPQFVETEHFLLDLPALADALSAWLKERQDWRPNVLKFSLNLLEDIRPRAMTRDIDWGVPIPIEGWQDNNAKKLYVWFDAVVGYLSASIEWAYRIGEPEAWRTFWTNPDAVSYYFMGKDNITFHSQIWPAELLGYRGEGSREGTVGQLGSLELPTEVVSSEYLTMSGSKFSSSKGVVIYVKDFLEEFGADPLRYFIAVAGPENNDTDFTWDEFVRRINNELANGWGNLVNRTVSMAHKNFGEVPTPGELSDADQAILDLASRTFDEAGDALSHSRFKQGITKIMHVVGEANAYIAEQEPWKLAKD----------------------ETQRERLATVLWTALQVVSDCNTMLTPFLPHTAQAVHETLGRDGVWAALPEVVEVTDDQPVEPVGAGLPEKGRSYPVIMGNYRDQQAVWKRIDVVPGTALSKPRPLIAKLDPELAETGPSWAPVNS--</t>
  </si>
  <si>
    <t>MTKSVLTAVAWPYANGPRHIGHVAGFGVPSDVFARYQRMTGANVLMVSGTDEHGTPLLVQAEKEGVTVQELADRYNRQIVHDLAGLGLSYDLFTRTTTRNHYAVVQELFRGLHDNGYMVKETTMGAISPSTGRTLPDRYIEGTCPICGADGARGDQCDNCGNQLDPADLINPVSKINGETPQFVETEHFLLDLPALADALSAWLKERQDWRPNVLKFSLNLLEDIRPRAMTRDIDWGVPIPIEGWQDNNAKKLYVWFDAVVGYLSASIEWAYRIGEPEAWRTFWTNPDAVSYYFMGKDNITFHSQIWPAELLGYRGEGSREGTVGQLGLLELPTEVVSSEYLTMSGSKFSSSKGVVIYVKDFLEEFGADPLRYFIAVAGPENNDTDFTWDEFVRRINNELANGWGNLVNRTVSMAHKNFGEVPTPGELSDADQAILDLASRTFDEAGDALSHSRFKQGITKIMHVVGEANAYIAEQEPWKLAKD----------------------ETQRERLATVLWTALQVVSDCNTMLTPFLPHTAQAVHETLGRDGVWAALPEVVEVTDDQPVEPVGAGLPEKGRSYPVIMGNYRDQQAVWMRIDVVPGTALSKPRPLIAKLDPELAETGPSWAPVNS--</t>
  </si>
  <si>
    <t>-MNNVLVNVAWPYANGPRHIGHVAGFGVPSDVFARYQRMTGANVLMVSGTDEHGTPLLVQADKEGVSVTELADRYNRQIVEDLAGLGLSYDLFTRTTTRNHYAIVQELFRGLYDNGYMLKETTMGAISPSTGRTLPDRYIEGTCPICGADGARGDQCDNCGNQLDPADLINPVSKINGETPKFVETEHFLLDLPALAEELTAWLQTRNDWRPNVLKFSLNLLSDIRPRAMSRDIDWGIPIPVEGWEDNPGKKLYV</t>
  </si>
  <si>
    <t>GC_00000924</t>
  </si>
  <si>
    <t>K01876</t>
  </si>
  <si>
    <t>aspartyl-tRNA synthetase [EC:6.1.1.12]</t>
  </si>
  <si>
    <t>COG0173</t>
  </si>
  <si>
    <t>Aspartyl-tRNA synthetase (AspS) (PDB:1C0A)</t>
  </si>
  <si>
    <t>KEGG Orthology (KO)&gt;&gt;&gt;09120 Genetic Information Processing&gt;&gt;&gt;09122 Translation&gt;&gt;&gt;00970 Aminoacyl-tRNA biosynthesis [PATH:ko00970]|Enzymes&gt;&gt;&gt;6. Ligases&gt;&gt;&gt;6.1  Forming carbon-oxygen bonds&gt;&gt;&gt;6.1.1  Ligases forming aminoacyl-tRNA and related compounds&gt;&gt;&gt;6.1.1.12  aspartate---tRNA ligase|Amino acid related enzymes&gt;&gt;&gt;Aminoacyl-tRNA synthetase&gt;&gt;&gt;Class II (A)|Transfer RNA biogenesis&gt;&gt;&gt;Eukaryotic type&gt;&gt;&gt;Aminoacyl-tRNA synthetases (AARSs)&gt;&gt;&gt;Multi-aminoacyl-tRNA synthetase complex (MSC)|Transfer RNA biogenesis&gt;&gt;&gt;Prokaryotic type&gt;&gt;&gt;Aminoacyl-tRNA synthetases (AARSs)&gt;&gt;&gt;Other AARSs|Mitochondrial biogenesis&gt;&gt;&gt;Mitochondrial DNA transcription, translation, and replication factors&gt;&gt;&gt;Mitochondrial transcription and translation factors&gt;&gt;&gt;Other mitochondrial DNA transcription and translation factors</t>
  </si>
  <si>
    <t>MLRTHLAGELRKETAGQSVTLTGWVSRRRDHGGVIFIDLRDRSGVAQVVFRNSEVAEAAHHLRSEYCIRVTGVVELRPEGSENPNLSSGDVEVNVTDLEVLNESTALPFQIEDG--YSGEVGEETRLKYRYLDLRRPAQAEALRLRSAVNRAARAVLDNHDFTEIETPTLTRSTPEGARDFLVPARLKPGTFYALPQSPQLFKQLLMVAGMERYYQIARCYRDEDFRADRQPEFTQLDIEMSFVDQEDVIALAEEILKSLWALIGYDIATPIPRMTYADAMRLYGSDKPDLRFDIKIVECTEFFKDTTFRVFQNDYVGAVVMENGASQPRRQLDAWQEWAKQRGAKGLAYILVGEDGELAGPVAKNITEQERAGIAEHVGAKPGDCIFFAAGDAKSSRALLGAARGEIARKLDLIKDGDWAFTWVVDAPMFEPSADATASGDVALGHSKWTAVHHAFTSPKPESLDNFDTDPGSALAYAYDIVCNGNEIGGGSIRIHQRDVQERVFKVMGITEEEAREKFGFLLDAFAFGAPPHGGIAFGWDRIVSLLGGFESIRDVIAFPKSGGGVDPLTDAPAQITPEQRKESGIDARPKAAKKETPQPQ</t>
  </si>
  <si>
    <t>MLRTHLAGDLRKETAGQTVTLTGWVSRRRDHGGVIFIDLRDRSGIAQVVFRNSDVAERAHHLRSEFCVRVTGVVEQRPEGSENPNLASGDVELNVTELDILNESAALPFQVDDAASSSGEVGEETRLKYRYLDLRRPTQGEALRLRSAANRAARAVLDSHDFVEIETPTLTRSTPEGARDFLVPARLKPGTFYALPQSPQLFKQLLMVAGMERYYQIARCYRDEDFRADRQPEFTQLDVEMSFVDQDDVIALAEEILVALWKLIGYEISTPIPRMTYADAMRLYGSDKPDLRFDIQIVECTDFFANTSFRVFQNDYVGAVVMDGGASQPRRQLDGWQDWAKQRGAKGLAYILVGEDGELSGPVAKNITEEERAGIAAHVGAKPGDCIFFAAGDAKSSRALLGAARDEIAQRLGLIKEGEWAFTWIVDAPLFEPAADAKASGDVALGHSAWTAVHHAFTSPKPESLDTFDTNPGAALAYAYDIVCNGNEIGGGSIRIHRRDVQERVFAVMGITDEEAQEKFGFLLDAFAFGAPPHGGIAFGWDRIVSLLGGFESIRDVIAFPKSGGGVDPLTDAPAPITAAQRKEAGIDAKPKPKAEKS----</t>
  </si>
  <si>
    <t>MLRTHLAGDLRKETAGQTVTLTGWVSRRRDHGGVIFIDLRDRSGIAQVVFRNSDVAERAHHLRSEFCVRVTGVVEQRPEGSENPNLASGDVELNVTELDILNESAALPFQVDDAASSSGEVGEETRLKYRYLDLRRPTQGEALRLRSAANRAARAVLDSHDFVEIETPTLTRSTPEGARDFLVPARLKPGTFYALPQSPQLFKQLLMVAGMERYYQIARCYRDEDFRADRQPEFTQLDVEMSFVDQDDVIALAEEILVALWKLIGYEISTPIPRMTYADAMRLYGSDKPDLRFDIQIVECTDFFANTSFRVFQNDYVGAVVMDGGASQPRRQLDGWQDWAKQRGAKGLAYILVGEDGELSGPVAKNITEEERAGIAAHVGAKPGDCIFFAAGDAKSSRALLGAARDEIAQRLGLIKEGEWAFTWIVDAPLFEPAADAKASGDVALGHSAWTAVHHAFTSPKPESLDTFDTNPGDALAYAYDIVCNGNEIGGGSIRIHRRDVQERVFSVMGITDEEAQEKFGFLLDAFAFGAPPHGGIAFGWDRIVSLLGGFESIRDVIAFPKSGGGVDPLTDAPAPITAAQRKEAGIDAKPKPKAEKS----</t>
  </si>
  <si>
    <t>MLRTHLAGDLRKETAGQTVTLTGWVARRRDHGGVIFIDLRDSSGIAQVVFRDPTVAETAHHLRSEFCIKVTGVVEARPAGSENPNLASGDIEVNVTELDVLNEAAALPFQIDDTA-KGGEVGEETRLKYRYLDLRRPAQGGALRLRSEANKAARRVLEKHDFVEIETPTLTRSTPEGARDFVVPARLKPGSWYALPQSPQLFKQLLMVAGMERYYQLARCYRDEDFRADRQPEFMQLDIEMSFVDQEDIIAIVEEILVALWQLIGYTIPTPIPRMTYAEAMRDYGSDKPDLRFDIKLVECTEFFSNTPFRVFQNEYVGAVVMAGGASQPRRQLDAWQEWAKQRGAKGLAYILIGEDGEASGPVAKNLSDAERNGIAAHVGAQPGDCIFFAAGETKASRALLGAARGEIARKLGLIKEGDWAFTWVVDAPMFEPSAEAKASGDVALGHSAWTAVHHAFTAPTDECLDTFDTDPGSALSNAYDIVCNGNEIGGGSIRIHRREVQERVFKVMGITEEEAQEKFGFLLDAFAFGAPPHGGVALGWDRIVSLLGGFNSIRDVIAFPKSGGGVDPLTDAPAPISAQQRKETGVDFKPKKS--------</t>
  </si>
  <si>
    <t>MLRTHLAGDLRKETAGQTVTLTGWVARRRDHGGVIFIDLRDSSGIAQVVFRDPAVAETAHHLRSEFCIKVTGVVEARPAGSENPNLASGDIEVNVTELDVLNEAAALPFQIDDTA-KGGEVGEETRLKYRYLDLRRPAQGGALRLRSEANKAARRVLEKHDFVEIETPTLTRSTPEGARDFVVPARLKPGSWYALPQSPQLFKQLLMVAGMERYYQLARCYRDEDFRADRQPEFMQLDMEMSFVDQEDIIAIVEEILVALWQLIGYTIPTPIPRMTYAEAMRDYGSDKPDLRFDIKLVECTEFFSNTPFRVFQNEYVGAVVMAGGASQPRRQLDAWQEWAKQRGAKGLAYILIGEDGEASGPVAKNLSDAERNGIAAHVGAQPGDCIFFAAGETKASRALLGAARGEIARKLGLIKEGDWAFTWVVDAPMFEPSAEAKASGDVALGHSAWTAVHHAFTAPTDECLDTFDTDPGSALSNAYDIVCNGNEIGGGSIRIHRRDVQERVFKVMGITEEEAQEKFGFLLDAFAFGAPPHGGVALGWDRIVSLLGGFDSIRDVIAFPKSGGGVDPLTDAPAPISAQQRKETGVDFKPKKS--------</t>
  </si>
  <si>
    <t>GC_00000925</t>
  </si>
  <si>
    <t>PF07969.17</t>
  </si>
  <si>
    <t>K01468</t>
  </si>
  <si>
    <t>imidazolonepropionase [EC:3.5.2.7]</t>
  </si>
  <si>
    <t>COG1228</t>
  </si>
  <si>
    <t>Imidazolonepropionase or related amidohydrolase (HutI) (PDB:3OOQ)</t>
  </si>
  <si>
    <t>KEGG Orthology (KO)&gt;&gt;&gt;09100 Metabolism&gt;&gt;&gt;09105 Amino acid metabolism&gt;&gt;&gt;00340 Histidine metabolism [PATH:ko00340]|Enzymes&gt;&gt;&gt;3. Hydrolases&gt;&gt;&gt;3.5  Acting on carbon-nitrogen bonds, other than peptide bonds&gt;&gt;&gt;3.5.2  In cyclic amides&gt;&gt;&gt;3.5.2.7  imidazolonepropionase</t>
  </si>
  <si>
    <t>--MSSTLFTGISELHTVSERGVINNGAVIIQDGTIQWVGPAAEAPAADQEIDCGGRAVLPGWVDSHTHMIFAGDRSQEFAARMAGEDYAAGGIAVTMNATREAGEHALTELLKQRIRDAHAGGTTTIETKTGYGLDTQSEALAARIAAAHVDDVTFLGAHLVPPGADPDTYLDEVCGPMLDAVAPHAQWIDVFCERGAFNEEQSRRVLRAGQARGLKPRVHGNQLGEGSGVQLAVELGAASVDHVNYINAEDIEA</t>
  </si>
  <si>
    <t>MTSTATLFTNIGELRTVSDLGTLHDAALVAEDGIITWVGAAADAPACDTQVDLEGRAVLPGWVDSHTHMIFDGDRAAEFEARMAGQDYAAGGIAITMNATRAASPERLRELLDARVHAAHLGGTTSLETKTGYGLDVESEALAAQLAADAVGDVTFLGAHVVPPGADPEDYVDLVTGDMLDAVAPHVQWIDVFCERGAFTEDQSRRVLRAGQERGLGVRVHGNQLGEGAGVALAVELGAASVDHVNYLTDADVEALAGSDTVATVLPACDLSTRQPLAPARRLLDAGATVAIASNLNPGTSYTSSMNFCVGTAVLQMGLSLDEAIRAATWGGARALWRHDVRGGKDRTGRPAVGTLVPGAACDLHVLDTSHAIDLAYRPGMPLTHSTYVAGVRVA</t>
  </si>
  <si>
    <t>MTSTATLFTNIGELRTVSDLGTLHDAALVAEDGIITWVGAAADAPACDTQVDLEGRAVLPGWVDSHTHMIFDGDRAAEFEARMAGQDYAAGGIAITMNATRAASPERLRELLDARVHAAHLGGTTSLETKTGYGLDVESEALAAQLAADAVGDVTFLGAHVVPPGADPEDYVDLVTGDMLDAVAPHVQWIDVFCERGAFTEDQSRRVLRAGQERGLGVRVHGNQLGEGAGVALAVELGAASVDHVNYLTDADVDALAGSDTVATVLPACDLSTRQPLAPARRLLDAGATVAIASNLNPGTSYTSSMNFCVGTAVLQMGLSLDEAIRAATWGGARALWRHDVRGGKDRTGRPAVGTLVPGAACDLHVLDTSHAIDLAYRPGMPLTHSTYVAGVRVA</t>
  </si>
  <si>
    <t>--MTAVLFENISELRTVSALGTLANAAIVADDGRIAWIGPTTQAPAADTRINLGGRAVLPGWVDSHTHMLFDGNRAAEFEARMAGQSYAAGGINVTVTATRAATDTRLEQLLHDRINAARAGGTTTLETKTGYGLDVESERRAARIAATGVDDVTFLGAHVTPVGADPDDYVDLVCGDMLDAVAPYVHWIDVFCEQGAFDESQSRKVLQAGRARGLGLRVHGNQLGAGPGVRLACELGAASVDHVNYLDSEDVER</t>
  </si>
  <si>
    <t>GC_00000926</t>
  </si>
  <si>
    <t>K00946</t>
  </si>
  <si>
    <t>thiamine-monophosphate kinase [EC:2.7.4.16]</t>
  </si>
  <si>
    <t>COG0611</t>
  </si>
  <si>
    <t>Thiamine monophosphate kinase (ThiL) (PDB:5CC8)</t>
  </si>
  <si>
    <t>Thiamine biosynthesis</t>
  </si>
  <si>
    <t>M00127|M00895|M00896</t>
  </si>
  <si>
    <t>Thiamine biosynthesis, prokaryotes, AIR (+ DXP/tyrosine) =&gt; TMP/TPP|Thiamine biosynthesis, prokaryotes, AIR (+ DXP/glycine) =&gt; TMP/TPP|Thiamine biosynthesis, archaea, AIR (+ NAD+) =&gt; TMP/TPP</t>
  </si>
  <si>
    <t>KEGG Orthology (KO)&gt;&gt;&gt;09100 Metabolism&gt;&gt;&gt;09108 Metabolism of cofactors and vitamins&gt;&gt;&gt;00730 Thiamine metabolism [PATH:ko00730]|Enzymes&gt;&gt;&gt;2. Transferases&gt;&gt;&gt;2.7  Transferring phosphorus-containing groups&gt;&gt;&gt;2.7.4  Phosphotransferases with a phosphate group as acceptor&gt;&gt;&gt;2.7.4.16  thiamine-phosphate kinase</t>
  </si>
  <si>
    <t>------------MNTAP-------------------TPATLSSVGERAAIDAMLEHMPSSRNGDDAAVLPVLAPNSRTVVSTDTLVEGRHFRLDWSTPYDVGVKAITQNFADIEAMGARPIAALLAISAPGTTELSVLTELARGVGDSVERYSAQTVGGDLCSADSIIIGVTAIGVIGGSMSALTLDGARPGQRLVAAGRIGYSAAGLALLNYFGPDELPLGFDALIDAHCAPTIPIGRGVVARATGATAMTDNS</t>
  </si>
  <si>
    <t>------------MTAKP------------LHFPSRYTGPTVADVGERAVTLAIQRMAPSSRNGDDAAVLATPAPNTRTVVSTDVLVEGRHFSLDWSSAEEVGRKAIVQNFADIEAMGARPVAALLGLTMPGHTPLNFVQRLIAGMWDKTLQHNSELVGGDLTRAETLIVSITAIGILGGSSPALTLDRARAGQRLVASGPIGYSAAGLALLRHHGRTGIPAGFAPLIDAHCAPTLIPGRGVIARATGATAMTDNS</t>
  </si>
  <si>
    <t>------------MTAKP------------LHFPSRYTGPTVADVGERAVTLAIQRMAPSSRNGDDAAVLATPTPNTRTVVSTDVLVEGRHFSLNWSSAEEVGRKAIVQNFADIEAMGARPVAALLGLTMPGHTPLNFVQRLIAGMWDKTLQHNSELVGGDLTRADTLIVSITAIGILGGSSPALTLDRARAGQRLVASGPIGYSAAGLALLRHHGRTGIPAGFAPLIDAHCAPTLIPGRGVIARATGATAMTDNS</t>
  </si>
  <si>
    <t>------------MTRIV-----------------KNPNPTLADVGEQAVITAIVAHAPSTRNGDDAAVLDHAAPNSRTVITTDTLVEGRHFRRDWSHPAEIGRKAITQNFADVEAMGARPIAALLALSAPGDTPLEFVADLARGINERVTDYDAELVGGDVTDNDRITIAVTGIGQLGGSLPPLRLDQARPGQILVASGHIGYSAAGYALLKEFGRAGVPAEFDPMLRAHCSTILTPGRGFVARSAGVTAMTDNS</t>
  </si>
  <si>
    <t>MHGDQCNLRKNWAQGTPTICDIEDCKDDVRDTHRKNPNPTLADVGEQAVITAIVAHAPSTRNGDDAAVLDHAAPNSRTVITTDTLVEGRHFRRDWSHPAEIGRKAITQNFADVEAMGARPIAALLALSAPGDTPLEFVADLARGINERVTDYDAELVGGDVTDNDRITIAVTGIGQLGGSLPPLRLDQARPGQILVASGHIGYSAAGYALLKEFGRAGVPAEFDPMLRAHCSTILTPGRGFVARSAGVTAMTDNSDGLVHDLYVMAKKSAVTINLDSAALQPDDLLVRAAELVGADPWEFILSGGEDHTFIGTTFGPPPTGFVEIGTVV--------RHNSMGAVTLDRAAPPYTYGWESY-</t>
  </si>
  <si>
    <t>GC_00000927</t>
  </si>
  <si>
    <t>PF00809.28</t>
  </si>
  <si>
    <t>Pterin binding enzyme</t>
  </si>
  <si>
    <t>K00796</t>
  </si>
  <si>
    <t>dihydropteroate synthase [EC:2.5.1.15]</t>
  </si>
  <si>
    <t>COG0294</t>
  </si>
  <si>
    <t>Dihydropteroate synthase (FolP) (PDB:1AD1)</t>
  </si>
  <si>
    <t>M00126</t>
  </si>
  <si>
    <t>Tetrahydrofolate biosynthesis, GTP =&gt; THF</t>
  </si>
  <si>
    <t>KEGG Orthology (KO)&gt;&gt;&gt;09100 Metabolism&gt;&gt;&gt;09108 Metabolism of cofactors and vitamins&gt;&gt;&gt;00790 Folate biosynthesis [PATH:ko00790]|Enzymes&gt;&gt;&gt;2. Transferases&gt;&gt;&gt;2.5  Transferring alkyl or aryl groups, other than methyl groups&gt;&gt;&gt;2.5.1  Transferring alkyl or aryl groups, other than methyl groups (only sub-subclass identified to date)&gt;&gt;&gt;2.5.1.15  dihydropteroate synthase</t>
  </si>
  <si>
    <t>MNDSSAVQGNQLGRTLVMGILNVTEDSFSDGGNYLDPSRALAHAEQMINDGADIIDVGGESTRPGATRVSEEQELARVVPVVRELASRGVITSVDTMRASVARACADAGVNYINDVSGGRADADMFAAIADTGLPAILMQWRTDAYGDAAGAAHTPGNALQEVHDDLQALVSDVKAAGVAEEQIILDPGLGFAKTPRDNWEILAGLDSLSALGYPLLIGASRKRFLQAIRADRGL------DSGPRAADPATAALSALCAAKDVWAVRVHDVAFTRDAIDVAQAVATAHSTTTTDFSLGASHHG</t>
  </si>
  <si>
    <t>-----------MARCMVMGIVNVTEDSFSDGGRYLDQDVAVDHARELLTQGADIIDVGGESTRPGAQRIDAATEQRRVIPVVRELAQSGVRVSVDTMRAKVAAAAVEAGAEIINDVSGGLADPDMLSVMADSGQRVCLMHWKAEEYGDAAGQAHIQGDVVDEVHAQLRRLVERAVTAGIAPERIILDPGLGFAKTPEDNWALLHALPSFVGTGFPILVGASRKRFLQAVRTDRGMLDMALPGTAEHSADPATFAI</t>
  </si>
  <si>
    <t>-----------MARCMVMGIVNVTEDSFSDGGRYLDQDVAVDHARELLTQGADIIDVGGESTRPGAQRIDAATEQRRVIPVVRELAQSGVRVSVDTMRAKVAAAAVEAGAEIINDVSGGLADPDMLSVMADSGQRVCLMHWKAEEYGDAAGQAHIQGDVVDEVHAQLRRLVERAVTAGIAPERIILDPGLGFAKTPEDNWALLHALPSFVGTGFPILVGASRKRFLQAVRTDRGMLDMALPGTAEHSADPATFAT</t>
  </si>
  <si>
    <t>------MFEQAGRRTQVMGILNVTEDSFSDGGRYIDFDKAIEHAFALRDAGADLIDVGGESTRPGAVRVPEAVEHARVIPVITELSRAGIVTSVDTMRASVASAAVAAGVSLINDVSGGQADPNMLRVMADAQVSVCLMHWQTDRFGDASGA-HHGERIIADVRTHLLSLVDAATRAGIDQSRICLDPGLGFAKTADNNWSLLHHLDEIQALGFPLLIGASRKRFLTELGGDR---------------DAATAAV</t>
  </si>
  <si>
    <t>------MFEQTGRRTQVMGILNVTEDSFSDGGRYIDFDKAIEHAFALRDAGADLIDVGGESTRPGAVRVPEAVEHARVIPVITELSRAGIVTSVDTMRASVASAAVAAGVSLINDVSGGQADPDMLRVMAEAQVPVCLMHWQTDRFGDASGA-HHGEHIITDVRTHLLSLVDAATRAGIDQSRICLDPGLGFAKTADNNWSLLHHLDQIQALGFPLLIGASRKRFLTELGGDR---------------DAATAAV</t>
  </si>
  <si>
    <t>GC_00000928</t>
  </si>
  <si>
    <t>PF00892.27</t>
  </si>
  <si>
    <t>EamA-like transporter family</t>
  </si>
  <si>
    <t>K05786</t>
  </si>
  <si>
    <t>chloramphenicol-sensitive protein RarD</t>
  </si>
  <si>
    <t>COG2962</t>
  </si>
  <si>
    <t>Membrane protein RarD, contains two EamA domains, drug/metabolite transporter family (RarD) (PUBMED:26335199)</t>
  </si>
  <si>
    <t>MLYAILAYLLWGAFPAFFPLLEPASPMEILAHRIIWTAVFLAGLITVTRK-WSELRKADRTQWLLISSAAVLIAANWGVYILAVNSGHVNEAALGYFINPLVAVALGVVFYSERLSFLQKISIGLAAGAVVLLMVLGGQPPVLGLVLAFTFGFYGLMKKRVLLSPIASLTAETFVLLPVALGYVLL----TPSTFSSHGPGHAALMVSTGIVTAVPLLLFGKAAKLVPLSAIGMVQYLTPSMQMLWAVFVVHEHISHARWVGFCIIWTAVVIYLVDSSIRTPRRPQDASIGALSTTATDGSEAKDSR</t>
  </si>
  <si>
    <t>MLYTVLAYLIWGSFPAFFPLLKPAAPLEILAHRVVWTAVFMLILIVATKA-IRELRAADRRTWLSIGAASIIIAVNWLLYVIAVNSGHVSDAAFGYFINPLVNVLLGMVFLGERLRNLQKISVTIAACAVIMLTIASGQPPLLGLGLAFSFGFYGLIKKRVNVSAAASLAAETMVLFPIALLYLVFLTTQHQSTFTGFGAGHTALLISAGLVTAVPLLLFGLGAKMIPLSTVGMLQYMTPTMQMLWAVFVVDEQLTPIRWVGFVIIWISVAIYLTD---------------IVVARRSTA-------</t>
  </si>
  <si>
    <t>MLYTVLAYLIWGSFPAFFPLLKPAAPLEILAHRVVWTAVFMLILIVATKA-IRELRAADRRTWLSIGAASIIIAVNWLLYVIAVNSGHVSDAAFGYFINPLVNVLLGMVFLGERLRNLQKISVTIAACAVIMLTIASGQPPLLGLGLAFSFGFYGLIKKRVNVSAAASLAAETMVLFPIALLYLVFLTTQHQSTFTGFGAGHTALLISAGLVTAVPLLLFGLGAKLIPLSTVGMLQYMTPTMQMLWAVFVVDEQLTPIRWVGFVIIWISVAIYLTD---------------IVVARRSTA-------</t>
  </si>
  <si>
    <t>MPFAIAAYVLWGIFPAFFPLLTPAAPLEIIGHRIVWTAVVMSIIMSCTKTGWSELRRASVRTWGWLGLASVLVATNWLVYVIAVNSNHVADAALGYYINPLVNVLLGLVFLSERLRPLQKTSITVAATAVVMLTIIAGQPPVQALMLAFSFGFYGLVKKRVDMSAMASLTAETLILAPVAAGYLLVLEARGTGTFGHVSVGHSLLLMTAGLVTAVPLLLFGIAARRIQLSTIGMLQYLTPTMQMLWAVFVTREEIAPLRWVAFGIIWVAVALYFLD---------------ILRFRSTNGRRKASTG</t>
  </si>
  <si>
    <t>MPFAIAAYVLWGIFPAFFPLLTPAAPLEIIGHRIVWTAVVMSIIMSCTKTGWLELRRASVRTWGWLGLASVLVATNWLVYVIAVNSNHVADAALGYYINPLVNVLLGLVFLSERLRPLQKTSITVAATAVVMLTIIAGQPPVQALMLAFSFGFYGLVKKRVDMSAMASLTAETLILAPVAAGYLLVLEARGTGTFGHVSVGHSLLLMTAGLVTAVPLLLFGIAARRIQLSTIGMLQYLTPTMQMLWAVFVTREEIAPLRWVAFGIIWVAVALYFLD---------------ILRFRSTNGRRKASTG</t>
  </si>
  <si>
    <t>GC_00000929</t>
  </si>
  <si>
    <t>K03587</t>
  </si>
  <si>
    <t>cell division protein FtsI (penicillin-binding protein 3) [EC:3.4.16.4]</t>
  </si>
  <si>
    <t>ko00001|ko01000|ko01011|ko03036</t>
  </si>
  <si>
    <t>KEGG Orthology (KO)&gt;&gt;&gt;09100 Metabolism&gt;&gt;&gt;09107 Glycan biosynthesis and metabolism&gt;&gt;&gt;00550 Peptidoglycan biosynthesis [PATH:ko00550]|Enzymes&gt;&gt;&gt;3. Hydrolases&gt;&gt;&gt;3.4  Acting on peptide bonds (peptidases)&gt;&gt;&gt;3.4.16  Serine-type carboxypeptidases&gt;&gt;&gt;3.4.16.4  serine-type D-Ala-D-Ala carboxypeptidase|Peptidoglycan biosynthesis and degradation proteins&gt;&gt;&gt;Peptidoglycan biosynthesis and degradation&gt;&gt;&gt;DD-Transpeptidase (Class B PBP)|Chromosome and associated proteins&gt;&gt;&gt;Prokaryotic type&gt;&gt;&gt;Chromosome partitioning proteins&gt;&gt;&gt;Divisome proteins</t>
  </si>
  <si>
    <t>-MASVRRGEPDRGRPGRSVVS-DDVKSSDVRVRQRVDV------------------DLSRRRMFLVRTLAVVLAAVLVGRLAWVQGVWGPSLSALAQEQRERVYVTPAKRGQIVDRNGAELAFTMQARSLTVSPIRLRDEIK--TRHEQMPDRY--------------DDVPTTLKTMSEEIPKMVKNSGAP-------------------GADATRVDSKEILDALKSDSYYTVLVRNVDPDIAAEVAARFPGV</t>
  </si>
  <si>
    <t>---MSSRPQRDRRRAGQDTLSRASSYRTQPQPKRRTQA------------------QVVAHRLKIASNIALLVLVVLIARLAWVQLVWGPDLSVAAQQQRTRVFTDPARRGEITDKSGNQLAFTMQARSLTVSPKVLRDEIQ--ARHEMKPDEY--------------GTVDEVLKEISEEIPKMVKNS----------------------GNQPSKVNSKEIMEKLRADTNYEVLVRNVDPDVAADVTKKFEGV</t>
  </si>
  <si>
    <t>MNQSNSRASRMRRKASSNTQFHNDTADPKNGLNRIADKPATGPAGGSTTGPGGGQRRIMLGRLRILSAGVFLLCLMVIARMAWVQLVWGPDLSSLAAEQRTRIYTDPARRGAITDRSGQQLAYTMQARSLTVSPNVLRRELPYVAKQQLASDENYVQGSEETRNQMIEAKVADIMTEYSEEIPKIIEKARTEKQAAKATKTVTGSTKGLKDAAKKSEVKPEDIVAKLKADSNYEVLVRNVDPDVAAGISEKYYGIAADLQDVRQYPNGAVASNVIGKISQDGQGQFGFESANDSLLSGINGRKSIEVSTDGQAIPGTVTDDVPATNGANVTLTLDLDLQTYVQQQLEQAKANSGAKSASAVVLDAKTAQVMAMATSDSIDPMGDIKKQLEQGKEFGNSTISAPFEPGSVAKIITAAGAIENGVTSPDEVHTVPGSIDMAGVNVKDAWDHGPAQYTTTGIFGKSSNVGTLMLAEKLGEDKFDQLLTGFGVGRATGIELPSESEGLLPQRAQWSGGTFANLPIGQGMSVTLLQMAGIYQAIANGGERIAPRIISEVRDGHGAVVAQPEPERTRVVSEETARTVVNMFRAVTQSDSSGLQQGTGSQAAVKGYQIAGKTGTAQQVDAATGAYSHSKYWITFAGIAPADDPRFVVALMLDNPQRGVHGEGGQSAAPLFHDIASWLLNRDNVPPSPPMEGQLVLQVQ</t>
  </si>
  <si>
    <t>----------------------------------------------------------MLGRLRILSAGVFLLCLMVIARMAWVQLVWGPDLSSLAAEQRTRIYTDPARRGAITDRSGQQLAYTMQARSLTVSPNVLRRELPYVAKQQLASDENYVQGSEETRNQMIEAKVADIMTEYSEEIPKIIEKARTEKQAAKATKTVTGSTKGLKDAAKKSEVKPEDIVAKLKADSNYEVLVRNVDPDVAAGISEKYYGI</t>
  </si>
  <si>
    <t>GC_00000930</t>
  </si>
  <si>
    <t>PF00425.24</t>
  </si>
  <si>
    <t>chorismate binding enzyme</t>
  </si>
  <si>
    <t>K01657</t>
  </si>
  <si>
    <t>anthranilate synthase component I [EC:4.1.3.27]</t>
  </si>
  <si>
    <t>COG0147</t>
  </si>
  <si>
    <t>Anthranilate/para-aminobenzoate synthases component I (TrpE) (PDB:1I1Q)</t>
  </si>
  <si>
    <t>MTFSPHVRTRAVRYHENAARLFAHLGGTVADDAVLLESADIASKEGLHSVMVLRGSVRVTCNHNDVTAEPLTPSGVAIVQRLAEQLSSDV----------SRETSEETVFHFP---VSTAVDERERLTALSSVEPLRRLQTDAGYLTEDASLPFLAGGIAFDHLASFEDLPSVEDSGNTYPDYQFLLAEVVLSIDHQAQSALLAGVVADGTGVDKLDAELDRLAALCNDYETQPEKSMVSR------ETIVATASIPDADYRAMVTNLQAHIHNGDIYQVVPARSFTMPCPDAFAAYQQLKEHNPSPYMFYVRGQSAGETYELFGASPESNLKFTADTRIVELYPIAGTRPRGLDPDGSVNHELDIRAELELRTDAKEISEHTMLVDLARNDLARVAVPATRRVEELLQVDRYSRVMHLVSRVSAELAPDLDALDAYRACMNMGTLTGAPKIRATELLRESEGTRRGSYGGAVGYLRGNGDMDTCIVIRSAFVSKGVAIVQAGAGVVRDSQPQSEADESLHKAYAVLHAIATAAGARLEVQR</t>
  </si>
  <si>
    <t>MTFSPHVRTRAVCYHENAARLFAHLGGTVADDAVLLESADIASKEGLHSVMVLRGSVRVTCNHNDVTAEPLTPSGVAIVQRLAEQLSSDV----------SRETSEETVFHFP---VSTAVDERERLTALSSVEPLRRLQTDAGYLTEDASLPFLAGGIAFDHLASFEDLPSVEDSGNTYPDYQFLLAEVVLSIDHQAQSALLAGVVADGSGVDKLDAELDRLAALCNDYETQPEKSMVSR------ETIVATASIPDADYRAMVTNLQAHIHNGDIYQVVPARSFTMPCPDAFAAYQQLKEHNPSPYMFYVRGQSAGETYELFGASPESNLKFTADTRIVELYPIAGTRPRGLNPDGSVNHELDIRAELELRTDAKEISEHTMLVDLARNDLARVAVPATRRVEELLQVDRYSRVMHLISRVSAELAPDLDALDAYRACMNMGTLTGAPKIRATELLREAEGTRRGSYGGAVGYLRGNGDMDTCIVIRSAFVSKGVAIVQAGAGVVRDSQPQSEADESLHKAYAVLHAIATAAGARLEVQR</t>
  </si>
  <si>
    <t>GC_00000931</t>
  </si>
  <si>
    <t>PF01648.25</t>
  </si>
  <si>
    <t>4'-phosphopantetheinyl transferase superfamily</t>
  </si>
  <si>
    <t>K00997</t>
  </si>
  <si>
    <t>holo-[acyl-carrier protein] synthase [EC:2.7.8.7]</t>
  </si>
  <si>
    <t>COG0736</t>
  </si>
  <si>
    <t>Phosphopantetheinyl transferase (holo-ACP synthase) (AcpS) (PDB:1F7L)</t>
  </si>
  <si>
    <t>KEGG Orthology (KO)&gt;&gt;&gt;09100 Metabolism&gt;&gt;&gt;09103 Lipid metabolism&gt;&gt;&gt;00074 Mycolic acid biosynthesis [PATH:ko00074]|KEGG Orthology (KO)&gt;&gt;&gt;09100 Metabolism&gt;&gt;&gt;09108 Metabolism of cofactors and vitamins&gt;&gt;&gt;00770 Pantothenate and CoA biosynthesis [PATH:ko00770]|Enzymes&gt;&gt;&gt;2. Transferases&gt;&gt;&gt;2.7  Transferring phosphorus-containing groups&gt;&gt;&gt;2.7.8  Transferases for other substituted phosphate groups&gt;&gt;&gt;2.7.8.7  holo-[acyl-carrier-protein] synthase</t>
  </si>
  <si>
    <t>MQSGGRSCSSGGGVGGTVGIDLVHIPAFAGQLAQPGSRFEAVFSAGELRRAASALNRA---EHLAGRWAAKEAFIKAWEQALFGAPPPLSPEQVVWSDIEVVADRWGRVGYCLSGSVGQ--AYTEGGLGLPRV--SISHDGDYATAVCLIAPTSQ--</t>
  </si>
  <si>
    <t>----------MPPVTPAIGIDLVHIPSFAEQLQQPGSRFHRVFSAFERRHANQKLDPD---QHLAGRWAAKEAFVKAWSQALYGTPPVIDLEDFDWSQVEVVPDQWGRVAIHLIGEVAEQVAETMGGA-TPHISLSISHDGDYATATCCIALMVG--</t>
  </si>
  <si>
    <t>----------MPPVTPAIGIDLVHIPSFAEQLRQPGSRFHRVFSAFERRHANQKLDPA---QHLAGRWAAKEAFVKAWSQALYGAPPVIDLEDFDWSQVEVVPDQWGRVAIHLIGEVAEQVAATMGGV-IPHISLSISHDGDYATATCYIALVVG--</t>
  </si>
  <si>
    <t>GC_00000932</t>
  </si>
  <si>
    <t>PF00814.31</t>
  </si>
  <si>
    <t>tRNA N6-adenosine threonylcarbamoyltransferase</t>
  </si>
  <si>
    <t>K25706</t>
  </si>
  <si>
    <t>tRNA N6-adenosine threonylcarbamoyltransferase [EC:2.3.1.234]</t>
  </si>
  <si>
    <t>COG0533</t>
  </si>
  <si>
    <t>tRNA A37 threonylcarbamoyltransferase TsaD (TsaD) (PDB:3ENO) (PUBMED:23072323;21285948;32385138)</t>
  </si>
  <si>
    <t>Enzymes&gt;&gt;&gt;2. Transferases&gt;&gt;&gt;2.3  Acyltransferases&gt;&gt;&gt;2.3.1  Transferring groups other than aminoacyl groups&gt;&gt;&gt;2.3.1.234  N6-L-threonylcarbamoyladenine synthase|Transfer RNA biogenesis&gt;&gt;&gt;Prokaryotic type&gt;&gt;&gt;tRNA modification factors&gt;&gt;&gt;Other tRNA modification factors</t>
  </si>
  <si>
    <t>MPVSSVVSAAKSSVGESLLQPGGSLVVLGVESSCDETGVGIVRVTASAQGEDPQVEVLADVVASSMEQHARFGGVVPEIASRAHLESIVPVMREALQVAGIERPDVVAATVGPGLSGALLVGASAAKAYAAGWGVPFYGVNHLGGHVAVADLDGEPLPDSVALLVSGGHTQLLEVTGVGLPMRELGSTLDDAAGEAYDKVARLLGLGYPGGPVIDKHAARGDRKAIDFPRGLSKKSDPAYDFSFSGLKTAVARYVESAQREGREINVDDVCASFQEAVCDVLTKKAVRACVDTGARVLLLSGGVAANSRLRQLAEDRCGSAGIELRVPRLKLCTDNGVMIAALASQLIAVGVQPSDLSVGVDPSLEVEIPSV--</t>
  </si>
  <si>
    <t>MP---------------------SKVVLGVESSCDETGVGIVRVT-YGDGEEPRLEILADQVASSMEQHARFGGVVPEIASRAHLESMGPVMRAALAESGVDKPDVVAATVGPGLAGALLVGASAAKAYAAAWDVPFYGVNHLGGHVAVANLEGEPLPHAVALLVSGGHTQLLEVDGVGAPMKELGSTLDDAAGEAYDKVARLLRLGYPGGPLVDRLAQRGDRKAINFPRGLMRRDDSRHDFSFSGLKTAVARYVEAAERAGEVISVEDVCASFQEAVCDVLTFKAVRACQDVGAKVLLIGGGVAANSRLRQLAEDRCRSAGIELRVPSFRLCTDNGVMVAALAAQRVAAGAEPSSLGVGTDSSLEVEVPQL--</t>
  </si>
  <si>
    <t>MP---------------------SKVVLGVESSCDETGVGIVRVT-YGDGEEPRLEILADQVASSMEQHARFGGVVPEIASRAHLESMGPVMRAALAESGVDKPDVVAATVGPGLAGALLVGASAAKAYAAAWDVPFYGVNHLGGHVAVANLEGEPLPHAVALLVSGGHTQLLEVDGVGAPMKELGSTLDDAAGEAYDKVARLLRLGYPGGPLVDRLAQRGDRKAINFPRGLMRRDDSRHDFSFSGLKTAVARYVEAAERAGEVISVEDVCASFQEAVCDVLTFKAVRACQDVGAKVLLIGGGVAANSRLRQLAEDRCRSAGIELRVPSFRLCTDNGVMVAALAAQRVAAEAEPSSLGVGTDSSLEVEVPQL--</t>
  </si>
  <si>
    <t>GC_00000933</t>
  </si>
  <si>
    <t>K00989</t>
  </si>
  <si>
    <t>ribonuclease PH [EC:2.7.7.56]</t>
  </si>
  <si>
    <t>COG0689</t>
  </si>
  <si>
    <t>Ribonuclease PH (Rph) (PDB:1UDO)</t>
  </si>
  <si>
    <t>Enzymes&gt;&gt;&gt;2. Transferases&gt;&gt;&gt;2.7  Transferring phosphorus-containing groups&gt;&gt;&gt;2.7.7  Nucleotidyltransferases&gt;&gt;&gt;2.7.7.56  tRNA nucleotidyltransferase|Transfer RNA biogenesis&gt;&gt;&gt;Prokaryotic type&gt;&gt;&gt;3'processing and CCA adding factors&gt;&gt;&gt;3'processing factors</t>
  </si>
  <si>
    <t>MTDFQRADGRAVDELRPIRITRNFTSNPAGSVLVEFGNTRVMCTASVEERIPRFKLGSGEGWLTAEYSMLPAATHERMPRESMKGKVKGRTHEISRLVGRSLRAAVDLSELGENTIAIDCDVLQADGGTRTASITGAYVALADAIAELKRRGVVPGNPLLDPVAAVSVGVIDGRVCLDLPYEEDSRAEVDLNVVMNAAGSFVEVQGTGEAGTFDRAQLDAMLDSATAGCMQLIELQRKALAEAL---------------------</t>
  </si>
  <si>
    <t>MTSFKRADGRAQDEMRPIRITRGFTNNPAGSVLVEFGNTRVMCTASVEERIPRFKYGSGEGWLTAEYSMLPAATHERMPRESMKGKVKGRTHEISRLVGRSLRAAIDLRELGENTIAIDCDVLQADGGTRTASITGAYVALADAIAELKRRGVVTGNPLLPPVAAVSVGLIDGHVCLDLPYEEDSRADVDMNVIMTESGEFVEIQGTGEHSTFTREQLNQLLDAAEKGCREIIAAQKAALEGELGGS-----GGVAGDGVAGGGA</t>
  </si>
  <si>
    <t>MTSFKRADGRAQDEMRPIRITRGFTNNPAGSVLVEFGNTRVMCTASVEERIPRFKYGSGEGWLTAEYSMLPAATHERMPRESMKGKVKGRTHEISRLVGRSLRAAIDLRELGENTIAIDCDVLQADGGTRTASITGAYVALADAIAELKRRGVVTGNPLLPPVAAVSVGLIDGHVCLDLPYEEDSRADVDMNVIMTESGEFVEIQGTGEHSTFTREQLNQLLDAAEKGCREIIAAQKAALEGELGGSGGAAGGGVAGDGVAGGGA</t>
  </si>
  <si>
    <t>MTSFTRADGRAPDQLRPIRITRGFTTNPAGSVLIEYGNTRVMCTASAEQGVPRFKKDSGEGWLTAEYAMLPAATHERMPRESMRGKVKGRTHEISRLVGRSLRAAIDLTLLGENTINIDCDVLQADGGTRTASITGAYIALADAIAHLTAQGVVPGNPLLPPIAAVSVGIIDGHVCLDLPYEEDSRADVDLNVIMTQEGKFVEIQGTAEHNTFSRDELNAMLDYAEKGCKELIEAQLASLGK-----------------------</t>
  </si>
  <si>
    <t>MTSFTRADGRAPDQLRPIRITRGFTTNPAGSVLIEYGNTRVMCTASAEQGVPRFKKDSGEGWLTAEYAMLPAATHERMPRESMRGKVKGRTHEISRLVGRSLRAAIDLTLLGENTINIDCDVLQADGGTRTASITGAYIALADAIAYLTAQGVVPGNPLLPPIAAVSVGIIDGHVCLDLPYEEDSRADVDLNVIMTQEGKFVEIQGTAEHNTFSRDELNAMLDYAEKGCKELIEAQLASLGK-----------------------</t>
  </si>
  <si>
    <t>GC_00000934</t>
  </si>
  <si>
    <t>PF00676.26</t>
  </si>
  <si>
    <t>Dehydrogenase E1 component</t>
  </si>
  <si>
    <t>K01616</t>
  </si>
  <si>
    <t>multifunctional 2-oxoglutarate metabolism enzyme [EC:2.2.1.5 4.1.1.71 1.2.4.2 2.3.1.61]</t>
  </si>
  <si>
    <t>COG0508|COG0567</t>
  </si>
  <si>
    <t>Pyruvate/2-oxoglutarate dehydrogenase complex, dihydrolipoamide acyltransferase (E2) component (AceF) (PDB:1B5S)|2-oxoglutarate dehydrogenase complex, dehydrogenase (E1) component, and related enzymes (SucA) (PDB:2JGD)</t>
  </si>
  <si>
    <t>Pyruvate oxidation|TCA cycle</t>
  </si>
  <si>
    <t>ko00001|ko00001|ko00001|ko01000|ko01000|ko01000|ko01000</t>
  </si>
  <si>
    <t>KEGG Orthology (KO)&gt;&gt;&gt;09100 Metabolism&gt;&gt;&gt;09101 Carbohydrate metabolism&gt;&gt;&gt;00020 Citrate cycle (TCA cycle) [PATH:ko00020]|KEGG Orthology (KO)&gt;&gt;&gt;09100 Metabolism&gt;&gt;&gt;09101 Carbohydrate metabolism&gt;&gt;&gt;00630 Glyoxylate and dicarboxylate metabolism [PATH:ko00630]|KEGG Orthology (KO)&gt;&gt;&gt;09100 Metabolism&gt;&gt;&gt;09108 Metabolism of cofactors and vitamins&gt;&gt;&gt;00785 Lipoic acid metabolism [PATH:ko00785]|Enzymes&gt;&gt;&gt;1. Oxidoreductases&gt;&gt;&gt;1.2  Acting on the aldehyde or oxo group of donors&gt;&gt;&gt;1.2.4  With a disulfide as acceptor&gt;&gt;&gt;1.2.4.2  oxoglutarate dehydrogenase (succinyl-transferring)|Enzymes&gt;&gt;&gt;2. Transferases&gt;&gt;&gt;2.2  Transferring aldehyde or ketonic groups&gt;&gt;&gt;2.2.1  Transketolases and transaldolases&gt;&gt;&gt;2.2.1.5  2-hydroxy-3-oxoadipate synthase|Enzymes&gt;&gt;&gt;2. Transferases&gt;&gt;&gt;2.3  Acyltransferases&gt;&gt;&gt;2.3.1  Transferring groups other than aminoacyl groups&gt;&gt;&gt;2.3.1.61  dihydrolipoyllysine-residue succinyltransferase|Enzymes&gt;&gt;&gt;4. Lyases&gt;&gt;&gt;4.1  Carbon-carbon lyases&gt;&gt;&gt;4.1.1  Carboxy-lyases&gt;&gt;&gt;4.1.1.71  2-oxoglutarate decarboxylase</t>
  </si>
  <si>
    <t>MSSANSFGQNQWLVDEMFQQFQKDPQSVDQEWRDFFAANGNPTSGDAPE--------------PATAQGQDTKDTSDAATKAAHPAP----AKKVRQPGPASAAANSEAAAAAAKKAAASPMNAGG--DLPESGATEMKGIAKAIAKNMDLSLEVPTATSVRDMPARLMFENRAIINDHLRRTRGGKISFTHIIGYAMVKAVMAHPDMNNAYELRDGKPFLVVPEHINLGLAIDLPQKDGSRALVVAAIRECESLSFSEFVEAYEDIVNRGRAGKLTGKDFSGVTISLTNPGGIGTRHSVPRLTKGQGAIIGVGSMDYPAEFQGASEDRLAELGVGKLVTITSTYDHRIIQGAESGEFLRTMSRLLVDDHFWDHVFDVMGVPYSPMRWAQDLPNTSVDKNTRVMQLIEAYRSRGHLLADINPLHWVQPGMPIPDHRDLNIESHGLTLWDLDRTFNVGGFDGRETMTLREVLAKLRTAYTLKVGSEYTHILDRDERTWLQDQIEAGQPKPTPAEQKYILQKLNAAEAFENFLQTKYVGQKRFSLEGAESLIPLMDAAIDTAAGQGLDEVVIGMPHRGRLNVLANIVGKPLHTLFNEFEGNIDPAQAGGSGDVKYHLGAEGTHLQMFGDGEIKITLTANPSHLEAVNPVMEGIVRAKQDILDLGPDGYTVVPILLHGDAAFAGLGIVPETINLAQLRGYTVGGTIHIVVNNQIGFTTTPDSSRSSHYATDIAKAFGCPIFHVNGDDPEAVVWVGRLATEYRRRFGKDVFIDLVCYRRRGHNEADDPSMTQPQMYDIIDNRETTRTKYTEDLVGRGDLSNEDAEAVARDFHDQMESVFNEVKLAEKQKAKAQEGITSAQELPHGLDTSVTREELVEIGQSYVNLPEGFTAHPRVAPVAKKRAESVREGGIDWGWGELLAFGTLANSGKLVRLAGEDSRRGTFTQRHAVMIDPNTAAEFNPIDELARSKGE-GKFLVYNSALTEYAGMGFEYGYSVGNPDAVVAWEAQFGDFANGAQTIIDEYVCSGEAKWGQTSGVILLLPHGYEGMGPDHSSARIERYLQLCAEGSMTVAQPSTPANHFHLLRRHALGDLKRPLVVFTPKSMLRLKDAASPVEDFTEVKKFQSVINDPRLVDREGNVIGDADKVTTIMLVSGKLYYELEKRRKKLGREDVAIVRIEMLHPIPYNRLKEAFDCYPNATEIRFCQDEPANQGPWPFLGLHLPELIPGMLPMKRISRRAQSSTATGVAKVHAFEQEQLLQAAFED</t>
  </si>
  <si>
    <t>MSSASTFGQNQWLVDEMFQQFQEDPQSVDPEWRELFETQGAPNGATPPAAPAKPTPTLPPASTPAAAASTATAATQPPAPRAAAETPKARAERRAKSTGPDSLAA--EKKAAAERKKAASPFTHANSKEMPPAGSTEMKGIAKAIAKNMDISLEMPTATSVRDMPAKLMFENRSMVNEQLKRTRGGKISFTHIIGYAMVKAVMAHPDMNNMYQVVDGKPTLVVPEHINLGLAIDLPQKDGSRALVVAAIRECETLSFSEFVEAYEDIVNRGRQGKLTGKDFSGVTITLTNPGGIGTRHSVPRLTKGQGAIIGVGSMDYPAEFAGASEDRLAELGVGKLVTITSTYDHRIIQGAESGEFLRTMSRLLVDDAFWDHIFECMNVPYTPMRWAQDLPNTGVDKNTRVMQLIEAYRSRGHLIADINPLHYHQSGMPVPDHRDLDISTHGLSIWDLDRTFHVGGFANRETMTLRDVLSTLRRAYTLKVGSEYTHILDRDERTWLQDHLEAGMDKPTPAQQKYILQKLNAAEAFENFLQTKYVGQKRFSLEGAESLIPLMDSVIDTAAGQGLDEVVIGMPHRGRLNVLANIVGKPLHVLFNEFEGNMDPAQAGGSGDVKYHLGAEGQHIQMFGDGEIKISLTANPSHLEAVNPVMEGIVRAKQDMLDKGHDGYTVVPLLLHGDAAFAGLGIVPETINLAQLRGYTVGGTIHIVVNNQIGFTTTPDSGRSSHYATDLAKAYGCPVFHVNGDDPEAVVWVGKLATEYRRRFGKDVFIDLVCYRRRGHNEADDPSMTQPQMYHVIDDKEGTRAQYTEDLLGRGDLSASDAEAVARDFHDQMETVFNEVRLAGKPKATAQEGIAMSQALPHGLDTSITREELAAIGQSYADLPEGFTIHPRVATVAEKRAESARDGGIDWGWGELIAFGSLALEGKVVRLAGEDSRRGTFTQRHAVLINPSNAEEYNPLDVLARSQGP-GKFLVYNSALTEYAGMGFEYGYSVGNPDAVVAWEAQFGDFANGAQTIIDEYVSSGEAKWGQTSDVILLLPHGYEGMGPDHSSARIERYLQLCAEGSMTVAQPSTPANYFHLLRRHALGNLKRPLVVFTPKSMLRLKAASSSVDEFTDVKKFRSVINDPRLVDRDNNVIGDVNKVKKILLVSGKLYYELEKRRAKDNRDDIAIVRIEMLHPIPFNRLKEAFDFYPNAEEIRFCQDEPANQGPWPFLGLHLPELIPGLLPMKRVSRRAQSSTSTGVAKVHQFEQDQLIDAAFAD</t>
  </si>
  <si>
    <t>MSSASTFGQNQWLVDEMFQQFQEDPQSVDPEWRELFETQGAPNGATPPAAPAKPTPTLPPASTPAAAASTATAATQPPALRAAAETPKARAERRAKSTGPDSLAA--EKKAAAERKKAASPFTHANSKEMPPAGSTEMKGIAKAIAKNMDISLEMPTATSVRDMPAKLMFENRSMVNEQLKRTRGGKISFTHIIGYAMVKAVMAHPDMNNMYQVVDGKPTLVVPEHINLGLAIDLPQKDGSRALVVAAIRECETLSFSEFVEAYEDIVNRGRQGKLTGKDFSGVTITLTNPGGIGTRHSVPRLTKGQGAIIGVGSMDYPAEFAGASEDRLAELGVGKLVTITSTYDHRIIQGAESGEFLRTMSRLLVDDAFWDHIFECMNVPYTPMRWAQDLPNTGVDKNTRVMQLIEAYRSRGHLIADINPLHYHQSGMPVPDHRDLDISTHGLSIWDLDRTFHVGGFANRETMTLRDVLSTLRRAYTLKVGSEYTHILDRDERTWLQDHLEAGMDKPTPAQQKYILQKLNAAEAFENFLQTKYVGQKRFSLEGAESLIPLMDSVIDTAAGQGLDEVVIGMPHRGRLNVLANIVGKPLHVLFNEFEGNMDPAQAGGSGDVKYHLGAEGQHIQMFGDGEIKISLTANPSHLEAVNPVMEGIVRAKQDILDKGHDGYTVVPLLLHGDAAFAGLGIVPETINLAQLRGYTVGGTIHIVVNNQIGFTTTPDSGRSSHYATDLAKAYGCPVFHVNGDDPEAVVWVGKLATEYRRRFGKDVFIDLVCYRRRGHNEADDPSMTQPQMYHVIDDKEGTRAQYTEDLLGRGDLSASDAEAVARDFHDQMETVFNEVRLAGKPKATAQEGIAMSQALPHGLDTSITREELAAIGQSYADLPEGFTIHPRVATVAEKRAESARDGGIDWGWGELIAFGSLALEGKVVRLAGEDSRRGTFTQRHAVLINPSNAEEYNPLDVLARSQGP-GKFLVYNSALTEYAGMGFEYGYSVGNPDAVVAWEAQFGDFANGAQTIIDEYVSSGEAKWGQTSDVILLLPHGYEGMGPDHSSARIERYLQLCAEGSMTVAQPSTPANYFHLLRRHALGNLKRPLVVFTPKSMLRLKAASSSVDEFTDVKKFRSVINDPRLVDRDNNVIGDVNKVKKILLVSGKLYYELEKRRAKDNRDDIAIVRIEMLHPIPFNRLKEAFDFYPNAEEIRFCQDEPANQGPWPFLGLHLPELIPGLLPMKRVSRRAQSSTSTGVAKVHQFEQDQLIDAAFAD</t>
  </si>
  <si>
    <t>MSNASTFGQNQWLVDEMFQQFQRDPQSVDPEWRELFETTGTPSKPTTSN--TNPFKQQQPPVTPRQTQAQQTANQPSLASSVQQLDPKEVATKADHLHIDEANKE--EKREEEAKKLQQSPLGRVA--KLPSPGEKTLKGVYKAIAKNMDESLEIPTATSVRDMPVKLMFENRAIINEHMQRTHGGKVSFTHIIGYALVKALMAHPDLNNHYDVINGKPTVITPEHINLGLAIDLPQKDGTRALVVAAIKECETLDFKTFVEKYEDIVRRSRKNQLTLDDFAGVTVSLTNPGGIGTRHSVPRLTKGQGTIIGVGAMDYPAEFAGASQDRLAELGVGKLVTITSTYDHRIIQGAESGEFLRTLSQLFVDDAFWDELFADMHIPYTPMRWSQDLPNTGLDKNTRVMQLIQAYRSRGHLIADVNPLHWVQPGMPVPEHSDLNIESHGLTIWDLDRRFHVGGFVGRETMTLREVLTKLRNAYTHKVGSEYTHILDRDERTWLQNRLEDGMPKPTPAEQKFIMQQLNSAEAFETFLQTKYVGQKRFSLEGAESLIPLMDSAIDTAAGQGLDEVVIGMPHRGRLNVLFNIVAKPLATIFNEFEGHIEPKAAGGSGDVKYHLGSEGTHLQMFGDGEIKVTLTANPSHLEAVNPVMEGIARAKQDMLDKGKSGYTVMPLLLHGDAAFAGLGIVPETINLAQLRGYTVGGTVHIVVNNQIGFTTTPDSGRSSHYATDLAKAFGCPVFHVNGDDPEAVVWVGKLATEYRRRFGKDVFIDMIAYRRRGHNEADDPSMTQPKMYELIDGRKTVREQYTEDLLGRGDLTKEDAEKIARDFHDQMESVFNEIKNSEKKAFTQQEGITGAQEIPHGLKTNITREELEEIGQAYATPPEGFTFHPRVAPVAKKRLESVTQGGIDWGWGELIAFSSLANQGKLVRLAGEDSRRGTFTQRHAVVYDPHTGEEFNSLNELAEAHGNGGKLLVYNSALTEYAGMGFEYGYSVGNQDAVVAWEAQFGDFANGAQTIIDEYVASGETKWGQKSSLILLLPHGYEGQGPDHSSARIERYLQMCAEGSMTVAQPTTPANYFHLLRRHALGNLKRPLVVFTPKSMLRMKTATSSVAEFTEVTKFQSVMNDPRFVDHKGTVVGDPDKVKTIMLVSGKLYYELAKRAEKDHRDDVAIIRLEMLYPLPFNRLREAFAVYPNATEIRFCQDEPANQGPWTFVNEHLPNFIPDLLPLKRVSRRAQASTATGLSKVHAVEQAVLLDEAFAQ</t>
  </si>
  <si>
    <t>MSNASTFGQNQWLVDEMFQQFQRDPQSVDPEWRELFETTGTPSKPTTSN--TNPFKQQQPPVTPRQTQAQQTANQPSLASSVQQLDPKEVATKADHLHIDEANKE--EKREEEAKKLQQSPLGRVA--KLPSPGEKTLKGVYKAIAKNMDESLEIPTATSVRDMPVKLMFENRAIINEHMQRTHGGKVSFTHIIGYALVKALMAHPDLNNHYDVINGKPTVITPEHINLGLAIDLPQKDGTRALVVAAIKECETLDFKTFVEKYEDIVRRSRKNQLTLDDFAGVTVSLTNPGGIGTRHSVPRLTKGQGTIIGVGAMDYPAEFAGASQDRLAELGVGKLVTITSTYDHRIIQGAESGEFLRTLSQLFVDDAFWDELFADMHIPYTPMRWSQDLPNTGLDKNTRVMQLIQAYRSRGHLIADVNPLHWVQPGMPVPEHSDLNIESHGLTIWDLDRRFHVGGFVGRETMTLREVLTKLRNAYTHKVGSEYTHILDRDERTWLQNRLEDGMPKPTPAEQKFIMQQLNSAEAFETFLQTKYVGQKRFSLEGAESLIPLMDSAIDTAAGQGLDEVVIGMPHRGRLNVLFNIVAKPLATIFNEFEGHIEPKAAGGSGDVKYHLGSEGTHLQMFGDGEIKVTLTANPSHLEAVNPVMEGIARAKQDMLDKGKSGYTVMPLLLHGDAAFAGLGIVPETINLAQLRGYTVGGTVHIVVNNQIGFTTTPDSGRSSHYATDLAKAFGCPVFHVNGDDPEAVVWVGKLATEYRRRFGKDVFIDMIAYRRRGHNEADDPSMTQPKMYELIDGRKTVREQYTEDLLGRGDLTKEDAEKIARDFHDQMESVFNEIKNSEKKAFTQQEGITAAQEIPHGLKTNITREELQEIGQAYATPPEGFTFHPRVAPVAKKRLESVTQGGIDWGWGELIAFSSLANQGKLVRLAGEDSRRGTFTQRHAVVYDSHTGEEFNSLNELAEAHGNGGKLLVYNSALTEYAGMGFEYGYSVGNQDAVVAWEAQFGDFANGAQTIIDEYVASGETKWGQKSSLILLLPHGYEGQGPDHSSARIERYLQMCAEGSMTVAQPTTPANYFHLLRRHALGNLKRPLVVFTPKSMLRMKTATSSVAEFTEVTKFQSVMNDPRFVDHKGTVVGDPNKVKTIMLVSGKLYYELAKRAEKDHRDDVAIIRLEMLYPLPFNRLREAFAVYPNATEIRFCQDEPANQGPWTFVNEHLPNFIPDLLPLKRVSRRAQASTATGLSKVHAVEQAVLLDEAFAQ</t>
  </si>
  <si>
    <t>GC_00000935</t>
  </si>
  <si>
    <t>PF12897.13</t>
  </si>
  <si>
    <t>Aspartate amino-transferase</t>
  </si>
  <si>
    <t>K|E</t>
  </si>
  <si>
    <t>Transcription|Amino acid transport and metabolism</t>
  </si>
  <si>
    <t>COG1167</t>
  </si>
  <si>
    <t>DNA-binding transcriptional regulator, MocR family, contains an aminotransferase domain (ARO8) (PDB:2R2N)</t>
  </si>
  <si>
    <t>MSASLTSMNPEELAQFTAEIKAKYEEFKAQNLSLDLTRGKPSSEQLDFSDDLLALPGKGNFTASDGTDCRNYGGLTGIKDIREIYAELMNCDINNVYCGDASSLNIEFDLISFAYMFGTPDSPRPWKDEASIKWICPVPGYDRHHTITEHFGFEMVTVPMLEDGPDMDAVRELVKDPTVKGMWNVPTFGNPTGVSYSEDVCRQLAEMDTAAPDFRMLWDNAYAVHTLTDEFPPVHDVLAMSEAAGNPNRFWAFTSTSKITFAGSGVSFLISSKGNLDWYAKHANVRGIGPNKINQLAHAKFFGDAEGVRAIMRKHAGSLAPKFNRVLDILDERLGGRDVATWTKPEGGYFISLDVVDGTASRVVELAKEAGIALTGAGSTFPLKQDPNDRNIRLAPSLPPVEELEIAMDGVATCVLLAAAEKLAN-</t>
  </si>
  <si>
    <t>--MALQDFEAQELAQFAEDISQAYEDLKARNLALDLTRGKPSSEQLDFSDELLGLPGSGNFQSADGTDCRNYGGLAGVKDIREIYAELLGIPVDQVYAGDASSLNIMFDLIMASYIWGTNDSPRPWKDEPVVKWLCPVPGYDRHFTITEHFGFEMLPVPMLDDGPDMDVVRDLVKDPAVKGMWTVPIFGNPTGVTFSEKVCRELAEMETAAPDFRIVWDNAYAVHTFTDEFPVVHNVIEFAKEAGHPNRFWFMTS</t>
  </si>
  <si>
    <t>--MALQDFEAQELAQFAEDISQAYEDLKARNLALDLTRGKPSSEQLDFSDELLGLPGSGNFRSADGTDCRNYGGLAGVKDIREIYAELLGIPVDQVYAGDASSLNIMFDLIMASYIWGTNDSPRPWKDEPVVKWLCPVPGYDRHFTITEHFGFEMLPVPMLDDGPDMDVVRDLVKDPAVKGMWTVPIFGNPTGVTFSEKVCRELVEMETAAPDFRIVWDNAYAVHTLTDEFPVVHNVIEFAKEAGHPNRFWFMTS</t>
  </si>
  <si>
    <t>--MTLRDYDAERLAAFTKDINAKYDELKARNLTLDLTRGKPSAEQLDFSNAILALPGVDDYRAADGTDCRNYGGLTGIKDIRAIWAEALGLPVDNVIAGDASSLNIMFDLISFAFMFGTNDSERPWRDEPKVKWLCPVPGYDRHFSITELFGFEMLHVPMTDDGPDMAVVKELVKDPAVKGMWTVPIFGNPTGVTFSEATCKELAAMDTAAPDFRIIWDNAYAIHTLTDEFPVVYNVLELSAAAGHPNRFWFMSS</t>
  </si>
  <si>
    <t>--MTLRDYDAERLAAFTKDINAKYDELKARNLTLDLTRGKPSAEQLDFSNAILALPGVDDYHAADGTDCRNYGGLTGIKDIRALWAEALGLPVDNVIAGDASSLNIMFDLISFAFMFGTNDSERPWRDEPKVKWLCPVPGYDRHFSITELFGFEMLHVPMTDDGPDMAVVKELVKDPAVKGMWTVPIFGNPTGVTFSEATCKELAAMDTAAPDFRIIWDNAYAIHTLTDEFPVVYNVLELSAAAGHPNRFWFMSS</t>
  </si>
  <si>
    <t>GC_00000936</t>
  </si>
  <si>
    <t>PF02527.21</t>
  </si>
  <si>
    <t>rRNA small subunit methyltransferase G</t>
  </si>
  <si>
    <t>K03501</t>
  </si>
  <si>
    <t>16S rRNA (guanine527-N7)-methyltransferase [EC:2.1.1.170]</t>
  </si>
  <si>
    <t>COG0357</t>
  </si>
  <si>
    <t>16S rRNA G527 N7-methylase RsmG (former glucose-inhibited division protein B) (RsmG) (PDB:1XDZ) (PUBMED:15375115;22031445)</t>
  </si>
  <si>
    <t>ko01000|ko03009|ko03036</t>
  </si>
  <si>
    <t>Enzymes&gt;&gt;&gt;2. Transferases&gt;&gt;&gt;2.1  Transferring one-carbon groups&gt;&gt;&gt;2.1.1  Methyltransferases&gt;&gt;&gt;2.1.1.170  16S rRNA (guanine527-N7)-methyltransferase|Ribosome biogenesis&gt;&gt;&gt;Prokaryotic type&gt;&gt;&gt;rRNA modification factors&gt;&gt;&gt;16S rRNA modification factors|Chromosome and associated proteins&gt;&gt;&gt;Prokaryotic type&gt;&gt;&gt;Chromosome partitioning proteins&gt;&gt;&gt;Other chromosome partitioning proteins</t>
  </si>
  <si>
    <t>MKPSHTSDTPTVAARVFGDNLDKSVRYHDLLATTGSVRGFIGPREVPRLWDRHVLNCAIIGEAMPQDASVADIGSGAGLPGIPLALARPDLSITLIEPLLKRSTFLLEVVEELQLDNVTVVRGRAEEKAIKAEVGTVDVVTSRAVAPLGKLAQWSLPLVTRGGVMIAMKGSSVSEELERDAKIIKKAGGGPAEIQLVGVGIVEEPTHLIRIPRVR</t>
  </si>
  <si>
    <t>MKPSHTSDTPTVAARVFGDNLDKSVRYHDLLAATGSVRGFIGPREVPRLWDRHVLNCAIIGEAMPQDASVADIGSGAGLPGIPLALARPDLSITLIEPLLKRSTFLLEVVEELQLDNVTVVRGRAEEKAIKAEVGTVDVVTSRAVAPLGKLAQWSLPLVTRGGVMIAMKGSSVSEELERDAKIIKKAGGGPAEIQLVGVGIVEEPTHLIRIPRVR</t>
  </si>
  <si>
    <t>GC_00000937</t>
  </si>
  <si>
    <t>c-arg</t>
  </si>
  <si>
    <t>MTSNHHAPYVQGFTHATMVGTTRCEPVRVSESLKAGLSSDWGLQLDPMKSESLVIADQQRCGEYVPGPCTHRPSSHESW</t>
  </si>
  <si>
    <t>GC_00000938</t>
  </si>
  <si>
    <t>c-mat2</t>
  </si>
  <si>
    <t>MAFHPYPQLIPSVFNLSGFAPPQSLTSASHWPWVDHPASGPEHATHTLIRIRFRYGSPHSWLTTQHATDSQAHSSKGTPPPHPKKRGGYDGLSAHGFRYSFTPLPGYFSPFPHGTYSTIGHAKYLGLPGGPGKFTTDSTSPPLLRKHNNPASECFRVPDSHRLWQAIPHHFH</t>
  </si>
  <si>
    <t>GC_00000939</t>
  </si>
  <si>
    <t>MWDREDNQEVGLEAAILERVRNSSLVEWFCADNVVGLKYTAEAAXLXXLCVGG</t>
  </si>
  <si>
    <t>GC_00000940</t>
  </si>
  <si>
    <t>PF01844.29</t>
  </si>
  <si>
    <t>HNH endonuclease</t>
  </si>
  <si>
    <t>---------------------------------METVLSRLTQLAPLGAVLLAEVKSSSLTIGELAAQLDVAKREVSMLRAIAKVFDAEELAQATKLRLSVSKLRLISRTDKQLANPDINRRDFRLDLMKTAVDCTVDELAEHIKSLIGELNAGYNRRRKWYLRCSELADADNMRHIIMKLPSHVATRIMNSLEPQGRQWVQEGQAVDKSEGLAKALTDRVLHGIDVTTLEQVETTENPNNPRDLRQRPCFLVPI</t>
  </si>
  <si>
    <t>PF02720.22</t>
  </si>
  <si>
    <t>Domain of unknown function (DUF222)</t>
  </si>
  <si>
    <t>MTKNLPKISKLGPRQQNPENNLSFLVAGCTFNGMSSLIDAYARLAPRASELLLTIKEIGINKIELAARLDVSSATASLMISVSKAFTPEELGQG--VGLSFEKFRIIATSGKKIANPDINREQFRNDLIEAAHELSVDELKEHIVDKLAALNKGYNRARKWHLRYAATADPDGMSHMLMKMPAEQAEQLRTSLTPEARTLVQQGAAVDEAEGHAKALIRRVLHGYDLTKLEHVEDWEDPNNPRDLRQRPCIIIPDWEHTAHIDGTVVDTNGVVIPIKDLVDRRIAKYGFAVTVYNDANGVMRPHDVLPIKRLADADDRFISILSHLVCQHPDCRVPAVRCEIHHIQSFASGGPTTPENLCPLCRVHNLLNDDKPDEIRHGRVFNDPKTGLTWYEMPDGRIRRNRARSNERGLSAYCARM--CKEALTELHRPGWMPPRPPRE</t>
  </si>
  <si>
    <t>-------------------------MAGCTFNGMSSLIDAYARLAPRASELLLTIKEIGINKIELATRLDVSSATASLMISVSKAFTPEELGQG--VGLSFEKFRIIATSGKKIANPDINREQFRNDLIEAAHELSVDELKEHIVDKLAALNKGYNRARKWHLRYAATADPDGMSHMLMKMPAEQAEQLRTSLTPEARTLVQQGAAVDEAEGHAKALIRRVLHGYDLTKLEHVEDWEDPNNPRDLRQRPCIIIPD</t>
  </si>
  <si>
    <t>GC_00000941</t>
  </si>
  <si>
    <t>PF17844.6</t>
  </si>
  <si>
    <t>Bacterial SCP ortholog</t>
  </si>
  <si>
    <t>MLETNLMAPTPDPHELRDALQAVYPWLIDASQAT-PPRPAIAHAVRLSVTYLSHLAPGHAVEVRVPPFAATQCIAGPRHTRGTPPNVVETDPATWLRLVTGLDTITDNPAVTSSGTRAGEVADWLPLVRL</t>
  </si>
  <si>
    <t>MLKTNLMAPTPDPHELRDALQTVHPWLIDASQAT-PPRPAIAHAVRLSVTYLSHLAPGHAVEVRVPPFAATQCIAGPRHTRGTPPNVVETDPATWLRLVTGLDTITDNPAVTSSGTRAGEVADWLPLVRL</t>
  </si>
  <si>
    <t>GC_00000942</t>
  </si>
  <si>
    <t>PF02665.19</t>
  </si>
  <si>
    <t>Nitrate reductase gamma subunit</t>
  </si>
  <si>
    <t>K00374</t>
  </si>
  <si>
    <t>nitrate reductase gamma subunit [EC:1.7.5.1 1.7.99.-]</t>
  </si>
  <si>
    <t>COG2181</t>
  </si>
  <si>
    <t>Nitrate reductase gamma subunit (NarI) (PDB:1Y5L)</t>
  </si>
  <si>
    <t>M00530|M00529</t>
  </si>
  <si>
    <t>Dissimilatory nitrate reduction, nitrate =&gt; ammonia|Denitrification, nitrate =&gt; nitrogen</t>
  </si>
  <si>
    <t>Pathway modules; Energy metabolism; Nitrogen metabolism|Pathway modules; Energy metabolism; Nitrogen metabolism</t>
  </si>
  <si>
    <t>ko00001|ko00001|ko01000|ko02000</t>
  </si>
  <si>
    <t>KEGG Orthology (KO)&gt;&gt;&gt;09100 Metabolism&gt;&gt;&gt;09102 Energy metabolism&gt;&gt;&gt;00910 Nitrogen metabolism [PATH:ko00910]|KEGG Orthology (KO)&gt;&gt;&gt;09130 Environmental Information Processing&gt;&gt;&gt;09132 Signal transduction&gt;&gt;&gt;02020 Two-component system [PATH:ko02020]|Enzymes&gt;&gt;&gt;1. Oxidoreductases&gt;&gt;&gt;1.7  Acting on other nitrogenous compounds as donors&gt;&gt;&gt;1.7.5  With a quinone or similar compound as acceptor&gt;&gt;&gt;1.7.5.1  nitrate reductase (quinone)|Transporters&gt;&gt;&gt;Other transporters&gt;&gt;&gt;Transmembrane electron carriers [TC:5]</t>
  </si>
  <si>
    <t>MSHIEMFLWVAFPWLSIVAFVIGVFWRWRTDQFGWTTHSSQIYESRLLRLSSPLFHWGMMFVIIGHIMGLAIPKAFTRAVGVSDHAYHLIATIPGTIADIAVVLGLIGLIYRRVVHRSVFLSTSSSDKVMYVLLAAAIATGSIATVSLQVFGGAHGYDYRETISPWLRQLFILNPNPELMADVPWQFKLHIIAGFTLLAVWPFTRLVHAFSAPVGYVTRPYVVYRSRDITTTPARHNPAWEPIRSNKKQLDNEARWSGA</t>
  </si>
  <si>
    <t>MSSLQIFLWVAFPWLAVVACVVGVVWRWRTDQFGWTTHSSQIYESKLLRLSSPLFHYGMLFVFVGHLMGLAFPKEFTRAVGLDDHTYHLVATIPGTIAGIAAVLGLIGLIYRRFVNRTVRMHTSRSDKVMYLLLTLAIMSGFIATVSTQVFGGPHGYDYRETISPWLRELFILNPMPELMEEVPWQFKLHVFSGFLLLAVWPATRLVHALSAPVGYVTRPYVVYRSRDIRTQPTRQHTAWEPVRTNKHQPAEEARWSGA</t>
  </si>
  <si>
    <t>GC_00000943</t>
  </si>
  <si>
    <t>MNAPAQWHIAVDFGTSNSAAAHTAPMTGAVETLPLSHRSNLIPSAVFVQADGAIHCGDSAISLGRRDPSRLVPAPKRYIGHDQVQVAGQDVPLNALIGAVLYGVLERGRAQHSGENPTTVTLTHPESWSVHNVDMLLSAAATVGLSKDTIRTISEPRAAAIHYAAQQHIPAGSHVAVFDFGGGTLDIAVLRAEQNGDFSVVAAKGDNTLGGRTIDNVLYRWVLDQVEHNDPDTADELKSAEVSVMHSLDQSIREAKEMLSDTSSATITVSTPRGEHDFLITRDEFNTLIDKVVGRAVELTQAALSQAGVDKSTPIYMTGGSSRIPYVQNRLGEVGTVMTLDDPKTVVARGALAATMMGFTEGSGQVTATKSQQPNNPFGVGPGTVGAAQAASQGQQGAGQ---AAQGAQGAGQAAQGAQGAGQGQQNTGTDQNPPQRHRASAAGNRAATALSGISNRKKALFGAAAVAVLL-LGFMTYQFFWGTTMVTKVNTTAADSMIPLTERYDTASQFLPEKTLQAMQDCEGKANEYSDDLTVNTVYDCSLLTSAMSDAPKVGSSTPSTIYWIPGDDAKQARDELESGKANKSSK--TTSKERLQKSFRNTPEVGYALTETGSGFVYAYYPRQKFTLYFEATYDATPDQVKELTKYLGWTS</t>
  </si>
  <si>
    <t>MNNP--WHLAIDFGTSNSAAAHTAPLTAAVETLPLSHRSNLVPSAVYVNDDGSVLYGEAALSQGRRNPSRMVVSPKRYIGHELVQLAGKDVPLKDLMAALFRGVLEKGCAQHAGQTPASITITHPESWSVHNVDTLLGAATSIGVPKDVLRTITEPRAAAMHYAAKQKIPPGSHVAVFDFGGGTLDIAVLRAEPTGDFRVIAAKGDNSLGGRTIDNLLYRWVIDQVEKDDPDLADELHSSQVSIMHSLDESIREAKEMLSDTSSATITVSTPHGEQDFLITRDEFNEVISGVVDRAVELTQSALQQAGVDRRTPIYMTGGSSRIPYVQNRLGEVAVVMTLDDPKTVVARGALEATMLGFTEGTGNIVVPKPTRPDNPFGEGPGTLSSVTASAAAAPNLTTQFPTQPDPSGREVATQGAQ--------------------TLAATSTATPSKSKKGSKKKLVIAVVAVVALLGVSAVAYRMLGTKSTVTQVNTTAKDSDIPLLERYSTANQFLPAKLLNVMQRCGGKADEYNDHLTV-PVYQCGL--SNDDDAPKMDDSKPSYIYWVPGDQSETAHTELQSGKVLRADDDSTIHTSQLQESSSSKPEVGLAFPKTGSGFVYMYYPKDKFTLYFEAYGQPSKTEITEYLKYLGVMS</t>
  </si>
  <si>
    <t>MNNP--WHLAIDFGTSNSAAAHTAPLTAAVETLPLSHRSNLVPSAVYVNDDGSVLYGEAALSQGRRNPSRMVVSPKRYIGHELVQLAGKDVPLKDLMAALFRGVLEKGCAQHAGQTPASITITHPESWSVHNVDTLLGAATSIGVPKDVLRTITEPRAAAMHYAAKQKIPPGSHVAVFDFGGGTLDIAVLRAEPTGDFRVIAAKGDNSLGGRTIDNLLYRWVIDQVEKDDPDLADELHSSQVSIMHSLDESIREAKEMLSDTSSATITVSTPHGEQDFLITRDEFNEVISGVVDRAVELTQSALQQAGVDRRTPIYMTGGSSRIPYVQNRLGEVAVVMTLDDPKTVVARGALEATMLGFTEGTGNIVVPKPTRPDNPFGEGPGTLSSVTASATAAPNLTTQFPTQPDPSGREVATQGAQ--------------------TLAATSTATPSKSKKGGKKKLVIAVVAVVALLGVSAVAYRMLGTKSTVTQVNTTAKDSDIPLLERYSTANQFLPAKLLNVMQRCGGKADEYNDHLTV-PVYQCGL--SNDDDAPKMDDSKPSYIYWVPGDQSETAHTELQSGKVLRADDDSTIHTSQLQESSSSKPEVGLAFPKTGSGFVYMYYPKDKFTLYFEAYGQPSKTEITEYLKYLGVMS</t>
  </si>
  <si>
    <t>GC_00000944</t>
  </si>
  <si>
    <t>PF03167.25</t>
  </si>
  <si>
    <t>Uracil DNA glycosylase superfamily</t>
  </si>
  <si>
    <t>K03648</t>
  </si>
  <si>
    <t>uracil-DNA glycosylase [EC:3.2.2.27]</t>
  </si>
  <si>
    <t>COG0692</t>
  </si>
  <si>
    <t>Uracil-DNA glycosylase (Ung) (PDB:1AKZ) (PUBMED:16237021)</t>
  </si>
  <si>
    <t>KEGG Orthology (KO)&gt;&gt;&gt;09120 Genetic Information Processing&gt;&gt;&gt;09124 Replication and repair&gt;&gt;&gt;03410 Base excision repair [PATH:ko03410]|Enzymes&gt;&gt;&gt;3. Hydrolases&gt;&gt;&gt;3.2  Glycosylases&gt;&gt;&gt;3.2.2  Hydrolysing N-glycosyl compounds&gt;&gt;&gt;3.2.2.27  uracil-DNA glycosylase|DNA repair and recombination proteins&gt;&gt;&gt;Eukaryotic type&gt;&gt;&gt;SSBR (single strand breaks repair)&gt;&gt;&gt;BER (base exicision repair)&gt;&gt;&gt;DNA glycosylases|DNA repair and recombination proteins&gt;&gt;&gt;Prokaryotic type&gt;&gt;&gt;SSBR (single strand breaks repair)&gt;&gt;&gt;BER (base exicision repair)&gt;&gt;&gt;DNA glycosylases</t>
  </si>
  <si>
    <t>MTNQFNQQEDLFSSAHQPLTTNGDYFSTLNIDDSWRQVLAPIAPDINAMGDFLAAEQAAGYTIAPPEEDRWRAFRYPFDKVTVLIVGQDPYPTPGHAMGLSFSLRPEVKPLAKSLVNIFAELQSDLGVDRPRNGDLSAWSDQGVMLLNRVLSVRAQTGGAGSHRKKGWEKITDHVITSLVNRGTPLVAILWGKDAQSLSPLLSGHPNVKQIKSVHPSPLSASRGFFGSRPFTTANYYLGKLGAPQVNWAL</t>
  </si>
  <si>
    <t>GC_00000945</t>
  </si>
  <si>
    <t>MNLPSLLPLHAFESPALLFAGQASPWQEALR--GAED---PRLLSLLNAAERRVAAYARERASAVPGADARLKDLIT--NPDASLSVDVDTLPAVSVPGIVLSQVAAVLHLQDAGLDVSKAALIGHSQGSLGVAAAEAIAADTSGKAVEENTALVDVVAFALLMGTAATLRAQELGTHAGDSWMLSVRNVPREAVEGAIAQVKDTELALRNGHTHFVIAGAPAALRQVESLIEQAAEKHNAELDDKRSGGTRVEPLFNELKVSAPFHFTAMQPGADRAAEWASALGL-TVSAQALAEDILVKHHDWPAELSALTTSTEITHVLNTEPGHGLARITAKLLDGRGITLVAAGTAADRDKLVTPGTTIPQEDTWERFAPKLVELPDGSVKVVTAFSRLTGYSPILLAGMTPTTVDPDIVAAAANAGFWAELAGGGQYSEEVFTKNRDGLVAQLQPGRAAQFNSMFFDRYMWNLQFGAQRIVSRARAAGTSINGVTVSAGIPELEEAKELIQSLHEDGFPYISFKPGTVEQIRSVLEIAKDNPDAMIIMQVEDGHAGGHHSWVNLDDLLLATYGEIRLQPNVVLCVGGGIGTPEKAAEYLTGSWATQYHAPAMPVDGILVGTAAMTAKEAKTSPQVKKLLKDTPGVDPNDRGGWVGRGESRGGVTSGLSHLHADMYEVDNASAACSRLISSIEPSDEAVAARRDEIIAALNKTAKPYFGDLEEMTYAEWLQRFVDLAYPWTDPTWPDRFFDLLHRVEARLSDVDHGPVVTLFPTLEDAEDGPAAVEKLLSEYPQARELKVGARDAAWFIGLCRKHHKPMPWVPAIDADLARWWGLDTLWQSQDERYSADAVRVIPGPVSVAGIDRIDEPVADLLGRFEQACTDTLSANSTPAK-VFARLGEVADGEELLRTAPHIVWHGHLIDNPAYALAPEAVDIIAPTDPTSDVWTIRVLADSVWDDLDPGAKKPYVVTQVDIPVALSGATATGASPVVDHDALPDAVYGLLAAVAGVGSTSAAGDSIDSLPTVEPKEGTTFGVVRDSFTLPATLLTQHTAVSGAGIPLGDLDGEALNAGTADALVGPCWPAIYAALGSAYLPDGYPVIEGLLNAVHLDHCVELLVPLEELANSRTIQVEAQTSPLEESASGRIVTVNLTLTSEGEVVARLVERFAIRGRVTSTQAPSLAPNWGGVDVEIVDTPRHFLRRAVVTAPADMTPFAMVSGDYNPIHTSTNAARLVGLEAPLVHGMWLSATAQHLATAGKRPSRLISWTYSMFGMVQLNDAVDITVERIGRSARGAISAVEVTCRVDGNVVSRGQALLAPPTTAYVYPGQGIQSPGMASGDRSASAAARAVWERADSHTRNELGFSIVQIVDENPTVLRVGETVFRHPKGVLYLTQFTQVALAVVAYGQTERLREAGTIVPGSLYAGHSLGEYTALASLANIFDLEAVIDIVFSRGSAMHSLVERDAAGRSNYRLGALRPNMFGLSDAEVVNYVADIAERTGEFLEIVNFNVAGQQYAVAGTVAGLKALAADAQERGGKRAYVEIPGIDVPFHSRVLRPGVPAFAAKLDSLLPEELDVDALVDRYVPNLVARPFELTRDFAEAILDVVPSEPLKKL-LDSGEFERQATGSPAKLARVLMIELLSWQFASPVRWIETQDLLINEAKVEHIVEVGLASAPTLANLAARTLDLAENAGASVRVFNVERDADAVNLADPKSAPVVEEAAPEAEETPAEAVPAEAPAEPAPAAE---AAPAPAPAAPTGGS-PAGELPFTAADAIMFLFAVQNKVRLDQIAGSDTTETLTNGVSSRRNQLLMDMSTELGVPTIDGAAEADVDTLKARVATAAPGYRAFGPVLSEVVRGRLRTLTGQASQKPAYIRDRVTGAWGLPESWAVHVEAELVLGTRDGESVRGGDAGTLPSDNPSSKAALDALIDAAVTNVAAAHGVSVSLGSGDAAGGGGV-VDSAALDAYADTVTGPEGVLAATARTILDQLGHLTPEPAEPETSDTALIDAVEAELDPQWFKMVTPTFDEQRAVLFDDRWASAREDLARLANGADIAVQ--RFAGTGEVVAKQAAWWAGQTSDKKLAQTLTSVSEIATQEPTEPWVEDVALVTGAAPGSIAGALVEKLLAGGATVIMTASNVNDARKEYARTLYANNASAHAKLWLVPANMSSFRDVDSLVEWIGTEQKVTVGKDVKVTKPALTPTLVFPFAAPRVSGSLADAGPAAENQARLLLWSVERTIAGVADLASRGVGSRVHVVLPGSPNRGTFGGDGAYGEVKAAFDAILAKWTAESVWPDYVSLAQARIGWVAGTNLMGGNDPLVPLVQKHGIHVYTPDEISEELLGLCTPSARTEAAEAPLDADFTGGLADANVSLPELAASLDLTSDSAEAEEKPVTINALPSPAAPKQAGGIDLGKVTTPLEDMVVIVGLGEVSSWGSGRTRTLAEYGIQRDGDVDLTAAGVLELAWMTGLVNWSDDPTPGWYDASGEAVAEEDIYDRFRDEVVARAGIRRFVDDYTLVDEGSIDVATVYLDRDISFTVATEEEAQDYVDADPATTSISPTEDGEWLVHKKRGAQARIPRKATLSRVVGGQLPTDFNPANWGIPGTMIEGLDRIAVWNLVTAVDAFLSAGFTPAELLRIVHPADVASTQGTGIGGMESLHKVFVTRFLGEERPSDILQEALPNVVAAHVMQSLVGGYGSMIHPVGACATAAVSLEEGVDKIKLGKADFVVTGGIDDISVESLTGFGDMNATAESAALAAKGINERFYSRANDRRRAGFVEAEGGGTVLLARGDVAAKLGLPVYAVVAHAQSYADGIHTSIPAPGLGALAAGRGGTNSALARSLNGLGLTPDDVRVVSKHDTSTNANDPNESELHSLLWNALGRDAGNPLFVVSQKTLTGHAKGGAALFQTAGLCHILATGNLPQNASLDCVDPAIEPLAKPLVWLRAPLSLGAGAVKAGVLTSLGFGHVSAVVVLAHPGVFEAALDASGYSADEWRASANARLAAGARRLEEGMVGHVELFSVIDGRRFPAVGAHEAEIALLLDPNARLGEDGIYPSA--</t>
  </si>
  <si>
    <t>MNLS---PLHAITNVGVLLGGQASAWQKNLAAFGTDSYIRTQLENLIDAAQLKIAPVVREVSQIVPGGLTRLRQIIAAESADDIKPEEIDAEPAVSVPGILLGEIAAVTQLGQLGFTPEKYTAYGHSQGVLGVECLTELP----GDNWADDEKLVNYVAFAFLLGAAAS--QATFG------RMMSVQGVPVELLPIAPGVI--------NSPIRAVYSGDSAELAAVKRAVTAAVDKYNATIDTHERGGEHVDVTFADLGVKAAFHHEHNREAVAQAVEWSEKCGLNAVDAQRLGDYILVDPYEWKVG--------EHDYLLTLD--KALGQITSEQTDA---IILDGSTPAKRDDLATPGTELPKLINFDDFAPRVIELPTGERKVQTAFSRLTGLSPIILAGMTPTTVDADIVAAAANAGHWAEMAGGGQYSEEVFNFNNDNLQAQLEPGRSAQFNSMFFDRYMWNLQFGQQRIVSKARAAGSAINGVTISAGIPELEEANQLIADLHADGYPYIAFKPGTVAQIRSVLEIADANPETDIIVQIEDGHAGGHHSWVDLDDLLLATYKELRQRPNVVIVAGGGIGTPDKAAQYISGDWSLKHGRKRMPIDGILVGTAAMATKEAKTTDEVKQALVNTPGINE----GWVGRLKSDGGMTSGQSHLLADLYEIDNDFARASRLITSLDP--DTYADHASEIIEAINKTAKPYFGDVELMTYAQWVERFVELAYPFTDPTWDDRFFDLLHRVEARLNPVDHGEVETLFPEIADIADAPAAVDKLLAAYPQARDITVQPSDAAWFITLNRKHHKPMPWVPIIDGDLKRWFGLDSLWQAHDDRYPARAVRVIPGPISVGGITQVDEPVADLLGRFEAACVDKIATETGEVEPAFSRLADTP-AETILKS-RTISWHGHLIDNPAYHLPETAFDLIEEDD---NQFILRINADSTWEHL-PEDSRPYHVKHVDIPLELPESVATGASPVVSHDRLPDAVFALLAGVAGVGSVSAAGDTITGLPEVDNH-----GDVHDSFHLPAKLPRTHAGVAG-GNP-AEI--------TPDVLVGPCWPAIYTALGTGKLADGYPVIEGLLNAVHLDHVIDLKADLAELADGRRIDVTSRCASIAESASGRIVTVELELYSDGEQVATMMERFAIRGRQSGTNTPVPAPAYGGVTGEIVDTPRSFVDRAVVTAPADMTPFATVTGDYNPIHTSYNASQLVGLPAPLVHGMWLSATAQQVAG---RHGAVQSWTYSMYGMVQLNDEVEITVERVGRI--GLQPALEITCRIGGEVVSRGQAILAEPVIAYVYPGQGIQAKGMGQGDRQACPAARGAWERADKHTRKSLGFSIIDVIDNNPTKLVVGDTTFRHPKGVLNLTQFTQVALAVVAYGQTERLRVAGALSSQNMYAGHSLGEYTALASLANIFDLEAVIDIVYSRGSAMHSLVPRDEQGRSNYGLGALRPNMIGVAAEDVNDYVQRVAEESGEYLEIVNYNIAGQQYAVAGTLAGLAALKDATNH---PKAFVMIPGIDVPFHSAVLRPGVPAFAEKLDELLPQEIDKDALVGKYVPNLVARPFELTQDFIDAILAVVPSTRLAKWDLDNAD--------ENSLVRTLMIELLSWQFASPVRWIETQELLINN--VDEIVEIGLAASPTLTNLALRSMDV---LGVHVPVFNVERDQDVVMLNDVAQPPVFEE--PEEESAAEETAPAAPAAPVAPATDAPAAAPTTAPAAPAAAAGPAPELNFTAADAINVLFAFQNKIRVDQIAGSDTTEILTGGVSSRRNQLLMDLSAELGVAAIDGAADAEITVLHQRVNIAAPTYKPYGPVLTDALTATLRQLFGSAGVKPSYVGERVTGPWALPQSWVPWVEAEVLLGTREGESVRGGALGELP-NKVANKSEADALIDEAIQAVARREGVSVSLGS--AGGGAGVAVDSAALDEFAEKIIGYHGILAENARTILAELGHL-PDPEVQNLDDDDVFVALDAELGTGWLQDVQPVFDERRAVLFNDRWAIAREELARVALG-EITAEPGRFAGLGDVIAGQARWWAERQPEQ--AEVLERIAAEAAGEAEEPYRNDVAIVTGASPDSIASSIVEKLLAGGATVIMTASRVDQARKEFARIMFAKHASVSASLWLVPANLSSFRDTDALVAWAGTEQKASVGGTTQVTKPALIPTLLFPFAAPKVYGLLTDAGPAQENQTRLLLWSLQRLIAGAAALQE---DSTVHVVLPGSPNRGTFGGDGAYGEVKAALDAVVNKWKVEKGWPEKVTLAHAHIGWVAGTNLMGGNDALVPIAEAEGIHVYHPNEIADELLTLVTRQSRIHAKVAPLDADFTGGLADAKISLPELAARLERASESTDEEDKPATIKALPTPVWHEQPAAIDTNDITQDLDDMVVIVGVGEVSSWGSGRTRYEAEFGINRDGSVDLTAAGVLELAWMMGLLTWKEDPAPAWYDADNQAVAEEDIYDRFRDEVIARAGIRELTDKYFLTGQGSIDVATVFLDREIEFVVDSEAEARDYVAADEEGTRIYRNEDGEWVVRKLKGAIARVPRKATLTRTVAGQMPDGFDPARWGIPPAMLDGLDRIAVWNLVTAVDAFLTAGFSPAELLQAVHPGDVSSTQGTGIGGMESLHKVFVTRFLGEARPSDILQEALPNVVAAHVMQSYVGGYGQMIHPVAACATAAVSVEEGVDKIRLGKSDVVIAGGIDDVQVESLTGFGDMNATAETAAMHAKGIDSRFISRANDQRRGGFLEAEGGGTVILARGSVAKKLGLPVYAVVAHAQSYADGAHTSIPAPGLGALGAGRGGKDSRLVKSLRSLGLTPDDVRVVSKHDTSTNANDPNESQLHTVLWQHLGRDVTNPMFVISQKSLTGHAKGGAALFQIGGLIDVFKNGKLPQNASLDCVDKAIEPKAKSLVWLRKPLEI--GEVKAGVLTSLGFGHVAAVVVLAHPGVFAKV------AGEEWRERATKRLRDGQRAFETGMLNRGELYVQPQDRRLPKQRTEAAEIQVILDDDIRLGEDGFFPPAAN</t>
  </si>
  <si>
    <t>MNLS---PLHAITNVGVLLGGQASAWQKNLAAFGTDSYIRTQLENLIDAAQLKIAPVVREVSQIVPGGLTRLRQIIAAESADDIKPEEIDAEPAVSVPGILLGEIAAVTQLGQLGFTPEKYTAYGHSQGILGVECLTELP----GDNWVDDEKLVNYVAFAFLLGAAAS--QATFG------RMMSVQGVPVELLPIAPGVI--------NSPIRAVYSGDSAELAAVKRAVTAAVDKYNATIDTHERGGEHVDVTFADLGVKAAFHHEHNREAVAQAVEWSEKCGLNAVDAQRLGDYILVDPYEWKVG--------EHDYLLTLD--KALGQITCEQTDA---IILDGSTPAKRDDLATPGTELPKLINFDDFAPRVIELPTGERKVQTAFSRLTGLSPIILAGMTPTTVDADIVAAAANAGHWAEMAGGGQYSEEVFNFNNDNLQAQLEPGRSAQFNSMFFDRYMWNLQFGQQRIVSKARAAGSAINGVTISAGIPELEEANQLIADLHADGYPYIAFKPGTVAQIRSVLEIADANPETDIIVQIEDGHAGGHHSWVDLDDLLLATYKELRQRPNVVIVAGGGIGTPDKAAQYISGDWSLKHGRKRMPIDGILVGTAAMATKEAKTTDEVKQALVNTPGINE----GWVGRLKSDGGMTSGQSHLLADLYEIDNDFARASRLITSLDP--DTYADHASEIIEAINKTAKPYFGDVELMTYAQWVERFVELAYPFTDPTWDDRFFDLLHRVEARLNPVDHGEVETLFPEIADIADAPAAVDKLLAAYPQARDITVQPSDAAWFITLNRKHHKPMPWVPIIDGDLKRWFGLDSLWQAHDDRYPARAVRVIPGPISVGGITQVDEPVADLLGRFEAACVDKIATETGEVEPAFSRLADTP-AETILKS-RTISWHGHLIDNPAYHLPETAFDLIEEDD---NQFILRINADSTWEHL-PEDSRPYHVKHVDIPLELPESVATGASPVVSHDRLPDAVFALLAGVAGVGSVSAAGDTITGLPEVDNR-----GDVHDSFHLPAKLPRTHAGVAG-GNP-AEI--------TPDVLVGPCWPAIYTALGTGKLADGYPVIEGLLNAVHLDHVIDLKADLAELADGRRIDVTSRCASIAESASGRIVTVELELYSDGEQVATMMERFAIRGRQSGTNTPVPAPAYGGVTGEIVDTPRSFVDRAVVTAPADMTPFATVTGDYNPIHTSYNASQLVGLPAPLVHGMWLSATAQQVAG---RHGAVQSWTYSMYGMVQLNDEVEITVERVGRI--GLQPALEITCRIGGEVVSRGQAILAEPVIAYVYPGQGIQAKGMGQGDRQACPAAREAWERADKHTRKSLGFSIIDVIDNNPTKLVVGDTTFRHPKGVLNLTQFTQVALAVVAYGQTERLRVAGALSSQNMYAGHSLGEYTALASLANIFDLEAVIDIVYSRGSAMHSLVPRDEQGRSNYGLGALRPNMIGVAAEDVNDYVQRVAEESGEYLEIVNYNIAGQQYAVAGTLAGLAALKDATNH---PKAFVMIPGIDVPFHSAVLRPGVPAFAEKLDELLPQEIDKDALVGKYVPNLVARPFELTQDFIDAILAVVPSTRLAKWDLDNAD--------ENSLVRTLMIELLSWQFASPVRWIETQELLINN--VDEIVEIGLAASPTLTNLALRSMDV---LGVHVPVFNVERDQDVVMLNDVAQPPVFEE--PEEEPAAEETAPAAPAAPVAPATDAPAAAPTTAPAAPAAAAGPAPELNFTAADAINVLFAFQNKIRVDQIAGSDTTEILTGGVSSRRNQLLMDLSAELGVAAIDGAADAEITVLHQRVNIAAPTYKPYGPVLTDALTATLRQLFGSAGVKPSYVGERVTGPWALPQSWVPWVEAEVLLGTREGESVRGGALGELP-NKVANKSEADALIDEAIQAVARREGVSVSLGS--AGGGAGVAVDSAALDEFAEKIIGYHGILAENARTILAELGHL-PDPEVQNLDDDDVFVALDAELGTGWLQDVQPVFDERRAVLFNDRWAIAREELARVALG-EITAEPGRFAGLGDVIAGQARWWAERQPEQ--AEVLERIAAEAAGEAEEPYRNDVAIVTGASPDSIASSIVEKLLAGGATVIMTASRVDQARKEFARIMFAKHASVSASLWLVPANLSSFRDTDALVAWAGTEQKASVGGTTQVTKPALIPTLLFPFAAPKVYGLLTDAGPAQENQTRLLLWSLQRLIAGAAALQE---DSTVHVVLPGSPNRGTFGGDGAYGEVKAALDAVVNKWKVEKGWPEKVTLAHAHIGWVAGTNLMGGNDALVPIAEAEGIHVYHPNEIADELLTLVTRQSRIHAKVAPLDADFTGGLADAKISLPELAARLERASESTDEEDKPATIKALPTPVWHEQPAAIDTNDITQDLDDMVVIVGVGEVSSWGSGRTRYEAEFGINRDGSVDLTAAGVLELAWMMGLLTWKEDPAPAWYDADNQAVAEEDIYDRFRDEVIARAGIRELTDKYFLTGQGSIDVATVFLDREIEFVVDSEAEARDYVAADEEGTRIYRNEDGEWVVRKLKGAIARVPRKATLTRTVAGQMPDGFDPARWGIPPAMLDGLDRIAVWNLVTAVDAFLTAGFSPAELLQAVHPGDVSSTQGTGIGGMESLHKVFVTRFLGEARPSDILQEALPNVVAAHVMQSYVGGYGQMIHPVAACATAAVSVEEGVDKIRLGKSDVVIAGGIDDVQVESLTGFGDMNATAETAAMHAKGIDSRFISRANDQRRGGFLEAEGGGTVILARGSVAKELGLPVYAVVAHAQSYADGAHTSIPAPGLGALGAGRGGKDSRLVKSLRSLGLTPDDVRVVSKHDTSTNANDPNESQLHTVLWQHLGRDVTNPMFVISQKSLTGHAKGGAALFQIGGLIDVFKNGKLPQNASLDCVDKAIEPKAKSLVWLRKPLEI--GEVKAGVLTSLGFGHVAAVVVLAHPGVFAKV------AGEEWRERATKRLRDGQRAFETGMLNRGELYVQPQDRRLPKQRTEAAEIQVILDDNIRLGEDGFFPPAAD</t>
  </si>
  <si>
    <t>GC_00000946</t>
  </si>
  <si>
    <t>PF02576.22</t>
  </si>
  <si>
    <t>RimP N-terminal domain</t>
  </si>
  <si>
    <t>K09748</t>
  </si>
  <si>
    <t>ribosome maturation factor RimP</t>
  </si>
  <si>
    <t>COG0779</t>
  </si>
  <si>
    <t>Ribosome maturation factor RimP (RimP) (PDB:1IB8)</t>
  </si>
  <si>
    <t>-------------------------------MDVEEIKINRAGSKTVVAVALDSDNRPDLDTLEVVSGEISEAFDGAEEAGVIAFGGQGYTLEVSTPGVDHPLTLPRHWRRNRGRLVTWDDSGTKRTSRIGALNDAETEVVLISREGKNMCVDVRKVAEIGQAVVEIEFATVPADEKAVADEDFNTAAERREEHK-</t>
  </si>
  <si>
    <t>MRCHCTSMAAMAFPTSEILFPLVQPVADQYGMDIEYIKISRAGKKSVVAIAVDADNRPDSDVLEAITQEISELFDEQETAGVLNF-GPGYTLEVSTPGVSTPLTKPRHWRRNRGRLVTLVDDGKKRQVRIGALNDDETSVITIERVGKKFVVAPIQLADYPSVVVEVEFATPTDNELELVASNYDDAVIFQHGERI</t>
  </si>
  <si>
    <t>GC_00000947</t>
  </si>
  <si>
    <t>K05846</t>
  </si>
  <si>
    <t>osmoprotectant transport system permease protein</t>
  </si>
  <si>
    <t>COG1174</t>
  </si>
  <si>
    <t>ABC-type proline/glycine betaine transport system, permease component (OpuBB)</t>
  </si>
  <si>
    <t>KEGG Orthology (KO)&gt;&gt;&gt;09130 Environmental Information Processing&gt;&gt;&gt;09131 Membrane transport&gt;&gt;&gt;02010 ABC transporters [PATH:ko02010]|Transporters&gt;&gt;&gt;ABC transporters, prokaryotic type&gt;&gt;&gt;Mineral and organic ion transporters&gt;&gt;&gt;Osmoprotectant transporter</t>
  </si>
  <si>
    <t>MTTTTTSDRPDSRRWLGLLAQPTLVLLAIGAVLVWITRADLTETERVTLTIPYLWDLTVQHLKLTVVAAAVVLVIAIPLGIVLTRKPLRWLANPVMMLANLGQAAPAIGLVVLFAFWLGFGFDAAVVALILYAFLPVLKNTMVGLDSVDPALIEAGRGMGMSALSVLFRIELPLAVPIMLAGIRTALVLLVGTATLATFVDGGGLGILITTGVNLALDRVLITGSLLVALLALLVDWVARVCEHTLRPKGQ</t>
  </si>
  <si>
    <t>MQTTKSNW------WQGLTVQPIVILAILIALIIWLSTAQFTNTELATLTLSNLLNLTVQHLELTAVSIVVVLIIAIPLGILLTRKPLRWLTTPVMSLANLGQAAPAIGLVVLIAFWLGFGFTTAAVALILYAFLPVLKNTMVGLDAVDPKLVEAGRGMGMSAVQVLFQIELPLAVPIMLAGIRTALVLLVGTATLATFVDGGGLGILITTGVNLALNRVLITGSLLVALLALAVDWIARVLEHTLRPKGL</t>
  </si>
  <si>
    <t>GC_00000948</t>
  </si>
  <si>
    <t>PF02421.24</t>
  </si>
  <si>
    <t>Ferrous iron transport protein B</t>
  </si>
  <si>
    <t>K04759</t>
  </si>
  <si>
    <t>ferrous iron transport protein B</t>
  </si>
  <si>
    <t>COG0370</t>
  </si>
  <si>
    <t>Fe2+ transporter FeoB (FeoB) (PDB:3TAH) (PUBMED:32095817)</t>
  </si>
  <si>
    <t>Transporters&gt;&gt;&gt;Other transporters&gt;&gt;&gt;Others</t>
  </si>
  <si>
    <t>-MATKASAPTTCRCESHGKT-APAGSPVIALVGAPNAGKSTLFNGLTGAKARMGNWPGTTVEVSRGAWKVG-ETTYDVIDFPGAYSLDPISPDEKLTRDLVIDCEDKERPDLVLVAVDAASLGRSLYMVSQLAEKPFRTVVVMTKTDVADSFGTTIDAKVLEKALGVRVLEVDPRHRSNLVAVGEAVTEEMRKEPKVLRPVTVPAGADPTVSEFDLADARFAWVEKAVSAATTNNDKRPTSWSERIDKVALHPVF</t>
  </si>
  <si>
    <t>MTTTPAPKATTCHCESHGHAMAPKGAPIVALVGAPNAGKSTLFNSLTGAKARMGNWPGTTVEVSRGAWKQSKDVTYDVIDFPGAYSLDPMSPDEELTRNLVIDAAEQDRPDLVIIAVDASSLSRSLYMVAQLTEQENRLVVVMTKADVAAANGEEIDSKKLSEQLGIPVVSVDPRHRSNVEKIGAIVAEELQKPKKVHR--AVPADA----SEFDLADRRFEWVESAVHASTTIKEASKTTLNEKIDRLALNPIIGPLMFLATMWLVFQITTTVASPLQDALTNFFNGPVTDWTNAFLTAIHFDHPIVTGLLVGGLINGVGRVLSFAPLMALMFLCLAVLEDSGYMARAAVVTDRVMKSIGLPGKAFIPLIVGFGCNVPAISATRVLGKPKQRLLTALLIPFTSCSARLTVYVMLANTFFPDNAGTVVFAMYLISIALVILVGLAMRNTLWRRMGSEPLVIDLPTYQLPGARLAFSVMWIRLKGFLQTAGNIIVATVVVVFVLQSTPLTSGYGFADKELPPQESAYGRMSEAISPVFAPTGFGSWSITGTLVTGFVAKEAVISTWAQTYSLQDPSEEDPEAQGKSDLAQAIRQDFDDTSGGHAIAALWAFMVFLLAYTPCVATLAAQRREIGVKWTLIGIGIQLSTAWLLAVVIFNVLKVWF</t>
  </si>
  <si>
    <t>GC_00000949</t>
  </si>
  <si>
    <t>COG4753</t>
  </si>
  <si>
    <t>Two-component response regulator, YesN/AraC family, consists of REC and AraC-type DNA-binding domains (YesN)</t>
  </si>
  <si>
    <t>MSRQEELNRLINNIASDLEGFMGASVVDVETGMSLASVSRINDFDLDVASAYNSEMVKAKLKTIRALNLQVNLVDMLLTLENQLHLVRLLDSQLFLYVAVSSDNCNLALLRSTVARRVAELG--</t>
  </si>
  <si>
    <t>MSQQDHLNNFLNSLAEDISGFIGASVVDLGTGMSLASVARVANFDLDVAAAYNCEMVKAKRKTIQALGIDSHLQDMLLTLSDQLHLVRVLNNDLFVYVAVQSSQSNLALLRTAVNANIEKYNLV</t>
  </si>
  <si>
    <t>GC_00000950</t>
  </si>
  <si>
    <t>PF01139.22</t>
  </si>
  <si>
    <t>tRNA-splicing ligase RtcB</t>
  </si>
  <si>
    <t>K14415</t>
  </si>
  <si>
    <t>tRNA-splicing ligase RtcB (3'-phosphate/5'-hydroxy nucleic acid ligase) [EC:6.5.1.8]</t>
  </si>
  <si>
    <t>COG1690</t>
  </si>
  <si>
    <t>RNA-splicing ligase RtcB, repairs tRNA damage (RtcB) (PDB:1UC2)</t>
  </si>
  <si>
    <t>Enzymes&gt;&gt;&gt;6. Ligases&gt;&gt;&gt;6.5  Forming phosphoric-ester bonds&gt;&gt;&gt;6.5.1  Ligases that form phosphoric-ester bonds (only sub-subclass identified to date)&gt;&gt;&gt;6.5.1.8  3'-phosphate/5'-hydroxy nucleic acid ligase|Transfer RNA biogenesis&gt;&gt;&gt;Eukaryotic type&gt;&gt;&gt;tRNA spricing factors&gt;&gt;&gt;tRNA splicing ligase complex|Transfer RNA biogenesis&gt;&gt;&gt;Prokaryotic type&gt;&gt;&gt;tRNA spricing factors&gt;&gt;&gt;tRNA splicing ligases</t>
  </si>
  <si>
    <t>MSTNPYGFPITIPGSKAPVRMWSPLYDVDHTTQQQIRNASLLPWVHGVAVMPDVHAGAGVTVGSVIAMHGAVSPAAVGVDIGCGMMAVKTTATLSDLPDNLAGIRAAWENVVPVGFAKHKTHAALLGRDGFMRRDVKKLFSRFTNLRVDVSAKENNAVRQCGTLGSGNHFIELCSDDHGILWLMLHSGSRNIGKEIAERHIYRAKHLEWNSDIPDRNLAVFLHRDQDGTEYKEWADYLHDIYWAQEYALLNRRIMMGSIKAALQNILPQVAFTQEINCHHNYVSEETYDGLDLVITRKGAISAQTGELGIIPGSMGTGSYIVRGLGNTASYCSASHGAGRTMSRGAARQAFTLDDLIEQTRGVECRKDYGVLDEIPGAYKDLSQVLSHEVDLVEIVTKLDTLLCIKG</t>
  </si>
  <si>
    <t>-MHHPFGLPETLPGTHAPARIWAPLVDVDHAAQRQIRAVADLPWTHGVAIMPDVHVGAAVTIGSVIAMRDAVSPAAVGGDIGCGMMAVRTNLTTSDLPNNLAPLRAAWEAAVPVGPNHHTTRAPILKTHGLIRQQLTRHFQRFTDLSVDVSASEQTAIRQCGTLGGGNHFIELCADTTETIWLTLHSGSRNIGKEIAHRHIGRAKTLDWNRHGPNNNLPVILRKDATGAEQTEWADYLHDLTWAQDYAALNRTIM</t>
  </si>
  <si>
    <t>-MHHPFGLPETLPGTHAPARIWAPLVDVDHAAQRQIRAVADLPWTHGVAIMPDVHVGAAVTIGSVIAMRDAVSPAAVGGDIGCGMMAVRTNLTTSDLPNNLAPLRAAWEAAIPVGPNHHTTRAPILKTHGLIRQRLTRHFRRFTDLSVDVSASEQTAIRQCGTLGGGNHFIELCADTTETIWLTLHSGSRNIGKEIAHRHIGRAKTLDWNRHGPNHNLPVILRKDATGAEQTEWADYLHDLTWAQNYAALNRTIM</t>
  </si>
  <si>
    <t>GC_00000951</t>
  </si>
  <si>
    <t>PF13302.13</t>
  </si>
  <si>
    <t>Acetyltransferase (GNAT) domain</t>
  </si>
  <si>
    <t>J|O</t>
  </si>
  <si>
    <t>Translation, ribosomal structure and biogenesis|Posttranslational modification, protein turnover, chaperones</t>
  </si>
  <si>
    <t>K03790</t>
  </si>
  <si>
    <t>[ribosomal protein S5]-alanine N-acetyltransferase [EC:2.3.1.267]</t>
  </si>
  <si>
    <t>COG1670</t>
  </si>
  <si>
    <t>Protein N-acetyltransferase, RimJ/RimL family (RimL) (PDB:1S7F)</t>
  </si>
  <si>
    <t>Enzymes&gt;&gt;&gt;2. Transferases&gt;&gt;&gt;2.3  Acyltransferases&gt;&gt;&gt;2.3.1  Transferring groups other than aminoacyl groups&gt;&gt;&gt;2.3.1.267  [ribosomal protein uS5]-alanine N-acetyltransferase|Ribosome biogenesis&gt;&gt;&gt;Prokaryotic type&gt;&gt;&gt;ribosomal protein modification factors</t>
  </si>
  <si>
    <t>MLDLFGFGRRGRRGNGAPPPMMPRHAIHPGWPESTQSVTVNRSDGAGDMVLRLRPLVRGDFQDWQDMRIADQHILQPVEPTVMGDWEDAHSKRQWWQQLLQLRSAADAGTVVPLAIEVNGRFAGQLTLGAIQHGVGSDCWVGYWVHSALSGQGVATAAVALGVDHALQRVGVHRVVATYLPSNTASGRVLEKNGFRQEGYLHRNLHIDGRWQDHYLVALCDDDYSLSCIERLRHKGQVV--</t>
  </si>
  <si>
    <t>MRYLF---RQPRPATG------PRNPTHPGWMEYTSPLIV------GDHTVQLRPLMKSDGEPWSALRLADADILARVEPTIHTSWAEAHSSARWREFYNNIRRAADDGVLIPFAIDVDGEFCGQVTLGSIQRGSASDCWVGYWVSSHLTGRGIATAACALGVDHAFDRVGVHRVTATYLPENLASRRVLEKTGFREEGYLHKNLHIFGQWRDHYLMAITIDDYVDSCITRLIKTNQARYA</t>
  </si>
  <si>
    <t>MRYLF---RQPRPATG------PRNPTHPGWMEYTSPLIV------GDHTVQLRPLMKSDGEPWSELRLADADILARVEPTIHTSWAEAHSSARWREFYNNIRRAADDGVLIPFAIDVDGEFCGQVTLGSIQRGSASDCWVGYWVSSHLTGRGIATAACALGVDHAFDRVGVHRVTATYLPENLASRRVLEKTGFREEGYLHKNLHIFGQWRDHYLMAITIDDYVDSCITRLIKTNQARYA</t>
  </si>
  <si>
    <t>GC_00000952</t>
  </si>
  <si>
    <t>PF04199.19</t>
  </si>
  <si>
    <t>Putative cyclase</t>
  </si>
  <si>
    <t>COG1878</t>
  </si>
  <si>
    <t>Kynurenine formamidase (PDB:1R61)</t>
  </si>
  <si>
    <t>MSDHELWNIASHLRTNFRYVDLTHAFFPGQPKFSMLEDQVTTRLFTVDEQGFTVDRYEIVGQWGTHVDPPIHFVNDARTLDELPVDEMILPLAVLDLHKEAEEFHNLAVTVDHIKAWEERNGRIPDGAFVALRTDWSKRWETDDLYGIDAEGKRNCPGWSLEALKFLRNERGVVAIGHETTDTDPGASIDAGNFGCELYWLQEDRWQIELLNNLSEVPETGALIVASWPKPKGGTGFPARVFAIVPNNAE</t>
  </si>
  <si>
    <t>MSNHKLWDIATSLRNDYRYVDLTHSFYPGQPKFSMLEDQVTTRLFTVAEQGFEVDRYSIVGQWGTHVDPPIHFVEGARTLDELPVEEMILPLAVLDLHKEAEEFHNLAVTVDHIKDWEARNGRIPEGAFVALRTDWSKRWVTDDLYGIDAEGKRNCPGWSLEALEFLRHERGVVAIGHETTDTDPGSSIDAGSFACELYWLQQDRWQIELLNNLSEVPETGALICATWPKPKDGTGFPARVFAIVPR---</t>
  </si>
  <si>
    <t>GC_00000953</t>
  </si>
  <si>
    <t>PF00311.23</t>
  </si>
  <si>
    <t>Phosphoenolpyruvate carboxylase</t>
  </si>
  <si>
    <t>K01595</t>
  </si>
  <si>
    <t>phosphoenolpyruvate carboxylase [EC:4.1.1.31]</t>
  </si>
  <si>
    <t>COG2352</t>
  </si>
  <si>
    <t>Phosphoenolpyruvate carboxylase (Ppc) (PDB:1FIY)</t>
  </si>
  <si>
    <t>M00168|M00172|M00171|M00170|M00173|M00374|M00346|M00614</t>
  </si>
  <si>
    <t>CAM (Crassulacean acid metabolism), dark|C4-dicarboxylic acid cycle, NADP - malic enzyme type|C4-dicarboxylic acid cycle, NAD - malic enzyme type|C4-dicarboxylic acid cycle, phosphoenolpyruvate carboxykinase type|Reductive citrate cycle (Arnon-Buchanan cycle)|Dicarboxylate-hydroxybutyrate cycle|Formaldehyde assimilation, serine pathway|Anoxygenic photosynthesis in green sulfur bacteria</t>
  </si>
  <si>
    <t>Pathway modules; Energy metabolism; Carbon fixation|Pathway modules; Energy metabolism; Carbon fixation|Pathway modules; Energy metabolism; Carbon fixation|Pathway modules; Energy metabolism; Carbon fixation|Pathway modules; Energy metabolism; Carbon fixation|Pathway modules; Energy metabolism; Carbon fixation|Pathway modules; Energy metabolism; Methane metabolism|Signature modules; Module set; Metabolic capacity</t>
  </si>
  <si>
    <t>KEGG Orthology (KO)&gt;&gt;&gt;09100 Metabolism&gt;&gt;&gt;09101 Carbohydrate metabolism&gt;&gt;&gt;00620 Pyruvate metabolism [PATH:ko00620]|KEGG Orthology (KO)&gt;&gt;&gt;09100 Metabolism&gt;&gt;&gt;09102 Energy metabolism&gt;&gt;&gt;00710 Carbon fixation by Calvin cycle [PATH:ko00710]|KEGG Orthology (KO)&gt;&gt;&gt;09100 Metabolism&gt;&gt;&gt;09102 Energy metabolism&gt;&gt;&gt;00720 Other carbon fixation pathways [PATH:ko00720]|KEGG Orthology (KO)&gt;&gt;&gt;09100 Metabolism&gt;&gt;&gt;09102 Energy metabolism&gt;&gt;&gt;00680 Methane metabolism [PATH:ko00680]|Enzymes&gt;&gt;&gt;4. Lyases&gt;&gt;&gt;4.1  Carbon-carbon lyases&gt;&gt;&gt;4.1.1  Carboxy-lyases&gt;&gt;&gt;4.1.1.31  phosphoenolpyruvate carboxylase</t>
  </si>
  <si>
    <t>MTEQLREDIRHLGRILGEVIEEQEGSETYDLVEQCRKLAFDLDSDTHDFSGFVELFRNIEPAKTIPIIRAFSHFALLANLAEDLNDEAELEARLDAGEPPMDSTLDATWSKLT--EAHIEAADIAEVLDRAQVAPVLTAHPTETRRRTVFDAQKHITELMYRRHDILSRPENARTQAKLADIDRDIRRRITTLWQTALIRVNRPRIEDEVEVGLRYYNLSLLEQIPAINYDVIHELRSRFGADIPDVAVIKPGSWIGGDHDGNPYVTAETLRYATTRAAEVVLKYYARQLHALEHELSLSDRHSEVTVELVELASKGHNDVPSRADEPYRRAVHGIRGRIMATMAQLIGPNSVEGTWFKVHEPYKSPEDFTADLNVIDASLRVANDQLIADDRLARIRAAAASFGFHLYSMDLRQNSDSYEEILTEVFAVAHICDDYSALSEEQKRELLLAELASPRPIIPARGCNFSEATQRELDIIAEAARAIDRFGHRMIPHSIISMATSVSDILEPMILLKEFGIIQADGDHPHGTVDIIPLFETIEDLEAGESILRDLWNVPLYRHYLAQRGNVQEVMLGYSDSNKDGGYFAANWALYDAELNIVQACKDNGVNLRLFHGRGGTVGRGGGPSYDAILAQPQGAVQGSVRITEQGEIISAKYGHPSAARRNLEALVSATLEASLLDVDEL-TDRTRAYAIMRDISRLSQEKYASLMHNDPGFIEYFTTSTPLQEIGALNIGSRPSARKQTTSISDLRAIPWVLAWSQSRVMLPGWFGVGTALKQWI-GDSEDSEERLEELRELSRTWPFFASILDNMAQVMSKADMQLTKLYSTLVGDKEIADRVYNAIAEEYTLTLEMFLKVTEQEHLLAENPALERSVRSRFPYLVPLNIIQLELLRRYRAGDEREVVSNGIRLTMNGLATALRNSG</t>
  </si>
  <si>
    <t>MKNQLKKDIRHLGKLLGKVIAEQEGDEVYRQVEAARALSFDIARGTSDISALVDLFRNNTTRDFLPIARAFNHFALLANLVEDLHDNANYIADREAGLPAPDSTLEATAAKLSAAKAEISPDNITQLLKNAQVAPVLTAHPTETRRRTVFDAQEHITALLVDRHRILNAPENALTKTRLDNIDQQITRWLTTLWQTALIRVARPRIEDEIEVGLRYYKLSLLKAIPDINQTVSQVLADTFDTNT-QTAIIQPGSWIGGDHDGNPYVTASTLEYATSRAAETVLKYYEQELHQLEHELSLSDRLAHVTDELRELAEQGHNNIPARVDEPYRRAVHGIRGRIIATLAALIGDDAVEGTWYTNHAPYQTPDQVLADLAIIDESLRANHDHIIADDRLRRIRTALTTFGFHLYSMDLRQNSESYEDFLTEIFAHAHVHPDYRSLDEAEKVALLTAELTSPRPLIAHDAAPFSEATQRELDLIAAAKQAVDDFGPRMVPHSIISMAQSVSDLLEAMVLLKEFGLIHADGDHPTGTVDVIPLFETIEDLQAGAHIIEQLWAIPLYRNYLKQRGDVQEIMLGYSDSNKDGGYFAANWALYDAELDLVATAQNHNIALRLFHGRGGTVGRGGGPSYDAILAQPEGAVHGAVRITEQGEIISAKYGTPETARRNLEALVAATIEASLLKVEQWQTDPEQAYAIMREISELSQTKYADLVHNDPGFIEYFTSSTPLAEIGDLNIGSRPASRKQTTAISDLRAIPWVLSWSQSRVMLPGWYGMGTALHQWVHAPGENPDDRLARLRELYETWPFFNSVLSNMAQVMSKAEITLAGLYADLVADKEAAHRIYHNIREEFDLTTRMFFAITGVDSLLADNPSLARSVRRRYPYLLPLNVIQLELLRRYREGTDDPLVGHGIRLTMNGLATALRNSG</t>
  </si>
  <si>
    <t>MKNQLKKDIRHLGKLLGKVIAEQEGDEVYRQVEAARALSFDIARGTSDISALVDLFRNNTTRDFLPIARAFNHFALLANLVEDLHDNANYIADREAGLPAPDSTLEATAAKLSAAKAEISPDNITQLLKNAQVAPVLTAHPTETRRRTVFDAQEHITALLVDRHRILNAPENALTKTRLDNIDQQITRWLTTLWQTALIRVARPRIEDEIEVGLRYYKLSLLKAIPDINQTVSQVLADTFDTNT-QTAIIQPGSWIGGDHDGNPYVTASTLEYATSRAAETVLKYYEQELHQLEHELSLSDRLAHVTDELRELAEQGHNNIPARVDEPYRRAVHGIRGRIIATLAALIGDDAVEGTWYTNHAPYQTPDQVLADLAIIDESLRANHDHIIADDRLRRIRTALITFGFHLYSMDLRQNSESYEDFLTEIFAHAHVHPDYRSLDEAEKVALLTAELTSPRPLIAHDAAPFSEATQRELDLIAAAKQAVDDFGPRMVPHSIISMAQSVSDLLEAMVLLKEFGLIHADGDHPTGTVDVIPLFETIEDLQAGAHIIEQLWAIPLYRNYLKQRGDVQEIMLGYSDSNKDGGYFAANWALYDAELDLVATAQNHNIALRLFHGRGGTVGRGGGPSYDAILAQPEGAVHGAVRITEQGEIISAKYGTPETARRNLEALVAATIEASLLKVEQWQTDPEQAYAIMREISELSQTKYADLVHNDPGFIEYFTSSTPLAEIGDLNIGSRPASRKQTTAISDLRAIPWVLSWSQSRVMLPGWYGMGTALHQWVHAPGENPDDRLARLRELYETWPFFNSVLSNMAQVMSKAEITLAGLYADLVADKEAAHRIYHNIREEFDLTTRMFFTITGVDSLLADNPSLARSVRRRYPYLLPLNVIQLELLRRYREGTDDPLVGHGIRLTMNGLATALRNSG</t>
  </si>
  <si>
    <t>GC_00000954</t>
  </si>
  <si>
    <t>PF02391.22</t>
  </si>
  <si>
    <t>MoaE protein</t>
  </si>
  <si>
    <t>K03635</t>
  </si>
  <si>
    <t>molybdopterin synthase catalytic subunit [EC:2.8.1.12]</t>
  </si>
  <si>
    <t>COG0314</t>
  </si>
  <si>
    <t>Molybdopterin synthase catalytic subunit MoaE (MoaE) (PDB:1FM0) (PUBMED:32239579)</t>
  </si>
  <si>
    <t>KEGG Orthology (KO)&gt;&gt;&gt;09100 Metabolism&gt;&gt;&gt;09108 Metabolism of cofactors and vitamins&gt;&gt;&gt;00790 Folate biosynthesis [PATH:ko00790]|KEGG Orthology (KO)&gt;&gt;&gt;09120 Genetic Information Processing&gt;&gt;&gt;09123 Folding, sorting and degradation&gt;&gt;&gt;04122 Sulfur relay system [PATH:ko04122]|Enzymes&gt;&gt;&gt;2. Transferases&gt;&gt;&gt;2.8  Transferring sulfur-containing groups&gt;&gt;&gt;2.8.1  Sulfurtransferases&gt;&gt;&gt;2.8.1.12  molybdopterin synthase</t>
  </si>
  <si>
    <t>COG0314|COG0521</t>
  </si>
  <si>
    <t>Molybdopterin synthase catalytic subunit MoaE (MoaE) (PDB:1FM0) (PUBMED:32239579)|Molybdopterin biosynthesis enzyme MoaB/MogA (MoaB) (PDB:1DI6) (PUBMED:32239579)</t>
  </si>
  <si>
    <t>Molybdopterin biosynthesis|Molybdopterin biosynthesis</t>
  </si>
  <si>
    <t>MSINTSPDPDYVAAHTGVVIDAIITETPLEDLAASARPQVGTDAMGAVVTFDGVVRNHDGGQQVRRLTYTAHPTAADAIREAAMKIIRKHERARVWVAHRVGPLAIGDVAFVVIAAAAHRQDAFAAAADLADLVKATVPLWKEQGLTDGSIQWVGVD</t>
  </si>
  <si>
    <t>MSINASPDPDYVAAHTGVVIDAIITETPLEDLAASARPQVSTDAMGAVVTFDGVVRNHDGGQQVRRLTYTAHPTAADAIREAAMKIIRKHERARVWVAHRVGPLAIGDVAFVVIAAAAHRQDAFAAAADLADLVKATVPLWKEQELTDGSIQWVGVD</t>
  </si>
  <si>
    <t>GC_00000955</t>
  </si>
  <si>
    <t>MENLIRVVIADDEALIRAGLATILQASGDIEVIGEASTGEEALTVAQRLQPDVVCMDIRMPGGDGLEATRRIQQLDPAPAVIVITTFDMDEYVFGALEAGACGILLKDSSMTDLVEGVRRAALGEGLVDASLTRRVIAEFTRRKSIFTSSSEVLTPRELDCVAQLCQGMSNNEIAATLFLEPSTVKTHLSSAMAKTGTHNRVQLVIWAFRNGVVE</t>
  </si>
  <si>
    <t>MENLIRVVIADDEALIRAGLATILQASGDIEVIGEASTGEEALTVAQRLQPDVVCMDIRMPGGDGLEATRRIQQLEPAPAVIVITTFDMDEYVFGALEAGACGILLKDSSMTDLVEGVRRAALGEGLVDASLTRRVIAEFTRRKSIFTSSSEVLTPRELDCVAQLCQGMSNNEIATTLFLEPSTVKTHLSSAMAKTGTHNRVQLVIWAFRNGVVE</t>
  </si>
  <si>
    <t>GC_00000956</t>
  </si>
  <si>
    <t>PF00378.25</t>
  </si>
  <si>
    <t>Enoyl-CoA hydratase/isomerase</t>
  </si>
  <si>
    <t>K01661</t>
  </si>
  <si>
    <t>naphthoate synthase [EC:4.1.3.36]</t>
  </si>
  <si>
    <t>COG0447</t>
  </si>
  <si>
    <t>1,4-Dihydroxy-2-naphthoyl-CoA synthase (MenB) (PDB:4ELS)</t>
  </si>
  <si>
    <t>KEGG Orthology (KO)&gt;&gt;&gt;09100 Metabolism&gt;&gt;&gt;09108 Metabolism of cofactors and vitamins&gt;&gt;&gt;00130 Ubiquinone and other terpenoid-quinone biosynthesis [PATH:ko00130]|Enzymes&gt;&gt;&gt;4. Lyases&gt;&gt;&gt;4.1  Carbon-carbon lyases&gt;&gt;&gt;4.1.3  Oxo-acid-lyases&gt;&gt;&gt;4.1.3.36  1,4-dihydroxy-2-naphthoyl-CoA synthase</t>
  </si>
  <si>
    <t>MTYST-------DNPFDPTQWRTVPGFEDLTDITYHRHVGEGRRHGIVRIAFDRPDVRNAFRPHTVDELYRTLDHARRTSDVGCVLITGNGPSTRDGGWAFCSGGDQRIRGRSGYRYADGDTADTVDEAREKVEGGRLHILEVQRLIRTMPKVVIAVVNGWAAGGGHSLHVVCDLTVASRQEARFKQTDADVGSFDAGYGSAYLAKMVGQKYAREIFFLGRTYDAERMQQMGAVNVVADHGEVENEAIQMAMEINGKSPTAQRMLKFAFNLTDDGLMGQQVFAGEATRLAYMTDEAVEGKESFLEKREPDWSPFPYYY</t>
  </si>
  <si>
    <t>MTASTPTTTPASPNPFKPELWNPVPGFEHLTDITYHRHIGTHRRDGIVRIAFNRPEVRNAFRPHTVDELYTVLDHARQTPDVGSILLTGNGPSPKDGGWAFCSGGDQRIRGRSGYRYAHGDTADTVDEARTKAEGGRLHILEVQRLIRTMPKIVIAVVNGWAAGGGHSLHVVCDLTIASRQEARFKQTDADVGSFDAGYGSAYLAKMVGQKFAREIFFLGRTYDAETMHRMGAVNIVADHADLEDEAITMAQEINGKSPTAQRMLKFAFNLTDDGLMGQQVFAGEATRLAYMTDEAVEGKNSFLEKRDPDWSPFPYYY</t>
  </si>
  <si>
    <t>GC_00000957</t>
  </si>
  <si>
    <t>PF02551.21</t>
  </si>
  <si>
    <t>Acyl-CoA thioesterase</t>
  </si>
  <si>
    <t>K10805</t>
  </si>
  <si>
    <t>acyl-CoA thioesterase II [EC:3.1.2.-]</t>
  </si>
  <si>
    <t>COG1946</t>
  </si>
  <si>
    <t>Acyl-CoA thioesterase (TesB) (PDB:1C8U)</t>
  </si>
  <si>
    <t>KEGG Orthology (KO)&gt;&gt;&gt;09100 Metabolism&gt;&gt;&gt;09103 Lipid metabolism&gt;&gt;&gt;01040 Biosynthesis of unsaturated fatty acids [PATH:ko01040]|Lipid biosynthesis proteins&gt;&gt;&gt;Fatty acid synthase&gt;&gt;&gt;Component type</t>
  </si>
  <si>
    <t>---MVPYPLAMAD-----IEFILNVEHIDRDIFRGPVVESNLQRTFGGQVAAQTLVAATKTVGNEYQVHSLHGYFVAPGRSTKPTVFMVDRIRDGRSFCSRQVKAVQDGQAIFVMQASFHRKGDQGISHQDRMRAVPDPESI-VMDTSSMHHTTKALLEEWSEWDIRVVPSDQFQHNPYTPSQQVVWFRSKAKLPDDDTFHVCTLTYMSDMTLLQSALVPHQDAQVQEASLDHALWFLRPFRADDWLLYDQVSPS</t>
  </si>
  <si>
    <t>MTHPADHPAGHQETHQPKIAAILDIEQLDRYIFRGPVIPTTFTRTFGGQVAAQALAAAIRTTTADRSVHSLHAYFVRPGDATTPVIFQIDPIKEGGSFTSRHVTAIQDGIPIFSMQCSFHRRADTGIEHSDDMRAVPNPDDIPPTDTAALPPSSRALLAEWTDWEIRRVPADRYDHNPYTNSQQLVWFKTKNRLPDDETTHLCTLTYMSDMTLLHTALVPHPNHPVQLASLDHAIWFLRPFRADEWLLYDQISPSAHAGRALTHGRVFNQAGDLVASVTQEGLTRDLRTGQQSVPLKNLAPGQQ</t>
  </si>
  <si>
    <t>MTHPTDHPAGHQETHQPKIAAILDIEQLDRYIFRGPVIPTTFIRTFGGQVAAQALAAAIRTTTADRSVHSLHAYFVRPGDATTPVIFQIDPIKEGGSFTSRHVTAIQDGIPIFSMQCSFHRRADTGIEHSDDMRAVPNPDDIPPTDTAALPPSSRALLAEWTDWEIRRVPADRYDHNPYTNSQQLVWFKTKNRLPDDETTHLCTLTYMSDMTLLHTALVPHPNHPVQLASLDHAIWFLRPFRADEWLLYDQISPSAHAGRALTHGRVFNQAGDLVASVTQEGLTRDLRTGQQSVPLKNLAPGQQ</t>
  </si>
  <si>
    <t>GC_00000958</t>
  </si>
  <si>
    <t>PF07729.17</t>
  </si>
  <si>
    <t>FCD domain</t>
  </si>
  <si>
    <t>COG2186</t>
  </si>
  <si>
    <t>DNA-binding transcriptional regulator, FadR family (FadR) (PDB:1E2X)</t>
  </si>
  <si>
    <t>MMKPITLSATQAAIEGIQQYIRDHSLTSGDILPSETELCDELNCSRSSVREAMRTLQSLDVVEVRRGQGTFVAGMTLSPMVQGMVLRATLDPDHTAAHLHEVIATREFLELSVVDELMSAHTKESLDSLNQLASNMRTSFSEYGSFMDEDQQFHAALLSPVSNALMRELAGAMWQVYAQLIDICEIPITVDAERTIKNHESIVRALRNKDSAAYREAVQNHYAPLRAAIAQL--------</t>
  </si>
  <si>
    <t>GC_00000959</t>
  </si>
  <si>
    <t>PF02567.21</t>
  </si>
  <si>
    <t>Phenazine biosynthesis-like protein</t>
  </si>
  <si>
    <t>K06998</t>
  </si>
  <si>
    <t>trans-2,3-dihydro-3-hydroxyanthranilate isomerase [EC:5.3.3.17]</t>
  </si>
  <si>
    <t>COG0384</t>
  </si>
  <si>
    <t>Predicted epimerase YddE/YHI9, PhzF superfamily (YHI9) (PDB:1SDJ) (PUBMED:24914732)</t>
  </si>
  <si>
    <t>M00835</t>
  </si>
  <si>
    <t>Pyocyanine biosynthesis, chorismate =&gt; pyocyanine</t>
  </si>
  <si>
    <t>Pathway modules; Biosynthesis of other secondary metabolites; Biosynthesis of other bacterial compounds</t>
  </si>
  <si>
    <t>KEGG Orthology (KO)&gt;&gt;&gt;09100 Metabolism&gt;&gt;&gt;09110 Biosynthesis of other secondary metabolites&gt;&gt;&gt;00405 Phenazine biosynthesis [PATH:ko00405]|KEGG Orthology (KO)&gt;&gt;&gt;09140 Cellular Processes&gt;&gt;&gt;09145 Cellular community - prokaryotes&gt;&gt;&gt;02024 Quorum sensing [PATH:ko02024]|Enzymes&gt;&gt;&gt;5. Isomerases&gt;&gt;&gt;5.3  Intramolecular oxidoreductases&gt;&gt;&gt;5.3.3  Transposing C=C bonds&gt;&gt;&gt;5.3.3.17  trans-2,3-dihydro-3-hydroxyanthranilate isomerase</t>
  </si>
  <si>
    <t>MRNFSQVDVFGATPIAGNPVAVIHDADGLTDAAMQRIARWTNLSETTFLLAPTQPGADYRLRIFTPNAELSFAGHPTLGSAHAWVG---DSDRTELVQECGAGLVQLRKLDGSWHFAAPPTLRSGPLQSKDLSEHMTALGISR--VLDHQWVDNGPGWAVLQVESADVVRSIRPNFLHSRPLMVGVIGRSFDG----WEIRAFAPRVGVAEDPVTGSLNASVAQWFARTGKAKGSYMVRQGGNVGRNGLVHINIDDATDTVWVGGATRTIVEGTIHV--</t>
  </si>
  <si>
    <t>MRNFSQVDVFGATPIAGNPVAVIHDADGLTDAAMQRIARWTNLSETTFLLAPTQPGADYRLRIFTPNAELSFAGHPTLGSAHAWVG---DSDRTELVQECGAGLVQLRKLDGSWHFAAPPTLRSGPLQSKDLSEHMTALGISR--VLDHQWVDNGPGWAVLQVESADVVRSIRPNFLHSRPLMVGVIGRSFDG----WEIRAFAPRVGVAEDPVTGSLNASVAQWFARTGKAKGSYMVRQGGNVGRNGLVHINIDDATDTVWVGGATRTIVEGSIHV--</t>
  </si>
  <si>
    <t>GC_00000960</t>
  </si>
  <si>
    <t>PF02609.21</t>
  </si>
  <si>
    <t>Exonuclease VII small subunit</t>
  </si>
  <si>
    <t>K03602</t>
  </si>
  <si>
    <t>exodeoxyribonuclease VII small subunit [EC:3.1.11.6]</t>
  </si>
  <si>
    <t>COG1722</t>
  </si>
  <si>
    <t>Exonuclease VII small subunit (XseB) (PDB:1VP7)</t>
  </si>
  <si>
    <t>----------MNENAFPAVETLTYEAALAELIEIVKILELGQMGLDESLKYWERAEALSKRCEEHLAGARQRVETAL--------------------------------GTDNGNDATT-------------------------------</t>
  </si>
  <si>
    <t>MSSTTVFGQGTGDNAFDPVESLNYEQARDELIEIVRILELGQMGLDESLKYWERGEALAKRCEEHLAGAARRVEAALQGTTKTTDSDGNASNAGNTHAETTEAPENASITSDNGTAGTKSAYNAPETAASPKHGSAYGGGYGGAPRHDAL</t>
  </si>
  <si>
    <t>MSSTTVFGQGTGDNAFDPVESLNYEQARDELIEVVRILELGQMGLDESLKYWERGEALAKRCEEHLAGAARRVEAALQGTTKTTDSDGNASNAGNTHAETTEAPENASITSDNGTAGTKSAYNAPETAASPKHGSAYGGGYGGAPRHDAL</t>
  </si>
  <si>
    <t>GC_00000961</t>
  </si>
  <si>
    <t>KEGG Orthology (KO)&gt;&gt;&gt;09100 Metabolism&gt;&gt;&gt;09106 Metabolism of other amino acids&gt;&gt;&gt;00470 D-Amino acid metabolism [PATH:ko00470]|Enzymes&gt;&gt;&gt;5. Isomerases&gt;&gt;&gt;5.1  Racemases and epimerases&gt;&gt;&gt;5.1.1  Acting on amino acids and derivatives&gt;&gt;&gt;5.1.1.1  alanine racemase|Peptidoglycan biosynthesis and degradation proteins&gt;&gt;&gt;Precursor biosynthesis&gt;&gt;&gt;Racemase</t>
  </si>
  <si>
    <t>MVVVNLLETVIDLDAIATNTRILKNLVQPAQLMCVVKADGYNHGAIPVARTVLANGADQLGVATLAEALELREASITAPILCWIWSPEQDFAAALDANIHLAVVSMAHAQAIVKYAAGKPEKLVQTTIKIDTGLHRSGVDESQWEAVFTLLKDAGTATGNIEVTGVMSHLACADEPGNPANDTQAAAFNRAIALGRQLGLELSVNHLSNSPAVLTRPDFYHEMVRPGLAVYGYSPLADGNDYGLQPAMSWVGKVTVVKPIEPGEGTSYNLTWRAAKPGYLAVIPAGYADGLPRRAQNHVEVTIGGHRYPQVGRICMDQFVIDLGDNPHNVRPGDEAIIFGP---GGMSATELASRIQDINYAVICAPTGRTVRRYLGGQHA--</t>
  </si>
  <si>
    <t>MVVVNLLETVIDLDAIATNTRILKNLVQPAQLMCVVKADGYNHGAIPVARTVLANGADQLGVATLAEALELREAGITAPILCWIWSPEQDFAAALDANIHLAVVSMAHAQAIVKYAAGKPEKLVQTTIKIDTGLHRSGVDESQWEAVFTLLKDAGTATGNIEVTGVMSHLACADEPGNPANDTQAAAFNRAIALGRKLGLELPVNHLSNSPAVLTRPDFYHEMVRPGLAVYGYSPLADGNDYGLQPAMSWVGKVTVVKPIEPGEGTSYNLTWRAAKPGYLAVIPAGYADGLPRRAQNHVEVTIGGHRYPQVGRICMDQFVIDLGDNPHNVRPGDEAIIFGP---GGMSATELASRIQDINYAVICAPTGRTVRRYLGGQHA--</t>
  </si>
  <si>
    <t>GC_00000962</t>
  </si>
  <si>
    <t>PF01910.22</t>
  </si>
  <si>
    <t>Thiamine-binding protein</t>
  </si>
  <si>
    <t>COG0011</t>
  </si>
  <si>
    <t>Thiamin-binding stress-response protein YqgV, UPF0045 family (YqgV) (PDB:1LXJ) (PUBMED:20471400)</t>
  </si>
  <si>
    <t>MIIAFSVAPTETPNNQAEMSEAVSAAIKIVRESGLPNETNAMFTLVEGEWDEVMSVIKRATDAVLEVSPRVSLVLKADIRPGYTNQITAKVESVERHLSQ---</t>
  </si>
  <si>
    <t>MIVAFSVAPTEVPNAQAEMSEAVAAAIKIVRESGLPNETNAMFTLIEGEWDEVMSVVKRATEAVLAVSPRVGLVLKADIRPGYTGQLRAKVESVERHLAESDS</t>
  </si>
  <si>
    <t>MIVAFSVAPTEVPNAQAEMSEAVAAAIKIVRESGLPNETNAMFTLIEGEWDEVMSVVKCATEAVLAVSPRVGLVLKADIRPGYTGQLRAKVESVERHLAESDS</t>
  </si>
  <si>
    <t>GC_00000963</t>
  </si>
  <si>
    <t>PF04024.17</t>
  </si>
  <si>
    <t>PspC domain</t>
  </si>
  <si>
    <t>COG1983</t>
  </si>
  <si>
    <t>Phage shock protein PspC (stress-responsive transcriptional regulator) (PspC)</t>
  </si>
  <si>
    <t>MTYPAPMLQRRLHRNTINKWVGGVFQGIADTYGWDVTLLRILFVGSSFLLPGPQWVLYVLAWIIMPPN-----</t>
  </si>
  <si>
    <t>GC_00000964</t>
  </si>
  <si>
    <t>PF13577.12</t>
  </si>
  <si>
    <t>SnoaL-like domain</t>
  </si>
  <si>
    <t>MDPRFDIITTLNTLFWATDHHDWDTLAHVFSDQVTLDYGEPELLSPQEIIGRWRPVFEGLDAHQHLVSNHLITLRDDAATATASFIATHQHAHGTWTLGGDYRFSLHNTPSGWKVTAMEMRPVWEEGV------GIG-</t>
  </si>
  <si>
    <t>GC_00000965</t>
  </si>
  <si>
    <t>PF17926.6</t>
  </si>
  <si>
    <t>Tetracyclin repressor-like, C-terminal domain</t>
  </si>
  <si>
    <t>MAWDTAGTQRKILDAATKQFAAVGPDGTTIERIAKEAGVNKERIYNYFGGKRELLARVLQEELAKVAQAIPVDSFATYDIGDYAGHVYDYHRERPELTRLLHWEGLAFGKDVPNEEARRARYEEKTAAATDGQRQGVLTNSIDADHIAFLVLALAGWWFAAPQVARMLTGEPTEEEHARRRASVIEAARRFARA---</t>
  </si>
  <si>
    <t>MAWDIEGTKTKILTAALAEFAHNGPDGTTVAKIAARAGVNKERIYNYFGDKRQLFTHVLREELAKVAQAVPVHSFATEDIGDWAGRVYDYHCVHPELNRLMRWEGLYFDAEVPDEELRSTYYNRKIQAIHAGQAAGTLATTIDADHLAFLILSIAGWWSAVPQVARMFTGPETDAEHARRRESVITAAQLLAGTYNQ</t>
  </si>
  <si>
    <t>GC_00000966</t>
  </si>
  <si>
    <t>K07693</t>
  </si>
  <si>
    <t>two-component system, NarL family, response regulator DesR</t>
  </si>
  <si>
    <t>KEGG Orthology (KO)&gt;&gt;&gt;09130 Environmental Information Processing&gt;&gt;&gt;09132 Signal transduction&gt;&gt;&gt;02020 Two-component system [PATH:ko02020]|Two-component system&gt;&gt;&gt;NarL family&gt;&gt;&gt;DesK-DesR (membrane lipid fluidity regulation)</t>
  </si>
  <si>
    <t>MSIRVLIADDQDLVRGALKVLLNLEPDIKVVAELGSGVGVADAVKKYRVDVALLDIEMPDVSGIEAAKTLKGT--DCAVIIVTTFDRPGYFQRAVDAGVSGYVVKDTPPDELAAAVRRVHHGLRVFDNHLVEAARRAGNNPLTPREIEICNAAKDHASVAQIANRIFLSEGTVRNHLSNVMAKTGARNYHEAIHAAITKGWL</t>
  </si>
  <si>
    <t>GC_00000967</t>
  </si>
  <si>
    <t>MGRLLLLLLLVATFVLLWKAFGPSTWRRS---DDEVEPLIKGPDDDEEFLWRLELEQFKKRRASEAAAEAEEERRRRERHNKNKGG--------------------------------</t>
  </si>
  <si>
    <t>MGRIIVLLLLVAAVYLVWRAFGPQSWKRAMLFDAPQEPLIKGPDDDEEFLWELEKRQFKQRRAKEEAQRQEEERIRRAQARYNRPSPTDTTAAADNNSDDTKPAASDKNSPRPDTSDT</t>
  </si>
  <si>
    <t>GC_00000968</t>
  </si>
  <si>
    <t>PF00677.23</t>
  </si>
  <si>
    <t>Lumazine binding domain</t>
  </si>
  <si>
    <t>K00793</t>
  </si>
  <si>
    <t>riboflavin synthase [EC:2.5.1.9]</t>
  </si>
  <si>
    <t>COG0307</t>
  </si>
  <si>
    <t>Riboflavin synthase alpha chain (RibC) (PDB:1I8D)</t>
  </si>
  <si>
    <t>M00125|M00911</t>
  </si>
  <si>
    <t>Riboflavin biosynthesis, plants and bacteria, GTP =&gt; riboflavin/FMN/FAD|Riboflavin biosynthesis, fungi, GTP =&gt; riboflavin/FMN/FAD</t>
  </si>
  <si>
    <t>KEGG Orthology (KO)&gt;&gt;&gt;09100 Metabolism&gt;&gt;&gt;09108 Metabolism of cofactors and vitamins&gt;&gt;&gt;00740 Riboflavin metabolism [PATH:ko00740]|Enzymes&gt;&gt;&gt;2. Transferases&gt;&gt;&gt;2.5  Transferring alkyl or aryl groups, other than methyl groups&gt;&gt;&gt;2.5.1  Transferring alkyl or aryl groups, other than methyl groups (only sub-subclass identified to date)&gt;&gt;&gt;2.5.1.9  riboflavin synthase</t>
  </si>
  <si>
    <t>MFTGIIEQVGTISAVEPLGDSVRLTIDAPAILDGVALGDSIAVNGVCLTVAEHTATTFTADCMQETLDRSNLGELHVGSPVNLERAALVNARLDGHIVQGHVDATTTLTSRNSSEHWDVLRFALPPTLARYIVEKGSIAINGTSLTVSALGDDYFEVSLIPITLRDTIFGKLAVGGTVNLEVDVLAKYVERNLTFRT</t>
  </si>
  <si>
    <t>MFSGIIEEIGTITTITPRGDSCKLHITAATVTTDIHPGDSIAVNGICLTVVDHDPTGFTADVMKETLDRSVLG--HVGDPVNLERALPVTGRLGGHIVQGHVDTTTTLIHREIGEHWHTLRFHLPPQLAKYVVEKGSIAINGTSLTVSAIGDDYFEVSLIPTTLTHTNLGTLQPGDSVNLEADILAKHVEKLLAH--</t>
  </si>
  <si>
    <t>GC_00000969</t>
  </si>
  <si>
    <t>PF02613.20</t>
  </si>
  <si>
    <t>Nitrate reductase delta subunit</t>
  </si>
  <si>
    <t>C|P|O</t>
  </si>
  <si>
    <t>Energy production and conversion|Inorganic ion transport and metabolism|Posttranslational modification, protein turnover, chaperones</t>
  </si>
  <si>
    <t>K00373</t>
  </si>
  <si>
    <t>nitrate reductase molybdenum cofactor assembly chaperone NarJ/NarW</t>
  </si>
  <si>
    <t>COG2180</t>
  </si>
  <si>
    <t>Nitrate reductase assembly protein NarJ, required for insertion of molybdenum cofactor (NarJ)</t>
  </si>
  <si>
    <t>MKPGDRSHTGVIPAPTEP-IPMSEAQRRALFMMASVLLDYPDDGWEHKLRVVHEQAATLPAGVEKLLQPFFAFAYQQGQRGLEEHYVSTFDQRRRCSLFLTYYAVGDTRQRGAAIWAFKEALESMSFTMQRDELPDHLCVVLEAAALADDQSHSMACGMLSAHRDGIEVLRTALEHAGSPYAGIVTAICAALPPIDDATRENFLELIRSGPPAEVVGIESPLPFPTSQPGY-</t>
  </si>
  <si>
    <t>MKPGDRSHTGVIPAPTEP-IAMSEAQRRALFMMASVLLDYPDDGWEHKLRVVHEQAATLPAGVEKLLQPFFAFAYQQGQRGLEEHYVSTFDQRRRCSLFLTYYAVGDTRQRGAAIWAFKEALESMSFTMQRDELPDHLCVVLEAAALADDQSHSMACGMLSAHRDGIEVLRTALEHAGSPYAGIVTAICAALPPIDDATRENFLELIRSGPPAEVVGIESPLPFPTSQPGY-</t>
  </si>
  <si>
    <t>GC_00000970</t>
  </si>
  <si>
    <t>K02242</t>
  </si>
  <si>
    <t>competence protein ComFC</t>
  </si>
  <si>
    <t>COG1040</t>
  </si>
  <si>
    <t>DNA utilization protein ComFC/GntX, contains phosphoribosyltransferase domain (ComFC) (PUBMED:28618091)</t>
  </si>
  <si>
    <t>Secretion system&gt;&gt;&gt;Type II secretion system&gt;&gt;&gt;Competence-related DNA transformation transporter (DNA-T) core components</t>
  </si>
  <si>
    <t>MGFSDYLAAALELALPKTCAGCGAGGVVLCATCRQEWSAIPNQISTRIDPGIPVWSLGVLGGVRRRTIINLKERGRVDVIPYLGAVMRAAVEYLQARGEV--DTDITLVPAPTKKSSAAVRGGDVVTRVCYASGLTTVPVVHLSETGKDAVGLSAAERWRNRLGAVQIDEIKVKKLTGHVLVVDDVITTGATLKATIMVLTSRGVKIRGGLGWSNA</t>
  </si>
  <si>
    <t>MGFSDYLAAALELALPKTCAGCGAGGVVLCATCRQEWSAIPNQISTRIDPGIPVWSLGVLGGVRRRTIINLKERGRVDVIPYLGAVMRAAVEYLQARGEM--DTNIILVPAPTKKSSAAARGGDVVTRVCYASGLTTVPVVHLSETGKDAVGLSAAERWRNRLGAVQIDEIKVKKLTGHVLVVDDVITTGATLKATIMVLTSRGVKIRGGLGWSNA</t>
  </si>
  <si>
    <t>GC_00000971</t>
  </si>
  <si>
    <t>COG0451</t>
  </si>
  <si>
    <t>Nucleoside-diphosphate-sugar epimerase (WcaG) (PDB:2X4G)</t>
  </si>
  <si>
    <t>MARHLIIGAGPIGRATTTALQKRGHTVTIATRSGTRYGSAESVTLDATDTPALTRAATGCDSIIVCTNPPYHQWAKEWPPIIDSVVRAAVNTQARIVLMGNLYPFGRPTGPMTNATPENPTETKGQVRAGLWKTLTQAAEQHGILVSELRASDYFGDDAGPVTHLGDRFTTPVHNGKTARVIGDPDALHSWSYLPDIGECLAILATTPELSGKYWVGPSSGNATMREIARRINPKASVKQLPPAMLKTIALFSPMVREVLAIHYQHTDTYILDDSELQRAFHFTPTPLASIFPNP------</t>
  </si>
  <si>
    <t>MARHLIIGAGPIGRATTTALQKRGHTVTIATRSGTRYGSAESVTLDATDTPALTRAATGCDSIIVCTNPPYHQWAKEWPPIIDSVVRAAVDTQARIVLMGNLYPFGRPTGPMTNATPENPTETKGQVRAGLWKTLTQAAEQHGILVSELRASDYFGDDAGPVTHLGDRFTTPVHNGKTARVIGDPDALHSWSYLPDIGECLAILATTPELSGKYWVGPSSGNATMREIARRINPKASVKQLPPAMLKTIALFSPMVREVLAIHYQHTDTYILDDSELQRAFHFTPTPLASIFPNP------</t>
  </si>
  <si>
    <t>MSTHLILGAGPTGRAAAHSLIRRNQQVKVGTRSRTPVPQCLSLRLDATDAAALATAATNCESIIVCVNPPYPEWPEEWPPIIESVIAAARATGSRIVLMGNLYPFGRQTRPFTGASLESPTEPKGATRAQLWRMLKQADD---LYVTELRASDYFGPGAGIGSIVGDEFIDPILAGGVAKVVGDPTVPHAWSYLPDIGECLAILATNPQLSDRYWVGPVSGNVSLTDFAYQLNPKGKVKQISGMGLTLAGLTNPMMREIKSVLYQYTQPYVIDATELEQAFGFVPTPLADAIAATAAAATG</t>
  </si>
  <si>
    <t>GC_00000972</t>
  </si>
  <si>
    <t>K15525</t>
  </si>
  <si>
    <t>N-acetyl-1-D-myo-inositol-2-amino-2-deoxy-alpha-D-glucopyranoside deacetylase [EC:3.5.1.103]</t>
  </si>
  <si>
    <t>KEGG Orthology (KO)&gt;&gt;&gt;09190 Not Included in Pathway or Brite&gt;&gt;&gt;09191 Unclassified: metabolism&gt;&gt;&gt;99980 Enzymes with EC numbers|Enzymes&gt;&gt;&gt;3. Hydrolases&gt;&gt;&gt;3.5  Acting on carbon-nitrogen bonds, other than peptide bonds&gt;&gt;&gt;3.5.1  In linear amides&gt;&gt;&gt;3.5.1.103  N-acetyl-1-D-myo-inositol-2-amino-2-deoxy-alpha-D-glucopyranoside deacetylase</t>
  </si>
  <si>
    <t>MMPSRDLVGARIVAVHAHPDDEAIWTGGLLADAAERGADVTVVTCTLGEQGEVIGETYQGLVADAADQLGGLRIAELRESLRYLGVRGEFLGGVGRWRDSGMVGDPANNHPRAFINSGDTAVEQLVHVLKRLRPHVVVTYGPDGGYGHPDHIRAHEITHAAIPRLPEEEQPQRIVWAVTSREDVDHGLAAIATIPE-GWRWPGEGDIAAVEHSDFVLPLNEVAYSAKLRAMKAHATQLWIADGEVSHTNPHAARATVTDTTAAPTVFALSNLIAQPLPAREHYQLGYGLPC---------------------GASDTS--------IMAGLSW</t>
  </si>
  <si>
    <t>GC_00000973</t>
  </si>
  <si>
    <t>PF13521.12</t>
  </si>
  <si>
    <t>K06211</t>
  </si>
  <si>
    <t>HTH-type transcriptional regulator, transcriptional repressor of NAD biosynthesis genes [EC:2.7.7.1 2.7.1.22]</t>
  </si>
  <si>
    <t>COG1056|COG3172</t>
  </si>
  <si>
    <t>Nicotinamide mononucleotide adenylyltransferase (NadR) (PDB:1LW7)|Nicotinamide riboside kinase (NadR3) (PDB:1LW7)</t>
  </si>
  <si>
    <t>NAD biosynthesis|NAD biosynthesis</t>
  </si>
  <si>
    <t>ko00001|ko01000|ko01000|ko03000</t>
  </si>
  <si>
    <t>KEGG Orthology (KO)&gt;&gt;&gt;09100 Metabolism&gt;&gt;&gt;09108 Metabolism of cofactors and vitamins&gt;&gt;&gt;00760 Nicotinate and nicotinamide metabolism [PATH:ko00760]|Enzymes&gt;&gt;&gt;2. Transferases&gt;&gt;&gt;2.7  Transferring phosphorus-containing groups&gt;&gt;&gt;2.7.1  Phosphotransferases with an alcohol group as acceptor&gt;&gt;&gt;2.7.1.22  ribosylnicotinamide kinase|Enzymes&gt;&gt;&gt;2. Transferases&gt;&gt;&gt;2.7  Transferring phosphorus-containing groups&gt;&gt;&gt;2.7.7  Nucleotidyltransferases&gt;&gt;&gt;2.7.7.1  nicotinamide-nucleotide adenylyltransferase|Transcription factors&gt;&gt;&gt;Prokaryotic type&gt;&gt;&gt;Helix-turn-helix&gt;&gt;&gt;Other families</t>
  </si>
  <si>
    <t>MRSLTGVRGVIAGKFYPPHKGHHHLINTALADCTEVDVLVVDNPDYVIPAQLRRQWLQAEHPGARVHIVPDIGKDDDSVAWAAHAMQFLGYAPDVVYSSEDYGPNWAHYMGAQHVMVDQPRQVVPMSGTIARRDILAAWDYLSPSVRAGLALRVVIVGAESTGTTTLARALADALHVPWVPEVGRFYTESILSDGGAWGNEDFYRIAHLQQSYEAAIAMRSRGVIVCDTNTVATELWQRRYLGETTSHMHEIASKDKADLYVITGDEIPFVQDGIRDGEHIRHEMHQWFLEHIAATGVPFIVVTGSVEERLAATEQAARDMIERCRVVR</t>
  </si>
  <si>
    <t>-MTRHYPRSVVIGKFYPPHVGHHHLIDTALRNSDHVDVLVVDNPGEKIPAEHRRDWLAAVHPDANVRVIPDIGKDDDSIAWAAHTTKFLHYVPDAVFTSETYGDTWAYHMGATHISVDHNRNRYPISGTKIRADLFGNWQYLSDPVRAGLAARIVVVGAESTGTTTLTRAIAEELGVEWVPEVGRYYTESILTTDYTWTDDDFHRIGNLQQQYENTMAARSDGVIICDTNAWATLQWQRRYLGHVTDTMRNIANR</t>
  </si>
  <si>
    <t>-MTHHYPRSVVIGKFYPPHVGHHHLIDTALRNSDHVDVLVVDNPGEKIPAEHRRDWLAAVHPDANLRVIPDIGKDDDSIAWAAHTTKFLHYVPDAVFTSETYGDTWAYHMGATHISVDHNRNRYPISGTKIRTDLFGNWQYLSDPVRAGLAARIVVVGAESTGTTTLTRAIAEELGVEWVPEVGRYYTESILTTDYTWTDDDFHRIGVLQQQYENTMAARSDGVIICDTNAWATLQWQRRYLGHVTDTMRNIANR</t>
  </si>
  <si>
    <t>GC_00000974</t>
  </si>
  <si>
    <t>PF14542.12</t>
  </si>
  <si>
    <t>GCN5-related N-acetyl-transferase</t>
  </si>
  <si>
    <t>K06975</t>
  </si>
  <si>
    <t>COG2388</t>
  </si>
  <si>
    <t>Predicted acetyltransferase, GNAT superfamily (YidJ) (PDB:1R57)</t>
  </si>
  <si>
    <t>MAIVTQHNPAESRYTIEVDGQVAGFADYVESGTIRDFNHTVVFDEFQGQGLSKPLIKEALDDSLRSGFSIVPTCSAVANFVAKNPGYME----</t>
  </si>
  <si>
    <t>MAIVTQHNPAESRYTIEVNGQVAGFADYVESGTVRDFNHTVVFDEFQGQGLSKPLIKEALDDSLRSGFSIVPTCSAVANFVAKNPGYME----</t>
  </si>
  <si>
    <t>MTKVT-HDTTAERYLITVDGRDAGYADYIQGDGVRDFHHTVIDPEFRGQGLSKPLIQAALDDTRAAGDKVRPLCSAVAGFIEKHPEYRDLVQP</t>
  </si>
  <si>
    <t>GC_00000975</t>
  </si>
  <si>
    <t>MTTQPTSNVSE-----FDDHRRPLQRAIRFGSLALLTVSVVSLSIWGWAAGIAGIWGVLMGAAIGGGFVLLTAISVLVTANTTPSTTGAVVLGSWLLKIVVLLGVLMVIRGMTFYDRWAFVVTTTLVLIAVLSVEVWSVITSRVTYVQPSTESSARSSARTNGDTDS</t>
  </si>
  <si>
    <t>MTSKNDLGLQERDQHDFDDHRRPLVRALRLGSFALLVVTIISLMSWGGYQGLPGIWGVLIGAAMAGGFLLVTVVSMLFTASTTPTTTGAVVLGTWLLKIIVVFLVLVLIRDLEFYSHAAFFVTLLMTLIVVLVTEAYGVMTSRVTYLSA------------------</t>
  </si>
  <si>
    <t>GC_00000976</t>
  </si>
  <si>
    <t>MDVHLRDLRYFTAVAEELHFRKAAERLFVSQPVLSRQIARLEQDLKAQLFIRDRRSVQLTSAGEALLHRARHLLEDWDAATKEVAILARKEQSVLVIGLQTGVGRGMLHTLTQALNAIQWRPELHQVAWNDATAGVEAGDCDAGFAWLGTTINPHCGYVVVAEEPIMLAVNSQHRLAGRRQASFAEVSNEPLVVLPESAKELRSFWLAEHARHGS-PAPIACEAATADEALENVAAGTGSVFISAGNSVLYAREGVHFLEVPDLPPARLAFLWRAGDTRDVIRVAASAL-QQRGDA---</t>
  </si>
  <si>
    <t>MDVHVRDLRYFIAVAEELHFRKAAERLFVSQPVLSRQIARLETMVQARLLERDHRLVRLTPAGEYLLGRARMLLAEWDETGAELARLGKLHASTLIVGLQTGVGRGLTGRLAAGLREVGWQLEARNIPWSDPLAGVGTKECDAGFAWLGATTDPQCDHVVVAEEPIMLAVSSDHRLAARPEVVFADIAQEALVALPAEAGVLRSFWLAEHARDDTCPATVSCLSTTADAALENVAAGRGSVLLAAGNAQLYGREGLCFLPVVDLPPARLAFLWRVADDRSIIAHAARIMGGASGDAFSL</t>
  </si>
  <si>
    <t>MDVHVRDLRYFIAVAEELHFRKAAERLFVSQPVLSRQIARLETMVQARLLERDHRLVRLTPAGEYLLGRARMLLAEWDETGVELARLGKLHASTLIVGLQTGVGRGLTGRLAAGLREVGWQLEARNIPWSDPLAGVGTKECDAGFAWLGATTDPQCAHVVVAEEPIMLAVSSDHRLATRPEVVFADIAQEALVALPAEAGVLRSFWLAEHARDDTCPATVSCLSTTADAALENVAAGRGSVLLAAGNAQLYGREGLCFLPVVDLPPARLAFLWRAADDRSIIAHAARIMGDASGDAFSL</t>
  </si>
  <si>
    <t>GC_00000977</t>
  </si>
  <si>
    <t>PF22381.2</t>
  </si>
  <si>
    <t>Transcriptional regulator SarA/Rot</t>
  </si>
  <si>
    <t>MNEPRWLSDEEQALWRLCLASVRKASRCIDETLQRGYELSTPEFAVLVSLSESPHHEIRLRDLCSDLNWDRSRTSHQITRMERRGLVRKQKCAGDARGVVVELTDEGQRRLEKAAPAHVESVRQLLFDHLTEEEARALKGFMEKVINVKGIPGAET</t>
  </si>
  <si>
    <t>MKNPNWLSDDEQKFWRLLLAASRKVNHHIETVLQDDHNLTSAEFAVLVNLSESPEKEIRLRDLCNILNWDRSRASHQVSRMQKRGLLTKRRCIGDGRGVIIELTDEGDRRIRNAAPSHVESVRDVIFNNLDPDLLEPVSKFLRHILD-QPVGLARN</t>
  </si>
  <si>
    <t>GC_00000978</t>
  </si>
  <si>
    <t>PF10006.14</t>
  </si>
  <si>
    <t>Uncharacterized conserved protein (DUF2249)</t>
  </si>
  <si>
    <t>COG4309</t>
  </si>
  <si>
    <t>SirA-like two-layered alpha/beta sandwich domain, DUF2249 family</t>
  </si>
  <si>
    <t>MASNLPLAHGGDIPELDVLQIPHSIRHGAIHGALSTRDVGDALILIAPHNPLPLLREVEARDDTFALEYLQEGPDVWRIKFTRTA</t>
  </si>
  <si>
    <t>MPRDLPLANNASIPELDVVQIPHEIRHGAIHGALSTRDIGQAMIIIAPHNPLPLLREIAARDEEFAVEYLSEGPDAWRIQFTRTA</t>
  </si>
  <si>
    <t>GC_00000979</t>
  </si>
  <si>
    <t>PF11662.13</t>
  </si>
  <si>
    <t>Protein of unknown function (DUF3263)</t>
  </si>
  <si>
    <t>MSYSVNMLEPID--LLAFEETAPKSIGAKEDAIRTQLGLSPVRYYQRLNIAIDLPEVMAQYPQLTARLRRIRDQRATERTTGLSKETDYA</t>
  </si>
  <si>
    <t>GC_00000980</t>
  </si>
  <si>
    <t>PF00176.29</t>
  </si>
  <si>
    <t>SNF2-related domain</t>
  </si>
  <si>
    <t>COG0553</t>
  </si>
  <si>
    <t>Superfamily II DNA or RNA helicase, SNF2 family (HepA) (PDB:6UXV)</t>
  </si>
  <si>
    <t>MLQATGRTVIMTTHLLHGLWTPDHGLALWVEQLEGHKIVLPEQVPAGTFPPIIEAELAAKSFRHRLHATLQTPRGRMVELPIPVGVFTPEQAVSFFARVAFL---------DGASPAATEQQRTALAPDFMWLLRMYRGLEQFVRAGRVLLRCAWRDNEWWPQWQLATGMGENAWVAEMVVATPGVVSANGGSRTAELMAEELPHWIASSLLEGLRDAPRPSPWHEFSSSLLHSRPLRRGGPGLVSKLNDWKNSASTMGLELVVIVEEPFEHLPLHNVSPDLIEASGGFEVPGVTTWDEPVWPVRIRVRRGVDAPYPVRLAQWDEAAQEQLRKIHAALFKRSPVM---QSNVGAVPIVIANYDDNLGDWDLFFSTEEIVQFVSKDVTTLKTAGFQVMLPKSWGSYEPHLTVNTTESGEVSAAGSKLGLEQLVEYNWQLSLGDIELSASEMQELVNSKAGLVKLRGEWMMADAAALRHISDYMAEIAKASGSRLRAELDSAKQRADHAKAQQEPGWEELVQQAQKLQEEFDNRHVGVGQVTLAELRQIALEAPAKTPVEFTGSQWHTSLLGGDIA---PAPERIDIPETVHAQLREYQRRGVDWLYWMSRNNLGAVLADDMGLGKTLQLLALVAVER--AAREDAAEESA------KPTLVVCPTSVVGNWAAEAKKFVPSFNVLVQYGSQRKHDEEFAAAAKEADLVITSYGVVTRDYEAFGSVDWERVVLDEAQQIKNSTTRASKAVRSIPSRHRLALTGTPVENRLAELRSILDFCNPGMLGSASFFRNHFATAIERHQDEEVAEKLRSLTAPFILRRVKTDPYIIDDLPDKNEDIVTVHMTTEQAALYKALVDDIQQQLENAEGMAKRGLVLATITKIKQICNHPAHFLGDGSSITLQGKHRSGKMEALVGIVDGAIERRERVLVFTQYKAFGDLIQPYLSERYGVDIPFLHGGISKTGRDAMVQKFQAEDGPPTMILSLKAGGTGLNLTAASIVVHMDRWWNPAVENQATDRAYRIGQRKNVHVYKMVTEGTMEESIQDIIDGKLQLAGAVIGQGEGWITELSPEQLAQLMSYRGKE</t>
  </si>
  <si>
    <t>----MG----TATHLIHGFWQKQSGLHLWIEQVDGHKIVTGSGIIPGTFPPVIEDLIMGKRYRHRVDMHLMTPKGRERKLPVPTIACTPEQAVPVLAAIAAIVDDAKGPDDPASSPQATPEQCATLAPDLLWLAHIYRGLTAFARAGRVTIKLGFFERQWYPTWQLAAGLGERGWLVSMTKAAPGVITINGGPTIVEDIADELLHWIVNSLISAEYHRPRPTPWHDFAAALVESNPLRRGGATLVSALNKWRDSI</t>
  </si>
  <si>
    <t>----MG----TVTHLIHGFWQKQSGLHLWIEQVDGHKIVTGSGIIPGTFPPVIEDLIVGKRYRHRVDMHLMTPKGRERKLPVPTIACTPEQAVPVLAAIAAIVDDAKGTDDPAGSPQATPEQRATLAPDLLWLAHMYRGLTAFARAGRVTIKLGFFERQWYPTWQLAAGLGERGWLVSMTKAAPGVITINGGPTIVEDIVDELLHWIVNSLISAEYHRPRPTPWHDFAAALVESNPLRRGGAPLVSALNKWRDSI</t>
  </si>
  <si>
    <t>GC_00000981</t>
  </si>
  <si>
    <t>PF03795.20</t>
  </si>
  <si>
    <t>YCII-related domain</t>
  </si>
  <si>
    <t>Q|R</t>
  </si>
  <si>
    <t>Secondary metabolites biosynthesis, transport and catabolism|General function prediction only</t>
  </si>
  <si>
    <t>K09780</t>
  </si>
  <si>
    <t>COG2350</t>
  </si>
  <si>
    <t>YciI superfamily enzyme, includes 5-CHQ dehydrochlorinase, contains active-site pHis (YciI) (PDB:1MWQ) (PUBMED:15779043;23955343)</t>
  </si>
  <si>
    <t>MLMSIFAVVYHYPADSEKIANVRPKHREFIAGLKSEGKIIGSGPFTDGSGGALITLRLDDAATLDDVRTLMNSDPFYVEGALTGRSFHTWNPVINSFDD</t>
  </si>
  <si>
    <t>GC_00000982</t>
  </si>
  <si>
    <t>PF13378.12</t>
  </si>
  <si>
    <t>Enolase C-terminal domain-like</t>
  </si>
  <si>
    <t>K02549</t>
  </si>
  <si>
    <t>o-succinylbenzoate synthase [EC:4.2.1.113]</t>
  </si>
  <si>
    <t>COG4948</t>
  </si>
  <si>
    <t>L-alanine-DL-glutamate epimerase or related enzyme of enolase superfamily (RspA) (PDB:1BKH)</t>
  </si>
  <si>
    <t>Non-phosphorylated Entner-Doudoroff pathway</t>
  </si>
  <si>
    <t>KEGG Orthology (KO)&gt;&gt;&gt;09100 Metabolism&gt;&gt;&gt;09108 Metabolism of cofactors and vitamins&gt;&gt;&gt;00130 Ubiquinone and other terpenoid-quinone biosynthesis [PATH:ko00130]|Enzymes&gt;&gt;&gt;4. Lyases&gt;&gt;&gt;4.2  Carbon-oxygen lyases&gt;&gt;&gt;4.2.1  Hydro-lyases&gt;&gt;&gt;4.2.1.113  o-succinylbenzoate synthase</t>
  </si>
  <si>
    <t>-------MPSLDDVLDRAHVVSLPMRVRFRGVDTREALLIDGPAGWGEFAPFLEYGDDEASSWLASALESAYEGLPPLPRKVVEVNATVPAVSADDVAGILDRFPGCRVVKVKVAEPGQSLRDDVARIDAVRAARPDALIRVDANRGWNVEQAIEASRVLGPLDYMEQPCATLAELAEVR-----RRAGVCVAADESIRRADDPYRVAREGAADVAVIKVAPLGGVRRVCELAEFMHARGLGLTVASALDTAVGM</t>
  </si>
  <si>
    <t>MSGHSFGGINVEDMLARAHVVSLPLRVRFRGVREREALLFEGPKGWGEFSPFLEYGVPESAEWLRCGLEMAFAGPPPRLRDKIAVNATVPAVAPWQVDEVLAHFPGCQVVKVKVAEQGQTLADDVARVAAVRAYAPDASIRVDANGGWSVAEALAALAELGPLDYVEQPCATVEELAELRTKLVHRGLYVRVAADESIRRASDPYAVAERGAADVAVVKAAPLGGPRAVLRIADFMRTRGLNITVASALDTGVGMNAGLASVAALPQLVDDSHVAVPPAAAGLATQRLFVADVTPWRQLVDGYLSTELLAPEPERLAEFAASGERKDFWINRVTECWNYLNQD</t>
  </si>
  <si>
    <t>GC_00000983</t>
  </si>
  <si>
    <t>PF12730.13</t>
  </si>
  <si>
    <t>MSMSSFRHSTLIITVKVEALKVIKSATAWGVTGAMLAGIPLVVSAMMIAIAHNNPVILAKAGAAATHDGNGFFFVATQITAAAEILGFGTMIAWIYAREFMDNTAIGLAMLPMSRHITMTGKFLVYAAWTLITHLLLAIVMLLIAVGFRYGFPTGAHILRFLVLGAFTLLATPVIAWVSVRTRSLIAGCGTALALITLGQLGALLGANSGWIPPAVPALWALQIVPTTTPQLLVFLALSVGFASLTYARWSRMQLA</t>
  </si>
  <si>
    <t>GC_00000984</t>
  </si>
  <si>
    <t>PF04452.19</t>
  </si>
  <si>
    <t>RNA methyltransferase domain</t>
  </si>
  <si>
    <t>K09761</t>
  </si>
  <si>
    <t>16S rRNA (uracil1498-N3)-methyltransferase [EC:2.1.1.193]</t>
  </si>
  <si>
    <t>COG1385</t>
  </si>
  <si>
    <t>16S rRNA U1498 N3-methylase RsmE (RsmE) (PDB:1NXZ)</t>
  </si>
  <si>
    <t>Enzymes&gt;&gt;&gt;2. Transferases&gt;&gt;&gt;2.1  Transferring one-carbon groups&gt;&gt;&gt;2.1.1  Methyltransferases&gt;&gt;&gt;2.1.1.193  16S rRNA (uracil1498-N3)-methyltransferase|Ribosome biogenesis&gt;&gt;&gt;Prokaryotic type&gt;&gt;&gt;rRNA modification factors&gt;&gt;&gt;16S rRNA modification factors</t>
  </si>
  <si>
    <t>MSLPVFLFDAPIPSD-GTQIELTGPEARHAVTVTRLRVGERIMLVDGRGTTAEVLVTAVSGKDRLVGDVEKRTQVPQPTPQAIVVQALPKSERSELAVDLATQAGADVIVPWQASRCVAKWQGAKREKGVAKWRAMAVSAAKQSRRSWVPEVRDVQDTAGIAALIREVVADGGLALLLHEDAAASFSSIDFSTCPQVLFVIGPEGGLAPDEVAEFTQAGARAVLLGQEVLRTASAAMVALAALGVCSGRW</t>
  </si>
  <si>
    <t>MSRPVYVQEFPTPPTVGEVIELTGDEGRHAVSVKRTGVGEQIELVDGHGTRAVITVTGVSGKDRLTGVVDCVANEPAPRPTVTVIQALPKAARSELTVDLLTQAGADVIVPWQAGRSVANW-GKKQDKGLAKWRAAARAAAKQSRRSRIPEITPVVDQAAVAALIQA----APLALMLHEDATGKITDQPMAQVDSVVLIIGPEGGISPAELDAFTTAGAHLVRLGPEVLRTASAGMVALAALGAVTDRW</t>
  </si>
  <si>
    <t>MSRPVYVQEFPTPPTVGKVIELTGDEGRHAVSVKRTSVGEQIELVDGHGTRAVITVTGVSGKDRLVGVVDCVASEPAPRPTVTVVQALPKAARSELTVDLLTQAGADVIVPWQAGRSVANW-GKKQDKGLAKWRAAARAAAKQSRRSRIPEITPVADQAAVVALIQA----APLALMLHEDATGKITDQPVAQVDSVVLIIGPEGGISPAELDAFTAAGAHPVRLGPEVLRTASAGMVALAALGAVTDRW</t>
  </si>
  <si>
    <t>GC_00000985</t>
  </si>
  <si>
    <t>PF04069.17</t>
  </si>
  <si>
    <t>Substrate binding domain of ABC-type glycine betaine transport system</t>
  </si>
  <si>
    <t>K05845</t>
  </si>
  <si>
    <t>osmoprotectant transport system substrate-binding protein</t>
  </si>
  <si>
    <t>COG1732</t>
  </si>
  <si>
    <t>Periplasmic glycine betaine/choline-binding (lipo)protein of an ABC-type transport system (osmoprotectant binding protein) (OsmF) (PDB:4WEP)</t>
  </si>
  <si>
    <t>-----MKKIVGTVVAVCAL-----MLAGC-VNNDPFGTANDP-----DTITIGSQDYYSNEIIAEIYAQALEKSGHKVKRELRIGQREAYLPEIESGSIDLFPEYTGPLLQYWKKDTSARLPEDVYAELTTVTPDGLRVLKQSPATDQDAYTVTKEFSDKWGVKNISDLKKVTDSLTLGANSEAESRPYGPAGLEKAYGVKTAFSPIEDGGGPLTVRALKDNDIQLAIIYTADPSVASNNLVSLADPNGLFLASN</t>
  </si>
  <si>
    <t>-----MKKIVGTVVAVCAL-----MLAGC-VNNDPFGTANDP-----DTITIGSQDYYSNEIIAEIYAQALEKRGHKVKRELRIGQREAYLPEIESGSIDLFPEYTGPLLQYWKKDTSARLPEDVYAELTKATPNGLRVLKQSPATDQDAYTVTKEFSDKWGVKNISDLKKVTDSLTLGANSEAESRPYGPAGLEKAYGVKAAFSPIEDGGGPLTVRALKDNDIQLAIIYTADPSVASNNLVSLADPNGLFLASN</t>
  </si>
  <si>
    <t>MIATTSKQLRKSLIVIITMALGFTCLVGCGLKSDPLANNSNSKDNPGDAIVVGSQDYYSNEIIAEIYAQSLEKNGYTVQRKFRIGQREAYLPEIEKGGIDVFPEYTGNLLQYWKKDTTARDETAVYDELKTAVPAGLTVLNDAKATDQDAYVVREDFAHEHNIQSLDNLSGI-DELTLGGNSELETRPYGPTGLKETYGINTRFVPIEDSGGPLTMKALKDGTINLAKINTASPDIHTNNLVVLSDPKHLMLASHVVPLVSDRLPQKAQDVINSIQQSLTAEDLLAMNVDSVGGAKASD-IASQWLSTHQQSQSALTTTSGAEEAQ</t>
  </si>
  <si>
    <t>GC_00000986</t>
  </si>
  <si>
    <t>K01784</t>
  </si>
  <si>
    <t>UDP-glucose 4-epimerase [EC:5.1.3.2]</t>
  </si>
  <si>
    <t>COG1087</t>
  </si>
  <si>
    <t>UDP-glucose 4-epimerase (GalE) (PDB:1A9Y)</t>
  </si>
  <si>
    <t>M00632</t>
  </si>
  <si>
    <t>Galactose degradation, Leloir pathway, galactose =&gt; alpha-D-glucose-1P</t>
  </si>
  <si>
    <t>KEGG Orthology (KO)&gt;&gt;&gt;09100 Metabolism&gt;&gt;&gt;09101 Carbohydrate metabolism&gt;&gt;&gt;00052 Galactose metabolism [PATH:ko00052]|KEGG Orthology (KO)&gt;&gt;&gt;09100 Metabolism&gt;&gt;&gt;09101 Carbohydrate metabolism&gt;&gt;&gt;00520 Amino sugar and nucleotide sugar metabolism [PATH:ko00520]|KEGG Orthology (KO)&gt;&gt;&gt;09100 Metabolism&gt;&gt;&gt;09101 Carbohydrate metabolism&gt;&gt;&gt;00541 Biosynthesis of various nucleotide sugars [PATH:ko00541]|Enzymes&gt;&gt;&gt;5. Isomerases&gt;&gt;&gt;5.1  Racemases and epimerases&gt;&gt;&gt;5.1.3  Acting on carbohydrates and derivatives&gt;&gt;&gt;5.1.3.2  UDP-glucose 4-epimerase</t>
  </si>
  <si>
    <t>MKVLVTGGAGFIGSTVISRLLDDGHEAVILDDFSTGRREFAEGRTFYEGDFADRALLEQIWNDHPDIDAVMHCAALIVVPDSVSNPIGYYRNNVSKTIELLDFLQSHGCTRFLFSGSASIYAVTDDFTVDENSPFAPMSPYARTKAVLEGVFADIAAATPINIISLRYFNPIGADPSMRTGLQLEFPSHALGKLIEARNTGTPFTITGVDWPTRDGSGIRDYIHVWDLAAAHVAAIEKFDSVVGD---NDYLAINLGTGTGTTVFELVDAFDAVTGEKLATTTGPARPGDAAGAYTRSSRAKELLGWVPKHDIKDGIADTLKWFEVRENILDGF---------</t>
  </si>
  <si>
    <t>MKVLITGGAGYIGSTIAACCTDNGITPVILDDYSKGLREFARPYTNYEGDIADTALIRRILSEHPDIDAVIHCAAKIVVPESVSAPLAYYENNVAKSITLLRELSALGVRRFILSSTASMYEAGDDYMVDESAAIAPQSPYSASKWMLERILRDFAATGNMNVIALRYFNPIGADPAMRSGLQDPKPTHALGKMIEAYQSEGVFTVTGIDWPTRDGSGLRDYVHVWDLARAHVAALQNFDKVIASSAIDGFDIINLGTGTGTTVFELVDAFKDATGKPLDVQTAPPRLGDVAGCATLTAKAERLLDWRAELSIADGVKDSLKWAEKLPSILAREQANATAKDR</t>
  </si>
  <si>
    <t>MKVLITGGAGYIGSTIAACCTDNGITPVILDDYSKGLREFARPYANYEGDIADTTLIRRILSEHPDIDAVIHCAAKIVVPESVSAPLAYYENNVAKSITLLRELSALGVRRFILSSTASMYEAGDDYMVDESAAIAPQSPYSASKWMLERILRDFAATGNMNVIALRYFNPIGADPAMRSGLQDPKPTHALGKMIEAYQSEGVFTVTGIDWPTRDGSGLRDYVHVWDLARAHVAALQNFDKVIASSAIDGFDIINLGTGTGTTVFELVDAFKDATGKPLDVQTAPPRLGDVAGCATLTAKAERLLDWRAELSIADGVKDSLKWAEKLPSILAREQANATAKDR</t>
  </si>
  <si>
    <t>GC_00000987</t>
  </si>
  <si>
    <t>PF00350.29</t>
  </si>
  <si>
    <t>Dynamin family</t>
  </si>
  <si>
    <t>MSHGSPAAASRTPEESVTRAADIARRYGQDSAADRAVQMLNATFRAGTVVVMGEVKRGKSSLVNALIAQPDLLPVDVLTCTSAPIRVAV--SHDGPVVPQVTLVRGTEREMILATELARWVTVDGVGSLQGNTNAGLEESQDPPSSAEISVRYPDMDGITVVDTPGVGGLDKRAVTAALQEARHAGVLLMVCDASTPITAPEMDILRQAHDSVGGVIVAVTKTDKNTRRWRAIVEDNKRLISSHMGIDVPVVGVSSLRALDAARCIDPARRAELERRSGIAQLRSQLRAQLRQPAAMGQRAALQSITTTLTGIAKTVRDDIRLLAESSTAVEQLEAEKTTLERLREESSEFEQRFQRDLAVARTRVTEGLDKALEEVRHEWTQQINADSLRVLRSKPQVFTSQIETELAVVMEDTVGAMVEEISELASALFPDRQELIAEIMGTTVASLTPAEVSGHEVEKKTKDIIDPSVLMMGMIGSGALAAIIPVAPLAGAVWVGVNLGYRAMRNGKQHLITWLRETTASVRTATTRMLDTLITTARTDVMLRYRADLRTKIKELHGRIDQAREAARESEGERQERSARLTRNVQIIEATIAELGRHLQQGGARA</t>
  </si>
  <si>
    <t>----MVTKTQRTPVESVTRAAEIARRYGKTVAADRALATLTAKFRAGTVVVIGEVKRGKSSLVNALIGYRNLLPVDVLTCTSAPIRVHIQGGDEAPEYPQVALVRGTERQTVHPNDLYQWVTQAGTQA-SGNLEAEL------PSAAEITLRCDSLAGITLVDTPGVGGLDQQAVKSALLEARNAGVLLMVCDASSPITAPEMDILREAKETVGGVIVAVTKTDKNIRRWKSIIADNRRLINDHLGLDLPVIGVS</t>
  </si>
  <si>
    <t>GC_00000988</t>
  </si>
  <si>
    <t>PF03747.19</t>
  </si>
  <si>
    <t>ADP-ribosylglycohydrolase</t>
  </si>
  <si>
    <t>COG1397</t>
  </si>
  <si>
    <t>ADP-ribosylglycohydrolase (DraG) (PDB:1T5J)</t>
  </si>
  <si>
    <t>---MSRCAGILYGQLIGDSLGSLVEFQSAAEIAAAYPDGVRELQDGGVFRLIAGQPTDDSEMALAMARSIIRMGGYDAQDVLESYRRWAASDPFDIGITCANALLHQYINPDSQANGALMRLSPLAILGMNLPEDTLADLVELDCRMTHTHPLCITINRIVAVALARAAAQELTASALIDALLDLAPPELRVFIEQSTERPLVSEHIGWVKLAFSYAVYELATGTDFEESLVRTVGRGGDTDTNAAIVGAVLGGV</t>
  </si>
  <si>
    <t>MSMTDRAQGVLYGQVIGDSLGSLVEFASPDTIAADYPGGVRELADGGPFRLSAGQPTDDSEMALALARTLV-THGFDIDAIAAAYRRWAESHPFDIGNTCADALLRRVMNPQSQANGALMRISPVGVFCAHDP-DAARDYARQDARLTHVNEVCQDLNAAYAYAIARAVGEGLGREAVL-GLFD---------SDDVVEPDDYLTHMGWVRVAFPNALYQLATAPDFAEALVATIAHGGDTDTNAAICGALFGAVVGASGIPKRWRDVVDRCRPGPGTLRPRPAEYW-PTDLPGLAARILARR-</t>
  </si>
  <si>
    <t>MSMTDRAQGVLYGQVIGDSLGSLVEFASPDTIAADYPGGVRELADGGPFRLSAGQPTDDSEMALALARTLV-THGFDIDAIAAAYRRWAESHPFDIGNTCADALLRGVMNPQSQANGALMRISPVGVFCAYDP-DAARDYARQDARLTHINETCQDLNAAYAYAIARAVGEGLGREAVL-GLFD---------SDDVVEPDDYLTHMGWVRVAFPNALYQLATAPDFAEALVATIARGGDTDTNAAICGALFGAVVGASGIPKRWRDVVDQCRPGPGTLRPRPAEYW-PTDLPGLADRILTRR-</t>
  </si>
  <si>
    <t>GC_00000989</t>
  </si>
  <si>
    <t>MGEQEQHGLIVARAQPEPFMRAVRKLVRDGTYLKLARGVYIPRADYTSQPPWEQHRLRALALGTSRIRIIGGRSAALLWGMWTLVDKNSPVEYYVARGRKDTTCSGRKLTGRLSTKDYVQGQHVVVTNIAQTALDLARFHGFEDCFMSVCWALKHRSDATEELRHAATRSPMLAQCLQLADPHLDSAAEAYFLAQVRHEGLVDLAPQVELIDARGVLRRVDFYVRGTRIVIEISGLGKYGDTEDN---SIEKATNRLDALVTAGYRVWAYSAKQAFSGYAYRDVLRRLQLHHKK---</t>
  </si>
  <si>
    <t>MGEQEQHGLIVARAQPEPFMRAVRKLVRDGTYLKLARGVYIPRADYTSQPPWEQHRLRALALGTSGIRIIGGRSAALLWGMWTLVDKNSPVEYYVARGRKDTTCSGRKLTGRLSTKDYVQGQHVAVTNIAQTALDLARFHGFEDCFMSVCWALKHRSDATEELRHAATRSPMLAQCLQLADPHLDSAAEAYFLAQVRHEGLVDLAPQVELIDAQGVLRRVDFYVRGTRIVIEISGPGKYGDTEG-----------------------------------------------------</t>
  </si>
  <si>
    <t>GC_00000990</t>
  </si>
  <si>
    <t>PF02597.26</t>
  </si>
  <si>
    <t>ThiS family</t>
  </si>
  <si>
    <t>K03636</t>
  </si>
  <si>
    <t>sulfur-carrier protein</t>
  </si>
  <si>
    <t>COG1977</t>
  </si>
  <si>
    <t>Molybdopterin synthase sulfur carrier subunit MoaD (MoaD) (PDB:1FM0) (PUBMED:32239579)</t>
  </si>
  <si>
    <t>KEGG Orthology (KO)&gt;&gt;&gt;09120 Genetic Information Processing&gt;&gt;&gt;09123 Folding, sorting and degradation&gt;&gt;&gt;04122 Sulfur relay system [PATH:ko04122]</t>
  </si>
  <si>
    <t>MRGMQVHYFAAARAAAGVAVESRELVPNTLGELLEELAA-EHSETTAAGMTLAEIFVQCSFLADGHHVQPDASLAGVDRVDVLPPFAGG</t>
  </si>
  <si>
    <t>GC_00000991</t>
  </si>
  <si>
    <t>MEIHGFAAGPFKTNCYVWVGDGPEGERHCVVIDPGMHAHDKLVQLVADQGLTVDKIVLTHGHVDHTRDAAQLAKRWGIDIYIHALDAPMLEDPSIAVSSQTSLLFDVVNMTPYPNSLPLEEGQVLDFAGHEFRVVHAPGHSPGSVLLVGDDVVFSGDVLFQGSIGRTDLPHSSPEDMEATLKGPVLSLADHLHVLPGHGPATTMRAERMNNPFLRQLY</t>
  </si>
  <si>
    <t>MEILGFATGPYKTNCYVLV----DGE-HATIIDPGMHAATHLIDYFTEHHIEPERILLTHGHIDHTRDAGILAARYRIPVYIHEADAFMLTDGS-GVSPESLILFDTKNMTPIADLRFYQHEDTLDIGEMRLVIKHAPGHSPGSVMLVGDAVAFTGDVLFKGSIGRTDLADSSPADMDNTLSKQVMGLSDDLQVLPGHGATTTVRAEKRSNPFLADYA</t>
  </si>
  <si>
    <t>GC_00000992</t>
  </si>
  <si>
    <t>PF07728.20</t>
  </si>
  <si>
    <t>AAA domain (dynein-related subfamily)</t>
  </si>
  <si>
    <t>COG0714</t>
  </si>
  <si>
    <t>MoxR-like ATPase (MoxR) (PDB:2R44)</t>
  </si>
  <si>
    <t>MSNSQQKIHDNQQIVLPEDRYAEELAFLAVYDQGPKPPGWLLTPQSVVAFICGEQGLRLKADKKKAHPELPQRMDITPKFIGDKALIERCVVTLAGSRALMLVGEPGTAKSMLSELLSAAICGTSELTVQGSAGTTEDQLRYGWNYAMLLAHGPSEQALVPSPVLQAMTTGKVARIEEITRCQPEVQDALVPVLSERRMAIPELGEHSVPAVQGFCVIATANLRDKGVSEMSAALKRRFNFEHIDPISDRNAEIALVESKTKQALEEAAAPGAVDQVVVDTLVTIFRDLRRGVTHEGWSVEKPGSIMSTAEAVAISSSIALSTSYFPHGPSALQLIPGHLLGAVRKDDDKDAGRLQAYWDAVIRRRTQT---------------------DESGTWRTLWEAREDVH--</t>
  </si>
  <si>
    <t>-------MNTKHQVLLAEEQYATELAFLAAYDQGPKPPGWLLTPRAVVTFVCGETGLRLDKDAKTEHPELPARMDITAKFIGDRALVERCVVTLAGSRALMLVGEPGTAKSMLSELLAAAICGSSELTVQGSAGTTEDQLRYGWNYAMLLAHGPSTEALVPSPVLQAMATGKVARIEEITRCQPEIQDALVPILSERRMAIPELGEHSEAAREGFCVIATANLRDKGVSEMSAALKRRFNFEHIDPIADRNVEVN</t>
  </si>
  <si>
    <t>-------MNAKHQVLLAEEQYATELAFLAAYDQGPKPPGWLLTPRAVVTFVCGETGLRLDKDAKTEHPELPARMDITAKFIGDQALVERCVVTLAGSRALMLVGEPGTAKSMLSELLAAAICGSSELTVQGSAGTTEDQLRYGWNYAMLLAHGPSTEALVPSPVLQAMATGKVARIEEITRCQPEIQDALVPILSERRMAIPELGEHSEAAREGFCVIATANLRDKGVSEMSAALKRRFNFEHIDPIADRNVEVN</t>
  </si>
  <si>
    <t>GC_00000993</t>
  </si>
  <si>
    <t>K13075</t>
  </si>
  <si>
    <t>N-acyl homoserine lactone hydrolase [EC:3.1.1.81]</t>
  </si>
  <si>
    <t>KEGG Orthology (KO)&gt;&gt;&gt;09140 Cellular Processes&gt;&gt;&gt;09145 Cellular community - prokaryotes&gt;&gt;&gt;02024 Quorum sensing [PATH:ko02024]|Enzymes&gt;&gt;&gt;3. Hydrolases&gt;&gt;&gt;3.1  Acting on ester bonds&gt;&gt;&gt;3.1.1  Carboxylic-ester hydrolases&gt;&gt;&gt;3.1.1.81  quorum-quenching N-acyl-homoserine lactonase</t>
  </si>
  <si>
    <t>MSLHSPINDAASTPHGITKIRYYQCGYCVNEMSHIYKGYPKE---KRIFPAGVFLLEHATEGRILFDTGYSRDIFTAGWRSKLYKALNPATVTAEDELPAQLEKDGIAPESINYVILSHLHPDHIGGVKFFPQSTFVLSQESYDVFRTPKLADLVFPSFLPNWFAEKVHVVDSHRMLLDTNTGVEGHDFFGDGSLLLTGLNGHARGQVGAYLPGQLLLAADASWGTDLIDYTDSMRFPARLIQADYGEYKRTVGRVKHLREMNIDVYFSHERYSVKDIL</t>
  </si>
  <si>
    <t>-----------MSNQLIKSVRYYQCGYCMNNLRVMYRGLPRDMDPGRAFPAGVFLIEHESEGYLLLDTGYSQDIFRSGVREFLYNKVTPTRVTAEDEIPAQLARDGIDVGQIRRVVLSHLHPDHIGGVKFFPESEIIMSADAYEVLGNARVRDLVFPALVPSWLAQNASVMPVQSLVQDADTGLVGHDVFGDGSLLLVRLPGHAAGQVGAYIPGRLLIATDASWGNDLLPYSAQLRLPTRLIQRDYETYKETATL</t>
  </si>
  <si>
    <t>-----------MSNQLIKSVRYYQCGYCMNNLRVMYRGLPRDMDPSRAFPAGVFLIEHESEGYMLLDTGYSQDIFRSGVRGFLYNKVTPTRVTAEDEIPAQLARDGIDVGQIRRVVLSHLHPDHIGGVKFFPESEIIMSADAYEVLGNARVRDLVFPALVPSWLAQNASVMPVQSLVQDPDTGLVGHDVFGDGSLLLVRLPGHAAGQVGAYIPGRLLIATDASWGNDLLPYSSQLRLPTRLIQRDYETYKETATL</t>
  </si>
  <si>
    <t>GC_00000994</t>
  </si>
  <si>
    <t>MNPSRQEAIETITLLLTQAIDALESGGPELVEPASELREMVTRPPRVAIAGRLKSGKSTLVNALTQHHIAATDSVECTMAVSMYLDGAPARAEVVGLDGRVDRVSLGQGPLDHLPRPLDEVDYVRQFVPNASLQRLSLIDTPGTATLTVDNEQRTRRMLIDGTKDTRRASAWADCVVFLSDSAPREDERVFLSQLGMTPLTTMGVLSRADSFGAGAFGNQDPIQLAGVHAARIAEQLGSAVRTVLPLSGLLAESALVGQVTERVARSAAALAHLDRDGVLDVIEVDDPSIIVPGFTAAMRDELLDVLGEYGVMVGRSVAHAQGAVGLMQWMRDVSGIDSLTDLLTGDNAYFAVLQRAVRMLDALEDLSNNYAVRDHVRWVQEILLGQPQMHEVLLYRSYRDTYVSTPDSSLLGPLRQAITAATSAEVAGLSPSADPTSVRARHEQELGRLQQLAMTPLSAAEDEARERLIIAHQQALRSMT</t>
  </si>
  <si>
    <t>MNPYHKQAISDLTILLRQAIDALEQGGPELVEPAKELREMVTRPPRVAIVGRLKSGKSTLVNALTQHRIAATDSLECTLVVSMYLDGAPARAEIIGLDGESIREPLGNGPLQKLPRPLDEIDYVRQYLPNVSLRQLSLIDTPGTATLTVENEERTRRMLVDGGQDTRRASSWADCVVFLSDSAPRDDERTFLSQLGMTPLTTVGVLSRADSFGAGAFGQVDPIIFAGEHAYKIAEQLQSVVETVLPLSGLLAESASVGRVTETLARNLGSLVMLDRDQVLDFIEVDDPGVIVRGFTPAMRDDLLDAVGEYGIMAGRGVAHQSGATGLLKWMREVSGIESLTQLLTGDIVYFAILQRAVRMLDALEDMSNNYNVRNHVRWVQEVILSQPGMHFVLLYRSYRNTYASNPNSVLLPALRRAITATNPAEVAGLTSSADPGVVRAKHEEELGKLQMLAMTPLSAAEDEARERLIVAHQHALRSLR</t>
  </si>
  <si>
    <t>MNPYHKQAISDLTILLRQAIDALEQGGPELVEPAKELREMVTRPPRVAIVGRLKSGKSTLVNALTQHRIAATDSLECTLVVSMYLDGAPARAEIIGLDGESIREPLGNGPLQKLPRPLDEIDYVRQYLPNVSLRQLSLIDTPGTATLTVENEERTRRMLVDGGQDTRRASSWADCVVFLSDSAPRDDERTFLSQLGMTPLTTVGVLSRADSFGAGAFGQVDPIIFAGEHAYKIAEQLQSVVETVLPLSGLLAESASVGRVTETLARNLGSLVMLDRDQVLDFIEVDDPGVIVRGFTPAMRDDLLDAVGEYGIMAGRGVAHQSGATGLLKWMREVSGIEALTQLLTGDIVYFAILQRAVRMLDALEDISNNYNVRNHVRWVQEVILSQPGMHFVLLYRSYRNTYASNPNSVLLPALRRAITATNPAEVAGLTSSADPGVVRAKHEEELGKLQMLAMTPLSAAEDEARERLIVAHQHALRSLR</t>
  </si>
  <si>
    <t>GC_00000995</t>
  </si>
  <si>
    <t>PF08543.17</t>
  </si>
  <si>
    <t>Phosphomethylpyrimidine kinase</t>
  </si>
  <si>
    <t>H|H|H</t>
  </si>
  <si>
    <t>Coenzyme transport and metabolism|Coenzyme transport and metabolism|Coenzyme transport and metabolism</t>
  </si>
  <si>
    <t>K14153</t>
  </si>
  <si>
    <t>hydroxymethylpyrimidine kinase / phosphomethylpyrimidine kinase / thiamine-phosphate diphosphorylase [EC:2.7.1.49 2.7.4.7 2.5.1.3]</t>
  </si>
  <si>
    <t>COG0351|COG0352|COG0819</t>
  </si>
  <si>
    <t>Hydroxymethylpyrimidine/phosphomethylpyrimidine kinase (ThiD) (PDB:1Y9X) (PUBMED:17351295)|Thiamine monophosphate synthase (ThiE) (PDB:1G4T) (PUBMED:19060138)|Aminopyrimidine aminohydrolase TenA (thiamine salvage pathway) (TenA) (PDB:2QCX) (PUBMED:17618314)</t>
  </si>
  <si>
    <t>Thiamine biosynthesis|Thiamine biosynthesis</t>
  </si>
  <si>
    <t>M00127|M00895|M00896|M00899</t>
  </si>
  <si>
    <t>Thiamine biosynthesis, prokaryotes, AIR (+ DXP/tyrosine) =&gt; TMP/TPP|Thiamine biosynthesis, prokaryotes, AIR (+ DXP/glycine) =&gt; TMP/TPP|Thiamine biosynthesis, archaea, AIR (+ NAD+) =&gt; TMP/TPP|Thiamine salvage pathway, HMP/HET =&gt; TMP</t>
  </si>
  <si>
    <t>KEGG Orthology (KO)&gt;&gt;&gt;09100 Metabolism&gt;&gt;&gt;09108 Metabolism of cofactors and vitamins&gt;&gt;&gt;00730 Thiamine metabolism [PATH:ko00730]|Enzymes&gt;&gt;&gt;2. Transferases&gt;&gt;&gt;2.5  Transferring alkyl or aryl groups, other than methyl groups&gt;&gt;&gt;2.5.1  Transferring alkyl or aryl groups, other than methyl groups (only sub-subclass identified to date)&gt;&gt;&gt;2.5.1.3  thiamine phosphate synthase</t>
  </si>
  <si>
    <t>-----MTDWTLYLVTDPDLAGGPDNVPHIVSQAISGGVSVVQLRDKRATRGEIRQHAQALCEVT-----------GNIPLFINDYVDIAAELGLHAHIGQSDTRYVEARKLLPDHLMLGLSIETHEQLITVIADAQEAGVRLPDVIGIGPVRATSTKPDHAAPLGVEGVAAIARTAVCYGIATVAIGGVDKQCASKLQAVDGACVVSAIMAAQDPHAAARELRGAFV----QVPRVLSIAGTDPTGGAGAQADVK</t>
  </si>
  <si>
    <t>KEGG Orthology (KO)&gt;&gt;&gt;09100 Metabolism&gt;&gt;&gt;09108 Metabolism of cofactors and vitamins&gt;&gt;&gt;00730 Thiamine metabolism [PATH:ko00730]|Enzymes&gt;&gt;&gt;2. Transferases&gt;&gt;&gt;2.7  Transferring phosphorus-containing groups&gt;&gt;&gt;2.7.1  Phosphotransferases with an alcohol group as acceptor&gt;&gt;&gt;2.7.1.49  hydroxymethylpyrimidine kinase|Enzymes&gt;&gt;&gt;2. Transferases&gt;&gt;&gt;2.7  Transferring phosphorus-containing groups&gt;&gt;&gt;2.7.4  Phosphotransferases with a phosphate group as acceptor&gt;&gt;&gt;2.7.4.7  phosphooxymethylpyrimidine kinase</t>
  </si>
  <si>
    <t>MQDVREPIWDLYLVTDP--GSDPDAVPAIVTQAITGGVTVVQLRDKHATKPQIRQRAQALKDAIQAVTAVSNADPSTIPLFINDHVDIAAELGLHAHIGQGDLSYVAARRQLPAELMLGLSIETADQLEHVVETCHASGVRLPDVVGIGPVRATETKPDHATPLGVAGVQRIARMAAAHGMKSVAIGGVDKHIAAELQQVDGVCVVSTIMSSPDPAAAAGELRAAFAMRRPSVPRVLSIAGTDPTGGAGAQADLKSIAAAGGYGMNAITALVAQNTHGVRSIHTPPLSFLREQLDAVVSDVTIDAVKIGMLGSADIVACVRQWLAEHPMPLVVLDPVMVATSGDRLLDPDAEQAVIEFAHHVDIVTPNVPELAVLLSAPEPARTFEEALSQAAEFAQKSNTIVIAKGGHLDGKLANNAVVYPDGRITTITTPRIDTTNTHGIGCSLSSALATRLAAGDTITEAIEWVSYWLADSIRAGAALEVGTPGGHGPIDHFHQVRRQAACASTKPWKFTGEVRYRPTIPAAGPYTQSLWDSMGEVWSQIMGLPFIMGLRDGSLSKREFDFYLNQDAHYLANYSRALAVLAAKAGEPQYQVEWAESARDCLVVEAQLHHEWLGGISGDTSPVTLGYTNFLTATAYGDDYVVGAAAVLPCYWIYAEVGACLAASNHPDHPYHEWLKTYGDQSFVTTTEAALRRVEHALAQATGVQRAAATAAFQVACAYEREFFDQASRSEIR</t>
  </si>
  <si>
    <t>---MREPIWDLYLVTDP--GSDPDAVPAIVTQAITGGVTVVQLRDKHATKPQIRQRAQALKDAIQAVTAVSNADPSTIPLFINDHVDIAAELGLHAHIGQGDLSYVAARRQLPAELMLGLSIETADQLEHVVETCRASGVRLPDVVGIGPVRATETKPDHATPLGVAGVQRIARMAAAHGMKSVAIGGVDKHIAAELQQVDGVCVVSAIMSSPDPAAAAGELRAAFAMRRPSVPRVLSIAGTDPTGGAGAQADLK</t>
  </si>
  <si>
    <t>GC_00000996</t>
  </si>
  <si>
    <t>PF13180.12</t>
  </si>
  <si>
    <t>PDZ domain</t>
  </si>
  <si>
    <t>K07177</t>
  </si>
  <si>
    <t>Lon-like protease</t>
  </si>
  <si>
    <t>COG3480</t>
  </si>
  <si>
    <t>Predicted secreted protein YlbL, contains PDZ domain (SdrC)</t>
  </si>
  <si>
    <t>Peptidases and inhibitors&gt;&gt;&gt;Serine peptidases&gt;&gt;&gt;Family S16: lon protease family</t>
  </si>
  <si>
    <t>MLASRHASCILTVVNRRLRTVTLGALPVLLLTLLATSSSIPGTNISLAVPFAAMGPGPSFNTLGDFDGKQVVDIQGAEVDKTSGNFNMTTVAVRQNMSLAQAVSRWISSSDTFVPIDQVIPRGQSREQTEQENQQAFLTSESAATLAAMNYLKRPVEVEVMQLVPDSAASGKLSEGDVITAVDGTTVTEPAQVREIVQKKKPGDEITVTVKHDGATEDKAIKLGKHPDDENTPLLGVTMGAAPSDGVKVDYNLEDIGGPSAGLMFALAVVDKLSPGELNGGKFVAGTGTIDDTGKVGAIGGIEHKVKSAEDLGAEVFLAPADNCKEAIKNHPKDMTVLKVTSLEDAIHQLDAYNRGDGYTTCG</t>
  </si>
  <si>
    <t>----------------------------------------------------------MFNTLGKVNDVDVVQITGTDVDHTSGNLNMTTVSVRTNMTLVQAISRWLLTSDNLVPIDQVIPQNKTEEEVNQLNQQAFLSSESSATTAALRYLKKPLEVEIAEVVAGSPADGSLSAGDRIVSIAGEKVDSGGHAQKIVRSKKPGDDITVTVRHQGTTEEKTITLAEHPSDKKLPFLGISMTTVPTGDITVKYNLED</t>
  </si>
  <si>
    <t>GC_00000997</t>
  </si>
  <si>
    <t>MSAIPQPTGPDPKPINIGEVLKLLTPEFPDITLSKIRYLESEGLVSPQRTSSGYRKYTNADVERLRYVLTIQQETYMPLKEIKKQLDAMDSRSVIPITKAATAQTIISPEKFRKPAITRLSDVEVAKKAGVELQFVIDLANVGIIGPDQSGFFTADDIQVVSTANALSEFGIDARHLKSVKNAASRQAGLISQVVTPLAKSNKDVAREQAEEMSRRMSALVVSLHAVLVKNELRNQSG-</t>
  </si>
  <si>
    <t>GC_00000998</t>
  </si>
  <si>
    <t>PF09335.16</t>
  </si>
  <si>
    <t>VTT domain</t>
  </si>
  <si>
    <t>K03975</t>
  </si>
  <si>
    <t>membrane-associated protein</t>
  </si>
  <si>
    <t>COG0586</t>
  </si>
  <si>
    <t>Membrane integrity protein DedA, putative transporter, DedA/Tvp38 family (DedA) (PUBMED:24312110;25917916)</t>
  </si>
  <si>
    <t>MMEALTEYIIHLGIVAVIAVIFAESGLLVGFFLPGDSLLFMSGFLTQQGIFKINIHLFALLLFIAAVAGDNVGYSFGKRVGRKLFERPNSRLFKQQYLVQAEQFFEKHGSKAIVLARFVPVVRTFTPIIAGVSTMHYRTFFVYNLIGGFLWTATFSYAGYYIGQKLHEMGFNIEIISIVIILISVAPIAIHAVSSQERRQALMAQIKNLPTTIRGIFTKEDSAQ</t>
  </si>
  <si>
    <t>MMEALAQYIVHLGIFAVIAVIFAESGLLIGFFLPGDSILFLSGFLTQQGTFALNIHLLVLFLFIAAVLGDNVGYSFGARVGRKLFERPNSKLFKQKYLIQAEAFFEKHGSKAIVLARFVPIVRTFTPIVAGVSKMHYHTFFIYNLMGGFLWTALFTYAGYHIGQKLHDMGFNIEIISVIIIAISVAPIVIHAISSKERRDALLAKTKS-------VFVRK----</t>
  </si>
  <si>
    <t>MMEALAQYIVHLGIFAVIAVIFAESGLLVGFFLPGDSLLFLSGFLTQQGTFALNIHLLVLFLFLAAVLGDNVGYSFGARVGRKLFERPNSKLFKQKYLIQAEAFFEKHGSKAIVLARFVPVVRTFTPIVAGVSKMHYHTFFIYNLLGGFLWTALFTYAGYYIGQKLHDMGFSIEIISVIIILISVAPIGIHAISSKERRDALLAKTKS-------VFVRK----</t>
  </si>
  <si>
    <t>GC_00000999</t>
  </si>
  <si>
    <t>------MLILHVVAALLLLGPVTVAVSTFHVRAREAHNGNDLARGSVRTLFTITNTYGLISLIVPLLGMGLLLSNMSYLREGRFHASILLSVIAWGILFFLIVPRQKKMMAALGLSDDDDDVPSEKHAGAATIENWDKAVSQLSMFGGIFSALWVIVAVLMVI-----</t>
  </si>
  <si>
    <t>MIMGPLLTIVHVLAAVLLLGPVTVAVSQFQVQALKAHEGDTAAGGAARVLYRITQTYGMLSLLVPLVGFAIMFTG-NYWHEGRFHVSLLLSIIGWALLLFVIMPRQKTMMGTLRL------LPEDELTHDFQVTDWKKAKSQLAMFGGIFSLLWVVTAILMMLPRIMG</t>
  </si>
  <si>
    <t>MIMGPLLTIVHVLAAVLLLGPVTVAVSQFQVQAVKAYEGDTAAGGAARVLYRITQTYGILSLLVPLVGFAIMFTG-DYWHEGRFHTSLLLSIIGWALLLFVIMPRQKTMMGALRL------LPEDELTHDFQVTDWKKAKSQLAMFGGIFSLLWVVTAILMMLPRIMG</t>
  </si>
  <si>
    <t>GC_00001000</t>
  </si>
  <si>
    <t>PF00384.28</t>
  </si>
  <si>
    <t>Molybdopterin oxidoreductase</t>
  </si>
  <si>
    <t>K00370</t>
  </si>
  <si>
    <t>nitrate reductase / nitrite oxidoreductase, alpha subunit [EC:1.7.5.1 1.7.99.-]</t>
  </si>
  <si>
    <t>COG5013</t>
  </si>
  <si>
    <t>Nitrate reductase alpha subunit (NarG) (PDB:1Q16)</t>
  </si>
  <si>
    <t>M00530|M00529|M00804</t>
  </si>
  <si>
    <t>Dissimilatory nitrate reduction, nitrate =&gt; ammonia|Denitrification, nitrate =&gt; nitrogen|Complete nitrification, comammox, ammonia =&gt; nitrite =&gt; nitrate</t>
  </si>
  <si>
    <t>Pathway modules; Energy metabolism; Nitrogen metabolism|Pathway modules; Energy metabolism; Nitrogen metabolism|Pathway modules; Energy metabolism; Nitrogen metabolism</t>
  </si>
  <si>
    <t>--MAHTHNPPNPLFNLGSFLRRGETGPAGQQLFLKGGRQADVFYRDRWAFDKVVRSTHGVNCTGSCSWKVYVKDGVITWESQAVDYPTTGSEMPDYEPRGCPRGASFSWYTYSPTRIRSPYARGVLVDMYREAKKEHGDPVLAWRSIVEDPDKRRAYVKERGKGGLIRIPYEEAIEIAAAAHVYTVRQHGPDRIAGFTVIPAMSQISYGAGTRFLELIGGVALSFYDWYADLPPASPQTFGDQTDVPESGDWFNS</t>
  </si>
  <si>
    <t>MTDSPRTDNVNPLFKLGSFVRRGTTGKEGQQIFLQGGRQADVFYRDRWAFDKVVRSTHGVNCTGSCSWKVYVKDGVITWESQAVDYPTTGPDMPDYEPRGCPRGASFSWYTYSPTRIRHPYARGVLVDMFREAKKRLGDPVLAWRDIVEDPKKRNAYVSQRGKGGLIRIPYDEAIEMAAAAHVYTLRQYGPDRIAGFTVIPAMSQVSYGAGTRFLQLIGGVALSFYDWYADLPPASPQTFGDQTDVPESGDWFNSSYLIMWGSNIPVTRTPDAHFMAESRYSGTKVVVVSPDFADNTKFADEWCRLAPGTDGALAMAMGHVILSKFHVGEKEPFFLDYMRRFTDAPFLITLDDRGDGTYTPGKFLTASNVSD--PALKNSPNATHRLLMMQKDGTIVDPGGTLADRYGEEGVGKWNLNLDNVDPIMSVAEAGAEESVELLLPRFDLADYKGNKEGSVGAGIVHRGVPIMHYDGHLVTTVFDVMLAHYGVNREELNLPGSWPKDFNDPDEVGTPAWQEELTGVPAAQAIRIATEFARNAIDSKGRSQIIMGAGVNHYFHADSTYRTFLALTSMCGTQGVNGGGWAHYVGQEKLRAMNGWAQYAFATDWSRPPRQMITTGFYYLTTDQWRYDNTKAARMASPLANRGTVGNKSTADTLIEAMKRGWMPSYPQFDRNPLVITQEAKDKGVPVAEYIVDELTNGNLHFACEDPDNPVNYPRILLNWRTNLLGSSAKGTEFFLRHMLGIDSDATTDEIKPEERPESIKWRDEAPQGKLDLMLTTDFRNTSTTLSSDIVLPAATWYEKHDMSSTDMHPYLHSFNAAINPPWEARTDFEVFRDLSAKLSELAVAWLGTQQDVVAAPLGHDSPDELNMPNGIVPNLDETGLIPGKTMAKLVPVDRDYTKVYEKWMHLGPLSAKLGTGVHGTPFNVEKQVEELRSINGESMTESAGMRPNLDTATKAIDMILRMSGVSNGEVAANGFANQAKRTGNEKLLELVDDVAGVRINWDMIKERPAEVITSPEWTGVKKGGRRYTAFSLNVEYNRPFNTLSGRMHYYLDHDWFMDYGESLPMFRPPFDHFHINGEHAPGLTLQGENGNPEVTVRYLTTHNKWSIHSQYYDNLHVLSISRGGQVIWMSDKDAEKIGVKDNEWIEAYNRNGVVSARAIVSHRIPEGTVFMNHAQERTAGTPINEFTGRRGGTHNSLTRIMIKPIHVAGGYGHLTYGFNYIGPTGNNRDEVTRIRRRSQEVRYS</t>
  </si>
  <si>
    <t>MTDSPRTDNVNPLFKLGSFVRRGTTGKEGQQIFLQGGRQADVFYRDRWAFDKVVRSTHGVNCTGSCSWKVYVKDGVITWESQAVDYPTTGPDMPDYEPRGCPRGASFSWYTYSPTRIRHPYARGVLVDMFREAKKRLGDPVLAWRDIVEDPKKRNAYVSQRGKGGLIRIPYDEAIEMAAAAHVYTLRQYGPDRIAGFTVIPAMSQVSYGAGTRFLQLIGGVALSFYDWYADLPPASPQTFGDQTDVPESGDWFNSSYLIMWGSNIPVTRTPDAHFMAESRYSGTKVVVVSPDFADNTKFADEWCRLAPGTDGALAMAMGHVILSKFHVGEKEPFFLDYMRRFTDAPFLITLDDRGDGTYTPGKFLTASNVSD--PALKNSPNATHRLLMMQKDGTIVDPGGTLADRYGEEGVGKWNLNLDNVDPIMSVAEAGAEESVELLLPRFDLADYKGNKEGSVGAGIVHRGVPIMHYDGHLVTTVFDVMLAHYGVNREELNLPGSWPKDFNDPDEVGTPAWQEELTGVPAAQAIRIATEFARNAIDSKGRSQIIMGAGVNHYFHADSTYRTFLALTSMCGTQGVNGGGWAHYVGQEKLRAMNGWAQYAFATDWSRPPRQMITTGFYYLTTDQWRYDNTKAARMASPLANRGTVGNKSTADTLIEAMKRGWMPSYPQFDRNPLVITQEAKDKGVPVAEYIVDELTNGNLHFACEDPDNPVNYPRILLNWRTNLLGSSAKGTEFFLRHMLGIDSDATTDEIKPEERPESIKWRDEAPQGKLDLMLTTDFRNTSTTLSSDIVLPAATWYEKHDMSSTDMHPYLHSFNAAINPPWEARTDFEVFRDLSAKLSELAVAWLGAQQDVVAAPLGHDSPDELNMPNGIVPNLDETGLIPGKTMAKLVPVDRDYTKVYEKWMHLGPLSAKLGTGVHGTPFNVEKQVEELRSINGESMTESAGMRPNLDTATKAIDMILRMSGVSNGEVAVNGFTNQAKRTGNEKLLELVDDVAGVRINWDMIKERPAEVITSPEWTGVKKGGRRYTAFSLNVEYNRPFNTLSGRMHYYLDHDWFMDYGESLPMFRPPFDHFHINGEHAPGLTLQGENGNPEVTVRYLTTHNKWSIHSQYYDNLHVLSISRGGQVIWMSDKDAEKIGVKDNEWIEAYNRNGVVSARAIVSHRIPEGTVFMNHAQERTAGTPINEFTGRRGGTHNSLTRIMIKPIHVAGGYGHLTYGFNYIGPTGNNRDEVTRIRRRSQEVRYS</t>
  </si>
  <si>
    <t>GC_00001001</t>
  </si>
  <si>
    <t>COG0494</t>
  </si>
  <si>
    <t>8-oxo-dGTP pyrophosphatase MutT and related house-cleaning NTP pyrophosphohydrolases, NUDIX family (MutT) (PDB:4V14)</t>
  </si>
  <si>
    <t>MNHDSPGVNTSLNPEAAPVWMHRLVDTVRTTEQR---------PPTTAAKQAAVLMLFSGTETSATLPNDAAVLLTHRSPSMRSHSGQIAFPGGRLDPTDANIVDCALREAWEETGLDRTTVTPLAQLSEVHILASGYPVHPVLGHWHTP---MNVGVVSPEEADAVFDVPVYQLIDPANRITVGWNTWSGPAFRINDYIIWGFTGGLLSAALHQAGWEEEWDRDTVHDLQTTLAQSRNNERLR</t>
  </si>
  <si>
    <t>GC_00001002</t>
  </si>
  <si>
    <t>PF06305.16</t>
  </si>
  <si>
    <t>Lipopolysaccharide assembly protein A domain</t>
  </si>
  <si>
    <t>K08992</t>
  </si>
  <si>
    <t>lipopolysaccharide assembly protein A</t>
  </si>
  <si>
    <t>COG5416</t>
  </si>
  <si>
    <t>Uncharacterized integral membrane protein YrvD (YrvD) (PUBMED:16737961)</t>
  </si>
  <si>
    <t>MNNTDGVNNSAESGMSDALDTAHDVPEVSTPTGDLVPVTTPGEIATTETAETQHSESGKQPAKQPKQPKKPRPTVQGSFAGGTWLALIAGCLLLILLLVFILQNQQSAELNFFSWHFQFPSGVGFLLSAIAGALIMALVGGVRMLELRRQ-VKKEKKLLASRDH--------------</t>
  </si>
  <si>
    <t>MNNTDGVNNSVESGMSDALDAAHDAPEVSTPTGDLVPVTTPGEVATTETAETQHSESDKQPVKQPKQPKKPRPTVQGSFAGGTWLALIAGCLLLILLLVFILQNQQSAELNFFSWHFQFPSGVGFLLSAIAGALIMALVGGVRMLELRRQ-VKKEKKLLASREH--------------</t>
  </si>
  <si>
    <t>GC_00001003</t>
  </si>
  <si>
    <t>PF13247.11</t>
  </si>
  <si>
    <t>4Fe-4S dicluster domain</t>
  </si>
  <si>
    <t>K00371</t>
  </si>
  <si>
    <t>nitrate reductase / nitrite oxidoreductase, beta subunit [EC:1.7.5.1 1.7.99.-]</t>
  </si>
  <si>
    <t>COG1140</t>
  </si>
  <si>
    <t>Nitrate reductase beta subunit (NarY) (PDB:1Y4Z)</t>
  </si>
  <si>
    <t>MKVMAQIAMVMSLDKCIGCHTCSVTCKQAWTNREGTEYIYFNNVETRPGVGYPRGWEDQDKWEGGWVRTSSGGLKPRAGGRLKKLMTIFHNPKLPTIDDYYEPWTYEYDRLLSAPRGQATQPTARPISQLDGREIDKIEWSSNWDDNLGGSTATLDNDPVLQQMNLTVRKEIEDSFMFYLPRICEHCLNPTCVSSCPSGAMYKRTEDGIVLVDQDRCRGWRMCVSGCPYKKVYFNHKSGKAEKCTLCYPRLEVGQPTVCSETCVGRLRYLGVLFYDADRVPEAAATKDPQDLYEAQRSILLDPHDPRVVEAAIAEGIPHSWIDAAQQSPIWDLIFRYDLALPLHPEYRTLPMVWYVPPLSPVVDSVTASGLDGEDHKVLLTTLSTMRIPLEYLAGLFTAGDTRPVEKSLRRLAAMRSYMRDINLGNEPNEEIAQSVGMTGKEIEAMYRLLAIAKYDDRYVIPTASPESPRGITSLDPFGDVDPTNPVKLLDDLGMGAPEACSSGCGSGDSQASKISLVSWSNGERPAGMFPDRGAQ-------</t>
  </si>
  <si>
    <t>MKVMAQIAMIMNLDKCIGCHTCSVTCKQAWTNREGTEYIWFNNVETRPGVGYPYGWEDQDKWKGGWTLTKSGKLTPRSGGRLKKLATIFHNPNLPTIEDYYEPWTYEYEKVLSAPAGQKTQPTARPVSQLDGKPIDTISWSSNWDDNLGGSGATMDDDPVLKTMNTQVKKQIEDSFMFYLPRICEHCLNPTCVSSCPSGAMYKRTEDGIVLVDQDRCRGWRMCVSGCPYKKVYFNHKTGKAEKCTLCYPRLEVGQPTVCSETCVGRLRYLGVVLYDADKVAEAAATKDEHALFQAQKDLILNPHDPRVVAAAEAENIPHSWIDAAQNSPIWDLIFKYEVAVPLHPEYRTLPMVWYIPPLSPIVEAVTSTGNDGEDHKILLSAISNMRIPLDYLAGLFTAGDPVPVEKVLRRLAAMRSYMRDINLGNEPQEEIAQAVGMTGEDMRSMHRLLAIAKYDDRYVIPTASPETPRGIASLPSFNGVDPSATVAEFHGLGEGAPEACHAGVGAGGGSGT-ISLASWTPGEVPRSMFPKSSSASSETTPS</t>
  </si>
  <si>
    <t>MKVMAQIAMIMNLDKCIGCHTCSVTCKQAWTNREGTEYIWFNNVETRPGVGYPYGWEDQDKWKGGWTLTKSGKLIPRSGGRLKKLATIFHNPNLPTIEDYYEPWTYEYEKVLSAPAGQKTQPTARPVSQLDGKPIDTISWSSNWDDNLGGSGATMDDDPVLKTMNTQVKKQIEDSFMFYLPRICEHCLNPTCVSSCPSGAMYKRTEDGIVLVDQDRCRGWRMCVSGCPYKKVYFNHKTGKAEKCTLCYPRLEVGQPTVCSETCVGRLRYLGVVLYDADKVAEAAATKDEHALFQAQKDLILNPHDPRVVAAAEAENIPHSWIDAAQNSPIWDLIFKYEVAVPLHPEYRTLPMVWYIPPLSPIVEAVTSTGNDGEDHKILLSAISNMRIPLDYLAGLFTAGDPVPVEKVLRRLAAMRSYMRDINLGNEPQEEIAQAVGMTGEDMRSMHRLLAIAKYDDRYVIPTASPETPRGIASLPSFNGVDPSATVAEFHGLGEGAPEACHAGVGAGGGSGT-ISLASWTPGEVPRSMFPKSSSASSETASS</t>
  </si>
  <si>
    <t>GC_00001004</t>
  </si>
  <si>
    <t>K10440</t>
  </si>
  <si>
    <t>ribose transport system permease protein</t>
  </si>
  <si>
    <t>KEGG Orthology (KO)&gt;&gt;&gt;09130 Environmental Information Processing&gt;&gt;&gt;09131 Membrane transport&gt;&gt;&gt;02010 ABC transporters [PATH:ko02010]|Transporters&gt;&gt;&gt;ABC transporters, prokaryotic type&gt;&gt;&gt;Saccharide, polyol, and lipid transporters&gt;&gt;&gt;Ribose transporter</t>
  </si>
  <si>
    <t>-----------MKKTAWDPVLRWMLNNGALVGLIVLCVAMFIATPHFLTVSNLLNVGVQAATVAILAFGMTFVIVAAGIDLSVGSVAALGGMVSAYSFSSLGLPGWLTLLIGLGTGLLAGLISGISIAYGKLPAFIATLAMMSIARGATLVISQGSPVPSSKSVNTLGSNQYLFGTGVPGLPIPIVMMALAGVICWFILSRTVIGRSMYAVGGNVEAARLSGLPVRKVLITVYTLSGLFAALAGLVMTGRLSSAQ</t>
  </si>
  <si>
    <t>MSHTLTATRPASKSTAPHPIVNWMINNGALVGLIIICVGLFIATPHFLTTTNLINVGIQTATVAILAFGMTFVIVSAGIDLAVGSVAACSAMVSAVCFAKLGLPDWLMIIVGLLVGLLAGAISGLAIAYGRLTAFIATLAMMSIARGVTLVISKGNPMSAPPSVTMLGKNYF-------GIPMPIVMMALSGVICWFILSRTVIGRNMYAIGGNEEAARLSGIPVKSIQVIVYCLSGLFAGLAGLVIMGRLSSAQPQAALGYELDAIAAVVIGGASLAGGSGKASGTLVGAILLAVIRNGLNILNVPSFWQQIVIGIVIALAVGFDVVRNKTST</t>
  </si>
  <si>
    <t>GC_00001005</t>
  </si>
  <si>
    <t>MAEQHPTGSNTSDDIALITRAQNGDTAAFGTLIRDAHGRMWAVCLSITGNHQDAEDAMQNALTAIWRNIGSFEPRARFSTWAYRIASNAALQLIRSRRDTPDAEAGIQEPDRHSPIDDRVTAGIVIRHALEQLAPEFKEAIVLREYAGMNYQEIAEHQNVGVQTVKSRLNRARAKLRDALEEVGVSI-</t>
  </si>
  <si>
    <t>GC_00001006</t>
  </si>
  <si>
    <t>MDSVVLLAFRIGLLVLLWFFVLMTLRALRADTKTTASLAT-GGGAVQTASPAKPSIVSALKKSDAPSQLRVIEGPLVGSHMDISSLDEVVMGRSPQCTFVVGDDFASARHARLFKHGSEWFVEDLDSRNGTFVGGYRIDQPERVNSNSDIKIGRTIVRLEP</t>
  </si>
  <si>
    <t>MDSVILFGLRIGLLVVLWLFILFALNSMRKDVKIAASSPNRGAGSGGSASSVPP----AAHHGGMPQQMTIVDGPMTGSRMDLGDLTEITIGRAPDCDFLVSDDFASGRHARLIKRDSVWFVEDLDSRNGTFVHGEKIEGPVRVTSGSDIKIGRTTVRLVA</t>
  </si>
  <si>
    <t>GC_00001007</t>
  </si>
  <si>
    <t>PF05096.18</t>
  </si>
  <si>
    <t>Glutamine cyclotransferase</t>
  </si>
  <si>
    <t>K22757</t>
  </si>
  <si>
    <t>glutaminyl-peptide cyclotransferase [EC:2.3.2.5]</t>
  </si>
  <si>
    <t>COG3823</t>
  </si>
  <si>
    <t>Glutamine cyclotransferase (PDB:2FAW)</t>
  </si>
  <si>
    <t>KEGG Orthology (KO)&gt;&gt;&gt;09190 Not Included in Pathway or Brite&gt;&gt;&gt;09191 Unclassified: metabolism&gt;&gt;&gt;99980 Enzymes with EC numbers|Enzymes&gt;&gt;&gt;2. Transferases&gt;&gt;&gt;2.3  Acyltransferases&gt;&gt;&gt;2.3.2  Aminoacyltransferases&gt;&gt;&gt;2.3.2.5  glutaminyl-peptide cyclotransferase</t>
  </si>
  <si>
    <t>MMLFMNAYRHPLSHRRTTHGTLAGIVVALSLTATLAACSSSTDTADQRQQPPTSVTAQ---PTMGVEVVATHPFDQSSFTQGLEVEGDSLLISTGQEGESRVYRSSLDGKEQQSVPLDREFFGEGITRAGDHVWQLTWRHGTAVKRDATSLAEVARTNYSGEGWGLCSFGDRLIMSDGTSQLRVLDPDTFVERERIQVTRDGAPLDKLNELDCTDGH-----IYANRFLTSEIVRIDAASGNVTDTIDASTLASNAAPDPNNVLNGIAHIPGTDRFLVGGKRWPQLYEVRFVPR--</t>
  </si>
  <si>
    <t>--------MFPVS---------VIAVVALMLSG----CGGDASHRSQASGPSAAAEATHEVERLGVEVIARHPFDATSFTQGLEVTGDKLLVSTGWEGKSRIYHTTVDNVQSNSQDIDRRQFGEGATQVGNVVWELTWRDGVAYKRDAATLAELGTAKYAGEGWGLCSFSDVVVMSDGTDELRFLDPDTFAERSRVKVTLSGTPASELNELDCVTGDNGQRLVYSNVFLSTDIYRIDADSGKVTGIIDASTVPNN</t>
  </si>
  <si>
    <t>-MLTIPRFVFPVS---------VMAVVALMLGG----CGGDVSHRSQASGLSAAAEATHEVERLGVEVIARHPFDATSFTQGLEVTGDKLLVSTGWEGKSRIYHTTVDNVQSNSQDIDRRQFGEGATQVGNVVWELTWRDGVAYKRDAATLAELGTAKYAGEGWGLCSFSDVVVMSDGTDELRFLDPDTFAERSRVKVTLSGTPASELNELDCVTGDNGQRLVYSNVFLSTDIYRIDADSGKVTGIIDASTVPNN</t>
  </si>
  <si>
    <t>GC_00001008</t>
  </si>
  <si>
    <t>PF08240.17</t>
  </si>
  <si>
    <t>Alcohol dehydrogenase GroES-like domain</t>
  </si>
  <si>
    <t>MLAALAAQPGPIHNVTIQDVPEPDAPQRGEVIVRMLASAFNPSDAVTVSGAYASRTEFLLVPGFEGVGVVERIGPEVPSALLGRRVLPIGSAGAWQELKRTDHTWCIPVPDDIPTDVACFVYINPLTAYLMVERFCGDARTVLIDGASTTIARHLQELLDQRGIQTVMVGRGWSGEGVDKHVDVAFDCVGGETGRRAALAVKPDGVVVHYGLLSGRSLGEVGRRVEMFRLRDVVHACPRSELPALLEGVFDQLRAGRLRSRMAREVSLRELPEALKKYRPGEGKLLVRVTD</t>
  </si>
  <si>
    <t>MLAAIAETPGPIDTIVIRDIPEPEELRAGEVVVRMLVSTFNPSDAVTVSGAYASRTTFPLVPGFEGVGIIDRIGPGVPTSALGRRVLPIGSPGAWQEYKRIDHSWCIPVPDDIPTDVACFAYINPLTASLMVERFCHGVQSALVDAATTTIAGHLKTLLEQRGVETVMVGRTWGTVGVDKQFDVAFDCVGGEMGRRVAKAVKPDGVVVHYGLLSGEPLGETGRRVEMFRLRDVVHACPHSELPELFSDVFAQLQAGRLRSRVAREVHLRDVPAALREYQPREGKLLIRIGH</t>
  </si>
  <si>
    <t>MLAAIAETPGPIDTVVIRDVPEPGELRSGEVVVRMLVSTFNPSDAVTVSGAYASRTTFPLVPGFEGVGIIDRIGPGVPTSALGRRVLPIGSPGAWQEYKRIDHSWCIPVPDDIPTDVACFAYINPLTASLMVERFCDGIQSVLVDAATTTIASHLKTLLEQRGIETVTVRRTWGTVGVDKQFDVAFDCVGGEMGRRVAKAVKPDGVVVHYGLLSGEPLGETKRRVEMFRLRDVVHACPRSELPELFADVFSQLRAGRLRSRVVKEVDLRDVLAALQEYQPREGKLLIRIGH</t>
  </si>
  <si>
    <t>GC_00001009</t>
  </si>
  <si>
    <t>c-arg_c-dur_c-durJJ1_c-mat1</t>
  </si>
  <si>
    <t>MFGFKKKTQESVHMAAEKTNTPLSNEMTMMMAQELPILDSASRTRVYEILNAYLGPQISSQEELPEEIRTIMDL</t>
  </si>
  <si>
    <t>MFGLFKKKEPASHIAADKTTTPMSPAMTLMMAQEIPMLDSKDRVRVYEILDNYDGPEITSQEELPQEIRDLMDL</t>
  </si>
  <si>
    <t>MFGLFKKNISSDHAAADHTNLPLDNFMTTLMAQELPFLDSASRIRVYEILNTYDGPTITSQEELPTEIRELMDL</t>
  </si>
  <si>
    <t>GC_00001010</t>
  </si>
  <si>
    <t>PF10698.15</t>
  </si>
  <si>
    <t>Protein of unknown function (DUF2505)</t>
  </si>
  <si>
    <t>MATRTETSVTINFPPAKVHEALTNADYWAYNVANLSTEPGEVHEITSTDGGAEVVLYEIMPMELLPEAVRAMISQSLKIKRVYTIGALADSAAKASYTADVKGAPVDFKGDIELSGDDASTTLSYANEVNVTIPFMGPAIEPKVAEALSELVANEAALTEKWISENL</t>
  </si>
  <si>
    <t>MTTRSSNIVTIKHPAQSVHAALTTEEYWAHVAATLSPEPGEVHEFVPTDGGAEITLYEVLPLEILPEAVRSMISQALKVKRVVTVGPLTGETAALSYTADVKGTPVDFKGTINLSGSGDETTLEYANEVTVNIPFMGPAIEPKVAEALGELFGNEGAITSDWVASH-</t>
  </si>
  <si>
    <t>GC_00001011</t>
  </si>
  <si>
    <t>PF01564.23</t>
  </si>
  <si>
    <t>Spermine/spermidine synthase domain</t>
  </si>
  <si>
    <t>K00797</t>
  </si>
  <si>
    <t>spermidine synthase [EC:2.5.1.16]</t>
  </si>
  <si>
    <t>COG4262</t>
  </si>
  <si>
    <t>Predicted spermidine synthase with an N-terminal membrane domain</t>
  </si>
  <si>
    <t>M00034|M00133</t>
  </si>
  <si>
    <t>Methionine salvage pathway|Polyamine biosynthesis, arginine =&gt; agmatine =&gt; putrescine =&gt; spermidine</t>
  </si>
  <si>
    <t>Pathway modules; Amino acid metabolism; Cysteine and methionine metabolism|Pathway modules; Amino acid metabolism; Polyamine biosynthesis</t>
  </si>
  <si>
    <t>KEGG Orthology (KO)&gt;&gt;&gt;09100 Metabolism&gt;&gt;&gt;09105 Amino acid metabolism&gt;&gt;&gt;00270 Cysteine and methionine metabolism [PATH:ko00270]|KEGG Orthology (KO)&gt;&gt;&gt;09100 Metabolism&gt;&gt;&gt;09105 Amino acid metabolism&gt;&gt;&gt;00330 Arginine and proline metabolism [PATH:ko00330]|KEGG Orthology (KO)&gt;&gt;&gt;09100 Metabolism&gt;&gt;&gt;09106 Metabolism of other amino acids&gt;&gt;&gt;00480 Glutathione metabolism [PATH:ko00480]|Enzymes&gt;&gt;&gt;2. Transferases&gt;&gt;&gt;2.5  Transferring alkyl or aryl groups, other than methyl groups&gt;&gt;&gt;2.5.1  Transferring alkyl or aryl groups, other than methyl groups (only sub-subclass identified to date)&gt;&gt;&gt;2.5.1.16  spermidine synthase</t>
  </si>
  <si>
    <t>MTDKTPPSQPSTPIWRWLLLVSVAICAASGLVYELALLTLSASLNGGGVVETSLIVAGYVASLGLGALLAKPFLKAPAQTFLVVEALLGVVGGASALALYIVFATVGQSLVALVISTLAIGVLVGAELPLLMTLIQQGKMTDARGSGSLLATLNFADYVGALVGGLAWPFVLLPWLGMVRGTLAAGMVNIAAALFIAAVLLRRSMPRVHVFVTITALATSGVVLVSTLVLSSSILHSAKQRLYRDPIVYSHQSDYQDIVVTIQGKDHRLYLNGGLQYSSRDEYRYTESLVYPAISEKTKNVLVIGGGDGLAARELIGMDI--HVTQVELDPEVVHVANTILRQDNGGSMEDPRVHIINTDAFTWLREGGDGTLFDAVIIDLPDPDNSILARLYSEEFYVLARKQLAPEGRMVVQASSAYSTPDVFWRVQSTLKAAGCPSVIPYHVHVPTFGDWGYALCAPEGTRLEVPERAPQ-LRYASTEVLQAAGVFGRDNQPRDLPASTLDRPYIVDDLRRGYRQAGD</t>
  </si>
  <si>
    <t>-----MSTVEISPAKRFLLLVSVSICAAAGLVYELALISLSTVLNGGSIVETSLIVAGFVAALGLGALAAKPLLHRAEISFLMIELLLGLIGGMSAMLLYITFVIIGQSLIILTLSTLVIGMFVGAELPLLMTLFQRGRLVDAATSGSVLATLNAADYLGALLGGLAWPFLLLPYLGLMRGTLAAGLLNLTAALAISIIVLRHDLKVRQFYVIMTGLLAAISVLVVLFIRSDGIITTARQRLYEYPIVFTAQTNY</t>
  </si>
  <si>
    <t>-----MSPVEISPAKRFLLLVSVSICAAAGLVYELALISLSTVLNGGSIVETSLIVAGFVAALGLGALAAKPLLHRAEISFLMIELLLGLIGGMSAMLLYITFVIIGQSLIILTLSTLVIGMFVGAELPLLMTLFQRGRLVDAATSGSVLATLNAADYLGALLGGLAWPFLLLPYLGLMRGTLAAGLLNLTAALAISIIVLRHDLKVRQFYVIMTGLLAAISVLVVLFIRSDGIITTARQRLYEYPIVFTAQTNY</t>
  </si>
  <si>
    <t>GC_00001012</t>
  </si>
  <si>
    <t>MSFFEDIAAALDVDGIESRVHDDTMFVPITPELEIQFVEIDPILPAANVYIAAADVDEDDDDFEAVLVSVVFSVDDALDAVARHVATDQVVTVLRDLLEGTDERISDLEFFQDLNDANLVRAEVGQNSELHVVVESAGGTPTATVMFVALGESYDELVNQAMAEMWTPDSDEQPSEEERLRVLSELSSDISLVTDEVLDLGTFTDFDRLFDVLSLAADQAENWEEQLLPIDEEMN-----YS------------------------</t>
  </si>
  <si>
    <t>MTFFEEIATALDADGIESRVQGDTLFVPITSEVEIQFVEIDPLVPAANVYIATAD-DDWDADFEAVLVSVAFSVSDAVQAVASHIATDQVVTLLGDLLDGTDERIADLEFVQDHEEENRVSASLGDNTSVTVTIEIVEGIPTAKVQFDAVDPEFEAHMMEAERHFSAMGEVRKLSMREVNAKIEEYASSILETCTETLDLGSFTDFDKLFDVLSLAADQAESWAEQLVPLDDDDDDEPDVYDLFGKDDDDEFFFDDDDEDDDDEDE</t>
  </si>
  <si>
    <t>MTFFEEIATALDADGIESRVQGDTLFVPITSEVEIQFVEIDPLVPAANVYIATAD-DDWDADFEAVLVSVAFSVPDAVQAVASHIATDQVVTLLGDLLDGTDERIADLEFVQDHEEENRVSASLGDNTSVTVTIEIVEGIPTAKVQFDAVDPEFESHMMEAERHFSAMGEVRKLSMREVNAKIEEYASSILETCTETLDLGSFTDFDKLFDVLSLAADQAESWAEQLVPLDDDDDDEPDVYDLFGKDDDDEFFFDDDDEDDDEEE-</t>
  </si>
  <si>
    <t>GC_00001013</t>
  </si>
  <si>
    <t>E|I</t>
  </si>
  <si>
    <t>Amino acid transport and metabolism|Lipid transport and metabolism</t>
  </si>
  <si>
    <t>K13821</t>
  </si>
  <si>
    <t>RHH-type transcriptional regulator, proline utilization regulon repressor / proline dehydrogenase / delta 1-pyrroline-5-carboxylate dehydrogenase [EC:1.5.5.2 1.2.1.88]</t>
  </si>
  <si>
    <t>COG0506|COG1012</t>
  </si>
  <si>
    <t>Proline dehydrogenase (PutA) (PDB:5KF6)|Acyl-CoA reductase or other NAD-dependent aldehyde dehydrogenase (AdhE) (PDB:1A4S)</t>
  </si>
  <si>
    <t>Proline degradation|Proline degradation</t>
  </si>
  <si>
    <t>M00970</t>
  </si>
  <si>
    <t>Proline degradation, proline =&gt; glutamate</t>
  </si>
  <si>
    <t>ko00001|ko00001|ko01000|ko01000|ko03000</t>
  </si>
  <si>
    <t>KEGG Orthology (KO)&gt;&gt;&gt;09100 Metabolism&gt;&gt;&gt;09105 Amino acid metabolism&gt;&gt;&gt;00250 Alanine, aspartate and glutamate metabolism [PATH:ko00250]|KEGG Orthology (KO)&gt;&gt;&gt;09100 Metabolism&gt;&gt;&gt;09105 Amino acid metabolism&gt;&gt;&gt;00330 Arginine and proline metabolism [PATH:ko00330]|Enzymes&gt;&gt;&gt;1. Oxidoreductases&gt;&gt;&gt;1.2  Acting on the aldehyde or oxo group of donors&gt;&gt;&gt;1.2.1  With NAD+ or NADP+ as acceptor&gt;&gt;&gt;1.2.1.88  L-glutamate gamma-semialdehyde dehydrogenase|Enzymes&gt;&gt;&gt;1. Oxidoreductases&gt;&gt;&gt;1.5  Acting on the CH-NH group of donors&gt;&gt;&gt;1.5.5  With a quinone or similar compound as acceptor&gt;&gt;&gt;1.5.5.2  proline dehydrogenase|Transcription factors&gt;&gt;&gt;Prokaryotic type&gt;&gt;&gt;Ribbon-helix-helix&gt;&gt;&gt;Other families</t>
  </si>
  <si>
    <t>MSDARTPLPNSSDVDNIVDAAVQRAQQWLAATTSGQSRSEAKSTEQLAALVREPQGVEFTMGFVDRVARPEDNEVAARELRSLANPFGANSIPDFVGLVDRGLVSAGALMARKLPNVVMPLARKRLRQMVGHLVLDAEGKALNNLLDKSKEEGFQLNLNLLGEAVLGETEAKNRLQRTIELLKNPRVTYVSIKASSVCAQLNPWDIGGNTERLKERLRPLYRQALQRSPHPFINMDMEEYKDLHLTIKLFTELLSEEEFLNLEAGIVLQAYLPDTFEALRTLATFAKERREKGGAQIKIRLVKGANLSMERVEAEIHDWEQAPYLTKEEVDANYIRLLDYILQPEHADNVRIGVASHNLYTVALAHELAVARGVEKQLDVEMLQGMAPSQARAVRDVVGGLILYTPVVHAEDFDVAVSYLVRRLEENGAKQNFLYALFAPDVVGTEGATPLQNQEQRFRESVRHRWNAFAGPRRTQDRTKEEAAKLGSRSGSAPGHFRGEPDTDPALPANRAWALAALATDPGPVESDVVTDPATIDAAVQRALANADDWAAQTGAERAEYLYHAADALANNRSRLLSVMTHESGKTVGEADPEISEAIDFAHYYAESARALDGLNTTVFTPYKVVVVTPPWNFPLAIPMGGVFAALAAGASVIIKPAPQVVRCTEVAI----EILREAGITEDMVQLVNADEAAAGKRLISHPDVDSVILTGASDTARLFRSWKPQLTLNAETSGKNAIIVTPSADPDLAVADVYRSAFGHAGQKCSAASLVILVGSVGSSKRFLTQLTDAVESLHVGPGVDISTTMNGVIEAPSDKLLRGLTQLDPGETWLVKPRKLNDEGTLWSPGLRDGVRPGSWYHTHECFGPVLGIMRADTLDDAIRLQNSTGYGLTGGLHSLDEKEIAYWRNRVEVGNAYINRGITGAIVERQSFGGWKNSSIGSGAKAGGPNYVGQQGTWTDGDLSVRPNISVNPTVARLLRDLESRFGAALTDDDRTWLWRAAELDAVAWRDEFGVEHDRTALIAESNVFRYRPLIEPLNVRVGDNYALRDLLRLVLASRLTGTKIVISANELDAQLTELGALGARIRQVSDKAFANEIAHKPSCRVRTLGEVDLALYEAAVESSSVILDQDVLADGRRELLPFLLEQAVSTTNHRFGYIKGRSH</t>
  </si>
  <si>
    <t>MTDAYTPLPNSSDLDKAAEAAVIRAKEWLALTNNAASKKEAASTEQLAALVRDDDGIRFTMGFVDRVARPTDNKVAAHELSSLANPF-KTAIPSFIGAVDKGLVSVGAVAAPIFPSLVMPLARKRLRQMVSHLVLDAEGKALNAKLTEAKEQGYQLNLNLLGEAVLGEAEAKSRLERTRQMLQNPLVTYASIKASSVCAQLNPWDIQGNIERLKDRLRPLYREAMKRSPHAFINMDMEEYKDLRLTIDLFKDLLSEDEFMPLEAGIVLQAYLPDTFDALVELAEFAKERRAKGGAKIKIRLVKGANLSMERVEAQLHDWAQAPYLSKEDVDANYYRLMDYIFQPEHADNVRIGIASHNLFTVALATKLVELRGVQHQLDVEMLQGMAPAQARAVHEVVGGLILYTPVVHAEDFDVAVSYLVRRLEENGEKHNFLHALFAHD------PQPMEDQEQHFLNAVRDRWDTFAGPRRTQDRTTDK----GLQSGTVPGHFLGEPDTDPSLPQNRDWALALLKKDPGKVESPKVTDPAKIDKVVATAQKQSAAWAKLSGKERAEVLTSIATELANARGDLINVMTHESGKTVGESDPEISEAIDFAMYYAESARQLD-VARSKFTPFKVVLVTPPWNFPVAIPMGGVFAALAAGAAVIIKPAPQVVRCAEVAIKAVHKALKGAGVDPALVQLVNADEAEAGKHLVSHKDVDSVILTGASDTARLFRSWKPKMVLNAETSGKNAIIVTPSADPDLAVADVYKSAFGHAGQKCSAASLVILVGSVGKSERFINQLVDATRSLKVGKGTEIDTTMNGIIEAPGEKLMRGLTQLEPGEQWLVKPEKLNEEGTLWSPGIRDNVKPGSWYHTHECFGPVLGIMRADTLEEAIKLQNSTGFGLTGGIHSLDQDEIDYWRENVEVGNAYVNRGITGAIVERQSFGGWKDSAIGSGAKAGGPNYVAQQGVWADGDLSQVPSVSLDPAINRALRDILST--VELSDEDREWLQKAAHLDALAWREEFNVEHDRTALLCETNVFRYRPLLQPLQVRIGADFKLRDVLRLQLAALITESPVRFSANQDTA--VALAKAGIKVDVVSDAEFAAEIRKDSGVRIRTVGKVSDDLYPAAAESSSVVLDQPVLADGRRELLPFLLEQAVATTQHRFGVI-GKKI</t>
  </si>
  <si>
    <t>MTDAYTPLPNSSDLDKAAEAAVIRAKEWLALTNNAASKKEAASTEQLAALVRDDDGIRFTMGFVDRVARPTDNKVAAHELSSLANPF-KTAIPSFIGAVDKGLVSVGAVAAPIFPSLVMPLARKRLRQMVSHLVLDAEGKALNAKLTEAKEQGYQLNLNLLGEAVLGEAEAKSRLERTRQMLQNPLVTYASIKASSVCAQLNPWDIQGNIERLKDRLRPLYREAMKRSPHAFINMDMEEYKDLRLTIDLFKDLLSEDEFMPLEAGIVLQAYLPDTFDALVELAEFAKERRAKGGAKIKIRLVKGANLSMERVEAQLHDWAQAPYLSKEDVDANYYRLMDYIFQPEHADNVRIGIASHNLFTVALATKLVELRGVQHQLDVEMLQGMAPAQARAVHEVVGGLILYTPVVHAEDFDVAVSYLVRRLEENGEKHNFLHALFAHD------PQPMEDQEQHFLNAVRDRWDTFAGPRRTQDRITDK----GLQSGTVPGHFLGEPDTDPSLPQNRDWALALLKKDPGKVESPKVTDPAQIDKVVATAQKQSAAWAKLSGKERAEVLTSIATELANARGDLINVMTHESGKTVGESDPEISEAIDFAMYYAESARQLD-VARSKFTPFKVVLVTPPWNFPVAIPMGGVFAALAAGAAVIIKPAPQVVRCAEVAIKAVHKALKGAGVDPALVQLVNADEAEAGKHLVSHKDVDSVILTGASDTARLFRSWKPKMVLNAETSGKNAIIVTPSADPDLAVADVYKSAFGHAGQKCSAASLVILVGSVGKSERFINQLVDATRSLKVGKGTEIDTTMNGIIEAPGEKLMRGLTQLEPGEQWLVKPEKLNEEGTLWSPGIRDNVKPGSWYHTHECFGPVLGIMRADTLEEAIKLQNSTGFGLTGGIHSLDQDEIDYWRENVEVGNAYVNRGITGAIVERQSFGGWKDSAIGSGAKAGGPNYVAQQGVWADGDLSQVPSVSLDPAINRALRDILST--VELSDEDREWLQKAAHLDALAWREEFNVEHDRTALLCETNVFRYRPLLQPLQVRIGADFKLRDVLRLQLAALITESPVRFSANQDTA--VALAKAGIKVDVVSDADFAAEIRKDSGVRIRTVGKVSDDLYPAAAESSSVVLDQPVLADGRRELLPFLLEQAVATTQHRFGVI-GKKI</t>
  </si>
  <si>
    <t>GC_00001014</t>
  </si>
  <si>
    <t>PF01957.25</t>
  </si>
  <si>
    <t>NfeD-like C-terminal, partner-binding domain</t>
  </si>
  <si>
    <t>K07340</t>
  </si>
  <si>
    <t>inner membrane protein</t>
  </si>
  <si>
    <t>COG1585</t>
  </si>
  <si>
    <t>Membrane protein implicated in regulation of membrane protease activity (YbbJ) (PDB:2EXD)</t>
  </si>
  <si>
    <t>---MGVFIWLIAALILACGELAIGDFTLLMLAGGALAAAGVSLAHVPTWIEVVVFGVTSIGMIFSLRPMLRKRLLTAPTLDTSVQALVGATAPVIETVDPHGGQIRLDGSIWSARSLDPSETFAVGDTVNVISIDGATAVIWKAQ-</t>
  </si>
  <si>
    <t>MGAVGALIWLIAGIALIGLELAAGELTFLMLGLAALATAGVAMFHVSLSIELIIFALMSLGLLLFLKPLLRRHLTRAPALDTSPAALTGATAEVLEPVGAHAGQVRLDGSIWSARSLDPAHNFSVGERVSVVTIDGTTAVVWKETK</t>
  </si>
  <si>
    <t>GC_00001015</t>
  </si>
  <si>
    <t>PF21853.1</t>
  </si>
  <si>
    <t>Family of unknown function (DUF6912)</t>
  </si>
  <si>
    <t>MRVYLPATFSTLQELSDTGGFTVRSGYGFAVTPALNDYFVSGDPEEVAHFAFIDAARASLRLLAIGDNEAFPHRRVVISADIDDNLVELQPHNGESVVKLSPAHVELDAVAAIHVDIESSEAATAAAIEAIDAADLGDEDAEFTVGDADDNFMAWYDPVELAVLVELM</t>
  </si>
  <si>
    <t>MRVYVPATVDMLWQLNESGELTARSGYGFMVTPAVRDFFIEGEEEDFSEYVFDDASRASLRLLATGEVEKFPHRRVVISIDVPDSAVTYRPELGESVVSLDPPTFSLQSVAAIHVDVESSEPATQKAIAVIDAADLGDEDAELTVGDALANYLAWFDPSELGVIVELL</t>
  </si>
  <si>
    <t>GC_00001016</t>
  </si>
  <si>
    <t>PF06897.17</t>
  </si>
  <si>
    <t>Protein of unknown function (DUF1269)</t>
  </si>
  <si>
    <t>COG4803</t>
  </si>
  <si>
    <t>MVEKNVVSISFADQSKAYQAFTELKNLSAAGAISVDSAAIVVRDKDGAVSFPDGIDEVTGAGFAGGGLVGMLVGVLGGPLGMLLGWGSGALIGGALDATRATATDEVVAEFSRALPVDSTAVIAEIAEPSEAAVNELVAQLGGTVIRRPVDEVVAELAAAEAAAEAAQAEAHRVMREKKR-------EERKETVEEWWESVKSRFRRD</t>
  </si>
  <si>
    <t>MAEENVVSIAFADSSKAYQAFTEIKNLSAAGALQLKSGAIVVRDTEGKLLFPDGVDQVTGTGFAGGGLIGMLVGILGGPLGMLLGWGSGALIGGALDVGRASATNEVLGEFSRALPADSTAVIAEVAEPSELPLDDVVSKLGGTIVRRPVSEVVAELEAAEAAAEAAQAEARRVVRERKKAEYKEALEDRKAAVEKRWEELKGKFR--</t>
  </si>
  <si>
    <t>MAEENVVSIAFADSSKAYQAFTEIKNLSTAGALQLKSGAIVVRDTEGKLSFPDGVDQVTGTGFAGGGLIGMLVGILGGPLGMLLGWGSGALIGGALDVGRASATNEVLGEFSRALPVDSTAVIAEVVEPSELPLDDVVSKLGGTIVRRPVSEVVAELEAAEAAAEAAQAEARRVVRERKKAEYKEALEDRKAAVEKRWEELKGKFR--</t>
  </si>
  <si>
    <t>GC_00001017</t>
  </si>
  <si>
    <t>PF02622.21</t>
  </si>
  <si>
    <t>AlgH-like</t>
  </si>
  <si>
    <t>K07735</t>
  </si>
  <si>
    <t>putative transcriptional regulator</t>
  </si>
  <si>
    <t>COG1678</t>
  </si>
  <si>
    <t>Putative transcriptional regulator, AlgH/UPF0301 family (AlgH) (PDB:2AJ2)</t>
  </si>
  <si>
    <t>MEEFFSDRLFTALERNEPTAGMVLVAAPGMLSDEFARSVVLIVEHNNQLTFGVNLASRSDVAVFNVMPEWVPYVAKPQALYIGGPLNQQSVVGLGVTKPGVTIENHKQFQRLANRIVHVDLRIDPSELEDLVEGIRLFVGYAEWGPGQLESEIERGDWYVAPALVSDIIAGGSVDVWGDVMRRQPMPLPLFSTFPADISDN</t>
  </si>
  <si>
    <t>MEEFFSDRLFTALERNEPTAGMVLVAAPGMLSDEFARSVVLIVEHNNQLTFGVNLASRSDVAVFNVMPEWVPYVAKPQALYIGGPLNQQSVVGLGVTKPGVTIENHKQFQRLANRIVHVDLRIDPSELEDLVEGIRLFAGYAEWGPGQLESEIERGDWYVAPALVSDIIAGGSVDVWGDVMRRQPMPLPLFSTFPADISDN</t>
  </si>
  <si>
    <t>MSEIFADRLFNGMEREEPAAGKLLVAAPGMQSTAFSRTVVLLLEHDANTTFGVDLAHRMDIAVANVLPDWVDCISKPQAMYAGGPVSPQSAVGVCVTKPDLDINSRPYFKKLANRLALVDLGAPPSEVKADITGMRMFIGYAEWSPGQLDEEIAAGEWYVAPCLPSDVTAAGSVDIWGDVMRRQAMPLPLFSTFPARLGEN</t>
  </si>
  <si>
    <t>GC_00001018</t>
  </si>
  <si>
    <t>PF08447.18</t>
  </si>
  <si>
    <t>PAS fold</t>
  </si>
  <si>
    <t>K07504</t>
  </si>
  <si>
    <t>predicted type IV restriction endonuclease</t>
  </si>
  <si>
    <t>COG4748</t>
  </si>
  <si>
    <t>Uncharacterized conserved protein, contains restriction enzyme R protein N terminal (HSDR_N) domain</t>
  </si>
  <si>
    <t>MPIDQAITKLADKVRDLKPLIDSEVGTKTAFITPFINDVLGYDVSDPREVVPEYTAGTGERVDYAIKSGADIRILLLCTKINEPLTREKTAELARCFNASNANFGILANGESYEIYTRRSDSQLMDGRPVLNLNLSALDFSTFPNVEKLTKFQFDPRFHGSAN----MDRKYIDKIKEILVQQFNYPDPSWVNFLASKVVATEIGGTTPANFTELVRTATTEFLQERVSTKPA-PPAPAAAIVPDLPPQSALLENW--TNPVDLNSPED-MPWPLPEHEVRPDEVFFSTTDARGVIEEANDVFIRLSHFTRDELIGAPHNIIRHSGMPGAVFRTMWDALHKGIPFAGYVRNRAKDGSSYDVYATVTRLENGGYLSVRIAPSISENWALAQGIYDELSELETELADAGFNRRTAAERGSQRLTEMLNELGIADYEHLQWMQLPDEISAREAYSVGIPERPYAFGHLNELLTVTRETFNELDSWMREQEDILQLARSLTTTGEQLRQEIQATVGVANKMDELDVSGPEREVLLIPLKIWMNMHSLASQYLEELVDLLPQLSDAGAKTRFHIALARLHTTMVGTFTTELIDGKPDAEKSAPAIHLLCSALRQTLHEMDDQALTYQRVKSRVSARIRSVKSIMEIPRTLIVDWTEDVRYRSFTPATSALVDTVSSSISGASTAIAELDSLVARLESGSVHDTSTLRSLVEHIDAEAHAYQTSL</t>
  </si>
  <si>
    <t>MAIEQALSKQAEKVRELKPFIDSTVATKTTFLMPFVNNVLGYDVSDPREVRPEYPVGNGESVDFAIVDGSDFRILVLCESIQHSLSSMRRDQLVRAIHALGADYGILGNGEFFEVFAK--------GEPVFNFNVAQPPSHVITGLKKLSKANYENDYFASASQSSAQNDELVSAIRDLLASDLQSADPELVDFLAAKLAARK-GAAQPA-------------------AQPAQPQVPAMANTAMVPVDAPVTIDYEPTPPTNAHIDDSGMPWVAPRRKVQPDEVFFSTTDARGVIQEANNVFVDLSHYSRAELIGAPHNIIRHPDIPGAIFHTMWSALEQGIPFAGYMRNATADGGFYDVYATVTKLENGGYLSVRITPSVDENWALAQGIYTTLSDYEKQLKDSGYNRRTAASQGAEHLTELLNQLGIEDYEHLQWSQLPDEVAAREARSSGLPQRPNATGLLDDILRATHATYNELNAWMQEQDTIVDLISSLAMTDQRLHEEIQAAVSVSGRMNTLDVTGPEREVLLIPLRVWMNMHSLANDYLEELRELLPKLANAGSKTRFHVALARLHTTMVAMFAAELID-TPMSTHSAPAIRDLCSALRQTLRELDDQAFEYNRVKNRVSNRIRSVKSIMEVPYSLIVDWARETRSRAFTSATEELVHTVSNSADGAATAISELASLVQRLDSGVVHDISRVRDLVLHIDLAAKQYQDTH</t>
  </si>
  <si>
    <t>MAIEQALSKQAEKVRELKPFIDSTVATKTTFLMPFVNNVLGYDVSDPREVRPEYPVGNGESVDFAIVDGSDFRILVLCESIQHSLSSMRRDQLVRAIHALGADYGILGNGEFFEVFAK--------GEPVFNFNVAQPPSHVITGLKKLSKANYENDYFASASQSSAQNDELVSAIRDLLASDLQSADPELVDFLAAKLAARK-GAAQPA-------------------AQPAQPQVPAMANTAMVPVDAPVTIDYEPTPPTNAHIDDSGMPWVAPRRKVQPDEVFFSTTDARGVIQEANNVFVDLSHYSRAELIGAPHNIIRHPDIPGALFHTMWSALEQGIPFAGYMRNATADGGFYDVYATVTKLENGGYLSVRITPSVDENWALAQGIYTTLSDYEKQLKDSGYNRRTAASQGAEHLTELLNQLGIEDYEHLQWSQLPDEVAAREARSSGLPQRPNATGLLDDILRATHATYNELNAWMREQDTIVDLISSLAMTDQRLHEEIQAAVSVSGRMNTLDVTGPEREVLLIPLRVWMNMHSLANDYLEELRELLPKLANAGSKTRFHVALARLHTTMVAMFAAELID-TPMSTHSAPAIRDLCSALRQTLRELDDQAFEYNRVKNRVSNRIRSVKSIMEVPYSLIVDWARETRSRAFTSATEELVHTVSNSADGAATAISELASLVQRLDSGVVHDISRVRDLVLHIDLAAKQYQDTH</t>
  </si>
  <si>
    <t>GC_00001019</t>
  </si>
  <si>
    <t>PF01381.28</t>
  </si>
  <si>
    <t>Helix-turn-helix</t>
  </si>
  <si>
    <t>K07726</t>
  </si>
  <si>
    <t>MDEQGIIPTLSLQQRMRIAREHLGLTQAKMARQIGISRATYASTEQGVRQPRPEELATLAAVTGISQHWLETGEM-EKGEQ</t>
  </si>
  <si>
    <t>COG1476</t>
  </si>
  <si>
    <t>DNA-binding transcriptional regulator, XRE-family HTH domain (XRE) (PDB:1UTX)</t>
  </si>
  <si>
    <t>GC_00001020</t>
  </si>
  <si>
    <t>MSKTFTRRSFLRIAGTLSAAAGLTATISACAPSSSSNGSGSGSSSAGPINKDGTIDAAISYELGTNGYDPMTTTAALTVSVNWHVFEGLTELDPATG-DVYAALASELPKG-DSTSVDIKLRDGAKFHNGDPITADDVVYSFERVLNKDNKSLYASFIPFVKGVTKKDDTTVTVETEYPTGVFAERLAVVKIVPKSVVEADAKGFDSKPVGTGPYKLTDNGGSSKVIKFERFDDYNGSRPALAAKMNWQIIPDASTRINSLQSKSTQAIDSVPYLNIEQLKATGNVESEQGFGLLFAMFNNDAGNPFSNVKNRQAFLYAINMDRVIETGMSGQASAVTSFLQESHPNYNKASTVYTHDADKAKELFGETGLTSFRLLCTDHDWVRQCTPLIQESLSDIGIKVEFSQAKSSDVYNTIDGKPEAYDVVIAPGDPSVFGKDPDLLMRWWYSGDTWTDTRMHWKGSDSYKQVQELLDQGIQAASDTEAQETWDKLFDLISETVPLYPLFHRKTPTAWDGSTLVDFKPISVTGLRFLDVGSTK</t>
  </si>
  <si>
    <t>--MTISRRSFFKLIG---AAAGITATLSACSNIDRKTAALATKGADGR-NRD-EITAAISYELGTSGYDPMTATSALTIAANWHTMEGLYEISPTPDRSVYTALAADEPRHVDDVTYEVSLREGAAFHTGKAVTADDVVFSFERVRDPENESQYAAFISVIDAVEAKDPATVIFRLKYPFNLLKERLATIKIVPKAEVERNRKDFDALPIGTGPWKLVDNGAASSALVFEKNPHYTGPKPAQASRMSWRILPNAS</t>
  </si>
  <si>
    <t>--MTISRRSFFKLIG---AAAGITATLSACSNIDRKTAALATKGADGR-NRD-EITAAISYELGTSGYDPMTATSALTIAANWHTMEGLYEISPTPDRSVYTALAADEPRHVDDVTYEVSLREGAAFHTGKAVTADDVVFSFERVRDPENDSQYAAFISVIDAVEVKDPTTVIFRLKYPFNLLKERLATIKIVPKAEVERNRKDFDALPIGTGPWKLVDNGAASSALVFEKNPHYTGPKPAQASRMSWRILPNAS</t>
  </si>
  <si>
    <t>GC_00001021</t>
  </si>
  <si>
    <t>K03892</t>
  </si>
  <si>
    <t>ArsR family transcriptional regulator, arsenate/arsenite/antimonite-responsive transcriptional repressor</t>
  </si>
  <si>
    <t>COG0640</t>
  </si>
  <si>
    <t>DNA-binding transcriptional regulator, ArsR family (ArsR) (PDB:3F6V)</t>
  </si>
  <si>
    <t>Transcription factors&gt;&gt;&gt;Prokaryotic type&gt;&gt;&gt;Helix-turn-helix&gt;&gt;&gt;ArsR family</t>
  </si>
  <si>
    <t>MRSSLVVSECDNAPLQRLKATQLFKTLSDPTRLQILYILAQNQGTNICAIELSDALKVSPPTVTHHMKKLMDTNLVTRHKTGKWAYYKLVPDTFRRVHRLIDSL-</t>
  </si>
  <si>
    <t>GC_00001022</t>
  </si>
  <si>
    <t>K21745</t>
  </si>
  <si>
    <t>MerR family transcriptional regulator, aldehyde-responsive regulator</t>
  </si>
  <si>
    <t>MDFTDHLGIADVAKQTGLTQDTLRWYERQGVIPPVPRQGDGRRSYDEASVRIIQLIVRLRRTGMPVEDMRQFCGMVTEGAASHGRRMALLRDHRTRIEEQIAQLQEDLQAVDAKIEHYADLIERGLDCDEQPVTDPDIREQQRRLL</t>
  </si>
  <si>
    <t>MDFTDPLRIADVAKQTGLTQDTLRWYERQGVIPPVPRQGDGRRSYDEASVRIIQLIVRLRRTGMPVEDMRQFCGMVTEGAASHGRRMALLRDHRTRIEEQIAQLQEDLQAVDAKIEHYADLIERGLDCDEQPVTDPDIREQQRRLL</t>
  </si>
  <si>
    <t>GC_00001023</t>
  </si>
  <si>
    <t>MLGNDDGAVTVETAIATGALIAVFTTLVAGLVAVGAHLAAIDIAGAAARAYTIGVPYEPPRGAVTITESGGLATATAVVPSPLGAQTARAVFPIEQEFGTP</t>
  </si>
  <si>
    <t>MLGNDDGAVTVETAIATGALIAVFTTLVAGLVAVGAHLAAIDIVGAAARAYTIGVPYEPPRGAVTVTESGGLATATAVVPSPLGAQTARAIFPIEQEFGTP</t>
  </si>
  <si>
    <t>GC_00001024</t>
  </si>
  <si>
    <t>K07729</t>
  </si>
  <si>
    <t>-----------MVRKLRRWHELSQAELAQRVGVSRQTIVNVEKGSYSPSVYLALAICKELRATVEEVFGDEQHARNAL----</t>
  </si>
  <si>
    <t>MDATLIAKPTNLVRKLRRWRELSQAELAERAHVSRQTIVNVEKGSYSPSVYLALAICRELGATVEEVFGDEQSMEVVKGETS</t>
  </si>
  <si>
    <t>GC_00001025</t>
  </si>
  <si>
    <t>PF08501.16</t>
  </si>
  <si>
    <t>Shikimate dehydrogenase substrate binding domain</t>
  </si>
  <si>
    <t>COG0169</t>
  </si>
  <si>
    <t>Shikimate 5-dehydrogenase (AroE) (PDB:1NPD)</t>
  </si>
  <si>
    <t>MVNHVDRNTTLCVSLAARPSNHGVRFHNWLYAELGLNFLYKAIAPTDIEQAVAGIRGLDIRGAGVSMPYKAAVIPLIDHVDPSAARIQAVNTIVNDGGVLTGYNTDYSAVSELLASHAVDTDLRVAVRGSGGMAKAVVAAITDYGMGGTVVARNAETGSELAEQYGWAYSPEVPT-DAKMLVNVTPLGMAGTDENVQSFSDEEIGRADVICDVVAFPVSTPLIQAAQQRGIPTINGGEIVALQAAQQFELYTGVRPSDELIEAAERYSQQG</t>
  </si>
  <si>
    <t>MVNYVDRDTVLCISLAARPSNHGVRFHNWLYDKLGLNYLYKAVAPTDIAQAVAGIRGLGIRGAGVSMPYKQAVIPLVDELHPSAARIEAVNTIVNTDGRLVGYNTDYVAVADLLREHEVDPGLSVVVRGSGGMANAVVAAIADHGMTGTVVARNAATGQSLASRYGWSYSDAVPAGDLGLVVNVTPLGMAGADADVQSFSDAEIQRAQVVFDVVAFPVETPLIRAATRLGVPVITGGEVISRQAAAQFELYTGVRPTPEDVAAAEEYASA-</t>
  </si>
  <si>
    <t>MVNYVDRDTVLCISLAARPSNHGVRFHNWLYDKLGLNYLYKAVAPTDIAQAVAGIRGLGIRGAGVSMPYKQAVIPLVDELHPSAARIEAVNTIVNTDGRLVGYNTDYVAVADLLREHEVDPGLPVVVRGSGGMANAVVAAIADHGMTGTVVARNAATGQSLASRYGWSYSDAVPAGDLGLVVNVTPLGMAGADADVQSFSDAEIQRAQVVFDVVAFPVETPLIRAATRLGIPVITGGEVISRQAAAQFELYTGVRPTPEDVAAAEEYASA-</t>
  </si>
  <si>
    <t>GC_00001026</t>
  </si>
  <si>
    <t>MRKDARENREEILRVARLLFAQHGLEVSMRTIASTVGVGIATLYRNFPTRADLILGLVEQGAGEVEALLDECVASWDADPEAAWQNLVHSLANLKMSALVSQIVVTPEVKEIVDRAREIRRTGIERTAGVLDRAKEAGLLTEDMTIERFHVGLATIARPLPELPVLDSQPGQTWLVDVFLKGIRPD</t>
  </si>
  <si>
    <t>MRKDAQENRQEILRVARFLIAQQGSDVSLRTIASTAGVGIATLYRNFPTREDLLLGIVRETAEEAEAAIAECLETWDAGPEQAWRNYAYAVARQKIATFAMRMVETPGIEEIVEQIKATRAHVLGQAEAVLDRAKAAGFVGPDMTVLQFQIGLAIVTRPLPDTPFFDLPEGREWLIDAYLRGVRAG</t>
  </si>
  <si>
    <t>MRKDAQENRQEILRVARFLIAQQGSDVSLRTIASTAGVGIATLYRNFPTREDLLLGIVQETAEEAEAAIAECLETWDADPEQAWRNYAHAVARQKIATFAMRMVETPGIEEIVEQIKATRAHVLGQAEAVLDRAKAAGFVGPDMTVLQFQIGLAIVTRPLPDTPFFDLPEGREWLIDVYLRGVRAE</t>
  </si>
  <si>
    <t>GC_00001027</t>
  </si>
  <si>
    <t>PF01593.30</t>
  </si>
  <si>
    <t>Flavin containing amine oxidoreductase</t>
  </si>
  <si>
    <t>K00231</t>
  </si>
  <si>
    <t>protoporphyrinogen/coproporphyrinogen III oxidase [EC:1.3.3.4 1.3.3.15]</t>
  </si>
  <si>
    <t>COG1232</t>
  </si>
  <si>
    <t>Protoporphyrinogen oxidase HemY/PPOX (HemY) (PDB:3LOV)</t>
  </si>
  <si>
    <t>KEGG Orthology (KO)&gt;&gt;&gt;09100 Metabolism&gt;&gt;&gt;09108 Metabolism of cofactors and vitamins&gt;&gt;&gt;00860 Porphyrin metabolism [PATH:ko00860]|Enzymes&gt;&gt;&gt;1. Oxidoreductases&gt;&gt;&gt;1.3  Acting on the CH-CH group of donors&gt;&gt;&gt;1.3.3  With oxygen as acceptor&gt;&gt;&gt;1.3.3.4  protoporphyrinogen oxidase|Enzymes&gt;&gt;&gt;1. Oxidoreductases&gt;&gt;&gt;1.3  Acting on the CH-CH group of donors&gt;&gt;&gt;1.3.3  With oxygen as acceptor&gt;&gt;&gt;1.3.3.15  coproporphyrinogen III oxidase (coproporphyrin-forming)</t>
  </si>
  <si>
    <t>MKIAIIGAGLAGLTAAYELR----DHEVDVFEADDRIGGKLRTVAFNDGPVDMGAEAYLAVRTDATDFFESLGLGDHVVYPSDARPAIYAGGELHAMPTETVMGIPATSDAVEGLISTEEAVHIDAERNRESLDWQVG-EDRCLGIMLRQRYGDGIVDHVVSALLGGVYSSGADALGVRATIPQLAAMFDEMAEAGEKITVSGAVEKLLARRGPR--------KGPVFATFSGGYAELYETLAEKSGASIHIDSFISELTPQ----MLEK-----YDRILLATPAPTTALLLRTVAPEASTELKKVELASSAVVGLKFDNTEGLPDNSGILVATDEPDVQVKAFTFSSNKWPHLRERGGALVRASFGRFGENILLNTTEADLVDRALEDLTRVTGYRGEPS---EIFVQHWYGGLPRYDHDHLARVATVRSLLSNVPQIGVAGAWADGVGVPNVIVGARKAAHELLG</t>
  </si>
  <si>
    <t>MRVAIIGAGLSGLTAAWEIHHQRPDVEIEIFEAADRIGGKLYTVPFTAGPTDMGAEAYLAIRADATQFFTQLGLRDELVKPSGLPSLLYFNDAVHEMPRNTVMGIPASGSTVAKLVDIHTQARIDDETDQPGIAWVAGVTEMSLGGLVRARYGDQIVDRLVSVFQGGVFSCVSDDLGIRATIPQLAQTFDDMASSGEKVTLSGAVNRILERQKADHTKRAKNYRPQVFGAFRQGYQQLYETLAEQSEATIHIDAFISGVAKKPQGLVLKGAGSGFYDRILFATPAPTTAMLVKDIMPAAEAPLKAVKLASSVVVGMKFASDEGLPDNSGILVATNEPGVKAKAFTFSSKKWPHIGARGGALVRASFGRFGDDAITRWAEDALVDQALDDLRTITGFDGRAAGLDEIYVQRWFGGLPVYSPTHLATVAEIEAVVADTEDVEIAGSFMRGVGVPAVIADARAAAHRLLK</t>
  </si>
  <si>
    <t>MRVAIIGAGLSGLTAAWEIHYQHPGVEIEIFEAADRIGGKLYTVPFTAGPTDMGAEAYLAIRVDATQFFTQLGLRDELVKPSGLPSLLYFNDAVHEMPRNTVMGIPASGSTVAKLVDIHTQARIDDEADQPGIAWVAGVTEMSLGGLVRARYGDQIVDRLVSVFQGGVFSCISDDLGIRATIPQLAQTFDDMASSGEKVTLSGAVNRILERQKADHTKHAKNYRPQVFGAFRQGYQQLYETLAEQSEATIHIDAFISGVAKKSQGFVLKGAGSGFYDRILFATPAPTTAMLVKDIMPAAEAPLKAVKLASSVVVGMKFASDEGLPDNSGILVATNEPGVKAKAFTFSSKKWPHIGARGGALVRASFGRFGDDEITRWEEDALVDQALDDLRTITGFDGRAAGLDEIYVQRWFGGLPVYSPTHLATVAEIEAVVADTEDVEIAGSFMRGVGVPAVIADARAAAHRLLK</t>
  </si>
  <si>
    <t>GC_00001028</t>
  </si>
  <si>
    <t>PF11361.13</t>
  </si>
  <si>
    <t>Protein of unknown function (DUF3159)</t>
  </si>
  <si>
    <t>-------------MDESQEKKEAPTIMEQMGGVSGLISSTLPILILIPVNARWGLMPALMAAMGVACGVFLWRIIRRENLQPAFSGLIGVGIGAAIAWFTGDAKGFFLYGIWMSLLYAAIFFISVIIRWPAVGVVWKGINGDGMSWRANKKARYTYDIATIGWGLVFLIRFLIQKFFYDADATNSLAVAKILTGWPLTGVMMLVSVWAVRRANAAI-----------KQADGEEPTPRPQESEDMNE--------</t>
  </si>
  <si>
    <t>MTSEKLIDGDPNDPGDDIPDGPPPTLLEQMGGLSGLVSSTLPILVFVPVNNKWGLNPALIAALSMATLILVWRLIRKENLQPAISGFMGVGIGAAIAWYTGSAKGYFAYGIWMSLLLAIVFFISILVRWPMVGIIWKGINGDGMTWQKVPGARRAYTWATLGWAVVFLARFLVKQLFYQADNVTGLGVVSILMGWPLTGLVTIFTVWMVRCARTAMIDAGYETDDDSDETDTTDAAPDPASTSSKPTLRKEPTRDH</t>
  </si>
  <si>
    <t>MTSEKLIDGDPNDPGDDIPDGPPPTLLEQMGGLSGLVSSTLPILVFVPVNNKWGLNPALIAALSMATLILVWRLIRKENLQPAISGFMGVGIGAAIAWYTGSAKGYFAYGIWMSLLLAIVFFISILVRWPMVGIIWKGINGDGMTWQKVPGARWAYTWATLGWAVVFLARFLVKQLFYQADNVTGLGVVSILMGWPLTGLVTIFTVWMVRCARTAMIDAGYETDDDSDETDTTDAAPDPASTSSKPTLRKEPTRDH</t>
  </si>
  <si>
    <t>GC_00001029</t>
  </si>
  <si>
    <t>K22320</t>
  </si>
  <si>
    <t>2-alkyl-3-oxoalkanoate reductase [EC:1.1.1.412]</t>
  </si>
  <si>
    <t>KEGG Orthology (KO)&gt;&gt;&gt;09190 Not Included in Pathway or Brite&gt;&gt;&gt;09191 Unclassified: metabolism&gt;&gt;&gt;99980 Enzymes with EC numbers|Enzymes&gt;&gt;&gt;1. Oxidoreductases&gt;&gt;&gt;1.1  Acting on the CH-OH group of donors&gt;&gt;&gt;1.1.1  With NAD+ or NADP+ as acceptor&gt;&gt;&gt;1.1.1.412  2-alkyl-3-oxoalkanoate reductase</t>
  </si>
  <si>
    <t>MATILITGATGFLGKYVVDEFLRHGYQVVAHGRNATRLMQLHDQG-----------------IQTLQGDLQELSHLTIRVDAVVHAAALSTIWGPWQRFYRNNVEGTRHVVQFCQANSIPRLVFISSPSIYTMPKDRLGIREDDVDERNMLTNYIRSKIMAEAVVREASESGISAVILRPRGIVGVGDTSIVPRLLEANRTMGIPLFRG--------------------------------GHNVVDLTCVENVALAIRLAVEADASAITTGVYNITNKTPRSLISILEQLFSGLSTTPHYRNRYFWIVYAVAAAVECLYKVLRIDKEPMITRYTVCTLGCSQTLDVSAATRDLGYEPIMSLDEGIARYVASLTN</t>
  </si>
  <si>
    <t>-MKVLVTGATGFLGGYVVSEFARSGYDVVATGRNNARLQQLVDAATAAQAAAEPTDPTYPGTVTAIVGDLAQLAELDLSVDVVVHAAALSTVWGPWQDFYHTNVGGTQAVVDFCRRNAVRRLIFISSPSIYSQRGDRFHITESDFDPNNRLNNYIRSKIRAEQVASEFSGS----VILRPRGLIGVGDTSIVPRLVHANDTIGIPVFRRRHQQIFPKRSGRLGCLRLPH---PRFPRRGQPGRTVIDLTCVENVA</t>
  </si>
  <si>
    <t>-MKVLVTGATGFLGGYVVSEFARSGYDVVATGRNNARLQQLVDAATAAQAAAEPTDPTYPGTVTAIVGDLAQLAELDLSVDVVVHAAALSTVWGPWQDFYHTNVGGTQAVVDFCRRNAVRRLIFISSPSIYSQRGDRFHITESDFDPNNRLNNYIRSKIRAEQVASEFSGS----VILRPRGLIGVGDTSIVPRLVHANDTIGIPVFRRRHQQVFPKKPGRLGCLRLPHPRLPRFPRRGQPGRTVIDLTCVENVA</t>
  </si>
  <si>
    <t>GC_00001030</t>
  </si>
  <si>
    <t>PF03652.20</t>
  </si>
  <si>
    <t>Holliday junction resolvase</t>
  </si>
  <si>
    <t>J|L|K</t>
  </si>
  <si>
    <t>Translation, ribosomal structure and biogenesis|Replication, recombination and repair|Transcription</t>
  </si>
  <si>
    <t>K07447</t>
  </si>
  <si>
    <t>putative pre-16S rRNA nuclease [EC:3.1.-.-]</t>
  </si>
  <si>
    <t>COG0816</t>
  </si>
  <si>
    <t>YqgF/RuvX protein, pre-16S rRNA maturation RNase/Holliday junction resolvase/anti-termination factor (YqgF) (PDB:1IV0) (PUBMED:25545592;26817626)</t>
  </si>
  <si>
    <t>Ribosome biogenesis&gt;&gt;&gt;Prokaryotic type&gt;&gt;&gt;rRNA processing factors</t>
  </si>
  <si>
    <t>MQP-TPDKPGRDDPGQGRRLALDVGTVRIGVAVSDRGCILATPVETISRETMFDDDDKADIDRILRLINEYDVVEVVIGLPRTLKGKGSSSVKHATDIASRVSRRLAGEEKLIPVRMADERLTTVTATQALRASGVKAKAGRTIIDQAAAVEILQSWLDERNNYLQACDSANEVGDY</t>
  </si>
  <si>
    <t>MAPITPDQPGVHDPGPGRRLGVDVGTVRIGVALSGTDATLAMPLETIKRETGFKDRDKSDIDRLITLITDNNVVEVIVGLPRDLKGNGSKSVKHAKEIAFRINRRLQGLELSIPVRMADERLSTVVAHQALRASGVSEKSGRKIIDQAAAVEILQSWLDGRTNYLHRTPPLSAP---</t>
  </si>
  <si>
    <t>GC_00001031</t>
  </si>
  <si>
    <t>PF08924.17</t>
  </si>
  <si>
    <t>Rv2525c-like, glycoside hydrolase-like domain</t>
  </si>
  <si>
    <t>COG3023</t>
  </si>
  <si>
    <t>N-acetyl-anhydromuramyl-L-alanine amidase AmpD (AmpD) (PDB:2Y28)</t>
  </si>
  <si>
    <t>MTTMFASRISRRSLLKAAAFTITAG---ALTTATAPFAKAEPGTIVGTVIDFAAGVPDAQAVKDGGYLGAVRYVSQRRPGAEWMLGKPVTRQETDAMANLGLKTASVYQFGKEETADWKQGAEGARVHAPQAIELHRAAGGPTGRPIYVAIDDNPTREQYDNQIRPYLQTFRTLLSDAGYSMGIYGNYNTINWAIQDGLGEFFWQHDWGSEGQIHPQVTIHQKAGWQESVGGVTVDVNNVYAKDWGQWAPGDANGAQPTTTATHNNG----PTAA------NLSSSAL-------NLTPQQLQQL--------REIPAFHNLTVNNLTPQQITEITRVVQSFSAA</t>
  </si>
  <si>
    <t>MTTMFASRISRRSLLKAAAFTITAG---ALTTATAPFAKAEPGTIVGTVIDFAAGVPDAQAVKDGGFLGAVRYVSQRRPGAEWMLGKPVTRQETDAMANLGLKTASVYQFGKEETADWKQGAEGARVHAPQAIELHRAAGGPTGRPIYVAIDDNPTREQYDNQIRPYLQTFRTLLSDAGYSMGIYGNYNTINWAIQDGLGEFFWQHDWGSEGQIHPQVTIHQKAGWQESVGGVTVDVNNVYAKDWGQWAPGDANGAQPTTTATHNNG----PTAA------NLSSSAL-------NLTPQQLQQL--------REIPAFHNLTVNNLTPQQITEITRVVQSFSAA</t>
  </si>
  <si>
    <t>-MSIFSA-LSRRRFLQTAALTIASSFAFAAAGITAPQAFA-LGPVLGTVIDYAAGVPDGSTIKEAGHLGSVRYVSQRRPGAEWMLGKPVTIEETKDQAANGLKVASIYQFGKDETADWKQGAAGAAVHAPQAIQLHTAAGGPKGRPIYVAIDDNPSREEYDNQIRPYLKAFDEILKSQGYTMGVYANYGTIDWAIQDGLGSYFWQHDWGSNGQIHPRVTLHQVAGETENLDGIEVDVNDVYAEDWGQWTPGQADT</t>
  </si>
  <si>
    <t>GC_00001032</t>
  </si>
  <si>
    <t>PF02517.21</t>
  </si>
  <si>
    <t>Type II CAAX prenyl endopeptidase Rce1-like</t>
  </si>
  <si>
    <t>K07052</t>
  </si>
  <si>
    <t>CAAX protease family protein</t>
  </si>
  <si>
    <t>COG1266</t>
  </si>
  <si>
    <t>Membrane protease YdiL, CAAX protease family (YdiL)</t>
  </si>
  <si>
    <t>Peptidases and inhibitors&gt;&gt;&gt;Glutamic peptidases&gt;&gt;&gt;Family G5: prenyl protease 2 family</t>
  </si>
  <si>
    <t>MSYVVPSRRAVTGIELFALIVLPISGGLFLAVITNIATNIATAFITDNLDNERFNAAVPASIAGFALTLLATLKLQKWTLSDLGFHPIQHTRKYLFWQVPAI--VAANFTLLALMLMTPLANTGGREDIANTFKLGPIGLSLSIFAISIVAPIMEEIYYRRFIMGYLEQKLLPRMQARTAIICSTLISSVLFALMHGVPMAIITAFFLGTCAAALIRWHQSLWASVALHIANNTVVSLVLLFIYFTGTNVLG</t>
  </si>
  <si>
    <t>MSYVVPSRRAVTGLELLAILALPVVASLVAILI----STIAMMLIFDDLKTIQVY-VIPAALAGYGITLFTTLRVQRWSLSDLGFHPIKRTWAHLLWQVPAIITVCGMISLAATVLVTP-PETSDSQEMADTFKFGLVAVVLSILAISIIGPIIEEICFRRFIMGYLDQKLLPRMQARTAIICSTLASSLFFALAHGVPTIMIYTFFLGIGAAALIRWHQSLWAGAALHIANNTMVCLAGLSIYLNG--MLN</t>
  </si>
  <si>
    <t>GC_00001033</t>
  </si>
  <si>
    <t>K16923</t>
  </si>
  <si>
    <t>energy-coupling factor transport system substrate-specific component</t>
  </si>
  <si>
    <t>-MSLSAVQKALAGVGALFIAAAWLFVVVARPTDWSSVGASSQALITLGGYVTGAVLLLVATVPALPARLVSMIPVALVLNIVVGQIIGSVGIPLYLDSTGTVLVAALAGPWAGIATGVLSSLVWSAFNPSVLPFAATSAAVGGLAGVAIKHGALKNIATVLLSGAVIGIVVGMLAAPVAAFVYGGTAGVGTGAVVSLLREMGHSLLQSVTLQSFISDPLDKALVMLLVWLVLKSLPKRTLAAFR---</t>
  </si>
  <si>
    <t>MPALTTAQRIRATVGVAVIFGTWFYLVFTRPTDWESVGGSSPALITLGGYVFGAILLLSASLPILPARTIAIIPAALVLNIVIGQIVGSVGIPLYLDSVGTILVAGLAGPIAGLATGTLSSIVWGLFNPAALPFAAVSAMVGLLSGVMIAKGMLRNIPLTITAGVVLGVISGMLAAPVAAFVYGGTAGVGTGALVSLFREMGNSLIGSVTAQSLVSDPLDKALVMIIVHVAIRSLPKKTLASFHART</t>
  </si>
  <si>
    <t>MPALTTAQRIRATVGVAVIFGTWFYLVFTRPTDWESVGGSSPALITLGGYVLGAILLLSASLPILPARTIAIIPAALVLNIVIGQIVGSVGIPLYLDSVGTVLVAGLAGPIAGLATGTLSSIVWGLFNPAALPFAAVSAMVGLLSGVMIAKGMLRNIPLTITAGVVLGVISGMLAAPVAAFVYGGTAGVGTGALVSLFREMGNSLIGSVTAQSLVSDPLDKALVMIIVHVAIRSLPKKTLASFHART</t>
  </si>
  <si>
    <t>GC_00001034</t>
  </si>
  <si>
    <t>PF00135.34</t>
  </si>
  <si>
    <t>Carboxylesterase family</t>
  </si>
  <si>
    <t>K03929</t>
  </si>
  <si>
    <t>para-nitrobenzyl esterase [EC:3.1.1.-]</t>
  </si>
  <si>
    <t>COG2272</t>
  </si>
  <si>
    <t>Carboxylesterase type B (PnbA) (PDB:1K4Y)</t>
  </si>
  <si>
    <t>----------------------------------------MEIVVRTSQGLVAGL---VDNGVRTWRGVPFGADTSGKHRWRAPRAAHQWRGVRDCTAYGPIAPQPIYSWTDQVQGSEDCLNLDIVRPDSDDELPVVVYLHGGSFIVGASHQSVLQGHTFVKNLDVVYVSINFRLGALGYLNMHSVGEGDCVANPAIRDQLLALQWVHENIAAFGGDPTNVTLMGESAGGAAVTTLMCVPSARGLFHRAIAQSAP</t>
  </si>
  <si>
    <t>MRYPLGPHPTNASTGDPAEPTRAADTSVKTPNHTPRNKVADDLIVTTTAGTIRGLRLTIPGPLRTWRGVPYGDTTAGNHRFRAPHPAPRWDGIKDCTEYGAIAAQPSLTPSDRIRGSEDCLNLDIVRPDDDRTLPVVVYLHGGSFIYGSSHQQVLRGHYLVQAMDVVYVSLNFRLGALGYLDFSSFGD-DCVPNPAVLDQLLALHWVKDNIARFGGDPTNITLMGESAGGASVITLMCVPAARGLFHRAIAQSAPVAAVHSAAQAAFWCNELVTRAGLT-NPTLDELRKLSPETLIGAGQSMLWRSGELLNLNACFGAIVDGDLIRDHPITTFRAGEQHKIPLMIGTNIDEVAFAKTFYFRSKKRAQRARTMLEGYDPHGADTILRFYNNAVSRNDYAELLTDSVFWAPSVIAASAHSLSAPTWMYRFDYAPAALRWLGIGASHTAELSPVFGDLDGSKAAAINKLGGWEELHTLRDQMQSYWASFIHTGNPNNTATAAAGTGAATTPETDWPQYRMSSDTLPGRATKVFDTTAYVVYDPGAARRVAWENYSMVEWGKGRPEVMAKLLETE</t>
  </si>
  <si>
    <t>MRYPLGPHPTNASTGDPAEPTRAADTSVKTPNHTPRNKVADDLIITTTAGTICGLRLTIPGPLRTWRGVPYGDTTAGNHRFRAPRPAPRWDGIKDCTEYGAIAAQPSLTPSDRIRGSEDCLNLDIVRPDDDRTLPVVVYLHGGSFIYGSSHQQVLRGHYLVQAMDVVYVSLNFRLGALGYLDFSSFGD-DCVPNPAVLDQLLALHWVKDNIASFGGDPTNITLMGESAGGASVITLMCVPAARGLFHRAIAQSAPVAAVHSAAQAAFWCNELVTRAGLT-NPTLDELRELSPETLINAGQSMLWRSGELLNLNACFGAIVDGDLIRDHPITTFRAGEQHKIPLMIGTNIDEVAFAKTFYFRSKKRAQRARTMLEGYDPHGADTILRFYNNAASRNDYAELLTDSVFWAPSVIAASAHSLSAPTWMYRFDYAPAALRWLGIGASHTAELSPVFGDLDGSKAAAINKLGGWEELHTLRDQMQSYWASFIHTGNPNNTATAAAGTGVATTPETDWPQYRMPSDTLPGRATKVFDTTAYVVYDPGAARRVAWENYSMVEWGKGRPEVMAKLLETE</t>
  </si>
  <si>
    <t>GC_00001035</t>
  </si>
  <si>
    <t>MTKISVGLVDDQPLVRTGFAMLINSQDDMETSWEASDGAEVPTQTHADIVLMDVQMPKVNGIEATRALLRSDADTKVIMLTTFDDQDFVSGAIEAGASGFLLKDAQPEELLHAIRLVYAGQAVLAPKATARVLGMLKNQGVDKHVEPPDQGVLDELTPREHEVLRLIALGLSNEEIAVAEYVSMATVKTHVRHILMKTNSRDRVQAVLCAYRNGLVTTEELLRHPLD</t>
  </si>
  <si>
    <t>GC_00001036</t>
  </si>
  <si>
    <t>MSRFIRRPSLWLPGVTIAFSVYASLDAYLTNALPSSVGAFILSGMVFVISGLCVSAAWDAARLHGVAKNLGRRRNMLRLLAWILIPCWIWTAVAFGVLWAYQMWLFGMVLYPHPLTVLLAALMGFVWSLMGVVFVWVFPRVVGLLLATVLPFTVTSFAWSLTDYRWRHMFGVPSACCKLSSTLSTQMVFASVLCLSGIAAIGASVVAFRRGNSYIPSISVPRVLCGVVSIIGIGSIVYASVVAQSIENFAAAQPRDTREAICRDGMCSWPENTDAEIQANRSAYRQILATMPPEWLP---SNEPVIMPDPNYKIGAIDMSLWILGETGSALPFSNSTDPAEAYRHFAGTLAARESELWATAISSDAWQEWAARQTRPATPEEVLTWVN--MKKNEL------</t>
  </si>
  <si>
    <t>GC_00001037</t>
  </si>
  <si>
    <t>K20459</t>
  </si>
  <si>
    <t>lantibiotic transport system ATP-binding protein</t>
  </si>
  <si>
    <t>KEGG Orthology (KO)&gt;&gt;&gt;09130 Environmental Information Processing&gt;&gt;&gt;09131 Membrane transport&gt;&gt;&gt;02010 ABC transporters [PATH:ko02010]|Transporters&gt;&gt;&gt;ABC transporters, prokaryotic type&gt;&gt;&gt;ABC-2 type and other transporters&gt;&gt;&gt;Lantibiotic transporter</t>
  </si>
  <si>
    <t>---------MNVIRTLGLTKRFGKETVVDSLELQVPSGVVYGFLGPNGSGKSTTMKMLLGLMEPSAGEVYLFGQRLNHSNRARLLRTIGSMIEAPPGYGHLTGWENMCVVESMLGLERRNIEQALETVHLTAHKDKLVKNYSLGMKQRLGIAMALARNPKLLILDEPANGLDPAGIEEVRELLIELAAQGITVMVSSHLLDEVDKTATMLGIIDRGRLIFQGSREELLGQSIPDLILETEAERIPELLTLPNARQ</t>
  </si>
  <si>
    <t>MIETMQEHDFHIIRTHGLTKTFGEHRAVNNVDLLVPQGTVYGFLGPNGSGKSTTMKLLLGLMKPTAGEVFINGRKLTKASRPELLGRVGSMIEAPPGYGHLTGWENLQIVQSMLGLEERQIIQALDIVRLTKNKDKLVKNYSLGMKQRLGIAMALAREPELLILDEPTNGLDPAGIEEIRSLIIHLAQQGITIMVSSHLLDEIDKMASVLGIINNGTLIFQGSREELSGQSIPDFVIES--DQAGRLQNFPGARMLSPTTVSLSNLSKDDGAHLLGELHAVGARVFEAYRASQSLEDIFMKLTAQGQLQ</t>
  </si>
  <si>
    <t>GC_00001038</t>
  </si>
  <si>
    <t>PF03883.20</t>
  </si>
  <si>
    <t>Peroxide stress protein YaaA</t>
  </si>
  <si>
    <t>K09861</t>
  </si>
  <si>
    <t>COG3022</t>
  </si>
  <si>
    <t>DNA-binding protein YaaA associated with the oxidative stress response (YaaA) (PDB:5CAJ) (PUBMED:21378183;32796037)</t>
  </si>
  <si>
    <t>-----------------------MLSFPELNPVREQIAADLVA--LDDPFTVLGISDKLAAEVEANQELLTSPTTPAILRYTGVLYDALSAGILPNEALQRLAIGSALFGVVRAGDLIPHYRLSGDTKLPTRSSSTTPTLKSRWGGLITEVLSSADDLVVDLRSGTYQQLGRLKTAITVRVESVQPDGTRKVVSHFNKHYKGELARVLALSEQDPISIDEVAAIARAAGMTVEI-TSPTALTLVV---------</t>
  </si>
  <si>
    <t>MLIILPPSETKAAGGDGSPLDFATLSFPMLNPTRENIASDLIRLHLSEALGVLGVSRKQQRLVEYNKVLLSSPTLPALLRFTGVLYDALSAPSLSPAAWRRLAVGDALFGLLMASDRIPMYRLSGNTKLP-RPNGETPTMKSRWGQEISAALATVDEFIVDLRSGVYQQLGKVSGAATLRVEKRQTDGKLKVVSHFNKHYKGVAARMLAEHDGDITSARVVADVLRNAGMEIQLDAGSSELRLIVESPATSPMT</t>
  </si>
  <si>
    <t>MLIILPPSETKAAGGDGSPLDFATLSFPMLNPTRENIASDLIRLHLSEALGVLGVSRKQQRLVEYNKVLLSSPTLPALLRFTGVLYDALSAPSLSPAAWRRLAVGDALFGLLMASDRIPMYRLSGNTKLP-RPNGETPTMKSRWGQEISAALATVDEFIVDLRSGVYQQLGKVSRAATLRVEKRQPDGKLKVVSHFNKHYKGVAARMLAEHDGDITSARDVADVLRNAGMEIQLDAGSSELRLIVESPATSPMT</t>
  </si>
  <si>
    <t>GC_00001039</t>
  </si>
  <si>
    <t>MIQFVSQRWNQIMLNSWQHLSLVVQCLVLATVIALVVAAVCYRSTFLTSVANNVSAVGLTIPSFALIGLLIIPLGFGVAPAVAVVTFFAVLPILRNAVVGLTEVDPALVEAARGVGMSRVATFFRVELPLAWPVVIAGMRISAQMTMGIAAVAAYALGPGLGGYIFSGLSRLGGANSFESVATGVIAVVILALLLDAALIVMGRLTTSRGIRV</t>
  </si>
  <si>
    <t>MIQFVSQRWSQIMLNSWQHLSLVVQCLVLATVIALVVAAVCYRSTFLTSVANNVSAVGLTIPSFALIGLLIIPLGFGVAPAVAVVTFFAVLPILRNAVVGLTEVDPALVEAARGVGMSRVATFFRVELPLAWPVVIAGMRISAQMTMGIAAVAAYALGPGLGGYIFSGLSRLGGANSFESVATGVIAVVILALLLDAALIVMGRLTTSRGIRV</t>
  </si>
  <si>
    <t>MREFITERWTHILADSWQHLSLVVQCLILATIIAVVCAALSYQHPRLAALANNVSTVGLTIPSFALVGILIIPFGFGVLPAVIVVTFFATLPILRNAVVGLSEVDSNIVSAARGIGMSRFDTFFRVELPLAWPVILAGMRVSAQMTMGIAAVAAYALGPGLGGYIFSGLSRLGGANSFESVATGVIAVVILALLLDLALILLGRFTISRGIRV</t>
  </si>
  <si>
    <t>GC_00001040</t>
  </si>
  <si>
    <t>K01552</t>
  </si>
  <si>
    <t>energy-coupling factor transport system ATP-binding protein [EC:7.-.-.-]</t>
  </si>
  <si>
    <t>MPVAVRVQDFGWRHAGRKNPTLEGLTLSIDQGERVLLLGESGSGKSTLLAAIAGILGDDEGEQAGQVLIDGHPSRSVRGMVGLVLQDPDSQVICSRVGDDVVFGCENLGVPREEMWHRARRALDMVGLPLPFDHPTEHLSGGQKQRLALAGVIAMGARVIVLDEPTANLDPAGVRDVRDAVAQVAAETGATLIVVEHRVDTWCDVVDRLVVLGTAERGIIADGPPHHVLEHYGQRLADVGVWVPGIDVPIEP-LPGVGDAQSALQATQLSVGWDSHTPVGEPRTLHLPLGCSTVITGPNGAGKTTLGLTLAGLLNPIAGTVEADATVARGLGTNPGGWTSEELASRIGCIFQNPEHQFLARTVREELLIGATLRDGAGGRGRGWFRKRRTPTTADLERVDELLHMLRLDHLAEAHPFSLSGGQKRRLSVATALVCAPSVIIMDEPTFGQDRQTFIELVRLLRGLREEGITLAAITHDELFIALMGQHHIEVR-------------</t>
  </si>
  <si>
    <t>GC_00001041</t>
  </si>
  <si>
    <t>PF00883.26</t>
  </si>
  <si>
    <t>Cytosol aminopeptidase family, catalytic domain</t>
  </si>
  <si>
    <t>K01255</t>
  </si>
  <si>
    <t>leucyl aminopeptidase [EC:3.4.11.1]</t>
  </si>
  <si>
    <t>COG0260</t>
  </si>
  <si>
    <t>Leucyl aminopeptidase (PepB) (PDB:3H8E) (PUBMED:19553197;23825549)</t>
  </si>
  <si>
    <t>KEGG Orthology (KO)&gt;&gt;&gt;09100 Metabolism&gt;&gt;&gt;09106 Metabolism of other amino acids&gt;&gt;&gt;00480 Glutathione metabolism [PATH:ko00480]|Enzymes&gt;&gt;&gt;3. Hydrolases&gt;&gt;&gt;3.4  Acting on peptide bonds (peptidases)&gt;&gt;&gt;3.4.11  Aminopeptidases&gt;&gt;&gt;3.4.11.1  leucyl aminopeptidase|Peptidases and inhibitors&gt;&gt;&gt;Metallo peptidases&gt;&gt;&gt;Family M17: leucyl aminopeptidase family</t>
  </si>
  <si>
    <t>MSSEFS-----LPHRGVVPELSLSAEMPQDAEALVVPVFQGED---GLDLPESEFFDGATVRAALDMLGATGAAEEVTKVPASTGP----IVAVGVGKRDDVDAEKLRRAAGVAARSLTGLKVV-ATTLGELGLAAALEGIALGAYTYRGLKTADVPEDQQPVKKVVFLGK--DQALFDAAVITAEAVAFARDLVNAPSSHLFPESYAAIATSAAEDNGLTVEVLDDAALAEQGFGGIVAVGQGSTRGPRLVRISYTPEQLDDAPTVALVGKGVTFDTGGVSIKPAANMDQMISDMGGSAAVLATIIAAARLKLNVKVTATIPMAENMPGGNSYRPGDVITHYGGTTSEILNTDAEGRLILADAIARASEDNPDYLIETATLTGAQMVALGLRTAGVMGSDAFRDRVAETGRSVGEQAWAMPIPEEMSTAMSSPVADLRNADPSRWGGMLSAGYYLGNFVGEGIEWVHIDIAGPSFNTGGAHGYTPARATGAPVRTLIAVLEGIAGE</t>
  </si>
  <si>
    <t>MAGPSAIGCRVLPASGAHTKVTVTSKFSKHYEALVVPFFTDYDEEWAERMPHAD-----RLRPMLLAMGATGRYGEVVRIPISEGDDSYFAVAVGLGSFHDCTAETVRRACGLMARSLTGVDTAFMVDFETLDPTTAVAGALLGSYKYFGFKH-DVPAATQPVKRIKVLCRKEDKAACQRALVVAESVNFARDLVNTPSSHLYPETYATALSTIAQDYDLGFQCWDETKLKEQGFGGILAVGSGSARKPRLVQLRYRPA--DAKKHVSLVGKGITFDTGGISMKPAANMENMISDMGGSAAVAAAVVAAARLQLPVAVTATVALAENMPGGAAYRPGDVITHYGEKTTEILNTDAEGRLVLADALAFASEKEPDVLIDVATLTGAQIVALGDRTSGVMGDAELAEQLAHIGREVDEPAWAMPLPEELAEAVKSPVADLRNATPKRHGGMLSAACFLREFVKPPIQWAHVDIAGPAFNTSTPHGFTPARGTGVPVRTLVEFLSSI---</t>
  </si>
  <si>
    <t>MAGPSAIGCRVLPASGAHTKVTVTSKFSKHYEALVVPFFTDYDEEWAERMPHAD-----RLRPMLLAMGATGRYGEVVRIPISEGDDSYFAVAVGLGSFHDCTAETVRRACGLMARSLTGMDTAFMVDFETLDPTAAVAGALLGSYKYFGFKH-DVPAATQPVKRIEVLCRKEDKAACQRALVVAESVNFARDLVNTPSSHLYPETYATALSTIAQNYDLGFQCWDETKLKEQGFGGILAVGSGSARKPRLVQLRYWPA--DAKKHVSLVGKGITFDTGGISMKPAANMENMISDMGGSAAVVATVVAAARLQLPVAVTATVALAENMPGGAAYRPGDVITHYGEKTTEILNTDAEGRLVLADALAFASEKEPDVLIDVATLTGAQIVALGDRTSGVMGDAELAEQLAHIGREVDEPAWAMPLPEELAEAVKSPVADLRNATPKRHGGMLSAACFLREFVKPPIQWAHVDIAGPAFNTSTPHGFTPARGTGVPVRTLVEFLSSI---</t>
  </si>
  <si>
    <t>GC_00001042</t>
  </si>
  <si>
    <t>K13571</t>
  </si>
  <si>
    <t>proteasome accessory factor A [EC:6.3.1.19]</t>
  </si>
  <si>
    <t>Enzymes&gt;&gt;&gt;6. Ligases&gt;&gt;&gt;6.3  Forming carbon-nitrogen bonds&gt;&gt;&gt;6.3.1  Acid-D-ammonia (or amine) ligases (amide synthases)&gt;&gt;&gt;6.3.1.19  prokaryotic ubiquitin-like protein ligase|Proteasome&gt;&gt;&gt;Prokaryotic proteasome&gt;&gt;&gt;Bacterial regulatory particles</t>
  </si>
  <si>
    <t>------MHRRIMGVETEYGILHTPADPTSARMGPDEVARTLFRPVVEQHASSNIFALNGARLYLDVGSHPEYATPECDSVAQLLVYDRAGDELFNDLSLEAEQRLHAGGL----DGQVLLFRNNVDSVGNSYGCHENYLVSRMHVLKTLGTTLLPFLVTRQLIAGAGMISTPLPGARGEH-TYEYLLSQRADHVWDGVSSATTRSRPMINTRDEPHADSHLYRRLHVIVGDSTMAEPTTALKICSTLMVLEMLES</t>
  </si>
  <si>
    <t>MTPPRVLTRRITGIETEYGITYTADG--QRRLSPDDIARYLFRSVVDRYGSSNIFTSNGSRLYLDVGSHPEFATAECDSLIQLLTMDKAGDRILDNLAQHAETTLATEGTAAAADGHVYLLKNNVDSFGNSYGCHENYLVTRQTVVKTLGRHLLPFLITRQLISGAGKIYHPIPGSPSEHYGLGFCMSQRADHVWEGVSSATTRSRPIINTRDEPHADSHHYRRLHIIVGDSSMAEPTFALKIGATLLVLEMIEADMP-LPSLELADETTAIRDIARDTTGTCLVKLRNGTTITAGEIQRAYCDAAHTWM-----------QQRPTDTNTDTLSSVVDLWTRTLDAIDTQDFSHVDRDIDWVIKHSLIRRYQERYGF---DLDHPKLSQIDLMYHDIRPGRGLASILESKGLINRWTTDDAIAHATEHAPDTTRAHLRGRFITAAHETNTPFFVDWMRLKITAPEPQLVELGDPFAAVDTRVDELINHMHK-GHNSGEK</t>
  </si>
  <si>
    <t>GC_00001043</t>
  </si>
  <si>
    <t>--------------------MVLVVYAVLLLASISMVAGPFYNDYRIAQHPGRALAHVTAVGAKRTAVEYQDGEGIFHSPAAGVFYPTGLGEGQRVWVTYSTEDPDLVKVENRSWTLAIVPALSVAAVSTVVAVVLWWLV---GFFSRRAVRRHRA-------------------------------</t>
  </si>
  <si>
    <t>MTDPHARERRIFRTRRRIKQTILVCYAAAMLGCASLVIGPGINDYIIESDPGRALARVTSVTSTKTIVEFQDDTNTYHSPPGGLLYPTGLGPGQRVWVTYARSNPELVKVSGRKWTLAIIPALSSAVVTTLITSALWFAILGPRHFRRAKHANHKNHTKPKTPTNTTVITSTSAPDAANTTRRKQTT</t>
  </si>
  <si>
    <t>MTDPHARERRIFRTRRRIKQTILVCYAAAMLGCASLVIGPGINDYIIESNPGRALARVTSVTSTKTIVEFQDDTNTYHSPPGGLLYPTGLGPGQRVWVTYARSNPELVKVSGRKWTLAIIPALSSAAVTTLITSALWFAILGPRHFRRAKHANHKNHTKPKTPTNTTVITSTSAPDATDTTRRKQPT</t>
  </si>
  <si>
    <t>GC_00001044</t>
  </si>
  <si>
    <t>PF01694.28</t>
  </si>
  <si>
    <t>Rhomboid domain</t>
  </si>
  <si>
    <t>COG0705</t>
  </si>
  <si>
    <t>Membrane-associated serine protease, rhomboid family (GlpG) (PDB:2IC8)</t>
  </si>
  <si>
    <t>MNY----QYQQPYASQPGDGYSPFGGAGVNSASGFGGLGGNPGVPGTPGAQPTQRWRQVQENGHTRLFTGVTLAIGYVVSIWLVFFINT-GLGNSLSYYGIHPLDLSSVWHVVTAPLLHLNLQHIMSNTVPGAIFVFLIGLSGKRTFWEVTLFSLVVGGAGTWLFGGVGTNHIGASGLIYGWLGYLVIRGFANRSVWQIVMGLFLAFSYSGLIWGVLPTDTGVSWQGHLFGGIGGVLAGMVITSDDPPETQQRRAQGLTGR---</t>
  </si>
  <si>
    <t>MNY----QYQQPYASQPGDGYSPFGGAGVNSASGFGGLGGNPGVPGTPGAQPTQRWRQVQENGHTRLFTGLTLAIGYVVSIWAVFFINI-GLGNSLNYYGIHPLDLSSVWHVVTAPLLHLNLQHLMSNTVPGAIFVFLIGLSGKRTFWEVTLFSLVVGGAGTWLFGGVGTNHIGASGLIYGWLGYLVIRGFANRSVWQIVMGLFLAFSYSGLIWGVLPTDTGVSWQGHLFGGIGGVLAGMVITSDDPPETQQRRAQGLTGR---</t>
  </si>
  <si>
    <t>MAFSKKTHHQDPYQ------------------------GAYPPTAGVPAARPQQQVALAKR--RQQLKAGISHAVGFVVVIWAIFIINAFVFANNLNYFGIHPWDTSTLWHIITAPLLHGSWEHLIGNTSIGVVCAFLIGWSGKRVFWEVTIISTIVAGAFQWLFGGIGSTHIGASGVIFGWLTYLVIRGIFNRSLSQILVGLALVFYYGGVFYGVLPSEPGISWQGHLGGAIGGFIAGACITSDDPPELKLRRAQRKQQQLRR</t>
  </si>
  <si>
    <t>GC_00001045</t>
  </si>
  <si>
    <t>MGKHDHPADHNDHDDYHNQAAAPRRGLVIVASTRAAQGVYEDESGKTLATWLTSRSFDTPEPVIVADADIPNHFAQLFGDIASLPQVVLTTGGTGLSDDDRTVDELAKYLTKQLPGIAMQFWQTGLHATPLAVCSRAIAGTVGRTFVMALPGSVSACRDGIKVLDPIIDSLVGMLEGTHVH-</t>
  </si>
  <si>
    <t>MGKHDHPADHNDYDDYHNQAAAPRRGLVIVASTRAAQGVYEDESGKTLATWLTSRSFDTPEPVIVADADIPNHFAQLFGDIASLPQVVLTTGGTGLSDDDRTVDELAKYLTKQLPGIAMQFWQTGLHATPLAVCSRAIAGTVGRTFVMALPGSVSACRDGIKVLDPIIDSLVGMLEGTHVH-</t>
  </si>
  <si>
    <t>GC_00001046</t>
  </si>
  <si>
    <t>PF05639.16</t>
  </si>
  <si>
    <t>Pup-like protein</t>
  </si>
  <si>
    <t>K13570</t>
  </si>
  <si>
    <t>prokaryotic ubiquitin-like protein Pup</t>
  </si>
  <si>
    <t>ko04121</t>
  </si>
  <si>
    <t>Ubiquitin system&gt;&gt;&gt;Ubiquitins and ubiquitin-like proteins&gt;&gt;&gt;Ubiquitin-like proteins (UBLs)</t>
  </si>
  <si>
    <t>MSTTSSHTSHASGGGDDHNHDDSAV-GQVSINTHGTDDLLDEIDGLLENNAEEFVRSYVQKGGQ</t>
  </si>
  <si>
    <t>GC_00001047</t>
  </si>
  <si>
    <t>PF12146.15</t>
  </si>
  <si>
    <t>Serine aminopeptidase, S33</t>
  </si>
  <si>
    <t>K06889</t>
  </si>
  <si>
    <t>COG1073</t>
  </si>
  <si>
    <t>Fermentation-respiration switch esterase FrsA, DUF1100 family (FrsA)</t>
  </si>
  <si>
    <t>MTQPFTSTRVRFQSEGDRLVGNLHTPIHHDSDS---IIVVTGSWTTVKEQQAEFYARLLAAEGFTTLTFDFRGFGQSEGSPRSWENPDRKISDIHAAVTYAVEQLGAARIGALGICASSGYQAVNAASDSRVSSLAMIAPWLHNMQLVAPYYGGEAGVQERIAASCAAHARYQEMGEVDYIPAISTTDPAAAMYGPYDYYLDPQRGDIPEWDKRIATMSWEPWLTFNPLISAPQITIPVHMIHSPDAAVPDGAQQFYDHLPGPKKLRWIEGTQLDFYDQPTQVSHALRTTADHFRNTL</t>
  </si>
  <si>
    <t>GC_00001048</t>
  </si>
  <si>
    <t>COG4877</t>
  </si>
  <si>
    <t>MPRKNVPLRLDPAIYDAIAQWAGDNMRSVNAQIEVMLRDNLRTAGRLPKDAGDLPKRG---RPRKDPS-----------------------------------------------------------------</t>
  </si>
  <si>
    <t>MPRKSVPLRIDPAVYNAIAAWANQEMRSVNAQIEVMLRENLRKAGRLPKDTGEIPKRG---RPKNPKSQT---------------------------------------------------------------</t>
  </si>
  <si>
    <t>MPRKSVPLRIDPAVYNAIAAWANQEMRSVNAQIEVMLRENLRKAGRLPKDTGKSPNAAGLKTPNHKPSQTLPYANARAISVSNNSAYGTPDAANTCGYIEIGVNPGMVFTSLSTGPAWVTKKSTRANPEHCNA</t>
  </si>
  <si>
    <t>GC_00001049</t>
  </si>
  <si>
    <t>PF00497.25</t>
  </si>
  <si>
    <t>Bacterial extracellular solute-binding proteins, family 3</t>
  </si>
  <si>
    <t>K02030</t>
  </si>
  <si>
    <t>polar amino acid transport system substrate-binding protein</t>
  </si>
  <si>
    <t>COG0834</t>
  </si>
  <si>
    <t>ABC-type amino acid transport/signal transduction system, periplasmic component/domain (HisJ) (PDB:1GGG)</t>
  </si>
  <si>
    <t>Transporters&gt;&gt;&gt;ABC transporters, prokaryotic type&gt;&gt;&gt;Phosphate and amino acid transporters&gt;&gt;&gt;Putative polar amino acid transporter</t>
  </si>
  <si>
    <t>MKRIHVVTGALSICGLLSPILLSGCAATLDEAQQPWALSSKL---PLPDGARMEDPGSEPATNVLTSGLRGSLRPDDRTPEERVPHIIERGHIVVGVDQSQNLLSFRDPATGKMTGFEVDMAREIAQDIFGDPNKVDFRFVNSGDAVYALESHQVDIVIRSMAITRKRQDQMTFSTPYFSARTRLLAFTGSGIKSVDDLPGKTVCVLDGSTTLQHTRKLAPESPIMKVRSSADCLVALQQNQADVIMSDDAVLSGIAAQDPYTSIVGDAIATESYGIAMATPGVKHNTDGLVRQVNSTIERVINDGTWWKLYNQWLSRYQDTPGPPALDYRNENGQ--</t>
  </si>
  <si>
    <t>-----MTNRILLTCLLLIVSLTAGCARTPETSTATAPTSDSLPFVPLPQGATIERAGAEPPNKIITTNLLGSLAPDNRSPGERVPEIISRGRLIVGIDQSQNLLSFRNTITGELQGFEVDIAKEIATDIFGDPTKIEFRYVDSANWIDSLESHQIDMAIRTLSITRDRQDQVFFSTPYLKGSTKILVHKSSAIKGISEIGGRPVCVTSQSTGIHYARNLAPTSDLVVVRSSADCLIVMQQNQASAVITDDVILSG</t>
  </si>
  <si>
    <t>-----MTNRILLTCLLLIVSLTAGCARTPETSTATAPTSDSLPFVPLPQGATIERAGAEPPNKIITTNLLGSLAPDNRSPGERVPEIISRGRLIVGIDQSQNLLSFRNTITGELQGFEVDIAKEIAADIFGDPTKIEFRYVDSANWIDSLESHQIDMAIRTLSITRDRQDQVFFSTPYLKGSTKILVHKSSAIKGISEIGGRPVCVTSQSTGIHYARNLAPTSDLVVVRSSADCLIVMQQNQASAVITDDVILSG</t>
  </si>
  <si>
    <t>GC_00001050</t>
  </si>
  <si>
    <t>PF02595.20</t>
  </si>
  <si>
    <t>Glycerate kinase family</t>
  </si>
  <si>
    <t>K00865</t>
  </si>
  <si>
    <t>glycerate 2-kinase [EC:2.7.1.165]</t>
  </si>
  <si>
    <t>COG1929</t>
  </si>
  <si>
    <t>Glycerate kinase (GlxK) (PDB:1TO6)</t>
  </si>
  <si>
    <t>KEGG Orthology (KO)&gt;&gt;&gt;09100 Metabolism&gt;&gt;&gt;09101 Carbohydrate metabolism&gt;&gt;&gt;00630 Glyoxylate and dicarboxylate metabolism [PATH:ko00630]|KEGG Orthology (KO)&gt;&gt;&gt;09100 Metabolism&gt;&gt;&gt;09103 Lipid metabolism&gt;&gt;&gt;00561 Glycerolipid metabolism [PATH:ko00561]|KEGG Orthology (KO)&gt;&gt;&gt;09100 Metabolism&gt;&gt;&gt;09105 Amino acid metabolism&gt;&gt;&gt;00260 Glycine, serine and threonine metabolism [PATH:ko00260]|Enzymes&gt;&gt;&gt;2. Transferases&gt;&gt;&gt;2.7  Transferring phosphorus-containing groups&gt;&gt;&gt;2.7.1  Phosphotransferases with an alcohol group as acceptor&gt;&gt;&gt;2.7.1.165  glycerate 2-kinase</t>
  </si>
  <si>
    <t>MTTIVIAPDAFKGTATTHDAAAYLAEGIAEALP-DAELVLVPMADGGEGTASCFDGTPVTLPTTDAAGRLTEATYMFNDGDVAEAYIDVAAASGLPAVADHPVPLTGDTYGTGVLIADAVTRGAQRIILGLGGTATVDGGTGILVALGATPQDKAGHPLRPGGGSLTELAGFDTAQLNIPAAAVEWVLLTDVTNPATGPDGAAAVFGPQKGATPEDITLLDAALTQLCDICEVDPTTPGFGAAGGLPIGITWLSTLMHGNHSHIHVLPGARMVAESVGLPELIHSADLVVTGEGRFDKQSTRGKVVGTVLDMAVAADVPVVVVAGSFQEKIAGQGVSMVELSDNPDAKAQLVEAGRRIAAALPQQ</t>
  </si>
  <si>
    <t>MTTIVIAPDAFKGTATTHDAAAYLAEGIAEALP-DAELVLVPMADGGEGTASCFDGTPVTLPTTDAAGRLTEATYMFNDGYVAEAYIDVAAASGLPAVADHPVPLTGDTYGTGVLIADAVTRGAQRIILGLGGTATVDGGTGILVALGATPQDKAGHPLRPGGGSLTELAGFDTAQLNIPAAAIEWVLLTDVTNPATGPDGAAAVFGPQKGATPKDITLLDAALAQLCDICEVDPTTPGFGAAGGLPIGITWLSTLMHGNHSHIHVLPGARMVAESVGLPELIHSADLVVTGEGRFDKQSTRGKVVGTVLDMAVAADVPVVVVAGSFQEKIAGQGVSMVELSDNPDVKAQLVEAGRRIAAMLP--</t>
  </si>
  <si>
    <t>GC_00001051</t>
  </si>
  <si>
    <t>PF04973.17</t>
  </si>
  <si>
    <t>Nicotinamide mononucleotide transporter</t>
  </si>
  <si>
    <t>K03811</t>
  </si>
  <si>
    <t>nicotinamide mononucleotide transporter</t>
  </si>
  <si>
    <t>COG3201</t>
  </si>
  <si>
    <t>Nicotinamide riboside transporter PnuC (PnuC) (PDB:4QTN)</t>
  </si>
  <si>
    <t>MDMITAFFSVNTIAFTILGYSISWLELVGTIFNLVCVILAARRNIWNWPIGLIGVMLFGVLFYQINLYADVFEQVYYLITGISGWYLWARVGTNKNTDEKVLITTNSLRSNLYWVAGIAGASLLTGWIVSNLHIWLPTLFPEPASLPLLDAASTMTAFAAQFLMMRRKLESWYLWIIVDIVAVGLYWYKGVPFVALLYAAFLINAIYGWYTWRN--NTAARANVKEAAPEKEPELCEA</t>
  </si>
  <si>
    <t>--MLSDFFSVTNIAFDVLGYQISWLELSGTIFNLAAVILAARRNILTWPIGIIGVILFGFLFYQINLYADMAEQVYYFITGVIGWYLWAARTNSKDDHNKVTITTMPLSHNLMWVGAILVSGIALGLVIANIHLWLPAQFPTPADFPILDSITTTTAFAAQYLMMRRKLESWYLWIILDVIAVGLYWHKHVPFVAILYAIFLINAFYGWWDWKNHQNTPEPTAHKQKIPAKVRN----</t>
  </si>
  <si>
    <t>--MLSDFFSVTNIAFDVLGYQISWLELSGTIFNLAAVILAARRNILTWPIGIIGVILFGFLFYQINLYADMAEQVYYFITGVIGWYLWAARTNSKDDHNKVTITTMPLSHNLMWVGAILVSGIALGLVIANIHLWLPAQFPTPADFPILDSITTTTAFAAQYLMMRRKLESWYLWIILDVIAVGLYWHKHVPFVAILYAIFLINAFYGWWDWKNHQNTPEPTVHKQKIPAEVRN----</t>
  </si>
  <si>
    <t>GC_00001052</t>
  </si>
  <si>
    <t>PF00708.24</t>
  </si>
  <si>
    <t>Acylphosphatase</t>
  </si>
  <si>
    <t>K01512</t>
  </si>
  <si>
    <t>acylphosphatase [EC:3.6.1.7]</t>
  </si>
  <si>
    <t>COG1254</t>
  </si>
  <si>
    <t>Acylphosphatase (AcyP) (PDB:1APS)</t>
  </si>
  <si>
    <t>KEGG Orthology (KO)&gt;&gt;&gt;09100 Metabolism&gt;&gt;&gt;09101 Carbohydrate metabolism&gt;&gt;&gt;00620 Pyruvate metabolism [PATH:ko00620]|KEGG Orthology (KO)&gt;&gt;&gt;09100 Metabolism&gt;&gt;&gt;09111 Xenobiotics biodegradation and metabolism&gt;&gt;&gt;00627 Aminobenzoate degradation [PATH:ko00627]|Enzymes&gt;&gt;&gt;3. Hydrolases&gt;&gt;&gt;3.6  Acting on acid anhydrides&gt;&gt;&gt;3.6.1  In phosphorus-containing anhydrides&gt;&gt;&gt;3.6.1.7  acylphosphatase</t>
  </si>
  <si>
    <t>MSGDVVRLTAWVHGYVQGVGFRWWVYGQANELGLSGSATNLNDGRVCVIAEGPRDACETLLHRLKIPDAVRSYRRPGSVRSVIDRWSEPRGVTDFRMC</t>
  </si>
  <si>
    <t>GC_00001053</t>
  </si>
  <si>
    <t>K00882</t>
  </si>
  <si>
    <t>1-phosphofructokinase [EC:2.7.1.56]</t>
  </si>
  <si>
    <t>COG1105</t>
  </si>
  <si>
    <t>1-phosphofructokinase or 6-phosphofructokinase II (FruK) (PDB:2ABQ)</t>
  </si>
  <si>
    <t>KEGG Orthology (KO)&gt;&gt;&gt;09100 Metabolism&gt;&gt;&gt;09101 Carbohydrate metabolism&gt;&gt;&gt;00051 Fructose and mannose metabolism [PATH:ko00051]|KEGG Orthology (KO)&gt;&gt;&gt;09130 Environmental Information Processing&gt;&gt;&gt;09131 Membrane transport&gt;&gt;&gt;02060 Phosphotransferase system (PTS) [PATH:ko02060]|Enzymes&gt;&gt;&gt;2. Transferases&gt;&gt;&gt;2.7  Transferring phosphorus-containing groups&gt;&gt;&gt;2.7.1  Phosphotransferases with an alcohol group as acceptor&gt;&gt;&gt;2.7.1.56  1-phosphofructokinase</t>
  </si>
  <si>
    <t>MILTLTPNPSTDLTLALGEQLQRDSVQRLQSVTSVAGGKGINVSNACALAGVDTLALFPAAASDPFLELLKAINIRHQAIQNDGAVRTNTTITEPDGTTTKLNGPGSLLSDAARAEVERTLITAAKEATWVVMSGSLPPGAPTDWYSALTAQLRNAYPHINIAVDTSDAPLLSLAENLDSAAPTVIKPNGLELGQIVGTDGEELEAAAARGEFEPVLEAARELNTRDIAEVLVTLGAAGAALVTEQGTWIASPPPTIAVSTVGAGDSTLAGYVMARQQGADYATALANAVAYGSAAASLPGTTIPSPEHINVAETTITQLS</t>
  </si>
  <si>
    <t>MILTLTPNPSIDATFQLTGTLIPGGVNRLSSATSVAGGKGINVSHAIYKAQHNTLAVFPAAAGDPFLSLLDNTKVPYQCTPVSDPVRVNTTLADPAGETTKVNGVGAVLTESDITAMEKTLVEHAQQADWVVMAGSLPPGVPENWYSHLVDLLRAQAPNVKIAIDTSDAPLLAVAHDLEKHHADIMTPNSLELGQIVGVSGTSLEAEALAGNYEPVIIAATKLVKRGLPMALITLGAAGAVLVTDNGVWLATSPPVTPLSTVGAGDCTLAGFVMGISDGLSPERALALGVAYGSTAVTLPGTTIPTPNQVDADRITIRALV</t>
  </si>
  <si>
    <t>MILTLTPNPSIDATFQLTGTLIPGGVNRLSSATSVAGGKGINVSHAIYKAQHSTLAVFPAAAGDPFLSLLDNTKVPYQCTPVSDPVRVNTTLADPAGETTKVNGVGAVLTESDITAMEKTLVEHAQQADWVVMAGSLPPGVPENWYSHLVDLLRAQAPNVKIAIDTSDAPLLAVAHDLEKHHADIMTPNSLELGQIVGVSGTSLEAEALAGNYEPVIIAATKLVKRGLPMALITLGAAGAVLVTDNGVWLATSPPVTPLSTVGAGDCTLAGFVMGISDGLSPERALALGVAYGSTAVTLPGTTIPTPNQVDADRITIRALV</t>
  </si>
  <si>
    <t>GC_00001054</t>
  </si>
  <si>
    <t>---MAQESNSD---DSTAGQQAMGVEADAVLRLGLLMVAAGTGGYRVIRAMKRAARAMGFDRLDAEISITSVVCTFHRGVSFRTVVATQPAPAVDASRIEALEHLTHHLPNRMSANALTMCLDDIVHSVTHRWSRPVLMVAAGAACAAFALLNYFPAEGAAAVAVAAACGQLVRMILASRHLNQLGVVAVAAATSCLVFYLLNWALPLTHLPDDARAFAAGYIAAVLYLIPGFPLFSSMLDLSRFDITAGLTRLC</t>
  </si>
  <si>
    <t>MGIMAEESDTHHLLQLVEAEHQMGEDADAVLRLGAMIMAAGTGGYRVIRAMKRAARALGFDRVEAVISVNNITCSFHKGELFRTIVVNRDNPAVDASRIEALENLSHHMGSSYTAEELHRELDQIEQRVGKRWPVWVQALAAGLACSGFAVLNHYPFLEAVVVALAAAVGQIVRHSCARRHLNQLGTTAMAAVVASLMYLFMAKGLAMVGIIDSPT-FTTGYVASVLFLIPGFPLFSSLLDLSRFDLFSGLSRLCYATTVICTATMAATAVSLITGLQPLPPDPATPNLLWYLEATGATIVGIAGFAILFNSSRRMAITATTIGTVANMVRLVCAEAGLQPQFAAFVGALVVGLLGALLTKRISIPRITITVPASVVMIPGTAIYRTVYYLNSGDIDSGVGTAASASLSIIAIGAGLVVARMLTDPDWTFGRHIDLHKNVDDR</t>
  </si>
  <si>
    <t>MGIMAEESDTHHLLQLVEAEHQMGEDADAVLRLGAMIMAAGTGGYRVIRAMKRAARALGFDRVEAVISVNNITCSFHKGELFRTIVVNRDNPAVDASRIEALENLSHHMGSSYTAEELHRELDQIEQRVGKRWPVWVQALAAGLACSGFAVLNHYPFLEAVVVALAAAVGQIVRHSCARRHLNQLGTTAMAAVVASLMYLFMAKGLAMVGIIDSPT-FTTGYVASVLFLIPGFPLFSSLLDLSRFDLFSGLSRLCYATTVICTATMAATAVSLITGLQPLPPDPATPNLLWYLEATGATIVGIAGFAILFNSSRRMAITATTIGTVANMVRLVCAEAGLQPQFAAFIGALVVGLLGALLTKRISIPRITITVPASVVMIPGTAIYRTVYYLNSGDIDSGVGTAASASLSIIAIGAGLVVARMLTDPDWTFGRHIDLHKNVDDR</t>
  </si>
  <si>
    <t>GC_00001055</t>
  </si>
  <si>
    <t>PF01613.24</t>
  </si>
  <si>
    <t>Flavin reductase like domain</t>
  </si>
  <si>
    <t>COG1853</t>
  </si>
  <si>
    <t>FMN reductase RutF, DIM6/NTAB family (RutF) (PDB:1EJE)</t>
  </si>
  <si>
    <t>MLSTMKMVDSTYYRQTVGNYPSGVTVVTARDTETGADLGLTVSAFTSLSLEPPMVLLSIDARSKSHPHLMVGAPIGVSVLAEDQLHLAVQFARHGLDRFAGVNIVRRSSHRDNSTSIDGRDDVGVPLIGGAAAWFLGTVTDRYVGGDHVILTVTVDDCGWEEETRPLIYQRGKLHHWPDELG</t>
  </si>
  <si>
    <t>MLSTMKMVDSTYYRQTVGNYPSGVTVVTARDTETGADLGLTVSAFTSLSLEPPMVLLSIDARSKSHPHLMVGAPIGVSVLAEDQLHLAVQFARHGLDRFAGVNIVRRSSHRDNSTSIDSRDDVGVPLIGGAAAWFLGTVTDRYVGGDHVILTVTVDDCGWEEETRPLIYQRGKLHHWPDELG</t>
  </si>
  <si>
    <t>GC_00001056</t>
  </si>
  <si>
    <t>PF02110.20</t>
  </si>
  <si>
    <t>Hydroxyethylthiazole kinase family</t>
  </si>
  <si>
    <t>K00878</t>
  </si>
  <si>
    <t>hydroxyethylthiazole kinase [EC:2.7.1.50]</t>
  </si>
  <si>
    <t>COG2145</t>
  </si>
  <si>
    <t>Hydroxyethylthiazole kinase, sugar kinase family (ThiM) (PDB:1C3Q)</t>
  </si>
  <si>
    <t>M00899</t>
  </si>
  <si>
    <t>Thiamine salvage pathway, HMP/HET =&gt; TMP</t>
  </si>
  <si>
    <t>KEGG Orthology (KO)&gt;&gt;&gt;09100 Metabolism&gt;&gt;&gt;09108 Metabolism of cofactors and vitamins&gt;&gt;&gt;00730 Thiamine metabolism [PATH:ko00730]|KEGG Orthology (KO)&gt;&gt;&gt;09100 Metabolism&gt;&gt;&gt;09108 Metabolism of cofactors and vitamins&gt;&gt;&gt;00740 Riboflavin metabolism [PATH:ko00740]|Enzymes&gt;&gt;&gt;2. Transferases&gt;&gt;&gt;2.7  Transferring phosphorus-containing groups&gt;&gt;&gt;2.7.1  Phosphotransferases with an alcohol group as acceptor&gt;&gt;&gt;2.7.1.50  hydroxyethylthiazole kinase</t>
  </si>
  <si>
    <t>MPNHATKTALIAAIDTMRNTRPLVQCLTNNVVTQVTANVLLAAGATPAMCDTPEESAAFARVASGLLINPGTPSAEQYAGMRQAILGANSVGTPWVLDPVAAGALPHRTAFSREILAYRPAAIRGNASEIAALAGVGAGGRGVDATDEVEATIPAARDLAAQTGGVVAISGAQDVIVSTRRVTRLVSGHPMMQLVIGTGCSLGALVAAYLGAHRTATAGQDAFDLHDAVVAAHAHSGAAGMVAAQQASAPGSFAVAWIDALYQLTSERIAELVTIEEE---</t>
  </si>
  <si>
    <t>MPNHATKTALIAAIDTMRNTRPLVQCLTNNVVTQVTANVLLAAGATPAMCDTPEESAAFASVASGVLINPGTPSAEQYAGMRQAILGANSVGTPWVLDPVAAGALPHRTAFSREILAYRPAAIRGNASEIAALAGVGAGGRGVDATDEVEATIPAARDLAAQTGGVVAISGAQDVIVSTRRVTRLVSGHPMMQLVIGTGCSLGALVAAYLGAHRTAVASRDAFDLHDAVVAAHAHSGAAGMVAAQRASAPGSFAVAWIDALYQLTSERIAELVTIEEE---</t>
  </si>
  <si>
    <t>GC_00001057</t>
  </si>
  <si>
    <t>K02575</t>
  </si>
  <si>
    <t>MFS transporter, NNP family, nitrate/nitrite transporter</t>
  </si>
  <si>
    <t>M00615</t>
  </si>
  <si>
    <t>Nitrate assimilation</t>
  </si>
  <si>
    <t>Signature modules; Module set; Metabolic capacity</t>
  </si>
  <si>
    <t>KEGG Orthology (KO)&gt;&gt;&gt;09100 Metabolism&gt;&gt;&gt;09102 Energy metabolism&gt;&gt;&gt;00910 Nitrogen metabolism [PATH:ko00910]|Transporters&gt;&gt;&gt;Major facilitator superfamily (MFS)&gt;&gt;&gt;Nitrate/nitrite transporters&gt;&gt;&gt;Nitrate/nitrite porter (NNP) family [TC:2.A.1.8]</t>
  </si>
  <si>
    <t>MTTPDSEARPTKGHVLHNWDPEDEKNWDSGIAWRTLWISTFSLIIGFCTWYLVSAIAPLLNDIGFSLSKSQLYWLTAIAGLACGFFRLIFTFLPPIMGTRKLVTMSSLLFIIPMVGWFFAVQNTSTPYWALLALSFICGIGGGVFSGFMPSTGYFFPKRLSGTALGLQAGIGNFGISLIQFLGPWIMGFGLLGITFIAPQRTHAGKEIFVHNAAIVLVPWALVAAAVAWFALKDVPIKANFRQQIDIFGNKNTWILTIVYLMTFGAFSGFAAQLGLLINQIYGPSSSLAETHDAASLPTGAAYAYLGPLVGAGVRALWGPLCDKFGGAIWTFIGGVGMAVSLGWAALYLNPKDPSEFTWFLTAMLVFFFFTGLGNAGTFKQMPMILPKRQAGGVIGWTGAVGAFGPFIVGIMLSMMAASTFFWGCVIFFVITNVLIWVYYARPNAPYPG</t>
  </si>
  <si>
    <t>MTTPDSETRSTKGHVLSNWDPEDEKNWDSGIAWRTLWISTFSLIIGFCTWYLVSAIAPLLNDIGFSLSKSQLYWLTAIPGLACGFFRLIFTFLPPIMGTRKLVTMPSLLFIIPMVGWFFAVQDTSTPYWALLALSFICGIGGGVFSGFMPSTGYFFPKRLSGTALGLQAGVGNFGISLIQFLGPWIMGFGLLGITFIAPQHTRAGNEIFVHNAAIVLVPWALVAAAVAWFALKDVPIKANFRQQIDIFGNKNTWILTIVYLMTFGAFSGFAAQLGLLINQIYGPSSTFAENHDVASLPTGAAYAYLGPLIGAGVRALWGPLCDKFGGAIWTFISGIGMAASLGWAALYLNPKDPSEFTWFLTAMLVFFFFTGLGNAGTFKQMPMILPKRQAGGVIGWTGAVGAFGPFIVGIMLSMMAAPTFFWGCVIFFVITTVLVWVYYARPNAPYPG</t>
  </si>
  <si>
    <t>MTSLD-----TSGKVIQGWDPETPENWDKKIAWQTLIITTAILFLAFATWYLVSAIAPMLNRIGFHFSKGQLYWIASISGLSGGLFRLIFMFLPPIVGTRKLVSISSFLFVIPMLGWFMAVQDTSTPFWWFMVLSFIGGIGGGVFSGFMPSTGYFFPKRMAGTALGIQAGIGNFGVSFIQLVAPMIMGVSLLGLGAFAPQKTSEGL-VWVHSVAAVLIPWAIVLGIVGWIMLKDVPIKANFRQQIDIFGNKNTWILTIIYLMTFGAFSGFAAQLALLINNTFGVDSPFKDEY--INLPRGAAYAFLGPLISALVRAAWGPLCDKFGGAIWTFISGVGMTVFTAIAALFLKPSDPNEFNWFLAAMLIMFFFTGIGNAGTFKQMPMILPRRQAGGVIGWTSAIAAFGPFIVGVLLSAMAPTTFFWGCVVFFAFATALTWIYYARPGAPFPG</t>
  </si>
  <si>
    <t>GC_00001058</t>
  </si>
  <si>
    <t>PF02631.22</t>
  </si>
  <si>
    <t>RecX, second three-helix domain</t>
  </si>
  <si>
    <t>K03565</t>
  </si>
  <si>
    <t>regulatory protein</t>
  </si>
  <si>
    <t>COG2137</t>
  </si>
  <si>
    <t>SOS response regulatory protein OraA/RecX, interacts with RecA (RecX) (PDB:3C1D)</t>
  </si>
  <si>
    <t>DNA repair and recombination proteins&gt;&gt;&gt;Prokaryotic type&gt;&gt;&gt;TLS (translesion DNA synthesis) factors&gt;&gt;&gt;Other SOS response factors</t>
  </si>
  <si>
    <t>MLMSSKPNNAKERKLEQLRAALAHYERHGSD---LFDHQAEDVKRQVRHRALLLLDQRARSRHELQERLVALDFDTRVIADVLDELEQSRLVNDHDFAMEWVRQRHELRGKSRSVLDQELQRKGISPEHRAAALEQVDDDAEYDCARELAMKKARQITKP-PADYAEQEKYLRRIVGVLARRGFASGMSFAIAKEALEQRIAELS</t>
  </si>
  <si>
    <t>MLMSSKPNNAKERKLEQLRAALAHYERHGSD---LFDHQAEDAKRQVRHRALLLLDQRARSRHELQERLVALDFDTRVIADVLDELEQSRLVNDHDFAMEWVRQRHELRGKSRSVLDQELQRKGISPEHRAAALEQVDDDAEYHCARELAAKKARQITKP-PADYAEQEKYLRRIVGVLARRGFASGMSFAIAKEALEQRIAELS</t>
  </si>
  <si>
    <t>GC_00001059</t>
  </si>
  <si>
    <t>MFDYVFPQELEDAIDAATAKFGPIECAKKFLFYFMAESGVHDGEVWDCLAELSESSYSDPQYIAKVEQLTDKYSEDAYSDERREPAEITLVVNISVMEGIYDGLKAPIEEFPYNACCDAVNNDWDFDRITESIKKL</t>
  </si>
  <si>
    <t>MFGYGFPQELEDAIDAATAKFGPIECAKKFLFYFMTESGVHDGEVWDCLAELSESSYSDPQYIAKVEQLTDKYSEDAYSDERLEPAEITLVVNISVMEGIYDGLKAPIEEFPYNACYDAVNNDWDFDRIIESIQKL</t>
  </si>
  <si>
    <t>MFGYGFPQELQDAIDAATAKFGPIECAKKFLFYFMTESGVHDGEVWDCLAELSESSYSDPQYIAKVEQLTDKYSEDAYSDERREPAEITLVVHISVMEGIYDGLKSPIEEFPYNACYDAVNDDWDFDRITESIQKL</t>
  </si>
  <si>
    <t>GC_00001060</t>
  </si>
  <si>
    <t>K00847</t>
  </si>
  <si>
    <t>fructokinase [EC:2.7.1.4]</t>
  </si>
  <si>
    <t>KEGG Orthology (KO)&gt;&gt;&gt;09100 Metabolism&gt;&gt;&gt;09101 Carbohydrate metabolism&gt;&gt;&gt;00051 Fructose and mannose metabolism [PATH:ko00051]|KEGG Orthology (KO)&gt;&gt;&gt;09100 Metabolism&gt;&gt;&gt;09101 Carbohydrate metabolism&gt;&gt;&gt;00500 Starch and sucrose metabolism [PATH:ko00500]|KEGG Orthology (KO)&gt;&gt;&gt;09100 Metabolism&gt;&gt;&gt;09101 Carbohydrate metabolism&gt;&gt;&gt;00520 Amino sugar and nucleotide sugar metabolism [PATH:ko00520]|Enzymes&gt;&gt;&gt;2. Transferases&gt;&gt;&gt;2.7  Transferring phosphorus-containing groups&gt;&gt;&gt;2.7.1  Phosphotransferases with an alcohol group as acceptor&gt;&gt;&gt;2.7.1.4  fructokinase</t>
  </si>
  <si>
    <t>MITICGEGLVDLVP-SPTITGEPHAIPLHPALGGGPFNVAIATARLGAPTRFLSRLSHDTFGTALYNRLNSENIDTEHVQRGVEPTTLALTSIGADGSASYTFYVDGTADRFVEPPQDLDTHIACFGTCSLALEPGASRYATLLHSLAARGTFIALDPNIRDFYATDAHRDFLHSLLPSVTLLKLSEEEVDFLGDTDVPARVITRGANGITLETRDLRIDVPAVSVPVQDTIGAGDTIMGALLTQFELRGNG-NPRALVDSLTADEWRDILTYAATAAAITCSRVGAQPPTDAEVQGMLA</t>
  </si>
  <si>
    <t>MITVCGEGLVDLVPIHSSTNTNPRLLPLTPALGGGPFNVAITAARQGEPTQFLSRVSTDNFGDALVDRLTSENVDTSLVQRGQEPTTLAVTSLNPDGSASYSFYIDGTADRLVDPPADLTTDIACFGTVSLALEPGASRYAALLKNLHRDGTFIALDPNIRPFYATKAHSDFLYSLLPSVDLLKLSDEEEEFLDQPEAPIKVITCGPDGLIVHFNGQTIEVTAPTIEVADTIGAGDTVIGCLLAEIHRRTEGKNVRNKTMEFTGEDWAEIASYAARAAAVTCTRVGANPPTRAEMEQLPE</t>
  </si>
  <si>
    <t>MITVCGEGLVDLVPIHSSTNTNPRLLPLTPALGGGPFNVAITAARQGEPTQFLSRVSTDNFGDALVDRLTSENVDTSLVQRGQEPTTLAVTSLNPDGSASYSFYIDGTADRLVDPPADLTTDIACFGTVSLALEPGASRYAALLKNLHRDGTFIALDPNIRPFYATKAHSDFLYSLLPSVDLLKLSDEEEEFLDQPEAPIKVITCGPDGLIVHFNGQTIEVTAPTIEVADTIGAGDTVIGCLLAEIHRRTGGKNVRNKTMEFTGEDWAEIASYAARAAAVTCTRVGANPPTRAEMEQLPE</t>
  </si>
  <si>
    <t>GC_00001061</t>
  </si>
  <si>
    <t>MTVTTTDQATPTIAAASTQTQSNTTSTQADTPTKQYLKLAGLILGLSTVLLLMLLAFVTPLLNSGAKDLPLAVGGPEAVTTQITQGLQAKSPDAFDVSTYNTAEEATQAVKDRDAIGAITAGPEGVTIVTASGAGSPYVQLLKQMGAGMAESGQHVNYVDVAPMTAKDPTGSALTALAMPMIFGGMSTAAIFSMVFKNSRTKQLIGALGVAILGGLVASSVLYFGFDALEANFWPTTAVIILGIAAISTTVLGLNSLLGFAGLGLGAVTMLFISNPLSGMATGMHWLPSPWGAIGQYLPLGAAGTAIRSSAFFDGAGMTNSVIVLLCWIIAGITLAAAGAWRARRTG</t>
  </si>
  <si>
    <t>MSITTAPTSAKT--AKPTTANTNTNAAENTTASKQYLKLAGLILGLSTILLLMLLSFVTPLLNSGAKDLPLTVGGSDMVTTKITQGLEAESPDAFAVTSYSTAEEATEAVRNREAIGAITAGPDGITIVTASAAGTPYSTILKQIGEGLSQTGQPIHYTDVAPLTAKDPSGSAISMLALPMIFGGMSSAVAFSTVFKKSRRKQIMGAIGVAILGGLIASATLYFGFGAFEANFWPTTSVIMLGIAAISLTVLGLNSLLGFAGIGLGAVLMLFVANPLSGLATGAAWLPSPWGTLGQYLPLGAAGTAIRSAAFFDGAAMGQPVTILVCWIVVGLGLAAAGAWWARR--</t>
  </si>
  <si>
    <t>MSITTAPTSAKT--AEPTTATINTNAAENTTASKQYLKLAGLILGLSTILLLMLLSFVTPLLNSGAKDLPLAVGGPNMVTTKITQGLEAKSPDAFAVTSYSTAEEATEAVRNREAIGAITAGPDGITIVTASAAGTPYSTILKQIGEGLSQTGQPIHYTDVAPLTAKDPSGSAISMLALPMIFGGMSSAVAFSTVFKKSRRKQIIGAIGVAILGGLIASATLYFGFDAFDANFWPTTAIIMLGIAAISLTVLGLNSLLGFAGIGLGAVLMLFVANPLSGLATGAAWLPSPWGTLGQYLPLGAAGTAIRSSAFFDGAAMGQPVTVLVCWIAVGLGLAAAGAWRARR--</t>
  </si>
  <si>
    <t>GC_00001062</t>
  </si>
  <si>
    <t>--MQLFDSHNMVGYMSNNMPLRILLPLTIVTFAVGTDTFVIAGLLPAISQELHVSPTNAGQLVTAFSITFALAAPILGAITGGLRRDTALKLGLIGFIIGNAATALAPTFGLALAARILTALGASLLTPSASTITVALAPADKRGRALAIVMGGLMSATALGVSLGLIIGQANWRHTMWALTVLGAASLIAVFRWIPPVTLPAIPLRNRLQPLKDLRVLGIVATTILVVGSNMQIYVYTGLITGAAGTMLIIGLT</t>
  </si>
  <si>
    <t>MILQLFDSHNMVGYMSNNMPLRILLPLTIVTFAVGTDTFVIAGLLPAISQELHVSPTSAGQLVTAFSITFALAAPILGAITGGLRRDTALKLGLIGFIIGNAATALAPTFGLALAARILTALGASLLTPSASTITVALAPADKRGRALAIVMGGLMSATALGVSLGLIIGQTNWRHTMWALTVLGVASLIAVFRWIPPVTLPAIPLRNRLQPLKDLRVLGIVATTILVVGSNMQIYVYTGLITGATGTMLIIGLTTFGVCTIIGNFAAGKLTDAYTPQLAVLVSIIGLALSQTTFNLGVHLGIMLIVLACNGFFGGMLTVPQQARIVAENPANAPLLIALLSSAVYTGFALAGAVGKIVVDAVGAGTIPWTSALMLLIPLLLTFTIKTPAAPAATEEQVD-</t>
  </si>
  <si>
    <t>GC_00001063</t>
  </si>
  <si>
    <t>MSNPTVSQTTDNAVTEITGAEEGGAAILIDNVTKRYGGKKGAAKKAAVNQLTLEIPAGAVVMFVGRSGCGKTTTLKMINRLIEPTEGKIVINGEDVTHMNGDKLRRGIGYVIQAGGLLPHLTVGANIAMVPKMLGWDKQRIAERVDELLELISLDPDLYRDRYPKELSGGQQQRVGVARALAADPPVLLMDEPFGAVDPITRQKLQDELISIQSELHKTIVCVTHDFDEAVKLGDWIAIFDDGARIVQYDTPERILAEPADEFVEEFIGSGAGLKQLNLTHIRDVELLPAVTGHPGQDPKELAHLADQAGHGHVVILDDKHRPLSWIPREQLNTIRSIPSHVDPDLPVVSTHSTLNDALDTMLVASTGAALVVGPRQYFQGVINVETVMQAITELRETQPKEDAPVGVNADAVEE-----AGESDDHDNNL----</t>
  </si>
  <si>
    <t>MSNPTVSQSTDNAVTEITGAEEGGAAILIDNVTKRYGGKKGAAKKAAVNQLTLEIPAGAVVMFVGRSGCGKTTTLKMINRLIEPTEGKIVINGEDVTHMNGDKLRRGIGYVIQAGGLLPHLTVGANIAMVPKMLGWDKQRIAERVDELLELISLDPDLYRDRYPKELSGGQQQRVGVARALAADPPVLLMDEPFGAVDPITRQKLQDELISIQSELHKTIVCVTHDFDEAVKLGDWIAIFDDGARIVQYDTPERILAEPADEFVEEFIGSGAGLKQLNLTHIRDVELLPAVTGHPGQDPKELAHLADQAGHGHVVILDDKHRPLSWIPREQLNTIRSIPSHVDPDLPVVSTHSTLNDALDTMLVASTGAALVVGPRQYFQGVINVETVMQAITELRETQPKEDAPVGVNADAVEE-----AGESDDHDNNL----</t>
  </si>
  <si>
    <t>MSNQLTDQIES---TDLTSDSGGGAAILLENVTKRYGN-----NKPAVDQLTLEIPAGKVVMFVGKSGCGKTTTLKLINRLIEPTEGRIFIGGEDASSMNGDKLRRNIGYVIQSGGLLPHLTVGANIAIVPKMLKWDKARIAQRVDELLTMVSLDPETYRDRYPKELSGGQQQRIGVARALAADPPVLLMDEPFGAVDPITRQRLQDELINIQSELGKTIVCVTHDFDEAAKLGDWIAVFDEGARIVQYDTPERILGEPADDFVADFIGAGAGLKQLNLARVGDADLITPAFGQPGDDAAVILKEVERLGHDHAVILDNHNRVLSWPSRKQLRRMTTITNYREDDLPVVGLKSSLNDALDTMLVANSGAALVEGPRRKFLGIVNVETVMNAITELRSTTSDEDTPLGNNEGDIPEEVVARVGASDTPDTPATPED</t>
  </si>
  <si>
    <t>GC_00001064</t>
  </si>
  <si>
    <t>K04069</t>
  </si>
  <si>
    <t>pyruvate formate lyase activating enzyme [EC:1.97.1.4]</t>
  </si>
  <si>
    <t>COG1180</t>
  </si>
  <si>
    <t>Pyruvate-formate lyase-activating enzyme (PflA) (PDB:3CAN)</t>
  </si>
  <si>
    <t>KEGG Orthology (KO)&gt;&gt;&gt;09190 Not Included in Pathway or Brite&gt;&gt;&gt;09191 Unclassified: metabolism&gt;&gt;&gt;99980 Enzymes with EC numbers|Enzymes&gt;&gt;&gt;1. Oxidoreductases&gt;&gt;&gt;1.97  Other oxidoreductases&gt;&gt;&gt;1.97.1  Sole sub-subclass for oxidoreductases that do not belong in the other subclasses&gt;&gt;&gt;1.97.1.4  [formate-C-acetyltransferase]-activating enzyme</t>
  </si>
  <si>
    <t>MNAPTSANPAGCD------VELPVAGIIPFSATDWPGKLTCTIFTQGCMWTCTYCHNPTLQPITPGEHAFTAVVDLLGQRRGLIDALVISGGEPTLHHGLGNAIAATHRI-GFPVGLHTCGYAPGRLDVLLEREETRPDWVGLDIKALPSDMLAVTGCSPRAATGSWQSLRLLADARDRLGLDLQVRTTIWPDSILEHHLDDVRAAVAGYGCELVVQYARGVNERGEYYANLF</t>
  </si>
  <si>
    <t>MSVSTLAKPT-CNRGQVGARTLPVAGIIPFSATDWPGNITITIFTQGCPLRCVYCHNPSLQAFGAGSHDFAEALALAVDRRSLIDGVVISGGEPTAVPGLADAITAVHETTGLPVGLHTCGYSPARISRLLERAGSTPDWVGLDIKALPRHMPEVTGCAATVSGRVWDSLHLLVDA----GVDLQLRTTLWRDSVISQHLPELQHLVSEQGFDLVIQQARAAD--GSPF-QLV</t>
  </si>
  <si>
    <t>MSVSTLAKPT-CNRSQAGARTLPVAGIIPFSATDWPGNITITIFTQGCPLRCVYCHNPSLQAFGAGSHDFAEALALAVDRRSLIDGVVISGGEPTAVPGLADAIAAVHETAGLPVGLHTCGYSPARIGRLLERPESTPDWVGLDIKALPRHMPEVTGCAATVSGRVWDSLHLLVDA----GVDLQLRTTLWRDSVISQHLPELQHLVSEQGFDLVIQQARAAD--GSPF-QLV</t>
  </si>
  <si>
    <t>GC_00001065</t>
  </si>
  <si>
    <t>PF07702.18</t>
  </si>
  <si>
    <t>UTRA domain</t>
  </si>
  <si>
    <t>K24967</t>
  </si>
  <si>
    <t>GntR family transcriptional regulator, N-acetylglucosamine utilization regulator</t>
  </si>
  <si>
    <t>COG2188</t>
  </si>
  <si>
    <t>DNA-binding transcriptional regulator, GntR family (MngR) (PDB:2WV0)</t>
  </si>
  <si>
    <t>Transcription factors&gt;&gt;&gt;Prokaryotic type&gt;&gt;&gt;Helix-turn-helix&gt;&gt;&gt;GntR family</t>
  </si>
  <si>
    <t>MVTSANFPAPDPVPTITPTTTPTAVASTTAAAETQLTSRLLKDGPKPKHAQLREILEEICATELSPGDMLPGERVLEETYGVSRITVRRAIGDLVASGKLKRARGKGTFVAPNPLVSRLHLASFSSEMSAQHLQASSKILQAARAMAPEEVAAFFNAEPGVMHTHLRRLRLGDNRPYAIDDGWYNGSYAPDLLENDVYNSVYSILDKHYKVPVTDADQTATAICADEETSVLLDVPTGAPLLRIVRQSFSEGRPVEWCSSLYRTDRYALKTHVSKAQPRP</t>
  </si>
  <si>
    <t>K03710</t>
  </si>
  <si>
    <t>GntR family transcriptional regulator</t>
  </si>
  <si>
    <t>---MTDPPVELPIRTLT------------------------DESDAPKHQQLREILEDVCINYLNPGDMLPGERVLEEQYGVSRITVRRAIGDLVASGKLRRARGKGTFVAHSPLVARVHLASFSDEMAAQNITSSSKILLSAWTTAPEEIRIFFNSPLTKPHTHLRRLRLGNGKPFSIDDGWYNSLFAPDLLENDVYKSVYAILDAQYHVPITDAEQIVSAIAAGSDDSEFLQVDKGTPLLKVVRFSRSNLKPI</t>
  </si>
  <si>
    <t>GC_00001066</t>
  </si>
  <si>
    <t>c-arg_c-dur_c-mat1_c-mat2</t>
  </si>
  <si>
    <t>PF17928.6</t>
  </si>
  <si>
    <t>MGGDDLDLNAAEKILQPRRRPAQQRSRAKYSRILAAARSVLVDMGFESFTFDEVAKRAEVPIGTLYQFFANKYVLICELDREDTADTVAELQRFADQVPALQWPDILDELIDHLADMWRADPSRRAVWHAVQSTPATRATAAATEQPVLALLAEVLRPLAPNASRNERLTIAGLLVHTMVSLLNYSVHDE----HMTDHMFHATVDEIKRMLIAYLFAVATS</t>
  </si>
  <si>
    <t>GC_00001067</t>
  </si>
  <si>
    <t>PF02146.23</t>
  </si>
  <si>
    <t>Sir2 family</t>
  </si>
  <si>
    <t>K12410</t>
  </si>
  <si>
    <t>NAD-dependent protein deacetylase/lipoamidase [EC:2.3.1.286 2.3.1.313]</t>
  </si>
  <si>
    <t>COG0846</t>
  </si>
  <si>
    <t>NAD-dependent protein deacetylase, SIR2 family (SIR2) (PDB:1M2N)</t>
  </si>
  <si>
    <t>KEGG Orthology (KO)&gt;&gt;&gt;09100 Metabolism&gt;&gt;&gt;09108 Metabolism of cofactors and vitamins&gt;&gt;&gt;00760 Nicotinate and nicotinamide metabolism [PATH:ko00760]|Enzymes&gt;&gt;&gt;2. Transferases&gt;&gt;&gt;2.3  Acyltransferases&gt;&gt;&gt;2.3.1  Transferring groups other than aminoacyl groups&gt;&gt;&gt;2.3.1.286  protein acetyllysine N-acetyltransferase|Enzymes&gt;&gt;&gt;2. Transferases&gt;&gt;&gt;2.3  Acyltransferases&gt;&gt;&gt;2.3.1  Transferring groups other than aminoacyl groups&gt;&gt;&gt;2.3.1.313  NAD-dependent lipoamidase</t>
  </si>
  <si>
    <t>MPRHRLPQLTTTCRSPDLAPTLARPWFSPRPHLGENQAYNGIMTARPTTIADFPPAIIENLS---EARRVHVFTGAGMSAESGLETYRNDKTGLWENVDPQAMASIDAWARDPEPMWAWYLWRAHVAEEAQPNAGHIALAEWEQLCDSMLVTTQNIDNLHERAGSQHIAHLHGSLFAWRCSICGRPYRIMELPTQPAARLTPPECPLCHNPVRPGVVWFGESLPQREWELAEQWMMIADVVVVVGTSGVVYPAAALPRIAYECGTPIIEISPAATDLTPLATVSWATTAARGLPELVAKVQESRG</t>
  </si>
  <si>
    <t>GC_00001068</t>
  </si>
  <si>
    <t>K01607</t>
  </si>
  <si>
    <t>4-carboxymuconolactone decarboxylase [EC:4.1.1.44]</t>
  </si>
  <si>
    <t>KEGG Orthology (KO)&gt;&gt;&gt;09100 Metabolism&gt;&gt;&gt;09111 Xenobiotics biodegradation and metabolism&gt;&gt;&gt;00362 Benzoate degradation [PATH:ko00362]|Enzymes&gt;&gt;&gt;4. Lyases&gt;&gt;&gt;4.1  Carbon-carbon lyases&gt;&gt;&gt;4.1.1  Carboxy-lyases&gt;&gt;&gt;4.1.1.44  4-carboxymuconolactone decarboxylase</t>
  </si>
  <si>
    <t>MSVSQPDPLLPVLRDDELSERAAAVFADIRATRNTDFVNNIWRVLANDPHLLEQTWAEVKGVLGADGELDVLTKQLIYIAVSVAQGCNYCIRSHTAAARNLGLTDAQFAELHTVIGVAAKTNRLVQGLQVPIDDAFL</t>
  </si>
  <si>
    <t>MSVSQPDPLLPVLRDDELSERAAAVFADIRATRNTDFVNNIWRVLANDPPLLEQTWAEVKGVLGADGELDVLTKQLIYIAVSVAQGCNYCIRSHTAAARNLGLTDAQFAELHAVIGVAAKTNRLVQGLQVPIDDAFL</t>
  </si>
  <si>
    <t>GC_00001069</t>
  </si>
  <si>
    <t>PF13160.11</t>
  </si>
  <si>
    <t>Protein of unknown function (DUF3995)</t>
  </si>
  <si>
    <t>MKGRSRVVVIAMMLWWGFFGLVSVSWALGSPWLVDTVLQGDGQRLAQERPPWFVAVVLISGLVKLGFVIFGFALLRPDVIRVPRWLRLAFGWVSGVLLIAYGLFGSTQGIVRLLSNQPISRYGWWRLFLWMPHFWVGGILVVAATVAYLRWSRPDAVEAR</t>
  </si>
  <si>
    <t>-----------MMLWWGFFGSVSLSWALGSPWLVDTVLQGNGLRLAQERPTWFVVVVFISGLVKLGFVAFGCAILYPDTIRVPRWLRLAFGWVSGVLLMAYGVVGSAPGIIKLLAGESLSRYGWWRIFLWMPHFWVGGILVLAATVAYQRWSKANLVTA-</t>
  </si>
  <si>
    <t>MPGWPRALAITMMLWWGFFGSISLSWALGSPWLVDTVLQGDGLRLAQERPTWFVVVVFISGLVKLGFVVFGCALLYPDTIRVPRWLRLAFGWVSGVLLMAYGVVGSAPGIIKLLAGESLSRYGWWRIFLWMPHFWVGGILVLAATIAYQRWSKVNADKV-</t>
  </si>
  <si>
    <t>GC_00001070</t>
  </si>
  <si>
    <t>K01057</t>
  </si>
  <si>
    <t>6-phosphogluconolactonase [EC:3.1.1.31]</t>
  </si>
  <si>
    <t>COG0363</t>
  </si>
  <si>
    <t>6-phosphogluconolactonase/Glucosamine-6-phosphate isomerase/deaminase (NagB) (PDB:2RI0) (PUBMED:24163345)</t>
  </si>
  <si>
    <t>KEGG Orthology (KO)&gt;&gt;&gt;09100 Metabolism&gt;&gt;&gt;09101 Carbohydrate metabolism&gt;&gt;&gt;00030 Pentose phosphate pathway [PATH:ko00030]|Enzymes&gt;&gt;&gt;3. Hydrolases&gt;&gt;&gt;3.1  Acting on ester bonds&gt;&gt;&gt;3.1.1  Carboxylic-ester hydrolases&gt;&gt;&gt;3.1.1.31  6-phosphogluconolactonase</t>
  </si>
  <si>
    <t>MPTTVVPVADRAELTREAA---LRTWNLIIDAQGR-GDGYARIVLTGGGAGIGTLRDILALHQSALAQSDSFPTPVVDWNRVHVFFGDERNVAVNDPESNEGQAREALLDHVGIPEDNIHGWRFGE-LSLEDGVTAYEGVLAQYAPKGFDLHLLGMGHEGHMNSLFPHTDAVRETERLVLAVTDSPKPPAERGTLTLPAVAQADHVWLLIDGAAKAEAAAHVIAESPAEDWPAAGAHGRKETLVFLADDAARAGA</t>
  </si>
  <si>
    <t>-MVNVVRVATVDEVCRAAAAEFVRVVREVSKTGGKHGDGCARVVLTGGGAGIGMLR--------LLVDAD------INWELVHVFFGDERNVAVTHPDSNEGQAREALLDHVNIPEANIHGYGLGNGVVLADAVDAYRLVVQDFAPEGFDVHLLGMGGEGHVNSLFPHSAATREESALVMAVTDSPKPPAERATLTFPAIARADRVWLLVAGAEKAEAAAQVVAGADRDEWPAAGARGIVDTVLFLADDAAGLL-</t>
  </si>
  <si>
    <t>-MVNVVRVATVDEVCRAAAAEFVRVVREVSKTGGKHGDGCARVVLTGGGAGIGMLR--------LLVDAD------INWELVHVFFGDERNVAVTHPDSNEGQAREALLDHVNIPEANIHGYGLGNGVALADAVDAYRLVVQDFAPEGFDVHLLGMGGEGHVNSLFPHSAATREESALVMAVTDSPKPPAERATLTFPAIARADRVWLLVAGAEKAEAAAQVVAGADRDEWPAAGARGIVDTVLFLADDAAGLL-</t>
  </si>
  <si>
    <t>GC_00001071</t>
  </si>
  <si>
    <t>PF13377.12</t>
  </si>
  <si>
    <t>Periplasmic binding protein-like domain</t>
  </si>
  <si>
    <t>K02529</t>
  </si>
  <si>
    <t>LacI family transcriptional regulator, galactose operon repressor</t>
  </si>
  <si>
    <t>COG1609</t>
  </si>
  <si>
    <t>DNA-binding transcriptional regulator, LacI/PurR family (PurR) (PDB:1BDH)</t>
  </si>
  <si>
    <t>Transcription factors&gt;&gt;&gt;Prokaryotic type&gt;&gt;&gt;Helix-turn-helix&gt;&gt;&gt;LacI family</t>
  </si>
  <si>
    <t>MCVTPERCDKVIVFRIMAKRTQSRGTLASLAAELGVSRTTVSNAYNRPEQLSAALRERILATAERLGYPGPDPTARSLRTRRTGSFGVLLTEHLSYAFEDLASVDFLAGMAEASYGSNNSLTLVPVGPDTSVDQVAAAQLVNQCVVDGFVVYSVAADDPYLLAAKNRRLPMVICDQPADEHSLPFVGIDDYAAIAPAAQSLIDAGHRNIGILSIRLFRRPNDGAVTPDRLDVADLHVQRARVQGALSVLQSAGIDPTSVPIVERHINDPANNVAAARELLESHPELTAVLCTTDSMALGVLAYAESVGLSVPDDLSVTGFDGIRTALDRNLTTVLQPNKAKGAAAGRMLFSLID-DYLADAVPPSPAPRTILDTSFHEGGTVAPPRA-</t>
  </si>
  <si>
    <t>PF00532.27</t>
  </si>
  <si>
    <t>Periplasmic binding proteins and sugar binding domain of LacI family</t>
  </si>
  <si>
    <t>GC_00001072</t>
  </si>
  <si>
    <t>COG1541</t>
  </si>
  <si>
    <t>Phenylacetate-coenzyme A ligase PaaK, adenylate-forming domain family (PaaK) (PDB:2Y4O)</t>
  </si>
  <si>
    <t>MSGVRQKLLVAVSFAQNRWLHRLHTRAAVERFQARHVKKHGAFLRQHSPYFRDRPLIRSVEDLEQYPLMDKAMMMAEFNALNTRNLDRDTALDIAIQSEKTRDFQPMYNGVSVGLSSGTSGHRGLFAISDEERYAWAGAVLARFLPKGRLRGHRIAFFLRANNNLYETVKSRFITFQYFDTYRPMAEHIDALRDYQPTVLVAPPSVLNVLASAVESGELVLKPDKIVAVAEVLTVFDQHRFKEVFGHDIIFQAYQCTEGFLAYTCSRGSLHLNEDIVYFEKDFLDDCRFVPILTDFRRRTQPIVRYRLNDVLVL-ADKPCTCGNATTVIERIEGREDDIFLFPNVTG-GQVTVFSDMIERCLLYCDGVTDYRVVQVAADKVTVYVDPANTCIHDAITHEFTSLSSKLGFVIPEMNFQPYAVEPSVKLKRVERRWSPRQQPLQ</t>
  </si>
  <si>
    <t>----MTSLLIAGYFAQSRW-RRLRSRAAIDRLQERYVRRQFRFLRRHSPYFATLPRVGSRADLGKLPVMDKESMMANFNRLNTVGLDRDRALEIAVAAERSRDFSPMYRGVSVGLSSGTSGHRGLFIVSDRERCAWAGAVLARFLPS--LSGQRIAFFLRANNNLYETVNSRVIQFRFFDVYRPMAEHIAALGSYRPTVVVAPPSVLSVLADAVVAGELRLCPARVISVAEVLTSFDERRFREVFGQEVIFQAYQ</t>
  </si>
  <si>
    <t>----MTSLLIAGYFAQSRW-RRLRSRAAIDRLQERYVRRQFRFLRRHSPYFATLPRVGSRADLGKLPVMDKESMMANFNRLNTVGLDRDRALEIAVAAERSRDFSPTYRGVSVGLSSGTSGHRGLFIVSDRERCAWAGAVLARFLPS--LSGQRIAFFLRANNNLYETVNSRVIQFRFFDVYRPMAEHIAALGSYRPTVVVAPPSVLSVLADAVVAGELRLCPARVISVAEVLTSFDERRFREVFGQEVIFQAYQ</t>
  </si>
  <si>
    <t>GC_00001073</t>
  </si>
  <si>
    <t>F|M</t>
  </si>
  <si>
    <t>Nucleotide transport and metabolism|Cell wall/membrane/envelope biogenesis</t>
  </si>
  <si>
    <t>K03744</t>
  </si>
  <si>
    <t>LemA protein</t>
  </si>
  <si>
    <t>COG1051|COG1704</t>
  </si>
  <si>
    <t>ADP-ribose pyrophosphatase YjhB, NUDIX family (YjhB) (PDB:3GZ5)|Magnetosome formation protein MamQ, lipoprotein antigen LemA family (LemA) (PDB:2ETD) (PUBMED:14638756;20212111;26884433)</t>
  </si>
  <si>
    <t>COG1704</t>
  </si>
  <si>
    <t>Magnetosome formation protein MamQ, lipoprotein antigen LemA family (LemA) (PDB:2ETD) (PUBMED:14638756;20212111;26884433)</t>
  </si>
  <si>
    <t>MDPTTIIAIIIAVIITIALYWASSTANRLHRLHVRTDAARQSLQASLDRRAAVLAACEPQFTALAHSTESIPLQYETFAQRAEKERQISAAIAG----LTDPTPGSIVDAEARVQLAHRFYNDAVSDTRALRVQPLVRILRLGGTARLPEYFELTT-----</t>
  </si>
  <si>
    <t>MDPTTIIAIIIAVIITIALYWASSTANRLHRLHVRTDAARQSLQASLDRRAAVLAACEPQFTALAHSTESIPLQYETFAQRAEKERQISVAIAG----LTDPTPGSIVDAEARVQLAHRFYNDAVSDTRALRVQPLVRILRLGGTARLPEYFELTT-----</t>
  </si>
  <si>
    <t>GC_00001074</t>
  </si>
  <si>
    <t>MD-----------------------TNARGRTKKYCSQSCRQRAYEQRNNVSGTSIPANAVIMNPERAAELKDSLFELRCAAEDIEVAATEGASAAELSELCQELVRLARSIEHLR---</t>
  </si>
  <si>
    <t>MD-----------------------TNTRGRTKKYCSQSCRQRAYEQRNNVSGTSIPADAVIMNPERAAELKDSLFELRCAAEDIEVAATEGASAAELSELCQELVRLARSIEHLR---</t>
  </si>
  <si>
    <t>MDMTRLKRMAAKRHPTCQWCGTELRSSRRGRPRKYCSQACRQRAYEQRNAIAGTQIPAEAIILRPELAQRLQDSLFELRCAAEDVKTAVNEGATSAEITQLCNEFVALAHKTEKFRMKE</t>
  </si>
  <si>
    <t>GC_00001075</t>
  </si>
  <si>
    <t>c-durJJ1</t>
  </si>
  <si>
    <t>MTDTNMTDTNTPHSGGVPQDRGKRMRVKWHEENIVNRKAWALCGFVCAAVGGVWFRGLLCSVWRNTSGVVLGVLVVIVAGSRPVVLFEPGC</t>
  </si>
  <si>
    <t>GC_00001076</t>
  </si>
  <si>
    <t>c-arg_c-dur_c-durJJ1_c-mat2</t>
  </si>
  <si>
    <t>MSNSKKTSSAIDIKAPEDVNTAALVSVGLVGGWLIARETGIRPLGGALLAAAGGWAARSWWAKGGVTLAAGLTSAYIGAFGASHPLAKKIGAWPSVIAVTGAAACAAHFLSDAQ-</t>
  </si>
  <si>
    <t>--------MGF--KNAEDVNTAAVVATGLIGGWLTARETGIRPIGGAFLGAAGLYAGRSWLANGGPLVTAGLSALYIGAFGASHPLAKKIGAWPSVLTVTALTSGAAHLLSDRK-</t>
  </si>
  <si>
    <t>GC_00001077</t>
  </si>
  <si>
    <t>PF03060.21</t>
  </si>
  <si>
    <t>Nitronate monooxygenase</t>
  </si>
  <si>
    <t>K00459</t>
  </si>
  <si>
    <t>nitronate monooxygenase [EC:1.13.12.16]</t>
  </si>
  <si>
    <t>COG2070</t>
  </si>
  <si>
    <t>NAD(P)H-dependent flavin oxidoreductase YrpB, nitropropane dioxygenase family (YrpB)</t>
  </si>
  <si>
    <t>KEGG Orthology (KO)&gt;&gt;&gt;09100 Metabolism&gt;&gt;&gt;09102 Energy metabolism&gt;&gt;&gt;00910 Nitrogen metabolism [PATH:ko00910]|Enzymes&gt;&gt;&gt;1. Oxidoreductases&gt;&gt;&gt;1.13  Acting on single donors with incorporation of molecular oxygen (oxygenases)&gt;&gt;&gt;1.13.12  With incorporation of one atom of oxygen (internal monooxygenases or internal mixed-function oxidases)&gt;&gt;&gt;1.13.12.16  nitronate monooxygenase</t>
  </si>
  <si>
    <t>MWEL-------GRGRR---------------------------LRGADAVDAAVAV----------------------------------------------------------------------------------------------------------GVETQFMLDNVDAPAMYPHVNTLLGPLRKASAASGDSTHVTAWAGSGFRHAREGSVDAIMQNLY------------PRFG</t>
  </si>
  <si>
    <t>MWEL-------GRGRR---------------------------LRGADAVDAAVAV----------------------------------------------------------------------------------------------------------GVETQFMLDNVDAPAMYPHVNTLLGPLRKASAASGDSTHVAAWAGSGFRHAREGSVDAIMQNLY------------PRFG</t>
  </si>
  <si>
    <t>GC_00001078</t>
  </si>
  <si>
    <t>PF06463.18</t>
  </si>
  <si>
    <t>Molybdenum Cofactor Synthesis C</t>
  </si>
  <si>
    <t>K03639</t>
  </si>
  <si>
    <t>GTP 3',8-cyclase [EC:4.1.99.22]</t>
  </si>
  <si>
    <t>COG2896</t>
  </si>
  <si>
    <t>GTP 3',8-cyclase (molybdenum cofactor biosynthesis protein MoaA) (MoaA) (PDB:1TV7)</t>
  </si>
  <si>
    <t>KEGG Orthology (KO)&gt;&gt;&gt;09100 Metabolism&gt;&gt;&gt;09108 Metabolism of cofactors and vitamins&gt;&gt;&gt;00790 Folate biosynthesis [PATH:ko00790]|KEGG Orthology (KO)&gt;&gt;&gt;09120 Genetic Information Processing&gt;&gt;&gt;09123 Folding, sorting and degradation&gt;&gt;&gt;04122 Sulfur relay system [PATH:ko04122]|Enzymes&gt;&gt;&gt;4. Lyases&gt;&gt;&gt;4.1  Carbon-carbon lyases&gt;&gt;&gt;4.1.99  Other carbon-carbon lyases&gt;&gt;&gt;4.1.99.22  GTP 3',8-cyclase</t>
  </si>
  <si>
    <t>MRSRLPFPTLRTAPTEFFEEKRDDLGVWRLQDTFGRVARDLRVSLTDRCNLRCTYCMPADGLEWIPRPDTLDDDETIRLITLAVTMLGIRQVRFTGGEPLLRRGLESIVAATAALTTDTGEPVTTALTTNGLGLDKRAAKLKAAGLHRVNISLDTLDADQYAALTRRDRHRDVLAGIDAALAAGLTPVKINAVIMPGVNETAILPLAEYCLDRGLQLRFIEHMPLGPRDSWDRKKLVTAEDIIRRLRDRFTLVASS---KPRGAAPAQLWDVTGTTASGPVSGQIGVIAAVTHPFCGDCDRTRLTTDGMIRSCLFSHEETSLRDMMRAGASDAELAASWVRAMWRKKAGHGINDPRFVQPSRTMSAIGG</t>
  </si>
  <si>
    <t>MRSRLPFPTLRTAPTEFFEEKRDDLGVWRLQDTFGRVARDLRVSLTDRCNLRCTYCMPADGLEWIPRPNTLDDDETIRLITLAVTMLGIRQVRFTGGEPLLRRGLESIIAATAALTADTGEPVTTALTTNGLGLDKSAAKLKAAGLHRVNISLDTLDADQYAALTRRDRHRDVLAGIDAALAAGLTPVKINAVIMPGVNETAILPLAEYCLDRGLQLRFIEHMPLGPRDSWDRKTLVTAEDIIRRLRDRFTLVASS---KPRGAAPAQLWDVTGTTASGPVSGQIGVIAAVTHPFCGDCDRTRLTTDGMIRSCLFSHEETSLRDMMRAGASDAELAASWVRAMWRKKAGHGINDPRFVQPSRTMSAIGG</t>
  </si>
  <si>
    <t>GC_00001079</t>
  </si>
  <si>
    <t>MGAATHG-VGRWGDPA----QALRPLPVKRVIVAPKLCDFRRVIWNNEDMANLEKKGYVDPGWPKQTPGGGHYVTEVLAKFAGANSPYGD-VEFPVPAEELGYVHPYTRINK-</t>
  </si>
  <si>
    <t>---MRHGSCHTWGWPVGRSDAGFATSARKTVIVPPKLCDFRRAVWNNENMANLEKKGYVDPGWPKQTPGGGHYVTEVLAKFAGANSPYGD-VEFPVPAEELGYVHPYTRINK-</t>
  </si>
  <si>
    <t>GC_00001080</t>
  </si>
  <si>
    <t>PF13275.11</t>
  </si>
  <si>
    <t>K14761</t>
  </si>
  <si>
    <t>COG2501</t>
  </si>
  <si>
    <t>Ribosome-associated protein YbcJ, S4-like RNA-binding protein (YbcJ) (PDB:1P9K)</t>
  </si>
  <si>
    <t>MGGAILRITTGVQHRLLVMQPFDVSIRDETIKLGQFIKLANLVETGGQAKDAIADGQVTVNGVVDTRRGKTLREGDVVGFGGQSARVVRATAEELDYFDEATADDDFDPEKWRNM</t>
  </si>
  <si>
    <t>GC_00001081</t>
  </si>
  <si>
    <t>K10441</t>
  </si>
  <si>
    <t>ribose transport system ATP-binding protein [EC:7.5.2.7]</t>
  </si>
  <si>
    <t>KEGG Orthology (KO)&gt;&gt;&gt;09130 Environmental Information Processing&gt;&gt;&gt;09131 Membrane transport&gt;&gt;&gt;02010 ABC transporters [PATH:ko02010]|Enzymes&gt;&gt;&gt;7. Translocases&gt;&gt;&gt;7.5  Catalysing the translocation of carbohydrates and their derivatives&gt;&gt;&gt;7.5.2  Linked to the hydrolysis of a nucleoside triphosphate&gt;&gt;&gt;7.5.2.7  ABC-type D-ribose transporter|Transporters&gt;&gt;&gt;ABC transporters, prokaryotic type&gt;&gt;&gt;Saccharide, polyol, and lipid transporters&gt;&gt;&gt;Ribose transporter</t>
  </si>
  <si>
    <t>---------------------MSVQPVLQLDRVSKSFGPVKVIDSVSIDVHAGHVQALLGENGAGKSTLIKMMAGVYQPDSGRILVDGTPTTLPNVKAAEAHGIATIHQELNLVPTMTVAENLMLGRTPSRWGLVDYKALRKKALKALRMIGVDVSLDTPVGELGIARQQLVEIAKALSMNARVLILDEPTAALTGREIDQLFSVVNDLKAKGVGMVFISHHLDEIARIADSVSVLRDGGFVAEVPASTPEKKLV</t>
  </si>
  <si>
    <t>MSSPYRRPRTQSTNEPPADIDDDSSAILQLKEVSKSFGPVNVIDRVSINVRPGQVHALLGENGAGKSTLIKMMSGVYQPDSGAIIIDGKQTHLPTSKAAEDLGIATIHQELNLVPTMTVAENVMLGRFPTHYGLVNHRKLDALAQEALDLIGVDVKLNDRIGNLGIARQQMVEIAKALSMHARILILDEPTAALTDHEIEQLFKVIRDLKAQNVAMVFISHHLDEIAEIADTVSVLRDGQLIDEVPATTSEAELVRLMVGREITNQYPR-ESHPIGDPLLVVKDLSSDDKFQNVSFTVHAGEIVGMAGLVGAGRTEVIRAIAGCDPVTGGTVMVNNHPLKLGDIRHAIRAGIGHVPEDRKAQGLVLGASVNENLGFATLQSTSRFGLADRRGQKQRATKVAKQLRIRMASIDQPVKDLSGGNQQKTVFGRWVLANSQVLLLDEPTRGVDVGAKVEIYQLINSITSAGGAVLMVSSELPEVIGMSDRILVMSGGRLAGEL-PAGSSQDDIMALAVSHVEDALQDAVLEEITEES-------------</t>
  </si>
  <si>
    <t>MSSPYRRPHTQSTNEPPADIDDDSSAILQLKEVSKSFGPVNVIDRVSINVRPGQVHALLGENGAGKSTLIKMMSGVYQPDSGAIIIDGKQTHLPTSKAAEDLGIATIHQELNLVPTMTVAENVMLGRFPTHYGLVNHRKLDALAQEALDLIGVDVKLNDRIGNLGIARQQMVEIAKALSMHARILILDEPTAALTDHEIEQLFKVIRDLKAQNVAMVFISHHLDEIAEIADTVSVLRDGQLIDEVPATTSEAELVRLMVGREITNQYPR-ESHPIGDPLLVVKDLSSDDKFQNVSFTVHAGEIVGMAGLVGAGRTEVIRAIAGCDPVTGGTVMVNNHPLKLGDIRHAIRAGIGHVPEDRKAQGLVLGASVNENLGFATLQSTSRFGLADRRGQKQRATKVAKQLRIRMASIDQPVKDLSGGNQQKTVFGRWVLANSQVLLLDEPTRGVDVGAKVEIYQLINSITSAGGAVLMVSSELPEVIGMSDRILVMSGGRLAGEL-PAGSSQDDIMALAVSHVEDALQDAVLEEITEES-------------</t>
  </si>
  <si>
    <t>GC_00001082</t>
  </si>
  <si>
    <t>MTFGT-VLFGVLILLIVVVVARSVALIPQGEAAVIERLGRYTRTVSGGLTLLIPFIDRIRAKVDTRERVFSFPPQAVITQDNLTVAIDTVVTFQVNEPERAIYGVDNYIVGVEQISTATLRDVVGGMTLEETLTSREVINRRLRGELDAATTKWGLRISRVELKAIDPPPSIQQSMEMQMKADREKRAMILNAEGQREADIKTAEGEKQAKILAAEGEKHAAILAAEAERQAVILRAEGERAGMFLRAQGEARAIQKVNAAIRAAQITPEVLAYQYLEKLPKIAEGSANKVWVVPSQFGDSLEQFAKTLANKDDDGIFRYEPTEVDARTQELADQDADTQHWFSTESDPEIAAAVAAANAVAQKSVDSEP---------------PQAPVMPSP-----EQP--NIPDAQYGIEN---</t>
  </si>
  <si>
    <t>MDIATLILIAVVILVVATFIAKAVVLMPQGEAAVIERLGSYTRTISDGTGMIIPFIDRVRARVDTRERVVSFPPQAVITQDNLTVAIDIVVTFQINDPARAIYGVDNYIVGVEQISVATLRDVVGGMTLEETLTSRDIINRRLRGELDGATTKWGLRISRVELKAIDPPPSIQQSMEMQMKAEREKRAMILTAEGQRESDIRTAEGQKQARILTAEGEKHAAILRAEAERQAAILRAEGERAAKYLQAQGEARAIEKINSAISHSEVTPELLAYQYLEKLPKLAEGQAATMWMIPSQFGDSLEQFAKALAHKDDDGVFRYEPQAPTLP----ADTDDNTDEWFKTTSDPEIKAVVAAANATAQLPVDDLPSAIPQPCTTNSGEPQPQPPYNPPPSDGGFEQPQRQMPPGEFGMPPQGR</t>
  </si>
  <si>
    <t>MDIATLILIAVVILVVATFIAKAVVLMPQGEAAVIERLGSYTRTISDGTGMIIPFIDRVRARVDTRERVVSFPPQAVITQDNLTVAIDIVVTFQINDPARAIYGVDNYIVGVEQISVATLRDVVGGMTLEETLTSRDIINRRLRGELDGATTKWGLRISRVELKAIDPPPSIQQSMEMQMKAEREKRAMILTAEGQRESDIRTAEGQKQARILTAEGEKHAAILRAEAERQAAILRAEGERAAKYLQAQGEARAIEKINSAISHSEVTPELLAYQYLEKLPKLAEGQAATMWMIPSQFGDSLEQFAKALAHKDDDGVFRYEPQAPTLP----ADADDNTDEWFKTTSDPEIKAVVAAANATAQLPVDDLPSAVPQPGTTNSGEPQPQPSYNPPPSDGGFEQPQHQIPPGEFGMPPQGR</t>
  </si>
  <si>
    <t>GC_00001083</t>
  </si>
  <si>
    <t>MSRILIAEDDRGIADFIDRGLTAAGYTCDIAENGVDAFNLARTGAFDLMVLDLGLPEIDGVEVLRQLRAVQEILPVIVLTARTNIEDRVRTLEGGANDYMPKPFQFAELLARIRLRLMDRS---EGDSSHILTRDDLTLDLRTQRVKVGGKWRDVSRREMGLLETLMRNPGEVMSRAQLLSKVWGMDFDPGSNVVDVYIRTLRKKIGSERVETVRGAGYRLR</t>
  </si>
  <si>
    <t>MSRILIAEDDRGIADFIDRGLTAAGYTCDIAENGVDAFNLARTGAFDLMVLDLGLPEIDGVEVLRQLRAVQEILPVIVLTARTNIEDRVRTLEGGANDYMPKPFQFAELLARIRLRLMDRS---EGDSSHILTRDDLTLDLRTQRVKVGDKWRDVSRREMGLLETLMRNPGEVMSRAQLLSKVWGMDFDPGSNVVDVYIRTLRKKIGSERVETVRGAGYRLR</t>
  </si>
  <si>
    <t>MSRILIAEDDNGIAEFIARGLESAGYSCDVTDNGPVAFGMARSGAYQLMILDLGLPNMDGTDILEQLRSLGTTLPIIVLTARTALEDRLRTLEGGANDYMPKPFQFAELLARVRLRLAESNPDMNGANSTQIHHNGMVLDLRAHRVLIDDKWRDLSRRELGLLETLMRHPRQILSRSQLLSQVWGMDFDPGSNVVDVYIRSLRKKIGADKVETVRGSGYRLK</t>
  </si>
  <si>
    <t>GC_00001084</t>
  </si>
  <si>
    <t>MGDPASVAPGVTDAGATLDGHEPDLCFAVTVTRNGTDWTVNSLKSCFSRIDDTIEAVQRLGSENPTFAMLCVDDEYFIIVRPTPSRVHLLLSDATMAVDDNLASSVLDAMGAQTPEMTEEELDRLDPWAEGDLSILADLGLSEQVMSVICDDSELWASEQLLRIAAELGFESELSAAADLDLD</t>
  </si>
  <si>
    <t>----------------------MEHNFAVTVARLGSSWDVSTFHDDFSTVDTAVGAVRSLRAESAAFALLCVDDEYFVIVRPTPSGVRLFLSDASMGAVDDFAASILEELDVEVPDIAEEDFADTEGWPEGDFDILVDVGLSEQVLSVIVDESEWWASEQLQRIAEELGFDDALAKAVG----</t>
  </si>
  <si>
    <t>----------------------MERNFAVTVARLGSSWDVSTFHDDFSTVDTAVGAVRSLRAESAAFALLCVDDEYFVIVRPTPSGVRLFLSDASMGAVDDFAASILEELDVEVPDIAEEDFADTEGWPEGDFDILVDVGLSEQVLSVIVDESEWWASEQLQRIAEELGFDDALAKAVG----</t>
  </si>
  <si>
    <t>GC_00001085</t>
  </si>
  <si>
    <t>PF01863.23</t>
  </si>
  <si>
    <t>YgjP-like, metallopeptidase domain</t>
  </si>
  <si>
    <t>COG1451</t>
  </si>
  <si>
    <t>UTP pyrophosphatase, metal-dependent hydrolase family (YgjP) (PDB:4JIU) (PUBMED:27941785)</t>
  </si>
  <si>
    <t>MPTYAP---DVDVIRSARRTRTSSARLVEGRIQVRIPAWLSEEQERETVEKLVAKVRKRTTPRRFSDAQLAERAERLNRTLLDGRACPGSIRWVSNQNSRWGSCTLSTGAIRISDRLQNVPDYVLDSVIVHELVHTFIRGGHSAEFWEWANRAPKAERARGYLEAYQEFSQGGGGQCDRARRLRGWR</t>
  </si>
  <si>
    <t>-MAAVPNTFDIEIIRSARRTRTAAGRIVDGRIQVRVPANLLPHEEAQLVDDIVAKINRKTTATARTDADLTRRAQVLNRTVLDGQATIGSVRWVTNQSQRWGSCSPATGDIRISHRLRNVPDYVLDSVLVHELTHTFIHDGHSADFWSWADKAPRAERAKGFLEAWGRMTVAEE-------------</t>
  </si>
  <si>
    <t>-MAAVPNTFDIEIIRSARRTRTAAGRIVDGRIQVRVPANLLPHEEAQLVDDIVAKINRKTTATARTDADLTRRAQVLNRTVLDGQATIGSVRWVTNQSQRWGSCSPATGDIRISHRLRNVPDYVLDSVLVHELTHTFIHDGHSADFWSWADKAPYAERAKGFLEAWGRMTVAEE-------------</t>
  </si>
  <si>
    <t>GC_00001086</t>
  </si>
  <si>
    <t>----------------------------------------------------------------------MRPPYLN-------------------------------------------------------------------APLVRFEDQAVWIHDVLAQLAPDGPHIVGYSFGGATATVYAREYPEDVRSLAVLEPVFTFS--------------------------------------------------</t>
  </si>
  <si>
    <t>MFPGGLACHTGGMKLADLRGRKRTLVAVSVVMIAFGWFLHPDSDATVGQFRSVAGRKEYVTHYREAMRRFPTPPSVTADIDTDFGAVRVYEWHTPETRDSMPVVLIPGRSSGAPMWADNLAGFSSRHRVIAFDALGDAGLSVQAAPLADMADQAAWIHQVLARQAPRGAHIVGHSFGGATAVAYARHYPTEVRSLTLLEPVFTFSYPSARLMAWTMVASLPGLPTGWRNHALGRIGGTDYDPTEPMARMIDAGTHHYDAHLPTPSLLSDDDARALTMPCYVAIASTDSLAGGDKAQRRAGELLPHAQVEVWPDTTHSLPMQVAEPLGKKLTEFWETSS</t>
  </si>
  <si>
    <t>------------MKLADLRGRKRTLVVVSVVMIAFGWFLHPDSDATVGQFRSVAGRKEYVTHYREAMRRFPTPPSVTADVDTDFGAVRVYEWHTPETRDSMPVVLIPGRSSGAPMWADNLAAFSSRHRVIAFDALGDAGLSVQAAPLADMADQAAWIHQVLVRQAPRGAHIVGHSFGGATAAAYARHYPTEVRSLTLLEPVFTFSYPSARLMAWTMVASLPGLPTGWRNHALGRIGGTDYDPTEPMARMIDAGTH</t>
  </si>
  <si>
    <t>GC_00001087</t>
  </si>
  <si>
    <t>PF10969.13</t>
  </si>
  <si>
    <t>Protein of unknown function (DUF2771)</t>
  </si>
  <si>
    <t>MGSKKTGSKKTRRRNLTQFLMLTVAVVAVVAISITFQRWWNNRPGPEPRDIQLTVSAPSGEQKISPFTVCEPGTTCAENSVPEVRLGEQDKVKVTVPKEVYDQGWSLLTIYDDPAANDQSSFKAHEKQEVEVSGSAEPRTADSTTRPRLVVVEISTAMVGHNDAGEETPYSVVWSVKVTD--</t>
  </si>
  <si>
    <t>GC_00001088</t>
  </si>
  <si>
    <t>K27681</t>
  </si>
  <si>
    <t>phosphatidylinositol phosphate synthase [EC:2.7.8.-]</t>
  </si>
  <si>
    <t>KEGG Orthology (KO)&gt;&gt;&gt;09100 Metabolism&gt;&gt;&gt;09101 Carbohydrate metabolism&gt;&gt;&gt;00562 Inositol phosphate metabolism [PATH:ko00562]</t>
  </si>
  <si>
    <t>MLSVHGRKPAAVVMEPVAKALLKLGMSPNVVTVAGAVVTIAIAVILIPTGHVVWAAVLSGLFAAFDMLDGTMARLAGGGTKFGATLDASCDRITDGALFSAITWWLIFGYGAGQPLIVASFVVLVSSQVISYVKARGEASGFTMVGGLVERPERLIVGLMGIGLTGLGVPYAIDVAIWLLAAGSVFTVGQRLIMAAQSPRSDDLCAPPTGVAETTSVEEMN</t>
  </si>
  <si>
    <t>MLSVHGRKPAAVVVEPAAKALLKLGMSPNVVTVAGAVVTIAIAVILIPTGHVVWAAVLSGLFAAFDMLDGTMARLAGGGTKFGATLDASCDRITDGALFSAITWWLIFGYGAGQPLIVASFVVLVSSQVISYVKARGEASGFTMVGGLVERPERLIVGLMGIGLTGLGVPYAIDVAIWLLAAGSVFTVGQRLIMAAQSPRSDDLCAPPTGVAETTSVEEMN</t>
  </si>
  <si>
    <t>MLSVSGRKPASVVIEPIARTLTRLGLSPNTVTVAGTCITIAIVVTLIPLNHLVWAAIFSAIFSALDMVDGTMARMRGAGTQFGATLDATCDRLTDGALFGAITWWLIYTYHAHPSLIIASFVVLVTSQVISYVKARGEASGFTMVGGLIERPERLILALGGIGLTGLGVPYAIDIALWVLAVGSVYTVIQRLLMAAHSQEATQPSKPPAGAREFPHS----</t>
  </si>
  <si>
    <t>GC_00001089</t>
  </si>
  <si>
    <t>PF06826.17</t>
  </si>
  <si>
    <t>Predicted Permease Membrane Region</t>
  </si>
  <si>
    <t>K07085</t>
  </si>
  <si>
    <t>putative transport protein</t>
  </si>
  <si>
    <t>COG2985</t>
  </si>
  <si>
    <t>Uncharacterized membrane protein YbjL, putative transporter (YbjL)</t>
  </si>
  <si>
    <t>---MHLLVENQLFTLLLIMTIGLLVGRIQIGGFRLGVAAVLFVGLGLATIEPDIALPAIVFIMGLSLFVYTIGLEAGPDFFSSMRTTGLRLNALAIGMIVATMAVGVGLLKFLGIDAASGAGVFTGAMTNTPAMAAVVDTLTNMASTPEEVVAAESMPVVAYSLTYPLGVLGVILSVAVLSKVFRIDNDQEARDAGVAIQQLVTRRIEVTRRDLPTVTSLPHSLELDVIVSRIEHRGTLYIPEPGDTALVGDIIS</t>
  </si>
  <si>
    <t>MDFLHLLVDNQILALVTIMAIGLVIGRIKIGNFRLGVAAVLFVGLAFATVEPQITLPPLLYILGLSLFVYTIGLEAAPGFFQSIKTTGLRLNVFALIMILVITFVSFGLIKLWGIAQPQGVGLFTGAMTNTPAMAAVVDALPSF--LPDADKATLEMPVVAYSLTYPIGVLGVILSVAILSKIFKIDHDKEAEDAGVALQKLETHRIKVTKENLPSVTSMPFRFNLEIIVSRIEHNGKLFLPEPHDTVEPGDIISVVGTAEEVDKAAELIGEPLPGDHPVHDENLDFRRIFVSSSSIAGKSIRQLQPRLQGVLITRVRRGDMDFVARPDTVLQLGDRVRVVADHEHIDIATKLFGDSYKGISDFNLLPLLIGMTLGLLVGLIEIPLPGGASLKLGSAGGPLLAALILGAVGRTGPFVWQVPFGANLALRQLGITIFLAGIGTTAGAGFAKALQDPTSLTVIGIGAIVTVLFSLMTLIIGYKILKIPFGQVSGMIAGMQTHPAVLTYVSDHTKNELPANGYTTVYPMSMVAKILCAQLLLFLLFL</t>
  </si>
  <si>
    <t>MDLLHLLVDNQILALVTIMAIGLVIGRIKIGNFRLGVAAVLFVGLAFATVEPQITLPPLLYILGLSLFVYTIGLEAAPGFFQSIKTTGLRLNVFALIMILVITFVSFGLIKLWGIAQPQGVGLFTGAMTNTPAMAAVVDALPSF--LPEADKATLEMPVVAYSLTYPIGVLGVILSVAILSKIFKIDHDKEAEDAGVALQKLETHRIKVTKENLPSVTSMPFRFNLEIIVSRIEHNGKLFLPEPHDTVEPGDIISVVGTAEEVDKAAELIGEPLPGDHPVHDENLDFRRIFVSSSSIAGKSIRQLQPRLQGVLITRVRRGDMDFVAHPDTVLQLGDRVRVVADHEHIDIATKLFGDSYKGISDFNLLPLLIGMTLGLLVGLIEIPLPGGASLKLGSAGGPLLAALILGAVGRTGPFVWQVPFGANLALRQLGITIFLAGIGTTAGAGFAKALQDPTSLTVIGIGAIVTVLFSLMTLIIGYKILKIPFGQVAGMIAGMQTHPAVLTYVSDHTKNELPANGYTTVYPMSMVAKILCAQLLLFLLFL</t>
  </si>
  <si>
    <t>GC_00001090</t>
  </si>
  <si>
    <t>COG1012</t>
  </si>
  <si>
    <t>Acyl-CoA reductase or other NAD-dependent aldehyde dehydrogenase (AdhE) (PDB:1A4S)</t>
  </si>
  <si>
    <t>Proline degradation</t>
  </si>
  <si>
    <t>MHDGTPKTLCSTRVENRCHRFKGMSSSDIISVYSPATGEHVGDVPAHTADFTRKAFAAARDAQKQWVSTSLQHRKAVMLRLHDMVLERQSELMDVIQSETGKNRASAFDEVLDVAITARHYAYAAPRMLRTRRKKGALPVLTHTVEEHVPHGVVGIIAPWNYPLTLTASDAIPALLAGNGVVLKPDSLTPLTALKIAELLYESGIPRDLFHVVSGSGGVVGRAITEGCDYLMFTGSTMTGRRLGSIAGERLIGYSAELGGKNPMIVAHDADIERAVQGAISGCFSNSGQLCVSIERIYVHEAIAQEFLERFVAAIEAMRIGPGPEWDVDMGSLISAEHRERVEDMVNDAVTRGATVLAGGRALPDLGEAFYAPTVLTNVAKRSKLYREEVFGPVVYVETVDSISEAIQRANDSEYGLNASVFADPDTAWEIASQLEVGTVNINEGYAATWGSIDAPMGGWKASGVGRRHGDEGLLKYTTTRTVSSQRVMPVSGPGEVARETYTSALKTALKLGKRVLR</t>
  </si>
  <si>
    <t>MHDGTPKTLCSTRVENRCHRFKGMSSSDIISVYSPATGEHVGDVPAHTADFTRKAFAAARDAQKQWVSTSLQHRKAVMLRLHDMVLERQSELMDVIQSETGKNRASAFDEVLDVAITARHYAYAAPRMLRTRRKKGALPVLTHTVEEHVPHGVVGIIAPWNYPLTLTASDAIPALLAGNGVVLKPDSLTPLTALKIAELLYESGIPRDLFHVVSGSGGVVGRAITEGCDYLMFTGSTMTGRRLGSIAGERLIGYSAELGGKNPMIVAHDADIERAVQGAISGCFANSGQLCVSIERIYVHEAIAQEFLERFVAAIEAMRIGPGPEWDVDMGSLISAEHRARVEDMVNDAVTRGATVLAGGRALPDLGEAFYAPTVLTNVAKRSKLYHEEVFGPVVYVETVDSISEAIQRANDSEYGLNASVFADPDTAWEIASQLEVGTVNINEGYAATWGSIDAPMGGWKASGVGRRHGDEGLLKYTTTRTVSSQRVMPVSGPGEVARETYTSALKTALKLGKRVLR</t>
  </si>
  <si>
    <t>K00135</t>
  </si>
  <si>
    <t>succinate-semialdehyde dehydrogenase / glutarate-semialdehyde dehydrogenase [EC:1.2.1.16 1.2.1.79 1.2.1.20]</t>
  </si>
  <si>
    <t>M00956|M00957|M00027</t>
  </si>
  <si>
    <t>Lysine degradation, bacteria, L-lysine =&gt; succinate|Lysine degradation, bacteria, L-lysine =&gt; glutarate =&gt; succinate/acetyl-CoA|GABA (gamma-Aminobutyrate) shunt</t>
  </si>
  <si>
    <t>Pathway modules; Amino acid metabolism; Lysine metabolism|Pathway modules; Amino acid metabolism; Lysine metabolism|Pathway modules; Amino acid metabolism; Other amino acid metabolism</t>
  </si>
  <si>
    <t>ko00001|ko00001|ko00001|ko00001|ko00001|ko01000|ko01000|ko01000</t>
  </si>
  <si>
    <t>KEGG Orthology (KO)&gt;&gt;&gt;09100 Metabolism&gt;&gt;&gt;09101 Carbohydrate metabolism&gt;&gt;&gt;00650 Butanoate metabolism [PATH:ko00650]|KEGG Orthology (KO)&gt;&gt;&gt;09100 Metabolism&gt;&gt;&gt;09105 Amino acid metabolism&gt;&gt;&gt;00250 Alanine, aspartate and glutamate metabolism [PATH:ko00250]|KEGG Orthology (KO)&gt;&gt;&gt;09100 Metabolism&gt;&gt;&gt;09105 Amino acid metabolism&gt;&gt;&gt;00310 Lysine degradation [PATH:ko00310]|KEGG Orthology (KO)&gt;&gt;&gt;09100 Metabolism&gt;&gt;&gt;09105 Amino acid metabolism&gt;&gt;&gt;00350 Tyrosine metabolism [PATH:ko00350]|KEGG Orthology (KO)&gt;&gt;&gt;09100 Metabolism&gt;&gt;&gt;09108 Metabolism of cofactors and vitamins&gt;&gt;&gt;00760 Nicotinate and nicotinamide metabolism [PATH:ko00760]|Enzymes&gt;&gt;&gt;1. Oxidoreductases&gt;&gt;&gt;1.2  Acting on the aldehyde or oxo group of donors&gt;&gt;&gt;1.2.1  With NAD+ or NADP+ as acceptor&gt;&gt;&gt;1.2.1.16  succinate-semialdehyde dehydrogenase [NAD(P)+]|Enzymes&gt;&gt;&gt;1. Oxidoreductases&gt;&gt;&gt;1.2  Acting on the aldehyde or oxo group of donors&gt;&gt;&gt;1.2.1  With NAD+ or NADP+ as acceptor&gt;&gt;&gt;1.2.1.20  glutarate-semialdehyde dehydrogenase|Enzymes&gt;&gt;&gt;1. Oxidoreductases&gt;&gt;&gt;1.2  Acting on the aldehyde or oxo group of donors&gt;&gt;&gt;1.2.1  With NAD+ or NADP+ as acceptor&gt;&gt;&gt;1.2.1.79  succinate-semialdehyde dehydrogenase (NADP+)</t>
  </si>
  <si>
    <t>-----------------------MSDTTMMQVINPRTGSVCATVPACSAAKTLAAIQDARAAQAAWAARPVVERAKILMRIHDAVLQHRDELLDIIQLETGKNRASALDEVMDVAINARYYARHAARLLRPRRVRGALPVMTRTTVVREPRGVVGIIAPWNYPLTLTLSDALPALVAGNTVVVKPDAQTPLSALLGEQILRESGVPSNVFQVLPGTGAVVGTAIAENADYVMFTGSTVTGQQLAERTGRRLVGFS</t>
  </si>
  <si>
    <t>GC_00001091</t>
  </si>
  <si>
    <t>K16783</t>
  </si>
  <si>
    <t>biotin transport system permease protein</t>
  </si>
  <si>
    <t>MRQNIPLGVYVPGTTIIHRLNPSIKFVSLIVFIIASTIWAHTLTHAGICLAAPLLLLAVAKIPPKIVWGQLWPPLPFLLFLGAFNWWQQGWEKALVVTLVIMSSIGMAAVLTLTTTVAEMLEALEKALSPTARFGVPVESISLAISLTIRLIPLQFATVGEVLDARKARGADFSITAFGAPVMIRSIRRARVIGDALLARGVGD-</t>
  </si>
  <si>
    <t>MIRSIPLGTYVPGASMIHRTPPMVKFCTLILVIIGTSIWVKTLCPALVFLAIAVILYGIARIPPRIMWEQLWPPIPLLLFLGAFQWWQLGWERATAIMIVLFGSVMLAVLLTLTTTIEEMMDALERVLRPTARLGVPVDTIVLTISLTIRLIPLMLNTINEVLDARKARGATFSITAFGTPVIIRSIRRAHHIADALWARGAGDG</t>
  </si>
  <si>
    <t>MIRSIPLGTYVPGASMIHRTPPMVKFCTLILAIIGTSIWVKSLYPALIFLAIAVILYGIARIPPRIMWAQLWPPIPLLLFLGAFQWWQLGWERAAAIMIVLFGSVMLAVLLTLTTTIEEMMDALERALRPTARLGVPVDTIVLTISLTIRLIPLMLNTINEVLDARKARGATFSITAFGTPVIIRSIRRAHHIADALWARGAGDG</t>
  </si>
  <si>
    <t>GC_00001092</t>
  </si>
  <si>
    <t>PF00359.27</t>
  </si>
  <si>
    <t>Phosphoenolpyruvate-dependent sugar phosphotransferase system, EIIA 2</t>
  </si>
  <si>
    <t>G|G|G|T</t>
  </si>
  <si>
    <t>Carbohydrate transport and metabolism|Carbohydrate transport and metabolism|Carbohydrate transport and metabolism|Signal transduction mechanisms</t>
  </si>
  <si>
    <t>K02770</t>
  </si>
  <si>
    <t>fructose PTS system EIIBC or EIIC component [EC:2.7.1.202]</t>
  </si>
  <si>
    <t>COG1299|COG1445|COG1762</t>
  </si>
  <si>
    <t>Phosphotransferase system, fructose-specific IIC component (FrwC)|Phosphotransferase system fructose-specific component IIB (FrwB) (PDB:5DLE)|Phosphotransferase system mannitol/fructose-specific IIA domain (Ntr-type) (PtsN) (PDB:2OQ3)</t>
  </si>
  <si>
    <t>KEGG Orthology (KO)&gt;&gt;&gt;09100 Metabolism&gt;&gt;&gt;09101 Carbohydrate metabolism&gt;&gt;&gt;00051 Fructose and mannose metabolism [PATH:ko00051]|KEGG Orthology (KO)&gt;&gt;&gt;09130 Environmental Information Processing&gt;&gt;&gt;09131 Membrane transport&gt;&gt;&gt;02060 Phosphotransferase system (PTS) [PATH:ko02060]|Enzymes&gt;&gt;&gt;2. Transferases&gt;&gt;&gt;2.7  Transferring phosphorus-containing groups&gt;&gt;&gt;2.7.1  Phosphotransferases with an alcohol group as acceptor&gt;&gt;&gt;2.7.1.202  protein-Npi-phosphohistidine---D-fructose phosphotransferase|Transporters&gt;&gt;&gt;Phosphotransferase system (PTS)&gt;&gt;&gt;Enzyme II [TC:4.A]&gt;&gt;&gt;Fructose-specific II component</t>
  </si>
  <si>
    <t>MTD-NIITPELVALDANFGGTTTEVITNLATLVQGAGRATSTDVLAGDALAREAKSDTGVPGGVAIPHCRSEAVTQPTLAFARLDPAVNFGGPDGDANLVFLIAAPAGGGKEHLKILSKLARALVKKDFTAALRSAATKDEIVELVLNVVNAAPKKTTAPAATTEATSVPEASESSAPSNDVTRIIAITACPTGIAHTYMAADSLTQTAEEMDGVELVVETQGSSAVTPVASEVIDAADAVIFATDVGVKDRERFVGKPVIESGVKRAINEPKKMIEEAVAASKNPNAYRVTGGNGSAEA-SADAEGAQLGWGKRIQQAVMTGVSYMVPFVAAGGLLLALGFLFGGYQVADVAESV------VKDFSLSNLPGTIFTEDGEQVSRT--GLLLYLGAVLFATGQAAMGFVVAALSGYIAYALAGRPGIAPGFVGGAISVTVGAGFIGGLITGIIAGLVAMWIGSWKVPRIIGSLMPVVIIPLLTSLVVGLSMYLLLGRPLEALMTAMQDGLKGMSGSSAIVLGIILGLMMCFDLGGPVNKAAYLFATAGLSTGDDASLKIMATVMAAGMVPPIALSVATFVRKNLFTPAEQENGKSAWLLGLSFISEGAIPFAAADPLRVIPSMMLGGAVTGAISMSFGTTSRAPHGGLFVFFAISPFWAWLVAIVAGVIVSAAAVIAMKQFWPNKAVEAANKKAETQPVAA</t>
  </si>
  <si>
    <t>MSDSSIISTDLVELDVDFGSDTTEVITNLAKVVADAGRATDAEGLAKDVLARESKAATGVPGGVAIPHCRSASVTEPTLAFARLKNPVDFGGPDGAANLVFMIAAPDGAGKAHLKILSKLARNLVRKEFIEALRGAATKEELVELVTDVVAGTPKKAPA----------DEPEGASAKDDDGLTLVAITACPTGIAHTYMAADALAIAAKEMPGVTLHVETQGSSSITPLPEDIVKKADAVIFATDIGVKDRQRFAGKPVIESGVKRAINEPVKMLEEAVAATKNPNAPKVAGGGGSSSSDSSEAAEGGLSVGKRMQQAVMTGVSYMVPFVAAGGLLLALGFLVGGYQIGEQVNGIDPWKQFVTEYSLTNLPPTTVDFDGKEVAFAYPAFALYLGSVLFATGQAAMGFVVAALSGYISYAMAGRPGIAPGFVGGAISVTLGAGFIGGLVTGLLSGAVAMWLGNQKVPKVLQSLMPVVIIPLGTSLVVGLVMFLLLGRPLAAILSGLQNWLTSMSGSSALLLGVILGLMMCFDLGGPVNKAAYLFATAGLSTGDEASLKIMAAVMGAGMIPPIALSIATMLRKNLFTAAEQENGKSAWLLGLSFISEGAIPFAASDPLRVIPATMAGGAVTGAISMVLGVGSRAPHGGIFVFFAISPLIGWIIALVAGIAVSTVLIIALKQFWPNKTLMAQAAKDTAQAVAA</t>
  </si>
  <si>
    <t>MSDSSIISTDLVELDVDFGSDTTEVITNLAKVVADAGRATDAEGLAKDVLARESKAATGVPGGVAIPHCRSASVTEPTLAFARLKNPVDFGGPDGAANLVFMIAAPDGAGKAHLKILSKLARNLVRKEFIEALRGAATKEELVELVTDVVAGAPKKAPA----------DEPEGASAKDDDGLTLVAITACPTGIAHTYMAADALAIAAKEMPGVTLHVETQGSSSITPLPEDIVKKADAVIFATDIGVKDRQRFAGKPVIESGVKRAINEPVKMLEEAVAATKNPNAPKVAGGGSSSSSDSSEAAEGGLSVGKRMQQAVMTGVSYMVPFVAAGGLLLALGFLVGGYQIGEQVNGIDPWKQFVTEYSLTNLPPTTVDFDGKEVAFAYPAFALYLGSVLFATGQAAMGFVVAALSGYISYAMAGRPGIAPGFVGGAISVTLGAGFIGGLVTGLLSGAVAMWLGNQKVPKVLQSLMPVVIIPLGTSLVVGLVMFLLLGRPLAAILSGLQNWLTSMSGSSALLLGVILGLMMCFDLGGPVNKAAYLFATAGLSTGDEASLKIMAAVMGAGMIPPIALSIATMLRKNLFTAAEQENGKSAWLLGLSFISEGAIPFAASDPLRVIPATMAGGAVTGAISMVLGVGSRAPHGGIFVFFAISPLLGWIIALVAGIAVSTVLIIALKQFWPNKTLMAQAAKDTAQAVAA</t>
  </si>
  <si>
    <t>GC_00001093</t>
  </si>
  <si>
    <t>PF09605.15</t>
  </si>
  <si>
    <t>Hypothetical bacterial integral membrane protein (Trep_Strep)</t>
  </si>
  <si>
    <t>K16926</t>
  </si>
  <si>
    <t>MTQPTMQSTMQPEMRKTSAQSITNPRYLVYAGVFTALYFVITFGSGMLGIISPLMIIVGALIGVVCNGVVVMLYIAKTPYFGALTITGTIVGFLMMATGHTWYVSILGLAMGFLADLIANSGHYRRRITNCLAYAVLNLWSIAPIAPIFYNSDAYFAHVRDSM-SAEYAEAMQQLLTPTVLICWMVLTFIISFVAANIGMTMLKKHFQRAGVV</t>
  </si>
  <si>
    <t>MTQPTMQSTMQPKMRKTSAQSITNPRYLVYAGVFTALYFVITFGSGMLGIISPLMIIVGALIGVVCNGVVVMLYIAKTPYFGALTITGTIVGFLMMATGHTWYVSILGLAMGFLADLIANSGHYRRRITNCLAYAVLNLWSIAPIAPIFYNSDAYFAHVQDSM-SAEYAEAMQQLLTPTVLICWMVLTFIISFIAANIGMTMLKKHFQRAGVV</t>
  </si>
  <si>
    <t>GC_00001094</t>
  </si>
  <si>
    <t>PF01967.27</t>
  </si>
  <si>
    <t>MoaC family</t>
  </si>
  <si>
    <t>K03637</t>
  </si>
  <si>
    <t>cyclic pyranopterin monophosphate synthase [EC:4.6.1.17]</t>
  </si>
  <si>
    <t>COG0315</t>
  </si>
  <si>
    <t>Molybdenum cofactor biosynthesis enzyme MoaC (MoaC) (PDB:1EKR) (PUBMED:32239579)</t>
  </si>
  <si>
    <t>KEGG Orthology (KO)&gt;&gt;&gt;09100 Metabolism&gt;&gt;&gt;09108 Metabolism of cofactors and vitamins&gt;&gt;&gt;00790 Folate biosynthesis [PATH:ko00790]|KEGG Orthology (KO)&gt;&gt;&gt;09120 Genetic Information Processing&gt;&gt;&gt;09123 Folding, sorting and degradation&gt;&gt;&gt;04122 Sulfur relay system [PATH:ko04122]|Enzymes&gt;&gt;&gt;4. Lyases&gt;&gt;&gt;4.6  Phosphorus-oxygen lyases&gt;&gt;&gt;4.6.1  Phosphorus-oxygen lyases (only sub-subclass identified to date)&gt;&gt;&gt;4.6.1.17  cyclic pyranopterin monophosphate synthase</t>
  </si>
  <si>
    <t>MKFTHLDNAGSAYMVDVTDKQPTVRSATAQGEIICSPEILAALRDGTVPKGDVLAVARVAGISAAKKVPDLLPLAHTIGVHGCSVDLVIHDDRVAIEATVRTADCTGVEMEALTAVTVAALTLIDMVKGVDRSAYIGVCGIVAKSGGRSGDWSRDLPR</t>
  </si>
  <si>
    <t>MKFTHLDNAGSAYMVDVTDKQPTVRSATAQGEVICSPEILAALRDGTVPKGDVLAVARVAGISAAKKVPDLLPLAHTIGVHGCSVDLVIHDDRVAIEATVRTADRTGVEMEALTAVTVAALTLIDMVKGVDRSAYIGVCGIVAKSGGRSGDWSRDLPR</t>
  </si>
  <si>
    <t>MKFTHLTESGAAHMVDVSAKQPTVRTATARGEVACSPQVLAALRDGTVPKGDVLAVARVAGIAAAKKVPDLLPLAHIIGVHGCQVDLEICEDHVTISATVTTADRTGVEMEALTAVTVAALTVIDMVKGVDRSAVIRRCGITAKSGGRSGDWSRELP-</t>
  </si>
  <si>
    <t>MKFTHLTESGAAHMVDVSAKQPTVRTATARGEVACSPQVLAALRDGTVPKGDVLAVARVAGIAAAKKVPDLLPLAHTIGVHGCQVDLEICKDHVTISATVTTADRTGVEMEALTAVTVAALTVIDMVKGVDRSAVIRRCGITAKSGGRSGDWSRELP-</t>
  </si>
  <si>
    <t>GC_00001095</t>
  </si>
  <si>
    <t>PF02397.22</t>
  </si>
  <si>
    <t>Bacterial sugar transferase</t>
  </si>
  <si>
    <t>M|O|M</t>
  </si>
  <si>
    <t>Cell wall/membrane/envelope biogenesis|Posttranslational modification, protein turnover, chaperones|Cell wall/membrane/envelope biogenesis</t>
  </si>
  <si>
    <t>K16566</t>
  </si>
  <si>
    <t>exopolysaccharide production protein ExoY</t>
  </si>
  <si>
    <t>COG1086|COG2148</t>
  </si>
  <si>
    <t>NDP-sugar epimerase, includes UDP-GlcNAc-inverting 4,6-dehydratase FlaA1 and capsular polysaccharide biosynthesis protein EpsC (FlaA1) (PDB:2GN4)|Sugar transferase involved in LPS biosynthesis (colanic, teichoic acid) (WcaJ) (PDB:5W7L)</t>
  </si>
  <si>
    <t>KEGG Orthology (KO)&gt;&gt;&gt;09100 Metabolism&gt;&gt;&gt;09107 Glycan biosynthesis and metabolism&gt;&gt;&gt;00543 Exopolysaccharide biosynthesis [PATH:ko00543]</t>
  </si>
  <si>
    <t>MTLS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DQKKYSDANGTTKRVFDILLSLIMLILTSPILLVTALAIKLYDGGPAFYLSERIGRDGIPYTLWKFRSMVVDADTKVHELIRQQGGNALLFKMKDDPRLTPIGRFIRTYSIDELPQFINSLNGTMSIVGPRPQVQREVDEYDADMHLRLTIRPGITGLWQVSGRSHLSADEAKRLDLYYVHNWSMLLDMKTIARTVGAVVTHTGAY</t>
  </si>
  <si>
    <t>MIITESIPTRKIITQPPVQPRKKWRARYVVYFLDFLSITAALTFGAFASTRYSTYRIDTQSTAQELATLAVITALWMGIIWLNQGYAFHSRVHSTIGIKSVVKSSLYLAGILALFDTIFTTPFIHPYLLVSIPVGIVLISIMRAVSALAVRRIKRHRPSRLLFVGKSSDILDVLGNNFNLRFPYHQIAAFLLTDPENKDALPQLEDCHFVSYLPDHDVAQTAKQLNCDAVWVASVTDFGNKNLRRLAWNLRSVKARLYLEPMIEGVAETRLHPMPIGPRTVLSVDRPRIRAANGWIKRAFDIVFSAAILALISPIMLATALAIKLEDGGPVFYKSERIGKKGKPYKVWKFRSMCIDAEEKIQALIKETGGQSLLFKMKDDPRVTRVGKFIRKYSIDELPQFFNSLNGTMSVVGPRPQVQREVDEYDADMYMRLEVPPGITGLWQVSGRSNLSPQLAQALDLYYVDNWTFTLDMRIIFATLKAVLKSEGAY</t>
  </si>
  <si>
    <t>MTLS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DQKKYSDANGTTKRVFDILLSLAMLILTSPILLVIALAIKLYDGGPAFYLSERIGRDGIPYTLWKFRSMVVDADTKVHELIRQQGGNALLFKMKDDPRLTPIGRFIRTYSIDELPQFINSLNGTMSIVGPRPQVQREVDEYDADMHLRLTIRPGITGLWQVSGRSHLSADEAKRLDLYYVHNWSMLLDMKTIARTVGAVVTHTGAY</t>
  </si>
  <si>
    <t>MIITESIPTRKIITQPPVQPRKKWRARYVVYLLDFLSITAALTFGAFASTRYSTYRIDTQSTAQELATLAAITTLWMGIIWLNQGYAFHSRVHSTIGIKSVVKSSLYLAGILALFDTIFTTPFIHPYLLVSIPVGIVLISIMRAVSALTVRRIKRHRPSRLLFVGKSSDILDVLGNNFNLRFPYHQIAAFLLTDPENKDALPQLEDCHFVSYLPDHDVAQTAKQLNCDAVWVASVTDFGNKNLRRLAWNLRSVKARLYLEPMIEGVAETRLHPMPIGPRTVLSVDRPRIRAANGWIKRAFDIVFSAAILALISPIMLATALAIKLEDGGPVFYKSERIGKKGKPYKVWKFRSMCIDAEEKIQALIKETGGQSLLFKMKDDPRVTRVGKFIRKYSIDELPQFFNSLNGTMSVVGPRPQVQREVDEYDADMYMRLEVPPGITGLWQVSGRSNLSPQLAQALDLYYVDNWTFTLDMRIIFATLKAVLKSEGAY</t>
  </si>
  <si>
    <t>GC_00001096</t>
  </si>
  <si>
    <t>MLELRNVSAANRGITQLNFSVAAGEIVALIGRNGAGKTTLLRLALGLIHPTAGTVHRTVGNGDIGQLIDAPFCYSELTVSQNLRMHAWLYGIDPERIADSINQWELQPYRDRLFRKLSLGNKQRVGLAGAFQHQPRLIVLDEPTNALDPMGIVTLRTVVKERAAAGCGVVVSSHHLDEVAAIAHRIVVVNSGRIITELSPTTPQLENRFFQAILSDDQSNANADT</t>
  </si>
  <si>
    <t>MLELRNVSAANRGITQLNFSVAAGEIVALIGRNGAGKTTLLRLALGLIHPTAGTVHRTMGNGDIGQLIDTPFCYPELTVSQNLRMHAWLYGIDPERITDSINRWELQPYRDRLFRKLSLGNKQRVGLAGTFQHQPRLIVLDEPTNALDPMGIVTLRTVVKERAAAGCGVVVSSHHLDEVAAIAHRIVVVNSGRIITELSPTTPQLENRFFQAILSDDQSNANADT</t>
  </si>
  <si>
    <t>MLELRNVTVASRGITRLNFSVTAGEIVALIGHNGAGKTTLLRLALGLIHPTAGTVRRTVGNGDIGQLIDAPFCYPELTVTQNLRMHAWLYGIDPGRITDSINRWELQPYRDRLFRKLSLGNKQRVGLAGAFQHQPQLIVLDEPTNALDPMGIVTLRTVVKEQAAAGCGVVVSSHHLDEVAAIAHRIVVVNSGRIITELSPTTPQLESRFFQAILADDQSNANVNN</t>
  </si>
  <si>
    <t>MLELHNVTVTSRGITRLNFSVAAGEIVALIGRNGAGKTTLLRLALGLIHPTAGTVRRTVGNGDIGQLIDAPFCYPELTVAQNLRMHAWLYGIDPGRVTDSINRWELQPYRNRSFRKLSLGNKQRVGLAGVFQHQPQLIVLDEPTNALDPMGIVTLRTVVKERAAAGCSVVVSSHHLDEVAAIAHRIVVVNSGRIITELSPTTPQLENCFFQAILSDDQSNANVDN</t>
  </si>
  <si>
    <t>GC_00001097</t>
  </si>
  <si>
    <t>COG0398</t>
  </si>
  <si>
    <t>Uncharacterized membrane protein YdjX, related to fungal oxalate transporter, TVP38/TMEM64 family (TVP38) (PUBMED:20889782)</t>
  </si>
  <si>
    <t>MRTIWDFSVGVMRDAAASIRSWPLWRKLVVGLLVVGMIIITFTVKVPSLATMNAWAAGTGRWFVMVFVFGYVVVTQFPIPRTIFTLSSGVLFGPWLGIVVALTATTVSAAVSLSVVRYFLGDWMAPRLAHPAVAGINARLRARGWLAVTSLRMIAGVPFSVLNYAAALTSVPLVGFTVATLVGSAPGTIATVFLGNTLTGKADPTIMVITVCLTCVGVLGLVFDRKLPVREG--</t>
  </si>
  <si>
    <t>MRTIWDFSVGVIRDAAASIRSWPLWRKLVVGLLVVGMIIITFTVKVPSLATMNAWAAGTGRWFVMVFVFGYVVVTQFPIPRTIFTLSSGVLFGPWLGIVVALTATTVSAAVSLSVVRYLLGDWMAPRLAHPAVSGINARLRARGWLAVTSLRMIAGVPFSVLNYAAALTSVPLVGFTVATLVGSAPGTIATVFLGNTLTGKADPTIMVITVCLTCVGVLGLVFDRKLPVREG--</t>
  </si>
  <si>
    <t>GC_00001098</t>
  </si>
  <si>
    <t>MNNTSWVDHSESFGDTVRQMREARGWTRADLLRELDK-IGYCMHATVLARIEKGDRIARVAEALAIAQLFGTTVEEMNSVGMSDKTWAIIQLNRTNSLFADTGTRLSEIIEHWLEERQTLRRRIEAVEGFGVTEEDDD-LSTAYQLLAEFGTLDAIQKHVVIKRKRESAG</t>
  </si>
  <si>
    <t>MNNTSWVDHSELFGDTVRQMREARGWTRADLLRELDK-IGYCMHATVLARIEKGDRIARVAEALAIAQLFGTTVEEMNSVGMSDKTWAIIQLNRTNALFADTGTRLSEIIEHWLEERQTLRRRIEAVEGFGVTEEDDD-LSTAYQLLAEFGTLDAIQKYVVTKRKRESAG</t>
  </si>
  <si>
    <t>GC_00001099</t>
  </si>
  <si>
    <t>PF03733.18</t>
  </si>
  <si>
    <t>Inner membrane component domain</t>
  </si>
  <si>
    <t>COG3304</t>
  </si>
  <si>
    <t>Uncharacterized membrane protein YccF, DUF307 family (YccF)</t>
  </si>
  <si>
    <t>MRTLLNIIWVITGGIWLSLGYFFFGLLACVLVVTIPAGVASFRMANYALWPFGRTVVEKPGAGAMS-GLSNVMWFFVAGLWLAAGHIATAAAQAVTIIGIPLAIANLKMIPVTCFPFGKEIVSSR------------</t>
  </si>
  <si>
    <t>MRTLLNIIWVITGGIWLSLGYFFFGLLACVLVVTIPAGVASFRMANYALWPFGRTVVEKPGAGAMS-GLSNVMWFFVAGLWLAAGHIATAAAQAVTIIGIPLAIANVKMIPVTCFPFGKEIISSR------------</t>
  </si>
  <si>
    <t>MKTLLNLIWFVCSGLWLAIGYAIAGVIMYVLIITIPFGVASFRMAGYALWPFGRAVVTKPGGDNVGIAFANVIWFLLAGLWIAIGHVITAVPLFLSIIGIPLGIGNLKMIPIACFPFGKTVVPSNAIPYGYTPVVQL</t>
  </si>
  <si>
    <t>MKTLLNLIWFVFSGLWLAIGYAIAGVIMYVLIITIPFGVASFRMAGYALWPFGRAVVTKPGGDNVGIAFANVIWFLLAGLWIAIGHVITAVPLFLSIIGIPLGIGNLKMIPIACFPFGKTVVPSNAIPYGYTQVVQL</t>
  </si>
  <si>
    <t>GC_00001100</t>
  </si>
  <si>
    <t>PF02378.23</t>
  </si>
  <si>
    <t xml:space="preserve">Phosphotransferase system, EIIC </t>
  </si>
  <si>
    <t>K02810</t>
  </si>
  <si>
    <t>sucrose PTS system EIIBCA or EIIBC component [EC:2.7.1.211]</t>
  </si>
  <si>
    <t>KEGG Orthology (KO)&gt;&gt;&gt;09100 Metabolism&gt;&gt;&gt;09101 Carbohydrate metabolism&gt;&gt;&gt;00500 Starch and sucrose metabolism [PATH:ko00500]|KEGG Orthology (KO)&gt;&gt;&gt;09130 Environmental Information Processing&gt;&gt;&gt;09131 Membrane transport&gt;&gt;&gt;02060 Phosphotransferase system (PTS) [PATH:ko02060]|Enzymes&gt;&gt;&gt;2. Transferases&gt;&gt;&gt;2.7  Transferring phosphorus-containing groups&gt;&gt;&gt;2.7.1  Phosphotransferases with an alcohol group as acceptor&gt;&gt;&gt;2.7.1.211  protein-Npi-phosphohistidine---sucrose phosphotransferase|Transporters&gt;&gt;&gt;Phosphotransferase system (PTS)&gt;&gt;&gt;Enzyme II [TC:4.A]&gt;&gt;&gt;Sucrose-specific II component</t>
  </si>
  <si>
    <t>MDHAAVARRMLEALGGESNIKAAAHCATRMRLVLNDKEKINQQALDDDPDLKGTFEAGGMFQIIVGPGDVDIVYDEFTKITGDR-QVSTEELKSVAAEAQGNALTRAIKVLADIFVPLIPILVGGGLLMALNNVLTSKNLFGEGTRSLVVQFPAIEGMAQMINLLASAPFAFLPILVGFTATKRFGGNEYLGAGIAMAMVMPDLVNGYKVAETIQKGGMTYWDLFGFDVAQAGYQGTVLPILLVAWILSMVEKFFHKHLKGTVDFLVTPVLTLLITGFLTFIAVGPAMRWLGDAIASGLQNIYDFAGPVGGFLFGLVYSPIVITGLHQSFPPVELQLFATGGSFIFATASVANVAQGAATLAVAITTRDEKLRALASASGVSACFGITEPAIFGVNLRLRWPFYIGMGTAAIGGAMIALFNVKAVSLGAAGFIGFVSIRTTDWPMFFVSLVTAFIISFACSYAYAMYLRRQVAGEAEMEKAVGTQAAAAANDATPAATASAGTATAVATAVGAD-LLTFASPLTGELVELSTVSDQMFAQGKLGPGFAVVPSEGVLRAPADGTIKVAFPTGHAFAI----TTAEGVEILMHVGFDTVNMKGEGFTPKVSKGDTVKRGDVLGEFDIDAIKAAGYDTTTPVVVANFKKLGGVRLTDSISAPHSITAGDDAAIVSAKA------</t>
  </si>
  <si>
    <t>MDHAAVARRMLEALGGESNIKAAAHCATRMRLVLNDKEKINQQALDDDPDLKGTFEAGGMFQIIVGPGDVDIVYDEFTKITGDR-QVSTEELKSVAAEAQGNALTRAIKVLADIFVPLIPILVGGGLLMALNNVLTSENLFGEGTRSLVVQFPAIEGMAQMINLLASAPFAFLPILVGFTATKRFGGNEYLGAGIAMAMVMPDLVNGYKVAETIQKGGMTYWDLFGFDVAQAGYQGTVLPILLVAWILSMVEKFFHKHLKGTVDFLVTPVLTLLITGFLTFIAVGPAMRWLGDAIASGLQNIYDFAGPVGGFLFGLVYSPIVITGLHQSFPPVELQLFATGGSFIFATASVANVAQGAATLAVAITTRDEKLRALASASGVSACFGITEPAIFGVNLRLRWPFYIGMGTAAIGGAMIALFNVKAVSLGAAGFIGFVSIRTTDWPMFFVSLVTAFIISFACSYAYAMYLRRQVAGEAEMEKAVGTQAAAAANDATPAATASAGTATAVATAVGAD-LLTFASPLTGELVELSTVSDQMFAQGKLGPGFAVVPSEGVLRAPADGTIKVAFPTGHAFAI----TTAEGVEILMHVGFDTVNMKGEGFTPKVSKGDTVKRGDVLGEFDIDAIKAAGYDTTTPVVVANFKKLGGVRLTDSISAPHSITAGDDAAIVSAKA------</t>
  </si>
  <si>
    <t>MQHKEVADRVLKAVGGEDNIVAAAHCATRLRMVLKDSKKVDQKALDNDPDLKGTFETGGMFQIIVGPGDVNTVFKELDNATSKSIAVSTEELKEVVANS-GNVFTRSIKVLADIFVPLIPILVGGGLLMALNNVLTAKNLFGE--LSLVGQYPQMEGLAGLINLLASAPFAFLPILVGFTATKRFGGNEFLGAGIAMAMLSPDLVNFYQMAEAEAEGTIQQWNLFGLFVDKIGYQGTVLPILVISWVLATIEKFFHKKLKGTADFLITPMLTLLITGFLTFIVIGPVMRSLGTALGQGLQTVYEAGGPIGGFLFGLVYSPIVITGLHQSFPPIELQLQQQGGSFIFATASMANIAQGAATLAVFFLAKGEKLKGLAGASGVSAVLGITEPAIFGVNLRLRWPFFIGIGSAAVGGALIALLNVKAVALGAAGFLGVVSIKAEDMGPFMICAVITFIVSFAAAFVYGRYLAQR-------------NGSIDPDDVGAAVDTSADAAPVVTTEVAAENALPVIAPLTGEVKQLSAVSDPMFAQGKLGAGLAIVPTVGKLTAPISGKVVVAFPSGHAFAIRGKGADGKNVEVLMHIGFDTVNLKGEHFKPAAQQGDEVQAGDLLGEFDIDAIKAAGYEVTTPIVVSNSKRTGPVIPAAGLPLPSNITAGDALMTVDPKPVPAEAQ</t>
  </si>
  <si>
    <t>MQHKEVADRVLKAVGGEDNIVAAAHCATRLRMVLKDSKKVDQKALDNDPDLKGTFETGGMFQIIVGPGDVNTVFKELDNATSKSIAVSTEELKEVVANS-GNVFTRSIKVLADIFVPLIPILVGGGLLMALNNVLTAKNLFGE--LSLVEQYPQMEGLAGLINLLASAPFAFLPILVGFTATKRFGGNEFLGAGIAMAMLSPDLVNFYKMAEAEAQGTIEQWNLFGLFVDKIGYQGTVLPILVISWVLATIEKFFHKKLKGTADFLITPMLTLLITGFLTFIVIGPIMRSLGTALGHGLQTVYEAGGPIGGFLFGLVYSPIVITGLHQSFPPIELQLQQQGGSFIFATASMANIAQGAATLAVFFLAKGEKLKGLAGASGVSAVLGITEPAIFGVNLRLRWPFFIGIGSAAVGGALIALLNVKAVALGAAGFLGVVSIKAEDMGPFMICAVITFIVSFAAAFAYGRYLAQR-------------NGSIDPDDVGAAVDTSTDAAPVVTTEVAAENALPVIAPLTGEVKQLSAVSDPMFAQGKLGAGLAIVPTVGKLTAPISGKVVVAFPSGHAFAIRGKGADGKNVDVLMHIGFDTVNLKGEHFKPAAQQDDEVQAGDLLGEFDIDAIKAAGYEVTTPIVVSNSKRTGPVIPAAGLPLPSNITAGDALMTVDPKPVPAEAQ</t>
  </si>
  <si>
    <t>GC_00001101</t>
  </si>
  <si>
    <t>PF00160.26</t>
  </si>
  <si>
    <t>Cyclophilin type peptidyl-prolyl cis-trans isomerase/CLD</t>
  </si>
  <si>
    <t>K03768</t>
  </si>
  <si>
    <t>peptidyl-prolyl cis-trans isomerase B (cyclophilin B) [EC:5.2.1.8]</t>
  </si>
  <si>
    <t>COG0652</t>
  </si>
  <si>
    <t>Peptidyl-prolyl cis-trans isomerase (rotamase) - cyclophilin family (PpiB) (PDB:4DGD)</t>
  </si>
  <si>
    <t>ko01000|ko03110</t>
  </si>
  <si>
    <t>Enzymes&gt;&gt;&gt;5. Isomerases&gt;&gt;&gt;5.2  cis-trans-Isomerases&gt;&gt;&gt;5.2.1  cis-trans Isomerases (only sub-subclass identified to date)&gt;&gt;&gt;5.2.1.8  peptidylprolyl isomerase|Chaperones and folding catalysts&gt;&gt;&gt;Protein folding catalysts&gt;&gt;&gt;Peptidyl prolyl isomerase&gt;&gt;&gt;Cyclophilin</t>
  </si>
  <si>
    <t>MAKNTSTRNKERREEALRDLDRELRVRDRAEKSKPLGVAAASVLVIVAIVGGIWWAANQNGDDKNTDQQA-QNSTSATPDPAANTQPLATARTNPLPETVNCTYTPEGQAAREVSVPPAENIPATGTVTVTLNTNAGPIGMTLDRAVSPCTVNAVQHLAANNFYNDTICHRMTSEGIHVLQCGDPSGSGSGGPGFKFPNEYPTDEAGGNAT-QPVNYKRGTIAMANSGPDTNGSQFFLNYGDSPLAPQYTYFGQINEAGLATLDSIAGKGIKDGAGDGAPAEEVKIESATVS-</t>
  </si>
  <si>
    <t>MAKNTSTRNKERREEALRDLDRELRVRDRAEKSKPLGVAAASVLVIVAIVGGIWWAANQNGDDKNTDQQA-QNSTSATPDPAANTQPLATARTNPLPETVNCTYTPEGQAAREVSVPPAENIPATGTVTVTLNTNAGPIGMTLDRAVSPCTVNAVQHLAANNFYNDTICHRMTSEGIHVLQCGDPSGSGSGGPGFKFPNEYPTDEAGGNAT-QPVNYKRGTIAMANSGPDTNGSQFFLNYGDSPLAPQYTYFGQINEAGLATLDNIAGKGIKDGAGDGAPAEEVKIESATVS-</t>
  </si>
  <si>
    <t>GC_00001102</t>
  </si>
  <si>
    <t>PF02481.21</t>
  </si>
  <si>
    <t>DNA recombination-mediator protein A</t>
  </si>
  <si>
    <t>K04096</t>
  </si>
  <si>
    <t>DNA processing protein</t>
  </si>
  <si>
    <t>COG0758</t>
  </si>
  <si>
    <t>Predicted Rossmann fold nucleotide-binding protein DprA/Smf involved in DNA uptake (Smf) (PDB:3MAJ)</t>
  </si>
  <si>
    <t>MNEN----DRRRLAWAYLSRVVEGPNAHVQALLNAGHDVERIVWGIKHREEWIGEGLLRQTRSRWDWERSAEDLAAVSALGGRLVTPDDREWPHAEFDHAFGFAQSGKSEHARTYQEDAVQPHALWVRGGMLAGLCAHSVGVVGTRAISRYGMEATRLLVSGLVEHHWVIVSGGALGVDTVAHEQVIASGGATVVVSACGLDRVYPARNAGLFDRILALGGALVSEYPPGVAPARHRFLTRNRLVAALSQGVVVMEAGWRSGALNTLTWASGLGRVAMAVPGPITHINSLGCHERIKDGRAQLVASADDVRALLGAVGTLDSAEQYELQFAASPIQGLSRSEMRVFDALPAESSADETGLDAESVAQESGLPLPLTVHVLVDLAKRGLVVREGVMWRR-------------G</t>
  </si>
  <si>
    <t>MNTD----DRRRLAWAYLSRVVEGPNAHVQALLNAGHDVERIVWGIKHREEWIGEGLLRQTRSRWDWERSAEDLAAVSALGGRLVTPDDREWPHAEFDHAFGFAQSGKSEHARTYQEDAVQPHALWVRGGMLAGLCAHSVGVVGTRAISRYGMEATRLLVSGLVEHHWVIVSGGALGVDTVAHEQVIASGGATVVVSACGLDRVYPARNAGLFDRILALGGALVSEYPPGVAPARHRFLTRNRLVAALSQGVVVMEAGWRSGALNTLTWASGLGRVAMAVPGPITHINSLGCHERIKDGRAQLVASADDVRALLGAVGALDSAEQYELQFAASPIQGLSRSEMRVFDALPAESSADETGLDAESVAQESGLPLPLTVHVLVDLAKRGLVVREGVMWRR-------------G</t>
  </si>
  <si>
    <t>MTNPQPPIDERRQAWAYLSRVFEGPSRELTNLLNNGRDPEAIARGIRRRESWLGD-ILTRTHTRYQDDRAKADLATMAAIGGRLVTPDDPEWPAEPLDAAFRFAASGKSDTLRSYQEDAVPPHALWVRGSNLRQLCAQAVSIVGSRAASNYGSHAARLISAGLIDHHWTIISGGAFGIDSAAHTEVLARGGTTIAVQACGLDRPYPRRNHDMLTTIAQHNGALVSEYPPGATPQRHRFLTRNRLIAALSSGTVIIEAAWRSGALNTLSWAAAFGKITMAVPGPITTAQSLGCHERIRNGDAAMVCSADEVRQLLAKIGDIDVGEQYEMQFAATPVQKLSRNEMRIYDA------TGPRPIPTDQLAHDAGLTIGLTVHLLLSLAQQGLVERNGNAWQRAVSPDPREAHAGVG</t>
  </si>
  <si>
    <t>MTNPQPPIDERRQAWAYLSRVFEGPSRELTNLLNNRRDPEAIAQGIRRRESWLGD-ILARTHTRYQDDRAKADLTTMAAIGGRLVTPDDPEWPAEPLDAAFRFAASGKSDTLRSYQEDAVPPHALWVRGSNLRQLCAQAVSIVGSRAASNYGSHAARLISAGLIDHHWTIISGGAFGIDSAAHTEVLARGGTTIAVQACGLDRPYPRRNHDMLTTIAQHNGALVSEYPPGATPQRHRFLTRNRLIAALSSGTVIIEAAWRSGALNTLSWAAAFGKITMAVPGPITTAQSLGCHERIRNGDAAMVCSADEVRQLLAKIGDIDVGEQYEMQFAATPVQKLSRNEMRIYDA------TGPRPIPTDQLAHDAGLTIGLTVHLLLSLAQQGLVERNGNAWQRAVSPDPREVHAGVG</t>
  </si>
  <si>
    <t>GC_00001103</t>
  </si>
  <si>
    <t>PF00899.27</t>
  </si>
  <si>
    <t>ThiF family</t>
  </si>
  <si>
    <t>K21147</t>
  </si>
  <si>
    <t>sulfur-carrier protein adenylyltransferase/sulfurtransferase [EC:2.7.7.80 2.7.7.- 2.8.1.11 2.8.1.-]</t>
  </si>
  <si>
    <t>COG0476|COG0607</t>
  </si>
  <si>
    <t>Molybdopterin or thiamine biosynthesis adenylyltransferase (ThiF) (PDB:1ZUD) (PUBMED:32239579)|Rhodanese-related sulfurtransferase (PspE) (PDB:1TQ1)</t>
  </si>
  <si>
    <t>Molybdopterin biosynthesis|Urea cycle</t>
  </si>
  <si>
    <t>KEGG Orthology (KO)&gt;&gt;&gt;09120 Genetic Information Processing&gt;&gt;&gt;09123 Folding, sorting and degradation&gt;&gt;&gt;04122 Sulfur relay system [PATH:ko04122]|Enzymes&gt;&gt;&gt;2. Transferases&gt;&gt;&gt;2.7  Transferring phosphorus-containing groups&gt;&gt;&gt;2.7.7  Nucleotidyltransferases&gt;&gt;&gt;2.7.7.80  molybdopterin-synthase adenylyltransferase|Enzymes&gt;&gt;&gt;2. Transferases&gt;&gt;&gt;2.8  Transferring sulfur-containing groups&gt;&gt;&gt;2.8.1  Sulfurtransferases&gt;&gt;&gt;2.8.1.11  molybdopterin synthase sulfurtransferase</t>
  </si>
  <si>
    <t>-------MRYQRQTSLAGFGEAKQQRLQNSHVLIVGAGGLGSPAMLYLAGAGVGRITIVDDDVVSLSNLHRQVVHTTAHVGEQKVRSAAEALHSLNPSIIVRDVAERLNWDNALRLMADVDVVIDGSDNFATRHIVSAACARAGIPHVWASVLGFDAQLSVFWAGKGPVYEDIFPEPPAPGSIPNCAQAGVLGPLVGIIGSAMAMETIKLLTDLGTPLLGTVGYYDSLASRWDYIPLHADPAVTQRLLAAGPVTA</t>
  </si>
  <si>
    <t>-------MRYQRQTSLAGFGEAKQQRLQNSHVLIVGAGGLGSPAMLYLAGAGVGRITIVDDDVVSLSNLHRQVVHTTAHVGEQKVRSAAEALHSLNPSIIVHDVAERLNWDNALRLMADVDVVIDGSDNFATRHIVSAACARAGIPHVWASVLGFDAQLSVFWAGKGPVYEDIFPEPPAPGSIPNCAQAGVLGPLVGIIGSAMAMETIKLLTDLGTPLLGTVGYYDSLASRWDYIPIHADPAITQRLLAAGPVTA</t>
  </si>
  <si>
    <t>MPTSHGNARYARQLSLPGFGPEQQQRLADAHVCCVGVGGLGSPALLYLVAAGVGTITIIDDDTVDVSNLHRQVIHTTSQVGRPKVESARQVLADLNPEVRIRTHNGRLTWEESERLFAGVDVVVDGTDTTDIRYVISARCARLGIPHVWASILGYEAQLSVFHAGHGPIYEDAFPTPPLPGAVPSCAHAGVLGPIVGVVGSAMAMETLKLIAGIGDPLRGTIGYYDGLSGRWEYIPLVADPEVAARVAAEPPRHSLRVPTTDTPTG-VLIDVREADEYRCGTLPGAINVPLSDLEAGC-TAGVPDG------AVLFCQSGVRSQRAWSILTDAGVTGLLSLAGGY-------DRHGRG----</t>
  </si>
  <si>
    <t>MPTSHGNARYARQLSLPGFGPEQQQRLADAHVCCVGAGGLGSPALLYLAAAGVGTITIIDDDTVDVSNLHRQVIHTTSQVGRPKVESARQVLADLNPEVRIRTHNGRLTWEESERLFAGVDVVVDGTDTTDIRYVISARCARLGIPHVWASILGYEAQLSVFHAGHGPIYEDAFPTPPLPGAVPSCAHAGVLGPIVGVVGSAMAMETLKLIAGIGDPLRGTIGYYDGLSGRWEYIPLVADPDVAARVVAEPPRHSLRVPITDTPTG-VLIDVREADEYRRGTLPGAINVPLSDLEAGC-TAGVPDG------AVLFCQSGVRSQRAWSILTDAGVTGLLSLAGGY-------DRHGRG----</t>
  </si>
  <si>
    <t>GC_00001104</t>
  </si>
  <si>
    <t>COG1132</t>
  </si>
  <si>
    <t>ABC-type multidrug transport system, ATPase and permease component (MdlB) (PDB:2HYD)</t>
  </si>
  <si>
    <t>MSTQAATAEHRLADALAPASMRTSFSVVRQCPRWPHRGWWLGFWAVFCTKTVCIVGSSTLTGFTVTALATGD-------TARFWSLAAVMSLALVGEQAFNTVGEYLLSARSKLVGVDLRAAGVEATLRAPIPEVMELGTGNVLTRLTSDIDAFVRVVNSIGVRLLTSLLLVPFTAASMLALSPWFIVVFLIIGALLVPMVRVAARDIPVAANLLSSAEARRNQILLDTIRGLPTIKALRIGPWAIGRFRRQSWATVQAQADFIPQMIRLLRWGSIVYGVLALSTMAVAVVLVSQSTISAGAASAAMVLVLRLEMVVFNVLFFAGDIQRAATSLGRAVALALLGSDSRRLPDGPELVRPVPVRLDDVTFAYPGGA-AILNNLSIALEPGTTTALVGASGAGKSTVAGLIAGLHYPTAGTIRIGNVVTRDVNNSWLARNVSLISQEVHLFSGSLRNDLKVAAPQASDEQLLDVLAEVGLSPRSESWVRWLPQGLDTAIGAGNDDLPPEIAQQIALARIIVRDAPVLIMDEATSEAGSQSGRALEQAAIRTAKGRTTLVVAHRLDQAMAADRVVVMDHGQIIEDGTHDDLVAAGGAYADLFRRWSGTKEEE</t>
  </si>
  <si>
    <t>------MSAPLTHDALRPTTLMQSLRFLRSLPSRPSLGWWIIFLGTLGVGSLSVTISSSVLGNAVEIFRGGSLPIIGRGSQAFVSVIIIVAVLLLTENIGRVFASYTLVSKSRVMSVDLRRACMTATLRAPIPDIMELGTGNVITRLTKDVDSVVRIVNSIGVRAGTTIVMLLFTTITLIITDWHYLIIIALMGLLMYPFVRSTVRAMPAATNLMSTAEARRNNLLLDTIRGLDTIRALRLHDWAHGRTRKASWN</t>
  </si>
  <si>
    <t>------------------------------------------MIAALGLG-------------------------------------------------------------------------------------------------------------------------------------------------------------------------------------------------------------</t>
  </si>
  <si>
    <t>GC_00001105</t>
  </si>
  <si>
    <t>PF00491.26</t>
  </si>
  <si>
    <t>Arginase family</t>
  </si>
  <si>
    <t>K01479</t>
  </si>
  <si>
    <t>formiminoglutamase [EC:3.5.3.8]</t>
  </si>
  <si>
    <t>COG0010</t>
  </si>
  <si>
    <t>Arginase/agmatinase family enzyme (SpeB) (PDB:1CEV)</t>
  </si>
  <si>
    <t>KEGG Orthology (KO)&gt;&gt;&gt;09100 Metabolism&gt;&gt;&gt;09105 Amino acid metabolism&gt;&gt;&gt;00340 Histidine metabolism [PATH:ko00340]|Enzymes&gt;&gt;&gt;3. Hydrolases&gt;&gt;&gt;3.5  Acting on carbon-nitrogen bonds, other than peptide bonds&gt;&gt;&gt;3.5.3  In linear amidines&gt;&gt;&gt;3.5.3.8  formimidoylglutamase</t>
  </si>
  <si>
    <t>MSDFTSSPWVGRNDGPGPEHARWHSTIQDLDELEDAP-GVALIGFASDEGVRRNHGRTGASRGPEHIMSALAGLAVHHDTPLYDVGTITVHHT-NLEGGHDSLSSAVDALISKGH-TVIVLGGGHETAFGSHRGLRRA---TGGSVGIINIDAHFDLRVADQPTSGTPFRQIADITGKDFNYTVFGISRPNNTRALFNEAEKLGVSYYTDDELASMTPAQAAGLIREVAAGVDTLHLSIDLDALPASVAPGVSAPAAVGIDLALVRAMAIAAAETGKLALVDVVELNPRYDVDERTARAAARLVDDIVNAL---</t>
  </si>
  <si>
    <t>MSDFTSSPWVGRNDGPGPEHARWHSTIQDLDELEDAP-GVALIGFASDEGVRRNHGRTGASRGPEHIMSALAGLAVHHDTPLYDVGTITVHHT-NLEGGHDSLSSAVDALISKGH-TVIVLGGGHETAFGSHRGLRRA---TGGSVGIINIDAHFDLRVADQPTSGTPFRQIADITGKDFNYTVFGISRPNNTRALFNEAEKLGVSYYTDDELASMTPAQAAGLIREVAAGVDTLHLSIDLDALPASVAPGVSAPAAVGIDLALVRAMAIAAAETGKLALVDVVELNPRYDVDERTARVAARLVDDIVNAL---</t>
  </si>
  <si>
    <t>MTEYFH--WHGRDDGPGDEHARWFTTIIDAEAEPVPPNAITLVGFASDTGVARNHGRVGAATGPTAIREALASLAIHDDRVRADAHTITYTNTSDLEAGQQQLSDTVAALLDNGSGTVVTLGGGHETSWASHRGLRQSHHGDGKSIAIINLDAHFDLRTSNIATSGTPFKQIADTWPHDFHYTVLGISEPNNTRVLFQTADQLGVTYVTDDALADLTAAEAAELVTKAAATADILHLSIDLDVLPAHVAPGVSAPAALGVALPQVRAMCLAAARTGKLRLVDVVELNPTYDVDGRTAKVAARLIHDITTALPHP</t>
  </si>
  <si>
    <t>MTEYFH--WHGRDDRPGDEHARWFTTIIDAEAEPVPPNAITLVGFASDTGVARNHGRVGAATGPTAIREALASLAIHDDRVRADAHTITYTNTSDLEAGQQQLSDTVAALLDNGSGTVVTLGGGHETSWASHRGLRQSHHGDGKSIAIINLDAHFDLRTSDIATSGTPFKQIADAWPHDFHYTVLGISEPNNTRILFQTADQLGVTYVTDDALADLTAAEAAELVTKAAATADILHLSIDLDVLPAHVAPGVSAPATLGVALPQVRAMCLAAAHTGKLRLVDVVELNPTYDVDGRTAKVAARLIHDITTVLPHP</t>
  </si>
  <si>
    <t>GC_00001106</t>
  </si>
  <si>
    <t>K07552</t>
  </si>
  <si>
    <t>MSSTKTSVSLLAILGALMAMTSIAIDIYLPAMPVMEEKLGGDAELAITGFLLGFAIAQLLWGPISDRVGRKIPLFIGMVLFIIGSISCALSTNMTEVVLWRIFQAIGACVGPILSRAMIRDMYGATKAAQTMSTLMMIMAVAPIAGPFVGGGLLAVGTWQLIFWAMAIVGVMMFAALFFLPETLPKETRAPQSFLHTFGNYGNLLKNGRYMRYTLCVTAFYVAVYAFVSGSPSVYITHFGIPEQYFGLFFGINILGVTMVSALNRRLLRTYTLDVLIRRSLAVAVTAAIILAALSFTGIGGLWGVVAPMFFIFSTNGIIATCTNAAALSSVPTRMTGAAAALLGSLQYGSGVVSSALLALLSDGTPRAMSGIIAVVIVLSALSMIGA---PHKPHKQNVET-</t>
  </si>
  <si>
    <t>MSSTKTSVSLLAILGALMAMTSIATDIYLPAMPVMEEKLGGDAELAITGFLLGFAIAQLLWGPISDRVGRKIPLFIGMVLFIIGSISCALSTNMTEVVLWRIFQAIGACVGPMLSRAMIRDMYGATKAAQTMSTLMMIMAVAPIAGPFVGGGLLAVGTWQLIFWAMAIVGVMMFAALFFLPETLPKETRAPQSFLHTFGNYGNLLKNGRYMRYTLCVTAFYVAVYAFVSGSPSVYITHFGIPEQYFGLFFGINILGVTMVSALNRRLLRTYTLDVLIRRSLAVAVTAAIILAALSFTGIGGLWGVVAPMFFIFSTNGIIATCTNAAALSSVPTRMTGAAAALLGSLQYGSGVVSSALLALLSDGTPRAMSGIIAVVIVLSALSIIGA---PHKPHKQNVET-</t>
  </si>
  <si>
    <t>MAASKTRISFLVILGALMSITSLSTDIYLPALPTMEAALGGDSELTITGFLIGFSLAQLLWGPISDRIGRKIPLSIGIILFIIGSIGCATSTSMTMVVFWRVFQALGACVGPMLSRAMIRDSYGVTEAARTLSTLAMIMAVAPIAGPLLGGALLTIGTWKLIFWVMAGVGVIFFGTIFFLPETLPPASRTHQLLWETFANYWTLLKTRTFMRYVLCVTAFYVAAYAFITGSPKVYITYFGVPEQYYGLFFGCNIIGLTLVSALNRRLVMSYTMDTLLRRSLVVAVISVVILTIFSITGIGGLWGIVIPMFVMFSTNGIIASCTNAAALNAVPPTMTGAAAALLGSLQYGSGIISSLLLALFVSDTPYAMTSIITFFVVLSALCMVGSTAHPAQPVRPGVDKH</t>
  </si>
  <si>
    <t>MAASKTRISFLIILGALMSITSLSTDIYLPALPTMEAALGGDSELTITGFLIGFSLAQLLWGPISDRIGRKIPLIIGIILFIIGSIGCATSTSMTMVVFWRVFQALGACVGPMLSRAMIRDSYGVTEAARTLSTLAMIMAVAPIAGPLLGGALLTIGTWKLIFWVMAGVGVIFFGTIFFLPETLPSASRTHQLLWETFANYWTLLKTRTFMRYVLCVTAFYVAAYAFITGSPKVYITYFGVPEQYYGLFFGCNIIGLTLVSALNRRLVMSYTMDTLLRRSLVVAVISVVILTIFSITGIGGLWGIVIPMFVMFSMNGIIASCTNAAALNAVPPTMTGAAAALLGSLQYGSGIISSLLLALFVSDTPYAMTSIITFFVVLSALCMVGSTAHPAQPVRPGVDKH</t>
  </si>
  <si>
    <t>GC_00001107</t>
  </si>
  <si>
    <t>K08166</t>
  </si>
  <si>
    <t>MFS transporter, DHA2 family, methylenomycin A resistance protein</t>
  </si>
  <si>
    <t>----------------------------------------------------------------------MRHLNKRIALCTVLCGFFVVMLDTTIVNVSLPYIGKDLGGTTSSLQWVVDSYTLSFAALLLTSGTACDRLGARHVYLAGLATFAIFSFLCALSTSIWALIIFRAFQGIGAAMVVPSSLALIAEMYSDHAQRTKVIGLWGAAGGIAAALGPIVGGMLVSAIDWNAAFWVNIPIITALIMLVISVIP</t>
  </si>
  <si>
    <t>MAARDWSANTLLMMEISGADSEKYRLVITSQPTSLIVRPTPNKTSPIVNLVRSNSLHEGRLYVAASGGNMMRQETKRLAIMTVLLGFFVIMLDTTIVNVSLAHIGKDLHGTTTSLQWVVDAYTLSFAALLLSAGTACDRLGAQRIYLFGLILFALFSIACALSPSMGILISARALQGVGAAMVVPSSLALISEMYSDHKERAKIIGLWGAAGGIAAALGPIIGGVLVSTTGWRAAFWVNIPIIVVLAILTISFIPRRVPQVSKSFDVLGQTTSIISLSLLTYLVITWGECGWNTAQLPAL---LVVLLCMGLFLIIEWKNPTPMLPLTLFRTQAFSISSIVGFCLNFSFFGQLFVLSLYFQKYLGWSPWITGLAMVPQATSAIVASPLGGRFSAKFDPYSAMFVGLSVGALGFSSLVFINENTPYVLVALLTFCAGFGMAFAMPAATSAAINAVPYEFAGIAGGIINAARQTGSVFGVAILGIMIANGNFLAGFHHAVLIAGGVFALAAILV---MLASRHPS-----------</t>
  </si>
  <si>
    <t>---------------------------------------------------------------------MMRQETKRLATITVLLGFFVIMLDTTIVNVSLAHIGKDLHGTTASLQWVVDAYTLSFAALLLSAGTACDRLGAQRIYLFGLILFALFSIACALSPSMEILISARALQGVGAAMVVPSSLALISEMYSDHKERAKIIGLWGAAGGIAAALGPIIGGVLVSTTGWRAAFWVNIPIIGVLAILTISFIP</t>
  </si>
  <si>
    <t>GC_00001108</t>
  </si>
  <si>
    <t>PF13597.11</t>
  </si>
  <si>
    <t>Anaerobic ribonucleoside-triphosphate reductase</t>
  </si>
  <si>
    <t>K21636</t>
  </si>
  <si>
    <t>ribonucleoside-triphosphate reductase (formate) [EC:1.1.98.6]</t>
  </si>
  <si>
    <t>COG1328</t>
  </si>
  <si>
    <t>Anaerobic ribonucleoside-triphosphate reductase (NrdD) (PDB:4COI)</t>
  </si>
  <si>
    <t>KEGG Orthology (KO)&gt;&gt;&gt;09100 Metabolism&gt;&gt;&gt;09104 Nucleotide metabolism&gt;&gt;&gt;00230 Purine metabolism [PATH:ko00230]|KEGG Orthology (KO)&gt;&gt;&gt;09100 Metabolism&gt;&gt;&gt;09104 Nucleotide metabolism&gt;&gt;&gt;00240 Pyrimidine metabolism [PATH:ko00240]|Enzymes&gt;&gt;&gt;1. Oxidoreductases&gt;&gt;&gt;1.1  Acting on the CH-OH group of donors&gt;&gt;&gt;1.1.98  With other, known, physiological acceptors&gt;&gt;&gt;1.1.98.6  ribonucleoside-triphosphate reductase (formate)</t>
  </si>
  <si>
    <t>----------------------------MTIINHVTNQPVSSADTAAAGASISVADTITEYLERADWRVNANANQDYSLGGMMLNTSGKVVANYWLNEVFSPEAGQAHRNGDIHIHDLDMLAGYCAGWSLRQLLEQGFGGVPGAISSGPPKHLSSALGQMVNFLGTLQNEWAGAQAFSSFDTYLAPFVRLDNLDYSHVRQCMQEFIFNLNVPSRWGTQTPFTNLTFDWTCPADIAEDYPFIGGDVCDFRYGDLAE</t>
  </si>
  <si>
    <t>MKVCEKFPVHDVYFFTFKTQVRPFTLGGMTIINHVTNQPVSSADATAAGASISVADTITEYLERADWRVNANANQDYSLGGMMLNTSGKVVANYWLNEVFSPEAGQAHRRGDIHIHDLDMLAGYCAGWSLRQLLEQGFGGVPGAISSGPPKHLSSALGQMVNFLGTLQNEWAGAQAFSSFDTYLAPFVRLDNLDYSHVRQCMQEFIFNLNVPSRWGTQTPFTNLTFDWTCPADIAEDYPFIGGDVCDFRYGDLAEEMALINRAFIDVMAEGDVDGRVFTFPIPTYNITRDFDWDSPNAHALFDMTARYGLPYFQNFINSDLNPGDIRSMCCRLQLDLRELLKRGNGLFGSAEQTGSIGVVTLNCARLGHLYKGDEAALLEAVTRFVRLGVDTLERKRRYITKLLEAGLFPYTQRWLPSLDNHFSTIGVNGCNEMIRNFTSDTEDITTPAGHAQVARLLDHINTLLVEAQEATGHLYNLEATPAEGATYRFAREDIARYPGIIHAGTADEPYYTNSTQLPVAHTPDPFDALAKQDDLQTKYTGGTVLHLYMGAAMSNGDACAALVRRALTHYRLPYITITPTFSICPNHGYLSGDHPHCPRCSADTEVWTRVMGYFRPVASFNTGKKGEFHERTYFREPSRV</t>
  </si>
  <si>
    <t>----------------------------MQSYDH---------------------SSITEYLSHADWRINANANQDFSLGGLILNTSGKAIANYWLDQVFSPKAGRAHRDGDIHIHDLDMLSGYCAGWSLRQLIEEGFGGVPNTVSSAPPKHLSSACGQVVNFLGTLQNEWAGAQAFSSFDTYMAPFVRIDQLTFEQVYQVLQEFVFNLNVPSRWGTQTPFTNLTFDWTCPADLRDHTPIIGGEIMDFYYGDLQP</t>
  </si>
  <si>
    <t>----------------------------MQSYDH---------------------SSITEYLSHADWRINANANQDFSLGGLILNTSGKAIANYWLDQVFSPEAGQAHRDGDIHIHDLDMLSGYCAGWSLRQLIEEGFGGVPNTVSSAPPKHLSSACGQVVNFLGTLQNEWAGAQAFSSFDTYMAPFVRIDQLTFEQVYQVLQEFVFNLNVPSRWGTQTPFTNLTFDWTCPADLRDHTPIIGGEIMDFYYGDLQP</t>
  </si>
  <si>
    <t>GC_00001109</t>
  </si>
  <si>
    <t>PF12697.13</t>
  </si>
  <si>
    <t>Alpha/beta hydrolase family</t>
  </si>
  <si>
    <t>-MAQLFIEESGQENKKSVVFLHASGSSSKMWRYHTAALKNDFHCVIIDLPGHGNSRNIEWTDFDDVTEEIAGIIRDKAHGKPHLVGLSLGGSLILTLLEKHADLVDKVIVDGAAHQPIKGSRVIIAMVYLMSLLKDTTFIAKLMAKMMQENGVSKEECQLFVADLQRTTKKSFRRAMSQANMLKVNATFDNPAFFVSGEKESETIHQSHQMLAHRNTQSDCAYYPGGSHAWLFSDIASHIQLVKYFLLGDDF---</t>
  </si>
  <si>
    <t>-MAQLFIEESGQENKKSVVFLHASGSSSKMWRYHTAALKNDFHCVIIDLPGHGNSRNIEWTDFDDVTEEIAGIIRDKAHGKPHLVGLSLGGSLILTLLEKHADLVDKVIVDGAAHQPIKGSRVIIAMVYLMSLLKDTTFIAKLMAKMMQENGVSKEECQLFVADLQRTTKKSFRRAMSQANMLKVNATFDNPAFFVSGEKESETIHQSHQMLAHKNTQSDCAYYPGASHAWLFSDIASHIQLVKFFLLGDDF---</t>
  </si>
  <si>
    <t>--MRLFMDEGGLQNAKSIVFFHDLGSSNQVWRYHMATLRHDFHCLLVDLPGHGNSRDIEWTNFDDVAEIVADAIKDRARGKPHLVGFALGGYLILKLLEKHADLVDKVIVDGAGHQPITDSRKGIAMTHLLLSLKSTRIVAQLLTMIMRENGVPEPDCRILIEDLQRARRKSVQRAMSQAAMLKVDVVFDNPALFVSGEYEAAAIHDSHRILAQKNPWSECVYYPNRGHAWLFSDIASHIQLVRYFLLGSLFSRW</t>
  </si>
  <si>
    <t>MPMRLFMDEGGQQNAKSIVFFHDLGSSNQVWRYHMATLRHDFHCLLVDLPGHGNSRDIEWTNFDDVAEIVADAIKDRARGKPHLVGFALGGYLILKLLEKHADLVDKVIVDGAGHRPITGNHKGIAMTHLLPLLKNTRIVAQSLTMIMRENGVPEPDCRILIEDLQRAGRKSVQRAMSQAATLKVDAVFDNPALFVSGEYEAAAIHDSHRILAQKNPWSECVYYPNRGHAWLFGDIASHIQLVRYFLLGDDF-------------PEKLRRL---------------</t>
  </si>
  <si>
    <t>GC_00001110</t>
  </si>
  <si>
    <t>K27086</t>
  </si>
  <si>
    <t>ESX secretion system protein EccC</t>
  </si>
  <si>
    <t>----------------------------------MVPLAYAEREPAPPLPSGTLTAEPVPAAVRPQPVPMVRLLLPLVMVLAFVGMMGLMVLNSRNGSGGIGAVLRNANPGMLVFPLMMLMSVATMFAPQQADDPDETRRIFMRHIGVLRAKALKNGQAQRTHELHKHPDPAFMWSHVGSRRMWERNANDPDALEIRMGVGATRLCTPIDVQDSGAAEDLDPVCAVALRHTVRSVGTLEKMPISIQLRAFRFLGI</t>
  </si>
  <si>
    <t>-MGETGVEKHKKGGVSQLSAPHVSASHAVVSSTIVVPLAYAEREPAPPLPSGTLTAEPVPAAVRPQPVPMVRLLLPLVMVLAFVGMMGLMVLNSRNGSGGIGAVLRNANPGMLVFPLMMLMSVATMFAPQQADDPDETRRIFMRHIGVLRAKALKNGQAQRTHELHKHPDPAFMWSHVGSRRMWERNANDPDALEIRMGVGATRLCTPIDVQDSGAAEDLDPVCAVALRHTVRSVGTLEKMPISIQLRAFRFLGI</t>
  </si>
  <si>
    <t>MPPQSETVRVEESPPARSIPPIIPAHEHPVDGTIVPPIATSERESAPPLPTGVITPEPVPEAPKPQPIPMMRLIMPIVMVIAALSMVGLMFM--------MGGQL---NPMTLVFPLMMLMSVFMMFSPPPGENTDEIRRTYLRHLGLVREVARQNAGEQRAHQLYNYPDPKELGSRIGTTRMWERSDGDMDTMTVRLGLGIADLCTPIDVGDPGVAEDLEPVCAVSLRQAVNTVSFLPDMPIVVQLLAFDALALSEETPAGDAPPEDARSRDAALALARAIICQLALCHGPDTVGIAVHGTGLAWAKWLPHTNPTTLANAPYTVLVVDGTVPTSQLEGLLSQREWTIVITV-NNSTPVLSEIVIEDGLSFTV-GERLIVHVEDADEELGVPDGLTEAEALLFARKLAPFSRPS-ADPRDSHAGLPALLGVHDFTPQTLERLWQPR-----GEQRLSVPIGRDSDGHSLIVDIKEAAHGGMGPHGLCIGATGSGKSELLRTLVVALAATHPPHALNFVLVDFKGGATFLGLDALPHTSAVITNLADESILVERMYDAISGEMNRRQELLRKMGNFPNVDEYEAVRLRDHPEWEPMPALLIILDEFSELLGQHNEFGELFAAVGRLGRSLHVHLLLASQRLEEGKLRGLESHLSYRIGLKTFSAVESRQVLGVADAYHLPSKPGMGFLKTDADQLICFQTAYVSGQLMRPKPTCDGAALGDRPHVSLWSGYASETAP--ITAAALIPDPRG-------TLVDALVAAAQVVARSWHQSAHTMWLPPLPAAIPLTDIIT--------QSVTPNTLC---ATIGRIDRPFLQQQDSYVLEFSGQQGHAMICGGPQTGKTTALRTIVLALACTHTTDYLRFYILDLSGNDLESLSLLPHVAGVAHQHDTEKIARIIDEVCGFIDQPEPRHTFLIVDGWHVLHGDHEDLMEKLGRIAADGLAARVHLVLTATRWSVVRPAIRDLIPQRIETKLGEPMDSLIDRKAQLKVPALPGRGLTSSGETMLIALSAQQDVAFIARSLVAD-QPPVPRLKLLPTSLMLADLPQLDPE-QNSVLLGVGGPKLGAVNWDYLASQHMVCIGSQESGKSTLISTIIAGLTQIGRERARLVVIDHRRSHLGAIDPDMLAGYSASTQETEKLVAAMKITLEERLPSAEVTPQQLKDRSWWTGPDIFLIVDNLDLVADMAFAPLLSVLPHARDVGLHVVITRKSGGCVRALFQPFLAEIKDQSPFIIVLDADKDDGPLFGVRLKPQPPGRGVMIHHGTQQGLIQIAAADMPEVSEAKAS</t>
  </si>
  <si>
    <t>MPPQSETVRVEESPPARSIPPIIPAHEHPVDGTIVPPIATSERESAPPLPTGVIAPEPAPEAPKPQPIPMMRLIMPIVMVIAALSMVGLMFM--------MGGQL---NPMTLVFPLMMLMSVFMMFSPPPGENTDEIRRTYLRHLGLVREVARQNAGEQRAHQLYNYPDPKELGSRIGTTRMWERSDGDMDTMTVRLGLGIADLCTPIDVGDPGVAEDLEPVCAVSLRQAVNTVSFLPDMPIVVQLLAFDALALSEETPAGDAPPEDARSRDAALALARAIICQLALCHGPDTVGIAAHGTGLAWAKWLPHTNPTTLANAPYTVLVVDGTVPTSQLEELLSQREWTIVITV-NNSTPVLSEIVIEDGLSFTV-GERLIVHVEDADEELGVPDGLTEAEALLFARKLAPFSRPS-ADPRDSHAGLPALLGVHDFTPQTLERLWQPR-----GEQRLSVPIGRDSDGHSLIVDIKEAAHGGMGPHGLCIGATGSGKSELLRTLVVALAATHSPHSLNFVLVDFKGGATFLGLDALPHTSAVITNLADESILVERMYDAISGEMNRRQELLRKMGNFPNVDEYEAVRLRNHPEWEPMPALLIILDEFSELLGQHNEFGELFAAVGRLGRSLHVHLLLASQRLEEGKLRGLESHLSYRIGLKTFSAVESRQVLGVADAYHLPSKPGMGFLKTDADQLICFQTAYVSGQLMRPKPTCDGAALGDRPHVSLWSGYASETAP--ITADVLIPDPRG-------TLVDALVAAAQVVARSWHQSAHTMWLPPLPAAIPLTDIIT--------QSVTPNTLC---ATIGRIDRPFLQQQDPYVLEFSGQQGHAMICGGPQTGKTTALRTIVLALACTHTTDYLRFYILDLSGNDLESLSLLPHVAGVAHQHDTEKIARIIDEVCGFIDQPEPRHTFLIVDGWHVLHGDHEDLMEKLGRIVADGLAARVHLVLTATRWSVVRPAIRDLIPQRIETKLGEPMDSLIDRKAQLKVPALPGRGLTSSGETMLIALSAQQDVAFIARSLVAD-QPPVPQLKLLPISLMLADLPQLDPE-QNSVLLGVGGPKLGAVNWDYLASQHIVCIGAQESGKSTLISTIIAGLTQIGRERARLIVIDHRRSHLGAIDPDMLAGYSASTQETEKLVAAMKITLEERLPSAEVTPQQLKDRSWWTGPDIFLIVDNLDLVADMAFAPLLSVLPHARDVGLHVVITRKSGGCVRALFQPFLAEIKDQSPFIIVLDADKDDGPLFGVRLKPQPPGRGVMIHHGTQQGLIQIAAADMLEATEAKAS</t>
  </si>
  <si>
    <t>GC_00001111</t>
  </si>
  <si>
    <t>-MNKKFSRRHFLGLAGLSAAGLALSGCNGGKKAKVQGGSRTVKDLDGNEIEVPASPQKVVAMSEPTLDNALALGVPLVGATAGRGQSTIPNYLSDKGKDIPILGNVAQPNFEAIGAAKPDLILVDGTSVNNNQPVLDALAKIAPTVYTGYPGGDWRENLRLTADALNMVDEAEDLMKDYDKKVKDATKKLEKYQDKTFSIIRWQGNNAALILKELPAGRALTDLGLKRPPAQDREGKGHSEPVSQENLSDIDADY</t>
  </si>
  <si>
    <t>K25286</t>
  </si>
  <si>
    <t>iron-siderophore transport system substrate-binding protein</t>
  </si>
  <si>
    <t>KEGG Orthology (KO)&gt;&gt;&gt;09130 Environmental Information Processing&gt;&gt;&gt;09131 Membrane transport&gt;&gt;&gt;02010 ABC transporters [PATH:ko02010]|Transporters&gt;&gt;&gt;ABC transporters, prokaryotic type&gt;&gt;&gt;Metallic cation, iron-siderophore and vitamin B12 transporters&gt;&gt;&gt;Iron-siderophore transporter</t>
  </si>
  <si>
    <t>MYNKQLGRRAFLSLAGLTAAGLVLSSCK-----KRQSGTRIIKNAFGDNIVVPAGPERVAAMSEPTLDNALALGATLIGGTAGRGQSTIPSYLEDKGHGVPILGNVAQPSYGALKEAKPDLILIDGTSIGTDQQAIESLTAIAPLAYTGYAGGDWRDNLRITADALNMTGEADDLVSDYNGKVKSAQRKLEKYRNKTFSIVRWQGDNASLILKELPAGRALTDLGLDRPPNQDRDGEGHSEPVPRENLANIDADYIFLGTLGGDDEVGSGGGAGTVDVERAKKVVGEAAKVPGFTGLRAYQEDHIIPVDGSLWTSAGGVLLMNTIVDQIVGLLV</t>
  </si>
  <si>
    <t>-MNKKFSRRHFLGLAGLSAAGLALSGCNGGKKAKVQGGSRTVKDLDGNEIEVPASPQKVVAMSEPTLDNALALGVPLVGATAGRGQSTIPNYLSDKGKDIPILGNVAQPNFEAIGAAKPDLILVDGTSVNNNQPVLDALAKIAPTVYTGYPGGDWRENLRLTADALNMVDEAEDLMKDYDKKVKDATKKLEKYQDKTFSIIRWQGNNAALILKELPAGRALTDLGLKRPPVQDREGKGHSEPVSQENLSDIDADY</t>
  </si>
  <si>
    <t>MYNKQLGRRAFLSLAGLTAAGLVLSSCK-----KRQSGTRIIKNAFGDNIVVPAGPERVAAMSEPTLDNALALGATLIGGTAGRGQSTIPSYLEDKGHGVPILGNVAQPSYGALKEAKPDLILIDGTSIGTDQQVIESLTAIAPLAYTGYAGGDWRDNLRITADALNMTGEADDLVSDYNGKVKSAQRKLEKYRNKTFSIVRWQGDNASLILKELPAGRALTDLGLDRPPNQDRDGEGHSEPVPRENLANIDADYIFLGTLGGDDEVGSGGGAGTVDVERAKKVVGEAAKVPGFTGLRAYQEDHIIPVDGSLWTSAGGVLLMNTIVDQIVGLLV</t>
  </si>
  <si>
    <t>GC_00001112</t>
  </si>
  <si>
    <t>PF01035.26</t>
  </si>
  <si>
    <t>6-O-methylguanine DNA methyltransferase, DNA binding domain</t>
  </si>
  <si>
    <t>COG0350</t>
  </si>
  <si>
    <t>DNA repair enzyme Ada (O6-methylguanine-DNA--protein-cysteine methyltransferase) (AdaB) (PDB:6RLA) (PUBMED:29061663)</t>
  </si>
  <si>
    <t>-MTTAFYAHTDTPDGPFTVIVSDGAVLGSGWTSDPKDLLPRIHQSLLPSALEESDTEAEFALDAVRKYYDGDFAAVLRTPVRQVSGEFRSHAWDVLRGIGPGQCITYSDFAALAGRPQAVRAAASACSQNAAALFVPCHRVLSKDGSLGGFLYGTDVKKRLLEMEEDGLGNEQD-----</t>
  </si>
  <si>
    <t>K00567</t>
  </si>
  <si>
    <t>methylated-DNA-[protein]-cysteine S-methyltransferase [EC:2.1.1.63]</t>
  </si>
  <si>
    <t>Enzymes&gt;&gt;&gt;2. Transferases&gt;&gt;&gt;2.1  Transferring one-carbon groups&gt;&gt;&gt;2.1.1  Methyltransferases&gt;&gt;&gt;2.1.1.63  methylated-DNA---[protein]-cysteine S-methyltransferase|DNA repair and recombination proteins&gt;&gt;&gt;Eukaryotic type&gt;&gt;&gt;SSBR (single strand breaks repair)&gt;&gt;&gt;Direct repair|DNA repair and recombination proteins&gt;&gt;&gt;Prokaryotic type&gt;&gt;&gt;SSBR (single strand breaks repair)&gt;&gt;&gt;Direct repair</t>
  </si>
  <si>
    <t>MTKSAEYSTCDTPHGKFTVVCESETVLAAGWTSDAAELLVLVHPDIRPETITQNDDRCAAAISAVQAFYKGDFSAVGKLAVRQQSGPFRMRAWETLRKIPAGATLTYGEFAVQAGNPRAIRAAAGACAANAAVLFVPCHRVVSAGGKLGGFRYGVDIKQELLKLETR------------</t>
  </si>
  <si>
    <t>MTKSAEYSTCDTPHGKFTVVCESETVLAAGWTSDAAELLVLVHPDIRPETITQNDDRCAAAISAVQAFYKGDFSAVGKLAVRQQSGPFRMRAWETLRKIPAGATLTYGEFAVQAGNPRAIRAAAGACAANAAVLFVPCHRVVSAGGKLGGFRYGVDIKQELLELETR------------</t>
  </si>
  <si>
    <t>GC_00001113</t>
  </si>
  <si>
    <t>K25149</t>
  </si>
  <si>
    <t>polyether ionophore transport system permease protein</t>
  </si>
  <si>
    <t>COG3559</t>
  </si>
  <si>
    <t>Putative exporter of oligosaccharides and polyketide antibiotics DrrB/NodJ, ABC-2 family (NodJ) (PUBMED:1303751)</t>
  </si>
  <si>
    <t>Transporters&gt;&gt;&gt;ABC transporters, prokaryotic type&gt;&gt;&gt;ABC-2 type and other transporters&gt;&gt;&gt;Polyether ionophore transporter</t>
  </si>
  <si>
    <t>MLNLIQIHLRTHRFFLLAWLTPLTLFFASMPSAYSNSYTDAESLAKVREQMSNSFGLVVIYGKIPEPFNYATWTVWETTSWGFILAAIMGLLLGSSVSRGLEESGQAELLQSNGLSAGELRRAALTVTILTSVLWGVLVAVSLWANAGISNDFTASGSLLTGYSAFLLTCFFGLLAILAGEAFGSVRAARQASLLVLLVSFGVRIVADVYDRPWLHWLTPFGWIRVVKPYQHDGNHWLPTMIFTAVLLLMSIPIIVVKRDLHSQWVQLRPRKYRAAGWGPWSLWWRFQGPVIVWWAVAIIFVSTGFFAMTGEMNSVIENSPGTAELAAQMVP---DLQNAYAYMSGIVVGLIVCCMAIQLVLAGYKAENQGLVTLILTTGQRRPMLFLQNFLYTMIATIMTLIPAAFLSAYAAIADSNVSDDQFSTVVWAIIDLIAPVVACCGIAALCLAI----RTGIIA----WLVVAASGFLSFFGSLLKLDKWVLDLSVFAWAPHTVDHYRGAIALLAIGLGSLLAGAVIFTKRDIVT</t>
  </si>
  <si>
    <t>MLSLIQIHLRTHRFFLLAWLIPLVLLAATSPGTYISSYPDEGSLAAVGASMRGTLGPVVLYGTIPEPFNYATWTSWKTISWLIILAAIMNILLGSSVSRGLEESGQAELLQSNGLSAGVLRRAALTVTILTSVLWGVLVAVSLWANSALSDQFTLKGSLIDGGVSLMSVGFFGLLAILAGEAFGSVRAARQASLLVLLVSFGVRIVADVYHQHWLRWLTPVGWFEVVKPYEHDGDRWAPLLVFALVLVLMTLPIVMVKRDLHSQWVQPQPRKYRAAGWGPWSLWWRLQGPMAAWWAVAIAVVSIGLSAMTGEMSDIFTESPGTSELFNQIAPNIQDLRDVYAQLMAIMVGILACCMTVQLVLSLHKDENQGLLTLVLTTGQSRRAMFLRNFCYAALAAIFAVIPTAFLSAMAASADARVSSEHFGTVVWSTLDVLPPTIMCCGFAALCVALCVTAKTSAVAMMVVWLPVAVSGFLSFFGELLKLDKWVLDLSVFAWAPHTVDHYRGAIVLLAIGLGSLLVGTIMFGKRDVVV</t>
  </si>
  <si>
    <t>MLNLIQIHLRTHRFFLLAWLTPLTLFFASMPSAYSNSYTDAESLAKVQEQMSNSFGLVVIYGKIPEPFNYATWAVWETTSWGFILAAIMGLLLGSSVSRGLEESGQAELLQSNGLSAGVLRRAALTVTILTSVLWGVLVAVSLWANAGISNDFTANGSLLTGYSAFLLTCFFGLLAIIAGEAFGSVRAARQASFLAILITFSTRVIADVYDHPWLHWLTPFGWVKVVKPYQHDGNQWLPTIIFTAVLLLMSIPIIVVNRDLHSQWVRLRSRKYRAAGWGPWSLWWRLQGPVIVWWAVAIIFTSTGFFAMTGEMNSVFENSPGTAELAAQMVP---DLQNAYAYMSGIVVGLIVCCMTIQLVLAGHKAEKQGLVTLILTTEQRRPMLFLQNFLYTMIATIMTLIPAAFLSAYAAIADSHVSDDQFSTVVWAIIDLIAPAVACCGISALCLAI----RTSIIA----WLVVATSGFLSFFGSLLKLDKWVLDLSVFAWAPHTVDHYRGAIVLLAIGLGSLLAGTVIFAKRDIVA</t>
  </si>
  <si>
    <t>MLNLIQIHLRTHRFFLLAWLTPLVLLAATSPGTYISSYPDEGSLAAVGASMRGTLGPVVLYGTIPEPFNYATWTSWKTISWLIILAAIMNILLGSSVSRGLEESGQAELLQSNGLSAGVLRRAALTVTILTSVLWGVLVAVSLWANSALSDQFTLKGSLIDGGVSLMSVGFFGLLAILAGEAFGSVRAARQASLLVLLVSFGVRIVADVYHQHWLRWLTPVGWFEVVKPYEHDGDRWAPLLVFALVLALMALPTVMVKRDLHSQWVQPQPRKYRAAGWGPWSLWWRLQGPMAAWWAVAIAVVSIGLSAMTGEMSDIFTESPGTSELFNQIAPNIQDLRDVYAQLMAIMVGILACCMTVQLVLSLHKDENQGLLTLALTTGQSRRAMFLRNFCYAALAAIFAVVPTAFLSAMAASADSRVSSEHFGTVVWSTLDVLPPTIMCCGFAALCVALCVTAKTSAVAMTMVWLPVAVSGFLSFFGELLKLDKWVLDLSVFAWAPHTVDHYRGAIVLLAIGLGSLLVGTIMFSKRDVVV</t>
  </si>
  <si>
    <t>GC_00001114</t>
  </si>
  <si>
    <t>K14699</t>
  </si>
  <si>
    <t>ATP-binding cassette, subfamily B, bacterial IrtB/YbtQ [EC:7.-.-.-]</t>
  </si>
  <si>
    <t>KEGG Orthology (KO)&gt;&gt;&gt;09130 Environmental Information Processing&gt;&gt;&gt;09131 Membrane transport&gt;&gt;&gt;02010 ABC transporters [PATH:ko02010]|Transporters&gt;&gt;&gt;ABC transporters, eukaryotic type&gt;&gt;&gt;ABCB (MDR/TAP) subfamily&gt;&gt;&gt;ABCB-BAC subgroup</t>
  </si>
  <si>
    <t>--MKLTLVDIIPRIKRMLKEQRLINTTIWFSIAAGLIEGVALCLLLPCVTALANNEPVWGLGVWGWVIVLSILAVVSAIVGYVQSLRGYQTALDFLVNVHKKVGDQVSSLPLGWFNRPLAGLLSRLVANELVMTGEIIAHMLSPIIQRVTASIVLLVFAWTWDWHLGLACTISIPVFLLLVLCTTGLINKGKSIGEPTEVELSNRLVEFTHCQAALRSCGRSTHYSKLDDANATWLKAKRRKLWYEIAGNLLGGA</t>
  </si>
  <si>
    <t>--MKLTLVDIIPRIKRMLKEQRLINTTIWFSIAAGLIEGVALCLLLPCVTALANNEPVWGLGVWGWVIVLSILAVISAIVGYVQSLRGYQTALDFLVNVHKKVGDQVSSLPLGWFNRPLAGLLSRLVANELVMTGEIIAHMLSPIIQRVTASIVLLVFAWTWDWHLGLACTISIPVFLLLVLCTTGLINKGKSIGEPTEVELSNRLVEFTHCQAALRSCGRSTHYSKLDSANATWLKAKRRKLWYEIAGNLLGGA</t>
  </si>
  <si>
    <t>MIMDMAVMNFIPRCRRMLGDGTILNRVIVFSTIYGLFEGVSIFALLPAITSLVTGQPVLGLGVTGWIVVLACLAVLGGVANYFQLSRGYSVAMFFIRVAHDMIGNRVATLPLGWFNKPLAGKLSRMVSTELMMAGEIIAHFVSPFISNLVVSLVVLVLTYTWDVRLGMTLTVATPFFLLFVALSTKLNKKAKDISEPAEVELSNRIVEFAHCQAALRSCGRSANYSELTTANREWLRAKRKELWLNLAGNVVGNSFSQGIVVTLMFMSAQFAVGGTLQPVEAIAFIGLCLRYTQVLTGITDTAAALEDRRPVLDAIDEVVTAKPLPEPDTATPEPTPGTISLDHVAFSYEDGTPVLRDITFAVPAKTMVALVGPSGCGKTTIARLISRFYDVTAGSVKVGGVDVREQTTKQLMASLSMVFQDVYLFDDTLEANIRIGREDATMAELHEAARLAGVTEIVNRLPRGWDTPVGEGGRALSGGERQRVAIARALLKQAPIVLLDEATSALDPENEENVVAAVDKLRETATILVIAHKLDTIRKADAIVQLRADGTVEDIGTHEELFARGGTYRSFWDHRAAAQGWQL-</t>
  </si>
  <si>
    <t>MIMNMAVMNFIPRCRRMLGDGTILNRVIVFSTIYGLFEGVSIFALLPAITSLVTGQPVLGLGVTGWIVVLACLAVLGGVANYFQLSRGYSVAMFFIRVAHDMIGNRVATLPLGWFNKPLAGKLSRMVSTELMMAGEIIAHFVSPFISNLVVSLVVLVLTYTWDVRLGITLTVATPFFLLFVALSTKLNKKAKDISEPAEVELSNRIVEFAHCQAALRSCGRSANYSELTTANREWLRAKRKELWLNLAGNVVGNSFSQGIVVTLMFMSAQFAVGGTLQPVEAIAFIGLCLRYTQVLTGITDTAAALEDRRPVLDAIDEVVTAKPLPEPDTATPEPTPGTISLDHVAFSYEDGTPVLRDITFAVPAKTMVALVGPSGCGKTTIARLISRFYDVTAGSVKVGGVDVREQTTKQLMASLSMVFQDVYLFDDTLEANIRIGREDATMAEFHEAARLAGVTEIVNRLPRGWDTPVGEGGRALSGGERQRVAIARALLKQAPIVLLDEATSALDPENEENVVAAVDKLRETATILVIAHKLDTIRKADAIVQLRADGTVEDIGTHEELFARGGTYRSFWDHRAAAQGWQL-</t>
  </si>
  <si>
    <t>GC_00001115</t>
  </si>
  <si>
    <t>PF00689.26</t>
  </si>
  <si>
    <t>Cation transporting ATPase, C-terminus</t>
  </si>
  <si>
    <t>K01537</t>
  </si>
  <si>
    <t>P-type Ca2+ transporter type 2C [EC:7.2.2.10]</t>
  </si>
  <si>
    <t>COG0474</t>
  </si>
  <si>
    <t>Magnesium-transporting ATPase (P-type) (MgtA) (PDB:1IWO)</t>
  </si>
  <si>
    <t>KEGG Orthology (KO)&gt;&gt;&gt;09190 Not Included in Pathway or Brite&gt;&gt;&gt;09191 Unclassified: metabolism&gt;&gt;&gt;99980 Enzymes with EC numbers|Enzymes&gt;&gt;&gt;7. Translocases&gt;&gt;&gt;7.2  Catalysing the translocation of inorganic cations&gt;&gt;&gt;7.2.2  Linked to the hydrolysis of a nucleoside triphosphate&gt;&gt;&gt;7.2.2.10  P-type Ca2+ transporter</t>
  </si>
  <si>
    <t>MTATNRPTGLTSADAAQRLDTYGRNELRAATTEPTWLVFLRQFQDPLVYLLFIAMAISCGAWFIEGSHGVPIDTVVIGLIVIANAILGFTQEQRAAHAVEALAHMTAAHSTVLRDGKQTVISSEELVPGDILLLAEGDAVGADAKLISATNLAVQESSLTGESEAVIKDPSPTPENEPLGDRTDMVFKGTAVVRGVGTAEVMHTGMETQMGQIATMLDETEAEDSPLKKEIATISRTLGLLVVGIAVIVMVTLALVNGVHSTKDAVDILLLGVSLAVAAVPEGLPAILSLVLALGVQAMARKNAVMKNLPSVETLGSASVVCSDKTGTLTRNEMTLREIVTASGSTILEGSGYDSSGDAT-SINDNARIEAELTMVAGATANNAQLEYTTNG-WEIVGDPTEAAFLVALPK----VVLNPDPAPQRLGEIPFSSERKMMTVLVPGYLYSKGAPDVLLEHCTREQVGNSERELEPGRREAILDTVEELSRKGYRTLGVARRTGLVALEEDDLTFLGVVGIIDPPRDEAKEAIEQAHHAGIRTIMITGDHPVTASSIATSLGFDATA----------------AFTGKDIDDMSDQEFAEAVRTTDVYARVAPAHKLRIVDALQADGNIVAMTGDGVNDAPALKSADIGVAMGITGTEVTKEAATMILADDNYGTIVSAVEQGRVTFDNIRKFLRYLLSSNMGEVVTVFFGVLLAGWLGLNDSGGGVVLPLLATQILWINLITDSGPALAMGVDPADDDVMERAPRRINDRIINRDMWAQVIYIGVIMGAVTLATIDFFLPGGIVNGHDSLEVARTAGFTTLVFAQLFNALNARSDIHSAFIGIFRNRWLWASIGIAVFLQVCVVHIPFLQAAFGTASLDFTHWVVAIGMASLVLCAEEMSKFVRWALEV--------------</t>
  </si>
  <si>
    <t>MTATNRPTGLTSADAAQRLDTYGRNELRAATTEPTWLVFLRQFQDPLVYLLFIAMAISCGAWFIEGSHGVPIDTVVIGLIVIANAILGFTQEQRAAHAVEALAHMTAAHSTVLRDGKQTIIPSEELVPGDILLLAEGDAVGADAKLISATDLAVQESSLTGESEAVIKDPSPTPENAPLGDRTDMVFKGTAVVRGVGTAEVMHTGMKTQMGQIATMLDETEAEDSPLKKEIATISRTLGLLVVGIAVIVMVTLALVNGVHSTKDAVDILLLGVSLAVAAVPEGLPAILSLVLALGVQAMARRNAVMKNLPSVETLGSASVVCSDKTGTLTRNEMTLREIVTASGSTILEGSGYDPSGDAT-SINDNARIEAELTMVAGATANNAQLEYTANG-WEIVGDPTEAAFLVALPK----VVLNPDPAPQRLGEIPFSSERKMMTVLVPGYLYSKGAPDVLLEHCAREQVGNSERELEPGRREAILDTVEELSRKGYRTLGVARRTGLVALEEDDLTFLGVVGIIDPPRDEAKEAIEQAHHAGIRTIMITGDHPVTASSIATSLGFDATA----------------AFTGKDIDDMSDQEFAEAVRTTDVYARVAPAHKLRIVDALQADGNIVAMTGDGVNDAPALKSADIGVAMGITGTEVTKEAATMILADDNYGTIVSAVEQGRVTFDNIRKFLRYLLSSNMGEVVTVFFGVLLAGWLGLNDSGGGVVLPLLATQILWINLITDSGPALAMGVDPADDDVMERAPRRISDRIINRDMWAQVIYIGVIMGAVTLATIDFFLPGGIVNGHDSLEVARTAGFTTLVFAQLFNALNARSDIHSAFIGIFRNRWLWASIGIAVFLQVCVVHIPFLQAAFGTASLDFTHWVVAIGMASLVLCAEEMSKFVRWALEV--------------</t>
  </si>
  <si>
    <t>--MSTHLTGLTSAEAADRLERFGPNQLRAQKTEPQWRKFLRQFQDPLVYLLFIAMGISLGAWIVEGATGAPIDVIVIAIIVIANAILGYTQEAKAADAVAALAKMTAANSTVMRDGKQQTIPSHNLVPGDVLLLAEGDAVGADATLIEAIDLYIQEAALTGESEAVHKTPEPVADDAPLGERTNTVFKGTAVVRGVGVAEVQHTGMDTQMGSIATMLADTEQDQTPLNKEITEVSKMLGLLVVGIAIVVMAALIL</t>
  </si>
  <si>
    <t>--MSTHLTGLTSAEAADRLERFGPNQLRAQKTEPQWRKFLRQFQDPLVYLLFIAMGISLGAWIVEGATGAPIDVIVIAIIVIANAILGYTQEAKAADAVAALAKMTAANSTVMRDGKQQTIPSHNLVPGDVLLLAEGDAVGADATLIEATDLYIQEAALTGESEAVHKTPEPVADDAPLGERTNTVFKGTAVVRGVGVAEVQHTGMDTQMGSIATMLADTEQDQTPLNKEITEVSKMLGLLVVGIAIVVMAALIL</t>
  </si>
  <si>
    <t>GC_00001116</t>
  </si>
  <si>
    <t>PF01507.26</t>
  </si>
  <si>
    <t>Phosphoadenosine phosphosulfate reductase domain</t>
  </si>
  <si>
    <t>K00390</t>
  </si>
  <si>
    <t>phosphoadenosine phosphosulfate reductase [EC:1.8.4.8 1.8.4.10]</t>
  </si>
  <si>
    <t>COG0175</t>
  </si>
  <si>
    <t>3'-phosphoadenosine 5'-phosphosulfate sulfotransferase (PAPS reductase)/FAD synthetase or related enzyme (CysD) (PDB:1ZUN)</t>
  </si>
  <si>
    <t>M00176|M00616</t>
  </si>
  <si>
    <t>Assimilatory sulfate reduction, sulfate =&gt; H2S|Sulfate-sulfur assimilation</t>
  </si>
  <si>
    <t>Pathway modules; Energy metabolism; Sulfur metabolism|Signature modules; Module set; Metabolic capacity</t>
  </si>
  <si>
    <t>KEGG Orthology (KO)&gt;&gt;&gt;09100 Metabolism&gt;&gt;&gt;09102 Energy metabolism&gt;&gt;&gt;00920 Sulfur metabolism [PATH:ko00920]|Enzymes&gt;&gt;&gt;1. Oxidoreductases&gt;&gt;&gt;1.8  Acting on a sulfur group of donors&gt;&gt;&gt;1.8.4  With a disulfide as acceptor&gt;&gt;&gt;1.8.4.8  phosphoadenylyl-sulfate reductase (thioredoxin)|Enzymes&gt;&gt;&gt;1. Oxidoreductases&gt;&gt;&gt;1.8  Acting on a sulfur group of donors&gt;&gt;&gt;1.8.4  With a disulfide as acceptor&gt;&gt;&gt;1.8.4.10  adenylyl-sulfate reductase (thioredoxin)</t>
  </si>
  <si>
    <t>MLPHNTTQIPTTLSLFRDPTVSPDGPRTTEPLPDELRKRNEELVDKHAENLYHADAATIMQWAQEFSPGRVVVTLSMENTVLAELAARHAPDMDFLFLDTGFHFPETLDVAAQVERRYP-QRLVTAKPVLSADEQAQEYGPNLYQSNPAACCRMRKVEPLAVSLSPYVGWVTGLRRADGPTRTTTPALALDSAGRLKISPLVTWSLEDTERFITDNNLIEHPLTHQGYPSIGCATCTLPVVAGEDLRAGRWAGHAKTECGLHT</t>
  </si>
  <si>
    <t>MLPHNTTQIPTTLALFRDPSISPEGPQTTEPLPDELRKRNEELVAKHADELYHADAATIMQWAQEFAPGRVVVTLSMENTVLAELAARHAPDMDFLFLDTGFHFPETLDVAAQVERRYP-QRLVTAKPVLSADEQAQEYGPNLYQSNPAACCRMRKVEPLAVSLSPYVGWVTGLRRADGPTRTTTPALALDSAGRLKISPLVTWSLEDTERFITDNNLIEHPLTHQGYPSIGCATCTLPVAAGEDPRAGRWAGHAKTECGLHT</t>
  </si>
  <si>
    <t>MTFINLTKPATGDTAYQDPDISPAGPRTTTPLDPDTARRNQQLVDQYAEHLYDAPADAILDWARTHAPGAIVVTLSMENTVLAELAAHHLPEADFLFLDTEYHFAETLDVARQVAGRYPNQRLITAKAQLSRAQQDKVYGPSLYLTNPTACCRMRKVEPLAVALSPYAGWVTGLRRADGPTRATAPALSLDRTGRLKISPIITWTLEETEQYIEAHDLIRHPLTSQGYPSIGCATCTLPVAPGEDPRAGRWAGNAKTECGLHT</t>
  </si>
  <si>
    <t>MTFINLTKPATGDTDYQDPDISPAGPRTTTPLDPDTARRNQQLVDQYAEQLYDAPADAILDWARTHAPGALIVTLSMENTVLAELAAHHLPEADFLFLDTEYHFAETLDVARQVAERYPNQRLITAKAQLSRAQQDKVYGPSLYLTHPTACCRMRKVEPLAVALSPYVGWVTGLRRADGPTRATAPALSLDRTGRLKISPIITWTLEETEQYIEAHDLIRHPLTSQGYPSIGCATCTLPVAPGEDPRAGRWAGNAKTECGLHT</t>
  </si>
  <si>
    <t>GC_00001117</t>
  </si>
  <si>
    <t>PF00355.32</t>
  </si>
  <si>
    <t>Rieske [2Fe-2S] domain</t>
  </si>
  <si>
    <t>P|Q</t>
  </si>
  <si>
    <t>Inorganic ion transport and metabolism|Secondary metabolites biosynthesis, transport and catabolism</t>
  </si>
  <si>
    <t>COG2146</t>
  </si>
  <si>
    <t>Ferredoxin subunit of nitrite reductase or a ring-hydroxylating dioxygenase (NirD) (PDB:1FQT) (PUBMED:23844911)</t>
  </si>
  <si>
    <t>MTSHNHTCSRRAFLLGTATTFAGALLVACGSSGTKTAANDVPVGSAIITGDAIIARPTADEYKVYSTVCPHQGSPITQVSGDTVKCTRHGSVFSIKDGSVISGPSQAGLSPKEFSKDGDSIVVK--</t>
  </si>
  <si>
    <t>MTSHNHTCSRRAFLLGTATTFAGALLVACGSSGTKTAANDVPVGSAIITGDAIIARPAADEYKVYSTVCPHQGSPITQVSGDTVKCTRHGSVFSIKDGSVISGPSQAGLSPKEFSKDGDSIVVK--</t>
  </si>
  <si>
    <t>GC_00001118</t>
  </si>
  <si>
    <t>MTNSLFFLPFIIVPLCIITTAVLITYNNIRQVKEQSDSRKQAEQERQLETLDAQAEARRWLERLGSEVLTTDGIDPESKNLIATATERYTTAQTTLDAAQTRRQAEIARDIAVEGLHLMRDARIMMGQPAGPDIPPL-----</t>
  </si>
  <si>
    <t>MINSLFFLPFIIVPLCIITTAVLITYNNIRQVKEQAESRKQAEQERQLETLDAQAEARRWLERLGSEVLTTDGIDPDSKNLIATATERYTTAQTTLDAAQTRRQAEIARDIAVEGLHLMRDARIMMGQPAGPDIPPL-----</t>
  </si>
  <si>
    <t>GC_00001119</t>
  </si>
  <si>
    <t>c-arg_c-mat1_c-mat2</t>
  </si>
  <si>
    <t>K21885</t>
  </si>
  <si>
    <t>ArsR family transcriptional regulator, cadmium/lead-responsive transcriptional repressor</t>
  </si>
  <si>
    <t>MLTIASRLDVMNRLGRAMADPTRSRILMTLLDGPSYPAVLSRDLDLTRSNVSNHLTCLRDCGIVLAEPEGRKTRYEIADPHLATALNALVNATLAVDENTPCIDPECSVPGCDGKGADA</t>
  </si>
  <si>
    <t>MLTISSRLDVMNRLGRAMADPTRSRILLTLLGGPAYPAALARELELTRSNVSNHLTCLRDCGIVVAEPQGRKTRYEIVDAHLVQALNSLLDTTLAADENAPCIDSACDVPGCATGEGNR</t>
  </si>
  <si>
    <t>MLTIASRLDVMNRLGRAMADGTRSRILLSLLEKPGYPAQLARDLELTRTNVSNHLACLRGCGIVVAIPEGRRTRYEIADPHITQALESLMDAVLMVDESQPCVD-DCCAPAPAKEKA--</t>
  </si>
  <si>
    <t>MLTIASRLDVMNRLGRAMADGTRSRILLSLLEKPGYPAQLARDLELTRTNVSNHLACLRACGIVVAIPEGRRTRYEIADPHITRALESLMDAVLMVDESQPCVD-DCCAPAPAKGKA--</t>
  </si>
  <si>
    <t>GC_00001120</t>
  </si>
  <si>
    <t>MLKKISLCCVMLFG--LGLSACGLQPSTSTVPAMTEGSIKPVANAHDESITITSKNFTEQIVLGKIAVLIAKASGFDVTDMTNVPGSQPSRNLMVSGQADLAFEYTGTAWLAYLGHEGGIPDKQKQWQAVHDADLANGLTWGQPAPLNNTYAFAVRPEFAKQHNISKLSDIASVPVEERTMCVESEFNSRVDGLNPMLKLYGIPRGTPDGVPEGNISLMDTGTVYQATADASCNFGEVFTTDGRIQSLNLVILEDDQHFFPAYNAAPVFNTEFLNKHPELAERFAQVTPLLDDDTMRSLNLKVDVEGADPGQVAYDWMVEKGFIGK</t>
  </si>
  <si>
    <t>MLKKISLCCVMLFG--LGLSACGLQPSTSTVPAMTEGSIKPVANAHDESITITSKNFTEQIVLGKIAVLIAKASGFDVTDMTNVPGSQPSRNLMVSGQADLAFEYTGTAWLAYLGHEGGIPDKQKQWQAVHDADLANGLTWGQPAPLNNTYAFAVRPEFAKQHNISKLSDIASVPVEERTMCVESEFNSRVDGLNPMLKLYGIPRGTPDGVPEGNISLMDTGTVYQATADGSCNFGEVFTTDGRIQSLNLVILEDDQHFFPAYNAAPVFNTEFLNKHPELAERFAQVTPLLDDDTMRSLNLKVDVEGADPGQVAYDWMVEKGFIGK</t>
  </si>
  <si>
    <t>-MKLTKILSILVIGCTLALAGCGLRPSASVIPNLHPAAIQPVPGAEGKRVVITSKAFTEQLIMGKIAVYIADAAGFRATDMTGVPGSQPARKLLESGQAQILYEYTGTAWLTYLGHETGIPDQKKQWQAVYEADLANGLTWSNPTPLNNTYAFAVRREYAEQHHLTKLSDIASLPVSERTMCVDAEFNSRLDGLNPMLEKYGIPRGTPEGIPEKNISLMDTGTIYQATDTGACNLGEVFTTDGRIQSLDLVVLAD</t>
  </si>
  <si>
    <t>-MKLTKILSILVIGCTLALAGCGLRPSASVIPNLHPAAIQPVPGAEGKRVVITSKAFTEQLIMGKIAVYIADAAGFRATDMTGVPGSQPARKLLESGQAQILYEYTGTAWLTYLGHETGIPDQKKQWQAVYEADLANGLTWSNPTPLNNTYAFAVRREYAEQHHLTKLSDIASLPVSERTMCVDAEFNSRLDGLNPMLEKYGIPRGTPEGIPEKNISLMDTGTIYQATDTGACNLGEVFTTDGRIQSLDLVVLED</t>
  </si>
  <si>
    <t>GC_00001121</t>
  </si>
  <si>
    <t>PF13671.12</t>
  </si>
  <si>
    <t>COG0645</t>
  </si>
  <si>
    <t>Predicted kinase, contains AAA domain (PDB:2RHM)</t>
  </si>
  <si>
    <t>MNRLIVFAGLPGVGKTHLARQLAATLHAVYLRIDALESPFTPFG---DLRDFGYRSASNVARENLLLGHDVIIDAVNPLHCTRALFVDLAAEMDIHLIQFECVLRDVDLHRRRVSQRHRSDPTTPNWDDVMRCACELYQQWDEDSDGKRVVVDTAL----G</t>
  </si>
  <si>
    <t>MNRLIVFAGLPGVGKTHLARQLAATLHAVYLRIDALESPFTPFG---DLRDFGYRSASNVARENLLLGHDVIIDAVNPLHCTRALFVDLAAEMDIRLIQFECVLRDVDLHRRRVSQRHRSDPTTPNWDDVMRCACELYQQWDEDSDGKRVVVDTALDWLRG</t>
  </si>
  <si>
    <t>MSRLIVFAGLPGVGKTTQARPLADALRAVYLRLDTLEAPFIRMANNNDLKDYGYQAIAHLAGDNLELGRTVIIDAVNPMHHTRAIFRDLAEQHRARLIQFECVLPDEVEHRRRVEKR-----GTLNWDEVLAITA-YYERWDEHLDGRRNIIVT------G</t>
  </si>
  <si>
    <t>MSRLIVFAGLPGVGKTTQARSLADALRAVYLRLDTLEAPFIRMADNNDLKDYGYQAIAHLAGDNLELGRTVIIDAVNPMHHTRAIFRDLAEKHRARLIQFECVLPDEVEHRRRVEKR-----GTLNWDEVLAITA-YYERWDEHLDGRRNIIVT------G</t>
  </si>
  <si>
    <t>GC_00001122</t>
  </si>
  <si>
    <t>PF13561.12</t>
  </si>
  <si>
    <t>Enoyl-(Acyl carrier protein) reductase</t>
  </si>
  <si>
    <t>COG1028</t>
  </si>
  <si>
    <t>NAD(P)-dependent dehydrogenase, short-chain alcohol dehydrogenase family (FabG) (PDB:6L1H)</t>
  </si>
  <si>
    <t>MDLGLNGRTAVVTGGSKGLGFATVQALIDAGARVAFCARNAAEIKEAEEAL----GSGARGYVVDVTDAEQVEHFISEAAADFGGIDVLVNNAGGAHPGTGETITDDAFQADFNIKVLSWQRTIKAALPHLRKSDQARVINIGSVYAHSPSPAFFSTSVHRAAGVNLTKAWAVELAPDNILVNGVNIGVIETPQWANIRDKRAPGATMEEFFQATVDADIPLGRIGQPQELADVVAFLASARSSYVTGTIIDVAGGMGV-</t>
  </si>
  <si>
    <t>MDLGLNGRTAVVTGGSKGLGFATVQALIDAGARVAFCARNAAEIKEAEEAL----GGGTRGYVVDVTDAEQVEHFISEAAADFGGIDVLVNNAGGAHPGTGETITDDAFQADFNIKVLSWQRTIKAALPHLRKSDQARVINIGSVYAHSPSPAFFSTSVHRAAGVNLTKAWAVELAPDNILVNGVNIGVIETPQWANIRDKRAPGATMEEFFQATVDADIPLGRIGQPQELADVVAFLASARSSYVTGTIIDVAGGMGV-</t>
  </si>
  <si>
    <t>MDLGLTHRRAIVTGGSKGLGLATVTSLIDAGANVAFCARKTDEVTAVESELNARGAGTAHGFVADVTDAEQVERFITDAATALGGVDILVNNAGGAHPGTGESITDEAFQADFNIKVLSWQRTIRAALPYLRQSDQARIITIGSVYAHSPSPAFFSTSVHRAAGVNLTKAWAVELAPAGILVNGVNIGVIETPQWANIRDKRAPGATLAEFFQDTVDADIPLGRIGQPQELADVVTFLASARSSYVTGTIIDVAGGMGIS</t>
  </si>
  <si>
    <t>MDLGLTNRRAIVTGGSKGLGLATVTSLIDAGANVAFCARKADEVAAVESELNARGAGTAHGFVADVTDAEQVEQFIKDAATALGGVDILVNNAGGAHPGTGESITDEAFQADFNIKVLSWQRTIRAALPYLKQSDQARIITIGSVYAHSPSPAFFSTSVHRAAGVNLTKAWAVELAPAGILVNGVNIGVIETPQWANIRDKRAPGATLAEFFQDTVDADIPLGRIGQPQELADVVTFLASARSSYVTGTIIDVAGGMGIS</t>
  </si>
  <si>
    <t>GC_00001123</t>
  </si>
  <si>
    <t>PF02913.24</t>
  </si>
  <si>
    <t>FAD linked oxidases, C-terminal domain</t>
  </si>
  <si>
    <t>K18930</t>
  </si>
  <si>
    <t>D-lactate dehydrogenase</t>
  </si>
  <si>
    <t>COG0247|COG0277</t>
  </si>
  <si>
    <t>Fe-S cluster-containing oxidoreductase, includes glycolate oxidase subunit GlcF (GlpC)|FAD/FMN-containing lactate dehydrogenase/glycolate oxidase (GlcD) (PDB:1AHU)</t>
  </si>
  <si>
    <t>KEGG Orthology (KO)&gt;&gt;&gt;09100 Metabolism&gt;&gt;&gt;09101 Carbohydrate metabolism&gt;&gt;&gt;00620 Pyruvate metabolism [PATH:ko00620]</t>
  </si>
  <si>
    <t>----MSVTTSRSILSEGNAAALAALRAALGGDSSVSTRELDRMALAVDASHYLHAPDAVMRAKSPTDVGVAMRVAAEMGWPLTFRGGGTSLSGQALSEGLTVDVRRHFRGMEILDGGLRVRVQPGLTIAQVNGALARHGRKLGPDPASSIACTIGGMIANNSSGMTCGTTANAYRTIDSMTIALPSGTVVDTASPQADDILRTHEPALVEVLERLRDTLRGDKYRADIERRYAIKNTMGYGINSFLDFDTPAKIL</t>
  </si>
  <si>
    <t>----MSVTTSRSILSEGNAAALAALRTALGGDSSVSTRELDRMALAVDASHYLHTPDAVMRAKSPTDVGVAMRVAAEMGWPLTFRGGGTSLSGQALSEGLTVDVRRHFRGMEILDGGLRVRVQPGLTIAQVNGALARHGRKLGPDPASSIACTIGGMIANNSSGMTCGTTANAYRTIDSMTIALPSGTVVDTASPQADDILRTHEPALVEVLERLRDTLRGDKYRADIERRYAIKNTMGYGINSFLDFDTPAKIL</t>
  </si>
  <si>
    <t>MSVSATVTTSRSLLSEGNAAALAALRDALGSGATVSDRELDRMALAVDASHYLHAPDAVMRARSAADVGIAMRVAAQMNWPLTFRGGGTSLCGQALSEGLTVDARRHFRNMEVLDDGRRVRVQPGLTVTQVNTALARYGTKLGPDPASSIACTIGGMIANNSSGMTCGTTANAYRTLESMTIALPSGTVVNTADPNADDILRSHEPELVGVLERLRDTLRGDKYRADIERRYAIKNTMGYGINSFLDYDTPAKILEHLMIGSEGTLGFVAEAIFRTVPVPKRTATGLLMFDSLDAATEALPQIVYSGAEVVELIDAASIRAMGPDASSVLPKGFKVGEHASLLVEYQAMDDDGIAERIATGEKTFAQLGGLSTPPEMTGDVKRRNQMWVMRNGLYTKIMRNRPQGTMALLEDIAVPMEKLGGVCTDLQELFDKHHYDGAVIFGHAKYGNIHFLVTEDFAGEESLNRYDQFTEDMVDLVLREQGTLKAEHGTGRIMSPFVQRQYGDDLYQAMVDVKDACDPNRILNPGTIITDDPQLHLKYIKPTETVRDIIDDCVECGYCEPVCPSQHLTTTPRQRIVIQRAIAACEASGAYDLAERLKAQEVYDVVQTCAVDGMCQTACPVNINTGDLIRAKRRETQSETLDKGWKVAAEHWDMLLRSASVGMHMAHALPTAPLRGMLGIARKVTSDDIVPTLTKEMPGGGKLRTVQPAPNPDAIFLPACVGSMFKTDHACGQGVEAAVRQLATIAGLTLSTPQGVRDLCCGTPWKSKGLAQGYEVMKNKLTKWVVDNTLNGQIPLVCDNVSCTEGIIIALENAGVTGITVMDATEWVATNVAPMLPPVIRARKAAVHPTCSSTHLGVNDALMMLAGLVAEECVVPNGWRCCGFAGDRGMLHEELTATATHDEARSVRNDDFDLFLSCNRTCEIGMTRATGKKYVHVLEELAARVAE-----</t>
  </si>
  <si>
    <t>MSVSATVTTSRSLLSEGNAAALAALRDALGSGATVSDRELDRMALAVDASHYLHAPDAVMRARSAADVGIAMRVAAQMNWPLTFRGGGTSLCGQALSEGLTVDARRHFRNMEVLDDGRRVRVQPGLTVTQVNAALARYGTKLGPDPASSIACTIGGMIANNSSGMTCGTTANAYRTLESMTIALPSGTVVNTADPNADDILRSHEPELVGVLERLRDTLRGDKYRADIERRYAIKNTMGYGINSFLDYDTPAKILEHLMIGSEGTLGFVAEAIFRTVPVPKRTATGLLMFDSLDAATEALPQIVYSGAEVVELIDAASIRAMGPDASSVLPKGFKVGEHASLLVEYQAMDDDGIAERIATGEKTFAQLGGLSTPPEMTGDVKRRNQMWVMRNGLYTKIMRNRPQGTMALLEDIAVPMEKLGGVCTDLQELFDKHHYDGAVIFGHAKYGNIHFLVTEDFAGEESLNRYDQFTEDMVDLVLREQGTLKAEHGTGRIMSPFVQRQYGDDLYQAMVDVKDACDPNRILNPGTIITDDPQLHLKYIKPTETVRDIIDDCVECGYCEPVCPSQHLTTTPRQRIVIQRAIAACEASGAYDLAERLKAQEVYDVVQTCAVDGMCQTACPVNINTGDLIRAKRRETQSETLDKGWKVAAEHWDMLLRSASVGMHMAHALPTAPLRGMLGIARKVTSDDIVPTLTKEMPGGGKLRTVQPAPNPDAIFLPACVGSMFKTDHACGQGVEAAVRQLAAVAGRTLSTPQGVRDLCCGTPWKSKGLAQGYEVMKNKLTKWVVDNTLNGQIPLVCDNVSCTEGIIIALENAGVTGITVMDATEWVATNVAPMLPPVIRARKAAVHPTCSSTHLGVNDALMMLAGLVAEECVVPDGWRCCGFAGDRGMLHEELTATATHDEARSVRNDDFDLFLSCNRTCEIGMTRATGKKYVHVLEELAARVAE-----</t>
  </si>
  <si>
    <t>GC_00001124</t>
  </si>
  <si>
    <t>PF14821.11</t>
  </si>
  <si>
    <t>Threonine synthase N terminus</t>
  </si>
  <si>
    <t>K01733</t>
  </si>
  <si>
    <t>threonine synthase [EC:4.2.3.1]</t>
  </si>
  <si>
    <t>COG0498</t>
  </si>
  <si>
    <t>Threonine synthase (ThrC) (PDB:1VB3)</t>
  </si>
  <si>
    <t>KEGG Orthology (KO)&gt;&gt;&gt;09100 Metabolism&gt;&gt;&gt;09105 Amino acid metabolism&gt;&gt;&gt;00260 Glycine, serine and threonine metabolism [PATH:ko00260]|KEGG Orthology (KO)&gt;&gt;&gt;09100 Metabolism&gt;&gt;&gt;09108 Metabolism of cofactors and vitamins&gt;&gt;&gt;00750 Vitamin B6 metabolism [PATH:ko00750]|Enzymes&gt;&gt;&gt;4. Lyases&gt;&gt;&gt;4.2  Carbon-oxygen lyases&gt;&gt;&gt;4.2.3  Acting on phosphates&gt;&gt;&gt;4.2.3.1  threonine synthase</t>
  </si>
  <si>
    <t>----MDYISTRDPQRTPATFTDILLGGLAPDGGLYLPADYPQISDDTLTTWRETLAAKGYAALAAEVIKLFVSDIPAEDVEAICARAYTTPTFSTPDIVPVTELDDNLFIGHLSEGPTAAFKDMAMQLLGEFFEYELTRRGETLNILGATSGDTGSAAEYAMRGRPGISVFMLTPAGRMTPFQQAQMFGLDDPNIHNVALDGVFDDCQDIVKAVSNDAEFKQRYRIGAVNSINWARLMAQIVYYISCWIRITDNN</t>
  </si>
  <si>
    <t>----MDYISTRDPQRTPATFTDILLGGLAPDGGLYLPADYPQVSDDTLTTWRETLATKGYAALAAEVIKLFVSDIPAEDVEAICARAYTTPTFSTPDIVPVTELDDSLFIGHLSEGPTAAFKDMAMQLLGEFFEYELTRRSETLNILGATSGDTGSAAEYAMRGRPGISVFMLTPAGRMTPFQQAQMFGLDDPNIHNVALDGVFDDCQDIVKAVSNDAEFKQRYRIGAVNSINWARLMAQIVYYISCWIRITDNN</t>
  </si>
  <si>
    <t>MVDSMRYISTRDESRTEIPFSDILLGGLAPDGGLYLPAEYPQVTGDMLDRWRKLLNTQGYPALAAEVLQLFIDDIPADDLTDIAYRAYTFPKFAHAEIVPVTKLEDGMYIGHLSEGPTAAFKDIAMQLLGEFFEYELRRRGETLTIVGATSGDTGSAAEYAMSGRDGIKVFMLTPAGRMTPFQQAQMFGLNDPNIFNIALEGVFDDCQDVVKAVSADADFKRAHRIGAVNSINWARLVAQVVYYISCYLHVATSNEQKVSFSVPTGNFGDICAGHIAKQMGVPIDKLIVATNENDVLDEFFRTGVYRVRSSADTFETSSPSMDISRASNFERFIYDLLGRDAVRVANLFGTQVPQGGFTLADDPAFSKVGTQYGFLSGSSTHADRVDTIRDCYERLGVMIDPHTADGVKVARELRNQVDTPIVCLETALPVKFAHTIKEATGREPDLPDRFTTIMQAERHVTDLPNDVDVVKDFIAAND--</t>
  </si>
  <si>
    <t>MVDSMRYISTRDESRTEIPFSDILLGGLAPDGGLYLPAEYPQVTGDMLDRWRKLLNTQGYPALAAEVLQLFIDDIPADDLTDIAYRAYTFPKFAHAEIVPVTKLEDGMYIGHLSEGPTAAFKDIAMQLLGEFFEYELRRRGETLTIVGATSGDTGSAAEYAMSGRDGIKVFMLTPAGRMTPFQQAQMFGLNDPNIFNIALEGVFDDCQDVVKAVSADADFKRAHRIGAVNSINWARLVAQVVYYISCYLHVATSNEQKVSFSVPTGNFGDICAGHIAKQMGVPIDKLIVATNENDVLDEFFRTGVYRVRSSADTFETSSPSMDISRASNFERFIYDLLGRDAVRVADLFGTQVPQGGFTLADDPAFLKVGTQYGFLSGSSTHADRVATIRDCYERLGVMIDPHTADGVKVARELRNQVDTPIVCLETALPVKFAHTIKEATGREPDLPDRFTTIMQAERHVTDLPNDVDVVKDFIAAND--</t>
  </si>
  <si>
    <t>GC_00001125</t>
  </si>
  <si>
    <t>MLINSLDDARRA--VAASASLNLCMADLDNWGFESPTQFLVVAIPAQAEPELNSLVNKSDGEVYGAFIANYEVFDQFGRDGVRVVESAPGRGQKAFLYEWSRTMLETLPPYPEED</t>
  </si>
  <si>
    <t>MLIDSLNDARKVKAMVAAENLRLYMAQLDKWGF----------------------------------------LNEFG-------------------------------------</t>
  </si>
  <si>
    <t>MLINSLDDARRA--VAASESLNLCMADLDKWGFESPTQFLVVAIPAQAEPELNSLVDKSDGEVYGAFIANYEVFNQFGRDGMRVVESAPGRGQKAFLYEWSRTMLETLSPYPEED</t>
  </si>
  <si>
    <t>MLINSLDDARRV--VAASESLNLCMAKLNKWGFESSTQFYVVAIPGQANPKSTNIVNKSDGKIYASPVADYKMFD----------------------------------------</t>
  </si>
  <si>
    <t>GC_00001126</t>
  </si>
  <si>
    <t>K05275</t>
  </si>
  <si>
    <t>pyridoxine 4-dehydrogenase [EC:1.1.1.65]</t>
  </si>
  <si>
    <t>COG0667</t>
  </si>
  <si>
    <t>Pyridoxal reductase PdxI or related oxidoreductase, aldo/keto reductase family (PdxI) (PDB:1LQA) (PUBMED:32253339)</t>
  </si>
  <si>
    <t>KEGG Orthology (KO)&gt;&gt;&gt;09100 Metabolism&gt;&gt;&gt;09108 Metabolism of cofactors and vitamins&gt;&gt;&gt;00750 Vitamin B6 metabolism [PATH:ko00750]|Enzymes&gt;&gt;&gt;1. Oxidoreductases&gt;&gt;&gt;1.1  Acting on the CH-OH group of donors&gt;&gt;&gt;1.1.1  With NAD+ or NADP+ as acceptor&gt;&gt;&gt;1.1.1.65  pyridoxine 4-dehydrogenase</t>
  </si>
  <si>
    <t>MTIPTIHLGDGLEVSQLGFGGMALSHVYGDVNEEQAERTLHAAIDCGITFIDTANVYGKPRPGTVGPAGTNEELVGRVLAS---RRDEVQLATKFGITGLSNNPETRVRGDREYVRQCCEESLRRLGVDTIDLYYMHRPDLSRPIEETVQAMAELVREGKVRHLGLSEVTAPELRAAMTVHPIAAVQSEWSVWSRDVENHVVPAASELGVGFVPYSPLGRGFLTGTLTKEKIQASILADQPRYDQNFDANQVVVAELRAVATNYVVNGHTATPAQVALAWLRKQGEHYGLPVVPIPGTSKIERVQENAGSLAVDLTDEEMQRLDEVSKNVQGERNFTFTGPNWLSHHRE</t>
  </si>
  <si>
    <t>MTIPTIHLGDGLEVSQLGFGGMALSHVYGDVNEEQAERTLHAAIDCGITFIDTANVYGKPRPGTVGPAGTNEELVGRVLAS---RRDEVQLATKFGITGLSNNPETRVRGDREYVRQCCEESLRRLGVDTIDLYYMHRPDLSRPIEETVQAMAELVQEGKVRHLGLSEVTAPELRAAMTVHPIAAVQSEWSVWSRDVENHVVPAASELGVGFVPYSPLGRGFLTGTLTKEKIQASILADQPRYDQNFDANQVVVAELRAVATNHVVDGHTAAPAQVALAWLRKQGEHYGLPVVPIPGTSKIERVQENAGSLAVDLTDEEMQRLDEVSKNVQGERNFTFTGPNWLSHHRE</t>
  </si>
  <si>
    <t>-MIPTITLGDNLTVSKLGFGGMAVTDTYGSTPDEVAKQAIHTALDAGITFIDTADVYGEPRPNTTGPAGTNEELIGEVLATTGLKRDEIQLATKFGIVGFDLENGMSVRGDREYVREACHNSLRRLGVDHIDLYYMHRRELTRPIEETVTAMAELVAEGKVRHIGLSEVTADELRAAHRIHPITAVQSEWSIWSRDVEHHVVPAASELGVGFVPYSPLGRGFLTGTLQKDRVQSSILAAQPRYDQHYDDNQAIVA</t>
  </si>
  <si>
    <t>-MIPTITLGDNLTVSKLGFGGMAVTDAYGSTPDEVAKQAIHTALDAGITFIDTADVYGEPRPNTTGPAGTNEELIGEVLATTGLKRDEIQLATKFGIVGFDLENGMSVRGDREYVREACHNSLRRLGVDHIDLYYMHRRELTRPIEETVTAMAELVAEGKVRHIGLSEVTADELRAAHRIHPITAVQSEWSIWSRDVEHHVVPAASELGVGFVPYSPLGRGFLTGTLQKDRVQSSILAAQPRYDQHYDDNQAIVA</t>
  </si>
  <si>
    <t>GC_00001127</t>
  </si>
  <si>
    <t>K14698</t>
  </si>
  <si>
    <t>ATP-binding cassette, subfamily B, bacterial IrtA/YbtP [EC:7.-.-.-]</t>
  </si>
  <si>
    <t>----------MTSNTSKPMTEREAGRVALKELLKPISVRLLVARILAALGGVLAIAPYIALVKLGAVFYEAYSTGTEVDTVRVTTIVNILIGTFGARLACIGIALGVTHFADAKFAALVRERTIARVASAPLGWFTSTNAGKVRKALQDDISMVHALVAHQPVDVTQAMVTPVALAVYAFVIDWRLGLLTIATLPIYGLIMAIMMRGMGDKTVQVDNKLAQVSATMVEFVTGITVVKAFGTVGRAHKRYQDAADE</t>
  </si>
  <si>
    <t>----------MTSNTSKPMTEREAGRVALKELLKPISVRLLVGRTLAALGGVLAIAPYIALVKLGAVFYQAYSTGTEVDTVRVTTIVNILIGTFGARLACIGIALGVTHFADAKFAALVRERTIARVASAPLGWFTSTNAGKMRKALQDDISMVHALVAHQPVDVTQAMVTPVALAVYAFVIDWRLGLLTIATLPIYGLIMAIMMRGMGDKTVQVDNKLAQVSATMVEFVTGITVVKAFGTVGRAHKRYQDAADE</t>
  </si>
  <si>
    <t>MSDSLTTETATTQVAPDYVNEREEGRKALKELLKPVQGSLMIGRILAGLSGVLAIAPYIALVQLGGLFATAYATGQPVDADRAMLIVQILISTFCLRIFLLFIALGVTHFADARFVSYVRARTIERVGNAPLGWFTSTNSGRIRKALHDDVAQIHTMVAHQPVEMTQAMIMPVALLIYAFYVDWRLGLLSIATIPLYGLFMAWMMSNMGPKTVEMDAKLARVSATMVELVTGITVVKAFGKVGQAHGNYQQAADEFAVFYNDWTGSMIKGSALANVSISVPVLLLVNVGGGSLMVNAGWVSATDVLSTTLIALALPYGIELLGNSTWAYQIAGAAALRVTTTLKTPVLEQKTKAEQDIH-------------GSQVVFDKVSFAYDDTQALRNVSLTLSEGTVTALVGPSGSGKSTLATLLARFNDPDSGSITLGGVDLRNIPTGQLYQNIGFVLQDPQLLRMSIRDNIALGRPDATDAEVRAAAVAACIADRIDALPDGFDTMFGSGINLSGGEQQRVAIARALLVDAPVLILDEATAFTDPESEAEIQKALTTLVRGRTVLVIAHRPESILGVDQIAVLDHGNLVACGAPNDVIDHPLFTGLARISSGHNTEELS</t>
  </si>
  <si>
    <t>MSDSLTTETAATQAAPDYVNEREEGRKALKELLKPVQGSLMIGRILAGLSGVLAIAPYIALVQLGGLFATAYATGQPVDADRAMLIVQILISTFCLRILLLFIALGVTHFADARFVSYVRARTIERVGNAPLGWFTSTNSGRIRKALHDDVAQIHTMVAHQPVEMTQAMIMPVTLLIYAFYVDWRLGLLSIATLPLYGLFMAWMMSNMGPKTVEMDAKLARVSATMVELVTGITVVKAFGKVGQAHGNYQQAADEFAVFYNDWTGSMIKGSALANVSISVPVLLLVNVGGGSLMVNAGWVSATDVLSTTLIALALPYGIELLGNSTWAYQIAGAAALRVTTTLKTPVLEQKTEAEQDIH-------------GSQVVFDKVSFAYDDTQALRNVSLTLSEGTVTALVGPSGSGKSTLATLLARFNDPDSGSITLGGVDLRNIPTGQLYRNIGFVLQDPQLLRMSIRDNIALGRPDATNAEVRAAAVAACIADRIDALPDGFDTMFGSGINLSGGEQQRVAIARALLVDAPVLILDEATAFTDPESEAEIQKALTTLVRGRTVLVIAHRPESILGVDQIAVLDHGNLVACGAPNDVIDHPLFTGLARISSGHNTEELS</t>
  </si>
  <si>
    <t>GC_00001128</t>
  </si>
  <si>
    <t>PF13460.12</t>
  </si>
  <si>
    <t xml:space="preserve">NAD(P)H-binding </t>
  </si>
  <si>
    <t>COG0702</t>
  </si>
  <si>
    <t>Uncharacterized conserved protein YbjT, contains NAD(P)-binding and DUF2867 domains (YbjT) (PDB:5L3Z)</t>
  </si>
  <si>
    <t>MPTTLVAGATGYLGRYIVAELHRRGHTVRAIVRDRGRAAVEGAYGTPSLDGLVDDWTVGNVTDATFTQDVAAGVDHVVSALGVTRQKADPWSIDNRANQSILASALRHGASSFTYINALGAETCPAELTRAKTAFAWALESADIRSTVINPSAYFSDAAELLTMAKRGLVPLFKPDIRLNPIHGADLATYTVDQLEQGNTGSFDIGGPDIFTWKELATTAFQAVGKKPRIVKVP--GWTLPPVLGFVGLFNSRLADTIRFATWSMQHDCVAPTTGNHHIADFYREYAGR</t>
  </si>
  <si>
    <t>MPTTLVAGATGYLGRYIVAELHRRGHTVRAIVRDRGRAAVEGAYGAPSLDGLVDDWAVGNVTDATFTQDVAAGVDHAVSALGVTRQKADPWSIDNRANQSILASALRHGASSFTYINALGAETCPAELTHAKTAFARALESADIASIIINPSAYFPDAAELLTMAKRGLVPLFEPDIRLNPIHGADLAAYTVDQLEQATVGSFDIGGPDILTWKELATTAFQAVGKKPRIVKVP--GWTLPPVLGSVGLFNSRLADTIRFATWSMQHDCVAPTTGNHHIADFYREYARR</t>
  </si>
  <si>
    <t>MSTILVAGATGYLGRFIVAELHRRGYQVRALVRDLGRAESPGIYGSPSLTGLVADWRIGDVTNPHVTADLAHGVTGIISALGVTRQKADPWDIDYRANLAILDSARRHGVNNFCYVHALGAEHCPARITRAKTAFVRELQESEITAQVISPTGYFSDMAQVLNMARRGRVVLLDDAVRINPIHGLDVARACVDRHVAEVSGEWRIGGPEILTWREVAECAFRTLDRPARITVLPRVAWGL--------LVRQPWWDGVRFAAWSMTHDSVGESIGRQRLLDFYNVILA-</t>
  </si>
  <si>
    <t>MSTILVAGATGYLGRFIVAELHRRGYQVRALVRDLGRAESPGIYGSPGLTGLVADWCIGDVTNPRVTADLAHGVTGVISALGVTRQKADLWDIDYRANLAILDSARRHGVNNFCYVHALGAEHCPARITRAKTAFVRELQASQVTAQVISPTGYFSDMAQVLDMARRGRVVLLDDAVRINPIHGLDVAGACVDRHVAGVSGEWRIGGPEVLTWREVAECAFRILDRPARITVLPRVARGL--------LVRQPWWDGVRFAAWSMTHDSVGESIGRQRLLDFYNVILA-</t>
  </si>
  <si>
    <t>GC_00001129</t>
  </si>
  <si>
    <t>MTIRVALIEDHPTTILGVKSMLENAKDIEFVKGFPTVTAFFDYVRFVRTGIALHPVDVVLLDLRLADLSMPYDNAKALIDQKLKVLVYSSLESPYLIRDVLRAGVHGVFEKNRSTEELLDAIRIVSAGNTHATTEWASIIDSNYQALGVDLSPRQQEVLELIASGETDRAIAEMLNIRQSTVNDYVNRIRTKFAQAGCETEGRGELIKQGMYSGILPGPSDPRN</t>
  </si>
  <si>
    <t>------MIDDHPSTILGVKTAVNQTNDMEFYNGYATLPEFYENVYGPSRKAVIYPVDVVLLDLRLADSSNPYDNTIALIKLGFKVLIYSSLESPFRFRSVLGAGAHGLFEKSRSMEELLSAIRLVAAGNTFSDAEWASIIDSNYKLLNVKLSDQQKTVLELMAAGETDKMIAKKMGISPNTVRDYINRIRDSFAKAGSTPEGRVLLVREGIKSGILRCPTDP--</t>
  </si>
  <si>
    <t>MTIRVALIEDHPTTILGVKSMLENAKDIEFVKGFPTVTAFFDYVRFVRTGIALHPVDVVLLDLRLADLSMPYDNAKALIDQKLKVLVYSSLESPYLIRDVLRAGVHGVFEKNRSAEELLDAIRIVSAGNTHATTEWASIIDSNYQALGVDLSPRQQEVLELIASGETDRAIAEMLNIRQSTVNDYVNRIRTKFAQAGCETEGRGELIKQGMYSGILPGPSDPRN</t>
  </si>
  <si>
    <t>------MIDDHPSTILGVKTAVNQANDMEFYNGYATLPEFYENVYGPSRKAVIYPVDVVLLDLRLADSSNPYDNTIALIKLGFKVLIYSSLESPFRFRSVLGAGAHGLFEKSRSMEELLSAIRLVAAGNTFSDAEWASIIDSNYKLLNVKLSDQQKTVLELMAAGETDKMIAKKMGISPNTVRDYINRIRDSFAKAGSTPEGRVLLVREGIKSGILRCPTDP--</t>
  </si>
  <si>
    <t>GC_00001130</t>
  </si>
  <si>
    <t>PF07883.17</t>
  </si>
  <si>
    <t>Cupin domain</t>
  </si>
  <si>
    <t>COG1917</t>
  </si>
  <si>
    <t>Cupin domain protein related to quercetin dioxygenase (QdoI) (PDB:2H0V)</t>
  </si>
  <si>
    <t>MTNIPVNSPETFGDAEQSGTA--ATIDLVAQAPEPQPGKQRPAVKRVLQGNRANLILFTFLPGQVLPDHEAAHPIFVQAITGRVTFTVGNEVTTLTPGTIMHVDQHVRHRVDCPEDADPAGSVFLLTMLTGEDR</t>
  </si>
  <si>
    <t>MTNIPVNSPETFGDAEQSGTA--ATIDLVAQAPEPQPGKQRPAVKRVLQGNRANLILFTFLPGQVLPDHEAAHPIFVQAITGRVTFTVGDEVTTLTPGTIMHVDQHVRHRVDCPEDADPAGSVFLLTMLTGEDR</t>
  </si>
  <si>
    <t>GC_00001131</t>
  </si>
  <si>
    <t>PF05145.17</t>
  </si>
  <si>
    <t>Transition state regulatory protein AbrB</t>
  </si>
  <si>
    <t>K07120</t>
  </si>
  <si>
    <t>COG3180</t>
  </si>
  <si>
    <t>Uncharacterized membrane protein AbrB, regulator of aidB expression (AbrB)</t>
  </si>
  <si>
    <t>---MPQLRTYDKRWLAVLPLSIVVGLLFDKWNVPAAWILAAILCAGGCALLTRRELMVRSEATMFAKALIAMVAAVPLTTTPPQQLVHFIFPGLMVAAVTLAMSCAGGLILARTRRGDISPETGILSLLAGGASIMPVLAQELGADYRYVALSQYLRLLAVSFTLPLLTPFLGLYSQGTAAQSDPGTFTWTSWLVMILIIVLGEPLGKLLRLPAAGFLAPLFLTVTALFLRPEGTSLLPPDAVRVAAFLAIGWMA</t>
  </si>
  <si>
    <t>---MPQLRTYDKRWLAVLPLSIVVGLLFDKWNVPAAWILAAILCAGGCALLTRRELMVRSEATMFAKALIAMVAAVPLTTTPPQQLVHFIFPGLMVAAVTLAMSCAGGLILARTRRGDISPETGILSLLAGGASIMPVLAQELGADYRYVALSQYLRLLAVSFTLPLLTPFLGLYSQGTAAQSDPGTFTWTSWLVMILIIVFGEPIGKLLRLPAAGFLAPLFLTVTALFLLPEGTSLLPPDAVRVAAFLAIGWMA</t>
  </si>
  <si>
    <t>MKQIPELPVFDKRWLAVAPLSIAVGFIFYRWNVPAAWILAAILCAGGCALLTGRELAVHSEVEVFAKALIAMITAVPLITTPPQQLALFILPGLMVAAVTLVMSFVGGFVLARASSGEITQETAILSLLAGGASIMPPLAQELGADYRYVALSQYLRLFTVTITLPLITPLLGLHSQGAVATQPHGAFTWMSWVVMIFIVVFGERVGKLLHFPAAGLSTPLVLTVVAYFLLPAGTSLLPPDAVLVAAFAVIGWMAGGGLSTSALTSFARQLPITIAFIATLLAGCAAMAWLLHGWLDVSYLDAYLATTPGGLEAVLALSNEANSGPVVASVQIIRLLPILIIAGWLPQLIRLFV----RKK</t>
  </si>
  <si>
    <t>MKQIPELPVFDKRWLAVAPLSIAVGFIFYRWNVPAAWILAAILCAGGCALLTGRELAVHSEVEGFAKALIAMITAVPLITTPPQQLALFILPGLMVAAVTLVMSFVGGFVLARASSGEITQETAILSLLAGGASIMPPLAQELGADYRYVALSQYLRLFTVTITLPLITPLLGLHSQGAVATQPHGAFTWMSWVVMIFIVVFGERVGKLLHFPAAGLSTPLVLTVVAYFLLPAGTSLLPPDAVLVAAFAVIGWMAGGGLSTSALTSFARQLPITIAFIATLLAGCAAMAWLLHGWLDVSYLDAYLATTPGGLEAVLALSNEANSGPVVASVQIIRLLPILIIAGWLPQLIRLFV----RKK</t>
  </si>
  <si>
    <t>GC_00001132</t>
  </si>
  <si>
    <t>MNPATQLLDATLVIGGAPILWREIIGNVFGLASAYGGMKRVVWAWPIGIVGNLLLLTVFLGGVFNTPQNLDLYGQAGRQVMFMIVSAYGWYQWSAARRRGLRECQDTDPSRSIVSTPAEDSVAVQPRWARPRERVGMVTFLIVGTLVFAGVFTALGSWGPWADAWIFTGSILATYGMARGWTEFWLVWIGVDIVGVPLLLAGGFYPSAVLYIVYAFFVLWGFGVWLRVQRRGAGVAVASA-----------RT</t>
  </si>
  <si>
    <t>MNPATQLLDATLVIGGAPILWREIIGNVFGLASAYGGMKRVVWAWPIGIVGNLLLLTVFLGGVFNTPQNLDLYGQAGRQVMFMIVSAYGWYQWSAARRRGLRECQDTDPSRSIVSTPAEDSVAVQPRWARPRERVGMVTFLIVGTLVFAGVFTALGSWGPWADAWIFTGSILATYGMARGWTEFWLIWIGVDIVGVPLLLAGGFYPSAVLYIVYAFFVLWGFGVWLRVQRRGAGVAVASA-----------RT</t>
  </si>
  <si>
    <t>MDLLTQLLNATLTIGGASILWREIIGNAFGLASAFGGMRRMVWAWPIGIVGNALLFTVFLGGVFHTPQNLDLYGQAGRQVMFMIVSFYGWWNWSQARKAGLRESHETDPSRSIVSEPAEDVKAVQPHWASTRERVGMVAFAIISTLVCAWIFTQLGSWGPLADAWIFTGSMLATYGMARGWTEFWLVWIGVDIVGVPLLLTAGYYPSAVLYLVYGAFVLWGFFVWLKVQRTKATAADAPADAEASAEPQPVRH</t>
  </si>
  <si>
    <t>MDLLTQLLNATLTIGGASILWREIIGNAFGLASAFGGMRRMVWAWPIGIVGNALLFTVFLGGVFHTPQNLDLYGQAGRQVMFMIVSFYGWWNWSQARKAGLRESHETDPSRSIVSEPAEDVKAVQPHWASTRERVSMVAFAVISTLVCAWIFTQLGSWGPLADAWIFTGSMLATYGMARGWTEFWLVWIGVDIVGVPLLLTAGYYPSAVLYLVYGAFVLWGFFVWLKVQRTEAAAADAPADVEVNAEPQPVRH</t>
  </si>
  <si>
    <t>GC_00001133</t>
  </si>
  <si>
    <t>PF12671.13</t>
  </si>
  <si>
    <t>Putative amidase domain</t>
  </si>
  <si>
    <t>COG5890</t>
  </si>
  <si>
    <t>Uncharacterized sporulation proteins YjcM and YhbB, contain C-terminal amidase domain (YhbB)</t>
  </si>
  <si>
    <t>------------------------------------------MVTKVVTAYQDLLDSHWTDSNCSLSSCVNASSSVFASSGDKKSQRGSSFGGSSKDNRDERKNSGENPKFTQAEATILRVRDDMKEFGLPIVSAKSTISVTDAKMNADGKVTVSADIGTTKTYQGSDD-PSYMSDIHTLTLSLNKENVFAVIEDVVAPMPQEEI-LADKPENVDFNDVPVDRILGVESAGNNQLAVNPVGANGDTAKFSLLPSH</t>
  </si>
  <si>
    <t>MGVSYEGETSFVAWGGTLILAAGLALGSAPVVSAAGAEVDLDVVTKVVTAYQDLLDSHWTDSNCSLSSCVNASSSVFASSGDKKSQRGSSFGGSSKKGRDERKNSGENPKFTKAEATILRVRDAMKDFGLPIKTAKSTISVKDAKMNADGKVTVSVAVGTTKTYESDNDEPSYMVDTHTLTLSPNPENLFAVVEDTIDPEPQEESHPESIPSDAEFKSLSSDQILGSESTGTNRPVKNSVDAD-----FALLPVHKDKEVATMQQVSLPWDAQQKKPDVQKMVAYALHWTS---PKVNPNPDVDVMNPAYPILENNCTNFASQALRAGGWEFMEA----PVNVARDPNIWTPHMKD--IDGQVKHSHTWGAAANLYVYAKQHSPYRDLAQK-EFAVKGDLIFVDWDSREGKKADGELDHTMIVTGT--------DSP-KNRFTTPRISQKTSNRNNITLYESQKFAREAGVNLEKARWYAITTR--</t>
  </si>
  <si>
    <t>GC_00001134</t>
  </si>
  <si>
    <t>MKVRAGWQKHGSWYWVRPG-FR--------PTAINK--AENREIFYNQIVIRLMKTMLRFQGIQMSVAGSENLPDTGGALLALNHTGYFDFIFGGTAANLHGRRLVRFMAKKEVFDVPVVGALMRKMKHIPVDRSAGAGTSALDAAVTSLRAGNLVGIFPEATISRSFEIKDIKTGAARIAKEAGVPLIPVVLWGSQRVWTKGHKKRLGRHHFPVWVQVGEPLALTGVVEDDTAKLRETMKIMLDRLRSEYETEYGPFPGGEYWRPAALGGGAPALE------------------</t>
  </si>
  <si>
    <t>MKVRAGWQKHGSWYWVRPG-FR--------PTALNK--AENREIFYNQIVIRLMKTMLRFQGIQMSVAGSENLPDTGGALLALNHTGYFDFIFGGTAANLHGRRLVRFMAKKEVFDVPVVGALMRKMKHIPVDRSAGAGTSALDAAVTSLRAGNLVGIFPEATISRSFEIKDIKTGAARIAKEAGVPLIPVVLWGSQRVWTKGHKKRLGRHHFPVWVQVGEPLALTGVVEDDTAKLRETMKIMLDRLRSEYETEYGPFPGGEYWRPAALGGGAPALE------------------</t>
  </si>
  <si>
    <t>GC_00001135</t>
  </si>
  <si>
    <t>------MLQANPNHSEMYAQRWRNFVAEGKDIDGEARLIDAMSPRAARILDAGCGTGRVGGYLAACGHTVVGVDLDPVLINYAKTDFPDAEWHVGDLCTGTVPGDNYDIVVSAGNVMGFLPVEGRLPALQGIADSLAPHGRAVIGFST--GRGFFFDEFFALAEQAGLKQSINFSSWECHPFTKGSDFLVAVLAKA-------</t>
  </si>
  <si>
    <t>------MLQANPNHSEMYAQRWRNFVAEGKDIDGEARLIDAMSPRAARILDAGCGTGRVGGYLAARGHTVVGVDLDPVLINYAKTDFPDAEWHVGDLCTGTVPGDNYDIVVSAGNVMGFLPVEGRLPALQGIADSLAPHGRAVIGFST--GRGFFFDEFFALAEQAGLKQSINFSSWECHPFTKGSDFLVAVLAKA-------</t>
  </si>
  <si>
    <t>K16868</t>
  </si>
  <si>
    <t>tellurite methyltransferase [EC:2.1.1.265]</t>
  </si>
  <si>
    <t>KEGG Orthology (KO)&gt;&gt;&gt;09190 Not Included in Pathway or Brite&gt;&gt;&gt;09191 Unclassified: metabolism&gt;&gt;&gt;99980 Enzymes with EC numbers|Enzymes&gt;&gt;&gt;2. Transferases&gt;&gt;&gt;2.1  Transferring one-carbon groups&gt;&gt;&gt;2.1.1  Methyltransferases&gt;&gt;&gt;2.1.1.265  tellurite methyltransferase</t>
  </si>
  <si>
    <t>MPTWNEIVKNNPAHSINYANRWQMLAEQGHDIVGEARLIDAMAQRESRILDAGCGQGRLTGFLTDRGHTVVGFDVDPVLIDIAKEANPDATFYVGDLSTDEIPESDFDLIVSAGNVMGFLAPEGRQPALDHLYRALKNGGRAVIAYGSGPGRAWSFPEFFANAETAGFVVEHKFSSWELDPYTDRSEFLVAVLRRPKPYGLGQ</t>
  </si>
  <si>
    <t>MPTWNEIVKNNPAHSINYANRWQMLAEQGHDIVGEARLIDAMAQRGSRILDAGCGQGRLTGFLTDRGHTVVGFDVDPVLIDIAKEANPDATFYVGDLSTDEIPESDFDLIVSAGNVMGFLAPEGRQPALDHLYRALKNGGRAVIAYGSGPGRAWSFPEFFANAETAGFVVEHKFSSWELDPYTDRSEFLVAVLRRPKPYGLGQ</t>
  </si>
  <si>
    <t>GC_00001136</t>
  </si>
  <si>
    <t>MCKTNRDDAAEATRTATHNVHI---SDRKVKVFASEVEESTLKQARELARMPFVWPHVALMPDAHTGLGSSVGTVFGTKRAVIPAAVGVDIGCGMIGVLTQFTKDDLQGKDLKDLRQAIEDNIPLSPGNYN-SWQLRDSANDRCRELNALAEELGVDLSHSPKWRQQLGSLGGGNHFIELCLDEQDRVWMFLHSGSRGVGNKIAKKHIKIAQRLCEQWWIPLPNKDLAYLVQGTPEFKAYLQDLKWAQRFAFLNREEMMDRFADCLEEFMGQELVELERINCHHNYTVKEKHFGHEVWLTRKGAVNAAEGRKALIPGSMGTASYVVEGKGYPGGLMSAPHGAGRRFSRTEARRRFTVDDLAARMEGIEYRPGEEFIDEIPDAYKDIDVVMRDAEPLVTVLHRLRQVMNVKGT</t>
  </si>
  <si>
    <t>MCKTNRDDAAEATRTATHNVHI---SDRKVKVFASEVEESTLKQARELARMPFVWPHVALMPDAHTGLGSSVGTVFGTKRAVIPAAVGVDIGCGMIGVLTQFTKDDLQGKDLKDLRQAIEDNIPLSPGNYN-SWQLRDSANDRCRELNALAEELGVDLSHSPKWRQQLGSLGGGNHFIELCLDEQDRVWMFLHSGSRGVGNKIAKKHIKIAQRLCEQWWIPLPNKDLAYLVQGTPEFKAYLQDLKWAQRFAFLNREEMMDRFADCLEEFMGQELVELERINCHHNYTVKEKHFGHEVWLTRKGAVNAAEGRKALIPGSMGTASYVVEGKGYPGGLMSAPHGAGRRFSRTEARRRFTVDDLAARMEGIEYRPGEEFIDEIPDAYKDIDVVMCDAEPLVTVLHRLRQVMNVKGT</t>
  </si>
  <si>
    <t>MTRKDRGNRKGRRGANYLNRHLKPHQPKDVVSFASELEESTLEQAQQLAKLPFIYPHVALMPDAHTGLGSSVGTVFGTIDAVIPAAVGVDIGCGMIAVRTQFTATDLAGKDLTQLRDAIEAAIPLSPGNYNKDWILPGSADDRCRELAKLAEETDVDLSHSPKWRQQLGSLGGGNHFIELCLDETDTVWMFLHSGSRGVGNKIAQKHIAIAKKLMAKWWIPIENNDLAYLVQGTPEFGNYIKDLHWAQRFAFLNREEMMDRFSTCLSEFMGTDVEEVERINCHHNYTQREEHAGHTVWLTRKGAVNADEGRLALIPGSMGTASYVVEGKGNAQSLHSAPHGAGRRYSRTEARRRFTVEDLASRMTGIVYRPGEAWIDEIPDAYKDIDQVMADSRDLVEIKHKLRQVMNVKGT</t>
  </si>
  <si>
    <t>MTRKDRGNRKGRRGANYLNRHLKPHQPKDVVSFASELEESTLEQAQQLAKLPFIYPHVALMPDAHTGLGSSVGTVFGTIDAVIPAAVGVDIGCGMIAVRTQFTATDLAGKDLTQLRDAIEAAIPLSPGNYNKDWILPGSADDRCRELAKLAEETDVDLSHSPKWRQQLGSLGGGNHFIELCLDETDTVWMFLHSGSRGVGNKIAQKHIAIAKKLMAKWWIPIENNDLAYLVQGTPEFGNYIKDLHWAQRFAFLNREEMMDRFSTCLSEFMGTDVEEVERINCHHNYTQREEHAGHTVWLTRKGAVNADEGRLALIPGSMGTASYVVEGKGNIQSLHSAPHGAGRRYSRTEARRRFTVEDLASRMTGIVYRPGEAWIDEIPDAYKDIDQVMADSRDLVEIKHKLRQVMNVKGT</t>
  </si>
  <si>
    <t>GC_00001137</t>
  </si>
  <si>
    <t>PF01149.29</t>
  </si>
  <si>
    <t>Formamidopyrimidine-DNA glycosylase N-terminal domain</t>
  </si>
  <si>
    <t>K10563</t>
  </si>
  <si>
    <t>formamidopyrimidine-DNA glycosylase [EC:3.2.2.23 4.2.99.18]</t>
  </si>
  <si>
    <t>ko00001|ko01000|ko01000|ko03400</t>
  </si>
  <si>
    <t>KEGG Orthology (KO)&gt;&gt;&gt;09120 Genetic Information Processing&gt;&gt;&gt;09124 Replication and repair&gt;&gt;&gt;03410 Base excision repair [PATH:ko03410]|Enzymes&gt;&gt;&gt;3. Hydrolases&gt;&gt;&gt;3.2  Glycosylases&gt;&gt;&gt;3.2.2  Hydrolysing N-glycosyl compounds&gt;&gt;&gt;3.2.2.23  DNA-formamidopyrimidine glycosylase|Enzymes&gt;&gt;&gt;4. Lyases&gt;&gt;&gt;4.2  Carbon-oxygen lyases&gt;&gt;&gt;4.2.99  Other carbon-oxygen lyases&gt;&gt;&gt;4.2.99.18  DNA-(apurinic or apyrimidinic site) lyase|DNA repair and recombination proteins&gt;&gt;&gt;Prokaryotic type&gt;&gt;&gt;SSBR (single strand breaks repair)&gt;&gt;&gt;BER (base exicision repair)&gt;&gt;&gt;DNA glycosylases</t>
  </si>
  <si>
    <t>MPELPEVEVVRRGLEQHVQGRTLVGPEVLHPRAARHNTTPRDVEKRLD--GAVVQAVERRGKFLWLVL--------------------------GDEALLVHLGMSGQMLMK----GPEEATHRHLRARVHLDDGNQLWFVDQRTFGYWSVVPLIDAPVPSAHQRIPASIAHIAPDLLDPTLDLSDLARAVKQKDTEVKRVLLDQRVVSGIGNIYADEMLWQAGLHGRQRASKIATSRLVSLLEAGQSVMEHALLQGGTSFDDLYVNVNGESGYFDVSLNAYGQQGKPCPRCGDAIVREEFMNRGSHFCPTCQKEY-</t>
  </si>
  <si>
    <t>MPELPEVEVVRRGLEQHVQGRTLVGPEVLHPRAARHNTTPRDVEKRLD--GAVVQAVERRGKFLWLVL--------------------------GDEALLVHLGMSGQMLMK----GPEEATHRHLRARVHLDDGNQLWFVDQRTFGYWSVVPLIDAPVPSAHQRIPASIAHIAPDLLDPTLDLSDLARAVKQKDTELKRVLLDQRVVSGIGNIYADEMLWQAGLHGRQRASKIATSRLVSLLEAGQSVMEHALLQGGTSFDDLYVNVNGESGYFDVSLNAYGQQGKPCPRCGDAIVREEFMNRGSHFCPTCQKEY-</t>
  </si>
  <si>
    <t>MPELPEVETIRRGLAEHVCGRTIADVAVHHPRAIRH-VLGREGEFRSEILGRTIVGLGRRGKFLWLNLADPAAAAASASSVPTSQPAPQTTPQAGDQVVVVHLGMSGQMLIKDSNANSDDPKFKHCRIQVRFDDDTQLWFVDQRTFGYWLPTQLVDAGL----GLVPETADHIARDLLDPELKLSEVAATMHSKTLAVKKLLLNQEIIAGIGNIYADEMLWFAAINPNQPANTLDPAALKNLLMAGRTVMRAAVARGGTSFDDLYVNVNGESGYFDVELHAYGQDGRPCDRCGTILVKEKFTNRSSHYCPHCQPLVP</t>
  </si>
  <si>
    <t>MPELPEVETIRRGLAEHVCGRTITDVAVHHPRAIRH-VLGGEGEFRSEILGRTIIGLGRRGKFLWLNLADPAAATASASSVPTSQPTPQATPQAGDQVVVVHLGMSGQMLIKDSNANSDDPKFKHCRIQVRFDDDTQLWFVDQRTFGYWLPTQLVDAGL----GLVPETADHIARDLLDPELKLSEVAATMHSKTLAVKKLLLNQEIIAGIGNIYADEMLWFAAINPNQPANTLDPAALKNLLMAGRTVMRAAVARGGTSFDDLYVNVNGESGYFDVELHAYGQDGRPCDRCGTILVKEKFTNRSSHYCPHCQPLVP</t>
  </si>
  <si>
    <t>GC_00001138</t>
  </si>
  <si>
    <t>MTTILDARDISVSYGRQAVLHGANLTAQQGEIVALLGPNGAGKTTLIKAVLGLVASRGGIDITGNIGILLDDGGLLPGLTGRQHLHAVALFH--GKTGADEALQLVDMAYAADQKISTYSLGMKRRIALAAALIAQPTLLLLDEPANGLDPEGIRWLNHFLRDYAAQGNAVVLCTHHLAEAEAISTITTMIRAGRTIYQGPTTDDLEHHYFTMMGKP-</t>
  </si>
  <si>
    <t>MTTVLNAQDISVSYGRKAVLHGANLAASQGDIVALLGPNGAGKTTLIKAILGLVASRGGIDITGNIGILLDDGGLLPGLTGRQHLHAVALLH--GKTGTDEALQLVDMAYAADQKIGTYSLGMKRRIALAAALIAQPTLLLLDEPANGLDPEGIRWLNHFLRDYAAQGNAVVLCTHHLAEAEAISTATTMIRAGRTIYQGPTTDDLEHHYFTMMGKP-</t>
  </si>
  <si>
    <t>MTTVLKAQDVTVSFAGRTVLRNAQIQADSGDVVALLGPNGAGKTTLLKAVLGLVKRSGGVNMTREVGILLDEGGLLPGLTGRQHVHSVALSHNLSAKQVTEMLQLTQMEYAADQKIKHYSLGMKRRIALAAALIGEPDLLLLDEPANGLDPEGIRWLTTFLKNYAQRGHAVVVSTHHLAEAAAMSNKVTMIRTGQTIFQGPTTDDLEDHYFDTMGEAQ</t>
  </si>
  <si>
    <t>MTTVLKAQDVTVSFAGRTVLRNAQIQADSGDVVALLGPNGAGKTTLLKAVLGLVKRSGSVGLTRDVGILLDEGGLLPGLTGRQHVHSVALSHNLGAKQVTEMLQLTQMEYAADQKIKHYSLGMKRRIALAAALIGEPDLLLLDEPANGLDPEGIRWLTTFLKNYAQRGHAVVVSTHHLAEAAAMSNKVTMIRTGQTIFQGPTTDDLEDHYFDTMGEAQ</t>
  </si>
  <si>
    <t>GC_00001139</t>
  </si>
  <si>
    <t>PF04235.18</t>
  </si>
  <si>
    <t>Protein of unknown function (DUF418)</t>
  </si>
  <si>
    <t>K07148</t>
  </si>
  <si>
    <t>COG2311</t>
  </si>
  <si>
    <t>Uncharacterized membrane protein YeiB (YeiB)</t>
  </si>
  <si>
    <t>MRRRQACGKTVGMTTHRILTPDVARGIMLLAIAVANSVTVWSTNIDNPMVGTHIGIVMNDSLWDKIAIMVGAMFIHVRGLPMFATLLGYGMGMILVREYHRKNPYKRILARRYAALAAMGLIHLVFLFFGDIMFMYGILALHVTMIANRSDRVLLTVAGVLWIAGGG--VTAALTLLGWTGTSAYGLGYVEDQLVMAETFLMTFPVQYVSSATTIMPAILVGFVAGRRGMLETPEPYLRIMRWWAIIAVAVCFIVGIPLGLASMGVIGGELVWSAINRVAGLVTGPGLVVLLFYLSRWLQQHHKQHVLPVRMLVALGRMSMTGYVLQSVLFTALVLPWG-LGLGSGSGAAVAMLMGVAVWFLTLIIVYAWSLT-GRRGPLETIHRRLGYSR--------------PTTALRRYNGRS-</t>
  </si>
  <si>
    <t>------------MTNNRILTPDLARGSALLGIAVANAVTVWTTNINHPMPG-HIGIIAHDSLWDKIAIMIGAIFVHVRGLPMFATLLGYGVGMILVREQRNGSRYKRVLTRRYATLALIGVLHMIFLFYGDIMLTYALMALTIVPLAKFKDKTLIIVTCVLYLASTAFFLHSILSPTGEDRANPYGHGYFVDQLGPGTFLVQATPIMYLLDIITVLPMVLVGFIAGRRGILENPEPYRRLMRWCAGLAVVVSFGL</t>
  </si>
  <si>
    <t>MRRRQACGKTVGMTTHRILTPDVARGIMLLAIAVANSVTVWATNIDNPMVGTHIGIVMNDSLWDKIAIMIGAMFIHVRGLPMFATLLGYGMGMILVREYHRKNPYKRILARRYAALAAMGLIHLVFLFFGDIMFMYGILALHVTMIANRSDRLLLTVAGVLWIAGGG--VTAALTLLGWTGTSAYGLGYVEDQLVMGETFLMTFPVQYVSSATTIMPAILVGFVAGRRGMLETPEPYLRIMRWWAIIAVAVCFIVGIPLGLASMGVIGGELVWSAINRVAGLVTGPGLVVLLFYLSRWLQQHHKQHVLPVRMLVALGRMSMTGYVLQSVLFTALVLPWG-LGLGSGSGAAVAMLMGVAVWFLTLIIVYAWSLT-GRRGPLETIHRRLGYSR--------------PTTALRRYNGRS-</t>
  </si>
  <si>
    <t>------------MTNNRILTPDLARGSALLGIAVANAVTVWTTNINHPMPG-HIGIIAHDSLWDKIAIMIGAIFVHVRGLPMFATLLGYGVGMILVREQRNGSRYKRVLTRRYATLALIGVLHMIFLFYGDIMLTYALMALTIVPLAKYKDKTLIIVTCVLYLASTAFFIHSILSPTGEDRANPYGHGYFVDQLGPGTFLVQATPIMYLLDIITVLPMVLVGFIAGRRGMLENPEPYRRLMRWCAGLAVVVSFGL</t>
  </si>
  <si>
    <t>GC_00001140</t>
  </si>
  <si>
    <t>COG1121</t>
  </si>
  <si>
    <t>ABC-type Mn2+/Zn2+ transport system, ATPase component (ZnuC)</t>
  </si>
  <si>
    <t>MPQKKKSKSALAVRDLTVSYGSNRVVDDVSFRVPQGTVMGLIGPNGAGKSTIIKSVIDLIPLERGDIRFFGEPLSRSRHRVAYMPQAADVDWDYPITVEQVVAMGLYPKLGWFRRMSAEEKRLVAANLEYVGISDLAKRQISELSGGQRRRVFMARILTQQPDLYLLDEPFAGVDAASEQVIRDVLVELRDQGVTILIVHHNLSTVASLCQHVTIVNKRLVASGPIDKAFTKEKVNEAFGLGLV-</t>
  </si>
  <si>
    <t>--------------------------------------MGLIGPNGAGKSTIIKSVIDLIPLERGDIRFFGEPLSRSRHRVAYMPQAADVDWDYPITVEQVVAMGLYPKLGWFRRMSAEEKRLVAANLEYVGISDLAKRQISELSGGQRRRVFMARILTQQPDLYLLDEPFAGVDAASEQVIRDVLVELRDQGATILIVHHNLSTVASLCQHVTIVNKRLVASGPIDKAFTKEKVNEAFGLGLV-</t>
  </si>
  <si>
    <t>GC_00001141</t>
  </si>
  <si>
    <t>PF03613.19</t>
  </si>
  <si>
    <t>PTS system mannose/fructose/sorbose family IID component</t>
  </si>
  <si>
    <t>K02796</t>
  </si>
  <si>
    <t>mannose PTS system EIID component</t>
  </si>
  <si>
    <t>COG3716</t>
  </si>
  <si>
    <t>Phosphotransferase system, mannose/fructose/N-acetylgalactosamine-specific IID component (ManZ) (PDB:6K1H)</t>
  </si>
  <si>
    <t>ko00001|ko00001|ko00001|ko02000</t>
  </si>
  <si>
    <t>KEGG Orthology (KO)&gt;&gt;&gt;09100 Metabolism&gt;&gt;&gt;09101 Carbohydrate metabolism&gt;&gt;&gt;00051 Fructose and mannose metabolism [PATH:ko00051]|KEGG Orthology (KO)&gt;&gt;&gt;09100 Metabolism&gt;&gt;&gt;09101 Carbohydrate metabolism&gt;&gt;&gt;00520 Amino sugar and nucleotide sugar metabolism [PATH:ko00520]|KEGG Orthology (KO)&gt;&gt;&gt;09130 Environmental Information Processing&gt;&gt;&gt;09131 Membrane transport&gt;&gt;&gt;02060 Phosphotransferase system (PTS) [PATH:ko02060]|Transporters&gt;&gt;&gt;Phosphotransferase system (PTS)&gt;&gt;&gt;Enzyme II [TC:4.A]&gt;&gt;&gt;Mannose-specific II component</t>
  </si>
  <si>
    <t>-----------------------MSTSTNNDKVVQAAQPDAPVDAATSTAE--------------------------------------------------------------------------------------------------------------------------------------------------------------------------------------------------------PQLT</t>
  </si>
  <si>
    <t>MLVEVFTAARRPNATIDKLVAKALKAGSTGVRAFKAGKPAKPAQTSTPQNAEAESTASTSEATEIDPNFPRDPNATMKVAALRIDSRLIHGQVAGAWVSYVAPQTLIAASDSAASDELRKTLLLQVGPASARTNVLDIAKTIRVYFNPEYKDMRTMIVVESPMDALKLLEAGVTVDEVNVGGVTFKPGMTLITEAVSVNDEHVEAYKAINDLGVTMTLQQVPTSLNELLSKGNTIMTTTTPSNEVAGQDGVPHLTRRDYISTYIRSTFMLGSFNFERMQAIGVCVTMMPAIRRFYTKKEDQAAALTRHLEFYNTHPWISSSIFGVTAAMERQKAAGEDISDADITNVKIGLMGPLAGVGDPLFWGTARPVFAALGASIAADGNILGPLLFFFGLCIIRMATRWYGFKLGYEKGVEIVSEAGGNTLRKLTQTASIMGLFVMGSLVSKWTTINIPVAIATYEKD-GKEVTTTVQDILDTLLPGLAALLLTFLCMWLLRKKINAIWIIFGMFAIGIFGYWGGILAPGS</t>
  </si>
  <si>
    <t>G|G</t>
  </si>
  <si>
    <t>Carbohydrate transport and metabolism|Carbohydrate transport and metabolism</t>
  </si>
  <si>
    <t>K02794</t>
  </si>
  <si>
    <t>mannose PTS system EIIAB component [EC:2.7.1.191]</t>
  </si>
  <si>
    <t>COG2893|COG3444</t>
  </si>
  <si>
    <t>Phosphotransferase system, mannose/fructose-specific component IIA (ManX) (PDB:1PDO)|Phosphotransferase system, mannose/fructose/N-acetylgalactosamine-specific component IIB (AgaB) (PDB:1BLE)</t>
  </si>
  <si>
    <t>ko00001|ko00001|ko00001|ko01000|ko02000</t>
  </si>
  <si>
    <t>KEGG Orthology (KO)&gt;&gt;&gt;09100 Metabolism&gt;&gt;&gt;09101 Carbohydrate metabolism&gt;&gt;&gt;00051 Fructose and mannose metabolism [PATH:ko00051]|KEGG Orthology (KO)&gt;&gt;&gt;09100 Metabolism&gt;&gt;&gt;09101 Carbohydrate metabolism&gt;&gt;&gt;00520 Amino sugar and nucleotide sugar metabolism [PATH:ko00520]|KEGG Orthology (KO)&gt;&gt;&gt;09130 Environmental Information Processing&gt;&gt;&gt;09131 Membrane transport&gt;&gt;&gt;02060 Phosphotransferase system (PTS) [PATH:ko02060]|Enzymes&gt;&gt;&gt;2. Transferases&gt;&gt;&gt;2.7  Transferring phosphorus-containing groups&gt;&gt;&gt;2.7.1  Phosphotransferases with an alcohol group as acceptor&gt;&gt;&gt;2.7.1.191  protein-Npi-phosphohistidine---D-mannose phosphotransferase|Transporters&gt;&gt;&gt;Phosphotransferase system (PTS)&gt;&gt;&gt;Enzyme II [TC:4.A]&gt;&gt;&gt;Mannose-specific II component</t>
  </si>
  <si>
    <t>MLVEVFTAARRPNATIDKLVAKALKAGSTGVRAFKAGKPAKPAQTSTPQNAEAESTASTSEATEIDPNFPRDPNATMKVAALRIDSRLIHGQVAGAWVSYVAPQTLIAASDSAASDELRKTLLLQVGPASARTNVLDIAKTIRVYFNPEYKDMRTMIVVESPMDALKLLEAGVTVDEVNVGGVTFKPGMTLITEAVSVNDEHVEAYKAINDLGVTMTLQQVPTSLNELLSKGNTIMTTTTPSNEVAGQDGVPHLTRRDYISTYIRSTFMLGSFNFERMQAIGVCVTMMPAIRRFYTKKEDQAAALTRHLEFYNTHPWISSSIFGVTAAMERQKAAGEDISDADITNVKIGLMGPLAGVGDPLF------------------------------------------------------------------------------------------------------------------------------------------------------------------</t>
  </si>
  <si>
    <t>GC_00001142</t>
  </si>
  <si>
    <t>K00595</t>
  </si>
  <si>
    <t>precorrin-6B C5,15-methyltransferase / cobalt-precorrin-6B C5,C15-methyltransferase [EC:2.1.1.132 2.1.1.289 2.1.1.196]</t>
  </si>
  <si>
    <t>COG2241|COG2242</t>
  </si>
  <si>
    <t>Precorrin-6B methylase 1 (CobL)|Precorrin-6B methylase 2 (CobL) (PDB:1F38)</t>
  </si>
  <si>
    <t>KEGG Orthology (KO)&gt;&gt;&gt;09100 Metabolism&gt;&gt;&gt;09108 Metabolism of cofactors and vitamins&gt;&gt;&gt;00860 Porphyrin metabolism [PATH:ko00860]|Enzymes&gt;&gt;&gt;2. Transferases&gt;&gt;&gt;2.1  Transferring one-carbon groups&gt;&gt;&gt;2.1.1  Methyltransferases&gt;&gt;&gt;2.1.1.132  precorrin-6B C5,15-methyltransferase (decarboxylating)|Enzymes&gt;&gt;&gt;2. Transferases&gt;&gt;&gt;2.1  Transferring one-carbon groups&gt;&gt;&gt;2.1.1  Methyltransferases&gt;&gt;&gt;2.1.1.196  cobalt-precorrin-6B (C15)-methyltransferase [decarboxylating]|Enzymes&gt;&gt;&gt;2. Transferases&gt;&gt;&gt;2.1  Transferring one-carbon groups&gt;&gt;&gt;2.1.1  Methyltransferases&gt;&gt;&gt;2.1.1.289  cobalt-precorrin-7 (C5)-methyltransferase</t>
  </si>
  <si>
    <t>--------------------------------------MIVVVGIGADGFTGMGAAAQKVVRDAEVIVGSWRQLSLLPDHIPAKRRPWPSPMLPGIVPLFESLEGMRVVVLGSGDPMFHGIGTTLCRLLGPERIRVIPVASSASLTCARLGWAVDRTPVVSLVSNPVSSIIPLVDQGEPFLVLGRDETTPTEVCTLLRNLGHAAATVHVLSDIGSSDEQHNRFTATDDPQPISALNVIAIQPDGPTRSIVPGLSD</t>
  </si>
  <si>
    <t>MFGLACDAVGRLRLDSFDMTEPHVQIRSDVDDSAVTDNAVSVVGLSAMGMSELGVTAVAVLRDADVILGSWRQLNLLSDDITAERRPWPSPMLPALNRIFGELSGKKIAVLASGDPMFHGIGSTLRRKFPHMSIVVYPHVSSASLACARLGWAVNRTGVYSLVNQVVESLVLPIEAGQPFLVLGRDDKTPMEICQLLVSMGQPDARVEILNDLGSKVEAHSVGSAAQPPQVVSVLNVIAVVPQRQGWARTPGLPDSAFSHDGQLTKSHIRALTVAALAPREGETLWDIGGGAGSVAIECLRATNTGKAVCFEADEIRRGRILKNARKLGVAHRLAVQGAAPDNYTSVPDNPDVIFIGGGLTMLGVFADAWNRLKVGGRMVINAVTIESEQQLWQLKQRYGGELVRLSVAKEHRIGSFAAFQPALPVTQWVATKQPTVT</t>
  </si>
  <si>
    <t>-----------------------------------------------MGMSELGATAVAVLRDADVILGSWRQLNLLSDDITAERRPWPSPMLPALNRIFGELSGKKIAVLASGDPMFHGIGSTLRRKFPHMSIVVYPHVSSASLACARLGWAVNRTGVYSLVNQVVESLVLPIEAGQPFLVLGRDDKTPMEICQLLVSMGQPDARVEILNDLGSKVEAHSVGSAAQPPQVVSVLNVIAVVPQRQGWARTPGLPD</t>
  </si>
  <si>
    <t>GC_00001143</t>
  </si>
  <si>
    <t>MITISNNPATDQPADTRRIRQEIAIVLVVTFGLSGMRAALRLLSDLMQPVPLNQQQTTLAEHQSDTSWIDLAMQLCSSAMLFSWGFLALYLLRESIFSRWRPK--AILEGAGLAALIGIPGLVFYLSAVHFGFSKQVVPSTLDDAWWEIIVLLIWSAANAFSEEIVVVMWLITRLEQLRIPPWVALLLSAVLRGSYHLYQGWSAGLGNIIMGLIFGAYYLKTRRVWPLILGHFLIDAVAFVGYSLLRGHL-SFLGL-</t>
  </si>
  <si>
    <t>MITISNNPATDQPADTRRIRQEIAIVLVVTFGLSGMRAALRLLSDLMQPVPLNQQQTTLAEHQSDTSWIDLAMQLCSSAMLFSWGFLALYLLRESIFSRWQPK--AILEGAGLAALIGIPGLVFYLSAVHFGFSKQVVPSTLDDAWWEIIVLLIWSAANAFSEEIVVVMWLITRLEQLRIPPWVALLLSAVLRGSYHLYQGWSAGLGNIIMGLIFGAYYLKTRRVWPLILGHFLIDAVAFVGYSLLRGHL-SFLGL-</t>
  </si>
  <si>
    <t>GC_00001144</t>
  </si>
  <si>
    <t>PF00950.22</t>
  </si>
  <si>
    <t>ABC 3 transport family</t>
  </si>
  <si>
    <t>K11709</t>
  </si>
  <si>
    <t>manganese/zinc/iron transport system permease protein</t>
  </si>
  <si>
    <t>COG1108</t>
  </si>
  <si>
    <t>ABC-type Mn2+/Zn2+ transport system, permease component (ZnuB)</t>
  </si>
  <si>
    <t>KEGG Orthology (KO)&gt;&gt;&gt;09130 Environmental Information Processing&gt;&gt;&gt;09131 Membrane transport&gt;&gt;&gt;02010 ABC transporters [PATH:ko02010]|Transporters&gt;&gt;&gt;ABC transporters, prokaryotic type&gt;&gt;&gt;Metallic cation, iron-siderophore and vitamin B12 transporters&gt;&gt;&gt;Manganese/zinc/iron transporter</t>
  </si>
  <si>
    <t>MSFAISVALLAAVVAVTCALPGTVLVLRRQAMMSDAMAHAVLPGIAVAALWSDSPTSPWLIVGATLGGVVLVAGTEWLRGLGRFTEDSAVGLVFPAFFAVGVIIISTRVRHSPISEHSVLMGDLNIAALSHWIVGNIDLGPVDAWIVGSVGLVTGIALFIARRPLSISAFDPVFGRSIGLRTRLLHYVIMTLVSLTVVVAFHAAGAVLVVALMVVPAATALLFTRSLSSTVLVAVVVALVGSQLGFWLAYLIDAATSPMMALLDGVIFLAVWLVTRLRARA</t>
  </si>
  <si>
    <t>MSFAISVALLAAVVAVTCALPGTVLVLRRQAMMSDAMAHAVLPGIAVAALWSDSPTSPWLIVGATLGGVVLVAGTEWLRGLGRFTEDSAVGLVFPAFFAVGVIIISTRVRHSPISEHSVLMGDLNIAALSHWIVGNIDLGPVDAWIVGSVGLVTGIALFIARRPLSISAFDPVFGRSIRLRTRLLHYVIMTLVSLTVVVAFHAAGAVLVVALMVVPAATALLFTRSLSSTVLVAVVVALVGSQLGFWLAYLIDAATSPMMALLDGVIFLAVWLVTRLRARA</t>
  </si>
  <si>
    <t>MSFAVSVALLAAVVSLTTALPGVVLVLRRQAMLSDALSHAVLPGIAISALWASSPRDPILLVGATIGGVVVIAATEWLRARGRFTEDSATGLIFPAFFAIGVILISTRFAGSMISEHTVLVGDLNIAAMSHWIVGGYDLGPKDMWIVGGAGVVTLVVLILARRPLTIATFDPVFARTIGVRHRLLDYLVMVLSSLTVVVAFNAAGAVLVVALMIVPATTALLVTHSQGAMLTVTLLVALISSQVGFWVAYKFNTATSPTMAFVDGLIFLAVWVVVRLRSRT</t>
  </si>
  <si>
    <t>MSFAVSVALLAAVVSLTTALPGVVLVLRRQAMLSDALSHAVLPGIAISALWASSPRDPILLVGATIGGVVVIAATEWLRARGRFTEDSATGLIFPAFFAIGVILISTRFAGSMISEHTVLVGDLNIAAMSHWIVGGYDLGPKDMWIVGGAGVVTLVVLILARRPLTIATFDPVFARTIGVRHRLLDYLVMVLSSLTVVVAFNAAGAVLVVALMIVPATTALLVTHSQGAMLTVTLLVALISSQVGFWVAYNFNTATSPTMAFVDGLIFLAVWVVVRLRSRT</t>
  </si>
  <si>
    <t>GC_00001145</t>
  </si>
  <si>
    <t>K03733</t>
  </si>
  <si>
    <t>integrase/recombinase XerC</t>
  </si>
  <si>
    <t>MGESEAEAAHVKSTVP--------------------PSAVQLALEDYAEELALLRGKSPATIKGYTSDISTFIAQHPSWEDFTLLTMRQWLAQAAAEGKARTTLARRTAALKGFSTWAAKKGYVASDVAARLVTPKAGKHLPHVLKQKDAATLMDNAALTSEPEFLRDVAMLEVLYASGLRVSELCGLDVNSVDRSRGSAKVRGKGDKERVVPLGSVALEAIAAWENNGRGQL---AAPGEQALFVGKRGARINPRQVQRVVKRAAAQAGLADTSPHGLRHSAATHMLEGGADLRVVQEMLGHSSLQTTQIYTHVSAQRLRDAYKNAHPRA</t>
  </si>
  <si>
    <t>MGESEAEAAHVKSTVP--------------------PSAVQLALEDYAEELALLRGKSPATIKGYTSDISTFIAQHPSWEDFTLLTMRQWLAQAAAEGKARTTLARRTAALKGFSTWAAKKGYVASDVAARLVTPKAGKHLPHVLKQKDAATLMDNAASTSEPEFLRDVAMLEVLYASGLRVSELCGLDVNSVDRSRGSAKVRGKGDKERVVPLGSVALEAIAAWENNGRGQL---AAPGEQALFVGKRGARINPRQVQRVVKRAAAQAGLADTSPHGLRHSAATHMLEGGADLRVVQEMLGHSSLQTTQIYTHVSAQRLRDAYKNAHPRA</t>
  </si>
  <si>
    <t>MGESDTKTEQPHTGAPFSSFPTKNQATSAAASEPVASTQLQEAIADFAEHLHLVVGRSPATVAGYRSDLIDFCQHAHTFEDFTLVNLRAWLGATVDAGKSRATIARRAAAARSFSSWCERQGYLDTNVAARLAVPKSGRSLPTVVTPTAAETLMVSSQATTEPEYLRDTAMLELLYATGIRVSELCGIDLADVNYSRNTVKVTGKGNKQRVVPFGDPAASALKAWRDHGRPHLLNPKKPAHNALFLGARGGRIDPRMVRTVVARAGKQLGVDGLGPHSLRHSAATHMLDGGADLRVVQELLGHSSLQTTQIYTHVSTTRLKQAYNQAHPRA</t>
  </si>
  <si>
    <t>MGESDTKTEQPHTGAPFSSFPTQSQATSAAASEPVASTQLQEAIADFAEHLHLVVGRSPATVAGYRSDLIDFCRHAHTFEDFTLVNLRAWLGAAVDAGKSRATIARRAAAARSFSSWCERQGYLDTNVAARLAVPKSGRSLPTVVTPTAAETLMVSSQATTEPEYLRDTAMLELLYATGIRVSELCGIDLADVNYSRNTVKVTGKGNKQRVVPFGDPAASALKAWRDHGRPHLLNPKKPAHNALFLGARGGRIDPRMVRTVVARAGEQLGVDGLGPHSLRHSAATHMLDGGADLRVVQELLGHSSLQTTQIYTHVSTTRLKQAYNQAHPRA</t>
  </si>
  <si>
    <t>GC_00001146</t>
  </si>
  <si>
    <t>MITVNDFLAYVEETTRDQLWIDHDAYYFDGDVYIAAGVSTSYPSYYEFYIRNAKVERLYSVQEYILELWTVDPKVTKPFYLSENTIRFVTDDNEYRDPRKTELIFTGDEIFVTACRFPVVGWGVDW-LSPQDLPAREVEEATRFQKLIFDDTVPDWPQEPGRKPAATTLHYYRVPAQETRKLSELKKQFPVIATRKRPDTSGYPHMSITNNYWVMLALLWRSETLPRMTVGWMAWNRQVAYNMAEYIPEMLQKLQQELDVLDTTPLASNKWAMDTFCQLREFYRAAAARGEGVIIIGELQR</t>
  </si>
  <si>
    <t>-MTAKDFLAYVEETTRNELWIDHAAWYLGKDVYITAGVSINYPPYYRFYIRNVSVERLYSVQEYILELWTVDPKVTKPFYLSENTIRFVTDDNEYLDPRKTELIFTGDEIFVTDRDLPAPDLRTTWQFLRDDMSVKEVEEITRFHKLIFDDTIPD----------------------------------------------------------------------------------------------------</t>
  </si>
  <si>
    <t>MITVKDFLAYVEETTRDQLWIDHNADYFNDDVYIAAGVSTSYPSYYEFYIRNAKVERLYSVQEYILELWTVDPKVTKPFYLSENTIRFVTDDNEYRDPRKTELIFTGDEIFVTACRFPVVGWGVDW-LSPQDLPAREVEEATRFQKLIFDDTVPDWPQEPGRKPAATTLHYYRVPAQETRRLSELKKQFPVIATRKRPDTSGYPHMSITNNYWVMLELLWRSETLPRMTVGWMAWNRQVAYNMAEYIPEMLQKLQQQLDILDTTPLASNKWAMDTFCQLREFYRAAAARGEGVIIIGELQR</t>
  </si>
  <si>
    <t>-MTAKDFLAYVEETTRNELWIDHAAWYLGKDVYITAGVSINYPPYYGFYIRNAKVERLYSVQEYILELWTVDPKVAKPFYLSENTIRFVTDDNEYLDPRKTELIFTGDEIFVTDRDLPAPDPRVTWQFLRDDMSAKEVEEITRFHKLIFDDTVPD----------------------------------------------------------------------------------------------------</t>
  </si>
  <si>
    <t>GC_00001147</t>
  </si>
  <si>
    <t>MLPHPQHRYAQLHVSTVHTVQNFEVIIVSRLLYRLGRAAYTHRLKFIAMWLLLFAAAAVAAGALAKPPSNSFSMPGAESVEAQEEISRRFNTSEDELTAPTGMIVVKAKEG-TLSDPEQAVKIDAIVDKLKHSDALKSKDMIVNPVAADAAMRQ---------GNPN---SADVDEQSPLSPDKTTGIIQVMFDAAKMQDVDKNKVADVTKLLKDNADGLDIAYTGNAFDGAEQPGMQSELAGVLVAAVVLLVTFGSLVAAGMPLATAIVGVLLGSLGINAASGLTDSIDQNTTTLATMIGLAVGIDYALFILSRFRSELIQYVDGHNLTPKELAQRLRSIPRDKRAHLAGLAVGKAGTAVVFAGLTVIIALVALVIINIPIMSAMSLGAAGTVAIAVLVAIGLLPAILGLWGTRAFAARMPFIKAPDPEQETPTMGTRWVRMIRKHPALFLVAGVLALALLAIPAAQLRLAMPTGGSAAAPGSPSRTAYTMIEDAFGPGRQAPMIALVDVASLPEQQRPEAFTTAVRDFAGMDGVKNAQIATVNDAGDAAQVMIIPSNGATDKRTVDLLHNLRDHKSDFQEQTGASYRITGMAPIVQDLSDRLSGVLIPYVAIVVALAFVLLMVVFRSIWVPLIAALGFALSVAATFGITVLIWQEGFAGLVSDPQPLISQLPIILIGSVFGLAMDYQVFLVTRMREGYHHGMNAGPAVVYGFKHGARVVTAAALIMISVFAAFMFMDLQLIKVMGFALATAVLFDAFIVRMTIIPATMFLLDARAWSIPRWLGRLLPNVDIEGEKLTSGLT--</t>
  </si>
  <si>
    <t>---------------------------MAQLLYRLGRLTYLNRWKTLVVWLLLIAGMAAAAANLSQPLSNNFTIPGLESIEAQDEIKERFNTSDDALTAPTAKVIVQAPEGKTLEDSDVSADVDKLVTSLKDSGKLKDTDELVNPVMAAMGMKQQLTEQKAAQGIPQEQIDADLKAISPLSEDRRTGTIDITFEAEKAGDVTSEQRNAITTIISNDSGNLTTAYSGNAFQDSESLGMQSELIGITVAAVVLIITF</t>
  </si>
  <si>
    <t>MLTHPQHEYAQLHVSTVHTVQNFEVIIVSRLLYRLGRAAYTHRLKFIAMWLLLFAAAAVAAGALAKPPSNSFSIPGAESVEAQEEISRRFNTSEDELTAPTGMIVVKAKEG-TLSDPEQAVKIDAIVDKLKHSDALKSKDMIVNPVAADAAMRQ---------GNPN---SADVDEQSPLSPDKTTGIIQVMFDAAKMQDVDKNKVADVTKLLKDNADGLDIAYTGNAFDGAEQPGMQSELMGVLVAAVVLLVTFGSLVAAGMPLATAIVGVMLGSLGINAASGLTDSIDQNTTTLAVMIGLAVGIDYALFILSRFRSELIQYVDGHNLTPKELAQRLRSIPRDERAHLAGLAVGKAGTAVVFAGLTVIIALVALVIINIPSMSAMSLGAAGTVAIAVLVAIGLLPAILGLWGTRAFAARMPFIKAPDPEQETPTMGARWVHMIRKHPALFLVTGVLTLALLAIPAAQLRLAMPTGGNAAAPGSPSRTAYTMIEDAFGPGRQAPMIALVDVASLPEQQRPEAFATAVRDFAGMDGVKNAQVAAVNDAGDAAQVMIIPSHDATDKRTVDLLHNLRNHKSDFQEQTGASYRITGMAPIVQDLSDRLSGVLIPYVAIVVALAFVLLMVVFRSIWVPLIAALGFALSVAATFGITVLIWQEGFAGLVSDPQPLISQLPIILIGIVFGLAMDYQVFLVTRMREGYHHGMKADSAVVYGFKHGARVVTAAALIMISVFAAFMFMDQQLIKVIGFALATAVLFDAFIVRMTIIPATMFLLDARAWSIPR-----------------------</t>
  </si>
  <si>
    <t>---------------------------MAQLLYRLGRLTYLNRWKTLVVWLLLIAGMAAAAANLSQPLSNNFTIPGLESIEAQDEIKERFNTSDDALTAPTAKVIVQAPEGKTLEDSDVSADVDKLVTSLKDSGKLKDTDELVNPVMAAMGMKQQLTEQKAAQGIPQEQIDADLKAISPLSEDKRTGTIDITFDAEKAADVTSEQRDAITTIISNDSGNLTTAYSGNAFQDSESLGMQSELIGITVAAVVLIITF</t>
  </si>
  <si>
    <t>GC_00001148</t>
  </si>
  <si>
    <t>PF00122.25</t>
  </si>
  <si>
    <t>E1-E2 ATPase</t>
  </si>
  <si>
    <t>K17686</t>
  </si>
  <si>
    <t>P-type Cu+ transporter [EC:7.2.2.8]</t>
  </si>
  <si>
    <t>COG2217</t>
  </si>
  <si>
    <t>Cation-transporting P-type ATPase (ZntA) (PDB:4BBJ)</t>
  </si>
  <si>
    <t>KEGG Orthology (KO)&gt;&gt;&gt;09130 Environmental Information Processing&gt;&gt;&gt;09132 Signal transduction&gt;&gt;&gt;04016 MAPK signaling pathway - plant [PATH:ko04016]|Enzymes&gt;&gt;&gt;7. Translocases&gt;&gt;&gt;7.2  Catalysing the translocation of inorganic cations&gt;&gt;&gt;7.2.2  Linked to the hydrolysis of a nucleoside triphosphate&gt;&gt;&gt;7.2.2.8  P-type Cu+ transporter</t>
  </si>
  <si>
    <t>MTTTQAQTHVDLEVLGMTCTSCSARVERKLNKMEGVEAQVNFATETASVLYDAAELTTDDLVATIEAAGYKGFVK--ADPQADNSNSEATTGEQAQGT-SISDVRLQEQEQLKQRVLVSAVLGIPVMLMSMIPAAQFTYWQWASLTLAAPVYVWGGLPFHRAAWKNLRHGAFTMDTLISLGTTAAFVWSLIALFWGGAGEPGMRMSFSLLSHGGGGLHDIYLDTSAMVIVFLLLGRWFEARAKGRSSQALQELLNLGAKDVAVLRDSQEVRIPIEQLQVGEQFVVRPGERIATDGVVVSGTSAVDESMLTGESLPVDVSPGSIVTGATMNASGRLIIEAQRVGQDTTLAGIARLVSDAQSRKAPVQRLVDRISQVFVPLVILAALLALGWH-IIAGHGLAHAFSAAVAVTIIACPCALGLATPTALLVGTGRGAQLGMLIKGPEVLEATRQVDTIVLDKTGTVTTGIMTVTNVVGLDGVDTNEILRLAASVENGSEHPIGQAIVAASSSPLLPAHDFRADAGSGVSARVSMQEGDVCVTVRTPSGLDDQPALSALADAVTTARSHGATPVMVDIDGVPRGIITVHDEVKPTSAAAVATFKELGIEPMLLTGDSHGAAVHVAEQVGINTDHVFAGVLPQDKVGTIMTLQEQGKRVAMVGDGINDAAALAAANLGLAMGAGTDVAIEASDITIMNNDLRSTADAIRLSRATLRTIKGNLFWAFAYNVILIPVAALGLLNPMLAGAAMALSSVFVVTNSLRLRRFRSLF</t>
  </si>
  <si>
    <t>MTTTHAQTHVDLEVLGMTCTSCSARVERKLNKMEGVEAQVNFATETASVLYDAAELTTDDLVATIEAAGYKGFVK--ADPQADNSNSQATTGEQAQGT-SISDVRLQEQEQLKQRVLVSAVLGIPVMLMSMIPAAQFTYWQWASLTLAAPVYVWGGLPFHRAAWKNLRHGAFTMDTLISLGTTAAFLWSLIALFWGGAGEPGMRMSFSLLSHGGGGLHDIYLDTSAMVIVFLLLGRWFEARAKGRSSQALQELLNLGAKDVAVLRDSQEIRIPIEQLQVGEQFVVRPGERIATDGVVVSGTSAVDESMLTGESLPVDVSPGSIVTGATMNASGRLIIEAQRVGQDTTLAGIARLVSDAQSRKAPVQRLVDRISQVFVPLVILAALLALGWH-IIAGHGLAHAFSAAVAVTIIACPCALGLATPTALLVGTGRGAQLGMLIKGPEVLEATQQVDTIVLDKTGTVTTGIMTVTNVVGLDGVDTNEILRLAASVENGSEHPIGQAIVAASSSPMLPAHDFRADAGSGVSARVSMQEGDVSVTVRTPSGLDDQPALSALADAVTTARSHGATPVMVDVDGVPRGIITVHDEVKPTSAAAVATFKELGIEPMLLTGDSHGAAVHVAEQVGINTDHVFAGVLPQDKVGTITMLQEQGKRVAMVGDGINDAAALAAANLGLAMGAGTDVAIEASDITIMNNDLRSTADAIRLSRATLRTIKGNLFWAFAYNVILIPVAALGLLNPMLAGAAMALSSVFVVTNSLRLRRFRSLF</t>
  </si>
  <si>
    <t>---------MDLGVTGMTCTSCSGRVERKLNKVPGAQATVNFATETANVRYDPASVKIPQLIDVVRGAGYDAFEITPDSSTPDNDAGP--ELSEASGTDATSAARDAHAADLRKRLIISAVLSVPVLALSMIPQLQFNNWQWLSFALVGPVFFYGGKPFHVAALQNLRHGAFTMDTLISLGTSAAFFWSVWALFFGNAGMNDMRMSMSLSAHSHEGMDQIYLESVGMVIVFLLLGRWFETRAKGRSSEALRALLD</t>
  </si>
  <si>
    <t>---------MDLGVTGMTCTSCSGRVERKLNKVPGAQATVNFATETANVRYDPASVKIPQLIDVVRGAGYDAFEI-----TPDNDAGPDSEPSEASGTDATSAARDAHAADLRKRLIISAVLSVPVLALSMIPQLQFNNWQWLSFALVGPVFFYGGKPFHVAALQNLRHGAFTMDTLISLGTSAAFFWSMWALFFGNAGMNDMRMSMSLSAHSHEGMDQIYLESVGMVIVFLLLGRWFETRAKGRSSEALRALLD</t>
  </si>
  <si>
    <t>GC_00001149</t>
  </si>
  <si>
    <t>K11707</t>
  </si>
  <si>
    <t>manganese/zinc/iron transport system substrate-binding protein</t>
  </si>
  <si>
    <t>MFRFMLLGMRFYFFSASAPAAAPRASVTSRRGFLRTASAVIAATVLVGGLSACVVDNSDSNNSSSKNSSGDKALTVFATTGYIGDAVHNIAPDADVSVMVGPGGDPHTYQPTTQDLAKIQDSSVVLWTGPDMETHMADELEAQSDRQFAVSSAIPEQDLLPWQDHDEHDHDHDHGKYDPHIWNSTTNWKYVVDGIAKKLGEVDSGNADTYKKNAESYKQQIDEAGNYVQTKMTEIPQDRRILVSGHDTFNYFGKQFGLDVKATDLITSESELSATELNELADFIAQRKVPTIFGDNSANPQAINSLKEAVKSKGWDVNVSTDELYADSLGAEAPTDTYVGVMRYNADTIHKALVDPAATPAPGPAPAPGPA------PAPG-PAPTPAPEQAPAPAP</t>
  </si>
  <si>
    <t>MFRFMLLGMRFYFFSASAPAAAPRASVTSRRGFLRTASAVIAATVLAGGLSACVVDNSDSNNSSSKNSSGDKALTVFATTGYIGDAVHNIAPDADVSVMVGPGGDPHTYQPTTQDLAKIQDSSVVLWTGPDMETHMADELEAQSDRQFAVSSAIPEQDLLPWQDHDEHGHDHDHGKYDPHIWNSTTNWKYVVDGIAKKLGEVDSGNADTYKKNAESYKQQIDEAGNYVQTKMTEIPQDRRILVSGHDTFNYFGKQFGLDVKATDLITSESELSATELNELADFIAQRKVPTIFGDNSANPQAINSLKEAVKSKGWDVNVSTDELYADSLGAEAPTDTYVGVMRYNADTIHNALVAPAATPAPGPAPTPAPENPAPEQPAPEQPAPEHAPEQAPAPAP</t>
  </si>
  <si>
    <t>------------------------MNITISK---RSIFAVILGISLVAVVTACAVDKQGEN----------KKLTVFATTGYIGDTVKNIAPDADVTVMVGPGGDPHTYQPTTQDTEKISSSDLVFWSGLHMEAHMIDQLRSQGDRQVAVAEAIPKEDLLDWPDLGENGEKL----YDPHVWNSTENWKYVVQAITDKLAATDPANKDKYQENAKKYEQSMDETAAYVREKINAIPEDKRILITGHDAFNYFGKQ</t>
  </si>
  <si>
    <t>------------------------MNITINK---RSIFAVILGISLVAVVTACAVDKQGEN----------KKLTVFATTGYIGDTVKNIAPDADVTVMVGPGGDPHTYQPTTQDTEKISSSDLVFWSGLHMEAHMIDQLKSQGDRQVAVAEAIPKEDLLDWPDLGENGEKL----YDPHVWNSTENWKYVVQAITDKLAATDPDNKDKYQENAKKYEQSMDETAAYVREKINAIPEDKRILITGHDAFNYFGKQ</t>
  </si>
  <si>
    <t>GC_00001150</t>
  </si>
  <si>
    <t>PF18029.7</t>
  </si>
  <si>
    <t>Glyoxalase-like domain</t>
  </si>
  <si>
    <t>MFDMDTHITPGMITVDCTDARALAHFWSEATGAPIIMDYEGYFVMVGTTPTLGFQRVDDPAPGKNRVHIDFRSHDREAAVRRLESIGAVAQSVETLPDGSFSWTVMTDPEGNFFCVGDGTEH</t>
  </si>
  <si>
    <t>COG2764</t>
  </si>
  <si>
    <t>Zn-dependent glyoxalase, PhnB family (PhnB) (PDB:5KEF) (PUBMED:28034013)</t>
  </si>
  <si>
    <t>MFDMDTHITPGMITVDCTDARALAHFWSEATGAPIIMDYEGYFVMVGTTPTLGFQRVDDPTPGKNRVHIDFRSHDREAAVRRLESIGAVAQSVETLPDGSFSWTVMTDPEGNFFCVGDGTEH</t>
  </si>
  <si>
    <t>GC_00001151</t>
  </si>
  <si>
    <t>PF02565.21</t>
  </si>
  <si>
    <t>Recombination protein O C terminal</t>
  </si>
  <si>
    <t>K03584</t>
  </si>
  <si>
    <t>DNA repair protein RecO (recombination protein O)</t>
  </si>
  <si>
    <t>COG1381</t>
  </si>
  <si>
    <t>Recombinational DNA repair protein RecO (RecF pathway) (RecO) (PDB:1U5K)</t>
  </si>
  <si>
    <t>PF11967.14</t>
  </si>
  <si>
    <t>Recombination protein O N terminal</t>
  </si>
  <si>
    <t>MPRESYRERALVIRTYDLGEADRIIVFLTQHRGLVRGVAKGVRRARSRFGSRLQPFVELDVQFYVGRELESVTAADTVGFYGSGIIDNITCYTAASAVLEAAERLSLAHDEHDDRLYPLVVDTLKQLQHAPEPKLRLDTFLLQAMTVAGWAPSLYYCAQCQAPGPHHAFHPRTGGAVCGTCRPPKAADVNPEVLHAMWLLQHDRWAEAITLITAQEQGASARDS-SESVTHEIPCATAIHRLTKAHWQWHTERKLASLMVLDQT-----</t>
  </si>
  <si>
    <t>MPRESYRERALVIRTYDLGEADRIIVFLTQHRGLVRGVAKGVRRARSRFGSRLQPFVELDVQFYVGRELESVTAADTVGFYGSGIIDNITCYTAASAVLEAAERLSLAHDEHDDRLYPLVVDTLKQLQHAPEPKLRLDTFLLQAMTVAGWAPSLYYCAQCQAPGPHHAFHPRTGGAVCGTCRPPKAADVNPEVLHAMWLLQHDRWAEAITLITAQEQGASARES-SESVTHEIPCATAIHRLTKAHWQWHTERKLASLMVLDQT-----</t>
  </si>
  <si>
    <t>GC_00001152</t>
  </si>
  <si>
    <t>COG0518</t>
  </si>
  <si>
    <t>GMP synthase, glutamine amidotransferase domain (GuaA1) (PDB:4WIM)</t>
  </si>
  <si>
    <t>MPTPQPQLPFLLLSTRPEREAVTAEYHSFRTIMDLSPEELVQIRVNETSLPDIDFSDYSGVILGGGPFNASDEDKSDNQRRVESELIALIRRIIDQDFPLFATCYGIGLVALALDAPLSRTYNETPSCITVFVTDEAKDDPLFAGMPDSFSTLVGHVEAADAVPDGAVHLVRGQACPIQMYRLNNNVYVTQFHPELEPETFAQRLRIYRDNGYYDPSEYHRIADEAFRADLTVDNLLLQNFRSRYQRAS</t>
  </si>
  <si>
    <t>------MLPFLLLSHRPEDEAAHAEHHSFRRIMGLRSEELVQVRMN-LEQPELDFTDYSGIILGGGPFNNTDMQKSVVQRQVEAYVTPIVSRVVAEDFPFLGACYGIGVVGSVVGATISRVFGEKPACITASLTPEGARDPLLAGMPALFDTLVGHVEAVETLPNEATCLVNGTDCPVQMFKVGSNVYATQFHPELELRTFIQRLQIYADNGYYEPYEYDAIVAGAAAANLETDNLILRNFRDLYAR--</t>
  </si>
  <si>
    <t>------MLPFLLLSHRPEDEAAHAEHHSFRRIMGLRSEELVQVRMN-LEQPELDFADYSGIILGGGPFNNTDMRKSVVQRQVEAYVTPIVSRVVAEDFPFLGACYGIGVVGSVVGATISRVFGEKPACITASLTPEGARDPLLAGMPALFDTLVGHVEAVETLPNEATCLVNGTDCPVQMFKVGSNVYATQFHPELELRTFIQRLQIYADNGYYEPYEYDAIVAGAAAANLETDNLILRNFRDLYAR--</t>
  </si>
  <si>
    <t>GC_00001153</t>
  </si>
  <si>
    <t>-------------MRILVTGGAGYVGSTCAAVLCEQGHDVTIIDDFSTGNRDAVCPDAALVEGRLEDVIDDVLGTSNFDAVMHFAARSLVGESMDEPATYWNDNVVVTLKLLDSMRAHGVNNLVFSSTAATYGEPEVVPITEDLPTQPTNPYGATKLAIDYIITSYASAYGLGATSLRYFNVAGAYVDSDYGTIGEHREVETHLIPLVLQVASGDREEIAIFGDDWPTEDGTAVRDYIHIRDLADAHLLACLSNT</t>
  </si>
  <si>
    <t>MLLTNHPRKAKTIMKLLVTGGAGYVGSVCATVLLEQGHDITIVDNFSTGNRDAVPANATLIEGDIRDVAGDVLAEGDFDGVVHFAARSLVG----------------------------------------------------------NPWNGPK------------------------------------TIG-------------------------------------------------------------------------------------TITSSP------HSRFSTPCAPMA-------------------------------------------</t>
  </si>
  <si>
    <t>MLLTNHPRKAKTIMKLLVTGGAGYVGSVCATVLLEQGHDITIVDNFSTGNRDAVPANATLIEGDIRDVAGDVLAGGNFDGVVHFAARSLVGESMERPEDYWHHNFVTTLTLLDAMRNHGVTNLVFSSTAATYGEPDRVPITEDMPTAPTNPYGASKLAIDYAITSYAHAHGLGATSLRYFNVAGA-----YGSVGENREVETHLIPLVLQVALGHRDEIFIFGDDYPTKDGTCIRDYIHIKDLADAHVLALESNTPGTHRIFNLGSGDGYSVKEVIDKCREVTGHPIPVTMADRRAGDPAVLIASSARAKAELGWRPSRTDLDTIIADAWAFTAALGDHAHSAHRKP</t>
  </si>
  <si>
    <t>GC_00001154</t>
  </si>
  <si>
    <t>K02619</t>
  </si>
  <si>
    <t>4-amino-4-deoxychorismate lyase [EC:4.1.3.38]</t>
  </si>
  <si>
    <t>KEGG Orthology (KO)&gt;&gt;&gt;09100 Metabolism&gt;&gt;&gt;09108 Metabolism of cofactors and vitamins&gt;&gt;&gt;00790 Folate biosynthesis [PATH:ko00790]|Enzymes&gt;&gt;&gt;4. Lyases&gt;&gt;&gt;4.1  Carbon-carbon lyases&gt;&gt;&gt;4.1.3  Oxo-acid-lyases&gt;&gt;&gt;4.1.3.38  aminodeoxychorismate lyase</t>
  </si>
  <si>
    <t>MSSHAATPAASAVKPVVVVMDTFGGPIRHHNPELPLIYWDDAAVTRGDGVFETLLIRDGHACNLERHSKRFAASAALLGLPEPDAEYWRAATAEAIQSWPKDV--DASCVWTLTRGRTATNRPSAWITVKQIPVEHLEQRHLGVSVMTAPRGFSVT-TTPDEAAPWMIVGAKTLSYAANMAALRHARSCGFDDVIYVDGDCVLEGATSTVVAAQGTALFTPTPAATSCPAPRRLPCTSTLNGRAGTARKPTSLFNSLSTPTRSGWSVPFGLPLESPASTMFTC--PHPLTKTKCDA--------------</t>
  </si>
  <si>
    <t>MSSHAATPAASAVKPVVVVVDTFGGPIRHHNPELPLIYWDDAAVTRGDGVFETLLIRDGHACNLERHSKRFAASAALLGLPEPDAEYWRAATAEAIQSWPKDV--DASCVWTLTRGRAATNRPSAWITVKQIPVEHLEQRHLGVSVMTAPRGFSVT-TTPDEAAPWMIVGAKTLSYAANMAALRHARSCGFDDVIYVDGDCVLEGATSTVVAAQGTALFTPTPGGDVLPGTTQAALYQHAEWKGWDCQETDLTVQQLIDAD-SVWLVS-SVRVAARVTRINDVHLPAPANEDKVRRMMFAALS-------</t>
  </si>
  <si>
    <t>----MSSSGTRKMSPIIFAVEPFGGSVRDHNPNLPLVFWDDAAVTRGDGVFETLLLRDGRICNLDRHVSRFLASAKLLDLPEPNIDGWLKATIMAAEKWRSHTTDDASCVWMYTRGRETTGIPSAWLTIRPLSPTALHQRAHGVAVMTSPRGYHIDPPETTEAVPWLVVGAKTLNYAANMAALRWGRAHGFDDVIYTNGDTVLEGATSTVITVRGKKIRTPTAGGDILPGTTQAALFEYATEQKWRCKEKQLVLD</t>
  </si>
  <si>
    <t>----MSSSGKRKMSPIIFAVEPFGGSVRDHNPNLPLVFWDDAAVTRGDGVFETLLLRDGRICNLDRHVSRFLASAKLLDLPEPNIDGWLKATIMAAEKWRSHTTDDASCVWMYTRGRETTGIPSAWLTIRPLSPTALHQRAHGVAVMTSPRGYHIDPPETTEAVPWLVVGAKTLNYAANMAALRWARAHGFDDVIYTNGDIVLEGATSTVITVRGKKIRTPTAGGDILPGTTQAALFEYATEQKWRCKEKQLVLD</t>
  </si>
  <si>
    <t>GC_00001155</t>
  </si>
  <si>
    <t>PF00079.25</t>
  </si>
  <si>
    <t>Serpin (serine protease inhibitor)</t>
  </si>
  <si>
    <t>COG4826</t>
  </si>
  <si>
    <t>Serine protease inhibitor (SERPIN)</t>
  </si>
  <si>
    <t>MSLSRNPLNRRRFLCLL----GLSAIAAPLLVTACT----------------------RAEAQLDDSFTPVEGEDQSDLLTIGLSLLGSPDLAKSQGQGSDQQSSPNRVVSPVGAAAAAGVIAEGATSKVA-VDPKRLQPAWTMWRKWAGEPTNKPGNVPVISAAARLLADPKIPIKPEYSDTIAGWDVPVETGKVTKGNLDSWVRTNTGGLVKGSGLTVTP-DMKLVLQNAIIFAAKWLVPFKANDTIKYDFTKADGTVTEVDMMWLFQHHGPYIASDGWQGVRLDYTDEELSAFILIPDADLGEVTPTKLRQALSRLVTAQEQTAMLKVGLPKFRFTTSKDLKGFFNHVGLGEEAALTKMTDL-PTKIIQAVQQAFIVVDEEGTVAGAVTEVGVGAMATPMT---GDITIIADRPFYFIVGDAKTATPLFFSYVGDPTKG</t>
  </si>
  <si>
    <t>----------------------------------MT----------------------LADDALNGDFTPIDG-DQSDLMTIGFSLVGSPNTTAG---SDNLPAKPNTVVSPVGAAAAAGVIAEGAANGTTKIDPKQLQPAWTMWHPWAGPPAATPQDIPVIAAVARLLAAPEVPIKPAYRDTIAGWDVPIETGAITQENLDDWVNKSTAGLVNKSGIDATRGDINFVLQNAITFAARWRERFNANKTRQSQFTK</t>
  </si>
  <si>
    <t>MSLSRNPLNRRRFLCLL----GLSAIAAPLLVTACT----------------------RAEAQLDDSFTPVEGEDQSDLLTIGLSLLGSTDLARGQGQGSDQQSSPNRVVSPVGAAAAAGVIAEGATSKVT-IDPKRLQPAWTMWRKWAGEPTNKPGAVPVISAAARLLVDPKIPIKPEYSDTITGWDVPIETGKVTKGNLDSWVRTNTGGLVKGSGLTVTP-DMKLVLQNAIIFAAKWLVPFKADDTIKYDFTKADGTITRVDMMWLFQHHGPYIASDGWQGVRLDYTDKELSAFILIPDDDMGEVTPTKLRQALSRLVTAQEQTAILKVGLPKFRFTTSKDLKGFFNHVGLGEKVKLTKMTDL-PTNIVQAVQQAFIIVDEEGTVAGAVTEVGMESMATPMN---GDITIIADRPFYFIVGDAKTATPLFFSYVGDPTKG</t>
  </si>
  <si>
    <t>-------MNRRRFLALFALTPGLATCTTSKTPTTTTMTPTFSFPTPTNTPEPPEPPIVLADDALNGDFTPIDG-DQSDLMTIGFSLLGSPNTTAG---SDNLPAKPNTVVSPVGAAAAAGVIAEGAANGTTKIDPKQLQPAWTMWHPWAGPPATTPQDIPVIAAVARLLVTPEVPIKPAYRDTIAGWDVPIETGAITQENLDDWVTKSTAGLVNKSGIDVTRGDINFVLQNAITFAARWRERFSINKTRQSRFTK</t>
  </si>
  <si>
    <t>GC_00001156</t>
  </si>
  <si>
    <t>PF00232.24</t>
  </si>
  <si>
    <t>Glycosyl hydrolase family 1</t>
  </si>
  <si>
    <t>K01223</t>
  </si>
  <si>
    <t>6-phospho-beta-glucosidase [EC:3.2.1.86]</t>
  </si>
  <si>
    <t>COG2723</t>
  </si>
  <si>
    <t>Beta-glucosidase/6-phospho-beta-glucosidase/beta-galactosidase (BglB) (PDB:4HZ6)</t>
  </si>
  <si>
    <t>KEGG Orthology (KO)&gt;&gt;&gt;09100 Metabolism&gt;&gt;&gt;09101 Carbohydrate metabolism&gt;&gt;&gt;00010 Glycolysis / Gluconeogenesis [PATH:ko00010]|KEGG Orthology (KO)&gt;&gt;&gt;09100 Metabolism&gt;&gt;&gt;09101 Carbohydrate metabolism&gt;&gt;&gt;00500 Starch and sucrose metabolism [PATH:ko00500]|Enzymes&gt;&gt;&gt;3. Hydrolases&gt;&gt;&gt;3.2  Glycosylases&gt;&gt;&gt;3.2.1  Glycosidases, i.e. enzymes that hydrolyse O- and S-glycosyl compounds&gt;&gt;&gt;3.2.1.86  6-phospho-beta-glucosidase</t>
  </si>
  <si>
    <t>-MFPDGFLWGGATAANQIEGAYNEGGKGLSIQDVMPHGVTTPPTDAPTPDNLKLDAIDFYHRYAEDIALFAEMGFKVFRFSVAWSRIFPRGDEEQPNEEGLRFYERILDELEKHGIEPLVTISHYETPLHLAREYGGWTNRALIGFYERYARVLFERFAGRVKYWLTFNEINSVLHFPFMSGGIPGNPSTQELYQAVHHELVASARVVRCGHEIDPDNKIGCMILAVPRYPLSPTPDDARAAQRAAQSDYAFGDI</t>
  </si>
  <si>
    <t>MGFPEGFLWGGATAANQIEGAYAEDGKGLSVQDVLPGGVVKPASAGPTPDNLKLEAIDFYHRYQEDIALFAEMGFKVFRLSIAWSRIFPRGDEAEPNAAGLAFYDRVIDELLAHNIVPLVTLSHYELPLHLAQEYGGWTNRKLIGFYENFAQTVFEHFRGRVQYWLTFNEINSILHFPILA-GIMNTTDKQSLYQAIHHELVASARVTKIAHEVDATNKIGCMILAMPRYPLTPNPDDVWAALDAAHDDFTFGDVHCRGTYPGYFLRKLREAGIELDITEQDRIDLRNTVDFVSFSYYMSVCESATDTTR--GPGNLIGGVPNPTLAASQWGWQIDPVGLRIILNEYWDRWQKPLFIVENGLGARDELVDGTVADDYRISYMNDHLVQVGEAISDGVAVLGYTSWGCIDLVSMSTAEMSKRYGFIYVDRNDDGSGTLQRYRKKSFYWYKDVIASNGATLTP</t>
  </si>
  <si>
    <t>MGFPEGFLWGGATAANQIEGAYAEDGKGLSVQDVLPGGVVKPVSAGPTPDNLKLEAIDFYHRYQEDIALFAEMGFKVFRLSIAWSRIFPRGDEAEPNAAGLAFYDRVIDELLAHNIVPLVTLSHYELPLHLAQEYGGWTNRKLIGFYENFARTVFEHFRGRVQYWLTFNEINSILHFPILA-GIMNTTDKQDLYQAIHHELVASARVTKIAHEVDATNKIGCMILAMPRYPLTPNPDDVWAALDAAHDDFTFGDVHCRGTYPGYFLRKLREAGIELDITEQDRIDLRNTVDFVSFSYYMSVCESATDTTR--GPGNLIGGVPNPTLAASQWGWQIDPVGLRIVLNEYWDRWQKPLFIVENGLGARDELVDGTVADDYRISYMNDHLAQVGEALSDGVAVLGYTSWGCIDLVSMSTAEMSKRYGFIYVDRNDDGSGTLQRYRKKSFYWYKDVIASNGATLTP</t>
  </si>
  <si>
    <t>GC_00001157</t>
  </si>
  <si>
    <t>K03972</t>
  </si>
  <si>
    <t>phage shock protein E</t>
  </si>
  <si>
    <t>COG0607</t>
  </si>
  <si>
    <t>Rhodanese-related sulfurtransferase (PspE) (PDB:1TQ1)</t>
  </si>
  <si>
    <t>MKSVTVTEVPDEAQLIDVREPDEYAAGHAQHAINIPMSEFAQRVGEVDTNRDVYVICLSGGRSARVCEYLDAH----DIACINVEGGTSAWEAAGLPMS</t>
  </si>
  <si>
    <t>MKSVTVTEVPDEAQLIDVREPDEYAAGHAQHAINIPMSEFAQRVGEVDANRDVYVICLSGGRSARVCEYLDAH----DIACINVEGGTSAWEAAGLPMS</t>
  </si>
  <si>
    <t>MNNVTVSEVPADAQIIDVREPSEYAQGHAQGAINIPLGSVVERSGELDTSRDVYVICQLGGRSAKAAEALESHLKPQSFTIHNISGGTEAWIAASLPTA</t>
  </si>
  <si>
    <t>MNNVTVSEVPADAQIIDVREPSEYAQGHAQGAINIPLGSVVERSGELDTSRDVYVICQLGGRSAKAAEALESHLKPQSFTIHNISGGTEAWIAAGLPTA</t>
  </si>
  <si>
    <t>GC_00001158</t>
  </si>
  <si>
    <t>COG1123</t>
  </si>
  <si>
    <t>ABC-type glutathione transport system ATPase component, contains duplicated ATPase domain (GsiA)</t>
  </si>
  <si>
    <t>MADTSADTNTGLAAEANIIDIDNVSVTYAAAPERPVLENVNFAPQPG-ITLLCGASGSGKSSVLRLINGLIPHFHAVTQTGTVRLGSKLVADMQLYEIGKSCATVFQNPRTQFFTTEVDSELAFAGQNFQVPADELLRRSAAALRDVGITDLAGRSLRTLSGGQVQKVACAQAVAQTTPIILFDEPTSNLDPAAITEFAALLGRLKAQGKTIIIAEHRLYFLRGLVDQVLLIVGGRVAHMYTGEEFFGLG-AKAQELGLRTLEKPQLNRVPEPSPAE-RGVHVRGVQVSFGGRRVLDIADMCFPEGKVTGIIGPNGAGKTTLARVLCGLQRVQAGT----------------IEFSAKPGRAFLVMQDVHRQLFTESVAQEAGPEFLAQLGLDQLADRHPLSLSGGQKQRLVCATALSMDVPVLLFDEPTSGVDYHHLKLVAELLRGLAADGKTVIVISHDIEFLNHCVDHIVQLAPLG---</t>
  </si>
  <si>
    <t>MADTSADTNTGLAAEANIIDIDNVSVTYAAAPERPVLENVNFAPQPG-ITLLCGASGSGKSSVLRLINGLIPHFHAVTQTGTVRLGSKSVADMQLYEIGKSCATVFQNPRTQFFTTEVDSELAFAGQNFQVPADELRKRSAAALRDVGITDLAGRSLRTLSGGQVQKVACAQAVAQTTPIMLFDEPTSNLDPAAIIEFAALLGRLKAQGKTIIIAEHRLYFLRGLVDQVLLIVGGRVAHMYTGEEFFGLG-AKAQELGLRTLEKPQLNRVPEPSPAE-RGVHVRGVQVSFGGRRVLDIADMCFPEGKVTGIIGPNGAGKTTLARVLCGLQRVQAGT----------------IEFSAKPGRAFLVMQDAHRQLFTESVAQEAGPEFLAQLGLDQLADRHPLSLSGGQKQRLVCATALSMDVPVLLFDEPTSGVDYHHLKLVAELLRGLAADGKTVIVISHDIEFLNHCVDHIVQLAPLG---</t>
  </si>
  <si>
    <t>GC_00001159</t>
  </si>
  <si>
    <t>PF05201.20</t>
  </si>
  <si>
    <t>Glutamyl-tRNAGlu reductase, N-terminal domain</t>
  </si>
  <si>
    <t>K02492</t>
  </si>
  <si>
    <t>glutamyl-tRNA reductase [EC:1.2.1.70]</t>
  </si>
  <si>
    <t>COG0373</t>
  </si>
  <si>
    <t>Glutamyl-tRNA reductase (HemA) (PDB:2XOE)</t>
  </si>
  <si>
    <t>KEGG Orthology (KO)&gt;&gt;&gt;09100 Metabolism&gt;&gt;&gt;09108 Metabolism of cofactors and vitamins&gt;&gt;&gt;00860 Porphyrin metabolism [PATH:ko00860]|Enzymes&gt;&gt;&gt;1. Oxidoreductases&gt;&gt;&gt;1.2  Acting on the aldehyde or oxo group of donors&gt;&gt;&gt;1.2.1  With NAD+ or NADP+ as acceptor&gt;&gt;&gt;1.2.1.70  glutamyl-tRNA reductase</t>
  </si>
  <si>
    <t>MSVLVVGMSHRSAPVSVLEQVSMTDEACSATTRALLDRPSLTEAMIVSTCNRVEVYAVTSSFHTGVNDVVEVLHQESGLPTEVLRRHLYVHHADAAAEHMLVVASGLDSMVVGEQQIIGQVRSAYQQANSNNTVGRTLHALAQSALHTGKRVHSETDIDDAGASMVSFACAEAMRRMGLGGDNNTENNTLEGKTALVLGAGVMASLAATHLGKLGVDKLIVANRTRSRAEILAEHAREAGVPAEVVDFADRAAALARVDLVVSATGADSFTITADDVANVTHPVMLIDLSLPRDIDDTVTDQDGVSLVNIESLHQTQQRNPDEQQSQALAIVAEELEAYSSAQRVRDVVPAVAALRKMASELVDTELQRLGQRTPTMDESDREEVGRAVRRVVDKLLHQPTVRAKELAARSGTVSYDSALQELFGLEEQL--------------------------------------</t>
  </si>
  <si>
    <t>MSVLVVGMSHRSAPVSVLEQVSMTDEACSATTRALLDRPSLTEAMIVSTCNRVEVYAVTSSFHTGVNDVVEVLHQESGLPTEVLRRHLYVHHADAAAEHMLVVASGLDSMVVGEQQIIGQVRSAYQQANSNNTVGRTLHALAQSALHTGKRVHSETDIDDAGASMVSFACAEAMRRMGLGGDNNTENNTLEGKTALVLGAGVMASLAATHLGKLGVDKLIVANRTRSRAEILAEHAREAGVPAEVVDFADRAAALAQVDLVVSATGADSFTITTDDVENLTHPVMLIDLSLPRDIDDTVTDQDGVSLVNIESLHQTQQRNPDEQQSQALAIVAEELEAYSSAQRVRDVVPAVAALRKMASELVDTELQRLGQRTPTMDESDREEVGRAVRRVVDKLLHQPTVRAKELAARSGTVSYDSALQELFGLEEQL--------------------------------------</t>
  </si>
  <si>
    <t>GC_00001160</t>
  </si>
  <si>
    <t>MTELNTQEQTQAHNTQEHTTHSHGMHAAPSQTAGVQSVQERIDYLMSYTPTGLFMNGDYTDASDGGTFAVYNPSTGAELAQVASATAEDARRALDMAVDKQAEWAAMSTRERSEILYRTYELLLDVTSELSLLQSLELGRALPDCQAEVAYAAEFFRWFAEEAVRVRGDFRPSPTDNARFLVTQQPVGPVLAVTPWNFPLAMGARKLAPALAAGCTAIVKPASKTPLTMLYLAVVLRESGLPDGVLSVLPTANASVISDLLDDPRLRKLTFTGSTGVGQQLAAKAAQHTTRVSLELGGNAPYIVLDDAAVDLAAREVAVAKMRGAGQVCIAANRFLVHESLVDEFVPAVVEQMKSFTMGPGYEDGVTLGALSGPDQVDSVAELVDDAIVAGATLCLGGIREEG---EGSFYPATVLTEVPAESRIAKEEIFGPVVAIQTFSTDAEAIRLANDTHFGLAAYVFSESLERALNVAESLEVGMVSINKGALSDPAAPFGGVKESGVGREGGFEGIREFLETKLISIPPR</t>
  </si>
  <si>
    <t>MTELNTQEQTQAHNTQEHTTHSHGMHAAPSQTAGTQSVQERIDYLMSYTPTGLFMNGDYTDASDGGTFAVYNPSTGAELAQVASATAEDARRALDIAVDKQAEWAAMSTRERSEILYRTYELLLDVTSELSLLQSLELGRALPDCQAEVAYAAEFFRWFAEEAVRVRGDFRPSPTDNARFLVTQQPVGPVLAVTPWNFPLAMGARKLAPALAAGCTAIVKPASKTPLTMLYLAVVLRESGLPDGVLSVLPTANASVISDLLDDPRLRKLTFTGSTEVGQQLAAKAAQHTTRVSLELGGNAPYIVLDDAAVDLAAREVAVAKMRGAGQVCIAANRFLVHESLVDEFVPAVVEQMKSFTMGPGYEDGVTLGALSGPDQVDSVAELVDDAIVAGATLCLGGIREEG---DGSFYPATVLTEVPAESRIAKEEIFGPVVAIQTFSTDAEAIRLANDTHFGLAAYVFSESLERALNVAESLEVGMVSINKGALSDPAAPFGGVKESGVGREGGFEGIREFLETKLISIPPR</t>
  </si>
  <si>
    <t>---------------------------------------MDITALLATTPTNLFIDGEFVPSDTNDTFPVINPSDGTRLARVASASEADARRALAAAVRAGADWANTPSRERSTILHRAFELILDHGEELAWLQSLELGRALPDSRAEVSYGAEFFRWFAEEAVRIRGDYRHNPTGTGRIVVTHQPVGPCLAITPWNFPLAMGTRKLGPALAAGCTMIVKPASKTPLTMLYLAQLLARAGVPRGVVAVLPTKSAS</t>
  </si>
  <si>
    <t>---------------------------------------MDITALLATTPTNLFIDGEFVPSDTNDTFPVINPSDGTRLARVASASEADARRALAAAVRAGTDWANTPSRERSTILHRAFELILDHGEELAWLQSLELGRALPDSRAEVSYGAEFFRWFAEEAVRIRGDYRHNPTGTGRIVVTHQPVGPCLAITPWNFPLAMGTRKLGPALAAGCTMIVKPASKTPLTMLYLAQLLARAGVPRGVVAVLPTKNAS</t>
  </si>
  <si>
    <t>GC_00001161</t>
  </si>
  <si>
    <t>K08217</t>
  </si>
  <si>
    <t>MFS transporter, DHA3 family, macrolide efflux protein</t>
  </si>
  <si>
    <t>COG2271</t>
  </si>
  <si>
    <t>Sugar phosphate permease (UhpC) (PDB:1PW4)</t>
  </si>
  <si>
    <t>ko02000|ko01504</t>
  </si>
  <si>
    <t>Transporters&gt;&gt;&gt;Major facilitator superfamily (MFS)&gt;&gt;&gt;Drug transporters&gt;&gt;&gt;Drug:H+ antiporter-3 (12 spanner) (DHA3) [TC:2.A.1.21]|Antimicrobial resistance genes&gt;&gt;&gt;Gene variants&gt;&gt;&gt;Macrolide resistance genes&gt;&gt;&gt;Transporters</t>
  </si>
  <si>
    <t>---MTTHPVTRHPGAAWLYLGSGLSSALGNAISNVVWPWLVLHRTGDPAAAGLVATCILLPSIIVAIMGGDVIDRYGRKRISVISDIISAVSVVWLIAVDTTVGATLPWFIAIGIFGAVGDVPGMAARTALVGDISERSGKSLDWLAGANQSIMGVCYLVGPALAGVLLGHLPITWILWLTAACSGIAALMTWVIRLNAHHAPAEHSSVRGTVTVWRDVVKHPMLRPILVVEIVIAMAVFPYLMVILPAHFTHTN</t>
  </si>
  <si>
    <t>MTPPTSINTPPNPNAAYLYLGATFLSAFGNAIANVIWPWLVLQRTGDPAAAGLVTTCIVLPSAAFALIGGNLIDRFGRKRMSIISDIISAASVIALITVDATTGLTMAWFIALGIIGAVGDVPGMAARTALVGDISERSGKTTDWLAGASQGMSGISFLLGPAFAGFMLSAINMTSILWITAGCSATAALLTALITLGTQKPGQEHSTPAPEWAIWREILHIPAIRLFAIITLMTQILVSPFIMVLLPAHFESINNSTALGFALSSYAIGMIVGGTIIAQVGTSHRR-LIWAIAMGFNGLAFIGIAWLSLTPIVIAGMLTAGIAGGMMQPIVTVLVTETIPTSRRGQAFSLFTAVGSLTGPIGLAATTVALGLTSVYRVAMVCGLTGVVVMVGAAIAGVRVLYDVAAR--</t>
  </si>
  <si>
    <t>---MTTHPVTRHPGAAWLYLGSGLSSALGNAISNVVWPWLVLHRTGDPAAAGLVATCILLPSIIVATMGGDVIDRYGRKRISVISDIISAVSVVWLIAVDTTVGATLPWFIAIGIFGAVGDVPGMAARTALVGDISERSGKSLDWLAGANQSIMGVCYLVGPALAGVLLGQLPITWILWLTAACSGIAALMTWVIRLNAHHAPAEHSSVRGTVTVWRDVVKHPMLRPILVVEIVIAMAVFPYLMVILPAHFTHTN</t>
  </si>
  <si>
    <t>MTPPTSTNTPPNPNAAYLYLGATFLSAFGNAIANVIWPWLVLQRTGDPAAAGLVTTCIVLPSAAFALIGGNLIDRFGRKRMSIISDIISAASVIALITVDATTGLTMAWFIALGIIGAVGDVPGMAARTALVGDISERSGKTTDWLAGASQGMSGISFLLGPAFAGFMLSAMNMTSILWITAGCSATAALLTTFITLGTQKPGQEHSTPAPEWAIWREILHIPAIRLFAIITLMTQILVSPFIMVLLPAHFESINNSTALGFALSSYAIGMIVGGTIIAQVGTSHRR-LIWAIAMGFNGLAFIGIAWLSLTPIVIAGMLTAGIAGGMMQPIVTVLVTETIPTSRRGRAFSLFTAVGSLTGPIGLAATTVALGLTSVYRVAMVCGLTGVVVMVGAAIAGVRVLYDVAAR--</t>
  </si>
  <si>
    <t>GC_00001162</t>
  </si>
  <si>
    <t>MRRIKLAIVATCTAVAAATTITPAHA-ADVEPNTLAALSEEVKENGVLKTAYMVLWEVAMLPVALSFALSMEPGMI---</t>
  </si>
  <si>
    <t>MRRIKLAIVATCAAVAAATIT-PAYAMDDVEPDTSTALSQGIKEYGLLKTAYLVLWDIVTFPVLLSLGPLIKPNMTPQF</t>
  </si>
  <si>
    <t>MRRIKLAIVATCAAVTAATITTPAYA-ADVEPNTLAALSEEVKENGVLKTAYMVLWEVAMLPVALSISLSVEPGMI---</t>
  </si>
  <si>
    <t>MRRIKLAIIATCTAIATATTITPAYA-ADVEPDTSTALSQEIEQNSVFKTIYSVLWDIVTFPLALSIVPLMKPRMAPQF</t>
  </si>
  <si>
    <t>GC_00001163</t>
  </si>
  <si>
    <t>MNKAGLQTLNDVAWAEVTHAY-GPAVDAPDMLRQLMEGGDDLEEATEFLFGVLTHQGTLYSATLPVMRFCVRVLDQLSADATEQVVAWIQFVGSLTRTSPEAPYAAELRAEAISVVEALLALDAKKGGEYYTRALGAWC--CDAENGLSDRVRTRLQECPVDGGTLAALGTWGGDLSTYLTSDDLGVRAAAAFHDRSNAGTAALIDVLGDPDIEDVWLE-IEPEGRLDDVADELLTRNLGAIPEAERAQLESLAVLYASTNFMPWEHFLQLINAGNGNGVLDADATRRFLHAVVDNDFLWQT--PYAAAALVEAGLPGDREELREMVGEASL</t>
  </si>
  <si>
    <t>MNKTDQQALNDVAWAEVTHAY-GPAVDAPDMLRQLMEGGDDLEEATEFLFGALTHQGTLYSATLPVLRFCVRVLDQLSVEATEQVVAWIQFVGSLTRTSPEAPYAAELRAEAISVVEALLALDAEEGGEYYTRALGAWR--CDAENGLSDRVRTRLQECPVDGGTLAALGTWGGNLSTYLTSDDLGVRAAAAFHDRSNAGTAALIEVLGDPDIEDVWLE-IEPEGRLDDVADELLTRNLGALPEADRVQLESLAVLYASTNFMPWEHFLQLINAGNGNGVLDADATRRFLHAVVDNDFLWQT--PYAAAALVEAGLPGDREELREMVGGAGL</t>
  </si>
  <si>
    <t>MSQDEQQKQNDDAWAEIRAAISAPEVELLELLIK-DDSGDDLNEAFEYLFGTAVHQGTLYDITLPVLRFCVRMLDQFSPEATEWVVIWIQLVGSLIRDYPENPYAIQLHKENVSVVEALLALDAEKRSEYYTRALGAWAWYFDAEDELAYRVRARLREYPVDGGTLAALGAWGGDTSAYLTSDDLGVRTAAAFHDRSKAGTAALIEVLSDPKTEDVWEQIIEPDGRIDDVVEELVARDLSGIAEAERAHLESLPVFCLSIYYQPWEPFLQLINIGNGNGVLNTEATARFLGAVVDDDSLWYNENQFTTDALKKAGLPSSRKELRKLVKSMGD</t>
  </si>
  <si>
    <t>MSQEEQQKRNDDAWTEICAAISSPEVELLELLIK-DDSG-DLNEAVEYLFGTAVHQGTLYDITLPVLRFCIRMLDQFSPEATEWVVVWIQLVGSIIRDVPEDPYAIQLHKENASVVEALLALDAKKGGEYYTRALGAWAWYFDAEDELAYRVRARLRGYPVDGGTVAALGAWGGDTSAYLTSDDLGVRTAAAFHDRSEAGTAALIEVLSDPKTEDVWEQIIEPDGRIDDVVEELVARDLSGIAEAERTRLESLPVFCLSIYYQPWKPFLQLINIGNGNGVLNTEATARFLGAVVDDDSLWYND-PYTTDALKKAGLPSSRKELRKLVKSMKD</t>
  </si>
  <si>
    <t>GC_00001164</t>
  </si>
  <si>
    <t>PF01128.25</t>
  </si>
  <si>
    <t>2-C-methyl-D-erythritol 4-phosphate cytidylyltransferase</t>
  </si>
  <si>
    <t>K00991</t>
  </si>
  <si>
    <t>2-C-methyl-D-erythritol 4-phosphate cytidylyltransferase [EC:2.7.7.60]</t>
  </si>
  <si>
    <t>COG1211</t>
  </si>
  <si>
    <t>2-C-methyl-D-erythritol 4-phosphate cytidylyltransferase (IspD) (PDB:1H3M)</t>
  </si>
  <si>
    <t>KEGG Orthology (KO)&gt;&gt;&gt;09100 Metabolism&gt;&gt;&gt;09109 Metabolism of terpenoids and polyketides&gt;&gt;&gt;00900 Terpenoid backbone biosynthesis [PATH:ko00900]|Enzymes&gt;&gt;&gt;2. Transferases&gt;&gt;&gt;2.7  Transferring phosphorus-containing groups&gt;&gt;&gt;2.7.7  Nucleotidyltransferases&gt;&gt;&gt;2.7.7.60  2-C-methyl-D-erythritol 4-phosphate cytidylyltransferase</t>
  </si>
  <si>
    <t>MPARRVTALLAAAGKGSRLGAPIPKAFVSLRGVSLVERSIRGMVTSDVVDQIIVLVSPDMEDYALELFAKRGVFELGVGIRLVHGGGERADSVWAGLQAI--EEDDGIVLIHDSARALTPPGLIARVAQSVLAGNAAVIPVLPVADTIKRVAEGAVVDTPPRDTLRAVQTPQGFDLRTLRAANQEFFAQSHPSFTPTDDASLMEWYGQRVLCVPGDPMAFKVTTPMDMVMAQHITDDVEPTIFEVPSD</t>
  </si>
  <si>
    <t>MPARRVTALLAAAGKGSRLGAPIPKAFVSLRGVSLVERSIRGMVTSGVVDQIIVLVSPDMEDYARELFAKRGVFELGVDIRLVHGGGERADSVWAGLQAI--EEDDGIVLIHDSARALTPPGLIARVAQSVLAGNAAVIPVLPVADTIKRVAEGAVVDTPPRDTLRAVQTPQGFDLRTLRAANQEFFAQSHPSFTPTDDASLMEWYGQRVLCVPGDPMAFKVTTPMDMVMAQHITDDVEPTIFEVPSD</t>
  </si>
  <si>
    <t>----MVIAIIAAAGQGTRLGADLPKAYVELAGRTLMERSVRAMIDAG-VDHIIVVIMPAMEETARRILADYP------DVQLVHGAGERVDSVWRGIQVIPTTDDDAVVLIHDSARALTPPDMIRRVAQAVTGDVRAVIPVLPVADTIKRVADTVVVDTPARADLRIVQTPQAFRLGTLREANQTYFRD--PSFTVTDDASLVEHLNIPVHCVPGDPLAMKITTPIDLTLAAALL-------------</t>
  </si>
  <si>
    <t>----MVIAIIAAAGQGARLGADLPKAYVELAGQTLMERSVRAMIDAG-VDHIIVVIMPAMEETARRILADYP------DVQLVHGAGERVDSVWRGIQAIPTTDDDAVVLIHDSARALTPPDMIRRVTQAVTGDVQAVIPVLPVADTIKRVAATVVVDTPARADLRIVQTPQAFRLGTLREANQTYFRD--PSFTVTDDASLVEHLNIPVHCVPGDPLAMKITTPIDLTLAAALL-------------</t>
  </si>
  <si>
    <t>GC_00001165</t>
  </si>
  <si>
    <t>PF01925.25</t>
  </si>
  <si>
    <t>Sulfite exporter TauE/SafE</t>
  </si>
  <si>
    <t>K07090</t>
  </si>
  <si>
    <t>COG0730</t>
  </si>
  <si>
    <t>Sulfite exporter TauE/SafE/YfcA and related permeases, UPF0721 family (TauE) (PUBMED:21183667;22797525)</t>
  </si>
  <si>
    <t>MRKLLLIAVAGAAAELIDGTLGMGFGVTASTVLIVLAGLGPAQASAIVHTAELGTTLASGVSHWKFGNVDWGVVLRLGVPGATGAFLGATLLSHMSTAVAAPVTAGILCVLGVVLVAKFARGASAPPPMKQPYNPVFLAVLGVCGGFIDASGGGGWGPVTSSTLMSLGRTEPRRVIGAVNTAEFLVTLAATLGFALGMWHDLVANAVAVAGLLLGGVIAAPLAAWLVSRVNPFLLGGVVGTSLVFLNSPKVLALMEFSDRTVLGMRLLILFGGLSLSVVGVWRSTRRGVV---------------GGPTAGEREPAMATA---------</t>
  </si>
  <si>
    <t>MRKLLLIAVAGAAAELIDGTLGMGFGVTASTVLIVLAGLGPAQASAIVHTAELGTTLASGVSHWKFGNVDWGVVFRLGVPGATGAFFGATLLSHMSTAVAAPVTAGILCVLGVVLVAKFARGASAPPPMKQPYNPVFLALLGVCGGFIDASGGGGWGPVTSSTLMSLGRTEPRRVIGAVNTAEFLVTLAATLGFALGMWHDLVANAVAVAGLLLGGVIAAPLAAWLVSRVNPFLLGGVVGTSLVFLNSPKVLALMEFSDRTVLGIRLLILLGGLSLSVVGVWRSTRRGVV---------------GGPTAGEREPAMATA---------</t>
  </si>
  <si>
    <t>GC_00001166</t>
  </si>
  <si>
    <t>K01823</t>
  </si>
  <si>
    <t>isopentenyl-diphosphate Delta-isomerase [EC:5.3.3.2]</t>
  </si>
  <si>
    <t>COG1443</t>
  </si>
  <si>
    <t>Isopentenyldiphosphate isomerase (Idi) (PDB:1NFS)</t>
  </si>
  <si>
    <t>M00095|M00849|M00096|M00364|M00365|M00366|M00367</t>
  </si>
  <si>
    <t>C5 isoprenoid biosynthesis, mevalonate pathway|C5 isoprenoid biosynthesis, mevalonate pathway, archaea|C5 isoprenoid biosynthesis, non-mevalonate pathway|C10-C20 isoprenoid biosynthesis, bacteria|C10-C20 isoprenoid biosynthesis, archaea|C10-C20 isoprenoid biosynthesis, plants|C10-C20 isoprenoid biosynthesis, non-plant eukaryotes</t>
  </si>
  <si>
    <t>Pathway modules; Biosynthesis of terpenoids and polyketides; Terpenoid backbone biosynthesis|Pathway modules; Biosynthesis of terpenoids and polyketides; Terpenoid backbone biosynthesis|Pathway modules; Biosynthesis of terpenoids and polyketides; Terpenoid backbone biosynthesis|Pathway modules; Biosynthesis of terpenoids and polyketides; Terpenoid backbone biosynthesis|Pathway modules; Biosynthesis of terpenoids and polyketides; Terpenoid backbone biosynthesis|Pathway modules; Biosynthesis of terpenoids and polyketides; Terpenoid backbone biosynthesis|Pathway modules; Biosynthesis of terpenoids and polyketides; Terpenoid backbone biosynthesis</t>
  </si>
  <si>
    <t>KEGG Orthology (KO)&gt;&gt;&gt;09100 Metabolism&gt;&gt;&gt;09109 Metabolism of terpenoids and polyketides&gt;&gt;&gt;00900 Terpenoid backbone biosynthesis [PATH:ko00900]|Enzymes&gt;&gt;&gt;5. Isomerases&gt;&gt;&gt;5.3  Intramolecular oxidoreductases&gt;&gt;&gt;5.3.3  Transposing C=C bonds&gt;&gt;&gt;5.3.3.2  isopentenyl-diphosphate Delta-isomerase</t>
  </si>
  <si>
    <t>MRTPASDTELVVLIGPDGRPAGTHPKATVHTTNTPLHYAFSCYLTRPDGQVLLTRRALAKPTWPGVWTNSMCGHPGPGETPEAALRRRASQELGISPAALDDARLILPDFSYRATDSSGIVEWEVCPVFMAVVAGEIAPNPEEVDSWQWLPGADVLRAVEATPFAFSPWMREQIDHTALREALLA---</t>
  </si>
  <si>
    <t>MRTPASDTELVVLIGPDGRPAGTHPKATVHTTNTPLHYAFSCYLTRPDGQVLLTRRALAKPTWPGVWTNSMCGHPGPGETPEAALRRRASQELGISPAALDDARLILPDFSYRATDSSGIVEWEVCPVFMAVVAGEIAPNPEEVDSWQWLPGADVLRAVEATPFAFSPWMREQLDHTALREALLA---</t>
  </si>
  <si>
    <t>GC_00001167</t>
  </si>
  <si>
    <t>K24699</t>
  </si>
  <si>
    <t>TetR/AcrR family transcriptional regulator, regulator of mycofactocin system</t>
  </si>
  <si>
    <t>MTPSPKWDRTHTHIQLVALELFTHQGYSATTTAQIAAVAEVSQMTLFRHFPTKESLILQDPFDPAIAEAVEKRPAKETPLRAITAGIQSLLDTFTPDVEEQLRTRLRIVADNPELAAAAIHSNDETITAIATALTSRGVDKLTATAVATAVIAGLTRALIDWSTHINQPLMPTLHGVLHALAGTHA</t>
  </si>
  <si>
    <t>MTPSPKWDRTHTHIQLVALELFTHQGYSATTTAQIAAVAEVSQMTLFRHFPTKESLILQDPFDPAIAEAVEKRPAKETPLHAITAGIQSLLDTFTPDVEEQLRTRLRIVADNPELAAAAIHSNDETITAIATALTSRGVDKLTATAVATAVIAGLTRALIDWSTHINQPLMPTLHGVLHALAGTHA</t>
  </si>
  <si>
    <t>MTPSPKWDRTHTHIQLAALELFTHQGYSATTTAQIAAVAEVSQMTLFRHFPTKESLILQDPFDPAIAEAVEKRPAKEAPLRAIIAGIQSLLDTFTPDVEERLRTRLRIVAENPELAAAAIHSNDETITAIATALTARGVDKLTATALATAVIAGLTRALIDWSTHINRPLMPTLRGVLHALAGTHA</t>
  </si>
  <si>
    <t>MTPSPKWDRTHTHIQLAALELFTHQGYSATTTAQIAAVAEVSQMTLFRHFPTKESLILQDPFDPAIAEAVEKRPAKEAPLRAITAGIQSLLDTFTPDVEERLRTRLRIVAENPELAAAAIHSNDETITAIATALTARGVDKLTATALATAVIAGLTRALIDWSTHINRPLMPTLRGVLHALAGTHA</t>
  </si>
  <si>
    <t>GC_00001168</t>
  </si>
  <si>
    <t>PF13520.12</t>
  </si>
  <si>
    <t>K03758</t>
  </si>
  <si>
    <t>arginine:ornithine antiporter / lysine permease</t>
  </si>
  <si>
    <t>COG0531</t>
  </si>
  <si>
    <t>Serine transporter YbeC, amino acid:H+ symporter family (PotE) (PDB:3LRB)</t>
  </si>
  <si>
    <t>-------------------------------MSLIIGSTIGTGIFALPQNAASVAGPGAMLIGWSIAGVGMLSVAFVFQILASRKPHLDSGVYSYVRAGLGDFVGFASAWGYWMGSVIAQVGYATLFFSTLGHYLPLFSAE-NRWASAMAVSLLTWLIFFGLTRGIRQAAFLNLVTTVAKILPILAFVLLTAFLGFSWDRFTMDFWSHSSNVSVIEQVKGFMVFTVWAFIGVEGASVYSKQARTRRDVGRATVIG</t>
  </si>
  <si>
    <t>MTANSTPPPPTADSTDSAGAQRQHTVRVWTLVGIIIGSTIGSGIFALPQNIASAAGPGAMFIGWFIAGVGMLSIAFVFQILAYRKPHLDSGVYAYVRAGLGDYIGFIAGFGYWLGSIIAQVGYATLFFSTLGHYLPIFDTEQHRWAQALAVSALTWIIFGVLTRGIKQAKIMNAITTVAKLVPILAFVVLVAFLGFSIDTFTMDFWGESSGLSVMKQVQGIMLFTVWAFIGIEGASVYSKQAQTRSDVGRATVLGFTTVLLLLVTVSTLSYGVLSQEELAALPDNSLAAVLEAVVGPWGGALISVGLCLSMLGAYVSWQMLCAEPLVMMAFDGLLPRRIGVINAAGSPWMAQLICTVLIQVWIVVFYVNETAYTSMVQLATMLYLSPYIFSALYLILLVVRGRGFNT----AELDDGVPQDKAN-NRRHLIIGLIAFVYSLWLVYAADPKYVLLGALATFPSIIPYMWYRHHLGRRIFTMYEWGVVVLLLVGAIIAAWGLAAGTITL-</t>
  </si>
  <si>
    <t>MTANSTPPPPTADSTDSAGAQRQHTVRVWTLVGIIIGSTIGSGIFALPQNIASAAGPGAMFIGWFIAGVGMLSIAFVFQILAYRKPHLDSGVYAYVRAGLGDYIGFIAGFGYWLGSIIAQVGYATLFFSTLGHYLPIFDTEQHRWAQALAVSALTWIIFGVLTRGIKQAKIMNAITTVAKLVPILAFVVLVAFLGFNIDTFTMDFWGESSGLSVMEQVQGIMLFTVWAFIGIEGASVYSKQAQTRSDVGRATVLGFTTVLLLLVTVSTLSYGVLSQEELAALPDNSLAAVLEAVVGPWGGALISVGLCLSMLGAYVSWQMLCAEPLVMMAFDGLLPRRIGVINAAGSPWMAQLICTVLIQVWIVVFYVNETAYTSMVQLATMLYLSPYIFSALYLILLVVRGRGFNT----AELDDGVPQDKAN-NRRHLIIGLIAFVYSLWLVYAADPKYVLLGALATFPSIIPYVWYRHHLGRRIFTMYEWGVVVVILVGAIIAAWGLASGTITL-</t>
  </si>
  <si>
    <t>GC_00001169</t>
  </si>
  <si>
    <t>K14155</t>
  </si>
  <si>
    <t>COG1168</t>
  </si>
  <si>
    <t>Bifunctional PLP-dependent enzyme with beta-cystathionase and maltose regulon repressor activities (MalY) (PDB:4DGT)</t>
  </si>
  <si>
    <t>ko00001|ko00001|ko01000|ko01007</t>
  </si>
  <si>
    <t>KEGG Orthology (KO)&gt;&gt;&gt;09100 Metabolism&gt;&gt;&gt;09105 Amino acid metabolism&gt;&gt;&gt;00270 Cysteine and methionine metabolism [PATH:ko00270]|KEGG Orthology (KO)&gt;&gt;&gt;09100 Metabolism&gt;&gt;&gt;09106 Metabolism of other amino acids&gt;&gt;&gt;00450 Selenocompound metabolism [PATH:ko00450]|Enzymes&gt;&gt;&gt;4. Lyases&gt;&gt;&gt;4.4  Carbon-sulfur lyases&gt;&gt;&gt;4.4.1  Carbon-sulfur lyases (only sub-subclass identified to date)&gt;&gt;&gt;4.4.1.13  cysteine-S-conjugate beta-lyase|Amino acid related enzymes&gt;&gt;&gt;Aminotransferase (transaminase)&gt;&gt;&gt;Class II</t>
  </si>
  <si>
    <t>MDFPSLTELKARNTLKWTRYGDDVLPLWVAESDFSTCPEVKAAIMDAVQRESFGYPPDGH-GLAPALAAFSTTRYGWDINPARIFPVPDVVRGVYLALSFLTKPESPTIIPAPAYMPFWELTAATGRETMVIDAYGGLDLNDIEDCFKRGAGSLILCNPYNPLGYTFSREFLIELADLTARYDARIISDEIHGPLVYDG-THIPAASVSDTAAQVCVTVTATSKAWNIAGLKCAQMIFTNDEDVARWNAVPWMLRDGVSILGLVAAQACYEAPTSFLDDQVAQLKANRDFLVEELPKRAPGVLTANPEATYLMWLDFRNTPLADQPAAQLMRKSTIALNEGTTFGQGGEGHARLNFACSPGTLEIAIDRIASAVAG</t>
  </si>
  <si>
    <t>MDFPSLTELKARNTLKWTRYGDDVLPLWVAESDFSTCPEVKAAIMDAVQRESFGYPPDGH-GLTPALAAFSTTRYGWDIDPARIFPVPDVVRGVYLALSFLTKPESPTIIPAPAYMPFWELTAATGRETMVIDAYGGLDLNDIEDCFKRGAGSLILCNPYNPLGYTFSREFLIELADLTARYDARIISDEIHGPLVYDG-THIPAASVSDTAAQVCVTVTATSKAWNIAGLKCAQMIFTNDEDVARWNAVPWMLRDGVSILGLVAAQACYEAPTSFLDDQVAQLKANRDFLVEELPKRAPGVLTANPEATYLMWLDFRNTPLADQPAAQLMRKSKIALNEGTTFGQGGEGHARLNFACSPDTLEIAIDRIASAVAG</t>
  </si>
  <si>
    <t>--------------MKWTRYGADVLPLWVAESDFVTCPAVVDAVQAAVSAESFGYPAENQSGLAEATTDFYQDRYGFVARPEWVHPVADVVRALLISIEHFTTPGSKVIVPVPAYPPFFQLLQATGREGIFVESF---DLGELRKAFAQGAGCLLLCNPYNPLGFVFEREELVGITDLAAEFGARVLVDEIHAPLVYDGQQHVVAAGVSETAARVCITATATSKAWNTAGLKCAQIIFSNADDERVWRGLTNATK</t>
  </si>
  <si>
    <t>--------------MKWTRYGADVLPLWVAESDFATCPAVVDAVQAAVSAESFGYPAENQSGLAEATADFYRDRYGFTARPEWVHPVADVVRALLISIEHFTTPGSKVIVPVPAYPPFFQLLQATGREGIFVESF---DLGELRKAFEQGAGCLLLCNPYNPLGFVFEREELVGITDLAAEFGARVLVDEIHAPLVYDGRQHVVAAGVSETAARVCITATATSKAWNTAGLKCAQIIFSNADDERVWQGLTNATK</t>
  </si>
  <si>
    <t>GC_00001170</t>
  </si>
  <si>
    <t>MVSSSKSHYPSRRSRRTAAVIATSLLTSSVSPVTAFAQDPVKDANNFVQGLAGNLPQAPAMPGLPAASPPANGGTETKPSDTAATPSATTPSSPNIANLVPTDVTKAPQDVVDKVTQGVQAFNDTVKAPEETFEVEVEGEGAPDKAKVTITKKITDPANGKVHLKGENWKNKDNKGSTILVRLKGYNAQTGAETIFKQENPASQQSPADGKAADPEIYWKIEAKEDGTFEGDYDLPKNLIPGQGLKLEFETGAAPNDFNRNKTTESLVIGGIEYVEIQAASARAVPRAMAAEAAAKAAEIEST-------AKAEVQALSSAAVNAAI-PQTPGGSAEPTDSDKATAPTTPSATPSTQPPAPSATQTPPSTTPSTSGTASSKTSTPPNNLGTSQSTTASTQPPKDDKKQNDSSSTDTIKDINYLLKEIKNFDKAFENLLGAAALAALSSSGGSNIPGLPGGSNNSTKTTAPTTPRAGGQAGNAGGNKTGTGTSGNGTAGKAPTGSTSGGKSTTGGAAAGTKTTQKGTSTNALSGLGSLSSLLGGTGRGTSVGGTRTSGTTTGGATRSTNGTGATRTTTGTNGTSPATGARVINPNTNGRAAAGARAAGAAGAGSAKATTSNSASASSKPQPKHTPKPPVKTRDQLTQKNAHGVTGTLKNETLTMKIPRLKSGDWAYLYIYSADTTQKPVGVAWAQLDSTGSVKLDTKDLPDGEYTVAAVDEKDQLVGWVDMKLGEIKNAAV---EGDNNDKVVAAQAGVMSATDWWMIGASMLIPLLTASMIYAFRRPRRS-</t>
  </si>
  <si>
    <t>MVSSSKSHYPSRRSRRTAAVITASLLTSSVSPVTAFAQDPVKDANNFVQGLAGNLPQAPAMPGIPAAPPPANGGNETKPSDTAAAPSATTQALPDLANSVPTDATKATQDVVDKVTQGVQAFNDTVKAPEETFELEVDGEGTTDKAKVTITKKITDPANGKVHLKGENWKNKDNKGSTILVRLKGYDAQTGAENIFKQENPASQQSPADGKAADPEIYWKIEAKEDGTFERDYDLP-NLTPGQGLKLEFETNAATNDFSRKKTTESLVIGGTEYVEKQAAPARAVPRAMAAEAAAKAAEIESTAKEAAESAKAEASATGSAVANAVMAPQAPGGSAEPTDSGKATASTTPSAAPSTQPSTSSTAQTPPSTTPSTSGTASSKTSTPPNNSGTSQSTTASTQPPKD-----DSSSTDTIKDINYLLKEIKNFDKAFENLLGAAALAALSSSGGSNIPGLPGGSNNSTKTTAPTTPRAGGQARNAGGNKTGTGTSGNGTAGKAPTGGASGGKSTAGGAAAGTKTTQKGTSTNALSGLGSLSSLLGGTGRGTSVGGTRTSGTITGGATRSTNGTGATRTTTGTNGTSPATGARVINPNTNGRAAAGARAAGAAGAGSAKATTSNSASASSKPQPKHTPKPPVKTRDQLTQKNAHGVTGTLKNETLTMKIPRLKSGDWAYLYIYSADTTQKPVGVAWAQLDSTGSVKLDTKDLPDGEYTVAAVDEKDQLVGWVDMKLGEIKNAAV---EGDNNDKVVAAQAGVMSATDWWMIGASMLIPLLTASMIYAFRRPRRS-</t>
  </si>
  <si>
    <t>GC_00001171</t>
  </si>
  <si>
    <t>MAYSAD---------------------VHRLQEDAKQQVLSQHLAAQLSYYAAQPTSTRKRLGRVVISGETSLSFRVPHARVYRSLEIITSINPHDMRRLLEETMSQDDSDPFTYKIFRTKDMASRPGKIYSIRVLDDENEYGWIKMQATRGIDVEYEDTEEMQIKNPLVESRATTTIKLIDVGKYLAEKIVSVF-----------------------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</si>
  <si>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PF08843.17</t>
  </si>
  <si>
    <t>Nucleotidyl transferase AbiEii toxin, Type IV TA system</t>
  </si>
  <si>
    <t>-MHKADQIVEQIEASIPEQYQPTDPDGIRQLEKDIRQQVLSQHLAVQLSHYADQPSDGKKHLGRVVISGGTSLLFRVPGCRISRDLDIITSLKQHEMKHLLEETLSQDKDDPFTYKILKARKTKSRNGDTYVVQVLDGDKEYTRIKMDAIRGVPEEYDDTEALAVQDPLISSRASTTIKLIDPGKYIAGKIAALFPLDYE------------------GQRKETSRWKDLGDLMIMASHVPISPDTIQRGLKYIE</t>
  </si>
  <si>
    <t>MPYNANQIVRQIKASIPEQYQPKNKRAVRILDDDIKKQVLSQHLAVQLSHYADQPSDGKKHLGRVVISGGTSLLFRVPGCRISRDLDIITSIKRDKMTRLLEETLSQDEDDLFTYKVLKAENTRSRNGDTYTIQVLDGDKEYVQIKMDAIRGVPEEYDDTEALTVQDSLISSRASTTIKLIDPGKYIAGKIAALFPLNDQREDTSRWKNLRNLGDLAIGKYRETSRWKDLGDLMIMASHLPISPDTIQRGLKYMENLHNPLNKIFGHRPDSN-WPYTQMFLTPKELKELEGAAQQNEDIVADRVRPPQGEKPEDTRKRKGFEQRQLIQHCSVVHSLEKVFGRVSRWLDPCFHHMEPHRRENTYRKELRTFARSPQMWVPGDEEAGLGVWDNKSRVGDLPEKLREMRGDYVLGGGF----------VNGVTVGDVLSEEYKKSRKSPEEEKKKGAQESSGQSSSEKTTY-----------------------------DEDDYEVFDNPDENDDGESYGDGDDPFGNPDDNDDDNDQGKQL</t>
  </si>
  <si>
    <t>GC_00001172</t>
  </si>
  <si>
    <t>K22479</t>
  </si>
  <si>
    <t>N-acetyltransferase</t>
  </si>
  <si>
    <t>KEGG Orthology (KO)&gt;&gt;&gt;09190 Not Included in Pathway or Brite&gt;&gt;&gt;09191 Unclassified: metabolism&gt;&gt;&gt;99985 Amino acid metabolism</t>
  </si>
  <si>
    <t>---MWISPSLSLTGQLVRLEPLSLDHTDALIDAVHDGNLHTSWWTSTPGPDTMADDIRAKLALRDSGAMVPFACIRSSNEEMLGVTTFYDLSPAIPRLEIGYTWTRASAQGTGTNPDSKLQLLTYAFEELGCQCVGIRTKWSNQQSRTAIERLGFKRDGVLRAHTRLRNGALDDAVLYSALPTEWPAIKARLETRVERHVSNAH-----</t>
  </si>
  <si>
    <t>---MWISPSLSLTGQLVRLEPLSLDHTDALIDAVHDGNLHTSWWTSTPGPDTMADDIRAKLALRDSGAMVPFACIRSSNEEMLGVTTFYDLSPAIPRLEIGYTWTRASAQGTGTNPDSKLQLLTYAFEELGCQCVGIRTKWSNQQSRTAIERLGFKRDGVLRAHTRLRNGALDDAVLYSALPTEWPAIKARLETRVERHVSKAH-----</t>
  </si>
  <si>
    <t>MCSLWISPSLTLTGQLVRLEPLTLDHVDALREAVRDGELHTAWWTSTPSPDAMAADIRNKLALRDAGSMVPFACIRLVDGVTVGVTTYYDLSPEVPRLEIGYTWSRASSHGTGTNPDSKLLLLEYAFEELGCQRVGIRTKWSNHQSRAAIERLGLKRDGILRSYARLRNGVVDDAVLYSALSTEWPAIKAGLTTRVNRHMTDAARDTAQ</t>
  </si>
  <si>
    <t>MCSLWISPSLTLTGQLVRLEPLTLDHVDALREAVRDGELHTAWWTSTPSPDAMAADIRNKLALRDAGSMVPFACIRLVDGVTVGVTTYYDLSPEVPRLEIGYTWSRASSHGTGTNPDSKLLLLEYAFEELGCQRVGIRTKWSNHQSRAAIERLGLKRDGILRSYARLRNGVVDDAVLYSALSTEWPAIKAGLTTRVNRHVTHAARDAAQ</t>
  </si>
  <si>
    <t>GC_00001173</t>
  </si>
  <si>
    <t>PF01810.24</t>
  </si>
  <si>
    <t>LysE type translocator</t>
  </si>
  <si>
    <t>K06895</t>
  </si>
  <si>
    <t>L-lysine exporter family protein LysE/ArgO</t>
  </si>
  <si>
    <t>COG1279</t>
  </si>
  <si>
    <t>Arginine exporter protein ArgO (ArgO)</t>
  </si>
  <si>
    <t>MSIALNGFITGLSLIIAIGPQNALLLRQGLKRVAVTHVIAVCLISDVFLIVGGTLGVGVIVEKAPIVLVALKWLGFFYLLYFAYTCFRDALKSHSLTVDESTPSTPDNGETL--------VSTSGTDNGAGGVAVAQ----RTTAPAK-TQPD--WVKPVIAALVFTWLNPAAYVDTLVMLGGIANQYGDPGRWHFTAGVLAASTVWFPLIGYGAAKLSKPLSNHRVWQGLNVVIGFVMIGIAFRLLMH</t>
  </si>
  <si>
    <t>MSIALNGFITGLSLIIAIGPQNALLLRQGLKRVAVTHVIAVCLISDVFLIVGGTLGVGVIVEKAPIVLVALKWLGFFYLLYFAYTCFRDALKSHSLTVDESAPSAPEKGEAL--------VSTPDTDNGAGGVAVAQ----RTMAPAK-TQPD--WVKPVIAALVFTWLNPAAYVDTLVMLGGIANQYGDPGRWHFTAGVLAASTVWFPLIGYGAAKLSKPLSNHRVWQGLNVVIGFVMIGIALRLLMH</t>
  </si>
  <si>
    <t>MSIAVAGFLLGLSLIVAIGPQNALVIRQGVKREGLIVVLAICMLSDIFLIFGGTAGVGVIIEKAPLALVALKWFGAAYLAWFAVSCFRDMVKPRALD-----SSATDNGTSLDDAPTVAHVSNVDSTSGNGGQVQTKTRPITTTAPTRQAHPARPWVKPALAALAFTWLNPSAYIDTLVMLGGIANQHGESGRWVFAAGALMASAVWFPLLGFFSTRFSRVLSRPQAWRVINGVIGCIMVVMCIRLIMH</t>
  </si>
  <si>
    <t>MSIAVAGFLLGLSLIVAIGPQNALVIRQGVKREGLIVVLAICMLSDIFLIFGGTAGVGVIIEKAPLALVALKWFGAAYLAWFAVSCFKDMVKPRALD-----SSATDNGTSLDDAPTVAHISNVDSTSGNGGQVQTKTRPITTTAPTRQAHPARPWVKPALAALAFTWLNPSAYIDTLVMLGGIANQHGESGRWVFAAGALMASAVWFPLLGFFSTRFSRVLSRPQAWRVINGVIGCIMVVMCIRLIMH</t>
  </si>
  <si>
    <t>GC_00001174</t>
  </si>
  <si>
    <t>PF10423.15</t>
  </si>
  <si>
    <t xml:space="preserve">Bacterial AMP nucleoside phosphorylase N-terminus </t>
  </si>
  <si>
    <t>F|H</t>
  </si>
  <si>
    <t>Nucleotide transport and metabolism|Coenzyme transport and metabolism</t>
  </si>
  <si>
    <t>K01241</t>
  </si>
  <si>
    <t>AMP nucleosidase [EC:3.2.2.4]</t>
  </si>
  <si>
    <t>COG0775</t>
  </si>
  <si>
    <t>Nucleoside phosphorylase/nucleosidase, includes 5'-methylthioadenosine/S-adenosylhomocysteine nucleosidase MtnN and futalosine hydrolase MqnB (MtnN) (PDB:1T8R) (PUBMED:18801996)</t>
  </si>
  <si>
    <t>KEGG Orthology (KO)&gt;&gt;&gt;09100 Metabolism&gt;&gt;&gt;09104 Nucleotide metabolism&gt;&gt;&gt;00230 Purine metabolism [PATH:ko00230]|Enzymes&gt;&gt;&gt;3. Hydrolases&gt;&gt;&gt;3.2  Glycosylases&gt;&gt;&gt;3.2.2  Hydrolysing N-glycosyl compounds&gt;&gt;&gt;3.2.2.4  AMP nucleosidase</t>
  </si>
  <si>
    <t>MFFPILETMTFTEHNSAEAAVDALITMYDAVVELAEEALGSGNHELYRDVVYPKLIVDVKQWRPIDRTEPYGYVDHAGRYSAVLSRPRMMRAYLMDMLTRLVTNYPCDIYTCYSDIQIPPVFIDGLENTPQNIGGIGGETGGGSGDSAIPQPSLDFVDDGIVDSAWDAFHSDELPLFHFAPHRFDVACKRIEHYTGIPADGVQQFILFTNYAMHTTEFVKYGLAELVKGDTRYTHMLLPNGEKVTANNAATCE---YNLDSRYQMPRYDLCTTDGDGITIINIGVGPSNAKTITDCLAVLRPECWAMIGHCAGLDGRMRIGDLILGNAYQRRDHILDDRIGVNIPIPAVPEVQRALEASVHAVYGESQDLMRTGTVLSTDDRNWEWHTPHDLWRILRGSTAVAVDMESAALATNGYRYRIPYGTLLAVSDLPLHNVPKLPAAAQAFYSNSKEAHLMCAVRAMETLAANPEKLHTRKLRRTIGEVPFR</t>
  </si>
  <si>
    <t>MFFPILETMTFTEHESAEAAVDALITMYDAVVELAEEALGSGNHELYRDVVYPKLIVDVKQWRPIDRTEPYGYVDHAGRYSAVLSRPRMMRTYLMDMLTRLVTNYPCDIYTCYSDIQIPPVFIDGLENTPQNIGGIGGATGGGSGDSAIPQPSLDFVDDGIVDSAWDAFHSDELPLFHFAPHRFDVACKRIEHYTGIPADGVQQFILFTNYAMHTTEFVKYGLAELVKGDTRYTHMLLPNGEKITANNAATCE---YNLDSRYQMPRYDLCTTDGDGITIINIGVGPSNAKTITDCLAVLRPECWVMIGHCAGLDGRMRIGDLILGNAYQRRDHILDDRIGVNIPIPAVPEVQRALEASVHAVYGESQDLMRTGTVLSTDDRNWEWHTPHDLWSILRGSTAVAVDMESAALATNGYRYRIPYGTLLAVSDLPLHNVPKLPAAAQAFYSNSKEAHLMCAVRAMETLAANPEKLHTRKLRRTIGEVPFR</t>
  </si>
  <si>
    <t>-----------MSGLTPAAAVEKLKRHYDTVTAIARTAIYEPHK--YPQVTYPKLIVDVHSWHPVDRTEPFGYVEEAGTYTACLSKPALMESYLVEQLERLARNYDCTITVGDSGMRIPPEFIDGLA------GAVGAKRA-----PEIPRPTLDDVDDAIIDGDWDAFHGPEKPLFHFTPQRFDIACERIEHYTGLPVETVQKYILFTNYGMHTNEFLRYGLAEL-HTDSRYTALVLADGRTITKTQAATMDIS</t>
  </si>
  <si>
    <t>-----------MSGLTPAAAVEKLKRHYDTVTAIARTAIYEPHK--YPQVTYPKLIVDIHSWHPVDRTEPFGYVEEAGTYTACLSKPALMEPYLVEQLERLARNYDCTITVGDSGVRIPPEFIDGLA------GAVGAKRA-----PEIPRPTLDDVDDAIIDGDWDAFHGPEKPLFHFTPQRFDIACERIEHYTGLPVETVQKYILFTNYGMHTNEFLRYGLAEL-HTDSRYTALVLADGRTITKAQAATMDIS</t>
  </si>
  <si>
    <t>GC_00001175</t>
  </si>
  <si>
    <t>MLALILVLLAVGGVVFFMSRRSASNTKAIQETELDDAIADARRWIERLGSQVLTIAGTDTASTQAIADASERYNAASSQISTATTVKQAQLARESALEGLYYINAAREMLGMPAGPELPPLEGQRQAGKVTEQRTISHEGHDITASPVASEQTPNYYPGGTVAGRPVPAGWYSEPWWADALRTGLWTAGSMMLFNALFNGMSGIGYSAAAFANGIGDSAGDALSGIGDA-------FGGD-GGGFLDGLF-GGDSDGGFLDGMF----DGGIGDIFD-</t>
  </si>
  <si>
    <t>MLALILVLLAVGGVVFFMSRRSASNTKAIQETELDDAIADARRWIERLGSQVLTIAGTDTASTQAIADASERYNAASSQISTATTVKQAQLARESALEGLYYINAAREMLGMPAGPELPPLEGQRQAGKVTEQRTISHEGHDITASPVATEQTPNYYPGGTVAGRPVPAGWYSEPWWADALRTGLWTAGSMMLFNALFNGMSGIGYSAAAFANGIGDSAGDALSGIGDA-------FGGD-GGGFLDGLF-GGDGDGGFLDGMF----DGGIGDIFD-</t>
  </si>
  <si>
    <t>MLVILFLLAIVGGFAFWANRKSKAQLAAKNQAELDDAIADARRWIERLGSQVLSLSGTDAASTQAIADASERYNAASSQISTANTAKQAKLARESALEGLYYINAAREIMGMTPGPELPLLEGQKQAGKVMEQRTIEYEGQQITASPVATAETPNYYPGGTVAGRPVPAGWYSQPWWMSALTTGMWAAGSALLFSSLFHGMAGVG---PGLSTAFTSDGGFDMPDVPDVPDVPEVDAGGDDGGGFFDGLFGGGDGDGG---GLFDFGGDGGDGGLFDF</t>
  </si>
  <si>
    <t>MLVILFLLAIVGGFAFWANRKSKAQLAAKNQAELDDAIADARRWIERLGSQVLSLSGTDAASTQAIADASERYNAASSQISTANTTKQAKLARESALEGLYYINAAREIMGMTPGPELPLLEGQKQAGKVMEQRTIEYEGQQITASPVATAETPNYYPGGTVAGRPVPAGWYSQPWWMSALTTGMWAAGSALLFSSLFHGMAGVG---PGLTTAFTSDGGFDMPDVPDVPDVPEVDAGGDDGGGFFDGLFGGGDGDGG---GLFDFGGDGGDGGLFDF</t>
  </si>
  <si>
    <t>GC_00001176</t>
  </si>
  <si>
    <t>PF03706.18</t>
  </si>
  <si>
    <t>Lysylphosphatidylglycerol synthase TM region</t>
  </si>
  <si>
    <t>K20468</t>
  </si>
  <si>
    <t>COG0392</t>
  </si>
  <si>
    <t>Predicted membrane flippase AglD2/YbhN, UPF0104 family (AglD2) (PUBMED:25583072)</t>
  </si>
  <si>
    <t>-------------------------MLAILAMVVFFLRGRLSFLSEGIAEVRKADGWGVALALFASLASLAAMAEVMRILLRAGKVHTRRRDVNALVLSANAWSTSFPGGQALATVLQFQTMRRWGASPILCSWHIVLSGALATVWLAALGVIAILFLGASFSLWSLVGTVAVMLLLSWLVYWAAHNPHKLAELIRTVLPKLNRLRRKPPQYQVDEAVEQVNQLQAVNMTTGQFLLAAVWSLMNWVFDILTLWAC</t>
  </si>
  <si>
    <t>-------------------------MLTILAMVVFFLRGRLSFLSEGIAEVRKADGWGVTFALCASLASLAAMAEVMRILLRAGKVRTRRRDVNALVLSANAWSTSFPGGQALATILQFQTMRRWGASPILCSWHIVLSGALATVWLAALGVIAILFLGASFSLWSLVGTVAVMLLLSWLVYWAAHNPHKLAELIRTVLPKLNRLRRKPPQYQVDEAVEQVNQLQAVNMTTGQFLLAAVWSLMNWILDILTLWAC</t>
  </si>
  <si>
    <t>MTVSHENPASPKTGASWKNWVRFLGPLVIMGIAALLLRDKMPFLATGYQEVLDAKPTGLVLAFLAVIASMVVMAEVMHTLLNAGGANVRSRDTLQLTFIANSWSATFPGGAALSAVYQFHTMRNWGVNVLVSSWFIVVSAALSTVWLIALGLISVFFFGADFSLWPMLGSVAIMLGLALLVWWVTNHPEPAKRFVVAVIVRAGRIVRRRPTKILDSIDEHFGQLDAVSLTPGKFSWVTLLSLMNWVFDIVAVWLCVWAVTDVLPGFRAVENNTTVLGVVLAFVTAKIVGTAQITPAGLGPVEAAMTGSLVAVGMTASSAFGVVFVYRIISFALITIIGWVTYFISVARGGMHVGSMSS</t>
  </si>
  <si>
    <t>MTVSHENPANPKTGASWKNWVRFLGPLVIMGIAALLLRDKMPFLATGYQEVLSAKPTGLVLAFLAVIASIVVMAEVMHTLLNAGGANVRSRDTLQLTFIANSWSATFPGGAALSAVYQFHTMRNWGVNVLVSSWFIVVSAALSTVWLIALGLISVFFFGADFSLWPMLGSVAIMLGLALLVWWVTNHPEPAKRFVVAVIIRAGRIVRRRPTKILDSIDEHFGQLDAVSLTPGKFSWVTLLSLMNWVFDIVAVWLCVWAVTDVLPGFRAVENNTTVLGVVLAFVTAKIVGTAQITPAGLGPVEAAMTGSLVAVGMTASSAFGVVFVYRIISFALITIIGWVTYFISVARGGMHVGSMSS</t>
  </si>
  <si>
    <t>GC_00001177</t>
  </si>
  <si>
    <t>PF12006.13</t>
  </si>
  <si>
    <t>Protein of unknown function (DUF3500)</t>
  </si>
  <si>
    <t>----------------------------------------------------------------------------------------------------------------------------MLKALLNDDAYAKVTGIMEGDQYLYDKAGSTDLGNAQYNIAFFGNPSNTSAWAVQFGGHHVGINATFDNGAITFAPTHLGTQPTTYVDDNGQTKSALGGMYETAFAFYNSLTEEQKSKLYQGEEVKNLTCA</t>
  </si>
  <si>
    <t>----------------------------------------------------------------------------------------------------------------------------MLKALLNDDAYAKVTGIMEGDQYLYDKAGFTDLGNAQYNIAFFGNPSNTSAWAVQFGGHHVGINATFDNGAITFAPTHLGTQPTTYVDDNGQTKSALGGMYETAFAFYNSLTEEQKSKLYQGEEVKNLTCA</t>
  </si>
  <si>
    <t>MSNKFWKKSFPLASLILAGGLTIASCTTGTTDTATAQGRTSIVRQVADTTSTSKGTTSQTISDTAKAAEEFLSTLSDEQKEQVLYDYNDETKSTSWSNFPVTFVERSGIKLGDLGETQRAAALKVLKALLNDEAYAKVTGIMAGDQYLKDNANASDLGNTQYNIAFFGNPSTTNDWSIQFGGHHVGINATFSNGTITFAPTHFGTQPTTYTDSNGQTQSALGDMYQTAFDFYNSLTNEQKQKLYQGEEVKNLTCAPGDTCDYPTGTGIKGSELTDEQKQLLLKVIANWTNLADSETTQATMDQISATLDDTYVNWSGATVYDTSQGKGIYFQISGPKVYIELASQDNDAGATVSGVQTSGWGRIHTIYRDPTNDYAGSVTQQKSSGPT-GGG-PGGSGSGGPGG-------PGAGNGGPSDAPGGSDAPADAPGAPGGKPGDSESGQTGSNTSKSTSKSATAGS</t>
  </si>
  <si>
    <t>MSNKFWKKSFPLASLILAGGLTIASCTTGTTDTATAQGGTSIVRQVADTTSTSKGTTSQTISDTAKAAEEFLSTLSDEQKEQVLYDYDDETKSTSWSNFPVTFVERSGIKLGDLGETQRAAALKVLKALLNDEAYAKVTGIMAGDQYLKDNTNASDLGNTQYNIAFFGSPSTTNDWSIQFGGHHVGINATFSNGAITFAPTHLGTQPTTYTDSNGQTQSALGDMYQTAFDFYNSLTDEQKQKLYQGEEVKNLTCAPSDTCDYPTGTGIKGSELTDEQKQLLLKVIANWTNLADSETTQATMDQISATLDDTYVNWSGATVYDTSQGKGIYFQISGPKVYIELASQDNDAGATVSGVQTSGWGHIHTIYRDPTNDYAGSVTQQKSSGPT-GGG-PGGSGSGGPGGSGAGSGGPGSGNGGPSDAPGRSGAP---AGAPGGKPGDSEPGQTSSNTSKSTSKSATAGS</t>
  </si>
  <si>
    <t>GC_00001178</t>
  </si>
  <si>
    <t>MTDSKNTMSSEIQVTQPRMLAPDCARGFTLLGIAAANATTAWLLMPVGTPGFLSGGIVNDSILDKIAIFIGTIFTHVRGLPMFATLLGYGVGMITVSLQRRNYPPKKARLVLIRRYFFLAIFGILHITFLFYGDIMLFYGIMGMILALLSRFKDKTLLIIAGVLGGLCLLSALAMAASIFFIPADTLHSMTNN--HSALTLANPDSYLALVGDTGLALRFQLGTAIPSSIFSISPIMILGMVAARNNVLGQPEKYKKQLTWAGTIAVAISFGVGIPIGLADTGALPERLGLSLFVFNQFGGQFTGPGIVAIIALATIPFQRRIDAAQTSNTDYTLPVPLQAIIALGKRSMTGYLLQSILFVLLTSKFTFGLGRGQGAWEATLIAIFIWAITLVIAYALEKANLRGPFEVVHRRLSYGRTGLTTFTPTQ</t>
  </si>
  <si>
    <t>MTDSKNTMSSETQVTQPRMLAPDCARGFTLLGIAAANATTAWLLMPVGTPGFLSGGIVNDSILDKIAIFIGTIFTHVRGLPMFATLLGYGVGMITVSLQRRNYPPKKARLVLIRRYFFLAIFGILHITFLFYGDIMLFYGIMGMILALLSRFKDKTLLIIAGVLGGLCLLSALAMAASIFFIPADTLHSMTNN--HSALTLANPDSYLALVGDTGLALRFQLGTAIPSSIFSISPIMILGMVAARNNVLGQPEKYKKQLTWAGTIAVAISFGVGIPIGLADTGALPERLGLSLFVFNQFGGQFTGPGIVAIIALATIPFQRRIDAAHASNTDYTLPVPLQALIALGKRSMTGYLLQSILFVLLTSKFTFGLGRGQGAWEATLIAIFIWAITLVIAYVLEKANLRGPFESVHRRLSYGRTGLTTFTPTQ</t>
  </si>
  <si>
    <t>GC_00001179</t>
  </si>
  <si>
    <t>PF13785.11</t>
  </si>
  <si>
    <t>Domain of unknown function (DUF4178)</t>
  </si>
  <si>
    <t>-MIMTLLIALVVIIGAILLVVAVLAMRNRDPLAEMRNNAASAPERDPFDEVTGAAEFGPDRLAPGAIIVYGATDYVVRGTLVVQQGPFTWYEHLLDGGDGASWLGVEVDEGQLELVWWTTRKQA-LHPQSPLDFEGVTYHEGERGHAQYRSIGTTGLPQSGEMRYIDMADSTGELRLGFEGWANDDSWEMSTGRVVLPGEFTVYPAPK------</t>
  </si>
  <si>
    <t>MLLLSLFFFAIAGVSGIGALYCFSKARQVD--------DEQQPARNLFAEVPDAADFGPDRLGPGAVVTYGATDYLVRGTLVVTQGQFTWYEHLLDGGDGSSFLAVEIDDGELELVWWTSRKATGLTPQSVLEFEGVHYVEQERGHARYVSHGTTGLPPEGELAYIDYADASEQLRLGFEGWSNDDSWEVSTGRVILPGELIIYPAPPAPDYSV</t>
  </si>
  <si>
    <t>-MIMTLLIALVVIIGAILLVVAVLAMRNRDPLAEMRNNAASAPQRDPFDEVTGAAEFGPDRLAPGAIIVYGATDYVVRGTLVVQQGPFTWYEHLLDGGDGASWLGVEVDEGQLELVWWTTRKQA-LHPQSPLDFEGVTYHEGERGHAQYRSIGTTGLPQSGEMRYIDMADSTGELRLGFEGWANDDSWEMSTGRVVLPGEFTVYPAPK------</t>
  </si>
  <si>
    <t>MLLLSLFFFAIAGVSGIGALYCFSKARQVD--------DEQQPARNLFAEVPDAADFGPDRLGPGAVVTYGATDYLVRGTLEVTQGQFTWYEHLLDGGDGSSFLAVEIDDGELELVWWTSRKATGLTPQSVLEFEGVHYVEQERGHARYVSHGTTGLPPEGEMAYIDYADASEQLRLGFEGWSNDDSWEVSTGRVILPGELIIYPAPPAPDYSV</t>
  </si>
  <si>
    <t>GC_00001180</t>
  </si>
  <si>
    <t>K06956</t>
  </si>
  <si>
    <t>--MKLRSFGAQVIYGLIVGLVLGLVARNLGEGSWLAVGVDEVGSAYVSLLKLLVPPLVVTAVVTSIANLRQVTNAARLAWQTLLWFAITALASVSAGIVVGLIINPGVGAGVDAAAAKAPSTVGSWWAFLQGLVPDNILGLSVSLKESSEGALAATPSFNVLQLLLMSIAFGIAAIKVGKPADPVLAFAESFLAIIQKVLWWIIRLAPIGTAALIAHAVAEYGWGSLGSLGKFVIAIYIGLALVIGVIYPLVLKF</t>
  </si>
  <si>
    <t>--MKLRSFGAQVIYGLIVGLLLGLVARNLGEGSWLAVGVDEVGSAYVSLLKLLVPPLVVTAVVTSIANLRQVTNAARLAWQTLLWFAITALASVSAGIVVGLIINPGVGAGVDAAAAKAPSTVGSWWAFLQGLVPDNILGLSVSLKESSEGALAATPSFNVLQLLLMSIAFGIAAIKVGKPAEPVLAFAESFLAIIQKVLWWIIRLAPIGTAALIAHAVAEYGWGSLGSLGKFVIAIYIGLALVIGVIYPLVLKF</t>
  </si>
  <si>
    <t>MGKKLGNFGVQITIGLIVGIILGLIARNIG---WLGGTLSWLGDTYVQLLKVMIAPLIFTAVVTSIANLRQVTNAARLAAHTLIWFAVTAFLAVTSAIILGILIQPGVGAGVDASAAQEPATTGSWLGFLNSVIPSNILGLGAKLKNGS-----VALDFNALQLIVISMAIGIAALKAGKAADPFLRFTESLLKIVQVVLWWIIRLAPIGTAALLGNAVAAYGWEAIGSLASFVLAIYLGLAVVIFGIYPAILAYHRIPVLGFFKRVWPVTSLGFVTRSSMGVMPVNQRVAEQSMGVPPAYASFALPLGATTKMDGCAAVFPAIAAIFVANFYHVDLTITHYLLIILVSVFGSAATAGTTGATVMLTLTLSTLGLPLSGVGLLLAVEPIIDMGRTAVNVTGQNLVAVIVAKREGILDQDVWDAAEHGHSAFDEAPAGAEAVEKPAAPQPTVAG</t>
  </si>
  <si>
    <t>MGKKLGNFGVQITIGLIAGIILGLIARNIG---WLGGTLSWLGDTYVQLLKVMIAPLIFTAVVTSIANLRQVTNAARLAAHTLIWFAVTAFLAVSSAIILGILIQPGVGAGVDASAAQEPATTGSWLGFLNSVIPSNILGLGAKLKNGS-----VALDFNALQLIVISMAIGIAALKAGKAADPFLRFTESLLKIVQVVLWWIIRLAPIGTAALLGNAVAAYGWEAIGSLASFVLAIYLGLAVVIFGIYPAILAYHRIPVLGFFRRVWPVTSLGFVTRSSMGVMPVNQRVAEQSMGVPPAYASFALPLGATTKMDGCAAVFPAIAAIFVANFYHVDLTITHYLLIILVSVFGSAATAGTTGATVMLTLTLSTLGLPLSGVGLLLAVEPIIDMGRTAVNVTGQNLVAVIVAKREGILDQDVWDAAEHGHSAFDEAPTGAEAVDKLVAPQPATAG</t>
  </si>
  <si>
    <t>GC_00001181</t>
  </si>
  <si>
    <t>MQPMQPDPTASAFAVRGLTKVYGDKAVVDHLNLDVPRGSIYGIVGPNGAGKTTMLGMATGLIRPTEGDAYIWGHNMWADPIAAKSAMGLLVDDLPVFDRLSATELLSYVGALRGMDPAVVQQRSAELLDALGLADAGTKQVVDFSAGMTKKMLLALALLHSPDVLVLDEPLEAVDPVSGRVIQQILRSFAASGGTVVLSSHVMELVEGLCDHVAIIDHGKVLVAGHVDEVRQGQSLSDIFVSYVGGGTLDEGSLAWLHSEQQGN------------------------------------------------------------------------------------------------------------------------------------------------------------------------------------------------GGGQS---------------------------------------------------------------------------------------------</t>
  </si>
  <si>
    <t>MQPMQPDPTASAFAVRGLTKVYGDKAVVDHLNLDVPRGSIYGIVGPNGAGKTTMLGMATGLIRPTEGDAYIWGHNMWTDPIAAKSAMGLLVDDLPVFDRLSATELLSYVGALRGMDPAVVQQRSAELLDALGLADAGTKQVVDFSAGMTKKMLLALALLHSPDVLVLDEPLEAVDPVSGRVIQQILRSFAASGGTVVLSSHVMELVEGLCDHVAIIDHGKVLVAGHVDEVRQGQSLSDIFVSYVGGGTLDEGSLAWLHSEQQGN------------------------------------------------------------------------------------------------------------------------------------------------------------------------------------------------GGGQS---------------------------------------------------------------------------------------------</t>
  </si>
  <si>
    <t>----MTQQNYPAMMVTGLYKKFGDKIAVNNLNLTVPRGSIFGIVGPNGAGKTTMLNMATGLLRPDAGQAIICGFDMWHDPIPAKAAMGLLADGLPVFDRLTGEEYLQYLGALRGIPEADLAPRISELLHALGLEEATDKYIADYSAGMTKKILLAGALIHNPDVLILDEPLEAVDPVSSRVIQQILRAYAAAGGTVILSSHVMELVEGLCDRVAIIHHGTVRLEGDVKELAAQTSLTDLFVSIVGGGELTEGQLQ</t>
  </si>
  <si>
    <t>GC_00001182</t>
  </si>
  <si>
    <t>PF01077.27</t>
  </si>
  <si>
    <t>Nitrite and sulphite reductase 4Fe-4S domain</t>
  </si>
  <si>
    <t>K00392</t>
  </si>
  <si>
    <t>sulfite reductase (ferredoxin) [EC:1.8.7.1]</t>
  </si>
  <si>
    <t>COG0155</t>
  </si>
  <si>
    <t>Sulfite reductase, beta subunit (hemoprotein) (CysI) (PDB:1AOP)</t>
  </si>
  <si>
    <t>M00987|M00176|M00616</t>
  </si>
  <si>
    <t>Assimilatory sulfate reduction, plants, sulfate =&gt; H2S|Assimilatory sulfate reduction, sulfate =&gt; H2S|Sulfate-sulfur assimilation</t>
  </si>
  <si>
    <t>Pathway modules; Energy metabolism; Sulfur metabolism|Pathway modules; Energy metabolism; Sulfur metabolism|Signature modules; Module set; Metabolic capacity</t>
  </si>
  <si>
    <t>KEGG Orthology (KO)&gt;&gt;&gt;09100 Metabolism&gt;&gt;&gt;09102 Energy metabolism&gt;&gt;&gt;00920 Sulfur metabolism [PATH:ko00920]|Enzymes&gt;&gt;&gt;1. Oxidoreductases&gt;&gt;&gt;1.8  Acting on a sulfur group of donors&gt;&gt;&gt;1.8.7  With an iron-sulfur protein as acceptor&gt;&gt;&gt;1.8.7.1  assimilatory sulfite reductase (ferredoxin)</t>
  </si>
  <si>
    <t>MTPPTATATRTARNRPARTKKPDGQWALDGTDPLNDDERIKQEDPGLSCKQRIIELYSQQGFDSISVEDLAPRFKWVGLYSQRKQNLGGEFTSTMTNAELQDKYFMLRVRFDGGVVSTEQLRTVGEISQQYARGTADFTDRQNVQLHWIQVEDMPAIWQELDSVGLSTLLGCGDVPRVILGSPVAGVAADEIIDATPAIEELTQKWLHREEFHNLPRKFKSAISGSPRQDVTHEIQDLAFIGAVHPEFGPGFDVYVGGGLSTNPMLAQRLGVWVSLEQVPEVWVATVRLFREYGYRRLRNRARMKFLVGAWGVEKFREILETDFLGYRLADGPAAPINPGNRDHIGVHKQKDGRFYVGVKPTVGHATGEQLIAIADAADKHAVTRLRTTVDKELLFLDVEEDQVGALSKDLDAIGLYTKPSEFRRGVVSCTGLEFCKLALVTTKGRAIELVDELEQRLGDLDVPLRISLNGCPNSCARTQVSDIGLKGQLVTDEQGNKVEGFQVHLGGSLGFDPDFGKKLRGHKVTSAQLGDYVVRLVTKYKEQRREGEQFREWVLRAAEEDLQ</t>
  </si>
  <si>
    <t>MTPPTATATRTARNRPARTKKPDGQWALDGTDPLNDDERIKQEDSGLSCKQRIIELYSQQGFDSISVEDLAPRFKWVGLYSQRKQNLGGEFTSTMTNAELQDKYFMLRVRFDGGVVSTEQLRTVGEISQQYARGTADFTDRQNVQLHWIQVEDMPAIWQELDSVGLSTLLGCGDVPRVILGSPVAGVAADEIIDATPAIEELTQKWLHREEFHNLPRKFKSAISGSPRQDVTHEIQDLAFIGAVHPEFGPGFDVYVGGGLSTNPMLAQRLGVWVSLEQVPEVWVATVRLFREYGYRRLRNRARMKFLVGAWGVEKFREILETDFLGYRLADGPAAPINPGNRDHIGVHKQKGGRFYVGVKPTVGHATGEQLIAIADAADKHAVTRLRTTVDKELLFLDVEEDQVEALSKDLDAIGLYTKPSEFRRGVVSCTGLEFCKLALVTTKARAIELVDELEQRLGDLDVPLRISLNGCPNSCARTQVSDIGLKGQLVTDEQGNKVEGFQVHLGGSLGFDPDFGKKLRGHKVTSAQLGDYVVRLVTKYKEQRREGEQFREWVLRAAEEDLQ</t>
  </si>
  <si>
    <t>MTPSTST-----KTRPARQKKPEGQWKIDGYDPLNDDERIKQEADGLSAKQRVIDIYSKQGFASIPAEDLAPRFKWLGLYSQRRQDLGGEYTSKLTTSELQDEYFMMRVRFDGGRVTPDQLRVVGEISRDYARSTADFTDRQNIQLHWIRIEDVPAIWDKLEAHNLSTLMGCGDVPRVILGSPVAGIAADEIIDGTPAIQEIVDKHLFSGEFVNLPRKYKSAISGNARQDVTHEIQDIAFIGSIHPEHGAGFACYVGGGLSTNPMLSQDLGVWIPLDQVADVWAAVGRIFRDYGYRRLRNRARLKFLVADWGVEKFRHILETEYLDAPLIDGPPVPQHDGYRDHIGIHPQKDGKFYLGVKPTVGHASGEQLIAIADVADRFGITRIRTTTDKELLFLDVDQADLQPLSDALAETGLYTHPSEFRRGIISCTGLEFCKLAHVTTKARAIELVDELEQRLHDLDVPLKISLNGCPNACARSQVSDIGLKGQIVRGEEG-----FQVHLGGALGL--NWGRKLRGHKVTSAELGDYIVRVVEKYKQQRHDGEQFREWVLRATDEDLS</t>
  </si>
  <si>
    <t>MTPSTST-----KTRPARQKKPEGQWKIDGYDPLNDDERIKQEADGLSAKQRVIDIYSKQGFASIPAEDLAPRFKWLGLYSQRRQDLGGEYTSKLTTSELQDEYFMMRVRFDGGRVTPDQLRVVGEISRDYARSTADFTDRQNIQLHWIRIEDVPAIWDKLEAHNLSTLMGCGDVPRVILGSPVAGIAADEIIDGTPAIQEIVDKHLFSGEFVNLPRKYKSAISGNARQDVTHEIQDIAFIGSIHPEHGAGFACYVGGGLSTNPMLSQDLGVWIPLDRVADVWAAVGRIFRDYGYRRLRNRARLKFLVADWGVEKFRHILETEYLDAPLIDGPPVPQHDGYRDHIGIHPQKDGKFYLGVKPTVGHASGEQLIAIADVADRFGITRIRTTTDKELLFLDVDQADLQPLSDALAETGLYTHPSEFRRGIISCTGLEFCKLAHVTTKARAIELVDELEQRLHDLDVPLKISLNGCPNACARSQVSDIGLKGQIVRGEEG-----FQVHLGGALGL--NWGRKLRGHKVTSAELGDYIVRVVEKYKQQRHDGEQFREWVLRATDEDLS</t>
  </si>
  <si>
    <t>GC_00001183</t>
  </si>
  <si>
    <t>MAYKNVHQFMGSKTQAIVMTI-VATVTV-LTTGFGPFGPMVAGAQPASFSLSPMQDPLVEASRNPQLARALQDAYEAAHRGQPGYVQVPPVYLRPNPYPAASLRDYAAPRLAKREPDGYEPNVERLFVESPAMRRVVQVQVQHAKDRSKPAPMLYLLDGAASNDTSSWLTEGRVQQLHQDAQVTVVMPTEARSSNYANWQADDPMLGRMQWETFLTRELPTVLEKEADLKFNGARYLGGASMGAGAAVRLASLYPDRYRGTFGLSGCYSTTSNMGREFLNMIVAAGAGNPHNQWGAGTSPERLRNDVTAHPEGLKNMRVYVFTADGVITPRDRSITAKYGPVGNAAIPSSVVLEKMSNECAHELDDAMRARGMTHQKITYQQGGIHFWSYFAEQLPIAWRHMS----Q</t>
  </si>
  <si>
    <t>MAYKKVHQFMGSKTQAIVLTI-VATVTV-LTTGFGVFRPMVAGAQPTPSSLSPAQDPLVEASRNPQLARALQDAYEAAHRGQPGYVQVPPVYLRPNPYPAASLQDYAAPRLAKREPDGYEPNVERLFVESPAMRRVVQVQVQYAKDRSKPAPMLYLLDGAASNDTSSWLTEGKVQQLHQDAQVTVVMPTEARSSNYANWQADDPMLGRMQWETFLTRELPTVLEKEADLKFNGARYLGGASMGAGAAVRLASLYPDRYRGTFGLSGCYSTTSNMGREFLNMIVAAGAGNPHNQWGAGTSAERLRNDVTAHPEGLKNMRVYVFTADGVITPRDRSITAKYGPVGNAAIPSSVVLEKMSNECAHELDDAMRARGMTHQKITYQQGGIHFWSYFAEQLPIAWRHMS----Q</t>
  </si>
  <si>
    <t>GC_00001184</t>
  </si>
  <si>
    <t>MKTELYTAIHLRSIRIAAMALPIAAAFTSILAWVL-----------GIAAPEKLPQSFA---PESSQFQLQALDITGSA-QSSGTAGSYIVASVLGVLMVATNYRHGAVTWKVLHGRGRWGLNILGAVGAVTAGAAAVSCVIAGVITVVATQLSGTPWEVAFSDVLLMWIRGIAALTLLAVTTAALTLATRSGLVSGVILGVAYTIEAIIAAIGAVAGWNLTAIGWLPLQSALSAVGTSTLAPYSSGAGLLLCAGWTALVGIIGISRLKTYNL</t>
  </si>
  <si>
    <t>MKTELYTAIHLRSIRIAAMALPIAAAFTSILAWVL-----------GIAAPEELPQSFA---PESSQFQLQALDITGST-QSSGVAGSYIVASVLGVLMVATNYRHGAVTWKVLHGRGRWGLNILGAVGAVTAGAAAVSCVIAGVITVVATQLSGTPWEVALSDVLLMWIRGIAALTLLAVTTAALTLATRSGLVSGVILGVAYTIEAIIAAIGAVAGWNLTAIGWLPLQSALSAVGTSTLAPYSSSAGLLLCAGWTALVGIIGISRLKTYNL</t>
  </si>
  <si>
    <t>MKTELYTAFQLSAIRITAAVMLLSAVIGSVLHWVLRSLMKIDPPQIGGATGDKIQQVIGNSNPSSPHFQLQGLDVTGTASQSSGIGLSYVVVTVLGILLVAGNFRHGAVMWKVLRGRGRWGLNMLGTVAVVTAAVVAVSCLITVVVTSIATALSGVDWAASTSDMLLVWLRGIIALTLLAVASAAVTLATHSGPIAGVVMGVVYIIEATVTTLGTVLGWDSHAYGWLPLQSIVSAVGVSNTAAYGTMAGMLLCVGWAGLATIIGLGRMKTYNL</t>
  </si>
  <si>
    <t>MKTELYTAFQLSAIRITAAVMLLAAVLGSVLHWVLRSLMKIDPPQIGGATGDKIQQVIGNSDPSSPHFQLQGLDVTGTASQSSGIGLSYVVVTVLGILLVAGNFRHGAVMWKVLRGRGRWGLNMLGTVAVVTAAVVAVSCLITVVVTSIATALNGVDWAASTSDMLLVWLRGIIALTLLAVAAAAITIATHSGPIAGVVMGVVYIIEATVTTLGTVLGWDSHAYGWLPLQSIVSAVGVSNTAAYGTMAGMLLCVGWAGLATIIGIGRVKTYNL</t>
  </si>
  <si>
    <t>GC_00001185</t>
  </si>
  <si>
    <t>MTTSSPNPDTTPTEVYP-LELRDITCVFGREPHTVTALDHVSMHVQPGELVVIMGPSGSGKSTLLNVAGLLQRPTAGEVLIDGVSATTLNDKRAAALRRQHIGVVFQRFNLVPTLTVGENVALPLELDGANVAKLKDDIDAALAEVGLDDMFDRFPEEISGGQAQRVAIARALIGPRRLLLADEPTGALDTATGDEVIGILRDRIDQGAAGLLVTHEPRFAGWADRVIHVRDGHITTREV---</t>
  </si>
  <si>
    <t>MTTSSPNPDTTPTEVYP-LELRDITCVFGREPHTVTALDHVSMHVQPGELVAIMGPSGSGKSTLLNVAGLLQRPTAGEVLIDGVSATTLNDKRAAALRRQHIGVVFQRFNLVPTLTVGENVALPLELDGANVAKLKDDINAALAEVGLDDMFDRFPEEISGGQAQRVAIARALIGPRRLLLADEPTGALDTATGDEVIGILRDRIDQGAAGLLVTHEPRFAGWADRVIHVRDGRITTREV---</t>
  </si>
  <si>
    <t>GC_00001186</t>
  </si>
  <si>
    <t>PF09818.15</t>
  </si>
  <si>
    <t>P-loop domain</t>
  </si>
  <si>
    <t>COG3044</t>
  </si>
  <si>
    <t>Predicted ATPase of the ABC class (PDB:4YIX)</t>
  </si>
  <si>
    <t>MTVMSYHRNDRNNHSRNHHRRSNNNRNPHNNEYREHHHEDDLRRALTSLDGKSYGAYKSLRGSYPLAPGITLSIDRVQTDPYAPPSLMRILVDLATAQVPQDLINDAEGKIATGDFLTRAFSHEAYTSKVAREVSIGRPGQAVLERTSILFTDKRLEARIMVALPAAGRRIRGREAEELLADILPEVAEYSLLYKNLDQQKLRDHVILYRDQQDLRRQLNSRKLVAFVGNGAILPRRSGDSDEPLEQGATPFQSPQSLHTEFSLPSGRTITGMGVPEGITVIVGGGYHGKSTLLKAMERGVYSHILNDGREWVITHADAMAIRAEDGRAVTGVDISPFINNLPSGTDTHRFFTTNASGSTSQATNLVEALEAGAQTLLIDEDTSATNFMIRDERMQQLIPAKDEPITPFVQRIRPLFTEKGVSTILVAGGSGAFFDVADHVIALNSYVPNDVTVQAHSIANRTPQNDAASIRVFDSPNPRVPARDGLREPSKTKPAKARSRTDIQYGRENIDLIGLMQLIDVAQTTGIAHALDSIADRCDGNTSLAQLVDQLVQDLDEHGLDVLSPHRGHPGLFARPRSQEIMASVNRYRKLKLSAGR</t>
  </si>
  <si>
    <t>MTVMSYHRNDRNNHSRNHHRRSNNNRNPHNNEYREHHHEDDLRRALTSLDGKSYGAYKSLRGSYPLAPGITLSIDRVQTDPYAPPSLMRILVDLATAQVPQDLINDAEGKIATGDFLTRAFSHEAYTSKVAREVSIGRPGQAVLERTSILFTDKRLEARIMVALPAAGRRIRGREAEELLADILPEVAEYSLLYKNLDQQKLRDHVILYRDQQDLRRQLNSRKLVAFVGNGAILPRRSGDSDEPLEQGATPFQSPQSLHTEFSLPSGRTITGMGVPEGITVIVGGGYHGKSTLLKAMERGVYSHILNDGREWVITHADAMAIRAEDGRAVTGVDISPFINNLPSGTDTHRFFTTNASGSTSQATNLVEALEAGAQTLLIDEDTSATYFMIRDERMQQLIPAKDEPITPFVQRIRPLFTEKGVSTILVAGGSGAFFDVADHVIALNSYVPNDVTVQAHSIANRTPQNDAASIRVFDSPNPRVPARDGLREPSKTKPAKARSRTDIQYGRENIDLIGLMQLIDVAQTTGIAHALDSIADRCDGNTSLAQLVDQLVQDLDEHGLDVLSPHRGHPGLFARPRSQEIMASVNRYRKLKLSAGR</t>
  </si>
  <si>
    <t>------------------------------MSYRNQ----DLRRTVSSLNGKSYGAYKSLKGSYDMG-NFTLSIDRIQSDPYAPPSLMRVIVDRKTAGIPPELLDDAQGRLAMSDFLMREF----HATTRESSISIGWPAQAILERTNIRISERTIEARITVQLPAGGRRIHGHAAARMLTEDLPDAVDQALLYRNLDGDAATAQVTLLRDQEALRGQLADLGLVAFVGNGAILPRQAGNSDLPLEQGATPFTSP</t>
  </si>
  <si>
    <t>------------------------------MSYRNQ----DLRRTVSSLDGKSYGAYKSLKGSYDMG-NFTLSIDRIQSDPYAPPSLMRIILDRKTAGIPPELLDDAQGRLAMSDFLMREF----HAATRESSISIGWPAQAILERTNIRITEHTIEARITVQLPAGGRRIHGHAAARMLTEDLPDAVDQALLYRNLDGDAATAQVTLLRDQEALRGQLADLGLVAFVGNGAILPRQAGNSDLPLEQGATPFTSP</t>
  </si>
  <si>
    <t>GC_00001187</t>
  </si>
  <si>
    <t>MAPKNPPANTPSNERLTAAIIVISDRAYSGERPDAAGPAAAQLFESHDVDVRESVVIPENKEAITNALTSAQEQGHDIILTAGGTGLKPNNVTPEATRPFIDTELPALAMHIFCEGVKNSPRAGLTRGLVGVTSRDETAALIINAPGSVGGVTDTITVIGPLLPSIFEQLGKHI</t>
  </si>
  <si>
    <t>---------MPLSKPLTAKIIIISDYVIDGVRPDEVGPAAVELLATFGVDVGEPIAIPENKEAISVALKTTIEQGYDIIITAGGVGLKPNNLTPEATRPFLDAELPGIATQVLLEGIKNGSHAGLARGLVGVTGRNDTSALVVNSAGCVDGITDTITVIGPLLSDIFQQLGRS-</t>
  </si>
  <si>
    <t>MAPKNPPANTPSSERLTAAIIVISDRAYSGERPDAAGPAAAQLFESHDVDVRESVVIPENKEAITNALTSAQEQGHDIILTAGGTGLKPNNVTPEATRPFIDTELPALAMHIFCEGVKNSPRAGLTRGLVGVTSRDETAALIINAPGSVGGVTDTITVIGPLLPSIFEQLGKHI</t>
  </si>
  <si>
    <t>---------MPLSKPLTAKIIIISDYVIDGVRLDEVGPAAVELLATFGVDVGEPIAIPENKEAISVALKTTIEQGYDIIITAGGVGLKPNNLTPEATRPFLDAELPGIATQVLLEGIKNGSHAGLARGLVGVTGRNDTSALVVNSAGCVDGITDTITVIGPLLSDIFQQLGRS-</t>
  </si>
  <si>
    <t>GC_00001188</t>
  </si>
  <si>
    <t>K00956</t>
  </si>
  <si>
    <t>sulfate adenylyltransferase subunit 1 [EC:2.7.7.4]</t>
  </si>
  <si>
    <t>COG2895</t>
  </si>
  <si>
    <t>Sulfate adenylyltransferase subunit 1, EFTu-like GTPase family (CysN) (PDB:1ZUN)</t>
  </si>
  <si>
    <t>KEGG Orthology (KO)&gt;&gt;&gt;09100 Metabolism&gt;&gt;&gt;09102 Energy metabolism&gt;&gt;&gt;00920 Sulfur metabolism [PATH:ko00920]|KEGG Orthology (KO)&gt;&gt;&gt;09100 Metabolism&gt;&gt;&gt;09104 Nucleotide metabolism&gt;&gt;&gt;00230 Purine metabolism [PATH:ko00230]|KEGG Orthology (KO)&gt;&gt;&gt;09100 Metabolism&gt;&gt;&gt;09106 Metabolism of other amino acids&gt;&gt;&gt;00450 Selenocompound metabolism [PATH:ko00450]|KEGG Orthology (KO)&gt;&gt;&gt;09100 Metabolism&gt;&gt;&gt;09110 Biosynthesis of other secondary metabolites&gt;&gt;&gt;00261 Monobactam biosynthesis [PATH:ko00261]|Enzymes&gt;&gt;&gt;2. Transferases&gt;&gt;&gt;2.7  Transferring phosphorus-containing groups&gt;&gt;&gt;2.7.7  Nucleotidyltransferases&gt;&gt;&gt;2.7.7.4  sulfate adenylyltransferase</t>
  </si>
  <si>
    <t>MTTYVQDHLQDRETLRLCTAGSVDDGKSTFVGRLLHDTKSVLADQLSAVERTSREKGLDQLDLSLLVDGLRAEREQGITIDVAYRYFSTPKRTFILADTPGHVQYTRNTVTGVSTSQVVVLLVDARTGIVEQTRRHLRAAELLGVRTVVLAVNKIDLVDFDSNTFDAIAQDFRLLAAAFDQV--HVVPISALYGDNVVEPSAHMPWYTGPTVLELLENISVTADRAHDLGFRFPIQYVIREHSSDYRGYAGSIATGQVAVGDTVTVGQGRTTQVLGIDTSDGPVDHAQAGDAVVLLLADDIDLSRGDLIAGPDRPDAVRSITATVVGLADKHVRLGQNVRVRYGTSLVRARIADGEWGLNDVTQVRIDLASELPVEPYAARGAVGAFLVIDQASGDTLGAGLVTSW</t>
  </si>
  <si>
    <t>MTTYVQDHLQDHETLRLCTAGSVDDGKSTFVGRLLHDTKSVLADQLSAVERTSREKGLDQLDLSLLVDGLRAEREQGITIDVAYRYFSTPKRTFILADTPGHVQYTRNTVTGVSTSQVVVLLVDARTGIVEQTRRHLRAAELLGVRTVVLAVNKIDLVDFDSNTFDAIAQDFRLLAAAFDQV--HVVPISALYGDNVVEPSAHMPWYTGPTVLELLENISVTADRTHALGFRFPIQYVIREHSSDYRGYAGSIAAGQVAVGDTVTVGQGRTTQVLGIDTSDGPVDHAQAGDAVVLLLADDIDFSRGDLIAGPDRPDAVRSITATVVGLADKHVRPGQKVRVRYGTSLVRARIADGEWGLNDVTQVRIDLASELPVEPYAARGAVGAFLVIDQASGDTLGAGLVTSW</t>
  </si>
  <si>
    <t>-----------MDTLRFCTAGSVDDGKSTFVGRLLHDTKSVLADQLAQVEQTSARRGFAGLDLSLLVDGLRAEREQGITIDVAYRYFSTPNRTFILADTPGHVQYTRNTVTGISTSQVVVLLVDARHGVVDQTRKHLTVAALLGIRTVILGVNKIDLVDYSEDVFRAIEGEFRAVAAELGIADPHAIPISALHGDNVVDASPRLPWYFGPTILELLETIPVDPGDS-SLDFRFPIQYVIR--ATDYRGYAGQVAT</t>
  </si>
  <si>
    <t>GC_00001189</t>
  </si>
  <si>
    <t>PF18934.5</t>
  </si>
  <si>
    <t>Family of unknown function (DUF5682)</t>
  </si>
  <si>
    <t>COG1240</t>
  </si>
  <si>
    <t>vWFA (von Willebrand factor type A) domain of Mg and Co chelatases (ChlD)</t>
  </si>
  <si>
    <t>MSTDTHDQISIDPETLLDALVSPGSHTF-FGIRHHSPACARAVIQAAEELRPAAVAVEMPADMTDMLPWMWHTETIAPVAVAVSDKDAGPRGMGFYPFADFSPELAIIRWAGRNNIPIHCIDLPVGARADIDEDGDSSDDV----------VDVSELVGQEAWDTKVESRSIGASWQQVQKAALAVGLGARLAQPTIDTYTQAREAHMRACLDDLPENTLIVVGSFHCQGLVTGEKVKPKNINPVVTSIVRYSFEQLDYRSGYASGIRDPQWQQGIWECSTVADVDALTKAMITDVARTCRTDGEPAGTGEVAEACRFAGDLCRIRHLPAPGRREVIEALTSVFAHGNVTGRGRGIARAMQKVLVGERHGDLPADAPIPALEAHTRAEMERLGLSAKERQRAVSRRIEPFKGGKDFERHLLLMRLNVLDVDYVRDKTNGTNRGLEARSYTVECAFTATTAAGLAAVAYAGVTLEQAVSTILGAKLGALSAGDDEVNPQVVLEVIGAASQTGAGEVLERALQVMETDVLHRLGFGDAVTATELLTGIAGDREPAARLLTDKQRDLANAMAEKLGAVIVREIRGIAGSTEVEHARQLGQAAGLISSYLVSITAALQRVRESGSPLMQGAAYAVLDAVQDSPSDPQQTAEFIGSWIDQSSTPETRHNLQQRMVGYLCASRGVWCDSPIMDSIIDRVAALPDDHFVQSLPPLRGAFDTVPAAERERFLDYLAEKIGRISTALTVDPALLAANATADVEARRRLEALGLADVSFTPAMRWRLILGAEPEKLQGQAKRMASALDELYGGP--GSDQTGEADGRVRGAGSGPSQLGVRNWADEIQALFGDDHIQEIFGQAAEKGRPDVITSLNADDVRPSVELLTTVLNLKGALPESRLRQLRPLVAKIVEELSRVLAQQLAPVLAGIAQAKPTRRRTARIDLPATIRRNMKNVVSHEGRAQIVPVTPIFRAPERHVSPWHIIVLVDVSGSMEPSTVYAAITAAILAGVDTFKVSFITFDTSVIDLSDSVEDPLELLLEIKVGGGTNIAQGVRFAATKVTNPSKTVVVLISDFEEWGSVNNLTTAIRNLADSGVKLIGCAALDDEGKAAYNVGIAESVAAAGMRVASVSPMQLARWVREVLQ</t>
  </si>
  <si>
    <t>MSTDRHDQISIDPETLLDALVSPGSHTF-FGIRHHSPACARAVIQAAEELRPAAVAVEMPADMTDMLPWMWHTETIAPVAVAVSDKDAGPRGMGFYPFADFSPELAIIRWAGRNNIPIHCIDLPVGARADIDEDGDSSDDV----------VDVSELVGQEAWDTKVESRSIGASWQQVQKAALAVGLGARLAQPTIDTYTQAREAHMRACLDDLPENTLIVVGSFHCQGLVTGEKVKPKNINPVVTSIVRYSFEQLDYRSGYASGIRDPQWQQGIWECSTVADVDALTKAMITDVARTCRTDGEPAGTGEVAEACRFAGDLCRIRHLPAPGRREVIEALTSVFAHGNVTGRGRGIARAMQKVLVGERHGDLPADAPIPALEAHTRAEMERLGLSAKERQRAVSRRIEPFKGGKDFERHLLLMRLNVLDVDYVRDKTNGTNRGLEARSYTVECAFTATTAAGLAAVAYAGVTLEQAVSTILGAKLGALSAGDDEVNPQVVLEVIGAASQTGAGEVLERALQVMETDVLHRLGFGDAVTATELLTGIAGDREPAARLLTDKQRDLANAMAEKLGAVIVREIRGIAGSTEVEHARQLGQAAGLISSYLVSITAALQRVRESGSPLMQGAAYAVLDAVQDSPSDPQQTAEFIGSWIDQSSTPETRHNLQQRMVGYLCASRGVWCDSPIMDSIIDRVAALPDDHFVQSLPPLRGAFDTVPAAERERFLDYLAEKIGRISTALTVDPALLAANATADVEARRRLEALGLADVSFTPAMRWRLILGAEPEKLQGQAKRMASALDELYGGP--GSDQTGEADGRVRGAGSGPSQLGVRNWADEIQALFGDDHIQEIFGQAAEKGRPDVITSLNADDVRPSVELLTTVLNLKGALPESRLRQLRPLVAKIVEELSRVLAQQLAPVLAGIAQAKPTRRRTARIDLPATIRRNMKNVVSHEGRAQIVPVTPIFRAPERHVSPWHIIVLVDVSGSMEPSTVYAAITAAILAGVDTFKVSFITFDTSVIDLSDSVEDPLELLLEIKVGGGTNIAQGVRFAATKVTNPSKTVVVLISDFEEWGSVNNLTTAIRNLADSGVKLIGCAALDDEGKAAYNVGIAESAAAAGMRVASVSPMQLARWVGEVLQ</t>
  </si>
  <si>
    <t>-MTEQH---------ILDQLERVVEKEYIFGVRHHSPACAHAVVQAAEALQPEAIAVEMPADTKPMLPWIVHDDTKAPIALAVAAENT---QLGFYPFADFSPELAIMRWAHRNNVPIHLIDLPVGAPPPADPDEPAAADSRATDADPQPPVDVDKLVSAEAWDTKVETLAVGARWQDVRRAALAVGVGTRLAEPGVDPYHARREAHMRARLAELGEKTLVVVGSYHCLGLLDGEPEVPATVSPVNMSLVRYSFA</t>
  </si>
  <si>
    <t>COG2425</t>
  </si>
  <si>
    <t>Uncharacterized conserved protein, contains a von Willebrand factor type A (vWA) domain (ViaA)</t>
  </si>
  <si>
    <t>-MTEQH---------ILDQLERVVEKEYIFGVRHHSPACAHAVVQAAEALQPEAIAVEMPADTKPMLPWIVHDDTKAPIALAVAAENT---QLGFYPFADFSPELAIMRWAHRNNVPIHLIDLPVGAPPPTDPDEPAAADSVATDTDLQPSVDVDKLVSAEAWDTKVETLAVGARWQDVRRAALAVGVGTRLAKPDVDPYHARREAHMRARLAELGEKTLVVVGSYHCLGLLDGEPEVPATVSPVNMSLVRYSFA</t>
  </si>
  <si>
    <t>GC_00001190</t>
  </si>
  <si>
    <t>K00014</t>
  </si>
  <si>
    <t>shikimate dehydrogenase [EC:1.1.1.25]</t>
  </si>
  <si>
    <t>KEGG Orthology (KO)&gt;&gt;&gt;09100 Metabolism&gt;&gt;&gt;09105 Amino acid metabolism&gt;&gt;&gt;00400 Phenylalanine, tyrosine and tryptophan biosynthesis [PATH:ko00400]|KEGG Orthology (KO)&gt;&gt;&gt;09100 Metabolism&gt;&gt;&gt;09110 Biosynthesis of other secondary metabolites&gt;&gt;&gt;00999 Biosynthesis of various plant secondary metabolites [PATH:ko00999]|Enzymes&gt;&gt;&gt;1. Oxidoreductases&gt;&gt;&gt;1.1  Acting on the CH-OH group of donors&gt;&gt;&gt;1.1.1  With NAD+ or NADP+ as acceptor&gt;&gt;&gt;1.1.1.25  shikimate dehydrogenase (NADP+)</t>
  </si>
  <si>
    <t>MRHMNRAITHRAAVLGSPIGHSRSPLLHNTGYRAAGLEHWSYGRFECIAEQLPELIDALDNSYRGFSVTMPAKFAALDFATERTDRAERIGSANTLVRIGEGVHAGWRADNTDVDGVFGALAEL-DVSASLMGAHATVIGGGGTARPVLWALASLGVAQVTVVNRTDRSEELAPLVEAHGGRCTFVSYEAALRDLAEQSAVLVSTVPSAAIQDHVQDLAHTSVFDVIYEPWPTPLVTQTQRNGHKAVGGHVMLANQAYGQFEQFTGVPAPREAMWQALIN--DLH-</t>
  </si>
  <si>
    <t>MRHMNRAITHRAAVLGSPIGHSRSPLLHNTGYRAAGLEHWSYGRFECIAEQLPELIDALDNSYRGFSVTMPAKFAALDFATERTDRAERIGSANTLVRIGEGVHAGWRADNTDVDGVFGALAEL-DVSANLMGAHATVIGGGGTARPVLWALASLGVAQVTVVNRTDRSEELAPLVEAHGGRCTFVSYEAALRDLAEQSAVLVSTVPSAAIQDHVQDLAHTSVFDVIYEPWPTPLVTQTQRNGHKSVGGHVMLANQAYGQFEQFTGVPAPHEAMWQALIN--DLH-</t>
  </si>
  <si>
    <t>GC_00001191</t>
  </si>
  <si>
    <t>K01554</t>
  </si>
  <si>
    <t>8-oxo-dGDP phosphatase [EC:3.6.1.58]</t>
  </si>
  <si>
    <t>Enzymes&gt;&gt;&gt;3. Hydrolases&gt;&gt;&gt;3.6  Acting on acid anhydrides&gt;&gt;&gt;3.6.1  In phosphorus-containing anhydrides&gt;&gt;&gt;3.6.1.58  8-oxo-dGDP phosphatase|DNA repair and recombination proteins&gt;&gt;&gt;Prokaryotic type&gt;&gt;&gt;Other factors with a suspected DNA repair function&gt;&gt;&gt;Modulation of nucleotide pools</t>
  </si>
  <si>
    <t>MTSSPGQHHFDILDSEVLLDAPIIAVRRDTLRMPGGGTGKREIVEHFGAVAVVAFDGANIALVHQYRHSVQRRLWELPAGILDIADEDPLVCAQRELTEEAGLAAKQWGLLTDLVCSPGFCEEGVRIFLAQELSEVPQPDADDEEADMQLTWVALEEAKNMVLRGEIANSIAIAGIMIAADLVARGQGPRPVTDPFDLRPTSLPERRKAAGLGADMKRV---</t>
  </si>
  <si>
    <t>MTSSPGQHHFDILDSEVLLDAPIIAVRRDTLRMPGGGTGKREIVEHFGAVAVVAFDGANIALVHQYRHSVQRRLWELPAGILDIADEDPLVCAQRELTEEAGLAAKQWGLLTDLVCSPGFCEEGVRIFFAQDLSEVPQPDADDEEADMQLTWVALEEAKNMVLRGEIANSIAIAGIMIAADLVAREQEPRPVTDPFDLRPTSLSERRKAAGLGADMKRV---</t>
  </si>
  <si>
    <t>GC_00001192</t>
  </si>
  <si>
    <t>MPLVKLCCLFAIWMDVWFPQPRNQQYLTYYTIMESTHPLIAMSFSGPAHPLPVVRLVSEPIIPAETTMLGLFGLHPDAQRVVGESTQHAVGFPAWPIMTDPDNAHHALNLVAELEQIRRRPSLRRARTRIDAVTAQLAASAPHFMPTFLEEVARIFVGADNRRAAQQYFGKARTVERAHGVAIDVGRHEAAFVEFAHAGVVSATELAMECRAVGNRGGDVRQGFTYALGLVHAQARAGVCPSTDVVAALRQLGGYAGMDPTEVDDVLVNGLLKLPVFKKASTKLFVMLAETLKQYPEALEVLWDVKPRKTKPLQFLRLWHAAGLLEFMHTDRARYAQWLVDFINSYSGDDGISDYSAVLEGELAYCGDALRGLRVRKEVMWMPLNVIDLLCEYGVAWDAKGVDIANEEVDWVYWLEDEHAENRRPLLHAARDKDIYQYFIEGIYSFEVEEHLDVFLSHEGARIILGKKIDELANKSGDIVNNNEIIDNWSFLAVPKAYNVYGERVEKLFSHNADELLVTALHAGTIAELTWPAYEQAVARVRSKSEETDFNVFDSFPAVAVVSGVYVEVVDGDTTIASGELPARYGNVHSIFTVGDKVQVYLTPHNQSDGHLMWLGDMQIYPADDSRWG-YNGYSLLRPDGTRLTAFGLLRPTELKLGLYGFGNIFATNKEDSPIFASIHDDSELMLWDGASYEKWEGTTKEALEKLGVFSYGLDVSGIPDGSKIMAGSSTIIPAYPTTKNSLLGTTGGNHFYIQYKYDNDYYIVSPHGIFKDDKDAKGIIPKPGGGTWLVC-DDATSWNDAETGVMIALQDKDSIFRKIPFSAFHQLHYRDEHASRFMRTYSCAQAQRVINAGTDSEAYSILSTQLGTADEVLLNELVATQRIISKQAEKLQALARQLTQSAVASDITISESAAKLLYLYLDKHSYDYPHVISRDVQSIASFIADPDNFSALASDEIGSEWVKLMHNERFIIGMLGSPLLPQLYKKDNAFTDLVNFFRTATKLGIFGCGWRRASIDIGIYESVEDVIDVLPRGSVIDGCLVTGYDYRWDKDKRHVHRIILCPDSREKVGEYTVKYNQDVSMNAEDFLACLDAISEMSGRALNEDVVKEISWGTGLIPATIRYVFSGMKHDNDYTPSGSYKFTTAEEAVTKIYLHFLAGKCLDHFSENNNDDQQFTGILQLLAHAVPQTDPVSYIQQGPDTAAIISYWQEKLGKPGMHITADMHYKVLVDSHVTLHSPWYTPAYEIIFNRPELETSDWPLFYRDYLAVYLHLAQNLELNDPGRPFVAHKLTWLRESVEKNLKNSEYLATVPFGSSFTDPGFTGDKLPDLQAIRLLMDGYLDTYIADLSIVHDVEGCPWDPAVSAPGVVNQVVTHLRISHDAARYYLQMLGLMYPTDADIRRWNNWDAATLRAAVAELADRGLIVEGHRARAGRSWFLPGAWLEGRKKDRPVEEWKARHYLLWQDMKVRPVLPGSPLLMPIAQLYQQVWQRYISGDVPGYVELRTKKYRPRKNR</t>
  </si>
  <si>
    <t>--------------------------------MESTHPLIAMTFSGPAHSQPVVRLVSEPIIPAETTMLGLFGLHADTQQAVGTSTQHAVGFPAWPIMTDPDNAHHALNLVAELEQIRRRPSLRRARTRINAVTAQLAASAPHFAPTFLEEVARIFVTVGNRQAARQFFGKARAVERAHKVAIDLERHQAACVEFAHAGVVGAAELVAECRAVGTRDGDAKQGFTYALGLVHAQARAGVCPSTGVVVVLRQLGQR</t>
  </si>
  <si>
    <t>-------------------------------------------------------------MSAETTMLGLFGLHADTQQAVGTSTQHAVGFPAWPIMTDPDNAHHALNLVAELEQIRRRPSLRRARTRINAVTAQLAASAPHFAPTFLEEVARIFVTVGNRQAARQFFGKARAVERAHKVAIDLERHQAAFVEFAHAGVVGAAELVAECRAVGTRDGDAKQGFTYALGLVHAQARAGVCPSTGVVVVLRQLGQR</t>
  </si>
  <si>
    <t>-------------MDVWFPQPRNQQYLTYYTIMESTHPLIAMSFSGPAHPLPVVRLVSEPIIPAETTMLGLFGLHPDAQRVVGESTQHAVSFPAWPIMTDPDNAHHALNLVAELEHIRRSPSLRRARTRIDAVTAQLAASAPHFVPTFLEEVARIFVGADNRRAAQQYFGKARTVERAHGVAIDVGRHEAAFVEFAHAGVVSATELATECRAVGSRGGDVRQGFTYALGLVHAQARAGVCPSTDVVAALRQLGGY</t>
  </si>
  <si>
    <t>GC_00001193</t>
  </si>
  <si>
    <t>PF01731.26</t>
  </si>
  <si>
    <t>Arylesterase</t>
  </si>
  <si>
    <t>COG3391</t>
  </si>
  <si>
    <t>DNA-binding beta-propeller fold protein YncE (YncE) (PDB:3VGZ) (PUBMED:22120742;28628661)</t>
  </si>
  <si>
    <t>MSFLRAFLTDSTKLSVSPALFLLDMVAEEVHDMNKTANARTATQRAIAGLTSLALVAGGLTVIPHAAAEDNTATQCIAHEQRKERGQGAISANQSTYKPGDVVEISGTGFAKRVHRDTGEQLEDTFLAVKLDSNKADWPKDQSAGDDFAYQGGDTPTTLIAPGSVLDEDGNFTIKVVLPAEFTDKFQEGKHVITVLGGDDNGPQVSNSVDIWVNESGDATQPCGAEGPTEKPTQPKQDDNKADNGNNANNGNNQGNQDNNANNGNNNQDGNKPDNGNKPDNKPADQANNGNNQANQANQNNQGNNKPDNNKPNNDNKPAEQQSKATGEAKATVTAIDNRRGKKGDVALNLSLTNFPKGEKVTVTFNGQETKAGRGGAITVGEDGKAQGSVTISEGLAAGKYAVKATAKDTSVEIPFEVTPAGAVSNNAATGSKVEFHAAGLPKDAKVTAVGTEGVNWLKNQ---EGTADDKGQVTIKDIQVPVDAPFGKVISFTYTAG-GETKTLETNTKVNASTESLNVDQYSGVKKELPSGLYQSAVNDKTGHVFVTSAQGTNKSTIYKLDAKTLDVVAKNDALEKDG-EKFYAAFGVGLDNNKGLVWVTNTQQNTVSVYKQDDLSHVKTFPKGSVAHSRDVVVDEQTSLAYVSAASGD---EVVVFDANKNEPVRRIKLPGFERVMSLEFNQETGELFATSLNAPKAAKIDVRNNDQVTIYDLPKDQVESASGIAYDPVSKNIFVASQGSGNVVVVNTESKKVVASIPTGAGSLNAHYNKADKRVYVTNRGGGTITVIDPATNKVVANLPAGTNPNHVSVAGDGTIIAVNKAAAEKNGER--FDEVYTYKYNGAV---------------TPDPGKPGK-------------PGDRNSLEDFSSKLRDPANLPSLRNLLATVFAVLGLTTIFAGALSAMARFNVIPSSWVPQQLRF</t>
  </si>
  <si>
    <t>---------------------------------MKNVVARNATQRAIAGLTSLALVAGTLTVMPYASAQQQT-SQCVVNKARGENGAGAFGADKSTYKPGDVVKLNGAVFDAR--QSNGQPIANPYLALKLDSNSNTWPV-QEDGSLLEFKDGSDATTLIVPSHLLTDDG-FEAEVVLPAEFDNNFKPGKHIITVLGGADGGPTVSKSTEIWVNETGNDDDACGVNNQNPQP-QP--------------------</t>
  </si>
  <si>
    <t>MSFLRAFLTNSTKLSASPASFLLDMVAEEVHDMNKTANARTATQRAIAGLTSLALVAGGLTVIPHAAAEDNTATQCIAHEQRKERGQGAISANQSTYKPGDVVEISGTGFAKRVHRDTGEQLEDTFLAVKLDSNKADWPKDQSAGDDFAYQGGDTPTTLIAPGSVLDEDGNFTIKVVLPAEFTDKFQEGKHVITVLGGDDNGPQVSTSVDIWVNESGDATQPCGAEGPTEKPTQPKQDDNKADNGNNANNGNNQGNQDNNANNGNNNQDGNKPDNGNKPDNKPADQANNGNNQANQANQNNQGNNKPDNNKPNNDNKPAEQQSKATGEAKATVTAIDNRRGKKGDVALNLSLTNFPKGEKVTVTFNGQETKAGRGGAITVGEDGKAQGSVTISEGLAAGKYAVKATAKDTSVEIPFEVTPAGAVSNNAATGSKVEFHAAGLPKDAKVTAVGTEGVNWLKNQ---EGTADDKGQVTIKDIQVPVDAPFGKVISFTYTAG-GETKTLETNTKVNASTESLNVDQYSGVKKELPSGLYQSAVNDKTGHVFVTSAQGTNKSTIYKLDAKTLDVVAKNDALEKDG-EKFYAAFGVGLDNNKGLVWVTNTQQNTVSVYKQDDLSHVKTFPKGSVAHSRDVVVDEQTSLAYVSAASGD---EVVVFDANKNEPVRRIKLPGFERVMSLEFNQETGELFATSLNAPKAAKIDVRNNDQVTIYDLPKDQVESASGIAYDPVSKNIFVASQGSGNVVVVNTESKKVVASIPTGAGSLNAHYNKADKRVYVTNRGGGTITVIDPATNKVVANLPAGTNPNHVSVAGDGTIIAVNKAAAEKNGER--FDEVYTYKYNGAV---------------TQDPGKPGK-------------PGDRNSLEDFSSKLRDPANLPSLRNLLATVFAVLGLTTIFAGALSAMARFNVIPNSWVPQQLRF</t>
  </si>
  <si>
    <t>GC_00001194</t>
  </si>
  <si>
    <t>PF06993.17</t>
  </si>
  <si>
    <t>Protein of unknown function (DUF1304)</t>
  </si>
  <si>
    <t>K08987</t>
  </si>
  <si>
    <t>COG3759</t>
  </si>
  <si>
    <t>Uncharacterized membrane protein (PUBMED:15101977)</t>
  </si>
  <si>
    <t>-MSLVALIFIGLAALLHVFIFYLEAFAWASPTARNIFGHATEEELAITRFFAYNQGVYNLMLAIVAGIGIAMWLAGHHNVGAALMFAGAGSMIIAAAALALKSTAHRGAAAKQAAFAVIGVIALAVAL---</t>
  </si>
  <si>
    <t>-MSLVALIFIGLAALLHVFIFYLEAFTWASPTARNIFGHATEEELAITRFFAYNQGVYNLMLAIVAGIGIAMWLAGHHNVGAALMFAGAGSMIIAAAALALKSTAHRGAAAKQAAFAVIGVIALAVAL---</t>
  </si>
  <si>
    <t>MLMIIALMFISLAALLHVYIFYLEVFAWEKPAARKVFGEASVEELAITRFFAYNQGVYNLLLAIIAGIGVAM-------RNPALMLAGAGSMVVAAAALAFKSPKHRGAAMKQCVFAVIGVVCLVVSLQSA</t>
  </si>
  <si>
    <t>GC_00001195</t>
  </si>
  <si>
    <t>PF00296.26</t>
  </si>
  <si>
    <t>Luciferase-like monooxygenase</t>
  </si>
  <si>
    <t>COG2141</t>
  </si>
  <si>
    <t>Flavin-dependent oxidoreductase, luciferase family (includes alkanesulfonate monooxygenase SsuD and methylene tetrahydromethanopterin reductase) (SsuD) (PDB:1BRL)</t>
  </si>
  <si>
    <t>MAR------DQHP---------GPRDVLHEAIDLAVGADEIGVNGAYFRVHHFATQAASPMPLLSAIAARTTRIEVGTGVIDLRYENPLYLAEEAAALDYIADGRVALGVSRGSPEEAERGWEAFGYTGS----TDPRGADIARAKFDRFLDAVEGKGMVSAD------PTYYGDGIKLPVLPHSPGLRDHIWWGAGTRDTAEWAAEKGVNLMSSTLLTETNGEAFADLQAEQIERYRTAWKNAGHANNAPRVSVSRSIFPLVSDHDHQIFGS--QAHSQDQVGRIDGLVSTFGRTYAAEPDKLVEQLRNDAAVMSADTLMLTIPNQLGVELNLSILRNFAEHVAPELGWKPNTEGPVTGYTIK</t>
  </si>
  <si>
    <t>MAR------GQHP---------GPRDVLHEAIDLAAGADEIGVNGAYFRVHHFATQAASPMPLLSAIAARTTRIEVGTGVIDLRYENPLYLAEEAAALDYIADGRVALGVSRGSPEEAERGWEAFGYTGS----TDPRGADIARAKFDRFLDAVEGKGMVSAD------PTYYGDGIKLPVLPHSPGLRDHIWWGAGTRDTAEWAAEKGVNLMSSTLLTETNGEAFADLQAEQIERYRTAWKNAGHANNAPRVSVSRSIFPLVSDHDHQIFGS--QAHSQDQVGRIDGLVSTFGRTYAAEPDKLVEQLRNDAAVMSADTLMLTIPNQLGVELNLNILRNFAEHVAPELGWKPNTEGPVTGYTIK</t>
  </si>
  <si>
    <t>MKRFGFLSFGHYSLKPDKTGKYGAQETLKQAVELGQIADELGVNGAYFRVHHFAPQYSAPIPLLSAIAATTNTIEVGTGVIDMRYENPLGLAEEVAALDLLSDQRIAIGVSRGSPETALRGWEAFGYGGPELAQEDPKGAALAAEKFDTFLAALRGDGMATAAPFEQQYPQMFRSGTQLPVLPHSPGADRRIWWGAATHASAELAARKGVNLMSSTLVFETNGSSLGDVQAEQIARYRREWEKAGH-DWEPRVSVSRPIFPIVDGSDAQIFGPAGSGESHDSIGVLDDQRGIFGRTLVDTPDKIVEALKNDKAVMAADTLMLTIPNQAGVAVNARILENFAQHVAPELGWEPATRG--------</t>
  </si>
  <si>
    <t>MKRFGFLSFGHYSLKPDKTGKYGAQEALNQAVELGQIADELGVNGAYFRVHHFAPQYSSPIPLLSAIAATTNTIEVGTGVIDMRYENPLGLAEEVAALDLLSDQRIAIGVSRGSPETALRGWEAFGYGGPELAREDPKGAALAAEKFDTFLAALRGDGMATAAPFEQQYPQMFRSGTQLPVLPHSPGADRRIWWGAATHASAELAARKGVNLMSSTLVFETNGSSLGDVQAEQIARYRREWEKAGH-DWEPRVSVSRPIFPIVDGSDAQIFGPAGSGESHDSIGVLDDQRGIFGRTLVDTPDKIVEALKNDKAVMAADTLMLTIPNQAGVAVNARILENFAQHVAPELGWEPATRG--------</t>
  </si>
  <si>
    <t>GC_00001196</t>
  </si>
  <si>
    <t>COG2852</t>
  </si>
  <si>
    <t>Very-short-patch-repair endonuclease (YcjD) (PDB:3HRL)</t>
  </si>
  <si>
    <t>MQPHRPTPPWHSHKVVGVEQLQLVAWPRKPQVSASQSSGWSASDAFEYRYIQLTKRLGSLRFAYEEAPYFLRFLLHIQVAQLSCRTAVISCLAAARVHGIPTLNREHSTVVELNLPGHGKPSSTYPEIFHYRCAYLPESDITVVNGYRVTTIERTFVDICAVNGALEGLAFIEAALRQGFRKRQFQIYLDSHRGRWGITKAQEVLDQALYGIDSVHETHARYVIMTCLPQLSVSAQVVFYTLNSYYRVDLLIADSLILEVDGRDKYAGPDRQARQVYRKQIDREQFLLDLGYHVARIHPDEIATKLANKVAFLTNKPPLDRHVIVDLYHQPPWWQRT</t>
  </si>
  <si>
    <t>-----------------MVELKLVWWPQFP------------TEEFEYHYLPLTATVGTPRFEYEEAPYFQRLLLHANAAQVTRKKAVISCLAAAMVHGIPVLNLERSTRVELNLPGKARPPSGYPEIFHYRDAYLPESDITVVRGYRVTTVERTFVDICAVNGELEGLVFLESALRRGYTKDRFQYYLDSNCGRWGISKAQKILAKALYGIDSVYETFARCLIEEYFPHLTVEPQAVFSTPNSYYRVDLLIAGF</t>
  </si>
  <si>
    <t>MQPHWPTPPWRFHKVVGVEQLQLVAWPRKPQVSASQSGGWSASDAFEYHYIQLTKRLGSLRFAYEEAPYFLRFLLHIQVAQLSCRTAVISCLAAARVHGIPTLNREHSTVVELNLPGNGKPSSTYPEIFHYRCAYLPESDITVVNGYRVTTIERTFVDICAVNGALEGLAFIEAALRQGFRKRQFQMYLDSHRGRWGITKAQEVLDQALYGIDSVHETHARYVIMTCLPQLSVSAQVVFYTLNSYYRVDLLIADSLILEVDGREKYAGPDKQARQVYRKQIAREQFLLDLGYHVARIHPDEIATKLANKVAFLTNKPPLDRHVIVDLYHQPPWWQRT</t>
  </si>
  <si>
    <t>-----------------MVELKLVWWPQFP------------TEEFEYHYLPLTATVGTPRFEYEEAPYFQRLLLHANAAQVTRKKAVISCLAAAMVHGIPVLNLERSTRVELNLPGKARPPSGYPEIFHYRDAYLPESDITVVRGYRVTTVERTFVDICAVNGELEGLVFLESALRRGYTKGRFQQYLDSNCGRWGISKAQKILAKALYGIDSVYETFARCLIEEYFPHLTVEPQAVFSTPNSYYRVDLLVAGF</t>
  </si>
  <si>
    <t>GC_00001197</t>
  </si>
  <si>
    <t>----------------MTTPTTRVPNSQAVPLLLALLAAVFAFQLNASMLSPALATMSRELDATDAQIGLTQTAFFTAAALFSLFLPRWGDLIGRRKVLLGMLLATAIGCVVSALAPGVGTLFVGRVIQGVAGPTVPMCLIMLRAHVPNDKQYALLMAILTSVNGGIAGVDALAGGWLAQHYGFRSIFWVMALICAVAVIAVFLRTGETKAAVTQPMDWVGVAPLVIALGSVLIAFNEAGKLADARWWLVAVLIV</t>
  </si>
  <si>
    <t>MPTSDSPHTAGVPPATASVELPKVPVVEAIALMLALLVAVFAFQLNASMLSPALKTMEVELETTEAQIGLTQTAFFTAAALFSLFLPRWGDLIGRRKVLVGMLAITAVGCVISAIAPNVTVLFVGRVIQGVCGPTISLTLIMLRQQVPNEKQYALLMGILASVNGGIAGVDALAGGWLAGTFGFRSIFWVMAVICALGVVSVRLFTRESTAEETMPMDWLGVLPLTVSIGSLLIAFNEAGKLADANWSMVVGLLVLGGIGIAVFLKIEAKVPHPLVTVTYLKQRRTWALLSTTVLTMTSVFAVMNGIIPNLAQDATYGPGVDTNMVSWYTLTPYALAGLVFGPIAGTFAAKLGYKRMLQIGLVGMFIGLLIAVFSSGMANEWVLLFIAIFMGVTYAGTVNIMLSGLGIVLSPADNQGYLPGMNAGAFNLGAGISFAALFAVVSMFKDADGGYAAGIIAGAVIAAIAFGTSMLIPKPETIDDTVAARDAREALEKMKIDA</t>
  </si>
  <si>
    <t>--------------------------------------------------------MEVELETTEAQIGLTQTAFFTAAALFSLFLPRWGDLIGRRKVLVGMLAITAVGCVISAIAPNVTVLFVGRVIQGVCGPTISLTLIMLRQQVPNEKQYALLMGILASVNGGIAGVDALAGGWLAGTFGFRSIFWVMAVICAIGVVSVRLFTRESTAEETMPMDWLGVLPLTVSIGSLLIAFNEAGKLAAANWLMVVGLLV</t>
  </si>
  <si>
    <t>MPTSDSPHTAGVPPATASVELPKVPVAEAIALMMALLVAVFAFQ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</si>
  <si>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GC_00001198</t>
  </si>
  <si>
    <t>MMG------------------------------------------------------------------------HMSEHHTEHLFPASVYQHRLTQAATAARNAGLDGLIFGTGAELAYLTGSWISTHERLTALIIPTDGSEPTFILPAVDRGDLALSAIPELTVAVCGWVDGDNSHDLAVKALHLAPDAHPTIGLGSSLTADHVLPLQQRIGGSTVLAATVLKELFMRKAEEEITALSNAAAAIDRVFAAVPKLLQPGRSEKDVARDLNYLILKEGHAAVDFIIVGSAANGANPHHSYSDRILKAGDVVVVDIGGTYGPNYHSDCTRTFIVGGPEEQHNPDIAAMYNVLERAQAAAVAAVKPGVTAESIDRIARNIITEAGYGEQFIHRTGHGIGLSTHEEPFIMEGNHLTLEPGMAFSIEPGIYIEGQYGARIEDIVVVTETGCKTLNNQPRSLQ</t>
  </si>
  <si>
    <t>MMG------------------------------------------------------------------------HMSEHHTEHLFPASVYQHRLTQAATAARNAGLDGLIFGTGAELAYLTGSWISTHERLTALIIPTDGSEPTFILPAVDRGDLALSAIPELTVAVCGWVDGDNSHDLAVKALHLAPDAHPTIGLGSSLTADHVLPLQQRIGGSTVLAATVLKELFMRKAEEEITALSNAAAAIDRVFAAVPKLLQPGRSEQDVARDLNYLILKEGHAAVDFIIVGSAANGANPHHSYSDRILKAGDVVVVDIGGTYGPNYHSDCTRTFIVGGPEEQHNPDIAAMYNVLERAQAAAVAAVKPGVTAESIDRIARNIITEAGYGEQFIHRTGHGIGLSTHEEPFIMEGNHLTLEPGMAFSIEPGIYIEGQYGARIEDIVVVTETGCKTLNNQPRSLQ</t>
  </si>
  <si>
    <t>MVGFHDGAGEPENADVGGGEVYPAGNFTIPVVAEDEHVTGSAVAEEVAGGQDEVGVDEYAGAVAGWGVDPYQRRQHSYDNAMSDSVSVSTYSGRLRRAQELCSRRGLAGLVLGPGEQLAYLTGLRFDTHERFSALVVPAVG-EIRLVLPVVDRD---VTPEERLEIKVETWVDGSSPYD-------LVPTGR--IGVGAELVASHVLRLMP--GRELVSATEVLAELFVSKEKLELEELRRAGKAIDRVHAQVPQLLRPGRTERKVAADLSRLILEE-HEKVDFVIVGSGPNGANPHHEFSDRILGLGDMVVVDIGGSLQSGYHSDCTRTYVVGGPGA-----VPRMYRVLYDAQAAAVRTVRPGVTAESVDAAAREVISAAGFGEFFIHRTGHGIGLSLHEEPFIVAGNTMELLPGMAFSVEPGIYIPGKCGARIEDIVAVTEDGCELMNNRPRELL</t>
  </si>
  <si>
    <t>GC_00001199</t>
  </si>
  <si>
    <t>K21481</t>
  </si>
  <si>
    <t>heme oxygenase (mycobilin-producing) [EC:1.14.99.57]</t>
  </si>
  <si>
    <t>COG2329</t>
  </si>
  <si>
    <t>Heme-degrading monooxygenase HmoA and related ABM domain proteins (HmoA) (PDB:1IUJ) (PUBMED:21873409)</t>
  </si>
  <si>
    <t>KEGG Orthology (KO)&gt;&gt;&gt;09190 Not Included in Pathway or Brite&gt;&gt;&gt;09191 Unclassified: metabolism&gt;&gt;&gt;99980 Enzymes with EC numbers|Enzymes&gt;&gt;&gt;1. Oxidoreductases&gt;&gt;&gt;1.14  Acting on paired donors, with incorporation or reduction of molecular oxygen&gt;&gt;&gt;1.14.99  Miscellaneous&gt;&gt;&gt;1.14.99.57  heme oxygenase (mycobilin-producing)</t>
  </si>
  <si>
    <t>MSIIKINALTVPEGQGPELEKRFAARKHVVDDAPGFKGFKLLRPTAGEQRYFVLTEWEDEESYVAWRDGDARKAHQGDPAEKPAPVAIKAELLEFEVVLDSTS-</t>
  </si>
  <si>
    <t>MSIIKINALTVPEGQGPELEKRFAARKHVVDDAPGFKGFKLLRPTAGEQRYFVLTEWEDEESYVAWRDGDARKAHQGDPAEKPAPVATKAELLEFEVVLDSTS-</t>
  </si>
  <si>
    <t>MSIVKINAITAGPGQEAELERRFEARKHAIDGHPGFEGFTLLRPTKGETRYFVFTQWADEESYQAWRAADT--GHSGNPAERK-KVAPHADLMEFDVVFEVKGE</t>
  </si>
  <si>
    <t>MSIVKINAITAGPGQEAELERRFEARKHAIDGHPGFEGFTLLRPTKGETRYFVFTQWADEESYQAWRAADT--GHSGDPAERK-KVAPHADLMEFDVVFEVKGE</t>
  </si>
  <si>
    <t>GC_00001200</t>
  </si>
  <si>
    <t>MLELPLPQLARLLHSGEVHPRDLVAEIDSALSGLTPAEHGFAHIDLDFALAQVEQLDTIPRDKRRKLWGIPIPVKDLSPVVGMPVSYGSVSRREIPDATDPFPEVLLNQGALIPGKTQTPELGMSAYTEPVGMPAVDNPRLPGHTPGGSSGGAAAAVARGVVRVAHASDGGGSIRIPAASTGLVGFKPPHLSHGAKLTVQGFLVPTLADTAFLHNITPCHRA--LRVGVLVEPLHGDGGPESVAPHVVAAVHTAADKLSDLGHSVVEIRPAYGPELFSAFQDVLCGMARRIDSPASPLVDWLRSRGMLLSAAQRTDAVRRFHKVGPVVRAAWDIDVLLTPTLAFDPPAQGFFSALPPAEDFEAQTRWTPWATLFNMTGGAALSIPFGTANTHTGWQPSVHLGGIRCTPADLFGLAEDLEQ--------</t>
  </si>
  <si>
    <t>MLELPLPQLARLLHSGEVHPRDLVAEIDSALSGLTPAEHGFAHIDLDFALAQVEQLDNIPRDKRRKLWGIPIPVKDLSPVVGMPVSYGSVSRREIPDATDPFPEVLLNQGALIPGKTQTPELGMSAYTEPVGMPAVDNPRLPGHTPGGSSGGAAAAVARGVVRVAHASDGGGSIRIPAASTGLVGFKPPHLSHGAKLTVQGFLVPTLADAAFLHNITPCHRA--LRVGVLVEPLHGDGGPESVAPHVVAAVRTAADKLSDLGHSVVEVRPAYGPELFSAFQDVLCGMARRIDGPASPLVDWLRSRGMLLSAAQRTDAVRRFHKVGPVVRAAWDIDVLLTPTLAFDPPAQGFFSALPPAEDFEAQTRWTPWATLFNMTGGAALSIPFGTANPHTGWQPSVHLGGIRCTPADLFGLAEDLEQ--------</t>
  </si>
  <si>
    <t>GC_00001201</t>
  </si>
  <si>
    <t>-------------------------------------------------------------------------------------------------------MVAMVMFAGSLVLLAIAIMMNKRVLYLLALPSSALAYAQFPMIQIAQLAHYGHSAIGDILLGDFVGIPACLLMMLFPHWWWFVTMLMTTSMVVTLHDNQLPFWHIGDFDAALYSTLISGPVLFMVYSGIHTSRQTDAAIFQSAQANMTFLRS</t>
  </si>
  <si>
    <t>-------------------------------MESSVLARVAQPAPKIRQYSDLAARTPPRLAELTLIRCITLVCFFAYLGYLTLKWEILREYLAKDFIFPVWTTVSIWLFVITLAGLVVAAIINTRMGYVVALTGSAVAYSQFPLIQMMELFDRGNSPVGNLHLADFGGIPTCLLVTVFPNVYCYIFCLLSTCMMVALSDGYLPFWHYDDFNGAFYSTLICGPALFIAYNGIRVCRAADQAVFQEYQATTAVLRS</t>
  </si>
  <si>
    <t>MARRLGSPLLPQKIGALIRGPSLEKTNRISRMKDSDLVQLARPAPRSHHYSDFFIPQQPRITELKLIRYITIICLVSYCGYLVMKSSLIYSCLSTNDSYGGWIMVAMVMFAGSLVLLVIAVMMNKRVLYLLALPGSALAYAQFPMIQIAQLAHYGHSAIGDMLLGDFVGIPACLLMMLFPHWWWFVTMLMTTSMVVTLHDNQLPFWHMSDFDAALYSTLISGPVLFMVYSGIHTSRQTDAAIFQSAQANMTFLRSQSFSELESYFTSRIHDKVLPTLNSAAAGLTPVTDVPRINIMDVTQADTMSVGNFITMLRDSVTESTKITIQAVADLTMPLPFKTAMALIDAVAEASHNSVEHAPQATRELTISWNSTVMNIVFRDSGPGFHIDKVSHNHAGVKITMLKRPQIYNGVSVSLMSAPEQGTRYEITWNVTDTVAAPEGSKEQQNMLLYQVQKLGFDRLFR-PWVAAYALAIFTFDVMPYDHRGQWHVLIISMGLVAGALWSLTDRSQLRLPWRNTIILIVCVSALMTIGQFSHYPQPPQLQRYGWFVSYSVVLAMYLALRLRPGVAWAMWVGFAVITYVAESWLRLDLLASASSIIACIPLLIPATIVPLQLNWVVKSLPTLQRVDSNEYLEPDL----QRYTSEMTKWLHSLLQLVDDPMVAKLMELRLRDAIRSPLLDVPELTAAVWRARAAGSRVTLIDDRSPTCADPEEHSKIIANTTDALGKNPHTLTLRLLPAGRDRYASLRWN</t>
  </si>
  <si>
    <t>-------------------------------MESSVLARVAQPAPKIRQYSDLAARTPPRLAELTLIRCITLVCFVAYLGYLTLKWEILREYLTKDFIFPVWTTVSIWLFVITLAGLVVAAIINTRMGYVVALTGSAVAYSQFQLIQMMELFDRGNSPVGNLYLADFSGIPTCLLVTVFPNVYCYIFCLLSICMMSALSDGYLPFWHYYDFDGAFYSTLICGPALFIAYNGIRVCRAADQAVFQEYQATTTVLRS</t>
  </si>
  <si>
    <t>GC_00001202</t>
  </si>
  <si>
    <t>PF01288.25</t>
  </si>
  <si>
    <t>7,8-dihydro-6-hydroxymethylpterin-pyrophosphokinase (HPPK)</t>
  </si>
  <si>
    <t>K00950</t>
  </si>
  <si>
    <t>2-amino-4-hydroxy-6-hydroxymethyldihydropteridine diphosphokinase [EC:2.7.6.3]</t>
  </si>
  <si>
    <t>COG0801</t>
  </si>
  <si>
    <t>7,8-dihydro-6-hydroxymethylpterin pyrophosphokinase (folate biosynthesis) (FolK) (PDB:1CBK)</t>
  </si>
  <si>
    <t>KEGG Orthology (KO)&gt;&gt;&gt;09100 Metabolism&gt;&gt;&gt;09108 Metabolism of cofactors and vitamins&gt;&gt;&gt;00790 Folate biosynthesis [PATH:ko00790]|Enzymes&gt;&gt;&gt;2. Transferases&gt;&gt;&gt;2.7  Transferring phosphorus-containing groups&gt;&gt;&gt;2.7.6  Diphosphotransferases&gt;&gt;&gt;2.7.6.3  2-amino-4-hydroxy-6-hydroxymethyldihydropteridine diphosphokinase</t>
  </si>
  <si>
    <t>MIRAVLSIGSNMDDRYALLETVFEEFRDETIAQSPIYSTPPWGVPDQDEFLNAILIVNVAQTPRELLHRGQHLEAAAERRRTRKWGPRTLDVDIIQVIDANGVELVSEDPELILPHPWARHRAFVLVPWLAADPEARLLGVPVREIVEKLDIADVEAVVEA---------</t>
  </si>
  <si>
    <t>MIRAVLSIGSNMDDRYALLETVFEEFRDETIAQSPIYSTPPWGVPDQDEFLNAILIVNVAQTPRELLRRGQHLEAAAERRRTRKWGPRTLDVDIIQVIDANGVELVSEDPELILPHPWARHRAFVLVPWLAADPEARLLGVPVREIVEKLDIADVEAVVEA---------</t>
  </si>
  <si>
    <t>GC_00001203</t>
  </si>
  <si>
    <t>MNAQPSQRSHVDPFRVMQILGQTD--ENSLVLCVGQPSSGAPTPVIRRVQQALIDAPLGYTPTLGTDELRATIADWHSAAYGVTTRPENVVITTGSSGGFVALFLAALDHGDTIAMSRPGYPAYRNTLQALGAQIVDLPCGPDTRFQPTARMLAELDTVPKAVIVTSPDNPSGTIIDPDELRAIAEWCDANGCLLISDEIYHGITYGRTCATARSYSDQAVVVGSLSKFFCMTGWRLGWLIVPDYLVEPLENLQANLALCPPAVSQVGAVEAFTEESRRELAQRVEHYAAARDVLLEKLP---FTRFAPPDGGFYLYIDISEYTDDSEQWCRDLLRETGVAVAPGVDFDPIDGHRYIRISFCVDVDVIEQACQRITEFCASPLRRYRDRT</t>
  </si>
  <si>
    <t>MNAQPSQRSHVDPFRVMQILGQTD--ENSLVLCVGQPSSGAPTPVIRRVQQALIDAPLGYTPTLGTDELRATIADWHSATYGVTTRPENVVITTGSSGGFMALFLAALDHGDTIAMSRPGYPAYRNTLQALGAQIVDLPCGPDTRFQPTARMLAELDTVPKAVIVTSPDNPSGTIIDPDELRAIAEWCDANGCLLISDEIYHGITYGRTCATARSYSDQAVVVGSLSKFFCMTGWRLGWLIVPDHLVEPLENLQANLALCPPAVSQVGAVEAFGEEARQELAQRVEHYAAARDVLLEKLP---FTRFAPPDGGFYLYIDISEYTDDSEQWCRDLLRETGVAVAPGVDFDPIDGHCYIRISFCVDVDVIEQACQRITEFCASPLRCYRDRT</t>
  </si>
  <si>
    <t>MSFISERSATVAPFRVMKILGAAHKRDDALVLCVGQPATSAPTPVIRSAHHWLDAHTLGYTPTLGIPELRQKIAEYHNAN------LDNVVVTTGSSGAFVALFLAVLDPGDTIVMTRPGYPAYRNTLAALGAHIIDLPCGPDTRFQPTVDKLAHIQPTPKAVIVTSPDNPTGTIIDPEELRRIAHWCEEVGCLLISDEIYHGISYGRPCASARDYSHRAVTVGSLSKYFSMTGWRLGWLIVPDDLVEPLENLEANLALCPPAISQYAALEAFTPESRVELDAHVADYARARDVLLQELPSMGLGNFAPPDGGFYLYIDVSHLTDDSEQWCDQLLHDTGVAIAPGVDFDPIDGRKYVRISFCVSLETIRAACDRLRQWLG----------</t>
  </si>
  <si>
    <t>MSFISERSATVAPFRVMKILGAAHKRDDALVLCVGQPATSAPTPVIRSAHHWLDAHTLGYTPTLGIPELRQKIAEYHNAN------PDNVVVTTGSSGAFVALFLAVLDPGDTIVMTRPGYPAYRNTLAALGAHIIDLPCGPDTRFQPTVDKLAHIQPTPRAVIVTSPDNPTGTIIDLEELRRIAGWCEEVGCLLISDEIYHGISYGRPCASARDYSHRAVTVGSLSKYFSMTGWRLGWLIVPDDLVEPLENLEANLALCPPAISQYAALEAFTPESRVELDAHVADYARARDVLLQELPSMGLGNFAPPDGGFYLYIDISHLTDDSEQWCDQLLHDTGVAIAPGWTSTPLMVTNTFELVFVYPWKLFGR---RATGFDNG---------</t>
  </si>
  <si>
    <t>GC_00001204</t>
  </si>
  <si>
    <t>K25150</t>
  </si>
  <si>
    <t>polyether ionophore transport system ATP-binding protein</t>
  </si>
  <si>
    <t>MNAYPIEISQLSKDFGKTRVLNNVNLTVAHGTVHGFLGPNGAGKSTTIRCLLGLIHPTTGTLRINNTDPTKTTIHNVAYVPGDVELFPNLTGNQVLDTLAKLRPTSDNKKKRAEYIERFKLDPTKKIRTYSKGNRQKVMLIAAFAANVDILVLDEPTSGLDPLIEQTFINIVRERRNEGAAILLSSHILSEVQELADDISIIRNGTIVESGSLKQLAHIRGVRIRATNPDYDHIHEQDSVNPTLQHLIDQGASNITITPASLEELFLEFYQDGQG------QTNGNQGQQQGGNSRA</t>
  </si>
  <si>
    <t>MNVYPIEISQLSKDFGKTRVLNNVNL------------------------------------------------------------------------------------------------------------------------------------------------------------------------------------------------------------------------TLQHPIDQGASNITITPASLEELFLKFYQDGQG---GQGQTHGNQRQQQGGNSRA</t>
  </si>
  <si>
    <t>MNAYPIEISQLSKDFGKTRVLNNVNLTVTAGTVHGFLGPNGAGKSTTIRCLLGLIHPTTGTLRINNTDPTKTTIHNVAYVPGDVELFPNLTGNQVLDTLAKLRPTSDNKKKRAEYIERFKLDPTKKIRTYSKGNRQKVMLIAAFAANVDILVLDEPTSGLDPLIEQTFINIVRERRNEGAAILLSSHILSEVQELADDISIIRNGTIVESGSLKQLAHIRGVRIRATNPDYDHIHEQDSVNPTLQHLIDQGASNITITPASLEELFLEFYQDGQGKPAQQQEAQGNQNQQQGGASHA</t>
  </si>
  <si>
    <t>MNAYPIEISQLSKDFGKTRVLNNVNLTVAHGTVHGFLGPNGAGKSTTIRCLLGLIHPTTGTLRINNTDPTKTTIHNVAYVPGDVELFPNLTGNQVLDTLAKLRPTSDNKKKRAEYIERFKLDPTKKIRTYSKGNRQKVMLIAAFAANVDILVLDEPTSGLDPLIEQTFINIVRERRNEGAAILLSSHILSEVQELADDISIIRNGTIVESGSLKQLAHIRGVRIRATNPDYDHIHEQDSVNPTLQHLIDQGASNITITPASLEELFLEFYQDGQGNQGGQGQTHGNQGQQQGGASRA</t>
  </si>
  <si>
    <t>GC_00001205</t>
  </si>
  <si>
    <t>MRKNMTAVAALAAVAVLAFGVAGCGSDDA----------------GEKKFKVADVSKESRVLTTTFADSSVPPSTYEQDSKGNFKVTAETPGQGKSETYYVDGKFYNCSNGTCAEDSTMSKAAANTDVLKEYQQRLDQAKDTAQYLGEESCSSGTCDTWEVENQKFFMDKDHRVVRIVAQTTNPFTNEPTESTTEVEYKDVPEIKAP--</t>
  </si>
  <si>
    <t>MRKNMTAVAALAAATVLAFGIAACGNGGSSDTSSGGTSATAQSGNGEKKMEVADVSKESFVSTTKYADSGLPPSVQEQDKKGNLKITTEVPNQGKTEIYYVDKKFYRCENGPCTEDATLNEAAADTDMVKQFQDQLQQAKDAAKYLGEESCSAGTCETWEMGGQKYFLDKDHRLSRVTASATNPYTNEPTEMTTEVEYKDVPEIKVPQM</t>
  </si>
  <si>
    <t>MRKNMTAVAALAAVAVLAFGVAGCGSDDG----------------GEKKFKVADVSKESRVLTTTFADSSVPPSTYEQDSKGNFKVTAETPGQGKSETYYVDGKFYNCSNGTCAEDSTMSKAAANTDVLKEYQQRLDQAKDTAQYLGEESCSSGTCDTWEVENQKFFMDKDHRVVRIVAQTTNPFTNEPTESTTEVEYKDVPEIKAP--</t>
  </si>
  <si>
    <t>MRKNMTAVAALAAATVLAFGIAACGNSGSSDTSSGGTSATAQSGNGEKKMEVADVSKESFVSTTKYADSGLPPSVQEQDKKGNLKITTEVPNQGKTEIYYVDKKFYRCDNGPCTEDATLNEAAADTDMVKQFQDQLQQAKDAAKYLGEESCSAGTCETWEMGGQKYFLDKDHRLSRVTASATNPYTNEPTEMTTEVEYKDVPEIKVPQM</t>
  </si>
  <si>
    <t>GC_00001206</t>
  </si>
  <si>
    <t>K11708</t>
  </si>
  <si>
    <t>MSFIDFLSEFSYQRIIIGTTLIGACAGAMGVFLYLRRQSLLSDVIGSAATPGVMGIFLAVSLSPLLFDARSMPVITIGALVTGLLAAVLANRIAATTRIGIDTTMAVVMSLFLGGGLVLLQVIQRSRIRGKGGMEELMFGNSATLTNLDVGTIAVVSIAVAVVMILLWRPFTMMTFDQTLSQVSGLPLRWLSPLLLSLIVLAVVIGVKAVGLILMIAFAVFPPAAARQWSKTVRQMVLFSAGIGGVASVVGTYISVAVGKVPTGPVIVLVLTAFVGVSLVAAPRRSGVR--GGARA</t>
  </si>
  <si>
    <t>MSFIDFLSEFSYQRIIIGTTLIGACAGSMGVFLYLRRQSLLSDVIGSAATPGVMGIFLAVSLSPLLFDARSMPVITIGALVTGLLAAVLANRIAATTRIGIDTTMAVVMSLFLGGGLVLLQVIQRSRIRGKGGMEELMFGNSATLTNLDVGTIAVVSIAVAVVMILLWRPFTMMTFDQTLSQVSGLPLWWLSPLLLSLIVLAVVIGVKAVGLILMIAFAVFPPAAARQWSKTVRQMVLFSAVIGAVASVVGTYISVAVGKVPTGPVIVLVLTAFVGVSLVAAPRRSGVR--GGARA</t>
  </si>
  <si>
    <t>MSLIEFLSEFSYRRIVIGTMLIGACSGAMGTFLYLRRQSLMSDVIGHSATPGVMGAFLVVSLIFGGFDARSMPVIVVGALITGLIAVVLANKVADTTRIGIDATMAVVLSLFLGGGLLILQVIQRSHIRGKGGIEDLMFGNAATLTNLDVRTIAVVTFVVFLAVALLWRPITLMTFDPTLAKVSGLKTAVLSPALFGLIVLAIVIGVKAVGLILMIAFAVFPPAAARQFSRTVGRMTFLSGLFGAVASVLGTYISVTMGKVPTGPVIVLVLSGIVLVSMIVAPRRGAMHPGGGERI</t>
  </si>
  <si>
    <t>MSLIEFLSEFSYRRIVIGTMLIGACSGAMGTFLYLRRQSLMSDVIGHSATPGVMGAFLVVSLIFGGFDARSMPVIVVGALITGLIAVVLANKVADTTRIGIDATMAVVLSLFLGGGLLILQVIQRSHIRGKGGIEDLMFGNAATLTNLDVRTIAVVTFVVFLAVALLWRPITLMTFDPTLAKVSGLKTAVLSPALFGLIVLAIVIGVKAVGLILMIAFAVFPPAAARQFSRTVGRMTFLSGLFGAVASVLGTYISVTMGKVPTGPVIVLVLSGIVLVSMIVAPRRGAMHPGGGERL</t>
  </si>
  <si>
    <t>GC_00001207</t>
  </si>
  <si>
    <t>COG3485</t>
  </si>
  <si>
    <t>Protocatechuate 3,4-dioxygenase beta subunit (PcaH) (PDB:1DLM)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</si>
  <si>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-------------------------------------------------------------------------------------------------------------------------------------------------------------------------------------------------------------------------------------------------------------MT</t>
  </si>
  <si>
    <t>PF00775.27</t>
  </si>
  <si>
    <t>Dioxygenase</t>
  </si>
  <si>
    <t>MPGAVFIVADMFTPNDDIMESRRTISRRRALGVGGTVGLAGLIAACAPGTKTTNTAASTSTSAFATSTTSVAAAAVNEQKLRELLNAAPGCVTTPEETQGPYYFDVDSIRSNITEDRPGLPLELMIRVQNVEGCVVGSSDNPVANAAVEIWHCDAGGVYSGFEVSSQAANNGSAGGAGGGGAAPSGNPPAGDPPQGNPPSGTPPQGGGEGGPGGRPQGDGDQSTSGSVSDGSYAAGDKEATTSDDGTYLRGAQMTDSEGIVRFTSIYPGWYVSRTVHIHVKVHIDRKTVLTTQLFFDDTLSDTINADVSPYNEHKNRDTYNDTDKIFTKEGLVKAEYDGTKVLAAINIGIEA</t>
  </si>
  <si>
    <t>----------MFTPNDDIMESRRTISRRRALGVGGTVGLAGLIAACAPGTKTTNTAASTSTNAFATSTTSVAAAAANEQKLRELLNAAPGCVTTPEETQGPYYFDVDSIRSNITEDRPGLPLELMIRVQNVEGCVVGSSDNPVANAAVEIWHCDAGGVYSGFEVSSQAANNGGAGGAGGGGAAPSGNPPAGDPPQGNPPSGTLPQGGGEGGPGGGPQGDGDQSTSGSVSDGSYAAGDKEATTSDDGTYLRGAQMT</t>
  </si>
  <si>
    <t>GC_00001208</t>
  </si>
  <si>
    <t>MSFAALLETLNSVIWSPALVFLCLAVGVYFTLTTLFLQVRCLPDMMRQIVSNKKSGSGVSSFESLMISLAGRVGVGNIAGVATAIAFGGPGAVFWMWAVALLGSATSFIECTLAQIYKEKDRDTGEYRGGPAYYIEKAYKHTRAGKFMLVYAVVFAVAMMLATSYFLPGIQANGMAAAMHNAWGTDVRISAVVLGILLAVIIMGGVRRIANFASLVVPLMAVVYILASIVIMFVNFDRIDDVFSLIFRSAFDQEAMFSGMLGAAIMWGVKRGIYSNEAGQGTGPQSAAAAEVSHPAKQGFVQAFAVYVDTLFVCSATAFIIISTDMYKVFENQSEDGAVRYAGKLADGVPVGPGFVQEGLNSFTSGIGTSFVAVAIGLFAFTTVLAYYYMAETNLAYFNRWIHSRRLRLAFVWGLRVLVVVSVVVGAMTTPGNAWALGDIGVGATAWLNIIAIVVLQIPAHKALWDYHRQKKAGLDPVFDPEKLGIKNADFW----VQERKTSQSPAVTAEA-----------</t>
  </si>
  <si>
    <t>MSFATILDTLTTIIWSPALVFVCLAVGIFFTISTLFMQIRCIPDMFQQMVGNDDSESGVSSFKALMISLAGRVGVGNIAGVATAIAYGGPGAVFWMWIVAIFGAATSFMECTLAQIYKEKDQDTGEYRGGPAYYIEKAFQHTRARKFMLVYAIIFAVCMVLSGGYFLLGIQANGVADAMRNAWGINVWLSAAVSAVLVGVIIMGGVKRIANFASLVVPFMAIIYILAAVIIMFVNFHHIDDVFSLIFRSAFDREAMFSGMLGSAIMWGVKRGIYSNEAGQGTGPQSAAAAEVSHPAKQGFVQAFAVYAGTLFVCSATAFIILSTDMYKVFEGESQDGPVRYAGQLADGVDVGPGFVQEGLNSFVPGIGAGFVALAIVLFAFTTVLAYYYMAETNLAYFNRWIPNHKVRVSLLIGLRVLAVASVVIGATTTPGNAWALGDIGVGVTTWLNIIAITIVQIPAHKALWDYQRQKKAGLDPVFEPEKLGIKNADFWTVRAMEERIAAKRAAGDSDSKDEIDGKPNPQ</t>
  </si>
  <si>
    <t>MSFAALLETLNSVIWSPALVFLCLAVGVYFTLTTLFLQVRCLPDMMRQIVSNEKSGSGVSSFESLMISLAGRVGVGNIAGVATAIAFGGPGAVFWMWAVALLGSATSFIECTLAQIYKEKDRDTGEYRGGPAYYIEKAYKHTRAGKFMLVYAVVFAVAMMLATSYFLPGIQANGVAAAMHNAWGTDVRISAVVLGILLAVIIMGGVRRIANFASLVVPLMAVVYILASIVIMFVNFDRIDDVFSLIFRSAFDQEAMFSGMLGAAIMWGVKRGIYSNEAGQGTGPQSAAAAEVSHPAKQGFVQAFAVYVDTLFVCSATAFIIISTDMYKVFENQSEDGAVRYAGKLADGVPVGPGFVQEGLNSFTSGIGTSFVAVAIGLFAFTTVLAYYYMAETNLAYFNRWIHSRRLRLAFVWGLRVLVVVSVVVGAMTTPGNAWALGDIGVGATAWLNIIAIVVLQIPAHKALWDYHRQKKAGLDPVFDPEKLGIKNADFW----VQERKTSQSPAVTAEA-----------</t>
  </si>
  <si>
    <t>MSFATILDTLTTIIWSPALVFVCLAVGIFFTVSTLFMQIRCIPDMFQQMVGNDDSESGVSSFKALMISLAGRVGVGNIAGVATAIAYGGPGAVFWMWIVAIFGAATSFMECTLAQIYKEKDQDTGEYRGGPAYYIEKAFQHTRARKFMLVYAIIFAVCMVLSGGYFLLGIQANGVADAMRNAWGINVWLSAAVSAVLVGVIIMGGVKRIANFASLVVPFMAIIYILAAVIIMFVNFHHIDDVFSLIFRSAFDREAMFSGMLGSAIMWGVKRGIYSNEAGQGTGPQSAAAAEVSHPAKQGFVQAFAVYAGTLFVCSATAFIILSTDMYKVFEGESQDGPVRYAGQLADGVDVGPGFVQEGLNSFVPGIGAGFVALAIVLFAFTTVLAYYYMAETNLAYFNRWIPNHKVRVSLLIGLRVLAVASVVIGATTTPGNAWALGDIGVGVTTWLNIIAITIVQIPAHKALWDYHRQKKAGLDPVFEPEKLGIKNADFWTVRAMEERIAAKRAAGDSDSNDEIDGKSNPQ</t>
  </si>
  <si>
    <t>GC_00001209</t>
  </si>
  <si>
    <t>MATDRFIAGIILIPGVIHIAALYAKAGDPPFNAPA-ALWVAIALGIIYTIESATVLRRRTQPVRMLWICIILELIRFIVLIVGGPQPASSGPSCIAVLAYAAIRYTLTPYKQLAAQSVVYTITSTIAYIYIPIAIEGIDAPLVPLVRILIGAFSSIAMFVIGIISGYIVLSDHRLAEAKRQTLLANERTRIARELHDTTAHHLSSIAIQTTAARAVLHANPHAAEQQLEGISTSISKALADVRATVNHLRTPTEAETNRTPQPTLATIPDLITECQQLGMNIHVTGPGLRDTLTTPEQQCAYRTIQEALTNARKHAPGAPVTIHMDNHGLAIQTHGHFQPSS----TPGRGSIGMQERADNCGATLTNQPNTQGWEVTLTWT-</t>
  </si>
  <si>
    <t>MAIDRIIAGIILIPGVIHIAMLYATAGDPPFHAPAPALWVAIALGIIYTIESATILRRRTQPVRMLWICIILELIRLTVLIVGGPQTSGSSPTCIAVLAYAAIRYTLTPYKQLAAQSVVYTITSTIAYIYIP-TVEGIDA---PLVRILIGASNGIAMFIIGIIPGYIILSNHRLAEAKRQTLLANERTRIARELHDTTAHHLSSIAIQTTAARAVLHANPHAAEQQLEGISTSISKALADVRATVNHLRTPTEAETNRTPQPTLATIPDLITECQQLGMNIHVTGPGLRDTLTTPEQQCAYRTIQEALTNARKHAPGAPVTIHMDNHGLAIQTHGHFQPS-----TPGRGSIGMQERADNCGATLTNQPNTQGWEVTLTWT-</t>
  </si>
  <si>
    <t>MVIDRIIAGTIFVLGIVQIALMYAAPDMAPLSMTAPTLVLVAIMVAAYIIEATTIFFRRTRPVSMLWICIIAEAVTMGTAIMQGLHNSNTNNLAIPFLSYAVIRYAPKPVPHLIAQTCVYTLMLTLVWTCFNTTPSSL------LVRGGIGVLSGLASFALGVGIGYIVSNNQRLVAAQRQTLLAEERTRIARELHDTTAHHLSSIAIQTTAARAILHSNPTAVEKQLEGISTSISQALADVRATVNTLRTPTEAEATHTPQPTIARIPDLITECRNLGMSIRVTGPGLRTNLTAPEQQCAYRTIQEALTNARKHASGAPVTINLDEAGLMVTTHGIFTPGEPRRIVPGRGSVGMQERANHCGATLINEPDSDGWKVALTWKT</t>
  </si>
  <si>
    <t>MVIDRIIAGTIFVLGMVQIALMYAAPDMAPLSMTAPTLVLVAIMVAAYIIEATTIFFRRTRPVSMLWICLIAEAVTMGTAIMQGLHNSNTNNLAIPFLSYAVIRYAPKPVPHLIAQTSVYTLMLTLVWTCFNTTPSSL------LVRGGIGVFSGLASFALGVGIGYIVSNNQRLVAAQRQTLLAEERTRIARELHDTTAHHLSSIAIQTTAARAILHSNPTAVEKQLEGISTSISQALADVRATVNTLRTPTEAEATHTPQPTIARIPDLITECRNLGMSIRVTGPGLRTNLTAPEQQCAYRTIQEALTNARKHASGAPVTINLDEAGLMVTTHGIFTPGEPRRIVPGRGSVGMQERANHCGATLINEPDSDGWKVALTWKT</t>
  </si>
  <si>
    <t>GC_00001210</t>
  </si>
  <si>
    <t>PF01638.23</t>
  </si>
  <si>
    <t>HxlR-like helix-turn-helix</t>
  </si>
  <si>
    <t>COG1733</t>
  </si>
  <si>
    <t>DNA-binding transcriptional regulator, HxlR family (HxlR) (PDB:1YYV)</t>
  </si>
  <si>
    <t>--MQDVAENTWDPFARGCPSRDVLTKIGDRWTVLVINALAQGPLRYSELHHRVDGISQKMLSQTLKGLTHDGLVARQVYPEIPPRVEYELTAAGLSLLEPLQMLVNWAIAHMDDIVAARKRAEK---</t>
  </si>
  <si>
    <t>--MQDVAENTWDPFARGCPSRDVLTKIGDRWTVLVINALAQGPLRYSELHHRVDGISQKMLSQTLKGLVHDGLVTRQVYPEIPPRVEYELTAAGLSLLEPLQMLVNWAIAHMDDIVAARKRAEE---</t>
  </si>
  <si>
    <t>MDTPELDVTRWNPYDRNCPTRKLLDRIGDRWTVLIIGTLQHGPQRFGELKTRVDGISQKMLTQTLRGLEEDGLVTRTVTPQIPPRVDYELTDLGRTLIAPLAGLEEWARTHMQQILDARGTTPPSHR</t>
  </si>
  <si>
    <t>MDTPELDVTRWNPYDRNCPTRKLLDRIGDRWTVLIIGTLQHGPQRFGELKTRVDGISQKMLTQTLRGLEEDGLVTRTVTPQIPPRVDYELTDLGRTLIAPLAGLEEWARTHMQQILDARGTIPPSRR</t>
  </si>
  <si>
    <t>GC_00001211</t>
  </si>
  <si>
    <t>COG1960</t>
  </si>
  <si>
    <t>Acyl-CoA dehydrogenase related to the alkylation response protein AidB (CaiA) (PDB:1BUC)</t>
  </si>
  <si>
    <t>MTTATQPITLAPLGVDPALLDQVAATASAVDKGEVDARYILPLLGDAGLLDADLLTTARLIRELSRNDLSVGFTTWAHRMTLEYLRAADAEDAQTLAKQLEAGERPGVTGMAAAFKEFAGCGDIELTATRVDGGYRVNGKLNWASNLYDDAVFVTAAHTDDGERILFVAEGNADGVTFGTPFGLLGLNATASAWVTLDDLFVPESAVLTHDFENFILGVRPTFVVLQIAECLGVGEAAVAAASSRLTGVNVTFADDVAAVATDLDDIAARQENIITRVGSGQSVTPVELLELRLDAASAAVAASGIEVRVAGGAGYAKSSPASRRFREAAFIPVQSPSESQLRWELAKARGEEVGRS</t>
  </si>
  <si>
    <t>MTTATQPITLAPLGVDPALLDQVAATASAVDKGEVDARYILPLLGDAGLLDADLFTTARLIRELSRNDLSVGFTTWAHRMTLEYLRAADAEDAQTLAKQLEAGERPGVTGMAAAFKEFAGCGDIELTATRVDGGYRVNGKLNWASNLYDDAVFVTAAHTDDGERILFVAEGNADGVTFGTPFGLLGLNATASAWVTLDDLFVPESAVLTHDFENFILGVRPTFVVLQIAECLGVGEAAVAAASSRLTGVNVTFADDVAAVATDLDDIAARQENIITRVGSGQSVTPVELLELRLDAASAAVAASGIEVRVAGGAGYAKSSPASRRFREAAFIPVQSPSESQLRWELAKARGEEVGRS</t>
  </si>
  <si>
    <t>MTAIIEQAT-APLVVDPSILETVSEKAKAVDAGTEDARYILPVLAEVGLLDTDLLTAARTVREISRRDLSVGFTIWAHLMTQTYLANANKPAASAVEQSLRSGARPGITGMAAAFKEFAGCGEIELAATPVEGGYRVTGKLNWASNLYDDAVLVTAVRTDDGERLLIFVESGVEGLTFGKPFGLLGLNATASAWVSLENVFVPESQVLTHDFDAFILQVRPTFVVLQIAECIGVAEASIAAASERLFGVNATFADEVQDIAAKVSDIIARQENIITRVGNSD-ISPVELLELRLEAAEVAVAATNVEVRVAGGAGYAKSSPASRRFREAAFIPVQSPSEAQLRWELERARAHA----</t>
  </si>
  <si>
    <t>MTAIIEQAT-APLVVDPSILETVSEKAKVVDAGTEDARYILPVLAEVGLLDTDLLTAARTVREISRRDLSVGFTIWAHLMTQTYLANANKPAASAVEQSLRSGARPGITGMAAAFKEFAGCGEIELAATPVEGGYRVTGKLNWASNLYDDAVLVTAVRTDDGERLLIFVESGVEGLTFGKPFGLLGLNATASAWVSLENVFVSESQVLTHDFDAFILQVRPTFVVLQIAECIGVAEASIVAASERLFGVNATFADEVQDIAAKVSDIIARQENIITRVGNSD-ISPVELLELRLEAAEVAVAAANVEVRVAGGAGYAKSSPASRRFREAAFIPVQSPSEAQLRWELERARAHA----</t>
  </si>
  <si>
    <t>GC_00001212</t>
  </si>
  <si>
    <t>K00957</t>
  </si>
  <si>
    <t>sulfate adenylyltransferase subunit 2 [EC:2.7.7.4]</t>
  </si>
  <si>
    <t>MTTTMTSTATTPLSPHLKDLENESIHILREVAGQFDRVALLFSGGKDSVVVFELARRAFAPAAVPFELLHVDTGHNFPEVIEFRDRLVEQTGARLRVAAVQDWIDRGDVVERPDGTRNPLQTIPLVDTINEVGHGAVLGGARRDEERARAKERVFSVRDSFGGWDPRRQRPELWNLYNGEHLPGENIRVFPISNWTEADVWEYIGARDIQLPPIYFAHEREVFQRDGMWLTAGEWG-GPRDGETVQVKRVRYRTVGDMSCTGAVLSNAATVDEVIAEIAASRLTERGATRADDRLSESAMEDRKKEGYF</t>
  </si>
  <si>
    <t>MTTTMTSTATTPLSPHLKDLENESIHILREVAGQFDRVALLFSGGKDSVVVFELARRAFAPAAVPFELLHVDTGHNFPEVIEFRDRLVEQTGARLRVAAVQDWIDRGDVVERPDGTRNPLQTIPLVDTINEVGYGAVLGGARRDEERARAKERVFSVRDSFGGWDPRRQRPELWNLYNGEHLPGENIRVFPISNWTEADVWEYIGARDIQLPPIYFAHEREVFQRDGMWLTAGEWG-GPRDGETVQVKRVRYRTVGDMSCTGAVLSNAATVDEVIAEIAASRLTERGATRADDRLSESAMEDRKKEGYF</t>
  </si>
  <si>
    <t>MSASVKT--QTHLSPHLKALEDESIHILREVAGQCDNVALLFSGGKDSVVVYELARRAFAPAAVPFELLHIDTGHNFPEVIDFRDQLVARTGARLRVAHVQDWIDRGDLRERPDHTRNPLQTVPLVETIAEQKYDAVLGGARRDEERARAKERIFSVRDSFGGWDPRRQRPELWRLYNAAHLPGENIRVFPISNWTEANIWQYIKARRIELPPIYYAHQREVFYRDGMWLTPGPWGSGP-----VETKWVRYRTVGDMSCTGAIESTATTIDQVIAEITTTTLTERGATRADDRLSESAMEDRKKEGYF</t>
  </si>
  <si>
    <t>MSASVKT--QTHLSPHLKALEDESIHILREVAGQCDNVALLFSGGKDSVVVYELARRAFAPAAVPFELLHIDTGHNFPEVIEFRDQLVARTGARLRVAYVQDWIDRGDLRERPDHTRNPLQTVPLVETIAEQKYDAVLGGARRDEERARAKERIFSVRDSFGGWDPRRQRPELWRLYNAAHLPGENIRVFPISNWTEANIWQYIKARRIELPPIYYAHQREVFYHDGMWLTPGPWGSGP-----VETKWVRYRTVGDMSCTGAIESTATTIDQVIAEITTTTLTERGATRADDRLSESAMEDRKKEGYF</t>
  </si>
  <si>
    <t>GC_00001213</t>
  </si>
  <si>
    <t>-MTTKITALHHHQEHDTVLCAAEFTHTNGTTMVRIIPAELVEAEARALESVGFSLVNSQDVGRCLARAAGFPTWPMSQDPANAHHAVNLVGDLEWAKRNVSRHGRQVIAHFDELTVSLTRSVPHFVPTLWEELARIFLGVGKKAYAKRCFHNARDIEHMYAIDVDITQHVAVFTEFAALGVVGARELSIEAAAVSYRMAPREAFDYFLHLCGACAKFRRGCHSAMANDLRKLAQAAGLSDFESDKALIETIMESP</t>
  </si>
  <si>
    <t>MNITPLATPETPTTRSSELHATEFTSHDGTTIVRLVPTELLKAEELAFASVGLNRGDDQIVGRTITRAVGFPAWPIITDPDNAQHALNLVRHLEWAKRNAEHNPRRIKERFDELITSLTNSAPHFVPTLLEELSRIFINVGNTNFARQYFGKAREIERAYGITIDAERHAAMFTEFADFGIIGAREFTAEAKSAGERMEPQAAFDYFLQLSIARSRAGTGAYVGLARDLRKLAKAAGMSAFDADKALIEGIIEFSGFQEASAGFFKSVRSSLPKIAAESARCRVALLKGRHRELSIEEYFTILHESGAFAELAADKEDLAEWLVEFIATEYGSSYYYWQRHRSQKLIDAVVLAGDHMAGKTLPLYSNSTDLDLIDALCANNIVWDLQNINYFRWSDWFDNENYKDSGASRRDLSGITHHDQLRDLIPGSIPVGLIAGNDNLNLILNMPVLRELCHKRLDRCAAERDCLTGFEPEWNQFTRTELQYLTDPRVADINAEAAEKLFSIDPVAELQARLRNGIVEELTWPAVERSMIRLLAGAPQETAVEFFETYPGVAIRFGEKIEIIDGDEVVAHGTVPADANVDAIYQV-----GDHVATFYHP---------NYRKYYSCWSGEAPVLNGKLNYYSTIPDSNSLPTPEGRLTGYGMLSYPNQLEYYGGYVLGTGPYYRYARYAEIN--------DDAALEPVGRGESIPGVDLTGLSTSPPPVTYTFLGRQSTIIPVQPTTRDSLCGTLNDQHISIVFRGHYSGIGQPGHIWTPLGSFTSKHSIVSAIRRPGGGVWLVDDYSYRGRCFYDPETDNHMFGGT--NTTNTMDYVCRLPLSAYHQLRPRDEEMSVRMRNVSYEQAAMLVESPTIEVVEQEFGADPVLGAAILQVVTKVQDLTNWLAMKGHEAEEEKPEEREVSLEASDVLWQAIPGRYANSYVRCIGMWNGGILSTLLANPGETNPELDEVMEASKEWWELLGKEKIIVVAISALSNDPGAVIELCEWLLDATEAGLFASGWQHCRLVEK--SGQQTAEWRQGAWVYSYGRYYNENLHAIMRPEHKGIAELRTVTDPDQPDLSMDKQEFMDSVAAIKAWAEQRKQQVEEQSEDTQVLFGGSLLADAAAQLSNDTILLPETAKYMLHGLKDYSSRSWQSTV-LDKAGRAELGFTQVAERAVLTQVRGIGDIEWLLASGVDESFPTKGINVDKMRDYLLERYGAPIMKPTVRQLNEAKKLGLFADYITHAISPNLGLPSLLVAEKAGKYLQVLLYLAHEMDLSDPNRAMFATKLVELKEFAAQQ--TWKGLGTMELGGDYDQKGFNGIVTHESQTIRVLLEGVLDGFVEGLGVVGGVGVGFDPCVSVPGLVVEVSEVLGVSLDCARYFLQVLALVCPSDVCVRRWNGWGSGDIRGVGEVLAGRGLLVGGRRSGAGRSWFLPGGWLSGVGGSCGVEVWKVSLFLVWGDVVFRPVVGGCPVLGSVGELFTTAWERYKNGDKPGFEEITTSRYQRR</t>
  </si>
  <si>
    <t>-MTTKITALHHHQEHDTVLCAAEFTHTNGTTMVRIIPAELVEAEARALESVGFSLVNAHDVGRCLARAAGFPTWPMSQDPANAHHAVNLVGDLEWAKRNVSRHGKQVITHFDELTASLTRSVPHFVPTLWEELARIFLGVGKKAYAKRCFHNARDVERMYAIDVDITQHVAVFTEFAVLGVVGARELTAEATTVVNRMAPREAFDYFLRLCAACVKFRRGCHSAMANDLRKLAQAAGLSDFESDKALIEVIMDSP</t>
  </si>
  <si>
    <t>MNITPLATPETPTTRSSELHATEFTSHDGTTIVRLVPTELLKAEELALASVGLNRGDDQIVGRTITRAVGFPAWPIITDPDNAQHALNLVRHLEWAKRNAEHNPRRIKERFDELITSLTKSAPHFVPTLLEELSRIFINVGNTNFARQYFGKAREIERAYGITIDAERHAAMFTEFANFGIIGAREFTAEAKSAGERMEPQAAFDYFLQLSIARSRAGTGAYVGLARDLRKLAKAAGMSAFDADKALIEGIIEFSGFREASAGFFRRIKLSLPKIAAESARCRAALLKGRPRELSIDQYFTILHETGAFAELAADKEDLAEWLVEFITTEYCSSYYYRQRHRSQKLIDAVVLAGDHMAGKTLPLYNNSIDLDLIDALCANNIVWDLQDVRHFRWVDWFDDKTYEDPSTSRRDLSGVVYHEQLRGLLLGSIPVGLIAG-DNLDRILATPALRELCSKRLDQFAAGRDRLTGFGPEWNHFIRTVLSHLTDPRVVDINAEAAEKLFSIDPVAELQARLRNGIVEELTWPAVEQSMSRLLADAPQEAAVEFFETYPAVAIRLGEKIEIIDGDQVIARGTVPADASMNAIYQV-----GEHVATFYRL---------KYWNHYSCWSGEAPVLDRDLDSYRSFMDGCSIPTPEGRLAGCGMLSYPHQLKDYGGQVLGTGPYYRFANHAQID--------DGAALEPVGRGESIPGVDLTDLPMSPPPSTYRFS-RQSTIASVQPTTRDSLCGTLNNQHISIVFRGPYEGDGHPGHVWTPLGSFTSKHSIMGAIRRPGGGVWLLGEYHNWGRGFCDPETDQYVFSGA--NTAN-LDYACRLPLSAYHQLRPRDEDMSVRLRNVSYEQAAMLLESPTAEVVEQEFGADPVLGAAILQVVTKVQDLTNWLATKGYEPEEEKPVEREVSLAAAKVLWRATPGRNTDN---CVGPWNGGLLSDLLTNPGEVTPELSEVREAAKEWWELLGQEKTIVAAISAPSNDPDAVIELCEWLLEATEAGLFASEWQDCRLTEKNIADHQVGEWRHGAWVYSYGRYGDENLHAIVRSEHKDKAELCVIIDPDQPDMSMNKQSFMDSVVAIKAWSEQRKEQAEEAAGDTITIFGGGSLADAVTRLSDGTILLPETATYLLHGLKNYSPCSWRYPAGLDKSDRAELGFTQVTERAVLTQIRGIGHLEWLLASGVDDSFPTRGVNVEKMRDYLLERYGTPIMKPTVRQISEAGRLGLFADFLAHAISPRLGVPSLFDAEKAGKYLQGLLYLAHEMDLSDPNRAMIAKKLVELKEFAAQQ--TWKELGTMELGGDYDQKGFTYKVTHEAQTIRVLLEGLLDGFVDSLGVVGGVGVGFDPCVSVPGLVVEVSEVLGVSLDCARYFLQVLALVCPSDVCVRRWNGWGSGDIRGVGEVLVGRGLLVGGRRSGAGRSWFLPGGWLSGVGGLCGVEVWKVSLFLVWGDVVFRPVVGGCPPLGSVGELFTVAWERYKNGDKPGFEEITTSRYQRR</t>
  </si>
  <si>
    <t>GC_00001214</t>
  </si>
  <si>
    <t>MDILARQQAKPFYLVLVRLVVMVALAIVTYSILAATGMSSDFPPLDMLYFPFVNIICGIVIWRTFRQYDTSIWAYLGFKKSRIGKDIAWGFLWLIVTYIPMIIALMGAMYFMFGADMFNNFEQVFSKSHPQLPGGVIAVTSIFSAIVFLANAPIEEIIYRGWLQNGLMQRHGTMIAIAVQGLLFGLQHTMFAVDVRGMVVYGFMFFAWGITAGIIVYKQKRLAPMVIAHWIVNVAFGVGPMLALGFIGM</t>
  </si>
  <si>
    <t>MDILARQQAKPFYLVFVRLVVMVALAIVTYSILAATGMSSDFPPLDMLYFPFVNIICGIVIWRTFRQYDTSIWAYLGFKKSRIGKDIAWGFLWLIVTYIPMIIALMGAMYFMFGADMFNNFEQVFSKSHPQLPGGVIAVTGIFSAIVFLANAPIEEIIYRGWLQNGLMQRHGTMIAIAVQGLLFGLQHTMFAVDVRGMVVYGFMFFAWGITAGIIVYKQKRLAPMVIAHWIVNVAFGVGPMLALGFVGM</t>
  </si>
  <si>
    <t>MDIFARQQAKPFFLVLIRLVVMAALALATYGVLRVTGMSRDFPPTDTIYFPFVTIICGIVIWRTFRQYNVSFWAYLGFERHRIGKDIAWGLLWLVVTYIPLIITLMGAMYLMFGADMFNHFEQIFSKSSPQLPGGAIATISILSAIIFLANAPIEEIIYRGWLQTGLTHRYGVVAAILVQGLLFGLQHTMFALDVRGMVVYGFAFFAWGVTAGIIVHKQKRLAPMVIAHWIVNLAFGVGPTLAVGFAAL</t>
  </si>
  <si>
    <t>MDIFARQQAKPFFLVLIRLVVMAALALATYGVLRVTGISRDFPPTDIIYFPFVTIICGVVIWRTFRQYNASFWAYLGFERHRIGKDIAWGLLWLVVTYIPLIITLMGAMYLMFGADMFNHFEQIFSKSSPQLPGGVIATISILSAIMFLANAPIEEIIYRGWLQTGLTHRYGAVVAIIVQGLLFGLQHTMFAIDVRGMVVYGFAFFAWGVTAGIIVHKQRRLAPMVIAHWIVNLAF-------LG----</t>
  </si>
  <si>
    <t>GC_00001215</t>
  </si>
  <si>
    <t>MRAYRTLVITLARSMLREPVGLFFTLIFPPLLVVILGTIFGNDPTPQFDGKGFVDATLPAMSSLIVAIMGILMLPATQLQLRESGALARLRATPLKSWTYVAADVTVHFLVGMTGVVLALIVGMLMFGVRAQGSVLLVLVAGACGLIAFLALGYTLAAVYPSAAAATGIGNGVMIVLMITSGAFIPMEALPSGVRHATQFSPLRHLVELMQGLWAGHAWSDYGVATAVLLGMIVIFGALGARLFKWG---</t>
  </si>
  <si>
    <t>MRAYQTLVITLGRSMLREPVGLFFTLIFPPLLVAILGTIFGNDPTPQFDGKGFVDATLPAMSSLIVAIMGILMLPATQLQLRESGALARLRATPLKSWTYVAADVTVHFLVGMTGVVLALIVGMLMFGVRAQGSVLLVLVAGACGLIAFLALGYTLAAVYPSAAAATGIGNGVMIVLMITSGAFIPMEALPSGVRHATQFSPLRHLVELMQGLWAGHAWSDYGVATAVLLGMIVIFGALGARLFKWG---</t>
  </si>
  <si>
    <t>MTAYSHLTQAFFKSQLREPLGFFFVIVFSPMLLLILGGIFGNDPQPQFGGRGFVDNMLPGVTIMSILMVGIALVPQNQLMLRSTGALSRLRVTPLKASTYVAADLTVNFVLGFVGAILTLVVGLVVFRVSMPQHLLLLIASLVFGLVTMLAIGYTLAAVYPSVAAANGISNGLLIILIMSSGAFFPTEGLSAGVRTAMACSPVHHITELVRAAWSGTSLPM--VSVLVLIGFTVVFGLLSTVLFRWDKTA</t>
  </si>
  <si>
    <t>MTAYSHLTQAFFKSQLREPIGFFFVIVFSPMLLLILGGIFGNDPQPQFGGRGFVDNMLPGVTIMSILMVGIALVPQNQLMLRSTGALSRLRVTPLKASTYVAADLTVNFVLGFVGAILTLVVGLVVFHVSMPQHLMLLIASLVFGLVTMLAIGYTLAAVYPSVAAANGISNGLLIILIMSSGAFFPTEGLSAGVRTAMACSPVHHITELVRAAWTGTSLPM--VSVLVLIGFTVVFGLLSTVLFRWDKTA</t>
  </si>
  <si>
    <t>GC_00001216</t>
  </si>
  <si>
    <t>PF01078.27</t>
  </si>
  <si>
    <t>Magnesium chelatase, subunit ChlI</t>
  </si>
  <si>
    <t>K07391</t>
  </si>
  <si>
    <t>magnesium chelatase family protein</t>
  </si>
  <si>
    <t>COG0606</t>
  </si>
  <si>
    <t>Predicted Mg-chelatase, contains ChlI-like and ATPase domains, YifB family (YifB)</t>
  </si>
  <si>
    <t>MALGRALSAAIVGVTATIVDVEANVGPGLPRIQIVGLADTAISESRDRMKTAVANSQLHWPKTKVVVSLSPASMPKAGSHFDVAMCLAILTASSTDPLVRQRLSETVLLGEVGLDGSLRPVAGVLPVLMAARRAGLRRVIVPQGNAAEAALIDVPVDQKLGTPRMSVLAARSLAQIMGWVNDLVELPSAVSVAEAQGTGASESAAVPDMADVCGQPEARWAAEVAAAGGHHMMMVGPPGTGKSMIAARLPGLLPPLDAGQCVQATAVHSVAGGVFHGPVLVPPFVAPHYSVSRSALLGGGSGMPRPGAVSLAHHGVLFLDEASEIPASVLDSLRTPLEEGEVRLVRARHDVHFPARFQLVLAANPCPCGAEDPSSCRCLARVRMRHLSNISGPLRDRLDIFVHTRGVGAVL-GHAGEESTASIRKRVVAARERSVARWSRAGVRARSNRDVDSQVLRREFPADDAAMALLAAYLGNGDVSQRGVDRMLKLAWTIADLAGASRPGLDHVAQAFELHGAPVEVAA</t>
  </si>
  <si>
    <t>MALGRALSAAIVGVTATIVDVEANVGPGLPRIQIVGLADTAISESRDRMKTAVANSQLHWPKTKVVVSLSPASMPKAGSHFDVAMCLAILTASSTDPLVRQRLSETVLLGEVGLDGSLRPVAGVLPVLMAARRAGLRRVIVPQGNAAEAALIDVPVDQKLGTPRMSVLAARSLAQIMGWVNDLVELPSAVSVAEAQGIGASESAAVPDMADVCGQPEARWAAEVAAAGEHHMMMVGPPGTGKSMIAARLPGLLPPLDAGQCVQATAVHSVAGGVFHGPVLVPPFVAPHYSVSRSALLGGGSGMPRPGAVSLAHHGVLFLDEASEIPASVLDSLRTPLEEGEVRLVRARHDVHFPARFQLVLAANPCPCGAEDPSSCRCLARVRMRHLSNISGPLRDRLDIFVHTRGVGAVL-GHAGEESTASIRQRVVAARERSVARWSRAGVRARSNRDVDSQVLRREFPADDAAMALLAAYLGNGDVSQRGVDRMLKLAWTIADLAGASRPGLDHVAQAFELHGAPVEVAA</t>
  </si>
  <si>
    <t>MALAKTLSVTLNGVAAQLVEVEANIGAGLPGTHIVGLASAAVNQARDRIKIAAQNSKLTWPKTKIMVSLLPSDVPKTGSHFDAAIAVAILSATHPDARVRASLANTMVLGEIGFDGRLRAVPGILPAVLAASAAGVETVIIPEGNAHEALL----------CPGIDVFTATSITHIIDWTYGRAEL---AHITPDQPPGPPHTNRHLDMNQVAGQHEAKFAAEVAAAGGHNLLLIGPRGSGKSMIAERIPTLLPPLTQAEQVESTVVHSIAGTTTDHVVTTAPYIAPHHSISAAALLGGGAGTPKPGAVSLAHNGVLFLDEVSEIPAKILDSLRIPMENGQVRIHRAHRTFTFPARFQLVMAANPCRCAAETPETCTCPATVRAKYLTNLSGPLRDRIDIFSHTHTKGPLVTGGATCEPSRCIAERVAQARARARWRWQQAGYGEITTAALDPCVLRREFPADEAGMAMLASYLMMGNITQRGVDRVLKLAWTLADLTSDPTPTLDHIAQALDLRGEDLL---</t>
  </si>
  <si>
    <t>MALAKTLSVTLNGVAAQLVEVEANIGAGLPGTHIVGLASAAVNQARDRIKIAAQNSKLTWPKTKIMVSLLPSDVPKTGSHFDAAIAVAILSATHPDARVRASLANTMVLGEIGFDGRLRAVPGILPAVLAASAAGVETVIIPEGNAHEALL----------CPGIDVFTATSITHIIDWTYGRAEL---AHITPGKPSDPPHTNRHLDMNQVAGQHEAKFAAEVAAAGGHNLLLIGPRGSGKSMIAERIPTLLPPLTQAEQVESTVVHSIAGTTTDHVVTTAPYIAPHHSISAAALLGGGSGTPKPGAVSLAHNGVLFLDEVSEIPAKILDSLRIPMENGQVRIHRAHRTFTFPARFQLVMAANPCRCAAETPEACTCPATVRAKYLTNLSGPLRDRIDIFSHTHTKGPLVTGGATCEPSRRIAERVAQARARARWRWQQAGYGEITTAALDPCVLRREFPADEAGMAMLASYLMMGNITQRGVDRVLKLAWTLADLAGDPTPTLDHIAQALDLRGEDLL---</t>
  </si>
  <si>
    <t>GC_00001217</t>
  </si>
  <si>
    <t>K03564</t>
  </si>
  <si>
    <t>thioredoxin-dependent peroxiredoxin [EC:1.11.1.24]</t>
  </si>
  <si>
    <t>COG1225</t>
  </si>
  <si>
    <t>Peroxiredoxin (Bcp) (PDB:5IPH)</t>
  </si>
  <si>
    <t>KEGG Orthology (KO)&gt;&gt;&gt;09190 Not Included in Pathway or Brite&gt;&gt;&gt;09191 Unclassified: metabolism&gt;&gt;&gt;99980 Enzymes with EC numbers|Enzymes&gt;&gt;&gt;1. Oxidoreductases&gt;&gt;&gt;1.11  Acting on a peroxide as acceptor&gt;&gt;&gt;1.11.1  Peroxidases&gt;&gt;&gt;1.11.1.24  thioredoxin-dependent peroxiredoxin</t>
  </si>
  <si>
    <t>------MSE--RLAIGDIAPAFTLPADDGSQVSLSDFG--RVLVYFYPKASTPGCTKEACDFRDALSQLNDAAVDVVGISPDKVPALAKFRDNQELNFPLLSDEDKSVMKAWGAFGEKKNYGKVVQGVIRSTFLV-EDGKIALAMYNVKATGHVARVLRELDL-</t>
  </si>
  <si>
    <t>MSILVTMTEQKRLEIGDQAPAFTLPNDSGETTSLSDYQGKRVLVYFYPRANTPGCTTEACDFRDSLTQLNDLGIEVVGISPDTVDKLVAFREKNNLTFPLLADPDKNVLKEWGAFGEKKNYGKIVEGVIRSTFLVGTDGTIELALYNVRATGHVARVIRELEK-</t>
  </si>
  <si>
    <t>GC_00001218</t>
  </si>
  <si>
    <t>PF03793.24</t>
  </si>
  <si>
    <t>PASTA domain</t>
  </si>
  <si>
    <t>T|M</t>
  </si>
  <si>
    <t>Signal transduction mechanisms|Cell wall/membrane/envelope biogenesis</t>
  </si>
  <si>
    <t>K12132</t>
  </si>
  <si>
    <t>eukaryotic-like serine/threonine-protein kinase [EC:2.7.11.1]</t>
  </si>
  <si>
    <t>COG0515|COG2815</t>
  </si>
  <si>
    <t>Serine/threonine protein kinase (SPS1) (PDB:6G4J)|PASTA domain, binds beta-lactams (PASTA)</t>
  </si>
  <si>
    <t>ko00001|ko00001|ko01000|ko01001|ko02044</t>
  </si>
  <si>
    <t>KEGG Orthology (KO)&gt;&gt;&gt;09130 Environmental Information Processing&gt;&gt;&gt;09131 Membrane transport&gt;&gt;&gt;03070 Bacterial secretion system [PATH:ko03070]|KEGG Orthology (KO)&gt;&gt;&gt;09140 Cellular Processes&gt;&gt;&gt;09145 Cellular community - prokaryotes&gt;&gt;&gt;02025 Biofilm formation - Pseudomonas aeruginosa [PATH:ko02025]|Enzymes&gt;&gt;&gt;2. Transferases&gt;&gt;&gt;2.7  Transferring phosphorus-containing groups&gt;&gt;&gt;2.7.11  Protein-serine/threonine kinases&gt;&gt;&gt;2.7.11.1  non-specific serine/threonine protein kinase|Protein kinases&gt;&gt;&gt;Serine/threonine kinases: Other&gt;&gt;&gt;Bacterial family|Secretion system&gt;&gt;&gt;Type VI secretion system&gt;&gt;&gt;Imp/Vas secretion system related proteins</t>
  </si>
  <si>
    <t>---MILADRYELGEVIGTGGMSDVYAATDTLLGRSVAVKVMRAELARDDSFRERFRREATNAGKLNHATIVAVYDSGEWE----GVPYIVMERVHGRTLRDIVREQGPMTPAQAASTLIPVCEALQVSHDAGIIHRDIKPANIMITNTGAVKVMDFGIARAVNDSTAAMTQTAAVIGTAQYLSPEQARGKKAEAASDVYALGCVLYEVITGRPPFEGESPVAVAYQHVHDNPTPPSEFISGLTPTEALNIDAVTL</t>
  </si>
  <si>
    <t>MTAMILSDRYELGAIIGTGGMSDVYEANDTLLGRSVAVKMLRPELARDVKFKERFRREAQNSGRLNHSAIVQVYDTGEIDISGTAVPFIVMELVHGRTLRDIVREEGAFSPADAARILVTACEALQASHDAGIIHRDIKPANIMITNTGAVKVMDFGIARALDDSHSAMTQTSAVIGTAQYLSPEQARGKMADARSDVYSIGCVFYEMITARPPFEGESPFAIAYQHVQEDPNPPSDFIADLSPTAALNIDAVALTAMAKHPADRYQSAAEFAEDLKRVSRNAVSQAARSHLTTTDAPRRGAGAAAGAAGAAGAAALGGAADTAATQIVPVAGAGVPSSEQAYPATEVVPPIQPTGASSPVDYSGGTYNNGYENGYSTDYNDGND-DGYEEDEPKKRSAATWIIALFTVLALCVGGYFAWDYI-GQGLGLSSKTEKVPDVSGQKEDEAKAKLEKLGYHVEVVQQTNPDVERGVAIKTNPAAGSSVQSSATVTLFISSGKEVTEVPDLTGKTTEEASRLLEESGLELDPVVKEEESDTVDDGAVVSQNPSAGSQVSKGTKVVITVSTGKAQVRVPTITGMKWEQAQDNITSIGLNPRVANVDSDQPEGTVVGIDGEGTSVDKGSTVTVRVSNGQMIKAPSLIGLNVSQALDALRAAGWQGSNNSLHQQQVRTGALLDQGKIANQSPNGGALVRKDGTVTVGVFVFDLLAVQP</t>
  </si>
  <si>
    <t>GC_00001219</t>
  </si>
  <si>
    <t>MFEVSTLLSTFGLAGIYAIVFMETGLLIGFIFPGDTLLFTAGIMASAPEPFAPLWALMLGIPISAIIGDQVGYTIGKRVGPAIMRTRVAQWIGPEYIDKTNHFFDRFGPATVLLARFIAVVRTVTPVMAGFSRMNRKAFTLYSIIGSIAWGTTLPTLGYFLGEIPLVERYMHWFIAAGLLTVAVPMSIQL-------WRLRRANVKTAASNSPALKQASSTHK----</t>
  </si>
  <si>
    <t>MFDVNMLLTSFGLIGILGIIFMETGLLIGFIFPGDTLLFTAGIMAHANPPFTPLWTLLVGIPIAAGLGDQLGFFIGRTAGPRMMDSRAMRWIGPEAVDKTNHYFDRFGAATVMLARFVGVVRTVTPVVAGISHMPYKKFTLYSVLGSTLWGTGFPLVGYLLGEIPFVQDFIHWFIIAGLATVFVPMSIKILTLMFRRWRAKRTAAKTATKLAPEEPSASRPGSDLSV</t>
  </si>
  <si>
    <t>GC_00001220</t>
  </si>
  <si>
    <t>H|Q</t>
  </si>
  <si>
    <t>Coenzyme transport and metabolism|Secondary metabolites biosynthesis, transport and catabolism</t>
  </si>
  <si>
    <t>K02361</t>
  </si>
  <si>
    <t>isochorismate synthase [EC:5.4.4.2]</t>
  </si>
  <si>
    <t>COG1169</t>
  </si>
  <si>
    <t>Isochorismate synthase EntC (MenF) (PDB:5JXZ)</t>
  </si>
  <si>
    <t>KEGG Orthology (KO)&gt;&gt;&gt;09100 Metabolism&gt;&gt;&gt;09108 Metabolism of cofactors and vitamins&gt;&gt;&gt;00130 Ubiquinone and other terpenoid-quinone biosynthesis [PATH:ko00130]|KEGG Orthology (KO)&gt;&gt;&gt;09100 Metabolism&gt;&gt;&gt;09109 Metabolism of terpenoids and polyketides&gt;&gt;&gt;01053 Biosynthesis of siderophore group nonribosomal peptides [PATH:ko01053]|Enzymes&gt;&gt;&gt;5. Isomerases&gt;&gt;&gt;5.4  Intramolecular transferases&gt;&gt;&gt;5.4.4  Transferring hydroxy groups&gt;&gt;&gt;5.4.4.2  isochorismate synthase</t>
  </si>
  <si>
    <t>MASLFPDRPSTAPDFLLSRSTGSVLTQGSVETFTDPSAAVDALKSSRVEMVVGALPFLPAGAGGAAAALTVPEVIRREATKLHPHQHYR---GPAPSAHTVDTTPSADQHAALVAQAVDVLRSDAALDKVVLARAVDYRFDSPTDPLLIAARLIDGSLHGNGFIADLSPAG----GGMLVGCSPEVLVRRHGRVVSAYPLAGSLPRSEDSQEDLRRRDALLSSAKDLAEHAFVVKSLRQSLAPFC-ELSIPEKPEVTATREMWHLATPITGRLRDGSTTALELAMAVHPTPAICGTPTSDAYEQIAHLEPFDRGFYAGAVGWCDSQGDGEYMVAIRCAEVAPDCLSARAWAGGGIVAASSPDAEVAEAEAKLRTIGRALGV-</t>
  </si>
  <si>
    <t>GC_00001221</t>
  </si>
  <si>
    <t>PF00468.22</t>
  </si>
  <si>
    <t>Ribosomal protein L34</t>
  </si>
  <si>
    <t>K02914</t>
  </si>
  <si>
    <t>large subunit ribosomal protein L34</t>
  </si>
  <si>
    <t>COG0230</t>
  </si>
  <si>
    <t>Ribosomal protein L34 (RpmH) (PDB:6SPB)</t>
  </si>
  <si>
    <t>MAKGKRTFQPNNRRRARVHGFRTRMRTRAGRAIVSARRRKGRASLTA</t>
  </si>
  <si>
    <t>MAKGKRTFQPNNRRRARVHGFRTRMRTRAGRAIVAARRRKGRASLTA</t>
  </si>
  <si>
    <t>GC_00001222</t>
  </si>
  <si>
    <t>PF01174.25</t>
  </si>
  <si>
    <t>SNO glutamine amidotransferase family</t>
  </si>
  <si>
    <t>K08681</t>
  </si>
  <si>
    <t>pyridoxal 5'-phosphate synthase pdxT subunit [EC:4.3.3.6]</t>
  </si>
  <si>
    <t>COG0311</t>
  </si>
  <si>
    <t>Pyridoxal 5'-phosphate synthase subunit PdxT (glutamine amidotransferase) (PdxT) (PDB:2NV0) (PUBMED:18801996;24083939)</t>
  </si>
  <si>
    <t>MLIGILAVQGGVREHQRTLDELNIEHRAVRRVEHLEGLNGLILPGGESTTMSKLLELGGLLEPLRSALAQGLPAYGTCAGMILLASQVLNTRPDAHWLGAIDMDVRRNAFGRQVDSFEADLDFAGVEGTVPAVFIRAPWVERVGDDVAVLSRVPSGEHAGAIVGVQQGNVMATSFHPEVSGDTRVHAYFASLVEQAGYTHP-</t>
  </si>
  <si>
    <t>GC_00001223</t>
  </si>
  <si>
    <t>K14393</t>
  </si>
  <si>
    <t>cation/acetate symporter</t>
  </si>
  <si>
    <t>COG4147</t>
  </si>
  <si>
    <t>Na+(or H+)/acetate symporter ActP (ActP)</t>
  </si>
  <si>
    <t>---MTTTFNALNTVGTGNLRLLAEGGAQGEASTGNPILNIAIFVIFIVITMAIVMRAGKST-KEASDFYTGGATFSGKQNGLAIAGDYLSAASFLGIVGAVALNGYDGFLYSVGFFVAWLVALLLVAEPLRNTGKFTMADVLSFRLKQKPVRVAAAFGTLFVSLFYLIAQMAGAGSLVSVLLDIHDKKSQAIVVAVVGAVMIAYVLFGGMKGTTYVQMIKAVLLVSGVAFMTITILIGVKGNFSHLLQQAIDMHA</t>
  </si>
  <si>
    <t>MTLHSTILAAENTIETGN-----------------PILNIAIFVIFIVATMTIVVRATRQTSQKGSDFYTGGASFSGWQNGLAIAGDYLSAAAFLGVTGAIALYGYDGFLYSVGFLIALLVALVLVAEPLRNTGKFTMADVLSFRLKQRPVRTAAAMSTLMISLFYLIAQMAGAGGLVALLLGISGKAAQAGVVAIVGVLMIIYVLVGGMKGTTYVQMIKAVLLVGGSIIIALLTFWFIKGGFNAVVETAIANHP-------KGEAIVNPGLKYGKNELTKLDFISLGAALVFGTAGLPHVLMRFYTVPTAREARRSVTWTIGIVALFFLLTVVMGYGAAALVGPEQIQAAPGGVNSAVLLLSSRVGGTIFMACISAIAFATILAVVAGLAITASASVAHDLYNSVLRNGQATEEEQVRVSRITVVVIGVLAIVLGIGAMGQNIAFLVALAFGIAASANLPTILYSLYWKKFNTTGALFSIYGGLLTSIVLIIFSPAVSGAETAMIPSMDFAWFPLTNPSVVAIPAGFLLGIIGTLVGKPDNYDELAAEMEVRSLTGVGVEKAVQH</t>
  </si>
  <si>
    <t>GC_00001224</t>
  </si>
  <si>
    <t>K|X</t>
  </si>
  <si>
    <t>Transcription|Mobilome: prophages, transposons</t>
  </si>
  <si>
    <t>COG3311</t>
  </si>
  <si>
    <t>DNA-binding transcriptional regulator AlpA (AlpA)</t>
  </si>
  <si>
    <t>---MIIDAKSGRELWTATVCAKKSGTARGTFTSYAGRGRAPKPACKFNGLTLWDSAEVNEWINSRQATV---ETEA-</t>
  </si>
  <si>
    <t>MQPKIVDSETGRELWTAVECAEFSGTARGTFTSYAGRGRAPKPVAKLHGLTLWDSKTIHEWVEDRKKGIFVPQGEAQ</t>
  </si>
  <si>
    <t>GC_00001225</t>
  </si>
  <si>
    <t>MEKSKVYKVVWILLLSTMFTIDSALFGNDHVPYWAYLIKFVVMASLLTLGQKAMSSGDAETVKDKQRSLLLLSAVSAGIICMMVIWIRFT</t>
  </si>
  <si>
    <t>MEKPKVYKVFWILLLSTIFTIDFELFGNNHVPYWAYLIKFVVIALLLALGQKAM-SGDTKTVKDKQQSLMLLSAVSAGIICVMVMWFLHT</t>
  </si>
  <si>
    <t>GC_00001226</t>
  </si>
  <si>
    <t>K14337</t>
  </si>
  <si>
    <t>MTPATDTRWEHLARLRDSINPRTLGLIGAVAITLGSFGGGAIRYRGGVLDALGLRFFSYGHGAGFSNVLFFIGTAALIAAWIILGYRIRTT--SVALREINRTLAAWVAPLALAAPMFSRDVYSYLMQGAMLRDGFDPYTEGAAVNPGPLLLEVSHDWRNTTTPYGPLHLWLGEGITSISGDNVTLGVLLYKIVSLAGFIAISWSIPKIAQHLGANPTWAQWIGVANPVMIFHLVGGMHNESVMVGLVSITIYLALRRH--TPVVLLGAAIALKATAIIALPFLVWIETHRLSNK-HGIHPVVAFIISGTWMTAITVATIAIITRLSGSSWGWVSQLSGNSKVINPLALPTLAADIITANGKYIDENIPYNTILSTTRTIGMIAMLLGLVIVWWLARKTELGAIRGTAAAYTVAVLFNAVTLPWYYASLISLYGVVKPGEKLQRVMIATSLFVAWEFAGSGNHKLYDLPWVALSIVLSIAAVKVVY---------SGTRKPSPVPAA</t>
  </si>
  <si>
    <t>-------------MMKVFRTPLWLGVIGATVLAIGSYGGGAVRYRGGVLDALGWSFLAFGHGAGMFNALFGVGIVLIVVTWAQLGRSLFSTPDAVTADSIQRCVWAWIIPLIFAAPMLSRDVYSYLMQGAMQRDGFDPYSEGVSVNPGPMMLEVSHDWRNTTTPYGPLHLGIGNVITTIVGDNVTLGVVLYKLVSIAGFALIMWSVPAIARLLGGNPALAMWLGVANPVMYLHLIGGMHNESLMVGLVCAGLLLA</t>
  </si>
  <si>
    <t>GC_00001227</t>
  </si>
  <si>
    <t>PF01891.21</t>
  </si>
  <si>
    <t>Cobalt uptake substrate-specific transmembrane region</t>
  </si>
  <si>
    <t>K02007</t>
  </si>
  <si>
    <t>cobalt/nickel transport system permease protein</t>
  </si>
  <si>
    <t>COG0310</t>
  </si>
  <si>
    <t>ABC-type Co2+ transport system, permease component (CbiM) (PDB:4M58) (PUBMED:25313401)</t>
  </si>
  <si>
    <t>ko00001|ko02000|ko02000</t>
  </si>
  <si>
    <t>KEGG Orthology (KO)&gt;&gt;&gt;09130 Environmental Information Processing&gt;&gt;&gt;09131 Membrane transport&gt;&gt;&gt;02010 ABC transporters [PATH:ko02010]|Transporters&gt;&gt;&gt;ABC transporters, prokaryotic type&gt;&gt;&gt;Metallic cation, iron-siderophore and vitamin B12 transporters&gt;&gt;&gt;Cobalt transporter|Transporters&gt;&gt;&gt;ABC transporters, prokaryotic type&gt;&gt;&gt;Metallic cation, iron-siderophore and vitamin B12 transporters&gt;&gt;&gt;Nickel transporter</t>
  </si>
  <si>
    <t>MHIAEGFLPAMHCVGWAAASAPFVIHGAYAVNKQLKEKPETGLLLGAAGAFSFVLSAIKMPSVTGSSSHPTGTGLGAVLFKPPVMALLGGIVLLFQALLLAHGGLTTLGANIFSMAIVGPWVAYGVWRGMRGAHLPASWAIFFAAVLGDFSTYCVTATQLALAHHANGFWSAWSNFLLLYAPTQVPLALAEGIVTVLVFFAMRTTAARDLLTLGVLKKSELTAATPAAAPAA</t>
  </si>
  <si>
    <t>MHIAEGFLPVAHCIAWGAASMPFVAHGAYAVRKQLKENPETGLLLGAAGAFTFVLSAIKIPSVTGSSSHPTGTGLGAVLFKPPVMAFMGSIVLLFQALLLAHGGITTLGANIFSMAIVGPWVGFGVWTALRKMGASSSISIFFAAFFADLSTYVVTALQLAAAHHGAGFGNAVATFLALYAPTQVPLAIVEGILTVLIFRSLTTIAPKELRSLGILRRRSNTEEAPLEGARA</t>
  </si>
  <si>
    <t>GC_00001228</t>
  </si>
  <si>
    <t>MSTPAQKREHVRPPKGRVSGFVADVLARPMTDYYMILATVTILAFFGLIMVMSSSMTWSVIDDASPWAITIRQAVMVVAGFVAMWVGLRMNPAHIQRLAPLLLVITAVLLLLVLIPGIGTGKEEVGSQSWIVLGPLRLQPSEVAKVAIAVWGSFYLAPEVGRADSRGWSSRFATFTAVAGGFLLLIVLQGDIGMAMAYLLVVALVMYFAGVNRRWIFAAAGAVVLGLLGLASQGGFRSHRFTVYFDALFGHFADTRGHAFQSYQGFLSLADGSLWGVGLGQSRAKWFYLPEAKNDFIFAIIGEELGLWGGTMVIALFAALAFFGVRTALRINNSFLSLLAATLTGGVVVQAFINIAYVIGLAPVTGIQLPMISAGGTSAIITLGSMGLLANCARHEPETVSAMQSFGKPSLDHLLRLPEPQPVTEGFLTPPARAPRVRTESRPTARTVAERTSRPSMLQDRDSRPTRNSRPTRNSRPTRRTK</t>
  </si>
  <si>
    <t>MTTLAN----------RVKPWALDLRSRPLLDYVVILGVVFILSGLGIVMVFSSSMAVSALQDDSPWSRVVRQGVMVVVGFIAMWMGLRVRPQSIRRWSSWLLVAAFALLILVLIPGIGTGKEQWGAQSWIGVGPISIQPSELAKVAIAVWGAAYLADQKTTAPWR--ENKFVRFTGVGIAMFGLIILQGDLGMGLTIASVIALVLFFSGIPIGYLVVSAVVGVLGLVGVAFSGGFRSSRITVYIDALLGHFDDTRDTAFQSYQGFLSLADGGATGVGVGQSRAKWFYLPEATNDFIFAVVGEELGLWGGAMLILLFGMLGYFGLRAARRNSDQFISLMAATLTTGVVVQAFINVAYVIGLAPVTGIQLPMISSGGTSAVITLASMGLLANCARHEPEAISAMQSYGRLSIDRLLRLPEPLTA-----RPPRRG---RQQRQPVTQRRPARPPRP-----QRQEPPRRVGPAEDRYYRRRS-</t>
  </si>
  <si>
    <t>GC_00001229</t>
  </si>
  <si>
    <t>PF11314.13</t>
  </si>
  <si>
    <t>Protein of unknown function (DUF3117)</t>
  </si>
  <si>
    <t>MVKSPTSKEQGQVAAMKPRTGSGPMEAVEESRKIVMRIPSDGGGRLVIELNKEEAAELGALLTNVSG-</t>
  </si>
  <si>
    <t>GC_00001230</t>
  </si>
  <si>
    <t>COG4578</t>
  </si>
  <si>
    <t>DNA-binding transcriptional regulator of glucitol operon (GutM)</t>
  </si>
  <si>
    <t>MNPNKTQKQSHPWRLLVVVLGVIATLGLAWWQWTRFQSGSGSFQNLGYALQWPAFGAFFIYAYKKLGEYEDEVRLTGMSPVERQQQLDAERGVVTELDASVLPERPTIDVETFNKINTPTRRKRGH--------------</t>
  </si>
  <si>
    <t>GC_00001231</t>
  </si>
  <si>
    <t>MKAIVVSKHGGPEVLVPSEVNAPTPSDSEVLVAVDVAGVNFIDVYFREGVYPHELPLTPGFEGTGRVLHDPRGEIAEGTLVAWCDAFGSYAEQVCVPRDRLVAVPEQVKPEVAASMLLQGITAHYLTDGVFPLQEGQICLLTAGAGGVGLLATQMAKARGARVISVVSTDDKEALAREAGADHVLRYGDDLADRVRALTDRRGVDIVYDGVGKDTFQHSLDAVRTRGTVCLFGAASGPVEPLDPQELNAHGSIFLTRPSIGAWTSEPGEFAYRGQAVVQMIVDGTLDVRVGAEFDLDDAAVAHRELEQRRTTGSVVLRVSK</t>
  </si>
  <si>
    <t>MRAIYITHTGGPDVLTHTDIDAPTPKDNEVVVQVDIAGVNFIDVYFREGIYHSPTPFVPGFEGTGRVIYDPQGEIAEGTVVAWCDAFGSYAEQVCVPRDRMVAVPESLEPHVAASMLLQGITAHYLTHGVYDLSEGDSCLITAGAGGVGLLATQMAASAGATVYSVVSSEEKVALAYEAGATEVFFYSDNLAEDVRRRNGGVGVDVVYDGVGKATFNESLEAVRPRGTVCLFGAASGPVDPIDPQVLNTHGSIFLTRPSIGAWTAREGEFAMRAQAVTRAVTSGELNVRVGAVYPLADAAAAHRDLEARVTTGSVVLQIS-</t>
  </si>
  <si>
    <t>GC_00001232</t>
  </si>
  <si>
    <t>PF01384.25</t>
  </si>
  <si>
    <t>Phosphate transporter family</t>
  </si>
  <si>
    <t>K03306</t>
  </si>
  <si>
    <t>inorganic phosphate transporter, PiT family</t>
  </si>
  <si>
    <t>COG0306</t>
  </si>
  <si>
    <t>Phosphate/sulfate permease (PitA) (PUBMED:31358606)</t>
  </si>
  <si>
    <t>MTELIILLIVVATALAFDYTNGFHDTGNAMATSIATGALKPKVAVGISASLNLVGAFLSVEVATTVAKGVVDLDKFDLMNPDQAHQLLLVVFAGLIGGIVWNLLTWLFGIPSSSSHALFGGMIGAALASLGMGGVVWHGVAAKVIIPALAAPVVAGIVAMVGTWLVYRLTNSVPEGQKNNYFRFGQIGSASLVSLAHGTNDAQKTMGVIFLALVATGNLHQDDPIPFWVKAACAICIALGTYMGGWRVIRTLGKGLVEIDSPQGMAAETSSAAIILTSSHFGMALSTTHVATGSIMGTGLGRKGAEVRWGVAGRMALAWLITLPAAAAVGAATWWLAHLIGLGMGDLWGVIAAFAVLVALAGYIFSHSLKAPVNSSNVNDEWDENSDDAATAARAGAHTAAQPAAAPTPDNAADAAAAAFDPAEDPLAIVEVIDNPMTGASDADSTQAAYDPRDDAAAATPATSTPMADQQRKEGR</t>
  </si>
  <si>
    <t>MTELIILLIVIVTALAFDYTNGFHDTGNAMATSIATGALKPKVAVGLSATLNLIGAFLSIEVATTVAKGVVDLQQFDLNNSYDAHRLLLVVFAGLIGGIVWNLLTWLLGIPSSSSHALFGGLIGAALASLGMGGVVWTGVLAKVVIPALASPIVAGLVATVGTALVYFFTNRVVEERKNRYFRWGQIGSASLVSLAHGTNDAQKTMGVIFLAMVATGHLHQDATIPFWVKAACAIAIAVGTWMGGWRVIRTLGKGLVEIDSPQGMAAEMSSAAIILTSSHFGMALSTTHVATGSIMGTGLGRKGAEVRWGVAGRMAAAWLITLPAAALVGCSTWWLAHGVGLFTNDMVGVLAAFAVLLGLSGYIYMQSRKAPVHSGNVNAEWDED-------------------GTSTPDVTAST------------------------------------PRKEALSS-----------------</t>
  </si>
  <si>
    <t>GC_00001233</t>
  </si>
  <si>
    <t>PF07291.16</t>
  </si>
  <si>
    <t>Methylamine utilisation protein MauE</t>
  </si>
  <si>
    <t>MSTTLTPNNADAGGADSAHAESGKNNKTAMVTTAIGFIARFGLAVVWLVSGWQKLADPVTTKQSVAAYELFSRDVSDLIGTALPVIEIALGVMLLAGIFLRATAAVSGVIFAVFIAGIISAWARGLTIDCGCFGGGGYNANVTAWTYLSEILRDLVFAAGAVWVVKW-PFKKWALYV</t>
  </si>
  <si>
    <t>GC_00001234</t>
  </si>
  <si>
    <t>PF13177.12</t>
  </si>
  <si>
    <t>DNA polymerase III, delta subunit</t>
  </si>
  <si>
    <t>K02341</t>
  </si>
  <si>
    <t>DNA polymerase III subunit delta' [EC:2.7.7.7]</t>
  </si>
  <si>
    <t>COG0470</t>
  </si>
  <si>
    <t>DNA polymerase III, delta prime subunit (HolB) (PDB:1A5T)</t>
  </si>
  <si>
    <t>MSTSTSTVFDRLTGGSQLRSLLIDAATAAR----SGSVTHAWLFTGAPGSGRTVAARALAAGLVCTS-EVPGCGECQACRTALAGNHPDVELIQPQELTTGVKFARDVVEKAHTLPTSAPWRVVIFEDADRMTESASNVLLKSVEEPPSRTVFMLCAPSTHPRDILPTIVSRCRHVYVPVPSNDDVAALLVAEGGVSEHDAALAAAASVGHIGRARHLAHNIVAQQRRAQVLGLAELIYHGDLAFQEVGVLFTKIEAEVDQRLEPIEASEKEKLQTAMGGGMKGKRVASLRSSLNAAEKELEATHKKRRTRQKRDALDLALVDFAGIYRDALITATGAGIGLTHPDMEGLSREIASRHPAEAIVTCIDAIMKTRELFGQNVRPVVALDSMVGRIRLALGVR</t>
  </si>
  <si>
    <t>GC_00001235</t>
  </si>
  <si>
    <t>PF21597.2</t>
  </si>
  <si>
    <t>Transcriptional regulator SbtR-like, C-terminal domain</t>
  </si>
  <si>
    <t>MRSDALERRRRIITAAAEIFRTQPETVALETIAERAGVGIATLYRNFPDRSALLYACGAYFFEQALALQHDILDSFDEHPADSWNTYVNELVDMGISHLVSTFAPDDLNQLPNDVAELRHHTQHNGERILRKAKDHGLVAENISYNTFIIGLITVTRPPVPGILALEPHITDQLVSLYLGGLAAGLDSPPPDRGQR-</t>
  </si>
  <si>
    <t>MRSDALARRIRIIEAACEIFRTSTDIVPLETIADKAGVGIATLYRNFPDRTALIHACAAYMFDKVIELQQSVLERFDSNPEAEWFRYVKTLVDLGIAPLVSALAPDDFQDIPAEITRIRAVASGHGSQIMAKAQEHGLVVEGIRHETFIIGLITVARAPAPGVSAIDPDIVHRLVSLYLSGLHYG---PLANWNAAS</t>
  </si>
  <si>
    <t>GC_00001236</t>
  </si>
  <si>
    <t>PF01025.24</t>
  </si>
  <si>
    <t>GrpE</t>
  </si>
  <si>
    <t>K03687</t>
  </si>
  <si>
    <t>molecular chaperone GrpE</t>
  </si>
  <si>
    <t>COG0576</t>
  </si>
  <si>
    <t>Molecular chaperone GrpE (heat shock protein HSP-70) (GrpE) (PDB:1DKG)</t>
  </si>
  <si>
    <t>Chaperones and folding catalysts&gt;&gt;&gt;Heat shock proteins&gt;&gt;&gt;HSP24|Mitochondrial biogenesis&gt;&gt;&gt;Mitochondrial protein import machinery&gt;&gt;&gt;Matrix&gt;&gt;&gt;MMC/PAM proteins</t>
  </si>
  <si>
    <t>MSDQHSDPQDPQGAADGFGDDQQEQPTTLTEEEVLAKMAEQSDSEQPDDDAASVEEPVEGTVEPDVAQQLAERTEDLQRVTAEYANFRRRTERDRAAVVDAAKASVVAELLAVVDDLELAEKHGDLQ-GPLKAVNDKIRATFTKFDVIEFGAEGDEFDPERHEAVQDTSTGETKVIGTVLRSGWAMGDRLIRTAMVIIADPA</t>
  </si>
  <si>
    <t>MSD------NPE-----VSDNLEDRDVDTQDIDL------ELDADAPDVDADG-----DGEITS-LEAELAERTEDLQRVTAEYANYRRRTERDRAGIVETAKASVITELLPILDDLDLAAQHGDLESGPLKSVSDKFHAVLNKFSVTVVGEEGDAFDHEKHEAVQDLSSGEEKVLGTVLRRGYQMGDRLIRTAMVIIADPS</t>
  </si>
  <si>
    <t>GC_00001237</t>
  </si>
  <si>
    <t>K02075</t>
  </si>
  <si>
    <t>zinc/manganese transport system permease protein</t>
  </si>
  <si>
    <t>MWVEQIRILLLDAPFIGDFTQAPFLFRPFLMLVTLGVVSGVVGVVVNLRRLEFNAEAMVHSVFPGVVAGAVFGGLDMIIPGAGLVGIVVAVVLTVVGKRGVHTSEAGTAVVLTSFFSLGIVLSLRLGDKSGQLEALMFGRLLEVTNQRLEQSLIVCAVALLMVAVTWKRQIFVAFDRVQAQAQGVNVLAIDLIINVAIAAVVIAAASAVGVLLVVGYLVVPGATARLLARTVRTMVIIAIVVGVAGGLIGMKIMLADTPHPVSPQAAVALSVIGAYFAAL------PVAYVRSRI-GAR-</t>
  </si>
  <si>
    <t>GC_00001238</t>
  </si>
  <si>
    <t>PF01330.27</t>
  </si>
  <si>
    <t>RuvA N terminal domain</t>
  </si>
  <si>
    <t>K03550</t>
  </si>
  <si>
    <t>holliday junction DNA helicase RuvA</t>
  </si>
  <si>
    <t>COG0632</t>
  </si>
  <si>
    <t>Holliday junction resolvasome RuvABC DNA-binding subunit (RuvA) (PDB:1BDX)</t>
  </si>
  <si>
    <t>KEGG Orthology (KO)&gt;&gt;&gt;09120 Genetic Information Processing&gt;&gt;&gt;09124 Replication and repair&gt;&gt;&gt;03440 Homologous recombination [PATH:ko03440]|DNA repair and recombination proteins&gt;&gt;&gt;Prokaryotic type&gt;&gt;&gt;DSBR (double strand breaks repair)&gt;&gt;&gt;HR (homologous recombination)&gt;&gt;&gt;RecBC pathway proteins|DNA repair and recombination proteins&gt;&gt;&gt;Prokaryotic type&gt;&gt;&gt;DSBR (double strand breaks repair)&gt;&gt;&gt;HR (homologous recombination)&gt;&gt;&gt;RecFOR pathway proteins</t>
  </si>
  <si>
    <t>MNMIASLRGTVLSVGLNSAVIECGGVGYAILATPQTLAEMHKGQERHIFTQMVVREDAMVLYGFADTASRDIFNTLQSVSGLGPKLALAALSVYTPQDLATRISTSDVKGLQKIPGVGKRMAERMVVDLKDKVNLYAAAPSATNDTVSSAASPATSLVTESVVEALTGLGFTAAQADKAVATVIANQPDASTSEALRAALKVLGK-</t>
  </si>
  <si>
    <t>GC_00001239</t>
  </si>
  <si>
    <t>PF01899.21</t>
  </si>
  <si>
    <t>Na+/H+ ion antiporter subunit</t>
  </si>
  <si>
    <t>K05569</t>
  </si>
  <si>
    <t>multicomponent Na+:H+ antiporter subunit E</t>
  </si>
  <si>
    <t>COG1863</t>
  </si>
  <si>
    <t>Multisubunit Na+/H+ antiporter, MnhE subunit (MnhE) (PDB:6CFW)</t>
  </si>
  <si>
    <t>MRLFAHWVVYSLWLIGQVFVGAWSIAVDALRPHSQMHPAVVRYPLRVTSDALVTAFSTSITMTPGTMSIGVID-DAAGVPEYLLVQAVFGADEQEVLDGLADMERRLWPAVEGA-</t>
  </si>
  <si>
    <t>MNRIIHGVRYSTWLIGQVIVGAFVIVFDVIRVRSQMHPAVVEYPLRVRSDWELAAFSTSITMTPGTLSLGFKDVDESGCPRVLLVHAVYGADPDEVIAGLADMEERLAPHVKEVA</t>
  </si>
  <si>
    <t>GC_00001240</t>
  </si>
  <si>
    <t>PF11248.13</t>
  </si>
  <si>
    <t>Protein of unknown function (DUF3046)</t>
  </si>
  <si>
    <t>MRLAQFYALIEGEFGRSYGDWILSSHVLPFRGISAREAIERGDDLRDVWLDICKEFDVPEQRWLGEDI</t>
  </si>
  <si>
    <t>MELTRFHQCVDDEFGHDYGTWILRSHVLSEYGKTSNELLETETNVREIWWALCRDFDVPKERWLGPDL</t>
  </si>
  <si>
    <t>GC_00001241</t>
  </si>
  <si>
    <t>PF12728.13</t>
  </si>
  <si>
    <t>K07733</t>
  </si>
  <si>
    <t>prophage regulatory protein</t>
  </si>
  <si>
    <t>MKCAFATLVAIVTEITVGCFKHVRVCSAGGEACSALCMKGIEKMTNEDNGTFLTVAEVAEIMRVSKMTVYRLVHSGELPAVRVGRSFRVHEKAVNEYLDSSYYNVG</t>
  </si>
  <si>
    <t>GC_00001242</t>
  </si>
  <si>
    <t>MWITYLARQIAGAAWTFARCLTLATRNRHDTHPIPTLTPHTPVAISLTTHGRRLHKVHYTIESLA--HSGVPIVLWLDKKDYDAPRPTPLKRLAQRGLDIRCSDGAYGPHTKYWGTFRHVQGTNTSIITVDDDMLYPTWFLPRLLERAAHTNNNSNPRDVITAYRAHRINTHNGTLQPYVRWTAVNTTTPSILNFATGVSGVHYPPTFINYVVNQG-AQFMQLSPHADDVWLHRCALRSNHTIQQVDPTPHHFNIIPTTQLGALVLHNTFGGGNDAQIAQVYEPQDIARLVAEDQRSTQNTH</t>
  </si>
  <si>
    <t>MWVGYVLGQVASFFLTLLRMLPLAIANRLSRTRIPQ---DGDVVISLTSHGKRLNKVHFTLESIARGYTKAPIVLWLDEHDYNAPLPVSLQRLVHRGLQIRCSDGDYGPHTKYWNQFRDVAGTGIRVATIDDDMIYPEWFLQRLLFIGDLRN------DAVIAYRAHRIELRDGRMLPYVKWTAVNTSQASLLHFATGVSGVLYPTSFIDYVVAQGDTEFIKQCPRADDVWLHVCALRSGHPIRQVYAKPRHFAVVPSTQVGALVVGNTLMGGNDEQIRRVYTNEDIAALVAASERED----</t>
  </si>
  <si>
    <t>GC_00001243</t>
  </si>
  <si>
    <t>K02006</t>
  </si>
  <si>
    <t>cobalt/nickel transport system ATP-binding protein</t>
  </si>
  <si>
    <t>MKRSEMATLVELKEASFSHDTGPEILHQVSLSVQEGARIAVLGENGSGKSTLFRLLSGAWTPTSGELVIAGTPITRARRKKQARDFARAHVQLVLQEPDDQIFAMSVREDISFGPLNQGLTPEEVESRVDQAMMAAEVSELAEKVPHQLSYGQRKRVALAGALAMQPNVLMLDEPTAGLDPAGSRKLLRTIEGLE---AAVVLSTHDVNLAYEFATDVVVLLDGRLTVGSCDHILSDTELLRKARLELPWAPVVSVALGRTVKRPEDVL---</t>
  </si>
  <si>
    <t>GC_00001244</t>
  </si>
  <si>
    <t>MDKRTPRTFGIPNAQGSLGWALAVLSALQLMVVLDGTVVNLALVRIQVELGLNDNLRSWVVTSYALAYGGLLLLGGRLGDVFGRKRAFLTGVGLFTVASLTCGLATTPGVLLAARVIQGIGAAVASPTAMALIVVTFPPGKPRNKAFSVFAMMTGLGSVLGLVIGGALTEASWRWIFLINVPIGAFILFAGAAVLTATPPHERLSLDVRGAILATSASTLLVFGLAEAGSGLSPTIVIALFAGALVLLWFFQTQRVATNPVLPLGMFRHRSRAAVFVCLILAGALLMAMTVQVALFVQEVLGYGPLRAGLAFIPFAFALGTGSAIASKLAESVAPRWIAAAGGLILVGGFIFGSGLDEHTRYWPDLLMPILVIGIGVGIVLIPLTLSVVAGARPQTVGPLTATSLVSQTLGGPLGLAAVMAAAEMKTRSILGPAFDSINREALTQAQKAAFGAGYTNSLLICAVLAAAIVLISITLVRFTPADIAEGKKAEKAAQSAPAED</t>
  </si>
  <si>
    <t>MTRPATTTHTYPVTGNAFGLPLLIISALQLMVVLDGTVVNLALARIQVELGLTDSLRSWIVTSYALAYGGLLLLGGRLGDVFGRKRTFLIGVSMFTLASLACGLANGAGVLLVARVIQGIGAAVASPTAMALIVVTFAPGKPRNQAFSVFAMMTGLGSVLGLVVGGALTEASWRWIFLINVPIGVFIVGLGVKYLFSTGQSEKMALDVRGAVLATGASTLLVFGMTEGGVGFTAPVIGSVVLGVVLLIGFFLSQRTAANPVLPLGMFAHRSRTFVFVSLLLVGALLMAMTVQVALFVQEVLGYGPLTAGLAFIPFAFALATGSAISGRLAEVVSPRWIVAGGGVILIGGFVFSSMLDEHASYLPDLLIPILVIGVGLGIVLIPLTLSVVAGVKPTEVGPLTATSLVCQTLGGPLGLAAVTAYAEMRTRSRLGSAFDTLNRSALDDAARAALGDGYTGSLLICAGLAVVVVILVVAFVKFTPEDIREGKAAEAAAQRG----</t>
  </si>
  <si>
    <t>GC_00001245</t>
  </si>
  <si>
    <t>K23775</t>
  </si>
  <si>
    <t>MarR family transcriptional regulator, organic hydroperoxide resistance regulator</t>
  </si>
  <si>
    <t>MGVMTNTPLDIASQIRPAMTKLYVTYFRVAQQSDLTGPQLTIMTRLEEHGPARISEVAREEGIRIPTASNALHQLEERGMISRLRDTSDKRGVRVKLTAQGREELKRVGAERDRHFATLLELLDEDELKLAEQLIPVIKRLASNYNPEAFEK--</t>
  </si>
  <si>
    <t>MAMTAATPESVAAQIRPALTQLYVMYFRMAEQSDLTGPQLTIMTRLNNLGAARISEIARLEGIRMPTASNALHQLEQRGMVERIRDTEDRRGVRVTLTPLGKKELERVGDERTKHLADMLSSLPPEHLEIAADIAPIIEQLAESYTERMLAKRS</t>
  </si>
  <si>
    <t>GC_00001246</t>
  </si>
  <si>
    <t>K01421</t>
  </si>
  <si>
    <t>COG0842|COG1511</t>
  </si>
  <si>
    <t>ABC-type multidrug transport system, permease component (YadH)|Uncharacterized membrane protein YhgE, phage infection protein (PIP) family (YhgE)</t>
  </si>
  <si>
    <t>MISGFNLGTELKRFGRTKLGRIAIAAIILMPLLYSALYLWAFWNPFGNVNKLPIAFVNEDKGTVVKGEKLNAGDQIVDNLKGKDEIHFDFVSKQDALDGVKDGKYYFVVELTPDFSEAVASPAGDEPRQAVIKTTYNDTNGYLSTMIGENVMRTMLPVISEEIGSQAIDKVLVGIQSAGTGLTQAADGAGKLAEGAGELSQGLDTATAGADKLATGAGTVDEKLGELGAGAHKLADGTQTLADGVDSATVKLQQLTTGVDQLSGGVDELGAGATQINNGVQQLKTQLDQVTATQTNASAQVRQLANQL--RGVAGTADAVRQLDQLAYQLDTQGLGANAPATQQINQLAGGTSQLAYQLSDPNAPFRSGFDQLHSGTGQLPGKLGELQSGITQLNDGAHQLAQGTDKLKAEGTVPLAEAATKLSGGLGKLDEGAKKLDDGAGTLSTKLREGSEAVPQWSTAQREHTASVLGGPVALQQTNEAGNNTFGGGLAPFFFSLALFIGGIIIFLLLRPMQNRAVASGVAPLRATLDGLFPAGLISILQATVVVAVTIFGVGMDPKYPIGLLLFAMAVSIMFTAVNQMLNVALGPGPGKVAAMSLLMFQILASGGLYPVETEPKIFAWLHPINPMTYSVNGFRQLMYGNVDHRLAQALFAVAVITGLALFLTALCARRDRMWTMKRLHPAINL</t>
  </si>
  <si>
    <t>MISALTPGTELRRFKRSKLSRIAIAAIVLIPLLYSTLYLWAFWNPFDKINQLPIAFVNADKGAVVNGTPLNAGDKIVDNLKSNDRVSFHFTEHDDAIQGVRDGRYYFAVELTPDFSQAVASPANGDARRAVIQTTYNDSNGYLSTKIGENVMSTMLPVISDQIGTQAIDRVLIGMQTAGGGIEQAADGAGRLHDGATKLNDGLGTASQGVDTLASGSAKVDEKMGELAAGADRLAAGTQQLNDGVTTATASLEQLTQGVDKLHGGVDELAGGATRINDGVQQLTGQLGQVTQAQTATSGEIRNIANSIPDPGVAA------QLNDLAARIDAQGLGQNAPATAQLQQLANGTGQLAYQLSDPNAPFRSGFDQLHAGTGQLPGKLGEMQSGVRELNTGTHTLASGAHQLHDEGTTPLASGAARLNGGMGQLRDGSSQLATGSGELATKLNDGAKAVPTWTDKQREGTASVLGGPVSLTSSNDAGSNTFGGGLSPFFLSLSLFIGGIATFMLLRPMQNRAVASGIAPLRAALDGLAPALFIAVLQALVVCVATMLLVGLSPAYPLGLIAFAILVAIMFAAVNQLLNVALGPGPGRVAGMAFLMLQLLSCGGLYPVETEPRLFQILHPIMPMTYSVDGFRQLIYGTLDHRLPQAIVAVVLITTVTVGLTALCARRDRTWTMKRLHPAIKL</t>
  </si>
  <si>
    <t>GC_00001247</t>
  </si>
  <si>
    <t>MSSSTKADSPPLKVPSDKWWHLSFGGLLVITLITFLFWSFDYVGPEANKVILITTIAFGVFMAFNIGGNDVANSFGTSVGAGTLTMRQALVVAAIFEVSGAVLAGGEVTETVKSGIVDLESIHLDAMHFAFIMMAALLGAAVWLLIATKLGLPVSTTHSIIGGIVGASLTLGFFLHIGGLEMVQWGEIGRIAVSWVLSPVLGGITAFILFGAIKRRILVFNDKADAELRQIKEERIKLHKDFKSSFERLSEVQQLSYTNAMTRDAALIAERDFDPEELESDYYRDLHRLNQRRDSLNTHRALETGVPLLAAGGAVIIGAMMIFKGLKNLHFEMSGLGNGLMLGMIAVMVWMAVFVFARTLRRQELSRATFTVFSWMQVFTASAFAFSHGSNDIANAIGPFTAVLDVLRTNSIEGGGTVPSAAMIMCGVALIAGLWFIGRYVIHTVGSGLTKMHPASGFAAELAAALVVMAASMLGLPVSSTHILIGAILGIGIVNRSANWRLMKPIALAWVITLPAAALIASCAALTLNFIWG</t>
  </si>
  <si>
    <t>GC_00001248</t>
  </si>
  <si>
    <t>PF00654.25</t>
  </si>
  <si>
    <t>Voltage gated chloride channel</t>
  </si>
  <si>
    <t>K03281</t>
  </si>
  <si>
    <t>chloride channel protein, CIC family</t>
  </si>
  <si>
    <t>COG0038</t>
  </si>
  <si>
    <t>H+/Cl- antiporter ClcA (ClcA) (PDB:1KPK)</t>
  </si>
  <si>
    <t>MAHLPRLSMRGVLGPEQGPAAPGDRAWLTETPMNRLAAYSIIAGVVTGVLVAGVNWAVILTERAVFGVDHLQVLSPAESVTPTRLAITLIGVGIVTAVLWFLLDRFGRPQVAVPGAMQGKDMPVVTTLLSAFLQVCSSAAGAPIGRENAPRLVGGLAAAGMATTFRLDGEARKILVASAAGAGLAASFHLPLAGALFALELLLVEMSTRTVIATMVCSATAVATTSLLFDNPPFYVALPLTEGPRFLLAAVIVGAVAGSAGHFFGRVALRMAAHHARGVSLLWQMPLAFIVVAAVARVIPGASSNGRWAVQTTLDMGGLLSGPWDATGRVMLASLALLFLARTVLTLLCFRVGTIGGTLTPAFAMGGTIGAAVGIVMQPLFPDVAVGAFALMGAAAFLCTTMAAPMFSMLAAVELTDMPSQGYLAMFVAVIAASLATRAWAVITDKEHRALPFTSQAWTGESL---</t>
  </si>
  <si>
    <t>--------MGGTTEKGASGGTGHTRPHMTETPLNRLAVLGVLAGIGTGLLVAALNRAIVATERLVYGVDHLKALDPGSQVTPLRLAITLVVVGIITSWSWYLLNRFGQPAVSVPGTMNGTPMPLWETLCSVFLQVISVAAGAPVGRENAPRVAGGLSASWIATTFKLDPQARRILIASAAGAGLAASFHLPLAGALFALELLLVEMTTRAVVTTMLTSAIAVAVTSIFIEPHPIFSTVELNETPAMLGAALIVGI</t>
  </si>
  <si>
    <t>GC_00001249</t>
  </si>
  <si>
    <t>PF02104.20</t>
  </si>
  <si>
    <t>SURF1 family</t>
  </si>
  <si>
    <t>K14998</t>
  </si>
  <si>
    <t>surfeit locus 1 family protein</t>
  </si>
  <si>
    <t>COG3346</t>
  </si>
  <si>
    <t>Cytochrome oxidase assembly protein ShyY1 (Shy1)</t>
  </si>
  <si>
    <t>MSRIPSTRVSGSTSAKSLALAFLKPGWVITAVAVIAFAYLAFTVLAPWQLGKNEKTSARNHQVSAAFDADPVAYSSVFTQ-GSIPADKEWTRVTLTGHYL-NNQAVLRMRPVNSEPAYQFLTPFETTTGETFLVNRGFESAGDSPSANTP--PSAVTTIIGYARLDEDPPANAPLTNVDPVQVSGINTEQIGHELGVHLAHDWIELAEGQPGEVTAIPLPKLDSGPYLSYGVQWIAFGIMAPLGLAYFVWAEIKERRREDRDRTQLSAPSTASFERSEEPTDTSAEHNEAEHASNPTTPAR-RQRSRYGGTRSDHWGKLAEKNEERF</t>
  </si>
  <si>
    <t>----MNSARPHPSTQRSVWKTFLKPGWVFTAAAVLIFAYFAFTVLAPWQLHKNEAKTERNHNIEAAFETDPVPLSEIFTKRGEVADSKEWRRVSMTGHYLPESEVLLRLRPVNSSPAFQALTPFRLNSGEIMLVNRGFVPANQDNVPDIPAAPSEEVTIVGYARLDEPPPSHEPLTDQGRLQVSGINSQQIADLTHLELGKDYVQLSDGQPGTLSAIPLPQLDSGPHLSYGIQWIAFGIMAPLGLGYFVWAEMRE</t>
  </si>
  <si>
    <t>GC_00001250</t>
  </si>
  <si>
    <t>PF00583.31</t>
  </si>
  <si>
    <t>Acetyltransferase (GNAT) family</t>
  </si>
  <si>
    <t>K03789</t>
  </si>
  <si>
    <t>[ribosomal protein S18]-alanine N-acetyltransferase [EC:2.3.1.266]</t>
  </si>
  <si>
    <t>Enzymes&gt;&gt;&gt;2. Transferases&gt;&gt;&gt;2.3  Acyltransferases&gt;&gt;&gt;2.3.1  Transferring groups other than aminoacyl groups&gt;&gt;&gt;2.3.1.266  [ribosomal protein bS18]-alanine N-acetyltransferase|Ribosome biogenesis&gt;&gt;&gt;Prokaryotic type&gt;&gt;&gt;ribosomal protein modification factors</t>
  </si>
  <si>
    <t>MMGVDAVLAQLGGGAVLRALTVGDAARCAELERMLFEGDDPWSEQAFLYEFGNPSTVYVGVEDADGVLVGYAGLARLGPVDDPEFEVHTIGVDPGCQRRGFGRAMMDCLVGVADQAGGPVFLEVRTDNGPAIAMYESYGFERMGVRRNYYQPSGADAYTMVRPAAV-</t>
  </si>
  <si>
    <t>GC_00001251</t>
  </si>
  <si>
    <t>PF02553.20</t>
  </si>
  <si>
    <t>Cobalt transport protein component CbiN</t>
  </si>
  <si>
    <t>K02009</t>
  </si>
  <si>
    <t>cobalt/nickel transport protein</t>
  </si>
  <si>
    <t>COG1930</t>
  </si>
  <si>
    <t>ABC-type cobalt transport system, periplasmic component (CbiN)</t>
  </si>
  <si>
    <t>MNNNKTNPLLVWGLIALTALIAAFPMFFVKTD-GKEEAFGGTDDGAEAVVEEQDPDYEPWFDSIVGELPGEVESGLFALQAALGAGLVGYALGNYKGRSRAERELAAPTDTTSA</t>
  </si>
  <si>
    <t>---MKKSTTLTWVLIGLAIIIAAFPMFFNLGDPNSEEQFGGTDSSAESVVQEQNPDYKPWFSPLVGELPPEVESGLFALQAALGAGFLGYALGTYRGRNKALRDSEKGSEQG--</t>
  </si>
  <si>
    <t>GC_00001252</t>
  </si>
  <si>
    <t>PF16203.11</t>
  </si>
  <si>
    <t>ERCC3/RAD25/XPB C-terminal helicase</t>
  </si>
  <si>
    <t>K10843</t>
  </si>
  <si>
    <t>DNA excision repair protein ERCC-3 [EC:5.6.2.4]</t>
  </si>
  <si>
    <t>ko00001|ko00001|ko01000|ko03021|ko03400</t>
  </si>
  <si>
    <t>KEGG Orthology (KO)&gt;&gt;&gt;09120 Genetic Information Processing&gt;&gt;&gt;09121 Transcription&gt;&gt;&gt;03022 Basal transcription factors [PATH:ko03022]|KEGG Orthology (KO)&gt;&gt;&gt;09120 Genetic Information Processing&gt;&gt;&gt;09124 Replication and repair&gt;&gt;&gt;03420 Nucleotide excision repair [PATH:ko03420]|Enzymes&gt;&gt;&gt;5. Isomerases&gt;&gt;&gt;5.6  Isomerases altering macromolecular conformation&gt;&gt;&gt;5.6.2  Enzymes altering nucleic acid conformation&gt;&gt;&gt;5.6.2.4  DNA 3'-5' helicase|Transcription machinery&gt;&gt;&gt;Eukaryotic type&gt;&gt;&gt;RNA polymerase II system&gt;&gt;&gt;Basal transcription factors&gt;&gt;&gt;TFIIH|DNA repair and recombination proteins&gt;&gt;&gt;Eukaryotic type&gt;&gt;&gt;SSBR (single strand breaks repair)&gt;&gt;&gt;NER (nucleotide excision repair)&gt;&gt;&gt;TFIIH complex</t>
  </si>
  <si>
    <t>--MSGGPLIVQSDKTVLLEVDHPQADVARAALAPFAELERAPEHVHTYRITPLALWNARAAGHDAEQLVDVLDRFSRFPVPQPLLIDVAETMSRYGRVRLHKHPAHGLILESEEPAILAEVSRQKKIAPMLGARIDEHTYVVHPSERGRLKQELLKVGWPAEDLAGYVDGEAHPIALEEDDWELRDYQRYAADSFWEGGSGVVVLPCGAGKTMVGAAAMARAQATTLILVTNTVAGRQWRDELIKRTSLTAEEIG</t>
  </si>
  <si>
    <t>MAFGDGPLIVQSDKTVLLEIDHALADEARAALAPFAELERAPEHVHTYRITPLAVWNARAAGHDAEQLVDVLERYSRFPVPHPLLIDVVETMSRYGRVKLHKHPAHGLILESAEPAIIAEITRHKKIAPMLGATIDDTSVVVHPSERGRLKQELLKVGWPAEDLAGYVDGEAHPIALEETDWSLRDYQRFAADSFWEGGSGVVVLPCGAGKTMVGAAAMAKAQATTLILVTNTVAGRQWRDELLRRTSLTEEEIGEYSGEKKEIRPVTIATYQVVTRKTKGEYRALELFDSRDWGLIIYDEVHLLPAPVFRMTSDLQSRRRLGLTATLVREDGLEGDVFSLIGPKRYDAPWKDIEAQGYIAAAECVEVRVTMTKAERMAYATAERSVRYRLAACAETKNKVVKKLVEQHKGEPTLVIGAYIDQLEELGGILDAPVIDGKTSNKKREELFDAFRKGTLNVLVVSKVANFSIDLPEAAVAIQVSGTFGSRQEEAQRLGRLLRPKANGREALFYTVVSRDTLDTEYAAHRQRFLAEQGYAYRIVDADDLLFPIKDN</t>
  </si>
  <si>
    <t>GC_00001253</t>
  </si>
  <si>
    <t>MLSSINNFPQFADALEVWALAVADFFRDFGINFPPASWGINADGTFTSSQQ</t>
  </si>
  <si>
    <t>----MGSTAMLLDFLHVWALTSADFFRGFGVDFPPPSWGVNV---------</t>
  </si>
  <si>
    <t>GC_00001254</t>
  </si>
  <si>
    <t>K01433</t>
  </si>
  <si>
    <t>formyltetrahydrofolate deformylase [EC:3.5.1.10]</t>
  </si>
  <si>
    <t>COG0788</t>
  </si>
  <si>
    <t>Formyltetrahydrofolate hydrolase (PurU) (PDB:3O1L)</t>
  </si>
  <si>
    <t>KEGG Orthology (KO)&gt;&gt;&gt;09100 Metabolism&gt;&gt;&gt;09101 Carbohydrate metabolism&gt;&gt;&gt;00630 Glyoxylate and dicarboxylate metabolism [PATH:ko00630]|KEGG Orthology (KO)&gt;&gt;&gt;09100 Metabolism&gt;&gt;&gt;09108 Metabolism of cofactors and vitamins&gt;&gt;&gt;00670 One carbon pool by folate [PATH:ko00670]|Enzymes&gt;&gt;&gt;3. Hydrolases&gt;&gt;&gt;3.5  Acting on carbon-nitrogen bonds, other than peptide bonds&gt;&gt;&gt;3.5.1  In linear amides&gt;&gt;&gt;3.5.1.10  formyltetrahydrofolate deformylase</t>
  </si>
  <si>
    <t>MSTASPAPAPTATTDRHIVFTLGCPDTTGIVAKLSAFIASHGGWITEAGYFTDPDSGWFFTRQAVRAESLDASVEELREQFAELAAELGEGTRWRIWDTARRKSAVLLVSKEGHCLHDLLGRVAQNDYPMDIKAVIGNHEDLREVAENHGVPFFHVPFPKDAVGKRKAFDEVAQLVNSYEPDAIVLARFMQILPPDLCEMWSGRAINIHHSFLPSFMGARPYHQAYKRGVKLIGATCHYATQDLDDGPIIEQDVIRITHKETPEDMQRIGRDAEKNVLARGLRFHLEDRVQVYGNRTVIFD</t>
  </si>
  <si>
    <t>MHRMTIPAAHTTTDERQYVLTLSCPDTTGIVAKLSSFIADIGGWITEAGFFTDPESGWFFTRQAVRAASISMGFDELSQRFAEVASEMGPDVRWRLWDTAKPKKAVILVSKEGHCLHDLLGRVAQNDYPMDVAAVIGNHEDLRPISQAHGVPFHYVPFPKDAVGKRKAFDQVADLVNAESPDAIVLARFMQILPPDLCEMWAGKAINIHHSFLPSFMGARPYHQAYRRGVKLIGATCHYATEDLDDGPIIEQDVIRISHKDTPSDMQRLGRDAEKIVLARGLRFHLEDRVQVYGNRTVIFD</t>
  </si>
  <si>
    <t>GC_00001255</t>
  </si>
  <si>
    <t>PF10647.15</t>
  </si>
  <si>
    <t>Lipoprotein LpqB beta-propeller domain</t>
  </si>
  <si>
    <t>-----------MTGRRTLA--LVAASTLAL-SSCTSLPSYTEPQALRSFVRSTPTEEAIAPVAGQEPDLLLRDFFAASGKPIQNHQAARAFLTPDAARRWDDAASTLILDRIDLNAKAGATQNAISYVVRGTVVGALGPGGVFSPDHGDFEAEIQLSKVDGEWRIDSLPAGTVFERVELRNNYSPEELFFFDPNQKMLVRDRRWIYKGQKSMDTSLLSLLVEGPKGPIAAGVTTEVPVGATFAGNDKGVYRFNGF</t>
  </si>
  <si>
    <t>MTPVSTSVPTHTTPRKTVTTTLAVVSIMGLVAGCTTVPGDSTPQALRSFAPAQSNIDVPSPVPGREPDLLLRDFFTASANPTQNYQAARSFLSPDMASQWDNQSNTLILDRIDLNANAGATADRISYIVRGTVVGNMSTGGVYAPENGDYEASIELRKINGEWRITSLPPGVILEKVELRNNYQPHELYFLDPTGRFLVRDRRWVYNGQPSTGSALLSLMVEGPQRGIAPGVVNEVPEGAVFSGMKDGAYTFIGFGELNADQRHRFAAQVVWTLARAGVAGPYRVTLDGVPLEIGQAGLSVEDVAEFNPNVGVGSLSPLYALSNGQLYVVSSDRVDLAPGRWGAQDAQLESADISATGDVVAAVQTTGEGDDKKSQVLLGPLNGETTTALERRTLSRPSLEYDASAFWTVLDGTTIARVSRSSATGEMSQIEVD---------KDAFGDATGAISVLRLSHSGVRVAMIIDGRVYLGTVSRPAPGERKITNLVQIAPSIGNTALTLDWQHDGSLLVGTSSPDTPVRRVELDGSEVTPLSAGNITAPVVAVASSTNNIYVTDSRAVLQLPSNGPSSAFWREVPALQGTRAAPVVAH</t>
  </si>
  <si>
    <t>GC_00001256</t>
  </si>
  <si>
    <t>PF03746.21</t>
  </si>
  <si>
    <t>LamB/YcsF family</t>
  </si>
  <si>
    <t>K07160</t>
  </si>
  <si>
    <t>5-oxoprolinase (ATP-hydrolysing) subunit A [EC:3.5.2.9]</t>
  </si>
  <si>
    <t>COG1540</t>
  </si>
  <si>
    <t>5-oxoprolinase subunit A (PxpA) (PDB:1V6T) (PUBMED:28830929)</t>
  </si>
  <si>
    <t>KEGG Orthology (KO)&gt;&gt;&gt;09100 Metabolism&gt;&gt;&gt;09106 Metabolism of other amino acids&gt;&gt;&gt;00480 Glutathione metabolism [PATH:ko00480]|Enzymes&gt;&gt;&gt;3. Hydrolases&gt;&gt;&gt;3.5  Acting on carbon-nitrogen bonds, other than peptide bonds&gt;&gt;&gt;3.5.2  In cyclic amides&gt;&gt;&gt;3.5.2.9  5-oxoprolinase (ATP-hydrolysing)</t>
  </si>
  <si>
    <t>------------MVDLNADLGERFGLWPMGDDAAMLAVVDRANVACGFHAGDAATMIDTCTEAARRGVMVGAHVGYRDLAGFGRRDMAYAPRELTAETLYQIGALEACARRAGAAVSYVKPHGALYNRIAWDRPQAEAVFDGLPEGMP---IMLLAGCEATEWARERGIEVIEEAFIDRAYTAQGRLMSRSQPGAVLHDPEAAVAQAVAFARGESITSVDGQAVSVRADSLCVHGDNPAAVELARRVAERLDALG</t>
  </si>
  <si>
    <t>MHTSPSGTSATPTIDLNSDLGESFGAWTIGNDSAVLDLVTSANIACGFHAGDPLVMIRTCDLAQKRGVRIGAHVGYRDLAGFGRRNMDYHPDDLRAETIYQIGALQAAARSVGAQVTYVKPHGALYNRIAHDKTQAMAVIEGILATDPTLKLMGLAGSPILDWASAEGLSTLAEAFADRAYNADGTLVSRSQPGAVHHDPDIVAGQAIAFATGAPITSIDGQELVVQADSLCVHGDNPEAISLSRRIIEQLGHVGVAVQAQP</t>
  </si>
  <si>
    <t>GC_00001257</t>
  </si>
  <si>
    <t>MGKHEKERAVMHWLRCYVKGHRLTLVLPLVAVVYVISALSGGVPLPLPPIFSSFAPPVTIDSVLALMITAAIGLYTTSALSYFECSSRLPWWCADAVVLIALTSPSMLIWGISTEESLLARNLAVYLALFFLLTAFCGMNTTIVSLAVWMIGQSALYDPESGLLLWALTIILQEASSTQIAAASLGAAVTWVVLRTRIKQSAYV</t>
  </si>
  <si>
    <t>GC_00001258</t>
  </si>
  <si>
    <t>PF03460.22</t>
  </si>
  <si>
    <t>Nitrite/Sulfite reductase ferredoxin-like half domain</t>
  </si>
  <si>
    <t>K02229</t>
  </si>
  <si>
    <t>precorrin-3B synthase [EC:1.14.13.83]</t>
  </si>
  <si>
    <t>KEGG Orthology (KO)&gt;&gt;&gt;09100 Metabolism&gt;&gt;&gt;09108 Metabolism of cofactors and vitamins&gt;&gt;&gt;00860 Porphyrin metabolism [PATH:ko00860]|Enzymes&gt;&gt;&gt;1. Oxidoreductases&gt;&gt;&gt;1.14  Acting on paired donors, with incorporation or reduction of molecular oxygen&gt;&gt;&gt;1.14.13  With NADH or NADPH as one donor, and incorporation of one atom of oxygen into the other donor&gt;&gt;&gt;1.14.13.83  precorrin-3B synthase</t>
  </si>
  <si>
    <t>---------MSVADSYHLGDRTRSDGCPGALSMHKAKDGRIGRVRAPGGRVTSRQWEALAHMAETFGDGHIHLTTRGNIQIRGISEGDMDAFAEACEAGGFLPSREHDKVRNIISSPMAHSRYAECDVAWIVAELDDALIASRDVIGLSGRTLFGIDSGEGDIMAQQPDFGVVLSTTNPKVAQIIVGGCPIGLFVSHDDAARALVAAASRWQEIRGTAWRVQEKPEVLPDLIDTIASAVECLDIDHVTHDHASTI</t>
  </si>
  <si>
    <t>MTDFTSSPVSLLAESYQLGDRNRGDGCPGALKMHEAKDGGIGRVRVAGGQMSPERWEALADMADRFGDGNIHVTTRGNLQVRGIQ--DTAAFAEAAQEHGFLPSRAHDRVRNIIASPLAP------ELLPLVAELDAALLADDVVTGLSGRTLFGLDSGVGDIVSRRPDFGVFAHDGG---FQLVLGGVFVARRVERGDVAATLVQAARRWQELRGSAWRVAEKPEVHGEIIASLDAAVEVAEVPFV-------------GAV--PGRPVGWLPQLD-GLVSLGAGVRFGQLSSQLARMIAVTGARTTVTPWHSIVLHDVDEHAAEQIVRVLAPLGLIFDANSTWLRVSACTGIEGCEKSLSDTRGDAAQAVASL---------DIPQG----KVHFSGCERRCGHPLESYTDYLATGDGEYEVSAR------</t>
  </si>
  <si>
    <t>GC_00001259</t>
  </si>
  <si>
    <t>K12583</t>
  </si>
  <si>
    <t>phosphatidylinositol alpha 1,6-mannosyltransferase [EC:2.4.1.-]</t>
  </si>
  <si>
    <t>ko01003</t>
  </si>
  <si>
    <t>Glycosyltransferases&gt;&gt;&gt;Glycan extension&gt;&gt;&gt;Glycolipid</t>
  </si>
  <si>
    <t>---MRAAIVAESFLPNVNGVTNSVLRILEYLRDNGHDALVIAPGARDFEEEIPEYAGFPIVRVPTIMVPMINSLPIGVPMPAVINALRSFHPDVIHLASPFVLGGAGASAAKQLDIPCVGVYQTDVAGFAQKYNLAPLIAMSWEWTKAIHNKCQLTLAPSSATISTLRSHGIRNVHQWARGVDAQRFNPSKRSQQLRTQWNPTGAQTIVGYVGRLAAEKGVERLAQVDAQPDMQLVIVGDGPERPTLEALMPNAV</t>
  </si>
  <si>
    <t>MDAMRVAIVAESFLPNINGVTNSVLRVLEYLHDNGHEALVIAPGARDFEEEVAEYLGFEIVRVPTIMVPLINSLPIGVPMPAVTQAIRNFRPDIVHLASPFVLGGSGAFAARQLRIPAIAVYQTDVAGFAHKYHLAPLAAASWEWTRTIHNMCQRTLAPSSVAMADLTKHGINEVFHWGRGVDSERFSPDKRSTELREEWDPTGQKCIVGYVGRLAAEKGVRRLAVFDQDERYQVVIVGDGPQRSELQELMPNAVFAGALDGDDLAHAYASLDVFVHTGEYETFCQAIQEALASGVPAIGPHAGGPIDLITSGVDGYLLDVETFEQELVETVEMITEPSRHSAMRVAAREGVRHKTWHALCGQLMTHYNDVID-RSHRIPLTFFGPMPELPLWAAKALGARSA</t>
  </si>
  <si>
    <t>GC_00001260</t>
  </si>
  <si>
    <t>PF01791.15</t>
  </si>
  <si>
    <t>DeoC/LacD family aldolase</t>
  </si>
  <si>
    <t>K01619</t>
  </si>
  <si>
    <t>deoxyribose-phosphate aldolase [EC:4.1.2.4]</t>
  </si>
  <si>
    <t>COG0274</t>
  </si>
  <si>
    <t>Deoxyribose-phosphate aldolase (DeoC) (PDB:1J2W)</t>
  </si>
  <si>
    <t>KEGG Orthology (KO)&gt;&gt;&gt;09100 Metabolism&gt;&gt;&gt;09101 Carbohydrate metabolism&gt;&gt;&gt;00030 Pentose phosphate pathway [PATH:ko00030]|Enzymes&gt;&gt;&gt;4. Lyases&gt;&gt;&gt;4.1  Carbon-carbon lyases&gt;&gt;&gt;4.1.2  Aldehyde-lyases&gt;&gt;&gt;4.1.2.4  deoxyribose-phosphate aldolase</t>
  </si>
  <si>
    <t>MTIDRA------QLAAMMDYTLLKPEASAEDVQALIDDAVELGVGAVCVSPNMLFACTSAADKGLRVATVVGFPSGKHDALIKAAEARLAVQFGAVEVDMVIDVARAIACDQNAIIAEVAAVREAVPQPVVLKVILETALLGEEQIAVAVEACVLAGADYVKTSTGFHPAGGASVEAVRAMKRAIGNRRVGIKASGGIGTYEDAEAMVAAGATRLGVSAARAILDGAPSVG</t>
  </si>
  <si>
    <t>MDLDRATQPSREQLARIMDYTLLSPEATAADVGHLIDSAISLGVGAICVSPSLLHATEKAAQAGLTVATVCGFPSGKHHVLVKAAEARLAVQFGASEIDMVVDIAAAQAGDSNALISEIATVREAVPHPVVLKVILESVVLSNDALATACRAALAAGADYVKTSTGFHPAGGASVEAVRVMNDAVGG-QMGIKASGGIRTWDDAQALVAAGATRLGVSAAAKVLDGAPD--</t>
  </si>
  <si>
    <t>GC_00001261</t>
  </si>
  <si>
    <t>PF13519.12</t>
  </si>
  <si>
    <t>von Willebrand factor type A domain</t>
  </si>
  <si>
    <t>K13580</t>
  </si>
  <si>
    <t>magnesium chelatase subunit ChlD-like protein</t>
  </si>
  <si>
    <t>KEGG Orthology (KO)&gt;&gt;&gt;09190 Not Included in Pathway or Brite&gt;&gt;&gt;09191 Unclassified: metabolism&gt;&gt;&gt;99987 Cofactor metabolism</t>
  </si>
  <si>
    <t>MNPPPMERQVAPTTVPPFVPRVLRRAGIGEESVPGRRSKAYSAQGATVRAVRGGRGINMVGTVLAAADRGARIVGDLIDFQPDDLRGSLRRGMESNLIVFLVDSSGSMAGRDRLSAVTGAVTSMLRDAYQRRDKVAVITVRGTSPELVLPPTGSIDVAIRRLAGLPTGGRTPLGEGLLMAHEVIAREHRKEPGRRALLVVLSDGRATSTSGMGGVRQAAGMIAQRGLAGSIVIDCEAGGRVRLGLASELARNLGGVCVQLGEINAASVAAVIQAV</t>
  </si>
  <si>
    <t>GC_00001262</t>
  </si>
  <si>
    <t>PF01566.24</t>
  </si>
  <si>
    <t>Natural resistance-associated macrophage protein-like</t>
  </si>
  <si>
    <t>COG1914</t>
  </si>
  <si>
    <t>Mn2+ or Fe2+ transporter, NRAMP family (MntH) (PDB:5KTE)</t>
  </si>
  <si>
    <t>MSEHSPTPPATTPGPTTNIDSPADGVKKAKGPLLGAIFLMATSAIGPGFLTQTANFTAQLGAAFAFAILASIVIDIAVQLNVWRVIGISGLRASELGNRVAPGLGWFLTLLVCVGGLVFNIGNIAGAGLGTNAFLGVDAKVGGTLTAGIAIAFFLIKRLGLALDYLIVGLGVLMIGLTVYVAVVSQPPVGEALRSSVLPDEYNWLAVTTLVGGTVGGYITYAGAHRLLDSGQTGPEHVRQVSRSSVTGIILTGIMRIVLFLAVLGVVAAGTSDLSGDANPAGAAFRIAAGEVGFRFFGMVMWAAALSSIIGASYTSASFLVSQRPDKRFTQNVVAIVFIVISCAAFVAIGTAPKQLLVFAGAFNGLVLPVGFTLMLYVALFRSKDLLKGYRYPKWLITAGLFALAIAWFLAVKAFQPMWALLSA</t>
  </si>
  <si>
    <t>MPEQT-----SQQGPTLGQAAASASTRTA---LLGAIFLMATSAIGPGFLTQTAVFTGKLGAAFAFAIVVSILLDIAVQLNVWRVIGVSGMRAQELGNRVIPGLGWVLAVLVAIGGIVFNIGNIAGAGLGTNAMMGLDAKIGGAVTAAISIVFFLAKRLGGVLDRVLVFLGILMMGLTLYVAIVSGPPVGDALRNTVMPEKVDWLIITTLVGGTVGGYITYAGAHRMLDSGKVGAEHVKDVSQSSVTGILLTGIMRVLLFLAVLGVVAGGTV-LDPKGNPAAQAFQVAAGDLGLRFFGVVLWAAALSSIVGASYTSATFLVPNTPDKKSLQNWVTIAFIVISCTLFLILGTAPTTLLVFAGAFNGLVLPIGFTMMIYVAAFRSKDLLNGYKYPLWLIIIGIVATVVAWILAWNSFSGVFDLLK-</t>
  </si>
  <si>
    <t>GC_00001263</t>
  </si>
  <si>
    <t>PF16113.10</t>
  </si>
  <si>
    <t>K05605</t>
  </si>
  <si>
    <t>3-hydroxyisobutyryl-CoA hydrolase [EC:3.1.2.4]</t>
  </si>
  <si>
    <t>COG1024</t>
  </si>
  <si>
    <t>Enoyl-CoA hydratase/carnithine racemase (CaiD) (PDB:1DCI)</t>
  </si>
  <si>
    <t>M00013</t>
  </si>
  <si>
    <t>Malonate semialdehyde pathway, propanoyl-CoA =&gt; acetyl-CoA</t>
  </si>
  <si>
    <t>KEGG Orthology (KO)&gt;&gt;&gt;09100 Metabolism&gt;&gt;&gt;09101 Carbohydrate metabolism&gt;&gt;&gt;00640 Propanoate metabolism [PATH:ko00640]|KEGG Orthology (KO)&gt;&gt;&gt;09100 Metabolism&gt;&gt;&gt;09105 Amino acid metabolism&gt;&gt;&gt;00280 Valine, leucine and isoleucine degradation [PATH:ko00280]|KEGG Orthology (KO)&gt;&gt;&gt;09100 Metabolism&gt;&gt;&gt;09106 Metabolism of other amino acids&gt;&gt;&gt;00410 beta-Alanine metabolism [PATH:ko00410]|Enzymes&gt;&gt;&gt;3. Hydrolases&gt;&gt;&gt;3.1  Acting on ester bonds&gt;&gt;&gt;3.1.2  Thioester hydrolases&gt;&gt;&gt;3.1.2.4  3-hydroxyisobutyryl-CoA hydrolase</t>
  </si>
  <si>
    <t>MAHDTDVSTNDASTVPDNLVYAHVVGTTGRLELNRPRALNSLNLEMVEIILDYLEQWRDDPSVTHILITSTSERAFCAGGDVRAIREQGMQGQYAEGDRFFNTEYKMNEMLAVYPKPIVSLIHGVVMGGGLGVSAHGSHRVVTEKTFAAMPEMLIGFIPDVGMSWRMQKMVGGKGYASVALANFLATTGMYLKPADMLWSGLATHYIDSSKMDEFVEAVIDESKGVDAAIEAHTTTVAESSELARWEKQIEQCFAASSWSEIRANLEACADAEFVDLVREHTKLANPTSLVATIEVIAATVECSHIGQSLGHELTMGNQLRREPNFAEGVRAVLIDKDRNPSFVPNDIAEVDEQFYRDLLR</t>
  </si>
  <si>
    <t>MLCD----TMSMSVCPVNV---SVRNSTGLLELNRPKALNSLNPRMVDLITDALEKWADDPDVHRVIIYSSSPKAFCAGGDVRLVREEITGGSYKAGDKFFLDEYEMNNALANFPKPVVALIDGVAMGGGLGISAHGSHRVITENALAAMPEMVIGFSPDVGMTWMMARMVGEPGRPIPALASFALLTGWRFSPADMLWSGLATDYVPSEDLGEFMDTVIAES--LDDALERFSTQPTGESELAVWLPEIEECFGHPTWADISAALSECANAEFVELVHGLMRDANPSSVVATVELFNANLEVSSLRVALENENAIGSELRREPNFPEGVRAVLVDKTRDAEFTPSDYKDVDVRTYRTILS</t>
  </si>
  <si>
    <t>GC_00001264</t>
  </si>
  <si>
    <t>MVLQESDGRFIYYFYEVDAMGEPEVVPFERLVQYVNDHPETQFFIFAKRCTEEDVDTWFDNEHVTVHWWKDTTPTPGTDPLSIFVQAIDPVKPNFGGILEVSSSISPEELHSLYTLADGRPSGNLMIARNSDLPKKAIELYEETFKSDLKLEKHKVFRRELFNGWALVDFDNDNEGEMAPPERSEYLLFYSGSDLDESFIDWGEIIGKHIVKY</t>
  </si>
  <si>
    <t>MPSQESDGNFIYYFYEVDAMNEPTTVPFDRFVTYVNKHPGTQFFLFADRCTKDKIDGWLNNDHVTVHWWKDITPELDADLIPILVEALQPTERNYGAIIEISPSVSPKELSSICYGTELRSAGKLMIARDSKLPNNIIQHYENTFNPEYEGEDCNPFQKEIYNGWALMVFYEDNEGDMGLPHRPAYISAYSSGDIDDSFFDWGIMKSKLITRY</t>
  </si>
  <si>
    <t>GC_00001265</t>
  </si>
  <si>
    <t>MSFGTMIADLGEVLLAGLVLGAGLPALFALGIRLAAGPGQVSEDGTIMHGADASPIAKAAAYLCFAIIIAAIIAGILWITKATIFQYTGLDVFGTEA</t>
  </si>
  <si>
    <t>MNAVEIVTDLLQVIIGGLVLGAGLPALFAVGIRLASGSGTVNPDGTVTHTKDANLFQKTLAGLCFGVIIVAIIAGILWITKGVIYESFAWDIFGTEG</t>
  </si>
  <si>
    <t>GC_00001266</t>
  </si>
  <si>
    <t>c-durJJ1-c-mat1_c-mat2</t>
  </si>
  <si>
    <t>MVCMTKKTATAIMHTNRGDIAIELFGNHAPVTVENFVGLAQGSKEYQAPNAAGNAEGPFYDGSIFHRVIDGFMIQGGDPTGTGRGGPGYQFADEFHPELSFDRPYLLAMANAGPGTNGSQFFITVNADATRHLTNHHTIFGEVTDPESQKVVDAIATTPTAPGDRPVEPVVIESIEITE</t>
  </si>
  <si>
    <t>GC_00001267</t>
  </si>
  <si>
    <t>COG0637</t>
  </si>
  <si>
    <t>Beta-phosphoglucomutase, HAD superfamily (YcjU) (PDB:3E58) (PUBMED:29684280)</t>
  </si>
  <si>
    <t>MRSFSAVFWDMDGTLVDSEPLWSIATFEMSERLGRRLTPELRERTIGGSFRNTIAIAAEHAGVKLNDQLIADNYRFTVERMQELFATRLTLNPGARELLEALRAEGVPMVLVTNTPREIAAGSIRAIGEDFFVHTVCGDEVPAGKPSPEPYLHAARLLGVDPSTCVAFEDSATGMRSAADAGCITIGLPESDDAAVPAGVRTLQQLHGSRTWVGVTPADIEKWVV------------</t>
  </si>
  <si>
    <t>PF13419.12</t>
  </si>
  <si>
    <t>K01091</t>
  </si>
  <si>
    <t>phosphoglycolate phosphatase [EC:3.1.3.18]</t>
  </si>
  <si>
    <t>KEGG Orthology (KO)&gt;&gt;&gt;09100 Metabolism&gt;&gt;&gt;09101 Carbohydrate metabolism&gt;&gt;&gt;00630 Glyoxylate and dicarboxylate metabolism [PATH:ko00630]|Enzymes&gt;&gt;&gt;3. Hydrolases&gt;&gt;&gt;3.1  Acting on ester bonds&gt;&gt;&gt;3.1.3  Phosphoric-monoester hydrolases&gt;&gt;&gt;3.1.3.18  phosphoglycolate phosphatase</t>
  </si>
  <si>
    <t>GC_00001268</t>
  </si>
  <si>
    <t>PF03830.20</t>
  </si>
  <si>
    <t>PTS system sorbose subfamily IIB component</t>
  </si>
  <si>
    <t>MVSLIVAAHDKLAPALMGTATMILGPTEGVTTVTFMPGQGPDDLIAEYEQATQGTNPDDGVLILVDLFGGSPYNAGARFAANHPNADVVSGVNVPMLMEVLAANKRDGATLDTLVDKALKAGTTGVRSFKRGKPKKKTTPAATTTETNATSSPKNDTTNSDAAGAIDPNFPKDPNHTMNCVFMRIDSRLIHGQVAGSWVNHVGPQTLIAASDSAANDELRKELLLQVGPASARTNVLGVDKTIRVYYNPDYEGMKTMIVVEQPEDALALIKAGITVKELNVGGVTFKPGMKQVSEAVYASDEHLAVYKELADMGVPMILQQVPNSHRTELMGALKQKGLI</t>
  </si>
  <si>
    <t>PF03610.21</t>
  </si>
  <si>
    <t>PTS system fructose IIA component</t>
  </si>
  <si>
    <t>MVAIIVAAHGESAPALLGSTTMIVGDVDNVHAVTFVPGQGPDDLLE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</si>
  <si>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GC_00001269</t>
  </si>
  <si>
    <t>MLPLGALLDCVLMATNTDSITDAVNSDPAALEQRAGASGRMLIKAVDRAAHMQSGAIVKYVEWLRAGNPDASPSEIQKMMDKHLKRLAMGSGAGAGAAAAIPGIGFVTGAAAVGAESLVFLDAATLYVMASAYLRGVDIHDEERRRALILVVLLGSAGTLIVDAAVGDLNK-----KNGASVAATLTRFGAPRLKDVNSKLTAAAVKRMGKKFKAAWLGKLLPLGVGAVVGTFANRTLAHKVISNARTSLGPLPAEF</t>
  </si>
  <si>
    <t>-------------MKNNRIVLDAISSDPKALHDQAGTTGRMLITALDKAVAMQTSVVEKYIDHLREKNPNASTADLQHMLDNHFMYLATGTGASVGLTSALPGIGLMTGLAAVSTESMVFVDAAAFYTIASAHLRGVDIRDSERRRALILVTLIGSAGTALVDAAIGDLGKQYAQAQQKTTAATALSRFGMARVKELNGRLLSLATKRLGKSVRNAWLGKLMPLGIGAVIGTVANRKLAKSVIANAQESLGPLVN</t>
  </si>
  <si>
    <t>GC_00001270</t>
  </si>
  <si>
    <t>PF04226.18</t>
  </si>
  <si>
    <t>Transglycosylase associated protein</t>
  </si>
  <si>
    <t>COG2261</t>
  </si>
  <si>
    <t>Uncharacterized membrane protein YeaQ/YmgE, transglycosylase-associated protein family (YeaQ)</t>
  </si>
  <si>
    <t>MTLSLGIFAWIIIGGLAGWIASKIKGTDASQGVVGNILTGIVGGLLGGWILSLLGVDVKGGGIVFSFLTCLLGAVIFISILQALTNKK</t>
  </si>
  <si>
    <t>-MLALGFVGWIVIGGLAGWIASKIKGNDAEQGILMNIVMGVLGGVLGGYVLKFFGVDVANKGMIFSFVTCLIGAVVVISIKQYFQKR-</t>
  </si>
  <si>
    <t>GC_00001271</t>
  </si>
  <si>
    <t>PF14155.11</t>
  </si>
  <si>
    <t>Domain of unknown function (DUF4307)</t>
  </si>
  <si>
    <t>----MRENKRTSRYN-VPGTQPNLSGKLVAIAAVLIAIAIIIVAVQYFQRQRATTVSATQAGIERVDDHTLRSTVDITRKNPDAPAYCIVTALNYNKAEVGRREVLVPAGGAKTQPVTVDIPTNDEPVAGTVYGCSDVIPDYLQ----</t>
  </si>
  <si>
    <t>MTTPTPTPSPSARYNAAPGKGSAIVGKLIAVGAVVFVVLAGIVIYQYYQKVTSATVSATTTGFSRIDDRTLTVSVDVTRDNVEIPSYCIITALNYGKAEVGRREFLIEPGGDRTKRFSVDIPTRDVAVAGTVYGCSDNPPSYLKPLSK</t>
  </si>
  <si>
    <t>GC_00001272</t>
  </si>
  <si>
    <t>K23186</t>
  </si>
  <si>
    <t>iron-siderophore transport system permease protein</t>
  </si>
  <si>
    <t>MVSTNVRKQRTRRALGLLLLFGLIAVLIVASIAIGTRSMSVGTLLHP------DQITAAIIRDLRIPRTTLGVLVGAALGVSGTLIQGHTRNPLADPGVLGISSGAACAVVVGFTFFGITSIVGTVVVAFTGAILATLLVFSLTSIGSGRMNPLSVLLGGAALSAVLSSVTSALVLTNEDNLDRMRFWNAGSIAGRDLTISIGIAPFVVLGLVAAFATARQLNLLNLGDDVASSLGVNTNRARLIGMLLIALLAGAATAGAGPIGFVGLVVPHVVRVFTGPDYRWLLPYSALAGVALLLLADVAGRIIARPGELQVGIVLAFVGAPFVLYLLSRRKLVAL</t>
  </si>
  <si>
    <t>GC_00001273</t>
  </si>
  <si>
    <t>MAQGTVKWFNAEKGYGFIAPADGSADVFVHYSEIQGNGFRSLEENQLVEFEVGEGAKGPQAQNVTAV-</t>
  </si>
  <si>
    <t>MAKGTVKWFNAEKGFGFIEPEDGSADVFVHYSEINGDGFRYLEEDQVVEFEVGGGAKGTQALNVRVIR</t>
  </si>
  <si>
    <t>GC_00001274</t>
  </si>
  <si>
    <t>PF00962.28</t>
  </si>
  <si>
    <t>Adenosine deaminase</t>
  </si>
  <si>
    <t>K01488</t>
  </si>
  <si>
    <t>adenosine deaminase [EC:3.5.4.4]</t>
  </si>
  <si>
    <t>COG1816</t>
  </si>
  <si>
    <t>Adenosine deaminase (Add) (PDB:1A4L)</t>
  </si>
  <si>
    <t>M00958</t>
  </si>
  <si>
    <t>Adenine ribonucleotide degradation, AMP =&gt; Urate</t>
  </si>
  <si>
    <t>KEGG Orthology (KO)&gt;&gt;&gt;09100 Metabolism&gt;&gt;&gt;09104 Nucleotide metabolism&gt;&gt;&gt;00230 Purine metabolism [PATH:ko00230]|Enzymes&gt;&gt;&gt;3. Hydrolases&gt;&gt;&gt;3.5  Acting on carbon-nitrogen bonds, other than peptide bonds&gt;&gt;&gt;3.5.4  In cyclic amidines&gt;&gt;&gt;3.5.4.4  adenosine deaminase</t>
  </si>
  <si>
    <t>--------------MTTNLSDVT-DPKNLSREDIAQLPKVVLHDHLDGGLRAATIVELAEAAGYGKLPTTDPEELEHWFVEAANSGSLPKYLETFDHTTAVMQTAEAIMRVTAEAVVDLAADNVVYAELRFAPEQHQSKGLSLQDIVDAAVAGCQQGEAQAAQQGKQITVRLILCAMRHTDRSVEIAQLTIDNHT---PDGYVAGFDIAGPEDGFPPSRHHEAFDMLRRNHVPFTIHAGEAAGRDSLESAVYEGA</t>
  </si>
  <si>
    <t>MIVDFRVVLWGMQSHSHDLPEINPEYKSLSREVVHQLPKVVLHDHLDGGLRPATIVELAATSGYSGLPTTDPEELGQWFFDAANSGSLPQYLETFAHTCAVMQTEDAIERVAREAVEDLAADGVVYAELRFAPEQHQEQGLTLQQVVDAAVRGCKAGEQSAQEQGHVIIARLILCGMRHAARTQEIAELTVQNCGLDSPDSYVVAFDIAGAEDGFSPDQHAEAFTLLRDNFVPFTVHAGEAAGEESIAAAMRQGACRLGHGARVYEDFGVDAENVGIQPGRMSSFIRDRGTVLELCPTSNVQTGVVDDIADHPLPLLHQLGFACTVNTDNRLVSGTTMTDEMMVLVDVFGYDLEGLFELTTTAIDAAFLPVLRRREIYDTLIAPGYAKFAAEQDHQAGHTVNHDHERINAADLHLDEETLAMIDPQMLEELGIDPKDLGH</t>
  </si>
  <si>
    <t>GC_00001275</t>
  </si>
  <si>
    <t>MFHLSNDDIQRKFINFQDSLLKSITIEYVGDGKKDCKISVYT-AYLDGSKESWGTVDILISNVYSYRVHEPIDTTAEVISSGFHVVDIEGKSGIDLGYFAEPPKTLKELVSSDLFVLGENIKVMMRDDFS</t>
  </si>
  <si>
    <t>GC_00001276</t>
  </si>
  <si>
    <t>PF03061.28</t>
  </si>
  <si>
    <t>Thioesterase superfamily</t>
  </si>
  <si>
    <t>K10806</t>
  </si>
  <si>
    <t>acyl-CoA thioesterase YciA [EC:3.1.2.-]</t>
  </si>
  <si>
    <t>COG1607</t>
  </si>
  <si>
    <t>Acyl-CoA hydrolase (YciA) (PDB:5DM5)</t>
  </si>
  <si>
    <t>MSTRSPEVTLRFLAAPTDIIMAGAHGVGGGRVLEWIDKAAYACAVGWSGAYCVTAYVGHIHFTRPIPSGHIVEVRSRIAMTGRSSMHIINEVLSADPREGVFTRACDCLVIFVAKDTVSGKPMQVPTFTPRNDEEQRVFEAAKSRIELRKAIEAEMEKQTYNGPSDAPRMITRFLAKPTDVNWGGKVHGGTAMEWIDEAATACTMEWSGESTVAVYAGGIRFYRPIQIGDLIEVDARMLRTDARSMQVSVHVRSGLPADGRTGLQTAIHASITYVGIDIDGNALPARQFVPRTEEDQRLSGHAAVLRELRMEYRPLPLISRKEKLIYEAEIGE--</t>
  </si>
  <si>
    <t>MPTLSPEVTLRFLAAPTDVLMAGSHGVNGGRVLEWIDKAAYACAVGWSGTYCVTAYVGHIHFTRPIPSGHMVEVRSRIAMTGRSSMHIVNEVLSADPREGVFTRACDCLVIFVAKDTKTGKAQPVPTFEPRTEEELRVHDAAMSRIELRRAIEAEMDKQTYDGPSEAPRMITRFLAKPMDVNWGGKVHGGTAMEWIDEAASACTMEWSGENTVAVYAGGIRFYRPIQIGDLIEVDARLLRTDARSMQVVVHVRSGDPRSGRNALENAIHATITYVGVDLDGVPLPARPFVPRTTEDIRLAEHALTLRDLRAEYAPKPLI--------KPLIGRRS</t>
  </si>
  <si>
    <t>GC_00001277</t>
  </si>
  <si>
    <t>MNTTPQGPTNSP--SNGDTLPDLADTIADNVADTADGSDAAMPAST-----------------DRAIIIGRDGRWVAGWALRFIVVAIALYIASIGLAKVWIGILPILLSILVCTVLWPPVRWLRAHKFPPALAVATVVLSCFAIVGGIFAAMAPTVTSQSKELYDQALAGAHKLQDYIQGPPLNIKAEQVNNAVDEL---------LDKARAQGDAITSGVISSVSTATEVIATGVICLVLTFFFLKDGPKFLPWVRRTTGPTWGYHLTEVLSRTWVTLAGFIRAQAMVSLVDAIFIGIGLLVLKVPLALVLVVLTFFAGFIPIVGAISAGAISVLIALVSNGVTNAIMVLVLIIAVQQLESHILSPILQSKAMDLHPVIVLLSVTVGGGLFKIIGAFLAVPVAATIAVWIRYHGDLVALRAGEKTTDDIELATGDNNDDSGNVLDTIKTKLSAMATKTKKA---------</t>
  </si>
  <si>
    <t>MSNKPESQKQPAEESAGDQPRDPIDTIFDAV--DSDGSPAPVQESAPSAPLTTDTIDDTDPPVDRVAILGKDGRWLSGWALRFIVLTVAAYFLSLILGQIWTGLLPILLAIMLCTVLWPPVRWLRNHKIPPSLAVTITLLGCVSAFGGLFAAMAPTVAHQSKGLVDQAIQGVNTLIDWVQGPPLNIDADQFNTIFNEFVAKIQENGALGKVQEQAGNIASGVFAGLSSASSVAVTLGIMLVLTFFFLKDGDRFLPWVRRNTGPTVGLHLSELFTRIWNTLAGFIRAQAIVSFIDALFIGIGLVLMGVPLALVLATITFFAGFVPIVGAVSAGAISVLIALVSNGPTTALMVLILILVVQQLEGNILSPMLQSKAMDLHPVIVLLAVTVGGALFNVVGAFLAVPVAATIATCLRYHSETVALRAGETTVQDLDLATEQTEPAKLTLL--LQRMMHRASDKPGKAPGKAEESEG</t>
  </si>
  <si>
    <t>GC_00001278</t>
  </si>
  <si>
    <t>PF02632.19</t>
  </si>
  <si>
    <t>BioY family</t>
  </si>
  <si>
    <t>K03523</t>
  </si>
  <si>
    <t>biotin transport system substrate-specific component</t>
  </si>
  <si>
    <t>COG1268</t>
  </si>
  <si>
    <t>Biotin transporter BioY (BioY) (PDB:4DVE)</t>
  </si>
  <si>
    <t>KEGG Orthology (KO)&gt;&gt;&gt;09130 Environmental Information Processing&gt;&gt;&gt;09131 Membrane transport&gt;&gt;&gt;02010 ABC transporters [PATH:ko02010]|Transporters&gt;&gt;&gt;ABC transporters, prokaryotic type&gt;&gt;&gt;Metallic cation, iron-siderophore and vitamin B12 transporters&gt;&gt;&gt;Biotin transporter|Transporters&gt;&gt;&gt;ABC transporters, prokaryotic type&gt;&gt;&gt;Metallic cation, iron-siderophore and vitamin B12 transporters&gt;&gt;&gt;Energy-coupling factor transporter</t>
  </si>
  <si>
    <t>------MSSTQLRTIASVAVFAALIIASGMVSIPSPVAGVPIVLQNAFCVLAGLVLGPKRGTLAVAVFLLLGVIGLPVLPGGRTVLAAMAGPSAGYLVGYLFSAPIAGWISQGSLKRSTGVMTVGFAVAAVLALLSQYVFGVPVLMIRSGLDLQAAVTAQFAFLPGLVIKAIAITAISVAVVRALPDVR----------</t>
  </si>
  <si>
    <t>MTTSSSASRSYTRDIAYIAVFAALIIALGFFSIP-LAAGIPIVLQNIACILAGLILGPRRGTLAVALFLLLGLVGIPVLPGGRTVLTALSGPTVGYFVGYLLSAFVAGLIAWSSPRKQPGFL-IGLSIAVVVGVLIQYTCGTIGLVIR-GTDLNGALKIQVPFLIPDAIKAVVAVSIAAAVHLALPDLRPQRTAPNTAA</t>
  </si>
  <si>
    <t>GC_00001279</t>
  </si>
  <si>
    <t>K04079</t>
  </si>
  <si>
    <t>molecular chaperone HtpG</t>
  </si>
  <si>
    <t>COG0326</t>
  </si>
  <si>
    <t>Molecular chaperone, HSP90 family (HtpG) (PDB:1Y4S) (PUBMED:30150682)</t>
  </si>
  <si>
    <t>ko00001|ko00001|ko00001|ko01009|ko03110|ko04131|ko03051|ko03029|ko04147</t>
  </si>
  <si>
    <t>KEGG Orthology (KO)&gt;&gt;&gt;09120 Genetic Information Processing&gt;&gt;&gt;09123 Folding, sorting and degradation&gt;&gt;&gt;04141 Protein processing in endoplasmic reticulum [PATH:ko04141]|KEGG Orthology (KO)&gt;&gt;&gt;09130 Environmental Information Processing&gt;&gt;&gt;09132 Signal transduction&gt;&gt;&gt;04151 PI3K-Akt signaling pathway [PATH:ko04151]|KEGG Orthology (KO)&gt;&gt;&gt;09140 Cellular Processes&gt;&gt;&gt;09143 Cell growth and death&gt;&gt;&gt;04217 Necroptosis [PATH:ko04217]|Protein phosphatases and associated proteins&gt;&gt;&gt;Protein serine/threonine phosphatases&gt;&gt;&gt;Phosphoprotein phosphatases (PPPs)&gt;&gt;&gt;Protein phosphatase-5&gt;&gt;&gt;PP5-interacting proteins|Chaperones and folding catalysts&gt;&gt;&gt;Heat shock proteins&gt;&gt;&gt;HSP90|Membrane trafficking&gt;&gt;&gt;Autophagy&gt;&gt;&gt;Chaperone mediated autophagy (CMA)&gt;&gt;&gt;Chaperones|Proteasome&gt;&gt;&gt;Eukaryotic proteasome&gt;&gt;&gt;Assembling factors&gt;&gt;&gt;Other assembling factors|Mitochondrial biogenesis&gt;&gt;&gt;Mitochondrial quality control factors&gt;&gt;&gt;Mitophagy factors&gt;&gt;&gt;Parkin-independent mechanism factors|Exosome&gt;&gt;&gt;Exosomal proteins&gt;&gt;&gt;Proteins found in most exosomes</t>
  </si>
  <si>
    <t>-------MSSNFRVDLSGVVELLSRNLYSGPRVFIRELLQNGVDAITARRELQPD-CPARIRFLL--SGRTLTVIDSGVGLTADEAASLLSTIGASSKKDEFGLSRSDFLGQFGIGLLSCFMVSPSIEVFSSSVRAAEPGRGGIVRWVGSSDGTWTIDDGASVAAPAHIESALSGGGTAIVLEGFPDEQLFSLAALRDVITSYGRFLEVDVTLEGGS-EVEHLALQRPPWEMAPASRAQATWCAENFGFMPFAAI</t>
  </si>
  <si>
    <t>PF00183.23</t>
  </si>
  <si>
    <t>Hsp90 protein</t>
  </si>
  <si>
    <t>MGPGQQADSQNFQVDLGGMVELLSRNLYSGPRVFVRELLQNGFDAITARRELEPEGSPARIRFITDNNGEFLSITDTGIGLTRVEAETLLSTIGGSSKRDEFGLARSEFLGQFGIGLLSCFMVSLEITVFSRSAKPDAP--EDVVLWQGRSDGTWTV----RTALPEEVPAELQGPGTTIVLKSLPGERFFDYPVVSKLIDHYGRLLPVDVTCERRSQDAEHLSAQPAPWEMSLDD--QQRWCIDNFGFQPFACIPLEVPVSGVRGVAFIIPQGAHPGQLLKHHVYLRRMLLSTHVTDLLPEWAYFARVVVDTEFLRPTASRESLFDDSLLEETRQELGDSIRQWLGDLAEYYPLQFQEFVALHVHGLKALALTDDKTRELVCSAVPFQTSLGMKTLQEVLEEHGGIRFTSTDSQFRALLPVASASELCIVNAGFAFDEELLAQVQLDHPGLGISELDPLEVLGVLEKPNGTDATALRPLLDAASAAL-GDKASPQIRQFQPSTMPVLYLPNSDVAGKAIEQRAIDEAVGAFEGLVDLMNGATLDNDGMDTPQLIFNANCTLNHQLAGSTSQQPQIVESAIRGLFVQALLAGKHPMDSTVRAWSTQVFSNLITASLR</t>
  </si>
  <si>
    <t>GC_00001280</t>
  </si>
  <si>
    <t>PF02602.20</t>
  </si>
  <si>
    <t>Uroporphyrinogen-III synthase HemD</t>
  </si>
  <si>
    <t>K13542</t>
  </si>
  <si>
    <t>uroporphyrinogen III methyltransferase / synthase [EC:2.1.1.107 4.2.1.75]</t>
  </si>
  <si>
    <t>COG0007|COG1587</t>
  </si>
  <si>
    <t>Uroporphyrinogen-III methylase (siroheme synthase) (CysG) (PDB:1PJQ)|Uroporphyrinogen-III synthase (HemD) (PDB:1JR2)</t>
  </si>
  <si>
    <t>Cobalamine/B12 biosynthesis|Heme biosynthesis</t>
  </si>
  <si>
    <t>M00846|M00121|M00926|M00924|M00925</t>
  </si>
  <si>
    <t>Siroheme biosynthesis, glutamyl-tRNA =&gt; siroheme|Heme biosynthesis, plants and bacteria, glutamate =&gt; heme|Heme biosynthesis, bacteria, glutamyl-tRNA =&gt; coproporphyrin III =&gt; heme|Cobalamin biosynthesis, anaerobic, uroporphyrinogen III =&gt; sirohydrochlorin =&gt; cobyrinate a,c-diamide|Cobalamin biosynthesis, aerobic, uroporphyrinogen III =&gt; precorrin 2 =&gt; cobyrinate a,c-diamide</t>
  </si>
  <si>
    <t>KEGG Orthology (KO)&gt;&gt;&gt;09100 Metabolism&gt;&gt;&gt;09108 Metabolism of cofactors and vitamins&gt;&gt;&gt;00860 Porphyrin metabolism [PATH:ko00860]|Enzymes&gt;&gt;&gt;2. Transferases&gt;&gt;&gt;2.1  Transferring one-carbon groups&gt;&gt;&gt;2.1.1  Methyltransferases&gt;&gt;&gt;2.1.1.107  uroporphyrinogen-III C-methyltransferase|Enzymes&gt;&gt;&gt;4. Lyases&gt;&gt;&gt;4.2  Carbon-oxygen lyases&gt;&gt;&gt;4.2.1  Hydro-lyases&gt;&gt;&gt;4.2.1.75  uroporphyrinogen-III synthase</t>
  </si>
  <si>
    <t>-----MTLPASSTVWFVGAGPGNPDLLTIRAREILSRTRMCVCDPQVLPGVRGVVASELAVPQDKLDETERDYERLVQQAKEQGSRRRPPRPEPPSAADIVDVPEASTPADIVEMLAERLSQGADVVRLVAGNPLSSERIQSEIEAVQAAGMNFQIVPGMSVPSTVPAFAGIALGSTYTETDISSIPADVLATDDALWDGLVGAPQPLVLQVVSAQLPVISEQLLNRGVGSAVPVSVTVNGTTRLQRTFDTTLGM</t>
  </si>
  <si>
    <t>MSNDTASSPAPGNVIFVGAGPGNPDLLTVRAREVLGRTAVALTDPQVLDGVRAVVGSELAVPEDVLKAADEAYERLCAEAKANGARRRPPRPPAPTAADIREVSGA--PEKIAQQLADEVAAGHDVIRLVAGNPLNNEAVLAEIQAVANAGVEFQVVPGMSVPSTVPVFAGIALGSTYTETDITSGNVD--------WDQLAQAPQPLVLQATALDLPKISVELSDRGISATTPVSVTVNGTTRLQRTHDATLGTLGKLDAD------LQGSLVVTLGKGVDDRSKYSWWENRALYGWRVLVPRAKEQAGPMSTRLAGHGAIPQEVPTISVEPPRNPQQMERAVKGIVEGRYLWVVLTSVNAVSALWEKITEFGLDARSFAGVRIAAVGTKTAAAIRELGITPELLPSPTQQNAAGLVEVFPEYDEDLDPVGRVLLPRADIATDVLVDGLANLGWEVEDIVAYRTVRAAPPSAEIRDMIKSGGFDAVCFTSSSTVRNLVGIAGKPHQRTIIACIGPMAAATARELGLRVDVQPEIAGVDELVDALAEHVAGLRAAGQLPPPRKKRRSRKAKTQ</t>
  </si>
  <si>
    <t>GC_00001281</t>
  </si>
  <si>
    <t>MNFYLKNLVYRHPKADDLIFDKLNLPLSLGPLLLLGRNGAGKTTLLKLIAGLLKPASGTVHRDGRVLYLPQRFIAVPGFSCMDYVVHLAWLNGRPRREAKVDAAYWIKHVGLEGYEQRPCQNLSGGQQSRLALAMALNSHADLVLLDEPGAALDPLSKETLRSLYQIVADAGVGLIVSSHDPTDILGPFVRVVIIDEGVVRFDDAPDVLRTSQHSDPL-VEAFARSMFPSEGTNGRTRKA--------</t>
  </si>
  <si>
    <t>GC_00001282</t>
  </si>
  <si>
    <t>PF00545.25</t>
  </si>
  <si>
    <t>ribonuclease</t>
  </si>
  <si>
    <t>K01167</t>
  </si>
  <si>
    <t>ribonuclease T1 [EC:4.6.1.24]</t>
  </si>
  <si>
    <t>COG4290</t>
  </si>
  <si>
    <t>Guanyl-specific ribonuclease Sa (PDB:1A2P)</t>
  </si>
  <si>
    <t>ko01000|ko03019|ko03016|ko03016</t>
  </si>
  <si>
    <t>Enzymes&gt;&gt;&gt;4. Lyases&gt;&gt;&gt;4.6  Phosphorus-oxygen lyases&gt;&gt;&gt;4.6.1  Phosphorus-oxygen lyases (only sub-subclass identified to date)&gt;&gt;&gt;4.6.1.24  ribonuclease T1|Messenger RNA biogenesis&gt;&gt;&gt;Prokaryotic type&gt;&gt;&gt;Bacterial mRNA degradation factors&gt;&gt;&gt;RNA degradosome components&gt;&gt;&gt;Ribonucreases|Transfer RNA biogenesis&gt;&gt;&gt;Eukaryotic type&gt;&gt;&gt;3'processing and CCA adding factors&gt;&gt;&gt;3'processing factors|Transfer RNA biogenesis&gt;&gt;&gt;Prokaryotic type&gt;&gt;&gt;3'processing and CCA adding factors&gt;&gt;&gt;3'processing factors</t>
  </si>
  <si>
    <t>MSSPNGPYKKVAGAAAAVAVAAVAAWFGVD--------SPARDDARPESTRSTASTPSTTPKSSTAPTSSKRAKDTQED----------VCPLSSLPPEAEEVVDDILNGGPFAHPDNDGVRFGNYEHVLPQQSRNYYREYTVDTPGVKHRGARRIVVGGGSKTDPDVWFYTDDHYESFCEIPDAEQ</t>
  </si>
  <si>
    <t>GC_00001283</t>
  </si>
  <si>
    <t>MSDEVNEFLGSSPELFQPVELSAQALNRAMLEAVEFVHAEGWDNRPVLFALVPARILMQATGEMFGDDADVSPLSLIIQEAIPEHIRPGSDELGDYLARIAWPEEVAGVILAQEIEFLDSSADDSDDAVGVAAERRPARIFSGVLRSQEQLTLLQLRPTEEELAAAGPFAEDNIELKGGPGVAPGVIKVLSHTLLASPEDM</t>
  </si>
  <si>
    <t>--------MTNSP-------LTQQALNKAMMEAVDFIHAEGWDAAPTLFALVPSSLLIDALPSTDGDD-DTAPLTLVVQDSLPANLGGGSEELEDYISRLAWPADVAGVILAQEIMFRDSPSPSN--------EPRPARLFSGVLRGGEELTLLQIRPTEDELAAQGPFAEDNIELRGGPQVAPGVIAALRYTLEQEAE--</t>
  </si>
  <si>
    <t>GC_00001284</t>
  </si>
  <si>
    <t>PF02628.20</t>
  </si>
  <si>
    <t>Cytochrome oxidase assembly protein</t>
  </si>
  <si>
    <t>K02259</t>
  </si>
  <si>
    <t>heme a synthase [EC:1.17.99.9]</t>
  </si>
  <si>
    <t>COG1612</t>
  </si>
  <si>
    <t>Heme A synthase (CtaA) (PDB:6A2J)</t>
  </si>
  <si>
    <t>ko00001|ko00001|ko00001|ko01000|ko03029</t>
  </si>
  <si>
    <t>KEGG Orthology (KO)&gt;&gt;&gt;09100 Metabolism&gt;&gt;&gt;09102 Energy metabolism&gt;&gt;&gt;00190 Oxidative phosphorylation [PATH:ko00190]|KEGG Orthology (KO)&gt;&gt;&gt;09100 Metabolism&gt;&gt;&gt;09108 Metabolism of cofactors and vitamins&gt;&gt;&gt;00860 Porphyrin metabolism [PATH:ko00860]|KEGG Orthology (KO)&gt;&gt;&gt;09130 Environmental Information Processing&gt;&gt;&gt;09132 Signal transduction&gt;&gt;&gt;02020 Two-component system [PATH:ko02020]|Enzymes&gt;&gt;&gt;1. Oxidoreductases&gt;&gt;&gt;1.17  Acting on CH or CH2 groups&gt;&gt;&gt;1.17.99  With unknown physiological acceptors&gt;&gt;&gt;1.17.99.9  heme a synthase|Mitochondrial biogenesis&gt;&gt;&gt;Mitochondrial quality control factors&gt;&gt;&gt;Mitochondrial respiratory chain complex assembly factors&gt;&gt;&gt;Complex-IV assembly factors</t>
  </si>
  <si>
    <t>-----MLFNVTDKKPQFVQRFLSSLRSQKGQMRAAMVLLVFQAGLVFTGSLVRVTGSGLGCVSWPNCHPGSLVPVAGAAPWLHQAIEWGNRLLTFVVAAGAIAFWYAVFAGGRRRELRYHAVFQFVGVVIQALLGAMSVLLKLQWWSVAMHFLPSMILVWAAAVAWVRVQEPDDGHRVAFFPEPLRWLAVGSAASLALVLATGTMVTGAGQHAGDVDVTESSRLAIDLAEIAHVHAHFMYLYLGLTIGLIVALYA</t>
  </si>
  <si>
    <t>MSTSTPIDQHETGKNSWLDRFSFGVRIQR---FWALLLLFAQGGITVTGSIVRVTGSGLGCTSWPDCQQGSLVPISGAAPAIHQAIEFGNRMLAVILAVLALIVFLMMLAAKRRREIVVLAFIQGLGVILQAVIGGISVHLELRWWTVALHFLPSMLLVWLGAILYQRISEPDDGEITHGFPSPLRYLAVGSAVALAVVLMTGTMVTGAGVHSGDDGVGMEGRLNVDIAEMAHIHAHFMYLYLGLTVGLVAALVTV------------KASSRALKFSWWLIAMIVVQAAVGIIQYNFGIPRWTVPVHVALSGVVTGFTGLVYAQAFVRQYT</t>
  </si>
  <si>
    <t>GC_00001285</t>
  </si>
  <si>
    <t>MLDNLKERQTMSETIEVQQYREEAFRVFEGEPTYVDGYLPSSFDSQHSSLQRSSTWCGMGLVLTALAGLGTLIFGFATLDSGTQEHATTFIWIGAILTLVCVVGGFGLIHYGRRYYRAYVAATGRK-</t>
  </si>
  <si>
    <t>GC_00001286</t>
  </si>
  <si>
    <t>--------MILNVLALPIVEVIIIGALAGLVGVYAVLNNKVFFTESITHGTFPGAVIGVVLGAHFGL-DHAGLSLMLFAGATAACVPLSWLMFVLARKSTMSPQSAAGVVLTLGFALGYFLNKWFAPLPLKIEGFLAGSVLNIHRTDVLAAAIVFAISLAITARWGNTLIFYAFDRSGFQALNSKHASIAGRSIAPTALAEITMLTMITSTIVVLIPAVGTILAIALVAAPAAGLAPRMNSPQALMIAAPIAGVI</t>
  </si>
  <si>
    <t>MDTSLVHTSLWEIVRLPLVEICIVGALAGLVGVFAVLKRRVFFAESVTHGTFPGAVLGVVVGSSLSQGDHHVLSLWLFAGAFALCVPLAGVMYALARIPGQSSQAAAGVVLTVGFALGYFLNTWFAPLPLKIEGFLAGSVLNVNVLDVSVAFAVLAVVMVIVVGYGKQLVFYAFDEQGFRA--------AGFS---ASRAELLILGMVVVTVVAVIPAIGTVLSIALIAAPAAGLIPLMKNSTALIVAAPLAGALIGVVGLGCALLWHLSVGGCIAVLAGVFYAGCWCLRKVLFTS</t>
  </si>
  <si>
    <t>GC_00001287</t>
  </si>
  <si>
    <t>K10773</t>
  </si>
  <si>
    <t>endonuclease III [EC:3.2.2.- 4.2.99.18]</t>
  </si>
  <si>
    <t>COG0177</t>
  </si>
  <si>
    <t>Endonuclease III (Nth) (PDB:4UOB)</t>
  </si>
  <si>
    <t>KEGG Orthology (KO)&gt;&gt;&gt;09120 Genetic Information Processing&gt;&gt;&gt;09124 Replication and repair&gt;&gt;&gt;03410 Base excision repair [PATH:ko03410]|Enzymes&gt;&gt;&gt;4. Lyases&gt;&gt;&gt;4.2  Carbon-oxygen lyases&gt;&gt;&gt;4.2.99  Other carbon-oxygen lyases&gt;&gt;&gt;4.2.99.18  DNA-(apurinic or apyrimidinic site) lyase|DNA repair and recombination proteins&gt;&gt;&gt;Eukaryotic type&gt;&gt;&gt;SSBR (single strand breaks repair)&gt;&gt;&gt;BER (base exicision repair)&gt;&gt;&gt;DNA glycosylases|DNA repair and recombination proteins&gt;&gt;&gt;Prokaryotic type&gt;&gt;&gt;SSBR (single strand breaks repair)&gt;&gt;&gt;BER (base exicision repair)&gt;&gt;&gt;DNA glycosylases</t>
  </si>
  <si>
    <t>MTALTQGPRSPCSSRCPCTLAVHRSLSQWGFTIVVTMSLATESPLALKRRARRINRELAELHPDARCELNFTNPLELLVATVLSAQCTDARVNKVTPALFERFTDAEDYAEADIEEVERYIRSTGFYHNKAKNLVGLGQKIVEDFGGEVPSDIEDLVTLPGVGRKTAHVIRGHIFGLPGLPVDTHFGRLCRRLGLTNQESPLKVEKEIGALIEPAQWTAFSDRLVFHGRRVCFARSPHCWECGIARLCPS---------ATVAASSTSSARKAAARKSGTK---</t>
  </si>
  <si>
    <t>GC_00001288</t>
  </si>
  <si>
    <t>K25132</t>
  </si>
  <si>
    <t>heme transport system substrate-binding protein</t>
  </si>
  <si>
    <t>COG4558</t>
  </si>
  <si>
    <t>ABC-type hemin transport system, periplasmic component (ChuT) (PDB:3MD9)</t>
  </si>
  <si>
    <t>Transporters&gt;&gt;&gt;ABC transporters, prokaryotic type&gt;&gt;&gt;Metallic cation, iron-siderophore and vitamin B12 transporters&gt;&gt;&gt;Heme transporter</t>
  </si>
  <si>
    <t>----------------MKKTFRSTLAA-LVCGAV----ALVGC----STDSVS---TNTTDQELREKISNSGELPNPRDLEGVDEVKDFGEPVPVAGNPSPTLPVELTDADGYEVTVTDISRILALDLYGSYTKTLIGLGLGDNIVGRTVSSTEESLKDRPLVTQGGHNLNVEAVLSLEPSLVIVDHSVGPRDAIDQIRDAGVTVVVMEPERTIDSVGRDIENVAGVVGVPEVGEKLAKRSMDDIVKDREAIADL</t>
  </si>
  <si>
    <t>MRFTIHHTTRKGPLVIPAATMRTTFTAVLMCAALAFTGALAGCNAPLSTNALGDSQATTSDQELRESLPDRASLKDPRTFTGISTVPDMGDVVPVTDNAQPQLPVELNDADGYNVTVKDVSRILALDLYGTYTKTLMGLGLQNNIVGRTVSSTEPALADLPVVTQGGHNINVEAVLQLSPSLVIVDHSIGPREAIDQIRDAGVTVVVMEPTRNIASIGDDIKNLGSVVGLPDEADKLAERSKKDLDADMEAVKKLAPDQPLRMAFLYARGNGGVFFILGEGTGAQDLIEGIGAVDVAAENGLKDAAPANAEALAKLNPDVFIMMTEGLKSTGGIEGLMQRPGVEQTTAGQHQRVVALPDGQSLAFGPQTGELLLRTAQAVYNPDQAQ</t>
  </si>
  <si>
    <t>GC_00001289</t>
  </si>
  <si>
    <t>K07653</t>
  </si>
  <si>
    <t>two-component system, OmpR family, sensor histidine kinase MprB [EC:2.7.13.3]</t>
  </si>
  <si>
    <t>COG2205</t>
  </si>
  <si>
    <t>K+-sensing histidine kinase KdpD (KdpD) (PDB:2KSF)</t>
  </si>
  <si>
    <t>KEGG Orthology (KO)&gt;&gt;&gt;09130 Environmental Information Processing&gt;&gt;&gt;09132 Signal transduction&gt;&gt;&gt;02020 Two-component system [PATH:ko02020]|Enzymes&gt;&gt;&gt;2. Transferases&gt;&gt;&gt;2.7  Transferring phosphorus-containing groups&gt;&gt;&gt;2.7.13  Protein-histidine kinases&gt;&gt;&gt;2.7.13.3  histidine kinase|Protein kinases&gt;&gt;&gt;Histidine kinases&gt;&gt;&gt;OmpR family|Two-component system&gt;&gt;&gt;OmpR family&gt;&gt;&gt;MprB-MprA (maintenance of persistent infection)</t>
  </si>
  <si>
    <t>MLRRPVERED---GGEDIVD-----PRSWSRRVSLRWQLSAMLASMVALSLGMMILVAYLTLSASLAHNVDQDLKEKAISLISKVESSDFSDDPGLLISEFKEYNPDIRIAYFPPHSFSGIGDNIPLS-EELSVVGGAKSENIRTAQNERILSQRSPEGATFILAENMESTQQLTSSLGFALLFVGGVGIFVSVMAGAVAAQAGLRPISRLQSAVDYVATTDDLRPIQVYGDDEIAQLTRSFNLMLAALQNSRDRQTALVADAGHELKTPLTSLRTNIELLMLITKSPNASVSEQDREDLERDVIAQMEELASLVNDLVDLAREESNEHSAEPVDLSEVIDGALDRVRRRRVDVDFHVSTFPWELQGDPFALNRAMVNLLDNAAKWSPANGIVEVTMNRTPWGGCELLIGDSGPGIPLAERHKVFERFYRAIESRSMPGSGLGLAIVKQVITRHGGTISIGDSRMGGALIR------------------IGFQPERLLADRDT---------QLGDTPN-----------------------------</t>
  </si>
  <si>
    <t>MLRKPASPVDDIYGAEPVTEPEQTKPQGWDRKASLRWQLSMVTASMVAIAVAMMTIVAYWTVSTSLTNAVDQELQEKASAFLQNSFDPSFLLSPTAEIQAFKSYNPDVRVAYFSPGASRGIGDNLPITNDEAAVLRGELDMSTNNSGDERVLALRNEVGATLILARDLKSTHQLISSLGTVLLIIGALGVLIAIATGTVVATTGLRPVMRLQQAAEYVTQTDDLRPIAVVGNDELAQLTRSFNDMLEALEASRVRQTQLVADAGHELKTPLTSLRTNVELLMMVSQSKSA-IPPEELESLSRDVIAQIEELSTLIGDLVDLAREDGPQQIVECVDLVECLETSLERVQRRRPDVKFTLNTQPWFLYGDPFALGRATLNLMDNAAKWSPQDGEVRITMTSEKEGVMELTFADSGPGIPAEDREKVFERFYRSIKARSMPGSGLGLAIVQQVINRHAGTIVAEESDDGGALMRVTLPGNPFPPGAPEADFNVSLQPELFDKHRTKKKPLPRALPKVKDRPDNRHKGPVQGIKMDDFSQLWASRQRRYTDE</t>
  </si>
  <si>
    <t>GC_00001290</t>
  </si>
  <si>
    <t>MQTTTGHGPSAANNTRTHGRTPTNVPPAVTAHGISVVGDQGPVYGPLDVEIPGEGLTVLSGRGGSGRTALALTISGRMKPKTGTLEVLGHTKPSEIRKHVAIAGVEDIDQLDRDVKISTVFGEHRAWSRPWISVRKRATQDYYEEICSPVFGTRSLPPLDAYVSQICSLDRILIRLALALHPANHSEIGMLIMDDLDQVHETEDRLVLISILNQLAQKIPVVVNAVNPLPPDIAGDATEIELFTDAAHLQPEEHGLEHLKGKK</t>
  </si>
  <si>
    <t>--MPEEQLPETMN--------------AVTAVNLALRGTEGPVYGPLTFTAPASGLTVLSGRGGSGRTALALTLAGRMASTTGEVTVLGETKRSKIRQMVAVAGVEQIDALDRDVTIRTALSEHLNWSRWWWTVPRRASQEYYEQLCGRVFGQRDLPPLNSYVSQISALDRILIRIALALHPASHQPIRMLVMDDLEQVRELDDRLQLVQILMELSQVIPVIVMAVNPLPPSPGVEYHLIELHTTTPAKEQQQ--</t>
  </si>
  <si>
    <t>GC_00001291</t>
  </si>
  <si>
    <t>PF14020.11</t>
  </si>
  <si>
    <t>Protein of unknown function (DUF4236)</t>
  </si>
  <si>
    <t>MARKSITPTGLNFRKRKKVGKNSWINVSGSGVSGSTKLGPVTVNSRGGLWVRLPGGFTFRGRWKK</t>
  </si>
  <si>
    <t>--------MGITFRKRQKMGKNSWLNVSGSGVSASTKVGPVTFNSRGGLWLKLPGGLTFRGRWR-</t>
  </si>
  <si>
    <t>GC_00001292</t>
  </si>
  <si>
    <t>PF01205.25</t>
  </si>
  <si>
    <t>Uncharacterized protein family UPF0029</t>
  </si>
  <si>
    <t>COG1739</t>
  </si>
  <si>
    <t>Putative translation regulator, IMPACT (imprinted ancient) protein family (YIH1) (PDB:1VI7) (PUBMED:15126500)</t>
  </si>
  <si>
    <t>MEDRYRRPADRLVTT-EINIKRSRFITLLGRASSEDEAREFIRQARSRYPDARHHCSAFIIHLDGAMPIERSSDDGEPSGTAGNPMLDVLRGSGLLDVVAVVVRYFGGVKLGTGGLVRAYSDAVASALEAVEVTKRSRRLRGTLSVDHADAGRTEAELRAHG----WDVVGTDYTAKAHIHIAVTPDSRDRCDASVASMSAG-----RYQVDWSEL-DWIG</t>
  </si>
  <si>
    <t>GC_00001293</t>
  </si>
  <si>
    <t>PF02652.20</t>
  </si>
  <si>
    <t>L-lactate permease</t>
  </si>
  <si>
    <t>K03303</t>
  </si>
  <si>
    <t>lactate permease</t>
  </si>
  <si>
    <t>COG1620</t>
  </si>
  <si>
    <t>L-lactate permease (LldP)</t>
  </si>
  <si>
    <t>MESFVADTSAVAGSLGLSAAVATIPLLTFFVMLIGVKARAHTSALVALAASILVAIVGFKMPWLLAVSSAGRGGLFGLLPIVWVIVMAIWFYEVTVISGRFEDLRRTFDRLGNGDIRIQAILIAFCFGGLLEALAGFGAPVAITATMILALGIKPLRAATVVLLANTAPVAFGAVAIPITTAGAVAGRTAEETNHIAAIVGHQAPVLAFFVPLILLLILDGVRGVKDAWVPAVVIGFAFGIAQWATSNFFAYQLTDIVACIFSLGVAVGFLRFWKPRGVEEMRARMGVGPAAIHDELPGVRVWMALLPYLVVTLIFGVCNLDKFGSLTNPFPKWLKETFMISFDWPVLKDHLLTASGEPVKSA--YSLAYINNPGTLLLISGLIVGVIYAVFNEGGRYKTDLGRVFAEIGHCMFRMRHAALTIAAVLALAYVMNYSGQTVSIGEYVASLGAVYAFLAPTLGWVGTAVTGSDTSANALFGKMQVTAAEHAGLNPDLMLAANTTGGVVGKMVSPQSLAIAATAVNLEGEESSIFKSVAGWSLGMLFVVCLLVYLQTNVLSFLV----</t>
  </si>
  <si>
    <t>MDTFQPVTDSVGESLGLSALVACVPLLAFFIMLIGVKARAHVSAAVALAAGILVAVLGFHMPIELSIMSAFRGGAFGLVPIVWVIVMAIWFYQITVASGRFEDLRRTFDKLGNGDVRVQTILIAFCFGGLLEALAGFGAPVAITATMILALGVKPLKAATVVLLANTAPVAFGAVATPIITAGEVGGRSAEQTANIAAIVGIQTPIIALFIPAILLFILDGWKGVKAAWAPAFVIGISFAIAKYITANFFVYQLTDVIACIVSLGVAFAFLQRWQPKDVEEMRERMDLPPAPASEDLPRQRVWMAMLPYAIVTVIFGVANVGAIGTAL--------KSLTVKIPWPLLHDRLLNTAGAPNASSGTYSVAVLHNPGTLLLISGLIVAFVYSKYSENGKYSLTANQAWKELTGTFYRMRWSILTIVLVLGLAYVMNDSGQTIAIGQFVASLGGLYTFLAPMLGWVGTAVTGSDTSANALFSKMQVTAAEQAGINPDLMLAANTTGGVVGKMVSPQSLAIAATAVEMEGKESDIFKAVVGWSFAFVLFVCCLVYLQATVLSFTVPVIP</t>
  </si>
  <si>
    <t>MDTFQPVTDSVGESLGLSALVACVPLLAFFIMLIGVKARAHVSAAVALAAGILVAVLGFHMPIELSVMSAFRGGAFGLVPIVWVIVMAIWFYQITVASGRFEDLRRTFDKLGNGDVRVQTILIAFCFGGLLEALAGFGAPVAITATMILALGVKPLKAATVVLLANTAPVAFGAVATPIITAGEVGGRSAEQTANIAAIVGMQTPIIAMFIPAILLFILDGWKGVKAAWAPAFVIGISFAIAKYITANFFVYQLTDVIACIVSLGVAFAFLQRWQPKDVEEMRERMDLPPAPTSEDLPRQRVWMAMLPYAIVTVIFGVANVGAVSTAL--------KSLTVKIPWPLLHDRLLNTAGAPNASSGTYSVAVLHNPGTLLLISGLIVALVYSKYSENGKYSLTANQAWKELTGTFYRMRWSILTIVLVLGLAYVMNDSGQTIAIGQFVASLGGLYTFLAPMLGWVGTAVTGSDTSANALFSKMQVTAAEQAGINPDLMLAANTTGGVVGKMVSPQSLAIAATAVEMEGKESDIFKAVVGWSFAFVLFVCCLVYLEATVLSFTVPIIP</t>
  </si>
  <si>
    <t>GC_00001294</t>
  </si>
  <si>
    <t>PF01156.24</t>
  </si>
  <si>
    <t>Inosine-uridine preferring nucleoside hydrolase</t>
  </si>
  <si>
    <t>K25589</t>
  </si>
  <si>
    <t>inosine/uridine nucleosidase [EC:3.2.2.2 3.2.2.3]</t>
  </si>
  <si>
    <t>COG1957</t>
  </si>
  <si>
    <t>Inosine-uridine nucleoside N-ribohydrolase (URH1) (PDB:1EZR)</t>
  </si>
  <si>
    <t>KEGG Orthology (KO)&gt;&gt;&gt;09100 Metabolism&gt;&gt;&gt;09104 Nucleotide metabolism&gt;&gt;&gt;00230 Purine metabolism [PATH:ko00230]|KEGG Orthology (KO)&gt;&gt;&gt;09100 Metabolism&gt;&gt;&gt;09104 Nucleotide metabolism&gt;&gt;&gt;00240 Pyrimidine metabolism [PATH:ko00240]|Enzymes&gt;&gt;&gt;3. Hydrolases&gt;&gt;&gt;3.2  Glycosylases&gt;&gt;&gt;3.2.2  Hydrolysing N-glycosyl compounds&gt;&gt;&gt;3.2.2.2  inosine nucleosidase|Enzymes&gt;&gt;&gt;3. Hydrolases&gt;&gt;&gt;3.2  Glycosylases&gt;&gt;&gt;3.2.2  Hydrolysing N-glycosyl compounds&gt;&gt;&gt;3.2.2.3  uridine nucleosidase</t>
  </si>
  <si>
    <t>---MRDIILDCDPGHDDAVAIILAGGNPAINLLGVTTVGGNQTLPKVTRNALATLRVARLDDVAVYPGCDRPLVRSVEVAEDIHGDSGLD--GVELPEPTHGPEDTHAVDFIIDTVMNSEPGTITLVPTGPLTNIAMAARKEPRIVERVREVVLMGGGYHEGNWSAVAEFNIKVDPEAAHIVFNEPWPVTMVGLDLTHQALCTPEVEEKIKALGTEASEFVVGLMGFFRKAYQANQDFVDPPVHDPCTIAYLIDP</t>
  </si>
  <si>
    <t>MTTAKRIILDCDPGHDDAVAILLALGDPRIEVLGITTIGGNQTLEKVSRNARVVCTVAGVTDVPVHAGCTRPLVRDVEVAADIHGDTGMEIHNYQLPEPAFDLADGHAVDFIIDTIMSEEPGTVTLVPTGPLTNIAMAARKEPRIVERVQEVVLMGGGYHVGNWSAVAEFNIKVDPEAAYIVFNEKWPVTMVGLDLTHQALATAPVEAEIAGLGTDLANFVVGLFGYFREAYKNAQGFDDPPVHDPCTVAYLIDPTVVSMRRAPVSVELTGTLTTGMTVADFRAPAPPDCHTQVAVQLDHAGFWRLVIDALRRLAPPS</t>
  </si>
  <si>
    <t>MTTAKRIILDCDPGHDDAVAILLALGDPRIEVLGITTIGGNQTLEKVSRNARVVCTVAGVTDVPVYAGCTRPLVRDVEVAADIHGDTGMEIHSYQLPEPAFDLADGHAVDFIIDTIMSEEPGTVTLVPTGPLTNIAMAARKEPRIVERVQEVVLMGGGYHVGNWSAVAEFNIKVDPEAAYIVFNEKWPVTMVGLDLTHQALATAPVETEIAGLGTDLGDFVVGLFGYFREAYKNAQGFDDPPVHDPCTVAYLIDPTVVSVRRAPVSVELTGTLTTGMTVADFRAPAPPDCHTQVAVQLDHAGFWRLVIDALRRLAPPS</t>
  </si>
  <si>
    <t>GC_00001295</t>
  </si>
  <si>
    <t>K01046</t>
  </si>
  <si>
    <t>triacylglycerol lipase [EC:3.1.1.3]</t>
  </si>
  <si>
    <t>COG1075</t>
  </si>
  <si>
    <t>Triacylglycerol esterase/lipase EstA, alpha/beta hydrolase fold (EstA) (PDB:1I6W)</t>
  </si>
  <si>
    <t>M00098</t>
  </si>
  <si>
    <t>Acylglycerol degradation</t>
  </si>
  <si>
    <t>KEGG Orthology (KO)&gt;&gt;&gt;09100 Metabolism&gt;&gt;&gt;09103 Lipid metabolism&gt;&gt;&gt;00561 Glycerolipid metabolism [PATH:ko00561]|Enzymes&gt;&gt;&gt;3. Hydrolases&gt;&gt;&gt;3.1  Acting on ester bonds&gt;&gt;&gt;3.1.1  Carboxylic-ester hydrolases&gt;&gt;&gt;3.1.1.3  triacylglycerol lipase</t>
  </si>
  <si>
    <t>PF01674.24</t>
  </si>
  <si>
    <t>Lipase (class 2)</t>
  </si>
  <si>
    <t>MSKPLGARVPTRGWVEDDWRAAPSAQRPWPVVLVHGTSASTGDYMELARELRELGWAVFIPTYGNRATNPIEDSAEQILAYINQVLHATGAEKVIIVGHSQGGVLARYLIKRLGGASKVKHLISLSSPHHGTSLGGMLNVLVNSERSADFMIRMINNYFGPAGMQQIVGSDFLTDLNADGDTVPGPGYTCLATRTDTTVSPAESGFLDGPGVDNSWIQDYYPLAVIFHEDMPRDRRVRELVISTIEQLRPLQ-</t>
  </si>
  <si>
    <t>PF02089.21</t>
  </si>
  <si>
    <t>Palmitoyl protein thioesterase</t>
  </si>
  <si>
    <t>MSKPLGARVPTRGWVEDDWRAAPSAQRPWPVVLVHGTSASTGDYMELARELRELGWAVFIPTYGNRATNPIEDSAEQVLAYINQVLHATGAEKVIIVGHSQGGVLARYLIKRLGGASKVKHLISLSSPHHGTSLGGMLNVLVNSERSADFMIRMINNYFGPAGMQQIVGSDFLTDLNADGDTVPGPGYTCLATRTDTTVSPAESGFLDGPGVDNSWIQDYYPLAVILHEDMPRDRRVRELVISTIEQLRPLQ-</t>
  </si>
  <si>
    <t>GC_00001296</t>
  </si>
  <si>
    <t>MNRIKKVAAVMLC--LAGVLSSCSAGHTA--------IHTASGSHSGGVVVALAAAPASLDFTTTSGAAIPQAMMANIYEGLVRINQQGEIEPLLANDWTISEDGKNYRFNLRKGVTFSNGSPFNAQAAKFSIERVQSDAWTNGLKAQMDPVESVTAVDDYTLEVALKQRSNNWLWNMGTFVGAMFSPDGVDNLAENPIGTGPYVLDKWNVGQSLEFVAREDYWGEAPKNNRAALRYFGDAVAATNALQSGDVDVVYSMQSPELLETINARGEYSVEVGTTNGEVVLSMNPRRAPFDNPNVRKAVMYAINRQDVINTAWDGYGTDTGAVPASPADPWYFVSDQYPYDPDKARELLADVDK-PIPVTISVPSLPYAQAASEMVVSQLRDVGFDVKIESTEFPAVWLAKVYKGHDFDMSIISHVEARDIPNMFGNPDYYIGFGSDEIQQLLSEADTGPKDQQDATMRKAIQTILDDAAADTLFNLPNIVVSDPAISGVPVNSVTQALPLAPISREGGKD</t>
  </si>
  <si>
    <t>---MQKIAKILFSTGLVGLLAACSAGSTASSGVGDAVVDTPATSAAHTIVVGTTAPPASLDFTTTSGAAIPQALMGNVYEGLVRIDQDSTIQPLLATSWELDDAGTTYTFHLREGVKFSNGDEFTADTAKFSIDRVAD--WSNGLKASMSVVDHTEVVDQHTLKVVLKQRSNGWLWSMGTLVGAMMTPNGVANLATKPVGTGPYVVDKWAVGTSLTMVARPDYWGGKIANDRAVFRYFGDAISLTNAVRSGTIDA</t>
  </si>
  <si>
    <t>GC_00001297</t>
  </si>
  <si>
    <t>E|P</t>
  </si>
  <si>
    <t>Amino acid transport and metabolism|Inorganic ion transport and metabolism</t>
  </si>
  <si>
    <t>K02033</t>
  </si>
  <si>
    <t>peptide/nickel transport system permease protein</t>
  </si>
  <si>
    <t>COG0601</t>
  </si>
  <si>
    <t>ABC-type dipeptide/oligopeptide/nickel transport system, permease component (DppB)</t>
  </si>
  <si>
    <t>--MNRVVGITVRYVLTLWVASVAVFALLRVVPGDPAEIALGVTATPELVAEKRAALGIDQPLLTQYGQWVKGMLTGDFGLSMTSGKDISELVLDRLQVSLILVVCAIIVSLAIAIPMGSWAARRHRHADGIAITATSQVGIAIPSFLAGIVLVTVFAVKLGWVPANGWVPPNVSFTGFLSRLFLPVMALAAVQSAIMTRYVRSAVLNILSEDFIRTARAKGLTTKQALRRHGLRNAALPVVTVTGLQLATVVVGA</t>
  </si>
  <si>
    <t>MMLKRIGANTLRYLLTLLVASLVIFIALRVIPGNPAEVALGVTATDESVAKLSATMGIDKPLWQQYVTWVQGLVTGNLGMSLTSGADISPLVFDRLQVSIILVGCAMVMALGLSIPLGVWAARRARKWDGVAITVLSQIGIAIPSFLAAILLVAWFAVRLKWVPANGWSVPSEDFGGFVARLILPVISLGIVQAAIMTRYVRSAVLDVMDEDFMRTARAKGLSPGQALMAHGLRNAALPVLTVTGLQITNLLIGAVVIEKVFVIPGLGSMLLQAVTDRDLPTVQTIVMVLVIFAVVVNAMVDVAYAVVDPRTRSEVTA</t>
  </si>
  <si>
    <t>MMLKRIGANTLRYLLTLLVASLVIFIALRVIPGNPAEVALGVTATDESVAKLSATMGIDKPLWQQYVTWVQGLVTGNLGMSLTSGADISPLVFDRLQVSIILVGCAMVMALGLSIPLGVWAARRARKWDGVAITVLSQIGIAIPSFLAAILLVAWFAVRLKWVPANGWSVPSEDFGGFVARLILPVISLGIVQAAIMTRYVRSAVLDVMDEDFMRTARAKGLNPGQALMAHGLRNAALPVLTVTGLQITNLLIGAVVIEKVFVIPGLGSMLLQAVTDRDLPTVQTIVMVLVIFAVVVNAMVDVAYAVVDPRTRSEVTA</t>
  </si>
  <si>
    <t>GC_00001298</t>
  </si>
  <si>
    <t>----------------MAAASLSAVTACSSNNGNSTSSSSSESASAGADSKNRVVALNTGQLDNLLTLGILPVGVAAAKGGELIPKFIRDAFGTQYDLDSIADCGLRQSPDVEAIAKLEPSLICANSRTDKEILKKLEDIAPVVTGEGGGENWKQDLVTIAEAVSKGEEATKLLEEYEASAAEFKSALPAEVPTVSFLRTKDDAFQMFGVNSMAGTVAADCGLARPESQQFDKKAGEDLSAEVLDKADADWIFYA</t>
  </si>
  <si>
    <t>----------------MAAASLSAVTACSSNNGNSTSSSSSESASAGVDSKNRVVALNTGQLDNLLTLGILPVGVAAAKGGELIPKFIRDAFGTQYDLDSIADCGLRQSPDVEAIAKLEPSLICANSRTDKEILKKLEDIAPVVTGEGGGENWKQDLVTIAEAVSKRDEATKLLEEYEASAAEFKSALPAEVPTVSFLRTKDDAFQMFGVNSMAGTVAADCGLARPESQQFDKKAGEDLSAEVLDKADADWIFYA</t>
  </si>
  <si>
    <t>MSNKISRRGFLGLVAAGAVASVGVLAACGKTNSTNEAANTSEAAG----DTQRVVALNTGQLDNLLMLGIVPVGVAAAKGAELIPQFIKDKFGSQYDLDSIANCGLRQTPNVEAISKLEPTLICANERTDEEILTKLRDIAPVVTGKGGGENWKDDLATIAEAVGKKDEAKKLLDAYLADAADFKGKLPAEVPTVSFLRTKDDAFQVYGTNSMAGTVAADCGLARPESQQFTNKAGKDLSAEVLDQADADWIFYGVQSGAPSPADTPLWPSLKAVTDNHAVEVDYESWYLNASLLSAQIILEGLGK-VLS</t>
  </si>
  <si>
    <t>GC_00001299</t>
  </si>
  <si>
    <t>MKRKNPGFAVISFIFIVTGTFISAVTFLFNIFVTSFYYPIFAEISLVWMGVVILDLRTHYNIIRWRKAHAQILFAGDVAIIHSSRWANVVRGSGPFSFFLSLGLAPWLSPHIFLHEDAFPPFWHLISICVIFPLAGYFLHFFTVSQTLTVGRKYFKRELHGFGWHSELESKDPRLEFDLNNYNNFIVFLVANVNYYRTSIFGSKADHFDEKQVPIPDARNIPLDKFLMWLFPEQEDIWRLMIDLICEPQYEAWVPTRRMQNIYGEIVKKKEEFRNNTEHK</t>
  </si>
  <si>
    <t>MKRKNTQYFMVALAMIAIGLFFSTVTFLFDPFGASFYYSLLIFGSFAWMGIVGLDLRTHYNIINWEKAHPQILFVDDLAVIYASRWANVIRASTLVSFFMVFGLAPWLFPGAFLPGGGFPSVWHLISLCVMFPLAVYCFYFFSVSQTITVGKNYFKRELRGLGLRSELVSEDPHLEIEVAKHSTALVFSVANVKYKRESIFGDKVDYFDKKLVPIPDARNVPLDKFLMWLAPEKKELWSLMIDLICEPQYNRGAPSRRAQNIYIELAKKREEMQKNKGNE</t>
  </si>
  <si>
    <t>GC_00001300</t>
  </si>
  <si>
    <t>MSSHVPHLSHPPMEETAIEAVRHVDKEQRRVAAATIVGTAIEWYDYFVYAIATGLVFKSVMFANLSPGLATIVGFLSVGLSFLFRPLGAFLAGHFGDKIGRRKVLMVTLIMMGSATALIGVLPTYATIGLWAPALLILLRIVQGISAGGEWGGAVLMAVEHAPTARRGLFGASPQIGVPLGLLMASGVLQLMSSIAPGDAFLEWGWRIPFLLSVVLIIVGFLIRHGVEESPVFAEMEERAETASAPVAVLFRRHFPLVIVAALIFAGNNAVGYMTTGGYIQNYATDPNGPVGLARGDVLGAVTLSAVSWLVFTLLAGWVSDYIGRRVTYLIGFVLQAIGAIALFPLVNTADPKKLLIALVFLTLGLGLTYGPQAALYAELFPASIRFSGVSISYAIGAILGGAFSPMIAAAIVERTGATTNVTYYLVAMSVIGFLAVFAVKDRSGIPLGPDNEAEQAATPLRFGSSAGAH</t>
  </si>
  <si>
    <t>COG2211</t>
  </si>
  <si>
    <t>Na+/melibiose symporter or related transporter (MelB) (PDB:4M64)</t>
  </si>
  <si>
    <t>MTNR---------------------RGETRVAAATIIGTAIEWYDFFLYAAAAGLVFNKVFFASSEPAIATLLSFLTVGLSFLFRPLGAFLAGHFGDRIGRRKVLMITLFGMGIATTLIGVLPTYAAAGIIAPLLLIFLRIIQGISAGGEWGGAVLMAVEHAPENRRGLFGAFPQIGVPIGLLMSSGVLAVMTMITPGEQFLQWGWRVPFLLSFILIFVGHYIRHRVAESPVFAEISARKEVASNPIGAVLKRSFSVVLLAAIVFAGNGASGYMTAGGFIQKYAT---GNMGLERGPVLWAVTGSAATWLVFTLLAGIVSDKIGRRNTYILGFIAQIVGIAALFPLVNTGDITKLFLALALLTVGLGFTYGQQSAFYTELFPASMRFSGVSVSYAIGAILGGAFSPMIAAWVIEKTGSTSGVTYYLIAMAVAGLVAICLFKDRTGIPLGPDHEAEQAVSPLIFARERQ--</t>
  </si>
  <si>
    <t>MTNR---------------------RGETRVAAATIIGTAIEWYDFFLYAAAAGLVFNKVFFASSEPAIATLLSFLTVGLSFLFRPLGAFLAGHFGDRIGRRKVLMITLFGMGIATTLIGVLPTYAAAGIIAPLLLIFLRIIQGISAGGEWGGAVLMAVEHAPENRRGLFGAFPQIGVPIGLLMSSGVLAVMTMITPGEQFLQWGWRVPFLLSFILIFVGHYIRHRVAESPVFAEISARKEVASNPIGAVLKRSFSVVLLAAIVFAGNGASGYMTAGGFIQKYAT---GNMGLERGPVLWAVTGSAATWLVFTLLAGIVSDKIGRRNTYILGFIAQIVGIAALFPLVNAGDITKLFLALALLTVGLGFTYGQQSAFYTELFPASMRFSGVSVSYAIGAILGGAFSPMIAAWVIEKTGSTSGVTYYLIAMAVAGLVAICLFKDRTGIPLGPDHEAEQAVSPLVFARERQ--</t>
  </si>
  <si>
    <t>GC_00001301</t>
  </si>
  <si>
    <t>MKLAKTLQYVGYAGTALLAVLCFINGQYVFAIIMCLVLVMFVFSPRIL----PTKIPEGEIPDPAVIKQYRIDHPGTSIQDAMTALMTKPNDKA</t>
  </si>
  <si>
    <t>MDLGKTLQYSGYVLMVVSILLAIISGNLTFILTTTLLVVCLLVSLHFLFRGIPTEIPEGEIPDPAVIKQYRIDHPGVSLQDALIALMTKPER--</t>
  </si>
  <si>
    <t>MKLAKTLQYVGYALLPVAILLAIISGEYIFAFVLFFFLVMSVLSSRIL----PTKIPEGEIPDPAVIKQYRIDHPGTSIQDAMTALMTKPENKA</t>
  </si>
  <si>
    <t>GC_00001302</t>
  </si>
  <si>
    <t>PF10099.14</t>
  </si>
  <si>
    <t>Anti-sigma-K factor rskA, C-terminal</t>
  </si>
  <si>
    <t>MTTKDQSWLPDEKLADAELADALALSTVPVTPSDSLKDTVLAAIDEIEPEGDSGAPATAGVDTVKSTDAAATDPDAAEPADVTAAKADSGGAGAGDAGGTGGGRVINLGNWRFRLSKQRIMFIAAAAAVVALLAGSGFLLPKLIFAPSTGPTNQAMSEIMQSADAQSITMSSSGVQLHLVSSTTMNKAGAMVQGTPEVRKGMGIQVWSVNQAGRINSAGVITPEEHKDVWMPFESATSKVFLTEEPVAGSDKPTGKILEEMQL</t>
  </si>
  <si>
    <t>MQSAD--------------AQSITMS-------------------------------------------------------------------------------------------------------------------------------------------------SSGVQLHLVSSTTMNKAGAMVQGTPEVKKGMGIQVWSVNQAGRINSAGVITPEEHKDVWMPFESATSKVFLTEEPVAGSDKPTGKILEEMQL</t>
  </si>
  <si>
    <t>MTTKDQSWLPDEKLADAELADALALSTVPVTPSDSLKDTVLAAINGIEPEGDSGAPDAAVTDAVTSTDAAATDPDAAEPADVTAAKADSGGAGAGEASSAGGGRVINLGNWRFRLSKQRIMFIAAAAAVVALLAGSGFLLPKLLFAP------------------------APGLPTRRCPRSCSPR---MPKASP-------------------------------------------------------------------</t>
  </si>
  <si>
    <t>GC_00001303</t>
  </si>
  <si>
    <t>MTTNNTPAIHSGIGPATATPELLTTIGWAPETQRSGTSVLIDHHFGTLTSTDGDVIVTTLADALVRYPWVQTLVFDLITPEEDEVLRRAFESQREPLGTFTWVKDNAHVELPSQSFTIMTKPQERQFVHDITVIGKNATVDFVSGAAVAPELTHATHVSVSETYIGAGATVRSIDVDRWGANMTVHSYDRTKIDENARVTSVSVAVSGLKQSVNNSHTEVAAGAAITDHTILFAPTGTRRDMTNTVSLTGPGAQAEQVARMVSDGGVIVNRSTLEAAVAEVRGFLECDGLMLQDTGQIESIPALDAKVARAQLSHEASVGMIDDDKMDYLMATGLDEDRARDLIVQGFLNLDDQQVPASVRATVDNLVTAARGAEKM</t>
  </si>
  <si>
    <t>MTK----------------------------------------------------------------------------------------------------------------------PQERQFVHDITVIGKNATVDFVSGAAVAPELTHATHVSVSETYIGAGATVRSIDVDRWGANMTVHSYDRTKIDENARVTSVSVAVSGLKQSVNNSHTEVAAGAAITDHTILFAPTGTRRDMTNTVSLTGPGAQAEQVARMVSDGGVIVNRSTLEAAVAEVRGFLECDGLMLQDTGQIESIPALDAKVARAQLSHEASVGMIDDDKMDYLMATGLDEDRARDLIVQGFLNLDDQQVPASVRATVDNLVTAARGAEKM</t>
  </si>
  <si>
    <t>MTTNNIPAIHSGIGPATATPELLTTIGWAPETQRSGTSILIDHHFGTLTSTDGDVIVTTLADALVRYPWVQTLVFDLIT------------------------------------------PKKTKY-------------------SAAP--------------------------------------------------------------------------------------------------SNPNANP--------------------------------------------------------------------------------------------------------------------------</t>
  </si>
  <si>
    <t>GC_00001304</t>
  </si>
  <si>
    <t>PF12277.13</t>
  </si>
  <si>
    <t>Protein of unknown function (DUF3618)</t>
  </si>
  <si>
    <t>MARDINDIQRDIERTRNQLASTLDQLAERGKPANLVEDAKTSAAEKLKDPKVQAIVAGVTAVVVAGIAFSISRSRKRNKELKAIKKYLEERK-</t>
  </si>
  <si>
    <t>MARNINDIQRDIDRNRRNLAQTLDEIIDRAKPTNVAGDVKTVMVAKLQDPEIQKIVAGVSAVVVGLVVLTMARSAKRRKELKELRQLLVARDS</t>
  </si>
  <si>
    <t>MARNINDIQRDIDRNRRNLAQTLDEIIDRAKPTNVAGDVKTVMVAKLQDPEIQKIVAGVGAVVVGLVVLTMARSAKRRKELKELRQLLVARDS</t>
  </si>
  <si>
    <t>GC_00001305</t>
  </si>
  <si>
    <t>PF13304.12</t>
  </si>
  <si>
    <t>AAA domain, putative AbiEii toxin, Type IV TA system</t>
  </si>
  <si>
    <t>K06926</t>
  </si>
  <si>
    <t>COG1106</t>
  </si>
  <si>
    <t>ATPase/GTPase, AAA15 family</t>
  </si>
  <si>
    <t>MLVEYQVANFGPYKQPISLNMKSTEDDSFCARIPRFESPYHMSVNPVAAIYGPNSSGKSTILDSLFLLASTIRGDKPTIWQRRCTFTLDPSMQDEPTLFKLVFMLDEKMYSYFLAIRNGCVIEEYLASLTADQEELYFERTVDGTEFGSTWDNDILLAAVAKTLSKGNTLAGRIAKILSNSEKYTEINSVYHFLERTFWVSSNSLETGIFPGFYDNDSLNTILSTLDTGVTGLDFTPLTMEEQPFDQEELDLSTSIDMQMGEFRTKNGKLYAVSHDDHNGKGNPEVKYVRFRHHGSQDHEYFLDWHQESQGTRKIIMLLPLLWIAVRSPGDLILLVDELDNSLHTQLAKALIQGFLRTCTNRTRTQLIFTTHDLLLMDRNELLRRDEIWITDKSIDGESTLIGLPEYRGVMHDEDIRTSYLEGRFGGTPQLDSFTLEK</t>
  </si>
  <si>
    <t>MLVEYQVANFGPYKQPISLNMKSTEDDSFCGRIPRFESPYHMSVNPVAAIYGPNSSGKSTIFESLSRLASTILGDKPTIWQRRCTFALDPSMQDEPTLFKLVFMLDEKMYSYFLAIRNGYVIEEYLALLTADQEKLYFERTVDGTEFGSTWDNDILLTEIAKTLSEKDTLTGRIAKILSNNEKYTEINSVYHFLERTFWVSSNSLETGIFPGF--------------------------------------------------------------------------------------------------------------------------------TIMTALTPSLAL-------------------------------------------------------------------------------------</t>
  </si>
  <si>
    <t>GC_00001306</t>
  </si>
  <si>
    <t>PF01126.25</t>
  </si>
  <si>
    <t>Heme oxygenase</t>
  </si>
  <si>
    <t>K21480</t>
  </si>
  <si>
    <t>heme oxygenase (biliverdin-producing, ferredoxin) [EC:1.14.15.20]</t>
  </si>
  <si>
    <t>COG5398</t>
  </si>
  <si>
    <t>Heme oxygenase (PDB:1DVE)</t>
  </si>
  <si>
    <t>KEGG Orthology (KO)&gt;&gt;&gt;09100 Metabolism&gt;&gt;&gt;09108 Metabolism of cofactors and vitamins&gt;&gt;&gt;00860 Porphyrin metabolism [PATH:ko00860]|Enzymes&gt;&gt;&gt;1. Oxidoreductases&gt;&gt;&gt;1.14  Acting on paired donors, with incorporation or reduction of molecular oxygen&gt;&gt;&gt;1.14.15  With reduced iron-sulfur protein as one donor, and incorporation of one atom of oxygen into the other donor&gt;&gt;&gt;1.14.15.20  heme oxygenase (biliverdin-producing, ferredoxin)</t>
  </si>
  <si>
    <t>MRYFGALPASNWGRWVDIGGGLKSTKRLICCEPCLSYDLLMTATLTAPLSQALRTSTAAAHEQAEHSTFMDELLKGNLGVEEFIVLQEQSWLFYSALEEAARAVAQDPIAADIVDPALERVPSLESDLDALHGSTDWRDNVTMLPATEAYVRRLQEIGESKDAARLIAHHYVRYLGDLSGGQVIGRMMQRHYGVSEDAVTFYHFTDIPKVKPYKDNYRAALDALPLSEEDRERLLNEAAEAFLFNLNLFNGIEKALAK</t>
  </si>
  <si>
    <t>GC_00001307</t>
  </si>
  <si>
    <t>PF06445.20</t>
  </si>
  <si>
    <t>GyrI-like small molecule binding domain</t>
  </si>
  <si>
    <t>COG0789|COG4978</t>
  </si>
  <si>
    <t>DNA-binding transcriptional regulator, MerR family (SoxR) (PDB:2VZ4)|GyrI-like small molecule binding domain (BltR2) (PDB:1BOW)</t>
  </si>
  <si>
    <t>MRMLRHYQERGLLIPAHIDQFSGYRFYTSDQLGTAHLIVQLREAGFSIDAMSDVLDAVEESSGGSARIEHILSAQRDLLAQHRAELNAQQAALDLVTTTLKGHPEMTDVIRTTLPALTIASLRHVVPGYHDEGILWQEIMPLLQEAGVSFPAGGISGATFYDPEFRDNDVDIEVWIQVTEPFTGTARLECRSVPERDVVMATLHGDYSQMPAVTQAIGAYIADHGLTTGPMFNIYRVSPAQNPDPSSWITDVCFPVTEASL</t>
  </si>
  <si>
    <t>MRMLRHYQERGLLIPARIDQFSGYRFYTSDQLGTAHLIVQLREAGFSIDAMSDVLDAVEESSGGSARIEHILSAQRDLLAQHRAELNAQQAALDLVTTTLKGHPEMTDVIRTTLPALTIVSLRHVVPSYHDEGILWQEIMP------------------------------------------------------------PAPGSWSILPRRRHLWS--------------NVLRPR---------------IPRQRYGH</t>
  </si>
  <si>
    <t>MDI-------------------------------------------------EVWIQVTEPFTGTARLECRSVPERDV------------------------------------------------------------VMA------------------------------------------------------------TLRGDYSQMPAVTQAIGAYIADHGLTTGPMFNIYRVSPAQNPDPSSWITDVCFPVTEASL</t>
  </si>
  <si>
    <t>GC_00001308</t>
  </si>
  <si>
    <t>MKITLYYCGETFDLEGGEAKALVKQLDNQEYPGLVTVKTSSGELTVNLTENTSFALHRRKSMRI----M</t>
  </si>
  <si>
    <t>MKITLYYCGETFDLEGGEAKALVKQLDNQEYPGLVTVKTSSGELTVNLTETTSFALHRRRSMRI----M</t>
  </si>
  <si>
    <t>MRATLYYCGEAFEIEGKEAKAVLKQLEEHQFPGLIMVKTYKGKLIVNLSETTDFAILQHKPVKYGVYSM</t>
  </si>
  <si>
    <t>GC_00001309</t>
  </si>
  <si>
    <t>K07098</t>
  </si>
  <si>
    <t>COG1408</t>
  </si>
  <si>
    <t>Predicted phosphohydrolase, MPP superfamily (YaeI)</t>
  </si>
  <si>
    <t>------MDTGKSGLNRALSVLGVSAGLGVGAGAAVIGHGLAELRRFTLHTVELPVLQPGTLARAGREDEGFFTVLHLSDLHMIPGQRAKQQWVQSLAECEPDLVVNTGDNLSDAHAVPEVLRALDPLLNTPGLFVFGTNDYFGPSPVNPANYLLGKKRKARGVELPWKGMRAAFVERGWRDCTHQRHEFSANGLRVAAAGVDDPHHNYDDYGSIAGAPNAQADISIGLTHSPEPRVLERFEADGYQLTLSGHTHG</t>
  </si>
  <si>
    <t>MTLDDAVPSAADRFRRIGRIAGITAITASVAAAGVTAWAVRECHQFQLRRLELPLLPPGTL-RGKRE----FRLLHISDLHMVPGQRAKQEWVAGLDQLQPDLVVNTGDNLSDLKAVPATLRALGPLMRRPGLFVFGSNDYYAPTVVNPLSYVVGKKRKASRVELPWRGMRAAFIEHGWQDATHRRLEFKVGSVRIAATGVDDPHHDLDDYGQVSGAPNAEADLRLALVHSPEPRVLAQFAADGYQLALCGHTHGGQICL------------------------------------------------PGGKTLVTNCGIDRVRAWGLHEFDGMMLHVSNGLGTSKFAPVRLFCRPSATLISLVEKPDLARE</t>
  </si>
  <si>
    <t>MTLDDAVPSAADRFRRIGRIAGITAITASVAAAGVTAWAVRECHQFQLRRLELPLLPPGTL-RGKRE----FRLLHISDLHMVPGQRAKQEWVASLDQLQPDLVVNTGDNLSDLKAVPATLRALGPLMRRPGLFVFGSNDYYAPTVVNPLSYVVGKKRKASRVELPWRGMRAAFIEHGWQDATHRRLEFKVGSVRIAATGVDDPHHDLDDYGQVSGAPNAEADLRLALAHSPEPRVLAQFAADGYQLALCGHTHGGQICL------------------------------------------------PGGKTLVTNCGIDRVRAWGLHEFDGMMLHVSNGLGTSKFAPVRLFCRPSATLISLVEKPDLARE</t>
  </si>
  <si>
    <t>GC_00001310</t>
  </si>
  <si>
    <t>K02031</t>
  </si>
  <si>
    <t>peptide/nickel transport system ATP-binding protein</t>
  </si>
  <si>
    <t>MTNPQNNSTEAVQESRSSETPLVELRDLKVSFTSSTGVVDAVRGVNLTIYPGQSVAIVGESGSGKSTMAMAIIGLLPGTGRITGGSIFFEGKEISKLSPKEMQDYRGSEIGLVPQDPMSNLNPVWKVGSQIKESLIANDLSKGKEADERVAVLLDEAGLPDAARRAKQFPHEFSGGMRQRALIAMGLAARPKLLIADEPTSALDVTVQRRILDHLDGLTTDLGTAVLFITHDLGLAAERVEHLVVMHRGRVVESGPSLQILRDPQHPYTKRLVKAAPSLASARIRAAQEEGIETDELLAKHENVETEEVIRVENLTKEFPIRGAKGDKKILRAVDEVSFTLQKGHTLALVGESGSGKSTVANMVLNLLDPTSGTVYYKGTDLSTLGSKELFQMRRKLQVVFQNPYGSLDPMYSIYRCIEEPLSVHKVGNRKSREKRVAELLDMVAMPRSTMRRYPNELSGGQRQRIAVARALALEPEVIVLDEAVSALDVLVQNQILQLLAELQDNLDLSYLFITHDLAVVRQTADDVVVMKQGKVVEQGTADQIFSGAKEVYTRDLIDSVPGLGIELGATLN</t>
  </si>
  <si>
    <t>------MSEKAMTD--NNDQPLLELKDLKISFTSSTGVVDAVRGVNLTIYPGQSVAIVGESGSGKSTTAMAVIGLLPGTGKVTGGTILFNGEDITGLSDKEMQHYRGSDIGLVPQDPMSNLNPVWSIGTQVKESLRANNVVEGSEANKRVVELLQEAGLDDAERRAKQYPHEFSGGMRQRALIGIGLAARPKLLIADEPTSALDVTVQRRILDHLEGLTHELGTAVLFITHDLGLAAERASHLVVMHRGRVVESG</t>
  </si>
  <si>
    <t>GC_00001311</t>
  </si>
  <si>
    <t>PF01195.25</t>
  </si>
  <si>
    <t>Peptidyl-tRNA hydrolase</t>
  </si>
  <si>
    <t>K01056</t>
  </si>
  <si>
    <t>peptidyl-tRNA hydrolase, PTH1 family [EC:3.1.1.29]</t>
  </si>
  <si>
    <t>COG0193</t>
  </si>
  <si>
    <t>Peptidyl-tRNA hydrolase (Pth) (PDB:1RYB) (PUBMED:11835511)</t>
  </si>
  <si>
    <t>ko01000|ko03012|ko03012</t>
  </si>
  <si>
    <t>Enzymes&gt;&gt;&gt;3. Hydrolases&gt;&gt;&gt;3.1  Acting on ester bonds&gt;&gt;&gt;3.1.1  Carboxylic-ester hydrolases&gt;&gt;&gt;3.1.1.29  peptidyl-tRNA hydrolase|Translation factors&gt;&gt;&gt;Eukaryotic type&gt;&gt;&gt;Release factors|Translation factors&gt;&gt;&gt;Prokaryotic type&gt;&gt;&gt;Release factors</t>
  </si>
  <si>
    <t>MNATHADSPWLVVGLGNPGPQYETTRHNVGFMVLDELADRTLPMPSTFSIHKRSNSHVVETRFGDKKVILAKPRSFMNLSGVPIAALIQFYKVPKENIIVVHDELDLDFDTVRLKLGGGDNGHNGLRSTTKSLGTNDYYRIRVGIGRPPGRQAPADYVLRPFSKEEFEGLPLICEHAAEGAELIINQGLELAQNRIHAL</t>
  </si>
  <si>
    <t>MNATHADSPWLVVGLGNPGPQYETTRHNVGFMVLDELADRTLPMPSTFSIHKRSNSHVVETRFGDKKVILAKPRSFMNLSGGPIAALIRFYKVPKENIIVVHDELDLDFDTVRLKLGGGDNGHNGLRSTTKSLGTNDYYRIRVGIGRPPGRQAPADYVLRPFSKEEFEGLPLICEHAAEGAELIISQGLELAQNRIHAL</t>
  </si>
  <si>
    <t>GC_00001312</t>
  </si>
  <si>
    <t>K06610</t>
  </si>
  <si>
    <t>MFS transporter, SP family, inositol transporter</t>
  </si>
  <si>
    <t>Transporters&gt;&gt;&gt;Major facilitator superfamily (MFS)&gt;&gt;&gt;Sugar transporters&gt;&gt;&gt;Sugar porter (SP) family [TC:2.A.1.1]</t>
  </si>
  <si>
    <t>MSQPAPITGWKATAAVSMSNYIDSGSIIAIATSLAFWGAAYFPNDDGSIAGILAAFSSNAFGAAIGALIGGPLCDKYGRKFIYTYDLLVYALGGIIVTFAMNLPMLFIGFVIIGLAVGASVPAGWTYIAEFAPTEQRGRHIGATQLAWSFGPFIGFGLAAALAPLGLLGSRIVFAHLVVIALVTWWIRRGLQESESWEESKGGAQAKPPSMFASFRALFSRKVNITALIFLAAIYTFWNQAASQNGIFLPTILNSMGYDTTRSDLFAMLSWAFVIISTVIFMYLVDRVSYRWHYFAGGLLAIAAWILLVFGPSDAAWVAFGYAIIWGLSAGPSAQAFYSVWSPELFATPYRSGAQGIVFFIVRMASGAISLIFPVILMKPNGLLIDGLILIGFLVAATLIGTIFAPRTQGKSLEQIEIERYGTKVTNTTATQ</t>
  </si>
  <si>
    <t>MSQPAPITGWKATAAVSMSNYIDSGSIIAIATSLAFWGAAYFPNDDGSIAGILAAFSSNAFGAAIGALIGGPLCDKYGRKFIYTYDLLVYALGGIIVTFAMNLPMLFIGFVIIGLAVGASVPAGWTYIAEFAPTEQRGRHIGATQLAWSFGP--------------------------------------------------------------FI-----------------------------GFGLAAALAPLG----------------LLGSRIVFAHLV-------------VIALVTW-----------WI--------------------------------RRGLQE----------------------------------------------------------------------------</t>
  </si>
  <si>
    <t>GC_00001313</t>
  </si>
  <si>
    <t>MNSGNATHDAKRRIRRCAVATVSVLALAFSSSPLALADPDPVDELISKMEEISRDAEAKTELVKQLEVDLEAKEKDIEVLNANVDEARARAEQSRDAVVMHQGDVNKIAQVKYRGATIDPITNVISAENPQNAIDRAAYISALERRTENTVAQLHDAARANADALNDAASAVAEAEYQAAELRKRREDLEKQQEELKARTEEIKQAVDALSPQDRQRWREKNGPADYTLAGLVGANPQGMSALEAGMTKIGSPYGWGATGPNVFDCSGLVVWSYAQQGISVPRTSQAQMSGGIPVSRDQLQPGDVVGFYPGATHVGIYAGNGMILHASDYGIPVQVVPMDSMPFYGARRY</t>
  </si>
  <si>
    <t>--------------MRAFLAALGTI-ITLSVLPIA-AQAEDVDQLIHTMDELSHQTNDKNEAVKHKEDEVKAAEDEVNRLTGVAQDTEAVARTAEESEKAFQAEVNRIAGAKYRGVAIDPMSKIFGAHNPQIAIDQTAYMATITAQTEEAVAKLVDATKVAKDARDAAAKAVEDAKQHKANLEGERDNLTREQEELKGKMKELMDKVNGLNPADRAKWVAKNGPIDYSIAGLVGANPIGMKALEIGMTKIGAPYG</t>
  </si>
  <si>
    <t>--------------MRAFLAALGTI-ITLSVLPIA-AQAEDVDQLIRTMDELSHQTNDKNEAVKHKEDEVKAAEDEVNRLTGVAQDTEAVARTAEESEKAFQAEVNRIAGAKYRGVAIDPMSKIFGAHNPQIAIDQTAYMATITAQTEEAVAKLVDATKVAKDARDAAAKAVEDAKQHKANLEGERDNLTREQEELKGKMKELMDKVNGLSPADRAKWVAKNGPIDYSIAGLVGANPIGMKALEIGMTKIGAPYG</t>
  </si>
  <si>
    <t>GC_00001314</t>
  </si>
  <si>
    <t>K15582</t>
  </si>
  <si>
    <t>oligopeptide transport system permease protein</t>
  </si>
  <si>
    <t>COG1173</t>
  </si>
  <si>
    <t>ABC-type dipeptide/oligopeptide/nickel transport system, permease component (DppC)</t>
  </si>
  <si>
    <t>MHNVDKNIGNPIKAEVRVGQEHYIAETDETGLGAVDAVADDSAPASMWAEAWRYVRKRPLFWVSSVMIVLALLMAALPGLFTSVDPRLCELSNSLADPTSGHPFGFDRQGCDIYSRTIYGARASVSVGVLTTLLVVLIGGTIGALAGYFGGFIDAILSRLTDVFFAVPLVLAAIVVMQMFKDSRTIVTVVVVLAAFGWTNIARITRGAVMSVKNEEFVTAARAVGASRTRMLLNHILPNAAAPIIVYATVALGVFIVAEATLSFLGIGLPPSVVSWGGDISNAQVSLRNQPMVLFYPAMALALTVLSFIMMGDVVRDALDPKSRKR</t>
  </si>
  <si>
    <t>-------MSNSVTP--RRGQERFIADTDETGLGAVDAVADESAPTSVWSEAWRYLRRRPLFWIAATLILIALLLALVPQWFTSVKPDACVLQESLRGPRPGHPFGFNRQGCDIYSRTVYGARASVAVGVLTTLLVVIIGTLIGSLAGYIGGFLDSVLSRITDIFFAIPLVLAAIVVMQMFKEQRTIVTVVLVLGIFGWTSIARITRGAVMSVKNDEYVIAAKALGASKSRILLQHILPNAAAPIIVYATVALGTF</t>
  </si>
  <si>
    <t>-------MSNSVTP--RRGQERFIADTDETGLGAVDAVADESAPTSVWSEAWRYLRRRPLFWIAATLILIALLLALVPQWFTSVKPGVCVLGQQLKGPEPGHPFGFDRQGCDIYSRTVYGARASVAVGVLTTLLVVIIGTLIGSLAGYIGGFLDSVLSRITDIFFAIPLVLAAIVVMQMFKEQRTIVTVVLVLGIFGWTSIARITRGAVMSVKNDEYVIAAKALGASKSRILLQHILPNAAAPIIVYATVALGTF</t>
  </si>
  <si>
    <t>GC_00001315</t>
  </si>
  <si>
    <t>PF14693.11</t>
  </si>
  <si>
    <t>Ribosomal protein TL5, C-terminal domain</t>
  </si>
  <si>
    <t>K02897</t>
  </si>
  <si>
    <t>large subunit ribosomal protein L25</t>
  </si>
  <si>
    <t>COG1825</t>
  </si>
  <si>
    <t>Ribosomal protein L25 (general stress protein Ctc) (RplY) (PDB:1B75)</t>
  </si>
  <si>
    <t>ko00001|ko03011</t>
  </si>
  <si>
    <t>KEGG Orthology (KO)&gt;&gt;&gt;09120 Genetic Information Processing&gt;&gt;&gt;09122 Translation&gt;&gt;&gt;03010 Ribosome [PATH:ko03010]|Ribosome&gt;&gt;&gt;Ribosomal proteins&gt;&gt;&gt;Bacteria&gt;&gt;&gt;Large subunit</t>
  </si>
  <si>
    <t>MSNQAIALEAAVRKEFGKGAARRARRAGQIPVVVYANEFEPLHILVDRLDFTAIIRNHGTNAVVSLDIEGEKQLAMIKSVDQNVLTFNIDHADLLAIKRGEKVEVDIPVVHTGEIASGAMLMQDAETIRVEADVMNIPEEIVLDVEGMEIGSTITAGDVQMPGGCTLVDDPEMLIINVVVPEVADVPEEGGQEDGTEDDAAEVEETSAADE</t>
  </si>
  <si>
    <t>PF01386.24</t>
  </si>
  <si>
    <t>Ribosomal L25p family</t>
  </si>
  <si>
    <t>MSNKAIDLAATPRTEFGKGAARRARRAGLIPVVVYGPGFEPKHINVERLEFTAIVRNHGLNTVVSVDIDGGKQLAMIKAVDQNVLSLEIDHADLLAIHRGEEVEVEVPVVSTGETGPGAMVIQEADTIRVTADVLSIPDEIAVPLDGREIGSQIHAGDIALPEGVTLADDAELLVFNFVA--------QSGSVTETPDTETEAEATEDSE-</t>
  </si>
  <si>
    <t>MSNKAIDLAATPRTEFGKGAARRARRAGLIPVVVYGPGFEPKHINVERLEFTAIVRNHGLNTVVSVDIDGGKQLAMIKAVDQNVLSLEIDHADLLAIHRGEEVEVEVPVVSTGETGPGAMVIQEADTIRVTADVLSIPDEIAVPLDGREIGSQIHAGDIALPEGVTLADDAELLVFNFVA--------QSGSDTETPDTEAEAEATEDSE-</t>
  </si>
  <si>
    <t>GC_00001316</t>
  </si>
  <si>
    <t>c-dur_c-durJJ1_c-mat2</t>
  </si>
  <si>
    <t>PF12840.13</t>
  </si>
  <si>
    <t>MFGVGRTMSTVGWDVMTKRYFSESAPDISIISKVLADQSRAAMCAALMNGNAWTVGELGRYVHLSRSTATEHVDKLVEAGIVHDVRQGRHRYVKLANSRTAEFIEALGALSPTPLPTPQSLHASRANSAVVQARTCYSHLAGVLGVRLCECFIDHDFITAHWQLTVQAAEFYRTWGVEHAERLSLKPCLDCTERQFHMGGALGVRICKQFFRHKWITRVKDSRAVKLTPSGKNMLTDLGVSLS</t>
  </si>
  <si>
    <t>GC_00001317</t>
  </si>
  <si>
    <t>MITSEEFLAYVAETVRDELWIDHDAYYYGDDIYIPACVSMWYGSYYEFYIRNAKVELRHSNQNALFKGWTVDPRETKPFYLSHNQVRFVTEESDFGATRNAELVFSGEEFFVSTCQYPNAAGRWQYPLPGMSTETVEQLTRFKKLVFPEDPPAPAPVAKRPAELVLHYHAVPARVFDNLCYSPTYTHDAHQLMHQTRYPSMTITHHYWVPL------------MLLG--------------------------------------------------------------------------</t>
  </si>
  <si>
    <t>MITSEEFLTYVAETVRDELWIDHHAYYFGNDIYIPACVSMWYGSYYEFYIRNAKVELRHSNQNAFFEGWTVDPRETEPFYLSHNQVRFVTEESDFGATRNAELVFSGEEFFVSTCQYPNVAGRWQYPLPGMSTETVEQVTRFKKLVFPEDPPASAPVAKRPAELVLHYHAVPARVLDNLCYSPTYTHDAHQLMHQTRYPSMAITHHYWVPLMLLGWGADPLNSMITGWCSWDTWVTVNDPKIVITIMADLPNMNLKPLQGPSTHLGVPDGWAMDTFTRLKRFYGAAAHRGDGVVIIAELRE</t>
  </si>
  <si>
    <t>GC_00001318</t>
  </si>
  <si>
    <t>MRQRLVGNSGLRVSRMGLGTRGWGADVAEEEARRILAEFLGAGGSVVETSPAYEQGRSEAMLGALV-RELPTSVQDTVIISTAAGVNPHQPLGRRVDCSRRTLLADLDRTLRALGREYIDIWNVGFWDAKTPATEVVDTVEYAVRSGKVRYAGVRGYSGWQLGLTAGISAARGSGGSALIVAQAEYNLLVRRPEEELLPAVRHMEMGFFAAAPLAQGVLTGKYRSGIPHGARAEDAHRGAEVQLYFEERNDAIVDALTTAASGLGYPPSVLATAWVRDRPGVTSAIVGPKTVEQMREYIASEDIRVPQAISEAFDDITL</t>
  </si>
  <si>
    <t>GC_00001319</t>
  </si>
  <si>
    <t>PF14262.12</t>
  </si>
  <si>
    <t>Carbohydrate-binding domain-containing protein Cthe_2159</t>
  </si>
  <si>
    <t>---------------------------------------------------------------------------------------------------------------------------------------------------------------------------------------------MGFNVSINNGTVTTRSADDGVNASFDDGLADQNATPSITINGGTVKVYADADGLDSNGDL------</t>
  </si>
  <si>
    <t>MSNRKSLTMIVAGLSTALALTACSKTVDAVTFPTASISNVAYSEQEAKQLPSDGTITEAGVYKVSGNVTTPITVNAPKDASVVLRLDGATINSTVSIKQVGDAVLYVAGDSSISSTDGHGVDSKSNLTIDGPGKLTVTSKDKDAIHSDENLTVTGGTLEVSAGDDGLKAVKNLTIDGGTMNVSKSNEALEALNVTINNGTVTTHSTDDGVNASLDDGLADQNATPSITINGGTVKVYADADGLDSNGNLTITGGTTMVVGPTSMDNGSFDADGMFTITGGTVVGIGSGGMPQTPTAGQGWIQQNVTVKAQDQVKVTDSNDVEVVSLTAEQAATSLFVSTPQITEGQTYKVAGGSATTEVVAGENAQGGFGPGPGGVGGPGSGGSNDFGVVPPENGDLRAPALTGSRRISRRMVCPHSPCKGGGVAVGNRLPRPLVYAPRGRGFLL</t>
  </si>
  <si>
    <t>MSNRKSLTMIVAGLSTALALTACSKTVDAATFPTASISNVAYSEQEAKQLPSDGTITEAGVYKVSGNITTPITVNAPKDAAVVLRLDGATINSTVSIKQAGDVVLYVAGDSSISSTDGHGVDSKSNLTIDGSGKLTVTSKDKDAIHSDENLTVTGGTLEISAGDDGLKAVKNLTIDGGTINVSKSNEALEALNVTINNGTVTTHSTDDGMNASLDDGLADQNATPSITINGGTVKVYADADGLDSNGNLTITGGTTTVIGPTTVDNGSFDADGTFTITGGTVVGIGSGGMPQTPTAGQGWVQQNVTVKAQDRVKVTDSNDAEVVSLMAEQAATSLFVSMPQITEGQTYKVTSGSATTEVVAGENAQGGFGPGPGGVGGPGAGGSSDLGVVPPENGDLRAPALTGSSRRGE----TNQPTDGSSS---------------------</t>
  </si>
  <si>
    <t>GC_00001320</t>
  </si>
  <si>
    <t>COG3503</t>
  </si>
  <si>
    <t>Uncharacterized membrane protein, DUF1624 family</t>
  </si>
  <si>
    <t>--MNKPSRIVGLDIARSLAIIGMIIVHMASLLWSTKVVLSGLPSSLFAIIAGATMMIIGRNYSSTTFLRLITRGALIILIGLALLPVGGEVQVVLAVMGLVMMLVSWMPALGTWWRVGFFIAATITATIKYAPMTLPQIYPLLAWIAYFIGGMLLYDVYLRGRLQGTSASETSANTRLSWIVTAVSVVITAVGMYFRFDPGIAGWLRFTGHTGVFGEIILSVAVAAIVLHLCLFVGDRFPTAVYPFAAMGTMSLT</t>
  </si>
  <si>
    <t>MSTSTPSRIVGLDIARSLAIIGMIIIHMASLLWSTKVILSGLPSSLFAIIAGITLMIIGRNYTLTTFMRLVARGCIIILLGLALLPVGGEIQIVLVAMGITMVIVSWVPPLNFWWKVALFLIATVAATVLYAPQTLPQIYPLVAWIAYFIGGMLLYEIYL-------SNTHHRANI-MHWVVTGVSVVIAVVGLYFRFDPNVPGWLRFTGHTGVAGEIILSVAVAAVVLHVCLIVGKRIPTLAYPFAALGSMSLTIYILHVLTAYYWQQNVALHSTMWALGFVIFFFIIASLWKKFVGRGPFELLVSKAIKVIVPAEGKKA</t>
  </si>
  <si>
    <t>PF01757.29</t>
  </si>
  <si>
    <t>Acyltransferase domain</t>
  </si>
  <si>
    <t>MSTSTPSRIVGLDIARSLAIIGMIIIHMASLLWSTKVILSGLPSSLFAIIAGITLMIIGRNYTLTTFMRLVARGCIIILLGLALLPVGGEIQIVLVAMGITMVIVSWVPPLNFWWKVALFLIAIVAATVLYAPQTLPQIYPLVAWIAYFIGGMLLYEIYL-------SNTHYRANI-MHWVVTGVSLIIAAVGLYFRFDPNVPGWLRFTGHTGVAGEIILSVAVAAVVLHVCLIVGKRIPTLAYPFAALGSMSLTIYILHVLTAYYWQQNVALHSTMWALGFVIFFFIIASLWKKFVGRGPFELLVSKAIKVIVPAEGKKA</t>
  </si>
  <si>
    <t>GC_00001321</t>
  </si>
  <si>
    <t>MTDDSNDAISEALKQLKQEDMIKDSLANGRGAWTVVYDSWRDEQGRFYGGRHAAFAQPEQREKISSYDAWEFSKEDGKPGFNFKSTHQDGEKVVIYHRNCEAP-FEPLIIKQEFHEVVPDSLLLSEEFRLLMNLWQDPQSGNFYMISDDGSKELVVRFIDEKVEIRTPILRRYQAARQLDLVLFTDSTVCTQCFVPIKTLNSLSFQKIIDDNLGRISMDVYPSTSQDFENHSCLLVKCILSPPPREKCGIWPFKSEQ-EYPEFIIGEDEDGTPIKWTCNPNEL--------DRPLRLIPVFFKKDVLQRYYDDSDLYSVGSSYLQCAQKWGVDIDNNNVSFVSVFLGDIGRRIPSSHWQHWLSHNISPIYSMSRPNMLRTFCNIPVEDDGPEYQFKRKYSELQKVWEQAWGWRLHREPAKQDAGAIKRLRVPLNETEAEFKQQLLNLALVLVDLLNEKSIGKECPEAKNETGG---------------------------------------------------GISKLECFL------------------------KH</t>
  </si>
  <si>
    <t>---MNDDSANEALELLKQEDMIYDSFVNDEDGWTVVYDEWYN-QDHSNGGRYAYFAQPNQCEKIISHDEWDLRCDEGLPGFVVN--RQNGEDILTYRRNNKAPEFEPLIIVQDFHGVEPNSLLLSEEFRLLMNLWQDPESGDFYMISDDDSKELTVRFTAEKVEIRTSILCCYQAARQLALVLVTDSVVYTQFRVPAESLQNLSFIKKTKDGLNRVSLSVVNDKTPGNGSCSRVLIKRILPPPPQEECGIWPFEN</t>
  </si>
  <si>
    <t>GC_00001322</t>
  </si>
  <si>
    <t>PF09594.16</t>
  </si>
  <si>
    <t>Glycosyltransferase family 87</t>
  </si>
  <si>
    <t>K16647</t>
  </si>
  <si>
    <t>arabinofuranan 3-O-arabinosyltransferase [EC:2.4.2.47]</t>
  </si>
  <si>
    <t>KEGG Orthology (KO)&gt;&gt;&gt;09100 Metabolism&gt;&gt;&gt;09107 Glycan biosynthesis and metabolism&gt;&gt;&gt;00571 Lipoarabinomannan (LAM) biosynthesis [PATH:ko00571]|KEGG Orthology (KO)&gt;&gt;&gt;09100 Metabolism&gt;&gt;&gt;09107 Glycan biosynthesis and metabolism&gt;&gt;&gt;00572 Arabinogalactan biosynthesis - Mycobacterium [PATH:ko00572]|Enzymes&gt;&gt;&gt;2. Transferases&gt;&gt;&gt;2.4  Glycosyltransferases&gt;&gt;&gt;2.4.2  Pentosyltransferases&gt;&gt;&gt;2.4.2.47  arabinofuranan 3-O-arabinosyltransferase|Glycosyltransferases&gt;&gt;&gt;Polysaccharide&gt;&gt;&gt;Bacterial polysaccharide (excluding LPS)</t>
  </si>
  <si>
    <t>MEWPSGEATVCKTVHTGSIPVSTSQNRFTGFLARLAQRESASLTRKRSLVQSQYRAPESRTDSLNKSSCGCSAVGSASPCQGEGREFESRHPLHSNLPLGAGFFISSSTPPPPSRAPAPSNPSRSLQLAFVNTSTTDHSRLAPSSKLQRLVTTTWVAGPTHPARRSHSTQQDTRAERSVHTPDQQALRTLALAALWPVALALFVHRVFILGVNGDLTDDFSTVYYALRRFHEGVEIYNENYSFVDPHYLYNPGATLLLSPLALTTHIGLARVVFIVVNALVIVVALALLTRLAGASLRGPVFPGVIAAAFLTESVRNTLIFSNINGLLLLALSLFLYLLLHERVLLAGVVLGLAILVKPLFLPLIFLPLLKLQWRAVAGAIAVPALLNVVAWPFVPGASDYIFRTMPYLSLVRDYANSSLPGMAVYFGMPEWQQKVWFVVFAVVVVVAIIFVARIRYVDPFTWATTTSAILLCGVFFLSSLGQMYYSMLLFPVFFTALRTMSVVRNPVVWAAAYCFYTTDEFVPSRFPSQGEWLTALLPTVGWAAFLLACAVIALSWWYDERRSASTAA</t>
  </si>
  <si>
    <t>-------------------------------------MNSTLNTRLRTLWVS---------------------------------------------------------PEPAATEPFPS----------------------------RVRTTAW--------------------------------DHIGNSILWPLAMILVAHRLIILSINGDVTDDFSTVYYALRRFIEGVPVYNENYHHVDPHYLYSPGAT</t>
  </si>
  <si>
    <t>-------------------------------------MNSTLNTRLRTLWVS---------------------------------------------------------PEPAATEPFPS----------------------------RVRTTAW--------------------------------DRIGNSILWPLAMILVAHRLIILSINGDVTDDFSTVYYALRRFIEGVPVYNENYHHVDPHYLYSPGAT</t>
  </si>
  <si>
    <t>GC_00001323</t>
  </si>
  <si>
    <t>PF13500.12</t>
  </si>
  <si>
    <t>K01935</t>
  </si>
  <si>
    <t>dethiobiotin synthetase [EC:6.3.3.3]</t>
  </si>
  <si>
    <t>COG0132</t>
  </si>
  <si>
    <t>Dethiobiotin synthetase (BioD) (PDB:1DTS)</t>
  </si>
  <si>
    <t>KEGG Orthology (KO)&gt;&gt;&gt;09100 Metabolism&gt;&gt;&gt;09108 Metabolism of cofactors and vitamins&gt;&gt;&gt;00780 Biotin metabolism [PATH:ko00780]|Enzymes&gt;&gt;&gt;6. Ligases&gt;&gt;&gt;6.3  Forming carbon-nitrogen bonds&gt;&gt;&gt;6.3.3  Cyclo-ligases&gt;&gt;&gt;6.3.3.3  dethiobiotin synthase</t>
  </si>
  <si>
    <t>MAIVVITGTNTDVGKTFATAQLTRQLLGEGKRVAVVKPAQTGEPVGRGDLATVREVLANDPALAQALAQQQVEFFEYARYPEPLAPNLAARRAGMEQLDLAATADKLRALDTEYDIVLVEGAGGLLVRIADNWTIADLARDLGAPMLIVTSTGLGSLNLAELTVEAAQRRGITVLGLLGGSVPADPEIATSLNLEEFPVVAGVPLLGCYPKGAQGNCDVN----VAPLLQLG----</t>
  </si>
  <si>
    <t>GC_00001324</t>
  </si>
  <si>
    <t>MRSFTALPLALAVVVAAAPAAVAMPVVPDNLPIFPQVNESPQIRVTDEQGRSIEGKTMHRGDVLLVHGSGFDPNANRGGFVLPVPPGVPNGLFVLYGAFPEHWKPSEGVPGSVRTHPHDR-MAWVMPAGTLDSIPAGSVDMRRSIARQAQAMNADGTFTARVVVDPPANTTGDKWGMYVYPGAGSVDARQEFFVPISYSPDAGPNTPAAATPDLLIDAAAVQQFAKNTRGGVNPTNGAAKQGADRLSFSRDKASETADGVRHYRGTVTVSARFNMVEVAVADPWLEPRDDGTWAVTALVSTAHNVGKDSMQRREIGRIPKDAQGPIALKAGTVQLGTVEVAR</t>
  </si>
  <si>
    <t>MRSFTALPLALAVVVAAAPAAVAMPVVPDNLPIFPQVNESPQIRVTDEQGRSIEGKTMHRGDVLLVHGSGFDPNANRGGFVLPVPPGVPNGLFVLYGAFPEHWKPSEGVPGSVRTHPHDR-MAWVMPAGTLDSIPAGSVDMRRSIARQAQAMNADGTFTARVVVDPPANTTGDKWGIYVYPGAGSVDARQEFFVPISYSPDAGPNTPAAATPDLLIDAAAVQQFAKNTRGGVNPTNGAAKQGADRLSFSRDKASETADGVRHYRGTVTVSARFNMVEVAVADPWLEPRDDGTWAMTALVSTAHNVGKDSMQRREIGRIPKDAQGPIALKAGTVQLGTVEVAR</t>
  </si>
  <si>
    <t>GC_00001325</t>
  </si>
  <si>
    <t>K02008</t>
  </si>
  <si>
    <t>MNPLEIAASTSPWAQVNVGEKALLILGLLVLAIALPPLPALPIIGVIILVAAARAQVPWKLYGALVAAPATFIILGIFPLVATITTHGIERIDGGLTDAATVLGRSIVGMSATMLFALTTPMSEQLLWFRRIHVPESIVHVTMLTYRMSSQLVETSRTMWQAQAQRLGHTNKRRWLRSSAHQIAALFVIAFARARAMQEGLELRAD-AACYRTLTVARPVRTRNIVGSIIILALVMVIGLKGAQLWG</t>
  </si>
  <si>
    <t>MNALERAAATSRWATHNVGEKALLLIGLLFCAISLPPIPALPSIATVLLVAAWRAGVPWRLYSALVAAPASFVALGLGPLIFAITPQGIVLIDAGPITAATVLARCIVGMMATMLFALTTPMAELFGWMHSVRFPTSTVYVTALTYRMISTLIVTSRSMWEAQAQRLGHSSMSRWIRSSAGLASSLFVVAFTRARRLGEGVELRGDPATMYNTLRVIRPVRWWYAGGYVLLLSAIIASSIVL-----</t>
  </si>
  <si>
    <t>MNALERAAATSRWATHNVGEKALLLIGLLFCAISLPPIPALPSIATVLLVAAWRAGVPWRLYSALVAAPASFVALGLGPLIFAITPQGIVLIDAGPITAATVLARCIVGMMATMLFALTTPMAELFGWMHSVRFPTSTVYVTALTYRMISTLIVTSRSMWEAQAQRLGHSSMSRWIRSSAGLASSLFVVAFSRARRLGEGVELRGDPATMYNTLRVIRPVRWWYAGGYVLLLSAIIASSIVL-----</t>
  </si>
  <si>
    <t>GC_00001326</t>
  </si>
  <si>
    <t>K10834</t>
  </si>
  <si>
    <t>heme transport system ATP-binding protein [EC:7.6.2.5]</t>
  </si>
  <si>
    <t>COG4559</t>
  </si>
  <si>
    <t>ABC-type hemin transport system, ATPase component (PDB:4G1U)</t>
  </si>
  <si>
    <t>ko01000|ko02000</t>
  </si>
  <si>
    <t>Enzymes&gt;&gt;&gt;7. Translocases&gt;&gt;&gt;7.6  Catalysing the translocation of other compounds&gt;&gt;&gt;7.6.2  Linked to the hydrolysis of a nucleoside triphosphate&gt;&gt;&gt;7.6.2.5  ABC-type heme transporter|Transporters&gt;&gt;&gt;ABC transporters, prokaryotic type&gt;&gt;&gt;Metallic cation, iron-siderophore and vitamin B12 transporters&gt;&gt;&gt;Heme transporter</t>
  </si>
  <si>
    <t>MATRLNTGVQARSVGVSIGDKELLRDVTMEAKPGTVTGLIGPNGAGKSTLLAALSGDL-SYTGEVDLCGLSPDSATALDMAQVRSVMLQDVGVSFAFLVRDVVSMGRRPWSRTESADNDDAIIDAAMAATEVGHLAHRDVMTLSGGERARVAFARVIAQQTPIVMLDEPTAALDIGHQEQAMGLVRAMAARGAAVIVVLHDLNAAATYCDHIVCLADGTVAASGTVEEVYTSETLSRVYGWDIDVVHLPDACPADQPRIHVAPRRGQIAA------DDFHGIGTHTF-</t>
  </si>
  <si>
    <t>GC_00001327</t>
  </si>
  <si>
    <t>PF14041.11</t>
  </si>
  <si>
    <t>LppP/LprE lipoprotein</t>
  </si>
  <si>
    <t>MDIAKLRTIALLMLTAFLVVSCSSAGKNDDPDTTTSASVAPQCPKQKLDLAETAFGLWLQGRKIPQQEAGLAWDFEVLDNHFDPCAKLSWVTLRGVSQTVGEEQQSAWDDATQTVVFFHYDKLITDVHQLVAPQIGKIKVEPDTITVEFAEFSPNYPREWHGDWEAITYKLKGDKLEQKTDPILDIRALDLDFGKNPPPSSHSVISPYGNVHQKPWDYEVKSGVLARVPMDDIQILCDIAHKPNEIHCQNQQESTWPLIAPPNDDAGADRGNGDTNHAHIIFGTPNQFYTSFSFPSNTTAGELIADEAVTKVGQYLIDTRGDNVKISNNAFTVTLASGVAVAEQKPLVKLDTSRFPNNLAPWE</t>
  </si>
  <si>
    <t>MDIAKLRTIALLMLTAFLVVSCSSAGKNDDPDTTTSASAAPQCPKQKLDLAETAFGLWLQGRKIPQQEAGLAWDFEVLDNHFDPCAKLSWVTLRGVSQTV---------------------------------------------------------------------------------------------------------------------------------------------------------------------------GGRAA---VCLG--------------------------------------------------------------------------------</t>
  </si>
  <si>
    <t>GC_00001328</t>
  </si>
  <si>
    <t>MGSNTVHLVAVDAKPGGHPTAMSDWKTTMKLVEFLDKDGAIDDKGVSKLVSGVGEARELATQLGCEELLPFATSAIRSATNADDVLDVVEKETGVRLEILSGEDEARLTFLAVRRWYGWSAGRITNLDIGGGSLELSTGTDENPDAAFSLDLGAARLTHNWFDTDPPERKKVNILRDYIDAELVEPARAMRNCGRADLAVGTSKTFRTLARLTGAAPSSAGPRVTRTLTAPGLRQLIAFISRMTAADRAELEGVSAVRSHQIVAGALVAEAAMRALGLEQLQICPWALREGVILRRIDTAAMAEMTELAGTGVALDTQVQGSKEGRKK---</t>
  </si>
  <si>
    <t>MGSNTVHLVAVDARRGGPPTPMSDWKTNLKLVEYLDEDGAITDKGIKKLTDNVAEAAALADQLGCDELTPFATSAVRSATNAEQILEHVHEKTGVRLTILSGEDEARITFLAVRRWYGWSAGRIINLDIGGGSLEMSTGVNEEPDCAFSLNLGAGRLTHNWFHTDPPERKKINLLRDYIDAELVEPTRTMRNYGSARLAVGTSKTFRTLARLTGAAPSSAGLHITRELTAPGLRQLIAFISRMTAVDRAELEGVSPSRSQQIVAGALVAEAAMRALNINKLEICPWALREGIILRRIEQ----------GDGPV-------RKVGRHKDNE</t>
  </si>
  <si>
    <t>MGSNTVHLVAVDARRGGPPTPMSDWKTNLKLVEYLDEDGAITDKGIKKLTDNVAEAAALADQLGCDELTPFATSAVRSATNAEQILEHVHEKTGVRLTILSGEDEARITFLAARRWYGWSAGRIINLDIGGGSLEMSTGVNEEPDCAFSLNLGAGRLTHNWFHTDPPERKKINLLRDYIDAELVEPTRTMRNYGSARLAVGTSKTFRTLARLTGAAPSSAGLHITRELTAPGLRQLIAFISRMTAVDRAELEGVSPSRSQQIVAGALVAEAAMRALNINKLEICPWALREGIILRRIEQ----------GDGPV-------RKVGRHKDNE</t>
  </si>
  <si>
    <t>GC_00001329</t>
  </si>
  <si>
    <t>PF01809.23</t>
  </si>
  <si>
    <t>Putative membrane protein insertion efficiency factor</t>
  </si>
  <si>
    <t>K08998</t>
  </si>
  <si>
    <t>COG0759</t>
  </si>
  <si>
    <t>Membrane-anchored protein YidD, putatitve component of membrane protein insertase Oxa1/YidC/SpoIIIJ (YidD)</t>
  </si>
  <si>
    <t>---------------MLSAVLMKAVRGYQKYLSPLKMVSTCRFEPTCSNYALEALESRGAIVGLYLTAVRIVKCGPWHPGGYDPVPQKHL-----</t>
  </si>
  <si>
    <t>MCSEHSQKSGSVNISPAARLLIAAGHFYQHYLSGLKGGPSCRFEPTCSSYAITAVRVHGALKGIVLALVRLSKCGPWHPGGFDPVPQTTLYQFEE</t>
  </si>
  <si>
    <t>MCSEHSQKSVSVNVSPAARLLIAAGHFYQHYLSGLKGGPSCRFEPTCSSYAITAVRVHGALKGIVLALVRLSKCGPWHPGGFDPVPQTTLYQFEE</t>
  </si>
  <si>
    <t>GC_00001330</t>
  </si>
  <si>
    <t>COG1506</t>
  </si>
  <si>
    <t>Dipeptidyl aminopeptidase/acylaminoacyl peptidase (DAP2) (PDB:2JBW)</t>
  </si>
  <si>
    <t>-MAATIDYPDGT------SIEPKDSEQHPKLWAIFSHCFTGSRFTPAAARVCKYLAAQGIACLRFDYPGLGQSEGDFEKTSFSENVADLKAVSDWIAENYHVRPQLLIGHSLGGAAALKAAPTLPGLKAVATIGAPFDPAHAVLHFADKISEVDENGAVTVTLGGRDIVISRHYLEDLAEINPEAYLHKVKVPLMILHSPIDQTVGIDNAQNIFLSTRYPKSLVALDRTDHLCTRTGTAQYAASVIHTWALRYIE</t>
  </si>
  <si>
    <t>MHSMSVQLPSSAGHTMAGTIDMPDTE--PVAYALFAHCFTGSRFTPAAARVSKTLAEQSIACLRFDFPGLGQSTGDFHETCFSENVADIISAHQWLADNYRT-PQLLIGHSLGGAAALKAATSIKDLKAVATIGAPFDPAHAVLHFADRISEVDATGAVTLTLGGRDITISREFLEDLAETNPESYLPRLRKPLLILHSPIDQTVGIDNAQNIYRTTRYPKSLVTLNKADHLLTKPGTAAAAARMIATWSQQYLIPDTAPTAADVIPEGVAISRTTKAGRFTDVVRTGTHTLYTDRDKAHGGRNLGVAPTSLILTALAAATSQAIRVAARESHITALDDVSVTVSRIVTESATIHLRREIALIGDQLTDTDRMELLAAANDNEIQAMLAHGIIIEDVQPA</t>
  </si>
  <si>
    <t>MHSMSVQLPSSAGHTMAGTIDMPDTE--PVAYALFAHCFTGSRFTPAAARVSKTLAEQSIACLRFDFPGLGQSTGDFHETCFSENVADIISAHQWLADNYRT-PQLLIGHSLGGAAALKAATSIKDLKAVATIGAPFDPAHAVLHFADRISEVDATGAVTLTLGGRDITISREFLEDLAETNPESYLPRLRRPLLILHSPIDQTVGIDNAQNIYRTTRYPKSLVTLNKADHLLTKPGTAAAAARMIATWSQQYLIPDTAPTAADVIPEGVAISRTTKAGRFTDVVRTGTHTLYTDRDKAHGGRNLGVAPTSLILTALAAATSQAIRVAANESRITTLDDVSVTVSRIVTESATIHLRREIALIGDQLTDTDRMELLAAANDNEIQAMLAHGIIIEDVQPA</t>
  </si>
  <si>
    <t>GC_00001331</t>
  </si>
  <si>
    <t>K14162</t>
  </si>
  <si>
    <t>error-prone DNA polymerase [EC:2.7.7.7]</t>
  </si>
  <si>
    <t>Enzymes&gt;&gt;&gt;2. Transferases&gt;&gt;&gt;2.7  Transferring phosphorus-containing groups&gt;&gt;&gt;2.7.7  Nucleotidyltransferases&gt;&gt;&gt;2.7.7.7  DNA-directed DNA polymerase|DNA repair and recombination proteins&gt;&gt;&gt;Prokaryotic type&gt;&gt;&gt;TLS (translesion DNA synthesis) factors&gt;&gt;&gt;Other SOS response factors</t>
  </si>
  <si>
    <t>MCEKIARLFYFRYYVRMSTFDPGYGWNGAGFLGPADSKGSPLPWSSLSSLLDSG------TVGTLKPARNVLSLKEKGASRIAEECEGGIEQHGTAAQSA-VPFAELHASSNYSFLIGASSPADMVRAAQASNLSALALLERDGLYSAVQCAEAAAQTSVGTIFGAELTLSPSIILPVVVTGSEGYRRLSRTISDAALAAGSKGQRC-YPSVEELADIAQGHWIVLVDASHDEELITRILAAFGHDNVFAELPATGQADDYDHHVRLRAT-----GARCIISTRPRAATKGDARVAAAKQALHNKQHLGAAQGQLHPLGATWIKSGASI---LRRYPDCADAVAATIEVAERCTFELDLATAHLPPFPVPEGTTEISWLRQLCEKGWRR---RYGGAPADVARAAWLQAVHELDVIEQLGFPGYFLIVHDLTEFARRNTILCQGRGSAANSVVCFCLGITNVEPIANKLLFERFLSAERDGPPDIDIDFESGRREEVIQYVYQRYGRNNAAQVANVITYRTKGAIRDAARALGYPQGVCDAWASRQAASQPPERVLELAQQLKSSPRHLGIHSGGMVICDRPIAEIVPVEWARKKGRSVIQWDKDDCAAAGLVKFDLLGLGMLEALHHAIDLVQEQHNRTIELWQIDCQDPKVYEMLSRADAVGVFQVESRAQLNTLPRLKPRTFFDLVVEVALIRPGPIQGGSVHPYIRRRNGLEPVTYDHPCLKPALEKTLGVPLFQEQLMQIAKDAAGFSGAEADSLRRAMGSKRSPERMNALKQRFFEGLKTAQGIEGATAEVLWNKMVAFASYGFPESHSQSFASLVFYSAWFKLYYPAEFCVALLRAQPMGFYSPQSLISDARRHGVKVLPVCVQASADQARVENGAIRLGLGSIKGVGSRAAQRIEGAAQDGPFSSIADVASRAGLSVAQAESLARAGAFACFGLTRRQALWEAGVAATHNPGMLPGIDIIHAPALPGMSELELLSADIASTGVTPDKQPMELLREALDARGVISADNLMAVEDGTRIWVAGVVTHRQRPRTAGGVTFLGMEDETGLINVVLSPGVWRRYAHLAGSVKTLMVRGIVRNASGAVSIDADALAPLH-AESLSRGSRDFR</t>
  </si>
  <si>
    <t>-----------------------MEWDSAG----RGFNGTKLRWSQLEQILSGSAPSADDAASVHSPAREAPEMDTDPQPRPHLSLVRDTDMPAAPPETTNIPFAELHAYSNYHFLNGASEAEDMVRQAQRLGLSGLALIERDGFYGAMRFAEAAAEEKLSTIFGAELSTDNG-VLTVLCRGPEGYRRLSRVITAAHMQQGNHNRQPRYPDFTELARVADNHWYVLLNAALANN-AEDIVTAFGANNVIAECHVG</t>
  </si>
  <si>
    <t>-----------------------MEWDSAG----RGFNGTKLRWSQLEQILSGSAPSADDAASVHSPAREAPEMDTDPQPRPHLSLVRDTDMPAAPPETTNIPFAELHAYSNYHFLNGASEAEDMVRQAQRLGLSGLALIERDGFYGAMRFAEAAAEEKLSTIFGAELSTDNG-VLTVLCRGPEGYRRLSRVITAAHMQQGNHNRQPRYPDFTELARAADNHWYVLLNAALANN-AEDIVTAFGANNVIAECHVG</t>
  </si>
  <si>
    <t>GC_00001332</t>
  </si>
  <si>
    <t>MRSFLLVSPRHGQTIAAAEHRDFLTAAGLEPEELDQVMIDTAQAELPDLSGYDGIFVGGSPFNISSPEYGEEQLHVHELLAELIDSKTPVMFVCFGNGLIAHLDGGAVGHTHPESAGPTTVEITPLGALDPLLRDIPQTFTALTGHTENVTVVGAHSVVLATGETCPVQMVRANDTTWACQFHADMDAIAMKNRMDFYKDYGYFSPEAYDSIVSSLPEIDTTHANQILRNFVRYCTT--------------------------</t>
  </si>
  <si>
    <t>MVSLLLVSPRHGADVAAAEYQDFLHATGLTPQELTHRMLDSETASIGPLSGFDGVIVGGSPFNVTTAHYSTEQQHVHAQLATLIDAPIPVMFICFGASLVAHLKGGKVGRTHPEESSASIVELTPEAIADPLMASLPTRFEVLTGHTENVVALPSSATLLATGPNCPIQLYRANDTTWASQFHAEMDAAALETRMRFYFDYGYFSPEDFDSIVASIKTVDTRYSHQILRNFVAHCEELGRITSPRTDSPDHANTPTPAAIPAP</t>
  </si>
  <si>
    <t>MVSLLLVSPRHGADVAAAEYQDFLHATGLTPQELTHRMLDSETASIGPLSGFDGVIVGGSPFNVTTAHYSTEQQHVHAQLATLIDAPIPVMFICFGASLVAHLKGGKVGRTHPEESSASIVELTPEAIADPLMASLPTRFEVLTGHTENVVALPSSATLLATGPNCPIQLYRANDTTWASQFHAEMDAAALETRMRFYFDYGYFSPEDFDSIVASIKTVDTRYSHQILRNFVAHCEELGRITSPRTDSPDHAN--TPAAIPAP</t>
  </si>
  <si>
    <t>GC_00001333</t>
  </si>
  <si>
    <t>PF19877.4</t>
  </si>
  <si>
    <t>Family of unknown function (DUF6350)</t>
  </si>
  <si>
    <t>K01992</t>
  </si>
  <si>
    <t>ABC-2 type transport system permease protein</t>
  </si>
  <si>
    <t>MSKKSSPGAGPTRRPRRTGSRVDAAGVGLATRSVGSTRSARSTRFARPARPSSRPNSRSDSGVRKTTTRHVEPEIEPAIPTLRTRIRTYLPVALLPNGVAVAFLIALGIAGIMLVNAPMATLPAVVAQSWLALNAAPIIIQGHHFGIMPLLLTAIIVALVAHRVRRAVKDRVSIADLGVITMVVLVVPSLLTLIATAMLYDAAKVFPVTPPDIAMALGKTLLVHLIALVLGMGVRLWKALAKRLNIAESLVDQAISSLWLVGYTLVGAVLVGIGSLIVHAQLTGDIMNTYTTWGKVAVVAVSLGYLPNAAIATLAVTAGSEVAIGAGLISVFGVNLVPLPPLPMFAAVPLQADTMMALLLAVPVCATVLALMKRVPRLIDVPGLVVFVALDILVLTTLTYGELGIYGEVGPRILLTTGLMACWVTVVGLIIAIVGNWVQRRLVAAAAAAEREAELFDEFSALAISESELEPQ---------------------------------------------------AESAEPE------AEEAHEEAESDGEADAGLEDVDPE-----DTDSEDTTPRTQNRKPQRMQKK-</t>
  </si>
  <si>
    <t>MSKKSSPGAGPTRRPRRTGSRVDAAGVGLATRSVGSTRSARSTRFARPARPSSRPNSRSDSGVRKTTTRHVEPEIEPAIPTLRTRIRTYLPVALLPNGVAVAFLIALGIAGIMLVNAPMATLPAVVAQSWLALNAAPIIIQGHHFGIMPLLLTAIIVALVAHRVRRAVKDRVSIADLGVITMVVLVVPSLLTLIATAMLYDAAKVFPVTPPDIAMALGKTLLVHLIALVLGMGVRLWKALAKRFNIAESLVDQAVSSLWLVGYTLVGAVLVGIGSLIVHAQLTSDIMNTYTTWGKVAVVAVSLGYLPNAAIATLAVTAGSEVAIGVGLISVFGVNLVPLPPLPMFAAVPLQADTMMALLLAVPVCTTVLALMKRVPRLIDVPGLVVFVALDILVLTTLTYGELGIYGEVGPRILLTTGLMACWVTVVGLITAIVGNWVQRRLVAAAAAAEREAELFDEFSALAISESELEPQAAESAEPEAEEAHEEAESDGDAAADSDGEADAGLEDVDPEDTDSEDTTPEDAEEVKPDGGAVAASKGTDEDSWPDGASTAVKDAAGPEISAEIETDGESDTDVAAAGEVEPGGKNH</t>
  </si>
  <si>
    <t>GC_00001334</t>
  </si>
  <si>
    <t>PF09424.15</t>
  </si>
  <si>
    <t>Yqey-like protein</t>
  </si>
  <si>
    <t>K09117</t>
  </si>
  <si>
    <t>COG1610</t>
  </si>
  <si>
    <t>Uncharacterized conserved protein YqeY, may have tRNA amino acid amidase activity (YqeY) (PDB:1NG6)</t>
  </si>
  <si>
    <t>MSKIKNNLQADIIESMKNGDKVRTGTLRMLLAAVIVEETSGSKHDINEEQFLKLVAREAKKRHESAQIYTDAGRQELADNELAEAKVLEEFLPAQLDDAELRDVINQAIAAVEADTGAAPTMKQMGAVMKQAQQLVAGRADGKRVSTAVRELLQ</t>
  </si>
  <si>
    <t>MSNLQTQIRDDMKTAMKAHDKQRTGTLRMFLAALTAEETSGVRHKLDDDEVLKVLAREIKKRKESAQVYADAGRQELADQELAEVAVLEEYQPTQLTDDEVTALVQAAITDVAA--GGDISMKLMGPVMQQVTKTAAGRADGKRLSAAVRAALQ</t>
  </si>
  <si>
    <t>MSNLQTQIRDDMKTAMKAHDKQRTGTLRMFLAALTAEETSGARHKLDDDEVLKVLAREIKKRKESAQVYADAGRQELADQELAEVAVLEEYQPTQLTDDEVTALVQAAITDVAA--GGDISMKLMGPVMQQVTKTAAGRADGKRLSAAVRAALQ</t>
  </si>
  <si>
    <t>GC_00001335</t>
  </si>
  <si>
    <t>PF08212.18</t>
  </si>
  <si>
    <t>Lipocalin-like domain</t>
  </si>
  <si>
    <t>K03098</t>
  </si>
  <si>
    <t>apolipoprotein D and lipocalin family protein</t>
  </si>
  <si>
    <t>COG3040</t>
  </si>
  <si>
    <t>Bacterial lipocalin Blc (Blc) (PDB:1QWD)</t>
  </si>
  <si>
    <t>Exosome&gt;&gt;&gt;Exosomal proteins&gt;&gt;&gt;Exosomal proteins of other cancer cells</t>
  </si>
  <si>
    <t>MRKLVSLIAAVVVSVGALTPVAQADDIFNGGRSSGGSSQLIPPG--ITGSELPEIDGSVDLTKYVGKWYQVAAVPQPYTLQCANNTTAEYKLVNDTTISVRNSCGTSLGQQSFIDGSATVRSKASLRVNFPGVPFQKEDGATNYRVTYLADDYSLAIVGSPNRLAGFVLSRTPQLSKEQWQMVRSTVESRGWWSCAFLTVPMAGGRGDAVPVCSL</t>
  </si>
  <si>
    <t>MRKLVSLIAAVVVSVGALTPVAQADDIFNGGRSSGGSSQLIPPG--ITGSELPEIDGSVDLTKYVGKWYQVAAVPQPYTLQCANNTTAEYKLVNDTTISVRNSCGTSLGQQSFIDGSATVRSKASLRVNFPGVPFQKEDGATNYRVTYLADDYSLAIVGSPNRSAGFVLSRTPQLSKEQWQMVRSTVESRGWWSCAFLTVPMAGGRGDAVPVCSL</t>
  </si>
  <si>
    <t>GC_00001336</t>
  </si>
  <si>
    <t>PF00069.31</t>
  </si>
  <si>
    <t>Protein kinase domain</t>
  </si>
  <si>
    <t>MQLNLGDLLEGRYRIEAPIARGGMSTVYRCVDTRLGRNVAAKVMHEEYAGDPIFAQRFRREARSMAHLSHPNLVGVYDFNSDGDHVFLIMELITGGTLRELLAERGAMPDYAASAVMRSVLTGLAAVHNAGMVHRDLKPDNILIDGNHQVKLSDFGLVRAASASQGKSNQIVGTVAYLSPEQVSGDDITTASDVYSAGIVLFELLTGTTPFNGDTPLKHAYARLDADVPKPSSRIDGVPKLMDELVATATARDPKDRFKNADEFLTALNDVASELQFPAFTVPVPQNAAAHRAAANMDDSKLTGMVTTDLPRSEQPMADEADDADNDKTAIVPPTPPAPVKPAETAILNETSVLDPFAADPFADPTPYQQPGAQPQAQLHNPPPGQSPWAKPSQPQQSPWPDPSQPQQQGQPPAPRPQPRQPARPSVLPPAVTNRSRTMFAAWWVIVIMLTLAIAIGAWWFGSGRYGEVPQVIGMDQTTATQTLKTAGFESKVATVYDDNVAIDMVAGTDPTTGEKAVKGDAVTLLVSLGKPTVPSLDGLTNPDDYNKALSERSLVGEEGETVYSDTVPQGQIASVTPS-------------------------------------------------------------------------------------------------------------------------------------PTPWSM---------------------------------------------------------------------------</t>
  </si>
  <si>
    <t>MQLNLGDLLEGRYRIEAPIARGGMSTVYRCVDTRLGRNVAAKVMHEEYAGDPIFAQRFRREARSMAHLSHPNLVGVYDFNSDGDHVFLIMELITGGTLRELLAERGAMPDYAASAVMRSVLTGLAAVHNAGMVHRDLKPDNILIDGNHQVKLSDFGLVRAASASQGKSNQIVGTVAYLSPEQVSGDDITTASDVYSAGIVLFELLTGTTPFNGDTPLKHAYARLDADVPKPSSRIDGVPKLMDELVATATARDPKDRFKNADEFLTALNDVASELQFPAFTVPVPQNAAAHRAAANMDDSKLTGMVTTDLPRSEQPMADEADDADNDKTAIVPPTPPAPVKPAETAILNETSVLDPFAADPFADPTPYQQPGAQPQAQLHNPPPGQSPWAKPSQPQQSPWPDPSQPQQQGQPPAPRPQPRQPARPSVLPPAVTNRSRTMFAAWWVIVIMLTLAIAIGAWWFGSGRYGEVPQVIGMDQTTATQTLKTAGFESKVATVYDDNVAIDMVAGTDPTTGEKAVKGDAVTLLVSLGKPTVPSLDGLTNPDDYNKALSERSLVGEEGETVYSDTVPQGQIASVTPSPHTMVNVNSTVTYHLSQGPAPVNVPNVHNTKADEAKQQLQQLGFNVKVENKFDDSVKGNYAIGTSPDAGSQATRGSDITLYVSTAVEIPDLAGVSEEAARDQLAKAGIRVESVTRSGDSDAVGKSANDVYITNPQAGTLIDSSQTTVTIELVNKVEVPNVIGKRLSEARTILQDAGFKVKAPSSANSNSRVIYQSPSFLSEESPETRVELRTLN</t>
  </si>
  <si>
    <t>GC_00001337</t>
  </si>
  <si>
    <t>K23187</t>
  </si>
  <si>
    <t>COG4779</t>
  </si>
  <si>
    <t>ABC-type enterobactin transport system, permease component (FepG)</t>
  </si>
  <si>
    <t>MIITQTLIPRRPRLEIGPLSTVWRARIAVVNLALVVLVLVVFAANVAAGDYPLTIVKVFEVLAGGGTKIEQTVVLKWRLQRALGAVVIGMALGIAGALTQSVTRNPLASPDILGISEGASAFAVSIIVLGGLNASGAVQFLSTIGIPLSALLGALLTATVIWYLGSRRGMDTFRLVLAGIMITAILQAYVTWLLLRATITDAAMAKTWLTGSLGASSWGRNFPVVVVLCCVIPLVGYVSFKLQAVLLGDQTASGLGVHVSRAQTLFLLLSVVLTAIAVSAAGPIGFIAFVAPQVALRLMATSSPPLIGSGLCGAMLLATADLITRTILPVELPVGLVTSAVGGVFLVYLLIRANRKSTV</t>
  </si>
  <si>
    <t>MIITQTLIPRRPRLEIGPLSTVWRARIAVVNLALVVLVLVVFAANVAAGDYPLTIMKVFEVLAGGGTKIEQTVVLKWRLQRALGAVVIGMALGIAGALTQSVTRNPLASPDILGISEGASAFAVSIIVLGGLNASGAVQFLSTIGIPLSALLGALLTATVIWYLGSRRGMDTFRLVLAGIMITAILQAYVTLLLVRATITDAAVAKTWLTGSLGASSWGRNFPVVVVLCCVIPLVGYVSFKLQAVLLGDQTASGLGVHVSRAQTLFLLLSVVLTAIAVSAAGPIGFIAFVAPQVALRLMATSSPPLIGSGLCGAMLLATADLITRTILPVELPVGLVTSAVGGVFLVYLLIRANRKSTV</t>
  </si>
  <si>
    <t>GC_00001338</t>
  </si>
  <si>
    <t>PF13462.12</t>
  </si>
  <si>
    <t>COG1651</t>
  </si>
  <si>
    <t>Protein thiol-disulfide isomerase DsbC (DsbG) (PDB:2HI7)</t>
  </si>
  <si>
    <t>-----------------MLIIIAGLGGYVLGERGNNTANNAAAGGGTATTGEGTGAQGGDTAALAALVAPGKGDRTEKAIKANDDGTYDAMIFGPGGPLETQDDILNIHRRNPADPFAIGAIDAPVVISEYSDFECPFCSRYANQTEPTILKDYVDKGLVRIEWNDMAINGPNAVAAAKAGRAAAEQGKFQEFKHALYSASKDINGHPGFDIDDFVRFAEEAGVEDMDKFREDATSDKFDQVVSEARAYASSLGV</t>
  </si>
  <si>
    <t>K03673</t>
  </si>
  <si>
    <t>protein dithiol oxidoreductase (disulfide-forming) [EC:1.8.4.15]</t>
  </si>
  <si>
    <t>Enzymes&gt;&gt;&gt;1. Oxidoreductases&gt;&gt;&gt;1.8  Acting on a sulfur group of donors&gt;&gt;&gt;1.8.4  With a disulfide as acceptor&gt;&gt;&gt;1.8.4.15  protein dithiol oxidoreductase (disulfide-forming)|Chaperones and folding catalysts&gt;&gt;&gt;Protein folding catalysts&gt;&gt;&gt;Protein disulfide isomerase</t>
  </si>
  <si>
    <t>MKNAFSAITKTMWAFIALLIVIAGLTGYVLGERG-GAASESAVGNAAPSNAPSAKGNNEDTAALAAMAKPGANGTKGDGPKALDDGTYDAKVYGPGGPLEKQEDVYNIHRRSATDPFAVGAIDAPVVISEFSDFECPFCSRFANQTEPAILKDYVDKGLVRLEWNDLPINGPNAEAAARAGRAAAAQGKFVEFKHALYTASKDVNGHPGYQMEDFERFAEEAGVPDMDKFREDASGDTYNEVVKQARSYATSLGISGTPGFFVGGQFISGAQPTEVFVQAINDELAK------TVSKER------</t>
  </si>
  <si>
    <t>MKNAFSAITKTMWAFIALLIVIAGLTGYVLGERG-GAASESAVGNAAPSNAPSTKKNNEDTAALAAMAKPGANGTKGDGPKALDDGTYDAKVYGPGGPLEKQEDVYNIHRRSATDPFAVGAIDAPVVISEFSDFECPFCSRFANQTEPAILKDYVDKGLVRLEWNDLPINGPNAEAAARAGRAAAAQGKFVEFKHALYTASKDVNGHPGYQMEDFERFAEEAGVPDMDKFREDASGDTYNEVVKQARSYATSLGISGTPGFFVGGQFISGAQPTEVFVQAINDELAK------TVSKER------</t>
  </si>
  <si>
    <t>GC_00001339</t>
  </si>
  <si>
    <t>PF07907.16</t>
  </si>
  <si>
    <t>YibE/F-like protein</t>
  </si>
  <si>
    <t>COG5438</t>
  </si>
  <si>
    <t>MGRHH-------KPSGSA-------------------------ASGSSVAR------------------------------------------------------------TPASSDNDAASGSGWRPRA------------------------RATGRDYR---------------------EPFTVVQWVLSIFLMLGAVATVVGLVVLWPASSEPRVAPEFSATSPLPKSQVSGEVVIRDQGTCNTPSVGRVFDSAPVTPLSTQEAQCERAIVQIDSGQNAGKRTLLLIGEHPGDPQLKEGEKVRLAEQESADGQVGYTFTDYQRGHKLLGWGIATALAIVLIGAWRGARSLVGLAITLGAVGVFLIPALLHGGPPLALAVVCGSAVLYLVLYLVHGFSWKTSAALAGTVISLVLAAVLAHLAIGQNQLRGLGNEDNLLIQLYLPDVTVTGLMLCGFIIGALGVLNDVTIAQASTVNELADIEPNANPWRLFAGAMKVGRDHIASMVYTLVLSYTGAALPLLLLLSVADRPFGEVLTSDVMATELLRSAIGALALALAVPITTAIAAFSVVGQRRLDAAAEQGVKLP</t>
  </si>
  <si>
    <t>MGRHTSGPEKAPKPTRSGPSEAPH-------------------TARSATARPQRNHPQRDRSSAHNAPKRNATQRVTQHPIPRPTADHTEHAERKPTKSRTAHPRTSQARVTPPHTRDDAPRSSNPRPSSTRRRNGAGEESSTSSTRIKQERQRRRTPKEIRPDGSQSHDSPVSPVDTDSKEKTPFTMWQWVLAVLLVIAGIATAVGVVMLWPSSSDPNVSPELANTNALPANQVNGTVAIRDTGACNSPSIGRAFDVAPISPLEEQPNKCERAIVSIDAGDNAGKRTLLVMSDKPGEPELHVGDKIRMSETTAADGTHAYTFSDFQRTKVLLLWGAIIILAIIAIGALRGARSILGLLITLAAIAFFLIPALLRGGSPLGLAVVCGSAILFAVLYLVHGFNWKSSSALGGTLLSLGLSAWLAHIAIDSNHLRGLGSEDNILIQLYLPDVTVPGLMLCGFIIGALGVLNDVTIAQASTVNELSEIEPDASPWRLFAGAMKVGRDHIASMVYTLVLSYTGASLPTLLLLSVANRPLTQIMFSDVMATELLRSGIGALALSLAVPITTIIAAFTVTGQRQRSEADA------</t>
  </si>
  <si>
    <t>MGRHTSGPEKAPKPTRSDPSEAPHPGKRPTRTSGTSSSGAGSTAARSTTAHPQRNHPQRNRSSAHNAPKRNATQRVTQRPTPRPTADHTEHAERKPAKSRTAHPRTSQTRVAPPHTRDDALRSSNPRPTSTRRRNGAGEESSISSARVKQERQRRRTPKEIRPDGSQSHDAPVSPVDTDSKEKTPFTMWQWVLAVLLVIAGIATAVGVVMLWPSSSDPNVSPELANTNALPANQVNGTVAIRDTGACNSPSIGRAFDVAPISPLEEQPNKCERAIVSIDAGDNAGKRTLLVMSDKPGEPELHVGDKIRMSETTAADGTHAYTFSDFQRTKVLLLWGAIIILAIIAIGALRGARSILGLLITLAAIAFFLIPALLRGGSPLALAVVCGSAILFAVLYLVHGFNWKSSSALGGTLLSLGLSAWLAHIAIDSNHLRGLGSEDNILIQLYLPDVTVPGLMLCGFIIGALGVLNDVTIAQASTVNELSEIEPDASPWRLFAGAMKVGRDHIASMVYTLVLSYTGASLPTLLLLSVANRPLTQIVFSDVMATELLRSGIGALALSLAVPITTIIAAFTVTGRRQRSEADA------</t>
  </si>
  <si>
    <t>GC_00001340</t>
  </si>
  <si>
    <t>PF13602.12</t>
  </si>
  <si>
    <t>MKAIVVHQPGPPEVLCYEEIPTPAVRSGWSLVKVQAVGVNRSEIFTRQGLSPTVTFPRILGIECVGVVADSTTPTLVPGQKVVALMGGMGREFDGGYAEYILLPNDRIWPIHTSFTWEELGAVP--------------------------------------------------------------------------------ETFVTALGSMKQLQLRADSRLLVRA---ATSGV--------------------------GVATIQLVRA-----------LYPNAVI---------------AGTTR-------</t>
  </si>
  <si>
    <t>MKAIVVHQPGPPEVLCYEEIPTPAVRPGWSLVKVQAVGVNRSEIFTRQGLSPTVTFPRILGIECVGVVADSTTPTLVPGQKVAALMGGMGREFDGGYAEYVLLPNDRIWPIHTSFTWEELGAVPETFVTALGSMKQLQLRADSRLLVRAATSGVGVATIQLVRALYPNAVIAGTTRNESKFDTLKALGCDGVILEEAHNVIHSDEKFDCVLDLIGPSAIRHSFAVLKRGGIVCNTGLLGGQWTLENFDPIIDTCGGYLTGYHSGDATADLLQEAITIIEDHAIDVTPHKVLPLKEAAQAHTLMESGAGYGKYVLLPEH</t>
  </si>
  <si>
    <t>GC_00001341</t>
  </si>
  <si>
    <t>K02028</t>
  </si>
  <si>
    <t>polar amino acid transport system ATP-binding protein [EC:7.4.2.1]</t>
  </si>
  <si>
    <t>COG1126</t>
  </si>
  <si>
    <t>ABC-type polar amino acid transport system, ATPase component (GlnQ) (PDB:4YMS)</t>
  </si>
  <si>
    <t>Enzymes&gt;&gt;&gt;7. Translocases&gt;&gt;&gt;7.4  Catalysing the translocation of amino acids and peptides&gt;&gt;&gt;7.4.2  Linked to the hydrolysis of a nucleoside triphosphate&gt;&gt;&gt;7.4.2.1  ABC-type polar-amino-acid transporter|Transporters&gt;&gt;&gt;ABC transporters, prokaryotic type&gt;&gt;&gt;Phosphate and amino acid transporters&gt;&gt;&gt;Putative polar amino acid transporter</t>
  </si>
  <si>
    <t>MTDQQLMIDAQKVCKSFGHLEVLKGIDLQVPRGSVTCLIGPSGSGKSTFLRCVNHLEQVNAGRLYVDGELIGYKEKDGVLYEISAKEAARQRADIGMVFQNFNLFPHRTVLDNIIEAPVHVKSQPPATAKKRAMELLEQVGLAHKADAYPVQLSGGQQQRVAIARAVAMQPKLMLFDEPTSALDPELVGEVLQVMRSLAREGMTMLVVTHEIGFAREVADQVAFMDGGVIVEHGTPQQVIDNPQHNRTREFLSNLL</t>
  </si>
  <si>
    <t>MSD--IMIDAQQVCKNFGQLQVLKGIDLHVPKGNVTCLLGPSGSGKSTFLRCVNHLEKITAGRLYVDGDLIGYRERNGTLYEISEHEAALQRANIGMVFQQFNLFSHRTVLQNIIEAPTQVKKVPAKEAETRAMELLERVGLAHKADAYPIQLSGGQQQRVAIARAVAMEPKLMLFDEPTSALDPELVGEVLGVMRSLAEDGMTMMVVTHEIGFAREVADQVVFMDGGVVVESGTPEQVIDNPQHVRTQEFLSSIL</t>
  </si>
  <si>
    <t>MSD--IMIDAQQVCKNFGQLQVLKGIDLQVPKGNVTCLLGPSGSGKSTFLRCVNHLEKITAGRLYVDGDLIGYRERNGTLYEISEHEAALQRANIGMVFQQFNLFSHRTVLQNIIEAPTQVKKVPAKEAETRAMELLERVGLAHKADAYPIQLSGGQQQRVAIARAVAMEPKLMLFDEPTSALDPELVGEVLGVMRSLAEDGMTMMVVTHEIGFAREVADQVVFMDDGVVVESGTPEQVIDNPQHARTQEFLSSIL</t>
  </si>
  <si>
    <t>GC_00001342</t>
  </si>
  <si>
    <t>MIQVSHLTKSFNKQPPLWEDMNFEVPPHSVTAFTGHSGSGKSTLLNCIGALESPDSGSIRVFDMEVTNLNYRRARKYRRDYVGYLFQDYALIPDQSVYDNISLAAQPNRIFKSKALLEKAAEVLSQVGLAGYERRQVCELSGGEQQRVAIARLLVRPPRVVLADEPTGALDHDNSLRVINH-LRELA-------------DGGAC-------VVVATHSDIVAGSADQRIMVHAPGADSRS-------</t>
  </si>
  <si>
    <t>------------------------------------------------------------MFVTFQTILGYRKARKYRRDYVGYLFQDYALIPDQTVYDNINLAARPNKILSTKAMLTQIAQALDQVGLARCEHRT--------QQRVAIARLLVRPPKVVLADEPTGALDHDNSLRVIAH-LRDLA-------------DGGAS-------VVVATHSDLVADSADQHIKVA---------------</t>
  </si>
  <si>
    <t>GC_00001343</t>
  </si>
  <si>
    <t>PF00343.26</t>
  </si>
  <si>
    <t>Carbohydrate phosphorylase</t>
  </si>
  <si>
    <t>K00688</t>
  </si>
  <si>
    <t>glycogen phosphorylase [EC:2.4.1.1]</t>
  </si>
  <si>
    <t>COG0058</t>
  </si>
  <si>
    <t>Glucan phosphorylase (GlgP) (PDB:1A8I)</t>
  </si>
  <si>
    <t>KEGG Orthology (KO)&gt;&gt;&gt;09100 Metabolism&gt;&gt;&gt;09101 Carbohydrate metabolism&gt;&gt;&gt;00500 Starch and sucrose metabolism [PATH:ko00500]|KEGG Orthology (KO)&gt;&gt;&gt;09140 Cellular Processes&gt;&gt;&gt;09143 Cell growth and death&gt;&gt;&gt;04217 Necroptosis [PATH:ko04217]|KEGG Orthology (KO)&gt;&gt;&gt;09140 Cellular Processes&gt;&gt;&gt;09145 Cellular community - prokaryotes&gt;&gt;&gt;02026 Biofilm formation - Escherichia coli [PATH:ko02026]|Enzymes&gt;&gt;&gt;2. Transferases&gt;&gt;&gt;2.4  Glycosyltransferases&gt;&gt;&gt;2.4.1  Hexosyltransferases&gt;&gt;&gt;2.4.1.1  glycogen phosphorylase</t>
  </si>
  <si>
    <t>--MSKHFDA--ATVGSFVRAASGTAPTDATDRKFWFGLSANVMEELADKWQATTDAYSATRQQHYLSAEFLMGRALLNNLTNLGLVEDAEQAAREHGHELVDVLEAENDAALGNGGLGRLAACFLDSCATQDLPVTGYGILYRYGLFKQNIEGGYQTEEPDAWMEDGYPFVIRREEQQRIVTFDDMIVRAVPYDMPISGYGTNNVGTLRLWKAEPLEEFDYDAFNSQRFTDAIVERERVMDLCRVLYPNDTTYAG</t>
  </si>
  <si>
    <t>MSDSHHLPELKDAVRSHVRAVAGMSPTSATNWKFWYGLSDAVMEQLADKWEATTKAYNATRQQHYFSAEFLMGRALLNNLTNLGLVEQAEQAVRDNGHELSDVLDAENDAALGNGGLGRLAACFLDSAVTQDYPVTGYGILYRYGLFKQIFDNGFQTEQPDAWRENGYPFVVRREHQQRIVTFDDMVVRATPYDMPITGYGTDNVGTLRLWKAEPLAEFDYDAFNSQRFTDAIVEREAVMDLCRVLYPNDTTYAGKVLRVRQQYFFVSASLQAMIANYVEQHGDDLRDFGKYNCIQLNDTHPVLAIPELMRLLLDEHHMGWEDAWNVVTQTFAYTNHTVLAEALEQWNCSIFQQLFHRVYEITVEIDRRFRQEMWAMGLDEAQINYMAPISNGVVHMAWLACYASYSINGVAALHTDIIKADTLKEWHAIWPEKFNNKTNGVTPRRWLKMCNPRLSDLLTRLLGSDAWVTNLDELHKLRHYSDDDAVMQELLDIKDANKVDFAAWIKDRQGIEVDHSSIFDVQIKRLHEYKRQLMNALYVLDLYFRIKEDGE---RDVPPRTIIFGAKAAPGYVRAKAIIKLINEIANLVNNDPDVNQILRVVFVENYNVSPAEHIIPAADVSEQISTAGKEASGTSNMKFMMNGAVTLGTLDGANVEILEAVGDENAYIFGAKVEELPELRTTYNPWDAYGSVPGLKRALDSLIDGHLSDNNSGWFHDLRVSLLDRGGWESPDMYYVLGDFAAYREARDKMAADYYADRLHWARMCWVNICESGRFSSDRTISDYAREVWKISPTKI-</t>
  </si>
  <si>
    <t>MSDSHHLPELKDAVRSHVRAVAGMSPTSATNWKFWYGLSDAVMEQLADKWEATTKAYNATRQQHYFSAEFLMGRALLNNLTNLGLVEQAEQAVRDNGHELSDVLDAENDAALGNGGLGRLAACFLDSAVTQDYPVTGYGILYRYGLFKQIFDNGFQTEQPDAWRENGYPFVVRREHQQRIVTFDDMVVRATPYDMPITGYGTDNVGTLRLWKAEPLAEFDYDAFNSQRFTDAIVEREAVMDLCRVLYPNDTTYAGKVLRVRQQYFFVSASLQAMIANYVEQHGDDLRDFGKYNCIQLNDTHPVLAIPELMRLLLDEHHMGWEDAWNVVTQTFAYTNHTVLAEALEQWNCSIFQQLFHRVYEITVEIDRRFRQEMWAMGLDEAQINYMAPISNGVVHMAWLACYASYSINGVAALHTDIIKADTLKEWHAIWPEKFNNKTNGVTPRRWLKMCNPRLSNLLTRLLGSDAWVTNLDELHKLRHYSDDDAVMQELLDIKDANKVDFAAWIKDRQGIEVDHSSIFDVQIKRLHEYKRQLMNALYVLDLYFRIKEDGE---RDVPPRTIIFGAKAAPGYVRAKAIIKLINEIANLVNNDPDVNQILRVVFVENYNVSPAEHIIPAADVSEQISTAGKEASGTSNMKFMMNGAVTLGTLDGANVEILEAVGDENAYIFGAKVEELPELRTTYNPWDAYGSVPGLKRALDSLIDGHLSDNNSGWFHDLRVSLLDRGGWESPDMYYVLGDFAAYREARDKMAADYYADRLHWARMCWVNICESGRFSSDRTISDYAREVWKISPTKI-</t>
  </si>
  <si>
    <t>GC_00001344</t>
  </si>
  <si>
    <t>MAGWLKQLITGDTTRPTSAMRAASTGALRQFYEAGTPAASTPSEQLRLLAVDVETGGLDPHKHPLLSIGWVPINGREIDLSGAGYYVLNDGNDAAGVGESATIHGLTDDAVAAGADPQQALTALLKALSGRVMLAHFKNIEQGFLSHACRRYFGAALHVPIVDTFALERRHMEKMGTYPRGEDLRLARIRGRYDLPYYPSHNALTDALACAELYLALDVSTGAILKQLLNP</t>
  </si>
  <si>
    <t>MFGL---------SRRERALKKA-TGALAEFYQVPHPGPRASLADLPMLAVDVETTGLSPRDDRLLSIGWVPIDGGTITLAGAGHVVLQQ-RDGTSVGESATIHGLTDDAVRAGMPAAEAVTGLLRALQGRVMVVHYTAMEQGFLSAACTQHFGAELHVPIVDTFAVERRHMERMGTYPRGEDLRLARVRQRYGLPQYRNHNALTDALACAELYLALAAASRGTTLTSMQP</t>
  </si>
  <si>
    <t>MFGL---------SRRERALKKA-TGALAEFYQVPHPGPRASLADLPMLAVDVETTGLSPRDDRLLSIGWVPIDGGTITSAGAGHVVLQQ-RDGTSVGESATIHGLTDDAVRAGMPAAEAVTGLLRALQGRVMVVHYTAMEQGFLSAACTQHFGAELHVPIVDTFAVERRHMERMGTYPRGEDLRLARVRQRYGLPQYRNHNALTDALACAELYLALAAASRGTTLTSMQP</t>
  </si>
  <si>
    <t>GC_00001345</t>
  </si>
  <si>
    <t>O|T</t>
  </si>
  <si>
    <t>Posttranslational modification, protein turnover, chaperones|Signal transduction mechanisms</t>
  </si>
  <si>
    <t>COG2844</t>
  </si>
  <si>
    <t>UTP:GlnB (protein PII) uridylyltransferase (GlnD)</t>
  </si>
  <si>
    <t>PF08335.16</t>
  </si>
  <si>
    <t>GlnD PII-uridylyltransferase</t>
  </si>
  <si>
    <t>K00990</t>
  </si>
  <si>
    <t>[protein-PII] uridylyltransferase [EC:2.7.7.59]</t>
  </si>
  <si>
    <t>KEGG Orthology (KO)&gt;&gt;&gt;09130 Environmental Information Processing&gt;&gt;&gt;09132 Signal transduction&gt;&gt;&gt;02020 Two-component system [PATH:ko02020]|Enzymes&gt;&gt;&gt;2. Transferases&gt;&gt;&gt;2.7  Transferring phosphorus-containing groups&gt;&gt;&gt;2.7.7  Nucleotidyltransferases&gt;&gt;&gt;2.7.7.59  [protein-PII] uridylyltransferase</t>
  </si>
  <si>
    <t>MPQPAADIRRTAFRRATELVAALHLPHGTALAATGSYARRELTAHSDLDLLLICPPDQALDSAVKHQVENLWYPIWDAKIRLDYAVRTPEECANIIADNAVAGLSLLDLTHVAGNPSLTEHARKLVLRTWRIALSRNFDNIIDIAIARWRRSGPVVSMTHPDLKHGRGGLRDHELLTALAFGNLCDAPDLTDQRTLLLDTRTMLHQHARRPRDVLDPEFAADIAIDLGFRDRYALSRAIAEAARAIDDALTSGLTTARNLLRPTTPTSRKPERRRPLDIDVVDAGGSVSLSRNPNLTDPALLLRVAVASARTGLPIHPATWSRLAALPPMPDRWPAAAASDFLALLSSPHHTARVITELDN---------------------------------------------------------------------------------------------------H-----------------------------------------------GLWSPSSPPGTT-FAASSRANLSTPKPSTSTAS-----KSPKTVPPTMLPPPDPTCST----------------------W---------------------------------------------PPSSTT-------------------------------------------------------------------------</t>
  </si>
  <si>
    <t>MPQPAADIRRTAFRRATELVAALHLPHGTALAATGSYARRELTAHSDLDLLLICPPDQALDSAVKHQVENLWYPIWDAKIRLDYAVRTPEECANIIADNAVAGLSLLDLTHVAGNPSLTEQTRKLVLRTWRIALSRNFDNIIDIAIARWRRSGPVVSMTHPDLKHGRGGLRDHELLTALAFGNLCDAPDLTDQRTLLLDTRTMLHQHARRSRDVLDPEFAADIAIDLGFRDRYALSRAIAEAARAIDDALTSGLTTARNLLRPTTPTSLKPERRRPLDIDVVDAGGSVSLSRNPNLTDPALLLRVAAASARTGLPIHPATWSRLAALPPMPDRWPAAAASDFLALLSSPHHTARVITELDNHGLWSPLVPAWDNIRGLIPREPIHTQTIDQHCLQVTQNCAAHHVAAARPDLLYLAALFHDIGKGQGVPHAELGATRVAVMAATLRLNHHDASVVTTLVRHHTLIPNLVAHRDVESDDAVTELLDAVGYDLLTVELMRVLVQADALATGTWTPTLRAGTAILCDRARARLTGSQPRPPRLDFPHDFTSRAGLPLDLIPGPEANNATVRWVGHYLRESIRVLALIAAKGWNINSAEFIVEPDHTRARFTVYNTLGTGFDQAEFAQAYKSGVYSALPDTTPTIAATTATFWFGNILEIRTTDRQAALGTLMEVLPELHWLTMSNPGATMIVQCSLRPGFDRAAVERDVTRVLTTS</t>
  </si>
  <si>
    <t>GC_00001346</t>
  </si>
  <si>
    <t>PF17938.6</t>
  </si>
  <si>
    <t>MRGFDLHPHLRQTGYTCAPFSGNMVTSIARLTTVEGFARVTDDLDFAPNNNQSEDIATAVALEHFARYGYDETRLDTIAQESAISKRMIHYYFGDKQGLYVRALQLAIKLLRPLPQAMELDSTVPVDAVVKVVEAIVDQMASHPMAVRMVVLENLFGHANMKNATPLADQSSIVLQLDKILMLGQDSGAFRPGVSALDVYAIISSMSMFRVTNPATFANLYATDLRSEDNTAGMKRLVVDAVLSFLTSNMQPHGAMSYLVQENHADRD-------SSIYDES--------</t>
  </si>
  <si>
    <t>GC_00001347</t>
  </si>
  <si>
    <t>K12954</t>
  </si>
  <si>
    <t>cation-transporting P-type ATPase G [EC:7.2.2.-]</t>
  </si>
  <si>
    <t>----MSSACGCE---HEPATEIEDLDRPWWKDAELLLPIFSGVALGIGLALDWAGLETPATILFWVGLLLGAYTFAPGAIRNLVK---KRKLGIGLLMTISAVGAVILGYVGEAAALAFLYAIAEALEDKAMDRAQGGLRALLKLVPQTATVLRDGTTVEVAAKDLVAGELMLVRPGERIATDGIIRSGRSSLDTSAITGESIPEEVAPGDEVPAGAINSAGVLEVETTAAGTDNSLTTLVDLVEQAQAEKGDRA</t>
  </si>
  <si>
    <t>MSGEETSACGCSCGTPKPLFDEPEEHGPWWKDTELMFPIAAGVFCITGFVLDHTVSPTAALVCYWVALIAGGWTFIPGSLRQLVTGKGRSRMGVGLLMTIAAVGAVLLGHVGEAAALAFLFSISETLEDRAMDRAQQGLRALLSLMPNTARVVRDDVETTVPASEVRASDVLVVGAGDRVATDGTVIAGQSWLDTSAITGESIPVGVSPGSSVSAGSVNGSGTLRIQATSDGLDNSLTQIVRLVEQAQSAKGERARFADRIARPLVPAVLVASLLIVLFGFLVGDPATWTQRALVVLVAASPCAMAIAVPVTVISAVGAASKLGVVIKSGVAFEQLGTIQTVAFDKTGTLTENNPRVV----ATHFVVDDALPMAAAVESASSHPLSRAIVAAAAEPGTNNTDAALTAHEVQEQPGRGLIGVVKGKRIRVGSPRWIPTDGASGLADQVAEMSQAGMSVVVVEVDGTPAGVLGIRDELRPEAAAAVQALADQGMRSVMLTGDQEVTAQAIAEQAGIPSDRVWAGQLPADKARVVAELVDKSPTAMIGDGINDAPALAAATVGIAMGVTGSDAAIESADVAFTGSDVRLIPVALAHARRGRRIMTGNIGLALAIIVGLFPLALFGVLGLAAVVLVHEVAEVIVIGNGLRAGRMPRQLTALPEPTTAKPPQVITAQ</t>
  </si>
  <si>
    <t>MSGEETSACGCSCGTPKPLFDEPEEHGPWWKDTELMFPITAGVFCITGFVLDHTVSPTAALACYWVALIAGGWTFIPGSLRQLVTGKGRSRMGVGLLMTIAAVGAVLLGHVGEAAALAFLFSISETLEDRAMDRAQQGLRALLSLMPNTARVVRDDVETTVPASEVQTSDVLVVGAGERVATDGTVIAGQSWLDTSAITGESIPVGVSPGSSVSAGSVNGSGTLRIRATSDGLDNSLTQIVRLVEQAQSARGERARFADRIARPLVPAVLVASLLIVLFGFLVGDPATWTQRALVVLVAASPCAMAIAVPVTVISAVGAASKLGVVIKSGVAFEQLGTIQTVAFDKTGTLTENNPRVV----ATHFVVDDALPMAAAVESASSHPLSRAIVAAAAEPGTNNTDAALTAHEVQEQPGRGLIGVVKGKRIRVGSPRWIPTDGASGLADRVAEMSQAGMSVVVVEVDGTPAGVLGIRDELRPEAAAAVQALADQGMRSVMLTGDQEVTAQAIAAQAGIPSDRVWAGQLPADKARVVAELVDKSPTAMIGDGINDAPALAAATVGIAMGVTGSDAAIESADVAFTGSDVRLIPVALAHARRGRRIMTGNIGLALAIIVGLFPLALFGVLGLAAVVLVHEVAEVIVIGNGLRAGRMPRQLTALPESTPAAPPQVITAQ</t>
  </si>
  <si>
    <t>GC_00001348</t>
  </si>
  <si>
    <t>K07223</t>
  </si>
  <si>
    <t>porphyrinogen peroxidase [EC:1.11.1.-]</t>
  </si>
  <si>
    <t>MHKPHPTAVEMETMSTDNTNALQIHTHQAGITALGTTDHAFIELNLVDNSAEAARTAVTALADAINLPTTVGANVVVGVRPSLWAQVANPNDVPEGVHDFNAPIRGEDGYQMPATQKDAWIWVASASRSQTFNVAQHITKQLADNWKLSSETTGWVYEFNRDLTGFEDGTENPGALEAPGIVAIPNGQPGAGSSVLLYQLWNHRANNWYGLSTEDQEDIIGRTKADSVELDDETKPDSSHVARTVVEVDGEELDVYRRNCAYGDVRRHGTAFVGFSFDQWRLEEMLRQMAGVNG-PRDMLTRFTDAISGAWYVCPSTQALASMLPE--DEEED</t>
  </si>
  <si>
    <t>------------------------MTHQSGITALGTTDHVYLELDLVE--GKDPKEAIGSLAATINLPTTVGANAVVGVRPELWAKVSDAQHVPNDVHGFNEPLKGTDGYEMPATQHDAWVWVASFSRSQAFEVSSYVLKQLKGYFKLADETVGWAYELNRDLTGFEDGTENPGALEAPGLVGVPTGQPGAGSSVLLFQKWSHRIREWSNLSVDRQQDVIGRTKQDSVELPDDVKPDSSHVSRTVVEKDGEEQDV</t>
  </si>
  <si>
    <t>MHN-------------------GTMTHQSGITALGTTDHVYLELDLIE--GKDPKEAIGRLAAAINLPTTVGANAVVGVRPELWAKVSDSQYVPNDVHGFNEPLKGADGYEMPATQHDAWVWVASFSRSQSFEVSSYILKQLKGYFKLADETVGWAYELNRDLTGFEDGTENPGALEAPGLVGVPAGQPGAGSSVLLFQKWSHRIREWSNLSVDRQQDVIGRTKQDSVELPDDVKPDSSHVSRTVVEKDGEEQDVFRRNTSYGELEHHGTTFVGFSFEQWRLEEMLRQMAGADGGPRDALTYFTDAETGSWYVCPSVAGLLAIAEPFMEDDED</t>
  </si>
  <si>
    <t>GC_00001349</t>
  </si>
  <si>
    <t>G|E|R</t>
  </si>
  <si>
    <t>Carbohydrate transport and metabolism|Amino acid transport and metabolism|General function prediction only</t>
  </si>
  <si>
    <t>COG0697</t>
  </si>
  <si>
    <t>Permease of the drug/metabolite transporter (DMT) superfamily (RhaT) (PDB:5I20)</t>
  </si>
  <si>
    <t>MPLTSKKNTAILFAILAAAFYALSAPASKYILATTTPTMMAAFLYLGAGSGMLLITLGRRITHTPNPADRLTRADLPYTIAMIVLDIAAPILLMLGIARTTAANASLLNNFEIVATSLIALVVFKEIISPRLWVAIGLITAASIILSLDITGGFHLDYGSLLVLGACVCWGIENNCTNRLATKSSEQIVMVKGIFSGLGSLTVALIIHNPIPPIATILATMILGFVAYGLSINFYILAQKDLGAAKTSGYYAIAPFLGVLFSMVFLRELPAWNFWLALAIMAAATYLMIKDSIGLQHTHEHGHTHTHPHSHVSGGRIITHNHEHTHHHVHAHTHAAGTDPNSHDHDHEFLHAEHSHDDHTHEHPELLGL</t>
  </si>
  <si>
    <t>MPLTSKKNTAILFAILAAAFYALSAPASKYILATTTPTMMAAFLYLGAGSGMLLITLGHRITHTPNPADRLTRADLPY---------------------------------------------------------------------------------------------------------------------------TIAMIVLDIAAPILLMLGIARTTAANASLLNNFEIVATS-------------------LIALVVFKEI-------------------ISPASG---------------------------------------------------------------------------</t>
  </si>
  <si>
    <t>GC_00001350</t>
  </si>
  <si>
    <t>K08167</t>
  </si>
  <si>
    <t>M00714</t>
  </si>
  <si>
    <t>Multidrug resistance, efflux pump QacA</t>
  </si>
  <si>
    <t>ko02000|ko01504|ko01504</t>
  </si>
  <si>
    <t>Transporters&gt;&gt;&gt;Major facilitator superfamily (MFS)&gt;&gt;&gt;Drug transporters&gt;&gt;&gt;Drug:H+ antiporter-2 (14 spanner) (DHA2) family [TC:2.A.1.3]|Antimicrobial resistance genes&gt;&gt;&gt;Gene variants&gt;&gt;&gt;Quinolone resistance genes&gt;&gt;&gt;Transporter|Antimicrobial resistance genes&gt;&gt;&gt;Gene sets&gt;&gt;&gt;Multipdrug resistance modules&gt;&gt;&gt;Multidrug resistance, efflux pump QacA [MD:M00714]</t>
  </si>
  <si>
    <t>MTSS--------PKDTPQ--STPHPRRWWGLAVLCLVLSVLAIDATVLNFAIPAMTADIQPSAPQMLWIVDIYTFALASMLVVMGSVGDRFGRRNVLLWGTAFFAASSAMAGMSHTPELLIAARLVQGVAAACLMPSTLSLIGVMFTNPLERAKAVSMWVATYSVAAACGPLLGGLLLNHFHWGSIFFINVPICIALIIGGVALLPRSKVPAPAPIDVRGAVLAVIALFSLVYVIKVLPHEPVTLTLGIVAAVCLAASILLIRHLTRTTNPLIDITLLRNPTFSTVVTVNGLSMFLYLGVLFYLSQYLQVVAGYSVSQSALLMFPGLVIVVVSTLITGRIMKNHSTKKLLLVALAGAFSGCALLGWGAH--LEH----GIILAFGFALLNFSLGIIDPISNDYILASAPRDRAGAAASLSETGYELGAAFGTAILGSILMAVYGMSLNRMGLDS-LPQAARESISVAHELGLSPS-ILERVDVAFSHGVVASSAAAALAAAVMAGFVSRYVREDS</t>
  </si>
  <si>
    <t>MTDPAPDTASVPAPDTASDPAAPYPLRWWGLAVLCCAIAILAIDTTVLNFAIPAITTDLYPSATQMLWVVDVYAFVVAALLVTMGTVGDRIGRRRLLLWGAFFFGLASVAAAFSRTPEMLIAARAVQGAAGATLMPSTLSLIRSMFNNAAERARAVSLWVAVYSVGAAVGPLLGGFLLENFHWGSVFLINVPLVAAIILGGLCVLPKSAPTNTDLFDVKGAVLSIIALFSLVYVIKVLPVEGPSLLVALAAVTTAVTGFLLTRHVRSTPHPLIDVALLKDPVYTTVVVVNGVSMFLYIGMLFYLSQYLQLVLGYSPVQTALMMIPGLLSSLVATLITGRIMTGLSSRKILIRAFLITAVASLILGADALAVFEHIGGSGVWLGIGFAVLGVGVGMIDPVSNDFILSAAPPDRAGAAASLSETGYELGGAFGTAVLGSVLLAVYG---YRLSLTTHVPEAARESLTRAHELAAGDAQVIAAADDAFRLGVVASSIVAAAAALGVALLVARFVPKHT</t>
  </si>
  <si>
    <t>MTDP--------APDTVSDPAAPYPLRWWGLAVLCCAIAILAVDTTVLNFAIPAITTDLYPSATQMLWVVDVYAFVVAALLVTMGTVGDRIGRRRLLLWGAFFFGLASVAAAFSRTPEMLIAARAVQGAAGATLMPSTLSLIRAMFNNAAERARAVSLWVAVYSVGAAVGPLLGGFLLENFHWGSVFLINVPLVAVIILGGLCVLPKSAPTNTGLFDVKGAVLSIIALFSLVYVVKVLPVEGPSILVALAAVTTAVTGFLLTRHLRSTPHPLIDVALLKDPVYTTVVVVNGVSMFLYIGMLFYLSQYLQLVLGYSPVQAALMMIPGLLSSLVATLITGRIMTGLSSRKILIRAFLITAVASLILGADALAVFEHIGGSGVWLGIGFAVLGVGVGMIDPVSNDFILSAAPPDRAGAAASLSETGYELGGAFGTAVLGSVLLAVYG---HRLSLTTHVPEAARESLTRAHELAAGDAQVIAAADDAFRLGVVASSIVAAAAALGVALLVARFVPKHT</t>
  </si>
  <si>
    <t>GC_00001351</t>
  </si>
  <si>
    <t>K25133</t>
  </si>
  <si>
    <t>heme transport system permease protein</t>
  </si>
  <si>
    <t>MSGTAVA-----------GAHSHAPDVFARRARRRVVLFIVLVALLFASAIASIMMGQYSLPMSRVPEVLFNGPSAQGIDASVVWNIRLPRIVLGLLVGAALGVAGALMQAVFANPLAEPSVIGVNSGAGVGAAIAIVFEWKFLGASTVAFAAFITAVLTTTVVYQLARYQGRVHVVNLILTGIAINAVCGAAISFMLYLAPTTNREQIIFWQMGSLNGSQWKHVWVVLPIVAAGLLFSLTLGSKLDTLALGDKAARHLGINVPALRLAAIGASTLLTAGAVAYAGLIGFVGLIIPHLLRGITGPSNKVLLPACALAGAALIGIADLVARTIIPFADLPIGIFTALVGGPTFFILLRRMMVKGVH</t>
  </si>
  <si>
    <t>MTNTSIVQCPEYSRDTAKAGRPAASEVFRTRTRRRVVLFAMLLVLLVGGVLFSVSVGQYHIPVGDVPRILIAGPEGVSLAESVVWKIRLPRLVLGLLVGAALGVSGALMQAVFANPLAEPSVIGVTSGAGVGAALVIVFNITIFGTSTVPAAAFITAVATTAVVYQLARHDGRVHVINLILTGIAINAVAGAIISFLVYLAPTTSREQIIFWQMGSLNGSQWKHVIVVAPIIIAGAAISLRIGGQLDVLALGEKAAGHIGINVSRLRITAIGASTLLTAGAVAYAGLIGFVGLIVPHLLRGITGPANKVLIPASALAGAVLIGLSDIAARTLIPFADLPIGIFTALVGGPTFFVLLRRMLMKGRH</t>
  </si>
  <si>
    <t>MTNTSIVQRPEYSRDTAKAGRPAASEVFRTRTRRRVVLFAMLLVLLVGVVLFSVSVGQYHIPVGDVPRILIAGPEGASLAESVVWKIRLPRLVLGLLVGAALGVSGALMQAVFANPLAEPSVIGVTSGAGVGAALVIVFNITIFGTSTVPAAAFITAVATTAVVYQLARHDGRVHVINLILTGIAINAVSGAIISFLVYLAPTTSREQIIFWQMGSLNGSQWKHVIVVAPIIIAGAAISLHIGGQLDALALGEKAAGHIGINVSRLRITAIGASTLLTAGAVAYAGLIGFVGLIVPHLLRGITGPANKVLIPASALAGAVLIGLSDIAARTLIPFADLPIGIFTALVGGPTFFVLLRRMLMKGRH</t>
  </si>
  <si>
    <t>GC_00001352</t>
  </si>
  <si>
    <t>K02034</t>
  </si>
  <si>
    <t>MNRTLK------IGATIVGIVFITALLSFVWTPYDPIHAIAADRLQGPSLKHLLGTDRYGRDVLSALMVGSRITLYVGLISVGIGATLGTPLGVLAAVRGGWLEQVIMRGSDLLLAFPALLMAIVTGAMFGASTASAMAAIGIATIPGFARVARAGTLQVLSRDYILAAKLSKVSGPAIAFKHVLPNISGMLIVQCSVSFALAILAEAALSFLGLGTPPPNPSWGRMLHSAQASLSSAPELALWPGLAIALTVLGFNLLGDGLRDYFDPKTKERA--</t>
  </si>
  <si>
    <t>MTIMKKLPIAGWIGGAIVCAVILMALVSWVWTPYDPLHAYPEVRLQSSSLQHWLGTDRFGRDVLSQIMVGARITLAVGVVAVVVAAAIGVPLGVIAAMRRGTVEAIIMRSSDLLLAFPGLLLAIIATAMFGATTLTAMVGIGLANVPGFARISRAAALTVMSLDYVAAARTAKRGSLYIATRHVLPNITGVIIVQASVSFALAILAEAGLSFLGLGTPPPDPSWGRMLQSAQSSLTTAPYLAVWPGLAIAITVLGFNLLGDGLRDLYDPRLRDERHN</t>
  </si>
  <si>
    <t>MTIMKKLPIAGWIGGAIVCAVILMALVSWVWTPYDPLHAYPEVRLQSSSLQHWLGTDRFGRDVLSQIMVGARITLAVGVVAVVVAAVIGVPLGVIAAMRRGTVEAIIMRSSDLLLAFPGLLLAIIATAMFGATTLTAMVGIGLANVPGFARISRAAALTVMSLDYVAAARTAKRGSLYIATRHVLPNITGVIIVQASVSFALAILAEAGLSFLGLGTPPPDPSWGRMLQSAQSSLTTAPYLAVWPGLAIAITVLGFNLLGDGLRDLYDPRLRDERHN</t>
  </si>
  <si>
    <t>GC_00001353</t>
  </si>
  <si>
    <t>MSEKPITLTGGLLAGLALLSAAGPFSIDMYLPGLPQLGRDLATTNAQLTLSGFMIGMATGQLIIGVLSDTFGRKRFIISGAALALITSLLCAIAPNIGILIAARFLQGLGSGACVVLARSIIPDITSGVAAAKAFSWMGIISGIAPAAAPVLGSLLVSSLGWRGIFYVLAGIAAAQLLVALFVIPETRPPANRTPLSFGSFTAVIKEPVFVRYALVVGFGFASMFAYISASSFVMQEIMGLSPQNF------------------------------------------------------------------------------------RTRVRH-----------------------------------------------------</t>
  </si>
  <si>
    <t>MSEKPITLTGGLLAGLALLSAAGPFSIDMYLPGLPQLGRDLATTNAQLTLSGFMIGMATGQLIIGVLSDTFGRKRFIVGGAALALITSLLCAIAPNIGVLIAARFLQGLGSGACVVLARSIIPDITSGVAAAKAFSWMGIISGIAPAAAPVLGSLLVSSLGWRGIFYVLAGIAAAQLLVALFVIPETRPPANRTPLSFGSFTAVIKEPVFVRYALVVGFGFASMFAYISASSFVMQEIMGLSPQIFALVFGTNALGLMVGGALNTRLLDRFPAAAILKIALIIMTVAATIVLVCALTGLPRIPFFLALFFAVMPLSLVMGNATALAVAAVRTRAGSASSVMGFGQFLLAGLVSPLVGMVGGSQAVGMGVCMVGAAVVAVMMFVLARRAD</t>
  </si>
  <si>
    <t>GC_00001354</t>
  </si>
  <si>
    <t>MLTRRF-SPLNRYEYASILCSLLIIVFPFVDQYMFQLYSDGFLSYIILTIPLGIIPFILAWLGKSVRCGVLASMAAFFPYLLMCAMFMGAFILYVVSGGRINPV</t>
  </si>
  <si>
    <t>GC_00001355</t>
  </si>
  <si>
    <t>MSVIQVSGLVKNFGNFQALAGLNMSVEEGTVHGFLGPNGAGKSTTIRTLLGLLHPTAGKVRVLGKNPLQHPEILRRVGYVPGEVALWPALTGLETLNALESLRGWTVNLRRRVELIDAFDLDPSKKARDYSTGNRRKVLLVSALSADADVLILDEPTAGLDPLMEQVFMEQVQIEQQRGATVLLSSHIMSEVERLCSHVTVIKRGVAVESGRIDSLKHLSAYTVTATFPYGIPPELAVLPNATVAPPVLTVTTTHDNVSALLLHIITRSGQNISSTPATLEELFLSHYEADT</t>
  </si>
  <si>
    <t>MSVIQVSGLVKNFGNFQALAGLNMSVEEGTIHGF----------------------------------------------------------------------WA--------------LMAQENPRQFA--------------------------------------------------------------------------------------HYWGYYIQ--------------------PPV----------------------------------------KSEC</t>
  </si>
  <si>
    <t>GC_00001356</t>
  </si>
  <si>
    <t>PF20693.3</t>
  </si>
  <si>
    <t>YobI-like P-loop NTPase</t>
  </si>
  <si>
    <t>MSTDPDSQQEVSNPEASQQPDQDDKSIDK--------------NRILRWARRIRNRRASKQPTQHDQRINENY--ILRRICRTKQNTNIPPKLIVLSPHFNEKHHGIYVKTLEQAVLNPKVRNIALTGGYGTGKSSVIQGLIERIHSSKELKKIRPITISLPTIQIADDSDSRDDSTDRIQREIVKQLLYRSNPRKMRGSQYRRITHVTTAQKATVCFILAAILTFIFWLLAKPDWHWHWSQGGSLWGYWQPAMVQAISWGLTFYIDWIWVDKPTIKGLELGPTKLELDKNDSNYFDKYLNEIIYYFEVSGTNLVIFEDLDRFDNPYIFDALHELNELINISLGQERFTEQKNPPVKFLYTTRDSIFEHRTKGKNEDNNVIYFHQLEIENRTKFFDVIVPIVPFSTSRNAYKYLQQLIDNSAFPIAINQKL----------------------------------------------------------------------------------------------------------------------LEIVGSEISDY---------------------------------------------RLLAN---------------------------IEA--------------------------------------------------------YSSVFK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</si>
  <si>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STDPDSQQETSDSEASKQPDQRGQSINKAADPPAQGEQSSDASTDPDSQQEASDSEASKQPDQDGKSIDKKSDDVADSPAQEEQSSDTPSELIVLSPHYDEKHHGLYVEKLEQAVRNPKVRNIALTGGYGTGKSSVIQGLIERIHSSKELKKIRPITISLPTIQIADDSDSRDDSTDKIQREIVKQLLYRSNPRKMRGSQYRRITHVTTAQKATVCFILAAILTFIFWLLAKPDWHWHWSQGGSLWGYWQPAMVQAISWGLTFYIDWIWVDKPTIKGLELGPTKLELDKNDSNYFDKYLNEIIYYFEVSGTNLVIFEDLDRFDNPYIFDALHELNELINISLGQERFTEQKNPPVKFLYTTRDSIFEHRTKGKNEDNNVIYFHQLEIENRTKFFDVIVPIVPFSTSRNAYKYLQQLIDNSAFPIAINQKLLEIVGSEISDYRLLANIVSEFQTFARQIFTSWGNNKETADFLEDHANYLFAFIVYKNTHLTDYEKIQIGASNIDKINIKFLTMKLEFKIMSQELFKKLSDSLRVEIDKEYKVDSSFCSLSIKGKRFDDFTEVELWEETLDPNLPHNRTAISLIDRNEHIISDNIIDDFGSNIFSKLVANELT-----VKIGNNYQAMITSIKSINYIESISSFLHHRHDYGGSTLPENMQEKVDSFKSFIDKLFFLDQITFELMYSGYMDRNFYAYSSIFTKEFTNIKVFNFIIKNLATRQPDIDLRLTEQEAKEITYQLNRIENRHGNLKGALNVDLMLYLSNDEKLLSSILNDAKHFFEFKPQSDKTIRIEFINAVLKRLLNDGERENNYLSGKINSYDNIKHLLEKIISVYPNIFLECFEDNLTEKQKYSLIDSALDASHLPTTINIKQYVEKNMQGIISYIKSVNAKMKSCSNETIASKVDESLGLDPLIIPHYKRIMKVMLAVNMLRNISEENIDTIGRLSDICKKAEFYDPEKESWIPSQEITKHELERILFIFEK----NVIHQYIRLHTT</t>
  </si>
  <si>
    <t>GC_00001357</t>
  </si>
  <si>
    <t>PF05532.17</t>
  </si>
  <si>
    <t>CsbD-like</t>
  </si>
  <si>
    <t>COG3237</t>
  </si>
  <si>
    <t>Uncharacterized conserved protein YjbJ, UPF0337 family (yjbJ) (PDB:1RYK)</t>
  </si>
  <si>
    <t>MSGFENKAEEFGGKLKEGVGQAVGNEKLEAEGKSDQVKAELKEKFDEAGERLKESVDKVLGAFKKD-</t>
  </si>
  <si>
    <t>MGDLGDKAQEFGGKAKEGIGEAVGNDDLANEGRADQAKAEVKEKLSEAGDAVKGAADKVLGHFKKDD</t>
  </si>
  <si>
    <t>MGDLGDKAQEFGGKAKEGIGEAVGNDDLANEGRADQVKAEVKEKLSEAGDAVKGAADKVLGHFKKDD</t>
  </si>
  <si>
    <t>GC_00001358</t>
  </si>
  <si>
    <t>PF10335.14</t>
  </si>
  <si>
    <t>Putative nucleotidyltransferase substrate binding domain</t>
  </si>
  <si>
    <t>K07182</t>
  </si>
  <si>
    <t>CBS domain-containing protein</t>
  </si>
  <si>
    <t>COG2905</t>
  </si>
  <si>
    <t>Signal-transduction protein containing cAMP-binding, CBS, and nucleotidyltransferase domains</t>
  </si>
  <si>
    <t>MSVELEEVRGFLAGIEPFAHLPQQELEGLPSRMTMRYARRGDIVVKQGEVNSTLYIIRSGAIDIAGDEGILLDRRDAGRTFGYSTLAIGTHPAAPSRYDMIAVEDTLLLCLPAEVVTELAERHPDLARYYSGQSARIKAAAEELRHHSSSEILRTRVGDFMTSAPAHVDTNATIQQAAHTMEQNKVSSLLVMDGGTLVGIVTDRDMRGRVVACAFDVNTPVNAIMTPRPLTAAPDTLAFEAMLLMAEHRIHHLPISDGQGGVCGIVATADIMRLLQDDPIYLTADLNQRSTPEELRETYQSAGKVAARFIERGASAEEVTGLLTVAADALAGRLLTLAEEQLGQPPVPYAFVVLGSQGRRGMGLASDQDNAIILGDDYDPSNPQHVDYFSELSQCVCTGLDVAGQVLCPGDMMASNPEWRKTTSEWDRTFHQWITAPEPDALLNAQVFFDMRAIHGDRELAERVHSYAVSTAKNARRFHAHLAALAARREPPLGFFRGLVVERGGDYANTLDVKKGGIAGIVQMARLFALASGSEEVGTRQRL-AAAAGDSVSERGASDLTDAFDFLNSIVLRHQATHIRAGQDPDYHIDPQSLGRLDRDHLRDAFRIIKSMQDALATKFPVRNI</t>
  </si>
  <si>
    <t>MTVELDEVRDFLAASDPFAQLPTNELSGLPRHMSMRYVRRGDTIISAGQPNDMLFIIRSGAVDVLDGEGTLLDRRDAGRSFGFSTL-MGDNIC---RYSMIAVEDTLLLTMPREPFVELAERNPEIARFFSGQSARMRAAAAQLRQESSSDVLRTQLGDFKIPNPATVTPDTTIQDAARIMENRNVSSLLVSRDGGLEGIVTDRDMRGRVVANNMDVTLPVTEIMTPNPRAVTSDALAFEAMLIMADMRIHHLPVVD-EGAVTGIIASADIMRLLRHDPIYLTADLSRRTTPEDMREVYESAADVAVRFIERGASAEEVTGLLTVAADSLARRLITLAEEQLGPPPVPYAFVVLGSQGRRGMGLASDQDNALILDDSYDPD--LHCDYFKNLADYVCTGLDSAGQVLCPGDMMAMNPDWRMTVTQWTNTFHTWITAPEPEALLHAQTFFDMRAIHGALELADNVHTTAVNMATHSGRLHAHLATLAARREPPLGFFRGFVVDRSGDYANTLDVKKGGTAAIVQMARLYALSAGIDAVGTRPRLQAAASAGVVSERGAEDLIDAFDFLTTIALRQHAEQLRRGQKPNYHIDPKELGKLDREHLRDAFQIIKGMQSALSTQYPVRSM</t>
  </si>
  <si>
    <t>MTVELDEVRDFLAASDPFAQLPTNELSGLPRHMSMRYVRRGDTIISAGQPNDMLFIIRSGAVDVLDGEGTLLDRRDAGRSFGFSTL-MGDNIC---RYSMIAVEDTLLLTMPREPFVELAERNPEIARFFSGQSARMRAAAAQLRQESSSDVLRTQLGDFKIPNPATVTPDTTIQDAARIMENRNVSSLLVSRDGGLEGIVTDRDMRGRVVANNMDVTLPVTEIMTPNPRAVTSDALAFEAMLIMADMRIHHLPVVD-EGAVTGIIASADIMRLLRHDPIYLTADLSRRTTPEDMREVYESAADVAVRFIERGASAEEVTGLLTVAADSLARRLITLAEEQLGPPPVPYAFVVLGSQGRRGMGLASDQDNALILDDSYDPD--LHGDYFKNLADYVCTGLDSAGQVLCPGDMMAMNPDWRMTVTQWTNTFHTWITAPEPEALLHAQTFFDMRAIHGALELADNVHTTAVNMATHSGRLHAHLATLAARREPPLGFFRGFVVDRSGDYANTLDVKKGGTAAIVQMARLYALSAGIDAVGTRLRLQSAASAGAVSERGAEDLIDAFDFLTTIALRQHAEQLRRGQKPNYHIDPKELGKLDREHLRDAFQIIKGMQSALSTQYPVRSM</t>
  </si>
  <si>
    <t>GC_00001359</t>
  </si>
  <si>
    <t>K12952</t>
  </si>
  <si>
    <t>cation-transporting P-type ATPase E [EC:7.2.2.-]</t>
  </si>
  <si>
    <t>MLSSPLVVRSETPLEGLDSSDVALRAARGLCNVHEHATGRSVGDIIRSNVVTRINAILVVLFVCVMVTGSVVNGAFGLLIVANSAVGIIQELRAKRTLDRLSILAQAPAVVVRESVAREVAQESVVVDDLLQVRAGDQIVVDGVVRVAQGLDVDESMLTGESVPIHKHPGDTVWSGSFVTAGSGVFQAVAVGEDAYQAKLVSEAGKFQLTDSELRRGIDRILRVITWLLIPVGLLTIWVQLTETGAPFNRAMLAMVAALVPMVPEGLVLMTSVAFAVGVVRLGKRKALVNELAAIEGLARIDVVCADKTGTLTENRMVLGQVLPCGEHQDRLVRRVLAAIAHADAAANDTMVAIADGLEGVGFEGVSVGCVRPFDSAWKFSSWSVDGDECRGVFVLGAPDVLLPDG-DVAERAQRMAAQGLRVLAFGVVDPSSVLAQSPDSARLRMDSSAYVDDAWGLVVVEQAVRGDAAETVDFFVREGVDVKIISGDNAASVGAVARGVGVCGEVVDARDLPAYSSEPDAFAEVVCRAKVFGRVSPEQKRDMVRALHDHGHVVAMTGDGINDVLALKEAAIGVAMGSGADATRSVAQLVLLNNSFASLPYVVREGRRVIGNIERIAHLFLTKTVYSIVLALVVGLFAINFPFQPIHVTVAGWFTIGIPGFILSLAPNAERARPGFASRVLRLAVPSGVIIGGVTVGLWVMINPGAKASDADFMRASTAVFAALIVMAVWVLAMVARPWNRWRALLVAGCAGAYCFVFFFPPVARLVKLDTSDTGLMLSGLGAGVVGIALIESV-RVLGR--SALVSSVRQAVSTRWNG-</t>
  </si>
  <si>
    <t>----------MTGPGGLSQKDVDTRVSQGLVNHSVRRTGRRTVDIIRSNVFTRINAMLGVLLIIVLSTGSWINAAFGLLIVVNSSIGIIQELRAKRTLDRLTIVGESKPTVVREGEHISVLRDELVLDDLIDLGSGDQLVVDGVVRSADGLMVDESLLTGESDPVLKKPGDAVFSGSFVSSGKGTYQATAIGDDAYAARLIAEAGRFQLTDSRLQAGINSILQLITYLLVPTGILTIWTQLSRTGAPLRDALLSM</t>
  </si>
  <si>
    <t>GC_00001360</t>
  </si>
  <si>
    <t>COG0475</t>
  </si>
  <si>
    <t>Kef-type K+ transport system, membrane component KefB (KefB) (PDB:4BWZ)</t>
  </si>
  <si>
    <t>MVTTMMPESHVVLAAGNVESNPLVSFAWIMAAAVTAPLISWATGKRVPAVVLLIGAGILIGPHWLGLASTEGGVGLLKQLGLGMLFLLAGYEINPAMIRSREGRTSATTWLVCMGLSFAGACVLLQPHNTSTAVVLAIAFTSTAVGTLMPIMKQQQVLHTPVGRSLLVHGAIGEIFPIFAMALLLSARSTWVTAIVLAAFFVIALVVAAIPRTVRFLLPWTARAMVLNAGATNQTVMRLVLWMLGVLMAVAAVFELDVVLGAFAAGFILRRLVPEKFGEAVEQRLDIVGYSLLIPVFFVCSGMTIDPRAVVDKPWLLCILVPLIYVVRGLPVLIRELFFTTGSQLTNVREKIQLSLYAATALPIIAAVTEVAVESQLLSEENASLLVAAGSVTVLIFPFIANMIQPAETPATSLRTS</t>
  </si>
  <si>
    <t>MVTTMMPESHVVLAAGNVESNPLVSFAWIMAAAVMAPLISWATGKRVPAVVLLIGAGILIGPHWLGLASTEGGVGLLKQLGLGMLFLLAGYEINPAMIRSREGRTSATTWLVCMGLSFAGACALLHPHNTSTAVVLAIAFTSTAVGTLMPIMKQQQVLHTPVGRSLLVHGAIGEIFPIFAMALLLSARSTWVTAIVLAAFFVIALVVAAIPRTVRFLLPWTARAMVLNAGATNQTVMRLVLWMLGVLMAVAAVFELDVVLGAFAAGFILRRLVPEKFGEAVEQRLDIVGYSLLIPVFFVCSGMTIDPRL---------------------------------------------------------------------------WLINPGCCAF-----------------------</t>
  </si>
  <si>
    <t>GC_00001361</t>
  </si>
  <si>
    <t>MKTLVTGGAGFIGSNLVDLLLSEGHQVAVIDNLSRGKRENLAHA----NVDFFEADILSADLDALIGQIQPEVIFHLAAQIDVRESVANPIHDAETNILATIRLAEAARRHNVRKIVFTSSGGSIYGEPDTFPVTEEFPVDPHSPYAASKVSGETYLNTFRHLYGLECSHIAPANVYGPRQDPHGEAGVVAIFSQRLLAGESTRVFGDGGNTRDYVFVGDVVRAFYLASGEIGGGMRFNIGTGVETSDRQLHTLVADAAGAEDDPEYAPARLGDVPRSCLSYERAHQVLGWEPKVSIAEGVARTVDYFRNN----</t>
  </si>
  <si>
    <t>MHVLVTGGAGFIGSHLVDFLVAHGHSVTVLDNLSRGRMSNLDNALACGNVRVITEDLLDSDLEQLIADAQPEVIFHLAAQIDVRRSVAEPLFDAHTNIISTIRLAEAARKNNVRKIVFTSSGGSIYGKPEQFPVAENTPIDPHSPYAAAKISGEIYLNTFRHLYGLDCSHIAPANVYGPRQDPHGEAGVVAIFAQRLLNGHPTTIFGDGGNTRDYVYVEDVVRAFYLVAGPIGGGDRFNIGTSIETSDRELHTLVARAAGAPDTPDYAPARLGDVPRSALSYQHAHDVLGWEPRVSIVEGVAKTVDYFRTTQQLH</t>
  </si>
  <si>
    <t>MHVLVTGGAGFIGSHLVDFLVAHGHSVTVFDNLSRGKMSNLDNALACGNVRVITEDLLDSDLEQLIVDTQPEVIFHLAAQIDVRRSVAEPLFDAHTNIISTIRLAEAARKNNVRKIVFTSSGGSIYGKPEQFPVTENTPIDPHSPYAAAKISGEIYLNTFRHLYGLDCSHIAPANVYGPRQDPHGEAGVVAIFAQRLLNGYPTTIFGDGGNTRDYVYVEDVVRAFYLAAGPIGGGDRFNIGTSIETSDRELHTLVARAAGAPDTPDYAPARLGDVPRSALSYQHAHDVLGWEPRVSIVEGVAKTVDYFRTTQQLH</t>
  </si>
  <si>
    <t>GC_00001362</t>
  </si>
  <si>
    <t>MHRA-DAQLRHRELTQEVYNIGDEVAAYIENLAEAVADWDVHLVRDCLIEFDEIITDARNDSRVVSAELYGVRQALSSGIRGGTVGVSR----ERREPTVQRPNPLGADTLCEWFPL-DGPVGVEQHFTALDARTRAVVKHCERVVEWVLDQTAVAAADLSAISLPMLYGRTKALVEDCAHAWIDCVVLLDPSYAQAMRGSNPPTFLGERARIDAVVARVQRALQQAGGA-------</t>
  </si>
  <si>
    <t>MNLADDALLRHRELTQEVYNIGDEVAQYVENLAEAIADWDAELVEDCLMEIEVILTEARDDSRRVVAELTGVRHALTSGIRSGTVSVRAPWGLHDVEKRTEKPTLITDRTLTDKFPLGETPVIVREFTTALCARTDLVIAHCHHIVEWVLECTALAADDLDVLSLPLLYTQSKQLVESAAYAWLETVARKHPTYVRTMRGSNPPAFLLERARIDAVVAKVAAKRAQAASGRRGGYAS</t>
  </si>
  <si>
    <t>MNLADDALLRHRELTQEVYNIGDEVAQYVENLAEAIADWDAELVEDCLMEIEVILTEARDDSRRVVAELTGVRHALTSGIRSGTVSVRAPWGLHDVEKRTEKPTLITDRTLTDKFPLGETPVIVREFTTALCARTDLVIEHCHHIVEWVLECTALAADDLDVLSLPLLYTQSKQLVESAAYAWLETVARKHPTYVRTMRGSNPPAFLLERARIDAVVAKVAAKRAQAASGRRGGYAS</t>
  </si>
  <si>
    <t>GC_00001363</t>
  </si>
  <si>
    <t>MSYIASIIIRDAAEKPEDVATQAKNLIASYFSSEKEFPSVRVHVTPIKQRRDLGIIEIDISQSRERERLDLLKKIFMKLCAETDWGMELDWDGIEVVLSGDFEYLRRPRGTSDPVVFDPYSDEEQDNPYWER</t>
  </si>
  <si>
    <t>-------------------------------------------MTPIKQRRDFGIAEIDVTQSRDSDALSLLKDIFFFLCGKTDWGMELDWDGAEALSDAFSEYMRRPRGGSDPVIYDPYADEELDNSYWD-</t>
  </si>
  <si>
    <t>MSHVASIIIRDAAEKPKDVAAQAKTLIASNFSSANRFPSVRVFVTPIKQRRDFGIAEIDVTQSRDSDALSLLKDIFFFLCGKTDWGMELDWDGAEALSDAFSEYMRRPRGRSDPVVYDPYADEELDNSYWD-</t>
  </si>
  <si>
    <t>GC_00001364</t>
  </si>
  <si>
    <t>PF08534.16</t>
  </si>
  <si>
    <t>Redoxin</t>
  </si>
  <si>
    <t>K11065</t>
  </si>
  <si>
    <t>COG2077</t>
  </si>
  <si>
    <t>Peroxiredoxin (Tpx) (PDB:4AF2)</t>
  </si>
  <si>
    <t>MATINFKNSPISTVGELPAVGDKAPAFDVVGADLSSIDDASLHGKRVVLNIFPSVDTAVCAQSVRRFNEEASALPNTVVLCVSADLPFAGARFCAAEGLDNVLMGSTFRSSFGKDYGLTMVDGPLAGLLARAIVVLDEAGTVTYTELVGEVTSEPNYAAATEAVRAS</t>
  </si>
  <si>
    <t>MATVHFHGEPAHTIGDLPALGTTLPNISLVDATLADITNDTIAGTRVIFNVFPSIDTGVCATSVRRFNEEAAGLDNTTVVCVSHDLPFALGRFCGAEGINNVVVGSAFRSSFGADFGLTLTDTPLAGLLARAIIVADATGKIVYTQLVEEIGSEPDYEAAIAALK--</t>
  </si>
  <si>
    <t>MATVHFHGEPAHTIGDLPALGTTLPNISLVDATLADITNDTIAGTRVIFNVFPSIDTGVCATSVRRFNEEAAGLDNTTVVCVSHDLPFALGRFCGAEGINNVVVGSAFRSSFGADFGLTLTDTPLAGLLARAIIVVDATGKIVYTQLVEEIGSEPDYEAAIAALK--</t>
  </si>
  <si>
    <t>GC_00001365</t>
  </si>
  <si>
    <t>PF00089.32</t>
  </si>
  <si>
    <t>Trypsin</t>
  </si>
  <si>
    <t>COG5640</t>
  </si>
  <si>
    <t>Secreted trypsin-like serine protease</t>
  </si>
  <si>
    <t>MKKASFSITALVSSILLLSAAPAFALENGEPAPANVESGSVTALKIGKVGTFGDCTGTLVADQWVLTARHCLESVNNEGTQARIGGKVYDADSWALSPVSDAGLLHLTEKVTDATPAKVSRDIPVPGQTGTLYGWSSSSSMARSGQLPMAKMVVNELLGGGPDEG-------------TPGEVALGEATPGEVAPGEATPGEAVPGESQSV----SIPVGTESIPADAAMMPMIESAILDAHSVSGAGMQGGDSGGPFFVDGKLAGLATAGTSNGDPDLPSPSAAITTLAGTADWIDGVTSGRDTESVLTAENTPAPPKTIQTSADHMWGYLAIACVGLVVAAAWS---RIRNGRQ</t>
  </si>
  <si>
    <t>MKFKKLGAAILATGIIALSATPANALEHGELAPDTPESRTVASLKIGRVGNFGDCTGTLVSDQWVLTARHCLESVNNKGTQVRLGQEVYDVDSWALSPHSDAGLLHLTRKVTSIQPATLAQEEPQVGQVGTLYGWSSSSSMARRGQLPMAKMEVKERLGGAPTGGPTAPTVPTAPAAPTDGESITAPAMPSVDGENAVIPPAAAGGESVAVPGTPAVSAEGENVPADAAMMSM-ASTILDAHSLSGAGMQGGDSGGPFFVNGKLAGLATAGTANGDPDLPSPSAAITTLAGTVDWVNDVTSGRDTKSVLTAENTPLPPKTEQTSTENMWVYLAIALSGIILTAVYSYGIAARKRSR</t>
  </si>
  <si>
    <t>MKFKKLGAAILATGIIALSATPANALEHGELAPDTPESRTVASLKIGRVGNFGDCTGTLVSDQWVLTARHCLESVNNKGSQVRLGQEVYDVDSWALSPHSDAGLLHLTRKVTSIQPATLAQEEPQVGQVGTLYGWSSSSSMARRGQLPMAKMEVKERLGGAPTGGPTAPTVPTAPAAPTDGESITAPAMPSVDGENAVIPPAAAGGESVAVPGTPAVSADGENVPADAAMMSM-ASTILDAHSLSGAGMQGGDSGGPFFVNGKLAGLATAGTANGDPDLPSPSAAITTLAGTVDWVNDVTSGRDTKSVLTAENTPLPPKTEQTSSENMWVYLAIALSGIVLTAAYSYGIAARKRSR</t>
  </si>
  <si>
    <t>GC_00001366</t>
  </si>
  <si>
    <t>MSTLAIDSLTIAASEPLLEQLELTISGGQRLGLIGESGSGKSITALSIMGLLPENLRASGSIDFEGQQLLGMDEKRLCALRGKRISMVFQEPMTALNPLMRVNKQLAEVISLH---GGNPSKDRLKQMAAEVGLAEELLGRYPHQLSGGQRQRVLIAMALANDPDVLICDEPTTALDVTVQKDIVELISALVAERGTALLFITHDLGLVAQTCDNIAVLKDGVLVETGPVDQVLRDPQHDYTKGLLAASDLSARDADGHLYTVASSQLAGYAPGVAQARPQWREVSRTDDDVVLRADRISKAYGRTLFGRSKQYTALHPMDLNLYRHQRLGVVGGSGSGKTTLLKLLAGLSEPTAGSVTAKGTVQAVFQDPFDSLDPRMTIGDAVAEPLRAQGINDPARVSEVLEEVGIDPALASRYPHEFSGGQRQRISIARALSVRPDVLLADEPVSALDVSVRAQVMNLLTDLCIDYGLSMVFVSHDLGVVRELCQDVIVLDEGSIVEQGPVSRVLHNPDSPYTQRLLDAIPRITEV</t>
  </si>
  <si>
    <t>MTVLQVKSLCV---KDVVHDVAFSIAPGERVGLIGESGSGKTLTAMSVMRL----IKSSGEIRLGEDRLDLLSERDLCTIRGKRVAMIFQEPMTALNPLMKVGKQVAEAVLTHLRVTKRQAMARAVELLGKVELPADMANRYPHQLSGGQRQRVLIAMALAHDPELLICDEPTTALDVTSQRAIVELILKLVAERGTGLLFITHDLGLVAQTCERVLVMKDGRVVEEAPVDKLLTAPEQPYTRSLIDASTL----------------------------PDPRPANRS-DEVVITATNLTKKF--------KSTTAVDDISFTVSRGERLGIVGGSGSGKTTTLKLLAGLTRPTSGTVNMSESMHMVFQDPMGSLNPRMLVRDIIAETLP---IPDTERIAEVLTEVGLEPDMMTRYPHAFSGGQRQRISLARALAPRPAILLADEPVSALDVSVRKRVLNLLDSLVAEHNLTLVFVSHDIGVVRSVCDTIMVMHDGRIVEKGDTVQVLRAPQNAYTQSLIAAVPQLSRG</t>
  </si>
  <si>
    <t>MTVLQVKSLCV---KDVVHDVAFSIAPGERVGLIGESGSGKTLTAMSVMRL----MRSSGEIRLGEDRLDLLSERDLCTIRGKRVAMIFQEPMTALNPLMKVGKQVAEAVLTHLRVTKRQAMARAVELLGKVELPADMANRYPHQLSGGQRQRVLIAMALAHDPELLICDEPTTALDVTSQRAIVELILKLVAERGTGLLFITHDLGLVAQTCERVLVMKDGRVVEEAPVDKLLTAPEQPYTRSLIDASTL----------------------------PDPRPANRS-DEVVITATNLTKKF--------KSTTAVDDISFTVSRGERLGIVGGSGSGKTTTLKLLAGLTRPTSGTVSMSESMHMVFQDPMGSLNPRMLVRDIIAETLP---IPDTERIAEVLTEVGLEPDMMTRYPHAFSGGQRQRISLARALAPRPAILLADEPVSALDVSVRKRVLNLLDSLVAEHNLTLVFVSHDIGVVRSVCDTIMVMHDGRIVEKGDTAQVLRAPQNAYTQSLIAAVPQLSRG</t>
  </si>
  <si>
    <t>GC_00001367</t>
  </si>
  <si>
    <t>K15581</t>
  </si>
  <si>
    <t>MLRYVGRRLLQMIPVFFGATLLIYAMVFLMPGDPVQALGGDRGLTAAAEARIRAEYNLDKPFFIQYLLYIKGILTLDFGTTFSGRPVIEVMAHAFPVTIKLALMALCFEAVFGILFGVYAGVKKGGFFDSTILVVSLFVIAVPSFVIGFVFQFLVGVKWGLLPPTVGPNETFKNLLMPAIVLGAVSFAYVIRLTRQSVSENLTADYVRTARAKGLGNRVVMIKHVLRNSLIPVVTYLGADLGSLMGGAIVTEGIFGINGVGGHLYQAILKGEPTTVVSFTTVLVIVYIVANLLVDLLYAVLDPRIRYA</t>
  </si>
  <si>
    <t>MLRYVGRRLLQMIPVFFGATLLIYALVFLMPGDPVQALGGDRGLSAAAEARVRAEYNLDKPFIVQYLLYLKGVFSLDFGTTFSGRPVTEVMAHAFPVTIKLAVMALVFETIFGVAFGVIAGIRRGGIFDSTVLVMSLFVIAVPSFVIGFVLQFVVGVKWKLLPVTVGANDSFQALLMPAIVLGALSFAYILRLTRQSVSENLTADYVRTARAKGLSNGAVMGRHVLRNSLIPVVTYIGADLGALMAGAIVTEGIFGINGVGGTMYQAILKGEPTTVVSFTMVLIIVYIFANLLVDLLYALLDPRIRYV</t>
  </si>
  <si>
    <t>MLRYVGRRLLQMIPVFFGATLLIYALVFLMPGDPVQALGGDRGLSAAAEARVRAEYNLDKPFIVQYLLYLKGVFSLDFGTTFSGRPVTEVMAHAFPVTIKLAVMALVFETIFGVAFGVIAGIRRGGIFDSTVLVMSLFVIAVPSFVIGFVLQFVVGVKWKLLPVTVGANDSFQALLMPAIVLGALSFAYVLRLTRQSVSENLTADYVRTARAKGLSNGAVMGRHVLRNSLIPVVTYIGADLGGLMAGAIVTEGIFGISGVGGTMYQAILKGEPTTVVSFTMVLIIVYIFANLLVDLIYALLDPRIRYV</t>
  </si>
  <si>
    <t>GC_00001368</t>
  </si>
  <si>
    <t>PF03734.19</t>
  </si>
  <si>
    <t>L,D-transpeptidase catalytic domain</t>
  </si>
  <si>
    <t>MSFK-------SVRRIAAAVACA--AVVGVASPGIAGAQ-TVGSSEADVRQGAWDARNAMHNAANGLPPELAAGVKTGVDQTVNGLFPGLIESHNAPAPA-----PAPEAPAPAP-APEFDRGSCPPQARACVDLSGERTWLQRNGQVVYGAVPMSAGAPSPETATPKGTFYVQRKVKDEISREFNNAPMPYSTYFTNTGIAFHSGDINLWSHGCIHLNHQDAITYFNDLQPGDMVYVY</t>
  </si>
  <si>
    <t>MSYKLRYAKLRGVARFAAAVVASGVAVAGLLSPATAAAQPAVGSSEA-TRQGAWDTRNSLNSQAGTLPPDAAQAVQGAVDGAVNGMFPGLIQEREAAIRAENERRAAAEAQSSAPQSSDFDRGPCPATARACVDLAGQRTWLQKDGNVEYGPVTMSSGAQGWE--TPRGTHKVTRKVKDEISREFHNAPMPYSVYFTNTGVAFHAGRVDWLSHGCIHLNHDDAVTYFNSLKPGDVVFVY</t>
  </si>
  <si>
    <t>MSYKLRYAKLRGVARFAAAVVASGVAVAGLLNPATAAAQPAVGSSEA-TRQGAWDTRNSLNSQAGTLPPDAAQAVQGAVDGAVNGMFPGLIQEREAAIRAENERRAAAEAQSSAPQSSDFDRGPCPATARACVDLAGQRTWLQKDGNVEYGPVTMSSGAQGWE--TPRGTHKVTRKVKDEISREFHNAPMPYSVYFTNTGVAFHAGRVDWLSHGCIHLNHDDAVTYFNSLKPGDVVFVY</t>
  </si>
  <si>
    <t>GC_00001369</t>
  </si>
  <si>
    <t>MVNDVAQHNEATTLHIEDLNAGYGSC-NILENFAPQPLCGGRVVGLLGPNASGKSTLIKTIAGVQTKLGGSVYLRAD-DGEILQGKALRGVIGYVPQDLPGSASLTAFETVLVAARRV----AVGIKPTELAARTMVELGIGHIAESYIGELSGGQRQMVAVAQMLVGDPKVMLLDEPTSALDLHRQLYLLGLVRERTRRAGAVTMVAIHDINLAARFCDDLLVMRGGEIIAQGAPCDVLCEGLIKTVYDVAAEILDHNGTPVVSPTGL</t>
  </si>
  <si>
    <t>--------MKPVVVTVSDLDVGYGRGESILTNFTPKPFTGGHVIGLLGPNACGKSTFITTLAGVNKPRAGTI--AADIDGQEYTGRKLRDHIGYVPQDLPVAAALTAFETVLIAARRARNVHTVSEKPAAMAARTMEALQIGHLAHSYLGELSGGQRQLVAVAQMMVVEPHVMLLDEPTSALDLHHQLFLLETIRNRAESTGAVALVAIHDINLAARFCSELMVMKRGGIVAQGSPKDVLDADLIHEVYKVHADI</t>
  </si>
  <si>
    <t>--------MKPVVVTVSDLDVGYGRGESILTNFTPKPFTGGHVIGLLGPNACGKSTFITTLAGVNKPRAGTI--AADIDGQEYTGRKLRDYIGYVPQDLPVAAALTAFETVLIAARRARNVHTVSEKPAAMAARTMEALQIGHLAHSYLGELSGGQRQLVAVAQMMVVEPHVMLLDEPTSALDLHHQLFLLETIRNRAESTGAVALVAIHDINLAARFCSELMVMKRGGIVAQGSPKDVLDADLIHEVYKVHADI</t>
  </si>
  <si>
    <t>GC_00001370</t>
  </si>
  <si>
    <t>PF01152.27</t>
  </si>
  <si>
    <t>Bacterial-like globin</t>
  </si>
  <si>
    <t>K06886</t>
  </si>
  <si>
    <t>hemoglobin</t>
  </si>
  <si>
    <t>COG2346</t>
  </si>
  <si>
    <t>Truncated hemoglobin YjbI (YjbI) (PDB:1DLW)</t>
  </si>
  <si>
    <t>MTEPATSFYDAVGGEETFSTFVHRFYQQVREDDLIGPMYPHDDWEGAEQRLKWFLAQYWGGPQTFSENRGHPRLRMRHHHFSIGQAERDRWLELMSNAINTISEDQLDDAHRAALWNHMERVADMLINK--------DQ</t>
  </si>
  <si>
    <t>MTEPATSFYDAVGGEETFSTFVHRFYQQVREDDLIGPMYPHDDWEGAEQRLKWFLAQYWGGPQTFSENRGHPRLRMRHHHFSIGQAERDRWLELMSNAIDTISEDQLDDAHRAALWNHMERVADMLINK--------DQ</t>
  </si>
  <si>
    <t>GC_00001371</t>
  </si>
  <si>
    <t>PF01183.26</t>
  </si>
  <si>
    <t>Glycosyl hydrolases family 25</t>
  </si>
  <si>
    <t>K07273</t>
  </si>
  <si>
    <t>lysozyme</t>
  </si>
  <si>
    <t>COG3757</t>
  </si>
  <si>
    <t>Lyzozyme M1 (1,4-beta-N-acetylmuramidase), GH25 family (Acm) (PDB:1H09)</t>
  </si>
  <si>
    <t>MDLSTTHTQESGRRLRSRGVTVAIMMAITLAFSVISVPKATAFDDANPVSGVDVADWQHPDGSDIDWKSVEADGQKFAFIKATEGQGYTNPYFEDDVKQAKEAGLRVGSYHFARPGESAALQAANYANTIRTMPQPSLPPVLDIESDDGVGPEEVQRWVKEFVTEVEALTGRTPMIYTYRYFWSEQMGDTTDFKDYPLWLAAYQDEVPTELPGGWEYMTFWQRSDSGNVNGITGNTDMNLFNGSEAELDSLGTGNQVKLGKVLTPNFKASDALGSSNLGALSRNNGEIVGIILALALGAVSIGALNDAVSSAGFDAGGTKTLAGEVQKQIDNKTLPVDDLKRMADKNEYSIGDLIILLSNASK--------</t>
  </si>
  <si>
    <t>MDLSTTHTQESGRRLRSRGVTVAIMMAIMLAFSVISVPKATAFDDANPVSGVDVADWQHPDGSDIDWKSVEADGQKFAFIKATEGQGYTNPYFEDDVKQAKEAGLRVGSYHFARPGESAALQAANYANTIRTMPQPSLPPVLDIESDDGVGPEEVQRWVKEFVTEVEALTGRTPMIYTYRYFWSEQMGDTTDFKDYPLWLAAYQDEVPTELPGGWEYMTFWQRSDSGNVNGITGNTDMNLFNGNEAELDSLGTGNQVKLGKVLTPNFKASDALGSSNLGALSRNNGEIVGIILALALGAVSIGALNDAASSAGFDAGGTKTLAGEVQKQIDNKTLPVDDLKRMADKNEYSIGDLIILLSNASK--------</t>
  </si>
  <si>
    <t>GC_00001372</t>
  </si>
  <si>
    <t>PF06999.17</t>
  </si>
  <si>
    <t>Sucrase/ferredoxin-like</t>
  </si>
  <si>
    <t>COG4759</t>
  </si>
  <si>
    <t>Uncharacterized conserved protein, contains thioredoxin-like domain</t>
  </si>
  <si>
    <t>------MTTCSTNVTEPLAGTAKTGTFYVALEHLHGWGRDVSDGEAFGHELNEKITAHLRAARASLQLIRKPGRSGQHRKQRWLYLCYTGDGHTEPWMEKMAVDGPEDLLRLDLSGPGRNTHLGAQPTEDPIVLVCTHGKRDKCCALKGRPLAAAMQTCFYGDDVWESSHTKGHRFAPSMILLPWGYSFGRLASGPAIEMLKTFHQGQLFLPGNRGRGCFDAPGQVAELVVANALIGEGETVAPGSLIVEAADNE</t>
  </si>
  <si>
    <t>MTTTTPETRCSQVVREPLPGTAKTGTTYVALEHLRGWGRDVLDGEALGEELTPLVAAHLKKWSASLQLIRKPGRAGQHRPRRKMYLIYTGDGDTPPAMEELDVDGPETILELDLSGPGANASLGARSVDHPILLVCSHGKRDTCCALKGRPVAAALQTCFYGDEIWESSHTKGHRFAASMLLMPWGYSYGRLNSAAAIDMLKHATRGEMFLPGNRGRGCFDAPGQVAELVVADRVISAEGSLDVGTLRVDAELNEPGDVDGMAADEMVVRRVAHSDGRVWRVQLKQRPVEGVVASCGDAPKQGSTWVVVDVQPMEDIE--</t>
  </si>
  <si>
    <t>MTTTTPETRCSQVVREPLPGTAKTGTTYVALEHLRGWGRDVLDGEALGEELTPLVAAHLKKWSASLQLIRKPGRAGQHRPRRKMYLIYTGDGDTPPAMEELDVDGPETILELDLSGPGANASLGARSVDHPILLVCSHGKRDTCCALKGRPVAAALQTCFYGDEIWESSHTKGHRFAASMLLMPWGYSYGRLNSAAAIDMLKHATRGEMFLPGNRGRGCFDAPGQVAELVVADRVISAEGSLDVGTLRVDAELNETGDADGMAADEMVVRRVAHSDGRVWRVQLKQRPVEGVVASCGDAPKQGSTWVVVDVQPVEGHRAV</t>
  </si>
  <si>
    <t>GC_00001373</t>
  </si>
  <si>
    <t>K02029</t>
  </si>
  <si>
    <t>polar amino acid transport system permease protein</t>
  </si>
  <si>
    <t>COG0765</t>
  </si>
  <si>
    <t>ABC-type amino acid transport system, permease component (HisM) (PDB:4YMS)</t>
  </si>
  <si>
    <t>MATHSSSP--ATPAPIEAKQLHHPGRWIAAAILLLIATKFVWSSVTNEAYHWDTYFAYLLDTRVAIAALHTLEITVLAMLIGVVLGAILAVLRMSPNPVLRAVSLAYLWVFRGTPVYVQLVFWGLLSNIYKFIDLGFTQISLETMLSNAFFLAVIGLGLNESAYMAEIVRAGIQAVPEGQTEASKALGMSWWLTMRRTVLPQAMRIIIPPTGNELISMLKTTSLVVAIPYTLELYGRSMDIANNLFLPVPMLLVAATWYLVITSLLMVGQHYLERFFSKGASRQLTARQLAALADAEGKPPANVTIT---DEN</t>
  </si>
  <si>
    <t>MSDLSAASQAAAPKPIQAKPLKHPGRWVSATILLALFVLFIYSSAVNEAFGWPTYRAYLFDTRIATAALHTLALTVLAMLIGVILGAILAVLRMSPNPVLRGVSWVYLWIFRGTPIYVQLVFWGLLGHIYRSINLGFTEISLEETLKNAFLLAVVGLGLNESAYMAEIVRAGIQAVPEGQIEASKALGMSWWQTMRRTVLPQAMRIIIPPTGNELISMLKTTSLVVAVPYSLELFGRSMDISYSLFEPIPLLMVAATWYLVITSILMVGQFYLEKYYERGATRNLTSRQLASLADAEGKLPGNVSVHPVPPQE</t>
  </si>
  <si>
    <t>MSDLSAAPQAAAPKPIQAKPLKHPGRWVSATILLALFVLFIYSSAVNEAFGWPTYRAYLFDTRIATAALHTLALTVLAMLIGVILGAILAVLRMSPNPVLRGVSWVYLWIFRGTPIYVQLVFWGLLGHIYRSINLGFTEISLEETLKNAFLLAVVGLGLNESAYMAEIVRAGIQAVPEGQIEASKALGMSWWQTMRRTVLPQAMRIIIPPTGNELISMLKTTSLVVAVPYSLELFGRSMDISYSLFEPIPLLMVAATWYLVITSILMVGQFYLEKYYERGATRNLTSRQLASLADAEGKLPGNVSVHPVPPQE</t>
  </si>
  <si>
    <t>GC_00001374</t>
  </si>
  <si>
    <t>MKTITKGLAA-VLASSALLLTAC-GGTGETTATSESTKADAASGNAITVTDVEGRTVTFDKLPERVILSEGRGVFATSILDREHPLDKVVGMGNDLEKSAPSYYDNFKKSVPELADVTTIGNMNHGDVTVENLLALNPDVVVMSADAYKTSGTNGLLQKLDDAKIKYVVTDFRQHPLENTTKSVEMLGTVLGKEDKAKEFTKEWTDKVNSVKERVEKLNDRPSTFLWRAAGMKECCSTVNDSNLGEMINLAGGDNLGDHLVDGPSGSVTAEQLIASQPAAIIATGGSWAPDKDKPEVVPHVELGYNSDPETAQKTLQGLLATPGFEELKAPKDDEFFAVWHQFYDSPLNYIAIEQFAKWLHPDEFKDLDPEKDLKEAHKKYVAFDATGVFFVKDDQK</t>
  </si>
  <si>
    <t>MKSYTKMVAGVVVAACTIFVSACGGGTTSNGEGGSSASGNAANNAALTVTDVQGREVSFDKQPERIILAEGRGVFATSILDKDKPFDKVVARGSDLKTAAPSFYEELEKAVPETKDIPEIGNMAKGDVTVENLLSYNPDVVVMTADHYKASETNGMLTKMDDAGIKYVVTDFRQHPLTNTTKSIELLGKIFDKEDKAEAFNKDWTDTVDRVKQTAAKADKKPKTFLWRAAGWNDCCATVKESNLGELVNVAGGDNMGDHILDSESGDITPEKVIAEQPEKIIATGGSWVVKPDKNIQVPYVTLGYKANEEQAKQTLEGLTATPGFDQLDAPKNKEMYGVWHQFYDSPFNFLALEQFGVWLQPDLFKDVDVTKHYQEAHEKYLPFPNSGVLFVSQNG-</t>
  </si>
  <si>
    <t>MKSYTKMVAGVVVAACTIFVSACGGGTTSNGEGGSSASGNAANNAALTVTDVQGREVSFDKQPERIILAEGRGVFATSILDKDKPFDKVVARGSDLKTAAPSFYEELEKAVPETKDIPEIGNMAKGDVTVENLLSYNPDVVIMTADHYKASETNGMLTKMDDAGIKYVVTDFRQHPLTNTTKSIELLGKIFDKEDKAEAFNKDWTDTVDRVKETAAKADKKPKTFLWRAAGWNDCCATVKESNLGELVNVAGGDNMGDHILDSESGDITPEKVIAEQPEKIIATGGSWVVKPDKNIQVPYVTLGYKANEEQAKQTLEGLTATPGFDQLDAPKNKEMYGVWHQFYDSPFNFLALEQFGVWLQPDLFKDVDVTKHYQEAHEKYLPFPNSGVLFVSQNG-</t>
  </si>
  <si>
    <t>GC_00001375</t>
  </si>
  <si>
    <t>MGCYLEKSRVILMAWPRFCTIIYGLRKENLNFIKVFMWPIALFSLRRLSALFLERITSIMPVHFDWRSLQQYALPALGIVSLLVSAIIAVAGGLG----LGGSSSENDNADANVIFKVVDQHGMPRVCLLIPTTSPHDDKARYNNHDGTYPIKAKPGQTVTAIFSCNQAKDGVLDTVEVSAVAPETGVLEQKVVVPNPNAPSANTQSSLLDDSDKDANVVFKVVDQHGLPRLCHVKPTGALHTDNIVRTSQLGTYGVKAEPGSTVTRIFDCKPSEPGTQVVEASAIAPQGDRKILQEVVIPDPNSPSASFSS</t>
  </si>
  <si>
    <t>-----------------------------------------------------------MPINFDWRNLQQYAMPALGIVSLLVSAIIVIVSGVGDEYVKSSSQGPSSDDDANVMFQVVDQHGVPRFCHVMPTTSPHDDKARYTSPIGYYGVKADPGTTVTVAFDCKITEMGT-QTAQASAIAPETGVVRQKVVIPNPDSLSSKLSSSSSDENNDADE-------------------------------------</t>
  </si>
  <si>
    <t>MANSTAFTQAVV-------GIIFGKDNE------------------------------IMPVHFDWRSLQQYALPALGIVSLLVSAIIAVAGGLG----LGGSSSENDNTDANVIFKVVDQHGMPRVCLLIPTTSPHDDKARYNNLDGTYPIKAKPGQTVTAIFSCNQAKDGVLDTVEVSAVAPETGVLEQKVVVPSPNAPSANTQSSLLDDSGKDVNVVFKVVDQHGLPRFCHVKPTGALHTDNIVYTSQLGTYGVKVEPGSTVTRIFDCKPSEPGTQVVEASAIAPQGDGKILQEVVIPDPNSPSASFSS</t>
  </si>
  <si>
    <t>GC_00001376</t>
  </si>
  <si>
    <t>PF02687.27</t>
  </si>
  <si>
    <t>FtsX-like permease C-terminal</t>
  </si>
  <si>
    <t>K02004</t>
  </si>
  <si>
    <t>putative ABC transport system permease protein</t>
  </si>
  <si>
    <t>COG3127</t>
  </si>
  <si>
    <t>Predicted ABC-type transport system involved in lysophospholipase L1 biosynthesis, permease component (YbbP)</t>
  </si>
  <si>
    <t>MVLLTPLNRIAIRTAIQHKVRLALTVVAVVVGTAFIAGSMLLTQSLRESFDTIVDTGVEGIDVGVVGSQLSPRGVPLSVVEQMERRSDVSAVNIIGDGPGAPSGTKRIGQSTLVITGADGRPLRTGSSGAHPFAWYG-DDTVGPIPTIVEGQPPQEPNQIMLNEKAAARGDLSVGSPVTIVTSAGKIEASVSGIYSSPKDTTGWIGVYFTPERYLELFTDGLYAPQVALR-AQGVSPMELRNRLGLQYPLLTPLSQEQIADRMGSEQATQLEFMTYLLAAFGFIALLVGAVIISNTFTMVLRQRRREFALLRSIGISSGQISRSVLVEAVLVGAAGSLVGIVAAVGVVSALSSTVAFFGDDLSAFSFHVTKQALLVPMAVGVAVTVLAAIEPSIRIGRTAPVDGLRGTESPADSRSRVRPLLGVAAVCFGIAATVVGAWATAAEGRELTTGYRLGIVGGGAVAFVVGLGLLGPSITRGASPVVGWLFLPHLPPSWAAWLSRRRQERKPAGGRHRVAPRGQRPMARARRAVVQLATNNNARNSRRTAATSLALALGVALVACVSTLGATTRASIAGVVDTSVKAPLVLDSLG---SSGLAGSTS---AFSIPSEAIADVDRLPQVTGTGTLMYAPLQVNNWNNATTTVVSTNLSPFIDMGIKKGSSHFKGRPGAMVSTTYAKETGLQVGDYIPLRP-MDGQPGSGIVVPVVGIYSETNLFGHIVVNSAAASRVLPDPQAYTRKTTYIDLSDAALADLRGTRGVIEDAVSSFLVVEVKTKQEYRGALGTQMNQMLYIVYALLALAVLIALMGITNTLLLSLSERTRELGMLRAVGLHQRQIRRMVHMEAVQMSILGVALGLGIGLFTGWAAVSVLQSRGLGEMTIPWLQIGVLVVGAIVTGEFAAWIPARRAAKTPPLEAISHDG</t>
  </si>
  <si>
    <t>---------------------MLLTVLSVALGTAYISGSLILTQSLEESFASIVDSGVDGIDVGLVGSASSPHGVPLSVVSELAARPDVRAVNVTGDGPGTPSGTRRSGQSSLVITGSDGRPLQAGSSGAHPLAAYPFDAYVGRPPIVVEGTEPREAHEIMLNSSAAKRGKLHVGDSVTVITSSERLDVTISGIYDIPRDTAGWIGVMFTPERYLELFTDGRYASQVIISAADGVSPMDLRNSLGQQYPTLTPLL</t>
  </si>
  <si>
    <t>---------------------MLLTVLSVALGTAYISGSLILTQSLEESFASIVDSGVDGIDVGLVGSASSPHGVPLSVVSELAARPDVRAVNVTGDGPGTPSGTRRSGQSSLVITGSDGRPLQAGSSGAHPLAAYPFDAYVGRPPIVVEGTEPREAHEIMLNSSAAKRGKLHVGDSVTVITSSERLDVTIGGIYDIPRDTAGWIGVMFTPERYLELFTDGRYASQVIISAADGVSPMDLRNSLGQQYPTLTPLL</t>
  </si>
  <si>
    <t>GC_00001377</t>
  </si>
  <si>
    <t>MNPTHIVASGGMLPLVLPGSHDDTADTAVPANIVPVVALAALVNGVPVVRLIPETLLTAETFIMGRLGLKPQPQPRQVGRSRPRAIGFPAWSIMTDPDNAEHALNLVADIEWAKKVAKSQDQKVWDRFQELAQMLSTAAPHFVPTLLEELARIFDDSGSPKLAVRAFGKAREFERTYNLPVDLDRHRHALTEFARRGLISAKEMGFEVTSCMRRISDPEAAYQYFLGLITDQVSAGSAPYAGLPRDFLRVAKPTGRTPQQAGKELLDSISELSGMRRVPVGFVKALDKHMPGLLDHRPDAVMQLISTPPTDYYPWSGNHKLEDWTTVFITIGGPNILKENPAHFRRWFLTVLDTLVGRPDYSPSLVDLITSNSETISDIELDETHLGLPLELIEALIVAGAQWHLDNVSYEKNNQLESFFDRIQYYRDHRHKYLTHCLENPQIKAHILCGWTLERLM-RRDTVAQVNGGLLYEELLHDECCHLRTAPLPTIDRFVTSLALAVKAQLPLGKLERLIEKANVDAATVLAANLAHGLITELTWPELERHIHAMRDELSPERGIGPRLRITESYPGVVAFCGTKVAAVAGDTTLLDTRMRTKHTSFDMISVPDMDGTRVLALSYSGGSRISATWDDGEDVSLLLSGQSYHYGVPEPRHSSLAIPDGRLVGDTILRATSRELNRSDSVVYGDNAGNMWYSGDEY-HNYEWRVIITQYDPATDTYMRDQPPKQVVDLAEAADIIMNWAWTTFLPAPVDNDAARAKIIPTTDTGEFCCVVGRTNDENRDYVLVTGDGTRYLHDMRVCGVTTFGGVARLVGVEESSTVLYLPEVSAVHGELAVVRDDRGEPHWMYQLPWVAWGNLTLRDEEASRRLRAIQPVDVAPLLAALKPDSGKRSTTTRNQGRDTSGERVYSALSPNCQSGSAAMQAAADLLGTDDRELCVSVVQLALSVRASVRKLTNVCNRARLQHKREAIAARNSAATQEAPAPNAAHADRPARSAYAVVAKVRQLQEVIDGKRDASHID----KDDSWGWLSFAGQEKALVAWAMGLLTPPAARMEAAALLRKLADAKIDNHTWRQVLIDWYCMSKKLGEVHTGLLFADADTQAIVLDTLYDVKRGIKHRLLVAGDKFPETVCDASALGAAKTAHDLGVEPGMNAEEMHDWADKLERMGDIDPGEWLSRMRPLIDALTARTFLTKTAAIMLLAGGFGTLLPR--ELAIAAFRRAGGDALR--AAEEERAKTIRRKLKLTRKSTLAATTLLTRVDPMSRALLATAAFDNNTTLVDAFVASFPACELVIPDQLMEKYLAGQWAAPDEKNHILFQLLCPLKPKPQFSGWNGGMIASIALDLATNLPAQGFADDAEARKVCSFLAHQLTMLKTATNTNISGNHTSLPLTGDINHIKDG----HYWSHNFDAFRGLSEGHFDKVIADLEDETKSRPAGCYRDPRVSAPAVVAEVCQELGLTEPAAVYFLQLLALVDPTDSNVKAWNGWKKKQLDEARAELVARDLVVEGKRTGAGRTVFLPGAWWEAQSGSMPVEAWKSNFYLIRYRERCESTVRWCPPTEPFDQLFPTVWGRWLSGDRPSFDALTTKKYRR</t>
  </si>
  <si>
    <t>MNPTHIVASGGMLPLVLPGSHDDTADTAVPANIVPVVALAALVNGVPVVRLIPETLLTAETFIMGRLGLKPQPQPRQVGRSRPRAIGFPAWSIMTDPDNAEHALNLVADIEWAKKVAKSQDQKVWDRFQELAQMLSTAAPHFVPTLLEELARIFDDSGSPKLAVRAFGKAREFERTYNLPVDLDRHRHALTEFARRGLISAKEMGFEVTSCMRRISDPEAAYQYFLGLITDQVSAGSAPYAGLPRDFLRVAKPTGRTPQQAGKELLDSISELSGMRRVPVGFVKALDKHMPGLLDHRPDAVMQLISTPPTDYYPWSGNHKLEDWTTVFITIGGPNILKENPAHFRRWFLTVLDTLVGRPDYSPSLVDLIVSNSETISGIELDETHLGLPLELIEALIVAGAQWHLDNVSYEENNQLESFLDRIQYYRDHRHKNLTHCLENPQIKTYILCGWTLERFMEHGDAVAQVNDILLYEELLHDECRHLRAAPLPTIDRFITSLTRAVKAKLPLGNLERLVEKANVDAATVLATNLAHGLITELTWPELERHIHAMRDELSPERGIGPRLQITESYPGVVAFCGTKVVAVAGDTTLLNTRISTKHTPFDMISVPDVDGTRVLALGYSGGDKISATWNDGEDASLLLSGQSYSYSVFWPRHSSLAIPDGRLVGDIILRATSRELNRIDDAVYGDNAGNMWYRGGDYSHGYEWRV----YDPATDTHTRDQQPQRVVDLAEAAGIIIDWSRTTFLPTPVDNDAARAKIIPTTDTGEFCCVVGYTKDENRDYALVTGDGTRYLHDMRVCGATTFGGVTCLVGVEESGTVLYLPGVSVDYGTLATTRDDRGEPHWMYQLPWVAWGNLTLRDEEASRRLRAIQPVDVAPLLAALKPDSGKRSTTTRNQGRDTSGERVYSALSPNCQSGSAAMQAAADLLGTDDRELCVSVVQLALSVRASVRKLTNVCNRARVQHKRETIAARNSAATQETPAPNAAHADRPARSAYAVVAKVQQLQEVIDGKRDASHID----KDDSWGWLSFAGQEKALVSWAMGLLTPPAARMEAAALLRKLADAKIDNHTWRQVLIDWYCMSKKLGEVHTGLLFADADTQAIVLDTLYDVKRGIKHRLLVAGDKFPETVCDASALGAAKTAHDLGVEPGMSAKEMRVWADKLERMGDIDPGEWLSRMRPLIDALTARTFLTKTAAIMLLAGGFGTLLPR--ELAIAAFRRAGGDALR--AAEEERAKTIRRKLKLTRKSTLAATTLLTRVDPMSRALLATAAFDNNTTLVDAFVASFPACELVIPDQLMEKYLAGQWAAPDEKNHILFQLLCPLKPKPQFSGWNGGMIASIALDLATNLPAQGFADDAEARKVCSFLAHQLTMLKTATNTNISGNHTSLPLTGDINHIKDG----HYWSHNFDAFRGLSEGHFDKVIADLEDETKSRPAGCYRDPRVSAPAVVAEVCQELGLTEPAAVYFLQLLALVDPTDSNVKAWNGWKKKQLDEARAELVARDLVVEGKRTGAGRTVFLPGAWWEAQSGSMPVEAWKSNFYLIRYRERCESTVRWCPPTEPFDQLFPTVWGRWLSGDRPSFDALITKKYRR</t>
  </si>
  <si>
    <t>MNPVRIVASGGVLPLTFPGSHD---DTAVPADIVPVVALTAMIGEVPVVKLIPETLLSTETLIMGRFGLDPQPAPRPVGRGRSRAIGFPTWPIMIDQDNTEHALNLVADIEWAKKVVKFQTKKVRDRFQELTKMLSTAAPHFVPTLLEELARIFDDSGFQKLAMRAFNKARKFERTYGLPIDPDRHRQVFTEFTRRGIVSPKEMVFEATSCIQRFSDPEDAYQYFLEIITNQVGVGIPPYVGLPRDLIRVAKPTGRTPQQVGEELLDNICGLSGMRRAPAGFAKALSKRMVGLLDHRPYAITQLFFAPPSDCRSWRSPYQLEEWVTDFISIGGPTILQEDPMHFRRWLLNVLDALVGRSNDSFSLFNLIVSNKDVISAIELNETYLDLPLEFIGALTVAGVQWRLDNASPKENDQLNSFFYRVLYCWHPQYREALYCLKVPQIRAHILCGWTLEKLMEDKDAIARAGAGLLYDEFLNNECQHLNTALFSVIDRFVTSFTLAAEAKLPLGNLERLVKKANVDAATMLATNLAHGLITELTWPELERHIHAMRGELSPERGIGPRLQITESYPGVVAFCGTKVVVVAGDTTLLDTKISTPYVPFDMVAVSDAVGDQVLAFSCSGVYDVAATWDDGYSVSLLISGESYLFDKPKPRYSSLATPDGRVVGDILLRPTDREFNRTISVVYGDNAGTIWCSGDEG-YGDEWRNTIFQYDPITGIYTMNQPPQQVVDLAETADITIDWAWTTFLPAPVDNDAARAKIIPVIDTGEFCCVAGRTKDEKQDYSLVAGDGTRYLHDTPVCGVTTFGGVTRLVGVEEFGTVLYLPGVSAVHGELATILDDRGEPHWMYQLPWVAWGNLTLRDEEASRRLRAVQPADVAPLLAALEPETGKSDTTVDRENNIPDGKCMYAPLSFNCQSGSAAMKAAADLLGTDDRELCVSVVQLALSAQASVDKLTEVLDQVRGQHEHGAVATHHSTATRKNFYP-----DHSACSTYAVIAKVQQLKEVIDGAIDVFYIKNGVRRSYSWTWFVFVGREKALVSWAMAPFTSPAARMEAAALLRELADAKIDNRTWRQVWVDWSRMSAEPDDARVGLSFTDANTQVVVLDRLYRN----NYRLIVAGNEFPETVCGAPTFGVAKTAYDLGVEPGMSAEEMRVWADKLERMGDIDPGEWLSRMRPLIDALTTRTFLTETAAIMLIVGGTYASFTRVGGVDIAAFCSCHADHEERWDAERKRKETISRKLKFTEKSTQAAIELCSQVGYIDEELLTIAAFDNNPVLIDAFVASIPDCDVIVPDQLMEKYFAKQWQAPEVQIRVLFQLICRLEPNPHFSGWDSGMAASIALDLAINLPAQGFADDAEAREVCSFLAHQLTMLKTTTDKAVAQHFTTLPLTGDISGVKDDRDAMYYRGCNFDAFRGLTEGYFDRIIADLGDETKSRPVGCYRDPRVSAPGVVAEVCRELGLSESAAVYFLQLLALVDPTDSNVKAWNGWKKKQFDEARAELVAHDLVVEGKRTGAGRTVFLPGAWWEAQSGSMPVEAWKSNFYLIRYRERCESTVRWCPPTEPFDQLFPTVWGRWLSGDRPSFDALTTKKYRR</t>
  </si>
  <si>
    <t>GC_00001378</t>
  </si>
  <si>
    <t>K00833</t>
  </si>
  <si>
    <t>adenosylmethionine---8-amino-7-oxononanoate aminotransferase [EC:2.6.1.62]</t>
  </si>
  <si>
    <t>COG0161</t>
  </si>
  <si>
    <t>Adenosylmethionine-8-amino-7-oxononanoate aminotransferase (BioA) (PDB:1MLY)</t>
  </si>
  <si>
    <t>M00123|M00577</t>
  </si>
  <si>
    <t>Biotin biosynthesis, pimeloyl-ACP/CoA =&gt; biotin|Biotin biosynthesis, BioW pathway, pimelate =&gt; pimeloyl-CoA =&gt; biotin</t>
  </si>
  <si>
    <t>KEGG Orthology (KO)&gt;&gt;&gt;09100 Metabolism&gt;&gt;&gt;09108 Metabolism of cofactors and vitamins&gt;&gt;&gt;00780 Biotin metabolism [PATH:ko00780]|Enzymes&gt;&gt;&gt;2. Transferases&gt;&gt;&gt;2.6  Transferring nitrogenous groups&gt;&gt;&gt;2.6.1  Transaminases&gt;&gt;&gt;2.6.1.62  adenosylmethionine---8-amino-7-oxononanoate transaminase|Amino acid related enzymes&gt;&gt;&gt;Aminotransferase (transaminase)&gt;&gt;&gt;Class III</t>
  </si>
  <si>
    <t>------MDLRTPSQVVADDQAHVWHPYAPTPAPMDPIVVDSTSGVYLHTADGRTLIDGMSSWWAACHGHGHPALKQAAHEQIDSMSHVMFGGLTHKPATRLANQLLDLTSSHSNGAADGLSKVFFSDSGSVSVEVAIKMALQYQRGQGHPERKKLLTWRSGYHGDTFGPMSVCDPDGGMHSLWVGTLSQQKFAPPPPVLGSSPEDIADYLETFESLVDSSVAAVIIEPVVQGAGGMRFHDPAVVQGVERICRRHG</t>
  </si>
  <si>
    <t>MFNSDSNPDSLSAQLIAYDQAHIWHPYSTTPAPMDPIPIASATGVYLTLHDGTCIIDGMSSWWAAAHGHSHPALVEAAHTQIDTMSHVMFGGLTHEPAVRLAEKLISLTD-------DPLTTIFFADSGSVAVEVAIKMALQYQRGIGHPERNRLLTWRSGYHGDTFAPMSVCDPDNGMHSLWKGTITEQLFAPPPPTRGATPEQRETYLRDMERLIDSTVAAVIIEPVVQGAGGMRFHDPELVAGVRALCDRHGILLIADEIATGFGRTGSLFATNAAGITPDILCLGKALTGGFMTLSAVLTTDAVRDGI-----GGPVMHGPTFMANPLACAVATAAVGIIETGHWRTQVPRIEQELTTHLSPLIDAPHVTDVRVLGAIGVIEMDQPVNMKTTTAAAVSHGVWLRPFGKLIYCMPPYISTSNEVHRICTAMAAAAATV------</t>
  </si>
  <si>
    <t>MFKPDSNPDSLSAQLIAYDQAHIWHPYSTTPAPMDPIPIASAAGVYLTLHDGTRIIDGMSSWWAAAHGHSHPALVEAAHTQIDTMSHVMFGGLTHEPAVRLAEKLISLTD-------DPLTTIFFADSGSVAVEVAIKMALQYQRGIGHPERNRLLTWRSGYHGDTFAPMSVCDPDNGMHSLWKGTITEQLFAPPPPTRGATPEQRETYLRGMERLIDSTVAAVIIEPVVQGAGGMRFHDPELVAGVRALCDRHGILLIADEIATGFGRTGSLFATNAAGITPDILCLGKALTGGFMTLSAVLTTDAVRDGI-----GGPVMHGPTFMANPLACAVATAAVGIIETGRWRTQVPRIEQELTTHLSPLIDAPHVTDVRVLGAIGVIEMDQPVNMKTTTAAAVSNGVWLRPFGKLIYCMPPYISTSNEVHRICTAMAAAAATV------</t>
  </si>
  <si>
    <t>GC_00001379</t>
  </si>
  <si>
    <t>K06945</t>
  </si>
  <si>
    <t>COG2229</t>
  </si>
  <si>
    <t>Signal recognition particle receptor subunit beta, a GTPase (Srp102) (PDB:1NRJ)</t>
  </si>
  <si>
    <t>MQSNSFRKRRHGKIEELDVLDLDPYHSVPQDAIIGSPTTKGVVFVGPVGVGKTTCVETLSTVLPIMTEVKGSENDEFIPRWKTTTTVGIDYGIWKRDDGTEIGLFGTAGQDRFESTRAALNNPEAGVVLWLYGDPTLIEEQLEQWIPEVKTP----------------------------------------------------------------------------------------</t>
  </si>
  <si>
    <t>PF08477.19</t>
  </si>
  <si>
    <t>Ras of Complex, Roc, domain of DAPkinase</t>
  </si>
  <si>
    <t>MQSNSFRKRRHGKIEELDVLDLDPYHSVPQDAIIGSPTTKGVVFVGPVGVGKTTCVETLSTVLPIMTEVKGSENDEFIPRWKTTTTVGIDYGIWKRDDGTEIGLFGTAGQDRFESTRAALNNPEAGVVLWLYGDPTLIEEQLEQWIPEVKTPLKKGRLCIALNFVEIDEATITSMTKTLLTEQLTKVDLGDGAIAGAAPLVVPPGMPPIPIMPPTPVVVADPRIREDVARVVELAIRSNS</t>
  </si>
  <si>
    <t>GC_00001380</t>
  </si>
  <si>
    <t>PF03576.19</t>
  </si>
  <si>
    <t xml:space="preserve">Peptidase family S58 </t>
  </si>
  <si>
    <t>COG3191</t>
  </si>
  <si>
    <t>L-aminopeptidase/D-esterase (DmpA) (PDB:1B65)</t>
  </si>
  <si>
    <t>MAVEL------LPGIGVGHVTHDATGVTAVACPAGAFAAVDVRGGGPGTRETDLLEAHNTVQQVHAVMLAGGSAYGLAAADGAMQELERQGIGFKVLDDVADSPIVPIVPAAVIFDLLVGDPSIRPTAADGAEAVRRACSVLDQEGAGASVSVGEEAPCGSVGAGRGATAGVVRGGYGQATVTSVEGYSVAACVVANPVGSVVDPNTGAVYCRPNEHVDLDAFKALPPLGTKLNTTIGVVATDAPLTKAQAKRLAMCAHDGLARAVRPSHSPLDGDTFFALATGDGRGVNIPTLGALCASAADAVSEAIAQAIFNAEPGENQTSLKEILK</t>
  </si>
  <si>
    <t>MTLTCNNKLIDVPGIAVGHKSLGDTGCTVIAVPDSAIAAVDVRGGGPGTRETDLLAPHNTVQRVHAITLTGGSAYGLAAADGVMTRLEEDRIGFRVL-DTDESPIVPIVPAAVIFDLLVGDPTHRPTRDDGYAA------------AHAALTGEPDTRSGSVGAGCGATAGRLRGGFGQASM-QVGEWVMAVGIVANPMGDVMNPDTGEFWADPRRKVAVDKLPAATP---KLNTTIGVIATNAPITKAQAKRLAMVAHDGIARAIHPAHSPLDGDTLFCLSTGDGTGVDLETMLSLSTHAAEITAAAIVDAVVAAEPGFGLNTYFELTR</t>
  </si>
  <si>
    <t>MTLTCNNKLIDVPGIAVGHKSLGDTGCTVIVAPDSAIAAVDVRGGGPGTRETDLLAPHNTVQRVHAITLTGGSAYGLAAADGVMTRLEEDRIGFRVL-DTDESPIVPIVPAAVIFDLLVGDPTHRPTRDDGYAA------------AHAALTGEPDTRSGNVGAGCGATAGRLRGGFGQASM-QVGEWIMAAGIVANPMGDVMNPDTGEFWADPRRKVAVDKLPAATP---KLNTTIGVIATNAPITKAQAKRLAMVAHDGIARAIHPAHSPLDGDTLFCLSTGDGTGVDLQTMLSLSTHAAEITAAAIVDAVVAAEPGFGLNTYFELTR</t>
  </si>
  <si>
    <t>GC_00001381</t>
  </si>
  <si>
    <t>MSNQPTIPINTYCYITIFVCHYDSLAAAKERYQERLFTTTRCGYDIVFASEQVLDLGHVDYMFESLLGELIGFDEPPSEAEKKNYSTFALTTIVNIPERSESGIDDLWFYVMNLLELDYVHEFPAVFPSHTRLIHMTPSGYEDPECEDV</t>
  </si>
  <si>
    <t>MSNQSTIPINTYCYITIFVCHYDSLAAAKERYQERLFTTTRCGYDIVFASEQVLDLGHVDYMFESLLSELIGFDEPPSEAEKKNYSTFTLTTIVNIPERSESGIDDLWFYVMNLLELDYVHEFPAVFPSRTRLIHMTPSGYEDPECEDV</t>
  </si>
  <si>
    <t>GC_00001382</t>
  </si>
  <si>
    <t>PF04264.18</t>
  </si>
  <si>
    <t>YceI-like domain</t>
  </si>
  <si>
    <t>COG2353</t>
  </si>
  <si>
    <t>Polyisoprenoid-binding periplasmic protein YceI (YceI) (PDB:1WUB) (PUBMED:15741337;20236316)</t>
  </si>
  <si>
    <t>MKPVSRSPFVVLTIVAIVLLAFASVGPVVYKALTSTGIKTGEIHTDGALPASTDMEGTWEVIHGSGANMTSVGYTFHEILPGEDKDTSGSTHDVTGTVTVTGTQLTQAKIVVAMDTLETDVEKRDINVRRGILHTEDYPEAVFAVDKPVSIDGITEDGTVGHVTVPGVLTLHGVSKNVDAPLDILRTGNRVIIGGTVPINRLDFDVQTPEFVAAVIDEQGELNIRLTLEKV</t>
  </si>
  <si>
    <t>GC_00001383</t>
  </si>
  <si>
    <t>MTTAAFMRRGLFVARPTAASPSNRIVATTAAIELLNLGFIANPEQLQQLPVEELKQLIATAAQLIGADRTWVPMYPGFPEQVMNISDGAVFFNAITHYLTLRQWRPDEHSKLK---------TASPRVLALVTPDTLMLVNEWEKARALSEADREFVHDLAEYLDTDTAALFQAATFRNGENFATALWDVWYATGGNQDATLSAGLDSARNVDDVLRTVLTVFVDDSERARDLLCSAEHPVNITPIPRRHRVAIITALARFSNDFNLDLLAHRRHLWRRLMRRIHPFDVTGHQAAQHQLDVIHGNSNYRTLNSRIEAALETSDVVEAVRLLEHTPGNFVRRLDHLMRLATSSRTKDWEKKARAIENTARKVLSKVSLTTLISAYNGLQNRDSRVVVTRVGSRSNKLRERVITKVDAKLLGNVTAALLDGMVARLATAPPPIAPVPVVGDAPVELVRRDASSGLRHASCGQHLPAQDRDITDVIRMFVPWFGNDIYPKLRHISRGERLPLPDKDTTDIIRMFVHGFGHDICLGVVFTDTHFQHIIDSLDYANIIRNPMHGFVTHSGDITNASTQDGMCEFIDITLRHKHNHILSRIGKRPDFIQKFPSARYAIMSIVSSNKGYNGELFADIDTVAGVMTRTHSMAGQVFEPRTVETAAHVTVRSISAIPLIVDLEQWELIWLDTSIGDQFGGCSSMGQQDVLKVAQAEMEATKNRLSVGELMRLWARAHNAKTIDKAADQAQARILLDAC</t>
  </si>
  <si>
    <t>MTTASFLRRGLFVVRPTATSPSNQAVATTAAIELLNIGFIADPEQLQRLSVEELKQLIAVASQLIGADRTWTPMYPGFPEQVMNMSDVELLSNAIIHYLTRGQWRPEQYSELKRTPLALGEWTASPRVLTPVTPDALMLVTEWEKAVAFSEADRDFVHDLAEYLDTDTAALFRTADFRNGENFATALWDVWYTTGGNHDITLNTGLNSARTIDDVLRTILTVFVDDSERARDLLCSAEYPVNVTPIPRRHRVAIIAAIARFNDEFNLDLLARRRHIWRRVMRRIHPFDVTGHQAAQQQLDVIHGNGDYRTLNSRIEVALDNGDVVEAVNLLTHTPGNFVRRLDHLMRLATSPRTKGWEKKVRAIENAAQEVTSQVPLTTLISAYNGLQNRESHVVVTRVGSRRNKLRERVPAKVDKKLLDNVTTALLDGMVVRLANAPAPTAPVPVVNDVPVELVRRDVSSG-----------------------------------LRHISRGERLPLPDRDTTDVIRMFVHWFGYDVDLGVMFTDAHFKHVIGYVDYTNLFRNTMRGFVTHSGDLTHAPQPDGACEFIDIKLHQKNNSALPWVGKKPDFMKKFPSARYAIMSLIS----YCGGPFEGIDNVAGVMTRSHGMAGRVFEPRTVETAAHVAVRSTSAIPLIVDLEQWELIWVDTSIGTHLGGYST-GQSDALKAVRAEMEAMENRLSVGELMRLWARAHNADTVDEPADQAQAGALLDAC</t>
  </si>
  <si>
    <t>MTTASFLRRGLFVVRPTATSPSNQAVAATAAIELLNIGFIADPEQLQRLSVEELKQLIAAASQLIGADRTWTPMYPGFPEQVMNMSDVELLSNAIIHYLTRGQWRPEQYSELKRTPLALGEWTASPRVLTPVTPDALMLVTEWEKAVAFSEADRDFVHDLAEYLDTDTAALFRTAAFRNGENFATALWDVWYTTGGNHDITLNTGLNSARTIDDVLRTILTVFVDDSERARDLLCSAEYPVNVTPIPRRHRVAIIAAIARFNDEFNLDLLARRRHIWRRVMRRIHPFDVTGHQAAQQQLDVIHGNGDYRTLNSRIEVALDNGDVVEAVNLLTHTPGNFVRRLDHLMRLATSPRTKGWEKKVRAIENAAQEVTSQVPLTTLISAYNGLQNRESHVVVTRVGSRRNKLRERVPAKVDKKLLDNVTTALLDGMVVRLANAPAPTAPVPVVNDVPVELVRRDVSSG-----------------------------------LRHISRGERLPLPDRDTTDVIRMFVHWFGYDVDLGVMFTDAHFKHVIGYVDYTNLFRNTMRGFVTHSGDLTHAPQPDGACEFIDIKLHQKNNSALPWVGKKPDFMKKFPSARYAIMSLIS----YCGGPFEGIDNVAGVMTRSHGMAGRLFEPRTVETAAHVAVRSTSAIPLIVDLEQWELIWVDTSIGTHLGGYST-GQSDALKAVRAEMEAMENRLSVGELMRLWARAHNADTVDEPADQAQAGALLDAC</t>
  </si>
  <si>
    <t>GC_00001384</t>
  </si>
  <si>
    <t>-MTIGIAGAFLGGVLALLSPCSALLLPAFFAYAFGSKRQLVARTFVFFVGLSIVMIPLGAAAGSFGSLLAEHRGTLIMAGGVLMILIGIYTFLGFGFSIPGLSKLSGSVNASGWLGQFLLGAVYGFAGFCAGPLLGAVLTTAMVSASSIYGAVVLGAYALGMTVPLFILALLWEQFDLGNKQLLRGKTWMLGPIKLNTFSMAAGILFILIGILFLTTYGTSDLPGLISTDTQFQIQEKVAELSSHITNAQVLLWI</t>
  </si>
  <si>
    <t>MVSIGFLGAFLGGVLAILSPCSALLLPAFFAYAFTSKQQLAARTLVFFLGLACVLVPVGVGAGNLGGLLTQHRDTLITIGGWAIIALGVYTFLGFGFNIPVLSSLASRVRGSGWVSVFLLGAVYGFAGFCAGPLLGAVLTTAVVGGNPAYGALVMALYALGMTVPLFLMALVWDRWDIGSRTWLRGRAWQLGPLRLNTMSMIAGALFIFIGLLFITSYGTATLPSLLSTDTQFNIQTWAGRWSERYTNAQVLLAVAVIAELILLVKILQDGRKAEG----------------------------</t>
  </si>
  <si>
    <t>MVSIGFLGAFLGGVLAILSPCSALLLPAFFAYAFTSKQQLAARTLVFFLGLACVLVPVGVGAGNLGGLLTQHRDTLITIGGWAIIALGVYTFLGFGFNIPVLSSLASRVRGSGWVSVFLLGAVYGFAGFCAGPLLGAVLTTAVVGGNPAYGALVMALYALGMTVPLFLMALVWDRWDIGSRTWLRGRAWQLGPLRLNTMSMIAGALFIFIGLLFITSYGTATLPSLLSTDTQFNIQTWAGRWSERYTNAQVLLAVAVIAELILLVKILRDGRKAEG----------------------------</t>
  </si>
  <si>
    <t>GC_00001385</t>
  </si>
  <si>
    <t>MHNSYLAVLFAFASAMTIAWGTVVRHRIAQDAPGD----SREAFVAALRQPMWWAGTSTALIAYGLQAVAFGFGTVLIVQPILVLKLMLTFPLEAHYARRRVGFGEMFWSSVLTAAVAILVIMGKPAAGLTHPPLNRWIPALIIGIAGFLLLDYIAKRGPQKYKALLLGVITGGIFGYVAVLSKAVVDIFLHYGPLGLVLNWEPYMLVFSATVGTVMQQFSFNAGNLKQSLPAMTIGEPIVAFTLGYLILGEKFQIEGIQYLWMGAALIAMFAAAIALSIKGAETTAEEDAEATGSDSEASPAQSTDA</t>
  </si>
  <si>
    <t>MQSNFIAVLFALASALTIAWGTVVRHRIAEQAPGDGSRFTNAPILTVISRPLWWAGTGTALLGYFLQTIALGFGTLLVVQPVLVLSLMFTLPLSALYDGRRISKTETFWSGALTVAVAVLVILGRPLPGITHPPLERWVPALAVGIVVMAGLERFAHIRPNREKALILGIVTGALFGYVAVLSKAAVEIYQYYGVIGLITNWEGYALILGATLGTAVQQSSFNAGALKNSLPAMTISEPIVAFSLGYIVLGEKFQVTDLGWLWMALALITMIISTVVLSQKSMKE-----------------------</t>
  </si>
  <si>
    <t>MQSNFIAVLFALASALTIAWGTVVRHRIAEQAAGDGSRFTNAPILTVISRPLWWAGTGTALLGYFLQTIALGFGTLLVVQPVLVLSLMFTLPLSALYDGRRISKTETFWSGALTVAVAVLVILGRPLPGLTHPPLERWVPALSVGIVVMAGLERFAHIRPNREKALILGIVTGALFGYVAVLSKAAVEIYQYYGVIGLITNWEGYALILGATLGTAVQQSSFNAGALKNSLPAMTISEPIVAFSLGYIVLGEKFQVTDLGWLWMALALITMIISTVVLSQKSMKE-----------------------</t>
  </si>
  <si>
    <t>GC_00001386</t>
  </si>
  <si>
    <t>----MATSLTLNDGSPIPQLGLGVYKMSNDEAYSAIRHAIEVGYRHIDTAALYDNEVGVGKAVNDAVAAGDVSREELFVTTKLWNDQH--HQAEVAFQQSLERLNLDYIDLYLVHWPVPAQGLANQAFSSMAKLQGMGTVQSLGVCNFYEEALESLIAECGITPAVNQVELHPGFSQKPLREFNEGLGILTEAWSPLGRGANIEDPTIVSLAEELGRTPAQVIIRWHLQLGNIVIPKSVTPARIEENFDVFSFEL</t>
  </si>
  <si>
    <t>MSEKYVPTFTLNDGVEVPAVGLGTWQMQGDEVITAVRSAIDTGYRHIDTAAFYQNEADIGRAIHDAISAGDVTREELFITSKVWNDQQSDHEVQAAFRASLTNLGLDYLDCYMVHWPCPSTGRHVERFAALSTLQGLGDVRSIAVANYNGDQLREVQEKTGIVPTINQVELHPGFSQAELRETHAQLGVLTEAWSPLAQGDVNHTGLLVDIADKYGVTPAQVALRWIYQLSASSVPKSATATRQEENIEIFNFELSESEMSRILQLD-DGPGSGRRYADPDVFPGDDVGGTPTTQK</t>
  </si>
  <si>
    <t>MSEKYVPTFTLNDGVEVPAVGLGTWQMQGDEVITAVRSAIDTGYRHIDTAAFYQNEADIGRAIHDAISAGDVTREELFITSKVWNDQQSDHEVQAAFRASLTNLGLDYLDCYMVHWPCPSTGRYVERFAALSTLQGLGDVRSIAVANYNGDQLREVQEKTGIVPTINQVELHPGFSQAELRETHAQLGVLTEAWSPLAQGDVNHTGLLVDIADKYGVTPAQVALRWIYQLGASSVPKSATATRQEENIEIFNFELSESEMSRILQLD-DGPGSGRRYADPDVFPGDDVGGTPTTQK</t>
  </si>
  <si>
    <t>GC_00001387</t>
  </si>
  <si>
    <t>c-dur</t>
  </si>
  <si>
    <t>MPVSPARPELSPGISQTTRHTTYELFTPSKSGQRLHPTYYRGCWHVVSRCFFSTVPSPTRWASSRAKGVYNPKAFIPHAASLHQACAHCAIFPTAASRRSLGRVSVPMWPSTLSGRLPVAALVGHYPTNKLIGRGLIPHRNKAFHHDPYAMVVCGIRPSFPGLSHSAGQITHVLLTRSPLEYPPPRWQAFPFDLHVLSTPPAFVLSQDQTLQPQ--HTNKCVC-RAQNKNKIIVFQACIS</t>
  </si>
  <si>
    <t>MPVSPARPELSPGISQTTRHTTYELFTPSKSGQRLHPTYYRGCWHVVSRCFFSTVPSPIRWASSRAKGVYNPKAFIPHAASLHQACAHCAIFPTAASRRSLGRVSVPMWPSTLSGRLPVAALVGHYPTNKLIGRGLIPHRNKAFHHDPYAMVVCGIRPSFPGLSHSAGQITHVLLTRSPLEYPPPRWQAFPFDLHVLSTPPAFVLSQDQTLQPQHTQTNACVVHKTKTKTK---------</t>
  </si>
  <si>
    <t>MPVSPARPELSPGISQTTRHTTYELFTPSKSGQRLHPTYYRGCWHVVSRCFFSTVPSPTRWASSRAKGVYNPKAFIPHAASLHQACAHCAIFPTAASRRSLGRVSVPMWPSTLSGRLPVAALVGHYPTNKLIGRGLIPHRNKAFHHDPYAMVVCGIRPSFPGLSHSAGQITHVLLTRSPLEYPPPKMLGLSVRLACVKHAAS-VRPEPGSNSPTTTHTKARAA-KTKQKQNKKVFQACIS</t>
  </si>
  <si>
    <t>GC_00001388</t>
  </si>
  <si>
    <t>MNFASDSLDSSTMKILRPRGLAPLAS------LLA--GALAL----AGCVTNEEGGHPEGWEPVIPDPVADVQALVPQEIADKGSITIGTNPPFAPAEFKDSAGEIIGFEIDLARAAAAVMGLELNIQDQDFSMILPAVQAGSVDFGASGFTDNEERRKQYDFVDFLNAGIQWASQTGAPVDPDDACGLTVSVQRLTVSDTDDITPRSDACVEAGKQPIKKLAYDSSDAAATALVLGKADAFSADSPVTAWAVERSDGAIELTGEIFDAAPYGWPVAKGSDLGPALQAALQHLIDSGDYQRILTMWGVEAGAVDTAVMNGQ-----</t>
  </si>
  <si>
    <t>--MAIDQCWASRRELNRLTALSKLSSPTVFTRLMATVGCAALMCTTAACVTNDEAGLPDGWEPSSVSVDAEAQALVPPSVAKRGTLIIGSNPPFAPAEFKDSQGTMIGFDIDLARAVAETLGLKLEVREMDFNLILPAVAAGSLDFGASGFTDNEERRKNFTFVNYLTAGIQWAARPDNLINPDDACGRTVAVQRGTVSDTDDVVKRSEDCVAQGKPPITKLAFESSDAAATALILGRADALSADSPVTAYAVAR</t>
  </si>
  <si>
    <t>--MAIDQCRALRRKLNRLTALSKLSSPTSFTRLMATVGCATLMCTTAACVTNDEAGLPDGWEPSSVSVDAEAQALVPPSVAKRGTLIIGSNPPFAPAEFKDSQGTMIGFDIDLARAVAETLGLKLEVREMDFNLILPAVAAGSLDFGASGFTDNEERRKNFTFVNYLTAGIQWAARPDNLINPDDACGRTVAVQRGTVSDTDDVVKRSEDCVAQGKPPITKLAFESSDAAATALILGRADALSADSPVTAYAVAR</t>
  </si>
  <si>
    <t>GC_00001389</t>
  </si>
  <si>
    <t>MDPIEINGGRFYARPLHDDNRIDDRPALSLIMDDDAAVDYVARARQQWAQESALTWAVCEQTSVEMLALARLVPNWEEKTCTVSVTPCGDTSRVLPNDPVLAPKTVGDAASEIMGTIRRWAEGFLGLQPA</t>
  </si>
  <si>
    <t>GC_00001390</t>
  </si>
  <si>
    <t>--------------MTTVDTLVSAHRRRVARRWAIIGLLIAGALAAFVTSTVVGPIDLGAKEVVQGIFSPSSLTDQNRVVLWKLRLPMSVMALLVGMTLSLAGAQMQTILGNPLAEPFTLGISAAAAFGGAATIVLGITIIPVAQFNLAATAWISAMVATTLIVVASIRRGASAETMILLGIGLVFFFQAMLSLMQYSASVEALQQIVFWTMGSMTRATWLGNGIIAVVLVVSLPIFMWLSWRLTALRLGDARAM</t>
  </si>
  <si>
    <t>MSAKTANPVETHTPHVTADTLVADHRALVFRRLLIIAVLIFCALVAFIVSTVVGPVNISVGDVIVGIFRPETLDRQSHTVIWKLRLPMSVMALLVGMALSVAGAQMQTILGNPLAEPFTLGISAAAAFGGASSIVFGLIFLPNAQLNIALIAWFAAMTASLVIVLASLFRGASAETMILLGIGLVFLFQALLALIQYKASTEALQQIVFWILGSLTRATWIGNGILAVVLVCCLPIFMGLSWQLTALRLGDARARAMGVNVTRLRVIVLIVVSLLAATSVAFSGIIGFVGLVGPHVARMLVGEDQRYFIPASLASGALMMSTAHAVSLIITPGLAIPIGIVTSLVGVPFFIFIIMTRKRALW</t>
  </si>
  <si>
    <t>MSAKTANPVEAHTPHVTADTLVADHRALVVRRLLIIAVLIFCALVAFIVSTVVGPVNISVGDVIVGIFRPETLDRQSYTVIWKLRLPMSVMALLVGMALSVAGAQMQTILGNPLAEPFTLGISAAAAFGGASSIVFGLIFLPNAQLNIALIAWFAAMTASLVIVLASLFRGASAETMILLGIGLVFLFQALLALIQYKASTEALQQIVFWILGSLTRASWIGNGILAVVLVCCLPIFMGLSWQLTALRLGDARARAMGVNVTRLRVIVLIVVSLLAATSVAFSGIIGFVGLVGPHVARMLVGEDQRYFIPASLASGALMMSTAHAVSLIITPGLAIPIGIVTSLVGVPFFIFIIMTRKRALW</t>
  </si>
  <si>
    <t>GC_00001391</t>
  </si>
  <si>
    <t>MKATDAEPPMMPDRQASETTGTAGSAKRSSVAWLYLTSAGLSLLGNGVATVVWPWLVLERTGNPAAAGLVATAIAIPSLLFAILGGQLIDTVGRKPMSIISDIVSGLSVIAVIAVDAWLGLNLTWFIVIGILGAVGDIPGMAARAALGGDVSYTSGKSMDFISGVVQSLGGLAFLVGPAAAGMLMATLPIQEVLWITAICSLLAAAFTALLRLQVNPDQEIEENIKGWRSWGRAWMVVLQSPVVQLLAFVALVSSTLIAPYLMLILPTHFQNSHNPSMLGFALSAYAVGMIAGGGVIAAVGSNKRRLIWVTSMVFFTIGFACIAMMAHSWILLAGMFVAGIGGGISTPLQMVLITEQIPENLRGRAFSVFNAIGQFAAPIGLSVATVSLTRVSIYTVAIAVAVIWTAAAVYSSLRGIMILPDAAQYDKENESDASASAAHS</t>
  </si>
  <si>
    <t>GC_00001392</t>
  </si>
  <si>
    <t>MNDVVNHTLLVSIPLLIFPTLMLLYALSASHEAFRNDFPEDIQQHMPPATPEDQRRGWLFGGIYLLTLLGTLVYSTLLFLQHHGGNFRLGFAVALTMEVMMLLIDLFIIDWLIICTLRPRWIIPPGTEDCAGWRDYGFHVKAAVKRKSIVANLMISLMMAGIAYVLYLAF</t>
  </si>
  <si>
    <t>GC_00001393</t>
  </si>
  <si>
    <t>PF05154.21</t>
  </si>
  <si>
    <t>TM2 domain</t>
  </si>
  <si>
    <t>MTAPNPNASFLDKAAQPFAGLTPAGEKSWIVALALAFFLGAIGAHNFYLGYTKKGVLQLGLMVIGLVTSIIVIGGLVVAAVALWGFVEFIMIIIGAGGYDKDAAGMPLKR</t>
  </si>
  <si>
    <t>GC_00001394</t>
  </si>
  <si>
    <t>PF19407.5</t>
  </si>
  <si>
    <t>Domain of unknown function (DUF5979)</t>
  </si>
  <si>
    <t>COG3064</t>
  </si>
  <si>
    <t>Membrane protein TolA involved in colicin uptake (TolA) (PDB:1S62)</t>
  </si>
  <si>
    <t>MVLPSSSIALPRASAPRVAAAISAILTLLLSLVTAIPSAHATANTDIIMDEMSLISSDANGVEQTQKIYVSGVAKLKFKFHTVKPEAVVHPGDHFVIGFPEQFEGRDSAGHRFDLKRDGTKVGECEVQNKSLTCTFGDELNAMDKNELSNLTGSGEFLLSATAEYQQETINFTVNGKETEAKIPGGIITRSPQYSAFDLNKYATPIGPKNAAIPWYISFNTENLAKKVGSESKGKSGKSTIFDGRTEQTLTFTDRPGPGITHVKDPKDFRLFFKRSKDAPDSEQKLIVDGAQRTANGFTMEVLPSDTDTIIRITGPWQANASYVITAPTTVEGGNAKQGVMYTNDVDLDINGTLQTAHAEIHYTETGRVDVNLEPGFSSVSVEKRLEGDATSLVPTDAKFNVTVDYKLPEGRTFSDYPGWKPVGTPNADKTGGTVTLEAALGKTEALMSPLPKGSVVTLSENLDKAPASDKIAWDKPKFAVGNNTGEKISFTTEGGKVTAATLTNHANKKAQAKFNLVKKINPAGLSQRQVDALNNSDFALTYRCVAPQGSNGKEITKTVTAKPNTPVETEVIPEGYTCTFSEDMAKAARDGFAEPKLTISQNDVKVGADTKPEVEFINSYTKQAVALKVTKDVRIDGALNDTDKKNLAEFQKQQYNVSYRCVDPADDKAPAVASAVKVAGNGQSVDTLPIPVGYTCTFNEDLRSAARDGYGEPKPTIPGPITVEAGKKAEAKFVNTYPRLTGDITLTKTVTGIDAAKAPASFTFAYKCSDGTTGTKDIKPGAPVPLGIAVPYGTTCDITETNGAVAGYDLKLAQAHNVPVNAPKVNVEVKNAYNKQPFSQFAITKNVEGAEAAKNKTYEFDVTCGDEKFTMKVPAGQTVTYKKEFKPDTKCTATEKTESAEIPGYSHTVYPQKTQEITLGVNTICAVEFTNKYTEQGSFTLTKQVGGTAAPLNGGKKFNFTASWINPMTKQTETKDFTLGDGDKEEFKGLPIGTVVTIQEKKPDNTIVSEWNTPGFATDNAAALVDNGNGTATITVQAGSFAAPTPVKITNTANIPWWWLLVPLVPLAIGGAANAAGSSDGNYTAQAGQLPPNSPNSPAANGNEKGIPKASEQAQPQAKKEGGVLANTGASVIGLSLIAMLVLTLGVGLMIAAKRRKN</t>
  </si>
  <si>
    <t>GC_00001395</t>
  </si>
  <si>
    <t>PF12005.13</t>
  </si>
  <si>
    <t>Protein of unknown function (DUF3499)</t>
  </si>
  <si>
    <t>MTYAYADQTAVVGPLAVASEPHSWDLCEAHAAKITAPLGWELMRVHDIYPDADEDDDLTALAEAVREAGRHSSGLVVDDQPATPPQQRPVIQHRGDGAQGADGANHPVRRSKEIRAHRAQRRSHLFVVPDLNETNDDS</t>
  </si>
  <si>
    <t>GC_00001396</t>
  </si>
  <si>
    <t>PF09856.14</t>
  </si>
  <si>
    <t>Short-chain fatty acyl coenzyme A regulator, C-terminal</t>
  </si>
  <si>
    <t>K|R</t>
  </si>
  <si>
    <t>Transcription|General function prediction only</t>
  </si>
  <si>
    <t>COG1396|COG3800</t>
  </si>
  <si>
    <t>Transcriptional regulator, contains XRE-family HTH domain (HipB) (PDB:1ADR)|Predicted transcriptional regulator (PDB:6CYJ)</t>
  </si>
  <si>
    <t>MGKTYVGSRLRQLRRDYDLSQASLAATLGLSASYVNQIEHDVRPLTDPVLNRITSAFDVDATFFSRDDNSRLLAEVQDAMLDKDLYPTPMDVHELAELVDNHPAIARAVVAMHQRYRNTRTALALADGLDWNDLHTATPIGASCYVCTREDCAQRAYPPIHRPLLIDAHESTVAPY</t>
  </si>
  <si>
    <t>GC_00001397</t>
  </si>
  <si>
    <t>PF14030.11</t>
  </si>
  <si>
    <t>Protein of unknown function (DUF4245)</t>
  </si>
  <si>
    <t>MTLIVIIVVMALTVAFTGMCSLNPGRPENGPVQEVDARQFLDIEARGMAFPLRYPQMPDGWTTNSARRSSVDGAPAPVVGWVTAQGAYVQLLQTDRPLEDAVKDHDDYARKEQTSTSIAGTDVHVYTSEEHDARVLWVADLGDVRLLVSGTAGETEYTQLMEATLKTAPIDAHRP</t>
  </si>
  <si>
    <t>GC_00001398</t>
  </si>
  <si>
    <t>MDRALKLLRMQATDAKEPIDPIENAEPMDPMLIKELTEQMLSIEFLDLMDRNEFLLLTSTRV</t>
  </si>
  <si>
    <t>GC_00001399</t>
  </si>
  <si>
    <t>MLQNPLSAPKNFFLLVLLLCTTGIYFIMLLITLPHLRDAAGGMYPLDMRPLGYDSTYISSLFDALGDDGRRYYLTKQLPLDMLYPGLFALTYTLSIATLQTALRWDSRPNRILRLAPVLTGVFDYLENFTALLLLALYPKIPGFIAQAGNAFTLLKSLCAGISLFLFCGMSLILILRYVQLQRRARPRPSV</t>
  </si>
  <si>
    <t>GC_00001400</t>
  </si>
  <si>
    <t>K25087</t>
  </si>
  <si>
    <t>maltose transport system permease protein</t>
  </si>
  <si>
    <t>Transporters&gt;&gt;&gt;ABC transporters, prokaryotic type&gt;&gt;&gt;Saccharide, polyol, and lipid transporters&gt;&gt;&gt;Maltose transporter</t>
  </si>
  <si>
    <t>MQASLKKYFPIFVLPTLIAFSIAFVVPFIIGFLLSFTEFTTVTDAEFNGVQNYVDAFSKREGFVSSFGFTALVVVVSVITVNVFAFSIAWILTRKLRGTNFFRTVFFMPNLIGGIVLGYTWQSMINAVLAKYSTTIIADWKFGYVGLIVLINWQLVGYMMIIYIAGLQNVPPELIEAAELDGATKWGVLRHVTIPMVMPSITICLFLTFANTFKMFDQNLALTNGSPRHRTEMVALNIVDTMFNRTGVEGVGQAKAVIFVVVVIVFALFQLRATRSREVEA</t>
  </si>
  <si>
    <t>GC_00001401</t>
  </si>
  <si>
    <t>MLFDAIYCITVGIGIMLAATYVAPIIGIPVLLTIAIGCATTVWGIGIVGMMRTIPLATALTTVMIVNIMSTIAVATFSATLAGVGVTFTVLAFALDIAAFAVSQGWALARA</t>
  </si>
  <si>
    <t>GC_00001402</t>
  </si>
  <si>
    <t>PF02548.21</t>
  </si>
  <si>
    <t>Ketopantoate hydroxymethyltransferase</t>
  </si>
  <si>
    <t>K00606</t>
  </si>
  <si>
    <t>3-methyl-2-oxobutanoate hydroxymethyltransferase [EC:2.1.2.11]</t>
  </si>
  <si>
    <t>COG0413</t>
  </si>
  <si>
    <t>Ketopantoate hydroxymethyltransferase (PanB) (PDB:3VAV)</t>
  </si>
  <si>
    <t>M00119|M00913|M00914</t>
  </si>
  <si>
    <t>Pantothenate biosynthesis, valine/L-aspartate =&gt; pantothenate|Pantothenate biosynthesis, 2-oxoisovalerate/spermine =&gt; pantothenate|Coenzyme A biosynthesis, archaea, 2-oxoisovalerate =&gt; 4-phosphopantoate =&gt; CoA</t>
  </si>
  <si>
    <t>KEGG Orthology (KO)&gt;&gt;&gt;09100 Metabolism&gt;&gt;&gt;09108 Metabolism of cofactors and vitamins&gt;&gt;&gt;00770 Pantothenate and CoA biosynthesis [PATH:ko00770]|Enzymes&gt;&gt;&gt;2. Transferases&gt;&gt;&gt;2.1  Transferring one-carbon groups&gt;&gt;&gt;2.1.2  Hydroxymethyl-, formyl- and related transferases&gt;&gt;&gt;2.1.2.11  3-methyl-2-oxobutanoate hydroxymethyltransferase</t>
  </si>
  <si>
    <t>MNSDTGSTPATPPTPATPTKPVRISDLLSWKAEGSKWAMLTAYDYSTAQAMSQADIPVLLVGDSAANVIYGYKTTTEVSLDEMIPLARGVVRGAGKALVVADLPFGTYEASDEQAVLSAARMMRESGAHAVKIEGGVRIAPRIRALVDAGIPVMAHIGFTPQSVHSLSGFKVQGRAGGADALRADARAVAEAGAFAVVLEMVPADLAAEVTRDLPIPTIGIGAGRETDAQVLVWQDMVELPAGGFAPKFVRRFGAIGAALTDAARDYRDAVASGDFPGEEHAY</t>
  </si>
  <si>
    <t>GC_00001403</t>
  </si>
  <si>
    <t>PF11225.14</t>
  </si>
  <si>
    <t>Domain of unknown function (DUF3024)</t>
  </si>
  <si>
    <t>MVLPELDVKYIQKWCALKEHSRHGALSHFEAQTTNIHVTVVRVDIIPTETTEITRMKRFVARFRYTKTTGKWTLYWPDNTGKFHRYKSIPGSKIIRPLLEAVDHNTESLFTW</t>
  </si>
  <si>
    <t>GC_00001404</t>
  </si>
  <si>
    <t>MITPIITDQATGRVLWRVIDCATYCGIGPRTWANYHAGGRTPQPVAHLDGRTPLWDAEEVKAWHANRPGSPIKGAR</t>
  </si>
  <si>
    <t>GC_00001405</t>
  </si>
  <si>
    <t>MTATPQTPLVVRIASSALLSCAVAVLSTDLPKNMRAIIMVTCIAVGIMVIYTHPYRKQVQQFLASHNVKPQPRLTDMLPVIVVWIALLLVPVFAPAPWWLTTICWLGIFAWMWIVFPIIDGTRSLRRLAS</t>
  </si>
  <si>
    <t>GC_00001406</t>
  </si>
  <si>
    <t>MLNWMKKAAVAAAIAIASSTIVAPPAGAIAGGRVNNADSLALLILGGSQCSGTVIAPEWVVTAKHCVHQGNSAIFIKKENYYPKEAVLHPKNDLALIRLDRPTSATPTPLATSHLQPQERATVAGWGGDELTGALMADAVVQRRVHNLPDPLAGVTVIESQIERGRIQLGDSGGPLFDDQGKLAGVQSAAAGPGTVAFHVPVTENVEWISRHAGIPQPQVTDQPSDDVDAAKYPTVVPQPRIPVTGSSVLESVLNYGLDLRSIPIPMSS</t>
  </si>
  <si>
    <t>GC_00001407</t>
  </si>
  <si>
    <t>PF00699.25</t>
  </si>
  <si>
    <t>Urease beta subunit</t>
  </si>
  <si>
    <t>K01429</t>
  </si>
  <si>
    <t>urease subunit beta [EC:3.5.1.5]</t>
  </si>
  <si>
    <t>COG0832</t>
  </si>
  <si>
    <t>Urease beta subunit (UreB)</t>
  </si>
  <si>
    <t>KEGG Orthology (KO)&gt;&gt;&gt;09100 Metabolism&gt;&gt;&gt;09104 Nucleotide metabolism&gt;&gt;&gt;00230 Purine metabolism [PATH:ko00230]|KEGG Orthology (KO)&gt;&gt;&gt;09100 Metabolism&gt;&gt;&gt;09105 Amino acid metabolism&gt;&gt;&gt;00220 Arginine biosynthesis [PATH:ko00220]|KEGG Orthology (KO)&gt;&gt;&gt;09100 Metabolism&gt;&gt;&gt;09111 Xenobiotics biodegradation and metabolism&gt;&gt;&gt;00791 Atrazine degradation [PATH:ko00791]|Enzymes&gt;&gt;&gt;3. Hydrolases&gt;&gt;&gt;3.5  Acting on carbon-nitrogen bonds, other than peptide bonds&gt;&gt;&gt;3.5.1  In linear amides&gt;&gt;&gt;3.5.1.5  urease</t>
  </si>
  <si>
    <t>MKPGQYLLATTPIVCNEGREAITLTVVNRGDRPIQVGSHFHFAETNSALDFDRDAALGKRLDIPAGTAVRFEPGDAATVQLIDFGGTREIYGFRGKVNGTING</t>
  </si>
  <si>
    <t>GC_00001408</t>
  </si>
  <si>
    <t>MSTGAESCHCGCDDVYRSVFELLDTADELTPQRRSELQHIFDTCPHCFEKLGLEQEVRAMLRRCCSTTAPRALRERITISIRVTRTDG</t>
  </si>
  <si>
    <t>GC_00001409</t>
  </si>
  <si>
    <t>K13890</t>
  </si>
  <si>
    <t>glutathione transport system permease protein</t>
  </si>
  <si>
    <t>MVMYLVRKTLSWTLVVFLATNLTFFLASSFLDPRSNYQGRRPPLTPEQITSLLEPYNLNPETPILERWWTWLTNILLHWDWGKSPIGESVNEQISYRIWVSAQLLLLATILSIILGIAVGVYTASRQYKLGDRIWQALSIIALNTHIVVVSIVVVAIALKINDLAGTRIFFVTGASSPGVTGFGPKLIDYLQHLALPTISLLIISYASYHITQRTLLLDNLGADYVRTARAKGLTRTEAIRKHALRTSIIPVATSIAFSVPGIFTGAVMTERIFAWQGMGTYFIETINRNDINGAVAVAAFGAFMTAVGAIISDLVVVALDPRVRVS</t>
  </si>
  <si>
    <t>GC_00001410</t>
  </si>
  <si>
    <t>MNTRRSTARPLSVCALLAMGAISLAACGNQSGNDVDNSSHAQSSSSAAASSSETKEADLSVDQSMAGGAAVWQFPSVVSGWTLGQLDQPGAMQLTNDKGGQYTATQSVYPSPPAPGDRAATQEQTDRWIQDIQAKTTGMQHKTADSTEITASGQPVQMMRTDAEYVGADGQNYRAVVWIRAFTQGTKPGFVSLTYATPTSSFSEEELKGMLEQTKLMNIESSQLNM</t>
  </si>
  <si>
    <t>GC_00001411</t>
  </si>
  <si>
    <t>MSNQRNTTGRRPRITGIDAARAIAIIGMAYAHLGPIFFSSDIDTVASLLTTGFASALFAVLAGVSVSIMSQRGVEKGGVELAQSRQQLMLRGTILIGIGLVLSIAQYNIAVVLSAVGALFLVLPLVARWSNRALWALLVELLVLGPFVIVASDTFNTYVDIISGSYPLTAWFTYGVAGMLVHRYLIHSHMLQWISLVAGVVLAVIGVNARSWISDQLPAPEDPKMYDQLTTDPTPAAGVAGGGPGGAMNSNPDIQSTWWYTYLGPEPHMGGLIDVATSIAVSVAVIALCLLITALPLGRTILYPLRAMGSMSLTVYVAHVLTAAMILTNDNNNPAWSSSEQPATHPLALGVTIVVAIVCAMIWKQFFRRGPLEWVMHVLTVKGARVDMEGVERTR</t>
  </si>
  <si>
    <t>GC_00001412</t>
  </si>
  <si>
    <t>PF11228.13</t>
  </si>
  <si>
    <t>Protein of unknown function (DUF3027)</t>
  </si>
  <si>
    <t>MPTSRHPSQHRRRARSAARTPAFLHGDNAVAVARAALIEEGGAAAVGEHVSVTSHGDGVAEHRFAATVPGYCGWEWCVILACVSGSNRITVNEVALLPGAQALQAPAWVPWADRVRPGDLKPGDLMPPRSDDHRLDDAPAGHPSQKILSTEGLHTTMARWRSGDFGPCSEFARKAEEHCATCAFYLPMPAPAGTAFGACVNEFSADGRIVHSDYGCGAHSNTRANETSVVEKPFDDGNY</t>
  </si>
  <si>
    <t>GC_00001413</t>
  </si>
  <si>
    <t>K03307</t>
  </si>
  <si>
    <t>solute:Na+ symporter, SSS family</t>
  </si>
  <si>
    <t>MNAADTVLRLNASWVDYSLVALYFVFVLGIGWAAKSKVSSSIDFFLSGRGLPAWVTGLAFISANLGAVEIVGHSANGVQYGFQTMHYFWIGAVPAMVFLGIVMMPFYYGSKVRSVPEFMLRRFGSAAHLVNALSFAIAQLLIAGVNLLLLAKVVNSLLGWPMWLTLLIAAIIVLSYITLGGLSAAIYNEVLQFFVIVAGLLPLTIIGLNRVGGWSGLKERVATESHFHTWPGTDISGFANPAWSVIGIVFGLGFVLSFGYWTTNFVEVQRSMAAESMSAARRTPIIGAFPKMFIPFIVVIPGMVAGTLVTPIMDGSAQPNDAVLYLMRDLLPNGLLGIAIAGLLAAFMAGMAANISSFNTVMSYDIWQTYIVKDRDDDYYLKFGRIATVIATFIAVFTAIIAANFGNVMDYLQTLFGFFNAPLFATFILGMFWKRMTPTAGWVGLVSGTAAAIVFWALSLGADPVVSLPGQGVAFLAASIAFVTDIVVSLVVSTFTTPKPDAELVGFVHSVTPKEQLVDAHETTLPWYRRTVPLGILCLAMVIALNLIFF</t>
  </si>
  <si>
    <t>GC_00001414</t>
  </si>
  <si>
    <t>MTSEVLSNRAKVAAICIVTVPFALAACSSGATNSSSGLSTTLTPSTAKEFVAKEANPVTTQDASKEIEDPGLNVRWRLRSVSSDSSGGVVILLNLKNLNDAPLPPSALGQPTLKTKSGNAELMNTNSNSDDSYVNGLDLPLGAGATTSVRYKFNTTVSSTSDAELTIANVTWKGNLQ</t>
  </si>
  <si>
    <t>GC_00001415</t>
  </si>
  <si>
    <t>PF04775.20</t>
  </si>
  <si>
    <t>Acyl-CoA thioester hydrolase/BAAT N-terminal region</t>
  </si>
  <si>
    <t>MELVVRSISGINSPLVIRVQDAQPGERVRIHVSAVDAEKQPWSNEQVFHADEHGVVDVATSFPESALWSPPHHCGLLWTMRPDSIGTNDGEAGAFELNGLASVHIHVKARSEEEGWGALVQRTIAREVEECAAPKGCSGFSPNHRAPGVLLLVDTPPATASASAAALAHHGFTVFYCPEIPADRLPELAAEIHEHERVDSELPLALVAQGRSCADAIHLASTHPDLIGPVVAHSPSDVHCDRPGFSAFMKSAVTGHPAKLWDFYQHAHAKATPLDLSGMTGPLLLTAGTDDAVWDSVGMSTNLEKAAREHNIEVFCVEYPAAGHASGYPFCFSGLPATTVIKDHGHRIAVGGDADANGRAAHNSREQVISFLSSAFGISD</t>
  </si>
  <si>
    <t>GC_00001416</t>
  </si>
  <si>
    <t>MSVQRSMPLVTVRDLDAAIEEYCRLTGMKVIMNHGWIATLASPKDHSIQISLITSDPTAPVNPVASIEVEDVDAVYRIAQDNGWEIVHDLAVEEWGVRRFFVRDADGNVVNVLSHVG</t>
  </si>
  <si>
    <t>GC_00001417</t>
  </si>
  <si>
    <t>MSRKIATALCAAVAVVAPVVATPMITPAVAAESKNSSNPVNELKNSADTNVGKLKNSADSNKGSAKDGSSGSLDSLTDGSDKGMSSKGENKASGLVNDLSSDLGRPGMKIRAVAVTIAVVLGMLTFMGMFTSQILGALGIKF</t>
  </si>
  <si>
    <t>GC_00001418</t>
  </si>
  <si>
    <t>PF11575.13</t>
  </si>
  <si>
    <t>FhuF 2Fe-2S C-terminal domain</t>
  </si>
  <si>
    <t>COG4114</t>
  </si>
  <si>
    <t>Ferric iron reductase protein FhuF, involved in iron transport (FhuF)</t>
  </si>
  <si>
    <t>MKPNTPVWNHIVAEHPRFSTAVFPAENSRRISVEELASVEVLDRAIAASDELFPMGVPKHQAQVWWFSLNNTLLGPALTAMVECHVTPSLDVARGVMFIQNPGTEHGQGYWMSFFTDVFTDDSEAAWRAAGADYARSIAPVIQALAEVAGASTRALWAVSVDAVAGAAVGAGNDAFEPYRGVRIAQALLAGMAEGVPEGVRLPQPHFRDFCDGQFQPTDVAAALAGEERDVHTVPQRVSCCMIYRSPAAGMCLSCPKQTPEERDRQLIDSFTFDF</t>
  </si>
  <si>
    <t>GC_00001419</t>
  </si>
  <si>
    <t>PF11829.13</t>
  </si>
  <si>
    <t>Protein of unknown function (DUF3349)</t>
  </si>
  <si>
    <t>MPHQHTGDNIVTRAINWLRRGYPQGVPSQDNIAVLYVLKRHLSNEDIEAVIKEMIDASPQDSPTRRFTDKQIRDYIRHSVHQVPNPEDIERVKTRLAESGFPVE</t>
  </si>
  <si>
    <t>GC_00001420</t>
  </si>
  <si>
    <t>PF02591.20</t>
  </si>
  <si>
    <t>C4-type zinc ribbon domain</t>
  </si>
  <si>
    <t>K07164</t>
  </si>
  <si>
    <t>COG1579</t>
  </si>
  <si>
    <t>Predicted nucleic acid-binding protein DR0291, contains C4-type Zn-ribbon domain (DR0291) (PDB:4ILO)</t>
  </si>
  <si>
    <t>MKLAFELQRSLLELATLERAGDSPVVSEEQQKRDRLTKELADARSVLGTSQVNISDIEVDIRRIEADMSKLRQREKANKAGLGAAVDVEQRRDLQHDLSTTYRRLDDLRGELKECHDELHALRATAERHKARVAELSDALDRITVPTDNRAERISELRALFDAATLADYDDQVDVYGVGAAAFNGRACGGCFIVLPPTSVSQIRNAPADDVPRCPDCGTYLVRTTAGDAQ</t>
  </si>
  <si>
    <t>GC_00001421</t>
  </si>
  <si>
    <t>MHERKNFKHFNSRTPTHGRVLCHLGMQFHSAGVLLLLFDVMTTFKHVAVGAVALTTTLLLAACGGQQNTASQPTNTPPAASSQSTQATQSVTLQAGTGKVAAQEEQALQLAQQFVNLTDSSAVKSWLDKNADTADKNDLEDFLTRKSSGDSYSTPKDLFGSSNLSLGDYADITYAGMIAAQVTGDKITDNVGKKETEVKHNSLDLLNSSHADGVGLVFILDNGTVKGIITVNNVGGQAKLSEIVDSSGQLSSRSS</t>
  </si>
  <si>
    <t>GC_00001422</t>
  </si>
  <si>
    <t>K07776</t>
  </si>
  <si>
    <t>two-component system, OmpR family, response regulator RegX3</t>
  </si>
  <si>
    <t>KEGG Orthology (KO)&gt;&gt;&gt;09130 Environmental Information Processing&gt;&gt;&gt;09132 Signal transduction&gt;&gt;&gt;02020 Two-component system [PATH:ko02020]|Two-component system&gt;&gt;&gt;OmpR family&gt;&gt;&gt;SenX3-RegX3 (phosphate starvation response)</t>
  </si>
  <si>
    <t>MTTVLIVEDEESLAEPLAFLLGKEGFTVLIAGDGPTALDEFANNDVDIVLLDLMLPGMSGTDVCRQLRKTSTVPVIMVTARDSEVDKVVGLELGADDYVTKPYSSRELIARIRAVLRRGGDADHEPEPNPSVLGDGRVRMDLERHTVTVDGVDTPMPLKEYDLLEYLLRNPGRVLTRGQLIDHVWGEDYVGDTKTLDVHIKRIRSKIEEEPKRPTHLVTVRGVGYKFDA</t>
  </si>
  <si>
    <t>GC_00001423</t>
  </si>
  <si>
    <t>PF02492.25</t>
  </si>
  <si>
    <t>CobW/HypB/UreG, nucleotide-binding domain</t>
  </si>
  <si>
    <t>K04652</t>
  </si>
  <si>
    <t>hydrogenase nickel incorporation protein HypB</t>
  </si>
  <si>
    <t>COG0378</t>
  </si>
  <si>
    <t>Hydrogenase/urease maturation factor HypB, Ni2+-binding GTPase (HypB) (PDB:2HF8) (PUBMED:24338018;23899293)</t>
  </si>
  <si>
    <t>Chaperones and folding catalysts&gt;&gt;&gt;Other chaperones and cochaperones&gt;&gt;&gt;Others</t>
  </si>
  <si>
    <t>MGRFHRHDDGTVHEHHHGDHPHDHSHHDHGDHSGYETGRERIEVLEDIFAENDHCAAHNRDAFDAHNVQAINVMSSPGSGKTTVLQHVLAAAQAAGIRTGVIEGDIETSLDADRLGGYGAQISLLNTGNGFGGECHLDAPMVAAALSRLDLSALDLVLIENVGNLVCPAEFEVGEHRKLMVYAVTEGEDKPLKYPVMFRSVGAVVVNKVDLLPYLDFDRELFLANLEKVNPGVPVFEVSAKTGEGMVELLRWFSPELKPEL</t>
  </si>
  <si>
    <t>GC_00001424</t>
  </si>
  <si>
    <t>K19270</t>
  </si>
  <si>
    <t>mannitol-1-/sugar-/sorbitol-6-phosphatase [EC:3.1.3.22 3.1.3.23 3.1.3.50]</t>
  </si>
  <si>
    <t>KEGG Orthology (KO)&gt;&gt;&gt;09100 Metabolism&gt;&gt;&gt;09101 Carbohydrate metabolism&gt;&gt;&gt;00051 Fructose and mannose metabolism [PATH:ko00051]|Enzymes&gt;&gt;&gt;3. Hydrolases&gt;&gt;&gt;3.1  Acting on ester bonds&gt;&gt;&gt;3.1.3  Phosphoric-monoester hydrolases&gt;&gt;&gt;3.1.3.22  mannitol-1-phosphatase|Enzymes&gt;&gt;&gt;3. Hydrolases&gt;&gt;&gt;3.1  Acting on ester bonds&gt;&gt;&gt;3.1.3  Phosphoric-monoester hydrolases&gt;&gt;&gt;3.1.3.23  sugar-phosphatase|Enzymes&gt;&gt;&gt;3. Hydrolases&gt;&gt;&gt;3.1  Acting on ester bonds&gt;&gt;&gt;3.1.3  Phosphoric-monoester hydrolases&gt;&gt;&gt;3.1.3.50  sorbitol-6-phosphatase</t>
  </si>
  <si>
    <t>MSRTHLLATGRAFLFDMDGTILDSNAIVEKLWRVFAKRHNLDADDILSFSHGRPSITTIAHFLPDLSADEHQHLSDERTAEEIRITSGIVAIPGAVAFFQQLDQLGVPYAVVTSATADLARTRIVAAGLPIPDVLVTPETITQGKPNPEGYLTAASQLGVAPSQTVVFEDADAGITAGIAAGAQVVVVGSATRHDDRMQAHPHIPDFRGVTVDALGDGTFTVATP</t>
  </si>
  <si>
    <t>GC_00001425</t>
  </si>
  <si>
    <t>MKKVYYPGRILERNVGGNTTYTRAIAEGIKEYGWEVDTLPYHSKAPVTALMEQYSALQKPTSGELVHYSADTGPLIPVRRPSVVTVHGVASAVAEGVRNPVQEFTWRSRVRAAMRFTDALITVSESSSETLQDVFGIDAAKINVIPHGIDVDLFSTPAVASPEVLDRLPEDYLLYLGNIEPRKNIIELVNAVDRLALPLVVAGRAAWNSEDIERRIAESPNTVRVGFVSNADRVYLLQHCRAFLFPSLYEGFGFPVLEAMAAGAPVLATRRGSLRDVAGPAGHIQDVTADAIEEALNTYLNDNTWLEQVKDEGRAWANEFSWANSVAAHHRLYEELVA</t>
  </si>
  <si>
    <t>GC_00001426</t>
  </si>
  <si>
    <t>MSVSAYTGVIPPVVTPFNEDFSIDRESLATQVRRMIDAGVDGLFALGSSAEVAFLTHENRRAVIETIVKAADGKVPVLVGVIDTTTLRVAEHVADAVELGASGLVATAPFYVRTHPNEILNHFRLIHEMAPELPLYLYQIPVSVHVTVSDDLILQLAEEGVIAGLKDSSGLDGATRALIEKRNARNLTNFKVLTGSETTVDLNYFFGADGVVPGLGNVDPAGYVRLAAACTAGDWDAARAEQQRLNKLFQIVFVGDGARMGGSSAGLGGFKAALQHLGVFTSGRMAPPHVALNDEELAIIHSIVDQADLN</t>
  </si>
  <si>
    <t>GC_00001427</t>
  </si>
  <si>
    <t>COG0444|COG1173</t>
  </si>
  <si>
    <t>ABC-type dipeptide/oligopeptide/nickel transport system, ATPase component (DppD) (PDB:4FWI)|ABC-type dipeptide/oligopeptide/nickel transport system, permease component (DppC)</t>
  </si>
  <si>
    <t>MRSNLTTKLENKAGGRFSNLKNLPTPSKIAVTFLLLVVAVAVMAPLLTNYSPLASGPPVKPPSGDHWFGTDAIGRDIFSRVAYGARSSLVIGLCATAAALVAASVLGSIAATAGKAVSEVLMRVLDIIMSFPGIALAAVFVAVFGNSLPVLVFAIGFLYVPQLSRVVRANVIAAFGEDYVSASRVLGASTAHILLKHVARNCIAPIAVFATVLVADAVVFEASLSFINAGVKPPNPSWGNILADGKQLLLTGAWWPTFFPGLMILLTVLALNILAEGLTDALAAPAVKPAAASKPDSEVVAEANTLGQTSAEEAAASLNESLSALAEAEKNNDRRLVFDGADDNLIEVRNFSIQFPNSHGDVKIVDNVNFTVRAGETMGLVGESGCGKSITAMAIMGLLPKTAKLSGEIIYNGKNLLELSPQEHNALRGHEIAMIYQDALSALNPSMLIRTQMKQLTKRGGKRTAEELLELVGLDPERTLQSYPHELSGGQRQRVLIAMALTRNPRLLIADEPTTALDVTVQHQVVQLLNDLREKLGFAMIFVSHDLALVGRLAHKITVMYAGQVVEQGTTREILTDPRHEYTRGLLGSVLSIEAGVDRLYQVPGTVPSPREFVDGDRFAPRSSYPTIGLHEKPHMRAIPGTTHSYAVTDELLSVLGESGEQS</t>
  </si>
  <si>
    <t>GC_00001428</t>
  </si>
  <si>
    <t>MDPLRIEPATIERFNDMELLLSPKKSPTAKACWCLSYRLGYKAAAKLDAAARRAEVQHLCQAEPAPGILAYRDDADGTSTVVGWAGVAPRADVAELSTAAYPRIADDAPWSIFCLRTRARMRKGGIGQQLLAGAIAFAWDNGATVIEGYPLDTDAKVAPIFAYPGFRRMFEREGFTKVADTTSALDGVPRILMRLTR</t>
  </si>
  <si>
    <t>GC_00001429</t>
  </si>
  <si>
    <t>MRERNILGEQPLMQRRRVSMRQGLGCRSVLATMSAGVGLATTLTACAPEPQGVRHESAYLPVQVSVDSSSMEQRVLGELYVQAFNNRGRMAYINLDVDSDEQRRVQRLNERTADVVVGCTGELLQQMNPARAKELSEKYVADKESGDVDPNSGEWRDRVYKEMVKSLPGSMMATDPSNATGCEQYSGPELPQNIVPIYRKPILNRNDRQVLNNVDGLLTTSDLSELSAEAEKQSSVSAVVIPFIEKNDL</t>
  </si>
  <si>
    <t>GC_00001430</t>
  </si>
  <si>
    <t>PF04186.18</t>
  </si>
  <si>
    <t xml:space="preserve">FxsA cytoplasmic membrane protein </t>
  </si>
  <si>
    <t>K07113</t>
  </si>
  <si>
    <t>UPF0716 protein FxsA</t>
  </si>
  <si>
    <t>COG3030</t>
  </si>
  <si>
    <t>FxsA protein affecting phage T7 exclusion by the F plasmid, UPF0716 family (FxsA)</t>
  </si>
  <si>
    <t>MPQVKRRAELSIVGTVPVLIAIPYFLIEALAFWGVAQWLGVGWALILLFLFFFGGLFLAATEMRRIAVRASQGKTTPGTLAGDYGLLAAGALCVALPGFVTTILGLLLIIPPTRSVARRILARKVRTSIENLGARSFDTVNQFRQQTSYGSFVSDQEPEDRQPTDQEIQRWSNNVRPEDFGTNSKDA</t>
  </si>
  <si>
    <t>GC_00001431</t>
  </si>
  <si>
    <t>MSEQVTSVTFDDVVNVMGEFGITLTLADDEPIGSANLNGYNVTFALVNNTAVIVRADKTTEEKVADGNPTFFLACNHFNAYVHSTKAAAVNRTEMVIIRTECEFIVAAGLTHEQLKTYLKSSVDNVLAAQENVAQLAASLQGNGNTESEAKDTDN</t>
  </si>
  <si>
    <t>GC_00001432</t>
  </si>
  <si>
    <t>K13891</t>
  </si>
  <si>
    <t>MTIDKNPNDLGLDIEPEVEDGLTAEDAADVVRGTSRLKLYVRRFFRNKLAVVGLVIFVLLAILAVVGEYCAAWKFDDPDFLNISSPPSPEHWFGTNDSGNDLFAQTAHGLGRSLIIAVTVSLGTSILSAVIGAGAALFGGWVEKLTLLIIHFLLAIPAFLLIALMVSSSGGDWKMLIIVLIGFGWYYPARVIWSLSLGIREQDYVRAAKYMGVSYAKIITRHMIPNIGSLLIIYFVLGVVGTVMSETALSFLGLGVKLPDVSLGTLLTGGTASLVSTPWQFYFPAAVLTLLTVSMALIADGLRDALDPNSKSGGNA</t>
  </si>
  <si>
    <t>GC_00001433</t>
  </si>
  <si>
    <t>PF13809.12</t>
  </si>
  <si>
    <t>Tubulin like</t>
  </si>
  <si>
    <t>MRKFLVVGCGGSGAKTQAYMMDQLKALMRNIEPERTELPKCWQFVTIDVPLTPENGPSKLPNVPQAGGRYIGIGSAQRYSTFDIGVSSELVNNGGLKEIATWAPANPGSIATPVSDGAGQYRALGRMLTIPAVKKIQEGLKLSLDVLNNAETIKELNELNYKITGKRADANLQSPVILIISSMAGGAGASMFLDVCRILSTLPNSKPQHTGVFMFTPEVFSEIPKEMMMGAWPNSLAMFGEAVAAQSGAAVESDTALFSALGINGANEPFTFARMFPIGNRMGDQGAVFGDGSSNGVYRGLGRALSALMYSEQACESFVAYSLGNTGSPDANRNYLGWAEPNGLPWDGMPWGTMGFAQLSMGRDKYAEYAAQRLARSAFDRLLRGHLDPVNPATAEEQLKARLEERLPNVFTSLKFLPQMRTTQPTGHMIGQWLRSIFGQELATAADTCVATLRNSLPQYVEGQRGQEWAAAVYDRLAHPALAATITTDLNNAAYTAIYAYADELMNNLISVCEVELATMGVPFVEAVLNEITDLIQQRILPALNNISHKTTNYNPLAKPGQVDVILQPINGRGRAYNLDETMGEIAYAYRGQFETGFLSALSRNLMPVLDDFRVSGLSRLVREINDAHADLIEADRRKDINTNLADVSTDDPVAWPTDLDERISDRFHGSYNEILITEVDSFPQDYDSHLVETVRVSEPTVFDVTQASRLAARSVILGDWETTDALKAPKNTLAPQLRPEVKGNRAGWVCKHLQNPPLGSGLPTRESSPAVFRALIRPKNLLGRARIWINRPGYHFQRFIGMDLRSYMTQDQSVNDVEYHERINRLRAAFEVALSQARPLAAVNAAMVNLVHGTDVTYRYSFSEIPFRDLSAAAELGSVLDGVQALDNHTKDVFEKSLSDTKKVQHIDIFGSYPNYSPIVFSSLLPRISDDWASRMDRVNAWKLRRARPLTGALPLSNDERKAMVAGWILGLAVGRVLVYNQGEKDARAYVFDAKHNEWLKFPHPLLTEPGNMRNPVDWMPAVIESVLLAYADSHNKNGHGGLAGSLIPYRVLRGIYDDSNYQPTNKDSGIQHPAVKVMAEFMRTGVFPARQNEIVGESIEERAQLIRAALNKTSAVANQFIPSTTFGFPGAAAANKPWALPPDREYAAKMPFYRDFAQDVVEMSAQLHSLIDEAQRVAEQPQQTQPVFDPNQHTSAAQPSTNAPKEFDFGGGIL</t>
  </si>
  <si>
    <t>GC_00001434</t>
  </si>
  <si>
    <t>PF13490.11</t>
  </si>
  <si>
    <t>Putative zinc-finger</t>
  </si>
  <si>
    <t>COG5660</t>
  </si>
  <si>
    <t>Anti-sigma-YlaC factor YlaD, contains Zn-finger domain (YlaD) (PUBMED:16501307)</t>
  </si>
  <si>
    <t>MIDCARVQAALSARLDGEDTGVPDDVVDAHLSGCVECQAFFEQAARLNRQLRLTEVPVGDAVPDLSEMILAGVEPVRRRRAASRVLGLALSRVMLILVGLGLVVWAYRLVALSTVGPGVELSDVDTSAASGLLVDAAAIRLALACGLFFAAWRPQISAALMPVYGAFAAFSCGFATRDLVLGQMTAQGLAGLALLVASAAALLWAWLNSSGFGEFGRVWRSITAQPY</t>
  </si>
  <si>
    <t>GC_00001435</t>
  </si>
  <si>
    <t>MSAENQMAEYPVFDGQVSSRMNYIDGYDPSSLMAPHSSLLRTSTWVGMGLVLSSLAAIGLTIFGAASSVYHISDYASTYLIIGLVLAAILLVGGFGLIQYGRRYYYQYRAETGRVN</t>
  </si>
  <si>
    <t>GC_00001436</t>
  </si>
  <si>
    <t>MSTPDNPYGSTGQPYGSNDPQNTGAANGGYQAGQQNYGQEFGQGSSGPEYSQATSGQQGYGQQDFGQPSAQPAGTGYPSYPGAENTSGSYGAGGYPSAPAYGGVEIQERNTLAPWALGLSIAAIVFAISIIGLIIAWLPALVGLILSIIAVLRAKKIQGPYRRMGMSVASLIISGLTTALFVIGIIGFSILMANSGEAIQKCQNDYPTNSSAQQQCINDAVQDALGG</t>
  </si>
  <si>
    <t>GC_00001437</t>
  </si>
  <si>
    <t>PF01842.31</t>
  </si>
  <si>
    <t>K07166</t>
  </si>
  <si>
    <t>ACT domain-containing protein</t>
  </si>
  <si>
    <t>COG3830</t>
  </si>
  <si>
    <t>ACT domain, binds amino acids and other small ligands (ACT) (PDB:5IS2)</t>
  </si>
  <si>
    <t>MFAIMTVTGIDHVGIIAAVSTACAELNINIHNVSQTLMDDYFTMILHVAFDESEVDITTIQEKMTEVGEREKLVIRIQSQAIFDAMNII</t>
  </si>
  <si>
    <t>GC_00001438</t>
  </si>
  <si>
    <t>MRGAAAGAAALSKGLWSGKGSKLLSNDLSSNARVMVGCDWLSDWFSNWLSLNRDASGSIGGLPQISHCEKRRTVAAVEQLVS</t>
  </si>
  <si>
    <t>GC_00001439</t>
  </si>
  <si>
    <t>PF12833.13</t>
  </si>
  <si>
    <t>COG2207</t>
  </si>
  <si>
    <t>AraC-type DNA-binding domain and AraC-containing proteins (AraC) (PDB:1BL0)</t>
  </si>
  <si>
    <t>MDICRIVSYLRTHLWDDDEPTLSRIAQEHGYSAFHLSREFKNQAGYSIRECIEALRIQRGIEQIMDHGMSVTDSALAAGYSSLGTFSNTFKKHTGVTARDYPKEASKAQAVLQKIANRDGLLVHRQSKVTTNNTLSVSTHYPDGYSSNVTCVGLFPTAIPKGMPVVGAALVGRTSCTFTNIPPGEYYLLACELRYSANPARALRDNLRQRVERKLAFPNDSGATFALDMRPPAPQDPPITMNFPILTMRHLLKNRNS</t>
  </si>
  <si>
    <t>GC_00001440</t>
  </si>
  <si>
    <t>K01239</t>
  </si>
  <si>
    <t>purine nucleosidase [EC:3.2.2.1]</t>
  </si>
  <si>
    <t>KEGG Orthology (KO)&gt;&gt;&gt;09100 Metabolism&gt;&gt;&gt;09104 Nucleotide metabolism&gt;&gt;&gt;00230 Purine metabolism [PATH:ko00230]|Enzymes&gt;&gt;&gt;3. Hydrolases&gt;&gt;&gt;3.2  Glycosylases&gt;&gt;&gt;3.2.2  Hydrolysing N-glycosyl compounds&gt;&gt;&gt;3.2.2.1  purine nucleosidase</t>
  </si>
  <si>
    <t>MRPVLLDCDTGIDDAVALTYLACLHRQGTINLAAVTTTAGNTSATQAAMNSRFVLDQCSLVDVPVAAGCTEPLEVPLVTTPETHGPLGVGYAEHSVDLPPARPGEWMRLWDEAIREHEDLHLIVTGPATNLATYMQQRDQLPKHITLMGGAYLYPGNTTPTAEWNSWVDPHAAQVAFKHTPTPITVCSLEVTEQMVITPDDLPLLPEFLHPMLRFYFEFHQAQGEGYQAQIHDLLTCMVALGAVPYQAIPVTVDVETTSQLLRGTTVADFRNHWGRPHNARLVRDADVKAAKRELVGVVKQLL</t>
  </si>
  <si>
    <t>GC_00001441</t>
  </si>
  <si>
    <t>MDRPIPHDPRVPAVTPADVEKRLAEVLGREVSSLVEEAAVLEEAHALLSEALQ</t>
  </si>
  <si>
    <t>GC_00001442</t>
  </si>
  <si>
    <t>MRELRADDRDLLVEATFCNVNWVEERFTRDDVLTNPYFRHYHDPWQESDFGYVAENSNGRAIGVVWLRFFTADDPGFGFVDEATPELSIWVAEGERRRGVGGQLIDAAIRAARSKGLRRISLSVEEGNPARRLYERAGFAWAGSGFDTGTLVLELA</t>
  </si>
  <si>
    <t>GC_00001443</t>
  </si>
  <si>
    <t>MYDNSDTSKFTAIKQLPQNGRERLVYESEQRIINWLNSNVAKSVQRIGRIDDLDAPAPSTLPDIVVDDRTAVIKTVHSKESIVKRAAWAVLQSRMMIFDARGADGRNLVGEKDIEAGMRQAVQDYGMNIDLIIVFNNDATLFWEAES</t>
  </si>
  <si>
    <t>GC_00001444</t>
  </si>
  <si>
    <t>PF14080.11</t>
  </si>
  <si>
    <t>Domain of unknown function (DUF4261)</t>
  </si>
  <si>
    <t>MPGGIAMLLQHHVDAGVTPEAVRDQMLADWPDLGPITVMPPSDMDDEDGAVAQFSLECENAIIIVTTMDSQFADDTAELCAGSRLWPDAATFDTDYQATTIVAVYFEDEDAADLAVRALLTQAMASIIAVSNEAFAVYWGDADHVIIPPLFREMAQEILPNPPLYLWVAFNAGFREGGEFASTTVGLDSLGLMDIEIPDSSKTPEDTQEFVLNLVIYLLENGPVIADGDTVGESETERIRAVYTESMFYPDKTVIQLRNEQSGSDKGNGKPKRSWFRRGRR</t>
  </si>
  <si>
    <t>GC_00001445</t>
  </si>
  <si>
    <t>MPKKMLYKAAVVGASVAAATALMTPAVSAQTKFPVDLGGIVTVNYRDDHNQFCVTTQNGGSAKVHLSPRVPGQGPVKEFVVEPYSTGCAFLGEARENTEYRWHVDGYYWADGSGTFLT</t>
  </si>
  <si>
    <t>GC_00001446</t>
  </si>
  <si>
    <t>PF09339.16</t>
  </si>
  <si>
    <t>IclR helix-turn-helix domain</t>
  </si>
  <si>
    <t>MKLWFSRNKSNGDNATAAESEEVRPLVAVTRAIEGGATTVSAIVQQTGLQESTVSAAMEHLERTGYIHRRLDVVCGGSCGGCALSDDEGGTCNHTATPGTPQGLVTLTLTRRVPGAPGEDTEETAE</t>
  </si>
  <si>
    <t>GC_00001447</t>
  </si>
  <si>
    <t>PF24837.1</t>
  </si>
  <si>
    <t>AMIN-like domain</t>
  </si>
  <si>
    <t>MTASPAFVFGRAAVAVVGTIVFAACVTACVDSGTSTAHSGSDSVASTLSASSGSGSSETTPPAPDAGMRSLGSANTNLKTQRPGAPAQLVVTNVRVGTHEGFERIVFEFHGSGDPGWFIDYSDSPTQQGSGSPVEYTGDTALNINIDGTAYPFEVGIPDPRLNPVPGSGGIVTEVVSAGTFEGRSQFVVGIKGSAKPYSVQVLKDPVRLVLDISS</t>
  </si>
  <si>
    <t>GC_00001448</t>
  </si>
  <si>
    <t>COG1233</t>
  </si>
  <si>
    <t>Phytoene dehydrogenase-related protein (PDB:4REP)</t>
  </si>
  <si>
    <t>MPTPRAFIIGSGPNGLSAAIVLARAGFRTTVFEQSDTLGGGCRSITRQGLTIDTCAAIHPTALASPFFQSLDLPISYAQPDIPLTHPLSDGDGLTLHRDITHMPRSWQRIFRPLTSHIDAVTSLTFNRRNTHLPTTIHFARHAATPASRYNPLFQGIAAHAFTRLDTPGSSAVGLALGTYAHTVGWPVIVGGSGALTAALVEASTRAGSGVQFTTSTRITSLRDLDAHPQRDVVILNTTPRFAADFLATSQQPRRIAKRYRRFRHGPAAYRIDIALRGDIPWLYDDARRAGTIHLGDPVATENDIAARKLPDLPFTLVGQQYLADPTRSTGNLNPIWAYAHVPAGYRGDVTSHILTHIEHHAPGFHDQIEQVWSRSVQQLEDDNPNYSGGDIAGGANTLRQLVARPRLRAPYDTGVPGVYLASASTPPGGGVHGMAGYHAARRALELYG</t>
  </si>
  <si>
    <t>GC_00001449</t>
  </si>
  <si>
    <t>PF02016.21</t>
  </si>
  <si>
    <t>LD-carboxypeptidase N-terminal domain</t>
  </si>
  <si>
    <t>COG1619</t>
  </si>
  <si>
    <t>Muramoyltetrapeptide carboxypeptidase LdcA (peptidoglycan recycling) (LdcA) (PDB:3TLZ)</t>
  </si>
  <si>
    <t>MLRLKDLTGLIPVEFPTTRLIDASPQHRAQDINSAFADPDIKAVLATIGGTDQITVIPHLDAQLIHDNPKIFIGYSDNTNLHNWL</t>
  </si>
  <si>
    <t>GC_00001450</t>
  </si>
  <si>
    <t>MVSTQTTAQQADPSQSVQWPRGFTFNFFRLLKTRNTWKALCWSYVMAILALPLLVVCGFVITIPPTAAAIDWLARRGARWMGMTVIQRPRSGWLDWRLIISLAAQVILSSVCLIITLMLSMMAIALTAELVMLGINGSPHDYGLTFGDWQPPIAVSIGFDVLTVFSSFAALVYAGWFFTGASMYVTTAANLSTQEQVEEIERSREVLIDAFTGERRRIERELHDGVQQYLTALQLNIATLELSMDSPSESATESIEQAKLNARRALEALRSTIRGIYPQVLQDMGLVAALRELVAHSGIEGEVLVAASPGASDHIEGTPALLMYHCAAEGITNAVRHGKATHVCIRVHFDHESTVLAVDDDGIGVQEGVEKQSSSGTGTAGLQERAAALRGAVVLEPSALMRGACLRIKLPRIEVISAAESL</t>
  </si>
  <si>
    <t>GC_00001451</t>
  </si>
  <si>
    <t>PF02682.21</t>
  </si>
  <si>
    <t>Carboxyltransferase domain, subdomain C and D</t>
  </si>
  <si>
    <t>COG2049</t>
  </si>
  <si>
    <t>5-oxoprolinase subunit B/Allophanate hydrolase subunit 1 (PxpB) (PDB:2KWA) (PUBMED:28830929)</t>
  </si>
  <si>
    <t>MNIARNGDHALIIDLDSLDDVVDLHAQIQALDLPQVRELVPAARTITVHLNPHIASQADTAATLETLVVGAASTSALHTATVTIPTRYDGPDVSTLAAHLGISERELIDAHTSMEWRAAFGGFAPGFTYLTPTDDWWDVPRHSQPRPSIPAGSVGLAGEFSGVYPQASPGGWQLLGTTTTPMWDLTRESPALIQPGDTVRFVEVDDV</t>
  </si>
  <si>
    <t>GC_00001452</t>
  </si>
  <si>
    <t>MPEATDTMKPPQAGEQVLDAGNKRRSTRPLSQSINENYF</t>
  </si>
  <si>
    <t>GC_00001453</t>
  </si>
  <si>
    <t>MNTLRYMSFDIRRALKEPTALAVSIALPSILFIVFGASQNGTDRPINDGNVASYVMIGMAAYGAITGAVGTVGSMVVDEISGWGRQLALTPLRAWQRIIAQIATTMSRATLAVIGVFLCGYFGSASMPIREWLAAGVLSIIAVIPFSLYGLIFATAFRSSAAVSLSTLSVVPMSFLGNAFTPMPESFMPFARFTPIYGSVSLARYPMTDGMQALSSAPYTVDDPLWYALVNIAAWTLIFALICTLLWRRDKGR</t>
  </si>
  <si>
    <t>GC_00001454</t>
  </si>
  <si>
    <t>PF22752.1</t>
  </si>
  <si>
    <t>Inactive DUF488-N3 subclade</t>
  </si>
  <si>
    <t>COG3189</t>
  </si>
  <si>
    <t>Uncharacterized conserved protein YeaO, DUF488 family (YeaO)</t>
  </si>
  <si>
    <t>MTVTAVKVHDIIHDPPLIDVVGATVLVDRLWPRGVAKTQFTPDYWLKDVAPSTELRKWFGHEPARFTEFRERYLAELDAAYSAGSQELHELMSLVESGDVVLVYAAHSRTCNHAIVLEEWLSAPKDGSE</t>
  </si>
  <si>
    <t>GC_00001455</t>
  </si>
  <si>
    <t>MNNFVEQYTRLATEEQRENFLVGYNNDNEEPFNDDEVDILLRDLHSTSEPFFKVAIINCLARNSNSFFIKNALIALISDMSEDELVLSHAAQDLRWYRLDADDYQVVFDALVEYHGKERYENCTSSLIRILYRNRKKGALPYLLELRSRGFYQGVYWVDNAELEQPLL</t>
  </si>
  <si>
    <t>GC_00001456</t>
  </si>
  <si>
    <t>MSDDATACRLYEQWGAELATKNDVTMLLLTIDDTDDIISTVADSISQITLAFPEVVAESVYRDLVSLSDIADRVGVTKEAVRKWTMLTTTPFPHQFSTIGAGQKVWDWIDVYDWLTQVKKFDMEDEFLPTRKQVIAIDAYLARIPDCIELEWNHLQLKAQA</t>
  </si>
  <si>
    <t>GC_00001457</t>
  </si>
  <si>
    <t>MKRRYGLLAAAVATSILLSGTTPAVAIPNPAPAADHIAPADPKVPTNKKERVLLGIAAAQDVATAAQEVRDTHNALSKAESTDGLSYGEAGMQFNKSVETLNANVSNLNLPKIGEPGGPVALDTLGNISVIAEDYRPFTSEKALTDFDNKLDEAYHRSSDDKHNTVVDANNKILAAQKQMKATLDGYYAAIAEAEKAVAAAQEKYDIAHSRLDKNNTREALKDYKAEALAQIDGELKKLNDRKSSPAVDAARAALNDAKAKFNAIPDGLPSDNKNAVTAAIAALDAALKAVPADKPSPGQKPTGKPGGSSPFDFLTSIFKAIGSFFTGIFGKGLSS</t>
  </si>
  <si>
    <t>GC_00001458</t>
  </si>
  <si>
    <t>PF19053.6</t>
  </si>
  <si>
    <t>EccD-like transmembrane domain</t>
  </si>
  <si>
    <t>K27087</t>
  </si>
  <si>
    <t>ESX secretion system protein EccD</t>
  </si>
  <si>
    <t>MTTINTSHTLRLTVRIELFDASTSIDLTIPTSSSLAEIIDEILAIANLPTNPAPWCATTVAGQELDPTIPLAQCHLTQGDILVISPITETPTPVVRDAAELLENLTQATPPPIGTVFCAGLAGLLGLILLVATLPGVPLILRLLIPVVAALGMLLWTRKLFFTPITVGGISLTTLIAIAGSPTLPTGAHMSDSQFARMWALACACAGIVLIVSTLLLRFITPHISTISTLITIGSSLIIMAVGACFYHPPLIALTDPTWSWLVNAAALVVAVGIITLAFSPLLSIKIAGVRVPQLPTSGQDLSISDANQTDTPRRALLAQHILDGIMIGLGCVLSPAIIVVCGWAPQRNFSFALAVCMCLSLVVHAHRHHGSPRTWSLWIPAMAAACGTALSASPHLIDSTAPPAHPGLIIAAFLVSTIVFTAPGWAKHLTDLEPTTVVWVERAELLSIAACLPLALHLVGLFSLLRGIAL</t>
  </si>
  <si>
    <t>GC_00001459</t>
  </si>
  <si>
    <t>PF09346.15</t>
  </si>
  <si>
    <t>SMI1 / KNR4 family (SUKH-1)</t>
  </si>
  <si>
    <t>COG4282</t>
  </si>
  <si>
    <t>Cell wall assembly regulator SMI1 (Killer toxin-resistance protein 4) (SMI1) (PDB:5J1B)</t>
  </si>
  <si>
    <t>MVSTFSYILVCMPTVVSEYLAILRKNFNEDDRESFAHVTGATDNDLARVLAVYPDTPEEFQQLLKQVDGTWGRDYGNHEVLVYMFASDLGAEETETGDYNYPYFMNSCEQILDERDDSSIVDMYGDDAIEDGDVDVDPQIDPTIPMSQRLQFANCMNNGGTSQLYIDFNPTSRGVSGQIICYVHDPDACIVLTPCFSDFLQKHIDSSCSFLPYNYELDESD</t>
  </si>
  <si>
    <t>GC_00001460</t>
  </si>
  <si>
    <t>PF03960.21</t>
  </si>
  <si>
    <t>ArsC family</t>
  </si>
  <si>
    <t>K00537</t>
  </si>
  <si>
    <t>arsenate reductase (glutaredoxin) [EC:1.20.4.1]</t>
  </si>
  <si>
    <t>COG1393</t>
  </si>
  <si>
    <t>Arsenate reductase or related protein, glutaredoxin family (ArsC) (PDB:1I9D)</t>
  </si>
  <si>
    <t>KEGG Orthology (KO)&gt;&gt;&gt;09190 Not Included in Pathway or Brite&gt;&gt;&gt;09191 Unclassified: metabolism&gt;&gt;&gt;99980 Enzymes with EC numbers|Enzymes&gt;&gt;&gt;1. Oxidoreductases&gt;&gt;&gt;1.20  Acting on phosphorus or arsenic in donors&gt;&gt;&gt;1.20.4  With disulfide as acceptor&gt;&gt;&gt;1.20.4.1  arsenate reductase (glutathione/glutaredoxin)</t>
  </si>
  <si>
    <t>MGSTVTIYHNADCSKSRAALAYLAEHAPDREVIVVNYLDTPPSKSKLAELIRRGGMGAHDLIRTGEAWYRKLALDETMSDDDLCAAMAQHPILIQRPIIETDSGVVIARPITKIAEVL</t>
  </si>
  <si>
    <t>GC_00001461</t>
  </si>
  <si>
    <t>MASIKFLKRANFPYLTVVYFDNKLYISEEVVKFLKESKDIKKKLFEVIKLTIR</t>
  </si>
  <si>
    <t>GC_00001462</t>
  </si>
  <si>
    <t>PF00805.28</t>
  </si>
  <si>
    <t>Pentapeptide repeats (8 copies)</t>
  </si>
  <si>
    <t>MIRLTGWEELQNYGEELRNTIEFITTMGPATIRDAHVTGLRLQNEKLLCGTNFDNVEFVEIEINDVEFYSVELMVNCMVSRIVAKDFSFERLGAAYLTLRDCSIENFSNTFRFSNNAFTSIENTQLLHVDLNGYGDSFINNITDSTISGFLNHVVFRENAQHTQCQGVDLSEARLRGCEFYGIDMGRVKPNPAWQNLIVFDWFQYVADLREAAKHMRFSDSELDRDAAKYITKDLVDDEAAYAKPLDAQRGAKYLGVIVAPRVKEDTRKRIAQIYSDVGVNLNA</t>
  </si>
  <si>
    <t>GC_00001463</t>
  </si>
  <si>
    <t>MSKADAVHSIAGFSTEGSFLNTLAGFLNPFGKVADAVGDLLGLLPKA</t>
  </si>
  <si>
    <t>GC_00001464</t>
  </si>
  <si>
    <t>MSTMFDPSDFWITSDLHLGHPLVTHNRGFTETYHHDSTVMAALSELPDNATLVCLGDISVRKDQYALDKLAELKFAKDLSLILTPGNHDKCHPMFGVESQLTWLPQYQAVFDIVVENFQLNHDGLDVLFTHIPRTDDPYRKGALNRWIARDGFDCVVHGHTHSDQLLAPHHVNVSLEATDFHPIHSSELWGYVKQAVKPTRRVRPKR</t>
  </si>
  <si>
    <t>GC_00001465</t>
  </si>
  <si>
    <t>MAWFKKNDGQSSADIPMPVTINRVGALFDRKEWTYELKDERILTGFDGFFTGLRIVDDTFLSISVAASHDSLTADRGEELQQWAESRNRDGSIGTVQVMWDSDDDSFMVLSDHSLLINKGATDNQIEVWVEACIDAQLTHMMSLRETFDLPSPSES</t>
  </si>
  <si>
    <t>GC_00001466</t>
  </si>
  <si>
    <t>MNVSHNNPQAWLDRLYETAIAYQKGHSVQRDRSRTLGFGRGNHLLRTFDEHAWYLSFAAPDTLPPPTPVLHTYFTHDVALWTFTDIFPWSGYALLVVEGTPRLCVESIDLSKKPDYQPKEYQAEIQKLIDTHGEYSYSILDTFPQPHFRAHPHMAALTMGTGEIKPLTEFLRIPQQFITGDNPRRGLRNVHVLEQHFFPTANGSEVEVVLGTTTSFDNTVLQHIWATLNGKLIMFSGMVPAHNKPEHRNF</t>
  </si>
  <si>
    <t>GC_00001467</t>
  </si>
  <si>
    <t>MRNHAVTVAVNVATSAALTVSILAGGAAVASADPAQPAEPTAEVIASQHSVDTEVSILEANYKDLTTRDNKARHGQENVDYLAWFVEKENNLLTQVKQLSARADKKEDKERLATLTTNLETLLASDMKELDEAKRSVLSSFPGSDVLNKVGTMFAPLDQIFDRMTSAFSS</t>
  </si>
  <si>
    <t>GC_00001468</t>
  </si>
  <si>
    <t>MAQQRSEVVVLIGTGSIGQAIARRISAGKILILADSNLDNAELSARSLLQTGFTAVPTTVDVTSRESVQTLCDFAISQGHLTHLIHTASAAPTHTTATDILTVELYGTALILEKFGDVITAGGAGIIVSSHAGHRLPALYAAEDRQLAITPTEKLLNLPMLRYITDPVHAMQIAKRGNTLRVQAAAMTWGARGARINVISPGIIMTPMAREEFSGPAGGNYREMIEKSPAGRAGTPEEIGQLGAYLLSQDANFITGADFLIDGGVTSAWFYGGLQRKHT</t>
  </si>
  <si>
    <t>GC_00001469</t>
  </si>
  <si>
    <t>MSIATAINKNRCIYFGLEPRRTSTTRRFADDPFLARFGHQLPRGLRQEAHGLQWRTFAATYSPTPDLRLQFLSEEKLPGGVVHYTAAIKTRSGETRHDIIASGPVQAATQLLATAGRRVEICSFHQYDIFEATVTFIRVCHNKDERWAMGFGGTRSQSAAAALSNAAFLLHT</t>
  </si>
  <si>
    <t>GC_00001470</t>
  </si>
  <si>
    <t>MCGLRERKKQQTRERIAAAAVALLSEEGDEHATVARISEQAGVSPRTFHNYFSRRDDAFFFFFETLVNRWLQEITDAPADEAPIDLLKRIIFAQVSLADDDPYSAKNVMYLLDHTSASLGRDLNERAQGLFLQLGNALYERYGGELDCIDAHIITILSFLSGGLALKIGDIAPYKEVLHAVFDILDHGINGTPSS</t>
  </si>
  <si>
    <t>GC_00001471</t>
  </si>
  <si>
    <t>MSNFAEDFIADLETYATGSYLRDDEKEHWTQPYDPSVLPQLKALISAFSNKVAMDPDAAVVAAADFIQKVNDFNHAHGYAVIEHEEENELQGFIRSTLYSAGVEDEALKTLPEFE</t>
  </si>
  <si>
    <t>GC_00001472</t>
  </si>
  <si>
    <t>MRRFHVTTPWAHDEDTTRDVIKRALELGINFIDTANVYSHGTSKEFIGRSLKNLGVPRDDVVLASKVYFNDGALSAEAIAREIDGSLTRLGTDYLEPSILITPPPLRTPWRHQIPWSRPGRYAP</t>
  </si>
  <si>
    <t>GC_00001473</t>
  </si>
  <si>
    <t>COG4763</t>
  </si>
  <si>
    <t>Uncharacterized membrane protein YcfT (YcfT)</t>
  </si>
  <si>
    <t>MTSVASLTQRPAATVKTRLDWPDVAKGLSIIGVVVLHACLVVPGGMDTPIAAVNEFFAPLRMPLFFLVSGYFSVKIMRYSFRELFMFRLWFFLVPLLIWTPLELKARFTIWERYLGDPIHPPSAYITATLDGTTMYWFLNCLILFSIYLWATAKLPRWIALALSFTPLIILLFPYTPVMGYHIVAYLPMFMIGATLRPAITRYAAVCTDYRYALPVLGLFVVGHMWLIYHYTNGGQDIIVPYTGWLLDVVDITTIVQLIVRIGMLPAAVLLAVVLSKIPATKAVFSFLGKHTLVIYIGHAFGVSLLFEILLFDGVKPFQPDAPTFLASSTFGVLLCVACSAVSSLGFHFLAKVPVLGWAIFPPKLKSISTSK</t>
  </si>
  <si>
    <t>GC_00001474</t>
  </si>
  <si>
    <t>MFEQCRDHIQITACDGTSLVYHQRTYAFLLFGVLTHYLRWSPERAERHVAERMDNEIPPTSVDAVGNPHDGVYHQAMLLAYGEGYWWEDNGYNSAEPEDFDAWWCRYTAQHGLEGDFIEFL</t>
  </si>
  <si>
    <t>GC_00001475</t>
  </si>
  <si>
    <t>MSTRYVLQAGVWLIFLTLFITDVSNSDHSAVIKTTSYALTVLFIAVYLLSMMMLRHPAWRLRIDVVAWVVVLLAITVTIGWLTRLPSTATFVPYIIAVILYKLEWRMIIPTTITLLIALPLLIVGLINDDYGPITLAIVVMVIIAGRYGVEVDFVRRDVEQQLAIVQERERVARDVHDVLGHSLTVINLKSELARKLIDHDPEQARREIEAVAELSRSALGEARATVTHLRTPDLARELVSAAEALATASIRATVPAPHHATRIPDDTSRVFAWALKEAVTNVIRHSGATHCVVELAPSRLVVRDDGRGFRSTYRGNGLGGLEARVAESGGTLTITSDSSGTELNITMDTP</t>
  </si>
  <si>
    <t>GC_00001476</t>
  </si>
  <si>
    <t>MSNLLRLIGRRLVALPIMILGVTFLVFFIMSFSPADPARLALGETASPEALEAYREANGLNDPLLIRYGNFLWNMLHGDLGTTAGNSAVTDVVRKAFPITLQLTFIGLLIAVTVALVLGVVAALYRDQWPDQVIRIFSIAALATPSFWLAILLIQWLGTIPGGWGIFPAVVRWTPFSEDPAVYLNNVFLPALALAIPVAGSLARVVRTSMVEELDKDYVRTAIGAGIPKSEVVARNVLRNALITPITVLGLRVGYLMGGAVIIEIIFNIQAMGQLILDGVTRNDVYLVQGVTLTVAIAFIIINIAVDMLYVLVNPRIRSI</t>
  </si>
  <si>
    <t>GC_00001477</t>
  </si>
  <si>
    <t>MTNRSDGHDDELVRALDELFADDVFLTELSRGVDVSDGEDPLADLFLALRDEVESDIPPAPALADLGIDDSDEYFDDDYDDQLTATDVFVAIDEDDFDDDDDLDDSEFDDEVSDDDLVDSEEDADDDQSDDDDDDADNVIDLDSRRRWGLGRIASGLIGAAAATLVLAGAGGAVISAQEGSPFYGLHQKLFGERAGADKAAVIELASKLEEVTNRTNKGDVKGAQQSLQEAQKIVDKLHNGQDKAEAQQKVDNTKTTVTTVTVTPPAAPSPAPAQTTTVTVTVEAVPPAVAPVQTQQQQPQNAATPTQVAPVRPSDGAQAPGAEPSQGQAPAEPPLQLPDEFRR</t>
  </si>
  <si>
    <t>GC_00001478</t>
  </si>
  <si>
    <t>PF07751.16</t>
  </si>
  <si>
    <t>Abi-like protein</t>
  </si>
  <si>
    <t>COG4823</t>
  </si>
  <si>
    <t>Abortive infection bacteriophage resistance protein (AbiF)</t>
  </si>
  <si>
    <t>MKPWRSWGEQLQLFKDRGLILSSEDDCLKFLKQVGYYRFSGYRRYFQKSPEDGVNEFISGVTFDQIFEIYSLDQRLHQFLMGPISQIEILLRNRYAYMVAEKGGAYGEYLCDSYFSGAESSESLSEACIRDIERSKDRHILRYRDDSASEKYAKLPVWSAVEAFSFGTLSKCIERGQHGQMSHLICEDIGLAKSGFPSRLRSIVYLRNRCAHYGRLWNHCVIDAGAVPHNVRNKAKRRLAIGNFTPRSIMDVIVSLDDFLKKMNIRSDFLEQFEQLFMLDNDVFRRGMIDPQSTKDRYQH</t>
  </si>
  <si>
    <t>GC_00001479</t>
  </si>
  <si>
    <t>MVQVAVETTKTMSDLSPYPPHSRRPFDYWALVIIGMCCLALVVWLKTLGVILSLGIIAALYWAFKLRTSAPEAISLQRSIDLSRADIVDVVDAFERFRDSGDAEAIADRTLQRPELNNPNSTDPDIESFYIQLATARRFLQRLDIHLMSASTTEELESLLAITDKRAFELNQSWIKARRAAVRFKRG</t>
  </si>
  <si>
    <t>GC_00001480</t>
  </si>
  <si>
    <t>PF08478.15</t>
  </si>
  <si>
    <t>POTRA domain, FtsQ-type</t>
  </si>
  <si>
    <t>K03589</t>
  </si>
  <si>
    <t>cell division protein FtsQ</t>
  </si>
  <si>
    <t>COG1589</t>
  </si>
  <si>
    <t>Cell division septal protein FtsQ (FtsQ) (PDB:1YR1)</t>
  </si>
  <si>
    <t>ko00001|ko03036</t>
  </si>
  <si>
    <t>KEGG Orthology (KO)&gt;&gt;&gt;09140 Cellular Processes&gt;&gt;&gt;09143 Cell growth and death&gt;&gt;&gt;04112 Cell cycle - Caulobacter [PATH:ko04112]|Chromosome and associated proteins&gt;&gt;&gt;Prokaryotic type&gt;&gt;&gt;Chromosome partitioning proteins&gt;&gt;&gt;Divisome proteins</t>
  </si>
  <si>
    <t>MSARRIAIIATVVVGIAALVGAVAYFMPIFKVQNFSIRGQHNTSAEDIQSATHISIGANLMRIDAPSAAHSVAQLPWVDKATVNREFPNTVDVEVQERTAALYVKRDDGEHLIDEKGKPFIIDAPPEGTVEITETNEDDQKLFADAISVLKSLDDTSRAAVARIKAPSQYEFSLITHDDREIYWGAPENNHDKAVATKTVLQREGAYWNVSAPGLVTTR</t>
  </si>
  <si>
    <t>GC_00001481</t>
  </si>
  <si>
    <t>MDDIRRFLPLVGTLVALIGLAIAGAALTNNKQIPRVDPSPVVLHTQIQKSSEGATPSTTPGEPQSSEVHSQPPVEADTAQSPAANQNPAPPPPPALQLPGIPPVVLPVVPQVPLNYQPLDVIGDVLGN</t>
  </si>
  <si>
    <t>GC_00001482</t>
  </si>
  <si>
    <t>PF13579.12</t>
  </si>
  <si>
    <t>Glycosyl transferase 4-like domain</t>
  </si>
  <si>
    <t>MRVLHVTECLAGGVQTALAGYVKATPELDHVVLANSRRGHNITMREVEGSSAFYVLPTNHLAAVKKVAKVAREVRPDVIHAHSSFAGAYSRIATLCVNVPVVYTPHAIAYGRPDFSSVKRAAYKGVEKLLSWKTKVFAGCSVHESELLSDLNARVPVVTIPNALPPDHPAQELRWGASSSPVVGMVGRINEYRDPQRFIDIVESVRRHNSDVEFVWIGDGDDAQRDALKAAGVHVTGWLGGVDLQKKLTELSMLVYTSRWDGFPMVILEAINSHVPTFVSNIAPLKECPESARFDTAEQASSLVLKQLEQNQPLSQHWDPLLAAHSFDSQKQALIRAYELATVS</t>
  </si>
  <si>
    <t>GC_00001483</t>
  </si>
  <si>
    <t>MRLNGGTLAAFALLAAGGPFAIDMYLPAFPAIAADLNTTPSLVQLTLSTFMVGMALGQLFVGALSDTRGRHRLLVIGAVVSVAASASCALTTHINLLIAARFILGLGSGACVVLARACVSDLAHGRSAARAFSIMMTIQGLAPVIAPILGGLLAEPIGWRGLFWVLTGLAALQLAVAVLVVRETLPAESRTSGGLKAFFGNLVAVLRNRRFVGYLLAFSFGFGGLFAYISASPFIIQGQLGLPPVVYSVVFALNSLGIVIGSMINARIVGRMEPHVLLRNATYVLAVSGVALLLVAQSEWLVLPLLFIVASSLGFILGNATALGNGVVRERSGTGSAVMGFAQFLVGGMVSPLVGLGGNPIIATGICITVCGAIAVGGMMMARNRV</t>
  </si>
  <si>
    <t>GC_00001484</t>
  </si>
  <si>
    <t>PF08386.16</t>
  </si>
  <si>
    <t>TAP-like protein</t>
  </si>
  <si>
    <t>MRNLRTIIAAVAASASLAAMATVSIPAQAEPVKRPAITQEDCPEYVNKPGTSCGRMDVPMDYSNPDGKKISVGFIKAAATKPEKRRGVLFINPGGPGGSVYHQFTTVEGYPDTTPRWPKEVREEWDIVGVQPRGLEGSTKLECEEVNAGPIDQIQRSGGLIKDACDAKMPGYAATLTTENTARDWDQVRQAMREEKISIYGNSYGTVLGSMYATTFPEHTDKVVLDSGYNPDNDHSEQVDGFRKAAHDFFGWVSQHDDVYHMGTTPRAVYKSWAERVRQETGVTPTFPPPAAEEEDLPDALGSTGSIGTEAMTRVDPTAVKAEGLLTQLTHPGSKQNQSASMQLLSMGLSQPALWPWVAGKLSSAEPVTLPDKVLEALSEVGNMPLMVECNDRAHPVHLDRMISGLWGQTVIGDPFSDIDLTSSGMTCSGITPEHPAPDITGEKLAVRPLQIQGTSDPNTPYETFNKMATAMRSHVLTVDGPGHVQISTDNPQLGPVITEYLRTGTVNQTRIPGTDPKPER</t>
  </si>
  <si>
    <t>GC_00001485</t>
  </si>
  <si>
    <t>PF00188.32</t>
  </si>
  <si>
    <t>Cysteine-rich secretory protein family</t>
  </si>
  <si>
    <t>MQQFFDALKNFRATAPSGDRITEAQRILSYMLAAITLIGAFFHTFDSTPQNSSQQATVNDAEKPTLRDLVQPIDTARIWDDSLIRNDIVQILNQSRTDSGREPLNPDFDLGSRAQKWAERNATTNSFKPTPANVVMVQAALGYQEAKASKFLDTWFKDQASQAALADKKLTKVGVGVASSQGRTYAVVQLS</t>
  </si>
  <si>
    <t>GC_00001486</t>
  </si>
  <si>
    <t>PF10400.15</t>
  </si>
  <si>
    <t>Virulence activator alpha C-term</t>
  </si>
  <si>
    <t>COG1695</t>
  </si>
  <si>
    <t>DNA-binding transcriptional regulator, PadR family (PadR) (PDB:1XMA) (PUBMED:19096365)</t>
  </si>
  <si>
    <t>MRYVVLGLLIFAPRTIYQLNKQFQVLLFYQASLGSIRTALQTLVRDGNATVTETIENGRLKKIYSPTERGIATFQEWMHSPISGSNLDTAMLSRLYFLGLIDAPSDRHTILTMMLTRAQKELADLESLDRELPTLPHEHRFQRATLDYGIATTAFCVKFLQDLITSEAP</t>
  </si>
  <si>
    <t>GC_00001487</t>
  </si>
  <si>
    <t>PF17676.7</t>
  </si>
  <si>
    <t>LD-carboxypeptidase C-terminal domain</t>
  </si>
  <si>
    <t>MQLGPGPFVDAIHADSLRAALITGGELELTNPGESEDFGVDWADPAALTNFGEREVAEPWTWIGPEKTVRGRTWGGCIQVLTQLALADRLPALEDLQDTIVLLESSEEMPTELDLTMTIRALGERGLFNIVRGIMVARPPVSDFTFRPDVDERRRLRDKHRDIVLEQIARYTDDAVVCFGVPFGHTRPQWIVPHGGYITLDGRAQRVFADYS</t>
  </si>
  <si>
    <t>GC_00001488</t>
  </si>
  <si>
    <t>MIISLILWFAAFTIITSSPTMKYGTLIIASEAFFIIYTPLTFIYALYTISRMDKCPEWNIKKSLAKIERELGGPVDEKLAIFYIDINYISPLHQVS</t>
  </si>
  <si>
    <t>GC_00001489</t>
  </si>
  <si>
    <t>MIWDNQCVSDDVDQILEQWRNARPDIDPSPMELTGRLQRAAVFTREQLTSNFTAAGLEPGQFDVLATIYRAAGKAGALTAGELARWVMVSAGALTNRVDNLVAAGLVTRRHDTANRRRVLIALTDQGRHSVETALETHLENCRAVAERLDVEEVQQLNRLLAKMLPADPD</t>
  </si>
  <si>
    <t>GC_00001490</t>
  </si>
  <si>
    <t>MVIYFMLIVVMSTQITIAEGMRRKISQEMAERNSKAGFDTSGTIASEEARKKNHKAAVACLKIDSICGIVGVVASLVLLIVMGFSWILMAVPLLVLVVQIAMAVAALTAANDAVAKA</t>
  </si>
  <si>
    <t>GC_00001491</t>
  </si>
  <si>
    <t>MATVAQINGRQSTIVAITNDTGRCSVADLAERFCVTAETIRRDLKSLEAKGLLRRVHGGAVAGALTPQSDLVATDDDDELPIQQSQRRKNLIAQKAIELIPSPTAAIFIDAGSTTEAFASTLAHNYRGQNWSIVTNSPNVAHTVAAVGVPQVTILGGTIKARTQAVVGPNAVETLRSLRADIAFMGTTALSLTHGLTTSDPREAAVKETMISQSNHVVVLCDSTKLGRESNVQFAKLSDIDVVVSDRNVPPDFTSKLHPYDTSMVIP</t>
  </si>
  <si>
    <t>GC_00001492</t>
  </si>
  <si>
    <t>MSLSRPLVRTAIVGATVALTALGLSPLASADDLEGTFQPSTGEIVRIKYTDASGLFCMRVDSNKPNAGGFNVSLVPEIPKGATASSAVGFLVQPNTGWKCEDHPKFADEDTLYTYTVSRDKVAKYEGTFRT</t>
  </si>
  <si>
    <t>GC_00001493</t>
  </si>
  <si>
    <t>MKTTHLALLVGLFLGTVLAFGSFADFILVTLCGLAGAAVGLYMEGQIDVRNILDWRKK</t>
  </si>
  <si>
    <t>GC_00001494</t>
  </si>
  <si>
    <t>MANPEELRKQDQRLPKPKRAYPRSRVTQSLYLLIAIVIVAWLVSMIP</t>
  </si>
  <si>
    <t>GC_00001495</t>
  </si>
  <si>
    <t>MVTMAFLLKLIAIILLLVALFAFYQSWKAKKSASNEGARQRNDPLAFAAGVSGENDFNPQVIGPGAILSRGGIDYVVRGTVTLSQGPFVWYEHMIDGGSGSLWLSVEVDEGQLELVLWNPRKDLNLDPHATIEVDGVTYREIERGGARYTTEGTTGLPAAGDMSYVDYEGPNGMRLGLEKYGPTTPWEATIGQVVTPGEFNVFPAPPAQ</t>
  </si>
  <si>
    <t>GC_00001496</t>
  </si>
  <si>
    <t>PF04237.18</t>
  </si>
  <si>
    <t>YjbR</t>
  </si>
  <si>
    <t>COG2315</t>
  </si>
  <si>
    <t>Predicted DNA-binding protein with double-wing structural motif, MmcQ/YjbR family (MmcQ) (PDB:2A1V) (PUBMED:17266124)</t>
  </si>
  <si>
    <t>MRTPRQDVDDETAAPGYQVVDHLGRATLDEAVRVQQSTHHACRCSSMVELLLPKQAARVRFPSSAPILLRGLWGKRIEIAMSSDTPSNEETKTLLTDDALLTAAIDTALALPATELYPFTRDWEAVRVRGKWFLVTTVREQRMINVKAEPLDVLALRQEYASITPGYHMNKKHWISIQPGAYITESLVQELVTDSYLLVVASLPRAERPVDPETFGRQA</t>
  </si>
  <si>
    <t>GC_00001497</t>
  </si>
  <si>
    <t>PF13400.11</t>
  </si>
  <si>
    <t>Putative Flp pilus-assembly TadE/G-like</t>
  </si>
  <si>
    <t>MSSITTAGIVAALVSVFLTIAWLGGMVVDKHRAQTASDLAAVAGAYAAYYGRDACSAADRVAVVNGASVVECSVDGLDVTIRARSGGQEAVAKAGPV</t>
  </si>
  <si>
    <t>GC_00001498</t>
  </si>
  <si>
    <t>MNDIVVRLSPAAHVFVRPGPALQFGVDATRAGVIDGIDEEHMSGILRTLLRARTDITWSELSRSLVEAGLPRSVAETLLEELFDYRVLRPAPTGTQDVYVLGHSPLASIITSAFTTSGFRVYPLMSGETDEEFFLRCPADTPLILVDRMPHARRLSTPLVRRRGTFIPISLIDGRGTIGPLHINGAGPCPLCMDLHRMAVDEHWPTLLAQVAAAHTTHDPVVAHATAARLLSVVTTLQGTSYEPPGTPLLQLQPGDLLEVDPYRLDVTLMSYESHPSCPACWQMNN</t>
  </si>
  <si>
    <t>GC_00001499</t>
  </si>
  <si>
    <t>PF13531.11</t>
  </si>
  <si>
    <t>K02020</t>
  </si>
  <si>
    <t>molybdate transport system substrate-binding protein</t>
  </si>
  <si>
    <t>COG0725</t>
  </si>
  <si>
    <t>ABC-type molybdate transport system, periplasmic Mo-binding protein ModA (ModA) (PDB:1AMF)</t>
  </si>
  <si>
    <t>KEGG Orthology (KO)&gt;&gt;&gt;09130 Environmental Information Processing&gt;&gt;&gt;09131 Membrane transport&gt;&gt;&gt;02010 ABC transporters [PATH:ko02010]|Transporters&gt;&gt;&gt;ABC transporters, prokaryotic type&gt;&gt;&gt;Mineral and organic ion transporters&gt;&gt;&gt;Molybdate transporter</t>
  </si>
  <si>
    <t>MKPVRLLATVVALGAAIMITAAACSGNSNSGSTTSSPGSSTTAESVKLTVLGAASTRVVNDDLSKLAADLTPSQTLQYVNGGSSSLVQQLADGAPGDLFISADQKNMKKAVEAGNAKDPKVVATNSMVMVVPADNPAGITGVDDTLKNAKVVLCDSQVPCGDISQTLMKENNIELNPVSLEQSVSDVLGKVTSGEADAGWVYRTDAAAAGDAVKVIEIPHADKHPNDLVAAVTTTSGHQAEATQLLDLLASKEMAAVWEKHGFTPVQ</t>
  </si>
  <si>
    <t>GC_00001500</t>
  </si>
  <si>
    <t>MLSWIVLIVLMGLFGVVFFAIFASVFGRGEQVPPMDNTVNVNAANLAAIKDNNLDEIKFATVLRGYRQDQVDVVIDALLTEIAQLRKQVAEINSTPQ</t>
  </si>
  <si>
    <t>GC_00001501</t>
  </si>
  <si>
    <t>MMKPDRVLVLGGTGSVGRLVVQALLNHDISARLLSRDPRKAKRMFATTDTGSNTIDIAGGDLMNPATIADALDHVNAVILTHGAPHNSGEYESVDYGAIPALLEALGKKTIPVVLMSSIGVTHNDAIELLTWKRRGERLLRSSGLPYTIIRPGWFDAGTAEEQHAELRQGDSTEYGSVRRVDVAEALVQATFLSEALYRTVELFSVEGPPLEDWAEAFNSTAPDAAGALDGINDKTTLQLDREPHRIIDDLYKFGSMK</t>
  </si>
  <si>
    <t>GC_00001502</t>
  </si>
  <si>
    <t>MYVAQAASGNNYWLVYLMFLIAGVLAGGTWSVYKNGSRGFAVVLGVLAGIAAAAGILWMVGEMRA</t>
  </si>
  <si>
    <t>GC_00001503</t>
  </si>
  <si>
    <t>MSSEEKFRVDLGGIVELLSRNLYSGSDVYLRELLQNGVDAITANAQSGKDDEGTYSSDTSGRIRFVVDGHTLRVTDNGVGLNIDEARNLLATIGGSSKRDEFGLGRSDYLGQFGIGLLSCFMVSDNIVVYSKTARDNGDSVVRWQGNSSGTWTVSLVEDAKEGHAVPSELAQLPHGTTVVLHTLPGEPPFDYRNIRDIIERYGEFLPVTVTVERPSSDLELVGNHGQGKPPVWDASSSAQRRWCRENFGFDPFDVIPLEVPVAGFKGVAFVLSEGAHPGRSARHQLYLRRMLLSKKVTDLLPDWAYFVRVVGNTDFLRPTAARDALFEDSLLNETRDALGREVRDWLAGLANRDPQRFQRFINLHITGLKALAVSDAETRNLVVHSVPFETTSGMRTLDELMREGPVRFARTVQQYKALLPIAAANGLTVLNAGYAFDEEILEQVRLDQPDRSIVEIGMNDIVGAFSLADASEEARFLPLIHACDQALTGQGVAVILRDFKPSTIPVLYLPQSAAAHGVVEDAARHAPGESGLSGILDMLDSAAEGGGNAASGALIVPDSAQLVVNASSPLVHQLLAAVDSPRIVAALRGLYVQSLLAGHHPMDPQARSWASEVYTSLISLAF</t>
  </si>
  <si>
    <t>GC_00001504</t>
  </si>
  <si>
    <t>MSSLDNIRKERRDLAALIIAFGFVIGCVLYDLATSLIYKGINHPVAVALGHDVAPNGRIHFRGTSPLGFSLLSGGFVIRSIALIAGAIFLIQIGRRALRNEFFSLKVLCLFRRSCIAVAATFLGYGLQLLGADVISHQHHLNREWSHQFTFPNYMFTVSYFFLITLIIMTIIVKRGIQMQEDQEGLI</t>
  </si>
  <si>
    <t>GC_00001505</t>
  </si>
  <si>
    <t>MKFSRLSAVSVMAVAMSCALTACSSGDDASTGKSASATSQAGSQAAKIAMPTPEDLNAVLNLAADPNAPIEQRTQTVQNGESASDLFPVMTKLRDESHAQFQVVNPILPGYSPNSVLAKVNLVLPDKEPQAADNVEFVYENGKWKLAQSWACTLIEYTVPDQAPPMCSKDKGSAAPAPAPAAPAPAESNAPAPAAPAGGNNNNAPAPAAPAAPAAPAANNNAPAPAAPAAPEAPANNVQNPAPDQALVGNNNNNNEGLLMPQEGQTH</t>
  </si>
  <si>
    <t>GC_00001506</t>
  </si>
  <si>
    <t>MLPALSRRARRALVGALTAITLTVSGATAASAETPQELAKKKEEETKIALTAAMAIGAGNPLPAMPISLMAGPKDFMPVDNLGRPKKEILDQARNFANSTPMPDQIRGAILAGIMFWEGGGKSEIKLPEGAAPRFKQFYWPSIASKCINAQSDAIGSGIAVPGPTVIPVPGAKEGETAFLFTALGTGKLNKTDMKVYWFNLNTFKSGVAPLGGNGINPEGPATVSGNAPTGKGNVIAVMDGSIDTIEKESNAHCSFIPTAAFFEVN</t>
  </si>
  <si>
    <t>GC_00001507</t>
  </si>
  <si>
    <t>MFARCPETYKPLEPGQTTTYNGNPLLPGWEDSVTHCVVMAGARASGKSLYLAVLIKQLELMALQRFTRVTIKAADESTRQRYKENYERPLYEEMKHMAPTPTSANVDAYQRDPFIFKLGKWPDANNDLREHYLVIRDVAGEDLENPNLDPNSMEFFRYADLVIFLFDPTRVRSIAPYLEGMYARQSQTGGEPERVLDNIARLIGDERPKLAVTIAKFDILQSLAKKSVQDNKWKSIMANEGAAFSRDTGWSYQYHNQWILHLEIQSLLRKFEAHELLNTIEELYANEPSKYSYFAVSALGEAPKGQDLDRKGIAPYRVLDPVRWHLGRFGVLMGKEDTYQ</t>
  </si>
  <si>
    <t>GC_00001508</t>
  </si>
  <si>
    <t>PF11236.13</t>
  </si>
  <si>
    <t>Protein of unknown function (DUF3037)</t>
  </si>
  <si>
    <t>MKLRYWTVRAVPSANSITTIGIGVIVEDMATGEIAARFKKDSSQLAYMESQQSIMRLADELEQHVVHLACQHHRHSIGHELSVNGYLASLMDYWNNMLIIDEPKQVDSTSIEQATQLLFVTLIGDEHYLEHSQLEIQARDMVKATYRRHKQLEKNMYLPASVDVDGFEIPLNLVIIKNANVFELNSVFSFESLHPQETISMVEAWTLKIDKLRTKGGRLHTDNHVISLAKDTDITAVYWPPKTPRQHEVFDSVTVPWAGLGITDIPLAETDEHAGELAKRLDQ</t>
  </si>
  <si>
    <t>GC_00001509</t>
  </si>
  <si>
    <t>MNNYTSVTFTWEGEQQPGLWCPALSSNVIPMERSGDGWSFTAELPNASGVSWAIVPNVTEVTALSPALLDAALSTPNPTVPSLYRLIGTDPMTRAEPNISVLQQPDAPEYDWADLGNPAPQLAGEKLATGHKIHYALENPNQVLFLDGEVMQRIHNDFLDLNIAPIYVHNSGMAQRMGDFADPIGFAHAVGAHIEEQPDVIVGMSAGALAACALAVELGAQRVVLLSPAVVAGIDVARELMSSLLANNISVDIAVGSEENRGDRPEQSIFTIAQGLADGIESAGGRSTFTVFPGGHDLAAWRPVLARMLS</t>
  </si>
  <si>
    <t>GC_00001510</t>
  </si>
  <si>
    <t>MSITNSPIRISRSFKTGGTLLTDNNSWNRDGDHAARVFSANGGMWYAEGGNDDIHVTHITGGDEALHVNCAVLNPKLVEGAQRDLGIDFSKRVANKEDYRLIRIATPTLWDSLAVTILRHAVQAGKAQHSIKKLREHMGEKVTHDGGTYYLMPTPQRMLDATDAQLNRLGLFFFKSALKAAAAWCLNTDIDLQTVSHEELFHDLLMIPRVGPWTAGVVVCDVTNDFSYYPLDDRTIFSRVRELSANDWPADRHRFADEWRRQAGDNLSSYTTMVLANWGDQAA</t>
  </si>
  <si>
    <t>GC_00001511</t>
  </si>
  <si>
    <t>K01318</t>
  </si>
  <si>
    <t>glutamyl endopeptidase [EC:3.4.21.19]</t>
  </si>
  <si>
    <t>COG3591</t>
  </si>
  <si>
    <t>V8-like Glu-specific endopeptidase (eMpr)</t>
  </si>
  <si>
    <t>KEGG Orthology (KO)&gt;&gt;&gt;09140 Cellular Processes&gt;&gt;&gt;09145 Cellular community - prokaryotes&gt;&gt;&gt;02024 Quorum sensing [PATH:ko02024]|Enzymes&gt;&gt;&gt;3. Hydrolases&gt;&gt;&gt;3.4  Acting on peptide bonds (peptidases)&gt;&gt;&gt;3.4.21  Serine endopeptidases&gt;&gt;&gt;3.4.21.19  glutamyl endopeptidase|Peptidases and inhibitors&gt;&gt;&gt;Serine peptidases&gt;&gt;&gt;Family S1: chymotrypsin family</t>
  </si>
  <si>
    <t>MLLGVYASRTAAKRIVYVSHMTIVNRLSLIFSLNQLTLRLKLLRAILAGMHTTQVTRQHIASKRHIRVARGVVAVALTVTATWSGVGVSIAATPSNLPIEPVGYNVVDGKLDTNNPIANAEIQKDPGYSSTQPSGQANAQSPLVPKAQNLAGAEMGINHLQEGALPNVVIGNDDRKEVSDTKQTPARWVGKLHSTTQSGGSSYCTASLISKDTVITAGHCVAKGQSKWTFAAGENKGQQPYGTAAAKQIWYDKKYGETGHDWAVIKLDSAVGEKTGWFGMNVPDTQKLVDTQATVIGYPGDKDNGAQWADRNKVVKVTDRQVVYQTDTFNGQSGSSVMDDKSMIFAIHTGGKTGENYGTILTGELFNVCANVAAASPAT</t>
  </si>
  <si>
    <t>GC_00001512</t>
  </si>
  <si>
    <t>PF13443.12</t>
  </si>
  <si>
    <t>Cro/C1-type HTH DNA-binding domain</t>
  </si>
  <si>
    <t>K07727</t>
  </si>
  <si>
    <t>COG3655</t>
  </si>
  <si>
    <t>DNA-binding transcriptional regulator, XRE family (YozG) (PDB:3TYR)</t>
  </si>
  <si>
    <t>MSKVYCHLDKLLEERGITLSALAQKVGVTAVNLSVLKNNRAKAVRFSTLAALCEALECQPGDLFSVRSSP</t>
  </si>
  <si>
    <t>GC_00001513</t>
  </si>
  <si>
    <t>MCDKVRFMKRRFLAVAAISIPLMMLTEASTAFADQARPSAQFVLPNEVVSLANRYGVLVPERFQSTHNADIRGRLKQATEKHLTQSGHHLDPKATKIAREWADQAADGKVEFYGGSGKGNNHLDEGTGNIYRFDLAGAEEHIKWLGGTANYSPDGRPFGVATATKHSTIFLVEYFLN</t>
  </si>
  <si>
    <t>GC_00001514</t>
  </si>
  <si>
    <t>PF11855.13</t>
  </si>
  <si>
    <t>Protein of unknown function (DUF3375)</t>
  </si>
  <si>
    <t>MSIVARTISNRRLEEKSAILKLLRSPLMPVVLGFVAEHFPPSTKARSAIEIYDLLDADLKMLRAEGLELPHDPQTYITDWVKAGWLVRRPGNAVTGETIEPSATTLNALDSVESWQHPHSAVSAARIHSIADSLENLSRESDPDINTRLAQLAEEKEALEQLIADTERGYFEVLSADQISERVLDVLELAGTIPADFAQVRTELEEINRTLRRQLLEPEDSRGQILDDIFRGVDVIAESDAGRRFRDFYTALLEHKKSTPIDEWITNILNRESAKDLDATIADHLRRLFQDLESEGYQVNMLMTELSRSLRDYVRTQDFTENRRMLELLRETRALAGRTIEHQHLGPLVQLHTPLTQIGMNIHSIDSLEMKNLGEEMVETLPVPLEEAHIDTEALFESVRASEIDFEELRSHITGSVDKRGQATIGDVLQDYPATQGLASVVGLLYFAMANGIALESLETVTWDDNGTPMQAVITGWLFTHDNNL</t>
  </si>
  <si>
    <t>GC_00001515</t>
  </si>
  <si>
    <t>MAVAAAFLSWAVLLPVVPLGVLTNGGSDALAGSTTAIFMGCSVLTQWNTPRALRRFGYTPVMVFAAIMLGVPALGHIMLDDAPFVLALSAFRGIGFGALTVAESALVAELVPKRFLGRASGLLGLAIGLAQLVGLPLGVWLATEYSFASAYILGAVVGLLAAVACIFIPWTVAEGGSSGSGDSIPWRAVVVPCVGITTVAMGFGAVSSFLPAASSSGVVAGLILAVVGGAQMIARYLAGVTADRVGGPGLLLIPSLACGVAGLVIVSLALLLGWPAWVLLVGALVFGSGFGAIQNETLLLLFGSLPRTRLSDGSAIWNMAFDGGTGVGSLILGVVAVRVAYPETFVVATFLVGVGLAIVWARVFPRIDLRQVDPPRKA</t>
  </si>
  <si>
    <t>GC_00001516</t>
  </si>
  <si>
    <t>MTQLNDANNDSILPPLENLFGDVALAPPELGSMLDVAFDLNTLDPGIDIPTNDVDLGELDNPAGDLGAVSDDDLDIYQTIDHDDDNLGEEHNGGQESVHDGDDPFAVDTHDLHHDLDDLDDPDHFGGLDHLDHLDHSFDNLDDGGDDLLGGLGHDFQ</t>
  </si>
  <si>
    <t>GC_00001517</t>
  </si>
  <si>
    <t>MHIIPKMGSACLAAGLRCDIDPTHDWKNRPKWQDRDADYSLECGEIFGNKEKP</t>
  </si>
  <si>
    <t>GC_00001518</t>
  </si>
  <si>
    <t>PF09924.15</t>
  </si>
  <si>
    <t>Phosphatidylglycerol lysyltransferase, C-terminal</t>
  </si>
  <si>
    <t>K14205</t>
  </si>
  <si>
    <t>phosphatidylglycerol lysyltransferase [EC:2.3.2.3]</t>
  </si>
  <si>
    <t>COG2898</t>
  </si>
  <si>
    <t>Lysylphosphatidylglycerol synthetase MprF, lysyl-tRNA-binding C-terminal domain (MprF2) (PDB:5VRV) (PUBMED:14702396;30563904)</t>
  </si>
  <si>
    <t>M00726</t>
  </si>
  <si>
    <t>Cationic antimicrobial peptide (CAMP) resistance, lysyl-phosphatidylglycerol (L-PG) synthase MprF</t>
  </si>
  <si>
    <t>ko00001|ko01000|ko01504</t>
  </si>
  <si>
    <t>KEGG Orthology (KO)&gt;&gt;&gt;09130 Environmental Information Processing&gt;&gt;&gt;09132 Signal transduction&gt;&gt;&gt;02020 Two-component system [PATH:ko02020]|Enzymes&gt;&gt;&gt;2. Transferases&gt;&gt;&gt;2.3  Acyltransferases&gt;&gt;&gt;2.3.2  Aminoacyltransferases&gt;&gt;&gt;2.3.2.3  lysyltransferase|Antimicrobial resistance genes&gt;&gt;&gt;Gene sets&gt;&gt;&gt;CAMP resistance modules&gt;&gt;&gt;Cationic antimicrobial peptide (CAMP) resistance, lysyl-phosphatidylglycerol (L-PG) synthase MprF [MD:M00726]</t>
  </si>
  <si>
    <t>MGELAVTDVDKHGGKRIVHVVKALRFVPVSMALLAVMWVLQAAHLQQAVGLPWVDVWSAPGDAVRRVLTSGLTGEHIPATMVATLALLVFAVPAERLLGSRLFATASAALHVLGVLVGFACMGVVMQLDDWWGNVLRAQSFLSPTPWIFGVMACTSASMPVLWRRRTRLVLLVVAGTLLLYDGVIVDFVRLSACVLGVLWGEVRVRGWGGVAQRYRSGYRPRLHRPSLREGRVLVAIVVTAVAVGPFLASVNPYSAGPLSEIAVVAWQAHAVNTLGHTSFALRFAGQIPLLAVGIVAVGLAWGRRLAWGTALCMQVVVVVALMWEMEHLIRHYGDNTDRAMDVLSVISPWLVTFVVLLLARRFFQVSVGVKEVARLAQRIILAVAGGAAVWCGVGWLLRSGFHGSPGMTDFAWDYPMRLLPPVVSEVMNPRVVPVRWFAWVLTDWVGVVVGIVVCGALAAAMVAVPNPVAVADRHRARALLQQGTGGHLSWMTLWPGNRYWFDTWTDEDGEHTRGFVAFRVHAGVAVTLGEPVVVPGVDPQDVADRFERSATRSGWTTTWYSVGAAFSDGRADCGWNQLQVAEESVLDTSGEVQFRGKRFQDIRTARNRAAKEGIHTEMTTWETATPVTRERIIALSEEWVSEKSLPEMGFTLGGVEQLNDPDVLLVLALDSEGHVHGVTSWLPVYRDGMLVGYILDFMRRDPAGFRPVIEFLIAETMLMAASRNVEWISLSGAPLAHSAGMSGTSGASGAEGPEGPDSFLSTALDRVGLALEPLYGFRTLAAFKRKFHPEYQPWLLCYRDELSLPAIGVALGRCYVPQLHVTGMVDIAREWRANNR</t>
  </si>
  <si>
    <t>GC_00001519</t>
  </si>
  <si>
    <t>MSDSSVIIVDLDVRGEREITRLADALKRWLHQQELTADIDTGRRVFTPNANCGTIAVCPRCSNKVSDWVDIANDTLTAWVEYRGEDGVACPHCAHTSRVSEWAWSDGEPWALGELAITFHNPEHSITGSFLSRLQKQLDGHELKVIHSHL</t>
  </si>
  <si>
    <t>GC_00001520</t>
  </si>
  <si>
    <t>PF01924.21</t>
  </si>
  <si>
    <t>Hydrogenase formation hypA family</t>
  </si>
  <si>
    <t>K04654</t>
  </si>
  <si>
    <t>hydrogenase expression/formation protein HypD</t>
  </si>
  <si>
    <t>COG0409</t>
  </si>
  <si>
    <t>Hydrogenase maturation factor HypD (HypD) (PDB:2Z1D)</t>
  </si>
  <si>
    <t>MKYVDEFRDPDAAKALLTRIHDDAEKLGRSISLMEVCGGHTHTIYRYGLENLLPSSIELVHGPGCPVCVLPMGRVDDALWLAQQPNVILTCFGDMMRVPGSTESLMQARARGADVRFVYSPLDALKLAKENPSKEVIFFGIGFETTAPSTAATLEAARVGNVTNFSVFSNHVAIEPPLQALINGGDTNVDGFIAPGHVATIVGTKAFDFLPTQHNKPTVIAGFEPLDILQAVDMLLTQFLARDLYGKPARVENQYARVVSEQGNAVALKLMSRVFEVRKTFEWRGLGWIPESGLAIAEEYSQWDAEKRFTIPGNRVPDPAACECGSVLTGKIKPWQCRVFGTACTPATPIGTCMVSPEGACAAYYNFGRINREAAAAAAGAL</t>
  </si>
  <si>
    <t>GC_00001521</t>
  </si>
  <si>
    <t>K02800</t>
  </si>
  <si>
    <t>mannitol PTS system EIICBA or EIICB component [EC:2.7.1.197]</t>
  </si>
  <si>
    <t>COG2213|COG4668</t>
  </si>
  <si>
    <t>Phosphotransferase system, mannitol-specific IIBC component (MtlA) (PDB:1VRV)|Mannitol/fructose-specific phosphotransferase system, IIA domain (MtlA2) (PDB:1A3A)</t>
  </si>
  <si>
    <t>KEGG Orthology (KO)&gt;&gt;&gt;09100 Metabolism&gt;&gt;&gt;09101 Carbohydrate metabolism&gt;&gt;&gt;00051 Fructose and mannose metabolism [PATH:ko00051]|KEGG Orthology (KO)&gt;&gt;&gt;09130 Environmental Information Processing&gt;&gt;&gt;09131 Membrane transport&gt;&gt;&gt;02060 Phosphotransferase system (PTS) [PATH:ko02060]|Enzymes&gt;&gt;&gt;2. Transferases&gt;&gt;&gt;2.7  Transferring phosphorus-containing groups&gt;&gt;&gt;2.7.1  Phosphotransferases with an alcohol group as acceptor&gt;&gt;&gt;2.7.1.197  protein-Npi-phosphohistidine---D-mannitol phosphotransferase|Transporters&gt;&gt;&gt;Phosphotransferase system (PTS)&gt;&gt;&gt;Enzyme II [TC:4.A]&gt;&gt;&gt;Mannitol-specific II component</t>
  </si>
  <si>
    <t>MTTATAPEKKGGIRVAVQKLGTFLSSMIMPNIGAFIAWGIITAFFIPEGWTPNEYIGTLVSPMVTYLLPILIAYSGGRLVYEVRGGVVGAIATMGVIMGTSSPVFIGEDGSGSPMFLGAMICGPLAAWCMKKLDGLWAGKVRPGFEMLADNFSAGIFAALGAIGSMFLLTPVMNVFMTIAGNAVEFLVNNNVLFLTSVLIEPAKVLFLNNAINHGVLTPLATDQAVETGKSVLYLLEANPGPGLGVLLAYTFFGRGSARATAPGASIIHFFGGIHEIYFPYVLMKPALILAPICGGMTGVLIETISGAGLRSPAAPGSIIAILGATASDSYVGVIAGVTGAAIVSFLVASAILKFSKHTDDDLAAATARMEEMKGKKSSIGAALTGESTETPLISTIVFACDAGMGSSAMGASVLRNKIKDAGYGNDVSVVNSAINNLTDTYDLLVCHEDLFDRAKAPTPSAVHVTVDNFMASPRYDEIVDLIRSQREATAATATTEASTSSEGDDAAPTADKSEKKPLLVADNIVLAGTATTRYAAINEAGELLVKVGAVDESYIDAMHEREQSVSTFMGNGLAIPHGTNESKDAIKGSAISFIRYEEPVDWGGQSTYFVVGIAGADGSHLKVLSKIAKIFGRNESVEQLKNAATKEEILEIFGKVTE</t>
  </si>
  <si>
    <t>GC_00001522</t>
  </si>
  <si>
    <t>PF11774.14</t>
  </si>
  <si>
    <t>Lsr2 dimerization domain</t>
  </si>
  <si>
    <t>K26249</t>
  </si>
  <si>
    <t>nucleoid-associated protein Lsr2</t>
  </si>
  <si>
    <t>Chromosome and associated proteins&gt;&gt;&gt;Prokaryotic type&gt;&gt;&gt;Nucleoid associated proteins&gt;&gt;&gt;HNS (histone-like nucleoid structuring protein)</t>
  </si>
  <si>
    <t>MARREITQIYDDLDDKPLQETDVHVIRFSIDGSSYVMDVSKENCEKFRNAIVEFIDKARPESISARHLPNQKYNAKDVREWAQARGYEVAVRGKLSRKLIDDYLAANTN</t>
  </si>
  <si>
    <t>GC_00001523</t>
  </si>
  <si>
    <t>PF12900.13</t>
  </si>
  <si>
    <t>Pyridoxamine 5'-phosphate oxidase</t>
  </si>
  <si>
    <t>K07005</t>
  </si>
  <si>
    <t>COG3467</t>
  </si>
  <si>
    <t>Nitroimidazole reductase NimA or a related FMN-containing flavoprotein, pyridoxamine 5'-phosphate oxidase superfamily (NimA) (PDB:1W3O)</t>
  </si>
  <si>
    <t>MATIEILSADQALANLSNHKLGRIVMHSRDGLEIFPINYVTDRINLYFRTAPGTKLSGIMTNSDVVFEVDHVEANEAWSVVVKGDAEQVRDYSEKCYIDTLDLTPWVPTRKQNYIRITPREISGRSFRLSNQIERY</t>
  </si>
  <si>
    <t>GC_00001524</t>
  </si>
  <si>
    <t>MNLDDYMTEIFDRNAEVKQKYNVIYGAMISNMQIDRREIDCENYFRRCEFSNMVFEDIVIKTPLFLQDGCWIADSFFKNIKVLSARFKNLIISDSTIEDSIYVSRPFNLGFDSIERCKLVNVDFDGAEHPFIDNIVDSEISGVFRNMVLNENVQRTQCMGVDFSKLELIDSAFFGVDMERVNPNPKWAHLIVPDWFQYVDRLIEASEKLRSSSDKADRKASSAIQGDLTFEKFGYRGPLDSRRGSKYVDLVTASRIPKKSRERIVEVYADLGVDLRPTLNS</t>
  </si>
  <si>
    <t>GC_00001525</t>
  </si>
  <si>
    <t>MREIFVLNHVASSATNPRKVAQALADYEQSPSLTHFCVLLFIDPRDLPAKFFQDAPGKYSELTQLLTNRSKASKFLETRLKNGFPFNLTAMQLLYWVGVIRVTHAMYRSDIPGVLLGYQHQVMGLAGCGELAHARQLFHHLVAVQDAYGIEVAKVNVLQQHFAEFDNHAQHPDDAPTAETPPPTPSAEGLVVYSPFSGRLVPLSHVSDNNFARGLVGKGYAVEPNEGRLYAPVTGTVVAINSFGYAYTIKALNPNGAGGAEAGPEVTILIHIGIKTWKLSSKHFRVAVGVGEQVTAGDLLCEFDLDAINNAGGGDISSPVVITNYRASRSFKPAPKVSLPGHINAGDPLMIIPRNP</t>
  </si>
  <si>
    <t>GC_00001526</t>
  </si>
  <si>
    <t>PF04982.19</t>
  </si>
  <si>
    <t>HPP, transmembrane region</t>
  </si>
  <si>
    <t>COG3448</t>
  </si>
  <si>
    <t>CBS-domain-containing membrane protein</t>
  </si>
  <si>
    <t>MPTPWFTLRKSDAPPRPPWRQIAAVTVMSIMALIVLAFIGEITGFALLTPPLAASMALIAGCPNLPLSQPRNVIGGQLLSAIVGCAVGVVSHSIWALAIAGGLALGVMLAARAAHSPAAATAILGAVIPSGQLTFILCAGIAAAILVLIGAISAKISTTKYPIYWW</t>
  </si>
  <si>
    <t>GC_00001527</t>
  </si>
  <si>
    <t>MNPLTILSFAASAWILILGVNNPWLSAFFLVAALLWRRVLVPTALLVLPMALSLAVIHIPFGHAHLAAELALRCAALVAVALAAFSTFTIAELAKAMQATRAPANLSYILGSALRILPEGRATFEKVRYAQHLAYRRPVNPLLSTARALLPTITHLLDAGAQRAPDLEVLGVGLPGRRTVLRPVADSATHKALRIIVPAAAIVVVIALWM</t>
  </si>
  <si>
    <t>GC_00001528</t>
  </si>
  <si>
    <t>MNPLEQVIVFVNTILGSMLHAGSSASSVMHTVAK</t>
  </si>
  <si>
    <t>GC_00001529</t>
  </si>
  <si>
    <t>MRKIVVTFTIALSLGAASTIANAQPAAPATNASAAASTTAAANNNQTTAAKTSTPAAAQSSAAASSSAPAVVPPKGDNKSDKDPSADKDKQSNKDKSGQNKKSGNNVGSTLGIIAAIAAVLGLVGGGIFWAIQQNLIPNIQLPNIPGLPTNIPNPFAPPAPAPAPAPTSSAAPAPAE</t>
  </si>
  <si>
    <t>GC_00001530</t>
  </si>
  <si>
    <t>MRCILFLLAMTILVNTLSQNWEQIQSEYLKHSSSILALGKDPNAG</t>
  </si>
  <si>
    <t>GC_00001531</t>
  </si>
  <si>
    <t>MLLVDKNLLGKLLLALLRGVVMTTQYTTNRLVAVCALVTAGLFALSSCADGTNTLESGDSVRGAAAVASQNASPESAPTSAPSPSADPASAGAPVNPALNHGAVAWEFPWQALGWQATDINEPGVLQLANAHGCRFTATQHLFKATMQATDQQETQVQANLWIKTFKKNTVNPISNTEPATDIRRFSGLPGEPNPPVGAQGVPGDPVDMLRVNTDYATPDGATHRSSAWLRVFANERTPVVVTLNYACPSASYSPIDLQELIEATTLANVEHPQMLENSARP</t>
  </si>
  <si>
    <t>GC_00001532</t>
  </si>
  <si>
    <t>MEFIKEGMVIVKHSHGLVATIVAASLVATFISPTTSIAYAQPAAPINGAGASATSTTPANPEDNPIGTQGDPNAQPGSPSTEPKAQPNQPNGAQSGTNPSEGNKAGSSSSGDKDKIGSVDAGSSLADNLANKDRDKEGSLEKNGSANNVLHGPNSKTDDPKAKAEPSSYGPFAHFLRTILASGTNAKSSTGKGLKFLLGLLNLLGLGHWKFPDRFRDHHSEYPLPTDDSITELKVVDKQDEFDGRVQRWSIQSPTMKRIVEVEVMAQPNAATPAPMLYLLDGVSAPRVSGWFGPGDIINRLGNENVTVVAPTQGNGSFYADWSNTDPSLGYMKWETFITEELPRVLEAPQADSRINFNGKRGIGGLSMGASGAVRIAAKNPNLFHGVFGLSGCYSTVSQFGRTTIESTIKGQDGNPSNIWGPFGSSEWRANDVTLHPEGLRSMPVFLSNASGKITKEQLQKDNGLPFYDTSLGATLEHVTLECTKDLEKVMDRNGMTNKKVVYIQSGIHRWNDTFTSQILPAWEYLKPSLQ</t>
  </si>
  <si>
    <t>GC_00001533</t>
  </si>
  <si>
    <t>MTVVDVVSQFLITSPFWLQGLIMFVVVVPLCAALAMVWLRLVDFIGATMFRVRTWFRYRR</t>
  </si>
  <si>
    <t>GC_00001534</t>
  </si>
  <si>
    <t>PF12704.14</t>
  </si>
  <si>
    <t>MacB-like periplasmic core domain</t>
  </si>
  <si>
    <t>COG0577</t>
  </si>
  <si>
    <t>ABC-type antimicrobial peptide transport system, permease component (SalY)</t>
  </si>
  <si>
    <t>MSIFESLTLALSNLRTNKMRSALTLLGVIIGIASVITILTIGDGLREDTLSSLNNDGGVEIVAEARPIPTEEELQQAGGEEYYYYSGRLDDPSYEITSDDIDRIKDLLGDKLAGVSIGGNSSYSGDLIYDSKTINGSTFFVNPYYFVQNNSQIEVGHGLTQDDIDNNKPVAVLNNKLAKQIFGDNIQAALGKEITFESDDGLSDFTVVGVLKEPKKGLLNGRGPESSSMYVPYTLESRLSDRAGTWQSVTFRTTPAAAGDLQQIKTTIADYFKPRFEGNPEYEMKVRDYTKELENVNNVLGGISAAIAGIGAISLMVGGIGVMNIMLITVTERTREIGIRKALGATRKDIRRQFVIEAMVVCLIGGFIGMAIGAVLGPLVCQLMFQTMTMPPIMGMIGSLMFCLVIGLFFGWYPAGRAGKLDPIEALRYE</t>
  </si>
  <si>
    <t>GC_00001535</t>
  </si>
  <si>
    <t>COG3949</t>
  </si>
  <si>
    <t>Uncharacterized membrane protein YkvI (YkvI)</t>
  </si>
  <si>
    <t>MLKRTVTIVLAFIGIIVGAGFATGQEMLQYFVSYGKVGIIAAALSSLIMAISGLVVVQLGSYYLAGDHGTVLRRVSYPLLARLLDLGVLITLFCTGTVMFAGAGSNLNQQFGFPTWVGALILLAITLIVGLLDVDKVTEVIGSITPLIIVFMTITVVWVLSTSHADYSVLEQAVHTITPVAPHWGIATMNYVGLNLMIGASMAIIIGGNNTDPRAAGLGGMIGGIIFGLMLTFATWSLYLRADQVAADDVPMLTIVNQIHPWLGFGMSIAILGMIFNTVIGMLYAFGRRITAKHPTRFYPAFVVSSLVAFAVSFLGFKTLVATLFPILGYMGVLLFLVFLVGWVRSFSQIREESTRRENMRELLRRKLDPTKRFSSKQRRRLARYETESNVEDTDIAETMQEEVKEELGLDSSKS</t>
  </si>
  <si>
    <t>GC_00001536</t>
  </si>
  <si>
    <t>MSDTDNQWYFDLATGVVSQGKAGNWTDRMGPYATEAEARDALALAAERTRQADEYDEAGKDDYDKA</t>
  </si>
  <si>
    <t>GC_00001537</t>
  </si>
  <si>
    <t>PF04014.23</t>
  </si>
  <si>
    <t>Antidote-toxin recognition MazE, bacterial antitoxin</t>
  </si>
  <si>
    <t>K|V</t>
  </si>
  <si>
    <t>Transcription|Defense mechanisms</t>
  </si>
  <si>
    <t>COG2002</t>
  </si>
  <si>
    <t>Bifunctional DNA-binding transcriptional regulator of stationary/sporulation/toxin gene expression and antitoxin component of the YhaV-PrlF toxin-antitoxin module (AbrB) (PDB:2RO5)</t>
  </si>
  <si>
    <t>MADDGNRGADQSYEGKYIGMVKLGPKSQIVIPKEVRDIFNLEPGATLLMLADKERGIALVNPAEYQDVMDAAFGKGEI</t>
  </si>
  <si>
    <t>GC_00001538</t>
  </si>
  <si>
    <t>PF22481.1</t>
  </si>
  <si>
    <t>Domain of unknown function (DUF6985)</t>
  </si>
  <si>
    <t>MSEVSIPGVGHFAFEEVWDEYTSADVVVPGFGGLEGHFYMAGNVLDAAGLDRIGAAITAFLSPRVDFIAHATPYVFQQYQDWRTIGQEEGWGEYLPSLSQPELVWDLVQIGNEFQIVWDETFGGEVYIKVACSCEWDVEDGLILVFKGGSSLCTVGFGADALLNKDGSIYQPL</t>
  </si>
  <si>
    <t>GC_00001539</t>
  </si>
  <si>
    <t>MFGLPLFTVAVLLAVAGFWIIYTLVFLVISRNWHLADELPIPAESGSEGQHQ</t>
  </si>
  <si>
    <t>GC_00001540</t>
  </si>
  <si>
    <t>PF14062.11</t>
  </si>
  <si>
    <t>Domain of unknown function (DUF4253)</t>
  </si>
  <si>
    <t>MDFQPWPNKIVPVCPNPHSLSELTSLLTEWRFEYDILVTNLTDNSYQVAATVDPHPNIAGLWGHLIATFPELGFWPVHTDGSLDELFDPDPDRIGTAEEFFAENTMPLFENHWEQGWEAPDFPELTPEQLQSFADFHTRTIRTEPTINTEKSHIVDDENLDTTQLLITPVPRPADVPATIGWPGAINYDYSGAGVSTVLCSWEDRFGALLTSLNFAEMDLSISDVKQLAVLTHDELVNLTLEHYVFCPDSLDQGTLKFPRYLDAISGSPLWPFWSGGTSIEGHGVFYYHAQSH</t>
  </si>
  <si>
    <t>GC_00001541</t>
  </si>
  <si>
    <t>PF03169.20</t>
  </si>
  <si>
    <t>OPT oligopeptide transporter protein</t>
  </si>
  <si>
    <t>COG1297</t>
  </si>
  <si>
    <t>Predicted oligopeptide transporter, OPT family (OPT)</t>
  </si>
  <si>
    <t>MTPTGATSAAGPAKPRSGIKELTVRGIILGGLITLIFTAANVYLGLKVGLTFATSIPAAVISMAILRKFQDHSVQENNIVQTIASAAGTLSAIIFVLPGLVMIGFWSGFPYWTTAIICAVGGTLGVMYSIPLRRALITGSDLPYPEGVAAAEVLKVGDDHADAEAQKENKVGLRVIIVGSLASAGYQFLSYLKVVAGSVKTVFPLFGGASTVATSLSLALIGVGHLVGLGVGIAMIVGLLISYGVLLPVFSADAMGSGDISEIVKTTFSQEVRFVGAGAMTVAAIWTLVKIIGPIIKGIKDSLASSQARKSGETVALTERDIPFNIVMGVILACMVPTGLLLYLFVQNSEISHHTTTLVILSVVFVLVTGLVVAAVCGYMAGLIGASNSPISGVGIIVVLASALLIKVVTGNEHETNAPALVAYTLFTAAVVFGIATISNDNLQDLKTGQLVDATPWRQQVALIIGVVFGSIVIPPVLQVMLQAFGFDGMAGAGPDALAAPQAALLSSVANGIFGNSLDWNIFGLGALIGVGVIIVDEILRKTTGGKRFLPPLAVGMGMYLPISLTLVIPIGAVLGVVYNKWADKHENSESLRRMGTLLATGLVVGESLLGVIYAAIIVAANKEEPLAIVDLGGVADGLGIVVFAAVCFGLYRWLQTSIAPKAQASKPAD</t>
  </si>
  <si>
    <t>GC_00001542</t>
  </si>
  <si>
    <t>PF13274.11</t>
  </si>
  <si>
    <t>Antitoxin SocA-like, Panacea domain</t>
  </si>
  <si>
    <t>X</t>
  </si>
  <si>
    <t>Mobilome: prophages, transposons</t>
  </si>
  <si>
    <t>COG3600</t>
  </si>
  <si>
    <t>Uncharacterized phage-associated protein, contains DUF4065 domain (GepA)</t>
  </si>
  <si>
    <t>MVSVIDVASYILQQRGSMTTMKLQKLCYYSQAWNLAWDEKPLFHEPIQAWANGPVVYALFERHRGKFVVEQDDIAGNPEALDRDERETIDAVLDAYGHLTGQQLSDITHSERPWKVARGEVSEGEYCSEVIDLDIMQDYYGGLDSAAAS</t>
  </si>
  <si>
    <t>GC_00001543</t>
  </si>
  <si>
    <t>MTTATTTATKISVSHLYKRYGSHQVIDDVSFDVQEGQVTLLAGPNGAGKSTLLRMICGLDTIDKGDITIMGRHYSQLSDPKHTIGALLDATWLDTALTAEQNLRVLADLAGIHRRRVANCLEMCGLTSVAGRKVSDFSLGMRQRCGIAAALLGDPDLLILDEPVNGLDPAGMRWLNDLLESHTQAGGTTLLSSHFLADSELIASRVVILGKGKTLWEGSLAELTGGARHTVFASYANDLIASQLHAMYTGLEITPLADGKVQVNVPPEDVSIAARIAEVDLTHLTVSRITLAEAFEQISEGQVEFQ</t>
  </si>
  <si>
    <t>GC_00001544</t>
  </si>
  <si>
    <t>MSTPGPMEQSGGFPVPIGYAEATQVAQNAFEGGLIDIGELDRRLAVIAQSSSEADAWESVKDLRSASLNNARQPNKQNSVNWVELGMSIPWYVACVATLVCVVIWGLVAVMSGPTVFWPLWMSIPLIVTYAVHFAGKRFFRKQ</t>
  </si>
  <si>
    <t>GC_00001545</t>
  </si>
  <si>
    <t>COG1245</t>
  </si>
  <si>
    <t>Translation initiation factor RLI1, contains Fe-S and AAA+ ATPase domains (Rli1) (PDB:3J16)</t>
  </si>
  <si>
    <t>MFLRDTVIENIAFGLEQRGVERSEMQRRCLDIADKLGLSDLLERNPRELSTGQTKRLTLAMLLVVEPPHLVLDEPYEGLDRESTAQLRALLGTLPHVTVREEVIEPCTNLPDAVEPGETLDLGEIVGERTQPQPWWKFHQKATPQFRVGPIRLAPRKGGVLWLRGANGSGKTTLLRGVEKHHEAAFALHNAADQVIHSTVRQWWPDAPNNPDTHPLDLTRSQLKLTQLGAIFAYDRPLILLDEPDTALNSADRERFHWMLAAELARGKAVILTSHDEKFVDTIAHYANILHVAL</t>
  </si>
  <si>
    <t>GC_00001546</t>
  </si>
  <si>
    <t>PF03306.18</t>
  </si>
  <si>
    <t>Alpha-acetolactate decarboxylase</t>
  </si>
  <si>
    <t>K01575</t>
  </si>
  <si>
    <t>acetolactate decarboxylase [EC:4.1.1.5]</t>
  </si>
  <si>
    <t>COG3527</t>
  </si>
  <si>
    <t>Alpha-acetolactate decarboxylase (AlsD) (PDB:1XV2)</t>
  </si>
  <si>
    <t>KEGG Orthology (KO)&gt;&gt;&gt;09100 Metabolism&gt;&gt;&gt;09101 Carbohydrate metabolism&gt;&gt;&gt;00650 Butanoate metabolism [PATH:ko00650]|KEGG Orthology (KO)&gt;&gt;&gt;09100 Metabolism&gt;&gt;&gt;09101 Carbohydrate metabolism&gt;&gt;&gt;00660 C5-Branched dibasic acid metabolism [PATH:ko00660]|Enzymes&gt;&gt;&gt;4. Lyases&gt;&gt;&gt;4.1  Carbon-carbon lyases&gt;&gt;&gt;4.1.1  Carboxy-lyases&gt;&gt;&gt;4.1.1.5  acetolactate decarboxylase</t>
  </si>
  <si>
    <t>MTVPDRSRDIPVQRHTIFQSSLMTALLDGIYDGELTIGELLGHGNFGIGTFDALDGEMIIVDGVCYQVRGDGSATVADLEQHSPFAVATNFVPRIVREAPPGMCRKELSEFISGILPSENYMYAVRITGMFESVRVRTVTKQQRPYRPMLEATGDDAELVFSHTAGIIAGFRTPIYEKGIGIPGCHVHFIDNARTHGGHVLDFTLSSGLIEVCPGTDLQLRLPLNHEFSTARLAPEDLDQQIHATEVKE</t>
  </si>
  <si>
    <t>GC_00001547</t>
  </si>
  <si>
    <t>PF03009.23</t>
  </si>
  <si>
    <t>Glycerophosphoryl diester phosphodiesterase family</t>
  </si>
  <si>
    <t>K01126</t>
  </si>
  <si>
    <t>glycerophosphoryl diester phosphodiesterase [EC:3.1.4.46]</t>
  </si>
  <si>
    <t>COG0584</t>
  </si>
  <si>
    <t>Glycerophosphoryl diester phosphodiesterase (UgpQ) (PDB:1O1Z)</t>
  </si>
  <si>
    <t>KEGG Orthology (KO)&gt;&gt;&gt;09100 Metabolism&gt;&gt;&gt;09103 Lipid metabolism&gt;&gt;&gt;00564 Glycerophospholipid metabolism [PATH:ko00564]|Enzymes&gt;&gt;&gt;3. Hydrolases&gt;&gt;&gt;3.1  Acting on ester bonds&gt;&gt;&gt;3.1.4  Phosphoric-diester hydrolases&gt;&gt;&gt;3.1.4.46  glycerophosphodiester phosphodiesterase</t>
  </si>
  <si>
    <t>MQTMHTLQIIAHRGASFDYPENTELSFLAAVEQKADGVECDVRLTSCGTMVCIHDPRIDRVSDGTGLVSAMTYEQLTHYNFGTADFPQRPLAYDRLLEIMEAYPDKHLFIEAKHFSRFGRIVEEQLVLRLRYFGMLNRPTVHVISFSPLAMQRMRSIAPNIDRIFLQSPRGKPFKRWGMPGDVGASITEAKNNPRLLPASYMWTVDEPDDMRWARRHGVRYMATNRPSLARQVLGRE</t>
  </si>
  <si>
    <t>GC_00001548</t>
  </si>
  <si>
    <t>PF12724.12</t>
  </si>
  <si>
    <t>Flavodoxin domain</t>
  </si>
  <si>
    <t>K00230</t>
  </si>
  <si>
    <t>menaquinone-dependent protoporphyrinogen oxidase [EC:1.3.5.3]</t>
  </si>
  <si>
    <t>KEGG Orthology (KO)&gt;&gt;&gt;09100 Metabolism&gt;&gt;&gt;09108 Metabolism of cofactors and vitamins&gt;&gt;&gt;00860 Porphyrin metabolism [PATH:ko00860]|Enzymes&gt;&gt;&gt;1. Oxidoreductases&gt;&gt;&gt;1.3  Acting on the CH-CH group of donors&gt;&gt;&gt;1.3.5  With a quinone or related compound as acceptor&gt;&gt;&gt;1.3.5.3  protoporphyrinogen IX dehydrogenase (quinone)</t>
  </si>
  <si>
    <t>MNNTLIFYNSVYGSTRSYAEELARRLHTTEHALDDAPELLESNPEAQTVIVLSPVYGPAVAGATFIKDSQRLLQGRRVALASVGMTLTDHARDKDSSARLLGDAADATTRFYLPGRLYYSEISRVHKGVLWSIVNMLKGKINRNANDNNMIDTYNTDVDRVDYAELDAIAEWVRD</t>
  </si>
  <si>
    <t>GC_00001549</t>
  </si>
  <si>
    <t>MSFTPHEREALLSARFVGPTVVQRLEEIGFGDMSSLAAASVDEIVDRAAAHLGSSCWKNSPQSRTAIANAIAVAHEQLS</t>
  </si>
  <si>
    <t>GC_00001550</t>
  </si>
  <si>
    <t>K09813</t>
  </si>
  <si>
    <t>hemin transport system permease protein</t>
  </si>
  <si>
    <t>COG4591</t>
  </si>
  <si>
    <t>ABC-type transport system involved in lipoprotein release, permease component LolC (LolE) (PDB:6F49)</t>
  </si>
  <si>
    <t>KEGG Orthology (KO)&gt;&gt;&gt;09130 Environmental Information Processing&gt;&gt;&gt;09131 Membrane transport&gt;&gt;&gt;02010 ABC transporters [PATH:ko02010]|Transporters&gt;&gt;&gt;ABC transporters, prokaryotic type&gt;&gt;&gt;ABC-2 type and other transporters&gt;&gt;&gt;Hemin transporter</t>
  </si>
  <si>
    <t>MFLALRDIRAARGRFTLITLTVAMLALLVSFLFGLTGGLRYQNVAAFSTLGGSYAYLSNDNLDRSELTLDDTKSLVDASPTATAVGITRVVLNEEPLAVLAVRPGASGPADDATPLPESGHVYASSGAAEALGVGAGDTITIKGEELIVDGITGDDWYSHQKVLWTRLPDDQPANVVFTGSAITPDNPKVVQIATKDMPQALTAFKAQSMSLMLINIMLFIVTALVTGAFFTIWMMQRKPDIATLKALGASSSALIVDALGQAAMILGLGIVLGISITLIAAHSIGDSLPFSISPGSILLPAVAIFLLGLGGAAAALSFLRSASALSALGENR</t>
  </si>
  <si>
    <t>GC_00001551</t>
  </si>
  <si>
    <t>MTHAWLFTGPPGSGRSNAAVAFAAALECTDPHIIGCGTCEQCRKVQRGAHTDVVHITPRELTIGVETMRTEVVTPAAMLPTVGKWRIVILDNADRLTDAAANTLLKTVEEPPAHTVIMLCAPSTDPEDIIPTLLSRSRHLYIPQPSIDDIVAILTRTDNATEADARRAAMASGNHIGRARHLLHHQESQIRRTNILNLAELIFHGSQAFQAVTSLVKTATDEAKNSLAETNEQELEKLRTALGMGAKGRGAHKALRGSAGQIKELEKLQKRRETRAIRDALDTQLVDLIGIYRDALMIAAHAQVSPIHPDMQGLAGELSTIGEPNLLACIEAISHCRDDITHNVRAETAMDAMVGRIRKACNVQ</t>
  </si>
  <si>
    <t>GC_00001552</t>
  </si>
  <si>
    <t>MVNSPNITDPPASTGRRRRSSTSKKRLWSPNTKTPKHAQTDNGRRDIKDELGRPETVVLAVKAWAFVLFFEVIHQIIEVIEKILNREETAHQIIQKTGDPQINSDATQQLHVVVFSIIGGAIAIVFVGIIFALVNSFNKATKRAFWARRALAFYGLYLGVRIVFIYTEISTIPANSLPIAFSAIDGAIAITVGVIALVAVVLGARDDSLKWVGETPVGFSPPPNGNGHDEKKDERKK</t>
  </si>
  <si>
    <t>GC_00001553</t>
  </si>
  <si>
    <t>MDKYLTVRLIAPYGIIWEGKASFTTIPGQMGTFGVYPGHVPYVSMLGDGIAHIIGIDNSDMRFKTSGGFAFIRDDRVSILIEKTEEAIPLD</t>
  </si>
  <si>
    <t>GC_00001554</t>
  </si>
  <si>
    <t>MVLSMVFGCCGLFLLELCSLLERKPCLANTLPEVYKGLHKPPKGRKSAKHGFLFLLG</t>
  </si>
  <si>
    <t>GC_00001555</t>
  </si>
  <si>
    <t>MPENTRTFRSSMMNLLALRSVIELPIVQRHVLDPEVLRTVAEVDRVGDLTRFNVADVPELAHVSNSKELLTPDEHGWALGHALSLAVEHGQHLWLSEVTPEQLAQLREILGKELVHIASVHDSEDNDTVVVAVSPRQLLYEWADGTPEQIGYLRTVLEGTDPLRVSQHTLSALREAGVSLVPRADVVRLLHNPKFLAYSVVFIYSSLRALPATFAPGFRGNPFVLWTIDIVTAVPYTWGIMAMVAGQRRRTRFTGLLVTLITFIAPYVYFFFAGSHGNGNRYPGWVIMVVIALILATFLLEGGRWLRDVAVAQGLHAPRTG</t>
  </si>
  <si>
    <t>GC_00001556</t>
  </si>
  <si>
    <t>MGRHNHQLESESENEPESPAEIRRNRRSKRITPAAQQPAKGSKSAKAKPAVRPTKAAQSSSPQSAGTGRPAKRTVRKVSQQPADAAPATPKGPRVRKPRPAKGTKPTQPTPATPVASEQPAKPTKPAKPAKQPRVPRSQRKPEAESPAVDVDKQSKPKTRTWTFTRILLVAFIAAWVGGTIFGVYTMWPGDKKPNISPNFYTSFSMSHAQVEGTVLFTQPGSCTSSEVGRVFDTSPRESPGSDNNCQWYITQIDSGTNKGQRTLLINSHNPGEPELHKNDRILLIEDKAADGAMSYGFSDFQRTYPLLLWGLIIAAAIAGFALIRGVRALLGLGITLVVVVLFTVRILLLGASPISAAVVSGAAILLLVVFMVHGFNWKSASALGGTLLALVIAAWLATIAIDNNELRGLGNSDNLSIIVNLPDVSVKGLMLCGFIIGALGVLNDVAISQASTINELADLDPQASPARLFLGAMKVGRDHIASMVYTLVLTYTGASLPLLLLLSVSERPLVQILTSDVVATEMLRSGIGALALTLTVPITTVIAAYTVPNTSNKADTTTDEGADSEAVADPAPTTA</t>
  </si>
  <si>
    <t>GC_00001557</t>
  </si>
  <si>
    <t>MIKNSPSLGEGVASDFAENQAIVFSMYFKSRNAQPFTMKRRIKGIAAAIAAFSVLAVGSPIVASAQSAGVPNAVDITNQIRNDTWKARNDLHKEAEKLDPNSAQKAKELVDGAANAVAPGIVDEKNKEAQEAKDRAEAERLAKERENFDYGSCPPTAAACVDLTKQRTWLQKNGKVFGPARDMSSGAVGWETPKGTHRVVRKVKNEVSRPFNNAPMPYSVYFTNNGIAFHEGNPNLWSHGCVHLRHDDAVQYFDELQVGDVVYVY</t>
  </si>
  <si>
    <t>GC_00001558</t>
  </si>
  <si>
    <t>MNDDAELLSKAREGDERAFAELVTRYQHIAWSVCMRITENQHDAEDALQHALASTWKNLSRFRGESKFGTWFYRIASNAAVALVRKRKQEKPIDDDEDGYFIQLEDTAAAFEEQLADHDRLSIALQQINADSREALVLAEVAGLTYAEIAVHQNASLSAVKVRIHRAKKKLADLLEK</t>
  </si>
  <si>
    <t>GC_00001559</t>
  </si>
  <si>
    <t>MTTLLEHKEAIREVIDLFSTLEIDAEAQAKLVTPDVHFEVYAPDGSVMVKLDGRDKLIEVFKEAISPIKTAYHLNGQQLITVNGDTATNIHYGKAILVQEIDGTEMVIDRSYRYSDTLILVDGTWLIKRREQYLVLSETRPL</t>
  </si>
  <si>
    <t>GC_00001560</t>
  </si>
  <si>
    <t>PF02626.20</t>
  </si>
  <si>
    <t xml:space="preserve">Carboxyltransferase domain, subdomain A and B </t>
  </si>
  <si>
    <t>K23124</t>
  </si>
  <si>
    <t>5-oxoprolinase (ATP-hydrolysing) subunit C [EC:3.5.2.9]</t>
  </si>
  <si>
    <t>COG1984</t>
  </si>
  <si>
    <t>5-oxoprolinase subunit C/Allophanate hydrolase subunit 2 (PxpC) (PDB:3MML) (PUBMED:28830929)</t>
  </si>
  <si>
    <t>MFKVLASGPQALFQDAGRSGYMSSGVSPSGAFDRASAVQANRVVGNAPGATVVEILFGGFSVEALTAATVVFTGTNALVHVELPNGYQYIEYTHTIIDVQPGTRLTLDSAQQGLRTYFAVRGGFAAPQVLGSASTDMLSAIGPDQLRVGDTLVVGTDVSGPGWYSWVRDCAPVRAMTNTVTLGVIPGPREEWFTAESVERFYSEPFEVSSESNRIGIRVHGEQPLERALAGEIASEGMVRGSIQVPPSGFPVLFGVDHPVTGGYPVIGVLDWCSSDCTAQLRPGDIVRFRRVVAE</t>
  </si>
  <si>
    <t>GC_00001561</t>
  </si>
  <si>
    <t>MKYKEKNNETNFDIFKVDASEEERLTPFSCIVNYIIKNPELECYIFADGCPDSALKIWDKDNSVEVIWSQTIKQPPSNFSFLDDLLPFREEPAKTSAVIRISFPISPAKLFSIYYPEIEACPSGLLVIAKEEIPKDILEEYKSIFYPNVTDESALNFASKAFEKWAIFGYVREIDQMGIEYRFENIFLSHNGNLSKSFITWGNL</t>
  </si>
  <si>
    <t>GC_00001562</t>
  </si>
  <si>
    <t>MDNNPREVKHDEIPVPKPPEGWTPPPDPTPEELREEALARLAKIDQCRAIEALIRDGWNDQRIAAYQGVDVSKVRVVRQRMESEETSCPVTPKELGWRRAAGHMSDQDMMDRLRSWPYTFSRVVFDAIDYGDWDDVVWLREKGYISREEFGELKAITDSMPKRPDIL</t>
  </si>
  <si>
    <t>GC_00001563</t>
  </si>
  <si>
    <t>MMSRSSVQPPRSVTQLFVESLRLSPKQREVLDTLQKFDNGARVTDIASQLNMHVNTVRGHLDELMKREAVQAVPARKQGRGRPSLVFHVRIPNNSSIAQEYTSLVSTLVELIGDPDNPSNDELKQAQQLGRKWARNMNVGTGWGQSYDSLSPALVTLRDMGFDPALETDDNDSPSRITLNSCPFVSKKVPHPSKLICALHQGLVQELSSASDKTHLVLIPYSGPGTCSIAVEGAST</t>
  </si>
  <si>
    <t>GC_00001564</t>
  </si>
  <si>
    <t>MTATETPSQNFRNLYPEVDPTTPIRLGRGEHFAIVASTGILVFGAAAGDLRITGAGFALFLLSIIITASKTNRRIRHEARSRFPGEDWIEYRTARHLRTDIIVPVGWLIISVITGACLWYVPAQYTYWGACGAAAAACVIMLFLPGLSPLWGETTNTSDDTGFFDVDSGFLEETSSAHPQPSVADTAEFDITGTDNHSN</t>
  </si>
  <si>
    <t>GC_00001565</t>
  </si>
  <si>
    <t>MLTVIPGMSYLKTLVPCAPMAPLTHTSDTSAREMRVPPDLHHATVLLVTVALGVAFGRRPLAHITPQRFSSGVRIHVSARLRQSTVRGAARLRSLHIFPLVVPSTPRDDAPPPPTSTNTEGTAPQNAVTAAEVCGTCVVGDHSFAFAARLQRRRVIEKSEWTMVALRIF</t>
  </si>
  <si>
    <t>GC_00001566</t>
  </si>
  <si>
    <t>MRGAHNQNGWNVPFRSDQGVRKGDLGGWVSSKYLNDGTIRISGEAWVAGDAIVKENARVEGNACVKDNAVVAGSVRVSRCAVVEKGAMIWGTIEVTDWARVGGSARIWLILW</t>
  </si>
  <si>
    <t>GC_00001567</t>
  </si>
  <si>
    <t>K01004</t>
  </si>
  <si>
    <t>phosphatidylcholine synthase [EC:2.7.8.24]</t>
  </si>
  <si>
    <t>COG1183</t>
  </si>
  <si>
    <t>Phosphatidylserine synthase (PssA)</t>
  </si>
  <si>
    <t>KEGG Orthology (KO)&gt;&gt;&gt;09100 Metabolism&gt;&gt;&gt;09103 Lipid metabolism&gt;&gt;&gt;00564 Glycerophospholipid metabolism [PATH:ko00564]|Enzymes&gt;&gt;&gt;2. Transferases&gt;&gt;&gt;2.7  Transferring phosphorus-containing groups&gt;&gt;&gt;2.7.8  Transferases for other substituted phosphate groups&gt;&gt;&gt;2.7.8.24  phosphatidylcholine synthase</t>
  </si>
  <si>
    <t>MSSAQYPARIRAAAWAVHILTMSGLVWASLAMLATIHREFTWMWVWLLVALVVDGVDGTLARRAKVSEVIPWFDGSIVDIVVDYLTWTFIPAVFMYVGLDMGPKPVAGLLMALILTSSMFCYANKQWKSTDYYFVGFPAAWNIVALMFYVLGTPAIVNIIVTLVLAVLTLVPTHYVHPARVKRFRTLNIAAVALWFLATCWLVAIYPERPLSTVAVIVVCGGWVLLAGCLRSIRGAELVTEPSTTPDTEPASSDDS</t>
  </si>
  <si>
    <t>GC_00001568</t>
  </si>
  <si>
    <t>MHYLFTVTFICPKGLAQSGYRAFTTGVASLRSLRGVRVMFSSLRPQRTDDPPEMDDLLERVKYSIGSGLWNQEPLLYNAFAVTEVDAVEGSLSEISEALSAHMSDVAIGEIPHNVTWVPLEDYGNHDPGVCLPAARNPSVE</t>
  </si>
  <si>
    <t>GC_00001569</t>
  </si>
  <si>
    <t>MTCHIHENHPHVHGENCGHEAVKHGDHVDYLHDGHRHRAHEGHWDECDGK</t>
  </si>
  <si>
    <t>GC_00001570</t>
  </si>
  <si>
    <t>PF05901.16</t>
  </si>
  <si>
    <t>Excalibur calcium-binding domain</t>
  </si>
  <si>
    <t>COG1525</t>
  </si>
  <si>
    <t>Endonuclease YncB, thermonuclease family (YncB)</t>
  </si>
  <si>
    <t>MTYPTSCSPIPPLSPRTPQQPQRSTAGRVFKAAVSIIAVIIGGLLLLASLGILVISGFGQAFAMFLVSAGFLVPAGWWFICEYKDMQRAKEQQRGFFGQSVAPAQRHWKVVAPAAVVAALMGMALVEPAPDHEVVGTSVPIPATSTSMMTTTTSKQETTRRTSTSTTTTTKVTSEVVAPLSDLVQASPEPTPEPETPEPPAPPVQPAQVQNLVGTQQNSAGAYPNCCAAWTAGDAPVYAGSPGYGPHLDRDHDGIGCEKRPKNC</t>
  </si>
  <si>
    <t>GC_00001571</t>
  </si>
  <si>
    <t>PF03780.18</t>
  </si>
  <si>
    <t>Asp23 family, cell envelope-related function</t>
  </si>
  <si>
    <t>COG1302</t>
  </si>
  <si>
    <t>Uncharacterized conserved protein YloU, alkaline shock protein (Asp23) family (YloU)</t>
  </si>
  <si>
    <t>MSNASIPQTGQQRERERSEEKKKEVATTPRGPLQTAHGVTTIDENVVAKIAGMAAREVPGVYDMGNAVRRAFSAVTDRIPNAQTNVAGGISVQKGETQTAIEVTVVVDYGAPIVEVANAIRRNIIEQIEGTTGLEVVEVNINVTDVHLPDEDSDSSSSAVDLT</t>
  </si>
  <si>
    <t>GC_00001572</t>
  </si>
  <si>
    <t>PF25548.1</t>
  </si>
  <si>
    <t>Domain of unknown function (DUF7926)</t>
  </si>
  <si>
    <t>MSTLHLNLREGKHHILLAIVTALSLVAGFLVAPPTAQADVNTGIKVTDLKLTASDQNGNPLNNNAMITRDTAARLDFNWDASGTRVKSGDTFTIDLPEQFQSWRNYEKHPLVVDHNGQSVQVGDCNSETKTINCVFNDKVDELNADGYRGIEGSGWAVFKVLGEHEGPAIDFVVNGEKTAVDLPGGKIPGIPGDYFNMGFGKMAAYLGPNTDSITWDINFNSTHVKNLLKDTPQALTVDGKTSQTITFEDILGPGQKFNPNTGNFQLMIRNSKNHPANILKPLAFVSGAKDKVVTEYGDFTIAFDRKNDQEGTFTLTGPWAEDTNYKIVYTALPDSADGRAVADHAYYNESTIKGSTQKAHFSRQFSRSFDVTARLLPGFGGLEVTKKVANDPQNKVPAESEYIVNIEYTLPNNTTASNYPTWTPVGTLNDAKTGGTASMTVKANEAKRFTGQFPTGTTVKLTEERSTLPNGIQWRDPEFTVNGKSADTFTVEELKHASVELTNEVARIDVSPLPNPDQNDPTNPDNPTDPVNPINPTDPTDPNKPDNNNGSSGNGSSGAGSATGSSRGSSISGSSVSPWWLLLGIAPLLMFLPPHVLKHFQPSNNAQVPAQAPVKQGPRKG</t>
  </si>
  <si>
    <t>GC_00001573</t>
  </si>
  <si>
    <t>PF15595.11</t>
  </si>
  <si>
    <t>Immunity protein 51</t>
  </si>
  <si>
    <t>MIISAWNQAGLRPHPGSLCLVKTDYGYIPAGVVLTDSYLGMCHLVHFYRTIITNPKDTSYFPLVESNDLLIPPMDIPRQAFDASGFLVVNNLEDAPVARVLDHYYFYANGDKWNVDERAFVPMDKPDATGTQSPIPLKQRLIYEKLPGEDRSIGVHEIPAGAWVSPSRTANLAMLEEALGESLRYYGLLRGAASPQLGISSSPYERAAQAKAIDTASRVHLVSTGGVTALYFEAPGPESVAQIIRNAGFVGNGYFWHSLIKFYADQRGFSDKVIFDPEAGMFSVIGTYEILDHLREVIESWFNNPQKLADIINNAQDSDVDFDD</t>
  </si>
  <si>
    <t>GC_00001574</t>
  </si>
  <si>
    <t>MPTASNALHQLEDRGMIERIREETDRRGVKVQLTPFGKSELERVGNERTAYLANMLAALPEEKLGDITKLANLINELSEAYDTEEALKAFEKASRRSNVQAILDGTLDNN</t>
  </si>
  <si>
    <t>GC_00001575</t>
  </si>
  <si>
    <t>MKLGNIFRGPKWPRDAAEFIATHFADKSVTEFFDEPRFERFLYLAKTETWVEAAREYRDVTGEDIQSSIIAAEVARRTFR</t>
  </si>
  <si>
    <t>GC_00001576</t>
  </si>
  <si>
    <t>PF04402.19</t>
  </si>
  <si>
    <t>Protein of unknown function (DUF541)</t>
  </si>
  <si>
    <t>MTTNEIRIVPDEHIPTITVTDSVTVEALADKATVTVKVTSNNKDQKTTFTRRDIGVRKAQQVLAQATLLQRQGEHLAEYSDYKNRIDSTWRCTIVAVDVDNPEVQAQLRDVIARLANLENCVIDGPNWSLSADKQAELNATAQALAIKNAKAKAEMLVAELGGTISGVVQVDSTPTQVTSTQTVRRGRGAPEFASLGKSSLPEPSLEISTEPDVVSVPGTVTVVFSARFEDTAL</t>
  </si>
  <si>
    <t>GC_00001577</t>
  </si>
  <si>
    <t>MKASTMSKVINWLRTDPGGTCTPLDVLPVRRRMFDVFSRDDLLTWWLIDSGLTPAQPSDVELAYLMVCEKSADVNEIERFRSQRLAPLGLCA</t>
  </si>
  <si>
    <t>GC_00001578</t>
  </si>
  <si>
    <t>MRLSWGLFFSMIAISFGIVFWFIGVYEIFPDLKEPPSLTTFLSSLAAYVAFVSFIDNRIKRNKEIIKNDAINISRKIKKDRGNVIDIIQNYYEGKGVVNMDAMIYIIIAIVLAPGIFSVGLFFHWGAFALFRNGHLEIAIVLIIFFLSGSISSSYINDIRRIPEYSYTHAKILNNSRSFDGFKRKLKLKFFKNYKIDNLSKNELDKIFKPTPCIKERDFLNCRYSNKIVLSILFLFNIISILLFLFVCGILNVNDMKLFVLLIVLGLALLAGLVFKFKILFHAIVIAVIIVVCFILMEMRYFIILRQVSFFLGFATLLTFLDLIASRSFVYWHFIKNLNNFLRAFACLVIKLFPLFITVYPILVKNLENSAVYSLYDYLCLASGMFVATLIAIGISGYFHYKEQARLMNEAIFLQLGKNVEIGDKIDEIFIYPLYHFVEVHQKEEQKVRDFAEDLQGEESYECNGS</t>
  </si>
  <si>
    <t>GC_00001579</t>
  </si>
  <si>
    <t>MKKRAWIGYASAFLSWALVIGALIAFFMGHSALALFLCLPGILLVWCSGSMFGDTKKLPKGAPIPDAKRVKRYRQENPGATIVDAINAINRQDGVY</t>
  </si>
  <si>
    <t>GC_00001580</t>
  </si>
  <si>
    <t>MISSLRGPVIDIGLNSAVVECGGVGYLFSATPQTLAELSRGEEATVLTLLIVREDSMSLYGFKDAASRDLFSTLLGVSGVGPRLALAVQSVFNTADFAQAVTRGDAKALQRVPGVGKRGAERMIVELKEKVSAFVDAAAEGSDGSADLATANAEPLPYGSAVTEQVVEALMGLGFNEKQATAAVESTLATHAEADNSTLLRAALATLSS</t>
  </si>
  <si>
    <t>GC_00001581</t>
  </si>
  <si>
    <t>MQIAIIGAGHIGITLAEKLISSSPDIHIDLFERTPAPFGLIRYGKLQDNTGTAPQLRLFGNITVGTDITAAELGEHYDAVISTPGARINPDIHSLLDDARPSRRDIRPLLEQRNIAYTSWEGWHHRSDASQPSIDWQDLISSAHGIPVWL</t>
  </si>
  <si>
    <t>GC_00001582</t>
  </si>
  <si>
    <t>PF11222.13</t>
  </si>
  <si>
    <t>Protein of unknown function (DUF3017)</t>
  </si>
  <si>
    <t>MLQGIRGIKHPAKDPQLERALANPHDAGAPPSLLPPVLQYCGLGIFGALLVFALVCGVTDHWRRATFALGVALTWLAGLRLVCDSRVMGVLGVRSRRFDAAFTTTLGVSMMFVAGTVDSLGS</t>
  </si>
  <si>
    <t>GC_00001583</t>
  </si>
  <si>
    <t>MPRLRFHNLNNGTNNRIGSEDITSTALLIFCAVVVLIPVTGIATFTWYMPFAFFSGVAVMFCGTVVQSSRVVVAGTAVAAWTVISPLLYLWMSNLTV</t>
  </si>
  <si>
    <t>GC_00001584</t>
  </si>
  <si>
    <t>MKTNLTWFFVGVVVIAAMLVAVVPMMLRSVNGGQEASTSVEQAIQARPNCPTRQVGGVDLPCLGGEFGDAEPRATVVNVWAWWCEPCRTELPLFDTLAATHPDLNVVGVHADTNAANGAAMLNDLDISLPSYQDDRNIFAAKYSLPSVVPITVVIDKDGQVRATYTEAFGSIEEVEDAVNKALS</t>
  </si>
  <si>
    <t>GC_00001585</t>
  </si>
  <si>
    <t>MKRKMIAIASAVALASASALVPAQAQQGNGSGVTVNSNNGNNNSQSGGGVTDKSGGGANGGSANGSAEKGGTGVNSKSGEKDGSVVGGGSSEKGGNSGNNGSVGGSSEKGGTNNKSNDKAGSEGKGDQKANSLGNINTGSSGLDKLLNLPQKIISVLSTAFKALFSGNLKGFFTAFTSALSSGSSAKAGTETGSDGNTSGKNDPNSKSGEKDGSVVGGGSSEKGGNSGNNGSAGGSSEKGGANNGSAGGSSEKGGAGANGGSAGNGNNKAGSSGSVSGGTSTGSQGKSS</t>
  </si>
  <si>
    <t>GC_00001586</t>
  </si>
  <si>
    <t>COG5662</t>
  </si>
  <si>
    <t>Transmembrane transcriptional regulator RsiW (anti-sigma-W factor) (RsiW)</t>
  </si>
  <si>
    <t>MVRESLRGNTGHTRRRKARKPREFASVEHLSLEAVAAFVDGELTPLAMHRARVHLVHCEECRAEVAQQRRASECLKNCVDTETIRVSTELKARLTSIAFSCPAGPDAEEATTKHPETFLGKVDLIYRAVRRSAGK</t>
  </si>
  <si>
    <t>GC_00001587</t>
  </si>
  <si>
    <t>PF13641.12</t>
  </si>
  <si>
    <t>Glycosyltransferase like family 2</t>
  </si>
  <si>
    <t>K11936</t>
  </si>
  <si>
    <t>poly-beta-1,6-N-acetyl-D-glucosamine synthase [EC:2.4.1.-]</t>
  </si>
  <si>
    <t>COG1215</t>
  </si>
  <si>
    <t>Glycosyltransferase, catalytic subunit of cellulose synthase and poly-beta-1,6-N-acetylglucosamine synthase (BcsA) (PDB:4HG6)</t>
  </si>
  <si>
    <t>ko00001|ko00001|ko01003</t>
  </si>
  <si>
    <t>KEGG Orthology (KO)&gt;&gt;&gt;09100 Metabolism&gt;&gt;&gt;09107 Glycan biosynthesis and metabolism&gt;&gt;&gt;00543 Exopolysaccharide biosynthesis [PATH:ko00543]|KEGG Orthology (KO)&gt;&gt;&gt;09140 Cellular Processes&gt;&gt;&gt;09145 Cellular community - prokaryotes&gt;&gt;&gt;02026 Biofilm formation - Escherichia coli [PATH:ko02026]|Glycosyltransferases&gt;&gt;&gt;Polysaccharide&gt;&gt;&gt;Bacterial polysaccharide (excluding LPS)</t>
  </si>
  <si>
    <t>MSALAVVVLIGLSTLIFWVGMIKLLFIPLSLYFEIRQTWRNHRKVKTALDDEPLVSIIVPGYNEEKVLGACISSILASSYQHFELIMVNDGSTDSTAKVMRDLAEANPYTVIFVDQQNSGKGAALNTGTAYANGEFIMYVDSDGVFGKDTIRQMLKAFDSPKVGAVSGDDRPVNLDRVQTTLLALISHVGTGFIRRALAVVNCLPVVSGNNGLFRLKALKATGPLRTDTLGEDLELTWRIHRAGYRVNFAPQAVVYAESPSTLKGLWRQRVRWARGMLQATRIHKNMICNPHYGAFGAYLLFNLLSMIIVPVAQIFVLLGMPIVIITDPDALPTTALGWVGFLGLALALVILIYSIALNRAWGDLRHIWVFPLWPIYSTLVGFTLGWAIILEVKGAEKNWNKLERTGTISVSGLSVDKQEASPA</t>
  </si>
  <si>
    <t>GC_00001588</t>
  </si>
  <si>
    <t>PF12867.12</t>
  </si>
  <si>
    <t>DinB superfamily</t>
  </si>
  <si>
    <t>COG2318</t>
  </si>
  <si>
    <t>Bacillithiol/mycothiol S-transferase BstA/DinB, DinB/YfiT family (unrelated to E. coli DinB) (DinB) (PDB:2QE9) (PUBMED:22059487;24821014)</t>
  </si>
  <si>
    <t>MSEYLGDLLADAAQRSRDVFHDVLSQVTPEQANWRPAQNANSIAWLAWHTAREQDLQIAALAGTPEVWTSQGWVDRFNLDLPRNSMGYSHTPEEAARVHVTDLSLLLGYLDQATEATIAYVRSLTPDVLNDVIDTHWTPHVTRGVRVVSIIDDAAQHAGQAAYIHGMLG</t>
  </si>
  <si>
    <t>GC_00001589</t>
  </si>
  <si>
    <t>MRTALSEWTKLRTTASLWWTTVLFIVFGVGFIGVFAVLAKKNQEADVPAVMAASDAASGIQQIGLIILIIQAIMVVTSEYRFNFIATTFQTTPNRTYVAFIKWLVYAVFAAILTFLCLVASLSIAKGILPDSPFKLTDNDVVRLMWALPLEAVLVVTFAMAVAWLVRQTAGAVSIVLIWYLVLESLLVIVPKVGPKIHGYMPFVNLNAFYTKTDVPDIAWGYNGSLFYFIAWAVGLFVIGVVLLNRRDA</t>
  </si>
  <si>
    <t>GC_00001590</t>
  </si>
  <si>
    <t>MLILRIGIGVVFVGHGWDKVVTNGIDKVAGFFASMGIPSPTASAYFGGYVELIGGILLIVGLGTNIVSLLLSVVMAGAIYFVHLKDGFLSVDGGGYEYPLVLLLVLLFFAAAGSGRFGLDAMVFKRGKAKA</t>
  </si>
  <si>
    <t>GC_00001591</t>
  </si>
  <si>
    <t>MSSLTSVKKRHEIFRVFVNMVVVDSFTPY</t>
  </si>
  <si>
    <t>GC_00001592</t>
  </si>
  <si>
    <t>MDKQVPPGKFAATVTIGPKGQIVIPKGARDLFGYQPGDKLLLLADIDQGIAILPTTAIDSLLPNQPPTMEKK</t>
  </si>
  <si>
    <t>GC_00001593</t>
  </si>
  <si>
    <t>MNELNLSYEGAKLQFMGDAVQCAKDAQGGLSAVVDQSSTNQADPSVVNLTLIDQGGKPMVNIYANSNKTIVASAAMETTKDGETYNYKGKALLTGNNENKEVDVEGSFRCVTFVETSTTPSK</t>
  </si>
  <si>
    <t>GC_00001594</t>
  </si>
  <si>
    <t>MTAPDQRGITTIPSAVVAQIAAQAAYETAHVGSNAGGVLGIGARRDFHSRPEADCELYGQVAVLHLNLGLTFPTPVASTIQHLRDYVREHVEHLTGLTVGKITIDISWLNPNDHVRKALQ</t>
  </si>
  <si>
    <t>GC_00001595</t>
  </si>
  <si>
    <t>PF11298.13</t>
  </si>
  <si>
    <t>Protein of unknown function (DUF3099)</t>
  </si>
  <si>
    <t>MFSHLFHLLRSRTRHRAGRRNQVELITDARQSPLENWQYRRTMYNWLQGSRIPILLTAGAVYWLWENWVITGILFLISVPLPWIAVVIANGVGQPRDPRRPQVYKPQMAREQARQAAHAALESEKQKELPGVVDHNTDGNAAEH</t>
  </si>
  <si>
    <t>GC_00001596</t>
  </si>
  <si>
    <t>PF21893.1</t>
  </si>
  <si>
    <t>Family of unknown function (DUF6918)</t>
  </si>
  <si>
    <t>MSDLSVLLGDQREKVAAELAEVAESAIDDAGIAVKTGFGAAKLADKNIAARGVNRVLPELLEALQPRWAEYEASDVEDFGTYLNTHSDAAIADILAVADANVKKADKATLEKIYDKVRPKAASLMKPHVPMLGDILEKHMKAA</t>
  </si>
  <si>
    <t>GC_00001597</t>
  </si>
  <si>
    <t>MQRIDIQVRPQMPIISILGSQDVPETITMWCETPALTTCDSRQVSVGIGQIHPDDDYPVTLFVCNTIPIVAEEFFATELTLKAGEVEVDGAVAATSQGKAGDSGMRFTLPWQGRTLLQFAAPNGYKEAKGGIQVPNSLDIYLSAVA</t>
  </si>
  <si>
    <t>GC_00001598</t>
  </si>
  <si>
    <t>MSAQAYRSWYALLPCSRWGLPSRASRLTRWCAFTAPFHPYLLAQAGGGLFSVALSRRSPWVAVSNHRALWSPDFPRRHVKRIVTYMINADTCAASTRLAHSHGITLQVRGVVDQPNYCGAIGIELRNGDRREIQV</t>
  </si>
  <si>
    <t>GC_00001599</t>
  </si>
  <si>
    <t>COG2334</t>
  </si>
  <si>
    <t>Ser/Thr protein kinase RdoA involved in Cpx stress response, MazF antagonist (SrkA) (PDB:1ZYL)</t>
  </si>
  <si>
    <t>MGFVVKWGALFTPSLTVGTLTGMSVIPEHVRVAFQVVEGTPIPLSAAWDRGYRVGQLALSEVADSEVAAWSAKVRESLQPEGLRIARPVRTTDGRYLMAGWRASHYVDGAVAKRVDETVGAALRLADALASVEVPNFAVAHVTKQASPKDNFVLADRAAWSEDPTLMLNTTVPPEVQATEKWAWALDFSNRLRHSWQPIDAPDQVGHADMLATTIFHGTQAPVVTDIVGVAHPHGYTAAQVMVDGLIAGVVDERITDRFSHLPDNDQLMLRGLLYRIYIHALSEEHDETVRATMEDVADLLIARIGKDA</t>
  </si>
  <si>
    <t>GC_00001600</t>
  </si>
  <si>
    <t>MSLIKGIKKFFGMDPDQFKDHVFPELTRQQADRFRALLHKEFRKRGIEIELMQRIVSLEFPSGTRGTIDLENLYRTLSQDPERMEELVADFVPHVLSFPETESLTDAEFYSVLKIRLMAPPAQPLPKQDDWMEWPFSKDIVVQLVQDGEHTIASLNSDVALSHGDPADLIRIGERNTWQELVDADVDVEHFAPDHDSPGASMWAVESNSFFTGSAPLFLEKILQRWIPNLDQRAGVLFAVPHRHLLLAREVTQGTNLFEGVNFMSKIAYQQWESQAGPISPSLHLMYAGELTAISEFATDEEGKVIMGIRPTDYLMDMLNSDQQ</t>
  </si>
  <si>
    <t>GC_00001601</t>
  </si>
  <si>
    <t>PF19187.6</t>
  </si>
  <si>
    <t>PafC helix-turn-helix domain</t>
  </si>
  <si>
    <t>K13573</t>
  </si>
  <si>
    <t>proteasome accessory factor C</t>
  </si>
  <si>
    <t>COG2378</t>
  </si>
  <si>
    <t>Predicted DNA-binding transcriptional regulator YobV, contains HTH and WYL domains (YobV)</t>
  </si>
  <si>
    <t>ko03051</t>
  </si>
  <si>
    <t>Proteasome&gt;&gt;&gt;Prokaryotic proteasome&gt;&gt;&gt;Bacterial regulatory particles</t>
  </si>
  <si>
    <t>MTAKADRLAEVVHMLNLLPYFEAHPGISLMEASKDLGRSPKELMDDLNSLWCCGLPGLFPGDLVDLDHTYKSVKVTNAQGMDKPLRLTHTEAGALLLALESLENLPGLTNREVVQSAAAKLRGIMGDETTAVVDSIVADTVVEHTSPLLDAIRRSLDHGLMLRFTYYSARSDSSNQRTVHPARVFSVKGDTYLAAWDDDAQAHRTFKVDRMSDVEVLDTPSTPHAEDMKFDEDDPFAFGKETDTVSLEIHPDVLWLADYVPLELGETGPDGWVAATMPMGSPAWVVRFAIGQAGRVRVTAPEEVTRTIAAQAEAALGAYSKRRSMSGE</t>
  </si>
  <si>
    <t>GC_00001602</t>
  </si>
  <si>
    <t>PF08282.18</t>
  </si>
  <si>
    <t>K21064</t>
  </si>
  <si>
    <t>5-amino-6-(5-phospho-D-ribitylamino)uracil phosphatase [EC:3.1.3.104]</t>
  </si>
  <si>
    <t>COG0561</t>
  </si>
  <si>
    <t>Hydroxymethylpyrimidine pyrophosphatase and other HAD family phosphatases (Cof) (PDB:1YMQ)</t>
  </si>
  <si>
    <t>KEGG Orthology (KO)&gt;&gt;&gt;09100 Metabolism&gt;&gt;&gt;09108 Metabolism of cofactors and vitamins&gt;&gt;&gt;00740 Riboflavin metabolism [PATH:ko00740]|Enzymes&gt;&gt;&gt;3. Hydrolases&gt;&gt;&gt;3.1  Acting on ester bonds&gt;&gt;&gt;3.1.3  Phosphoric-monoester hydrolases&gt;&gt;&gt;3.1.3.104  5-amino-6-(5-phospho-D-ribitylamino)uracil phosphatase</t>
  </si>
  <si>
    <t>MTLTGLRTAPPRLVATDLDGTFLDDAERVPLRLRRAVTRLDAAGVQLVLATGRPARWVLPVVEQLTVRPLCLCGNGAVLFDSSTSRIVDIRTIDSQTQHFVVMVARAALGEVGTAVERPDNFVVSDEFVHAWSSIEHAVQGEDVVLSQPAVKLLLRNHTLSSREMYDIVRPHIPEERAHITFSIDEGLLEVGPPGVNKAEGVARVAEQLEVQREDVLCFGDMPNDSEMLSWAGIGVAMGNARPEVKAVADYVTATNNDCGVADVLEYWF</t>
  </si>
  <si>
    <t>GC_00001603</t>
  </si>
  <si>
    <t>MSREDMMRILRLHPQVVDVRPSEDNNLGLITVLFDDGTSSGINPEMANPLTADESEEDRIARIHRTLDVMKANGKTSDQLSLQDVVPLVRSADYFAPRPDNAAPSVVAWLTDFIGLGLAIDEPDLLRIINDSQMPEQHDHFDDLQFQSQAIENLRTMAGNMTFSEIGLGPDVLVLDNPDGNEAAWFADVKTMESLLFHLWTQTDTYWVVIPARRSQLFLVNSETDQWDALLDLLNPAIDAHDGIHPVPHLIVDDHWVVKLPPRDTELGMKLRMLELKAQHRLHSAIQSVMQEHSEVFLATFEVRGLNDDVISTAIVAETMDETSVPSTDMLVFAREDNTIYLVPSDKVLNEFPHLVREHPNFHPPRWIIARPSDEDYTTLSALSIM</t>
  </si>
  <si>
    <t>GC_00001604</t>
  </si>
  <si>
    <t>MRDARRTVLTSMEGMGSFTLPPEAVAILSNFKMASFQVNPGLQPSHTSSVVSSLVDGWMSKNRSLCERHAALCDNIADFCSTLQDIDADLASRLR</t>
  </si>
  <si>
    <t>GC_00001605</t>
  </si>
  <si>
    <t>K15772</t>
  </si>
  <si>
    <t>arabinogalactan oligomer / maltooligosaccharide transport system permease protein</t>
  </si>
  <si>
    <t>COG3833</t>
  </si>
  <si>
    <t>ABC-type maltose transport system, permease component MalG (MalG) (PDB:2R6G)</t>
  </si>
  <si>
    <t>KEGG Orthology (KO)&gt;&gt;&gt;09130 Environmental Information Processing&gt;&gt;&gt;09131 Membrane transport&gt;&gt;&gt;02010 ABC transporters [PATH:ko02010]|Transporters&gt;&gt;&gt;ABC transporters, prokaryotic type&gt;&gt;&gt;Saccharide, polyol, and lipid transporters&gt;&gt;&gt;Arabinogalactan oligomer/maltooligosaccharide transport system</t>
  </si>
  <si>
    <t>MTDKTTGAAVVTDANQPKLHNQVASRRITDIAVHALLGILAIIWVMPIVWVVLESFNKDTAPYQQTFFPTEYTLNNYVQLFTETEVLNFPRMFMNTFIIAVFTCVISVSFVLLVSFCLSRLRFPFRRIYMNTALVLGMFPGIMAVVAIYFILKALRLTGGSTTNIALIIVYSAGAGMTFYMMKGYMDTIPASLDEAAYLDGCSKWQVFYLIILPIVKPMIVYQAITGFLIPWLDFVLARAIARTQDNYTVSLGLWRMLEREYIQDWFARFAAGAVCVSIPIVILFILMQRFYQESMAGSVKG</t>
  </si>
  <si>
    <t>GC_00001606</t>
  </si>
  <si>
    <t>MSNGYDPLAVAFYDIAHEGAQVRAIAGAIEASVKPQHDEFGAEIPGLASLAGVRARSIVVLCADNLSYRCAQLAASLIQPLPVALVITETIPGYLGALDVLIVVSEKGEDAAISRAISQSVSRGITTVLVCPGDCPMVSDAPRGTIIVPHLPNALGPSPTRSVVSVLAVLELADLDPLLVVQKLTDWAEEIDKELASCSPERDETVNPARELAVITGSLVHCSDSVPGVALASLASTLWAMRGRVSASLSLAELAGASRYYQGPHRDIFYDPLLDGDGSVGLPLKPIVWCAVDADVPGLPGAIAVTSVSNSVPVSVLRLLARAFAATVFFSTE</t>
  </si>
  <si>
    <t>GC_00001607</t>
  </si>
  <si>
    <t>PF01155.25</t>
  </si>
  <si>
    <t>Hydrogenase/urease nickel incorporation, metallochaperone, hypA</t>
  </si>
  <si>
    <t>K04651</t>
  </si>
  <si>
    <t>hydrogenase nickel incorporation protein HypA/HybF</t>
  </si>
  <si>
    <t>COG0375</t>
  </si>
  <si>
    <t>Hydrogenase maturation factor HypA/HybF, metallochaperone involved in Ni insertion (HybF) (PDB:3A43) (PUBMED:16817932)</t>
  </si>
  <si>
    <t>MTSTVAVFHIATPARLGARFESVHEVALSTQLARLVSKAAEGRRVLTVRLEIGALRQVVPETLVYAWGFVTKNTQLEGAELDVAWVPVRLRCAEGHVTEKQGWGFGCDYCDASTTVVTGEEFRVIDIDVEAS</t>
  </si>
  <si>
    <t>GC_00001608</t>
  </si>
  <si>
    <t>PF07732.21</t>
  </si>
  <si>
    <t>Multicopper oxidase</t>
  </si>
  <si>
    <t>D|P|M</t>
  </si>
  <si>
    <t>Cell cycle control, cell division, chromosome partitioning|Inorganic ion transport and metabolism|Cell wall/membrane/envelope biogenesis</t>
  </si>
  <si>
    <t>K00368</t>
  </si>
  <si>
    <t>nitrite reductase (NO-forming) [EC:1.7.2.1]</t>
  </si>
  <si>
    <t>COG2132</t>
  </si>
  <si>
    <t>Multicopper oxidase with three cupredoxin domains (includes cell division protein FtsP and spore coat protein CotA) (SufI) (PDB:2YXV)</t>
  </si>
  <si>
    <t>M00529|M00973</t>
  </si>
  <si>
    <t>Denitrification, nitrate =&gt; nitrogen|Anammox, nitrite + ammonia =&gt; nitrogen</t>
  </si>
  <si>
    <t>KEGG Orthology (KO)&gt;&gt;&gt;09100 Metabolism&gt;&gt;&gt;09102 Energy metabolism&gt;&gt;&gt;00910 Nitrogen metabolism [PATH:ko00910]|Enzymes&gt;&gt;&gt;1. Oxidoreductases&gt;&gt;&gt;1.7  Acting on other nitrogenous compounds as donors&gt;&gt;&gt;1.7.2  With a cytochrome as acceptor&gt;&gt;&gt;1.7.2.1  nitrite reductase (NO-forming)</t>
  </si>
  <si>
    <t>MSAKGKWDRRSWHRKAGRPVSLWLGAIVVAGLVHQLLPNSRWVLIHLFTLGAVTNSIVVWSQHFTEKFLHAPAPDEARPWQLRRIYALNLGIVVTVVGQLTTFWQVTTMGAAIVGLILAWHAIALARQYRQHNEQQRYAPVVLAYVASACCMPFGATAGALLAAGVGTPWYDRLKLAHLAINILGFLGFAAVGSLAILFPTIWRTRAGTDRMGQVLSLTMVGLLTIVIGSLLGLGQIAGAGLLIYCGGWIIAAFPWANNVRTVLQEPRDRVTFASVSVAAAPLWLIGSLLYLAIQAIDADTHVAHVNLPTLSLLVGFAAQLLIGVMSFLLPSTIGGGPGASRAGLQTLDRAGLFRSTLLNVGLALWLLSPSERVTSVVSVLALASLAAFIPLVAMSVRAQRAVLMKRVDAPKARSAPAYSQVTAALAVLALVAGTLGGGFGSGDGGNSDGSSNTVAATGETTRVTVSAKGMSFEPNVIRVPAGNRLEITLVNNDNQIHDLKVASGAETGRLGSGEQATIDAGVIGKEMEGWCTIPGHRQQGMTLTIVPDQAGSGGHSGSGNHNGHGGHGGQHQQHSGQNSQNAAPLEQANWRNPELAPREDTDIHRVTLDVQEISGPVRGVERGWWTFNGRPMGPTLRGKVGDVFEVTLKNSGTISHSLDFHAGMVSPDEPMRSIAPGEELVYRFTAEHAGIWLYHCGTAPVSMHIASGMFGAVVIDPPDLAPVDHEYLLVQSEVYGLEGTSDTPVDSEKLAAGVPDAVVFNGIENQYVDNQIQVKAGESTRFWLLNAGPNLSEAFHIVGTQFHTSYKEGAYLLRDSENQGGSQALDLLAAQGGFVETRFLEAGTYTMVNHQFIDAERGAMGKVKVE</t>
  </si>
  <si>
    <t>GC_00001609</t>
  </si>
  <si>
    <t>PF07859.19</t>
  </si>
  <si>
    <t>MPRRPNLGLLACIAGTVGLLSSYELHLRRVHPELREGVWRRHYLKNLPEVWRFSRPGWLATHPQPRDSSGGLANVDVSEHDAAGVRVRTYQRSDTTTPALTLLWIHGGGYVSGVPEYDDIVCAFLARELNAVVVNPDYRLSSIAPYPAALDSPDYPALLVVSGQSAGAGIAASLVHKAHDTHTGPIAFQLLFEPMLDNTTTRSPGRGVLCWGMITNILGWRAYLRDATEPLDYAVPARRADLRGLPPAFIAVGDLDLFYNEDAAYAHRLTQAGVPTRFYTMKGTYHGTLIRCLHTSAMQTMWAEALAAVRQAVG</t>
  </si>
  <si>
    <t>GC_00001610</t>
  </si>
  <si>
    <t>MILRKPSPDAEKTASLDLGALTAESSDGWGKQASLRWRVAMLTASMVAIAVGVMTVLAYWSVSVTLTNNVDKDLKSKSMAMLAETVDPSFFNNVKKEVEYFRTYNQNTKISIRLPGWNYTAGDESLPLLSLPPGEKTVVKTVNGDRVFMATNDAGATVVLSRDMTDIQGLILTLGLALLVFGGLGVLLAIMTGIVVATAGLKPLVRLQSAVDAVTRTQKLTPIPVVGNDELALLTMSFNQMLAALDQSRQRQAQLVADAGHELKTPLTSMRTNIELLMLLQKPGAPQISDEEKKALEHDVMAQMEELSTLIGDLVDLAREDAAETELQETDLAQVAQTAFERVRRRRPDVEFRLHVTPWYLWGDAHSLGRAILNLMDNAAKWSPADGVVRVKMTRLDEGRMQITISDSGPGIPEEEREKVFERFYRCIQSRSMPGSGLGLAIVRQVVDRHGGSITAEESEDGGAMFRMILPGYDHEEDLARDAKNSASKQLVANSHDDRPTEGRAAMFRNAHDAIGK</t>
  </si>
  <si>
    <t>GC_00001611</t>
  </si>
  <si>
    <t>PF13399.11</t>
  </si>
  <si>
    <t>LytR cell envelope-related transcriptional attenuator</t>
  </si>
  <si>
    <t>MPLISITVPNNETSGLPLRGLAMILAAVAILLAGWGVYSATRDDPSEPEQTTDTPVAAVTSNTTQPSSTTASAAVIVPVHALNNSTVKGLAQQVAAQVKAKGWTIGEVGNYPYEVLPASVVFFTQGNAVEERAAQALAEQLGITAAPRPERLNSTPPGIILVITEDLK</t>
  </si>
  <si>
    <t>GC_00001612</t>
  </si>
  <si>
    <t>MPKMMIPPFEAFEKPEFHIGGDPDLVWETSATWTSFNDTAEEIIAELHGLPIDEFRGTEGEYYSAQVKKIRPKLLSDISEVHGAVGALLDSYGQTLGEHLFEMWGTAKDGRIKHQAVVDAINAYNIAEQNAIKAKAYAASAVRTVIIVT</t>
  </si>
  <si>
    <t>GC_00001613</t>
  </si>
  <si>
    <t>K01443</t>
  </si>
  <si>
    <t>N-acetylglucosamine-6-phosphate deacetylase [EC:3.5.1.25]</t>
  </si>
  <si>
    <t>COG1820</t>
  </si>
  <si>
    <t>N-acetylglucosamine-6-phosphate deacetylase (NagA) (PDB:1O12)</t>
  </si>
  <si>
    <t>KEGG Orthology (KO)&gt;&gt;&gt;09100 Metabolism&gt;&gt;&gt;09101 Carbohydrate metabolism&gt;&gt;&gt;00520 Amino sugar and nucleotide sugar metabolism [PATH:ko00520]|Enzymes&gt;&gt;&gt;3. Hydrolases&gt;&gt;&gt;3.5  Acting on carbon-nitrogen bonds, other than peptide bonds&gt;&gt;&gt;3.5.1  In linear amides&gt;&gt;&gt;3.5.1.25  N-acetylglucosamine-6-phosphate deacetylase</t>
  </si>
  <si>
    <t>MSSAVYRGKVLTNSGLLDDALVVTLRDRISDIRPAGDYNGPATTAEYILPGLIDLHNHGGAGEGFPTSTLNGCRRAARHHRAHGTTTLLASLVSAPGDHLVEQTALLADLADEGEIDGVHMEGPFVNSVRCGAQDPAAIIPGDPELFERVAKAGRGWLKTITFAPETANVDGLLRVCATYDVVASLGHTDADFDTTLSVIDRATKMGVTVTATHLFNAMPQLHHRNPGAAAALIDAAALERLFVELVADGVHLDDRTVDVVWDTVGTSHSFFVTDAMAATGMSDGAYILGDLAVSVDGGVARLSAEDGGTGAIAGGTSHMCDQLRRHVQRGRKLDDAVSMASTTAARALGLADRGSIAVGNRADLLLCNNNFEPTHVVRAGEAVPADPVVGE</t>
  </si>
  <si>
    <t>GC_00001614</t>
  </si>
  <si>
    <t>PF19803.4</t>
  </si>
  <si>
    <t>Family of unknown function (DUF6286)</t>
  </si>
  <si>
    <t>MRTSAPKLIRRPSRSVATSLLALLLLVVGGLGIWLCGVRLFDGAWPAGTTAAVNGFGSSPFESTLIIVLACIAAVCGLAMIIAAMWPGAYDRTDVLPDEVAGQTAIARKDLAALVRRNIEQVDGVHSASVRVQRSRVNVKVLSVLDNLEPVREAAHSNAVQTLEVLKPEGIRRCHVRVQKTS</t>
  </si>
  <si>
    <t>GC_00001615</t>
  </si>
  <si>
    <t>MLVVQVAIVDVVDVVAVLDSNVAAALAVLVIMSLVNDVLVGLYALVPVVFVLVVQVAIVSVVDVVAVLDSNVAAALAVLVIVALVNDVCHGGVLSFHGSIALLLLKKMMLLFRFESETS</t>
  </si>
  <si>
    <t>GC_00001616</t>
  </si>
  <si>
    <t>PF01232.29</t>
  </si>
  <si>
    <t>Mannitol dehydrogenase Rossmann domain</t>
  </si>
  <si>
    <t>K00009</t>
  </si>
  <si>
    <t>mannitol-1-phosphate 5-dehydrogenase [EC:1.1.1.17]</t>
  </si>
  <si>
    <t>COG0246</t>
  </si>
  <si>
    <t>Mannitol-1-phosphate/altronate dehydrogenases (MtlD) (PDB:1LJ8)</t>
  </si>
  <si>
    <t>KEGG Orthology (KO)&gt;&gt;&gt;09100 Metabolism&gt;&gt;&gt;09101 Carbohydrate metabolism&gt;&gt;&gt;00051 Fructose and mannose metabolism [PATH:ko00051]|Enzymes&gt;&gt;&gt;1. Oxidoreductases&gt;&gt;&gt;1.1  Acting on the CH-OH group of donors&gt;&gt;&gt;1.1.1  With NAD+ or NADP+ as acceptor&gt;&gt;&gt;1.1.1.17  mannitol-1-phosphate 5-dehydrogenase</t>
  </si>
  <si>
    <t>MKALHFGAGNIGRGFVGVILHNAGYELVFADVAAPLIDALNSNDSYTVHEVGQDPKDITITGFSGVNSAEDKDALLAHIADADVITTAVGPTVLKIIAPTIAEGLRQRAATSDGSKGKVAVMACENAINATDGLAEAIRQEFPEVDEVAIFANTAVDRIVPDQAPGQGLDVTVENYFEWAVESTPFGDNVPDIPGVTWVDDLAPYITRKLFTVNTGHAATAYFGYNAGITKIADALADPQVRAHVEAVLAETKTLVVEKFGFAPEVQQAYIDKIIQRFLNPSLPDTVQRVGRAPLRKISRNERFIGPAAELTERGHDASALVNTVAAALRFDVPEDPESSELQEKLASARGSREATDVLVTELTGISPEHPLFASLSEAFAS</t>
  </si>
  <si>
    <t>GC_00001617</t>
  </si>
  <si>
    <t>MQSFFVLLTALGSVVAMLTQLLSGIPAETGSHGASQVTSQESVLRNVQGDIVVNGISVGMPRDTVEGLNPDFPKTSTDSHSETGQHLAEVSYKNSRFYFTPTENGSKVERISVQQTPDGIKIGSPILDASAKYSAPIHAYRSSNGHTYAVYDANSALDLAWVFAYDNNKITEVIITSGLEKYKADAKAAKNGS</t>
  </si>
  <si>
    <t>GC_00001618</t>
  </si>
  <si>
    <t>MTEDERLAQEYLTKLQESVGRGEISLAEYDRLADLALSNIPATSQVAHAELARRSAGTSMVPGDLTGGATSTDGKKSALDLAIKSLFVLWFIAVAMNLAIWLGVCLTVGKIYYFWPMWVILPGIIFPAIRWLREYL</t>
  </si>
  <si>
    <t>GC_00001619</t>
  </si>
  <si>
    <t>PF13673.13</t>
  </si>
  <si>
    <t>MGARRKQAQDNDLGAQLTSSARRDAPLAYAIAFVSFARSQGYSPAQLAKWVHDQYESTGWYDGFAASHDPDSLFEAFLTDIVQGHLLLRTAAKIVRDGEGVIIHTDTFIPRRARAMSRQFGLDPTDVESFVEELLVQHATRLGMSATISSGQRGREVRISPSWNNGNALTVREILEQDRAWLRGFLQHRWGGDTLLTRGKEHNVASASGFLATEGQKIVGVLTYADDGEHCEVLTLDALEPGRGIGRLLVDALMESREVGEVITVVTSNDNLDALGFYQRIGFQLTAVLPEAINNARLTKPSIPTVSKRGIPIRDELVLTQVVRP</t>
  </si>
  <si>
    <t>GC_00001620</t>
  </si>
  <si>
    <t>PF04328.18</t>
  </si>
  <si>
    <t xml:space="preserve">Selenoprotein, putative </t>
  </si>
  <si>
    <t>COG2879</t>
  </si>
  <si>
    <t>Uncharacterized short protein YbdD, DUF466 family (YbdD)</t>
  </si>
  <si>
    <t>MLTTNRIIVSAVAKVWQLMRSCWVYIGDVMGERDYEKYVTYLQQHHPCAPIPTEREYWRMRWAEQELNPKGRCC</t>
  </si>
  <si>
    <t>GC_00001621</t>
  </si>
  <si>
    <t>MPDSLSDAELVEAFLGGDSCAFTALVRRYQTRLWWVARRYTANDDDALDIVQEVFFRASKNLCSFRWDCTLSTWLHRLVMNCGYDFIHHRERCEAAILDDERNTAFADRLLREDPVSSYETQLFIGDVLGCLSPEHRDAIIQVDIVGHSVNSLAAYQGVRPGTIKSRRARAKEHLRELLRQEALV</t>
  </si>
  <si>
    <t>GC_00001622</t>
  </si>
  <si>
    <t>PF13280.12</t>
  </si>
  <si>
    <t>WYL domain</t>
  </si>
  <si>
    <t>MKEHRLAEIVRMLRGNAQVTASILADRLQVSRRTILRDLQELQRRGVPIRTECGANGGVSILPGWLPPMEQLTDSELLAFMMPGGEYVAQELGLAQHFRRAQHKIDARLNPTQSRKVGLLQDRLLIVPTGWREPLDTPPVLRELLLAIAADYIVDVDYSPGKGRAAVRRCEPLGLIFAGTHWYVLVRKVPDGEIRTYRADRMSSVTRTNQRFTRDPSESVADLWRSARRTYKKGGSIPITVRATSPVRNDVAFCLRLLGSEPTEEPIEGSSDVLIHGNTKALSPAVGVLSGFGCAAEVLEPVELRERIREVGEENVRLYSAAPTMGSHDNQ</t>
  </si>
  <si>
    <t>GC_00001623</t>
  </si>
  <si>
    <t>MNPAIVSTILTVLILFIAARSLRRRRRPGIALLDCGVNCAIVFFIANGGGIAWTSQISVVLWWLTVALCAAGTACSIFTYLLTLRSD</t>
  </si>
  <si>
    <t>GC_00001624</t>
  </si>
  <si>
    <t>PF10509.15</t>
  </si>
  <si>
    <t>Galactokinase galactose-binding signature</t>
  </si>
  <si>
    <t>COG0153</t>
  </si>
  <si>
    <t>Galactokinase (GalK) (PDB:1PIE)</t>
  </si>
  <si>
    <t>MTISPQQPGDHSDSSSAGSAKGSAEGSVCDRVKAGHTAIFGSEPTLVASAPTTWSLLGEHVDVVGGIVLVASSDLRVGIAASPRSDNNISVSVNGAKPNHIAMGDVSDFAFSVLDARDKTESVPSPHGSWPERLGGVVWSLIFRQLLPRDTPGFNIAVESEAPVDWGLGVHAAAEVAFASALVVDDENRGDYPLRVRVAEACFQSAAIFSATPALRARYTVALRSMDGQISVVDYKDESVTHTPHIASRNTVVFAVNTPHNPGGQIPEEMARRLDFIDKATRAFGVESLRHLPDAAPRVRDWLEAVHKVHGPSGVPSLQEATRWLEFFEAETRRAQSMVPLLRSRNVAELSDIVAASQRALNDDYSVSGTDSALAQLCRSRGAVTARSAHAGVSNAVIAVVEATHARNFAADLVDDGLEVIELRPGTAA</t>
  </si>
  <si>
    <t>GC_00001625</t>
  </si>
  <si>
    <t>PF17827.6</t>
  </si>
  <si>
    <t>PrmC N-terminal domain</t>
  </si>
  <si>
    <t>K02493</t>
  </si>
  <si>
    <t>release factor glutamine methyltransferase [EC:2.1.1.297]</t>
  </si>
  <si>
    <t>COG2890</t>
  </si>
  <si>
    <t>Methylase of polypeptide chain release factors (HemK) (PDB:1NV8)</t>
  </si>
  <si>
    <t>Enzymes&gt;&gt;&gt;2. Transferases&gt;&gt;&gt;2.1  Transferring one-carbon groups&gt;&gt;&gt;2.1.1  Methyltransferases&gt;&gt;&gt;2.1.1.297  peptide chain release factor N5-glutamine methyltransferase|Translation factors&gt;&gt;&gt;Eukaryotic type&gt;&gt;&gt;Release factors|Translation factors&gt;&gt;&gt;Prokaryotic type&gt;&gt;&gt;Release factors</t>
  </si>
  <si>
    <t>MISQDITAAAVILADAGVASPLYDAQLIAAHLLGCSRTDLFLRSDDSTPAGFHDAVARRARREPLQHILGVAPMGPLELRVGPGVFIPRPETELLAEWGVSVVAGVDKPTVVDLCTGSGAIAAYVATVVPAARVTAVEIDSAAAEWAQANFDAFAPQVELVMGDATYDQVLPQLRGACDLVLSNPPYVPEAAEVETEVHYDPPQAVFGGVSGMDVITPMIDVMLDLLKPRGYLGIEHDDTTSAEVKAVLAATGRCDEIVARRDLAGRERFVTARKL</t>
  </si>
  <si>
    <t>GC_00001626</t>
  </si>
  <si>
    <t>PF04213.18</t>
  </si>
  <si>
    <t>Htaa</t>
  </si>
  <si>
    <t>COG4886</t>
  </si>
  <si>
    <t>Leucine-rich repeat (LRR) protein (LRR) (PDB:4OW2)</t>
  </si>
  <si>
    <t>MLSVSRTARAFRRPLAAAAIAAAACVTVTPIVSPHNTLMGSAGAQAGEKCAVSQVGWGVRQSFRSYIEGRIAKGGWKTEGTVNYNGDEFVFNEPFPPIETTDDGTTIVPLGEDNGIRFYGHSYNDKPKLDMTLKDFRIAVNGSSAKILVDYDANLPDDMSADSPDNFVRGDDVAIAEVALNGTPDFTSDAVDLSGDVTLTDIGDKLFLGNYGTGGEMDPLNANINLGAECAARVANVTNGNSSGGRGNGGGSKTTSTKKNNAPGLDALKTANDYGTAVNNLLSTTDKIITNIDKLGARFNQNGASVNGPGPGPGGGTVNRASGASGTGNGGGAAKGGDTAGRAVATAGTAGGGHQGAAGGAASTSGGGAGSVCTAESSLGVTEASAAWGVKQSFQSYITGSIAKGSWELSGVSHSDGEFHFAGNSGAVDPKANTGTILFPGSMHFTGHKGVLQLNMSNLEIQWSGNSGSLVATVSSNNMEGHNTDFGRVALANLSFNQLNVGDNAASGSATASLTQAGAQAFADFYPEGTQLDPISFTASLGGAASCTAGQGSGASGGGVAGAGGNAAAAAATKAGGSSGANGAKSGNAAGGTNAKSGSAAAAKLGVKTNGAQDSSEGAGFDSKGSFKIKSAAADADGAGTGGSPFTTPILMILGAFVIAGATLSQFVSRNPNSR</t>
  </si>
  <si>
    <t>GC_00001627</t>
  </si>
  <si>
    <t>COG2910</t>
  </si>
  <si>
    <t>Putative NADH-flavin reductase (YwnB) (PDB:3EW7)</t>
  </si>
  <si>
    <t>MSTATTGLTAAARSSPNILAAVSYAGSYCSLLRSEREPAFSVIVGAMSEHKKAIIIGGHGHVALFLAPLLVNHGFDVTSVVRNPDHVAEVEQTGATAKVADIAVLDAVAWDELLADTDVVVWSAGAGGKGGPDATYAIDRDAAIASINAATRASTPPRYIMVSFVGSLTDFFEQKHPLYHYALAKRVADEALLDSPLESIILGPTTLNHNAAGGVKVFDSTKSSGGTTSRELVAQVAAAAATAKHVPQGDARVLEFCDGDTPVADLFS</t>
  </si>
  <si>
    <t>GC_00001628</t>
  </si>
  <si>
    <t>MRDLSFVELITIKLNEILGVLLNLGSSTSSTLSESLGML</t>
  </si>
  <si>
    <t>GC_00001629</t>
  </si>
  <si>
    <t>K03547</t>
  </si>
  <si>
    <t>DNA repair protein SbcD/Mre11</t>
  </si>
  <si>
    <t>COG0420</t>
  </si>
  <si>
    <t>DNA repair exonuclease SbcCD nuclease subunit (SbcD) (PDB:6S85)</t>
  </si>
  <si>
    <t>DNA repair and recombination proteins&gt;&gt;&gt;Prokaryotic type&gt;&gt;&gt;DSBR (double strand breaks repair)&gt;&gt;&gt;HR (homologous recombination)&gt;&gt;&gt;RecBC pathway proteins|DNA repair and recombination proteins&gt;&gt;&gt;Prokaryotic type&gt;&gt;&gt;DSBR (double strand breaks repair)&gt;&gt;&gt;HR (homologous recombination)&gt;&gt;&gt;Archaeal homologous recombinant proteins</t>
  </si>
  <si>
    <t>MTSDTTVRFLHTSDWQLGIRRWFLHTHDNADAQARFDAARLAAVRALGQLAIAQDCSFIVVAGDVFEHNSLERHTIGRALEVLKHLPVPVFLLPGNHDPLTADSIFYRTQDIDNVTVLTNTEPVAVDTPAGVVEIVGAPWLTKHATRDLVSDAIAPLEPTDRVRIVVGHGQVENRSGEFAPELIDLSALERAVADRTIDYVALGDTHSAMALDSAGAVWFSGTPETTDFHERGLRGQDSRGENNSGVALTVAVTKQPHSPEPSRVEVHEHQVGTWTFDAVEWDVNDASDVEAFLAFLSAYPNKAETVVKYALQGSVDMSTMQQLDAGLADLAPVFGALYERQRLMDLSLAPSDEDLAQCELGGYAGHALAELSELAAQPPGTSRTPERDTAHDALRLLFRLAQKR</t>
  </si>
  <si>
    <t>GC_00001630</t>
  </si>
  <si>
    <t>PF21997.1</t>
  </si>
  <si>
    <t>Family of unknown function (DUF6928)</t>
  </si>
  <si>
    <t>MDHSSHDTVITLWFVTATHPEKVIATMPRADRGFGRKLLSQLNPRWPITPIGQFALNRSAQPSRSEFYIAGFPGLSIIQTVVDDFTMISGIDHALRTAIPAENVYVIATNAGTSYGAFAHWSHGNLKRAFAAVNEKVYEDLGLVETFESSYWAGYHTTETSGLTLPFSPIDLALHAQRSWLGFDMATCPDINIVAYAVDGRPEPKITYRQPIDARPLTERTTTKLSLGSTRSTGEFDDYELPDEFDDVDGAGTKYAEEAVALTKKSVTKTKGFAARFRERLAGIGHGLKERLRHTDRPSSKSKKPAALPPAGTAKPAATKEATKDKKKADHTNAKTAKTAKTAAKATESSSTKQSTPKAVSTKSIGTTDAIGTDAITSKTTASQDATQSKDQQSAATTTAQPATTAATKKPSDTTETIDSQAVKAGVKKAQTTASTSKPADKPKEAAAQKTEDVDGKPTATATAKPTTAKTSAAATDSAKPKATKAPAKTTAKAAKATKTAVKATKAVKKTTAKAVKRTTKATAKATTKAPETAAFPSSESATAPKATSKAGIKVPAKRTGSTENAKDSAPAENPETKAFPAKTSPAKETPQKKRRTLGTRTTRSKKS</t>
  </si>
  <si>
    <t>GC_00001631</t>
  </si>
  <si>
    <t>K00138</t>
  </si>
  <si>
    <t>aldehyde dehydrogenase [EC:1.2.1.-]</t>
  </si>
  <si>
    <t>ko00001|ko00001</t>
  </si>
  <si>
    <t>KEGG Orthology (KO)&gt;&gt;&gt;09100 Metabolism&gt;&gt;&gt;09101 Carbohydrate metabolism&gt;&gt;&gt;00010 Glycolysis / Gluconeogenesis [PATH:ko00010]|KEGG Orthology (KO)&gt;&gt;&gt;09100 Metabolism&gt;&gt;&gt;09101 Carbohydrate metabolism&gt;&gt;&gt;00620 Pyruvate metabolism [PATH:ko00620]</t>
  </si>
  <si>
    <t>MTVYANPGTDGSIVTFKPRYENYIGGEWVPPVEGQYMDNITPVTGEVFCQVARSSAADVDKALDAAHAARESWATSSPAERARVLNNIADRMEQHLEQIAVAETWENGKPVRETLAADIPLAIDHYRYFAGAIRAQEGHISQIDNDTVAYHFHEPIGVVGQIIPWNFPLLMAAWKIAPALASGCPTVVKPAEQTPASILYWLDLVGDLIPPGVLNVVNGTGEETGSALVGSGRVNKIAFTGSTPVGKLINKMAADKVIPVTLELGGKSPNIFFPDVMDKDDDYLAKAVEGFTMFALNQGEVCTCPSRALVHEDIADEFLKLAVERVKKLRVGNPLDTDVQMGAQTSQEQMDKISSYLESGPAEGAQVLAGGHVAKLEGLEGGYYIEPTVFRGDNTMSCFRDEIFGPVLSVATFKDFDEAIAIANDTLFGLGAGVWSRNQNIAYRAGRAIQAGRVWVNNYHNYPAHAAFGGYKESGIGRENHLMMLRQYQEVKCMLVSYDEKPVGLF</t>
  </si>
  <si>
    <t>GC_00001632</t>
  </si>
  <si>
    <t>PF13783.11</t>
  </si>
  <si>
    <t>Domain of unknown function (DUF4177)</t>
  </si>
  <si>
    <t>MEVREGLLGGKMSGKKLEKILNDEAKDGWLYKSMTAADVKGRIGPGGVDGILIVFERPRQ</t>
  </si>
  <si>
    <t>GC_00001633</t>
  </si>
  <si>
    <t>K15577</t>
  </si>
  <si>
    <t>nitrate/nitrite transport system permease protein</t>
  </si>
  <si>
    <t>COG0600</t>
  </si>
  <si>
    <t>ABC-type nitrate/sulfonate/bicarbonate transport system, permease component (TauC)</t>
  </si>
  <si>
    <t>KEGG Orthology (KO)&gt;&gt;&gt;09100 Metabolism&gt;&gt;&gt;09102 Energy metabolism&gt;&gt;&gt;00910 Nitrogen metabolism [PATH:ko00910]|KEGG Orthology (KO)&gt;&gt;&gt;09130 Environmental Information Processing&gt;&gt;&gt;09131 Membrane transport&gt;&gt;&gt;02010 ABC transporters [PATH:ko02010]|Transporters&gt;&gt;&gt;ABC transporters, prokaryotic type&gt;&gt;&gt;Mineral and organic ion transporters&gt;&gt;&gt;Nitrate/nitrite transporter</t>
  </si>
  <si>
    <t>MTLSTQTRQTHNPIDTSDTTATPSTTSEAPANRVHRGVDTRIQAVIIGVVLAAVSIGVWQLAVTAGWLSDLAPTPARTFSRGVEILSDPFYRDGPGSVGIFWHVITSLRRVITGFFIATVVAIPLGFVLGRSTALRWAVDPLMQVLRPVSPLAWLPLGLALLSNAEHTAIFVIVLSALWPTLINTIDAVRNVNPTYINLTATLGTPMWARIIYMWFPAALPGIVTGLRISLSTSWLVIIAAEMLVGGQGIGFFVWNQWNRLDIDAIVVAIVLIGVTGLILDHLVAALQKVVRYD</t>
  </si>
  <si>
    <t>GC_00001634</t>
  </si>
  <si>
    <t>PF03279.18</t>
  </si>
  <si>
    <t>Bacterial lipid A biosynthesis acyltransferase</t>
  </si>
  <si>
    <t>K22311</t>
  </si>
  <si>
    <t>phosphatidylinositol dimannoside acyltransferase [EC:2.3.1.265]</t>
  </si>
  <si>
    <t>COG1560</t>
  </si>
  <si>
    <t>Palmitoleoyl-ACP: Kdo2-lipid-IV acyltransferase (lipid A biosynthesis) (LpxP) (PDB:5F2T) (PUBMED:11830595)</t>
  </si>
  <si>
    <t>Lipid A biosynthesis</t>
  </si>
  <si>
    <t>KEGG Orthology (KO)&gt;&gt;&gt;09100 Metabolism&gt;&gt;&gt;09107 Glycan biosynthesis and metabolism&gt;&gt;&gt;00571 Lipoarabinomannan (LAM) biosynthesis [PATH:ko00571]|Enzymes&gt;&gt;&gt;2. Transferases&gt;&gt;&gt;2.3  Acyltransferases&gt;&gt;&gt;2.3.1  Transferring groups other than aminoacyl groups&gt;&gt;&gt;2.3.1.265  phosphatidylinositol dimannoside acyltransferase</t>
  </si>
  <si>
    <t>MAARDLTATAYLAGWRIVKFLPQPVARCVFNVAADLACCWGRGGGQSVEQLRRNLGRVVGVDTVTDSLVRAAMRSYARYWMEAFRLPSLASSTTLLAELDSSVQGVSGLDRSIESGRGVILTLPHSGNWDMAGVWLVHHAGTFTTVAERLKPEVLYEAFVEYRESLGFEVLALTGGQPPFSRLMEVLNQGGVVCLMGERDLKRSGVDVSFFGELTKMPAGPAELARRTGAALHVAHCFFDGDGWGFSISEEITVGEVQETVQRIADEFAVHIARHPVDWHMLQPQWLADLT</t>
  </si>
  <si>
    <t>GC_00001635</t>
  </si>
  <si>
    <t>COG4932</t>
  </si>
  <si>
    <t>Clumping factor A-related surface protein, MSCRAMM (microbial surface components recognizing adhesive matrix molecules) family, DEv-IgG fold (ClfA) (PDB:1N67) (PUBMED:12485987)</t>
  </si>
  <si>
    <t>MIKPMTRQLGAVIAAILTIVSLLGASLVNPSVAHAVQTPGYTVSNIVVNNKALAAGQNVRRQLTPMTFDWSGEALNRTPKEGEGFEVAFPPQLQIAGSSLGKLDLIFEGKKIGDCNLSNGATSLISCVFDSGVNDITSKEVKGSGELKVIASTARREAYTADTIDFQVNGTPVAASIPGGIAKAADARYQPSKLSKYSTPIGERNKAVPWSIAFNPSLLAATVPSLGTPGNGNLTYRFIDTMGEGYDYETLLQGNPWTLQMVNSQDNPSMPAKRLADTNGASDPDYPGFSITVTGSGRNREVTVTGPFQPDTNYRLSVPGKLPGTAIPGIAYTNDVHIDGTNETASGTISYIKTAKVILAMRDGYGAVSIVKRVLGPAAASVPTTTKYPVTINFTLPNGKTVADFPEWTDKPAGLNPSDTSGSVTFSEVVAGSFTNVPNTFPAGTTMTFEETPPAVPNIQWNTAKTTFEPKTLTVQEKQQSELSVSNVAQYADGTFQVKKTIADPKPANAPQSVKLFYQCNADSVDGAVKANTDTELTVNTDGMLVDGAVFHAGTECKVTREANADIADYGIAATGLNTAVTIAEGKAASNIAAVTNTYTKQAGTFQVKKVVADPKPADAPASVKLFYQCNADSVDGAVKANTDTELTANTDGTAVDGASFPVGTECKVTREADEAVVDHTVKADGLNTAVTLKEGKVADNIATVTNTYTQKIGTFQMKKLINAPADDAAFVAPKTVKFTYTCNADSVDKTVKAGVATEISVPVGDTPVDGSEFPVGTKCVVAQESEHAVAGYNSVPEGLTQPVTITEGTVANNIATVTNTYTKQVGSFSVTKVVTADPTIIDLNPDHEYSFNYVCTKDGAEVAKGELKVNGDNTVKSPDIPVGASCTVTEDEASARGAVDNAVLDVKVSGPAVITENTTTPVTVTNKYTRATSSFTVKKKVEGLPDPGAKEFSFLYKCVYGEDIKADEIKVKGNGETTVEDVPAGSECTVTENVDAAKQDGYTLVVDNAEQKFDQGTQPTTMLFTNVYTKDTGSLSVTKSLKDPDGVAAGEKFNFAYVCEHKDPAQRKEGTFQLGAGESTTIDDIAAESTCTIIEKDADVKGADLATSGLDSVVIVKGKTHDVIATNDYSAWRGSVELSKTLAGSGKDLAAVKDKKFNVSYVCALGTDKKEVKKGTVEVIAGTPATIDDVRYGATCEFAEDTANAEVPGAMFDKNSSVTSATATISSKDTAATANLVNVYNVKGKVTLTKAVEGLAAGVDGNKSRDYEIEASWKDPQSGDTKTETYKVANGTFAELPELPAHTVITLKEKKPENTAITSWSTPGYTGDPAAAVKDNRDGTATVTIPADGSAVAVTLTNTANVPWWWIFVPLIPAAIIPNLPTTAPGSSGSGLTAPGHTAPAAGPRQNDPAPTQPTKATDGTPVKGTPKGHQGQPGQAGATPKDDAQKSGPARAVQKVLANTGASVIGIIVIAVLLLIAGLVLALRGRRSQ</t>
  </si>
  <si>
    <t>GC_00001636</t>
  </si>
  <si>
    <t>MRQIIVGISAVFLAAFLDLTDNTSVSVAFPSIASSLGASHAVLQWVSIGNTLALGAGLALGGQLGDQYGRRKMFLIGVAGYIVTTVLCAVAPTGMALAIFRFIQGLIGSLMIPQIFGIIKASVPEAKQPAVFGMYGIVLSLAAIAGPLLGGVLVSWNAFHLSWRLVFFFNVPIAVVAFVLGYLYIPESLASVRQGINVLGAIVVAVATTLVLLPLSLMSTSGWPAWGFPALVLAAALYAFLYVSGMRKFRDQNVHLRQFSLGMAASLLFFSVVGALFIILSLYVAQTSQRSAWGIALVMLPYAVGSVLTSGVSTAAEARHGRALCVLGAALSAGFTAAFAGLLHINPQPAYWQYAVVLLIGGMGVGLCAPILINLILSAVPHDLAGSASGLLNTCSQIGAAAGIAVFMTWYFDGTDSSSFISALIGMTVVYALSAVLSALLPKASQA</t>
  </si>
  <si>
    <t>GC_00001637</t>
  </si>
  <si>
    <t>K13979</t>
  </si>
  <si>
    <t>alcohol dehydrogenase (NADP+) [EC:1.1.1.2]</t>
  </si>
  <si>
    <t>COG1064</t>
  </si>
  <si>
    <t>D-arabinose 1-dehydrogenase, Zn-dependent alcohol dehydrogenase family (AdhP) (PDB:5O8Q)</t>
  </si>
  <si>
    <t>KEGG Orthology (KO)&gt;&gt;&gt;09100 Metabolism&gt;&gt;&gt;09101 Carbohydrate metabolism&gt;&gt;&gt;00010 Glycolysis / Gluconeogenesis [PATH:ko00010]|KEGG Orthology (KO)&gt;&gt;&gt;09100 Metabolism&gt;&gt;&gt;09101 Carbohydrate metabolism&gt;&gt;&gt;00620 Pyruvate metabolism [PATH:ko00620]|KEGG Orthology (KO)&gt;&gt;&gt;09100 Metabolism&gt;&gt;&gt;09103 Lipid metabolism&gt;&gt;&gt;00561 Glycerolipid metabolism [PATH:ko00561]|Enzymes&gt;&gt;&gt;1. Oxidoreductases&gt;&gt;&gt;1.1  Acting on the CH-OH group of donors&gt;&gt;&gt;1.1.1  With NAD+ or NADP+ as acceptor&gt;&gt;&gt;1.1.1.2  alcohol dehydrogenase (NADP+)</t>
  </si>
  <si>
    <t>MGIMHVCLFVMTFTVKALQKFGPDKPFVVTNLERRDPGPKDVVIDIKAAGICHSDIHTIRNEWGEAHFPLAVGHEIAGVVSAVGSEVTRWKIGDRVGVGCLVNSCGECEECKADQEQNCRNGLVGTYNSTDVDGTITQGGYSEKIVVNEHFVCRIPDGLDFDVAAPLLCAGITTYSPIVNWDIKPGDKVAVLGLGGLGHMGVQIAAAKGADVTVLSRSLKKAETAKSLGASRTLATSEEGFFDNHRGEFDFILNTISADIDVDSYMRLLKPRGVMAVVGLPPEGQNVHFASLIMGGKVLTGSNIGGLKATQEMLDFCAEHGLGARIEKIGVQDVDAAYDRVVAGDVKFRFVIDTSTFDEVAAEVTS</t>
  </si>
  <si>
    <t>GC_00001638</t>
  </si>
  <si>
    <t>MSQNTQNTSKRRSAGTFDIRNIIALLLGIYGIVLVLCSFFLDPGVDPDTGGLKDSADNLWTGIGLVAVAAFFFIWAWLNPIVVQTPTEETEVK</t>
  </si>
  <si>
    <t>GC_00001639</t>
  </si>
  <si>
    <t>MSDPNGTTANNAAGTAGAPAGNAESIHTVDVNGNPVTGTVMGQYDTDSDNDIDTFDLDTNGDGRADMRITDPDEDGTADVLEYDTDGDGVTNVRTEDRNDDGTADKDSIDTNGDGRMDTVLTDLDYDGHMDEKEVDTNGDGVFDVTLKDYDDDGTVDSIAYDTNGDGTSDYNEYDNNDDGVIDSTSGVNAITDAQRAAAAGHDSGAAPGGAAPGDTAPSGTTPGVAPVSDHHEIDLDADGYGDSLAFDTNGDGITDMVEQDTNGDGLTDIRFTDTNHDGHIDLVEDDTDFNGTVDRVDIDNNFDGRLDEQHGDFDGDGNPDDALFDHNHDGWADSMATDTDNDGHYDTYTDVHSTNEAPMMPDHDISGL</t>
  </si>
  <si>
    <t>GC_00001640</t>
  </si>
  <si>
    <t>K07114</t>
  </si>
  <si>
    <t>Ca-activated chloride channel homolog</t>
  </si>
  <si>
    <t>MKYRALTKAIAHLVVCAGLIGGSFLAVPHVALQAMAQTKPTQGTQHVAQADGNAPTMVILDASGSMLAQDVDGKTRMAAAKEALTGFLNDVPDNAPLGLMTYGTKTGSSDAEKAAGCKDVTLLSAPGQRTAKSLVGDIQGITPRGYTPIGLSIQQAVQQLPKQGPKSVVLVSDGIETCAPPPVCDIAYELKREHPNLLIHTVGFKVDDAARTELSCVAQATGGTYTDADSAEALRSTLTTVTLRTGQGYQLPAKRVKASANSDDKVPTVNAGPVGHPTRVTVETPAEIKDEIAAEDYYVKVRVPEGHQLHVAYTAKHQVGSGGLLPGGIEVDTKVQDSKSHQCTAYVKHIDSNNHMNIPRSGEIIVNRNSGCTGEEYLLDFSVERNFGFKSPVEFDTTIVAVPQLSDVGDPANKAQSPVRKDTDLAAIPAVGQQLVTPGTEPDSAPNVPPTFRSEIVIGETQYVKIPAGWGQNLNFELSVVDEGRVDDQLFEDAVKEFEFALLNPARESVDLIGATTSDVTDVNKPVRFGTARAVSFANADQPNPAWLAGDHYLAVTLARNIGDNTDEKTLSVPVRYQIAFAPVGVAVAGPIFPDFKLPEESVSTSTTSASSAPSNAAANADVSSTSATTRLAIGVAVVGIVVLLAAVLVVTTVIRRRR</t>
  </si>
  <si>
    <t>GC_00001641</t>
  </si>
  <si>
    <t>MLLQALNLHKQYDDLPVLRGVNVDIHEGEFVAIIGQSGSGKTTLLHSLSGLTPIDRGDIFIGEHRITSKDAFSRRKRRRDAQRVAIAKLRRDHVGFIFQDLNLIESLNVEDNLRLPAKLAGVSVPDQEINDALDYVGLTGKAHAYPDQLSGGQRQRVAIARALVRKPQLLFADEPTGSLDVHTSAQVMDLLRATVTPHTALVMVTHSLDIAATADRVIILADGVNHAELRTPSVEELFHVMHG</t>
  </si>
  <si>
    <t>GC_00001642</t>
  </si>
  <si>
    <t>PF00482.28</t>
  </si>
  <si>
    <t>Type II secretion system (T2SS), protein F</t>
  </si>
  <si>
    <t>COG4965</t>
  </si>
  <si>
    <t>Flp pilus assembly protein TadB (TadB)</t>
  </si>
  <si>
    <t>MGSRCAAWARAGPAGRLYRWWLAKLAPTPNPLDTAADLELFVACVSAGLSPARAAAAVATTSSCVAWRSTASLLSLGVDVDRAWRELAQAPGLGELAALARSSHHSGAGLSNGCSRIAARLRDDGADHATAEAERAGVLIALPMTLCYLPAFFLLGLAPMVISLGTSILSSH</t>
  </si>
  <si>
    <t>GC_00001643</t>
  </si>
  <si>
    <t>MNSSALTNTVTSTLFWCHSGTAIVNAPDRIISVLAGDLVIAPAGAFITSSGAAGHDRGATGVVIPISFPGMKITGATRRMHLGQVWSDRMISEYSRSMLGESELSADIMKLFDDRAKPPKMPTAPAALAVAKQLQANPADPTSLIDFAKRQHVSSRTLQRQFQATTDYTFSEWRAAYRVSVAADLLSHQFTITNVASMVGFDATSSLTRAFKRHTGTTPSSFTTGAVGMGAAGVAPQIPPLTTFARAETDQVLWIYRGTATVTTAGYCRFMGAGETVTIPAGTDTRLDIAAGSIALPVPVNFDERNGTVDWALVFGMCEMTTPFAALEETERKLAEKDLIPTV</t>
  </si>
  <si>
    <t>GC_00001644</t>
  </si>
  <si>
    <t>MCFDSDAEIIAGTSLGGVKLLDHVTTYWDALDSTYTTVPTVTPTYRLDGYHTAVYTLVNHAIELHVHILTGLIYKLVALPGYGGKFKKSISVGMPIYQIHDLNIDIKFDDVESGFYIPGTPGILFEPDLENSWPEDSPVLGVGCITIYDEDYIDHSNEYGIEYALNHRPR</t>
  </si>
  <si>
    <t>GC_00001645</t>
  </si>
  <si>
    <t>MLEPIPGLSVLKVLLPATKAVMPPAEPKLIPFDIKNTATALVTVALSCAFGLRPTTILRAELYSNQVRRHINFRLRHGATAQRRNFKINSFHFNTRKESSQSILIDVFGSVSVGNEHRAYTAQLVKSTTDTRLTMRTLRVI</t>
  </si>
  <si>
    <t>GC_00001646</t>
  </si>
  <si>
    <t>G|F</t>
  </si>
  <si>
    <t>Carbohydrate transport and metabolism|Nucleotide transport and metabolism</t>
  </si>
  <si>
    <t>K23258</t>
  </si>
  <si>
    <t>8-oxo-(d)GTP phosphatase [EC:3.6.1.69]</t>
  </si>
  <si>
    <t>COG0406|COG1051</t>
  </si>
  <si>
    <t>Broad specificity phosphatase PhoE (PhoE) (PDB:1EBB)|ADP-ribose pyrophosphatase YjhB, NUDIX family (YjhB) (PDB:3GZ5)</t>
  </si>
  <si>
    <t>Enzymes&gt;&gt;&gt;3. Hydrolases&gt;&gt;&gt;3.6  Acting on acid anhydrides&gt;&gt;&gt;3.6.1  In phosphorus-containing anhydrides&gt;&gt;&gt;3.6.1.69  8-oxo-(d)GTP phosphatase|DNA repair and recombination proteins&gt;&gt;&gt;Prokaryotic type&gt;&gt;&gt;Other factors with a suspected DNA repair function&gt;&gt;&gt;Modulation of nucleotide pools</t>
  </si>
  <si>
    <t>MVHTQAITREVLEGFVRPTFAAGAVLWRKSGEHHEIAVAHRPFYDDWSLPKGKLDPGESLPMTAAREILEETGYSAQLGALLGHVSYPVKDRTKVVFYWTAEVLEGTFTPNEEVDELRWVSVEEAKSLLTYDVDRGVVTQAAELITTEPTARILYVRHAHAHSAATWSGAPGADDTRPLDKKGRKQAEALAPMLAAYHPDKVYSALPDRCRSTAQPLADALGVTVQVNPLLGDAAWVDSPRTAREALMELVKPGETVVVVAQGTIIPGMLALLTGAEDAGHDAASFPSKKASTWVLTFGKSELIGADYLESPLPVK</t>
  </si>
  <si>
    <t>GC_00001647</t>
  </si>
  <si>
    <t>MTRNKRIGIASLTLIPPFLLVINFIDILGLSIAAWAFAFYLLIFSVFMLTRDSNS</t>
  </si>
  <si>
    <t>GC_00001648</t>
  </si>
  <si>
    <t>MNLSPTLRIIVASGVAGMLLLVIGMIYSAHTNTELADQEGNFERTIEKLDAAGLRVSAVRLVDIYGDNYVAATVVCPGETRQSVAAKFKIDAAKLHLPEKPITSEYNYLLLSDNTSGFRVEKLERRVADLCTQKEQSFRADSLLPLKKSQSGAWNLVS</t>
  </si>
  <si>
    <t>GC_00001649</t>
  </si>
  <si>
    <t>PF04296.18</t>
  </si>
  <si>
    <t>Protein of unknown function (DUF448)</t>
  </si>
  <si>
    <t>K07742</t>
  </si>
  <si>
    <t>COG2740</t>
  </si>
  <si>
    <t>Nucleoid-associated protein YlxR, Predicted RNA-binding, DUF448 family (YlxR) (PDB:1G2R) (PUBMED:11679764;31118925)</t>
  </si>
  <si>
    <t>MDSVLGHEHSDIRIRTCIAHRHRKPDVDLLRIVAEPHPAGLDHGYIATPDPQRRKPGRGAWLTPNLESLDLAEKRRAFHRAFKVSGQLDTGLVRDYLHLREGSRGGPREPRRTEH</t>
  </si>
  <si>
    <t>GC_00001650</t>
  </si>
  <si>
    <t>MAVTHRLHGCNVMLETITAHPIGFWATILTMREKIVISAAEASEFEEMTSVFEHNEEHVLNPAILLVIQSS</t>
  </si>
  <si>
    <t>GC_00001651</t>
  </si>
  <si>
    <t>PF01872.23</t>
  </si>
  <si>
    <t>RibD C-terminal domain</t>
  </si>
  <si>
    <t>K11752</t>
  </si>
  <si>
    <t>diaminohydroxyphosphoribosylaminopyrimidine deaminase / 5-amino-6-(5-phosphoribosylamino)uracil reductase [EC:3.5.4.26 1.1.1.193]</t>
  </si>
  <si>
    <t>COG0117|COG1985</t>
  </si>
  <si>
    <t>Riboflavin biosynthesis protein RibD, pyrimidine deaminase domain (RibD1) (PDB:2O7P)|Pyrimidine reductase, riboflavin biosynthesis (RibD) (PDB:2O7P)</t>
  </si>
  <si>
    <t>Riboflavin/FAD biosynthesis|Riboflavin/FAD biosynthesis</t>
  </si>
  <si>
    <t>KEGG Orthology (KO)&gt;&gt;&gt;09100 Metabolism&gt;&gt;&gt;09108 Metabolism of cofactors and vitamins&gt;&gt;&gt;00740 Riboflavin metabolism [PATH:ko00740]|KEGG Orthology (KO)&gt;&gt;&gt;09140 Cellular Processes&gt;&gt;&gt;09145 Cellular community - prokaryotes&gt;&gt;&gt;02024 Quorum sensing [PATH:ko02024]|Enzymes&gt;&gt;&gt;1. Oxidoreductases&gt;&gt;&gt;1.1  Acting on the CH-OH group of donors&gt;&gt;&gt;1.1.1  With NAD+ or NADP+ as acceptor&gt;&gt;&gt;1.1.1.193  5-amino-6-(5-phosphoribosylamino)uracil reductase|Enzymes&gt;&gt;&gt;3. Hydrolases&gt;&gt;&gt;3.5  Acting on carbon-nitrogen bonds, other than peptide bonds&gt;&gt;&gt;3.5.4  In cyclic amidines&gt;&gt;&gt;3.5.4.26  diaminohydroxyphosphoribosylaminopyrimidine deaminase</t>
  </si>
  <si>
    <t>MDNPDTIPQIVIEALQRAMAAAEEVRGTTSPNPPVGAAILDTAGNLVGVGATQPPGGSHAEIMAIAQAGTNTQGGTAVVTLEPCNHTGRTGPCSHAILDAGITTVYYVHSDPNPVACGGATWLADRGVQVIQLPGHVPALRPWLIATRMQRPHLTWKTANTIDGFTAALDGTSQWITGEDARHHAHRDRSKRDAIIVGTGTYFADNPQLTARTSEDTLYPHQPRRIVVGRRAVNEPGWEHYPDSDTALTELWRTGARDVLIEGGATLATSLLSRGLIDAVHAYIAPAFLGQGLGVVTEALGTTITDIRRFTLDSVTRLGDDVLLELAR</t>
  </si>
  <si>
    <t>GC_00001652</t>
  </si>
  <si>
    <t>PF11255.13</t>
  </si>
  <si>
    <t>Protein of unknown function (DUF3054)</t>
  </si>
  <si>
    <t>MSDRLTRFFPLFDAAAILLFALLARVAHRGDRGLTVWTWLDTAWPFLVGVAIAWLAARRVFQGSAQGMGFGGVVWVLAVVTGLGIWWARHATVPHWSFIIVASVTSALLLFGWRLVVRFVH</t>
  </si>
  <si>
    <t>GC_00001653</t>
  </si>
  <si>
    <t>MSFSASERTQLAKLLLEVGPDAPTLCGDWTTRDLAIHLYLRENRPDAAAGMFIGSVKGHLERVTEQVGRSMTYERVVGEWAKGPARFNPMRLVDPLVNAGEHYVHHEDVRRAQEKWQPRAFGQEDRKALHRVLQTMSRLLLSKTTVPLVLNPEGMDRIVVVEQRGVANPAQSVQVIGSVSELVLWAYNRPTVGVRVDGEQNAIARREA</t>
  </si>
  <si>
    <t>GC_00001654</t>
  </si>
  <si>
    <t>PF25004.1</t>
  </si>
  <si>
    <t>Domain of unknown function (DUF7782)</t>
  </si>
  <si>
    <t>MRTVLTSAATQLVELFRSHNFTASAIAHRLGTGAHAALFRGEPAAVRRVASDDTAFDFFVRSFLLHDMAPTSEWVRWLGQPLVDALTTACSLEPYGTSDDALDPTLRCVIDIRPHVIAGHDRWIFSDADATMAGHIPGKDHVLGVGLASLSLAQSVPSSPVKSLLDVGTGCGIQLLAQSDAAAQLTGTDIHPRALDYAEATCTAAGLPHADLLEGAWFEPVRGRRYERIVSNPPFVVGLPEVGHVYRDSGLSLDGASQLMISQAPEHLTVGGTAHLVAAWVHKEGESWQQRVASWLPDHGVVAWILQRDVVDPELYVGTWLRDESLDPRDPIVAEQATAWLNFFHEQSVTGIGFGYVAIQRVGSLDDGSQPSEVVAEELHHDFSDPLGPEVEDYFVRSAWLRNTTMDDIAHSQLAVRPGVAIEHVDVTSDINSGFSPAVVRVTRTDGPRWSHDIDEHLAAILAGLNPHGLNLEETASLYFLSQGIDVSPVLMNDVIAAIVDLLRHGIVLPSDLLELDTAPHGKSEA</t>
  </si>
  <si>
    <t>GC_00001655</t>
  </si>
  <si>
    <t>MSAALAFDNAAFSYGGPPSLTGVTGEVEPGEALALIGPNGAGKTTLLKGIVGSTALADGTMSIDRRGALGYVPQVADLDPTFPVTVAQVVGMGLYGELGWFQRLSRRHKERIAQALDRVGFADRGDVHFGTLSGGQRQRVLLARAIVADPTIILLDEPFNGLDQPNRAALMEIIQWVKGRGVALVISTHDFDLAEQTCDKVALLAGHQVAFGPLQEVFTPELLDRAFGRVPHVG</t>
  </si>
  <si>
    <t>GC_00001656</t>
  </si>
  <si>
    <t>PF02525.22</t>
  </si>
  <si>
    <t>Flavodoxin-like fold</t>
  </si>
  <si>
    <t>K00355</t>
  </si>
  <si>
    <t>COG2249</t>
  </si>
  <si>
    <t>Putative NADPH-quinone reductase (modulator of drug activity B) (MdaB) (PDB:1D4A)</t>
  </si>
  <si>
    <t>KEGG Orthology (KO)&gt;&gt;&gt;09100 Metabolism&gt;&gt;&gt;09108 Metabolism of cofactors and vitamins&gt;&gt;&gt;00130 Ubiquinone and other terpenoid-quinone biosynthesis [PATH:ko00130]|Enzymes&gt;&gt;&gt;1. Oxidoreductases&gt;&gt;&gt;1.6  Acting on NADH or NADPH&gt;&gt;&gt;1.6.5  With a quinone or similar compound as acceptor&gt;&gt;&gt;1.6.5.2  NAD(P)H dehydrogenase (quinone)</t>
  </si>
  <si>
    <t>MSQVLIVHAHPEPESFCTAQAHTIERALKDAGHTVDFIDLYAEDWDPVVNVNDVENPTRPFKPQEATLQAIKDGTLNPEIARHLELVLGADMLILSFPFWWFSMPAITKGWIDRVWVMGGVFGGDYGMLDEAALYGKKALVATTTGGPEEFYKPDEMTDDMHSFLSHIHHGIFRFVGYSTQEPIITYAPAHLPQEEREKALEHVYDTALRLNPEPSS</t>
  </si>
  <si>
    <t>GC_00001657</t>
  </si>
  <si>
    <t>K25088</t>
  </si>
  <si>
    <t>MSATPQASKAPKVAKKSIRPADIPLYAVLVFLTVVFLGPIFFIVFNSFKSKFAISSDPFSIPVGEMWAGFENYAVGLMREGFLWAVIWSFTITILSVIAIVFFSALTAYYITRVKTWWTSTLYYLFVFSMVIPFQMVMFPTVKIADTLHLTNPVGIAVLYMGFGAGLSVFMFAGFVKSIPLEIEEAAMIDGCNPVQTYFRVVMPMLKPTAITVAILNAMWVWNDYLLPYLVIGLSTKYKTIPVVVQTFVGSNGNRDLGAMMAMLVLAIVPIVIFYISAQKYIIEGVAAGAVKG</t>
  </si>
  <si>
    <t>GC_00001658</t>
  </si>
  <si>
    <t>K13953</t>
  </si>
  <si>
    <t>alcohol dehydrogenase, propanol-preferring [EC:1.1.1.1]</t>
  </si>
  <si>
    <t>ko00001|ko00001|ko00001|ko00001|ko00001|ko00001|ko00001|ko00001|ko00001|ko01000</t>
  </si>
  <si>
    <t>KEGG Orthology (KO)&gt;&gt;&gt;09100 Metabolism&gt;&gt;&gt;09101 Carbohydrate metabolism&gt;&gt;&gt;00010 Glycolysis / Gluconeogenesis [PATH:ko00010]|KEGG Orthology (KO)&gt;&gt;&gt;09100 Metabolism&gt;&gt;&gt;09101 Carbohydrate metabolism&gt;&gt;&gt;00620 Pyruvate metabolism [PATH:ko00620]|KEGG Orthology (KO)&gt;&gt;&gt;09100 Metabolism&gt;&gt;&gt;09103 Lipid metabolism&gt;&gt;&gt;00071 Fatty acid degradation [PATH:ko00071]|KEGG Orthology (KO)&gt;&gt;&gt;09100 Metabolism&gt;&gt;&gt;09105 Amino acid metabolism&gt;&gt;&gt;00350 Tyrosine metabolism [PATH:ko00350]|KEGG Orthology (KO)&gt;&gt;&gt;09100 Metabolism&gt;&gt;&gt;09108 Metabolism of cofactors and vitamins&gt;&gt;&gt;00830 Retinol metabolism [PATH:ko00830]|KEGG Orthology (KO)&gt;&gt;&gt;09100 Metabolism&gt;&gt;&gt;09111 Xenobiotics biodegradation and metabolism&gt;&gt;&gt;00625 Chloroalkane and chloroalkene degradation [PATH:ko00625]|KEGG Orthology (KO)&gt;&gt;&gt;09100 Metabolism&gt;&gt;&gt;09111 Xenobiotics biodegradation and metabolism&gt;&gt;&gt;00626 Naphthalene degradation [PATH:ko00626]|KEGG Orthology (KO)&gt;&gt;&gt;09100 Metabolism&gt;&gt;&gt;09111 Xenobiotics biodegradation and metabolism&gt;&gt;&gt;00980 Metabolism of xenobiotics by cytochrome P450 [PATH:ko00980]|KEGG Orthology (KO)&gt;&gt;&gt;09100 Metabolism&gt;&gt;&gt;09111 Xenobiotics biodegradation and metabolism&gt;&gt;&gt;00982 Drug metabolism - cytochrome P450 [PATH:ko00982]|Enzymes&gt;&gt;&gt;1. Oxidoreductases&gt;&gt;&gt;1.1  Acting on the CH-OH group of donors&gt;&gt;&gt;1.1.1  With NAD+ or NADP+ as acceptor&gt;&gt;&gt;1.1.1.1  alcohol dehydrogenase</t>
  </si>
  <si>
    <t>MTSNAEHPDQFHAAVVEEFNKDLNLKDIDLPEPGPNEALVKVLTSGVCHTDLHAAQGDWPIKPGLPFVPGHEGVGEVVKLGPGEHAVKIGDLVGNVWLWSACGVCEHCRTGWETLCDNAEYGGYTVDGSFGEYMLVDTRYCAHIPEGADLLEVAPILCAGVTVYKGLKMTETRPGQWVVISGVGGLGHIAVQYAVAMGMRVIAVDIADEKLELARKHGAEFTVNAREVDPGEAVAEFTGGGAHGVLVTAVHEQAFGQAIKMARKNGTIVFNGLPPGEFPAPIFEIVFKGLTIRGSLVGTRQDLEEALDFYARGLIKPTVTECKLDDINTVFDDMRHGRIDGRMSIRY</t>
  </si>
  <si>
    <t>GC_00001659</t>
  </si>
  <si>
    <t>PF13396.11</t>
  </si>
  <si>
    <t>Phospholipase_D-nuclease N-terminal</t>
  </si>
  <si>
    <t>MLTPMNPLVPTTYDVIMSLIFIASAILTISVIILIARSEASSTAKAMAGLAVIILPIIGPVAYLVYRRASLKDH</t>
  </si>
  <si>
    <t>GC_00001660</t>
  </si>
  <si>
    <t>PF13489.12</t>
  </si>
  <si>
    <t>MSATPWNHNIAYHPWVMRHAHGDVLDVGCGDGLLVRKLSATCASVTGIDPNVTATLPTIQSATFDDFSPDQLFDTIIFVASLHHMDTRCALIKAKNMLRPGGQILVVGLARNSSLMDWAISGALLPVVKISSYLHKETHDPDMRTAAPTLNLRDIRNIANDVLPGAHIRRALYYRYLLRWTKY</t>
  </si>
  <si>
    <t>GC_00001661</t>
  </si>
  <si>
    <t>MAERIWVFDMPPDPLGLLICWLRNQPVAPAAIEKKMGMLTTERNRDRGSVSRTEKTTPIIKQRTNGNPSLPLARLMSDPTNNPPQSTASDIHNGMPKNFAPDERLRFFSETLDTNIHVTDLS</t>
  </si>
  <si>
    <t>GC_00001662</t>
  </si>
  <si>
    <t>MILPMLWLRLVVVIGFTIFVAIQQMWLITAIGVVLTLLTGYQIYHAYSSR</t>
  </si>
  <si>
    <t>GC_00001663</t>
  </si>
  <si>
    <t>PF13564.11</t>
  </si>
  <si>
    <t>DoxX-like family</t>
  </si>
  <si>
    <t>MTLFLAVVLLADVAMSIRPMAFIRACLSGVNLPENFWWVLLVIKTLAAAGLIADHWLADAGYAGVGLAATVGVVVYFLCAVVAHIRAHFLGREFWLNCLGMLALSLVTLGFVVL</t>
  </si>
  <si>
    <t>GC_00001664</t>
  </si>
  <si>
    <t>MKIKPRHLTAGTVASLIAITILVAGLTFGPKHITVAQTATGDPELAGHLAQHAPKGAHNLAAAVVDSDGAVKFAGLGADENTEFEIGSVSKTFTAELLRQAVERGEVTLDTTVGEILDDADMSTSDITLKELATHTSGLPRILGISAFAVAISMQRKQNPYDGFTTQRILEEARTATLADRGTYNYSNFGMALLGHLLARRAGTTYAQLAQERIFTPLGMSNTYVMTPETTPANAPRGLDITGHPTAVWDDEGYGPAGGIRSNATDMTRFMKHLLAQGLPNYTWVREQDVAWHNGMTGGFASMLVIDPRNHNASFVANDSNVAIDELGMELPR</t>
  </si>
  <si>
    <t>GC_00001665</t>
  </si>
  <si>
    <t>MSQQHPFDDPFAADPGPATYVPSAGHDYSRSVVSHTGRSFRPGFRATSGLNAPLLLWAASACYMLELCYILWLVYRVYEESHRINSIAGALLFLLIAGVTTLVVGMMKAQLWGRWGLVAVTIVGILVVVVPDLWPITLLGIGGAILAWLPSNKYWFGYR</t>
  </si>
  <si>
    <t>GC_00001666</t>
  </si>
  <si>
    <t>MWTRELLAVAEAVVGDAERVFRSSIGAEPMITKGVGDFATETDMKIEQRVRETLAERTGLPVFGEEGGGSLDEDTVWVVDPVDGTSNFSAGNPMCSTIVSLLHYGTPVVGVISLPMLGKRLTAVHGSPLYVNGVAQKTLEESSPLVAQVGFGSIVSAVDSRFPTMRRQALMRMLADLYPRLRVTGSVGVDLAFTALGTFGGSISFSPHVWDNAAGVLLVRSAGGVVTDLDGNTWGPRSHGVIAGTPLVHHALMSTIEQSG</t>
  </si>
  <si>
    <t>GC_00001667</t>
  </si>
  <si>
    <t>MSTIGAAEILIGLLMLGVVLFIPAVLIAILIVLIRMMRKM</t>
  </si>
  <si>
    <t>GC_00001668</t>
  </si>
  <si>
    <t>PF13672.11</t>
  </si>
  <si>
    <t>Protein phosphatase 2C</t>
  </si>
  <si>
    <t>K20074</t>
  </si>
  <si>
    <t>PPM family protein phosphatase [EC:3.1.3.16]</t>
  </si>
  <si>
    <t>COG0631</t>
  </si>
  <si>
    <t>Serine/threonine protein phosphatase PrpC (PTC1) (PDB:6IHL)</t>
  </si>
  <si>
    <t>ko01000|ko01009</t>
  </si>
  <si>
    <t>Enzymes&gt;&gt;&gt;3. Hydrolases&gt;&gt;&gt;3.1  Acting on ester bonds&gt;&gt;&gt;3.1.3  Phosphoric-monoester hydrolases&gt;&gt;&gt;3.1.3.16  protein-serine/threonine phosphatase|Protein phosphatases and associated proteins&gt;&gt;&gt;Protein serine/threonine phosphatases&gt;&gt;&gt;Mg2+- or Mn2+- dependent protein phosphatases (PPMs)&gt;&gt;&gt;PPM1 phosphatases (PP2C)</t>
  </si>
  <si>
    <t>MKLNYAIGSDQGLVRGNNEDSAYAGPHLLILADGMGGHAAGEVASQLMVEHVSQLDIDPGNDDMRSMLATAADEANRSIARRIKKSPETDGMGTTLTTLLFNGTEFGLCHVGDSRGYRMRDGNLERITTDDTYVQSLVDRGELDPEDVSTHPQRSMILKAYNGRVVEPTLKTLDARPGDRIMLCSDGLSDPVTDSTIETTLSSEGTPEGAVKQLIGLALRSGGPDNVTVIVADVVADDYADTPLPTEPLIAGAPNTGQELDPRPDTSSTRAAAVIAGSRAAKQAQQARQAAASLDDDTPTDPKIPEVPDPDDMDDLDDPGDLSNANGGKGAKAKGAAAAAGAASTHGDGDDDDEDAEDADDEYDAADEPATKKAKKKKKTPKKQTRKSRRGWIVGLVFIIIVAVLVTCFFFVDKYMKDRYFITVNANDKIVINQGMSSDILGGLWNTPYQEACLNANDNLTTIQVGAIESCHRFGLNDLKETARGSISSLPGGDYSEVLQQLHRLAAEALPACVIRKSETPTPAPPTPPTSSEAPRSNNTPGEEPPTSTEPVPTPTTSQQVVDDGNLNTPGVTCREVN</t>
  </si>
  <si>
    <t>GC_00001669</t>
  </si>
  <si>
    <t>MELKTNKPNYPLYSGDIDDEYSAALLNHIILAANHASRDWTRAAVLINQVVSEDKGLVGAMFCPFIVGDGQRFLGKWMSDDQSNEITRIVEKWQHRIGKSGYTNWSAIFVGVEKSDNSQYKRIWIPEYRSDYGKWHIADSDEVNWWAFHEGFSDKPAF</t>
  </si>
  <si>
    <t>GC_00001670</t>
  </si>
  <si>
    <t>MTLTFDALYAGDILDFSHPEMFGERGYDMGSCDGYMQQPTPHVRMGSVHIRMEERELYDVYDAEMQGNNGGSRVWATVRTVVVGGLAGLIFVAGVWFASSKEDTVSDSAITDAKITVRSHQ</t>
  </si>
  <si>
    <t>GC_00001671</t>
  </si>
  <si>
    <t>PF13305.11</t>
  </si>
  <si>
    <t>MSPTRPQSQGKRAVGKRATARAATEKKIIEAAERQLAEVGASGISLRKVAQDVGMAPSALYRYYNGIDQLYTAMIIRAFNEQTAAVQAAFDAHATPPPTTWDDTVELVVLLAMTLRQWALDNPHKYALIYGTPVPGYKAPQDTIPPAAGVGRIFAASCVYLTDGVVYDPMDYLPEYMASFFVAIYGVISFELFGHLVGVVDDPAVFLRHTVENNLELLRSHFPGK</t>
  </si>
  <si>
    <t>GC_00001672</t>
  </si>
  <si>
    <t>PF05235.19</t>
  </si>
  <si>
    <t>CHAD domain</t>
  </si>
  <si>
    <t>COG5607</t>
  </si>
  <si>
    <t>CHAD domain, binds inorganic polyphosphates (CHAD) (PDB:3E0S) (PUBMED:12456267;31133615)</t>
  </si>
  <si>
    <t>MNTDAHTEIEVKFAATPETEPPELAGAIEGVVSESSDIHFLSAVYFDTEDLRLTRNKITLRRRTGGKDAGWHLKLPKQGTHRMELQADLGPDAATDVPPPDLLGPVRSLVRDLPLAPVAQVDNERHETVLHDADGTAIAEFCDDHVTAWSLLPHGERTSWREWEVEVGSAYTDDAQRILEAATSAIVDKGAVAADSPSKLATALGDSIANAPTPPTVKKLKKGSPAAAVLQALAANRDRLVAMDPAVRRDDWDSVHQMRVATRELRSHMRTFDGIITNENYTHLGSELKHLAGVLGVARDAEVVGERLTALAPLVDAPTHTRITSSMSDAYRTAHSDAVTFLNSPRYFALLADLDNLLASPTVTSGKGGAARKILLQHLGSAYELLLNRHTKAIAEWSDTDLPLEQRERNIHNVRKAAKRLRYSAEAAGQTTGLNTKKLYLACKNLQTVLGDFQDHVTTRDVVLRLAKDARAHGEDTFSYGVLYQHEQRASEDALMGYEDGFAAVRTAYKKLMKKK</t>
  </si>
  <si>
    <t>GC_00001673</t>
  </si>
  <si>
    <t>MESPESFPYDRESDELETSFVELLMRARNADYGEEQILSWEELVGKTRYMNDDELLLDALVELGDAYTYGGELCQLPTSFQEARVIFETLDLDQQADWAPYLGKQYKYYLTALLDHPDTPVAILHRELAELRDFWSAHASSMKEYYLRAYYVFRELGDDPAAREAFSLWLAEPREEGSFSECPSCSAIHHIKALYAMGDTFDAVSVGEQALSQTEDFCSAQPENLYLSMLEPWIYAGEVKKARRAHRKTLRRDLHSRIGTEFYSQHFMYYALMGMRGYKFQYHIGVMFFVSQLPYWLEMESPRILMDSAVAAAILLRHYPRPSRRLRLKFSGSSLPWIISTDLENPTVAEAAQWCVDIVEKLAHRFDSRPGLAHPHTVVDMRRRIFDTEIPS</t>
  </si>
  <si>
    <t>GC_00001674</t>
  </si>
  <si>
    <t>PF01527.26</t>
  </si>
  <si>
    <t>Transposase</t>
  </si>
  <si>
    <t>X|X</t>
  </si>
  <si>
    <t>Mobilome: prophages, transposons|Mobilome: prophages, transposons</t>
  </si>
  <si>
    <t>K07483</t>
  </si>
  <si>
    <t>transposase</t>
  </si>
  <si>
    <t>COG2801|COG2963</t>
  </si>
  <si>
    <t>Transposase InsO and inactivated derivatives (Tra5)|Transposase InsE and inactivated derivatives (InsE) (PDB:2JN6) (PUBMED:23818957)</t>
  </si>
  <si>
    <t>MANKHYDWRFRKRSARMVLDTGRPISAVAKEVGVNPMTLSRWVKIQSELDSRDSRAAARAQKIKERRLARQQRNEDLDKQFLAVMKKNLPDHATKSEKFDLMEQERGNFDLSRMARLLGVTKGGFYKHIEEPRRENRLKQQRLNDKLDLFVYQIWLDSNEVFGAARIAAQLMQQYHWEVKINEVRRSMHRLGIRGKTNSPHISK</t>
  </si>
  <si>
    <t>GC_00001675</t>
  </si>
  <si>
    <t>MAYATTNPYTGETVKTFDTATPEEINQAINSTDAAFREWSQTPIEDRAALLSRAAEILRANKRDYAETLTLEMGKLIAEAEAEVELSAAILDYYAKFGAQHLAPRYLRAEGFGDQDVALVNDPLGVLYAVEPWNFPYYQVIRISAPQTLAGNTILLKHASNVPQSALRMVELFRQAGFPDGVLTNIFASHEASEQILADPRVRGVALTGSEGAGGAIASIAGKNLKKSTLELGGADAFVVLEDAEVEKAAKWAAFGRHWNAGQVCVSSKRIIVVDAVYDRFLAEYKKHVAEFVAGDPMDPATTLAPLSSQTAADDVLKQVEAARAEGATVEAIGAEVPEQGAFVRPMLITNIPEGSETSQAEFFGPISQVYRAKDEDDAVRIANDTPFGLGGSVFSTDIERARKIARRIDTGMVFINQPTGVKADIPFGGVKRSGYGHELIDLGIKEFVNEKVVVVTDIDGSF</t>
  </si>
  <si>
    <t>GC_00001676</t>
  </si>
  <si>
    <t>MTQNNDHLRIGDTERIHALDALSRHYADGRLDDAEFNRRSDIITTATTQGELREQFADLPGGFPFTADTTGALVPYEQAESHSLVADVDPEAKELEKLKKKGKIINLIDGLNGTVSLAAFFLLMFVFNVSYAWLVFLAVPAIGAGARLLLRFDESEEDAYDKYQELAQKQRAQRLEQAAFKMQELENRNREGR</t>
  </si>
  <si>
    <t>GC_00001677</t>
  </si>
  <si>
    <t>PF04066.18</t>
  </si>
  <si>
    <t>Multiple resistance and pH regulation protein F (MrpF / PhaF)</t>
  </si>
  <si>
    <t>COG2212</t>
  </si>
  <si>
    <t>Multisubunit Na+/H+ antiporter, MnhF subunit (MnhF) (PDB:6CFW)</t>
  </si>
  <si>
    <t>MTMVLWACIAVIGVSLLATLLLMVRTKDVPSRAVLADMIFYCMIATYLVWTLLHDSSIAYEITVLGALLGLLSTVSMARILSKGRR</t>
  </si>
  <si>
    <t>GC_00001678</t>
  </si>
  <si>
    <t>MQVTIINMASHQVNTGNENESLIGLVFYSRTEPSLTSSNYAALFLI</t>
  </si>
  <si>
    <t>GC_00001679</t>
  </si>
  <si>
    <t>MAGEVLIVYAGYRNQRGRRVTTMNEFAPNLYEYFGLNPQESSDVLGVTLSERIGQLEQTGLGANSPQQQQIQIAYGVLSNVSHRAIYDETIKVRQVAWHELGHLANFGRFPVQGQASPFQTNPQTPPAQGGVTPPTVGPGNQYAYYQDPQQSQFPHAGAAPQGGAQTYAYGDSSSYGTGGYPTSNVYGAAGSGITQSGERPTAGTRAGMAVVDLIIGGLLSGIVTFPVYIASDNTTLGSLMGALLLVVYYVGCEVLLGSTPAKLIFGYKVQDATTGQPLSWEQSFKRNWWRLVSIVPWVGGLVSAISAIVVFTTINEASQMRGSHDRLANAEVVKR</t>
  </si>
  <si>
    <t>GC_00001680</t>
  </si>
  <si>
    <t>MGELQVQEIEAIDDYDSSGIAWPWVAIAGACLLLVALLQIEGAALSCLILVASFLLSRYHPYSQETAALKASIVLSREDIEDTLRKYEDFLYKNDTESIADRTLHRPALADENCTDPDISSFHFLASTSRRFVPRLNDRLSRNLSIQQLESLLKLTDVRALELKEAWLQARQSAQRLGKNYQAS</t>
  </si>
  <si>
    <t>GC_00001681</t>
  </si>
  <si>
    <t>PF04314.18</t>
  </si>
  <si>
    <t>Copper chaperone PCu(A)C</t>
  </si>
  <si>
    <t>K09796</t>
  </si>
  <si>
    <t>periplasmic copper chaperone A</t>
  </si>
  <si>
    <t>COG2847</t>
  </si>
  <si>
    <t>Copper(I)-binding protein (PDB:1X9L)</t>
  </si>
  <si>
    <t>MSNRIRYSVVAVAAASLVLAGCSNGQRDSDSRTDTATSAAVSSSTTQTSSSTAATSSELQFADAYVKAKPADKSMTGIFGTIKNETKEEVTLTGFEADIDGASFEIHEVVAGKMQKKEGGITIPAGGSHELKPGADHLMVMNYDKPIQAGEDVDVKLMFSNGTTVEVPDIPVRTIASGEENYGSDGGVEGNNGMSEAPSPDAEHDHDHDHNH</t>
  </si>
  <si>
    <t>GC_00001682</t>
  </si>
  <si>
    <t>MTMLQTLAVLRDNTPMPLPQVDLGKVPDASAAGPLANYFGVSTPTIMAVATALDGDMQRTAKIVADALAPISKAQADMVTMGVNYLREAGKLASQYLTFVPVTMAATTAQIENLSQQTQKAAVSRSNQLIRELEPLTKQLNDLAAVKPQPSNVTQFKEPKTADGAPRGDKGDPQPPQAHMEKAGNKNAPSDAGQKAVNAALSQLGTPYVWGGTTPGAGFDCSGLTQWAWRQAGVELPRLAQEQNIGRPVSAEELIPGDLLVWDGHVAMYKGDGQIIEAGDPVQTGPLRTTNSGMAFKGYFRPTG</t>
  </si>
  <si>
    <t>GC_00001683</t>
  </si>
  <si>
    <t>MIAAHTKTTRWPRVITIGRLSIFFNMRLIFLSVLVSTLAAGTFALNIAHGDYPLDITDVVRILAGNGTRIEHKVVFELRMGRAVTALAVGAALGCAGALTQSVARNPLVSPDVLGLTEGASLAVVMAIGFAGLDATRISKGADTLLSTVGIPLVAIVGALITAAFIWFIAGSSRAHTMQLVLIGVGAAMFLNAAIVWIMAETDLERSTQAKVWLTGSLNGRDWGNAWPVVGCVLVVCASAGWLAFRLSALALGEQTAHVLGVNVRLATMIQLLCAVVLSAVAVSAAGPIAFIAFVTPHIARFAAQTATPPLILSALLGGLFVSAADYLARVVLPWELPVGVVTAVCGAPVLLYFIIRTYRKTL</t>
  </si>
  <si>
    <t>GC_00001684</t>
  </si>
  <si>
    <t>MVAAMVLLIILGTLLDNTPSSSTAKSSGYTYDDITIPATWCDNDNYVYAATNGKDYLSVCKTDSGYLFQALSDDGLTEGEAKKVDSSYVVNTENHVAVLEKDTMTITDTNGNVQSVVSLNRWLSK</t>
  </si>
  <si>
    <t>GC_00001685</t>
  </si>
  <si>
    <t>MLIEVPPIHDTGKGAGRVLTMSSIAFTLMFAVWLMFGILGVPIQKELALTDEQLSWISALAVLNGSMWRLPAGILTDRIGGRKITIVVLFLTAIPAFLVSQANSYITVLALAFLVGFAGNLFSVGTAWNSAWFGKERQGLALGIFGAGNVGASVTKFIGPPLIAATAGATYAFGIQGGWRLIPVIYAVLLIIVGILTLIIVPKDDRAPGTSKPISEMLQPLRHIRVWRFSLYYVTVFGAYVALSAWLPKYYVDNFDVSLTTAGLLTATYIFPASLLRPLGGWMSDRWGARRVMYATFGIMLVASGILTMPDGHITIYHPDGSESDLMFYEISLPFFVLLVFILGCAMGFGKAAVYKHIPDYFPDNVGSVGGLVGMLGGLGGFILPPLFAYTKTWSGFPSSTFFCIFVLVAISFAWMHLTVYRLMHKATPKLAREIEEPVTV</t>
  </si>
  <si>
    <t>GC_00001686</t>
  </si>
  <si>
    <t>MFRCMFRWFNGTDNGMRYTAQFVARHLRNRSAEDYFNQPQFREVMELAATKSTLRVARAYGKVSDDELPLRMAAAVIACELARQST</t>
  </si>
  <si>
    <t>GC_00001687</t>
  </si>
  <si>
    <t>PF04341.17</t>
  </si>
  <si>
    <t>Protein of unknown function, DUF485</t>
  </si>
  <si>
    <t>COG3162</t>
  </si>
  <si>
    <t>Uncharacterized membrane protein, DUF485 family (YjcH)</t>
  </si>
  <si>
    <t>MTDSTRAQHIPTHTPTPKEFLEVSQSPEFASLKTTFRSFAFPMTIAFLAWYLGYIVTATYATSFVQRPVFGVITVGMVLGLAQFVTAGLITWAYVRFADNKLDPAAEAIRTMMENPKDA</t>
  </si>
  <si>
    <t>GC_00001688</t>
  </si>
  <si>
    <t>PF02699.20</t>
  </si>
  <si>
    <t>Preprotein translocase subunit</t>
  </si>
  <si>
    <t>K03210</t>
  </si>
  <si>
    <t>preprotein translocase subunit YajC</t>
  </si>
  <si>
    <t>COG1862</t>
  </si>
  <si>
    <t>Protein translocase subunit YajC (YajC)</t>
  </si>
  <si>
    <t>MDVNQLVLLGLILVVFLAPMFFQMRRQQRQLNDIKTVQEGLAVGDAVVTSSGVHGTITALRPTEVELEVAPGVVLTWERAVIVRRATPTEPVSNSNTQPGDNAENDSA</t>
  </si>
  <si>
    <t>GC_00001689</t>
  </si>
  <si>
    <t>MNNMHETRSERPESLWLARRMWLAAVAMEAVHQLLGVVRAFVDPSDIRSEMRQYYPSMPQNTLDFFISVSSVIALVFALSLLGIVVWLAVSWRLRLLVFFGAYVALRGGLVFFEEQQGWLFLIDGAVQIVVAVFAVLAIIFGARKDSIEWMSR</t>
  </si>
  <si>
    <t>GC_00001690</t>
  </si>
  <si>
    <t>PF00255.25</t>
  </si>
  <si>
    <t>Glutathione peroxidase</t>
  </si>
  <si>
    <t>V|I</t>
  </si>
  <si>
    <t>Defense mechanisms|Lipid transport and metabolism</t>
  </si>
  <si>
    <t>K00432</t>
  </si>
  <si>
    <t>glutathione peroxidase [EC:1.11.1.9]</t>
  </si>
  <si>
    <t>COG0386</t>
  </si>
  <si>
    <t>Thioredoxin/glutathione peroxidase BtuE, reduces lipid peroxides (BtuE) (PDB:2P5Q) (PUBMED:22931285)</t>
  </si>
  <si>
    <t>KEGG Orthology (KO)&gt;&gt;&gt;09100 Metabolism&gt;&gt;&gt;09106 Metabolism of other amino acids&gt;&gt;&gt;00480 Glutathione metabolism [PATH:ko00480]|Enzymes&gt;&gt;&gt;1. Oxidoreductases&gt;&gt;&gt;1.11  Acting on a peroxide as acceptor&gt;&gt;&gt;1.11.1  Peroxidases&gt;&gt;&gt;1.11.1.9  glutathione peroxidase</t>
  </si>
  <si>
    <t>MASLYDIPVTTLDGRETTMNDWAGHVLLIVNTASKCGLTGQYEGLQRIFNDYAMRGFFVIGMPCNQFGEQEPGTADEISDFCSVNYGVSFPLLAKADVNGENTHPLYAFLKDATGGEDIQWNFEKFVVSDSGEVLGRFSPKTDPEDDELLELIEDNLPV</t>
  </si>
  <si>
    <t>GC_00001691</t>
  </si>
  <si>
    <t>K26987</t>
  </si>
  <si>
    <t>antitoxin MazE7</t>
  </si>
  <si>
    <t>ko02048</t>
  </si>
  <si>
    <t>Prokaryotic defense system&gt;&gt;&gt;Toxin-antitoxin system (TA system)&gt;&gt;&gt;Type II TA system&gt;&gt;&gt;MazF-MazE</t>
  </si>
  <si>
    <t>MTSLSGITTTTIKLPSDTRDRLKALAAERRETIGSTVEYLLEERLRLHRFEQLAADIAATPADEMQAWRIDADMWLSTELIDD</t>
  </si>
  <si>
    <t>GC_00001692</t>
  </si>
  <si>
    <t>MTITALLCCHESEPPSGYDSVIRQITQDWPQLLQQGEFRNIDVFTEGEADSLSFEYQEPATGFRALITCSIAREPFEQTEELLPQSPLWPAAEPFNHQHAMHVIVTIDDVTHLNTANAADGPTAGNTPRLAVLLSQMLVSIGALFRSAFAMMWFGADHLVPMDLFTTMAKQALPHPMTEVWVLLNGDSDGKTAIGYTQGMTEFNIPEVEVVHGAPDINAALSALQEATTVLLFAGGVNIPTSHTADGVAVETPEFRYGFEYCPTVFGDSQMVLRLTEISPV</t>
  </si>
  <si>
    <t>GC_00001693</t>
  </si>
  <si>
    <t>MTDSHPHVLGMEVHTSTKMSNTIESTPETVLEVALKKFAELGFNDTRLEAIAKESGMSKRMIHYHFGDKKGLYQRCLVLAIKQLRPTITEMELDSEVPVDGVQKIVEAVYYRYANHPEAVRLLLVENLMNHASLLEGQPLADQSSITLQLDKLLMQGQDMGAFRPGISAQDIFTLIASIAMFRVSVRNTTINLYNIDMMDDANTTGMAHLAVDTVLAFLTSHIRSRDQISYVSMIETGELEEVSADSAYDISPNLFL</t>
  </si>
  <si>
    <t>GC_00001694</t>
  </si>
  <si>
    <t>MSFAHPLDALATVAGVADAEQRASAAIAAVHRRPVNLRRSEITSSESAVRGARLSALLSGGSEDAEVSAYSLLAPAQLQATARTFQRAPLQVLARLDALLGGSGTPLSGASRLSTLAQLIVGPAHPRAGLLPVFVHMELEAGEFFGPRSGSIARVASRVTAVMTGFDPRGLAVPETYLHRHQDDPKDPVFLLRAWETGAEEAEGIARAV</t>
  </si>
  <si>
    <t>GC_00001695</t>
  </si>
  <si>
    <t>MSSRLSPPIPRSVNDMSLAQEFIDALNTDNSADADHAALIGSDGDALLVRYRGQDLPWQIPVRIQESGWSKLQHNLENPWGPSFGLSLLEELYKLDERAWIKPELHLINDSGVWQLLETA</t>
  </si>
  <si>
    <t>GC_00001696</t>
  </si>
  <si>
    <t>PF04131.20</t>
  </si>
  <si>
    <t>Putative N-acetylmannosamine-6-phosphate epimerase</t>
  </si>
  <si>
    <t>K01788</t>
  </si>
  <si>
    <t>N-acylglucosamine-6-phosphate 2-epimerase [EC:5.1.3.9]</t>
  </si>
  <si>
    <t>COG3010</t>
  </si>
  <si>
    <t>Putative N-acetylmannosamine-6-phosphate epimerase (NanE) (PDB:1Y0E)</t>
  </si>
  <si>
    <t>KEGG Orthology (KO)&gt;&gt;&gt;09100 Metabolism&gt;&gt;&gt;09101 Carbohydrate metabolism&gt;&gt;&gt;00520 Amino sugar and nucleotide sugar metabolism [PATH:ko00520]|Enzymes&gt;&gt;&gt;5. Isomerases&gt;&gt;&gt;5.1  Racemases and epimerases&gt;&gt;&gt;5.1.3  Acting on carbohydrates and derivatives&gt;&gt;&gt;5.1.3.9  N-acylglucosamine-6-phosphate 2-epimerase</t>
  </si>
  <si>
    <t>MDLATFRQHVTGTLIVSAQAPDGHPLRDTHTIAHLAAAAVAGGATAIRCGGYGGLEDIRAVAEKVNVPVIGLTKEGATGVYITPTVASARAVAHAGADVVAVDATQRPRQDGSTFAEQVAAVHEEGKLIMADIATLDEAIAAHSDGADIISTTLAGYTEHRAKTHGPDLELVKDIRQALGSDVFLTAEGRYHTPEWAAEALTLGADAVIIGTAITDVSFVTAQFVTAVTAAATTEDKQ</t>
  </si>
  <si>
    <t>GC_00001697</t>
  </si>
  <si>
    <t>MKLAGVIAQSAHSVAQNWTRAAVILNQIVSSEGALTRTVVCPFLVADGQGREMMRVVEE</t>
  </si>
  <si>
    <t>GC_00001698</t>
  </si>
  <si>
    <t>MQNRIRVSNMKKVAVAAIAASALVLASCSDSGDSGNTASGGTSAASSDKSASSKGSSGGASTSASGAAASGAATSSGEAKPAEGASSDAPPLPENVTPPALPTTTHQPVEGGQPASPEDAKSIEGVVRGITAETTLRSYMGYIPQHTCKKVLDENGGEKSLDLGQIPDVPLDSYPDFKKAKPTIDSVTDIKVAGETASAQVTASTEADGQTVATQRFAKENGKWVFCN</t>
  </si>
  <si>
    <t>GC_00001699</t>
  </si>
  <si>
    <t>K07248</t>
  </si>
  <si>
    <t>lactaldehyde dehydrogenase / glycolaldehyde dehydrogenase [EC:1.2.1.22 1.2.1.21]</t>
  </si>
  <si>
    <t>KEGG Orthology (KO)&gt;&gt;&gt;09100 Metabolism&gt;&gt;&gt;09101 Carbohydrate metabolism&gt;&gt;&gt;00620 Pyruvate metabolism [PATH:ko00620]|KEGG Orthology (KO)&gt;&gt;&gt;09100 Metabolism&gt;&gt;&gt;09101 Carbohydrate metabolism&gt;&gt;&gt;00630 Glyoxylate and dicarboxylate metabolism [PATH:ko00630]|Enzymes&gt;&gt;&gt;1. Oxidoreductases&gt;&gt;&gt;1.2  Acting on the aldehyde or oxo group of donors&gt;&gt;&gt;1.2.1  With NAD+ or NADP+ as acceptor&gt;&gt;&gt;1.2.1.21  glycolaldehyde dehydrogenase|Enzymes&gt;&gt;&gt;1. Oxidoreductases&gt;&gt;&gt;1.2  Acting on the aldehyde or oxo group of donors&gt;&gt;&gt;1.2.1  With NAD+ or NADP+ as acceptor&gt;&gt;&gt;1.2.1.22  lactaldehyde dehydrogenase</t>
  </si>
  <si>
    <t>MTTYQNYINGQFIDAADTHDVINPSTGQVLAHAPSSDIAAVNEAVAAAKAAQVHWAELPNIERAGYLTAIAAKLRDNVDRFAHYLVEEQGKVQALAEVEVSFTADYFDYMAGWARRLEGEVIPSDRPGEMIFLTYDPIGVVGGILPWNFPFFLIARKMAPALLTGNTIVIKPSMETPINAFEFCKIVDEVGLPAGVFNMVGGSGRKIGEALTTHPDVGLISMTGSVDVGKRIMEQAGSTLTRVNLELGGKAPAIVLADADLDLAATAIWNSRVINTGQVCNCAEVVLVEESAHDDLLAKLVEKMESTQYGNPVDIRELDMGPLITPEAMDKLDEMIEAAVAAGCRVETGGARATDKGEGNFYQPTVLSGATADMAIAREEIFGPVLPVVKVKDLDEAIAIANESDYGLTSSIFTNNINAALKAARQLQYGETYINREHFEAMQGFHAGRRNSGIGGADGKHGLMEYVETHVTYIQTHD</t>
  </si>
  <si>
    <t>GC_00001700</t>
  </si>
  <si>
    <t>MMFTWIFYVLVLSALIVLFSVMFGHFFGGDNLIPAEADAGMESAARIDANAAAVSDNRFDNISFDVVLRGYRQDQVDAVIENMRQRIIALENLTGTKEKG</t>
  </si>
  <si>
    <t>GC_00001701</t>
  </si>
  <si>
    <t>MTNSNDGILIIGGTSDIGREIGVRLCRGRQVVLAARRAPDLQPFYDAGATKVHILYFEAADLRAYRTLFQQAEQLAGEINLVLVAFGVLGDQQRAEVDEFHAADIATIDYTAQIAMLTVIADELRPRTTRSTIVAFSSIAGWRPRRANYVYGSAKAGLDAFCQGLTDALHGTAVRVITARPGFVIGSMTNGMKPAPMSVTSAEVADILAPIIQEDRGSRTVWIPGKLQLLAALMRLIPRRMWRRMPR</t>
  </si>
  <si>
    <t>GC_00001702</t>
  </si>
  <si>
    <t>PF20177.3</t>
  </si>
  <si>
    <t>Domain of unknown function (DUF6542)</t>
  </si>
  <si>
    <t>MLAALAVGLLISVRQQTIGLPFIIAFAAGSVVVTILVEARGLMLTVGQLPLLFGISLPLTAWMINASVSNVPQKLSATTILTLVYPLAQHFPTLGLVTLGCAIIAALRIWQFRRTMGSQARSAERERRKTQEADRTNRETTSRARRLSNRNQQDIPPHKEPAAASQRVTVEELQRRASAPEEPPQQPHKRTVQRPRPQQRPAAQQPHAAPSTPEQPKRTKPQSPPTMVISPVKASPKTGAHQRPEEDHHSKHERSGRPPQPPRRAAASTEQRDAQRREAQRQRRQQAMRQEAPHQEHPGQERTRQQPQRSGSIRRPTADAGSSRAGGQTGGHDQQRPHKRTVQTPRVQQPQRSSSRAEAHNHSTGGGRYTSRGSESAQARGQRQRDQQQRDNRQQESRQSQQRRQQPRQQPAAYEEQRQPRTVQRRQVRKVQPRRDSTGRDSRRNSRHDDLY</t>
  </si>
  <si>
    <t>GC_00001703</t>
  </si>
  <si>
    <t>MAQPHKAKVSYGIDGPIVPAAFSIGAVIFIICGLIWSPWFYIGAVLSAVQAGFYLHATFRGKFVVWDRVLNDIPFQGNEKILDMGCGHGTVLIAAAQRIPHGTAIGIDLWRSIDQSGNSMDATLHNAEIEGVADRVTLETADMTALPFPDNSFDVVVSSLAIHNIHSVEGRKKAVHEAYRVAKPGGHIIIADPFKAKEYGPALTEAGATDTHTRSVGWEMWWSGPWSATYFVTATKS</t>
  </si>
  <si>
    <t>GC_00001704</t>
  </si>
  <si>
    <t>PF02698.23</t>
  </si>
  <si>
    <t>DUF218 domain</t>
  </si>
  <si>
    <t>COG1434</t>
  </si>
  <si>
    <t>Lipid carrier protein ElyC involved in cell wall biogenesis, DUF218 family (ElyC) (PDB:3CA8) (PUBMED:24391520)</t>
  </si>
  <si>
    <t>MKSRTTAIITSPILLAITSILVRGRFRPTNTRHRFDTILVLGTTQYGGVPSRQFAARLRWAAELWHMHGTQNIVTVGGKLPGDTTTEAEVGRNYLLQAKVDPDCLIPVPEGNDTLGSYHAALERLGDDYHGTILIVTDPNHALRAELLAKQIGMNARVSPTPYCPAIFPTKGFFWTLSHEVGGLIVVAATAALGRKRAATVEDLLRYAQGILRPSRIHRHNVLRANQQAAHELAHESASKPADK</t>
  </si>
  <si>
    <t>GC_00001705</t>
  </si>
  <si>
    <t>MNEYDSSYGKWRISDYEEVNWWAFHEDFHGHP</t>
  </si>
  <si>
    <t>GC_00001706</t>
  </si>
  <si>
    <t>D|R</t>
  </si>
  <si>
    <t>Cell cycle control, cell division, chromosome partitioning|General function prediction only</t>
  </si>
  <si>
    <t>COG2340</t>
  </si>
  <si>
    <t>Spore germination protein YkwD and related proteins with CAP (CSP/antigen 5/PR1) domain (YkwD) (PDB:1CFE) (PUBMED:31199835)</t>
  </si>
  <si>
    <t>MLHRTSRRNRTRILIAAGLSLSMTLGHSIVASAETPHTVHYNQVVAQAAPINPITIPGLPVQQIDPNSARHIGAGLPNFGQLGPILASFGGAAIFAMLASLFGRNKQSITANRGSQPRVQAPAAAPQPARSTQPAQPAQPRQSGNDATNAGHSRNNSGTSCASDSIVPNYGALATADAQAIVQETNRVRAELGLCPVVWDEDLAVGAKGWADHLVRMGGFEHPAHGNFGENLLVSNQYRRPNAQDALQKWMNSPGHRKNIVDPHITRIGVSIAKHEGNMPGGILYVQRFR</t>
  </si>
  <si>
    <t>GC_00001707</t>
  </si>
  <si>
    <t>MTVAGPPETLETQDHWLDSVGTSEQRTRHPVIALIQESFGQPIQAVQKTVSFLSTSPGLMTAMSAIIAVAILAAGWSMSSSSNDRQVALQELLNNTEPMSYSAHNLYTSLSVADTMATTGFAQAEEESSRSRARYNDAIQKATLAATETAAGVSDVNTRELALIAQIQQQLPVYTGLVEVARTNNRSGNPVGAAYLAEASALMREQILPAAGELFSLTTQAVTDQQDRFTKPQWIPLSGLVVALVLLGAGQYWLTLRTNRRFNKGFVYATAFMLIALLWVSMANWATWHAGRKGFEEASAPLGSLANSRIVAQQARTEETLALIRRQDLESWNNSFNGSMHRIESELDSYSTLSIASSEANQQSTEVARGAVEKWKDHHSQLAELQRVGNYDEAMEVALGPSDDAFSEFDSSMASLISDARSGLRTYIVDALVATRLVSTAVLTLSWLAVIAVALGIRPRLQEYL</t>
  </si>
  <si>
    <t>GC_00001708</t>
  </si>
  <si>
    <t>MTYPYNSGQQPDSVNNPFLGSQPGGLGSQYDPNGLAANPSYSPDPVADYGYNPTPVGGTDWQQPASGYDYSAQYGVPVPQQQPQYGVLPQQQQYYAAPLQQNPPKDKAIAILFCLFFGVFGAHNFYTGFNGMGAAQLVLLLVGWLFSFLLIGIPLLIALSIWVFVDLIMIIASSGRFAYVFRP</t>
  </si>
  <si>
    <t>GC_00001709</t>
  </si>
  <si>
    <t>MPTIESRARNGAYAGVVLAILGSFTAASIIWGLLRPRYQATIIDDQGGLELNMVDNVEFTGFFWFVFTTGILAIILSARIHQKTLAYRGLSMLLWVTLWSLVGSILFAKLGDLTTITVYHIPTATSDFNVGDVVPFVPLMNAGISGYAVAPCLAAAYYWILEFFVPYPLADPDPD</t>
  </si>
  <si>
    <t>GC_00001710</t>
  </si>
  <si>
    <t>PF11066.14</t>
  </si>
  <si>
    <t>Protein of unknown function (DUF2867)</t>
  </si>
  <si>
    <t>MKRADIHYANIPPSWDAVKFTTMLLSATPRWLHILMHLRDRVVSTVGFAPQPKPNPPNLSVQVGSAAGPFTFYEVSPEAVIGGNNDKHISYTVRFVVESSPSSTHGGVETQARSYSTLGSAYLTAIWPFHKLVVHRLLQNVQV</t>
  </si>
  <si>
    <t>GC_00001711</t>
  </si>
  <si>
    <t>PF11209.13</t>
  </si>
  <si>
    <t xml:space="preserve">LmeA-like phospholipid-binding </t>
  </si>
  <si>
    <t>MKKLLVGLVVAFLLIAGIAEGGTRWYVSQQLKADSGEGASVSFGAYPVVATLVTGNVKHVDMDLPSTLKIDYPDGTNSAPTVTGSPASTVKIRNLSLKDRNNPVAGSMLLDTRLTDEFMLAQVQSAIAEQAAGNTNNGYAGALIQSLVRVTGITSHPNDGTVSVEFTDGAATLTLRPSAADGQLQFQAERAALFGVELPKEMSEAITNSLRESASKMAGGLNVESVSVEDKAVALRLTGTNVNFSEISDNSQQK</t>
  </si>
  <si>
    <t>GC_00001712</t>
  </si>
  <si>
    <t>PF03023.19</t>
  </si>
  <si>
    <t>Lipid II flippase MurJ</t>
  </si>
  <si>
    <t>K03980</t>
  </si>
  <si>
    <t>putative peptidoglycan lipid II flippase</t>
  </si>
  <si>
    <t>COG0728</t>
  </si>
  <si>
    <t>Lipid II flippase MurJ/MviN (peptidoglycan biosynthesis) (MurJ) (PDB:5T77) (PUBMED:25013077)</t>
  </si>
  <si>
    <t>ko01011|ko02000</t>
  </si>
  <si>
    <t>Peptidoglycan biosynthesis and degradation proteins&gt;&gt;&gt;Precursor biosynthesis&gt;&gt;&gt;Flippase|Transporters&gt;&gt;&gt;Other transporters&gt;&gt;&gt;Electrochemical potential-driven transporters [TC:2]</t>
  </si>
  <si>
    <t>MNDNDQQSGFRRRIIPPAPPSPVPARRELRRRRPANDRSLLKQAPSAEEAPGLLAAMHNDAAFMPAGTAVKTRPSRPAAEAPPDDADGDTGDDNASDSEVLQSSGSMAIATLLSRLTGFLRNMLITASLGGAIASAFNTANQLPNIITEIVLGAVLTSLVVPVLVRAEKEDPDHGEAFIRRLFTLSVSLLGAVTILSVILAPNLVKMALSSESKVNLAISTSFAYWLLPQIFFYGVFALLMAVLNTKNVFKPGAWAPVINNIITLTVLVLYWVLPGELDPKDHSVGIFNPHVLLLGIGTTTGVIVQALIMLPYIRKSRVSLKPLWGIDSRLKQFGGMAAAIVVYVGISQFGYFVTSRIAASADALAPNIYQQAWLLLQVPYGIIGVTLLTAIMPRLSRNAADGDDKAVVEDLVMGSKMTYIALIPIVIFFTIFGTDIAKGLFAYGKFDVEAATVLGWTLSFSAFTLLPYSTVLLHLRVFYAREEAWTPTFIIAGITVTKVALSWLATMVGTEPQKLVILLGAANGFGFVAGALIGGFLLRRQLGDLGTKQVTRTCVWALMSSLVGGSMAFGLHYLLKFAMRPVIMRIGSIGFILDLAITGVVFLVITGIVLSRSGLPELSVLSRVARRIPGLSRFIAEPERNEYYEEVATPQLRAAATYVDDTFNATPVPPPMSAGIVRGPRLVPGAEVSDGSFRLLADHGSVPGARFWHAREKATGKEVALTFVDTSGLAPMAPATPAAARAASELVAARTMKLGRINNAAIASDIEVRSYRSGCLVIAEWVPGSSLAAVAHGDVNPYAAAHAMQPLVEASQVGVLGLDNHARIRINTQGIAVLAFPAVLESASHEKDLRSIRTALSSLIDAPTAPPGIHNLLTCELEDMPEAYAALMMSPSPATNVEQPLEIEEEEVPQVTAAPGFGRGYSRMTTGIVLVGATILVIIAAMLTAFLITLFNQNKDSPLRQDSLTSRIASPPKKPDELLPIKSASAWGLENPTAAYTIDDNPATMWETGPETGLVLSLNSAHRIKTVVLSGVTQGTNVQVIGLDTTNPTPSPTSSAQITSAINQLLANNVIGSTDVNSTKMNVDIKSTKKFNQILLWVVTPNGSPLVIKDVTVVGEP</t>
  </si>
  <si>
    <t>GC_00001713</t>
  </si>
  <si>
    <t>PF13830.11</t>
  </si>
  <si>
    <t>Domain of unknown function (DUF4192)</t>
  </si>
  <si>
    <t>MFANLPGILGFYPEKSIVLAGFHRSESTQQPGKYVLGPLFRTDSNRTDAIADILRNLTMSTDLIFGFIIDNGIYSDSNSAPCAQDYVRSLCAIARDHDAPLAAVWATPSLYTGEPYRRVFGLTQHDVGPATTGRDNWDAGCIAPVASAASTRDLLSKGMLPDITRTDMLDHFQPIHAFDDDIEAHVVQKQITEMAQSLADLAEAHTPESSGTFAAAMDELWEVLAAVRDTINDCDAEVIANCDLAEAIAADTELLINGAVFFAHPLLRDVALVAADRSVNDSIAPGTTRAFMELALAVGRCFTGELRANALCSYALAASQCGYRVRTVPAVRCALEAKSDHGLADLLMKGFYAGLCDQMLKACLAGSVTLREKYTHPAQRAEGAA</t>
  </si>
  <si>
    <t>GC_00001714</t>
  </si>
  <si>
    <t>PF21831.1</t>
  </si>
  <si>
    <t>Domain of unknown function (DUF6891)</t>
  </si>
  <si>
    <t>MCDMTTYVAIPEDLILPADLLPDDFDDDVIGVCWVAVVIGDSVEDIAEIIAEEYDEISNEQAKNIAEYLITARRAQQEQFGDVTTNLDSAFAELEQHGIIARAYCGWTVGEGQAEILDEAADIPRANGEPWIGHVFITGQQIEAYIEFEGDAALDMAYGAILTDEEDALPDREADELYETKTLAMMTDIVLPTLAKHGVETQWSGSIADLVTLTNAVYYQPI</t>
  </si>
  <si>
    <t>GC_00001715</t>
  </si>
  <si>
    <t>MSDEFLRFHGDVDAANAHLDFAVNVRGTEPPPWLLEALTEELSNIASYPSAQTEQQARQAVADFHGIPASHVLLLAGAAEGFSLLPRLVPAGGSALAVHPSFTEPEYALRAAGVPVVRLLLDAPFTLSASLPNGVDMAVVGNPTNPTGVLHDPARLLTWDVPHLVVDEAFMDVAGEEHSLAARVVDNPQLIVLRSLTKTWALAGLRCGYVLAQPEVLARLSAGRPHWPLGSVQLRAIAEVMRRGPAAAEQIAGDVARERAAMVRYLEDEGFRVVAGSSAPFVLVRPPTLDPESARLRLLDRGVAVRRCDTFPGLDQGFWRLAVRDMDAVQHLLEEYRQVVKE</t>
  </si>
  <si>
    <t>GC_00001716</t>
  </si>
  <si>
    <t>PF03334.19</t>
  </si>
  <si>
    <t>Na+/H+ antiporter subunit</t>
  </si>
  <si>
    <t>MIIAEIFAGILAVAAGLIMVVTMVGLWRAPDAQTQANMLGPTTGVAIPLLIFAKLAYDISRHGFVFSDVARALIAVVAYLVVLALGAFLLGRAFLAVAVEADQAESQDEPA</t>
  </si>
  <si>
    <t>GC_00001717</t>
  </si>
  <si>
    <t>PF13416.11</t>
  </si>
  <si>
    <t>K25086</t>
  </si>
  <si>
    <t>maltose transport system substrate-binding protein</t>
  </si>
  <si>
    <t>MVSFKRVVATIAASALVAGSLAACSSAEDGPSVYFLNFKPEQDAIYQKIAAAYTEETGVPVKVVTAASGTYEQTLKAEVGKRNQPTLFQVNGIVGLKKWSKFTADLTDATFTKELNDSIDPLTGDDGKIRAVPFAVEGYGILYNEEIFDKYCAMEGAKVSSPEEIKDFATLKKVSEDMQANKKELGIDGAFASTSLASGEAWRWQTHLANIPIHYELQDLGADDSDNLQFTYNKEYKNLFDLYLNNSTVEKTLAPSKSVSDSMAEFAQGKAAMVQNGNWAWGQISEVSGNVIKEDKLKFLPMYTGMPEDSKQGLAVGTENYLAVNQKASEEDQKATIDFVNWLYTTDKGKEYVVNELGFIAPFKTFSKDDIPDDPLAKQIADAMDNPDLESVPWDFQTFPSQQFKNDFGQDLAQYASGKTGWDEVVRNFVDNWAAEKAALK</t>
  </si>
  <si>
    <t>GC_00001718</t>
  </si>
  <si>
    <t>MGFPSLSGEQLLIIADVFCAEYDVDVADFSALYAAASVTRAQFSGIRVHTPDTVGPALAATIIKLAPLTDRNAEFSEQVLLVYQAYLELFG</t>
  </si>
  <si>
    <t>GC_00001719</t>
  </si>
  <si>
    <t>K18369</t>
  </si>
  <si>
    <t>alcohol dehydrogenase [EC:1.1.1.-]</t>
  </si>
  <si>
    <t>COG1063</t>
  </si>
  <si>
    <t>Threonine dehydrogenase or related Zn-dependent dehydrogenase (Tdh) (PDB:4A2C)</t>
  </si>
  <si>
    <t>KEGG Orthology (KO)&gt;&gt;&gt;09100 Metabolism&gt;&gt;&gt;09101 Carbohydrate metabolism&gt;&gt;&gt;00650 Butanoate metabolism [PATH:ko00650]</t>
  </si>
  <si>
    <t>MKTAIFKKPGLIAVEDHPKPTIQQPTDAVMRVVRACVCGSDLWYYRGDSEHGQDAIGHEAIGVVEEIGDDVTTMKPGDLVIVPFAFSDNTCPHCENGVQTACQNGGFFGAGEPGNGCQAEYVRIQQADGTAVVVPAGNYSDEQLASFLALTDVMGTGYHAAVAAGVKPGSTVAVVGDGAVGLAGVLSAKLLGATRIIAMSRHESRQKLATRWGATDIVASRGDDAVAEVMQFTDGIGVDAVLECVGSKDATETAFAIARPGAIVGRVGLPHEAPIDEVGTFFRNVGTRGGPAPVREYLPELLRATLAGEINPGEVFDYETDLDHIDEAYQAMDSRRAIKALIRVSEV</t>
  </si>
  <si>
    <t>GC_00001720</t>
  </si>
  <si>
    <t>COG0546</t>
  </si>
  <si>
    <t>Phosphoglycolate phosphatase, HAD superfamily (Gph) (PDB:2NYV)</t>
  </si>
  <si>
    <t>MKTLLLDVDGTLIDSYPGIITSFVHALDQGGHPRPSEDFLRSVPGPPLEVTLNRLGLTPEDNRATLRRYMEHYDTTGWAMSAPYPGIRDLLVSLKDQGFQLCTATSKSQPITEKILEHHKLAELFTFIGAATGPDGGRRSKRDVIAHVLDNVGLDEGSDILMIGDRIHDITGAAEFNIPTVAVTWGYGNAEEHQHAHRVADTPAELERIIHDWAH</t>
  </si>
  <si>
    <t>GC_00001721</t>
  </si>
  <si>
    <t>MSTPQNKRHPEIIYIRRRIAAVVILVVVAGLLIWLMSVVGGGNKTSAEDPSAVATTASSTAAPSSTSSASASSTDSDSSASSSASHSLAAPSDARSTEPTTSAERGTKNTCELKDLVISARSDQDSFDAGQQPRFYMTVDNPTNVDCEIDLAENPLRFEVYDLATNKRIWSDMDCTPTDEQDSRVFPAGEQRYYEVIWSRTSSAPNSCNKRENVPDGGYYLYTLVGTNHSDPITFNLHGNA</t>
  </si>
  <si>
    <t>GC_00001722</t>
  </si>
  <si>
    <t>MRCRIGGNAPQWCEHMGNELEGLLFYGSFQHPYQLETQVSVFFNGDPDELLQRRIYPDCAVRVFTHEPSAEGSDTRFTCDYLNLTSIESGDEEGLIIVGQPEMIQEEEYYTDALDRDGWEFLMQIDEAGYPDDLATTYPFFYGSLYLYWKPESGEVTAGYWQCS</t>
  </si>
  <si>
    <t>GC_00001723</t>
  </si>
  <si>
    <t>MSGTADRVAETLILAPEFDAQAYVRLTALLQDMGAQCIRQWSGVGGSQDYFFAEYQLGEDSVVVVENETYLGLSITTDTDTIAMITRIWGSCG</t>
  </si>
  <si>
    <t>GC_00001724</t>
  </si>
  <si>
    <t>MKYLGIGLTSTTFAFFLSLSTGLLDAGIRAHGDDQAVITALGGTTFGINILVGIIAMIVLAVLSLKRRSDEAGQSNQGIVTLNALLASVVGGGIGSSLSYVLWPMHVQMLVGTGVFPPDPLSGSLPINAVTSSLGGVALTGLIAGAIGAKAGARRAGKRANVSAAQATQVGQIAQAGQIARPEPIETEPPSRMGWRIFSVFLGLSTIAGASSIYRVIANAQPTGSEDAYTIYFAMGAMLCLAAAFLGGILVHTIGAVLAMLMGNGDLVNNTISRVTRAGSLVLPLGLLAAATGIMSMWVTKMTQKFSVEQADTVTPIEAIKIFSGPIGILIVALISIVLASAGSGRRVNSNAVWSTVLIDAVAYLTISTTIAYSLMIINEVITSAVLRNGPLPDFPTTLPDWRAFAVVLGGVGIRMIIVWARSRRESVVGNQNVASVAAPSGVIV</t>
  </si>
  <si>
    <t>GC_00001725</t>
  </si>
  <si>
    <t>PF00042.28</t>
  </si>
  <si>
    <t>Globin</t>
  </si>
  <si>
    <t>K05916</t>
  </si>
  <si>
    <t>nitric oxide dioxygenase [EC:1.14.12.17]</t>
  </si>
  <si>
    <t>COG1017|COG1018</t>
  </si>
  <si>
    <t>Hemoglobin-like flavoprotein (Hmp) (PDB:3OZU)|Flavodoxin/ferredoxin--NADP reductase (Fpr) (PDB:3OZU)</t>
  </si>
  <si>
    <t>KEGG Orthology (KO)&gt;&gt;&gt;09190 Not Included in Pathway or Brite&gt;&gt;&gt;09191 Unclassified: metabolism&gt;&gt;&gt;99980 Enzymes with EC numbers|Enzymes&gt;&gt;&gt;1. Oxidoreductases&gt;&gt;&gt;1.14  Acting on paired donors, with incorporation or reduction of molecular oxygen&gt;&gt;&gt;1.14.12  With NADH or NADPH as one donor, and incorporation of two atoms of oxygen into the other donor&gt;&gt;&gt;1.14.12.17  nitric oxide dioxygenase</t>
  </si>
  <si>
    <t>MSHDIHDHHTPTPTTDRSGLSDAHAEVIRATLPLVGSRINDITPVFYKKMFTAHPELIADLFNRGNQQHGDQAKALAASIAVFASVLVDPDKPHPDEMLARIGHKHVSLGITKDQYQIVHDHLFAAIAEVLGSVVTPEVAEAWDAVYWMMADTLVRFEKELYTASGVAAGDVFRDVTVADKKPLSDTVTEFTLVGEGLVPPRPGQYTSLGVVLPDGARQLRQYSLLDGAYEQTTSCYRVAVERSGEVSEFLHNHVAVGDTIQATLAAGDLILTDGDNPVVLLSQGIGSTPMVGMLSYLAAQRSQRQVIVVHADASEAECAQKSEMERLVEQLPNARLELYFRDQGERVDAPAIIPAGASVYLCGGVRFLQSVRDQIDAIPADQAPADVHFELFSPNDWLIN</t>
  </si>
  <si>
    <t>GC_00001726</t>
  </si>
  <si>
    <t>MDKIMKLNYSAVRRLEINLTSEEVTYLEEPYVARPVNGRMDYFSCSTKLHENPA</t>
  </si>
  <si>
    <t>GC_00001727</t>
  </si>
  <si>
    <t>MKVTRSLVAGGTALAVMFAAAPAVAPVASAQLSSGPVISTLIGIVSQLAGLAIFAAFWGTVYNFLVNHGTIPGRVIPGLPIL</t>
  </si>
  <si>
    <t>GC_00001728</t>
  </si>
  <si>
    <t>MVATPGMIFVCTLSQLSTTIKAAHMLQDTPIRGGNFAPMITLVTEIDK</t>
  </si>
  <si>
    <t>GC_00001729</t>
  </si>
  <si>
    <t>PF14124.11</t>
  </si>
  <si>
    <t>Domain of unknown function (DUF4291)</t>
  </si>
  <si>
    <t>MQNITSSTSFLAPPPYRQIRARYDSETVRVYQAYRPEIADAAVAAGRFVPPFSLDRMTWIKPSFLWMMYRCGWATKPGQERVLAVDITREGFEWALSHSCLSHYEPNTYATEEEWSTLKTESPVRIQWDPERSAALDRLEWRSIQIGVGGDAVPRYASEWVTSITDITSTVHRIAASENMTRTSLLNEILAHERPYPLSSVIAARIGATPTDSS</t>
  </si>
  <si>
    <t>GC_00001730</t>
  </si>
  <si>
    <t>MTIGPQKLGPYWLIGATTFSRIGTLAYTVVMTWAVSKAGGNNSVGWVNAAAGFTIVLVGISATFWLDKFDKRTLLLLLDVSAAVVCLAAAAVLLLVPMSSVVFTGVVVAVVTSAVASLYSPASRALIPSMVPAEGLERYNSVYTGFSETSRAAGPGLGALLLAVGGSEAFPLSLIINSISFIISFLLTLPLPPDPPRQANEHKQKERTFFQNVRVITKHAILRGEVLGALSINFLLPSNTFILLNRIAETGAKASMFGLANFFEAAGAVTAALTAAIIAVQLRRIRASQLMAPIALALLLCLTAGIWATIISLTIVTALVTVYNIILFSQLQREIPREKIGRVIAVVTTSSAAVMPLGNLVFSKLSTTIPTHMLIWATTITLLVTGLAITIGNRKRGGSV</t>
  </si>
  <si>
    <t>GC_00001731</t>
  </si>
  <si>
    <t>MANSSLPQEQKMYDTALNLIGVIAKVPLVKVDREQFLRQQFANSPYLEEILLLGPQSVYTPKALEKKARAIVRSNTNKTSAVSFATGLPANPFVMVPAAGADVAQYFGFALHMAQQIAYLFGEDELFTNGGELTEEAKVRVIAYLGVMCGAAGAGNLIVQTSRVVGQNVGKKVAGQALTKTTWYPLVKKIGVLLGQKITKKTVEKTISKAVPLLGGVVSGGLTFATFRSMGFRLTDEFFKLVTGEDQEEMELNPEFLASIVDVDGPNHRRR</t>
  </si>
  <si>
    <t>GC_00001732</t>
  </si>
  <si>
    <t>K13671</t>
  </si>
  <si>
    <t>alpha-1,2-mannosyltransferase [EC:2.4.1.-]</t>
  </si>
  <si>
    <t>COG5650</t>
  </si>
  <si>
    <t>MQILEKRSTAVAAVLLTLVVVVTWSLNLESFSRSSILMYHIDVAVYLEGGLAFLRGENLYTQDFDFGSISLPFTYPPISAIVFSALAPFPLWVSSLVFIVATVVLLWWCCVIVLRHAVSGWGVGRTRIVALAILPFVVALEPVRETLGFAQVNVFLMAMVMVDVLTKKPWLPRGFWIGLAAAIKLTPAVFGLYFLVKRDFRAAAVTIMSGLGFTALAWAISPENSAQYWLHTVRDPSRIGGLSYGGNQSFKGFLARVMAEPGQDAVWRVLVVATIVAAALAMYRTTSPAMAISLNSLVALLCSPVSWTHHWVWLIPLTLLTIVQAVRAFQRQDWVTVSWAASLSLASLAAMLVEPHWVLPHKNDTEALMPLSGLIIGSSYVWIAVAFLVVALRRSSRLSLRWTSATIIVATVLVFAYTFSETLRIRHFLVFEALRSTSLDGVFTHPLNATPLVIFLGRPLASLRLDFASTMLVMANMVALYVVVVALLRHLRLPIDGPLPLAATAVAVISHPVRDTLMGGHWTLMFLALIVADVFLPTVRWPRGLLSGIAVALGGGWPLLSAVAAFSALKNYRAIGIVLGSCAASFGLGFVVARETTLSYLHTLWHWPETILAALTGSINNTAYAMVARALGGSSTLSWLIMVVVVLAVAHFAAQRAGDRYVAAAFGLCLPALVLPYSTATVWVLLLPLVVLLARWNPIATAFGAYLLWFEWFPGRLDYIYGGIRGEWWLPPFEVFASAPALYLLVLMLLSLGGKIAQPSTGTLAKK</t>
  </si>
  <si>
    <t>GC_00001733</t>
  </si>
  <si>
    <t>MESGSTNMANAGGDIHGGLYQAGRDIVVNSSKPSESVEASYEAVPKWRSPVTLGVLTWVSIGLGVLAFFPIRDILKPVFGFLFSFPRDYEVEGYQYYNSRLIFILAIIVLAVPIMLLLNIARNQIRKPLCFSWAINGAGKRLTLEWIRPNSCPICGGKMRYCKNLDRMPILLCSRNSNHWFEVDQAEDVIDDSR</t>
  </si>
  <si>
    <t>GC_00001734</t>
  </si>
  <si>
    <t>MAGQESLSVEHGAVSSHVASLQAHHSTLQGQSSKFLSAIEPLKGSWKGDSANAWDQMTQAWNENMTKVTQALDQLTGRVDEAGKAYTQGEQDQTSALQQRFAGMQFDEGNIL</t>
  </si>
  <si>
    <t>GC_00001735</t>
  </si>
  <si>
    <t>K02564</t>
  </si>
  <si>
    <t>glucosamine-6-phosphate deaminase [EC:3.5.99.6]</t>
  </si>
  <si>
    <t>KEGG Orthology (KO)&gt;&gt;&gt;09100 Metabolism&gt;&gt;&gt;09101 Carbohydrate metabolism&gt;&gt;&gt;00520 Amino sugar and nucleotide sugar metabolism [PATH:ko00520]|Enzymes&gt;&gt;&gt;3. Hydrolases&gt;&gt;&gt;3.5  Acting on carbon-nitrogen bonds, other than peptide bonds&gt;&gt;&gt;3.5.99  In other compounds&gt;&gt;&gt;3.5.99.6  glucosamine-6-phosphate deaminase</t>
  </si>
  <si>
    <t>MEVIICRDAAEVAHVAADVFEEYVRGPRPTTFGLATGSTPVALYRELIRRHKEEDLSFAGITVFLLDEYVGLPRDHEQSYYRTIRREFTEHVDLNDDEVHSPDGRADNPGDAARAYDESIKQAGGVDVQLLGIGTDGHIGFNEPGSSLASRTRIKTLHPQTIEDNARFFDSPDDVPVHVLTQGLGTISEARHVVLLATGEGKAEAIAAAVEGPVSAFSPGSALQLHPHVTVIVDEEAASKLKFGKYYRFAYEHKPEWQRF</t>
  </si>
  <si>
    <t>GC_00001736</t>
  </si>
  <si>
    <t>PF02325.22</t>
  </si>
  <si>
    <t>YGGT family</t>
  </si>
  <si>
    <t>K02221</t>
  </si>
  <si>
    <t>YggT family protein</t>
  </si>
  <si>
    <t>COG0762</t>
  </si>
  <si>
    <t>Cytochrome b6 maturation protein CCB3/Ycf19 and related maturases, YggT family (Ycf19)</t>
  </si>
  <si>
    <t>Secretion system&gt;&gt;&gt;Type II secretion system&gt;&gt;&gt;Type IVa pilus homolog protein</t>
  </si>
  <si>
    <t>MALVKTILLLAINLFILALIGRILIEMIVSFSRNFRAPSWFTRCAELLFVVTDPAVKALRRIIPPLRMNNVSLDLSVLVLYIGLQFLYVLVANYLPG</t>
  </si>
  <si>
    <t>GC_00001737</t>
  </si>
  <si>
    <t>PF03819.22</t>
  </si>
  <si>
    <t>MazG nucleotide pyrophosphohydrolase domain</t>
  </si>
  <si>
    <t>COG3956</t>
  </si>
  <si>
    <t>Uncharacterized conserved protein YabN, contains tetrapyrrole methylase and MazG-like pyrophosphatase domain (YabN)</t>
  </si>
  <si>
    <t>MSVLLLDPRQPTLIPLELVVHLRGSVEYTEEVPIRVRWAIADLGADVVDGAPVLVSTERRSDEVQNRLAAGEELIELSSYFISDESPQIEVESTNRSSIEEAIRVIRDAVRLGQWESEQTHRTLLPFLREELEEYAEAVDEWEANELGAEDQLKLELSDLLLQVLFHAQVAQNRGSFNIYDVAQAFVDKMRSRQPYLFDGSVGVVPVDEQKRLWQEGKEQEKVEQQERTSELQRNFSGGGGAAEPEE</t>
  </si>
  <si>
    <t>GC_00001738</t>
  </si>
  <si>
    <t>PF09234.15</t>
  </si>
  <si>
    <t>Domain of unknown function (DUF1963)</t>
  </si>
  <si>
    <t>COG3878</t>
  </si>
  <si>
    <t>Uncharacterized conserved protein YwqG, DUF1963 family (YwqG) (PDB:1PV5)</t>
  </si>
  <si>
    <t>MGKILDQARRVMSLLNERDRSWVIRITPMIASGPLPVTSSKFGGVPYLPEGVDVPTNADGDPLGMIAQINCAELPDNDIYPKTGILQFWLDPTDDLYGANYDNPIAQDNNRVMYYPEIGTPNSVVGLAQVDQQKGELPVYWPISPLDMELALSFEAIQQGEAVLAEDFFDAFVNQWNSLYPDQTIEELDELDDLSDEPVTDFFDDFAEFHKIGGKPIFVQGDPRDFRDDLKNYTANLLTMVSEVFRDPQAGSCSHPYLAEIMWGDLGTANWLITPEQLAACDFSQVLFEWACG</t>
  </si>
  <si>
    <t>GC_00001739</t>
  </si>
  <si>
    <t>MSKEHKLRALGLLTASEFWGSIGLQVVLFIAPLAAIQLLDATAMQVAILNLTESAAALVFGLGVGQAVDRWGGASSITTANLVRAAGVGALAFSLFAGPSLPILYLTLFLMGIASLLHDAGISTAIVEYVGRDGKELNRANSLLRTSEIISSLGGPGLGGAILAFMTFGAAALFSSMSFAIAAGCAATVWFSTKAIRAQQTLEASDAQTTDSSHDTTSGGVLDGLRYILRSGFLRPLAATGLHFNFFSAIFQAVFVIYCVRVLGFETWVMSLVGIVGGLGGLLGAAFSSTATAEQNAKKFYALSLVIPAASVLVMLCAQMTTIHAARITAVALAEAVFSFCMVLCMVLFNTARQQASPDGMVGQIAATERMIALGGEVPGALIGGAVATAVSVQFSMTVALVGMLFAAVWLIGMKGWPSASTEVISSASVIGP</t>
  </si>
  <si>
    <t>GC_00001740</t>
  </si>
  <si>
    <t>MRTLPRRMITTLTAGMLATAVFAGAVTTAPEADAQRRATSSTDNTLSSDVGSSELQSFYNKSPDWGQFLLMLITGGMLLEGVGYLIGPARLQIQHLIPNVHI</t>
  </si>
  <si>
    <t>GC_00001741</t>
  </si>
  <si>
    <t>MNSVFNAHRDPFGFLSDLFKKDQKGNSSEATVSGQQASIAVSIASTQSII</t>
  </si>
  <si>
    <t>GC_00001742</t>
  </si>
  <si>
    <t>MRERSETQQRLVEAARIVMINSGIEGCTQQRICKEAGLTRGAFYSNYATKEELFTHVARDAYARIIERLDEIVERWAAQPSTQPGGQPEVKVAEFLGSAQVELGLNREFFILHNELLSRAAREPEWALQFREINRDFVLRVAQVLELIVNEVGRTLDRRPEAVAQAVIGIALRVTGVSAWKTELINDNDTFEPRGTMLEADDIVDMILTLLFACSKPMV</t>
  </si>
  <si>
    <t>GC_00001743</t>
  </si>
  <si>
    <t>MQSYDQFLEQFQQRAERYVAEFDESIRAVQKELEQRRKKGETTAHAQHVHEASGLDEQLRWVHARQENNGEQVQAAVPAHKTPQPPPLRQPSRRRPVRGIKTAGW</t>
  </si>
  <si>
    <t>GC_00001744</t>
  </si>
  <si>
    <t>MTIDVSKNVTAAIENAAERAEIATQRSENAVKYHHEVVKELREERERYAAEMEAGRSWQRALWRAVGGIGLHASALLLSAMWVLLPLDVAACALDIGSFGDWIAGVATDGFGGFVLSVFAAIAYMITVSAAVFVSYKAMMLSLANIDETAEKWNAALMAASKKILIVRDEDDEK</t>
  </si>
  <si>
    <t>GC_00001745</t>
  </si>
  <si>
    <t>K07192</t>
  </si>
  <si>
    <t>flotillin</t>
  </si>
  <si>
    <t>COG2268</t>
  </si>
  <si>
    <t>Uncharacterized membrane protein YqiK, contains Band7/PHB/SPFH domain (YqiK) (PDB:1WIN)</t>
  </si>
  <si>
    <t>ko04131|ko03036|ko04147</t>
  </si>
  <si>
    <t>Membrane trafficking&gt;&gt;&gt;Endocytosis&gt;&gt;&gt;Lipid raft mediated endocytosis&gt;&gt;&gt;Flotillin-dependent endocytosis|Chromosome and associated proteins&gt;&gt;&gt;Eukaryotic type&gt;&gt;&gt;Centrosome formation proteins&gt;&gt;&gt;Other centrosome associated proteins|Exosome&gt;&gt;&gt;Exosomal proteins&gt;&gt;&gt;Proteins found in most exosomes</t>
  </si>
  <si>
    <t>MFYTAPKPTQALLVTGGFFSRKDVPFRVVVGRGTFYLPFIHRVYRFYIGSRYVRVNVEAQTHQNISVNIEATLAYRVNKDIVSIVEAGSRFLGSNDKAMSDVISSIFSGEVRSLVGARSVEEIITNRDALNMDVLTATGPKLMEMGLKIDNFQINEISDDEGHIKNLSQPELNRVRKIAEVAAAAADTEIEQAQQEAERKKSQYKKDTDLQVSQNTMETAEKRAQAAQSGPIAESSALLELTRKQKELARERADLKEIELIAEVIKPAEADAQRRVIEAKAQTEAQAMYNETLAANERIGLESKMVDIMPEVAGRIATALAGSNITMFNGAEGLTNIVTEVAGTASHLVNALKPAVQDQASHRRSQ</t>
  </si>
  <si>
    <t>GC_00001746</t>
  </si>
  <si>
    <t>MYVFFVLVVVAAVLPWVTDDPTRLRDSIATRLRVSFVSAGIMTFLMLWIHVGDAYTTHGYGDKVSCNYGYPNMLDTSVQRLIGSYECILNSRFAIALFFLSALVILMLERKILRYFITQRG</t>
  </si>
  <si>
    <t>GC_00001747</t>
  </si>
  <si>
    <t>D|T</t>
  </si>
  <si>
    <t>Cell cycle control, cell division, chromosome partitioning|Signal transduction mechanisms</t>
  </si>
  <si>
    <t>COG1674|COG2310</t>
  </si>
  <si>
    <t>DNA segregation ATPase FtsK/SpoIIIE or related protein (FtsK) (PDB:2IUT)|Stress response protein SCP2 (TerZ) (PDB:2QNG)</t>
  </si>
  <si>
    <t>MPHSQHTTASSLEGDLVWCRQMQVSQDEFRSFATHLSTAVDKVKEASSHVDNELAVIDWCITQNIDRAHTLISQISSYAAERFDIGGTASFIAPDFGATPQAWLQKICYWLDNGAYEDISQELSRLPVEEFAQWELRAVSVLEEVGTCTIPIFGSARRTLIAHIQTRVYEALISGCAQLARLYYARVNEPHLHIASWHRRMDHELRSMLLERQSQVPECDPSGHADAHTNNAPHYHPIASVGSLTLSAISGQRTGLHGEPDHRWNLTFNATEPSVCNWGLFLNFDHTGGFATTDVKTVQFAVLDLLRRIPAGRVIVDAFDPEQLGDSLSFLFGLGPEGERIYGDTVRTNTKHLEQLLTQVEQHIAVVTQRCLQGQHHTITEYNKAAPEAAEPYRLLLLFDFPSGLTEELTRRVSRIAAVGRRAGVFVIVVSAQRPELLETLPWLPRNGTPVYSAPEGELPPHTMDSMGLEHDVLLEWTFRPGTAPTGQQLEVLLRGIRTQLQDSQPADHAPVSLADIDAARLVTADTHHQVALPVGTAVQTGVPLLAEVTRKVAANVVVADVDNLHTLTAMLTSLVLNKVDTHLINFISANAEWEQLLEPLEEHGLTVQRAITLDSTVESFLKEARARAAEGRDYAPQFLVLAGVHRAKRLDPANRATTVSDMLHELLAIGPAVGVHTIMTADGLASAQSRVQECDWHEFGLQVLEASRTNDNQLLFEDHVHAFTQQVHGFAPSEPADIERLINTVMIHSGRK</t>
  </si>
  <si>
    <t>GC_00001748</t>
  </si>
  <si>
    <t>K15269</t>
  </si>
  <si>
    <t>probable blue pigment (indigoidine) exporter</t>
  </si>
  <si>
    <t>MMNNDMTANVIATRTALTPIVWGTTYAVTTTWLPAGHPVTAGLLRALPAGLILLLITRTLPTGSWWWRSAVLGILNIGLFFTLLFMAAQQLPGGVAAILTSTSPLVAMAISPFLLGIKPTRGHIIAAILALLGVSAITLTPGARLTVVGVIAGLGSAISMGFGMVLAKRWGQPTGRNPLDTTAWQLIAGGAALIPFAIAEGPLTDVDLPAIGGYAYLCIFGAALAYPNWFAGLKRLDATAVLLLGALSPVTALLLDAVTHTAPTPLQLCGIIMVLAAIVIAQKSPMRASADAS</t>
  </si>
  <si>
    <t>GC_00001749</t>
  </si>
  <si>
    <t>PF04020.18</t>
  </si>
  <si>
    <t>Mycobacterial 4 TMS phage holin, superfamily IV</t>
  </si>
  <si>
    <t>K08972</t>
  </si>
  <si>
    <t>COG1950</t>
  </si>
  <si>
    <t>Uncharacterized membrane protein YvlD, DUF360 family (YvlD)</t>
  </si>
  <si>
    <t>MLGTLGRLAIRIITLALALWCAIYFVPGINLAMPPHTLVGDGHYDYYVVFLLAGAVLYVVQATVGKVLRIISLPFTILTLGLFLLVVNAVTLLVASEVAHHFGIGLTVDSFWDAVISSVIISIVTAIVGVITD</t>
  </si>
  <si>
    <t>GC_00001750</t>
  </si>
  <si>
    <t>MADSHPENTDSLSRMDPHAEFDPLFRLERNRTSTHNAISYAVAVPAITFLVAFVIAMISRTMGGPLCNAGVSTWICSRTFEVLFPAIPGAVALGGTLLGAWITYRVWAHYGRWRPWLAILWVLVPFTLLWMTSFGTMLIIGHR</t>
  </si>
  <si>
    <t>GC_00001751</t>
  </si>
  <si>
    <t>MKIFDKYVARFQSAIDDEHQLDVMYRSLTIDNVIYTWTLLSVGAVLAWAVPPAYVWCSLLTLIPLFVGEYSSAQYVRRRSGDKGASISMGHGALGLIAFVWIVGLARHPLCDGFRFMVPVIALAGVMAVFLLRPGRE</t>
  </si>
  <si>
    <t>GC_00001752</t>
  </si>
  <si>
    <t>K09814</t>
  </si>
  <si>
    <t>hemin transport system ATP-binding protein [EC:7.6.2.-]</t>
  </si>
  <si>
    <t>MTTELSFTDVTLTFPDGKDRVTAVNNVSFTLKPGELISITGPSGSGKSSLLALAATLITPDSGSIMLGDTELARLSGKQAAECRRNRIGIVFQQSNLIPSLTALEQLEMMRHLGPPWHQKVQRKEVRSRGMELLERLDLGDCADRRVGALSGGQRQRVNIARALMNSPELLVVDEPTSALDSQRSRIVMELLLDLVRSENVGTLLVTHDRDAADHADRELTMSDGKLSSVV</t>
  </si>
  <si>
    <t>GC_00001753</t>
  </si>
  <si>
    <t>MIEVSGVNVVDAFDKFDYFRGFFLESIAISYLEDGKINCHVSLRRGGEYGEDYGLDVPKVANITVGDVSSYRLYQKPGIMRLPILTGVHLVDIDGKLGIDFGDLPSQPKDAERFLSSKLFFIGRYIDLQVN</t>
  </si>
  <si>
    <t>GC_00001754</t>
  </si>
  <si>
    <t>MPTLAAIIAHCIYRSGKPFIDVAALRGGKPLTVLWWCCVASFSLVIQLIATIMVGALSGAGNFSFSDAAVHARVLDAPGISSELDPSTLPPAWVLLVIALVSGIVGGFSLNAVAGLGEEVGWRGWWATQRQEQNFWVNTIVIGTIWGLWHLPINMVGYNYPGVNRVAACSMFVVYCICAGALLLELRNRSHSIYPAAVAHGTINGLAGVHVLLMDSSPTMWLVYSPTGVVGCVILVVITLVLRRIPARPPQASSMNVDRPQAGMRERH</t>
  </si>
  <si>
    <t>GC_00001755</t>
  </si>
  <si>
    <t>MQEQEKLKFFEVAHEGAFVRAMAEAVANGVFSDLREFAPRSIVAVCGDDASRHAAEIVSALSGPLSIPVVVTDQLPVFCGALDVVFVTQSAGQRTGWGAEAFVQTVAREASRRGSLTFCCAPHQWEDAPRGMTVLPNLPGMEGRFSAARVITSLWAIVAALDTPQDALGETLAHCAESVDEELHALSPQRDALVNPARGLRNWAHGTRVVHSSSSAVGVRIAALAALLWAEHGLVSSVLSAENLTEALPALEGSERDIFYDPFLDEDEDTAPPPLPLRIVMWVTPADVDKLPPAELLPPNTLIERSDSPNTSALAATLIVLTRAWAAAIFEPTTD</t>
  </si>
  <si>
    <t>GC_00001756</t>
  </si>
  <si>
    <t>MAQLTPENEPALLGGFVADSTDHRRMIQFTIGNMPDDRDGTFTLWSAPEGKDRVYMRFDFKHLSIGDGIITPQYGSDDPAKNDEVKKIDKGKNGISSLGNTIVVYLVPEFGKYFTDKTVMEISNKTVVTQCKAPKSST</t>
  </si>
  <si>
    <t>GC_00001757</t>
  </si>
  <si>
    <t>PF04239.17</t>
  </si>
  <si>
    <t>YetF C-terminal domain</t>
  </si>
  <si>
    <t>COG2323</t>
  </si>
  <si>
    <t>Uncharacterized membrane protein YcaP, DUF421 family (YcaP) (PDB:3C6F)</t>
  </si>
  <si>
    <t>MTFFDRIQELAISQLAIDPARIPVVILSGVCIYLGFLLLVRVFGVRVLAKMTTFDAVVIVMFGAVAGRVVIGHPPTLVAGIIGLLTLMAMEALFGMVRDLRGIKATLVGRPQVLVAHGEIIAEQLKKTHVRKADVKHAVRRAGIPNMKYVQLMILEPTGEMSIFRTGEPVDPDLLKGVAGVEYLYP</t>
  </si>
  <si>
    <t>GC_00001758</t>
  </si>
  <si>
    <t>MGEVRQAKKAATRRALARATAALARDRGADVVSIAEITTAVGVSQRTFHNYFDSKEDAIMEFAVFCVDNLIDTMEMLPPGANTSVIAAVEQAVIMHLDVPDAELESFYSFRLLRQQFDTRSHEKYNELREDLKVRVLARVRALYPELSDWAVQVQLACAATAAKLALDRYYSYCHTAADDADSKSAGNGDAILLVHEAFAQLKR</t>
  </si>
  <si>
    <t>GC_00001759</t>
  </si>
  <si>
    <t>COG0620</t>
  </si>
  <si>
    <t>Methionine synthase II (cobalamin-independent) (MetE) (PDB:1T7L)</t>
  </si>
  <si>
    <t>MTVNFYGLGELPGASIIAAADIVAGETGDLRQLPILPARGVDVVGLTTGILPGINVDAGPRSWVLSTRPQLRTRRIWDRVEADLDQCEQAWGTRIDAVKVQVAGPWTLSASIELSNGHRALTDTGALRDLTESLIAGIQEYSADVRARFDTEVYVQLDEPLLAQVRDGSLPGTSQFDEIPSINDADLGERLAGVIERAEVRYLNQTGYPPLWKVAQVAGVETCQVTLDTVRGSEQYDGMGHALAAGMRVGLGMTRAGDDHDPRHLAVDVARMWDELGLDRTLLTHAVDVHPRGGLTDCTLLDAAAALRTARTVADMLDKDAGDL</t>
  </si>
  <si>
    <t>GC_00001760</t>
  </si>
  <si>
    <t>MRVSYTACNVALSIGFVVFIAYLSIAISPNSHELMAPVLQYSMSIIGCELMWGGMLGLMATTITSSDPRPGIATRFAAPYLILFSVFLFFNFWYLGYIYTRMQLLMGISDPARPLFELILLGLAIGFMLSGIITAIGQTLGRRRRKGQKAPKTAQVSPPVSPQPPELTYRRTSVFG</t>
  </si>
  <si>
    <t>GC_00001761</t>
  </si>
  <si>
    <t>MTARQEQRLATENTILATAEQHFVTHGYQNATIRAIAAEANVSTGSVMSVGDKKTLLIRIFDTKIAAIHQSRNGHTGIADTPNPTDAVLATVSPFLTIFAKHLDLSREYFATLVSGSHSSIIFNELAEALEREFAELITHFLPQHADTAASAAHALYLGFLGVLVVWAGSVDATVGDVQLPTTELRRFVDFFFTSQGAHS</t>
  </si>
  <si>
    <t>GC_00001762</t>
  </si>
  <si>
    <t>MAANPLFIASSLFVVSDSQISSDLALLPGTPGPKRTAQVTFQKPGGAFRVVQLSTHLTVDMVIAVLLRLFDISDYRSAWVGAGAFGPKPIAIGDTRHMPADTLFFDAQGVRFDRLGADFTVNVDGETFIGIVTGMGDYTTDMQLLEGRGARFDAESIARSLELLTVMTQLTAGEQTLFRMHSPFGEVLAWLVQEIRDNGPIELTRAGAFKKDFLTRAVQESVVLGYVDRTSETPGDNAVAPLTEARDLAVTQGIIEDKGNELHATIKADQMGSSSKAVAAATVVVVKTLGETRPEWYEALYTG</t>
  </si>
  <si>
    <t>GC_00001763</t>
  </si>
  <si>
    <t>PF13472.12</t>
  </si>
  <si>
    <t>GDSL-like Lipase/Acylhydrolase family</t>
  </si>
  <si>
    <t>MFKTRRFAVAATAAVTALIGGLVATPAASAQERNVVLFGDSIMANPTYVIADLMQGPGKATKNAPTPAGRCPQGQSRVGASLARISGAKVEDFACTGAVAYAPIEPNKRLSKEVDLALAGKQLNAGTTNVFLQIGMNDSWKAPGIYSVQTENFVNEMKTQVGRIKAAAPNAKIAFVGYPSILGANNTACPVQLNNMPAPPISTISVRNSLNAAHDWQRQSAAATGTGWIDLEKDTAGHDMCAAKDQRWIAGIIDNSSDPYNITTHLTHKGNDGVAEILAKHL</t>
  </si>
  <si>
    <t>GC_00001764</t>
  </si>
  <si>
    <t>PF10728.14</t>
  </si>
  <si>
    <t>Domain of unknown function (DUF2520)</t>
  </si>
  <si>
    <t>COG5495</t>
  </si>
  <si>
    <t>Predicted oxidoreductase, contains short-chain dehydrogenase (SDR) and DUF2520 domains</t>
  </si>
  <si>
    <t>MPPRMDVAIVGAGRVGTALATRLSAAGHSIVHRITRDSSSLLVDAPTCQLIVLSVPDPQLSDVVTALAPHVKRGHIVLHTSGAHGLDILDPIETTGAIVLAMHPIMTFVGGPEDASNLEGCYWGVTTTDELSDTIAELLVAELGGQMIRVSNNKRVAYHAALAYASNYTATVLSDARAQLADALQSGEDAAARVLRPLVEASIRNVLEAGPDAITGPAARDDVAMVQRHMGAIDDAGRRQAYRELARRTAELTGAHDVELWAHTGEQH</t>
  </si>
  <si>
    <t>GC_00001765</t>
  </si>
  <si>
    <t>MKSLRDIFNVVGMMDMTICTSLQALHITLNPADYPGLDIVTLGDSIELKGLDWRGRLYLHAGQKLLDYAKVNNIDACPSNVSDAVKDIVEDGMVHAYQLCDRVMNE</t>
  </si>
  <si>
    <t>GC_00001766</t>
  </si>
  <si>
    <t>PF02082.26</t>
  </si>
  <si>
    <t>Iron-dependent Transcriptional regulator</t>
  </si>
  <si>
    <t>K13771</t>
  </si>
  <si>
    <t>Rrf2 family transcriptional regulator, nitric oxide-sensitive transcriptional repressor</t>
  </si>
  <si>
    <t>COG1959</t>
  </si>
  <si>
    <t>DNA-binding transcriptional regulator, IscR family (IscR) (PDB:1XD7)</t>
  </si>
  <si>
    <t>Transcription factors&gt;&gt;&gt;Prokaryotic type&gt;&gt;&gt;Helix-turn-helix&gt;&gt;&gt;Rrf2 family</t>
  </si>
  <si>
    <t>MQMTRFADLGLRVVMRLGAPSADQEGRRNTVNNLAEDISASSAHVAKVVAKLVNIGVANSVRGRKGGIVLADDAPSMKVGEVLRKLEVSSEVINCVEPTECPYYSNNCLLRTRLARAREAFFAALDDLTIADLLEHTAREHKRSGAVGLGIPQMIDPSDRTEAFA</t>
  </si>
  <si>
    <t>GC_00001767</t>
  </si>
  <si>
    <t>MSVAKRMGMFGLLGVIGIIVAFGGAALARNNGLDFVSPIMQVLFIVALSSVCAALWTPLLSKVPSRIFVPLAALAAVVSVICFYMMRQEANEPVIFSPWLLGYPLLGLSLCAIAQRFSTRTDNNT</t>
  </si>
  <si>
    <t>GC_00001768</t>
  </si>
  <si>
    <t>PF14013.11</t>
  </si>
  <si>
    <t>MT0933-like antitoxin protein</t>
  </si>
  <si>
    <t>MGIFDKAKEALGNEENTDKVLDKAEDLAKSKLGDDKADQISKVRKVIDDKIGE</t>
  </si>
  <si>
    <t>GC_00001769</t>
  </si>
  <si>
    <t>MTSPVPPINPGNRDYRIGDAERQEAMDALGKHFTAGRLDVTEYDNRLASITNAVMQSDLAPVFADLPPLVSPSPTPPPSVGPVATTNAPLYPPNAGYKPENRTKVLYRFLMLLPLFMLASMAITPFLYLLGFALLPLILVGLVVAGVKFLGQPTEPPQPPQMIDPQQLTSQQYQQIQITQQQVTTDQYNPQQLRYSVIRWRYNND</t>
  </si>
  <si>
    <t>GC_00001770</t>
  </si>
  <si>
    <t>MKRSSICVLVLASALVLVTGCSSNGGNNAAESTSVTTSDVVTSTSTTTTTTTSPTTTSVKESGGSASVVSSTDTVAPLPSGKKLTAGDFSDKQGEWKDGNYNVADQSGITGFGVDLRSCTVPKDVGFTRGSSYDPAVLRFNLGKNYSKLKFKVGQRNESKGIDQTVLIRSTDNKKQFGEITRVGFDEVTEVELDVDGKNVVFLQFYLDEGVRNCGYEPVTAVVYDAVLE</t>
  </si>
  <si>
    <t>GC_00001771</t>
  </si>
  <si>
    <t>MRSVASTGVLIAAVMSAPHSMAQDATAYVDKASGPNYHWTEDLQSQIMAGRAGAILHRVAGSWFNAPDIPQESKDAQARGKSLYGPGTPLFVGPSTLCTLAVAGIDGQGRMVGITAGHCGGVGDAVASADSWEVGVSGTVVKVNPQLDYAVIEFGSNAEVTRSYNGVTINALGGPIGNQQTLCKQGVASGWTCGPSWQTGSVYNTSQVCAMQGDSGSPLLIGDRFVGLISGGTLPVPEWSCRTPLQGSAHSPTSGPIADVILADLNASGGVGAGFHLP</t>
  </si>
  <si>
    <t>GC_00001772</t>
  </si>
  <si>
    <t>MVKATQEQYRNILELIAAMEEQPGLFVTRHDVHQIKLFLTAFRTGRMWGAGRDDGFGDELVGRRFTDWVRAKYNFTDDAMGWANMLHWVYGDVDHAQARFFSDFGEYCALHPRAIATYGGPINIHNQQFCVGAERYVREQYKKHYGHPLPSEVRMTFSHSNYRNQASADIRIAVKSDQLAEALNQICGHTVAPQYGELYVAHFSDARHWDPDITINTVASGNLIPIPSSIEQFYSVFSEIWEFVDQHALPLANDIIEMDPRVLRHVAHCPCNRLMAAIAVAVVEKHGLLASDPLVHEVLKADDHALQRHRHTHMGTAPDRKPYFPDDLNRLRIFCTHGVEAALQQRISSRIVGAA</t>
  </si>
  <si>
    <t>GC_00001773</t>
  </si>
  <si>
    <t>PF20381.4</t>
  </si>
  <si>
    <t>Membrane protein Rv1476</t>
  </si>
  <si>
    <t>MIPEQYNIDELAAQLNDDSVVLGAYGREHPGAEQDIATILANAENQGRGSFGFVALDETPAQTADLRDIAQELLDTTNINTIIVRAPGSGAIVSDQYSRKTVELAQWDLLGNPDYVSAVDNYVASVSSDSTPWGLVTVGLCLVIVAAVVCTFLSLTLRVHTSEKSARLKGPLAM</t>
  </si>
  <si>
    <t>GC_00001774</t>
  </si>
  <si>
    <t>MNESFVLGHIMSRNSDPEMVERAVAEYQSTPNLTNFCTLLFIPPADLPATVLDDVPGRFTELTQLLVDSEQTATFLQDHASQGFPFTLSTWQLQYWTGVLRVCHGIYQTNIPWVLAGYQLQILGLVGRGKRDAARELFQQLSAAQEEYGAEVVKLEELDHYIRHAETVDKQAHRASNAVIIYSPFTGQLVPLSQVSESFAEKYAGKGYAIYPSEGTLQSPAAGTITAITSHGGAYRLKTVDPLGADVEVLIHISAHPWDLSNDYFQVAVRDGAQVAAKQTLCEFDMEAMNSNDDHNSSSPVVIKNYAGNGTIRPIPSFSSTKQINAGDPLIMITT</t>
  </si>
  <si>
    <t>GC_00001775</t>
  </si>
  <si>
    <t>MTIVLRTSTKSFFRSRTAVCTMILLSIMCLTATLLGTLLIDAQGWWLTLVLISLTVPLVGVLLSVWGIITNFRRSRRPILTIDNNEVHITETGIRFPTNQLQVGYLFHQGADGMLLPDHPITDEKNYADYTFSFPTGPTMTPTQFADALYHRGVRVIWRD</t>
  </si>
  <si>
    <t>GC_00001776</t>
  </si>
  <si>
    <t>MSASNKPIRSRMAPEQRQALIINAAIDIFSTSAYEATPLARIAKAAGTSEALIHKYFDNKATLYAQALATTYRELRERQKDADHPEHATRERICTGLMVYLDFLAEQPPGWAAILAHPGNEPQPAVEVRTNAIQDYATTIVDMIGGIHLDRDLYAINGFFGFLAVACLRWIEQGCPDDHRHSLIDAALGGLQGALGDWRS</t>
  </si>
  <si>
    <t>GC_00001777</t>
  </si>
  <si>
    <t>MKLISRKAAIAAITAAAVTAGTMTAPAMADKKPANPPASTSQSAAPSSSKAQGSSNAVVGSSELFSGSSETSGLSSSREIDKEIKDLDPNDKDYQSKKEALEKKKKDSRKDTIDNLKDILTVLTTVGSLLGALYTIGNNLDRLNRNR</t>
  </si>
  <si>
    <t>GC_00001778</t>
  </si>
  <si>
    <t>K16568</t>
  </si>
  <si>
    <t>exopolysaccharide production protein ExoZ</t>
  </si>
  <si>
    <t>COG1835</t>
  </si>
  <si>
    <t>Peptidoglycan/LPS O-acetylase OafA/YrhL, contains acyltransferase and SGNH-hydrolase domains (OafA)</t>
  </si>
  <si>
    <t>MAKTLSMVKPDDESTVPSAGQVVTNQPKVAPFYASNTRVSSFQLIPNNQRGQVVRRILNIGPPTDTELSELVDAAQPAPTKKAKYRIRRVPAIDGLRGLAVLVVVIYHFFRNVTPGGFMGVDMFFVLSGFLITSLLLRERAVTGTVNLLQFWKRRVRRIFPAAFAVLFIVTALAGLIGGDVAVGLVNQFIGTVFFANNWVQIAGSESYFADSGVQIFAHYWSLAVEEQFYVIFPLLFLVLARLRPRIAKFAIGVLIIVSFVLMLRFYDPTADPTRVYYGTDTHSFGLLIGVLVAYLTTSINPESASDSWPVTALRNHPLLTQIIAAIAFIALLIMVFTVADTAPITYRGGLLLASILTAIVLTTLLAEIGPVHTIMSHPALRWLGERSFSLYLWHWPIVMLIKQLFMNNRMAVSQWTIGAIAFALSIPIAHYSYMWIETPIRRRGYRAVLGNIWGGTAWWGRGIVALAVAGIMISTTIAVATSPTKTSLEQQLTAIAEEQTPKHHEITAIPAAENTDVMAPTFGPQLTPPGDRITAIGDSVMLGSLPALEQRFPGIYVDAQVSRALIKGIEIVRELKDAGRLDPFVILGFGTNDQLEPEKLEEMMQLVGPERMVIMIMPYGDRQWIPQSQAVIAEAQNTYPNLFVADWCQRARADKTLLHTDLIHPSPEGVRQYTNSIDDAFHQWANHRKRPVTQCGV</t>
  </si>
  <si>
    <t>GC_00001779</t>
  </si>
  <si>
    <t>MKALVNSLTCPIIAAPMAGGPSTPTLTDAAWRAGGFGFLAAGMLTPEALERQMRATTCPYGVNVFMPHDDPASFAPLYNYAARHGLSIDPTSVDPTDGWGRQDGADLTCRW</t>
  </si>
  <si>
    <t>GC_00001780</t>
  </si>
  <si>
    <t>K06177</t>
  </si>
  <si>
    <t>tRNA pseudouridine32 synthase / 23S rRNA pseudouridine746 synthase [EC:5.4.99.28 5.4.99.29]</t>
  </si>
  <si>
    <t>ko01000|ko01000|ko03009|ko03016</t>
  </si>
  <si>
    <t>Enzymes&gt;&gt;&gt;5. Isomerases&gt;&gt;&gt;5.4  Intramolecular transferases&gt;&gt;&gt;5.4.99  Transferring other groups&gt;&gt;&gt;5.4.99.28  tRNA pseudouridine32 synthase|Enzymes&gt;&gt;&gt;5. Isomerases&gt;&gt;&gt;5.4  Intramolecular transferases&gt;&gt;&gt;5.4.99  Transferring other groups&gt;&gt;&gt;5.4.99.29  23S rRNA pseudouridine746 synthase|Ribosome biogenesis&gt;&gt;&gt;Prokaryotic type&gt;&gt;&gt;rRNA modification factors&gt;&gt;&gt;23S rRNA modification factors|Transfer RNA biogenesis&gt;&gt;&gt;Prokaryotic type&gt;&gt;&gt;tRNA modification factors&gt;&gt;&gt;Psudouridine synthases</t>
  </si>
  <si>
    <t>MGQRIVHKRSKKAPLPVRDGLNPSRARLPLDAPPTPARDFIAFLVQTQTHRHGDDNDAAIDARFAAREVVDLQGRPFSPEQLVTPGADVWFYRIPAPEPMVPYDCPTLYEDERLLVVDKPPFLSTLPRGRHITETALVRLRRQTGNHELSPAHRLDRLTSGVLIFTKTPGVRRAYQELFATRQTQKVYEAIAPLKRWDTPVVWEHRMEHKRGSLQTFITDGEPNARTELVSVSPLTQVEQAQCEKIYGPTEGELPPLGRYTLRPTTGRTHQLRVHMWLAGAPILGDPIYPVVLPENVEDYGRPLQLLARSLSFVDPFTESFHCFQSRRTQPISAIIEVTSCQSAS</t>
  </si>
  <si>
    <t>GC_00001781</t>
  </si>
  <si>
    <t>MFEYFLWVALGLIAVALLGTLLLMVRSRDEYVIVAISDLVFYSMIGFYIVWGMYNRTQIAYEIILLASVVGGILPTMSMARIISRGRR</t>
  </si>
  <si>
    <t>GC_00001782</t>
  </si>
  <si>
    <t>COG1672</t>
  </si>
  <si>
    <t>Predicted ATPase, archaeal AAA+ ATPase superfamily</t>
  </si>
  <si>
    <t>MNTLWDSLVSTLTSNGHWPHNYDVVNETLDLELLKEISAQGAGFALLIDDADELPLKDLEAVCAALHEATQDGLRVTSALSGLPTLPAKLAEAQSYAERLFYFLPIDPNSPSRR</t>
  </si>
  <si>
    <t>GC_00001783</t>
  </si>
  <si>
    <t>MIHFNRHNTRPIALAHGAGGAIDDNFADIAHALRDEFHLFGHNDPGSGDTPADNAPLSIEEQADKLINSALELGYFRFPVFGYSLGTTVAITAAYRRPDAVTALILLAGFPRADAQATLFSSLYASLAQEGRYKDLAHLLMLAQSPAVLGETTEPNTQVEQLTAQLNPAAQGHVPQMEAVATADVTQLLPHITVPVLVIVAGQDRIVLPESTRELARLLPNSHIVEFPEAGHVPTPEESRRIAKGVQSFLASVDAQR</t>
  </si>
  <si>
    <t>GC_00001784</t>
  </si>
  <si>
    <t>MTSHLDAILGTEFPTLPGADYPDDPVGRQLFLAFVDPDRLPHRVRADFGSELQRLKVYLGYQRTHDLFEQENPELFPFTLSHAQMQYFLGVRRVAHGLMTGNNADVIGGYRWQWGALRKLGDHIRAQQLWRHITVMEANMAADEEDAAMNYRFTRDDLEELTSVIDDFRHEMLAQQRH</t>
  </si>
  <si>
    <t>GC_00001785</t>
  </si>
  <si>
    <t>MSTLYIRVDLTVPQIGVSTHIAELVEQSPQLCAMQRIIELDPSGAIQGAATPKVTVGMASAPEPIVPHPDTYADFPDITSTPIDVELFDALWAEAIAKFPELA</t>
  </si>
  <si>
    <t>GC_00001786</t>
  </si>
  <si>
    <t>K00130</t>
  </si>
  <si>
    <t>betaine-aldehyde dehydrogenase [EC:1.2.1.8]</t>
  </si>
  <si>
    <t>M00555</t>
  </si>
  <si>
    <t>Betaine biosynthesis, choline =&gt; betaine</t>
  </si>
  <si>
    <t>KEGG Orthology (KO)&gt;&gt;&gt;09100 Metabolism&gt;&gt;&gt;09105 Amino acid metabolism&gt;&gt;&gt;00260 Glycine, serine and threonine metabolism [PATH:ko00260]|KEGG Orthology (KO)&gt;&gt;&gt;09100 Metabolism&gt;&gt;&gt;09108 Metabolism of cofactors and vitamins&gt;&gt;&gt;00670 One carbon pool by folate [PATH:ko00670]|Enzymes&gt;&gt;&gt;1. Oxidoreductases&gt;&gt;&gt;1.2  Acting on the aldehyde or oxo group of donors&gt;&gt;&gt;1.2.1  With NAD+ or NADP+ as acceptor&gt;&gt;&gt;1.2.1.8  betaine-aldehyde dehydrogenase</t>
  </si>
  <si>
    <t>MTPVFAPTESALLSHVFSGKGSPEAPASLFIDGQWVPAESGATRTITNPADRSVVGVVSEASDVDTEKAIRAARIAFDAGDWSATPASERGKILVKVAEAIRTHKDEFAAAESADTGKRLVESKYDMDDIANAFDYFGALIQQDSGRVVGVGDPAVRSRIDNEPVGVCALITPWNYPLLQVSWKVAPALAAGNTFVLKQAELTPHTAMMLMTVLAEAGVPAGVANLITGAGASCGTPLSTSPLVDMVSFTGGLVTGRLIARNAADTIKRTALELGGKNPNVIFADADFDAAVDNALNGAFVHSGQVCSAGARIVVEESLHDKFVDELVRRTKNIKLGGPLDPDAETGPLISSEHLDKVAAYVDTARAQGATILTGGRRADASDNTSSHGTGNTDLSQGEFYLPTIIDGCTSDMDCVHDEAFGPTVTIETFTTEDEAVAIANDTEYGLAGAVWSSNPGTTERVAARLRHGTIWINDFHPYLPQAEWGGMKMSGNGRELGPTGLAEYQEHKHVYHNIAPGVTGWFAQ</t>
  </si>
  <si>
    <t>GC_00001787</t>
  </si>
  <si>
    <t>MSDFYDISVTLADGTTTTMGGWAGHVLLIANPASTSAHADILAELFTDYAPRGFFALGTYDANDAGGADTPFPYLTHAEELFEYLGEGDTFVVDTSGSVIGRFDAAVEPDELEITDLIESNLPI</t>
  </si>
  <si>
    <t>GC_00001788</t>
  </si>
  <si>
    <t>MGALPVQSCMSDLDIDIPHARKLVSDLFHEASESLPAPSVSFPDSPGVRDFNHALSAALEASRTRHRQLVDDISTIVDASLASIDSILHADSELGHKLEAAQR</t>
  </si>
  <si>
    <t>GC_00001789</t>
  </si>
  <si>
    <t>MEAPDSLVKAGKVCALGASEMYAYQLHNMEIVAELNGWIPFTSMQFTKICFTAKTSGSCCQYAATTTWR</t>
  </si>
  <si>
    <t>GC_00001790</t>
  </si>
  <si>
    <t>MAYVFLVFSLFWLGLVLICQSTLWKQEASQPVDVCEINAGKNRVKCPLAEQRLGYSCRLEGVMAFLAALFMFWSGRIAEPLVLVWGIYIVLEVVVLCYMVMSGTGYKNAPATPHPLMVCGVIAVWLALLLFVLGLEFQDFLNPDKPPVMEPFIALLTWLVAIWMIPRGVIRIGAGVTRNGKLQRASLISGALLVCVGVLVRIFPVIPKGVPREDALVVGVLIAVWGLTVASLGLQLGERGAINKRGFLTGISSRITQE</t>
  </si>
  <si>
    <t>GC_00001791</t>
  </si>
  <si>
    <t>PF04023.20</t>
  </si>
  <si>
    <t>FeoA domain</t>
  </si>
  <si>
    <t>K04758</t>
  </si>
  <si>
    <t>ferrous iron transport protein A</t>
  </si>
  <si>
    <t>COG1918</t>
  </si>
  <si>
    <t>Fe2+ transport protein FeoA (FeoA) (PDB:2GCX)</t>
  </si>
  <si>
    <t>MPHSDQMLTSVSIGQRCVLADINTEKLNEATRRRLAELGFRPGITVTITQKINSGGRVVKIGSTRYAIDGPTARQLHVNPIPA</t>
  </si>
  <si>
    <t>GC_00001792</t>
  </si>
  <si>
    <t>COG0716</t>
  </si>
  <si>
    <t>Flavodoxin (FldA) (PDB:1AG9)</t>
  </si>
  <si>
    <t>MTLYVITESFFGNTRRIGEVIATELDVVLYGAASAPTDFADGDAVIVGAPTHNGRLPTPATREKALAMEGARMYDNCAGLLEWLEEVRGNGSSVRAAAFDTVVPGGAWFGSAAKRSVKKLKRIGFQVDTPAEHFLVAGTPPVLRDGELVHARDWAARLAERWQVG</t>
  </si>
  <si>
    <t>GC_00001793</t>
  </si>
  <si>
    <t>PF13576.12</t>
  </si>
  <si>
    <t>Pentapeptide repeats (9 copies)</t>
  </si>
  <si>
    <t>MGRFIEKGKTALVATASGGVGFTLAGFLLRDWNFSWDWSVAAQPLATLGAGTAAIIAAAIALHNGEKTRVQDKERTLRERFTSIVKLLATDDLTKRESGAYALAALAGDWAAFHKDDPESALREQQVCLNILTGQLRDPISKDSPSELYTFKERMQDIIFTRFEEEDGKSPGQWSDLNLNLENCHFYNISSKGIFKNRASFANSYFHGRTSFTGAHFYNNTLFKSAHFCKHADFNRAHFNIRTPLDPNDHYRTYVDFSGTNFHDSVSFIKTIFHSGATFDGAHFNSNTPPRTATVFITDATFDLAHFYGIASFFQAYFHMDAQFHNVDFHESAWFEKVYFEKFAHFKDSNFSKKTSFKHAHFNGGTNFDNVYFVDAADFSSTKFKFPESSENNKIIRLLNTNLDNAKFGVEFPTK</t>
  </si>
  <si>
    <t>GC_00001794</t>
  </si>
  <si>
    <t>MTMDRYLERFRDRMDDEYQLDVTYRAHVISSAVMTNLCLACAAVLAWVLPPNYVLVSEIMCVPVFAGSTVVALYMQKRVVRPRISIWGYSRLELVLTIIWGIAWMAGLMRFPAYSESPIATRATIIGSIVGFIMIMAILKWVNERARAWDRKRLGDIE</t>
  </si>
  <si>
    <t>GC_00001795</t>
  </si>
  <si>
    <t>MKGLLHAGYYSAWLIGQLLLASRDVLVDTLTGNKKLDPSVVAYPLRVTKDWQITAFACSITITPGTISIGLDEGPSGERLLMVHAIFGSDPLAVLKDLAHMEETLAPHVAGIDNQLERAATYHPAPRPSSLRNRGVN</t>
  </si>
  <si>
    <t>GC_00001796</t>
  </si>
  <si>
    <t>K19302</t>
  </si>
  <si>
    <t>MLAASITITYGASTHSPWVIRMDHWALNHALAARSPRTGMAVTWFTNLGSTPWSAPIATTFALYTAWRWRDATPIFLMAGATALSTTVTRLLKLTFERIRPLHEVAVPPFEHTFSFPSGHTLNAVVIAGVMVYLLCQHTRSAGLRTLISGCGIAYALLMGISRVFLAHHWLSDVLAGWCIGSLCLAASIVVERATAYIRQGRLHDRESSSPPDKYSRNPLRP</t>
  </si>
  <si>
    <t>GC_00001797</t>
  </si>
  <si>
    <t>MSVLRQPQLVHSEYRFRTTMLFASLLCVLAVAIILGLVAFDSSGMMSTMVALSAVGLLVAGIVEFQVGFTTRERNRQEDQPSLSGNR</t>
  </si>
  <si>
    <t>GC_00001798</t>
  </si>
  <si>
    <t>D|H</t>
  </si>
  <si>
    <t>Cell cycle control, cell division, chromosome partitioning|Coenzyme transport and metabolism</t>
  </si>
  <si>
    <t>K22227</t>
  </si>
  <si>
    <t>AdoMet-dependent heme synthase [EC:1.3.98.6]</t>
  </si>
  <si>
    <t>COG0535</t>
  </si>
  <si>
    <t>Radical SAM superfamily maturase, SkfB/NifB/PqqE family (SkfB) (PDB:6Q2P) (PUBMED:23282011)</t>
  </si>
  <si>
    <t>M00847</t>
  </si>
  <si>
    <t>Heme biosynthesis, archaea, siroheme =&gt; heme</t>
  </si>
  <si>
    <t>KEGG Orthology (KO)&gt;&gt;&gt;09100 Metabolism&gt;&gt;&gt;09108 Metabolism of cofactors and vitamins&gt;&gt;&gt;00860 Porphyrin metabolism [PATH:ko00860]|Enzymes&gt;&gt;&gt;1. Oxidoreductases&gt;&gt;&gt;1.3  Acting on the CH-CH group of donors&gt;&gt;&gt;1.3.98  With other, known, physiological acceptors&gt;&gt;&gt;1.3.98.6  AdoMet-dependent heme synthase</t>
  </si>
  <si>
    <t>MSHAPTVRTVRHDINTKPFIVIWEVTRACALVCKHCRADAQHHANPRQLSTEDGLKLLDALASYPRPYPLVVLTGGDPCEREDLEQLVEYGTSLGLNVSISPSVTPKLTPERISSLREAGAKAMSMSLDGATAATHDSFRGFPGTFDATLALAPHVVGCGFRLQINSTLTRSNIHEAPALLKQVIDMGAHMWYTFFLVPTGRGTQLHSLSPTEREDVLHWLHDVSDRIAIKTTEAPQYRRVALQRKQPDYAYSGGDLYQQLTAQTHKLLGEVPVKPRRPRPPMAVNSGSGFAFIDHIGDVYPSGFLPLHCGNVTDTSFADIYEHSPVFQNLRDPDHWEGKCSVCEFHTVCGGSRSTAYAMTGNYRASDPTCSYVPPAWKKSS</t>
  </si>
  <si>
    <t>GC_00001799</t>
  </si>
  <si>
    <t>MTDEFIARHRRVRGRDFGANDIAAAALPLLSHLRNQYQGIHSIILGTGDGIHVASIGFNSPDDASRMAALNASMLSVSLAQAQVIDPLKSDLQETVVAVELPNSEFLGMARIEHPPVGHLVLGLFARDTQLGMAIHQAQALAKALTDWLDEI</t>
  </si>
  <si>
    <t>GC_00001800</t>
  </si>
  <si>
    <t>COG2267</t>
  </si>
  <si>
    <t>Lysophospholipase, alpha-beta hydrolase superfamily (PldB) (PDB:5O7G)</t>
  </si>
  <si>
    <t>MPLYLPPEWSPEWSQDILGPDFHTATMPLGDDPDGETDIYATVVRYSPTDAHRLHNRPAMLFVHGMSDYFFHRHVAEFFYQCGWAVYAIDLRKCGRSWRPGQRWHHTTDVAQYFEELTSALAYLSEMHNTVVIQGHSTGGLVVALWLDHLRNSAPELHAHIAGAVLNSPWLDMMVPKPVSETLKPVLRWAGARWPDVSMPAGNLTAYGKSVSAEHYGEWVIDPEMKPLSGHQKNIGWLRAIIRGQDVIHSGTTDCGVPLLVLCSTESRSGRKYSPKVDTADVILDVRQIQHWAPTLSSDVTVSPIPDARHDVYLSQPAVRDAALNRVEQWLASIGYSN</t>
  </si>
  <si>
    <t>GC_00001801</t>
  </si>
  <si>
    <t>MKKIEYYGYEVRVPFEQSLIPFDRIVKYLKNNPGTRCFIAANHCTKEDIDMWLNDDKVNVYWWENLAKLPAIEDIDPETLDSYDVIELLSLAASPKRLNFAALLEVFPPVDAEKLCSLYYPTSSHPTGELLVTCDQDPNPGFIENFKAAVDGNAHDIDRRSEAISKYLEDVFSGWAKFTYAVSLESGLNADERWETVLIPTYSNVDGYFIDWGVLLSSSRTAF</t>
  </si>
  <si>
    <t>GC_00001802</t>
  </si>
  <si>
    <t>MAETPAAANVSDSADRISHATYTSVSSAISRAKQAAADVGINTNDLHTHEFSEEYFQGRTSFAFELTGLDSATSIGEIEEALEQLNGVKARIVYTSNMAWISANRGVDISALVGIFKHYGIEANLTDSSLRRRMAWSDVEEGRYRRSRRQHRRKHLAQQHFLHKQALEEEKQLEYLRKSGFLDGAEQRFVHKEPTDVLFTARNLITRWRLFASAFLTIPVIVICYMPSLQFNYWQWFVALLSFPVVTYGAYPFHRSFIGGLRRGMSALDGASSVAITLAYLWSLALIIFTDVGKISYRSDSELFAIKLAAFENGALFFDVACVMTFFLLAGRIFVRKSRASLPVELSQYKPVPNSTVIVVKKLRNNGKSIEQEVPIQKLNVGDDIIVPAGAIIPVDGVVIGGSAIIDACVLGLGKIATKVNGKVYAGCVNGEKALKIRVVATGHRTWLAAVYRWVAISSINQDHSDALATKTASFLVPTAIAIAFTDFSLWALATNNVNQAFATALAVLGCVAPVALAVSASVAMRQGIENAARKGVLIRDAQTVRRLDQVDTIIFNRVGALSEGEMTVETVTAGRGENPDLVLRVAGVLTLESDHPVSRALVRAARELRDSSSNSSIPGWIEVSQIEVDELGNFTGLIELPVKDSEGHVENRSVEAKLWRPRNLSDLQGRLAAAAVSDGTPIVVRWKGKDRGVITLHDEAKPDATSSVDALEAMGIETMMLSRDTYPVARRYGDSVGVSHVLAGIQPGQKEQTVRSVHNHGAAVAMVGDDSVDGCFRVASVGVMVGAMTSLPNPSHLEDTAADVVLLDGKTSPIPWLFSGARRMNRLIQSNFLFAWLYNGIAIAAACLGLLHPMLATVLMLASSLLIEFRSTLSRTF</t>
  </si>
  <si>
    <t>GC_00001803</t>
  </si>
  <si>
    <t>MPESVAEMIQKGGQTHRIDCVFVNSAPHDQTSGHASTIPPEPVRWAGMLGIGESLAGIAYAVFLVVYNAFFSHDVGAVFSEQGRGPLLGYGTAVFFFVIFGVVAFAGVNMLRGKRWGRGPVIMLQMLLLPIAYYIFSAGQWLWAIPVGVIALVGLGLSFHPRSLAWAAQTY</t>
  </si>
  <si>
    <t>GC_00001804</t>
  </si>
  <si>
    <t>MAKPAATRRQEYAEQTRNALIEAATQRMVEQGYEATSIAQIAADVRVSKGAVYHHFPDKRSLFKAVFSEATSRSVATVAESMDHMRNSPPDDVVGMAIDAALTTALKDREYSVLRQQAAAILSLDERKQIKADSIIPLVIQLHAELHDDAATLQVDLEVATSLILAILGAASEDIAASDDPEKRYAQFRPALIAMAKALVPKADVA</t>
  </si>
  <si>
    <t>GC_00001805</t>
  </si>
  <si>
    <t>PF19778.5</t>
  </si>
  <si>
    <t>Endonuclease domain</t>
  </si>
  <si>
    <t>K01156</t>
  </si>
  <si>
    <t>type III restriction enzyme [EC:3.1.21.5]</t>
  </si>
  <si>
    <t>COG3587</t>
  </si>
  <si>
    <t>Restriction endonuclease, type III RM system (PM0699)</t>
  </si>
  <si>
    <t>ko01000|ko02048</t>
  </si>
  <si>
    <t>Enzymes&gt;&gt;&gt;3. Hydrolases&gt;&gt;&gt;3.1  Acting on ester bonds&gt;&gt;&gt;3.1.21  Endodeoxyribonucleases producing 5'-phosphomonoesters&gt;&gt;&gt;3.1.21.5  type III site-specific deoxyribonuclease|Prokaryotic defense system&gt;&gt;&gt;Restriction and modification system (R-M system)&gt;&gt;&gt;Type III R-M system</t>
  </si>
  <si>
    <t>MRFQFDPHQPYQTSAIEAVTDLFDSQPVDADQLVTSFRLLPAQPSLIDQYEFSGQREFDIATEIGAVGNNLVLDEDTILSNLRRVQDRNGLEVTDELVDGLQFDIEMETGTGKTYVYLRTAFELVKRYRFTKFIILVPSVAIREGVKTSINLMREHFRHLYPEINMDATVYSGERAEEVRDFAVATSLQFLVMTIDSLRGDKNTRIMHQSRDKLAGLRPLDYLRATRPIVIMDEPQNMESLLAQSAVADLDPLCTLRYSATHRTTRNVVYRLDPLDAHNLGLVKTIVVSDAQELGSAAKPYVKLLEVRREPSFSAKLELVCRKKDGSYAKRKVKVSQGDDLERVSGGNPAYEGNWRINEISVQPEQIELSNYGILRVGEEIGSNQDAVFREMIRETIREHIRKELQVHACGIKVLSLFFIDKVASYLGTGLNNFDANGDFVAWFDELYREELAKFPDAERFLSRDPLQVRSGYFAQMKVKGKGAPMKFKDSSGKTKADDDAYELIMRDKARLLSMDEPVRFIFSHSALREGWDNPNVFQICTLRDMTSVTERRQTIGRGLRLPVNQDGERVSDRGLAQLTVVANESYQAFAAALQDEYKQAGVAIGFVRHTEFAHLPIMEDGQESRLGSRRSGEIWECLRERGYINDSGEVMGTWVPEQLGFTVGLPVQYAGYEDDIIKIVDSCKIEAVVKPKRKRVARTFNKQVYATPEFEAFWEKITQRTTYRVCFDRDVLVANCVNRIQHAPRVDPIRIQLTRTGVEITRGGAKGSVLGTRDHQLTDSYPLPDIVNQLQEATSLTRKTIIDILLGSGKLSEFLGNPNDFIKMVSSCIETELAQVLIDGIQYEAIGGSIYELRELQADGLEEKDRFIDQLYKVTHTEKTDFDYLVLDSAVERQFAQYLDGREDIKLFMKLPDKFRIPTPVGDYNPDWAIIKIEDGTEHLYLIRETKSSLDSNKRRPSENAKIEAAIKHFQAIGVDYKVSAPEQWGI</t>
  </si>
  <si>
    <t>GC_00001806</t>
  </si>
  <si>
    <t>PF18726.6</t>
  </si>
  <si>
    <t>SAV_6107-like HEPN</t>
  </si>
  <si>
    <t>MATVISATTRFGGRGEAKRAEFLGKAHVLLTQSQVALRAGDEASALELAYQAALRTAGARIAVSAVAQRKRKPHGAWDQLALVDETGVEQAADFKAFSKLRSRVSSGMEVEVDPVIVREFVQRVRGFLDSVDAEAGWVSEVA</t>
  </si>
  <si>
    <t>GC_00001807</t>
  </si>
  <si>
    <t>MDNQQGGTNPQGGDNNPQGSGNSPQGGDNAQGNNYEYGQNMDGSQPYYNPYLQNQQNQQPPQGQVPQEQVPQSQSPQSPVPQNQPQPNPYLNQQTPPTGPQVPPQPTQPPQQPMGAPSGYAPQQGQQPQQPPAQPGGPQYYQYPQNDYGAGYPNQPGAGHMAGQPMPRKKSNAGAIVVVVLLVAVLGLLAMLKILSALVDAGTTASTERTYPSSRVLPTSPHMRVPSTPMPSRTTAPTRGDTPPTVIADDVRAVLPANIANLVIGESCEEDVFSLDDVTPEKLCQLNTDGNSEYANYLGVVTDRTVIADVRRYGDFEEWKSIESAPGHTLKLGFTGPQERVGESTVFFDFVNSNTLVTYRMLGNEDAVSQYLVDLGLAQFRDKA</t>
  </si>
  <si>
    <t>GC_00001808</t>
  </si>
  <si>
    <t>MGAFDEIKGKAKEAAGKVTGNERLEDEGKADQVKSDVADAVKDGANKVVGSFKDDSDK</t>
  </si>
  <si>
    <t>GC_00001809</t>
  </si>
  <si>
    <t>MEHQGSLASPLGTWVALSNDGIIGTFIKDLLLPLAKLAGWAGDLASLAK</t>
  </si>
  <si>
    <t>GC_00001810</t>
  </si>
  <si>
    <t>MTSWHPNRGDDSPTTTSAILGVDKQDMIMPKQRRNWGLIIAIIVSGVLLGGIGAAGVSIYQHVTNTTTALGGVATTTPATATSAGNNVPYAARSGRSGNPTVTVTATATPEPQAEARTATQLSGATIPCDGRGVLIIHSIVDTGQDIAAEARSVLTANPGAQLLQPGACSSLRASLDGNDVYGIVIDYGFDTDRLCRAAASIGGNPRTMNNSGDFTSPC</t>
  </si>
  <si>
    <t>GC_00001811</t>
  </si>
  <si>
    <t>COG4279</t>
  </si>
  <si>
    <t>Uncharacterized protein, contains SWIM-type Zn finger domain</t>
  </si>
  <si>
    <t>MADSERSRRTHPSVGNVIYANFGNTTKVSTPKPAVQKETRTCLASMLLIDAATTATDSERVKRGRAYARNGNVVNLEFTNGRIIAAVAGSQNQPFNVDVVLPPRNADQLNTVTQLLLEPGSLAEAKRGKLSQQLAETLICASDEQVRFLCDCPDFAVVCKHSIATVFRATERIDADAQLAFALRGLDMDTIEKSLQREAHAKADSAAQTNDGNFWGDKTALPQLPNPKIASALDDSDLDALHKAMRSISYTAIDELRAVADIEEMYDFLTQNH</t>
  </si>
  <si>
    <t>GC_00001812</t>
  </si>
  <si>
    <t>PF17252.7</t>
  </si>
  <si>
    <t>Family of unknown function (DUF5319)</t>
  </si>
  <si>
    <t>MLPGTATAIIVAVVNFDPLMPQDPFADDPNDPAALFDTEEPMPPLSDEDRRHILEDMELVAQFRAALEPRGVLGIFFMCEDCQENHYYGWDIMEANMRATLAGELSPVHEPSACPAVEAYVPWDYCLGYVDGLNAS</t>
  </si>
  <si>
    <t>GC_00001813</t>
  </si>
  <si>
    <t>MNISVKHVSACAVSALFVLAAGMTVPAATAQAQKITWENCPSMVTTEGAQCGHIEVPMDYSNPAGEKISVGFVKVPATNQGAKRGALFINSGGPGGDVYGYTASKAGAAWPAEMRAEWDLIGVQPRGLVGSTPVECENVDQPSPTDMVSNVGKLYHDACAAKSSTAFLNSLTTENTARDWDEVRKALELNRIGIMGLSYGTILGSTYATLFPQHTDKVILDSGIDTELLWNSVFDLQRPAYVRSLHEYFAWIARNDATYHLGATPYAVYEKWAAAVVKESGANPTVKPPAMEPSEAPLGSSDLANATKPLEVQIQNFLTTITQPGASQQRSATLQLTRMLVPQTNTWNGMARALNGTGPSLTEIAEKQQQDSELRRVNETSQQMQQIILCNENHTPAHTEQVPAFLWNTFVKGDAFDQFIFYSSGVSCGGIQPVATVPQPDGSKLATRPLQIQGIHDPQTPYGNFTNMQQRMNSQLITVNSFRHGHVGMGNDAVDKAVVEYLRTGNSPITEAPGEPISAG</t>
  </si>
  <si>
    <t>GC_00001814</t>
  </si>
  <si>
    <t>MLVGLSATFITGPDSDDENIGGAMTAIFGFVFCIGSIVCIVRPLVLTIDETGVEIREGFARAKRIAWHDVRETSLGNTGVTIFLKGMHSKIVQVPDFAGVDREQVHDLLDYRFKWYRENSK</t>
  </si>
  <si>
    <t>GC_00001815</t>
  </si>
  <si>
    <t>PF05481.17</t>
  </si>
  <si>
    <t>Mycobacterium 19 kDa lipoprotein antigen</t>
  </si>
  <si>
    <t>K14953</t>
  </si>
  <si>
    <t>ipoprotein LpqH</t>
  </si>
  <si>
    <t>MNTTLRVGAALVAASVLVIGLGACSSNGNNTASSSVTVMPLPSDDGTSGIPTSTVTPTASTEPNTTAALLEIQIAGNQLKDAFGPVICVDEDADGDLDVDAGVDKISGELEMDITSPDNNPRLDELHIETPSVNIKIDDDVPGSIEHTKVTHEGNTWIVEGTGFYEADHSRTDSIFVKATCP</t>
  </si>
  <si>
    <t>GC_00001816</t>
  </si>
  <si>
    <t>MTSAMNKTCTIAIDIGGTKIATGFVDPTAPTTVHGRATRPTRAADGPRVVVREIIDAATSIIANANADGYVPTCVGVGAPGVVDTRTGCISYAGPTMPGWAGTDIASTLRAALDLPVSVHNDVRVMGLGEAVHGAAAGNTGDVLFVSIGTGIGGALVTGGQLPQSPHDIRGEIAYLLAPVPAGNGCDTIENIGSGPSLTRSYNTAVSGTPAKDLREVMRRYHEGEDLARRVITDSLRCVGEGLAAFINAIDVSAVVIGGGVGTLGEPILEPLRQGLRNGLLAPLCNIPIVQAALGTNAPLVGAAHMAHTDILASTHLMKEQ</t>
  </si>
  <si>
    <t>GC_00001817</t>
  </si>
  <si>
    <t>MLSVTRVFGDGCVMKLNVSDPVSVLFDAPPSRTVTGPWHKGRATGVQDKNTAIQWFSSDHPQINPSDLSSITIDLLQNVR</t>
  </si>
  <si>
    <t>GC_00001818</t>
  </si>
  <si>
    <t>MTDFIVCDFFVNRAGQHHIYHPLDGMVLAFTCVTNEIEVLFVVKVDYC</t>
  </si>
  <si>
    <t>GC_00001819</t>
  </si>
  <si>
    <t>K01208</t>
  </si>
  <si>
    <t>cyclomaltodextrinase / maltogenic alpha-amylase / neopullulanase [EC:3.2.1.54 3.2.1.133 3.2.1.135]</t>
  </si>
  <si>
    <t>KEGG Orthology (KO)&gt;&gt;&gt;09100 Metabolism&gt;&gt;&gt;09101 Carbohydrate metabolism&gt;&gt;&gt;00500 Starch and sucrose metabolism [PATH:ko00500]|Enzymes&gt;&gt;&gt;3. Hydrolases&gt;&gt;&gt;3.2  Glycosylases&gt;&gt;&gt;3.2.1  Glycosidases, i.e. enzymes that hydrolyse O- and S-glycosyl compounds&gt;&gt;&gt;3.2.1.54  cyclomaltodextrinase|Enzymes&gt;&gt;&gt;3. Hydrolases&gt;&gt;&gt;3.2  Glycosylases&gt;&gt;&gt;3.2.1  Glycosidases, i.e. enzymes that hydrolyse O- and S-glycosyl compounds&gt;&gt;&gt;3.2.1.133  glucan 1,4-alpha-maltohydrolase|Enzymes&gt;&gt;&gt;3. Hydrolases&gt;&gt;&gt;3.2  Glycosylases&gt;&gt;&gt;3.2.1  Glycosidases, i.e. enzymes that hydrolyse O- and S-glycosyl compounds&gt;&gt;&gt;3.2.1.135  neopullulanase</t>
  </si>
  <si>
    <t>MSFADYTIMWHVYPLGFVGAPIRPEVTPPLTHSIKQVENWLDYLINMGANCLQLGPIFHAETHGYDTIDYFTVDPRLGTEDDVVHLIDVCRDKGISVILDGVFNHIGRAHPLVAQVIEEGPAGNHQSMLHVTWDDTGTPTFGTFEGHEGLVELNHSDQRVVDLVVEVMLYWMRRGVAGWRLDAAYQVPAEFWTQVVARVREEFPDAWFVGEIIHGDYAAYVRESDINSVTQYELWKAIWSSINDANFFELDWCLTRNNDFLDTFTPMTFIGNHDVTRIATQIGDAGAAIAAFILFTIGGVPNIYYGDEQAFRGQQEKRVGGDDAVRPPYPMSPDELPDDGMWLYRLYQELIACRRRHPWLVHARTRPLELTNTRYVYESYGADPSQVLRVELDWGERKAAQISAGTQVLVAYTAG</t>
  </si>
  <si>
    <t>GC_00001820</t>
  </si>
  <si>
    <t>MNNQIGNITHAVAQWSQQHWRGLTLIVVIIMGLWINNTSLFVPAQHPRILAHRGLAQTFDYSKVGNDTNTAAIIDKPEHPYLENTIPSMRAAFDHGADVVELDLKLTKDQQLAVFHDSTLEYRTEAKGEIGNYTMAELKQLDIGYGYTADGGKTFPFRGKGVGLMPTLDEVLAAFPHKDLLLHVKDGNHQTYEVLWGKLRAMNPERFKQITVYGNDDGIAWLRQQSATLRLCSKTMMKAGLLRYLAVGWTGYVPHELHNMELHIPRRYAPLLWGWPSKFVDRMAAVNTRVMLVEGDGQWSAGFDTAESVAQIPPQFGGYVWTNRVDRVQPALPH</t>
  </si>
  <si>
    <t>GC_00001821</t>
  </si>
  <si>
    <t>MDFNAIIEPAIKFFSTGIGAMIAEFARAIYNALYPANAGAATTETSAVTPPPGK</t>
  </si>
  <si>
    <t>GC_00001822</t>
  </si>
  <si>
    <t>MSASTGGGAGDPFSNSAPSQAHDPFSQVEPVKTGDTTVRKGQFDPFGTTNPSTPADTFGDTAAPVAHRTPVSGPWYYVIPAFVAAMIAAVLAILAFAVGGSATDTMFHNYAICGWVMAGIVGFLLIGMHMRADNRRQAENFYIENPMQYVLMRATIIIGSLAVVGTAFEIALWLSKTVG</t>
  </si>
  <si>
    <t>GC_00001823</t>
  </si>
  <si>
    <t>MVIRKVARPMVASVYVADGADMVLNTQAHVEGAEAVLRHVRSIVSRSTYQKLPQDPELLVRVVGGLKVGAGSLLGLGRCPRLSAGVLALLSVPTIVARHAFWETQDVEEKVARRQGFLTSVALLGGLVITSMDTGGKPGLGWRVRQALPSRAESESMVSQAADWLGDASGRVVQYVGDNREDWLQAAQANSRVAGKRVVRAAVAAQEQAQAAYADAQVLSGRAARRAVRQADRLQVRAVRALRRAQERLDGKV</t>
  </si>
  <si>
    <t>GC_00001824</t>
  </si>
  <si>
    <t>T|T</t>
  </si>
  <si>
    <t>Signal transduction mechanisms|Signal transduction mechanisms</t>
  </si>
  <si>
    <t>COG0840|COG2202</t>
  </si>
  <si>
    <t>Methyl-accepting chemotaxis protein (MCP) (Tar) (PDB:1QU7)|PAS domain (PAS) (PDB:2MWG)</t>
  </si>
  <si>
    <t>MNKVEATGATHEVKAEELFFSVTDDRGVITEANKVFVDLSRYELGDLIGAPHNVIRHPNMPGGAFHAMWNALKSGLPFGCYVQNLAQDGSRYDVYATVTPLPNGGYLSVRSRPMCVDVRDVVFEIYESTIEHEAHVKEEKANRREVAASGSDHLLELIKEAGFSSYAEFQNAILPMEVLAREAETTPLTMERTASGDLGELQDSVHGVFTELHEWMDGLEPLERLSMLLRRARRRLGRDIESAASIVDNLEDLKQDGSDTDYEQVLAPLKEWAEMRSDALGSIDHLHGQLEEFDEQIEQSRFTIALARLHTTMVAQFIDELAAMDTIDEAAQRGIRLLADALDADILTMWETADKLTSLSDTVNTDIDNLVKQLEKPLEVMVDWREQKKEYKTGDLAELYQSVSSSTSGADAAIAELKKLAEEVSDVNAPSTDELMTHIERVRELASIKKDES</t>
  </si>
  <si>
    <t>GC_00001825</t>
  </si>
  <si>
    <t>MQRLIEFSTDASGAKEIDTAIRAAFDTLHKEDPDSVRLAYWRLRGTDKFVALIELDDEKNNPLLGFEATAALPKMIGLHAQGGYPTPQEIELVGTYGFNL</t>
  </si>
  <si>
    <t>GC_00001826</t>
  </si>
  <si>
    <t>MVAMKDYFISDPHFGHRLVSRLRGFDDPYKHDRYLYEQWMDKLPSNERIRLWMLGDLYCGKPPAEEKALRFIAQFRDDLLSRKNTDMWMEALLGNHDQAHPMKRNNLRSLRNFNRVFDSVQTVARYSLNGSLVMLHHFPYSGDYEPEKTMQFRLHDLGQTLIHGHTHSGEQISWSDKGTLQVNVGVEACPGFAPMSSEEVAKVIAEASRQKPKSPQKQ</t>
  </si>
  <si>
    <t>GC_00001827</t>
  </si>
  <si>
    <t>PF12502.13</t>
  </si>
  <si>
    <t xml:space="preserve">Protein of unknown function (DUF3710) </t>
  </si>
  <si>
    <t>MPLWPFSKKKAEDNNYDYDDSYDDDFEEDIVDEDLNTTSNTSRGGSTRHSHHATAGRSYNNSGDAPAEPTDSAPDTAPATSTSGAILGDEYDETPDPVHDAIDGDSGPFDGDSVNIDDFDFSDFSTGILNLGSMLIPLPFKSEVQVEMGADGPKMLHILTEHGRCTPVAFAAPARAGQWRETVKEITQGMRNDGLDVVVEYGPWGREVVGSAPGGGGIVRIIGVDGPRWMLRMTLAAPIDHADEMATLGREITARTFVMRGKDPILAGSSLPVALPGPLAAQVQKEMERRQKAAQEAAQAADNDTKE</t>
  </si>
  <si>
    <t>GC_00001828</t>
  </si>
  <si>
    <t>MRSLSWPTRWVGSPLRVLLIVVFSGFFLAELTAHTVHSIPDMTTNFVIACALLFHPVRREICTGIIAVSLFIIVFMPWESHFAPTAVVFYVTYLVSAYSPPKWRRVWLPVIIVGVGLAIVMNRTFIDENLILSADSPRHMARLQLYPMMAAFSLIGLGFFWLLGLQRRRQDADRQALKDRAELSAVVERTRIAREMHDIVAHNLSAVIALADGARYAAAKDPQVASDTLGTIAETSREALKQMRGLLSVLRDDAVRDPNAVGVSAVEGLLADAHRTGLTVTSTGFDELPEGLPQLTQSTLYRVVQELLTNMLKYSPDRHGTLTAEVTDRRIRIISANKQGDSESDPGFGLIGMRERVHALGGTMQVSRDEEFTVTVELPR</t>
  </si>
  <si>
    <t>GC_00001829</t>
  </si>
  <si>
    <t>K13572</t>
  </si>
  <si>
    <t>proteasome accessory factor B</t>
  </si>
  <si>
    <t>MAKNEFHERLINLTFAFLHANATGRRYITAEWIRTNVAGYQDRTDAAFQRMFARDRSILAKVGVPIETIARATLDDAPGYRLNPHNYYLPEVSFTPDEAAVLALAGDKGLNHELAAFARSGWTKLAAAGASTVTAQDSAPVMFNNVTDLGVLTAQSLDTILKAHRNHHRIHFDYTPHKNAEPTRRVMDPWGIVNHQDRWYLVGFDIERDAPRTFRITRVSNIDIVGRAMHPAPEHTPLQELVADSLRSRKVLIDATITAEPGTAGELTSRASHRDHDTYVLTGVDRDWLVRTAAAYAPHALVVEPADVRDDVIAQLRSLLEVTPRDC</t>
  </si>
  <si>
    <t>GC_00001830</t>
  </si>
  <si>
    <t>MRVIQLLGKDPSPLFVAGNSTPNKTICTLINALNHALATPPVPADLHPSSSTPRRDQRDVRTVLFWADRLELSIRKHKATGHNVWIITDRSGNIVVIFKPYIGRVYDLTALHEAGRVLDALDPKHLTANKDSWGAGCGMPGKNNLAKSSWSTGRYGVTVGLARFVVWWNKQSRA</t>
  </si>
  <si>
    <t>GC_00001831</t>
  </si>
  <si>
    <t>MSQSRVSEPGFPLSLASIFSFAVVVAVLLVGLALMDRWTFFMVVAVIGIPGLGMLWTTRKRAIEERQFG</t>
  </si>
  <si>
    <t>GC_00001832</t>
  </si>
  <si>
    <t>MIVNINELLAPDVFVPFLIGLGVVWLVLKAVKRVINRVITLVATAIILGGSQHLGAFDGLDNLTHLLHQ</t>
  </si>
  <si>
    <t>GC_00001833</t>
  </si>
  <si>
    <t>PF10103.15</t>
  </si>
  <si>
    <t>COG5282</t>
  </si>
  <si>
    <t>Zn-dependent metallopeptidase, zincin/DUF2342 superfamily (Zincin) (PDB:3CMN) (PUBMED:23671590)</t>
  </si>
  <si>
    <t>MANSNFGFNFGFGKRDDGNDDNNDFNGGIGDFLNDLGQMLSGLGSSMNSSDGESVNYSMTERIARQQIGAQDRPITNTDQQQVQDAVRIVELWLDDATYLPASENKVVAWNATDWLTNTLPAWKRMINPVVAQMNEARLSGLPEEVRDAIGPILGIFSSMSSANFGAQLGNALGDLATQSLSGSDFGIQVAPEHTTALLPHSVNHIAREIAVSPQDVLMYLAAREAARQRLFRHVHWLSERLVSSVEEYAAGLELDNSAMEEAMRNINLESQDPAAIQDALNQMQGMDLEPKIRSRNTGATTRLETLLALVEGWVELVVTNALGDRVPATAALNEAWQRRRRTGGSAEKAFASVVGIEFAAPKVSEAKELWKRVTVAVGEERRDKVWDHPDFLPLAEHLDNSAEFIDSLLDDADTANFDPIAEITALEEMLAQKSEEEQAEQKEWPKPKDQKPEDNQDKKSDDSDK</t>
  </si>
  <si>
    <t>GC_00001834</t>
  </si>
  <si>
    <t>MSIVDYLISIALILLVIRQMWPRRLTIVGLMWPLLLIAWAAVDYVTVPELSGNNGVMFVGCVVVGVLFGIGCAMFTRVYWENGTYKVQATGLALFFWLLGVGGRLVFGIFAEHGGGERIYTFSMNHGLRLETWGTALISMALCEVVSRALVLLGKRIKQGAVTVPGQGSS</t>
  </si>
  <si>
    <t>GC_00001835</t>
  </si>
  <si>
    <t>MGYVVKKGRLFLMSNGAMIVTMSSVFIGFLCFGGSFAGFVYKKSPRLVWTLFCTAVFFITVIPVIIAVFWATLFVS</t>
  </si>
  <si>
    <t>GC_00001836</t>
  </si>
  <si>
    <t>PF09656.15</t>
  </si>
  <si>
    <t>Putative transmembrane protein (PGPGW)</t>
  </si>
  <si>
    <t>MSSMREAVATKLDGITRYHDHMKQKRFGFLVRPAVLIVGWFVVIVGIIAIPLPGPGWLIVFIGVAILSLELHWATRLLSWGIREYEHVTAWYASRSRAFRYSFATTSFVFVWGIVGLTAYVVWRMGGFSMLDPVMHAVM</t>
  </si>
  <si>
    <t>GC_00001837</t>
  </si>
  <si>
    <t>PF02654.20</t>
  </si>
  <si>
    <t>Cobalamin-5-phosphate synthase</t>
  </si>
  <si>
    <t>K02233</t>
  </si>
  <si>
    <t>adenosylcobinamide-GDP ribazoletransferase [EC:2.7.8.26]</t>
  </si>
  <si>
    <t>COG0368</t>
  </si>
  <si>
    <t>Cobalamin synthase CobS (adenosylcobinamide-GDP ribazoletransferase) (CobS) (PUBMED:31481610)</t>
  </si>
  <si>
    <t>KEGG Orthology (KO)&gt;&gt;&gt;09100 Metabolism&gt;&gt;&gt;09108 Metabolism of cofactors and vitamins&gt;&gt;&gt;00860 Porphyrin metabolism [PATH:ko00860]|Enzymes&gt;&gt;&gt;2. Transferases&gt;&gt;&gt;2.7  Transferring phosphorus-containing groups&gt;&gt;&gt;2.7.8  Transferases for other substituted phosphate groups&gt;&gt;&gt;2.7.8.26  adenosylcobinamide-GDP ribazoletransferase</t>
  </si>
  <si>
    <t>MSGKAGFSDNEPGNAHGFAPWEGINTAFSWLTILPFPGAATFDRTTGARAMAALPLVGVFLGVCTYALAMVADALSISPLLTAVLIVVLWETLTRMMHLDGLADVGDALGSFQSGEQAQKILADRYTGALGMGTVLLTLLTQVAAIHALLTTSALLTVAALPAIGRCAAMITCARGFTAFSPTGFGALVIGTIRWWWIGVWALMLAAALYYEVWILGITALVGALLFNLLVAAHFRRRFGGLNGDCIGASIELCTAFSAALVAVLL</t>
  </si>
  <si>
    <t>GC_00001838</t>
  </si>
  <si>
    <t>MTDARELYRIALTILTDIERMFIDGLGADPTHMKAAGQFATDVDLAIEQYLRRRLIHETGIPVLGEEYGGDCGKLTWVVDPIDGTANFAAGNPMSCILISLLADGMPVLAITSVPMINQRFGAYAGSPLFQNGVPQPPLTERPEVAAHVGFSSISGSSESNEAQFPDLMRHGLLVELTRTYLRPRITGSVGIDLAYTAAGIFGGAVSFSPNIWDNAAGIFLCQAAGATVTDLYGNPWDHTSRGAIVGTARAHETILTTLTTIRTGGH</t>
  </si>
  <si>
    <t>GC_00001839</t>
  </si>
  <si>
    <t>K22298</t>
  </si>
  <si>
    <t>ArsR family transcriptional regulator, zinc-responsive transcriptional repressor</t>
  </si>
  <si>
    <t>MTIGTTEPSLPEPPSPEPTHANQHKSPITLIDPIKLASSAQIFKALDSPTRLQIIHLLAQRDHFVYELVETLGSSQPLISQHLRILRKANIVEHHRSGRLITYRLRCPAALDIIELAATTCYSDRHHDQAPPAPILEDTQIP</t>
  </si>
  <si>
    <t>GC_00001840</t>
  </si>
  <si>
    <t>PF01885.22</t>
  </si>
  <si>
    <t>RNA 2'-phosphotransferase, Tpt1 / KptA family</t>
  </si>
  <si>
    <t>K07559</t>
  </si>
  <si>
    <t>putative RNA 2'-phosphotransferase [EC:2.7.1.-]</t>
  </si>
  <si>
    <t>COG1859</t>
  </si>
  <si>
    <t>RNA:NAD 2'-phosphotransferase, TPT1/KptA family (KptA) (PDB:1WFX)</t>
  </si>
  <si>
    <t>Transfer RNA biogenesis&gt;&gt;&gt;Prokaryotic type&gt;&gt;&gt;tRNA spricing factors&gt;&gt;&gt;Other tRNA splicing factors</t>
  </si>
  <si>
    <t>MSNNNRYVRLSKTMSVALRHDPDSFGIELDEGGWVDVDKLLDALRKHKRWEGITEEDFHTVMSVSDKKRFEISDGHIRALYGHSIPMKIVKEPTTPPTLLYHGTARRNLDNILQQGILPMSRQYVHMSEDVETATKVGRRKAQDIVILAINTQAEPGVLFYCGNDQTWLADRVPPSMIEVLN</t>
  </si>
  <si>
    <t>GC_00001841</t>
  </si>
  <si>
    <t>PF03382.20</t>
  </si>
  <si>
    <t>Mycoplasma protein of unknown function, DUF285</t>
  </si>
  <si>
    <t>MSAPGVGDAEPHFKVTCDIANPSNSFKVDKPNDSAACNYDNPGEYTIGIQGAIPRLQLGFSGGRPQTTDALLRVDSWGTNQWRSMEGMFQRATNVQFTPYAGAPDLNKVRSTAYMFDGATRFDSDIAAWNTNSVTSMAGMFNKAQAFNGDISGWDTSNVTEMHSMFAHAKTFSADISSWDTSKVQDMTAMFDGATDFDINLRTWNVGSLTKANNIFDHSGLSPINYSSTLDGWVRSEKAPRNLTIGAEGVYWCPHPSFDEAKTLMNERGWVRNDAGAASEYQGPVISVVNKQDLDSEKKGPVTIVITTDEPLRGISSEWKEVAGKKNTYSRVFDKDETTTVKAWDNFGNPSLAMITVSGFDIAPTSLADDNTAESRSLRYATISAFSLLVLLLGVFAAYVVHDRRRTRKDAAYRRLKELQSSATNNTP</t>
  </si>
  <si>
    <t>GC_00001842</t>
  </si>
  <si>
    <t>MPSLAMLCQNQVDDAITAETLREQLLKDWKELEPDLLTVSADNGDDVVALDYGEAYIAVMNIPAPIGDDTVELVGPSRLWPETEAFNSDYQAHAVVTVTGFGEDLTGLDDTFLLSKVVASLVAISPETFAVYWGSANHLIYPPLFREITMEALPNPLLLLWVAINVGERPDGVMTGHTVGLDAVGLMDIEIPQTPKTAEETVAFLVDVADYLLTNGLVIKDGDAVKETDEETIRAVYAVSLLDPEKTVIQLQSDMPYSEVIEPPKRGFLARLFGK</t>
  </si>
  <si>
    <t>GC_00001843</t>
  </si>
  <si>
    <t>MKCKMGAENAQFSGGQPKVVADAKHGQYNVICVSLFVGVKNAALFLRLG</t>
  </si>
  <si>
    <t>GC_00001844</t>
  </si>
  <si>
    <t>MDHAPLPQPALSDIELLPVLQALADPVRLQLIAILDEEGSVSCGFVLKKLPLHKSTLSHHWKVLREAGVTTTTIRGRERWVTLRRDDMDQRFPGLIDLVIRN</t>
  </si>
  <si>
    <t>GC_00001845</t>
  </si>
  <si>
    <t>MFKSRSKSQDSSNAVVVTDYVHSDPEALMQESGLVARWLVTGLDKAAKLQHKTIIKYVDRLKEKNPQATPAEIQAKLDKHFLLTITGTGAGAGVTAAIPAVGFVTGAAAVGVESLAFLDAATSYAVASAYLRGVDISNPERRKSIVLLSVVGSEGTPLATATMGTDSTIALLTRASTPKLSDLNKKMFNFAMKRISKSIRLAWLGKLMPLGIGAVLGSVANRKIGNNLIDHVAETLGPLPTSF</t>
  </si>
  <si>
    <t>GC_00001846</t>
  </si>
  <si>
    <t>MDNQELLIGQLASATGVSVRSLRHYEKRGLITSTRMSNGYRRFSPATINTVTRITMLLDAGFSLRAAAIILPCFELDDEGSVRVGMCPDVAREVRASLRDISRQAKKLKARREAIIKLAESGVGESLD</t>
  </si>
  <si>
    <t>GC_00001847</t>
  </si>
  <si>
    <t>MDFDEVIAKRRSARDFTTEPISKDVLMDIVRQAQRTPSWANSQPWKVYIATGETLAAIKRQHAELSSNEEPGASELPVRSRSEWGTGPQHNMAALMQDIQSYMGDDLPDFALAQRRLFNAAALVYLTIPNQIIPWSLYDLGAFSQSLLFSAANKGIGSIPAYEIVKYPQVVRPIMGVPDEEALVAGIALGYPSQDRINNYISGRAAIDQILVIKE</t>
  </si>
  <si>
    <t>GC_00001848</t>
  </si>
  <si>
    <t>MNSPRTVHDAARTEGLIKWVTAIAIVIGVVGAFIVWLNNLEYHPASSPAGQAETTSKAETSEATTTASQSTTATSDSTKVSPVPASTQKAQLVDTPSENISCELHDTYVGCSIRDRSYSSHGLEDCNSELYSIALYDSSSSPSTVCGERYLGSPGDHVQRLDYGDQAQWGDFACKAQPTGMTCWQQSTGKGFVLNKAAHNSL</t>
  </si>
  <si>
    <t>GC_00001849</t>
  </si>
  <si>
    <t>MDLSVLKTQFDNFATFVSAFGDLVTFFPKATHNVFFSAEAFQGSSLMGK</t>
  </si>
  <si>
    <t>GC_00001850</t>
  </si>
  <si>
    <t>MSLRRAPNPNRNHPLYCPYCASENLFPDVETEFAWNCRECLRVFAVMFYGQNDPGQRPKASLSTADALKASLNHDLYQPH</t>
  </si>
  <si>
    <t>GC_00001851</t>
  </si>
  <si>
    <t>COG5473</t>
  </si>
  <si>
    <t>MAQTPEHPDGQNSQNSQQPQQGYYYPYGPHAHPNAQQGGQHQQQPYGAQGYGHQSYTEQGSSSYASYGNQYYHAQAGPPLTFGQGDGKLSVADALQYGFSAVMRNGTSWLIGALLFVGIYVVYRGGMFLSSLFAPLVGNMSTSVMLFVFTLPLSYGVALGVNGALQQMDRGIVPFGDFMRGQRLVITTMLLFLWYLVTIFVPVAAMLFMVDTAATPPPFMAIIIAGCLAVVVVAVISILVSMVPFYLLDGRGTIASCIGQALSDSIRNFFPLLLLWIVIGPANVVGSLLCGIGLIATLPVSFLALSYAYRQMSRGQIQLLTS</t>
  </si>
  <si>
    <t>GC_00001852</t>
  </si>
  <si>
    <t>MTISHILFSIAGVLLLILFGYHFIWGNAAYAALRPERGSEDDEGDKKFTAWLNGRAVFQMGSIDLLLPAALLILMGFKFMEVNVALLSALFFWYLGYALFWLLSILFSKGRKKMDYAKQGQWILFLVVAVLVSVGATKFDAATPNPAGNTAMSTMTTSQNVPTVPQQ</t>
  </si>
  <si>
    <t>GC_00001853</t>
  </si>
  <si>
    <t>MSPSDPTHSADRNAQQRIQSHQQQPSSSSSSAQTGQRGRIVQPTPPAPVPEPRRRTTRSARQASRAAQHGQLANSPIVAPSGGSAASPSRHTAGTDARGVGGAERQRASALRRPATGGASPPTTVNSSAVNEPARSAGGAAESARANRAAAAPTRVSPRAVVGAAGGARGGVGTATPPPSRPRKGTPARPGGPNGPRGSAAEADETQSDSDVVRSTGSMAIATLISRITGFLRNMAIGATMGPAVASAFNVANTLPNMVTEIVLGAVLTSLVIPVLVRAEKEDEDHGAAFIRRLFTLSMTLLITVTLASVIGAPLLVSMALDRGGQVNVSQATAFGFLLLPQILFYGMFSLFMAVLNTKAIFKPGAWAPVVNNVVVLVVLALYFILPGQLDPKEPVNIANPHILLLGVGTTLGVVVQALIMVPPLRRAGVDLRPLWGIDDRLKQFGGMALAIIVYVGISQFGLIITSRVASANDASAWTIYQQAWLLLQMPYGIIGVTLLTAIMPRLSRNAAAGDDQAVVHDLTVATKLTAIALIPVVFFLTAFGPSIGIGLFAYLNFDVASAHILGLTLSFSAFTLIPYALVLLHLRVFYAREEAWTPTFIVAGITGTKVLLSMLAPLVASSPQDVVILLAAANGFGYVAGAVIGTFLLRRTLGVLNGRSVVHTALWAIGASIAGVVVAYGLDMLVMLILGGLFENFGSVGFIIRTMLAGVVFLVVTGVVLWRSKLEEVLAFGAVLRRIPGLRRFAPAAVPGGEEGDEEAISETEQLLAASDFTATQVLPPMSAGAVRGPRLVAGAPVADGRFRLLADHGGVPGARFWHAQEQATGRQVALVTVDTTTTEENAEDITAATLELAQLNHPGIAPNIEVLNFRTGCIVIADWVTGSSLDAVAKAGANPAAATLALRPLAEAAARAHDRALTLGLDHQSRIRITSTGTAILAFPAVLSTSSEDQDLNGLGSALTMLIDAPAAELPAGAQPTDAHEFADELYAYARAHAQAVAEQDTQLIVRVEDVPDPELQVGGFGGAGYSRRMTALIAIFSVGLVVTTAVITVFLMSVFNNNQDSPITHNGAGNGQSIQLPVTHAEEWEPAPVVAGTEDNPELAPLVIDNNPTTAWSTDVYLNQFGSVGTKRGVGLLLDLEQPSTVSKLQLVTDRPGSRVAIYGFNNPNPTTFDGAVPIGQAELNRGITDVEVQNSESFNKVLVWVVEMPLPEAATINSITVFGSPASG</t>
  </si>
  <si>
    <t>GC_00001854</t>
  </si>
  <si>
    <t>PF03621.18</t>
  </si>
  <si>
    <t>MbtH-like protein</t>
  </si>
  <si>
    <t>K05375</t>
  </si>
  <si>
    <t>MbtH protein</t>
  </si>
  <si>
    <t>COG3251</t>
  </si>
  <si>
    <t>MbtH family protein, regulates adenylation domains of NRPSs (MbtH) (PDB:2GPF) (PUBMED:21890635;29921120)</t>
  </si>
  <si>
    <t>M00736</t>
  </si>
  <si>
    <t>Nocardicin A biosynthesis, L-pHPG + arginine + serine =&gt; nocardicin A</t>
  </si>
  <si>
    <t>Pathway modules; Biosynthesis of other secondary metabolites; Biosynthesis of beta-lactams</t>
  </si>
  <si>
    <t>ko00001|ko01008</t>
  </si>
  <si>
    <t>KEGG Orthology (KO)&gt;&gt;&gt;09100 Metabolism&gt;&gt;&gt;09110 Biosynthesis of other secondary metabolites&gt;&gt;&gt;00261 Monobactam biosynthesis [PATH:ko00261]|Polyketide biosynthesis proteins&gt;&gt;&gt;Nonribosomal peptide synthetase (NRPS)&gt;&gt;&gt;Linear NRPS&gt;&gt;&gt;Nocardicin synthetase</t>
  </si>
  <si>
    <t>MSQPTNPFDDDNGRFYVLRNKEEQHSLWPTFAAVPDGWDVVFGEASRAECLDYVNENWTDILPLSARKAVAEARGE</t>
  </si>
  <si>
    <t>GC_00001855</t>
  </si>
  <si>
    <t>MTTSISAAELATAVTSVPGVRGVEPGISSTLKTVGSHIQGNDADARFGVIIDADEQSIVLEVGIDGSRLVKDIVRDIQETVILAVSEARGNGDETVVRVRVQSLLM</t>
  </si>
  <si>
    <t>GC_00001856</t>
  </si>
  <si>
    <t>MKLQRRLAVVVATSMLASGLAVPAVHAADQKPQTNNQVTRSSEGIVDGIKNSIATLFLFRLFGPSVSSCIAGNDASCEFI</t>
  </si>
  <si>
    <t>GC_00001857</t>
  </si>
  <si>
    <t>MNRMKTLGAVLSVAVLVSSCASLPNSSEPQSLKRLDNPSSQQDSGPISGREPDLLLRDFYANSANPLKQYAQARNYLTPDANNQWKPGPETVIIDRIGMSRNSTAGADHVSYTVTGTIVGTLGEGGAYNPRNEDYRAVVTLERRDGEWRIAELPNQAIIERTELRNRYIPRDLYFFDPTGNTLVPDRRWMFAGTNTQDTALISLLLAGPSPTLAPGVMDELPNSAAYTRTNNGVYELTGLSSLSEAARRRLAAQLTWTLALAEISEPFSFSIDGDLVRNDRNNPKLSVNDFPEYNPSASGTSAGVLYALTNGKASSISDGNVVAVPGFLGTNGGIESMDVASLNHTNVAASVVTTNAEGDKKSQLYMGPVDGDSTKILTAATLTKPTFEANSQAVWTVMDGNKVMRVAQSSSSSSISQTEVDTSELGENHGDISVLRLSPTGVQAAFIVDGRVYVATVARPTAGDRKLTNVRELVPAIGDSAITLEWSVNSTLLVGTVSTDTPVWRAEVDGSSAIPLSSGNIVAPVVAVSSNSSTVFITDSRAALQLSTSGNSTYWREVPGLEGARSITIVPR</t>
  </si>
  <si>
    <t>GC_00001858</t>
  </si>
  <si>
    <t>MSYPNYNATAAADTQVNLPPITETTVATDPLSGTTYGMYGVVDQPTYATGLGYMDPASSMPVLPMERPLVRDMTNNWFGGVLAGIANKFDISVNLLRLLFVLSCLVLPGAQCIFYFIAWAIIPKGIGY</t>
  </si>
  <si>
    <t>GC_00001859</t>
  </si>
  <si>
    <t>COG4270</t>
  </si>
  <si>
    <t>MPHLASLLLAILLTGYFLPHITDAAPASVAPPRFPSADAGQRRCSVDTVKNFYTILFGFAGVMHFIRPATFDALVPEQLPGRQRTWTYGSGVCELVAAALLSNRRTRSFGGLFSAALLLGVWPGNIYMARNYLTQQNPPRSPLAKAVAVARVPLQILLIRGAWKIYRESPPQ</t>
  </si>
  <si>
    <t>GC_00001860</t>
  </si>
  <si>
    <t>MNQQPSNHDRVQNYSQDELRAMIENEEAVDGGTHPSTLIPISIALCPTTRCSRRC</t>
  </si>
  <si>
    <t>GC_00001861</t>
  </si>
  <si>
    <t>MLSVLLLDSVDWSRQIHMYGKATDTPTHLRALLGNDTEAIHKALQHLDSAPLHQGTVAPAAVTCAQFIVTALNEKAISQQCAINGVLEWLGELGSSIDYDVPEEKPRVDNTLLEELFQMNDDEMEEFFDFLDDNGMELMDSLYVQSLQELHAYAPNVVDTLTRFGATQEARAGWEKYAH</t>
  </si>
  <si>
    <t>GC_00001862</t>
  </si>
  <si>
    <t>P|P</t>
  </si>
  <si>
    <t>Inorganic ion transport and metabolism|Inorganic ion transport and metabolism</t>
  </si>
  <si>
    <t>K02018</t>
  </si>
  <si>
    <t>molybdate transport system permease protein</t>
  </si>
  <si>
    <t>COG4148|COG4149</t>
  </si>
  <si>
    <t>ABC-type molybdate transport system, ATPase component ModC (ModC)|ABC-type molybdate transport system, permease component ModB (ModB)</t>
  </si>
  <si>
    <t>MPELSGNSNTTVTLRPVSQRVPVVFAFVAIGALLLVVGPLVALGLRIPWSTVWSIAREADTITMVKVTLTSAAWAAAITTVLGVALAVWLSGMQRGAGVVRLLVFLPLAMPPVVGGLALTAALGRRGITAPLLNALGLQFAFAFPGVVLAHVFVGLPFVVASVDSALRQIDREVMASAAGVGMSPWAITWKILLPALSPSIAAGASLAFARSLGEFGTTLTFAGSLPGVTRTMPVGIYVEREVNQQRAYVLAAILIMLAVLSLIAAALPTFMARQPRQCPRAIGTLDVDRFRELTSPTSGGVDVTVRYGSVDTRFPANKLTAIIGPNGSGKTTLTRLLTGRLRGATVTPKRGIVLLTQAPGLPPTATVSQAVTMSTGSATLTAQLLDAAGLTELAQVPIPALSGGQAAQVALVRALGARPAVLVLDEPLAAVDVESTFRWRQLLHATAGDRTTIMVTHDPIDLSGMADHVVVMDNGVVVADGAAEEIVQHPPTAFVSTLLSVNRIVGDVSAVENNVVTVQSGDITIVGILFSDVAPQVGDTTTVTFLPNAVTLRTVSAKADGHHESARNVWKGTVTSIDAVNHGISAASHVVVTVSIGQMHIMASITANSALTLGLEVGITVECVVKALNINVHNVHAQKKS</t>
  </si>
  <si>
    <t>GC_00001863</t>
  </si>
  <si>
    <t>MSARAKGVILLIVGIVLLLISRTLLGANDVNGLLGGLCLGIGGASVVSSFVFLFSKEPEMQ</t>
  </si>
  <si>
    <t>GC_00001864</t>
  </si>
  <si>
    <t>MDYGQIAEQLGNFKKFAEAIGGIFTELPKFLNNLDSFVGGGRGSSELGETSSILGSSK</t>
  </si>
  <si>
    <t>GC_00001865</t>
  </si>
  <si>
    <t>PF01048.26</t>
  </si>
  <si>
    <t>Phosphorylase superfamily</t>
  </si>
  <si>
    <t>K01243</t>
  </si>
  <si>
    <t>adenosylhomocysteine nucleosidase [EC:3.2.2.9]</t>
  </si>
  <si>
    <t>M00609|M00034</t>
  </si>
  <si>
    <t>Cysteine biosynthesis, methionine =&gt; cysteine|Methionine salvage pathway</t>
  </si>
  <si>
    <t>Pathway modules; Amino acid metabolism; Cysteine and methionine metabolism|Pathway modules; Amino acid metabolism; Cysteine and methionine metabolism</t>
  </si>
  <si>
    <t>KEGG Orthology (KO)&gt;&gt;&gt;09100 Metabolism&gt;&gt;&gt;09105 Amino acid metabolism&gt;&gt;&gt;00270 Cysteine and methionine metabolism [PATH:ko00270]|Enzymes&gt;&gt;&gt;3. Hydrolases&gt;&gt;&gt;3.2  Glycosylases&gt;&gt;&gt;3.2.2  Hydrolysing N-glycosyl compounds&gt;&gt;&gt;3.2.2.9  adenosylhomocysteine nucleosidase</t>
  </si>
  <si>
    <t>MNTPLYIVADPAEISGIERDSLLVTRVGTLNCAFALIDALTTARIHGNLPSRLVNVGTAGALVDGLSGVFEISHVLKHDFSNDTIAAITGHPYPNGIDLDVSGLLPTARLATGDSFISDSVSRERISRQASLVDMEGYVVALAGQRFGIPVTLLKDVSDNADDKAAGTWTDALPASSRRLMEALEALAL</t>
  </si>
  <si>
    <t>GC_00001866</t>
  </si>
  <si>
    <t>MSKILVISGHPHLDRSNMNAAILESLEDKFNGDILEVRRLDELYPDFNIDAKAEQEALVDADIIVLQFPIYWYNVPSLLKKWIEDVLEYGFAYGSSGTALHGKKLLLSFTAGSGADVYHEKMAHDLPDFMPAFQETAALTGMEWQEPVYSYGALTDADLAAKHSDRLIARLVEISA</t>
  </si>
  <si>
    <t>GC_00001867</t>
  </si>
  <si>
    <t>MNWVMQNSSFIGQLFLNHTVLIVPPLIVAFICAVLVGALGAQYPRVQEIIGGACQLLYTIPSLPLLVITPIFLGVSITSPVTVMVALGLYAVALLVRTSIDAFASVDNTHLQSAETLGYGPWRITFGVRCVLALPVLMAGLRVATMSTVSLASIGALVGVSSLGTLLTDGFQRSLTVEVVTGIIAIVAMALLCDAILRFATKLLTPWAERLPQ</t>
  </si>
  <si>
    <t>GC_00001868</t>
  </si>
  <si>
    <t>MATSHHVSHQSLRLPSIILRPILAVVILVVADLSSTLPLLIPWVKAARRQAVGHGNASIALFCVVTLICVTLTTLVTCASVWFLCRYLDKMPFSIVDLRLTSRGVLWFFSMIAVACIIFAITMGIAHLAGVKGIPEDSSGDTWWANMILSFGLGFLLQAIPEEIIFRGWLIPSLGNTKLAVALSVVTFGVIHIVSQGGQQNLVERFIYLIMPLGFAFAAAIVRLASHSVWAAIGVHGGLHISGTIMFFLPNESSPLQWTLLGVLWVLVGIIVNWRYKVLENLA</t>
  </si>
  <si>
    <t>GC_00001869</t>
  </si>
  <si>
    <t>MIRFDPFDDNGVWVNNGHIMLDPQHLSKGVAYAREHRCTHIGIYDFTRARHHVDLSFLLEMPYVRSFQLDCGLADSVDLTPLYHLPRLCSLHICGQVKEVDLSRFPCLTRLECLFQPGVMFSSTTITSLKVAGAPRLDFLSGLPNVTTIQLTYYKGSDVHGVRCASRLRDFTAHSARNLIDVSELQQCTYLRSVDLEGVPRRLNYNVLGECPNLGSLYLDGVIPSCEFVSKLKNLWAFSCREIANDDLSPLMKSSSLSSVCLSRYKRTYNYSQHDVETRFGWHD</t>
  </si>
  <si>
    <t>GC_00001870</t>
  </si>
  <si>
    <t>MTYYTCCVEPAILPQPDANDVLLSRILYVLAEPARLYIFTRLVTNGTVSCLDIADELNLHKSTVSHHLKIFREAGLTTTTVVGRDRKVSFRRAELDARFPGLVDALYAGAQLESLRERP</t>
  </si>
  <si>
    <t>GC_00001871</t>
  </si>
  <si>
    <t>MKPPTSEQPPSQLPSQREQELDRRLTTIEARLAALEEHVPKETATTPTGTKQVDNDADTYWALTELSSRNNTADNTGAVMFAGHVTTSEQEAMYQWTRPTDFFLTSSWDDPMTRLTALAHPVRGTILRTLLDAPATAAQLAEKNVVTSTGTAYHHLNALMAAGWISKKPTGDFSIRVSRIVPLLTILACCEDH</t>
  </si>
  <si>
    <t>GC_00001872</t>
  </si>
  <si>
    <t>MNAVIDFLTKLTSYSVEGGTDFFKTVNFADIAHFLAPFGKVAEGSKDLLGLVK</t>
  </si>
  <si>
    <t>GC_00001873</t>
  </si>
  <si>
    <t>MTITSGTRGNTALLDRPVRKRTTTLTPSRSIPQRRRFQHTPGSKQVVSVRGRRVVAPKARPGVIRFASLIVALLVCGVVGMMVLSGTSTEQTFRLQQLRSQDTQLANQLETLRRDVEDAKSAAEVARQASENGFVVAEQPGVLVVQPNGAIEEQRVADPGATRPIVDVNGRSTRSSNPASSNPSETREVSGNLEAIPNNDVQVPAQLPAVTPYAPTVRNPQAGR</t>
  </si>
  <si>
    <t>GC_00001874</t>
  </si>
  <si>
    <t>MLRFLIYPVEFLIYPVSGIMKMWHILLHSVLGLSDSTAWMLSIFGLIIVVRLTILPPAWMQYRAGRIYVNLRPKLSQLEEEFQDRTDAEADDELQKARRKLFKDHDYRVSAGCVPTLIQLPMFMGLYQVLLRMARPTEGLHATTHAPIGFLTSNDVATFLEGRVGGVPMPAYVAMTDEQFTFLNTNHDAVFRFALPFFISAAIFMSVNMVYSMYRNLLTMDYKSSFAVGLYKATIVMAFTVPVFPISFGLTGPAPVAISLYWFANSLWTMTQYITISKLLDKHFPLTPEYEDFRELSKQERRDRVRKKRAYKWGLRRRRLLMVLLPHRIPQLRAANRKAIEDWEYERYAARTKKQEIKDKRREAVKIKRERERMEREANKPPPPGRHRMRRETRAQWEAVPRSPNGPRHLKRS</t>
  </si>
  <si>
    <t>GC_00001875</t>
  </si>
  <si>
    <t>MGSLSPSEVAVEGPFSHEFVHTRGVRLHAATAGDPTDPLILLLHDHTGGWFDYIHSISPLAAAGFHVAALDMRGFGMSDKPPSGYGIRYAVGDVAGVIQSLGHKRAHIVGCGSGGAVAWTLAANYPEHTLSLTSMCAADPSDYRQLQRTRPWLLLLDARPFRTPTHRLRSLTHPSFHHTELFAQAADLRTKGADIAHVDDAMRRNARLRSARLPLKWHRDHITRPTLVIHGDGMLCPHFLEFAARRVRGESVSVSHIPETKTLPHVEKPEDFVASLLTFVG</t>
  </si>
  <si>
    <t>GC_00001876</t>
  </si>
  <si>
    <t>PF14042.11</t>
  </si>
  <si>
    <t>Domain of unknown function (DUF4247)</t>
  </si>
  <si>
    <t>MESSKWLKIAIACLIGAVLTFVLGYAVSSDNTDISKYIAKTYKKANASGFASDQAVYSCSGEPKKVANDIVTKGPRRPDAQKEDPKTNTVYLRYPKNLVQVLTKNNQCLIVVESHKRLNNGTYVFMGPGFGPSSPGSSSGGRSGSGSGGGGGGSGSGVK</t>
  </si>
  <si>
    <t>GC_00001877</t>
  </si>
  <si>
    <t>MSDMVKWRDRWKTITAWVLIVVVWVCTPFIGDRIPTWVAWAYCLFSPAAVIFGLYVAWTKRSVFLGIASILTIFSWLIILVVGLALFGI</t>
  </si>
  <si>
    <t>GC_00001878</t>
  </si>
  <si>
    <t>MSSIFRRSITTSCAIIALGASLAACSPPNEIDSNRKIETAISGIAPKQTTSTTPRTSSAAPSVSATPTTKATHH</t>
  </si>
  <si>
    <t>GC_00001879</t>
  </si>
  <si>
    <t>PF10739.15</t>
  </si>
  <si>
    <t>Protein of unknown function (DUF2550)</t>
  </si>
  <si>
    <t>MEYVWFALILAVIVITLLATWRFITLRSKGTPVLLRKMPAPGDHGWRHGAIRYVGEKIEYYKLRSLSPRADLFVMRGDLKVLARREPTSNEVLYMHPNTRILLIEIAGTEYELAFENRGDTAFIAWLESAPTRQVIRVNPRQAMRHFAIQQARELGGR</t>
  </si>
  <si>
    <t>GC_00001880</t>
  </si>
  <si>
    <t>PF09990.14</t>
  </si>
  <si>
    <t>Predicted membrane protein (DUF2231)</t>
  </si>
  <si>
    <t>C|I</t>
  </si>
  <si>
    <t>Energy production and conversion|Lipid transport and metabolism</t>
  </si>
  <si>
    <t>COG5274</t>
  </si>
  <si>
    <t>Cytochrome b involved in lipid metabolism (CYB5) (PDB:1AQA)</t>
  </si>
  <si>
    <t>MPLHPLAVHLPVVIIPLTALGLLAWVLVPSLGAKVRSWLVGGGVLGVIGTAWSNTTGAELLKDIGRSPQNPGDVAPHMMWGNALVVASIFLAAAAIALWYKETVVTQIAAVIMAVVALIITFGAGHSGAQLVWH</t>
  </si>
  <si>
    <t>GC_00001881</t>
  </si>
  <si>
    <t>MTAITEFIQQLREFGTGAYLRPEERQYWEPPFDVNALPELEALLIGYAKSVPLDVPNPDIIRDHVLDLYTQLREFNARHNDAIIEPEEEAEITELVRMMWPDYAADHVPDFADLDASTSE</t>
  </si>
  <si>
    <t>GC_00001882</t>
  </si>
  <si>
    <t>PF00550.31</t>
  </si>
  <si>
    <t>Phosphopantetheine attachment site</t>
  </si>
  <si>
    <t>K02078</t>
  </si>
  <si>
    <t>acyl carrier protein</t>
  </si>
  <si>
    <t>COG0236</t>
  </si>
  <si>
    <t>Acyl carrier protein (AcpP) (PDB:1ACP)</t>
  </si>
  <si>
    <t>M00885|M00886|M00848</t>
  </si>
  <si>
    <t>Meromycolic acid biosynthesis, initiation and elongation FAS II (KasA)|Meromycolic acid biosynthesis, initiation and elongation FAS II (KasA and KasB)|Aurachin biosynthesis, anthranilate =&gt; aurachin A</t>
  </si>
  <si>
    <t>Pathway modules; Lipid metabolism; Fatty acid metabolism|Pathway modules; Lipid metabolism; Fatty acid metabolism|Pathway modules; Biosynthesis of other secondary metabolites; Biosynthesis of other antibiotics</t>
  </si>
  <si>
    <t>ko00001|ko00001|ko00001</t>
  </si>
  <si>
    <t>KEGG Orthology (KO)&gt;&gt;&gt;09100 Metabolism&gt;&gt;&gt;09103 Lipid metabolism&gt;&gt;&gt;00061 Fatty acid biosynthesis [PATH:ko00061]|KEGG Orthology (KO)&gt;&gt;&gt;09100 Metabolism&gt;&gt;&gt;09103 Lipid metabolism&gt;&gt;&gt;00074 Mycolic acid biosynthesis [PATH:ko00074]|KEGG Orthology (KO)&gt;&gt;&gt;09100 Metabolism&gt;&gt;&gt;09110 Biosynthesis of other secondary metabolites&gt;&gt;&gt;00998 Biosynthesis of various antibiotics [PATH:ko00998]</t>
  </si>
  <si>
    <t>MTSLQEQLAALHTDTAAASTSAEATTATKLRTLMASIAGVTTEDIADNSLLIDDLGFQSLDLIELAVRCEQTFGVKTNAEAYLTMRTFADVLRFCEQSTN</t>
  </si>
  <si>
    <t>GC_00001883</t>
  </si>
  <si>
    <t>PF07853.16</t>
  </si>
  <si>
    <t>Domain of unknown function (DUF1648)</t>
  </si>
  <si>
    <t>K26996</t>
  </si>
  <si>
    <t>immunity protein, SdpI family</t>
  </si>
  <si>
    <t>KEGG Orthology (KO)&gt;&gt;&gt;09190 Not Included in Pathway or Brite&gt;&gt;&gt;09193 Unclassified: signaling and cellular processes&gt;&gt;&gt;99994 Others</t>
  </si>
  <si>
    <t>MRSLWWYVASHAVMVIAIAVALYHYPQLPDPLPLHWGQDGTVDNAAPKTIPTVLFLVGLGPAIVIAAGAGFAGYSQFFAYNSRERDAVSRQRTILINKTTQLTLGFFTLSVTTAISFLVTRALVWTVETWELYLCLSFIIAVLVWAVSADIRARRHADIIYPPSNYKPRALKGGMFYWDEGDSRTFIELDANTMALNLAKPSAWAVMAMLLIPVFVIGCVVAFA</t>
  </si>
  <si>
    <t>GC_00001884</t>
  </si>
  <si>
    <t>COG0419</t>
  </si>
  <si>
    <t>DNA repair exonuclease SbcCD ATPase subunit (SbcC) (PDB:3QKR)</t>
  </si>
  <si>
    <t>MKIHRIALSNVRGIEHLDLDEIPDTGFILITGPNEQGKSTVMDAVYTALFHKHTANNRDVKALQPIGKDVGSTIIVDATIGPYTLSVTKTFNKQRSAHLAITRPKVDNYTGADAERVLAEILEQHLDRSLFTALFVRQGELSHSLKAAGIPTLSSVLSGTDVADSAAQPTDNTALLDRVDEEYRRYYTLGKGAATGELKAAMDDVEQLTAEMHTAEQRVQDLAIYVDRVAALAEQKAAAEQRIPQIKDEIAQRELAFTAAEAAQNRVKQALQAAELASAAAENATRDWERRQDRITEVTQISAEVTDLTKQLADKHSERTHRDKQLAHLKERVELAKQQAATDAANLTAVNEQLHIIVGTQRLQELRRLIDAVTNLDAEIHKRRHSNAHIPAITTDMIDAAAQAEHAVLLATAKRDAHSAQLELSAAETQSVMINGEEETIGAQPRTYEIVDTLDINVSGVRIRALPGQSQIDAQQAVVDSKEVLAEILDGTHCADVAELRSRYAEQQSAQEAVAALERERKATLQGRDLDSLQSEEATLVEQLGEDLGDPEQLSVLREQQTELSERYDVSFAAVDAAKAELDAARDHTIDVDIRVVEAQLKAASQRGDAAGARLADERSHDADSEIERRVQVTNAALMEARQAVDYARETAEQHDYHAASRLLDGAHNELADAEQQVVDTQTHIAENRGRIEQSAGAEEHRDTLNARLSSAHSVLAATQRRAAAVKLLRETLHRHRDAAQRRYAGPFAEKLGQLARLLFGAGVGFELNEELQVTRRSAGSEVMDVSWLSGGAQEQLAMLVRLAIAELVAEDGDMEGVPVFVDDVLGNTDDERLKAMAAVLSEVSADKQVFMLSCQPQRYTRVDIKRKYEINLMKGMR</t>
  </si>
  <si>
    <t>GC_00001885</t>
  </si>
  <si>
    <t>PF00908.23</t>
  </si>
  <si>
    <t>dTDP-4-dehydrorhamnose 3,5-epimerase</t>
  </si>
  <si>
    <t>K01790</t>
  </si>
  <si>
    <t>dTDP-4-dehydrorhamnose 3,5-epimerase [EC:5.1.3.13]</t>
  </si>
  <si>
    <t>COG1898</t>
  </si>
  <si>
    <t>dTDP-4-dehydrorhamnose 3,5-epimerase or related enzyme (RfbC) (PDB:1DZR)</t>
  </si>
  <si>
    <t>KEGG Orthology (KO)&gt;&gt;&gt;09100 Metabolism&gt;&gt;&gt;09101 Carbohydrate metabolism&gt;&gt;&gt;00541 Biosynthesis of various nucleotide sugars [PATH:ko00541]|KEGG Orthology (KO)&gt;&gt;&gt;09100 Metabolism&gt;&gt;&gt;09109 Metabolism of terpenoids and polyketides&gt;&gt;&gt;00523 Polyketide sugar unit biosynthesis [PATH:ko00523]|KEGG Orthology (KO)&gt;&gt;&gt;09100 Metabolism&gt;&gt;&gt;09110 Biosynthesis of other secondary metabolites&gt;&gt;&gt;00521 Streptomycin biosynthesis [PATH:ko00521]|Enzymes&gt;&gt;&gt;5. Isomerases&gt;&gt;&gt;5.1  Racemases and epimerases&gt;&gt;&gt;5.1.3  Acting on carbohydrates and derivatives&gt;&gt;&gt;5.1.3.13  dTDP-4-dehydrorhamnose 3,5-epimerase</t>
  </si>
  <si>
    <t>MQRPNVSFKLEVMLHELSLPGVFLAKPTIHSDERGTFQEWFKASTFEEATGFPLDMQQGNLSTSRRGVVRGLHYADVPPGQAKYVTCVAGSIRDVVVDVRLGSPTFGQHVVVELSAENRHAVFVPVGFAHGFAALSDATVMYVTTSEYDPEIERELNPCDPALAIEWGVAEPIMSDKDVAAVSLADAQSLGVLPTFEACTEYETMLRDAWVLANEEAVQ</t>
  </si>
  <si>
    <t>GC_00001886</t>
  </si>
  <si>
    <t>PF06259.18</t>
  </si>
  <si>
    <t>Alpha/beta hydrolase</t>
  </si>
  <si>
    <t>COG3087</t>
  </si>
  <si>
    <t>Cell division protein FtsN (FtsN) (PDB:1UTA)</t>
  </si>
  <si>
    <t>MPPSLFPLNSEQLSNLSAALKSSATNLAHNAVEAAERWQYIYGLGLAGESFNAAYEQEDMTHRASRQTAAQLAELARTMDKAAAKQKVLDGLAQYALPFLEAEGEINIPVSIFMTQLGTLARALDLATAFAASMIGGDDTKVRGLTLADFGDMSAAEINEINSHRLTPEAAAALEEFTKDRKPGDPPVHVLEVEPGKMVVAVGDIDTADSITTLVAGVGSSNPAGWATYLHRTDLIQQHTHGAAIMWLGYDAPPSVPAAVNPRAAREGAPSLQEMQSTLRRRDEVRNGASKSGHRQRLLVAAHSFGSLLAFTAAASPGGLEADGLLAMGSPGAAVLHKSQLNLHATDGDPEVYAVTGSRDWISMLGSAFGGYHGADPSDALFGAERWPSESDHDYWKDESFLKRVGEAANAR</t>
  </si>
  <si>
    <t>GC_00001887</t>
  </si>
  <si>
    <t>PF10724.14</t>
  </si>
  <si>
    <t>Protein of unknown function (DUF2516)</t>
  </si>
  <si>
    <t>MLYANYVTLAVWGLMQIVAICGVVGAVQVGMTREDAFRAADRQSKWAWLGLLLGSAFVSSMGLAYLSFMAIIGVVIIGIYWFDVRPQIKDILSGNYQW</t>
  </si>
  <si>
    <t>GC_00001888</t>
  </si>
  <si>
    <t>MIHNYARQAPVTMAFSLVMVIIWLATAAQAGSLANNADSSLGEQLLLYPQQLTPVSIVGNMFMHFGAAHLAMNTIMLLLLGREIEMSLRDPWLYAAVFLVSGLGADAAIVHFHPNSVVAGVSGVLYSFMALLVGIAFRRRSDLRAPIILIAVNLAYSLLAPGISLWGHLGGLCAGVFLIPATIWPQRKVVQWIAVLTVGAAALGLTLLPA</t>
  </si>
  <si>
    <t>GC_00001889</t>
  </si>
  <si>
    <t>PF13601.12</t>
  </si>
  <si>
    <t>Winged helix DNA-binding domain</t>
  </si>
  <si>
    <t>MSTHPRNDLNPAFTNPLRFSLMATLAGVEKLPFKDARDYLGTTDSTLSKHASALEEAGFVTIMKGFLGKKPQTTLKLSKQGRTAWAAHLDALRQIAFPQDTES</t>
  </si>
  <si>
    <t>GC_00001890</t>
  </si>
  <si>
    <t>MVNMSALPQLKPIKISDLQQRYTRAHITQNYDRIAHGVVITKAEQTADAPFQHDIISRARAHHLNNPKAIVSHWAAAAYAGLTYWANEAQVTLLVESGRHTSHSRLQPHRQAKPAATATWTPDPAFPMLRCVTPALATIQCIKDVVRGNHTWFVHRVPGLAPEEIRSIQLIDAMRRCTGITPYDVLSSGYGIISARMLQKLISLSDPQADSPQETTLRLIAFQVHDGLSTQIPIYARFPEGGYPRLLTQLDAGWRAYKVGLFYDGIHHLDRRQRDYDSMVTIQLHNMGWDTLRITHGMLYNARELQRNIAARINARKSMP</t>
  </si>
  <si>
    <t>GC_00001891</t>
  </si>
  <si>
    <t>MSLWPFSKNKKDQSGYSATDVRSDDDVWIDDDYIDDDDVPADEDYIDDEYSDDYSDDDYPDESYADDDYSEDDYSEDDYSDEDDVDYEVDEGDVGPFDGDTVPFEDFDFSDFSRGTLSLGSLKIPLPLHSEVQVEMDGNGPRMLHIVTPYGRITPVAFAAPRSEGQWRQTTKELAEGMRNDGLIVHIEHGPWGREIVGLAPEATIRIIGADGPRWMLRMTIAAPNATADQMTELGRDVVARTFVYRGDEPIFAGQPLPVSLPDKLAKKVQQAMEKRQKDKNNAAETSPDKAAEVATPAAAAETPPQQEPVQERTREQSHRSREHSGQTHHDHAQREQQQHQEQLRREHRHELRENQQERSRHAYSESARPQATPLQPTPPTPATDITQMMPRQTGKPQREAHREIHSNSHQGNSSNLRQPSSAPAASPTSAPTARSQGGKRRARTVAPMSSVSASLGSTATATATSTRNRSATVLDGDRQESRRGRHALGAENASVTTSGEDQVSRRGESPSAESSERSGRMGRRDASRMGAEGSALQQMRSER</t>
  </si>
  <si>
    <t>GC_00001892</t>
  </si>
  <si>
    <t>PF00392.27</t>
  </si>
  <si>
    <t>Bacterial regulatory proteins, gntR family</t>
  </si>
  <si>
    <t>COG1802</t>
  </si>
  <si>
    <t>DNA-binding transcriptional regulator, GntR family (GntR) (PDB:3FMS)</t>
  </si>
  <si>
    <t>MSVMVSSMSAHNDGMPPTSPLTSVSSVEQLAASITASINIGVLVPGVQLSEVALAQQYGVSRNTLREAFRLLARDGLVEHVPHRGVFVRTMTAHDLKDIYAYRRFVELGAITYAYSDAHRTLDCLRRMRVACDHGEAGMLAENWIDVGNANVDFHQAIVDFVGSAFLTRNARIALAQSRLAFLVHPNGNDVHAPFVKKNRYIVNLLATGEVAAARDELSTYLDRAESINLKLVADGNEDSE</t>
  </si>
  <si>
    <t>GC_00001893</t>
  </si>
  <si>
    <t>MNDKEEHTITENITPLQKNIAFRLLMWALVPILAAIGWQLGHAYSQTLDNEYVVDSKILVTNPHIEDDNENSRLTALGRTRDDTVLLGEATNSEEFHQRLSQRSGVNAALFEITGTATRTTRVVTIRVSSKQPEVSSAVSSAAFDTLEQYLQDHRGALYLDTGLLFINSESIAAFKSGAGADWRLSGLVLGMLLGITLVAISSRWTMERREDE</t>
  </si>
  <si>
    <t>GC_00001894</t>
  </si>
  <si>
    <t>MLSVKTSVHRLIACCNGGMYLGVNNYGSDVFG</t>
  </si>
  <si>
    <t>GC_00001895</t>
  </si>
  <si>
    <t>MTHTHQDVQQKLPVAEILFTGFTIITTDGLNITSRPLSGTDMFLLCGYAAETALCVWIAFRHSHRTTHPNNFVRALIFMAIMAVSCWAVPSNITRLLALIATLVYIAYVLRYGK</t>
  </si>
  <si>
    <t>GC_00001896</t>
  </si>
  <si>
    <t>PF11239.13</t>
  </si>
  <si>
    <t>Protein of unknown function (DUF3040)</t>
  </si>
  <si>
    <t>MALSEQEQRMLREIEQSLLADDPKFSAAVKNAGAFAGESRTGGLTIRGIALFMLGLVLLVGGVALSQQNLWFVTISVVGFLLMFGAAMWMLQGGARRQSIERRQRFLRQTPADSNSSVASRMEDNFRRRFDEH</t>
  </si>
  <si>
    <t>GC_00001897</t>
  </si>
  <si>
    <t>MRFSFHQPPLPPTPVTRRPIVTTVGTAAVVTLAALLTPPASNAFTVTADTEKQLCRVDPNSPSQVRDFWNKLENDVRKARIAEIDKASPGFAADLAAYESGREGAPTVNDLQQRITNTGGQEGLGMLTTQTAADAGIDAATDPGFRTEYTEQQARTAAQDIGDNPAAAISGTLQSQASSGMRIDALRSELFSTRAADYNSAQQTLKTNLTHCADELADARPMPWQQKALIAAAIVAALLVGVKAWFNSRKPSRHQAQR</t>
  </si>
  <si>
    <t>GC_00001898</t>
  </si>
  <si>
    <t>MIGQGLKARHIHFIALGSAIGTGLFYGSAKAIQAAGPSVLLVYLLGGIVVYFMLRALGEMAVSMPVVGSFSEYARTHLGGWAGFITGWMYAFEMVIVCIADLTAVGIYMDFWYDGVPRWIWVALALLIVGAVNLTSVRLFGELEFWFTLIKVAAVIAMIVGGAAILIFGFGEQPHAVGVSNLWNDGGFMPNGPTGMISAFILVLFAFGGTEIIGVTAAEADHPEQSIPKAVNTVPVRILLFYVLAIFVILCINPWRTVNGDESPFTQIFSSLNHDWSTGVAGVLNFVLITAALSAINSDIFGAGRIITGMAQEKLAPRVCAKLYNGVPVVTVAALIAVLSLGVWLNYIIPEEVFAIIAALATFATIFVWLMILLAHVASRRRMSPSQVQELKFPVPFWPYGQYFAIAFILFTFGIMVWQASYHEALIAGIGFTVIMTAIYFFTGRGSTTRSIE</t>
  </si>
  <si>
    <t>GC_00001899</t>
  </si>
  <si>
    <t>PF00970.30</t>
  </si>
  <si>
    <t>Oxidoreductase FAD-binding domain</t>
  </si>
  <si>
    <t>H|C</t>
  </si>
  <si>
    <t>Coenzyme transport and metabolism|Energy production and conversion</t>
  </si>
  <si>
    <t>COG0543</t>
  </si>
  <si>
    <t>NAD(P)H-flavin reductase (Mcr1) (PDB:3A1F)</t>
  </si>
  <si>
    <t>MNTTGELVHNRRVTMETLSVVAECLERHPDLFRTLAQRYFLDDCPEARFLFPTDDSTAHADLAAALIFVFNHSNADGSLTPKLVSILEQLGRDHRKFQVADNHYERFGNALNRALKIVGAHAPTYAITAAEKAITATLETMRRAAKEEDDTGLPATWTGEVIETQRRSRYISVVRLVSETPPPFAPGQYLPVTCSLMSRQWRYLSPALPPNKEGHLEFHIKTTDTDSNSRILANSRPGDIWTFGAPLGKMHISGTRDVLAIAHTTGLASIRSLLLDAATLSDPPRTHLFFGADYPGELYELLGLWNFAASAPWLSVTPVTTYTENEWWVGATEHSVAPRGLHLPQYGSLSSIVSSYGSWEDRDVLIAGPNEVVRDVVNTLLASGTPASHIQHDPF</t>
  </si>
  <si>
    <t>GC_00001900</t>
  </si>
  <si>
    <t>MGGYTMEPMVNPTSLMETATTIAVGAAELITRQRAEIVSLDEVTTTKSSDVDPVTIVDKSAEDYIADQLAQLRPEDGLLGEEGGNRSSKSGVTWIVDPIDGTVNFLYGIPQYAVSIAAEYGGEIIAGAVVNVQTGELFHAAHDEGAWLQQAGQKQRLRVTSKSELHTALVATGFGYDASRRAVQASLLDNILPHIRDIRRFGSAALDLCAVAAGRVDAYYEHGLNAWDFAAGLLIAQEAGAKVWAPSPSMPGSAGEIIVVAAPEVAEEMYALLQSIGALKPLAH</t>
  </si>
  <si>
    <t>GC_00001901</t>
  </si>
  <si>
    <t>PF04977.20</t>
  </si>
  <si>
    <t>Septum formation initiator</t>
  </si>
  <si>
    <t>K05589</t>
  </si>
  <si>
    <t>cell division protein FtsB</t>
  </si>
  <si>
    <t>COG2919</t>
  </si>
  <si>
    <t>Cell division protein FtsB (FtsB) (PDB:4IFF)</t>
  </si>
  <si>
    <t>MKDAGKKRNRVVPVARRRTDASARGPRPGAAIPRTAPFSAAQTLTLVIVLVLLLLGIALPLRNYFQQRSDIAQTQSDIASKEKRKEELLAELDKYNSKAYVEEQARNRLNVVKEGETAFRIVDPAMDSDSSVTSAEGEAQPESDAWYTTVWRSIADSDADLKLGGVDKQQEEQQPEQSTQLPIEPTQAP</t>
  </si>
  <si>
    <t>GC_00001902</t>
  </si>
  <si>
    <t>PF11305.13</t>
  </si>
  <si>
    <t>Protein of unknown function (DUF3107)</t>
  </si>
  <si>
    <t>MDIRIGFVDSGRELAITGVERVSGVSVSQQSEAVALIDGAMENDAAVVEFTDNKGRRYLVRSKQIAFVEVDNDTPRTVGFAG</t>
  </si>
  <si>
    <t>GC_00001903</t>
  </si>
  <si>
    <t>MTQPDEVTLDFERAFAGIAETRSQCEDYQDRHGQTAPCFASSAAGQGFEDQGRAIADMYERIHRQTDEQTQQLLRVMGTVEQSVHRFAVAEGFFTDCLRRLNQ</t>
  </si>
  <si>
    <t>GC_00001904</t>
  </si>
  <si>
    <t>PF13421.11</t>
  </si>
  <si>
    <t>SPFH domain-Band 7 family</t>
  </si>
  <si>
    <t>COG4260</t>
  </si>
  <si>
    <t>Membrane protease subunit, stomatin/prohibitin family, contains C-terminal Zn-ribbon domain (YdjI)</t>
  </si>
  <si>
    <t>MGIPFVDLIECLDPDPQLVMWKWPVENGQIKTGAQLIVRENQIALTLAHGQASAVYGPGRHTLPSVNIPVLDQLKGWKYGFASPNIYDVFFMVTRQFVDLKWGTPAPVMMHDPKFGQVRVRAFGSYNVRITDAARFFREYAGSYPLLCIRDLEIQLRDYIAAKFGEIMATSGISVMDFAANLSMVNARLAPAIAPYFEDLGVSVTQFSIASVTLPDEVNEYYDKVTGMNMIGDMDKFQRFNTALATGDARTAAGAGAQDGMAMGLLFSEMAATQQQTQQAAPAPAPAATPAAANPMEKLTTLKQMFDADLITEQEYAAKKAAILEEM</t>
  </si>
  <si>
    <t>GC_00001905</t>
  </si>
  <si>
    <t>MEQTFSDMSVQMAVERAGASELVMMVAKDVHDVLRPNEFVLEFADTTSPGFHSALAVTNYRILIGVGPGQLQEIAVDSVTRVDAVRAPEVTLLIRVYNADVTVYGLGDRGLRRIFHAFNWIVSQNAARPAHADPENSIADMYNEWIDVQRFLHENPDVSDEEGNQRLAGMVANKRWW</t>
  </si>
  <si>
    <t>GC_00001906</t>
  </si>
  <si>
    <t>MSTKKRRAKNAPSKPTNSPNSPNKADSARRQAATASPTDDPAEFLTNVVEDDATIEDKPKVTTELAETDRAAILGQDGRWAAGWALRFIIMVAAGYLLWRGLALVWEGLLPVLLAIIVSTVLWPPVRWLRKHKVPSALSVVIVLITFFAILGGIFTAMAPSITTQSKDLAEQATKGIEQLQQWIQGPPLNIDLGHYNDIIDQISTFLQNRVTDIASRVVSGISTAGSIVVTFVLMLVLTFFFLKDGEGFLPMIRRTTGYNVGWHLTEVLTRIWNTLSGFIRVQAIISFVDASCICIGLLILHVPLAPALAVITFFASFIPIVGALVAGALAVIIALVSNGVTNALLVLAIIIAVQQLEGHILQPVLQSKAMNLHAAIVLLSVTIGSTMFGVVGAFLAVPVAATLSVLVRYHFELVALRAGEITIDDIEMATKEGQAMSGKGDGADQQPDDANLTSTQRAFQAFQQRLARWGKTSPEKS</t>
  </si>
  <si>
    <t>GC_00001907</t>
  </si>
  <si>
    <t>MALSEHEQQMLKEIEQSLLSEDPKFGAVVTDGDFAQSKGTVTLRGIAIVVIGLVLLVTGVALSQMSLWWLSLSILGFLVMVAGGMWMLRGGGKSTFNLSDGYHSSAGRRRPQKSGGLGDRMEDNFRRRFEN</t>
  </si>
  <si>
    <t>GC_00001908</t>
  </si>
  <si>
    <t>K15773</t>
  </si>
  <si>
    <t>HTH-type transcriptional regulator / antitoxin HipB</t>
  </si>
  <si>
    <t>COG3620</t>
  </si>
  <si>
    <t>Predicted transcriptional regulator, contains an XRE-type HTH domain (archaeal members contain CBS pair) (AF2118)</t>
  </si>
  <si>
    <t>ko03000|ko02048</t>
  </si>
  <si>
    <t>Transcription factors&gt;&gt;&gt;Prokaryotic type&gt;&gt;&gt;Helix-turn-helix&gt;&gt;&gt;Other families|Prokaryotic defense system&gt;&gt;&gt;Toxin-antitoxin system (TA system)&gt;&gt;&gt;Type II TA system&gt;&gt;&gt;HipA-HipB</t>
  </si>
  <si>
    <t>MTPEEIGNALKTRRKEYQLRQEEVAEFARVSERFVREVEKGKQTVRLDKLIDVLTAVGLELVATDRVPEQLKPFKG</t>
  </si>
  <si>
    <t>GC_00001909</t>
  </si>
  <si>
    <t>MDTPQNHKKESTALLMFVLADGITLMTILTENASIFSTIATMWGATTGERTEHMRSVQAISH</t>
  </si>
  <si>
    <t>GC_00001910</t>
  </si>
  <si>
    <t>PF09957.15</t>
  </si>
  <si>
    <t>Bacterial antitoxin of type II TA system, VapB</t>
  </si>
  <si>
    <t>MNAMQMRLIVTLDDELVAKASKLTSITDHSALVHAALEALIQDQTERQLGEPTTSEAMPQRTHLIVKKQ</t>
  </si>
  <si>
    <t>GC_00001911</t>
  </si>
  <si>
    <t>M|D|T</t>
  </si>
  <si>
    <t>Cell wall/membrane/envelope biogenesis|Cell cycle control, cell division, chromosome partitioning|Signal transduction mechanisms</t>
  </si>
  <si>
    <t>COG0464</t>
  </si>
  <si>
    <t>AAA+-type ATPase, SpoVK/Ycf46/Vps4 family (SpoVK) (PDB:3SYL)</t>
  </si>
  <si>
    <t>MPNYLETTEIITRYLKARVPLIVVKSTEPVRVFSILRTISTNIPSLPFFYYSAADGLRELASNQLVLEDQSLAAALDQAKTMFKARRNVNFIFTEIDHLDSDTPTARHFCQMVRIAEEYQGAIILLADKPVWSGLARLGMSVTLDLPTTEEIFELVSGMMKGHSTAIPVEWAESDMRAAAEILTGITEAEVVNVLATMLVKGAIRAEDLAELSRFKDSIFGELTGIERIRLDDNYHVGGLDNLNAWLKKRKALMKTDLSGTRLHPPKGILLCGVPGCGKSLSAKNIAVQWELPLYRLDMGAILGMYVGESEQNLREALETAERMAPCVLWIDEIEKGLATGSGDSSVTKRLIGQFLFWLQESQAKVFIVATANDVSTLPPELLRKGRFDEIFFVDLPTETERTDIIDLCFWKYTNHAIPSHLVAELAEVSEGFAGSDIDAVVHDIGSEMLFNNTTELPPSDYIRSQFRNVVPFSQTNPEELAAIRDWGRHRAVPAGRTIADSPDNNSVFAGRTIVL</t>
  </si>
  <si>
    <t>GC_00001912</t>
  </si>
  <si>
    <t>MSCHASNAATTGAVDVIVWEVFVVDDHFGVLVEVEIGQVNPVATDVVGGVETDRWGHC</t>
  </si>
  <si>
    <t>GC_00001913</t>
  </si>
  <si>
    <t>MYPEDLNPDTKGTMNRLNGKVTAKFMAASASVIVGISAMQPAAAQEISIPDELNNLLDQHGATTDIWNSGAQLPVNIPDIPLDSSSDILNQLTGEANKAINSVPEVQVPALPAVPEVPATPQIGGYNAGEVIGRTIAEINAYRAQNGLPMVNQTPAAQASAQGYADFMLGQNIGNFSGTPNGYHHDPTCNCWENLLWGYNNPDAMYHPFNYWRNSPGHNANLLAHGPTSIGVGVAHDAATGHFFAVMRMF</t>
  </si>
  <si>
    <t>GC_00001914</t>
  </si>
  <si>
    <t>MQDRSTAGYGIGVFPSLAVDLLGWGMLWSAKKFAYLQVGKWGVFVLEHKQT</t>
  </si>
  <si>
    <t>GC_00001915</t>
  </si>
  <si>
    <t>MSEEKLSLREAKRLATHMSITDHATRLVMDHGFDAVTVEDICQAAGISRRTFFNYVDSKECAVFGAAPKEIGEREIAVFCENRHEDVLEALIALSSRLLDPYLNREDPRMGDILRRRKCIALKHPERQAQQLVQFHNVRKSAMRLLVAYFEQWPDARRLPNQTVETEALTLVSIMSSAMQLGMHNWIHSSSPPGATLMEGLRQSCRDALTNITELLEKPTKKEEITHDSDHF</t>
  </si>
  <si>
    <t>GC_00001916</t>
  </si>
  <si>
    <t>MSPDFLPTSMGFLVNRLAREFHAAFTSALATIPGGMTSAQFAVLQDIYEHPGSSQKEISKRTGMDVATLTELLRRLEQRGRIVRSKSPEDARRHVVSLAPEATQDIRQAREAAAAVNARAVAGLSDHDIAVLRRCLTTMEGNLQ</t>
  </si>
  <si>
    <t>GC_00001917</t>
  </si>
  <si>
    <t>MTVAGHTPGFYLVAFSLVSVFLVIMERLVTGYHTFPYVVAQAIVGCILIIIAAILTPRWAKNPDNTPLAVATAIVNILLFIIGDVTISSSVLAVALWVVYRSFSMRACLGLTIAFIIFSPIPYILRHLPAERVIREFIGASILFILYLFLAWFLASLEAGAERERALAIEAAVSKEQTAAARMLHDGLGQQLVAITMSFNVAKALKPTNEEAAWQELEHARTVTNQALTDLRRWVRALDPPTTPTPHTTNQLVEIMKSLSQTFSSTGLEFRIIPPSEDQPIPTPIGEILHIAAQEGVANALRHGHPTAIHFHLSTTDDTVTLMVEDHGDPTATASTSEKPEGYGLRSLRERAEHAGGTVTATPTPTGFQLTTILPLREA</t>
  </si>
  <si>
    <t>GC_00001918</t>
  </si>
  <si>
    <t>MPGKTNIHHPLPNPAALPGIDPPSLDLAEPQEPDTAPLTAGEILKAAPARHGDKHLVVLSPSAHIIRRPNVGIQCGADATTAGVFEVQGPPQRLLVPILMSCINPVSVDVLHRRVEMTGLSAIKARLLIDDLLNHGVLVPFEHMVVAVIGRCSLAATVIRLLGELGVVVRQPRRGESEERFLAQIPKELLVIPVGKVGYGKSICRRLGRWDDVIPATIIDSSGVIGPIRVRGEGACLQCAELYRISADPQWRTVTKDLPLNPRHNPVVEYATAARVAALLMPRYPAPGVVNASYAPGVCIEVNPFVGTAVETVVRTHPICPVCWENRS</t>
  </si>
  <si>
    <t>GC_00001919</t>
  </si>
  <si>
    <t>K22522</t>
  </si>
  <si>
    <t>cytokinin riboside 5'-monophosphate phosphoribohydrolase [EC:3.2.2.-]</t>
  </si>
  <si>
    <t>COG1611|COG2153</t>
  </si>
  <si>
    <t>Nucleotide monophosphate nucleosidase PpnN/YdgH, Lonely Guy (LOG) family (PpnN) (PDB:2PMB) (PUBMED:25728768;27941785;31023582;31420341)|Predicted N-acyltransferase, GNAT family (ElaA) (PDB:1XEB)</t>
  </si>
  <si>
    <t>MTPAATNVRAHAYLRVLNRLAERYTLADVTDHSPFAPYLTFDPSRGDMGLILEDERRLPVASMWVSFITAKGFIADSVPEMVLSVEPNWRGKGIGGWLIKQAVNYGRTHGWQGISVSVESESPARRLYARNEFVTQSDEGVMLRTLSPLITAVAVYCGSVMGERPEFAEAAAELGEELARRNITMVYGGASVGLMGEAASACLAAGGEVIGVMPRGLADLELVHPHLSRLELTDDILARKTRMEELADAFVALPGGMGTLEEVSEVLVRQQLGPYTGPVALYNVEDYWTPFLTALRAMEEEGFIWERYLDAIVVADSLDGLFDGFNRWANPGLKWRKGGLRNH</t>
  </si>
  <si>
    <t>GC_00001920</t>
  </si>
  <si>
    <t>MNFRSHVYTPLHNAAIWIAAWLYGLESYDDTETALIDLGGAPSLDMFTALRRHASPLLDDNPTGEPIVRLEFPGPGDAPHLPAGSDAALAAQHSGALVFASPVPNEQVVITPPLDNPRWFHLTDALPSPHIPTPGEADLELSEAIRRAATLIDARGYRSDTLANPRLIVGMVGDTYDLSGLPDATPQRTLKLLTRADHISAIIEAVISYSGDHSLDAELLALTRPIRHARIAAVNYAVAEWGRLKR</t>
  </si>
  <si>
    <t>GC_00001921</t>
  </si>
  <si>
    <t>MDFLLAAAPPTLVNTAQHTLAASDTFTSNTKAVADSSALSALVGIVPLATFFVLLMVVKLKAHWSAIGAMVMALIVAIVLFAMPANLAVLTMTEGIAFGLFPIVFIIWMAVWVYDLTVKSNRFEDLRLIFSKIGRGDMRVQALLIGFSFGGLLEALAGFGAPVAIVAAMLLAIGMKPMKAVLVTLVANTAPVAFGAMAIPLTTAGGLTGIKPEIVAAMAGRQVSVLAVIVPFILCFIMDGVRGFRQVWPMALVLGVAFGSGQFLASNYFLYDLTDVVACLLSLTVGVLFLMVWAPKTPEEQASQTSASSGNELNVQRTSLALFPYLLVIVVFAVAKLWTVGVNIPKALTSTDIKFPWPGLDGHLVDSTGKPLTATVFNFNWLSNPGTLLFLSGLITVIVYMLNTEGGKYPMSFKLGFGELFGGAYRMRLAALTIAAVMGLAYVMNFSGQTGAIGAFLAGSGSFFPFISPILGWVGTAVTGSATSANALFSKMQATAATSVGAEPALMVGANTTGAVIGKMLSPQTLTIASAAVQMENGEAKIMKNIIGFSIGLILFVCVLVFLQSTPILGWMVVS</t>
  </si>
  <si>
    <t>GC_00001922</t>
  </si>
  <si>
    <t>MQDILAQHGIVVFSYDFSGGSGYVPGQSEGDMTDMSVFTEVQNLRDALKEVEKLTYVDSRRIYLIGASQGGVVTTLVANQHPAGVQGIVLLYPAFSLFDDAHKRFPTEADIPNTYDLMGLTVGRRYFTDVYNVDIYKHMSKFSGNVLIFHGAADELVPISYSERAAKTFTTATLKPIDGEGHGFSYQTQEIVADATLKMINS</t>
  </si>
  <si>
    <t>GC_00001923</t>
  </si>
  <si>
    <t>COG2816</t>
  </si>
  <si>
    <t>NADH pyrophosphatase NudC, Nudix superfamily (NPY1)</t>
  </si>
  <si>
    <t>MASIPEFYACVSPADQVLCTATGDGVLWLDADTARTLGADLTARVLIDAPDSRRWAVRAPLLSGPEGTPDGGVLLTPRDVVFHGDVAQLVYRAVALLRHRERYRFDPMDGTPLTYADSGEYATGESGHQVFPRIDPAVIGIVEHAESQRILLGSNATRPEYFSLVAGYVSVGETLEQAFVREVMEETGRRVADVRYVSSQPWPLGSSLMMGFHGYSTDLDAIAPTDGELAEVRWLSAPEILDGVVKLAPAGSIAHHLIYSWAHAQAAQT</t>
  </si>
  <si>
    <t>GC_00001924</t>
  </si>
  <si>
    <t>PF14867.11</t>
  </si>
  <si>
    <t>Lantibiotic alpha</t>
  </si>
  <si>
    <t>MNASTAVLDSTILDELDKELEAQIIKELEPEMFGLSRLLGNNGRWCTITKECMPSCN</t>
  </si>
  <si>
    <t>GC_00001925</t>
  </si>
  <si>
    <t>MGLNFAGFVCNRRLSDGDLAAIVGHAITADGTASFEDAASAFHDLQSVDVLHTESGTLGLVGMDSILSLTPSSDGDMFSFLVSDVSNTYYGQLSRDGSVVGKSVLAMGNVVEQHGDAVFTDDYEERSELVWNYIHKWTGISPERDLEHRELVHFSF</t>
  </si>
  <si>
    <t>GC_00001926</t>
  </si>
  <si>
    <t>MKDTWNVCVRELRPLLRDPFSLIFSLVQPLVFLGIFGPLLVGQSGQPAGETLRWFVPGVLVMIVLFGSGATGSNLLYDMMSGAHERTLVAPLSRSSLLIGRACKELLPTAVQALIIVLVALPFGYHVTVSGFILGVILLAIFGVGLGALSYALALASKNHDWLFWGVQQTLIFPLLILSGLLIPLDYGPQWMRTAATVNPANWLVQALRILLDQGLTSDQAILYGVLSAVTLAGVGIAVGIAAINRE</t>
  </si>
  <si>
    <t>GC_00001927</t>
  </si>
  <si>
    <t>PF00664.28</t>
  </si>
  <si>
    <t>ABC transporter transmembrane region</t>
  </si>
  <si>
    <t>MSTYNSQRNPSPARARHRKKSEGASNYELIWSFARPHLPILLVGVFFGLVGTSMELAMPMATKWVLDTLGKGQSLGGPIAILLGLLALAIVAGFTQAAILGRVAEGIVLDARISLINRFFRAKLEQIQNFTSGELVTRVTSDTVLLREATTSSFLNLVNGTVSLVGTIVLMAVLDVPLLLSTLSALIIIGVFLGALMPHIGRARKRAQGALGEVGGMFEGGMRAIRTVKSSGAEDREIARISDKAQESNRYAVRAVWVSSAVGVVASGGIQLALIAVLGVGAWRVSNGSIEVSTLVAFLLYAFNIVQPVSSLTMAFTEIQSGMAAAERIRETEKLELEDLTGLSSHRPRPFTRSAGPADSRSTSDQLELGRAEQLERSAQSGRPGRLAVPAGRPIETHGELENPAQDSVFSLRNVTAGYANAQRPALRNISMDVPRSGHVALVGPSGAGKTTIFSLLLRFIDPQRGTVEMNGIPYHDLSLNDVRSHIAYVEQETPIINGTIRDNVLFRVVDASDDEVWDALRAVRLDEKISGLPEGLDTPVGSTSLSGGERQRLAIARALVRTPDVLLLDEATAQLDGITEAAIQNVISKAASTGTVITIAHRLSTVLDADQIIVLENGRIRNRGTHHDLLNNDELYHEFITALKISAEEGR</t>
  </si>
  <si>
    <t>GC_00001928</t>
  </si>
  <si>
    <t>MGVPGEGELVAVGVEKLKDAGLGRVEEGEAEVGVAVGGTGDGGVVVEVVVGVVDTCGGDAYWPYFEFVTRLVGVAPAAFDEGGPHTFPGECDAADLAFFAQQVAKRIDGAWRVVVVGAKDEQPWAVEQWVECLEEVGHGVDSPEVVAGVDHKVGRQLVQRGHPFFFVRLIGQHVQVGNVQDAEFFLAAQRSWFEEGQGVLVKGELVEFAVSPGGEREPGYTADKGEGCEDFNCFVNHEPRLPVRPRPASIVAVMSELQNKILADLKDSMKARNKERTATLRMLKAAVIYESVEGAKHELTDTDVLAVIRREVKKRRESAAIYAEAGRQELADAEIAEATILEEYLPQQLDDVAVAAVVNKHAAALEAELGEPLTMKHMKRMMSAVTEEVAGQADSKRLSEAVRLRIQQ</t>
  </si>
  <si>
    <t>GC_00001929</t>
  </si>
  <si>
    <t>MRTDSVRFMWAAYSAFYPPELRAQITAPEHTWWPWRGNHVHVACTHNADAHARILVIHGAGGHSGALWPIASLIAAQEIDVSAIDLPLYGLTKTPHPQDIRYQDWVNVLVDYIDAHSDNRPLILVGASIGGLLASEVAAQSRHVHAVVATCLLNPRTWQAQAHMTTFGPFGVLSGLVAPLARGPITRIMIPMRWVANFRRMSRNPQLSALCARDPLGGGAQIPLGFLASFLRYQHTPPTVPVHLAHPQCDAWTPPRLSMDTLATMPQPAGCTLLQECGHFPIEEPGVSELINAVMAATQSSQRRANP</t>
  </si>
  <si>
    <t>GC_00001930</t>
  </si>
  <si>
    <t>PF20176.3</t>
  </si>
  <si>
    <t>Family of unknown function (DUF6541)</t>
  </si>
  <si>
    <t>K22902</t>
  </si>
  <si>
    <t>D-galactosaminyltransferase</t>
  </si>
  <si>
    <t>KEGG Orthology (KO)&gt;&gt;&gt;09100 Metabolism&gt;&gt;&gt;09107 Glycan biosynthesis and metabolism&gt;&gt;&gt;00572 Arabinogalactan biosynthesis - Mycobacterium [PATH:ko00572]|Glycosyltransferases&gt;&gt;&gt;Polysaccharide&gt;&gt;&gt;Bacterial polysaccharide (excluding LPS)</t>
  </si>
  <si>
    <t>MEIYQAAYVAIAVFTVPGFVVAWISGLKLPWAVGVSIPASFGIYGLAGWYYGTTSYAFDLNSVGVMWGFLTALALLWRLCFWRGRVLQARRRERKARFEEQWRLAQEELDDDLQEGDLPDGPERVANAGFAKTEVMHAVDMDGVDDELVDEPADFSDDPDAEELVEEPKPPRFPRLHRWWNGQWRVGSVLDPVWILPAAGILTGCYMLIARGLKLLDSAKGGMENIFQGWDVHWHASVIQFIGDTGVASSTRMGELQNLETHDTMFYPAAWHDGVWVFKEIADISPIAAINISSIVLPGLLLPASVGLIAWRLVGKRGLTAQIAAGLAGLIVVPLPVLMWIGNYVGAWPYLAAIAMSGIVLGIFMSVPAVPSRAFATALAFGGMVQTHPSAATVVVMSLACWWLLWLLWAPARKPRGWKQHIGYRFSDVLILAATGAVGTLLLLPQIVSGAGQTEEVKAFTAQEDISRTDSWWVSIKMLTRHAEDFGTNWPLLWTAAVGGVLLILWRRNLWGPAFYALSIWICANSLVPFGDGWADILGSVGALHYNTGHRLVMPAAMFCAAAAGVGLAAVGRLVLLGPIQRWKPLRIGSNLLSIIAGIVGACVLVSYIPSMMDKSSDWSILSPRDDRMVDKADRAGFDWLAKQPHAYDGAIMFNPAEGPGWMYAYNGLPGVFRHYSWPSAKAGTDTSLVYHFPNFVGQGNYNDPDYLNDIDLATRNLGINYFFVSPPNFWAFQEPHPNMEFGLWDAPGLTPIYKNKQVIIFAVNAQFTDAELEQMRAPGNSPEPLPPLRTKGEAGATELMSEWNEPYFHRSWKLPHRSDPPTIPPKDGTGEDTQVTDPLVPVEIN</t>
  </si>
  <si>
    <t>GC_00001931</t>
  </si>
  <si>
    <t>PF11716.13</t>
  </si>
  <si>
    <t>Mycothiol maleylpyruvate isomerase N-terminal domain</t>
  </si>
  <si>
    <t>MRDLRQELFGAQDWVAELISNTKPEQYSLPTPCSEFTVKDLLDHYMCVCDKIESFPVDRTPAETRTVDDYLQEWNASSQRARAVWTDEAMHRDYTMSWGAVHSGPETVGLYLFEMVCHGYDLAYATGQPLEGPEAVAQAALEAAIEIVSNYPREETPYDPETRAPENAGPTVALAAFLGRDVS</t>
  </si>
  <si>
    <t>GC_00001932</t>
  </si>
  <si>
    <t>COG0599</t>
  </si>
  <si>
    <t>Uncharacterized conserved protein YurZ, alkylhydroperoxidase/carboxymuconolactone decarboxylase family (YurZ) (PDB:3BEY)</t>
  </si>
  <si>
    <t>MPISEEAIQYFKELFHERKSRFHTLDPELGEIYVNFAYGEVITSSTRIDTHTRLMLHLAALVSSGGEEMYKVMLEGALNVGVSAVEIKEILYQAVAYVGMGRIYDFLRITNNELMRRDEKLPLPAQSTTTRETRMEEGDKILRTIFGDEAIDATATNTPDDQQVMLNFLRGNCFGDIYTRSGIDIKTRELLTLVMLVSMGGCEAQLRGHINGNLNVGNDRALLIETIIQLLPLIGYPRTLNGLRVVTENTNS</t>
  </si>
  <si>
    <t>GC_00001933</t>
  </si>
  <si>
    <t>PF05719.16</t>
  </si>
  <si>
    <t>Golgi phosphoprotein 3 (GPP34)</t>
  </si>
  <si>
    <t>MYNLSLSQQFLMFAVNKQGKISSLDTRTWVCCVTSAVIDLHLNDCVSISDEKRPTVSTTAELPSTLHHLLPIYQRISEKGPIKLNKLVEQYMMGRSGPRTQLFDSLGNSLVAAGAATPQVSGILKRSTGYVPDSHNLDRLRSAISAETSSTDAPTRNTVILATLLERSKLLKEYFTRDERAPIKDMVKKHADSQADTLIKKTIAHIDALITLLITSASVSASQG</t>
  </si>
  <si>
    <t>GC_00001934</t>
  </si>
  <si>
    <t>MYISNFRTPTQRRHRAIVSALITAAALAIAPNTAASAEVGLNSNPIPGIDISSHQHPGEKNETLNWKSVGSDGQKFALIKATESDSYENPHWKYDAEQAKANGMKVGLYHFARVKQSAKSQADFFAKAVKTLGDDSLPPTLDIEIANDNAEDHNPLDAAGVQRWVKEFTTELEKQTGRPTMIYTYRFFWEDSMANSQEYKDHPLWFAAYEQLPPQLPGGWKHMVIWQKSDKGHVSGIEGDVDLDVFNGTEAEFNSFASSGKPKEQPKPKEQPKDKDASKDNKDSKDKDASKDKNATKDDASKNKDTSKDDKTTTSQNAPNKPQDNPTTQSNDSTSNNLAQDKQPIGPSGSADLSSGGLSSGNSSGTPGNNPDRTKGSGSSHSFSSSDLEVLSKGNNGLIKAILAIATGGGSRNLLTDATSSAGFDENSSREFADEVQSQIDHKTLPVNELQRMSESDKYNIGDLTILLRNFSD</t>
  </si>
  <si>
    <t>GC_00001935</t>
  </si>
  <si>
    <t>MTETTPVTTPVTTPIIEVVDGNVVHKTRTGKLFRPDTVHANKNINFVARRDEVVGLVGESGCGKSTLARVMVGLQPLTSGKILFKGVPLKPRGAQRKQLGQSVSVVFQDPATSLNPRMSVHDQLLDPLKVHGVGDHASREKRVRELVSLVGLPQSALDVLPRQISGGQRQRVAIARALALEPDLIIADEPTSALDVSVRAQVLNLLLDLKKEFGLGLVFISHDINTVRYVSDRICVMLSGEIIEQNTTDNIFNHAEQEYTRTLLAATPSLL</t>
  </si>
  <si>
    <t>GC_00001936</t>
  </si>
  <si>
    <t>MTWLVYLLFAVAGLLVGGAWSAYQAENRAMTYIAAIGAAVAFTAAVLWMIGEMS</t>
  </si>
  <si>
    <t>GC_00001937</t>
  </si>
  <si>
    <t>MHFRRAFSTSAAAIIAATALTAAPTAQAEQFDTGLGTMPIGEWGKVRFLTPNDPQFWDPTVTTPRIVSPRGTENLECKAFHGKATGCRQDGVGLRALPLPWEVYVPVKGLS</t>
  </si>
  <si>
    <t>GC_00001938</t>
  </si>
  <si>
    <t>MLTMKLRRQESGHRHILHQPKPTDQKKPKRWLDKVLEAFRRDHTGALDEGLDMLYSRLGLQGIEPTKADRPFTCDFTVCTSDSFPRNIFYAPNMDGQVDPGEVVWFWVPNHDADPNDETTTTTDDTTPKFTERALVVIGRTGDHVLGLITSPNPEHADDEKWLDIGSGPWDEQGRRSWLRLDKVIKVAETAIRRQGAVIPLGRFNRIASRLRNEYGWN</t>
  </si>
  <si>
    <t>GC_00001939</t>
  </si>
  <si>
    <t>MDIKIGFSDSPRELVITSTESRELMSTKIAAALNNSKGVLELEDDKGSRYLVRNERIAYVEIGSATTRQVGFAGA</t>
  </si>
  <si>
    <t>GC_00001940</t>
  </si>
  <si>
    <t>K02348</t>
  </si>
  <si>
    <t>ElaA protein</t>
  </si>
  <si>
    <t>COG2153</t>
  </si>
  <si>
    <t>Predicted N-acyltransferase, GNAT family (ElaA) (PDB:1XEB)</t>
  </si>
  <si>
    <t>MPIYFAVSHLAQLSALEVHKLYKLRVDIFVHEQKTPYAEIDDADALDTTFHVLNWDADKNLIATARVYPCVIEGKDMVQIGRVCVAENHRHQGIGEELMRQTMRLADEQFPGLDVFLEAQTKQRDFYEGFGFEAVGEEFTIEGVPHLPMLKKSQ</t>
  </si>
  <si>
    <t>GC_00001941</t>
  </si>
  <si>
    <t>COG1709</t>
  </si>
  <si>
    <t>Predicted transcriptional regulator,contains XRE-type HTH domain</t>
  </si>
  <si>
    <t>MADVYFMHSIAHVIAGFREEAALTQSQLAQRLGKPQSFISKLESGERSLRVEELPQIAQSLGVSPLRIVTRMLGLRSVLDDWDMDEIDFTKLILDNPSMRGLVLGYAAEFMFCKKYLDARTDIMSVKDDDHDRKKKGDRRLWYQEKELIIEVKSIQTNSVRLLQENPRLLRGGTQVDASDRRRVDFSDGTSLDTTCLLVGEFDILAVNCRPFTDNWDFAFALNVDLERSSYKKYSPLQQSKLIKSMQYLTWPLKADGIFTTDFQDVLDRAWKIK</t>
  </si>
  <si>
    <t>GC_00001942</t>
  </si>
  <si>
    <t>PF02558.23</t>
  </si>
  <si>
    <t>Ketopantoate reductase PanE/ApbA</t>
  </si>
  <si>
    <t>K00077</t>
  </si>
  <si>
    <t>2-dehydropantoate 2-reductase [EC:1.1.1.169]</t>
  </si>
  <si>
    <t>COG1893</t>
  </si>
  <si>
    <t>Ketopantoate reductase (PanE) (PDB:1BG6)</t>
  </si>
  <si>
    <t>KEGG Orthology (KO)&gt;&gt;&gt;09100 Metabolism&gt;&gt;&gt;09108 Metabolism of cofactors and vitamins&gt;&gt;&gt;00770 Pantothenate and CoA biosynthesis [PATH:ko00770]|Enzymes&gt;&gt;&gt;1. Oxidoreductases&gt;&gt;&gt;1.1  Acting on the CH-OH group of donors&gt;&gt;&gt;1.1.1  With NAD+ or NADP+ as acceptor&gt;&gt;&gt;1.1.1.169  2-dehydropantoate 2-reductase</t>
  </si>
  <si>
    <t>MTQSVAIVGSGGIGGLLAAVCAATTAAANTTTTQETTPIVVTTPRSARRITAEGLRLTSPLFGDSTHQVRAVTQLEEPVDFTFITVKQPHLTDALRTIPAEYAGTVIPLLNGVDHMQVLRAQFDSLLAGSIHVESSRDQDGTIVHGCDFVRLTTSASLPPLFDARVTTITTPNQDELLWSKLAVLAPFALMTARYRIPLGEVLETRRQELEEVVGECAAVSVACGGPDTSSDAMGLYEKFEYGAKSSMLRDIEENRPTELDAIGGAVIRHAAAHGIIVPAVGRLVAEMEGII</t>
  </si>
  <si>
    <t>GC_00001943</t>
  </si>
  <si>
    <t>MHSRLGLLGLAAGALVVIVLISVVTIALRISASHNTSPGIAASTAVLSTRPAPSTPPQPGTNGTGQSARTRATEASTRAPSSVPNTALLVDGVRAPAGADYTKAYVNGPTSAEFGRNVLEKYGPIARGQGESTVELDVHSPVTGKNYRMTCTNGGKIVSCTGGNNAQVFLTR</t>
  </si>
  <si>
    <t>GC_00001944</t>
  </si>
  <si>
    <t>MASSEHYSIKQVSEMSGLPSSTLRYYESIGIIPVISRDSSSKQRVYSEDDLGFIKNVACLYGLGLSITDMRDYLTNMAGATPVHAHNQVALLQRQAETLEEEAALLESRRRYVAAKVAYWQAVEAGDQETLASADEESRRRSADLRQAIHTMSKRKDNEDSDI</t>
  </si>
  <si>
    <t>GC_00001945</t>
  </si>
  <si>
    <t>PF02416.21</t>
  </si>
  <si>
    <t>mttA/Hcf106 family</t>
  </si>
  <si>
    <t>K03116</t>
  </si>
  <si>
    <t>sec-independent protein translocase protein TatA</t>
  </si>
  <si>
    <t>COG1826</t>
  </si>
  <si>
    <t>Twin-arginine protein secretion pathway components TatA and TatB (TatA) (PDB:2L16)</t>
  </si>
  <si>
    <t>MPNLGPTELIIIAVVLILLFGSKKLPDAARSIGRSMRIFKSEVKELNNDDQVTAATEPRQIEQSQPQQAPQAQTDTQHNTSA</t>
  </si>
  <si>
    <t>GC_00001946</t>
  </si>
  <si>
    <t>MYWVGIAGTRPDGQSHVLYPLLSTWGSGITVLVVPIALVSTLFFGPRSRKANLILMYCGMVLFVVSQWVMMADSTQPITAHPGFFLSGCGFGMLYSSGTSLMLHWFNQERHQEPLLLLTLQDGSHRQLPTLAHHPRYVFHQKP</t>
  </si>
  <si>
    <t>GC_00001947</t>
  </si>
  <si>
    <t>MKEFSSFQERFMSKKIALAFAASCLTAVAAVVPVAASAQDLGSLTDLSSLSVSLFDGPQKQPSPSPSAAPSTSASAAPSTSTTAPSEPAPVVPEPTVPPRQVSEKTDYDAQVGAFRKYLMGPAGKQTFNVSIATGENASGYLLVAGNHYNRIVAGQGYTPSGREDTANLDKLVKQHNCDADDNACGTKLQQDIAKNFTNFKGFAEKSVALAVANYYGYRTQD</t>
  </si>
  <si>
    <t>GC_00001948</t>
  </si>
  <si>
    <t>MNERDGNGDVATLVANLRGMSFQYKLHVGELPDESEMVLLSDLADAGKAREVAQVFHAHYGTPRLRFAGSLSFQRCAHRLVGIVVGTWLLTGNVPVLAPDETALRITHGGATELHVASWHTVHGSAAKCMHHVSTLMEPLVDAFRAGTGVGRANLHGNVAATVGGVVRNARRRHEHCGLHGAVGEDLLEHAIGDGRPLSTYGWFEEAQFFRASCCHWHTTGNDNCDWCTHRSVEERRARFAQNG</t>
  </si>
  <si>
    <t>GC_00001949</t>
  </si>
  <si>
    <t>MLFKLILKTNLVTWLALIMSNTVLAVVMSLNIGFIVAGARSTGETQEAYISLGSTALLLVVATSLVSLTLVTNFTLRLQHPVVARWQLVGMLPGQAARILRAQVLVVSTLTGVIGAAFAWLLWYPYAHTVATSGLPTSPALDQPIPAPALVIAIVSVAGMSLLTGLMGARRAMRAELVDGASISGAFRRTSVGIVRKPLCVVASLGVGALYYAIAQVEPLQNIDEMGGMLGAYVGVGVLLSVVVALWGPYILRVLVEMLRVLPITATPWFLAVREAQARPTLTGTLIMPIAIAASTTGMAGMSISKFRQVLVSMGVPDSESLSAPLSISLLLVGGSIVVACASAASVVLIALRPRQHDAQLLYTSGATDELLTQKTLMETLVYLILAGIIAYGTVIINDVCMTFAFARGPLPMTQLSMPAGSTLAVLCLGIGIAATMLWSITLTELRRNTAERTLSHAAPSA</t>
  </si>
  <si>
    <t>GC_00001950</t>
  </si>
  <si>
    <t>MTRPDGPDNQEFDDLMLPPLDALYGSVATPLTDDMLDRMLAVAFDPMTPDPGINLPSFDIDLNDFADDAHHNDMYDGGFGADDSDHDDLSDFFDTPDDGDLRTGHLDDGHVGEGHIDEGHDLHDFGDYDGGMHNGGHDDTLHDGADHGFADHGYADGVDDDLLGGM</t>
  </si>
  <si>
    <t>GC_00001951</t>
  </si>
  <si>
    <t>K20461</t>
  </si>
  <si>
    <t>lantibiotic transport system permease protein</t>
  </si>
  <si>
    <t>COG4200</t>
  </si>
  <si>
    <t>Predicted lantabiotic-exporting membrane pepmease, EfiE/EfiG/ABC2 family (EfiE)</t>
  </si>
  <si>
    <t>MLRAEIIKLKRSSLWVIAVILPLLAVTTGSLNYWGNRGVLNQAWASLFGQVFLFYGMFYLSMGVGLLAAAAWRMEHQGTNWNLLRTNTSNALSLILCKIVVIIIPVAFMQIILLAGTWIVGLFIVDNGTADAGQPPVMYLVAGLLAVLVAVPLVALQSLLSGLLRSFAMPVVICFLGCVVGTIGAMAPMPIGIIGYVMPQGIVTRTLSIGSVSIGDGSGLETAGPLLLCAAVITAIVVAVSPKFIKMHST</t>
  </si>
  <si>
    <t>GC_00001952</t>
  </si>
  <si>
    <t>MSEPKPDLATLEKQAAGTISLKSGRGYLIVAWALFTIGLLLPHAGSLSGWQVLMWHKTIDGIHIGIVESVFVWLGTLGLVISGGLLLITKRTIFANITYLLTGMALLASLFGMWMRLQDKETTGGPGLGLGFLLQVLAVIITTYALSVMILRRSDEQKAIAQQRAASEDLDEVGYAQRAALVSQQQNTPETNPLLVDDRRKRAAERHHTKKTKN</t>
  </si>
  <si>
    <t>GC_00001953</t>
  </si>
  <si>
    <t>MTLPTAVNADVSRTYKIWIVLGICLLLVGASFVISLTVGSRSTGFMDSLRVMPESLRYAFDSNYAGNMAFNDLVVLIGGLRVPRTVLALLTGVALGGAGALIQGHTRNPLADPHILGINAGAALAVVIAVYAGVGTEPGNLVLPAIIGCAITAGLVFLISSFGPVAMNPLALILAGVALAALFMGLVNALVLNNSLSLDALRAWSTGSVGDRDMGVVRAVFWPFLIGVVLCLFQGRGLNLLSLGESVAATLGLPVTRTRILGLTTVALLGGAAVAGAGPVGFIGLAAPHIVRAIAGHDYRIIIPLSMVVGGMLGLWADILGRVVAHPGEIAMGIVVALFGVPLFIVLVKRGLATEV</t>
  </si>
  <si>
    <t>GC_00001954</t>
  </si>
  <si>
    <t>MSDKRSIAAMAIFAGILGACVIIGNWWLTGAVLLAAIVLIWRVPELRRGTNTGLVINKVPSTSRTFSARAFLPFITVYALIYLTVTFAPGMNGWAYLLIPLWMLAGGFYGWADATNFAGKPITLPSDSPAMLIHLGKLSAYDGTLVKIWRLAQLLDQPEDTIIEEATTLQRDGLVYISTVGFSDNPAQWSVQLQPKAYEHVAQSVA</t>
  </si>
  <si>
    <t>GC_00001955</t>
  </si>
  <si>
    <t>MQLSKDSIIAASLTILGTFGLADMTMRRVAASLGVAPGALYWHFKNKQALIDATARTLLADFLTSRYDDFPTACRALRNAMLATRDGAELISAALIDPTLRAEVTKVLSVAVPESGAVTALHFVMGATVLEQSEYLRLETTGSGGSQSNSSGVSDPILGLENARQAARIQADNQFQEGLGIITRGLNENQR</t>
  </si>
  <si>
    <t>GC_00001956</t>
  </si>
  <si>
    <t>COG5479</t>
  </si>
  <si>
    <t>LGFP repeat-containing protein, may be involved in cell wall binding (Psp3) (PUBMED:18629042)</t>
  </si>
  <si>
    <t>MRMPLGVEQGKTLLTRVTLVVASAAATFAFMPTSAAAPTGQGEQRQVAATQDSHETVDLYGKQVDRDVAENLKKYAQENNLDLEAEFKEKPVTQDPNAIEEDRGGVEVPDGYVYDPSRGALHDYCTNSPDQFPAPGVNADFSGACAIHDMCYEKDYGNADAMVACDTAFLKNLRTVCKAVYTSALDPRLSGCLNTADTYYKAVVAVHPKNYFR</t>
  </si>
  <si>
    <t>GC_00001957</t>
  </si>
  <si>
    <t>PF01661.27</t>
  </si>
  <si>
    <t>Macro domain</t>
  </si>
  <si>
    <t>K23518</t>
  </si>
  <si>
    <t>O-acetyl-ADP-ribose deacetylase [EC:3.1.1.106]</t>
  </si>
  <si>
    <t>COG2110</t>
  </si>
  <si>
    <t>O-acetyl-ADP-ribose deacetylase (regulator of RNase III), contains Macro domain (YmdB) (PDB:1HJZ)</t>
  </si>
  <si>
    <t>KEGG Orthology (KO)&gt;&gt;&gt;09190 Not Included in Pathway or Brite&gt;&gt;&gt;09191 Unclassified: metabolism&gt;&gt;&gt;99980 Enzymes with EC numbers|Enzymes&gt;&gt;&gt;3. Hydrolases&gt;&gt;&gt;3.1  Acting on ester bonds&gt;&gt;&gt;3.1.1  Carboxylic-ester hydrolases&gt;&gt;&gt;3.1.1.106  O-acetyl-ADP-ribose deacetylase</t>
  </si>
  <si>
    <t>MKLSAVLGDITEADVDVIVNAANTSLLGGGGVDGAIHQKAGPALLEECREIRARQGGCPVGEAVITSGANLPARHVVHTVGPTWVDGSHGEEAALRSAYLNSLKLADKHGAETIAFPNISTGVYRFPKELAAHVALSATKEYQSNTIKEVIFVCFDESNFQLYSELLR</t>
  </si>
  <si>
    <t>GC_00001958</t>
  </si>
  <si>
    <t>PF01368.27</t>
  </si>
  <si>
    <t>DHH family, N-terminal domain</t>
  </si>
  <si>
    <t>K06881</t>
  </si>
  <si>
    <t>bifunctional oligoribonuclease and PAP phosphatase NrnA [EC:3.1.3.7 3.1.13.3]</t>
  </si>
  <si>
    <t>COG0618</t>
  </si>
  <si>
    <t>nanoRNase/pAp phosphatase, hydrolyzes c-di-AMP and oligoRNAs (NrnA) (PDB:5O4Z)</t>
  </si>
  <si>
    <t>KEGG Orthology (KO)&gt;&gt;&gt;09100 Metabolism&gt;&gt;&gt;09102 Energy metabolism&gt;&gt;&gt;00920 Sulfur metabolism [PATH:ko00920]|Enzymes&gt;&gt;&gt;3. Hydrolases&gt;&gt;&gt;3.1  Acting on ester bonds&gt;&gt;&gt;3.1.3  Phosphoric-monoester hydrolases&gt;&gt;&gt;3.1.3.7  3'(2'),5'-bisphosphate nucleotidase|Enzymes&gt;&gt;&gt;3. Hydrolases&gt;&gt;&gt;3.1  Acting on ester bonds&gt;&gt;&gt;3.1.13  Exoribonucleases producing 5'-phosphomonoesters&gt;&gt;&gt;3.1.13.3  oligonucleotidase|DNA repair and recombination proteins&gt;&gt;&gt;Prokaryotic type&gt;&gt;&gt;Other factors with a suspected DNA repair function&gt;&gt;&gt;Others</t>
  </si>
  <si>
    <t>MAETWDAASVDTQAFEQATALIDAATTVAVVGHVHPDADAVGSVCAVVRALQQRGIAAVGMIGQAEPLPSCLLSIPGASEVRTSQEAPRVDAVVVVDCASVTRAGTHAPLVEALSDACVVVDHHATNPGFGAVNLIDVRAESTTTVLLSWFKHMGIHMDTPLATALYAGLVTDTGNFRWGSPAMHTMAAELIGLGVDTRATTAALMDERSVEDLALIGKVLQRVERIIGEKTTIVAIFADYDVIADEDPSMVESMVTFVCSPKNAQVGALFKEYAPGVWSVSLRSSTVDVAAVASRFGGGGHVCASGYTTQGDWHSVKASLAETLDTI</t>
  </si>
  <si>
    <t>GC_00001959</t>
  </si>
  <si>
    <t>MKTKTAFLISEVCAPWVTNLWFFLVLGATSHAWPAAITAILGTSIMPMAAIRVLTLQGKAEGRHVQKREQRYIVFAAIFVLLGAALAGLWHLHTPRVIWVSVLSAVMFIATFAVVTRLWCKASIHTGLWVCVTIFLALTVSPLWWVALVVAPVIGWSRVVLKGHSWGEVGVGVIAGAAVTAVSYQLFLT</t>
  </si>
  <si>
    <t>GC_00001960</t>
  </si>
  <si>
    <t>K04782</t>
  </si>
  <si>
    <t>isochorismate pyruvate lyase [EC:4.2.99.21]</t>
  </si>
  <si>
    <t>KEGG Orthology (KO)&gt;&gt;&gt;09100 Metabolism&gt;&gt;&gt;09109 Metabolism of terpenoids and polyketides&gt;&gt;&gt;01053 Biosynthesis of siderophore group nonribosomal peptides [PATH:ko01053]|Enzymes&gt;&gt;&gt;4. Lyases&gt;&gt;&gt;4.2  Carbon-oxygen lyases&gt;&gt;&gt;4.2.99  Other carbon-oxygen lyases&gt;&gt;&gt;4.2.99.21  isochorismate lyase</t>
  </si>
  <si>
    <t>MSDGNKDQLSSIRKEIDQIDYRLVEILKERQDLVNRASSLKKNEHAVRDSSRVEEVIKRVRGLAEKIGMSPEIVEKVYRPMIDAYIEYEMGEYRSSHTDREVVSDDETGSES</t>
  </si>
  <si>
    <t>GC_00001961</t>
  </si>
  <si>
    <t>MKKYTKQEWAYTTIGLALGVAVALSLGQGNYMMGALSAFFGICGYLLARKSARKQ</t>
  </si>
  <si>
    <t>GC_00001962</t>
  </si>
  <si>
    <t>MKLLDRYVSHAIGSLGEYERDVMYRSMIIRRITLFWGTEVAAAALAWTLPANLVWWALIVFFLPMFVSECGAWMYMRNRAVRPRSAGSTMTISEQLAYTAIAAVFLVGMLRWEFIGQQGSRALIIMFVSYVAASVVVPPMVKQLNGWLRGRDERRLEAAFPED</t>
  </si>
  <si>
    <t>GC_00001963</t>
  </si>
  <si>
    <t>MSFDSNADIIAGVSLGGITLLDPIAIHWEYINEHFFHRYGDNLPYHMDNYHTITYRLDDFAVELHVHAPTGLIYKLSTLPTYRGKFHDAVGIGTPIREVDLELEYDDTESGFRFPDHPGILLEPDIPHPWPSAFPHLNVDRITVFNEDYIEKAPSLTRR</t>
  </si>
  <si>
    <t>GC_00001964</t>
  </si>
  <si>
    <t>K04750</t>
  </si>
  <si>
    <t>PhnB protein</t>
  </si>
  <si>
    <t>MGTFNIYLMLPGTTREAFDFYEALFGGQRTALFTFADMAAMGLPAEDEQADLIAHTALELPNMTLMGSDSTSPITPSTNQSPVLLHHFTDTREDADRIFAALAEGGTIIRPIVDAPYGYYDGSCIDRFGIAWNIMYEHET</t>
  </si>
  <si>
    <t>GC_00001965</t>
  </si>
  <si>
    <t>PF01544.23</t>
  </si>
  <si>
    <t>CorA-like Mg2+ transporter protein</t>
  </si>
  <si>
    <t>K03284</t>
  </si>
  <si>
    <t>COG0598</t>
  </si>
  <si>
    <t>Mg2+ and Co2+ transporter CorA (CorA) (PDB:2BBH)</t>
  </si>
  <si>
    <t>MSRRRFPLTPKNLIPSATAAAQKPPAPHRSFADVVDHCCIFIDGIRMPGELKQHAGALETLHRHLAEAKREGGHPHGFVWLSLNAPNANHMHAVADSFKVHDLIIDDIVAAHQRPKVETYDDQIFMVLKSVKYSDFDNRQDSVQQSRQVIEVGEVQMVLGKHFIITIRHNTPLPDLKSRITITDNEPATKQGPLGLAWAIADALVDDYRRAANELSEDVDVLEEEVFTPQSELNVDQIYLLKREVLEMRHAINPLEPALSTFNQLLKTRKEGEELRSYFRDVLDHEIVAKDSVNSSNERLTALIDAAVAKISLQQNADMRAISAYVGMAAVPTLVAGIYGMNFQNMPELAWKYGYFGALGLMVVIVIAVWWAFKRRNWL</t>
  </si>
  <si>
    <t>GC_00001966</t>
  </si>
  <si>
    <t>MNTSGPNSYYYDPVTDPDANFIVPTGTTANTWRRMWDSRPPRFPRRQNGSNWVGGVCEGIGVRYRIDPTIVRLAFAMITLIGGAGVTLYLMCMLIFPRYSVDKAPIEVLFRSLDKRYSRDRRVGWFALILMILITGPLRIGNGGVLIATFGVAALTWWALNQHVPNPPEGLMMGRENLQFSDQVDLSGYLPAPGFVAPFVAPTTTMPQWDPLVNQQYGNPAMTPGFPGSINYVTTDPTMWMVPTPPVKKKSRWPRVVIGLAIIFGTFVALLEATGTQYTQITTEQEIAGNYDHNMGDVITDFAKLSDVKQDHTVSISNNLGDVRVVLGDKTRFKVECIDNSGIAECPKDIINPKAKGGLVTITMTKNLGDVKVDTK</t>
  </si>
  <si>
    <t>GC_00001967</t>
  </si>
  <si>
    <t>MIHPPRPRPVTELFPESLRLSPKQRAVLDALDEFPNGAKVGEIAKALGMHTNTARGHLEELVAMEAVFAVAAPTTGRGRPQLIYKLRIPNNKTIADQYLALINIMAQHLEDSAGSHAKQLAQQIGREAGARLIDEGFSSANIQEAVDALCKHLRDMGFDPEVIPTTTNSRKKRVDVCMHSCPFVSKDGELKDFVCDVHQGMMQHHKDLSPLHIDLQPLLADGKCMVSISEVDEDESINDKQ</t>
  </si>
  <si>
    <t>GC_00001968</t>
  </si>
  <si>
    <t>PF13508.13</t>
  </si>
  <si>
    <t>MPVTIHTLSPTEFLDHCPQLVDVYITAMDYHPKVRAVRNTAWRNAVMFPEFRAVYALDGSRIVGVAYGHLGRAQQWWHSQIRQAVRNSDPRSVALNDYFEVAEVHVLPDYQGRGVGRALLTELLAGVNSPYAILSTPEVAGENNRAFGLYRSFGFMDILRNFLFRGDERPFAVLYLRLEKSTTEKSPEY</t>
  </si>
  <si>
    <t>GC_00001969</t>
  </si>
  <si>
    <t>MMGLMMGQRKIIYVVLSLLIISFALIGATIYHFRVEKPRIASINSAMTGYQKVVDAEWNNSDCAIVNCSQSSKGIPGVPIDRELLTAAERFNLEIRDSMATVLPITQARSDIAIYNVKGKIDGTVTAIIYVTTTKHYQGDDKPSSETIPHKVTLLPTKDARDGYVVMADEPLDQVKEHLPDLVLPND</t>
  </si>
  <si>
    <t>GC_00001970</t>
  </si>
  <si>
    <t>MFTVGLADDQQLVRAGFSMVLGSQDDIEVVWEANNGREAVMLAQRQPVDVILMDIQMPVVNGIDATKEIVAQRLRGPAGELTRIVVLTTFDTDNYVVQSIEAGASGFLLKDTSPEELISAVQSVGESSAVISPAATATLFKRLRTHMAPTVDPMVALNRGLVEPLTHREAEILLLIARGLSNTEIADHLVISLPTVKTHVGRVLAKTGSRDRVHAVLYAFDRGVIPKNETGA</t>
  </si>
  <si>
    <t>GC_00001971</t>
  </si>
  <si>
    <t>PF02655.19</t>
  </si>
  <si>
    <t>MNILITGVGGPAGRALVSQLATTSHNVVGVDMQEVALADIDSFELVPAANDPDMINQLAALVDHYDVDLLIPTVADELPMVAKASQLGQLSNAQVVISPLEAVEKCFDKLLTMRALREAGVSVPPFGLPSDFTSSYDVFEQLGGAIITKPRVARGGRGFAIHTSPEKFQLESYDDSYIIQAFAPGEEFAPMVYIGDQPGNETVSIVAKTQEEFCETAAPIVRSVDTANALDVALLAVKACHALKLKGPIDLDVRRMADGHPVVLEVNARFGANSSLAPELLAEVLKSAA</t>
  </si>
  <si>
    <t>GC_00001972</t>
  </si>
  <si>
    <t>MVGFIGMIITGAIIGALARLFMRGEQNISIIWTIILGAVGAFVGGGVAGFFGVESTAGIDWIRWALSIVAAVIAISIYLSITHRK</t>
  </si>
  <si>
    <t>GC_00001973</t>
  </si>
  <si>
    <t>MKILLAEDSALLRAGLAELLRAAGHEVVEAVDADSLVAACQATSPDLVVSDVRMPPKMSDDGLEAVYRLRKARADANDTHLPAVILSQYVASAYLDTLLEHGGFGYLLKERVANVAEFTRTLETVAQGGTVVDPEVVKTLIQNRTSGISNLTSREQEILGLMAEGLSNSEISDRLVVSAGAVSKHVANVFIKLGFTPDDENRRVRAVLAWLRHQAN</t>
  </si>
  <si>
    <t>GC_00001974</t>
  </si>
  <si>
    <t>MLDDIRWEFGSRRYLSLEQFVTEVSRVNKSAWPHDEIVMNNPKVAFEYSALISSLDELLPCENLAHADAVLRPDPTADGLFSVDIRAEIMATNRTSFSAGELLWIAHSLQANKRLGDHPRFAGFEIADEHSGVPAVTITTAA</t>
  </si>
  <si>
    <t>GC_00001975</t>
  </si>
  <si>
    <t>MHSAFILVSDRVSNGEKQDKITPIVGERLAAAGAPVASAVTIPEGFDTVSEAIRQALADGARVILTAGGTGLKPRNRTPEAALEFIDTRLEGLERHILVQGLQSTKLAGLSRGYVGLTSRNADAALIINAPSSVGGVTDVLDVICPLLDNVWESLAR</t>
  </si>
  <si>
    <t>GC_00001976</t>
  </si>
  <si>
    <t>MQAFDSIRHTMLVRRVAVLCVVFALVALSCRPFPAQAQAGATRGDRSGEFGTSVTVVPSAEGKMPAVRFDWVVPAGTQLIPGDNVTISLPDWLEPVRMVQQDQPNVRCISTQASTAVTCTFIDVSTPSADILGSVEVPVAVKNANDSALVRWGGRAFDLRKELAANHVNQAIPTIPPADIVEAAHQQPNGRWDVIASARQSRSGRIVVESSKADQGFVEVRRRDAGAAYDRGTWEDAASTRCQPGGDLHAQQLGCAQRVFLADSAGETYFAGAAGERVSVWSLAGALTVVIDNPVRGAAYRVQFASSLPDPVIYVNGVDVSAPAVSSVRPTAPTGSAAISQVRRGTWYHSLLAAVQLIPWAFDVLVPHHESTEPSIKVTPVTSSELTASLADTDIATSTETVDRSYAANTGASIVGLVLLSLLVILGGTAFVLRGRSTKGELLAK</t>
  </si>
  <si>
    <t>GC_00001977</t>
  </si>
  <si>
    <t>MALKFSLDLEGATFDELATFVESLKTAGMKDHDTLTLDGTQLVATVEPTGGQVSDTRRSTATPRQTVYPDAFPGTGNLDFMKFGDAALDSLIEALKYRRGR</t>
  </si>
  <si>
    <t>GC_00001978</t>
  </si>
  <si>
    <t>MQILRSLLNGNIFCMSLTIAYVKGTAPGKWLTRFAERTGHGALHSFESRDPFPLLTDAPTDRTRPDLALVRLPDRRVDERFHVVRLYEEQPGVAVPKDSELTLLDELSAADLEDQHVNYAPDEHNEVDVSAVFDALDVVAANVGVAFAPRPLLRSINNKSTAHRDYVDGQPTSIALVWLKDKDSDAIQDFVGIAKGRTANTSRQAVPKRTAKEKAAAKKAARANNQRKVGRPARRRGRR</t>
  </si>
  <si>
    <t>GC_00001979</t>
  </si>
  <si>
    <t>MNVTVGNQAIVFKGAKRTAAQMLEKMYEGLVVDLVKTDSLDVVFNNGQRSWIVQEQNGWCVIEELSADSFILYDLLSVSRDFLDSVAYVFYVRKENDIKFRSGAAYIGCYFGVYNPADGKLEFMQKGLSIDEWEWSKSSDSSQLPISESMLNYEGLENFIEMEGIPILFGGMKKLNPDLYFAKVPEKSDEEWAAFFEGLYKGGLG</t>
  </si>
  <si>
    <t>GC_00001980</t>
  </si>
  <si>
    <t>PF11241.13</t>
  </si>
  <si>
    <t>Protein of unknown function (DUF3043)</t>
  </si>
  <si>
    <t>MKLPWQKTDSSSAAEPVELAADAPAETQPTRKGYTPKKGRPTTKRADAERERGVRRSPAKPPETPKEARERRKALKESMSKEEYREFKRKEREQQTAQRRKVQEAMDRGEEKYLLARDRGDERRFVRDWVDSRRHMNNMIMPVALGLLVVMFIAQNYPQTSAVMSTFVMVVMLSFAVEGLIIGRGANKAVRNKFPTSTEPGISLGFYAYSRATQLRRLRSPKPRVNIGDKV</t>
  </si>
  <si>
    <t>GC_00001981</t>
  </si>
  <si>
    <t>PF07510.16</t>
  </si>
  <si>
    <t>GmrSD restriction endonucleases, C-terminal domain</t>
  </si>
  <si>
    <t>COG3513</t>
  </si>
  <si>
    <t>CRISPR-Cas system type-II protein Cas9 (Cas9) (PDB:4OGC)</t>
  </si>
  <si>
    <t>CRISPR-Cas system</t>
  </si>
  <si>
    <t>MSPCSQTRRVFSVLTLLTLVFLGFYLRLALHPGYAADHPPRLSVTLARISTVAQRTSVLGYERTNFGQGWAAAPQLGGSCTTRDAIIAMSLADVAFSSRCTPTSGVGPDPYTGSQLRVGETPIEIDHVYPLRAAWDMGAHSWDASKRLAFANDPMNLVATSKKENQDKSDSLPSEWLPSGIGARCWYVRRLAHVASAYGLPLTTADVAVMRRQCWVRDLLRG</t>
  </si>
  <si>
    <t>GC_00001982</t>
  </si>
  <si>
    <t>PF13835.12</t>
  </si>
  <si>
    <t>Domain of unknown function (DUF4194)</t>
  </si>
  <si>
    <t>MAKHGVEKTSSGPEISQLHETDTGTLTAAQRQAFAALLRGPFISVDKQPEIFRTVSANREVLAQQLDNLFLTLIVDDSAGVAYAKNWDTDIEGSRILMRKHPLTFMETVVLLHLRHMLVMTSPNERAVVGEEEVFEATLPYQSAAGNDKAAQRKKFQAAWNKMKDRSIVRTTTTEDRFEISPVLRLIFTAEEVAAVSDSFASLLDDDDDDSGETVTHE</t>
  </si>
  <si>
    <t>GC_00001983</t>
  </si>
  <si>
    <t>COG1511</t>
  </si>
  <si>
    <t>Uncharacterized membrane protein YhgE, phage infection protein (PIP) family (YhgE)</t>
  </si>
  <si>
    <t>MSPLRTFLVSLALALPLIGGAIYVAASGSDVSQTWNNSSDTTSGAPAAGGTGGIPPESLVGARRAAGEAGTQSGFLVTGTGELVAGVDKLTGSANDMTGATKELANGTQQLADGMTQIQAGTGQLGSAASQVADGVDQAVEQVQGVIALQPQLLAAIDDADRKLAANPAPDAADARKQLAGFRSQVAGFKLGGGTVDQLAQLRSGSRDIANQLTQPGSQYHDAIYTATDGSKQLSSRMQEYATGVDAALASVGELHNGVQRIDGMAKATQDKTTAMQRALPAVTQVQPAENTDSEPEKTSSLPPMYAFLIAALVSAAGVAYVWSTGGGRNWLNLLGVSGGLALVGSVLFALLANGLGVGSALLGVLTLCATAGVSVFGSSALLSLLGERWGRIALAVGSIAQVGVVGWVWKTSAAAETASWAQAISALMPLHYPTSALTTIGNAGSGSALAVALIVMLLLGVGGGVVVRRSV</t>
  </si>
  <si>
    <t>GC_00001984</t>
  </si>
  <si>
    <t>MFARAKLGAVVGLCAVSTVLLAACGGATSDGGSSESSAVAPLSKSARATESSTSSSGDSSSTKSSGESKTQTPQDREAREVSEVPSSGQQLSERDQNYLKELKDNSINVDGAEGSLIGTASGVCQSQDTKNIDVMTLAVAGQLVEQGRTQQKPEEVAAVLARAAKSAYC</t>
  </si>
  <si>
    <t>GC_00001985</t>
  </si>
  <si>
    <t>MSTCGLLTAICVCAFDQTAVTAVMPEIADHLGDTSAYSATFVAALAASIIGMVFSGILTDRSGAQFTIISSASLLMVGLLLSMVSRTMPVFLASRVIQGLGTGGLIVAIYAAIALIYPEKLRPQVFAGFAGAWVVPSLVGPGVAGLLAVTLSWHAVFALPIVAVIIAVALLYRVLAALPQSTPAPQPGYVRTLGAAVVLAGAASIINLSTHLKVPTNILVFVGACGVALLCMHPLVPAGTFLARAGTPRLVLTRGIIDMLSAAEMYLPLLLAERYQLGPTLTGLGLTVSGFAWFIGSHYQAQFGDRLSTPRVFLISTVLIAAGFVVVTVTVLTGSHWWITIIGWGVTGIGMGFSYPRLSAEALSLCAETETGFIGSALQVSGSIGITTMLSVAGMIQLVGNALAVELRFGIIFGAIGLMSIPLLLLWLPRASNRTPHNETYA</t>
  </si>
  <si>
    <t>GC_00001986</t>
  </si>
  <si>
    <t>MLRGLPIIPSPLVETGKPPAPVGVMPAATVAPARAVALTIVLINAPIIEAGAALTNQISALLVLVGRALVKDVGLRRP</t>
  </si>
  <si>
    <t>GC_00001987</t>
  </si>
  <si>
    <t>K08884</t>
  </si>
  <si>
    <t>serine/threonine protein kinase, bacterial [EC:2.7.11.1]</t>
  </si>
  <si>
    <t>MTFSAILVVMSKLNVGDLLDGRYRIETPIARGGMSTVYRCIDTRLGRPVAAKVMDDRYIDDPIFRDRFRREARSMAQLSHPCLVNVYDTGEDGDHLFLIMELINGGTLRELLAERGPMPPHAVAAVMRSMLTGLSVAHSAGMVHRDIKPDNILINGDHQVKLADFGLVRETSQNTATSDQIIGTVSYLSPEQVEGGDIGPESDVYSAGIVLYELLTGEIPFTGDTQVAQAFKRLNNDVPAPSTRIDGVPPLFDALVAQATSRNPEERFTDAGEFLSAVDSAAAELSLPAFKVPIPRNAAAHRATEIEDDAATEEFGTREFDADEMGTEVFNSGPTETSILEPVVPTPAPAQASAPETRVAAATPAHQAPSPAPPTPVSPPGPKPVSNRSGIRLGVWLTVIFILTCAVAVGGWWFGSGRYGEIPEVIGMDRVQATAAIQNGGFEPTIQQVYNDDTAVDQIVGTNPPFGSRAVRGSNVAILISLGRPTIPTIPTDHSVDRYRALLSERTLTWQDGDQVYSDDVPAGGVAETSPAVGQEVRTGTAVSVSLSKGPAPVAVPDVKGLSRSAAESALKSAGLKVARVDEGFISTTPKDHVFGILPAPGTEVTRGTEVVIQVSTALEVPDIVGMSQEEATKKLQEAGIKVDQIKQDNTTGTKAHQVVGTAPGPGTLIDPSSSSVDIVVAKKVKVPNVVGSKLADAKEKLEEAGLSASSSGSDSSRVITQSPRAGSEVDNGKSVTLKTIG</t>
  </si>
  <si>
    <t>GC_00001988</t>
  </si>
  <si>
    <t>PF12680.13</t>
  </si>
  <si>
    <t>K06893</t>
  </si>
  <si>
    <t>COG3631</t>
  </si>
  <si>
    <t>Ketosteroid isomerase-related protein (YesE) (PDB:1Z1S)</t>
  </si>
  <si>
    <t>MIPMTIHDPIAVAQHYFAAVSQGDMETVAALLDPNVVWHQPGNNRFSGAHEGIAAIAQLIGGMMEVSEGTFTLTVTGPMMRNGDDVAVPVRFQGQRQSTPQGTLTMDMTGIDLLTVTNGKITAVRLFSEDQPGEDQFWGTP</t>
  </si>
  <si>
    <t>GC_00001989</t>
  </si>
  <si>
    <t>MSPNNFGFSAHNNDDDDNDDDNRRNNDNQDNHNPFGFFSFGGPGFGGGFGSGFSSAFGDQDGSGAGGASGSSGDGTGGLGDILSQFGQMLSGMGSSMNSPDAQGPVNFPLAERIARQAITSYHSQHSTAAGVRDHDTKAVEEAVRLAELWLDDATSFPTAGHRVVAWDPDTWLTETLPMWKRLISPVAEGTAEAELSGLPEELQGDLGPMKNMIEHMSRMHQGMNLGNSLGDLAPQALSGTDFGLPLAPAGVTAIMPQRLAELTSGLNIPTQEALVYLCAREAARQRLFTHIPYLTEMFVSSVEEFAAGLVVDKTEIDDVLRSMDINPDDPMNIQDLIGRLQESDLTPRITSNNAAAISRLETLLALIEGWVDLVVTEAMGERMPSTAIMNDAWQRRRTSGGSADNVLKQVVGIDISAPRVDAAKELWRRVGVAVGTTRRDAVWNHPDFLPVASDIDSSAEFIDGLLSEGEVDGFDPIAEIDALEKMLAEEAEKAEGESGDTGDDKSKDDEEEQ</t>
  </si>
  <si>
    <t>GC_00001990</t>
  </si>
  <si>
    <t>MKRSSLYTALVSAVIGLTLASCSPPHQVDSHKRVDTATSVTAGQGGASRAVSAASTNKTSNAHPAPATGSAPTYIDCTGAPVTQPNYIALACGDNNDRLVNITWSRWDATEAVGTATRETNTCLPNCADGHIESVNNVEVKMGVPTETDQGMTFTQLTVNNEVIAQ</t>
  </si>
  <si>
    <t>GC_00001991</t>
  </si>
  <si>
    <t>PF13555.12</t>
  </si>
  <si>
    <t>P-loop containing region of AAA domain</t>
  </si>
  <si>
    <t>COG4913</t>
  </si>
  <si>
    <t>Uncharacterized conserved protein, contains a C-terminal ATPase domain</t>
  </si>
  <si>
    <t>MITQPTYDREIVHADQWRLSRIQLVNWGTFDGIVDIPVSRRGFLVTGGSGSGKSTLIDAISAVLVPSDRLRFNAAAQHEARRGKGRDLVSYIRGAWRTTEDPDLGMVVAQYLRPKATFSIIVLTYSNGMGLCRSLTGLFYLKSGDNNPANVVRLFGVFPEQVVEAQAFIPFLAKGLDKRGIKKEFSSASFFEDHAPFAEMFRPLLGISSMEAQLLLQRTQSAKSLDNLDHLFREFMLVEPDTFAYARTAVEQFADLESAYERVQDVKAQVEALSPLEQLHKQVLTAQAEIASTTSLQRALPSVANQLKIAELEDAQVAAEITLEQAQVANTKATEKYRYALEEFSQANQAMNSADGGRVENLQMLVGHHKQQLAERRKAYANLQKRIESHGGVMPTTVSEFNDLINSAKVSIAEHPANMERLNRDLAQSFVSLDQATNEVSTLQQELEVVAANNSNIDARFLARREAICDEFNIKESELPFAGELIDIVPSESEWEPVIQRLLADFAHELLVPVRYYPAVQNYINRTHWGVRLRFSSIDSSHSYPNPRVHPQSLVRKVDVVDHEFSAWVSHELATRYSYVCVNNPGDLDRLDPHEKGVTRSGLVRQAFRRSDPTSRLQKNDVHALGDRVYYRLGSNNQAKVELLRKHLSDAQTTLKARQNENQLIHSRIAQENAQVQFALSIVDEEWENLDTAIIDEHIESLNQQLEQLTENPDVKTLTENAQQAEQKLQDAQEQMQLCNRNVGAAQHTLDGIQASLAEANAEATIDVDDATFTTVHKLFLRHTRRVTSKNVDKLMTILTNEFSANLKKNNETLNTANNKITIRLTSYIERWPAERADLEATPDFITEALAKLQQLKGERLAEFTNQFRALINDMSTRNLADISHRLRQAQNEIRERIAPVNHSLASSEFSEGRFLRIDVRDARGEVVTTFQRQLDEAVSGGMNEQNDAEAEQRYHNIATLIKRLGSKEAGDVRWQKAVLDTRRHVSFVGVEVDEDGTVLNTYVDSSVLSGGQAQKLVFFCLAAALRYQLAKPDAQYPSYATVVLDEAFDRADPTYTQRAMNVFDAFGFHMILATPLKLIQTLSQYVGNTVVVSYDESPNELGQVRGRSSISRIDFGKATG</t>
  </si>
  <si>
    <t>GC_00001992</t>
  </si>
  <si>
    <t>MSVLTAEAIFNPFVELETVDLYSRDLDTADVYYLGDMNPYDSGSSLYVRQRSEPRVVEHTVTSLRPRTRGTAPEHLAGRVRHR</t>
  </si>
  <si>
    <t>GC_00001993</t>
  </si>
  <si>
    <t>K01463</t>
  </si>
  <si>
    <t>N-acetylglucosamine malate deacetylase 1 [EC:3.5.1.-]</t>
  </si>
  <si>
    <t>MALYGLLTVAALALMGYAVTPRGRSVFFRRFAGGTQLQMAYLMVFTIIIIALVALIVIHHATLAEEVAVFAALAACFALIVALLRNRIASPPKTATPYTVLTVGAHPDDLEIACGGTLARLADEGHKIHAIVMSDGCAGGDNSVRPTEARNGAATMGLEKIEIHSLTDTRLEDHNMEMVDIIEAKINELKPDLILTHSSHDQHQDHKAVHFAVLRAARKQPSILCFESPSVTSEFNPQLFIDITNYIDIKIHAVQDHRDQAGKRYLRWDRLKGMANFRGAQGKLELAEGFEIVRLKDSIAGLK</t>
  </si>
  <si>
    <t>GC_00001994</t>
  </si>
  <si>
    <t>MSTRLSMRMTCALLAGVAATVGFTTPVVAQSSDLSSSFSKPSKPEAPKPSEKPAEKPTSEAPTPPAPDANKQSEAVLGKGYKATTKCEGRDVMLTVEFTAPEPAFYHVALHDMYNLQEKPLVVVDRWVNKDEKVTFKGVAPQRHPLALVSTRVEQYNYSPLISTDSLGAGPCVYPGKEL</t>
  </si>
  <si>
    <t>GC_00001995</t>
  </si>
  <si>
    <t>COG0810</t>
  </si>
  <si>
    <t>Periplasmic protein TonB, links inner and outer membranes (TonB) (PDB:1IHR)</t>
  </si>
  <si>
    <t>MTTNRRLSIRVSTLTAMTITASLLNPAFTPLATADVHSTFGLAPRDGVAQTVADNTPALAWGIRGSFYRYVAGATHILDGAKKGPGDYFLWPYQSTKAEGDRLIIQYGGTVNFMKYCGANNELVRGRCDLDFTFADPKIDIDTTTGLGHIYATVHTKSYQKGTWSGPTEVQVGTIDTNAGRYNTDNGVTTWSGVSTKLTADGNNAFSNFYEPESFLDSLNFSYPTAGDIKETQQGYNLRNQIATDTEYNGGGYLFPRTDGNLVLVTGQWGGKGTVRVFDKNLSKLNPGTEIPLTRHGSSGYDTLTNTLYWLNEQDVYAATVTATGIDAPTKIASVPGQNILGFAYSDSTKELGVISLTPGTPAPSFTTIPVSGTTAGNITTVPLPAPRDLYPNLQEERDDDMYGAEFGGDVQGLRALPDGSFITIHGHLLDMKDGGKRQRNLPIHITPKAETKARVITELASDYRDDLRGITMNKSGRMVMWSNLGTSPLMTVQYNAETQRFTTLFTSDGLPQTPSITGATFSEDGTLVIASESKSQVAFVDPTTGVVKSTAALGQHMKDAKDNLLQGTVFGNDGSLYIVDRPVLDYNEYFGIQRLTLPSEGGRRDNSIKPFDMSGTNRPDINRETQDTTPPKVGLPPVNESEKDKTETPQTETPQPGQKPGDKATSSSTSSTVIDGSWARTIETKLVKAGVPMLLAKLVSSLGWIGQVITAPFALLLRLAK</t>
  </si>
  <si>
    <t>GC_00001996</t>
  </si>
  <si>
    <t>MNFMFIVSLTYVKRLSDVEAHLPDHVAYLERYYEQGIFLMSGRKEPRVGGVIVMQADSRKQVEGIISEDPFNQAGIADYEIIEFIPTKTAPALEGYRENI</t>
  </si>
  <si>
    <t>GC_00001997</t>
  </si>
  <si>
    <t>MQVLTATLRHRELTQEIFNIGDEVATFIENIAEAIADWDVELVEDCVAEFEDIIGDARTDSRTIIRELKGIRQALTSGLASGTVAATMPDGDEQMKRPTPMNAQLLRNQFPITNNSPVMVQEINHILQDRTELVRQYLAHIVDWELAETEKAVRSAEDERTLLTVFGYTSDAVTSAAKAWREAVVADYPGVTRTMRGSHPPEFLNERARIDAVVARVKAKMGRAAGAHVS</t>
  </si>
  <si>
    <t>GC_00001998</t>
  </si>
  <si>
    <t>MSNHTDIDVTVENPRPWADHRGLNRAFRAGAMTIGLIAPLEGFDGPVPTMSNHIELIQQAERAGFSTLWVRDVPLLDPSFGDTGQVFDTWTYLGYLAARTENIALGTASVVLPLRHPLDTAKAATSVDQLSDGRFLLGVATGDRAVEFPAYNIDYQTRGARFRDTLAYLRTATERRFPLISSSLGTMEGTDLLPKPLHGRLPIFVTGRSQQQIEWIADNADGWLFYTLPFEQQAFNVQRWRRLTKRDDGVFKPFAQATYLDLVENPQQRPRSIHQGISIGREPLLELLQHWQGIGIDQLMFNFKQSRRPVADVMAEMAEYVLPHFPPGDQERG</t>
  </si>
  <si>
    <t>GC_00001999</t>
  </si>
  <si>
    <t>MFASVEDPLSSGLSRDSGKRGSWGMHIQIREEPACNGLSKETHWLRVHDGGLSEGDGDV</t>
  </si>
  <si>
    <t>GC_00002000</t>
  </si>
  <si>
    <t>MSSPLPIHEQTTQSASNSADIVDFLERLKAHEPQPRCLLAGPDKHDHVELPPELFGILAQAAHALLDGKNVVIKQYDPFLTTQEAADYLGVSRSTVVRIVERGELPFTKVSRHRRIRFTDLQAFIEQEKERQINAITATASSVDDEDVSYDEHKEIRAEVAKQRRSRESGM</t>
  </si>
  <si>
    <t>GC_00002001</t>
  </si>
  <si>
    <t>PF05834.18</t>
  </si>
  <si>
    <t>Lycopene cyclase protein</t>
  </si>
  <si>
    <t>K06443</t>
  </si>
  <si>
    <t>lycopene beta-cyclase [EC:5.5.1.19]</t>
  </si>
  <si>
    <t>M00097</t>
  </si>
  <si>
    <t>beta-Carotene biosynthesis, GGAP =&gt; beta-carotene</t>
  </si>
  <si>
    <t>Pathway modules; Biosynthesis of terpenoids and polyketides; Plant terpenoid biosynthesis</t>
  </si>
  <si>
    <t>KEGG Orthology (KO)&gt;&gt;&gt;09100 Metabolism&gt;&gt;&gt;09109 Metabolism of terpenoids and polyketides&gt;&gt;&gt;00906 Carotenoid biosynthesis [PATH:ko00906]|Enzymes&gt;&gt;&gt;5. Isomerases&gt;&gt;&gt;5.5  Intramolecular lyases&gt;&gt;&gt;5.5.1  Intramolecular lyases (only sub-subclass identified to date)&gt;&gt;&gt;5.5.1.19  lycopene beta-cyclase</t>
  </si>
  <si>
    <t>MDVDLIVVGLGPAGAALAYRAATHYGWRVLGIDPTTSWDKTLGVWVSDIPTWLAHLPVIRSTPAAHALSRHNLGQGYAVIDTAAWRAALVTFPTLCADATIIDAHTVTTQGTTYRARWVIDARGPLPDPSLPVQQALGTFVDAPSTNATWMDLRPISEDYPPTFLYTVPTPHGMLHEETILITAAPVAWGELESRLCARGVTACGRIEHVLFSLGSAPYRGPAIPFGARAGFINPVTGYSVGTALRLVDATLDALSTHRSLPWHSIGFRCDQWLLRRAQTVLLSLTATEQCTFLELLFQLSSAQQQRFLQLGCWRGSVAAMIRMFRAASPALKRRCLRMIA</t>
  </si>
  <si>
    <t>GC_00002002</t>
  </si>
  <si>
    <t>MKRRTFLKLSSLSSILSFLPFGSSSCGKGYELRKLKNSPLPEERSVNFGFEDVSNPHYDWKAMSQRLSNVNATAASICVGRIEWVCFDWEGHPDTQASINGADWVQDAIDALRPLTINLTIDTLVPNTIHKNPELAGVDPGGERSDKFASVTAIRDGAVGDGIVELAKTISHRYNPDSISLTELMFDNYTFGEDDLASYKKFSGASDWPRKDGEINTRDPKLGEWRSEALQHLLDRIKGVIPSNVALDMDVRAPWNDPGADRAMSGHDYDLLLTEASRIAVWNYNGMEPSVQPDYSEKLAESFNRRFGDNRYVLSTGLWAEDEANTISADDMALNLRYSAKGGASAVSVTPASRMSDEHWKMLESAWKG</t>
  </si>
  <si>
    <t>GC_00002003</t>
  </si>
  <si>
    <t>MHDGLDTGLKTSERHVEQAIAEAKAAAHKAGLSTETLSEESPQLRLARRSGGGLTTFSLHLHGIKGAAQVRELEDSLCAIDGVSASVIYPTSMAWITAPDDVSPEDIMMVLADLGVSAELTRSSLQRRAERLEIQNRRNRLLAHRKSAAKTTPLRKKPDNPQHTRTREERLQQSTDVLFTPRTLVTPERLVLSILLSIPVLVLNRFPDWQWACLILATPVVLWGAWPFHRAALAGLRRGLPALDAASSVAIIAAYVWSAVMLIIPMTHEHRSLFLDVACGVTVLLLIGRFLSGKGRTSLLQSALPTEGLLKEVVVVRKDPHSAKPVKYTIPIQEIRMGDDIIVPTNTVIPVDGHVIGGAATVEPGLIGGGRDEIAVKVNSQVYAGGINRGGPLKIRVQRTGSRTRLAAMKRWVEKAAHHENRTAQLATRSASMLVPAALGLAAVDFLLWWFISGDINKAFSTALAILSCVAPVALALSTSLAMRFGIEKSARRGVLVRNGDTMRELVDVNAIIFNRVGTLSQGDMTVETVTAARGENPELVLRVAGALAMESRHPVSRALVRASREARDAGTGGEEVPHWIDVSHAHITKDGSYTGLIEIPLKNGDGDIEMRQVDATLWRPRDLSSLEGKLATAATSGGTPLVVSWKHKPRGVITLYDSVKDDAANAVSDLEKMGVETVMLSRDTYPVARRFADNLGISKVLAGIALGKKEIAVRSVHARGANVALVGETSVLDCMRVADVGILMGNPESLGFAEADVVVLRDDVSSIPELFGLARRVTAVADRNIMFAWVYNVVAMSLSVMGVVHPMAATIMMIGSSLVIETLSNRVRRF</t>
  </si>
  <si>
    <t>GC_00002004</t>
  </si>
  <si>
    <t>PF00374.24</t>
  </si>
  <si>
    <t>Nickel-dependent hydrogenase</t>
  </si>
  <si>
    <t>K06281</t>
  </si>
  <si>
    <t>hydrogenase large subunit [EC:1.12.99.6]</t>
  </si>
  <si>
    <t>COG0374</t>
  </si>
  <si>
    <t>Ni,Fe-hydrogenase I large subunit (HyaB) (PDB:6FPI) (PUBMED:25905665)</t>
  </si>
  <si>
    <t>KEGG Orthology (KO)&gt;&gt;&gt;09100 Metabolism&gt;&gt;&gt;09111 Xenobiotics biodegradation and metabolism&gt;&gt;&gt;00633 Nitrotoluene degradation [PATH:ko00633]|KEGG Orthology (KO)&gt;&gt;&gt;09130 Environmental Information Processing&gt;&gt;&gt;09132 Signal transduction&gt;&gt;&gt;02020 Two-component system [PATH:ko02020]|Enzymes&gt;&gt;&gt;1. Oxidoreductases&gt;&gt;&gt;1.12  Acting on hydrogen as donor&gt;&gt;&gt;1.12.99  With unknown physiological acceptors&gt;&gt;&gt;1.12.99.6  hydrogenase (acceptor)</t>
  </si>
  <si>
    <t>MATERVVIDPLTRIEGHLRIELECDDNQIKNAWSESTQFRGIETIVEGRDPRDVWAFVGRICGVCTGTHSVASVTAVEDAIGSNPPKQAQLIRDLVMASQEIHDHVVHFYHLHALDWVNVVSAADADPAKAVEFAKSINSTWKGNTETQFAKVRDTIRGVLDSGQLSIFTGGYWDHPDYRLPPEANLMAVSHYLDALQFQRSIIRINTIFGGKNPHPNFLVGGMACSIDPDKSETVNQVQLDQMGVWVNEILDFINGCYYPDALAIMSVYKDYFDIGASSPTFIAAGMGGARYEGGTERPVSSGHTDIKGGVIMDGDYTTVHPLDPKKIKEYISSAWYTYTEGDDAGVTPDVGETTVRYTGPKPPYDWLADNDKYTWSKAPRYDGRPAQVGPIARVLIAYLQGHPKTVSLLNDALDAVDVPLEKMNSTAGRTLARALEAVTTADHLAHELLPAFKDGLRHGDYDVFDPTKWEPSSWPKKASGFAMMEVARGFLTHWVTIKNGKVDNYQAVVPTTWLAGGRDPDGHLGPYEAALASSGTHPLADPKQPLEPLRTIHSFDPCMSCAVHVFDPDGNIQVQVITP</t>
  </si>
  <si>
    <t>GC_00002005</t>
  </si>
  <si>
    <t>K19222</t>
  </si>
  <si>
    <t>1,4-dihydroxy-2-naphthoyl-CoA hydrolase [EC:3.1.2.28]</t>
  </si>
  <si>
    <t>COG2050</t>
  </si>
  <si>
    <t>Acyl-CoA thioesterase PaaI, contains HGG motif (PaaI) (PDB:1PSU)</t>
  </si>
  <si>
    <t>KEGG Orthology (KO)&gt;&gt;&gt;09100 Metabolism&gt;&gt;&gt;09108 Metabolism of cofactors and vitamins&gt;&gt;&gt;00130 Ubiquinone and other terpenoid-quinone biosynthesis [PATH:ko00130]|Enzymes&gt;&gt;&gt;3. Hydrolases&gt;&gt;&gt;3.1  Acting on ester bonds&gt;&gt;&gt;3.1.2  Thioester hydrolases&gt;&gt;&gt;3.1.2.28  1,4-dihydroxy-2-naphthoyl-CoA hydrolase</t>
  </si>
  <si>
    <t>MTHTEIPNTAADLLELLHNMGENGLHIRELARLNDLSGGFCNQLGLRFTEADREHIVAELHVTQEHLQITGIVNGGVCCAIAETVGSIMGITASNGKVVVGINNNTNFIAPVSAGVITAEAKVIQPGRRTQLISVDMFHRGHLVATSIVRTMVIDEKN</t>
  </si>
  <si>
    <t>GC_00002006</t>
  </si>
  <si>
    <t>MTNRSRYHGHTAQPQSTISSKIVAVFALMLVIAFAVALAKYLQTSENQTTNVTFASSERISDNSLRVWVDVKRKNVDTPAYCIVTALNYDMAEVGRREVYISPGGENLQRLQLDITTREPAVAGGAYGCGETIPFYLDQTEEQVGALPATSG</t>
  </si>
  <si>
    <t>GC_00002007</t>
  </si>
  <si>
    <t>MTIGPDSDAFASQEQYLRALAYRFLQKTTDVDDIMQEAWIRYSQANKDEIVNLEAWLTTVVTRLCLDTIRQNQKFVSYNSAINLTTNNNLPEANLELISDVESAFKIILAELTPSQQISFILHDIFSFTFSEIGSILGISEVAARRQASRARAIIQNSNLDTAQRENNNEQQIVSAFLTAAQQGDIEGLISVLHPEVTRIADSDTVKTGEPSHISGIKNIINETITLQANAQDADVYLLSRKPVILVGSPEKPRLLLTFKIYNGKIYRYNVISDYSKINSLILSGVKPL</t>
  </si>
  <si>
    <t>GC_00002008</t>
  </si>
  <si>
    <t>MVSETTSEDTTSTTPYVYTGFSKLEAAFGLFWLSLGAIVSLVLEVIYLTAWLSLPGGGAVVFPLSILIAFLFNQVLSKTALLWTKNKIVAAIPIMVWLAGFLAFAVNDGVKGDILVGADVRGLLLLVAGLAGGSWPLTLKK</t>
  </si>
  <si>
    <t>GC_00002009</t>
  </si>
  <si>
    <t>MRDIASKRLILVALMTMPLLVGCNMQALLNNAMESTPKSEAAATNTPTSSTTLRSTTSRSTTTTTTANTSTSRSNIEGNGSTITSKENIPEGVVVSGSEYAFNTCDSKFPNGFPSGAEHFAELRGGSIVQLEDNRARLDLNIRWVFPANPPVTLRINPKDRTIPYVVKIEFNGTKISSVDFSVENQEDLDKVPTNRHLDISIKQAKEDGNGTLKIYLNSDIADDFGEKSTVQMTSEQIDTVCKGA</t>
  </si>
  <si>
    <t>GC_00002010</t>
  </si>
  <si>
    <t>MSITDVARDWAAHDPDPETAAYVLGLLEDPARAAELQSRFSGPLTFGTAGLRGEVGAGESRMNRAVVTRATYGLMDWLGRQVEAPRVVIGCDARHGSSDFYTTAAEVISAAGSTALLLPPCLPTPVTAFAVRALHADAGIMITASHNPRTDNGYKVYLGGRVATGVADGVQIVPPADAEIMACITQASPADQITRNASRVEKVDVLPAYLEKVTRLGSSPRDVRIVLTAMHGVGGEVARQALNLAGFNDIHVVEEQFAPNPDFPTVAFPNPEEPGALDLAIALASDVNADLILALDPDADRCAVAIPTGQGNWRQLSGDETGCLLGDYVAGRIGGGGVGVGVLASSIVSSRLLGAIAADHGLEHRTTLTGFKWIARVPDLVFGYEEAIGYCCDPAHVRDKDGITAAVTMALLADSLRIDGRTIQDVLDSFADRFGLHATAPVTFRVEDVGLISAAMQQLRSTAPTELAGSEVVSVIDLGEGYNGLPPTDGLILLTAANDRVIIRPSGTEPKLKCYLEVILPGGTWEEARKRLDAIGEELRRVIGL</t>
  </si>
  <si>
    <t>GC_00002011</t>
  </si>
  <si>
    <t>K21498</t>
  </si>
  <si>
    <t>antitoxin HigA-1</t>
  </si>
  <si>
    <t>COG3093</t>
  </si>
  <si>
    <t>Plasmid maintenance system antidote protein VapI, contains XRE-type HTH domain (VapI) (PDB:4MCT)</t>
  </si>
  <si>
    <t>Prokaryotic defense system&gt;&gt;&gt;Toxin-antitoxin system (TA system)&gt;&gt;&gt;Type II TA system&gt;&gt;&gt;HigB-HigA</t>
  </si>
  <si>
    <t>MPAADHPVPRHPGRILLEDYLIPMRLSQYDAAKRLYAPESTVNGMVAGTEKLTWSLAKRMSAVFGKTPKFWMESQRAWDKWQLEQSGDLPAV</t>
  </si>
  <si>
    <t>GC_00002012</t>
  </si>
  <si>
    <t>MRATSFRVRDGKVRNLAGHLERLGLSEAESQRLRTELRQRVHDAAASGAYAINPIIWADTGSWTIDVRPDRTIKSHIIMDAHPHNDERRQPQVKGPDLMWLSTRMNITKGRGADEGLLKAPSGRIIEGIYAHLIALHGNKVAVSTHPRTLRSITAAQVIPYLQQCGMTVVERTEGFTLQELHEAEVWDLNAFSGIRLVTAWAEYGDVIDVPAGRAAAAQVPTSEEVNRWLWEQADVV</t>
  </si>
  <si>
    <t>GC_00002013</t>
  </si>
  <si>
    <t>K03117</t>
  </si>
  <si>
    <t>sec-independent protein translocase protein TatB</t>
  </si>
  <si>
    <t>MFSDVGWGEIFLLFVVGLVVIGPERLPRVVRDVKAALTAARTAIDNAKQGLGDELGADFEEISKPLSELAALQRLGPRAALTKTLLDGDGSFLDALDPKKIMEHEQPKPASSAAASTQPKQSQPDSKQSVEKEQQTPGKEPDDAARGDFSWADIT</t>
  </si>
  <si>
    <t>GC_00002014</t>
  </si>
  <si>
    <t>PF17173.10</t>
  </si>
  <si>
    <t>Domain of unknown function (DUF5129)</t>
  </si>
  <si>
    <t>MSRLAAPLCAAALTLLIGSLGAMTHIAPIDAPAAQAESASTGSPAVSVAQETMLTTDIDGASLSTWPGAQGPTVTVWDGAGKLSESDKESLHQNTLKVAVPSVVTSVDYVTFATNDENLNDTVLNHLKQYRPDLLSPDQTKYADGHLIVAVGFDPRQNGVLGGEDVAQAIDLRKQERLETIVDAAKPGLRKGHYADGMVESVVAAADPNYKASGNTINPGLAAGLAAGGAVTVAGIGAVIAASVTSRRTNQARANFDTVSREYGRVAADLEAIDVRAHSLTSSFANDELRRQWEDVKQRFLQLHTTMNSIDHLTVDSPNKEFRRHHAALATAVEETTKMSQAEENINLLHDLENGNEEARRNQLQRLREDALKAKLDAPDDRYAAEYDSIMTRIDALVHNAASPTFMDEFTTILGDYQIVTKNMQENTMPEVLDKDDRVAPRIDSRDWNVGLGRNDFVPYLILSSWHSNDVAAAQSSSSSSVNTSYSSTSFSGAGGSSGW</t>
  </si>
  <si>
    <t>GC_00002015</t>
  </si>
  <si>
    <t>MTVLIVAAVVMPPLVRAQPHHVQGQVEGPMFHTLAEAYKYRVEHKDQPVVPQGVNDPDCRVTPQHKQAVVLVHGTDTTMYADYSQLGAAIAQAGWCTYGFDYGAGPAPDKGFGWAPIEQSAEQLDQTVAAARRSSGAESVVFVGFSQGATVTRYWMHSDPAHAAATHKWIGLASPTRGGNFYGLAHLAQTFPWLHDVVGSFGLLSPALNELMTDSEFNQRLNTPAETVPGVRHVTISTRFDEMMPEGHNAAIHAGQNADVDNIVVQDVCPDNHGGHMFMTYNPTVIDLVLSELGAVSRDRVRCAPVPLGYSMPDVMLFDAPRKLLGGTDRPTPVDISTM</t>
  </si>
  <si>
    <t>GC_00002016</t>
  </si>
  <si>
    <t>MMCPMESKFVTDVSSSFCSEMLFSSLVNAQICAWSKIDKAAKIVPGMNAARYLILQNILHHPEGLGVTGLARIQRITDGAASKLCERLESIGLVIRKRLEKDKRRQVIMVTPEGRAAFEEARTHVDEATTQFFSSLTTEEHLQLIDMLRRLSCGEENIDPKGDK</t>
  </si>
  <si>
    <t>GC_00002017</t>
  </si>
  <si>
    <t>MRRALLTVLLIPTIVIGVTSCALPTRPPQPATPTTPIVTQPDTPLPAPGPTSPNVDKLQTIVTQVEQQTGAKIGIATSTEAAGSISTGPAWSTAKVPVAIAALRNNSAITQSNMWAAITASDNQAAASLWESLGSPTTAASATDQVLRDGGDATTHTQSQVLRPGFSAFGQTQWRLIDQAGFAEHMSTIAGGSDVLVAMSNIAADQRYGLGTIPGAVFKGGWGPEPENGYVVRQFGLMPGPKPYGIAVMVVADNYQSGQYALSLAAKYLQA</t>
  </si>
  <si>
    <t>GC_00002018</t>
  </si>
  <si>
    <t>MMSSLQEGLLACARKQDQTATYIHLAGLRDSGKSKQEVYAEALDLLKQLRSNRYSAKATADADALCDVMDMIVGFCSPQWTVWTT</t>
  </si>
  <si>
    <t>GC_00002019</t>
  </si>
  <si>
    <t>K20460</t>
  </si>
  <si>
    <t>MILLEVKKLRRMRMGLLIFAIMAAVILMSVAQILGKASGIGFVELLTMVGMVQALLSPIFVSLVATRLVEIEHEGNGWQVAGTAGIPRGKLCATKAILTGIITTVIVAIEFAAVIGIGFLRLGSVDFEATYWLGYAVCLMVVNVSLGLLHVILAAYVDNQLVNLGVGVLGAFVAVFSLLLPGVVVRFIPWGYYAVSMHATFTPAGAEYIMPNYFWIIGFCVVSMTVFGMGVYKLNRMER</t>
  </si>
  <si>
    <t>GC_00002020</t>
  </si>
  <si>
    <t>MPATPYCAHPQSLEHLIDLLDRQCIAHTPVNATDNPHASNQEVAVLVLPDDTTASLYPQLLADFPNQGFWPTLAHPQDPQNPWYPWVDGDLVEPSTHLIFSNLRDFYRTAGVDYFTRPTATNPQLLADPESLTDDEWLEEEFWNGLEFPPPTPDVTAAFFDSLSPIPHHTAAAHPPTPEEPTALLITPTHRPADVPAAVGWLGACNYDFAGHHISAVLRSWEDRFGAILTSLDSQDMTLTIPPLALTDDERTLLTLEHYFFCRSLIDDATTFGHQSAALATSDAQQWVFHWE</t>
  </si>
  <si>
    <t>GC_00002021</t>
  </si>
  <si>
    <t>MNLSINAMSLSHGVLRLKNVVDLTHSLIDTASNNTLCGSYSGMSELSELGATHGCVLYGSVGSAITVAQSLAEQVDWGRHTLDLNRQSFLGQDCVFGKALASCDVQHLVEQIRATYAPNPTPCFADFSFPTPIPTIPVSLDDVIARLTSTNHEQAHQALTSWTTMSSISHQASAELSSIANDLVKENSGDAICAAHKTLTAMAATAEAFSLTSAGMAGTVGYFAAIALAFLPGLMTARTLLLAIPEPAERESIEAAILVKFRALFGQALMGAVPAIRNLTQVLSVVGDGLVQLAGGSNGQPPIEKLGHEMSESAVELAQPQSHKHECHVDSKSMAELNTDAASGGGGYAGSHVSASVGSSFQGAVEASASGAGAVGGSSSTPLGSPRLGGVLGGSALTAAHIATQPAGVDAQAVSAGSQVGSRGAATGFPGFLGGVHGRPVRHAASSHSASTSNAVAHMATTASAMSLSQRQVQQPSVIPEVSADHTPKKGKVHGVLQHMPQTPNARDLLGENPPTVPGVIGTWVRIDPQERTPNDFRTGLIG</t>
  </si>
  <si>
    <t>GC_00002022</t>
  </si>
  <si>
    <t>PF04191.18</t>
  </si>
  <si>
    <t xml:space="preserve">Phospholipid methyltransferase </t>
  </si>
  <si>
    <t>COG2020</t>
  </si>
  <si>
    <t>Protein-S-isoprenylcysteine O-methyltransferase Ste14 (STE14) (PDB:5V7P)</t>
  </si>
  <si>
    <t>MGGLVNVLISRHSGTSVNYYGAMPRRRLLTALPDITLICSVLVAVAFDVFIPLVILYSAMWLKVLACGAIAVLIVLGVGILRNLRSAGATTNAGDAPGVLITTGYYSRSRNPYYLVCLLLLGAVAFALGSVSAFVAPIIYFIVMNVVVIPAEERILHHRFGSEYDDYTHRTHRWLSIYSRS</t>
  </si>
  <si>
    <t>GC_00002023</t>
  </si>
  <si>
    <t>PF11021.13</t>
  </si>
  <si>
    <t>Protein of unknown function (DUF2613)</t>
  </si>
  <si>
    <t>MAYESDSVTRRTIGPALASTVVGVVLGIVAVIGVAALASQDALPPTQKVSSQDSLLGGTEYGSRN</t>
  </si>
  <si>
    <t>GC_00002024</t>
  </si>
  <si>
    <t>MVATDSALRITIRIDIPDSAYPSTCIDLAVPRNSSIAEILDEVLTLADAPRISRPWQATTAAGVLIDAAQPLAHTPLTHGSTIVLSPHRDVEPPVLCDAAESFIDHGTTRQHTGLTTLSTLVGIILIMCCAMSPLTGIIPLGAKFLVVALLTLIVLTRMRSTASLFNDSPDGDSTGALAALSILCLTSVICTCLGALSFIIPFPIASSQLSAVPWAGLVTALCGATMLITCHILGTPPLRLTVACATALTVIACTSAAFALTSTPSSIAAATCVIATVLVALSPWLSLRFAGLRVPQLPSAGQDFNVADIPIDNPEARASRATALLDGILIGTVACAIPAMIVLSLRGDGYTAALCAASAGAVLAHAMRHRSILALWSLWSWGMTSIAAIGLCLLFAGKNTPLLCIGALGALVCTTAPLWAHHIKTLSPTTLNWLERFESLAVAATIPLAAHLLGIFSLIRGLG</t>
  </si>
  <si>
    <t>GC_00002025</t>
  </si>
  <si>
    <t>PF04854.19</t>
  </si>
  <si>
    <t>Protein of unknown function, DUF624</t>
  </si>
  <si>
    <t>K25089</t>
  </si>
  <si>
    <t>MPGLFSTEGKFYGALSLAADLVIVNVMMLVAMLPVVTGGAALRAATVVITQLLNNEAGTPVRTFLREFTRKWKASTVWWFITTALMLFAVYEFYVIFRADVGNTTRLLLCASVLSGVCVLAAVSVWFYPLAHVGGVRSTLTHSVQLAFAQPLRTIVGVIFTLSPLLVFAVAGSQLGVVVVFYALIGAAFTQYLVLLALGENAGVVSR</t>
  </si>
  <si>
    <t>GC_00002026</t>
  </si>
  <si>
    <t>MARREITQYFDDLDNSPLTEAELNVVRFSVDGTDYTLDVSADNAARFRDALSPFLEAARIVPAAPRPRRRGGMSDANRTRTRQIRLWAQDRGIEVASRGKIPQNVIDAYDNANS</t>
  </si>
  <si>
    <t>GC_00002027</t>
  </si>
  <si>
    <t>PF12849.12</t>
  </si>
  <si>
    <t>PBP superfamily domain</t>
  </si>
  <si>
    <t>K02040</t>
  </si>
  <si>
    <t>phosphate transport system substrate-binding protein</t>
  </si>
  <si>
    <t>COG0226</t>
  </si>
  <si>
    <t>ABC-type phosphate transport system, periplasmic component (PstS) (PDB:2Q9T)</t>
  </si>
  <si>
    <t>KEGG Orthology (KO)&gt;&gt;&gt;09130 Environmental Information Processing&gt;&gt;&gt;09131 Membrane transport&gt;&gt;&gt;02010 ABC transporters [PATH:ko02010]|KEGG Orthology (KO)&gt;&gt;&gt;09130 Environmental Information Processing&gt;&gt;&gt;09132 Signal transduction&gt;&gt;&gt;02020 Two-component system [PATH:ko02020]|Transporters&gt;&gt;&gt;ABC transporters, prokaryotic type&gt;&gt;&gt;Phosphate and amino acid transporters&gt;&gt;&gt;Phosphate transporter</t>
  </si>
  <si>
    <t>MKRVAIISTLLVAGCLAGCVESRETPIGLVDEPGLTKTEGQVLAEGSSAQKRAMDLYGIKYATAVPGARLSYPPAGSGEGQTNFLAGTVDIAGSDTPLTAEQASQAAERCGGNEAWHLPLAFGGLAITYHLDGVPKLVLNADVLTRIYKDEIHTWNDPAIAALNPGVNLPEEHITPVYRSDRSGSTDTLQRFFKGTTNGAWNTTGLDYAGYGGVGASGSNGVVDTIRDTNGAVGYVETGYAVGARLGLAAIDFGAGPVVPEGPAVEAAVAKATFANNGHNLVVDTDALYDAAKQPDSYPLIVTSYSIVCSAGYPPEVRKRVKDFLTVALRHQDDELRNLGYAPLSGVHKGRMESAVAALS</t>
  </si>
  <si>
    <t>GC_00002028</t>
  </si>
  <si>
    <t>PF04472.17</t>
  </si>
  <si>
    <t>Cell division protein SepF</t>
  </si>
  <si>
    <t>K09772</t>
  </si>
  <si>
    <t>cell division inhibitor SepF</t>
  </si>
  <si>
    <t>COG1799</t>
  </si>
  <si>
    <t>Cell division protein SepF/YlmF, interacts with FtsZ (SepF) (PDB:3ZIH) (PUBMED:16420366;24218584)</t>
  </si>
  <si>
    <t>MSSVQKVKEFFGLVSYEEDDHDAYYADEAAYSAAPAPSYADRHTMPYDYQPEYQAPPRVYEAAVVRVSLRSYTEASRIGEPFRDGDVVVFDITEVQSADAKRIVDFAAGVCFGLRGKMEKVAPRVFAVIPENAHVSQMELERAANLR</t>
  </si>
  <si>
    <t>GC_00002029</t>
  </si>
  <si>
    <t>PF02814.20</t>
  </si>
  <si>
    <t>UreE urease accessory protein, N-terminal domain</t>
  </si>
  <si>
    <t>K03187</t>
  </si>
  <si>
    <t>urease accessory protein</t>
  </si>
  <si>
    <t>COG2371</t>
  </si>
  <si>
    <t>Urease accessory protein UreE (UreE) (PDB:1EAR)</t>
  </si>
  <si>
    <t>MIVTEILGNTHEVTGRSLIGERHVEKIVLPSADLVKRIQRVTTDHGTELGLRLPADSPDLRDGDILAVEEGNAIVVSVLPTDVLVITPTSIMQMGFVAHSLGNRHLQAQFFDADSDYHAEVMVVQYDHTVEEFLTHHAVPYSREERVMPVPFRHAEHTH</t>
  </si>
  <si>
    <t>GC_00002030</t>
  </si>
  <si>
    <t>MVHVVAAMVAVVSAVLLPAAANTAVIAPANPYITTFPPINGKTITIADGPQLLPPNDENMLRDVTAQAALPPVVTHVDFITLSFPEPINIEAALWGNVQKFRPDLLSPERTRYADGHLIVAVNFDGGSGKGSFGFFSGDDVKQSAQLTDQARTQGVLAAMKPGMNAQHRAEGMAQAIRAIADPRIGEAALQEQEKANNNTTVAGAPLKQWSDPNHVAVTVWDGASKLSNTDMESLHQNTLNIALPSDVKSVDYFTFGNNSDSLNNTLQAHLKLYRPDLLTPDREKYADGHLIVVVGFSPHKNAIYGGEDVAQAVGLRDQQRLETLTAAPKEDLRAGRYVDAMIESVTAAANPDYQLPVDTGKKVTNIVATVASVAVFGGGLLSIIGVFIHTRKNRTRQAREAYNHAAAEYGRIASSLDAIDIRANSLTSSFANDELRAQWEDVKQRFLQLHATMDSISHLADSGTNKQFYKSRATIAAAREEATKIAQAEENIELLYSLEHGDHDARRKQLRRVRSDVYKAKLDAPTLPLRQECDALVNRLDALLENVTHPSFMHDFTQVLSDYQVVSKAIRDHAMPNVLDKDNRAVPRLDSYDWNVGLGHTDFIPYGTLSSWNSSDTASISSDSSGGDSSGSYSVDTSYSDSSFSGAGGSSDW</t>
  </si>
  <si>
    <t>GC_00002031</t>
  </si>
  <si>
    <t>PF02577.19</t>
  </si>
  <si>
    <t>Bifunctional nuclease domain</t>
  </si>
  <si>
    <t>K08999</t>
  </si>
  <si>
    <t>COG1259</t>
  </si>
  <si>
    <t>Bifunctional DNase/RNase (PDB:1SJ5) (PUBMED:20018603)</t>
  </si>
  <si>
    <t>MAFTQIDFHGIHVQGPEGFTAAVLRMPGTNRILPIWIHPEEASEIEARISGFQPKRPASHDLLADALMRLTSGCQSVRINSNFEGVYIAALVTNDGEEIDARPSDAFILSRILELPIEIDDDVFMQASIFLSDADLAHYFGISSGVVGNGIDDHISASGDAQADADFEELMQSMGVFETDLLGENEASGGEGDNDDGESPGHRKR</t>
  </si>
  <si>
    <t>GC_00002032</t>
  </si>
  <si>
    <t>MDLHIAGPVLLWCHEGTALVTHSTSTAQLIAGDVYYSPESVMVEENGLVIPLLFPDIQISGSARRVHVGVRWSDVIVHEFSRSLGLSIPAMRPSPALLRIFDDPVALPPVAQTPEAHAVSCAIADNPADQTGLEEFAQRHGISSRTLQRQFVNGTGFTFSEWRTAYRVHAASELLSLGFSVAVVANMVGFAATSSLTRAFRRHTGCAPSKYSLGMTGMGATGEVPRIPGCTVQAPKETMSIWVYKGTATFTDGDFCRFMGAGESVTILKDSDAQLEVAAQSIALPVAYDGVMPDQPGLKDVVTWCRARYELVRILNEKVK</t>
  </si>
  <si>
    <t>GC_00002033</t>
  </si>
  <si>
    <t>MTTADNPGILGEPTTGVTEATVYHNPQCSKSRAALAYLEQRGITPTIIHYLTDTPTVEELTAVLATAGLKAHDIIRTGETAYAHLGLSTETPDADLITAMVTHPELIERPLVVTPKGAILARPTDLIATIL</t>
  </si>
  <si>
    <t>GC_00002034</t>
  </si>
  <si>
    <t>MLDAIASPEWEGRRYSWNPNWDDGEQVLEGRDGQGDSLLILFQDESMAINLFSMEDQLVEVIPGAFEKFFLGEPVATLGTTSYWWRVGNGGDWCGNPTTDAPDWLRLIADGRDSYLDDAEDYFDDSLNYTRAATVVASLIYDFTPLTRDMVARPLPRLRRLGPTRR</t>
  </si>
  <si>
    <t>GC_00002035</t>
  </si>
  <si>
    <t>PF00251.26</t>
  </si>
  <si>
    <t>Glycosyl hydrolases family 32 N-terminal domain</t>
  </si>
  <si>
    <t>K01193</t>
  </si>
  <si>
    <t>beta-fructofuranosidase [EC:3.2.1.26]</t>
  </si>
  <si>
    <t>COG1621</t>
  </si>
  <si>
    <t>Sucrose-6-phosphate hydrolase SacC, GH32 family (SacC) (PDB:1ST8)</t>
  </si>
  <si>
    <t>KEGG Orthology (KO)&gt;&gt;&gt;09100 Metabolism&gt;&gt;&gt;09101 Carbohydrate metabolism&gt;&gt;&gt;00052 Galactose metabolism [PATH:ko00052]|KEGG Orthology (KO)&gt;&gt;&gt;09100 Metabolism&gt;&gt;&gt;09101 Carbohydrate metabolism&gt;&gt;&gt;00500 Starch and sucrose metabolism [PATH:ko00500]|Enzymes&gt;&gt;&gt;3. Hydrolases&gt;&gt;&gt;3.2  Glycosylases&gt;&gt;&gt;3.2.1  Glycosidases, i.e. enzymes that hydrolyse O- and S-glycosyl compounds&gt;&gt;&gt;3.2.1.26  beta-fructofuranosidase</t>
  </si>
  <si>
    <t>MSVYFRPRFHLAPPSGRLNDPNGLYVEDGVLHAYYQHDPQWPTAEKRTGWGHASTPLLSDKPELWTHHPDALYPAVDYDDKGCYSGSAVLVNGELELFYTGNAKPGGHRRATQNLVHVGGRRRADGGTYLRSDRNPLIDGPAPGFTNHYRDPHVLWREDHWLMVLGAQRDDETGSVVLYTSEDRRAWDYAGEIQFDTSSAVPGSAPDMIPGGYMWECPNLVTLRDDVTGEDMDVLIVLPQGLEQVGDHYANNHQCGYVVGHLQGTTFTVSRGFTELDYGHEFYAPQVVHGSQPPLMLGWMGLPDLDDQPTRQDGWVHTLTVARELHLSDGVLRQVPRASISSNNADSDLEVGASFEWSGEMPPGSELVLVDTAGDAVARLSVNGNVVELDRQDQQYHAGGDVRRAYLRGVTSAVDVRVLVDASCIEIFIDEGRISFASRIFPRHEPNECIVRVLT</t>
  </si>
  <si>
    <t>GC_00002036</t>
  </si>
  <si>
    <t>MFTQAEMVHTHANRTQAYGGRRRPSGDRPPVSIRD</t>
  </si>
  <si>
    <t>GC_00002037</t>
  </si>
  <si>
    <t>MSNQLPDHLRHSGWLAPSVASSLTSAGVPLPTADYLTSAFDASAWEAAAAATQELTALFRDARFADTATFGPLLVPNPQLFDVRPPLPRNIRRDQPEVTQPEFSDERIGITRNHCADGASWSLFVTITSEAGLALGSYDAIVAASVERFTVCGYDTRKLMTLQLWKALTLQCGTTMPDCELRESWTFTLFPGEELIDAAVISGTVLHGQVRQRLGKTTRGIKSARVRPAVFIAGAADVATTAAPHV</t>
  </si>
  <si>
    <t>GC_00002038</t>
  </si>
  <si>
    <t>MTQVTTKLHVILLLHDAQQRGGGAAKQSHRCVFRGPQPVAYVHEHGAKAVQSGCSFAVNAAVGHYGFAVR</t>
  </si>
  <si>
    <t>GC_00002039</t>
  </si>
  <si>
    <t>MYTLENAPLNPDTLESLKLIVNSIRFPNEEIPPETIHEFVLLALGEMSQEEVMERFNERMETERQKASAIAE</t>
  </si>
  <si>
    <t>GC_00002040</t>
  </si>
  <si>
    <t>MKKKNIAAAMLAASMPLLSISAAHATPDTASTTPSQTQQQGEQRETQQSTSKQDVEVTQELVEKYSQYVSQEGDQFRLNAPENLKSDNAQEVSKVQEIINNTNEDIASGQTEVTDNESDDQTVETAAGKHKASGSHGGYEYKWWGIQFWLDEWATQEYTNSLSQGASADKIAADFCAWTGIKSKTVVKVSQTLRIDAKIVRTSNWQNRGIIVNAPVGKFTRAWCQPRHADTDTPDVQKPHKPQKPE</t>
  </si>
  <si>
    <t>GC_00002041</t>
  </si>
  <si>
    <t>MARKTRRSVPIENRVQTEKPAKLRLPRVHLGYVPLLFIVTVTIMVLVMITVPLRNYMEQRAEIARLDASISELQNRKTQIETDLEKYHSKEYIKEQARRRLGVIEPGETAFRIIDPDAETKNHTETPQATETTPAWYTTIWDSLTIPDNPEPEQSTPKNDKLPLQPLAPEDSAAE</t>
  </si>
  <si>
    <t>GC_00002042</t>
  </si>
  <si>
    <t>MHIFPRKLVSMRTLLKITSSVTVIGLVIYGVFTTAIGQTAAPPVPLWYHVMALLGFELMTAGITGSIAVGVTRNSVLPTGGSVGVLQRFGPFYLFMLGLFAIVNMWGLGFFATSVPNNTHALYYAEPLGINALLEASIWLFLGGAVLGMFQLVRGLIWERRNLRSS</t>
  </si>
  <si>
    <t>GC_00002043</t>
  </si>
  <si>
    <t>MNALKRRTKVAVVAMCTALAATTVTPAVAQPQNQSSMERIVAMSEQMGGLLSTGVVFLVWYISCTLKDPRTCSW</t>
  </si>
  <si>
    <t>GC_00002044</t>
  </si>
  <si>
    <t>PF08000.17</t>
  </si>
  <si>
    <t>MEAAEVASWMFAAEVPIPADVNNILIPGEQAVAAYKTFRDSAIFTTHRLIVRDSQGIRGKKVEAYSLPYSAINMWSSENAGTLDFTAEIALWTRAGYIKIKLGRGVDVRRLDQLIAHVVLNK</t>
  </si>
  <si>
    <t>GC_00002045</t>
  </si>
  <si>
    <t>MRSVSGSWNRIILASAGIVTVIAASWVLASGLNVREHWPATTSFLAPASTRIDNATMGQEAWLLPAVFAASIIAVLLGVVLLIMQVPRKASASPLRFTDADGTLLATISPEVLAQALSERGEDVSGVKRCSAWVTGSPGNLRVQATATVSQNSEVEWAVSELRSRLDNDLAVSLGAHPKQVDVLLTLDSPSRSRSIASTARTGRARAVEESRMTESTRSGDDA</t>
  </si>
  <si>
    <t>GC_00002046</t>
  </si>
  <si>
    <t>K11939</t>
  </si>
  <si>
    <t>inner membrane transporter RhtA</t>
  </si>
  <si>
    <t>COG5006</t>
  </si>
  <si>
    <t>Threonine/homoserine efflux transporter RhtA (RhtA)</t>
  </si>
  <si>
    <t>MRQSHKVTGILLVFGSCVSLQFGAALAMSLFPLVGPWTTTLCRLFLSGLLLTLVMHPQAHQWSRSQWVSVAFFGLSLGIMNAFFYVAISHIPLGTAVTIEFIGPLVLSAVLSHSIRDVLWVGLAMVGVGLFGVERLLGLSSLHPIGVVCALGAGLFWALYILAADNAGKKVTGTGVIAIVLLIGSLPSTPLGMANLFMVATDAHLLLLAIGTAILASLVPYTLEFLALRRLPPSTFGILLCMEPAVAATAGWLLLNQHMGVLGMLAVCLVVSACVGTATSKS</t>
  </si>
  <si>
    <t>GC_00002047</t>
  </si>
  <si>
    <t>MTHDHDDRQLVLRAQDGDIKAFERLVERYQGRLFRTAYMIVRNRHDSEDIVQETLIQAWRRLHLLQEPSAFRSWLMRICTNSATSAIRKQQRRATESYDHESLETASTLTETPSNTTADPAQSSEVNAQIGALAILLSSIQPELRIVWVLREVDDMSYEEIAKTLNLTESTVRGRLARARSLVMRNMKEWA</t>
  </si>
  <si>
    <t>GC_00002048</t>
  </si>
  <si>
    <t>PF14094.11</t>
  </si>
  <si>
    <t>Domain of unknown function (DUF4272)</t>
  </si>
  <si>
    <t>MTTFINAYSTVVQEIPWTGPGATYFKYRSTVTGTNQEISDFQDHLNGFLGYAIDFWITQGIEYNAFIHSISQHIRETRSQYVFERDASFEPEDLKDFKEWARATNSIFFLNDGGIYNADGVNLLDPNTKKFAPIHPLSKSRSERIRTDLGKKGMSVPQSLPPVRSEMEVQLRSTQEVASRFRALVIVAHLAAAVLDGDKNTAKNIYTVMSNSPYDFTPTELAFIDTVAKESQKKFGKYGKSTQEAAVQLVWRWESATVLGWVLGKVSMDPMVLEPANVDRLTTLEENPDELYDIHRLIDTFHICDGYESTYSQRWYAVDQDVNPENSPPVFENVHCSILLERHHAFSWLHHPLSTWDDVDLNT</t>
  </si>
  <si>
    <t>GC_00002049</t>
  </si>
  <si>
    <t>W</t>
  </si>
  <si>
    <t>Extracellular structures</t>
  </si>
  <si>
    <t>COG2064</t>
  </si>
  <si>
    <t>Flp pilus assembly protein TadC (TadC)</t>
  </si>
  <si>
    <t>MMLLALACLVLATTVGVAPSMRIERKASIRVRDGPTDILAIAADIELFAACIHSGLSTAHAATAVASVSENEQWRSVQALLAIGVGAGRAWEPMRGIEGLGELAALATMSERSGGALSTGCERIVDKLRNDTAHAATAAAERAGVLIALPLAVCYLPAFFILGLAPTVISLGATMLN</t>
  </si>
  <si>
    <t>GC_00002050</t>
  </si>
  <si>
    <t>MIGDGFSREVFTTYFRYVPDAQLIVSPDYPLGDALVGLFHGSDNEGNLYPETIEHLRDVTEILAAHGFRRYRPLADAISPVLDRYCLDISAYDVFIIKRAVRQAAEVMDEAAALCPFHPVIGQIVEVEKRCRNIAVVRLIVDTPIEYEPGQYLSVNTDYSGGRWTNLSPSIPCNDAGQIEFHVHAPSLLSTARQGDRIRIAAAGGGYNLDYDQDMLLIAHGTGLAEARAIIVDMLMKGRTPHTHLFLSADYPGELYELQGLWQLASTAPWLFIQPVVTHESDAWWVGATESSQPPRGLHLTQVGDVGTIVASFGTWLGHQIIITGPKKLVARTKKKLLTRGTPEELIQTQNYQSAYFI</t>
  </si>
  <si>
    <t>GC_00002051</t>
  </si>
  <si>
    <t>MARNWDVLKQTCPSRTALTKITSTWTALTLLALGEKRQRFSDLQAAVGGISRKTLSDTLRHLERDGIVARHEMSTMPRRVDYELTPLGRTLLKPLTVLIRWTETHFDDILAARAHYDEQAAGTV</t>
  </si>
  <si>
    <t>GC_00002052</t>
  </si>
  <si>
    <t>MAQDYFAFRDSTADSAGSDIFTTMNEIKQTLATNRTAINNLKPEWVSVEADAYYDGITKWNEGADGLADVLDNVKQTLLGVKDGTGDVKKSIGEILDATK</t>
  </si>
  <si>
    <t>GC_00002053</t>
  </si>
  <si>
    <t>COG4978</t>
  </si>
  <si>
    <t>GyrI-like small molecule binding domain (BltR2) (PDB:1BOW)</t>
  </si>
  <si>
    <t>MPSYTIVDVPERWVVGTRDVIPADSMVTFFDRVYNDTADRITDVGGSVLGPAVAYYFTPVVDTVDMLGGFPVVADVAAKTSGAVQFSAVKAAKWVHRGSYDTLAKAWKYFVEDLVKDGYSIPTQPCWEEYIVEPGPETPSEDVITELYCPVKEMR</t>
  </si>
  <si>
    <t>GC_00002054</t>
  </si>
  <si>
    <t>COG1403</t>
  </si>
  <si>
    <t>5-methylcytosine-specific restriction endonuclease McrA (McrA)</t>
  </si>
  <si>
    <t>MATAFYNVADPNNAFAVHSTTITKQELGFWLSVFTPDSVDDDIDEFISSIVATTHYTRTDVSQACDVALMLHAMPHLKDYALNTGVLCLRRLHLIYRHTLAIEPELIEPHLINLVTPTSPHQQLPTPRTLAAQVRKLVLSLDPPAAHKTIDAAEEELRFRAHPNGLTTVFGALRSDKAVVISQVLKAISTDQHCDLNEALYKLAAEHVDSCSIVLNLWDHDYLQGAGWLSDDCVIRDMQAASTKTSSSYITPIDIRAFVIGRDGTCRFPGCDRPAWECDTDHVISDADGGPTTAANLQALCRHCHNIKTDKLAIPTMHKDGTVEWRFKDGTVAITHPTGPLAGVEMPNPPPPPAEPQRTTPKFRQTFSQRHIKRIRRQAS</t>
  </si>
  <si>
    <t>GC_00002055</t>
  </si>
  <si>
    <t>MVFCKPEFTQVNDTKGVAKQHASQFPACDIGIADGKTVPCIKTLGVDIRGINSNS</t>
  </si>
  <si>
    <t>GC_00002056</t>
  </si>
  <si>
    <t>PF01292.26</t>
  </si>
  <si>
    <t>Prokaryotic cytochrome b561</t>
  </si>
  <si>
    <t>K03620</t>
  </si>
  <si>
    <t>Ni/Fe-hydrogenase 1 B-type cytochrome subunit</t>
  </si>
  <si>
    <t>COG1969</t>
  </si>
  <si>
    <t>Ni,Fe-hydrogenase I cytochrome b subunit (HyaC) (PDB:4GD3)</t>
  </si>
  <si>
    <t>MTNVASPQRVIRVARAYSVRKLSPGRLLAMAAVAPFDSEDPVDVALHASLRVNRPDIVPIRVPADEFSPATPKRKYSLVRVDDFPVEDVPKNVMIMRGDMESVLAKATISREERTLFIRNAEVMRMSGQRCLAVASAEIAEDGTVGEFFVEGFVAMVLEKPSQVAKKFSSNPNEWVRINIWSATLRFQHWANMALIVIMSMSGYYIMNPFFGPAAETGHDVGYLMGWVRLIHYVSAYLWLGLGFSRLVLSFTAKDRQLRWRSLWPLNSREDVKGLWGTIQYYLFLKKEGPLYLAHNPLQQFAYTGIYVMCLIQMLSGIVLYGLYNQTDWFWVIVAYPMHWMGVSTIRMIHALIMFVLWSFVIVHVYLATRADALERHGGVSSMVNGGVWLRRGAKPVDAPEIG</t>
  </si>
  <si>
    <t>GC_00002057</t>
  </si>
  <si>
    <t>MRPLSAVEQSVRNGATTTMEISRQTGLSASTVDAALQQLQRMGMLKSSKETIACDECALSCGSDHSSSCGSGLVTLTLLPHRPE</t>
  </si>
  <si>
    <t>GC_00002058</t>
  </si>
  <si>
    <t>MPNHAIRRTSLALATATLTAAAMLGTISPASAISGGRNADGDVAATASARVILGNTDCSATRISPEWLITAKHCVGQGNRSLVSLGGNRQGEQRHAAEVVMHPTADLAVIKLDQPSNGPVAKLSGQHLTPGTHARAVGWGGGTQNYFPMVQQGDLEVQRRVFNIDPDNREADLLEVWVTGGHLTPGDSGGPLLIGDTIAGVASMSNENALPHVNGSIGWYVPVAEHTEWITRQTGVAATAAAGQPTPRADILQAPAVQPRSLAPAVGSSAVDSWLSTLPFRITHS</t>
  </si>
  <si>
    <t>GC_00002059</t>
  </si>
  <si>
    <t>MATLKVRESARKTRRRHAKKRSWNLLFVLLGTLILLYPVAATLWNDHRLERIAEEYSKNVQAIKPEETVERYIDDARAYNAELAAQGHLPKKDIDGDPDYENYKNQLNTPQTNGVMARLQIPAIDVDLPVYHTVRSEVLYRGAGHMHGSDLPVGGMGTNAVISAHTGMVDATMFDNLPKLKDGQDVYINVLGERLRYRVTGRQVVKPEDYSAVTYEPDKDKITLVTCTPYGINSDRLLVTAERIALDAEPHDALGPRYRFAWWMIADLVVIIVVLLIVLVSEVRGAMRKRR</t>
  </si>
  <si>
    <t>GC_00002060</t>
  </si>
  <si>
    <t>MPHTGPGRMRVGVAALTTACTLIGMHAPLASSAEPSSEHPDTALIIDASGSMWAPDGSGELRTNTANRVAHTLLGELPGDQQLALLTYGTGTGNSDEEKEAGCKDVQTLVPLGGSRDEIAAQIDGLVASGYTPIGPALLAAEKTLDTKKTENNKRHIVLVSDGIDTCAPPEMAEVARDIHKRNSNVTIDVVGLNADETVREQLKELAAAGGGTYADATDEASVSTLVTALSAQGAAAANDAGKGDKKDADKKDADKKDSGDHDGHKHDGDKGGKKDTHKHDGHKHDGDKSEDKSVDKSAEKSAEKSSESKANGEPSKAETSKSDEKSAEKSEEPKAEESKAETPRSDEKSETKTEDKKSTENSTTAKASESSEAASATQTAAKDMKGTNKADGAPTLAVGTTRDGRIHQQLFTDSLPAVSGDSKDQERHWSVTLKEGQQLNVGFLIPTPEGNVSAKGKELTVTPELLNPKGKACVATSEKVKVDGNFTGAQSASLLSKEIKKGTDCPPGKYDLVLKRTGELAADKDLPIRISTWAVPQVDDAKLPQSSSKPKIADLPLGDVAGELPTNTNVAAAPSVKAGTYTAALKPGETQWFRVPVKDGQRLQMHLEAQAAGKNDHSISWQAFSPLYNHLSATTDGGADGTDRSEGNVVLNADEATSATFATEPIRWANMKKAGAVNTSFLAGEQLVAVRHNAPADAGSEPVNVTLAVASTGEGEHGPDLAKYSASSNGNEHSSQWTGVWWLFLLLFVIGILATWLSPRSKKAKETSEE</t>
  </si>
  <si>
    <t>GC_00002061</t>
  </si>
  <si>
    <t>PF10722.14</t>
  </si>
  <si>
    <t>Putative bacterial sensory transduction regulator</t>
  </si>
  <si>
    <t>MAWFNNTESQGEENVVQPVSFQRLQSLVARNGWNVGTPEQVENPQFLYAYFDGVYTVFSTEHDNCLMVSAFGINNLTLSLDRFEDAVMWAADHNLGTNFGTSFITSDEDEGTVMLRVDSAILCPAGATDEQLVEWVNVALSANLAAMKRFAEHFDVQIEQR</t>
  </si>
  <si>
    <t>GC_00002062</t>
  </si>
  <si>
    <t>PF18085.6</t>
  </si>
  <si>
    <t xml:space="preserve">Maltokinase N-terminal cap domain  </t>
  </si>
  <si>
    <t>MSIAEIHSAATLTPSKDEMCAQFSDIAQRLGSYRAVDPTGEVGIEVIVGESNDGCLVQLPVTYRASSDALPGEIMTIHHSVLGSRSISYATSDPVAITEFIRLIMTGKKCADYSAGGPLFVVAGSGNSPNSTVTNPDITTYGSTHASGTIHIDGERREFSLSFPPINDAVTVKDSTLALVATQPDSSFPVAYLTLS</t>
  </si>
  <si>
    <t>GC_00002063</t>
  </si>
  <si>
    <t>MNLLATNYFIATEAELPEIYAVYLEKLAEINANPGVTIVLLSDTEEPAEHQSVYEELLQKYAEIHSIGGKKLELYQLDTVVKLDGVTDAAQAHKLLTEFAPTDDRYPSVLSSKVLVELP</t>
  </si>
  <si>
    <t>GC_00002064</t>
  </si>
  <si>
    <t>MDLLAKILASDPTTPRLTVYDENTGARLDFSGITLDNWAAKVANMLIEELDLTEDSLISIDLPPGWQAVAVALGALAADIPVTLFDAATSDVVFIAENDVQNTAGNAVENGAAGPGEYSGDVVIVTDDPFGRGVEETGGTLLPGAIDFGPTVRFYGDQFAQPTRSLADIVTNVSPQSLHRFSPTSRVLVQGWANWLDFVAKVLAPLAAGGSVVVATGDSDRLTPERLDRIIDIEKVSERLP</t>
  </si>
  <si>
    <t>GC_00002065</t>
  </si>
  <si>
    <t>MIADALSILMDPQRWGGDSGFIMRSEQHIVLTLVVLIIGSVLAIPLGIWCAHVRPGEVIASILMNSARALPSLGLLILFGLWLGVGVLAPTLALIVLVFPSLFIGAYSGIMAIDAGIIESARATGHSWWQQVRKIEIPLALPLIVGGFRQAALLASSTATFVAYTSDFGLGRYIFAGLKTRDYPLMLCGSLLVILITFFFDLIFGRLQALTHNRPWKDHS</t>
  </si>
  <si>
    <t>GC_00002066</t>
  </si>
  <si>
    <t>MYYTFMAIIVAFCLVLVLLGAYRFFTLRSNGNNVTLRRLPAVGNHGWRNGILRYESNNELKFYQFRSLSPFPDVIFHRSHLTLDGQRDYTEEEASFLFDGTPIVKFRHEGKDYEAQMSKHATMAFVSWIESAPNARLDKMSPSEARRRMRHI</t>
  </si>
  <si>
    <t>GC_00002067</t>
  </si>
  <si>
    <t>MKNRNVTRKIVAAGTATALVVGGISPASADPMNSSRPYSAADWAMRGIQMLGNPATIQFGANHLLSSAPSVLSYDSLLVANQAFFNAVRFLTP</t>
  </si>
  <si>
    <t>GC_00002068</t>
  </si>
  <si>
    <t>PF17249.8</t>
  </si>
  <si>
    <t>Family of unknown function (DUF5318)</t>
  </si>
  <si>
    <t>MVVYRGEVSHRLARRQLLVQWRQGAITRDTVCDADFLLVTAANFHGQQVGRLCPICESPKLREVLWVFGDELGRMSGTARNEDEIVAFVQRGLTFTVHTVEVCPKCRWNHILMAREAVGESA</t>
  </si>
  <si>
    <t>GC_00002069</t>
  </si>
  <si>
    <t>PF20079.4</t>
  </si>
  <si>
    <t>Family of unknown function (DUF6474)</t>
  </si>
  <si>
    <t>MGLLKTILKRRAQTKIEVKAAQARARQEIKSAAQLELRRSKLLAAEEKKLLKNESKLLKAQRKHREKMATAELQRLRKGRLNSGKVLRYSAAIRAMAPLLLPLVYKAVVMVRDANTKSRAQQLGVSVDELAQHSGPGADLKARITGMEKSLATYKLPQGFQTDVVERLQALRTAVENADRMSPDQRKRAHRTISADLDELNKEVLARLL</t>
  </si>
  <si>
    <t>GC_00002070</t>
  </si>
  <si>
    <t>K03719</t>
  </si>
  <si>
    <t>Lrp/AsnC family transcriptional regulator, leucine-responsive regulatory protein</t>
  </si>
  <si>
    <t>COG1522</t>
  </si>
  <si>
    <t>DNA-binding transcriptional regulator, Lrp family (Lrp) (PDB:1I1G)</t>
  </si>
  <si>
    <t>Transcription factors&gt;&gt;&gt;Prokaryotic type&gt;&gt;&gt;Helix-turn-helix&gt;&gt;&gt;Lrp/AsnC family|Chromosome and associated proteins&gt;&gt;&gt;Prokaryotic type&gt;&gt;&gt;Nucleoid associated proteins&gt;&gt;&gt;Other nucleoid associated proteins</t>
  </si>
  <si>
    <t>MDEIDRAIVAALQKDGRLSNQDLATLVGLTSAPCLRRLRKLEERGIIKGYRAIVDQAALDCGFEVIVHADVGKNDGPAIAEFEQRVAAMPEVVELRRMYSRPDYFIRVRVRDSEQYEQWLTKGLLGNPGVARVDSRITMKVIKSSE</t>
  </si>
  <si>
    <t>GC_00002071</t>
  </si>
  <si>
    <t>MRDFNKTTMAFTVVWVMWGIISVSYTGSTRGVFLPSLMAWLAFCGTHWVVFLLVKNLTTWVVALVIAIQLIFAIILWLLMPGPVLLFITPYLINMVVFTLPGLKADLISGIILLLIASGISFIGDKPPIRIISVLVVLTGYILVSRVTVELNEANGKALSKAHQEADRERIARDIHDLLGQSLTVVALKAQIIERLSADPHNKQQAAEITAISRQAIGELRYTVAQLRCHTMDEELEAATQALEAAGMKVTVHRNGEMRHREFSWVLRKAVTNIIRYSQATECTITMSNGGLQISDNGIEGETAHHDAEFAEVAQRITQAGGSFRLEHMNGTTITAELR</t>
  </si>
  <si>
    <t>GC_00002072</t>
  </si>
  <si>
    <t>MQLQAFVVPNAIDDSFFALYNTGFDSQAR</t>
  </si>
  <si>
    <t>GC_00002073</t>
  </si>
  <si>
    <t>PF09449.16</t>
  </si>
  <si>
    <t>Domain of unknown function (DUF2020)</t>
  </si>
  <si>
    <t>MRLTISLLVAAVLLAGCTSATPNVPPGTVSATMAEASTATATPTLPADTLPDTQPAEACPYLDAAWVAQTNGQRVTRVGVDTRFDPPACVFWSYSEDPQLTVLVRHMPSPDEAVAVVDWAAPIATTDPAEEPTGWSGGRFGGDGRAVYAVQKDSTAVVVFSNQEQSLKAELVATEVIGALGL</t>
  </si>
  <si>
    <t>GC_00002074</t>
  </si>
  <si>
    <t>PF13175.12</t>
  </si>
  <si>
    <t>AAA ATPase domain</t>
  </si>
  <si>
    <t>K07459</t>
  </si>
  <si>
    <t>putative ATP-dependent endonuclease of the OLD family</t>
  </si>
  <si>
    <t>COG3593</t>
  </si>
  <si>
    <t>Predicted ATP-dependent endonuclease of the OLD family, contains P-loop ATPase and TOPRIM domains (YbjD)</t>
  </si>
  <si>
    <t>MYIKRIKMHNIRGLRGTTTVDLSPGLNYLVGENNVGKSTILFAIEYLRNGTNNNEQIYTTNSNESQVIVDLSGDDLEEMLGNEDFNKLQDFLWCDQQSKDLSKSKILRVRRQSNQETVQQGKKKVNIDAKKITFWNPKSSQFEAITGIDTKFKSLLDLNFIYADDAPEAHVNMGTSKTLGKLISAAISDIDKCKPWLNFTEAHKALFTQQGEGTVQNALQELSTEISEVITEQYGKATARFNFEVPDPTSLLKSGQVLLSSNINNEGETPLENKGTGLQRAFMLALLQVFGQKSQKRGSSGYQKMIFGLDEPETWLHPRAQLSLAKAIRGIADNQQVLLITHSPYMIQGFEENDSYTMLVMKNESGTPKIKTHDELNTCQLPYVSWNAINYYAFMIPSIEFMDELYGHFQNLCLQKDSAREKDIVTKLEELGISSSLQWYNNRDNKYYNVPNVVYVRNSVHHPENTKNPRYNNQQLIIAIEELEQAIHTWIEKNSR</t>
  </si>
  <si>
    <t>GC_00002075</t>
  </si>
  <si>
    <t>MASMYRKVGTALITLLVNVGISPLSHCGVVGVNLSPR</t>
  </si>
  <si>
    <t>GC_00002076</t>
  </si>
  <si>
    <t>MCATFELTGERKINKQGVRLYRIRATRDIAARGVRAGDLGGWVSSTHTTTGELRIAKDAWVSHEAEIFEDACVTDSARVGGHARVCGHTMISGYARVYGWSRVYGRAHVFQTAVVDGNARVGGNARVLGAAHIHDHVQVRGEACVAGEASLYDRVCVGDQARISGSAYLCGRAVIAGNAAIAEDAHFQVFETLETFEDSVELIRTALPNGEYGTQVRIGTWIGDIGSVVDQLFLCWQRHQHARCSQSEWMERALQIRSRC</t>
  </si>
  <si>
    <t>GC_00002077</t>
  </si>
  <si>
    <t>MVLEKLSLDPVIVGTLSVVAVAVLWLMGVRGADLAAAGILIVGVMTLFGDRYPIMRVAVLVGSVVVFIAIMTGVIPKTVPPLILLSAVLPCVVLVYSRPLYSNEDTESADDMEEAIW</t>
  </si>
  <si>
    <t>GC_00002078</t>
  </si>
  <si>
    <t>MIHTQSAVTRSVVAVATSAMLRGVSTAVIGCAGVVSLGLTGGGIVGSAAAAPAPSVAPSAPAAPVSEASAPAAAQAPKVWTDEFFITPAPDVQKYYKELNITYAVYKVRESFALAATGQLNGAAKGGDVEPMKLAEAKSNDAASWAKARFMLSLLRAEGNSAARELDLNKVGVDKAETEKAAKVLDEGHADVREHTLNPVGVEGQRTNKGARLQKNDEALTFLKSVRDQLGKGDQQSLEYDAQSVINWGVAQHFVHHTQRELKLPREYQRLEVVNAAGAKSVERTAAVDNGNANRKVLDSDAALNARPYPNGFGK</t>
  </si>
  <si>
    <t>GC_00002079</t>
  </si>
  <si>
    <t>MVRRITTMLFAALTFIGVVAITPTASAQDGPHLVSTERIDAQFLRIHVYSPAHNAVIPNDILVPEGNAPRPTLYLLPGYYGGTDGLTWANTTDYRSFFRDKNVNVVSPIGGKGSLYSDWYQDDPILGRNKWTTYLTQELPSVIDREFNGTGRDAVAGLSMSGGPALDIAAHNPGRFKAAATYSGCPMSSGVVGSPLAAGLVLGTGGNIGNAWGPPWDPAWADHDPNAQPTRLRDVAVFVGSASGVPGEVDGNHYNVGLWGGPLVVEGAANACSEHFTNNARAAGVNVDRFYAPNGAHTWPLFEHQLRTSWRTIAPAIGA</t>
  </si>
  <si>
    <t>GC_00002080</t>
  </si>
  <si>
    <t>MNGFVASVVAASVAVSGLFLQVVEPSPASATAQNMIVAAAAGKE</t>
  </si>
  <si>
    <t>GC_00002081</t>
  </si>
  <si>
    <t>MLEFVEVPQRYVVGVRRQVSAEELSDLHEHAFNETAEVLAQAQAQPGTSCCYFFAATPQVDLLAGFEVPVEQVAQVQEAATARGLAIHRFPPSAAAKAVHNDSYESLPDARQAFTAEVAQVPSEHPDGALAPISWEEYVSAPSDDDPSAGYVTELYRSLP</t>
  </si>
  <si>
    <t>GC_00002082</t>
  </si>
  <si>
    <t>PF14530.12</t>
  </si>
  <si>
    <t>Domain of unknown function (DUF4439)</t>
  </si>
  <si>
    <t>MGSTMVVNVSTLGKAMCVSLARRVNSTAVNRRTFLAFTAVAFATAGLSACSRPAPEPNQTLVSLAEQARTDAAALAPVRSDLAAIRERHATMLSTEVARDCGHFENGSVPDSCVSTTSPSAATTTSVAAAAHTEPNAVLKAALDQVNSLLADIPADSAVVVARIHTELAILTMAAPPAFDQNNNITPTAADSDQVKKALEWEYATIYGLEVHEAFVANELASTLNDALDEHRRIATALRMGLESANVSDIPVAEAGYTINDVKNSGFFADSASQSVLAWHDYASHASDASWRALCIRIASTIAVTAVPALEFAGIEPWRADFLQLN</t>
  </si>
  <si>
    <t>GC_00002083</t>
  </si>
  <si>
    <t>MRIPNPTLKDIAAEVGVSISTVSRALADHPAIPQKTKQRVLKAAQKLNYRPNAQARALRNSKTNTIGLVIPNLFNPYFAELAAAVQNAAIDAGLYTLLGISNDDPKGLIQAVEIMQHQRVDGIIAVPHIGTEKELTALAKQNVPLVLVDRELDIVPATSVSTDPAEGIKAAVSMLVTGGHESIGYLAGPQDTSTGVDRLEAFRSACGSFGIDQYPMLLGGYVEEQGYVGTQELLKLGVSAIIAGDSMMTVGALRACHEHRLTPGFDIALVGFDDFPVFQLQNPPLTIINQHVSTMGAKAFEELHKLLRGDSAQHKIKLPTTLIVRGSTPPKDSASDSSGQGGH</t>
  </si>
  <si>
    <t>GC_00002084</t>
  </si>
  <si>
    <t>COG1247</t>
  </si>
  <si>
    <t>L-amino acid N-acyltransferase MnaT (MnaT) (PDB:3DR6) (PUBMED:27941785)</t>
  </si>
  <si>
    <t>MGSLPNTRLAAVRDVGNIAQLLDAFNCEYDEPSPGVEFLTRRLHELLSSDLAYVVVAGDPIVAFGLVTLRPDVWANSLIATLEELYTVPEWRDNGYGSHFCAT</t>
  </si>
  <si>
    <t>GC_00002085</t>
  </si>
  <si>
    <t>MSSLTSRYYDTLLRHLSTKDRAAFLELPGAEEDDITQVLEAYPNAPVDVIELLRLRDGTPFELPILGWHNGDFWEGYSLNSCRDIIGNKSRESIIDFYGIDYIESEGDEIFDPRIDVTIPMFRRLFFAADTTFYQLYVDVDPAPGGTVGQVIRFAGDGDEWLVIAPSFADYLQQVIDAYGYP</t>
  </si>
  <si>
    <t>GC_00002086</t>
  </si>
  <si>
    <t>MNNTPENDRPGFKDTFIAVGQQTLSKRRTDYVYSVGVLVTGLMVLAGLLYFLTPIASIVALVCAIIVMWGRWIILRQVTQDFADMRTAKEGYTATENAEYLEFIRLRGEQMLNDNKALTPLAKQEITQLMDWAASHTT</t>
  </si>
  <si>
    <t>GC_00002087</t>
  </si>
  <si>
    <t>PF00481.26</t>
  </si>
  <si>
    <t>MLKLNYAVASDRGLVRGNNEDSAYAGPNLLALADGMGGHAAGEIASQMMIRHLQNLDGDPGDNDMLAMLASVADDANRAIARAVRDAPETDGMGTTLTAIMFDGEQLALCHVGDSRGYMMRNDELEQITVDDTFVQSLVNEGKLAKEDVSTHPQRSLILKAYNGRPVKPSLRTIPAEVGDRLMLCSDGLSDPVTDSTIADALRYGTPDEAARRLVELALRSGGPDNVTVVVADILSSSDHSTAVPSTPLTAGALLGDAPEDPRPDTAAGRAAAMAAREPQTIPPAGSAPADKDKEEPTAEEKPKKPRRRKRRFFLTFSILLILLGGIVAAGWWGNNQVKKTYFVSTSKDAIVIEKGLNYSVFGRDLHTRAHNLCMDAEGDLSLLQATETTSNDPKCRTFKLQDLPESLRSSVSTLPEGSYDDVLQQTQRLAQQALPACVTRAPNPDNPSDPSSTGANSGDLTTPGVNCREVN</t>
  </si>
  <si>
    <t>GC_00002088</t>
  </si>
  <si>
    <t>MTPASRHNHRTTLLSPEVSPASVRDDAARDDAATREYMRLIASIHETWDRLESESNVSVMPQRHMMDAIVAATRHGAQVHMPPTDLGPYSLSEFSLRSLVRQAVDSVDSARGLRTSFQHAEAPDDPVEARELGVPETIFCRISAHVTTQHLPELAQQVRDAVREACYENLGLSPTVNVHIEDLHDDD</t>
  </si>
  <si>
    <t>GC_00002089</t>
  </si>
  <si>
    <t>MLSVLAVNITRADAERLTGGPVVLHYYPLTGVSFILQAVRGPASRIDGRVFHTVTDRATGSIATSEAWELGDVADVDASAVWKEYEPADDEVRRSIVTAARQTLTARLLRTVRLGGQFELRVNQVIDPLWKPNWLYTDKNKRVQILVDGLNGSIATRRL</t>
  </si>
  <si>
    <t>MPSVLAVHITRADAERLTGGPVVLHYYPLTGVSFNLQAVRGPASRINGRVFHTVTDRATGSIATSEAWELGDVADVDASAVWKEYEPAGDEAKRSIVTAARQTLTARLLRTVRLGGQFELRVNQVIDPLWKPNWLYTDKNKRVQILVDGLNGSIATRRL</t>
  </si>
  <si>
    <t>GC_00002090</t>
  </si>
  <si>
    <t>MFGRRKAMPQATVDVATSPPLAPIAPVDLTSHEQVSAVLGVAAGIGQVLIAAGTTNFDAKNQVVAVTEAYGLFHCHVDLTYTRIRLFSYVADSRRNPVTVVRVMPAPVQDFLRLRRVDTLIRDILSGRASLVDAQARLNAIITAPPSLGLVGVVCSWMVLGGAVTLLLGGDVWAAAASTVASGLVIWLAAVLGRRGLPLFFQNVAGGFCAAVFASAVYHAGLMVGLLLRPSMVIATSIIALLAGLTLVQAIHNGVSFAPVTGNARFFDTMLITGGVVAGVAIGIEVSVLLHVPLPPMETIAAPNLASATIRVVGGAVASAAFARACYADWLSVGVSGLTALVGSSVFYFMLLPTVLDDVMAMALTATLIGLIGGLLARRYQVPPLIVAIAGVTPLLPGLAIYRGMYGMLHHQLTVGLSNLTIAMSTAMALSAGVVFGEWIARKIRRPRGLGKYMRLYRILGRRSGVFN</t>
  </si>
  <si>
    <t>MFGRRKAMPQATVDVATSPPLAPIAPVDLTSHEQVSAVLGVAAGIGQVLIAAGTTNFDAKNQVVAVTEAYGLFHCHVDLTYTRIRLFSYVADSRRNPVTVVRVMPAPVQDFLRLRRVDTLIRDILSGRASLVDAQARLNAIITAPPSLGLVGVVCSWMVLGGAVTLLLGGDVWAATTSTVASGLVIWLAAVLGRRGLPLFFQNVAGGFCAAVFASAVYHAGLMVGLLLRPSMVIATSIIALLAGLTLVQAIHNGVSFAPVTGNARFFDTMLITGGVVAGVAIGIEVSVLLHVPLPPMETIAAPNLASATIRVLGGAVASAAFARACYADWLSVGVSGLTALVGSSVFYFMLLPTVLDDVMAMALTATLIGLIGGLLARRYQVPPLIVAIAGVTPLLPGLAIYRGMYGMLHHQLTVGLSNLTIAMSTAMALSAGVVFGEWIARKIRRPRGLGKYMRLYRILGRRSGVFN</t>
  </si>
  <si>
    <t>GC_00002091</t>
  </si>
  <si>
    <t>K02484</t>
  </si>
  <si>
    <t>two-component system, OmpR family, sensor kinase [EC:2.7.13.3]</t>
  </si>
  <si>
    <t>COG5002</t>
  </si>
  <si>
    <t>Sensor histidine kinase WalK (WalK) (PDB:4I5S)</t>
  </si>
  <si>
    <t>ko01000|ko01001|ko02022</t>
  </si>
  <si>
    <t>Enzymes&gt;&gt;&gt;2. Transferases&gt;&gt;&gt;2.7  Transferring phosphorus-containing groups&gt;&gt;&gt;2.7.13  Protein-histidine kinases&gt;&gt;&gt;2.7.13.3  histidine kinase|Protein kinases&gt;&gt;&gt;Histidine kinases&gt;&gt;&gt;OmpR family|Two-component system&gt;&gt;&gt;OmpR family&gt;&gt;&gt;Unclassified</t>
  </si>
  <si>
    <t>MTKLKALPLQTWLVLIVVLVSALGLSASAFAVNGIMRDFAYSNVDSKLQQASKSWLDRGEFQRPGATQQGPPSDFYVLKRFSDGTILEVNDGTDAPDVSSVRFDDRPTTVSSIGNGDHVRWRVLGFTQGQEQTIVAQSLEREDSLLRRLTIVQVFIGFIVLGILGLVAMWAVRRALRPLKEVEHTARDIAAGDLDRRVPQWPMSTEVGQLAAALNIMLTQLQDSLMTAQQKEEQMRRFVGDASHELRTPLTSVKGYTELYRSGATQDFGMVVDRIEGEAARMTLLVEDLLALTRAEGSRMEKQPVDMFELAVNVVSSVQAAHPGRSIGIHNDTTEPPMVIGDASQLHRVLSNIVVNGLKHGGPDAAVDVNIRKDGDTIVVAISDNGVGMSPEVTSHIFERFYRADESRSRESGGSGLGLAITKTLVEAHGGSISVESVEGEGSTFRVALKAV</t>
  </si>
  <si>
    <t>MTKLKALPLQTWLVLIVVLVSALGLSASAFAVNGIMRDFAYSNVDSKLQQASKSWLDRGEFQRPGATQQGPPSDFYVLKRFSDGTVLEVNDGSDAPDVSSVRFDERPTTVSSIGNGDHVRWRVLGFTQGQEQTIVAQSLEREDSLLRRLTIVQVFIGFIVLGILGLVAMWAVRRALRPLKEVEHTARDIAAGDLDRRVPQWPMSTEVGQLAAALNIMLTQLQDSLMTAQQKEEQMRRFVGDASHELRTPLTSVKGYTELYRSGATQDFGMVVDRIEGEAARMTLLVEDLLALTRAEGSRMEKQPVDMFELAVNVVSSVQAAHPGRSIGIHNDTTEPPMVIGDASQLHRVLSNIVVNGLKHGGPDAAVDVNIRKDGDTIVVAISDDGVGMSPEVTSHIFERFYRADESRSRESGGSGLGLAITKTLVEAHGGSISVDSVEGEGSTFRVALKAV</t>
  </si>
  <si>
    <t>GC_00002092</t>
  </si>
  <si>
    <t>MNSHNPPHQLSNKLSVKCRAVAATFRLGVANFTRGTSPTMLVTSHIIPEILRMITYVLIARVIGGDAAQQYAIPGVIVLATTRMTISETSGLPVDDVWNKTLGSNVTGILSPATQYLIRSLPLAAVAILDSAIVFIILGSMTTTDWATLTGAWLCSLIAVPTGLTLGLVISVASLRTDLHNLVHNATVSILTVCSGAIISVAHVPVFHAIGEFLPLTHAIRGLRLALAGHSVPHAQLTETLLEARNGLILLALAYLLYTVETARARRKGQTFFSS</t>
  </si>
  <si>
    <t>MNSHNPPHQLSNKLSVKCRAVAATFRLGVANFTRGTSPTMLVTSHIIPEILRMITYVLIARVIGGDAAQQYAIPGVIVLATTRMTISETSGLPVDDVWNKTLGSNVTGTLSPATQYLIRALPLAAVAILDSAIVFIILGSMTTTDWATFTGAWLCSLIAVPTGLTLGLVISVASLRTDLHNLVHNATVSILTVCSGAIISVAHVPVFHAIGEFLPLTHAIQGLRLALAGHSAPHAQLTETLLEARNGLILLALAYLLYTVETARARRKGQTFFSS</t>
  </si>
  <si>
    <t>GC_00002093</t>
  </si>
  <si>
    <t>K01426</t>
  </si>
  <si>
    <t>amidase [EC:3.5.1.4]</t>
  </si>
  <si>
    <t>MWSNLDALDATDWLKRITQGNSVESGMRACLDKIEQTDKHINAFHHVFAGNALEQARVCDATPAEKRGPLHGLPIAIKEENAIAGIPTAFGTAAMSTPATEDSAVVAALRCAGAIIVGTTRMPEFGTWPFTESQNGGVTRNPLDLRFSPGGSSGGSAAAVAAGMIPVAIGGDGGGSIRIPAAHCGLYGLKPRRGRVSTAPAEHLWWDLGAIGPLAKSPRDLRLIYSVIGQFPAVPLPKQLRIAVHVNPKIAGVMVPAQLTDAALQAAEQLAKGMNGVIVDTDLRLPTPTDAFMPQFLGGLVAEVKQLDQPEKIEKRSRQLVRIGQFVGSRRAVDWARKRGERYARDVDKLLDQYDVIVSPTVAARPPLAGILDGCGPIRAQLASLPYVAFTALWNVTGHPAIAVPVGVGNDGMPLSVQLAGRDEDMLLRLAETLGKPNLT</t>
  </si>
  <si>
    <t>MWSNLDELDATDWLKRITQGNSVESGMRACLDKIEQTDKHINAFHHVFAGNALEQARVCDATPAEKRGPLHGLPIAIKEENAIAGIPTAFGTAAMSTPATEDSAVVAALRCAGAIIVGTTRMPEFGTWPFAESQNGGVTRNPLDLRFSPGGSSGGSAAAVAAGMIPVAIGGDGGGSIRIPAAHCGLYGLKPRRGRVSTAPAEHLWWDLGTIGPLAKSPRDLRLIYSVIGQFPAVPLPKQLRIAVHVNPKIAGVMVPAQLTDAALQAAEQLAKGMNGVIVDTDLRLPTPTDAFMPQFLGGLVAEVKRLDQPEKIEKRSRQLVRIGQFVGSRRAVDWARKRGERYARDVDKLLDQYDVIVSPTVAARPPLAGILDGCGPIRAQLASLPYVAFTALWNVTGHPAIAVPVGVGNDGMPLSVQLAGRDEDMLLRLAETLGKPNLT</t>
  </si>
  <si>
    <t>GC_00002094</t>
  </si>
  <si>
    <t>MLFDAPSNLAAITGPEATRDRISFFTLSVVSTAVQAGAIMTLIPLFEGLFSDTPASAIRWVGMLVGLVALGWGIDHISHRIGFSLGCRILKTVETSGVASIRGMDISQLHSESASKLSKLLSTAGAESLSALAHLMFPLIQGILITPLLSIFLLTISWKLAMVAFVTGVLLTLALVGSQRLIARSEAAYDDATRELNDATLEFAWAQPTLRTAGVSRSALDDVLRGSRQRGLRLLLWQIPGETLFSIASQLGLLAFALVTGMLYLNSDISGATAAALIIVLLRIIEASGALSLLATPMSSMERTFRDIRALVDAADTSDSIPPTGTSSEAVEVQVSDVTYHYPDTTVGINSINLALPAGSITVVVGESGSGKSTLLDVLAGLRQHNTGSIAFNGTVLDAPNRLAHTSVMFQATELRQGTLRDNVTAADANADLDSIADQVQLVDILDKLPHGWDSTVGEGGSTLSGGERQRVGLARALAKNTGLLLVDEATSALDATNEQAIVDALGRLRGHRTMVIVTHRPALVSIADTVVVLKDGAIAENGTVSELIDKGGLFTHLWHRWQDVEQWTV</t>
  </si>
  <si>
    <t>MLFDAPSNLAAITGPEATRDRISFFTLSVVSTAVQAGAIMTLIPLFEGLFSDTPASAIRWVGMLVGLVALGWGIDHISHRIGFSLGCRILKTVETSGVASIRGMDISQLHSESASKLSKLLSTAGAESLSALAHLMFPLIQGILITPLLSIFLLTISWKLALVALVTGVLLTLALVGSQRLIARSEAAYDDATRELNDATLEFAWAQPTLRTAGVSRSALDDVLRGSRQRGLRLLLWQIPGETLFSIASQLGLLAFALVTGMLYLNSDISGATAAALIIVLLRIIEASGALSLLATPMSSMERTFRDIRALVDAADTSDSIPPTGTSSDAVDVQVSDVTYHYPATTVGINSINLALPAGSITVVVGESGSGKSTLLDVLAGLRQHNTGSIAFNGTVLDAPNRLAHTSVMFQATELRQGTLRDNVTAADANADLDSIADQVQLVDILDKLPHGWDSTVGEGGSTLSGGERQRVGLARALAKNTGLLLVDEATSALDATNEQAIVDALGRLRGHRTMVIVTHRPALVSIADTVVVLKDGAIAENGTVSELIDKGGLFTHLWHRWQDVEQWTV</t>
  </si>
  <si>
    <t>GC_00002095</t>
  </si>
  <si>
    <t>PF20325.3</t>
  </si>
  <si>
    <t>Family of unknown function (DUF6620)</t>
  </si>
  <si>
    <t>MFDFLKKLFGGASEDAPSSTASSGRSAGGSRTAQAAGANPGKAPAAAYNARPNSKETGVPNPDGSTFGYRPNGELFFVHPFSVAITGEFLHDSFDEEALAWLPKPQPPAGFPADAYEYADKWLDLWERALEPQFEFYEQIDTNKSVPGAQDALERWEGVLRAIDTEATQLGDFKGARNLVLGNSDMHESVDTYIEVSRDYLAKRIDWDSLDQEDKQEIIYDCIGTLFGFYTRRNEILAGFYQDPSGQAARQAEEEAFAPLMAMRNVDTSAPELQPIAGVSLHDFVAGSQRLHANAPIEEVTTILGIERPQWDQAAAEWQHRIGTHPMTVGVEYSNLMSQPHPLFSGAAGAGSSQTGQAGNNSARLSTDRNFYVEVAAAMGAAGEAGIDTDGYLHEHYGVSIAEAGAAGVTWMSDFTQAGELTTLIQSRQAEIAKEIAQLAGPGAADDIEF</t>
  </si>
  <si>
    <t>MFDFLKKLFGGASEDAPSSTASSGRSAGGSRAAQAAGANPGKAPAAAYNARPNSKETGVPNPDGSTFGYRPNGELFFVHPFSVAITGEFLHDSFDEEALAWLPKPQPPAGFPADAYEYADKWLDLWERALEPQFEFYEQIDTNKSVPGAQDALERWEGVLRAIDTEATQLGDFKGARNLVLGNSDMHESVDTYIEVSRDYLAKRIDWDSLDQEDKQEIIYDCIGTLFGFYTRRNEILAGFYQDPSGQAARQAEEEAFAPLMAMRNVDTSAPELQPIAGVSLHDFVAGSQRLHANAPIEEVTTILGIERPQWDQAAAEWQHRIGTHPMTVGVEYSNLMSQPHPLFSGAAGAGSSQTGQAGNNSARLSTDRNFYVEVAAAMGAAGEAGIDTDGYLHEHYGVSIAEAGAAGVTWMSDFTQAGELTTLIQSRQAEIAKEIAQLAGPGAADDIEF</t>
  </si>
  <si>
    <t>GC_00002096</t>
  </si>
  <si>
    <t>PF11700.14</t>
  </si>
  <si>
    <t>Vacuole effluxer Atg22 like</t>
  </si>
  <si>
    <t>K06902</t>
  </si>
  <si>
    <t>MFS transporter, UMF1 family</t>
  </si>
  <si>
    <t>COG2270</t>
  </si>
  <si>
    <t>MFS-type transporter involved in bile tolerance, Atg22 family (BtlA) (PUBMED:12583894)</t>
  </si>
  <si>
    <t>ko00001|ko04131|ko02000</t>
  </si>
  <si>
    <t>KEGG Orthology (KO)&gt;&gt;&gt;09140 Cellular Processes&gt;&gt;&gt;09141 Transport and catabolism&gt;&gt;&gt;04138 Autophagy - yeast [PATH:ko04138]|Membrane trafficking&gt;&gt;&gt;Autophagy&gt;&gt;&gt;Other autophagy associated proteins&gt;&gt;&gt;Others|Transporters&gt;&gt;&gt;Major facilitator superfamily (MFS)&gt;&gt;&gt;Unknown transporters&gt;&gt;&gt;Unknown major facilitator-1 (UMF1) [TC:2.A.1.24]</t>
  </si>
  <si>
    <t>MTTNFTGQRTDKTTVVLWSLWDLGSAAFNAVLITFVFSVYLTDSVGKTIDSRFTPTTWLAIAIGIGGMFIALLAPVIGQRSDARGTRRRSVRVWTLITIIIMLSLYFIRNDDPIYFWLGITILAIGSVTYELGEVSYFAMLNQVSTEKNVGRVSGFGWALGYFGGIFLLLICYFGFIADDGGYLHISTEGGLNVRLVAIMSALWFLVFGLPVMFRVPEIAPNPNIGSDGFIESYKELWHTLWRLWRKDRSSVFFLISSAIFRDGLAGVFTFGAILAVSVYGLDAGDVLIFGIAANLISALGAVVCGYFDDIFGPKPVIMVSLVSMIAMCFILYFVSGPTNFWIYGLILTLFVGPAQSSSRTFLSRMAPPGYEGQMFGLYATTGRAVSWMAPAAFSLFSMLFGGDRAGIFGIAVILLAGALVLVKVKEPTKVEA</t>
  </si>
  <si>
    <t>MTTNFTGQRTDKTTVVLWSLWDLGSAAFNAVLITFVFSVYLTDSVGKTIDSRFTPTTWLAIAIGIGGMFIALLAPVIGQRSDARGTRRRSVRVWTLITIIIMLSLYFIRNDDPIYFWLGITILAIGSVTYELGEVSYFAMLNQVSTEKNVGRVSGFGWALGYFGGIFLLLICYFGFIADDGGYLHISTEGGLNVRLVAIMSALWFLVFGLPVMFRVPEIAPNPNIGSDGFVESYKELWHTLRRLWRKDRSSVFFLISSAIFRDGLAGVFTFGAILAVSVYGLDAGDVLIFGIAANLISALGAVVCGYFDDIFGPKPVIMVSLVSMIAMCFILYFVSGPTNFWIYGLILTLFVGPAQSSSRTFLSRMAPPGYEGQMFGLYATTGRAVSWMAPAAFSLFSMLFGGDRAGIFGIAVILLAGALVLVKVKEPTKVEA</t>
  </si>
  <si>
    <t>GC_00002097</t>
  </si>
  <si>
    <t>MDKNREQLYRAVHPEGTHLASSKDTEGSYRGVLLDNETNRVVGQAEFVLVEPEPEPEPEPEPPVVMPPQVVVPIAQPQAQSGGMPAWMIALASMLSTLIAMRLLSWLRN</t>
  </si>
  <si>
    <t>MDNNREQLYRAVHPEGTHLASSKDTEGSYRGVLLDNETNRVVGQAEFVLVEPEPEPEPESEPPVVMPPQVVVPVAQPQAQSGGMPAWMIALASMLSTLIAMRLLSWLRN</t>
  </si>
  <si>
    <t>GC_00002098</t>
  </si>
  <si>
    <t>MTHRKPPSRLANAVAGLGAQVFSSLNSFLIIIISARFLELGVHGHFVFGVALCQIVLSLVRALCGETVVVLSTRGDDTTDDAAFSSAIVASAVGGVVCLLTAIFWAEYRSALIATAFVGIPVCAMDVLRYCAIAEKRSELLLFSDFLVFVGTTVGLLVVGQVAASPSAFLAVWGVSCLLVSILLVWQLDIRPVSFRATLDWLAINFPRSSAFFAEAALGATAGVAILAVMAIVTDSEQVSIFRTALTIMGVTSLINNFMRSTVLRELSPDLLRNKTYVIRVFFGMTAVVALVIVVFGLCIWLAPNSLTAAIFGANFVAIVPVLLPAIIHRVCASCSTIPTIFLRAQGITWQATRFRFVVVAIGIIVGPFGAYLGGAHGALIGDMITYLTLFVGLSALVMYTANKQDNAS</t>
  </si>
  <si>
    <t>MTHRKPPSRLANAVAGLGAQVFSSLNSFLIIIISARFLELGVHGHFVFGVALCQIVLSLVRALCGETVVVLSTRGDDTTDDAAFSSAIVASAVGGVVCLLTAIVWAEYRSALIATAFVGIPVCAMDVLRYCAIAEKRSELLLFSDFLVFVGTTVGLLVVGQVAASPSAFLAVWGVSCLLVSILLVWQLDIRPVSFRATLDWLAINFPRSSAFFAEAALGATAGVAILAVMAIVTDSEQVSIFRTALTIMGVTSLINNFMRSTVLRELSPDLLRNKTYVIRVFFGMTAVVALVIVVFGLCIWLAPNSLTAAIFGANFVAIVPVLLPAIIHRVCASCSTIPTIFLRAQGITWQATRFRFVVVAIGIIVGPFGAYLGGAHGALIGDMITYLTLFVGLSALVMYTANKQDKAS</t>
  </si>
  <si>
    <t>GC_00002099</t>
  </si>
  <si>
    <t>COG1668</t>
  </si>
  <si>
    <t>ABC-type Na+ efflux pump, permease component NatB (NatB)</t>
  </si>
  <si>
    <t>MKTIQIVAGQEIRALLRSKGIMITVVTMLVVVIAAIFGTSWYQKNQDQLPELVVVGVDSAPFAAGNNLTVTTAPDRSAAEQQVREGKDAALVATDQGFDLLADGTPSESLVTTVTAAVQRMTQEQALAQLHITEQQYSQATPPSAITTVNVGRDIDAANVFTTYLGVFIMMTFIMTFAAIVGSRVTEEKSSRVIEIILSSVRPLNFLAGKLLGSLIMGALSTAIIITVGAIAVQSTGLLKGTTISYGMIPLLIVGYILGMLFFGSLYAAAGSMVSRTEDLQSTQSPILILMMATMYAAVFGSLNVSSPIVQVLAWIPPFSTTLTPISYAANNMSLVQLVASYVLLAATTGAALWLSARIYRGSILHNGRKGWVSALR</t>
  </si>
  <si>
    <t>MKTIQIVAGQEIRALLRSKGIMITVVTMLVVVIAAIFGTSWYQKNQDQLPELVVVGVDSAPFAAGNNLTVTTAPDRAAAEQQVRDGKDAALVATDQGFDLLADGAPSESLVTTVTAAVQRMAQERALAQLHITEQQYSQATPPSAITTVNVGRDIDAANVFTTYLGVFIMMTFIMTFAAIVGSRVTEEKSSRVIEIILSSVRPLNFLAGKLLGSLIMGALSTAIIITVGAIAVQSTGLLKGTTISYGMIPLLIVGYILGMLFFGSLYAAAGSMVSRTEDLQSTQSPILILMMATMYAAVFGSLNVSSPIVQVLAWIPPFSTTLTPISYAANNMSLVQLVASYVLLAATTGAALWLSARIYRGSILHNGRKGWVSALR</t>
  </si>
  <si>
    <t>GC_00002100</t>
  </si>
  <si>
    <t>c-mat1</t>
  </si>
  <si>
    <t>MSLYIMSDAPIKDVVDLLLQEPYMSSTISFTNNEDAYTIRAADEVPVSLDYGPNDNG-VLDTFIIVPEKQEELQRKIFESVKKLRYKATICEPPNDDEVVYMPDNPLPVVPAELD-</t>
  </si>
  <si>
    <t>MSLYVLSDAPIVEVVNLLLQEPYTENTIAYNDDPEAYDVRSVDGVLISMDYGDSAYGPVLDTLIFVPDEEEELQRKIFESVKKLRYKATFCVPRSGEEITYVPDASLPAVPASFEC</t>
  </si>
  <si>
    <t>GC_00002101</t>
  </si>
  <si>
    <t>K06997</t>
  </si>
  <si>
    <t>PLP dependent protein</t>
  </si>
  <si>
    <t>COG0325</t>
  </si>
  <si>
    <t>Pyridoxal 5'-phosphate homeostasis protein YggS, UPF0001 family (YggS) (PDB:3SY1) (PUBMED:26872910)</t>
  </si>
  <si>
    <t>MDAILRIPVAGLHLASMPPYSTPSTVDEFRANYQAVTERIANAAHAAGRDPADIRLIAVSKTFPISHALLAAEAGMTVLGENRPQELAEKAQAFRIRGVDVTWCAIGHLQRNKAKEIAQFAAEFHALDSLRLAEALQHRLELANRTLDVFIQVNTSHESQKSGFAPDKVAAILPSLATLDRLHVRGLMTMAAFSPEESVVRPSFEQLRTLRDRLQPDAPDGMSLTELSMGMTGDFEWAIAEGATSVRIGTAIFGHRPNSAYL</t>
  </si>
  <si>
    <t>GC_00002102</t>
  </si>
  <si>
    <t>MWKPRSSLRAVVAGLVAVGASVVLVPQAAANSFTETLGDATGETITVTYNDGDDQFCVNYAPSRVRGYYTVELRPDNPHRGPSHTFDVVQGKGTKCVSLARAYEDTHYSYKLVSNWWDYGGTPFYS</t>
  </si>
  <si>
    <t>MWKPRSSLRAVVAGLVAVGASVVLVPQAAANSFTETLGDATGETITVTYNDGDDQFCVNYAPSRVRGYYTVELRPDNPRRGPSHTFDVIQGKGTKCVSLARAYEDTHYSYKLVSNWWDYGGTPFYS</t>
  </si>
  <si>
    <t>GC_00002103</t>
  </si>
  <si>
    <t>MATETLTIERGGRGLISLLQRAVALQDRAMARFSTVSDAAVDVFVTTPFAVIASRRVAGSCSRDGAAVLVSDLLADATDTTMTAAAMDAGWGMGALPPTTGFELLDEIPADVVQRLSDQGRALARQFSGPLGPPQSLMDQAVITVNDDTEIPMRLVFTLTALGLIPGMDAPAAIPRHLRVSRNSRWVRVDAPFGSAYHSTGINLLTL</t>
  </si>
  <si>
    <t>MATETLTIERGGRGLISLLQRAVALQDRAMARFSTVSDAAVDVFVTTPFAVIASRRVAGSCSRGGAAVLVSDLLADATDTTMTAAAMDAGWGMGALPPTTGFELLDEIPADVVQRLSDQGRALARQFSGPLGPPQSLMDQAVITVNDDTEIPMRLVFTLTALGLIPGMDAPAAIPRHLRVSRNSRWVRVDAPFGSAYHSSGINLLTL</t>
  </si>
  <si>
    <t>GC_00002104</t>
  </si>
  <si>
    <t>MLSLSFITGTEPDKWFRRFTDRTDHGGLRTVASDDALAQLLSGDVDVALVRLPDARVTDEMHVVRLYDEQSGIALPVDHTLTLLEQVGETDIVGELIHYQGSSDIPAIREHLGVVAAGVGVVIAPRPVLKLLSGKKIVHREYRNPTYPSTTIALVWRKTDDSEAIQDFVGIAKGRTPQSTRGSQPANAKPAGQPARKSVKTTTKNRAKKPAGRKPGRRRGGPHRSR</t>
  </si>
  <si>
    <t>MLSLSFITGTEPDKWFRRFTDRTDHGGLRTVASDDALAQLLSGDVDVALVRLPDARVTDEMHVVRLYNEQPGIALPVDHTLTLLEQVGEKDIVGELIHYQGSSDIPAIREHLGVVAAGVGVVIAPRPVLKLLSGKKIVHREYHNPTYPSTTIALVWRKTDDSEAIQDFVGIAKGRTPQSTRGSQHANAKPAGQPARKSVKTTTKNRAKKLAGRKPGRRRGGPRRSR</t>
  </si>
  <si>
    <t>GC_00002105</t>
  </si>
  <si>
    <t>PF04471.18</t>
  </si>
  <si>
    <t>Restriction endonuclease</t>
  </si>
  <si>
    <t>K07448</t>
  </si>
  <si>
    <t>restriction system protein</t>
  </si>
  <si>
    <t>COG1715</t>
  </si>
  <si>
    <t>Restriction endonuclease Mrr (Mrr)</t>
  </si>
  <si>
    <t>Prokaryotic defense system&gt;&gt;&gt;Restriction and modification system (R-M system)&gt;&gt;&gt;Type IV R-M system</t>
  </si>
  <si>
    <t>MRMSDDNPNNHGRTDNADIPTHLDLIPTTLRVVIELGGSAHISEITEAIINTYPNGEELAEIRYSNKPKRSVFRHRIGWACSMAKGFGWLENPSRAMYLITTEGSNVLGLPESEVSELICKHNREYRRQHNKTGSKQNIDSVGQIVDVSQVPSGQSPMMKTPTPKVLVIEDDADESDNSNAQEYDWKDQLLTRLHELSPEGFEKFVIYLLRRYGLQLQHVGGPGDEGIDAIGTAPLSPVLSSRVAVQVKRYAPQGKTIGRETVALFQRDAQMKGAERAILVTLGEFSQAARKAAISAAPIVDLINGDRLADLIRDDGDSGVRLQPMVDRDWFSKFD</t>
  </si>
  <si>
    <t>MRMSDDNPNNHGRTDNADIPTHLDLIPPTLRVVIELGGSAHISEITEAIINTYPNGEELAEIRYSNKPKRSVFRHRIGWACSMAKGFGWLENPSRAMYLITTEGSNILRLPESEVSELICKHNREYRRQHNKTGSKQNIDSVGQIVDVSQVPSGQSPMMKTPTPKVLVIEDDADESDNSNDQEYDWKDQLLARLHELSPEGFEKFVIYLLRRYGLQLQHVGGPGDEGIDAIGTAPLSPVLSSRVAVQVKRYAPQGKTIGRETVALFQRDAQMKGAERAILVTLGGFSQAARKAAISAAPTVDLINGDRLADLIRDDGDSGVRLQPMVDRDWFSKFD</t>
  </si>
  <si>
    <t>GC_00002106</t>
  </si>
  <si>
    <t>MNAHNHSDDPYVESEQLWSGNPNDALIREVQSLAVGDALDVGAGEGADAVWLAKQGWVTTAVEPSAIACGRIAEAATKAAVQVTIMQETLASVELGTYDLVSAFYMPLTPDTVPVLCDAVAPGGTLLFVHHKDMPHKDILAPADLAEALPSDFTVDKLTTTSRSVTGGAGVEHTADVVLLARRSL</t>
  </si>
  <si>
    <t>MNAHNHSDDPYVESEQLWSGNPNDALIREVQGLAVGDAVDVGAGEGADAVWLAKQGWVTTAVEPSAIACGRIAEAATKAAVQVTIMQETLASAELGTYDLVSAFYMPLTLDTVPVLCDAVAPGGTLLFVHHKDMPHKDILAPADLAEALPSDFTVDKLTTTSRSVTGGAGVEHTADVVLLARRSL</t>
  </si>
  <si>
    <t>GC_00002107</t>
  </si>
  <si>
    <t>MTSTTQAPGSEHNFQQKVIRSGQPHWISWVVLTICTALIPVTWAYIEMTPNPPAFLAVIGLFVCAITIGGAVYMTVYQGQSYARLFQLFTNLSPTILLMSVFPFISGTLNSQSIGNSRELMVVLAVSVTVPWIASTVSMPVYEPLATVDRRDTALFYRSFCQLWPPLLLCSIPVVGLFALVMLSVKGWGVSETGFFMVGVFTNMLFSQAIIPAQETKRFGYIFFSWVFYAAFMFWMPQLWFLAPVFALLPHLVLLNSALIGLFQPRALNPSRITRELLRGALYGGVLWADKFLLVLIYAGEINIFVVYVALIPMVLAQGVYFASQLDILTRSMEGIRAMIDQAPCNELSTQSGGISSSVEQSVASTTLIASGLGLGMMLISAIMGMDHNTEVLALVLAPIVFLMLMLLIFELSQLQQHRTAEILSAIHIAVVTIGLIALPIPAAYFSLIIVDIVLTYLALRSCRGAFADAPYELFWKEAAKW</t>
  </si>
  <si>
    <t>MTSTTQAPGSEHNFQQKVIRSGQPHWISWVVLTICTALIPVTWAYIEMTPNPPAFLAVIGLFVCAITIGGAVYMTVYQGQSYARLFQLFTNLSPTILLMSVFPFISGTLNSQSIGNSRELMVVLAVSVTVPWIASTVSMPVYEPLATVDRRDTALFYRSFCQLWPPLLLCSIPVVGLFALVMLSVKGWGVSETGFFMVGVFTNMLFSQAIIPAQETKRFGYIFFSWVFYAAFMFWMPQLWFLAPVFALLPHLVLLNTALIGLFQPRALNPSRITRELLRGALYGGVLWADKFLLVLIYAGEINIFVVYVALIPMVLAQGVYFASQLDILTRSMEGIRAMIDQAPCNELSTQSGGISSSVEQSVASTTLIASGLGLGMMLISAIMGMDHNTEVLALVLAPIVFLMLMLLIFELSQLQQHRTAEILSAIHIAVVTIGLIALPIPAAYFSLIIVDIVLTYLALRSCRGAFADAPYELFWKEAAKW</t>
  </si>
  <si>
    <t>GC_00002108</t>
  </si>
  <si>
    <t>MQFRLITCDMDGTLLDNAKNISDDFWPLLGRLQEQGIIFAPASGRQLETILDMFEKAPHPVSVIAENGALIYHDGEIVSLTTIDKTATMRVLDAIAEHPEVGWEVTLCRADGAFVGHTNEEFARLTAMYYHKLNVVDDVRNYVNDDVIKLALFTRTDPEEAAETVLKDATGDDLAVVVSGTQSIDVIHQDINKGIGLQELAAKVGVPLSQTLAFGDYLNDAELLAVAGTSYAMANGHPQLKAAADHIAPSNEENGVVQVLQQLLDS</t>
  </si>
  <si>
    <t>MQFRLITCDMDGTLLDNAKNISDDFWPLLGRLQEQGIIFAPASGRQLETILDMFEKAPNPVSVIAENGALVYHDGEIVSLTTIDKTATMRVLDAIAEHPEVGWEVTLCRADGAFVGHTNEEFARLTAMYYHKLNVVDDVRDYVNDDVIKLALFTRGDPEEVAETVLKDATGDDLAVVVSGTQSIDVIHQDINKGIGLQELAAKVGVPLSQTLAFGDYLNDAELLAAAGTSYAMANGHPQLKAAADHIAPSNEENGVVRVLQQLLDS</t>
  </si>
  <si>
    <t>GC_00002109</t>
  </si>
  <si>
    <t>MLITDIEIRDFKTIRHLRWSNIPDHGVFVIHGDNEQGKSTVLEAIAQVLHTKHSSRAQAVKDTQPLGSDVGPQVTVNLTLGGKNVRLLKQWLKTPRAELTISGDGSYTGGDAEQRFEEFFHKHVDQTLFTALYNRQGSMVHPLVLGGITSLTQALAEASGVSGVGDGGHTQTRDAETGPLLARIIGEYHKYYTQRGKPTKQFQAHQDRVAAATQAAQEAASRLDELHHHVAEVERITTARVAAERELPGQREIRDACHEDYEAARQIQHQAEQLDRDQELARVRLQAAEAALAKRLELMESERAGRERVDKLEAALVDLRQAAEAEDERSATLTAARAAAVAAEQQAHDAVRAATATRDAAASQQRRAELEKLRRALDDIAAQRRALVAVPKVAAATVTQYETAESAVCLARHTHELRAPKLAVQAPAATKLTLNGEPADAEFEHVVADTTTLTVGDTTITITPGAGDAETQDAVAQAEADLADLIAKHGFATLAEARAARTTYTEAQSALKLLVTQHDVLLGELSLDELDAALDAEPVEVDVTLAEAEAAVTSASQALAAAVTDREQADAALVSLADRPAAQALAVHEAVLADAREAARVTTEQLEQVVDYPSLDELRADCATERAALDEVTAARDEIAEQLKQAAPTAKKQLYEAAQAHVEYLENHVRDAATSIAEHRSYIEASVGAAEDHDRLQAEKVSAERRLAAETRRAQAAKLLYETVVRHQRAAHARYAQPFVDELSRLAQPVFGSGVQFVLDDTLKLTQRVSAVGEHMNVRQLSGGAQEQLEILTRFAIASLVSDAQVPVFFDDVLGSSDARRLMAMGAVFAEMGKQRQVFVLTCAPERYAAVSGRVERPLRGLQLFDD</t>
  </si>
  <si>
    <t>MLITDIEIRDFKTIRHLRWSNIPDHGVFVIHGDNEQGKSTVLEAIAQVLHTKHSSRAQAVKDTQPLGSDVGPQVTVNLTLGGKNVRLFKQWLKTPRAELTISGDGSYTGGDAEQRFEEFFHKHVDQTLFTALYNRQGSMVHPLVLGGITSLTQALAEASGVSGIGDGGHTQTRDAEAGPLLARIIGEYHKYYTQRGKPTKQFQAHHDRVAAATQAAQDAASRLEELRHHVAEVERIATARVAAERELPGLREIRDACHEDYEAARQIQHQAEQLDRDQELARVRLQAAEAALAKRLELVENERAGRERVDKLEAALVDLRQAAEAEDERSATLTAARAAAVAAEKQAHDAVRAATATRDAAASQQRRAELEKLRRALDDIAAQRRTLVAVPKVAAATVTQYETAESAVRLARHTHELRAPKLAVQAPAATKLTLNGEPADAEFEHVVADTTTLTVGDVTITITPGAGDTETHDAVAQAEADLADLIAKHGFATLAEARAARTAYTEAQSTLKLLATQHDVLLGELSLDELDAALDAEPVEVDVTLAEAEAAVTSASQALAAAVADREQADVALVSLADRPAAQALAVHEAVLADAREAARVTTEQLERVVDSPSLDELRADCVTERAALDEVTAARDEIAEQLKQAAPIAKKQLYEAAQAHVEYLENHVRDAATSIAEHRSYIEASVGAAEDHDRLQAEKISAERRLAAETRRAQAAKLLYETVVRHQRAAHARYAQPFVDELSRLAQPVFGSGVQFVLDDTLKLTQRVSAVGEHMNVRQLSGGAQEQLEILTRFAIASLVSDAQVPVFFDDVLGSSDARRLMAMGAVFAEMGKQRQVFVLTCAPERYAAVSGRVERPLRGLQLFDD</t>
  </si>
  <si>
    <t>GC_00002110</t>
  </si>
  <si>
    <t>MYFSYGFERRREAEGQTLNRLASWVARHDDATLSLIFTFGDRTEFERIAQTYGGQVAWVQDITWRSPWTTSWDKYVGLITFNCLNPATDPAGAFFSSEAALQGLAVIAHGSGHAEEIRPIIVAEYTTSAKGDDPRDFVEKLMDAGVLLVYALDLPGSEVILDEVVYVNDAAQSDHTDLVQSLGESNWTSTTGYERHISSRDVVFSPEEKFEEPVEVFYRCWSRLAEHVRASPSLNMYLGVIDHPPTATTTLRETPGLTLRWCRQFPAEEQETSMPGTAGVFLFDKTACYPNVLHQAMAGV-TREGEVIVATSDPDFSTKVMDEMIGMLRNPMEMDVLRQLTSESKSFIFQFAPSDSLEMVHGSVSTNNEAMRKIFHGLD</t>
  </si>
  <si>
    <t>MYFSYGFERRREAEGQTLNRLASWVARHDDATLSLIFTFGDRTEFERIAQTYGGQVAWVQDITWRSPWTTSWDKYVGFITFNCLNPATDPAGAFFSSEAALQGLAVIAHGSGRAEEIRPIIVAEYTKSAKGDDPRDFVEKLMDAGTLLVYALDLPDTEAILDEVVYVNDAAQSDHTDLIQSLGESSWTSTTGYERHISSRDVVFSPEEKFEEPVEVFYRRWSLLAEHVRASPSLNMYLGVINHPPAATTMLRETPGLTLRWCRQFPAEEQETSMPGTAGVFLFDKTACYPNVLHQAMAGVTTQEGEVIVATSDSDFSTKVMDEMIGMLRNPMEMDVLRRLTSRSKSFIFQFAPGDSPEMVHGSVSTNNEAMRKIFHGLD</t>
  </si>
  <si>
    <t>GC_00002111</t>
  </si>
  <si>
    <t>MRLVVLRCGTDIAVPPSTQLIDVKAVPTRQELKALDSLAAEVLPEDPTPSLAEIAAQPDVAHLGTPQYAPQPISDPLRVVVVGSDAALSAVLTRLMRADTMWVEVGFVPITGDSPTADYWGITNLSIEEQFDCAASGRVRPLPLIRDDAATAVAGRASVSDWENRELTAEIIVDDDVLARHQSGRRIPRTGVFGARVQPLVDAPGLAGFVLDTPVMPVRRGLFGRFENEYGSIAEGSRLVGRALQAGGESLRVMVDGVSRKRPVERVTFYRHLRDAQVVRP</t>
  </si>
  <si>
    <t>MRLVVLRCGTDIAVSPSTQLIDVGAVPTRQELKALDSLAAEVLPEDPTPSLAEIAAQPDVAHLGTPQYAPQPISDPLRVVVVGSDAALSAVLTRLMRADTMWVEVGFVPTTGDSPTADYWGITNLSIEEQFDCAASGRVRPLPLIRDDAATAVAGRASVSDWENRELTAEIIVDDDVLARHQSGRRIPRTGVFGARVQPLVDAPGLAGFVLDTPVMPMRRGLFGRFENEYGSIAEGSRLVGRALQAGGESLRVMVDGVSRKRPVERVTFYRHLRDAQVVQP</t>
  </si>
  <si>
    <t>GC_00002112</t>
  </si>
  <si>
    <t>PF04892.17</t>
  </si>
  <si>
    <t xml:space="preserve">VanZ like family </t>
  </si>
  <si>
    <t>COG4767</t>
  </si>
  <si>
    <t>Glycopeptide antibiotics resistance protein (VanZ)</t>
  </si>
  <si>
    <t>MRQKLQYLALVSTMGMIVALTTLKIFYRIGKLWRPERQHARALELVPFDMFFSGKHWFYPLFETLGNISMFVPFGLMLYMVLPRSRPRRILTVVIAGFLFSLAIEVAQYVFSVGRTDIDDLICNTIGAYVGALFAHWFGPRWHLVWTTLALLAATAFIVLVFVSNVPCSTGLNAFCHLKEVP</t>
  </si>
  <si>
    <t>MRQKLQYLALVSTMGMIVALTTLKIFYRIGKLWRPERQHARALELVPFDMFFSGKHWFYPLFETLGNISMFVPFGLMLYMVLPRSRSRRILTVVIAGFLFSLAIEVAQYVFSVGRTDIDDLICNTIGAYVGALFAHWFGPRWHLVWTVLALLAATAFIVLVFVSNVPCSTGLNAFCHLKEVP</t>
  </si>
  <si>
    <t>GC_00002113</t>
  </si>
  <si>
    <t>PF14256.11</t>
  </si>
  <si>
    <t>YwiC-like protein</t>
  </si>
  <si>
    <t>MTTEAPKTQKKPRKKRKNTGWVPDQHGAWVMVTVPLLLGVGLAGPSWIHLPLAVAWMTGYFAFFALGLWVKARGPRKAAFRRPLATYGGVSAAASIIVVAMHPAVVLWGVVFAPLVGVAVWEMYRRRPRSLLSGEATVLASCVMVPLVSSVVGATLDARLWTITALVALYFVGTIPYVKTLIRERGDHVWFVGSVVYHCVVTAVAAALSAVGYASWWSVVVFAVLAVRAWWMPWSVAHRGKKWTPKVVGLWEGASTLAVVIVALLNN</t>
  </si>
  <si>
    <t>MTTEAPKTQKKPRKKRKNTGWVPDQHGAWVMVTVPLLLGVGLAGPSWIHLPLAVAWMTGYFAFFALGLWVKARGPRKAAFRRPLATYGGVSAAASIIVVAMHPAVVLWGVVFAPLVGVAVWEMYRRRPRSLLSGEATVLASCVMVPLASSVVGATLDARLWTITALVALYFVGTIPYVKTLIRERGDHVWFVGSVVYHCVVTAVAAALSAVGYASRWSVVVFAVLAVRAWWMPWSVAHRGKKWTPKVVGLWEGASTLAVVIVALLNN</t>
  </si>
  <si>
    <t>GC_00002114</t>
  </si>
  <si>
    <t>MNTEVIHARDVIKEFRDRSKGTFRAVNQVNLDIKQGEIIALLGPNGAGKSTLIDMILGLTTPTSGTIQAFGSAPRQAIAASKIGAVLQTGGLLGNLTVWETVAMIATTFPNPQLPETVLRRTNLSHLARRRVAKCSGGEQQRLRFALALLPDPDFLILDEPTAGMDAGARHAFWETMQEQAQHGKTIMFATHYIEEAQNFAERIVMMRSGQIVADDTTHKVRSRAGGRTVSATFPPDFPTDRIPGVASLTTNGNRTLLNTGDSDALLRHLINHTPATDIMVSQSSLEDVFLNLTSTETES</t>
  </si>
  <si>
    <t>MNTEVIHARDVIKEFKDRSKGTFRAVNQVNLDIKQGEIIALLGPNGAGKSTLIDMILGLTTPTSGTIQAFGSAPRQAIAASKIGAVLQTGGLLGNLTVWETVAMIAATFPNPQLPETVLRRTNLSHLARRRVAKCSGGEQQRLRFALALLPDPDFLILDEPTAGMDAGARHAFWETMQEQAQHGKTIMFATHYIEEAQNFAERIVMMRSGQIVADDTTHKVRSRAGGRTVSATFPPDFPTDRIPGVASLTTNGNRTLLNTGDSDALLRHLINHTPATDIMVSQSSLEDVFLNLTSTETES</t>
  </si>
  <si>
    <t>GC_00002115</t>
  </si>
  <si>
    <t>MRSPLGVVAPRLQEVFRGLGFDSAGVEEYLGGATMAALRRGEPEAVAAALRPRLSEPLAVAITVFLLHEELPRPVVEQVLGTDLVADLITAGVLGRRQVIGSPQQDADNAEVAGADLRFLTAILDVQPHVIAGESRLVFSDVAAGLVPHYAPGRDHVVGVGAASLSLLRMTCQTPVDSALDLGAGSGVQALAQLGCASQVTLTDVHPRALDMAEATLAAAGALPKAELLEGSWFEPVAGRTFDRIVANPPFVVGPPDIGHVYRDSGLDLDGATQLVVATAPEHLTEGGVAQLLGAWAHVRGEDWRSRIAGWLPDHGVRAWVLQRDVVDPALYVGTWLRDESIDPRSPEGRSKTQRWLAHFTDSQVTAIGFGFIALQKITADTPTDVLVEELTHDTGADLGLEVAEYFARAEWLSQVAAANMLASRFVVRPSVAKEEVSVADADAGVGFAPAALRLVRMDGPRWSHEVDGPLAAIVGGLHPQGLTLGETVELYAMAHGVDEAELCEAVISPMVDLVRHGLVLPAQLIDDSR</t>
  </si>
  <si>
    <t>MRSPLGVVAPRLQEVFRGLGFDSAGVEEYLGNATMAALRRGEPEAVAVALRPRLSEPLAVAITVFLLHEELPRPVVEQVLGADLVADLITAGVLGRRQVIGSPQQDADNAEVAGADLRFLTAILDVQPHVIAGESRLVFSDVAAGLVPHYAPGRDHVVGVGAASLSLLRMTCRTPVDSALDLGAGSGVQALAQLGCASQVTLTDVHPRALDMAEATLAAAGALPQAELLEGSWFEPVAGRTFDRIVANPPFVVGPPDIGHVYRDSGLDLDGATQLVVATAPEHLTEGGVAQLLGAWAHVRGEDWRSRIAEWLPDHGVRAWVLQRDMVDPALYVGTWLRDESIDPRSPEGRSKTQRWLTHFADSQVTAIGFGFIALQKIAADAPTDVLVEELTHNTDADLGSEVAEYFARAEWLSQVAAADMLASRFVVRPSVAKEEVSVADADAGVGFAPAALRLVRMDGPRWSHEVDGPLAAIVGGLHPQGLTLGETVELYAVAHGVDGAELCEAVISPMVDLVRHGLVLPAQLIDDSR</t>
  </si>
  <si>
    <t>GC_00002116</t>
  </si>
  <si>
    <t>MNFLVASSLRNNLRRLIATATAVALSVAFMVATLLIMGTYNTALSNSVTEQMKNSDVWVGYDSSLPDNADEVLAETADRIRERPDVQAADVQRSASGEVRHDSRRANAQIQAMPSETLRWATLAEGAWPQSPDEAVLNKSAADSLQVSVGDSVRLDDKNSVRVAGITSQEDQMMSMGFAEISVMPELLDRLEAQKYATSILVRSTAHDGTSNTTPDQLAQQIKDQTQGTPDITVRTRDEQAQHQIADLSGNTATLTAMLGVFVAISMIVAGYVIANTFQVLVAQRTKELALLRCIGADKRQVHGLILGEAGITASVAALVGCLLGVVATVIFAQFMSMMSALTISPLALIAGFVVGVVVTVACALGASKRATRVHPVEALRPLEAVASDKLPLGRTIVGSALTLLGAAGLIYGATSGMAVAIAGGFICGMGVLLAATTLLPRLVSLVGRALSRVSLPVELAAANSMKNPLRTAATGISMLIGVAVLVLMATGIHSVQESIVSQINRERPFDLMVTTSNPAGFSPQELEQIKNNPKVTSSAESQSAQVTVTTSDGQEHSVKAESADSSQLSEVFYAKGDTLFPQSGVGMVAPITQNSSPITIQGDAGSLVVSADVSDKGEADHVMMSKDDFSKVARNTVTDTVYLRLTPGLSGDEVQQVTSDLSALNDSYNTGGGAQERAYYTKILNIMLMVVLALLAITLIIAFVGIGNTTALSVLERRRESALLRAVGLERRQLVTTIVVEAMLTAVVAAVCGCALGIFASWSGLNALEHTADKLELDLYIPWLQVALIIAGAGTAGVLAALLPAMGASRRPPVQDLAAE</t>
  </si>
  <si>
    <t>MNFLVASSLRNNLRRLIATATAVALSVAFMVATLLIMGTYNTALSNSVTEQMKNSDVWVGFDDSLPDNANEVLAQTADRIRERPDVQAADVQRFAAGEVRHDSRRANAQIQAMPSEPLRWATLAEGAWPQSPDEAVLNKSAADSLQVSVGDSVRLDDKNSVRVAGITSQEDQMMSMGFAEISVMPELLDRLEAQKYATGILVRSTAHDGTSNTTPDQLAQQIKDQTQGTPDITVRTRDEQAQHQIAEMSGNTATLTAMLGVFVAISMIVAGYVIANTFQVLVAQRTKELALLRCIGADKRQVHGLILGEAGITASVAALVGCLLGVVATVIFAQFMSMMSALTISPLALIAGFVVGVVVTVACALGASKRATRVHPVEALRPLEAVASDKLPLGRTIVGSALALLGAAGLIYGATSGMAVAIAGGFICGMGVLLAATTLLPRLVSLVGRALSRVSLPVELAAANSMKNPLRTAATGISMLIGVAVLVLMATGIHSVQESLISQINQERPFDLMVTTSNPAGFSPQELEQIKNNPKVTASADSQSAQVTVTTSDGQEHPVKAETADSSQLSEVFYAKGDTLFPQSGVGMVGTITENKSPITIQGDAGSIVASADVSDKGTPDQMRMSKDDFAKVARNTVTDTVYLRLTPGLSADEVQQVTSDLNALNDSYNVGGGAQDRAYYTKVLNIMLMVVLALLAITLIIAFVGIGNTTALSVLERRRESALLRAVGLERRQLVTTIVVEAMLTAVVAAVCGCALGIFASWSGLNALEHTADKLELDLYIPWLQVALIIAGAGTAGVLAALLPAMGASRRPPVQDLAAE</t>
  </si>
  <si>
    <t>GC_00002117</t>
  </si>
  <si>
    <t>PF16925.10</t>
  </si>
  <si>
    <t>K16137</t>
  </si>
  <si>
    <t>TetR/AcrR family transcriptional regulator, transcriptional repressor for nem operon</t>
  </si>
  <si>
    <t>MNARERLVDATQELLWEQGYAATSPKDILHRAGAGQGSMYHHFAGKQELAVTALEASAAAMRSDVEALLDVKRPAMERLIAYLERQRDSLRGCRMGRMTYDADVLATPELLAPVSRTLGWLVDTIAEVIRQGIDAQEFPASVDAHQLASMVVATVQGGYVLARAQWNPAEFDAAVNGAVTLLRAWKNNGHSA</t>
  </si>
  <si>
    <t>GC_00002118</t>
  </si>
  <si>
    <t>MRVLALRCGCPTFDLPETCEVFDLPAIPTRRDLAPLDDPIRNALPHDPTPSLDEIAAMPDVAHLGAPTLAPQQPDEPLRIVVVGTDAALSTVLTRLMRIDALWAQIGFIPTAPSTAAENWGLPGDTASALALATEGAVHPVPLIRDDSGTAVAGSATITPFEGRDFVGEVIVDDRVLLSGNNELGARLVPMLDAPGIAAVRYKRGWFGRVGADMSSLSTGRALQAGGVKLKVSVDGVDRPRPVDKVTFYRHLRDLQVVRG</t>
  </si>
  <si>
    <t>MRVLALRCGCPTFDLPKPCKVFDLPAIPTRRDLAPLDDPIRTALPHDPTPSLDEIAAMPDVAHLGAPTLAPQQPDEPLRIVVVGTDAALSAVLTRLMRIDALWAQIGFIPTAPSTAAENWGLPGDTASALALATEGAVHPVPLIRDDSGTAVAGSATITPFEGRDFVGEVIVDDHVLLSGNNELGARLVPMLDAPGIAAVRYKRGWFGRVGADMSSLSTGRALQAGGVKLKVSVDGVDRPRPVDKVTFYRHLRDLQVVRG</t>
  </si>
  <si>
    <t>GC_00002119</t>
  </si>
  <si>
    <t>MTDN-----ISSIIHKPTKDTSEETFLKGFFLVTYVLLIPLHVATIFHPNIRMIIYVVLAVDGIAAYRLVLITAAKQVWEAKVHSVVVVGAGFLGLNILVTIIGFILKLFGFTGDSSQNETNITELLHSNAAPFLLILGLGVAGPIVEELVFRQFLIGFLERYIPMWAAIAISSLLFGLIHMHGFTTAEWFNVWYYSAMGLAFSLIYALDRNVYMPIAVHVWLNLPLALATVP</t>
  </si>
  <si>
    <t>MTDNNDNPTMKQALTKAITEPSEKTFLIGFFLITYVLLFPLRLSTFFPDNARLAIYVVLAIDGIVAYRLVLLTATKQVWETKIRSIIVVCAGFLGMNILTTITGFLLKIFGFITETSQNETRVAELGNGNALPFLVVLGVGVAGPIVEELVFRQFLIGFLERYIPTWAAIAISSLSFGLIHMHGFTASEWVNLCVYSAMGLSFSLIYALDRNVYMPIGVHVWNNLPNALLLAQ</t>
  </si>
  <si>
    <t>GC_00002120</t>
  </si>
  <si>
    <t>MANYGLWAGQTNAIRSTRKWQTSGDAGLDPRMRRPTSTNADTNAETELERLRRENYRLRMERDVLRALKALRESKLDSSWD</t>
  </si>
  <si>
    <t>MANYGLWAVKTNAIRSTRKWQTSGDAGLDPRMRRPTSTNADTNAETELERLRRENYRLRMERDVLRALKALRESKLDSSWD</t>
  </si>
  <si>
    <t>GC_00002121</t>
  </si>
  <si>
    <t>MATWGLAWTNAPQPSTKVDGVDSESLINLTKATGDINPLTSLEATRQLRTELERRETMLVRRARNQGATWEQIAAALGVTKQAVHKKYGGRGLLYREK</t>
  </si>
  <si>
    <t>MTTWGSAWTNAPQPSTKVDGVDSESLINLTKATGDINPLTSLEATRQLRTELERRETMLVRRARNQGATWEQIAAALGVTKQAVHKKYGGRGLLYREK</t>
  </si>
  <si>
    <t>GC_00002122</t>
  </si>
  <si>
    <t>MGRHSDGLTNYKFSTHVYVVIACLVVAVIIIVFWVKAIHGDSTTDKSKCLAGDLTVKIASSAGAESLATNVIDQYNAKKPVVRDHCITAEATKSLAEASAYITDESDGVAAQAVTQAQRAPAQAAAEWPIVQVMKVGIASTERDVSREKLTDVTYPVKDNAMASALVAASLNNNSVDATKQALTKDKSVTVASAVQDGKKFIVVNETSAPANYTFTEIKDVVQPVRVVSLTATDTVAEDAVRAGADLGSSMVNADAGKQATSVTSLAATQALQQFDTEANSAAPASPAPAPAPEAQPQAAASAVTSANTLFLFDTSAAMAQASDDGRTWFQVVSNAIAQAVPMVGAQHQVALWNYSSPLNPGVKKGWRENVSFASSMTNEQIGNTAIGFTTGGVPQTRAATVAAVNYATSYAKESGQPARVVLITTGTSDLGDMSAVTQALSAAKAAKVELSVVHVGTGTQDSELMKAAQASEVVTTADNVADVIEKLSGVK</t>
  </si>
  <si>
    <t>MGRHSDGLTNYKFSTHVYVVIACLVVAVIIIVFWVKAIHGDSTTDKSKCLAGDLTVKIASSAGAESLATNVIDQYNAKKPVVRDHCITAEATKSLAEASAYITDESDGMAAQAVTQAQRAPAQAAAEWPIVQVMKVGIASTEHDVSREKLTDVTYPVKDNAMASALVAASLNNNSVDATKQALTKDKSVTVASAVQDGKKFIVVNETSAPANYTFTEIKDVVQPVRVVSLTATDTVAEDAVRAGADLGSSMVNADAGKQATSVTSLAATQALQQFDTEANSAAPASPAPAPAPEAQPQAAASAVTSANTLFLFDTSAAMAQASDDGRTWFQVVSNAIAQAVPMVGAQHQVALWNYSSPLNPGVKKGWRENVSFASSMTNEQIGNTAIGFTTGGVPQTRAATVAAVNYATSYAKESGQPARVVLVTTGTSDLGDMSAVTQALSAAKAAKVELSVVHVGTGTQDSELMKAAQASEVVTTADNVADVIEKLSGVK</t>
  </si>
  <si>
    <t>GC_00002123</t>
  </si>
  <si>
    <t>PF13426.13</t>
  </si>
  <si>
    <t>PAS domain</t>
  </si>
  <si>
    <t>MTRVRPTGAHHEVGINDMFFSTTDERGVIQESNNVFIRLSRYSRDQLAGAPHNIIRHPCMPGGAFYAMWNTLHAGKPFVAYVHNLAKDGSQYDVLATVTPLKAGGYLSVRMRACCTDIFNAASSIYEQVRELEDGYISQGCNRREAAEKGAGNIIEKLNGAGFPSYDEFQWTVLPAEVMRREAQVDGKPPRRDTATGELRIIHDAVHSVYDELNQWMGELERLGELSTQLKNAGEKINQELDTTGRLTAQIEVLNRESGARYEDILMPLRVWVQMRGIISAKIVNVVDGIAALDRTGAETRFGVALARLQTTMMANFVAELIDGEADEHSAASICMLAQAIRDGVEAMQGQTMEHRRQAEAVETAIKSVISLMEIPQQLITDWQAVSQRQLPSDLTELLRLVSGSIEGATIAIANLKELVTNIGQLSRGFDISTIIGKIDQVERETSVGNL</t>
  </si>
  <si>
    <t>MTRVRPTGAHHEVGINDMFFSTTDERGVIKESNNVFIRLSRYSRDQLAGAPHNIIRHPCMPGGAFYAMWNTLHAGKPFVAYVHNLAKDGSQYDVLATVTPLKAGGYLSVRMRACCTDIFNAASSIYEQVRELEDGYISQGCNRREAAEKGAGNIIEKLNGAGFPSYDEFQWTVLPAEVMRREAQVDGKPPRRDTATGELRIIHDAVHSVYDELNQWMGELERLGELSTQLKNAGEKINHELDTTGRLTAQIEVLNRESGARYEDILMPLRVWVQMRGIISAKIVNVVDGIAALDRTGAETRFGVALARLQTTMMANFVAELIDGEADEHSASSICMLAQAIRDGVEAMQGQTMEHRRQAEAVETAIKSVISLMEIPQQLITDWQAVSQRQLPSDLTELLRLVSGSIEGATISIANLKELVTNIGQLSRGFDISTIIGKIDQVERETSVGNL</t>
  </si>
  <si>
    <t>GC_00002124</t>
  </si>
  <si>
    <t>COG0444</t>
  </si>
  <si>
    <t>ABC-type dipeptide/oligopeptide/nickel transport system, ATPase component (DppD) (PDB:4FWI)</t>
  </si>
  <si>
    <t>MYHHITGKERIISAPTAAAPLCHFHDVELKYGETTAVIVPELTINPGTLTAVIGPSGSGKTTLTHAIGDIPVETLHCVGTVERRGKVGVISQDSFGALNPLQRVDKQVALTAGSIENAHELLAQVSLTPELFSRYPLELSGGQRQRAAIAFALGARPQLLLCDEVTSALDPIATAEVVRTLRKLVTDSRDGMSIVFISHDLGAAKALCPDVITLEPADPNTDLTAATAIFRKNWDDYS</t>
  </si>
  <si>
    <t>GC_00002125</t>
  </si>
  <si>
    <t>MSGENTNSHLTDSSMIDLTDVDGTHTTGRVMGSVDSDADGKTDTYSVDTDGDGFADAQVVDSNEDGKIDSIDYDTDHDGVVNAHLQDNDNDGRIDEASFDTNHDGKLDTTIEDQDRDGDMDVKQIDTDGDGQPDVEIRDTNNDGITDSVAYDTDGDGVSDYHEYDNDRDGVVDSTSGTNHVSSAQASAVAANHGVDTVNVDLGGDTHHTSAPA-----QSGATGTPAAFDIDLDHDGFNDAVAADHNNDGHMDEVSVDLNHDGITDVTYTDTNFDGHADQVAYDTNGDGVADRINIDDNFDGRVDVQHQDTDGDGHIDTILVDQDHDGYADGMFTDADGDGMIDDFTAGHSDNMAPMIDDFGVEADDLHQVGHDDLHDGGDTIGV</t>
  </si>
  <si>
    <t>MSGENTNSHLTDSSMIDLTDVDGTHTTGRVMGSVDSDADGKTDTYSVDTDGDGFADAQVVDSNEDGKIDSIDYDTDHDGVVNAHLQDNDNDGRIDEASFDTNHDGKLDTTIEDQDRDGDMDVKQIDTDGDGQPDVEIRDTNNDGITDSVAYDTDGDGVSDYHEYDNDRDGVVDSTSGTNHVSSAQASAVAANHGVDTVNVDLGGDTHHTSAPAQSGTTQSGATGTPAAFDIDLDHDGFNDAVAADHNNDGHMDEVSVDLNHDGITDVTYTDTNFDGHADQVAYDTNGDGVADRINIDDNFDGRVDVQHQDTDGDGHIDTILVDQDHDGYADGMFTDADGDGMIDDFSAGHSDNIAPMIDDFGVEADDLHQVGHDDLHDGGDTIGV</t>
  </si>
  <si>
    <t>GC_00002126</t>
  </si>
  <si>
    <t>MAQEARTLGRSIVSVDWLRQHIDDPDVVVLCASMGNPIRSHQVAIPGAIVADLESDFSDASNSLPHTAPQNATAVFENVGVSDSSTVVVYDRHGMMCAARVWWLARLAGLSSVAVLDGGLPAWVAAGGETSASVQAQSRGRITASENRDLLTDMRGVERAAARSYGVIVDARSAGRFAGVEPEPRDGLVAGHIPGSVNLPYTDVVDDNGLLKTPEELQTLVESVVGSARELTMTCGSGVSACLIALAAWEAGYRDVVVYDGSWSEWGRPDLGKPCET</t>
  </si>
  <si>
    <t>MAQETRTQGRSIVSVDWLRQHIDDPDVVVLCASMGNPIRSHQVAIPGAIVADLESDFSDASNSLPHTAPQNATAVFENVGVSDSSTVVVYDRHGMMCAARVWWLARLAGLSSVAVLDGGLPAWIAAGGETSASVQAQSRGRITASENRHLLTDMRGVERAAARSYGVIVDARSAGRFAGVEPEPRDGLVAGHIPGSVNLPYTDVVDDNGLLKTPEELQTLVESVVGSARELTMTCGSGVSACLIALAAWEAGYRDVVVYDGSWSEWGRPDLGKPCET</t>
  </si>
  <si>
    <t>GC_00002127</t>
  </si>
  <si>
    <t>PF05257.22</t>
  </si>
  <si>
    <t>CHAP domain</t>
  </si>
  <si>
    <t>COG1388|COG3942</t>
  </si>
  <si>
    <t>LysM repeat (LysM) (PDB:1E0G)|Surface antigen (PDB:1QWY)</t>
  </si>
  <si>
    <t>MGKNSQYRTARRVLAAAAGIMLVAQQAQVATAEPRTLCQVKGSYSCLTFSGYGERTGTWADTRYPGNNGNHSCSRYVAYRLAKGGMREQASWGDASQWIQRAPGHKDKTPTVGAVAYWNQQWTATYWGHNEGHVGVVEKVNTDGSIEVTWDSQREGMVVRKIITRGPDMPTDFIHIDDGSIRRSGGDETKTPPSKTDTPSTSTNTPPTKTDTPPTSTDTPPSKTDTPPTSTDTPPTKTDTPPTKTDTPPTKTDTPPTKTDTPPTKTDTPPTKTDTPPTSTSTPPTKTDTPPTSTDTPPTSTSTPPSKTDTPPTSTDTPKTSTSVPPTKTDTPPTSTDTPPTSTSTPPTKTDTPKTSTDTPPTKTDTPSTSTSTPPTVTDTPKTSDSEQPPKCDKGKSDGKCGSNNGNNGSIGGGNSGSIGGGNGNSNGKSQAQGSLAGSGGLLGVVAAVIGLGGIVKVVSNLFQRITGGSTGNSSGAGGGNGNSHSQGGSTGGGLFSRSS</t>
  </si>
  <si>
    <t>MGKNSQYRTARRVLAAAAGIMLVAQQAQVATAEPRTLCQVKGSYSCLTFSGYGERTGTWADTRYPGNNGNHSCSRYVAYRLAKGGMREQASWGDASQWIQRAPGHKDKTPTVGAVAYWNQQWTATYWGHNEGHVGVVEKVNTDGSIEVTWDSQREGMVVRKIITRGPDMPTDFIHIDDGSIRRSGGDETKTPPSKTDTPSTSTNTPPTKTDTPPTS-----------------------------------TDTPPTKTDTPPTKTDTPPTKTDTPPTSTSTPPTKTDTPPTSTDTPPTSTSTPPSKTDTPPTSTDTPKTSTSVPPTKTDTPPTSTDTPPTSTSTPPTKTDTPKTSTDTPPTKTDTPSTSTSTPPTVTDTPKTSDSEQPPKCDKGKSDGKCGSNNGNNGSIGGGNSGSIGGGNGNSNGKSQAQGSLAGSGGLLGVVAAVIGLGGIVKVVSNLFQRITGGSTGNSSGAGGGNGNSHSQGGSTGGGLFSRSS</t>
  </si>
  <si>
    <t>GC_00002128</t>
  </si>
  <si>
    <t>MHKIVAVVKRIIYSPWPYIVVVPPLAFYVGILLSNGLWNGWAGFVVALLTTVAIAWLGMRKRDIKSIRTVILIVMALLPIGFSGYLCIPSAPTTVAASEDFPETPTRHRNLPTGSNIAYYHLNGGEAAKEKPALLFLHGGPGGSVSHSDVTFFNQFTSLGYDTYLYDQVGSGRSDFIPAQQYSHQRNIDDLAAVLEKIPNDKVIMVGQSYGSTLLASALADPRISPRVAKAVFAEPGGLPLDLEQSEKYLNDHIPQAGKDNPIKQSVGEKQQESNMSLLVRPRVLLGFFLMPTANNFITQEEATNLMGTKELNMHSQSSVCPDDRDSLPPITEKDGLRMNLKANVQVNNYKNYNFDMNAFSNNPTPGMLLIGECTYVNRRTQLAFETAYPAMERVHYFTGLGHHVLETASAGKPSRAFEAIRSFIEETPAPMPNYQREQDFKDFMSENK</t>
  </si>
  <si>
    <t>MHKIVAVVKRIIYSPWPYIVVVPPLAFYVGILLSNGLWNGWAGFVVALLTTVAIAWLGMRKRDIKSIRTVILIVMALLPIGFSGYLCIPSAPTTVAASEDFPETPTRHRNLPTGSNIAYYHLNGGEAAKEKPALLFLHGGPGGSVSHSDVTFFNQFTSLGYDTYLYDQVGSGRSDFIPAQQYSHQRNIDDLAAVLEKIPNDKVIMVGQSYGSTLLASALADPRISPRVAKAVFAEPGGLPLDLEQSEKYLNDHIPQAGKDNPIKQSVGEKQQESNMSLLVRPRVLLGFFLMPTANNFITQEEATNLMGTKELNMHSQSSVCPDDRDSLPPITEKDGLRMNLKANVQVNNYKNYNFDMNAFSNNPTPGMLLIGECTYVNRRTQLAFETAYPAMERVHYFTGLGHHVLETASAGKPSRAFEAIRSFIEETPAPMPNYPREQDFKDFMSENK</t>
  </si>
  <si>
    <t>GC_00002129</t>
  </si>
  <si>
    <t>MKPGPIVVRRAIAALIVALPVLVGAIYSLASGIDPADTWSDSTARAGAPTVVDDSVLVDARRATGEASSQAGLLTGGTKQLVDGVGKITGGTDDISTALTNGKEGTQKLSDGMTQLQAATGQMGQGATKVADGVETAVNQVTGFEAVRGQIVVAIDGYLERIKDAQDPDTVKLREDLGTLRQQATTFTLDDTTKSQLEEMKTGSREIAQQLSEPGQAYHDGIYTATKGAQDLNAGLGKATTDLEVALKGVDDLRTGSTRIDTMAKNTQAKIGEIQRALPTAQSHTDANTRTLAPMYAVLIAAGVLFGATIRGSGRIHTKATLLTVVVTLVGLAVTASLLCLMVGFGLGAGQVAGITAITLLLGMISILTGSLMVRIFGGMWGQIAALMTALAQVGIVGWAWNLAATTAIPTGWLLATSLMPLHYATSGLVAFGNSGGSASHIGISLGVMIALCVSGLTGLKLLQPTVGRRKAS</t>
  </si>
  <si>
    <t>MKPGPIVVRRAIAALIVALPVLVGAIYSLASGIDPADTWSDSTARAGAPTIVDDSVLVDARRATGEASSQAGLLTGGTKQLVDGVGKITGGTDDISTALTNGKEGTQKLSDGMTQLQAATGQMGQGATKVADGVETAVNQVTGFEAVRGQIVVAIDGYLERIKDAQDPDTVKLREDLGTLRQQATTFTLDDTTKSQLEEMKTGSREIAQQLSEPGQAYHDGIYTATKGAQDLNAGLGKATTDLETALKSVDDLRTGSARIDTMAKNTQAKIGEIQRALPTAQSHTDTDTRTLAPMYAVLIAAGVLFGATIRGSGRIHTKATLLTVVVTLVGLAVTASLLCLMVGFGLGAGQVAGITAITLLLGMISILTGSLMVRIFGGMWGQIAALMTALAQVGIVGWAWNLAATTAIPTGWLLATSLMPLHYATSGLVAFGNSGGSASHIGISLGVMIALCVSGLAGLKLLQPTVGRRKAS</t>
  </si>
  <si>
    <t>GC_00002130</t>
  </si>
  <si>
    <t>PF13630.11</t>
  </si>
  <si>
    <t>SdpI/YfhL protein family</t>
  </si>
  <si>
    <t>COG5658</t>
  </si>
  <si>
    <t>Bacterial immunity/signal transduction membrane protein SdpI,  SdpI/YbgB/DUF1648 family (SdpI) (PUBMED:20563570;31064832)</t>
  </si>
  <si>
    <t>MLVAWLRHGTVVSMVVLGCVLAALAVVLLLVGALAWTRHLPGNKYVGIKVPEVRESREVWDAVHQFAGPLWLASGVAMAVAAVPPFSGVSWLLLISLVGVVASVYFFGLGSSMGARAAGVLVREESSGGCCGGDSSDASGAAPAPQVDFDALRRAAGAADA</t>
  </si>
  <si>
    <t>GC_00002131</t>
  </si>
  <si>
    <t>PF09827.14</t>
  </si>
  <si>
    <t>CRISPR associated protein Cas2</t>
  </si>
  <si>
    <t>K09951</t>
  </si>
  <si>
    <t>CRISPR-associated protein Cas2</t>
  </si>
  <si>
    <t>COG1343</t>
  </si>
  <si>
    <t>CRISPR/Cas system-associated endoribonuclease Cas2 (Cas2) (PDB:2I0X)</t>
  </si>
  <si>
    <t>Prokaryotic defense system&gt;&gt;&gt;CRISPR-Cas system&gt;&gt;&gt;Universal Cas proteins</t>
  </si>
  <si>
    <t>MRRDDTRRTLIAYDVPNDRRRGKIAKLLETYGDRIQYSVFVVDIIPSKLLRLKDEIGKIAQLDEDSILFCDLGRLADLGQQKFSYVGLCREITDNDVIIM</t>
  </si>
  <si>
    <t>MRRDDTRRTLIAYDVPNDRRRGKIAKLLETYGDRIQYSVFVVDIIPSKLLRLKDEIGKIAQLDEDSILFCDLGRLADLGERKFSYVGLCREITDNDVIIM</t>
  </si>
  <si>
    <t>GC_00002132</t>
  </si>
  <si>
    <t>K01252</t>
  </si>
  <si>
    <t>bifunctional isochorismate lyase / aryl carrier protein [EC:3.3.2.1 6.3.2.14]</t>
  </si>
  <si>
    <t>COG1535</t>
  </si>
  <si>
    <t>Isochorismate hydrolase (EntB1) (PDB:3TB4)</t>
  </si>
  <si>
    <t>ko00001|ko01000|ko01000|ko01008|ko01008|ko01008|ko01008|ko01008</t>
  </si>
  <si>
    <t>KEGG Orthology (KO)&gt;&gt;&gt;09100 Metabolism&gt;&gt;&gt;09109 Metabolism of terpenoids and polyketides&gt;&gt;&gt;01053 Biosynthesis of siderophore group nonribosomal peptides [PATH:ko01053]|Enzymes&gt;&gt;&gt;3. Hydrolases&gt;&gt;&gt;3.3  Acting on ether bonds&gt;&gt;&gt;3.3.2  Ether hydrolases&gt;&gt;&gt;3.3.2.1  isochorismatase|Enzymes&gt;&gt;&gt;6. Ligases&gt;&gt;&gt;6.3  Forming carbon-nitrogen bonds&gt;&gt;&gt;6.3.2  Acid-D-amino-acid ligases (peptide synthases)&gt;&gt;&gt;6.3.2.14  enterobactin synthase|Polyketide biosynthesis proteins&gt;&gt;&gt;Nonribosomal peptide synthetase (NRPS)&gt;&gt;&gt;Iterative NRPS&gt;&gt;&gt;Enterobactin synthetase|Polyketide biosynthesis proteins&gt;&gt;&gt;Nonribosomal peptide synthetase (NRPS)&gt;&gt;&gt;Iterative NRPS&gt;&gt;&gt;Bacillibactin synthetase|Polyketide biosynthesis proteins&gt;&gt;&gt;Nonribosomal peptide synthetase (NRPS)&gt;&gt;&gt;Nonlinear NRPS&gt;&gt;&gt;Vibriobactin synthetase|Polyketide biosynthesis proteins&gt;&gt;&gt;Nonribosomal peptide synthetase (NRPS)&gt;&gt;&gt;Nonlinear NRPS&gt;&gt;&gt;Myxochelin synthetase|Polyketide biosynthesis proteins&gt;&gt;&gt;Nonribosomal peptide synthetase (NRPS)&gt;&gt;&gt;Nonlinear NRPS&gt;&gt;&gt;Vanchrobactin synthetase</t>
  </si>
  <si>
    <t>MAIPQLSPYEIPPLPTNQAAHWQLDPKRAALLVHDMQEYFIAAYDRNANPMSMVLSNIQSIISFADSHGMPVFFSAQPPAQHWSRRGLLNDVWGTGIVTDAQAAIIPELEPAAAHHQVITKWRYSAFERTDLEQALAFTRRNQLIITGVYGHMGCQVTAVDAFMKDIQPFMVGDAIADFSATEHAEAMSWVAKRSGMVISTAEVLSA</t>
  </si>
  <si>
    <t>MAIPQLSPYEIPPLPTNQAAHWQLDPKRAALLIHDMQEYFIAAYDRNANPMSTVLSNIQSIISFADSHGMPVFFSAQPPAQHWSRRGLLNDVWGTGIVTDAQAAIIPELEPAAAHHQVITKWRYSAFERTDLEQALAFTRRNQLIITGVYGHMGCQVTAVDAFMKDIQPFMVGDAIADFSATEHAEAMSWVAKRSGMVISTAEVLSA</t>
  </si>
  <si>
    <t>GC_00002133</t>
  </si>
  <si>
    <t>MIFKIFATIVAFIMGLLGLHQQLPQPTTPTTQVTRTAQPEASGKPAQPTSTSATSA---PATSTPIPPRPPLMALSDLPSGLHQATDAEMQKLTTHRWVSTSPLIFRVNNYAEIDFTTNHDTNSPRRAFSGGTKCCAVQGTVLVARNTISIVSWGDSTKSACDPQVLAVEDTEFREFLDHSTVYFNSDGSSMYLKRSSDGAVNEWKLTDNQHVR</t>
  </si>
  <si>
    <t>MIFKIFATIVAFIMGLLGLHQQPPQPTTPITPATRTAQPEASVKPAQPTSTSATSTISVPATSTPIPPRPPLMALSDLPSGLHQATDAEMQKLTTHRWVSTSPLIFRVNNYAEIDFTTNHDTSSSRRVFSGGTKCCTVQGTVLVARNTISITAWGDSRKTACDPQVLAVEDTEFREFLDHSTVYFNSDGSSMYLKRSSDGAVNEWKLADNQHVR</t>
  </si>
  <si>
    <t>GC_00002134</t>
  </si>
  <si>
    <t>MFPYTTNVTLVAEWHKIVNPIHLLLITLHMMLPPLLFDAHDNNQDPTALLALFARRGNEESWFWHPDDDLCQCFFSLTQLDSESLLRLRTTLTSLDSKYQERFSVDIERGIRDIDWVIMEKQLYSNLMTLGDAPTVESDAIVSDDSSEDATNSDYLRVLLADRKWTELSKMEVSEFLAYGDWQSLTADAYNLVVLACLRHTIEAAEHDDGELLDHIPHLLSLHGHDRVSTAPARVAAVVATFIQLFSTIPWKHRMEVTPELLRWPLPRPT</t>
  </si>
  <si>
    <t>MFPYTTNVTLVAEWHKIVNPIHLLLITLHMMLPPLLFDAHDNNQDPTALLALFARRGNEESWFWHPDDDLCQCFFSLTQLDSESLLRLRTTLTSLDSKYQERFSVDIERGIRDIDWVIMEKQLYSNLMTLGDAPTVESDAIVSDDSSEDATNSDYLRVLLADRKWTELSKMEVSEFLAYGDWQTLTADAYNLVVLACLRHTIEAAEHDDGELLDHIPHLLSLHGHDRVSTAPARVAAVVATFIQLFSTIPWKHRMEVTPELLRWPLPRPT</t>
  </si>
  <si>
    <t>GC_00002135</t>
  </si>
  <si>
    <t>PF20197.3</t>
  </si>
  <si>
    <t>Family of unknown function (DUF6560)</t>
  </si>
  <si>
    <t>MDKTLLTIVFASVPGIIVIGFISHIIYLMVRDNREVSQGIRRSRSFLVDQIIFESGVVMMAAFIGSTSFEMASHIIQNENFFGLISLAIFLAVPTLVTIVVTFIITGLTLRYVEVNSTGFTFRNKLGRTRNFSFNDVGGYHFRPFVLGKYGPPPGGHLQFVDTTGRQLFEVQIRSTSRPDQVGQYAMFWTLQGRWPQHGNHMDEQVLASYTSDAMISFFKPYSSYTPSQNPHPI</t>
  </si>
  <si>
    <t>MDKTLLTIVFASVPSIIVIGFISHIIYLMVRDNREVSQGIRRSRSFLVDQIIFESGVVMMAAFIGSTSFEMASHIIQNENFPGLIILAIFLAIPTLVTIVVTFIITGLTLRYVEVNPTGFTFRNKLGRTRNFSFNDVGGYHFRPFVLGKYGPPPGGHLQFVDTTGRQLFEVQIRSTSRPDQVGQYAMFWTLQGRWPQYGNHMDEQVLASYTSDAMISFFKPYSSYTPSQNPHPI</t>
  </si>
  <si>
    <t>GC_00002136</t>
  </si>
  <si>
    <t>MTSPLPTHRILAPDLARGAALLGIAVANGITAWSVTGLPAAANELETYAGIIVNDSLWDKTMVVIGTLFVHVRGLPMFATLLGYGIGMILVREQHRGATPRNARIILARRYGALAIIGALHTVFLFYGDIMLTYSLIALVVVLICTFPDRILISLVGVSAVIGAALIAPWGYSPFDAVAPTMPVGQGGGSGYLIDQLYVGFGILLRTPVQFFIDLMTLGPLILLGFIAGRRGVLEHPDRYVIPMRIVASITVLVIVGVGIPWGLSALGVLPAEPFWHGINRVAGLWSGPGFVVWIFWGARWLQQHHLSNRLPIRMVAALGRMSMTGYVLQSVLFTIIMVPWGFAIGAGRGAATVTLIATGIWGITVIFAYLWSRTGRRGPLEILHRTLGYGRLPNAKHR--</t>
  </si>
  <si>
    <t>MTSPLPTHRILAPDLARGAALLGIAVANGITAWSVTGLPAAANELETYAGIIVNDSLWDKIMVVIGTLFVHVRGLPMFATLLGYGIGMILVREQHRGATPRNARIILARRYGALTIIGALHTVFLFYGDIMLTYSLIALVVVLICTFPDRILMSLVGVSAVIGAALIAPWGYSPFDAVAPTTPVNQDGGSGYLIDQLYVGFGILLRMPGQFFIDLVTLGPLILLGFIAGRRGVLEHPDRYVIAMRIVASITVLVIVGVGIPWGLSALGVLPAEPFWHGINRVAGLWSGPGFVVWIFWGARWLQQHHLSNRLPIRMLAALGRMSMTGYVLQSVLFTIIMVPWGFAIGAGRGAATVTLIATGIWGITVIFAYLWSRTGRRGPLEILHRTLGYGRLPNAKTQIM</t>
  </si>
  <si>
    <t>GC_00002137</t>
  </si>
  <si>
    <t>K14742</t>
  </si>
  <si>
    <t>tRNA threonylcarbamoyladenosine biosynthesis protein TsaB</t>
  </si>
  <si>
    <t>COG1214</t>
  </si>
  <si>
    <t>tRNA A37 threonylcarbamoyladenosine modification protein TsaB (TsaB) (PDB:1OKJ)</t>
  </si>
  <si>
    <t>MNILAIDTATPALIVGVVCDGVTQSETVLSDSHAHNELLVPATLHMLNDAHLTFSDLDAIVVGVGPGPFTGLRVGMATAAAFGDARHIPVYGVPTHDAIAHNLGDPDNLLVATDARRKEVYWSSYRGGQRVAGPEVCQPARLGEPTPESDYRLDRVDVMSVPAKLAPMLPAVLQETTIVSGVPLPADLVAVADFTGKPEPLQPLYLRRPDAKEPTKKAPSPAIVRKES</t>
  </si>
  <si>
    <t>MNILAIDTATPALIVGVVCDGATRSETVLNDSRAHNELLVPATLRMLNDAHLTFSDLDAIVVGVGPGPFTGLRVGMATAAAFGDARHIPVYGVPTHDAIAHNLGDPDNLLVATDARRKEVYWSSYHGGQRVAGPEVCQPARLGEPTPESDYRLDRVDVMSVPAKLAPMLPAVLQETTVVSGVPLPADLVAVADFTGKPEPLQPLYLRRPDAKEPTKKAPSPAIVRKES</t>
  </si>
  <si>
    <t>GC_00002138</t>
  </si>
  <si>
    <t>MSLAESIKLALTSLRSNKMRALLTLLGVIIGISSVIAIVTLGNALQAQTLQNLADAGINDLTAQVKSRTTNEEEEEDENSYGTSPVEVDQSSKISADMISDLKRRFPGQIAGVGIGSASQYQGTISTPAQVGTKNITLNAVNTDFITMKKLKPAVGRLLTEEDIEGDRQVTVISPKAVQQLFDGNNNAALGAEVDFTNTDGRSTSFVVVGVYEETASKGGLVNLRDDSTMYVPWPSESRFANADGAWDSVSVRPTPGTDDGQVKQKVQEFFDQQYENDVYYRVAMKDAKKELASFNQQLSTVSMFVSAIGGISLLVGGIGVMNIMLVTVTERTREIGVRKALGATRNAIRIQFVVEAMIVGLLGGIIGVILGGAIGMIGSAMMGAFVYPPISGVLIALFFSLGIGLFFGYYPANKAAKLNPIDALRYE</t>
  </si>
  <si>
    <t>MSLAESIKLALTSLRSNKMRALLTLLGVIIGISSVIAIVTLGNALQAQTLQNLADAGINDLTAQVKSRTTNEEEEEDENSYGTSPVEVDQSSKISADMVSDLKRRFPGQIAGVGIGSAAQYQGTISTPAQVGTKNITLNAVNTDFITMKKLKPAVGRLLTEEDIEGDRQVTVISPKAVQQLFHGNNNAALGAEVDFTNTDGRNTSFVVVGVYEETASKGGLVNFGDESIMYVPWPSESRFANADGAWDSVSVRPAPGTDDGQVKQKVQEFFDQQYENDVYYRVAMKDAKKELASFNQQLSTVSMFVSAIGGISLLVGGIGVMNIMLVTVTERTREIGVRKALGATRNAIRIQFVVEAMIVGLLGGIIGVILGGAIGMIGSAMMGAFVYPPISGVLIALFFSLGIGLFFGYYPANKAAKLNPIDALRYE</t>
  </si>
  <si>
    <t>GC_00002139</t>
  </si>
  <si>
    <t>MDFNRHGVPGCSINDTYEHFIDTWRDVTLTDSSFTSILTLKGTVTLNGNDYYAVADLDPVTGEVMLLDLNFPEHRNDEWDTIEGIELQTCSARLLAARLSLLDPPAYFNPPCVEWPKAHMAFFVFEDVPRTICWYKA</t>
  </si>
  <si>
    <t>GC_00002140</t>
  </si>
  <si>
    <t>MTDFAREPRTSHNGQGSHSRKTPGTPKTRRIQPSMFIEVTAIVGNFATTDHLNPEAVAAYADGELSPLAMHRAKIHLVHCLECREEVERQRHASKRLKESNTVKVEMPSDLRQRLMGIAQSCPDGPCAEDIPRASESFIAKLDGIARGLRRINRGK</t>
  </si>
  <si>
    <t>MTDFAREPRTSHNGQGSHSRKTPSTPKARRIQPSMFIEVTAIVGNFATTDHLNPEAVAAYADGELSPLAMHRAKIHLVHCLECREEVERQRHASKRLKESNTAKVEMPSDLRQRLMGIAQSCPDGPCAEDIPRASESFIAKLDGIARGLRRINRGK</t>
  </si>
  <si>
    <t>GC_00002141</t>
  </si>
  <si>
    <t>MHKKSTFRCLAIAAFVSSLGMTTIPSAGALEPPAASDVVSQTAQELTNAGIPVDPAVTNGAVAAAQNAEQAAQNAQQAVDSAVNSLSAATPVVPTVPETPAVPNFTQDIPPEQAMPEVVPRISSELSSAINSVTGSSQQPAPSPSVPETAVTPETPNAPTVPSVPGVPANALGGAANIVNTEKPENKTQDTEAGADSDEYEPGRTETPPLVRRYIDAQIKEATAPSERAISSVSQLFENINKLRDGSLSSTEYSANKLMQRPNINRNVAEFDAQIAQFESQVAQLASVGVNYAGEPYKEVGKDYRPIIDGPNYHWQYDPFSKFMAQRFTAKRVLHRVPGSWFDQPDTPLASVFTEREGNSLYGPSTPVYVGDNQLCTVAATGYDKQGRKVAITAGHCGNPGDPVKSADSWRVGRSGTVVDSNKELDYSVIELDSNARVSRHYNNVTVNHVGGETPGQWKRVCKTGVASGTTCGHVWVADEGRNVSQVCAMAGDSGAPVMEGDRLVGMVSGGALPDHNLSCRTPWQGSAHMPTISTNFEAVRHDIDAKDGVGAGFRLPDD</t>
  </si>
  <si>
    <t>MHKKSTFRCLAIAAFVSSLGMTTIPSAGALEPTSASDVVSQTAQELTNAGIPVDPAVTNGAVAAVQNAEQAAQNAQQAVDSAVNSLSAATPVAPTVPEAPAVPNFTQDIPPEQAMPEVVPRISSELSSAINSVTGSSQQPAPSPSVPETAVTPETPNVPTVPNVPSVPANALESAANIVNTEKPENKTQDTEAGADSDEYEPGRTETPPLVRRYIDAQIKEATAPSERAISSVSQLFENINKLRDGSLSSTEYSANKLMQRPNINRNAAEFEAQVAQFESQVAQLASSGVNYAGEPYKEVGKDYRPIIDGPNYHWQYDPFSKFMAQRFTANRVLHRVPGSWFDQPDTPLASVFTEREGNSLYGPSTPVYVGDNQLCTVAATGYDKQGRKVAITAGHCGNPGDPVKSADSWRVGRSGTVVDSNKELDYSVIELDSNARVSRHYNNVTVNHVGGETPGQWKRVCKTGVASGTTCGHVWVADEGRNVSQVCAMAGDSGAPVMEGDRLVGMVSGGALPDHNLSCRTPWQGSAHMPTISTNFEAVRHDIDAKDGVGAGFRLPDD</t>
  </si>
  <si>
    <t>GC_00002142</t>
  </si>
  <si>
    <t>MSVGAYPVTMSTQPSAHIHDYSARRLRSTRHYMMLWWLLAAILVPNIGLLFRPIFGLYGWVFYGLVYQSTLYIPALIASGAILWIFPPGYRHLWSELRAPFGFFWAMILLEIWLPTDTIDGRNQHFPLVEWLTNLGVTHAWMWCASIVGALALIAYTYIMVRGVRARQASKSTTSGAASTSASYPRPVRSHRHTMVLAWISTAVIGYYLVALVHIRVRALLGADLGFTLVLPPIGVAVVPMLALLGMVLLAFPKTSPVRRRAWVPFSIFWAMSFTIIWFVGDYFTDWWRIPTFMTIVSHTGRAFVRPLALAMASPLLLVALISLVSIGIMGYHTRRRTNANNPASPTGDPVALTAGKATGLDSSERQPATRCAGSSIIPVSSAPADSAAGTKCTTRPRQTALQPPQQLDG</t>
  </si>
  <si>
    <t>MSVGAYPVTMSTQPSAHIHDYSARRLRSTRHYMMLWWLLAAILVPNIGLLFRPIFGLYGWVFYGLVYQSTLYIPALIASGAILWIFPPGYRHLWSELRAPFGFFWAMILLEIWLPTDTIDGRNQYFPLVGWLTNLGVTHAWMWCAIIVGALALIAYTYIMVRGVRARQASKSTTPGAASISASYPRPVRSHRHTMVLAWISTAVIGYYLVALVHIRVRVLLGADLGFTLVLPPIGVAVVPMLALLGMVLLAFPKTSPVRRRVWVPFSIFWAMTFTIIWFVGDYFTDWWRIPTFMTIVSHTGRAFVRPLALAMASPLLLVALISLVSIGIMGYHTRRRTNANNPASPTGDPAALTAGKATGLDSSERQPATRCAGSSIIPVSSAPVDSAAGTKCTTRPRQTALQPPQQLDG</t>
  </si>
  <si>
    <t>GC_00002143</t>
  </si>
  <si>
    <t>K06147</t>
  </si>
  <si>
    <t>ATP-binding cassette, subfamily B, bacterial</t>
  </si>
  <si>
    <t>Transporters&gt;&gt;&gt;ABC transporters, eukaryotic type&gt;&gt;&gt;ABCB (MDR/TAP) subfamily&gt;&gt;&gt;ABCB-BAC subgroup</t>
  </si>
  <si>
    <t>MSTPLAPLIRVLRQHRAASIGAFSTSIGVTVVEVLLPLLTRDAVDVATGQAGAGESSTATTLFPSLSPLWAIVVCLVIATVARYALQFSRRFSAGILSINVQHRLRVSMLDTVLKLGGPAQDSLHTGQAVSRSISDISTVQGLCAVLPLTVGNATKLVLTAGVIVWLSPVLSLLAFATLPLVYLLGYRSRTPLFEATRAAQDQAATVTGVVEETVTGIRVVKAFSQQQREVARLHTESQELYRRRLQVARVTALFQPVMEQLPLAALVANILAGGWLALQGTISIGTFVAFATYVTTLSQVTKMLSGMVIRVQTGISSLARITEILDLAPPHAPTASTSLPDTSTALGIDAQKVTVAGVLDSISFTAQPGETLCIVGPPGSGKSMMVQLLSGFYQPDSGSLALIDAAGNRTDYADLDPDTVRSQLTSVLDDTFLYSSTIMDNLTMGREFSEEEILTATTTAQAHEFISALPHGYQETIGERGLTLSGGQRQRLALARALLAGRKILVLDDATSAIDAITEAAIYDALRDNYPEVTVIAIAHRPSTMRVADHIVEFPNAPFKSEDERDTHALWPDVSPQPHPPSDHFTAVTEQQDPFSLRRLLGHAKTHIMLVVALLMVGVLADLAFPSLVRLAVDQGVLTHNVGTLQLATAVGAVIVVVSGAAAAARTLLTARVGERLLLILRVRSFAHLQRLSMSYFESTTAGRIITRMTTDIDALSSFLQTGVAQVIVACGTLVGITIMLVVTDFSLALTALAAVPVIIVATLIFRRISRRLYQRAREEISTVNSQFHEAFSGLRTTQLYRAESFMLRQFQDMAEQYRRTRIKAQTGVAIYFPGISAVSELTHAAVLGVGAHQVMRGELSPGVLIAFLMYLGLLFGPLQDLSQLFDAYQQAAIGLRRIADLLATQPTVPDTGTRTGAPGAAEGPLALVDTSFTYRTDQSTENADILSQLNLRIEPGSTVAIVGATGAGKSTLIKLIARFYDPLSGLVTANGTDIREFPLAQWRGTLGYVPQEAHLFTGTVAYNIGYGRPSARAEEIVEAARAVGALPVIEGLAHGFNQEVGERGRALSSGQRQLVALARAELVDPHVLLLDEATATLDLETEAAVVEASTSMMRGRTSILIAHRLSTAAQADRILVMHHGNIVEDGTHDQLIAAGGRYAALWSAH</t>
  </si>
  <si>
    <t>MSTPLAPLIRVLRQHRAASIGAFSTSIGVTVVEVLLPLLTRDAVDVATGQAGAGESSTATTLFPSLSPLWAIVVCLVMATVARYALQFSRRFSAGILSINVQHRLRVSMLDTVLKLGGPAQDSLHTGQAVSRSISDISTVQGLCAVLPLTVGNATKLVLTAGVIVWLSPVLSLLAFATLPLVYLLGYRSRTPLFEATRAAQDQAATVTGVVEETVTGIRVVKAFSQQQREVARLHTESQELYRRRLQVARVTALFQPVMEQLPLAALVANILAGGWLALQGTISIGTFVAFATYVTTLSQVTKMLSGMVIRVQTGISSLARITEILDLAPPHAPTASTSLPDTSTALGIDAQKVTVAGVLDSISFTAQPGETLCIVGPPGSGKSMMVQLLSGFYQPDSGSLALIDAAGNRTDYADLDPDTVRSQLTSVLDDTFLYSSTIMDNLTMGREFSEEEILTATTTAQAHEFISALPHGYQETIGERGLTLSGGQRQRLALARALLAGRKILVLDDATSAIDAITEAAIYDALRDNYPEVTVIAIAHRPSTMRVADHIVEFPNAPFKSEDERDTHALWPDVSPQPHPPSDHFTAVTEQQDPFSLRRLLGHAKTHIMLVVALLMVGVLADLAFPSLVRLAVDQGVLTHNVGTLQLATAVGAVIVVVSGAAAAARTLLTARVGERLLLILRVRSFAHLQRLSMSYFESTTAGRIITRMTTDIDALSSFLQTGVAQVIVACGTLVGITIMLVVTDFSLALTALAAVPVIIVATLIFRRISRRLYQRAREEISTVNSQFHEAFSGLRTTQLYRAESFMLRQFQDMAEQYRRTRIKAQTGVAIYFPGISAVSELTHAAVLGVGAHQVMRGELSPGVLIAFLMYLGLLFGPLQDLSQLFDAYQQAAIGLRRIADLLATQPTVPDTGTRTGAPGAAEGPLALVDTSFTYRTDQSTENADILSQLNLRIEPGSTVAIVGATGAGKSTLIKLIARFYDPLSGLVTASGTDIREFPLAQWRGTLGYVPQEAHLFTGTVAYNIGYGRPSARAEEIVEAARAVGALPVIEGLAHGFNQEVGERGRALSSGQRQLVALARAELVDPHVLLLDEATATLDPETEAAVVEASTSMMRGRTSILIAHRLSTAAQADRILVMHHGNIVEDGTHDQLIAAGGRYAALWSAH</t>
  </si>
  <si>
    <t>GC_00002144</t>
  </si>
  <si>
    <t>COG4449</t>
  </si>
  <si>
    <t>Predicted protease, Abi (CAAX) family</t>
  </si>
  <si>
    <t>MDPAQTGRTPHTLRRNLIIFTISIVASGWVGIAIDKLTGQPDYQDVATLNGGGTLGMGLWTVAPLLVVIALRTFCGDGWKNAGYALNIRGNGWLYALSIAVYPATTCVVILLGTQVGAMHVAALNMSAVLTLIASQFVIQCAKNFFEESLWRGYLTNQLLKLTMSDWKLYLIAGLVWWAWHLPYWLIMLNTKEVESIVPAGRIVLVVAAILVFFCWNVMFTEIFRVTRSIWPLVLAHALEDAVTLPLLIDGTITLDPRWALVFSTNTGLLPAVILLSVGLGIRRWRIKNQAKAN------GYH-----</t>
  </si>
  <si>
    <t>MDPAQTGRTPHTLRRNLIIFTISIVASGWVGIAIDKLTGQPDYRDVATLNGGGTLGMGVWTVAPLLVVITLRTFCGDGWKNAGYALNVRGNGWLYALSIAVYPATTYVVILLGTQVGAMHVAALNMSAVLTLIASQFVIQCAKNFFEESLWRGYLTNQLLKLTMSDWKLYLIAGLVWWAWHLPYWLIMLNTKEVESIVPAGRIVLVVAAILVFFCWNVMFTEIFRVTRSIWPLVLAHALEDAVTLPLLIDGTITLDPRWALVFSTNTGLLPAVILLSVGLGIRRWRIKKPGQSKRVSLMMKHHSQDVL</t>
  </si>
  <si>
    <t>GC_00002145</t>
  </si>
  <si>
    <t>MFDRKFVAMALASVAVAGTLTACNNDGKSGESSTASTKATTSSSAAPTTSAPAMESSAPMGAPSDASAPAQAPEQAPAAPAAPGGQAPAQQAPAQQAPAQQAPAQAPAPAAPAPAEAPAPAAPAPELPGGGGGHAGY</t>
  </si>
  <si>
    <t>MFDRKFVAMALASVAVAGTLTACNNDGKSGESSTASTKATTSSSAAPTTSAPAMESSAPMGAPSDASAPAMAPEQAPAAPAAPGGQVPAQPAPAQQAPAQQAPAQAPAPAAPAPAEAPAPAAPAPELPGGGGGHAGY</t>
  </si>
  <si>
    <t>GC_00002146</t>
  </si>
  <si>
    <t>MDRERLIRILRDYPGITHVSTKSGALALKFADGTTVDMNPNLAKPITPGETEAECVDRVLRSIAIMQRTPGMGNTGGLSLSHTIPLVRGADYFMSFGPAAPIALSWITDFVGFGLAIDQPGMRCVINEPLLPADHDKFDALQLQSQAIDNLHALVPTIVTEQTGLGPGVLVVSQPTGSETAWFADVRAMGRLLSDLENPAPTAPTVPGAEAGTWVVIPASRHRLYLVNTAVSNEIWGKLVRELEFTLSDHEAVYPVPHTIVSDRWVEWRPKPTTNWRQQLGMVRFAAQQRIYQTQAQLLQEESGRSGYDSSDHTIAPYSIYLVQDQPRSLAFVPAATPATSIPITDLVVFECDGVVALVSREKATREFPDFMIPQPGLHPPRLLVSPPTPTQFARLKSLGM</t>
  </si>
  <si>
    <t>MDRERLIRILRDYPGITHVSTKSGALALKFADGTTVDMNPNLAKPITPGETEAECVDRVLRSIAIMQRTPGMGNTGGLSLSHTIPLVRGADYFMSFGPAAPIALSWITDFVGFGLAIDQPGMRCVINEPLLPADHDKFDALQLQSQAIDNLHALVPTIVTEQTGLGPGVLVVSQPTGSETAWFADVRAMGRLLSDLENPAPTAPTMPEAEAGTWVVIPASRHRLYLVNTAVSNEIWGKLVRELEFTLSDHEAVYPVPHTIVSDRWVEWRPEPTTNWRQQLGMVRFAAQQRIYQTQAQLLQEESGRSGYDSSDHTIAPYSIYLVQDQPRSLAFVPAATPATSIPITDLVVFECDGVVALVSRKKATREFPDFMIPQPGLHPPRLLVSPPTPTQFARLKSLGM</t>
  </si>
  <si>
    <t>GC_00002147</t>
  </si>
  <si>
    <t>MIDLTRTIQVLADLRPPLQPVAAPSVPDFSQLPQLAQVFGNNPSQFMADHRVLIQDSHELIQLLAQALPECETTCRFLEHLIQSFIAEVTATLSVVCASSGANWVAVIKQLIVMPNKYIEQAVAHLQGLEQRLAPLTTRLEQISETKSELAAPHTVTDATTDAAKIHSVAARVAIPLDETSGTTKPTGTTTSTHHASSDQVERGQRAVAAAKTALGTPYVWGGTTTSGFDCSGLTQWAWRQAGVELPRLAENQNIGRQVSPDELIAGDLLVWNGHVAMYAGNGQIIEAGDPVQLGSMRTENLGMEFKGYFRPD</t>
  </si>
  <si>
    <t>MIDLTRTIQVLADLRPPLQPVAAPSVPDFSQLPQLAQVFGNNPSQFMADHRVLIQDSHELIQLLAQALPECETTCRFLEHLIQSFIAEVTATLSVVCASSGANWVAVIKQLIVMPNKYIEQAVAHLQGLEQRLAPLTARLEQISETKSELAAPHTVTDATTDAAKIHSVAARVAIPLDETSGTTKPTGTTTSTHHASSDQVERGQRAVAAAKTALGTPYVWGGTTTSGFDCSGLTQWAWRQAGVELPRLAENQNIGRQVSPDELIAGDLLVWNGHVAMYAGNGQIIEAGDPVQLGSMRTENLGMEFKGYFRPD</t>
  </si>
  <si>
    <t>GC_00002148</t>
  </si>
  <si>
    <t>PF02113.21</t>
  </si>
  <si>
    <t>D-Ala-D-Ala carboxypeptidase 3 (S13) family</t>
  </si>
  <si>
    <t>K07259</t>
  </si>
  <si>
    <t>serine-type D-Ala-D-Ala carboxypeptidase/endopeptidase (penicillin-binding protein 4) [EC:3.4.16.4 3.4.21.-]</t>
  </si>
  <si>
    <t>COG2027</t>
  </si>
  <si>
    <t>D-alanyl-D-alanine carboxypeptidase (DacB) (PDB:1W5D)</t>
  </si>
  <si>
    <t>ko00001|ko01000|ko01002|ko01011</t>
  </si>
  <si>
    <t>KEGG Orthology (KO)&gt;&gt;&gt;09100 Metabolism&gt;&gt;&gt;09107 Glycan biosynthesis and metabolism&gt;&gt;&gt;00550 Peptidoglycan biosynthesis [PATH:ko00550]|Enzymes&gt;&gt;&gt;3. Hydrolases&gt;&gt;&gt;3.4  Acting on peptide bonds (peptidases)&gt;&gt;&gt;3.4.16  Serine-type carboxypeptidases&gt;&gt;&gt;3.4.16.4  serine-type D-Ala-D-Ala carboxypeptidase|Peptidases and inhibitors&gt;&gt;&gt;Serine peptidases&gt;&gt;&gt;Family S13: D-Ala-D-Ala peptidase C family|Peptidoglycan biosynthesis and degradation proteins&gt;&gt;&gt;Peptidoglycan biosynthesis and degradation&gt;&gt;&gt;DD-Carboxypeptidase/DD-Endopeptidase (Low molecular weight PBP)</t>
  </si>
  <si>
    <t>MTVKKIWWILGASAAAIAVGGGTTLAVINATGPGDLVHDPAMAAVEPQQLVQPVGTSTSVDTSTSAVAPSTNNELRTTLETLSQDPRLGQFGGQVTDATTGSIVWEKHPTKPMTPASTTKILTAAAALLVLGPDDRIDTAVVEGDAPGTVVLRGAGDVMLTTEKLDDLAKQIKHSHPAPINTVLVDTSHWSGESFLSDWDRADIAGGFIAPMEPVMLYGARIGETTGDVPRSETPALDVARQLATRLGAEKSGLGQAPTTEEAPLALVHSDTLEERLRELMQQSDNVAAEAVGREIALHEGMTGTNKDAVAATLQILNSNGFSTSGVTLVDNSGMSTKNLIPPGLLNDIMHRAVTDPQLRPLLETLPVAGASGTLEERYRDQAGAGWVRGKTGTLTKTTGLAGTVMGADGHIYSYGFLSNDADVQGSRAAMDAMTSAIRD</t>
  </si>
  <si>
    <t>MTLKKIWWILGASAAAIAVGGGTTLAVINATGPGDLVHDPAMAAVEPQQLVQPVGTSTSVDTSTSAVAPSTNNELRTTLETLSQDPRLGQFGGQVTDATTGSIVWEKHPTKPMTPASTTKILTAAAALLVLGPDDRIDTAVVEGDAPGTVVLRGAGDVMLTTEKLDDLAKQIKHSHPAPINTVLVDTSHWSGESFLSDWDRADIAGGFIAPMEPVMLYGARIGETTGDVPRSETPALDVARQLATRLGAEKSGLGQAPTTEEAPLALVHSDTLEERLRELMQQSDNVSAEAVGREIALHEGMTGTNKDAVAATLQILNSNGFSTSGVTLVDNSGMSTKNLIPPGLLNDIMHRAVTDLQLRPLLETLPVAGASGTLEERYRDQAGAGWVRGKTGTLTKTTGLAGTVMGADGHIYSYGFLSNDADVQGSRAAMDAMTSAIRD</t>
  </si>
  <si>
    <t>GC_00002149</t>
  </si>
  <si>
    <t>MPGFLLYGEPMSDFSWPIPFTPLSNERVALRALRIEDADAVYEAAIDPQMQRFTPIPLEYSRSMAVEFINKHSRPQSSLVWAIELADNPGRYAGNIMLKLQSEKNRNVLADYNTAPWARRRGTMTQALQLVLDHAFNNYIHRVELRATLDNTPSRTVAERNGFVFEGVARDSEYIRGDFHDVVVYAKIASDHQLMPPKAYNSPQLKSAFTQGSPVPVRNFRF</t>
  </si>
  <si>
    <t>MPGFLLYGEPMSDFSWPIPFTPLSNERVALRALRIEDADAVYEAAIDPQMQRFTPIPLEYSRSMAVEFINKHSRPQSSLVWAIELADNPGHYAGNIMLKLQSEKNRNVLADYSTAPWARRRGTMTQALQLVLDHAFNNYIHRVELRATLDNTPSRTVAERNGFVFEGVARDSEYIRGDFHDVVVYAKIASDHQLMPPKAYNSPQLQSAFTQGSPVPVRNFRF</t>
  </si>
  <si>
    <t>GC_00002150</t>
  </si>
  <si>
    <t>MTQLFDTNVTVDQYAKAFTETVYMVSISLFIGALLGIPLAIILVVTRPGGLKPNKWVYSILNVVVNIIRSVPFIILMVAIVPLTRLISGTSIGTTAALVPLTIFIAPYISRLIEASLLEVRSGILEAADSMGATMWQTIRIFLLPEAKSSIILALTTATIGLIGATAMAGTIGGGGVGDLAVSYGYQQFDTPAIVITVLILVVVVQGIQSLGNFLAHRTRVA</t>
  </si>
  <si>
    <t>MTQLFDTNVTVDQYTKAFTETVYMVSISLFIGALLGIPLAIILVVTRPGGLKPNKWVYSILNVVVNIIRSVPFIILMVAIVPLTRLISGTSIGTTAALVPLTIFIAPYISRLIEASLLEVRSGILEAADSMGATMWQTIRIFLLPEAKSSIILALTTATIGLIGATAMAGTIGGGGVGDLAVSYGYQQFDTPAIVITVLILVVVVQGIQSLGNFLAHRTRVA</t>
  </si>
  <si>
    <t>GC_00002151</t>
  </si>
  <si>
    <t>K07131</t>
  </si>
  <si>
    <t>MSKSTQTAETGARHRKIRGRDLNTNDIAAAALPFITRIRRELPGIRAVLLGTRDGIHICSVGLSKAEDAARLSALNSSMYGVSGAQVQLMGHPDAAGGETVVAVTMPDEIIMVVSVDYEPVNNLLLWVSAEDTQLGMVIHHIRNAADELAEWLVDD</t>
  </si>
  <si>
    <t>MSKSTQTAETGARHRKIRGRDLNTNDIAAAALPFITRIRKELPGIRAVLLGTRDGIHICSVGLSKAEDAARLSALNSSMYGVSGAQVQLMGHPDAAGGETVVAVTMPDEIIMVVSVDYEPVNNLLLWVSAEDTQLGMVIHHIRNAADELAEWLVDD</t>
  </si>
  <si>
    <t>GC_00002152</t>
  </si>
  <si>
    <t>PF02245.21</t>
  </si>
  <si>
    <t>Methylpurine-DNA glycosylase (MPG)</t>
  </si>
  <si>
    <t>K03652</t>
  </si>
  <si>
    <t>DNA-3-methyladenine glycosylase [EC:3.2.2.21]</t>
  </si>
  <si>
    <t>COG2094</t>
  </si>
  <si>
    <t>3-methyladenine DNA glycosylase Mpg (Mpg) (PDB:1BNK)</t>
  </si>
  <si>
    <t>KEGG Orthology (KO)&gt;&gt;&gt;09120 Genetic Information Processing&gt;&gt;&gt;09124 Replication and repair&gt;&gt;&gt;03410 Base excision repair [PATH:ko03410]|Enzymes&gt;&gt;&gt;3. Hydrolases&gt;&gt;&gt;3.2  Glycosylases&gt;&gt;&gt;3.2.2  Hydrolysing N-glycosyl compounds&gt;&gt;&gt;3.2.2.21  DNA-3-methyladenine glycosylase II|DNA repair and recombination proteins&gt;&gt;&gt;Eukaryotic type&gt;&gt;&gt;SSBR (single strand breaks repair)&gt;&gt;&gt;BER (base exicision repair)&gt;&gt;&gt;DNA glycosylases|DNA repair and recombination proteins&gt;&gt;&gt;Prokaryotic type&gt;&gt;&gt;SSBR (single strand breaks repair)&gt;&gt;&gt;BER (base exicision repair)&gt;&gt;&gt;DNA glycosylases</t>
  </si>
  <si>
    <t>MIDFTQPADIVAPQLLGTALSHGDVTIRITEVEAYLGATDPAAHTYRGMTNQNRAMFGPPGRLYVYRSYGIHLACNIVCAPEGDGQGCLLRAGEVIHGIPRALDRRGLRPLNRLAQGPGNFGAALGVDLGLNGVSIFSARLGFINRVAEPEIVVGPRIGISKNADAPLRFWIPNHPTVSARKGYPPSLTA</t>
  </si>
  <si>
    <t>MIDFTQPADIVAPQLLGTALSHGDVTIRITEVEAYLGATDPAAHTYRGMTNQNRAMFGPAGRLYVYRSYGIHLACNIVCAPEGDGQGCLLRAGEVIHGIPRALDRRGLRPLYRLAQGPGNFGAALGVDLGLNGVSIFSAQLGFIDRVAEPEIVVGPRIGISKNADAPLRFWIPNHPTVSARKGYPPSLTA</t>
  </si>
  <si>
    <t>GC_00002153</t>
  </si>
  <si>
    <t>MSENNNSRQLTILTIAAVVMSVASLITAVAALYTLKYGNERDEARIARLAAVMEENAAKKTTTTAATSTRKTGASTSASATSSRAATSSSASTSRAQASALARTPEPTARAGQAQGTAAQTQPQQATGQAAGAGQVAAQTRQTTVATEEQLLDAIGAATDPGASQVDRAEWAADGKTARTTLSEIVRMRNTTGQPSLDVTDIVQTGDHATATITVAFPGNWGSWTFPNSGFQYLDGKWKLQKSAVCSLAQASLTKCY</t>
  </si>
  <si>
    <t>MSENNNSRQLTILTIAAVVMSVASLITAVAALYTLKYGNERDEARIARLAAVMEENAAKKTTTTAATSTRKTGASTSASATSSRAATSSSASTSRAQASALACTPEPTARAGQAQGTAAQTQPQQATGQAAGAGQVAAQTRQTTVATEEQLLDAIGAATDPGASQVDRAEWAADGKTARTTLSEIVRMRNTTGQPSLDVTDIVQTGDHATATITVAFPGNWGSWTFPNSGFQYLDGKWKLQKSAVCSLAQASLTKCY</t>
  </si>
  <si>
    <t>GC_00002154</t>
  </si>
  <si>
    <t>MTDTKRTVGNLILFGGAVFLSGWVGLLTDRLTGQPAPTSLNDYLTGGELPRLVLPLLTVVALRAVAGGWQDAGFAPNLRGAGATYLLLILAYPTALAVALIIGFLANAISFSTLHAAFYLEVVARNLPWLLVTSLVGETLWRGYLANQLLKLRLRSWQIYLIVAGVWWVWWLPFWGIMVINNSHIAEFNVTGATMAVATIPMFLCWTVFYTEAFRATRSIWPGVITQVFMNAVILRQFAAEIASPNLIVLGLLPAAFLCVIGLLVGRATTTPAQHNPYVG</t>
  </si>
  <si>
    <t>MTDTKRTVGNLILFGGAVFLSGWVGLLTDRLTGQPAPTSLNDYLTGGELPRLVLPLLTVVALRAVTGGWQDAGFAPNLRGAGATYLLLILACPTALAVALIIGFLANAISFSTLHATFYLEVVARNLPWLLVTSLVGETLWRGYLANQLLKLRLRSWQIYLIVAGVWWVWWLPFWGIMVINNSHIAEFNVTGATMAVATIPMFLCWTVFYTEAFRATRSIWPGVITQVFMNAVILRQFAAEIASPNLIVLGLLPAAFLCVIGLLVGRATTTAAQHNPYVG</t>
  </si>
  <si>
    <t>GC_00002155</t>
  </si>
  <si>
    <t>MPALSDSRGILYPHHLPRFERRPAPADLTHMIRWFWIPRWNLPPGEVSTQKVLPFPATNLVIEPSMIALHGPTTKLSTRTLRGSGWAIGALLRPAGTGALHPGMTCGTTLRIDAPALHRSVVSSMPHDADAAVDTYAQWMRERAADVDEGGQLANRMEDIIAGDRGIVRVEQVAEQLHVSVRSVQRLAKRYVGVSPVAMIRRYRLQEAAQRLREDTHTTIAQIAADLGYADHAHLNADFRQVLGFNPGDYRRTSA</t>
  </si>
  <si>
    <t>MPSLSDSRGILYPHHLPRFERRPAPADLTHMIRWFWIPRWNLPPGEVSTQKVLPFPATNLVIEPSMIALHGPTTKLSTRKLRDSGWAIGALLRPAGTGALHPGMTCGTMLRIDAPALHRSVVSSMPHDADAAVDTYAQWMRERAADVDEGGQLANRMEDIIAGDRGIVRVEQVAEQLHMSVRSVQRLAKRYVGVSPVAMIRRYRLQEAAQRLREDTHTTIAQIAADLGYADHAHLNADFRQVLGFNPGDYRRTSA</t>
  </si>
  <si>
    <t>GC_00002156</t>
  </si>
  <si>
    <t>MGLKINRNELNIEHALGAGGEGTVYDLPKDYSIRGLQGPFVYKEYLDFVKQDGKAIAVQIALDYMVNAYERLSRDEKAYIDQRAAWPLATVVDQDGATGLLMRKVIVQMVDPAAPDSNNQLFPLDRWIQTEKRIRKLGPKQGFKPMTSLGKKRYLQRLFTYFMRIHRLGWVIGDISANNILAYVPDPHRQAKHCAPAFIDTDSYRWQYGGSAMPQKHTGSYIPPEKQALDDQIARLAQNHSNENRIRELKARASVQTQASDVYKAALIAIRLYHEGVNPSEAFLWSTDLNPLRRAFDKDVVRLIENASDENPSNRPTMQELCRGFHKA</t>
  </si>
  <si>
    <t>MGLKINRNELNIEHALGAGGEGTVYDLPKDYSIRGLQGPFVYKEYLDFVKQDGKAIAVQIALDYMVNAYERLSRDEKAYIDQRAAWPLATVVDQDGATGLLMRKVIVQMVDPTAPDSNNQLFPLDRWIQTEKRIRKLGPEQGFKPMTSLGKKRYLQRLFTYFMRIHRLGWVIGDISANNILAYVPDPHRQAKHCAPAFIDTDSYRWQYGGSAMPQKHTGSYIPPEKQALDDQIARLAQNHSNENRIRELKARASVQTQASDVYKAALIAIRLYHEGVNPSEAFLWSTDLNPLRRAFDKDVVRLIENASDENPSNRPTMQELCRGFHKA</t>
  </si>
  <si>
    <t>GC_00002157</t>
  </si>
  <si>
    <t>MRRTVAVVCAVLLSGFALQGCGAKQEEIADTSWQVVGVYTTPNYPATVPDAVAGAVAVNFGATTISGFTGCAPLQGTVSFTQAGKPANSVDGDALHVEKVSYRQVDEEQCTGHIRFVHDAIVQFFEHHDFAVSRPTGGELLLTVSGSELYDDAPALRLVH</t>
  </si>
  <si>
    <t>MRRTVAVVCAVLLSGFALQGCGAKQEEIADTSWQVVGVYTTPNYPATVPDAVAGAVAVNFGATTISGFTGCAPLQGTVSFTQAGKPANSVDGDALHVEKVSYRQVDEDQCTGHIRFVHDAIVQFFEHHDFAVSRPTGGELLLTVSGSELYDDAPALRLVH</t>
  </si>
  <si>
    <t>GC_00002158</t>
  </si>
  <si>
    <t>PF16555.11</t>
  </si>
  <si>
    <t>Gram-positive pilin subunit D1, N-terminal domain</t>
  </si>
  <si>
    <t>MRTSKFRCAALLAASAIALSGSLAPSVAFAQNKPSVTSPTSTTVDLEHEVSLTINKYKGELGQTTEPFPGVGFKIEKVYINNPLNTAAGWKEASQLTAETAQIDGSWPAITPQTNGSGQINISTTNLNGAKDFKVGVYKITEQQQTGYTVAKPFLVTLPFVDEGVWKYEQTVKPKNQDVQPTKTVVDEGKTLGDDLEYTIEAPVPADKLSRFAIKDDLPSYLGFNEASGPQVKLINKTGDVNTLIAGTDFVLTKPANGQSGQVSIDFQSDGQRQALENYRQNEPGLKVQIKFTAKLLSVPDNGKVDNDAVVDLPNNVSVTTNKDGNPGASSHFGQLVITKKGEDNARLTDEQRTMTGAEFQLYRCTEESGKWTVKGSPINGSSEPTTNSKTNTFVTPRGANLTTSVTVYGVQHEGRVNNADVTDELCVVETKAPSGFALNPEPQPVVNANPKVGNNDFNMTAEVMDYSDSAIGQLPATGEKGVFALMAAGLALLIGGVWARLRHNRKQAHGA</t>
  </si>
  <si>
    <t>MRTSKFRCAALLAASAIALSGSLAPSVAFAQNKPSVTSPTSTTVDLEHEVSLTINKYKGELGQTTEPFPGVGFKIEKVYINNPLNTAAGWKEASQLTAETAQIDGSWPAITPQTDTSGQINISTNNLNGAKDFKVGVYKITEQQQTGYTVAKPFLVTLPFVDEGVWKYEQTVKPKNQDVQPSKTVVDEGKTLGDDLEYTIEAPVPADKLSRFAIKDDLAYYLGFNEASGPQVKLINKTGDVTTLIAGTDFVLTKPANGQSGQVSIDFQSDGQRQALENYRQNEPGLKVQIKFTAKLLSVPDNGKVDNDAVVDLPNNVSVTTNKDGNPGASSHFGQLVITKKGEDNARLTDEQRTMTGAEFQLYRCTEESGKWTVKGSPINGSSDQNTNSKTNTFVTPRGANLTTSVTVYGVQHEGRVNNADVTDELCVVETKAPSGFALNPEPQPVANANPKVGNNDFNMTAEVMDYSDSAIGQLPATGEKGVFALMAAGLALLIGGVWARLRHNRKQAHGA</t>
  </si>
  <si>
    <t>GC_00002159</t>
  </si>
  <si>
    <t>MTNSVQTVQYPYRTFTRPKKDRVVAGVAAGLSQQLRVDVLLVRLVLVFFALLSGAGLLFYACLWIWTKPGDASDGNAYISQDDVRIRTKHTLNRAGYLVLVVVAIAGALLSFSSLTGFAGANVVPFGVVGVGALVVWTTYDRGLDRLWNGNNALLIVAGVLLMSIGVVLVTINWESQKVFGSTLVAVVLTLLGVAALGLPLWLRTWDALTKERSEIAAAAEREEIASRLHDSVLQTLALIQKRAEEPSEVARLARSQERELRQWLFGSQDNLSGGASTVFKAVELACGEVEDLFGLRIAPVLVGEDHPLDDHTQAAVLASREAMVNAAKHAGVAEINVYAESLGEHIQIYVRDRGAGFNPDEVGEDRHGLRESIYGRVERAGGTVEVKTGVGQGTEIVVDMPV</t>
  </si>
  <si>
    <t>MTNSVQTVQYPYRTFTRPKKDRVVAGVAAGLSQQLRVDVLLVRLVLVFFALLSGAGLLFYACLWIWTKPGDASDGNAYISQDDVRIRTKHTLNRAGYLVLVVVAIAGALLSFSSLTGFAGANVVPFGVVGVGALVVWTTYDRGLDRLWNGNNALLIVAGVLLMGIGVVLVTINWESQKVFGSTLVAVVLTLLGVAALGLPLWLRTWDALTKERSEIAAAAEREEIASRLHDSVLQTLALIQKRAEEPSEVARLARSQERELRQWLFGSQDNLSGGASTVFKAVELACGEVEDLFGLRIAPVLVGEDHPLDDHTQAAVLASREAMVNAAKHAGVAEINVYAESLGEHIQIYVRDRGAGFNPDEVGEDRHGLRESIYGRVERAGGTVEVKTGVGQGTEIVVDMPV</t>
  </si>
  <si>
    <t>GC_00002160</t>
  </si>
  <si>
    <t>K00919</t>
  </si>
  <si>
    <t>4-diphosphocytidyl-2-C-methyl-D-erythritol kinase [EC:2.7.1.148]</t>
  </si>
  <si>
    <t>COG1947</t>
  </si>
  <si>
    <t>4-diphosphocytidyl-2C-methyl-D-erythritol kinase (IspE) (PDB:1OJ4)</t>
  </si>
  <si>
    <t>MMREVTAIAHGKVNLHLGVGALRDDGYHELVSIFQSLELRDVVTLTEASPNTGVAGRVVGLECATAGVPTDNTNLAWRAVDIVFGRSTQQPPAVRITIAKGIPTAGGMAGGSADAAAALIAANKILDNEFELGELLDIAADLGSDVPFTLVGGTALGTGRGEHLVPTLSKGTYHWALAFSRTGLATPAVFRKLDELDRTPHLDVTALSRALRTGNPHQVAPLLHNDMQAAALSLQPQLRTTLNTGMAAGALAGIVSGSGPTCAFLCEDARAAREVAAELSLSGNTAVTSGPARGAHLKGE</t>
  </si>
  <si>
    <t>MMREVTAIAHGKVNLHLGVGALRDDGYHELVSIFQSLELRDVVTLTEASPNTGVAGRVVELECATAGVPTDNTNLAWRAVDIVFGRSTQQPPAVRITLAKGIPTAGGMAGGSADAAAALIAANKILDNEFELGELLDIAADLGSDVPFTLVGGTALGTGRGEHLVPTLSKGTYHWALAFSRTGLATPAVFRKLDELDRTPHLDVTALSRALRTGNPHQVAPLLHNDMQAAALSLQPQLRTTLNTGMAAGALAGIVSGSGPTCAFLCEDARAAREVAAELSLSGNTAVTSGPARGAHLKGE</t>
  </si>
  <si>
    <t>GC_00002161</t>
  </si>
  <si>
    <t>c-arg_c-dur</t>
  </si>
  <si>
    <t>MPQFQAP-LNPVDIERNIRTLSSRIAKGVDVVDEAYRAFLDSDRLFEVAYARAYLGADGPVEDRKQAARVETMGEREARDVAEAAFKYADRRAKALELELRALQSIGASVRSMYSVAGRGE</t>
  </si>
  <si>
    <t>GC_00002162</t>
  </si>
  <si>
    <t>MSEKSQSLAGPASQYPPDPDDASSAHSQTPSSPSAAETTQFPRVEDEEYDAAGADDSFADDSQSVERSYHTDSFERVSDSSAMTVPPSQPTQPPQQGPFSQQPYPQEPNVQQYSPDYQQPQYQPQYQQAQMAPPQSSNSVHGLLIALLVVMTILLLICVPVVLHLTGVINIPFLGSNTSNSASENQNRVVPDNQGRTTAPTKVNRPTSPALPAGAVPANASAWSNSPGGKFENAYVGSSVTSSEFASEVQKSFLIQYQLSKSTTQTLHVVSPVTGQLYEMNCTDNSQYVTCTGGINAVVYIT</t>
  </si>
  <si>
    <t>GC_00002163</t>
  </si>
  <si>
    <t>MAFYHRTFSSELIAAINSASAQLGPFELTRQFLYFYMSEQGIFDDGLWECVHDLSESSFSDADFDARLLQVYDEYGPD-YSDESDLDPRKEPERWNQVATGVTVMDSLLCGVRDSIKNLPFHACYNVKDYEWSYDRIRESIESLDYASRFQHGLPPELVAEIDAATMKLGPLGFTKKFLHNHLLDHGIRSGEVWDCVAELSESSCRDSSYIGRLERLSEKYDEDYCSGIDYEPEQLKTLVARMSVIDSILHGLNKPIAELPYHACYAILDSRWDFGKLLEKVKSLE</t>
  </si>
  <si>
    <t>MAFYDRVFSSELIAVIHAASAQMGPFELTRQLLYFYMSQRGIFDDEMWECVHELSESSFSDANYSDRLDQLYEKYAPEFYSEDRAIDLRKEPERWNEADVAVTVADGLSYGLRDPVRYLPFHICYNAKDYQWGFDQIQETIENLAYASRFQHGLPPELVAEIDAATAKFGPLGFTKKFLFSHLLDHGIRSGEVWDCVAELSESSYRDSSYIGRLERLSEKYDEDYCSGIDYEPEQLKTLVARMSMIDGILRDLGSPIAELPYHACYAMLDSRWDFDKLLEKVKSLE</t>
  </si>
  <si>
    <t>GC_00002164</t>
  </si>
  <si>
    <t>MSSVFVRLSIFWENQQLDVSLPAQRPVVDFIDEIIQLFHPVDESHTKPGESVTDVFTWALSSPINGRINPDISLSESGIIDGQRLYLTRASDAAQAPFVDDILSEIRTTIDDNQWRWSSAIRSNGLYCCGLTLLGLLFLILLPRTLTPTSQTSPWVFAPIGIITLASIIIAASRPHPWLRWAGIIVPIAAAAATWPATTLIPNATTPARITWTLAATSLGGIIAAFLAGRRRPNQQGQGADSRNDTAGVVAFTILTIVLTGLGVAFLFPVRPLAVAAWGAWAPILLLLIAPTVALNATGLPTMLRRNDTGDPVERTKIHTTARRSEAFSRGLVWAATALALLDIITLTGSPYWQQAIPAACLALILMLRSHGFADARIIAPLLTAGGVGIALTAAALTHFGRHHWAKPPAPWWQADNYLVWVVFASTLIVIALLFISINNLSLDELQEARLSKIISTIDVLISLTFVPGILVAQGVYTYFWAIM</t>
  </si>
  <si>
    <t>MSSVFVRLSIFWENQQLDVSLPAQRPVVDFIDEIIQLFHPVTESHAKPGESVTDVFTWALSSPINGRINPDISLSESGIIDGQRLYLTRASDAAQAPFVDDILSEIRTTIDDNQWRWSSAIRSNGLYCCGLTLLGLLFLILLPRTLTPTSQTSPWVFAPIGIITLASIIIAASRAHPWLRWAGIIVPIAAAATTWPATTLIPNATTPARITWTLAATSLGGIIAAFLAGRRRPNQQGQGADSRNDTAGVVAFTILTVVLTGLGVAFLFPVRPLAVAAWGAWAPILLLLIAPTVALNATGLPTMLRRNDTGDPVERTKIHTTARRSEAFSRGLVWAATALALLDIITLVGSPYWQQAIPAACLALILMLRSHGFADARIIAPLLTAGGVGIALTAAALTHFGQHHWAKPPTPWWQADNYLVWVVFASTLIVIALLFISINNLSLDELQEARLSKIISTIDVLISLTFVPGILVAQGVYTYFWAIM</t>
  </si>
  <si>
    <t>GC_00002165</t>
  </si>
  <si>
    <t>MVYLDETFRREGDHNEHGFYSVCGVVLQGQHIFTMQDDLREIVGGNYWHATEALRDGRTDVFLDMLEHMRSHPTMNIIVATTNVDGSDEQAMEKARHQVLSELLIDLTNADKSFRGAILEKREQSRKDNSDRALVKKLQNSKLLSPAMAFKLISPQIDRNLWLPDTAAMAYRRTITHPYNETSQWFGDYLQKFSHVTVLNENTNPDPRVLPIMSERMKKIQNDPQAPERYNQAPEAKGPLGFLMQQQAKMPLAQLIEQQLNRATPDNAQSETSSNNELGNTDHQSPTL</t>
  </si>
  <si>
    <t>GC_00002166</t>
  </si>
  <si>
    <t>COG0210|COG2887</t>
  </si>
  <si>
    <t>Superfamily I DNA or RNA helicase (UvrD) (PDB:6PPR)|RecB family exonuclease (Slr0479)</t>
  </si>
  <si>
    <t>MARNPISPALLSRWLGQEHLPTEQQADVIGDQPGPLLVVAGAGAGKTETMAARVVWLVANGFATPDQILGLTFTKKAAQQLSQRIRARLATLAGIPRLADLDPTGELQTNLQAITPTVSTYDSYAGRIVGEYGLLLPVEPSSRMITTAELYQIAWDVVGNYTGHVDATVTHGTVTDRLISLVSEMDGHMVSAADIEAETEPFVRLFDELPKGPRQRDKLNAAMLKIRDTQLARLDYLPLVRQLKEEMAERGVITFGEQMSLAATVAQRHPVVGRSQRQRFRVVMLDEYQDTSHAQRVLLSSLFGAPTRAGAPDTAPDVTVTAVGDPMQAIYGWRGATSANLERFVTDFPQHAETPTPAPKKELTTSWRNPGLVLDCANTVSEQVLGPAGSPTRTVQPLTPRPGAGDGEVALGWFPTRDEERAWVARCLADEFHAYRERGEKFTGAVLVRKNADSGPIAAELRALGIPVEIVGLSGLLDIPEVADMVACATILISPQNTAAALRLLCGPHCNLGIADLQALYKRSRTLAARVTTPEDTTEQPTLFDIPADDPDATNPTDPLEHLKHIIDDATSTVPEAAVGLGDALGDLGEPEAYSPEGYRRLSELSAELRHLRTRSLTQPLPDLFADIERVLGIRTEVLARENPQADGAAGTVHLDRFHEEVAQFSTIPGSTLASLLDYFRLARTHDRGLAPGEVRVKGDCVQILTVHKAKGLEWKVVAVLHADNVTYADTTTPGQQLKVPTWLSDVTQIPSTLRGDAQEQEGDMVGSPVLDVSEVEDRKQFEVAMNEHKAAFKEAAIEEASRLFYVALTRAEKTLCVTASESNDKGGKAKPYSMLDLLRKRQPDSVEQWWDESNADAELAEAPDVSPATGVFPQDFLGERRPAVEQGAELVRRAMQQLPTPSADNDVEALWEEEVTALIEEHERMKAPVVDVPLGQELTASDVVSIARNQEQYARRLRRPVPFKPNAYAKRGTALHQWLEDYFGASSLLDEDELPGFGEDEDPQGAELERLKKAFLASQWADRTPTHVEQPFEIVVGGRVLRGRMDAVFHEGDDPEAGWMVVDWKTGRPPEGQEMRAAEIQLAVYRVAWAQLLSHTLGRSVNPDAVRAAFHYIASDRTFEPSRLPNAEELADLLDIKAPQQTAQPSASGPATPDSPQTQTQRRNDA</t>
  </si>
  <si>
    <t>MARNPISPALLSRWLGQEHLPTEQQADVIGDQPGPLLVVAGAGAGKTETMAARVVWLVANGFATPDQILGLTFTKKAAQQLSQRIRARLATLAGIPRLADLDPTGELQTSLQAITPAVSTYDSYAGRIVGEYGLLLPVEPSSRMITTAELYQIAWDVVGNYTGHVDATVTHGTVTDRLISLVSEMDGHMVSAADIEAETEPFVRLFDELPKGPRQRDKLNAAMLKIRDTQLARLDYLPLVRQLKEEMAERGVITFGEQMSLAATVAQWHPVVGRSQRQRFRVVMLDEYQDTSHAQRVLLSSLFGASTQAGAPDTAPDVTVTAVGDPMQAIYGWRGATSANLERFVTDFPQHAETPTPAPKKELTTSWRNPGLVLDCANTVSEQVLGPAGSPTRTVQPLTPRPGAGDGEVALGWFPTRDEERTWVARRLADEFHAYRERGEKFTGAVLVRKNADSGPIAAELRALGIPVEIVGLSGLLDIPEVADMVACATILISPQNTAAALRLLCGPHCNLGIADLQALYKRSRTLAARVTTPEDTTEQPTLFDIPADDPDATNPTDPLEHLQHIIDDATSTVPEAAVGLGDALGDLGEPEAYSPEGYRRLSELSAELRHLRTRSLAQPLPDLFADIERVLGIRTEVLARENPQADGAAGTVHLDRFHEEVAQFSTIPGSTLASLLDYFRLARTHDRGLAPGEVRVKGDCVQILTVHKAKGLEWKVVAVLHADNVTYADTTTPGQQLKVPTWLSDVTQIPSTLRGDAQEQEGDMVGSPVLDVSEVEDRKQFEVAMNEHKAAFKEAAIEEASRLFYVALTRAEKTLCVTASESNDKGGKAKPYSMLDLLRKRQPDSVEQWWDESNADAELAEAPDVSPATGVFPQDFLGERRPAVEQGAELVRRAMQQLPPPSVDNDVEALWEEEVTALIEEHERMKAPVVDVPLGQELTASDVVSIARNQEQYARRLRRPVPFKPNAYAKRGTALHQWLEDYFGASSLLDEDELPGFGEDEDPQGAELERLKKAFLASQWADRTPTHVEQPFEIVVGGRVLRGRMDAVFHEGDDPEAGWMVVDWKTGRPPEGQEMRAAEIQLAVYRVAWAQLLSHTLGRSVNPDAVRAAFHYIASDRTFEPSRLPNAEELADLLDIKAPQQTAQPSASGPATPDSPQTQTQRRNDA</t>
  </si>
  <si>
    <t>GC_00002167</t>
  </si>
  <si>
    <t>MMSGKKHKPVWGATLDNMDLSSEELLVQVATGDKRAFGELYDRLASRVMGICMQVLRNRAIAEEITQEVFVEIWRTAPMFSPERGSAQGV------------------------------------------------------------------------GAAPGPLPRH--------------------------------</t>
  </si>
  <si>
    <t>GC_00002168</t>
  </si>
  <si>
    <t>MPRPNPFSRKPNDDQSPETMMFPTDDTQMMDEPVPANADDADSTIIMPRVDDPPYHPQQMPTRRPQQQQPQQQPQQMQPQETQQLRRPEPPARPARQSETHPQQQMPPTPQSAPTQYIPAQGEEYDNGYDDGYDDYDDGYQNSGYADDGYQDDYDDRDRYNRGNRGRRGGRDNRDYDDGYDDGYDDEYYGGYQEPPAPRPWQRILALVAIFVGVAGLFGQFITGFSFGLTLIALALLSVGIWWFVSKPGARRWLVAGPAAVLAILLGAILYFASESSSTSSTTTSTTPATPAPAPDMGANNTPAAPDTNTQNQQQQAPAPAPAPVEVPNVPQTTVAPPAAPTQNNDLLQGLNDLLQQGGGGQPTNNAPQQQTPEQQQTPGNGQQQQQAPMIMPSLPGAENNPLR</t>
  </si>
  <si>
    <t>MPRPNPFSRKPNDDQSPETMMFPTDDTQMMDEPVPANADDADSTIIMPRVDDPPYHPQQMPTRRPQQQQPQQ-----QPQETQQLRRPEP---PARQSEAHPQQQMPPTPQSAPTQYIPAQGEEYDDGYDDGYDDYDNGYQNSGYADDGYQDDYDDRDRYSRGNRGRRGGRDNRDYDDGYDDSYDDEYYGGYQEPPAPRPWQRILALVAIFVGVAGLFGQFITGFSFGLTLIALALLSVGIWWFVSKPGARRWLVAGPAAVLAILLGAILYFASESSSTSSTTTSTTPATPTPAPDMGANNTPAAPDANTQNQQQQAPAPAPAPVEVPNVPQTTVAPPAAPTQNNDLLQGLNDLLQQGGGGQPTNNAPQQQTPEQQQTPGNGQQQQQAPMIMPSLPGAENNPLR</t>
  </si>
  <si>
    <t>GC_00002169</t>
  </si>
  <si>
    <t>PF13482.12</t>
  </si>
  <si>
    <t>RNase_H superfamily</t>
  </si>
  <si>
    <t>COG2251</t>
  </si>
  <si>
    <t>Predicted nuclease, RecB family</t>
  </si>
  <si>
    <t>MELHRKDEQLQPTDLVGCRYRLVQRRRLPGIAPTPASQQRAERTEEARQDVFALLPRDVTRVDARPEHAEVDTLEGLVNEASIITGAELTGPGWRAPIDALVRHSDGTYTPVAVSNHRVARPLTEGAKSASALVVDTRNLGLAEPREANYKLRHHAVDSYRLALAARALNNLGVGSGFGAEIGQDREHAFLVRIADIMPILDNALAQPTPDHPRRVKECRSCRYWFDCSTQLEANDDISLLIPGDRADHYRERGITTVQELIDARLGDASILAAAWRAHIPALRRHPTVTAPRFDEEIDIDLEAYLDQGTYLWGTWDGHTYRPFVTWDGLGGDAEARNFASFWTWLMGRRADAARHGRSFAAFCYSAHGENHWMLSSARRFGGQSYTNSDGTTVTVPSETEVKEFISSGQWLDVFRLVHNQLAGPRGLGLKIIAPLAGFHWDEADLDGEASIEAYRVAAGLAAGRDVDKQEMRRRLLSYNGDDCRGTAAVRAWLAAGAPGTPEMNEL</t>
  </si>
  <si>
    <t>MELHRKDEQLQPTDLVGCRYRLVQRRRLPGIAPTPASQQRAERTEEARQDVFALLPRDVTRVDARPEHAEVDTLEGLVNEASIITGAELTGPGWRAPIDALVRHSDGTYTPVAVSNHRVARPLAEGAKSASALVVDTRNLGLAEPCEANYKLRHHAVDSYRLALAARALNNLGVGSGFGAEIGQDREHAFLVRIADIMPILDNALAQPTPDHPRRVKECRSCRYWFDCSTQLEANDDISLLIPGDRADHYRERGITTVQELIDARLGDASILAAAWRAHIPALRRHPTVTAPRFDEEIDIDLEAYLDQGTYLWGTWDGHTYRPFVTWDGLGGDAEARNFASFWTWLMGRRADAARHGRSFAAFCYSAHGENHWMLSSARRFGGQSYTNSDGTTVTVPSETEVKEFISSGQWLDVFRLVHNQLAGPRGLGLKIIAPLAGFHWDEADLDGEASIEAYRVAAGLAAGRDVDKQEMRRRLLSYNGDDCRGTAAVRAWLAAGAPGTPEMNEL</t>
  </si>
  <si>
    <t>GC_00002170</t>
  </si>
  <si>
    <t>MLIDPHELEICLKVLDQATRMVADDPQSNNDHTVNALLKAGKKLRKARAIATGEAARAQRRADDAAIIAATVTGHPDRIDDGAAELPQAIASSVGILHRSQSCYVCKKRYTQVDSFYHLLCPSCARTNHFHRHAGTNLHGRRALLTGGRAKIGMHIALKLLRDGANLTITTRFPRDAVRRFSATSDSADWLDRLHIVGIDLRNPAHVAALADDIATEPLDIVINNAAQTIRHSPGAYSALVDAESTPLRGIERDVHMRILGDSSIPSAIEPATIGRELLANITVDAGGLLPERVGHNSWVAKVGEIDPIEVLEVNLCNVIAPFILINRLRPALEASPARRKYIVNVSAMEGIFHRDYKGPGHPHTNMAKAALNMLTRTSAEELFKDRTLMTAVDTGWITDERPHVTKERFARKGFHTPLDLIDGAARVYHP------------------------</t>
  </si>
  <si>
    <t>MLIDPHELEICLKVLDQATRMVADDPQSNNDHTVNALLKAGKKLRKARAIATGEAARAQRRADDAAIIAATVTGHPDRIDDGAAELPQAIASSVGILHRSQSCYVCKKRYTQVDSFYHLLCPSCARTNHFHRHAGTNLHGRRALLTGGRAKIGMHIALKLLRDGANLTITTRFPRDAVRRFSATSDSADWLDRLHIVGIDLRNPAHVAALADDIATEPLDIVINNAAQTIRHSPGAYSALVDAESTPLRGIERDVHMRILGDSSIPSAIEPATIGRELLANITVDAGGLLPERVGHNSWVAKVGEIDPIEVLEVNLCNVIAPFILINRLRPALEASPARRKYIVNVSAMEGIFHRDYKGPGHPHTNMAKAALNMLTRTSAEELFKDRILMTAVDTGWITDERPHVAKERFARKGFHTPLDLIDGAARVYHPIVDGENGIDLYGCFLKDYAPAAYW</t>
  </si>
  <si>
    <t>GC_00002171</t>
  </si>
  <si>
    <t>PF01812.26</t>
  </si>
  <si>
    <t>5-formyltetrahydrofolate cyclo-ligase family</t>
  </si>
  <si>
    <t>K01934</t>
  </si>
  <si>
    <t>5-formyltetrahydrofolate cyclo-ligase [EC:6.3.3.2]</t>
  </si>
  <si>
    <t>COG0212</t>
  </si>
  <si>
    <t>5-formyltetrahydrofolate cyclo-ligase (FAU1) (PDB:1SBQ)</t>
  </si>
  <si>
    <t>KEGG Orthology (KO)&gt;&gt;&gt;09100 Metabolism&gt;&gt;&gt;09108 Metabolism of cofactors and vitamins&gt;&gt;&gt;00670 One carbon pool by folate [PATH:ko00670]|Enzymes&gt;&gt;&gt;6. Ligases&gt;&gt;&gt;6.3  Forming carbon-nitrogen bonds&gt;&gt;&gt;6.3.3  Cyclo-ligases&gt;&gt;&gt;6.3.3.2  5-formyltetrahydrofolate cyclo-ligase</t>
  </si>
  <si>
    <t>MPHTPHSTDKKAQLRHYLLNQRANHPHRLRDDAAIIAHLRTLLATLHSDSERFLGTNKVSQITPKITSDTSPCETSDRTADSSRVAAYVPHGSEPGGDTLLTTLMDYTSELYLPCVGPAGQMTWARHDGTLPLRTGRYGIPEPSSHPDPTFTLEDCTLIVAPAVACSPTGQRLGKGGGYYDRALAPLYAASHRPVVSTLLYNNEVRDDVPTEPHDMPVDVIICPQGIIWTNH</t>
  </si>
  <si>
    <t>MPHTPHSTDKKAQLRHYLLNQRANHPHRLRDDAAIIAHLRPLLATLHSDGDRFLGTNKVSQITPKITSDTSPCETSDRTADSYRVAAYVPHGSEPGGDTLLAALMDYTSELYLPCAGPAGQMTWTRHDGTQPLRTGRYGIPEPSSDPDPTFTLEGCALIIAPAVACSPTGQRLGRGGGYYDRALAPLYTASHRPVVSTLLYNNEVRDDVPAEPHDMPVDVIICPQGIIWTNH</t>
  </si>
  <si>
    <t>GC_00002172</t>
  </si>
  <si>
    <t>MTASQDNQSATTVDSPHRQESAPTPAGNPLLDVAYIAVFAALIIALAFVAIPVGAAGVPIVLQNAAVILAGLILGRTRGFLTALLFLGLGLIGLPVLAGGKTTLAALGGPTIGYLVGYLVSATVAGSIAYLAPRGNRKALTIYLALGAIAALACQYLCGSVGMMFRADMSFGQALAVNVPFLIPDLIKAACAVAIASGVHLSLPDIRRKAFLK</t>
  </si>
  <si>
    <t>MTASQDNQSATTADSPHRQESAPTPAGNPLLDVAYIAVFAALIIALAFVAIPVGAAGVPIVLQNAAVILAGLILGRTRGFLTALLFLGLGLIGLPVLAGGKTTLAALGGPTIGYLVGYLVSATVAGSIAYLAPRGNRKALTIYLALGAIAALACQYLCGSVGMMFRADMSFGQALAVNVPFLIPDLIKATCAVAIASGVHLSLPDIRRKAFLK</t>
  </si>
  <si>
    <t>GC_00002173</t>
  </si>
  <si>
    <t>MPAKVNIQAIVTFLLISFTLAWLLTLLLANSDWLHNPWFAPLMCLMVCSPGIAALTTMGIVEKRYVTHIRQLRALGFLGWASPLKFLACLIIAPVSFMVFVFGSLYLAVTFGLLDVTASALTSALKSALASTYSPYGWLPYLILAVGSELGWRGWLLPNLLPLGRVPAIVVSGIIWGLSYSPLIYLGYLYHGISMGVSLVAICGMGIVVGGVLAWLRLYSDSIWPPVLAHTVLTCANSAVLIAVPMLTGDQPTDMVQFTIFGWSGWILPGLLLAVLLGTGRFPAQPPSQATNLPKNRQQHPTRSPQSVPAATAGGYRGR</t>
  </si>
  <si>
    <t>MPAKVNIQAIVTFLLISFTLAWLLTLLLANSDWLHNPWFAPLMCLMVCSPGIAALTTMGIVEKRYVTHIRQLRALGFLGWASPLKFLACLIIAPVSFMVFVFGSLYLAVTFGLLDVTASALTSALKSALASTYSPYGWLPYLILAVGSELGWRGWLLPNLLPLRRVPAIVVSGIIWGLSYSPLIYLGYLYHGISMGVSLVAICGMGIVVGGVLAWLRLYSDSIWPPVLAHTVLTCANSAVLIAVPMLTGDQPTDMVQFTIFGWSGWILPGLLLAVLLGTGRFPAQPPSQATNLPKNRQQYPTRSPQSVPAATAGGYRGR</t>
  </si>
  <si>
    <t>GC_00002174</t>
  </si>
  <si>
    <t>PF01774.22</t>
  </si>
  <si>
    <t>UreD urease accessory protein</t>
  </si>
  <si>
    <t>K03190</t>
  </si>
  <si>
    <t>COG0829</t>
  </si>
  <si>
    <t>Urease accessory protein UreH (UreH) (PDB:3SF5)</t>
  </si>
  <si>
    <t>MTAEQPTGELSLRIERRRDANGGDGSSVATSQFHRGALRVLRPYYADDSGQATYTVINPGGAYFGGDTYQLTLDVADNAALRVTTQSATKVYKTPQGPAHQTMHITLGESARLDYVPDQLIVYENGSYRQDTTVDMQPSSSLTMSEIITPGWSPSGETFTYTELRMRTEIRVCSELFAIDQLRILPAEESVTGIGFMEGFTHIGQLIFVSRMVAQPAVADALAELVRTSDTHSGLTHAGRPLPLIDDAPVCLVIRSLAHSTEAIARLHEQATDIVKDA</t>
  </si>
  <si>
    <t>MTAEQPTGELSLRIERRRDANGGDGSSVATSQFHRGALRVLRPYYADDSGQATYTVINPGGAYFGGDTYQLTLDVADNAALRVTTQSATKVYKTPQGPAHQTMHITLGESARLDYVPDQLIVYENGSYRQDTTVDMQPSSSLTMSEIITPGWSPSGERFTYTELRMRTEIRVCSELFAIDQLRILPAEESVTGIGFMEGFTHIGQLIFVSRMVAQPAVADALAELVRTSDTHSGLTHAGRPLPLIDDAPVCLVIRSLAHSTEAIARLHEQATDIVKDA</t>
  </si>
  <si>
    <t>GC_00002175</t>
  </si>
  <si>
    <t>MNTREDERHLIAQLAGKSLYHRLNNLPKSLTELSDSELVTAYLDGNTAAFTVIVSRYYRLMLWVAHKYTDRIIDAEDLLQDALLRAAKGLHVYRGECSLGAWLHRLVANAGYDYLQKEPAAHPAALDDDNQRRTIEGMLAHNPVDMEITALEIRRAINYLTGISAELGEVFILMDLKGYNQHEAARITGVSGSTVKTRRFQARTYLRDTLAA</t>
  </si>
  <si>
    <t>MNTREDERHLIAQLAGKSLYHRLNHLPKSLIELSDSELVTAYLDGNTAAFTVIVSRYYRLMLWVAHKYTDRIIDAEDLLQEALLRAAKGLHMYRGECSLGAWLHRLVANAGYDYLQKEPTAHPAALDDDNQRRTIEGMLAHNPVDMEITALEIRRAINYLTGISAELGEVFILMDLKGYNQHEAARITGVSGSTVKTRRFQARTYLRDTLAA</t>
  </si>
  <si>
    <t>GC_00002176</t>
  </si>
  <si>
    <t>PF04505.17</t>
  </si>
  <si>
    <t>Interferon-induced transmembrane protein</t>
  </si>
  <si>
    <t>MTNGYQPGFDSNYGTGAASLPLQGASRQAPMSGKPNDYLVLSVLSCIFGFFPLALAAILLSSRVDVLWAVGDYNGALDTAQRAKKFGIWAIIIQVIVAVIAFIAFLSWFAFLMSMIHSTLQGISNIPGATSIPSGSPMPLGY</t>
  </si>
  <si>
    <t>MTNSYQPGFDSNYGTGATSLPLQGASRQAPMSGKPNDYLVLSVLSCIFGFFPLALAAILLSSRVDVLWAVGDYNGALDTAQRAKKFGIWAIIIQVIVAVIAFIAFLSWFAFLMSMIHSTLQGISNIPGATSIPSGSPMPLGY</t>
  </si>
  <si>
    <t>GC_00002177</t>
  </si>
  <si>
    <t>MPAAPAPAPTSEPAPNITRVLLKLHYLLWTRSLKSNKSAMIMNIFIALYALIGLTAFGITMGVDLSAGRYASLAGAVGIGTAAYIMIAIMIPSGEGQLSPESFSALPLTVRQLMPSFFLVQVLQIRGFMAVACTTVTAIIAAVAIAGSAGIIAVVVLVVAMVLSLLLVIVVAESLAMAMSGSANQSSSSKNKQIYVAFGAFIVGWLAYSSIFNGSDNSLDLVRYGNILQWTPLASAAGFAAFAAAGQWLSALICLLITVATIAAGGYVWWHFTHKRLVAPLGTGGVTNAGRRRKARAAGQQSLLLPGLPYTPLAAVYSRALRYLIRDARQTIMMVMPLVLLLYFAVMGFRDNPFMFYMLPIIIGLLSGTNAVNDYGFDGPSNWLHLSSGVAAKDVVRGRHWASITPAILINLLSYILVLVLNFSHVMVLCVIAGMGAAITACGISLFLSVRNPYPTAKPGTNPWQDRSGFSVSAFISAFAGIFLAWIPMLPGILGLTYGYNNDMIAVEIIGVILILAVPIAAYLLVMRYAIRYLDNHYPEIFAKVRSYV</t>
  </si>
  <si>
    <t>MPAAPAPAPSSAPAPNITRVLLKLHYLLWTRSLKSNKSAMIMNIFIALYALIGLTVFGITMGVDLSAGRYASLAGAVGIGAAAYIMIAIMIPSGEGQLSPESFSALPLTVRQLMPSFFLVQVLQIRGFMAVLCTTVTAIIAAVAIAGSAGIIAVVVLVVAMVLSLLLVIVVAESLAMAMSGSANQSSSSKNKQIYVAFGAFIVAWLAYSSIFNGSDNSLDLVRYGNILQWTPLASAAGFAAFAAAGQWLSALICLLITVATIAAGGYVWWHFTHKRLVAPLGTGGVAGAGRRRKARAAGQQSLLLPGLPYTPLVAVYSRALRYLIRDARQTIMMVMPLVLLFYFAVMGFRDNPFMFYVLPIIIGLLSGTNAVNDYGFDGPSNWLHLSSGVAAKDVVRGRHWASITPAILINLVSYILVLVLNFSHVMVLCVIAGMGAAITACGISLFLSVRNPYPTAKPGTNPWQDRSGFSVSAFISAFAGIFLAWIPMLPGILGLTYGYNNDMIAVEIIGVILILAVPIAAYLLVMRYAIRYLDNHYPEIFAKVRSYV</t>
  </si>
  <si>
    <t>GC_00002178</t>
  </si>
  <si>
    <t>MSQTFNSDYRISDTERQHAMDELGKHFASGRLDMNEYDTRLTSIAEATMKSELTQLFDDLPLAPSTPANVPATVSEPIDLMETPAMPSVEAMQLYRKGRNMKIGIVLATFVASFMMLGMSEFLGNFMLGVAFIVAIALFLMKLGPASWNYPNPRKIMREQQRGMAMAQAKQVMQRQGL</t>
  </si>
  <si>
    <t>MSQTFNSDYRISDTERQHAMDELGKHFASGRLDMNEYDTRLTSIAEATMKSELTQLFDDLPLAPSTPANVPATVSEPIDLMETPAMPSVEAMQLYRKGRNMKIGIVLATFVASFMMLGMSEFLGNFMLGVAFIVAIALFLMKLGPASWNYPNPRKIMREQRRGMAMAQATQVMQRQGL</t>
  </si>
  <si>
    <t>GC_00002179</t>
  </si>
  <si>
    <t>MSTLFDSFTKPTLNIALKRLAFYGIVLGLASQVMSVVISFLTGSGQLSYESLTTGLGLALGCSIALLLDGKVNNHIRTAIAIVFSIAAMVGLTYGASTLFHS</t>
  </si>
  <si>
    <t>MSTLFDSSTKPTLNIALKRLAFYGIVLGLVSQIMSVVISFMTGSGRLSYESFTTGLGLALGCSIALLLDGKVNNHIRTAIAVVLSIAAMVGLTYGASTLFHS</t>
  </si>
  <si>
    <t>GC_00002180</t>
  </si>
  <si>
    <t>MELKSQVEVEAKFSVTSDTVVPDLTTIMGVEQIMSTKVHHLSAVYYDTEDLRLTRSKITLRRRTGGTDDGWHIKFPGKTGRLEIHHPIDQGTKIPEEIRSMVRSIVRDEPLSPIAQVDNERHETLLGDAAGTVVAEFCDDHVSATSLKSDTATSWREWEVEVTPAAPSTLIAAATEVLTRAGAAASKSPSKLAMALGPDLPTEPMVDNNLDPDSPTAGVIAALKRNRDKLLAYDPRVRRDEWDSVHQMRVATRELRSHLQSFASILAGTHHKDVSEELKHLAATLGVARDAEVIAERFKDLCDQHPSGIIDAASGKQLHDDMLAEYAAAHQKVVAALNDDRYLRLLDELDELIAHPQELADPDPTPASTHVLLEQLRKSYKRLMKLHNKAMSDWDGRSSLRPQQEQKFHNVRKAAKKLRYTTEAVGDATDIPTGQLYRACKQLQEVLGNFQDSITSRKKLLVKSHEAFKRGENTFIYGVLYETEVELSRNIMQGYPAAMAAVTQAYQRL</t>
  </si>
  <si>
    <t>MELKSQVEVEAKFSVTSDTVVPDLTTIMGVEQIVSTKVHHLSAVYYDTEDLRLTRSKITLRRRTGGTDDGWHIKFPGKTGRLEIHHPIDRGTKIPEEIRSMVRSIVRDEPLSPIAQVDNERHETLLGDAAGTVVAEFCDDHVSATSLKSNTATSWREWEVEVTPAAPSTLIAAATEVLTRAGAAASKSPSKLAMALGPDLPTEPMVDNNLDPNSPTAGVIAALKRNRDKLLAYDPRVRRDEWDSVHQMRVATRELRSHLQSFASILAGTHHKDVSEELKHLAATLGVARDAEVIAERFKDLCDQHPSGIIDAASGKQLHDDMLAEYAAAHQKVVAALNDDRYLRLLDELDELIAHPQELADPDPTPASTHVLLEQLRKSYKRLMKLHNKAMSDWDGRSSLRPQQEQKFHNVRKAAKKLRYTTEAVGDATDIPTGQLYRACKQLQEVLGNFQDSITSRKKLLAKSHEAFKRGENIFIYGVLYETEVELSRNIMQDYPAAMAAVTQAYQRL</t>
  </si>
  <si>
    <t>GC_00002181</t>
  </si>
  <si>
    <t>MSGDALAATPIADPNDSLLGWTLQTELSLNQRFKDITMFAQSDMSADELELIDRFYGTFLSRQLAAGAQLDTLLDNTPYLAVTTLVSRAARMVDPESFFAEYIGGLELHPTPEWVDTVQQKTLDLLVQVGLWVPEDTQPTVEVLALHAGVTGSEVAALLELMDSLDSDDVEVPLEALPAETMPVTAAVAQWGVDTLKPVVDKVAAFRAFTHAHPHNWQELDPPELPALVREAVAAELRERPVGTQDRTTAVGIATREARPRLIIDAARRKVCLRLPEQILPEGAEEIHWRVNLDGTTKIYRTGRPWGETGPFAESLDVAIERQVRELTVTDSTTGTTWVIPVVDSDDPVLVFSAKGQNLTDKVSLHYAELLVLCPSDATLVDVVAGADIPVTDTFDIEGWAGWVCRRIDAHAAASLQVVRPDQKPSIVQPVRCIDPRRRVTFRDPDAPVPNLFSYAGLPVYAQSLLAEFSPTVSGQPETWYLSISSFGGIGQAGEEVAPAEPLEIPAEGGVFDVFDPDAYDAPWVGEYLIRLRGPRNESFRHEFAIVEGMHAVTEIAGPCRSFRIPARGGLSEAALLVRSGVKPFDVSPKEVLVPADEAGASVVVSTDEGDQMPLRFIPPRLRFEVPLVTEPAMWRTTRLVCTPRQCDADGVVRIRATGELGTPTMTVRNHHGAPLRTVKLTTVDGVTYTAPMAALAASINVINSGRLELEWTDHRSDKRVSVNVADVEAAPHATGCRIEDGALVYEQPAAGRNIAAWVWPATAPWVGGRTVRGQLPETLLDAGPLIVQLHSADSFNMLWPPLVPSADAFIAEQPGFYHDPNPALAELSAFLAGEREDAPSNPDIMPILWDYLDGWGSVEASSLESRKAVMEAMAAYPSAALKGLSVSLVPVEKQPGRVIASGLVHGVFNDAKDVTEIHRTAWIGTLQLLGQLPAQYAAAEVGEGRAALRDTVSKLEQVAGKRLVEALATGRDATLDTACVDQSIVHIAHMEPAQQDTLIEMLFSQAEIVPGPIMDDSARLLAVFETFKQRAALNELLSDQALIATAVSLLRALRGANRQLYASARIRFDKLDGVDTDDRSNIWTLAPVISLVFALTARMRAHELIGKSKLLTEARTGWSALADVVPDLVTSDLISAEAMVLAVKYPGIGG</t>
  </si>
  <si>
    <t>MSGDALAATPIADPNDSLLGWTLQTELSLNQRFKDITMFAQSDMSADELELIDRFYGTFLSRQLAAGAQLDTLLDNTPYLAVTTLVSRAARMVDPESFFAEYIGGLELHPTPEWVDTVQQKTLDLLVQVGLWVPEDTQPTVEVLALHAGVTGSEVAALLELMDSLDSDDVEVPLEALPAETMPVTAAVAQWGVDTLKPVVDKVAAFRAFTHAHPHNWQELEPPELPALVREAVAAELRERPVGTQDRATAVGIATREARPRLIIDAARRKVCLRLPEQILPEGAEEIHWRVNLDGTTKIYRTGRPWGETGPFAESLDVAIERQVRELTVTDSTTGTTWVIPVVDSEDPVLVFSAKGQNLTDKVSLHYAELLVLCPSDATLVDVVAGAGIPVTDTFDIEGWAGWVCRRIDAHAAASLQVVRPDQKPSIVQPVRCIDPRRRVTFRDPDAPVPNLLSYAGLPVYAQSLLAEFSPTVSGQPETWYLSISSFGGIGQAGEEVAPAEPLEIPAEGGVFDVFDPDAYDAPWVGEYLIRLRGPRNESFRHEFAIVEGMHAVTEIAGPCRSFRIPARGGLSEAALLVRSGAKPFDVSPKEVMVPADEAGANVVVSTDEGDQMPLRFIPPRLRFEVPLVTEPAMWRTTRLVCTPRQCDADGVVRIRATGELGTPTMTVRNHHGAPLRTVKLTTVDGVTYTAPMAALAASINVINSGRLELEWTDHRSDKRVSVNVAEVEAAPHATGCRIEDGALVYEQPAAGRNIAAWVWPATAPWVGGRTVRGQLPETLLDAGPLIVQLHSADSFNMLWPPLVPSADAFIAEQPGFYHDPNPALAELSAFLAGEREDAPSNPDIMPILWDYLDGWGSVEASSLESRKAVMEAMAAYPSAALKGLSVSLVPVEKQPGRVIASGLVHGVFNDAKDVTEIHRTAWIGTLQLLGQLPAQYAAAEVGEGRAALRDTVSKLEQVAGKRLVEALAAGRDATLDTACVDQSIVHIAHMEPAQQDTLIEMLFSQAEIVPGPIMDDSARLLAVFETFKQRAALNELLSDQALIATAVSLLRALRGANRQLYASARIRFDKLDGVDTDDRSNIWTLAPVISLVFALTARMRAHELIGKSKLLTEARTGWSALADVVPDLVTSDLISAEAMVLAVKYPGIGG</t>
  </si>
  <si>
    <t>GC_00002182</t>
  </si>
  <si>
    <t>MKQQRRAGISTNRYMLLVGIFISLSIIALGIDKLIPAGAAATADVDTFGPLVGAELLLALLGLIACPIAAWFYLEECQTNNQWRLLWGTCALALITEPFYDRVVTGEWFGFATIRPSNLAWALVVCFLVEKFITHRPWPIQVAVVLAGLAWLVIFQVGQWLPFIPAGLVIYAFFIMFHYLRDRENTMMLTAGMLGAVCFITPALGVALLHYRAGENNLGDTPGQGPGQARRPSFWWLLWYPVAFACLTLVVSIR</t>
  </si>
  <si>
    <t>MKQQRRAGISTTRYMLLVGIFISLSIIALGIDKLIPAGVAATADIDTFGPLVGAELLLALLGLIACPIAAWLYLEECQTNNQWRLLWGTCALALITEPFYDRVVTGEWFGFATIRPSNLAWALVVCFLVEKFITHQPWPIQVAVVLAGLAWLVIFQVGQWLPFIPAGLVIYAFFIMFHYLRDRENTMMLTAGMLGAVCFITPALGVALLHYRAGENNLGDTPGHGQGQAQRPSFWWLLWYPVAFACLTLVVSIR</t>
  </si>
  <si>
    <t>GC_00002183</t>
  </si>
  <si>
    <t>PF00768.25</t>
  </si>
  <si>
    <t>D-alanyl-D-alanine carboxypeptidase</t>
  </si>
  <si>
    <t>K07258</t>
  </si>
  <si>
    <t>serine-type D-Ala-D-Ala carboxypeptidase (penicillin-binding protein 5/6) [EC:3.4.16.4]</t>
  </si>
  <si>
    <t>COG1686</t>
  </si>
  <si>
    <t>D-alanyl-D-alanine carboxypeptidase (DacC) (PDB:1HD8)</t>
  </si>
  <si>
    <t>KEGG Orthology (KO)&gt;&gt;&gt;09100 Metabolism&gt;&gt;&gt;09107 Glycan biosynthesis and metabolism&gt;&gt;&gt;00550 Peptidoglycan biosynthesis [PATH:ko00550]|Enzymes&gt;&gt;&gt;3. Hydrolases&gt;&gt;&gt;3.4  Acting on peptide bonds (peptidases)&gt;&gt;&gt;3.4.16  Serine-type carboxypeptidases&gt;&gt;&gt;3.4.16.4  serine-type D-Ala-D-Ala carboxypeptidase|Peptidases and inhibitors&gt;&gt;&gt;Serine peptidases&gt;&gt;&gt;Family S11: D-Ala-D-Ala carboxypeptidase A family|Peptidoglycan biosynthesis and degradation proteins&gt;&gt;&gt;Peptidoglycan biosynthesis and degradation&gt;&gt;&gt;DD-Carboxypeptidase/DD-Endopeptidase (Low molecular weight PBP)</t>
  </si>
  <si>
    <t>MANLLSVSSSRTSYLLRMPAFRLLAITATTAAACSLAAPLGVAHAQTTSTTTREAPPNTDNCPQAYQPPQVDSSSESPKPGVPALAPLPTAETKAGGNRMSECGIIAASDFTLPTEVRASAWLVYDLDTGEVLTAKDPHGRYRPASIIKVLLAIVSIKELDLHKEVTISHESTEVEGSAAGIGDGGHYTVEQLLYGLLLSSGNDTAHALAQELGGDEATLDKINKLALSLGAQDTRPASYSGLDAPGMSTSAFDLGLIYRHAWSIPEFAKIVSTPQYDFPGWGDNPGFQMWNDNQMLHEDPTSIGGKTGFTDAANHTYVSAVNRNGHRTAVILLDATTDAAPTWRQGQLLIDAALASHPSNLGVVQALPGAASASRSSDSHADSTETVTPPPVNSASESGGQDSDRVATWKILTPLIIVAGLLTAVLVWAMVQLRLHRRDD</t>
  </si>
  <si>
    <t>MANLLSVSSSRTSYLLRMPAFRLLAITATTAAACSLAAPLGVAHAQTTSTTTREAPPNTDNCPQAYQPPQVDSSSESPKPGVPALAPLPTAETKAGGNRMSECGIIAASDFTLPTEVRASAWLVYDLDTGEVLTAKDPHGRYRPASIIKVLLAIVSIKELDLHKEVTISHESTEVEGSAAGIGDGGHYTVEQLLYGLLLSSGNDTAHALAQELGGDEATLDKINKLALSLGAQDTRPASYSGLDAPGMSTSAFDLGLIYRHAWSIPEFAKIVSTPQYDFPGWGDNPGFQMWNDNQMLHEDPTSIGGKTGFTDAANHTYVSAVNRNGHRTAVILLDGTTDAAPTWRQGQMLIDAALASHPSNLGVVQALPDAASASRSSDSHADSTETVTPPPVNSASESGGQDSDRVATWKILTPLIIVAGLLTAVLVWAMVQLRLHRRDD</t>
  </si>
  <si>
    <t>GC_00002184</t>
  </si>
  <si>
    <t>MARPPQPIDPKRRTRLLATARVVFATHGFTNARLTDILRESDFPRSSFYYFFHTKDQLFDAAFADGLRELAGYVTVPVVDKLTRDTFWPALTNIIAGMTAAATRPDLTAVGTMFYLADKPHSPNLTEFEHTIDNWTARMVDRGLWLGLLDPTIPPRLHVDLAYAVATRLDAWALRHPDTPMADLANTLLPRMLGNPTTPHDKE</t>
  </si>
  <si>
    <t>MARPPQPIDPKRRTRLLATARVVFATHGFTNARLTDILRESDFPRSSFYYFFHTKDQLFDAAFADGLRELAGYVTVPVVDKLTRDTFWPALTNIIAGMTAAATRPDLTAVGTMFHLADKPHSPNLTEFEHAIDKWTMRMVDRGLRLGLLDPTIPPRLHVDLAYAVATRLDAWALHHPDAPMADLANTLLPRMLGNPTTPHDKE</t>
  </si>
  <si>
    <t>GC_00002185</t>
  </si>
  <si>
    <t>MGKTVSFKIYAFIASVLLVLTAGMMNVPTAHADEEKTVDIDNITIDQTTPLKQWDSFGVQWDWSAKNGVKAGQKFTIQFPKEIAVKGTFGIKLVDGAVEGGDCVVDGGNNQVVCTFNDKFEGKDNVHGMVKVQAQAIKTTDNSNEPTLPFEVNSKVVNVTLPGPHGGIGPADVKTPDKTNKDGWFTSKDGSKIEWRIVMLGKDLANISGDVVINDSISLKNGAVGHKFIADGLLAVEYTSDPAQLAEPSAKGEKLQVTQDIAADGLSQKLTLKKPAGGWQADRFYNVYYQSQSADGKESAVDTTVGNNAKIEGLPAQNLVQNVTRKQSGSGTITGVNRGTFEVKKVHDAATQPAELQNGTKFTVNVDIQSPQPSFNKNYDIQVPLNGDIVKGDVSLPKDTKVTLTEKLPTNDAKFTYGDPKFAATTASDGNVEIKDNGKTAVITISDQRNVGVTLTNKVTAKPQVGTVKLAKKLVWKNSGDAFTEANATAQNFKVNYVCTKDGKDVKSGEVTLKGDGTETAIADVPLGAACSFTEVAPAALPGFNWEGNLFQTASGEVSKDKPLVVAVTNPLVTLTNKYATAVGTFKVVKTLKATSITVPSTKKFSFNYTCTKDGAALAEHTNKKLEVTGAGEVVSPNIPVGASCTVTEDRESAKIDGATLTVVEGAAVTITAGTVPSVTIANTYVKDEGDFTITKRLVDPDGVAGGKTFDFAYVCTAAGKQDIKGELKGIPAGGSKTSEKIPAGYSCKITETGASVANADLKTTGLDDVTIVKNSTQTVEATNTYSQWKGVVKLSKSLTGTGKELAKNKEFQVGYKCVKGDKTTKEGKLTVKAGTPVEVKDVPVGSVCTFTEDKAQATVEGASFNELDSTTVATATVADKDATVAANLVNSYHELGAVAVTKAVQGTAAGSSDSKKEYTIVAEWQHNGKAETKEFKVKAGETYTGLPKLPVGTQITLKEKLPEGNVFSTWQTPGYTSDTKDAVKDNGDGTAIVTVQAGTGAKATLVKVTNTTNIPWYWLLVPLIPLAGAAIPGAPAPQGGKPQGNAPQTPGAQAQGQAPSGAQKPGANPAQNVQSQQPNGQKQQVQGQKAQNKGLANTGASVLWVIAGALVLAVVGAVLVLRSRRRNND</t>
  </si>
  <si>
    <t>MGKTVSFKIYAFIASVLLVLTAGMMNVPTAHADEEKTVDIDNITIDQTTPLKQWDSFGVQWDWSAKNGVKAGQKFTIQFPKEIAVKGTFGIKLVDGAVEGGDCVVDGGNNQVVCTFNDKFEGKDNVHGMVKVQAQAIKTTDNSNEPTLPFEVNSKVVNVTLPGPHGGIGPADVKTPDKTNKDGWFTSKDGSKIEWRIVMLGKDLANISGDVVINDSISLKNGAVGHKFIADGLLAVEYTSDPAQLAEPSAKGEKLQVTQDIAADGLSQKLTLKKPAGGWQADRFYNVYYQSQSADGKESAVDTTVGNHAKIEGLPAQNLVQNVTRKQFGSGTITGVNRGTFEVKKVHDPATQPAELQNGTKFTVNVDIQSPQASFNKNYDIQVPLNGDIVKGDVSLPKDTKVTLTEKLPTNDAKFTYGDPKFAATTASDGNVEIKDNGKTAVITISDQRNVGVTLTNKVTAKPQVGTVKLAKKLVWKNSGNAFTEANATAQNFKVNYVCTKDGKDVKSGEVTLKGDGTEAAIADVPLGAACSFTEVAPAALPGFNWEGNLFQTASGEVSKDKPLVVAVTNPLVTLTNKYATAVGTFKVVKTLKATGITVPSTKKFSFNYTCTKDGAALAEHTNKKLEVTGAGEVVSPNIPVGASCTVTEDRESAKIDGATLTVVEGAAVTITAGTVPSVTIANTYVKDEGDFTITKRLVDPDGVAGGKTFDFAYVCTAAGKQDIKGELKGIPAGGSKTSEKIPAGYSCKITETGASVANADLKTTGLDDVTIVKNSTQTVEATNTYSQWKGVVKLSKSLTGTGKELAKNKEFQVGYKCVKADKTTKEGKLTVKAGTPVEVKDVPVGSVCTFTEDKAQATVEGASLNELDSTTVATATVADKDATVAANLVNSYHELGAVAVTKAVQGTAAGSSDSKKEYTIVAEWQHNGKTETKEFKVKAGETYTDLPKLPVGTQITLKEKLPEGNVFSTWQTPGYTSDTKDAVKDNGDGTAIVTVQAGTGAKATLVKVTNTTNIPWYWLLVPLIPLAGAAIPGAPAPQGGKPQGNAPQTPGAQA--QAPSGAQKPGANPAQNVQSQQPNGQKQQVQGQKAQNKGLANTGASVLWVIAGALILAVVGAVLVLRSRRRNND</t>
  </si>
  <si>
    <t>GC_00002186</t>
  </si>
  <si>
    <t>PF01612.26</t>
  </si>
  <si>
    <t>3'-5' exonuclease</t>
  </si>
  <si>
    <t>K03684</t>
  </si>
  <si>
    <t>ribonuclease D [EC:3.1.13.5]</t>
  </si>
  <si>
    <t>COG0349</t>
  </si>
  <si>
    <t>Ribonuclease D (Rnd) (PDB:5C0Y) (PUBMED:18821773)</t>
  </si>
  <si>
    <t>Enzymes&gt;&gt;&gt;3. Hydrolases&gt;&gt;&gt;3.1  Acting on ester bonds&gt;&gt;&gt;3.1.13  Exoribonucleases producing 5'-phosphomonoesters&gt;&gt;&gt;3.1.13.5  ribonuclease D|Transfer RNA biogenesis&gt;&gt;&gt;Prokaryotic type&gt;&gt;&gt;3'processing and CCA adding factors&gt;&gt;&gt;3'processing factors</t>
  </si>
  <si>
    <t>MALMSEFVTAPPEGTPQLIAGAAAIRQAADRLAQGTGWCAVDTERVSGFRYHNRVCLLQIRRAGAGTMLIDVESDPQATTDFMGRVLADTGWVVHAATSDLPYLEQLRLRPAQLFDTELAGRFLGFHRVNLAAMVEHYLGVRLRKNHGGEDWSRRPIPSEWLDYAALDVEYLLPLADAMRSELRQQSPKDEWVAEECDYLTRVYRGYSPTPKSWEDLKGVRRLRTSKQLQVARWLWQVREKLAQASDTAVSRLLPDKTLVALATELPTTVPKVMKTTGYPPRLRRKARYWANQVDKALRTSRERWPEPFPIPTYRDKPPSRYTWSRYYPESFPALTMVREELAHVAAQVGIPVENMIQSSDTNEIVWRSRELKEVTDATELLELLRKLQVRPWQQKLCLPIFTSILLP</t>
  </si>
  <si>
    <t>---MSEFVTAPPEGTPQLIAGAAAIRQAADRLAQGTGWCAVDTERVSGFRYHNRVCLLQIRRAGAGTMLIDVESDPQATTDFMGRVLTDTGWVVHAATSDLPYLEQLRLRPAQLFDTELAGRFLGFHRVNLAAMVEHYLGVRLRKNHGGEDWSRRPIPSEWLDYAALDVEYLLPLADAMRSELTQQSPKDEWVAEECDYLTRVYRGYSPTPKSWEDLKGVRRLRTSKQLQVARWLWQVREKLAQASDTAVSRLLP</t>
  </si>
  <si>
    <t>GC_00002187</t>
  </si>
  <si>
    <t>MDLTSIALNQALDYLGTFSPALYDEAQRIRHTLDAPPRIVVVGRLKSGKSTLVNALIGAPVAETAALEATNVVTVFQYGAPDRAEAVLLNGERLPITIQRGEVAALPAPVEEISFIHRWMPTASIKDFSLIDTPGLATLTVENEQRTRRILIDGYEQTKAMSVDADAAVFLFDATPRMDEVKFIKDLGFTSLNTLGVLSRADSFGEGALGERDPLEHARQHADTLAAQLSSSVLTVIPVAGLLAETSHTGVITENDARVMASLAEATEFDLIDIIASGGDAVEGGTGGDGAGAGGAGGTQQQEICRRVVRLIGEYGLFRARNVARRGASELNEWATTKSGVPELRQLLVTRFGKFATTHRAGRIVKEIESLAFSRQHPKDQILNLVSTMRTDPRLITVFLLLDLKAVQDTNPNTQLIQELTQLIAGDTFQEKLGLPVTASMWDVVNTAQQKLQWAHMESLSALTPAEDAALVTIQRAYNDLIRMAQRQ</t>
  </si>
  <si>
    <t>MDLTSIALNQALDYLGTLSPALYDEAQRIRHTLDAPPRIVVVGRLKSGKSTLVNALIGAPVAETAALEATNVVTVFQYGAPDRAEAVLLNGERLPITIQRGEVAALPAPVEEISFIHRWMPTASIKDFSLIDTPGLATLTVENEQRTRRILIDGYEQTKAMSVDADAAVFLFDATPRMDEVKFIKDLGFTSLNTLGVLSRADSFGEGALGERDPLDHARQHADTLAAQLSGSVLTVIPVAGLLAETSHTGVITENDARVMASLAEATEFDLIDIIASGGDVAE---GGGGAVEGGAGGTQQQEICRRVVGLIGEYGLFRARNVARRGASELNEWATTKSGVPELRQLLVTRFGKFATTHRAGRIVKEIESLAFSRQHPKDQILNLVSTMRTDPRLITVFLLLDLKAVQDTNPNTQLIQELTRLIAGDTFQEKLGLPVTASMWDVVNTAQQKLQWAHMESLSALTPAEDAALVTIQRAYNDLIRMAQGQ</t>
  </si>
  <si>
    <t>GC_00002188</t>
  </si>
  <si>
    <t>MWETEHSQVTDVDTDRLWSVFEGVHSGRIVLPGGDVFRPEGPLGVGTKIHVTPAGQDTMISKVVEFVPGLRYADETEFNGLVLRFAHQFEKVEDGTKITHRLTISGDGSDQVGPEIGPQISADFPDQMDALIAEARNA</t>
  </si>
  <si>
    <t>MWETEHSQVTDVDTDRLWSVFEGVHSGRIVLPGGDVFRPEGPLGVGTKIHVTPAGQDTMISKVVEFVPGLRYADETEFNGLVLRFAHQFEKVEDGTKITHRLTISGDDSDQVGPEIGPQISADFPDQMDALIAEARNA</t>
  </si>
  <si>
    <t>GC_00002189</t>
  </si>
  <si>
    <t>MITIHSALTIAIAAKLPILLWGAPGSGKTSMITALAHDLDLPLEVVVGSIHEPSDFTGLPVVRETTTWFAPPHWAERLAEQGRGILFLDELTTAPPAVQAAMLRIVLEKTVGHLRLPPHVRIIAAANPPSVAADGWDLAAPLANRFIHLQWQPTAADIATGFISGFPRFTSLKAVSPNAAQIAAAKTHIGTFLRVWPQLVSVIPDSPDLAGQAWPSPRTWEMAAIAIATSWANGAGEDVVATLLIGAVGEAAGFEALSWLKNLDLPDPQTILRDPDGVALPIEVDRLHALLSAVVAVAVTELEEAELAETAAHDSDPARETWQRAWRVIARVARTTPDVAATAAQSLAQHRPAGAPLPAELLELAPILRRAGLMP</t>
  </si>
  <si>
    <t>MITLHSALTIAIAAKLPILLWGAPGSGKTSMITALAHDLDLPLEVVVGSIHEPSDFTGLPVVRETTTWFAPPHWAERLAKQGRGILFLDELTTAPPAVQAAMLRIVLEKTVGHLRLPPHVRIIAAANPPSVAADGWDLAAPLANRFIHLQWQPTATDIATGFISGFPRFTSLKAVSPNAAQIAVAKTHIGTFLRVRPQLVSVIPDSPDRAGQAWPSPRTWEMAAIAVATSWANGAGEDVIATLLIGAVGEAAGFEALSWLKNLDLPDPQTILRDPDGVALPVEVDRLHALLSAVVAVAVTELEEAELADTAAHDSDAARETWQRAWRVIARVARTTPDVAATAAQSLAQHRPAGAPLPAELLELAPILRRAGLMP</t>
  </si>
  <si>
    <t>GC_00002190</t>
  </si>
  <si>
    <t>PF02569.21</t>
  </si>
  <si>
    <t>Pantoate-beta-alanine ligase</t>
  </si>
  <si>
    <t>K01918</t>
  </si>
  <si>
    <t>pantoate--beta-alanine ligase [EC:6.3.2.1]</t>
  </si>
  <si>
    <t>COG0414</t>
  </si>
  <si>
    <t>Panthothenate synthetase (PanC) (PDB:1DIN) (PUBMED:17968677)</t>
  </si>
  <si>
    <t>M00119|M00913</t>
  </si>
  <si>
    <t>Pantothenate biosynthesis, valine/L-aspartate =&gt; pantothenate|Pantothenate biosynthesis, 2-oxoisovalerate/spermine =&gt; pantothenate</t>
  </si>
  <si>
    <t>KEGG Orthology (KO)&gt;&gt;&gt;09100 Metabolism&gt;&gt;&gt;09106 Metabolism of other amino acids&gt;&gt;&gt;00410 beta-Alanine metabolism [PATH:ko00410]|KEGG Orthology (KO)&gt;&gt;&gt;09100 Metabolism&gt;&gt;&gt;09108 Metabolism of cofactors and vitamins&gt;&gt;&gt;00770 Pantothenate and CoA biosynthesis [PATH:ko00770]|Enzymes&gt;&gt;&gt;6. Ligases&gt;&gt;&gt;6.3  Forming carbon-nitrogen bonds&gt;&gt;&gt;6.3.2  Acid-D-amino-acid ligases (peptide synthases)&gt;&gt;&gt;6.3.2.1  pantoate---beta-alanine ligase (AMP-forming)</t>
  </si>
  <si>
    <t>MAFERRQATRITSARHIAMLASVMKKQGTPVVLVPLTTSIHAGHRALVRAAQRIPGALVIVAIHPDVDCTPLIDARVDAIFTYTDAELWPSGPRTLVNSPLSQAAGGAGASVPVTRIMALLGIIGPTDLVLGEKNIRQLVQVQQAITDLHYPVVVHEVPTVRTSEGLPVSNRYADIPSADHDKAVAVSASLIAGTYAAQDGAAAILVAAHEVLAAAGVEPDELALYSLMLGPAPESAPEAGDTRLVVSATVGGVCITDSVRVVLGAKPH</t>
  </si>
  <si>
    <t>MAFERRQATRITSARHIAMLASVMKKQGTPVVLVPLTTSIHAGHRALVRAAQRIPGALVIVAIHPDVDCTPLIDARVDAIFTYTDAELWPSGPRTLVNSPLSQAAGGAGAGVPVTRIMALLGIIGPTDLVLGEKNIRQLVQVQQAITDLHYPVVVHEVPTVRTSEGLPVSNRYADIPPADHDKAVAVSASLIAGTYAAQDGAAAILVAAHEVLAVAGVEPDELALYSLMLGPAPESAPEAGDARLVVSATVGGVCITDSVRVVLGAKPH</t>
  </si>
  <si>
    <t>GC_00002191</t>
  </si>
  <si>
    <t>MSFRNRILFRWLPWACLIVVIPSALWRIAMLCGVSTGFAETNLYRGSLGGTVYVLTLEVVQLAAASACVCLAYANTIRYGRLPLIIGGIGNLLLYYIMGYFVIILIRYSQGADVWTPMRAMDATQRLWLYIAYGPFLTWPLVLTGALFGYQERRKAQKHEIMTM</t>
  </si>
  <si>
    <t>MSFRNRILFRWLPWACLIVVIPSALWRIAMLCGVSTGFAETNLYRGSLGGTVYVLTLEVVQLAAASACVYLAYANTIRYGRLPLIIGGIGNLLLYYIMGYFVIILIRYSQGADVWTPMRGMDATQRLWLYIAYVPFLTWPLVLTGALFGYQERRKAQKHEIMTM</t>
  </si>
  <si>
    <t>GC_00002192</t>
  </si>
  <si>
    <t>MAEQVLEKAIELNPNVPRPNFLWYISLPLAPWKFLDTHPAHADTCIDRLSGDFVPGMRLRAGDRKVVRRRLGEVIAAAQEAGVLLGLVLPGVLESGEVSSAAVLLRWHSVAPERACVDPVISKFSRDNPQIETLDGGGEFVIVERESMSGSVTDRRKVFHVEGFVPVVGSSWFLVISASVPEVGMVSDVRAVVERMIQSLRVYPDITDQPLTQEFGHEAGDAYFTPDGAVLVSEGV</t>
  </si>
  <si>
    <t>MAEQVLEKAIELNPNVPRPNFLWYISLPLAPWKFLDTHPAHADTCIDRLSGDFVPGMRLRAGDRRVVRRRLGEVIAAAQEAGVLLGLVLPGVLESGEVSSAAVLLRWHSVAPERACVDPVISKFSRDNPQIETLDGGGEFVIVERESMSGSVTDRRKVFHVEGFVPVVGSSWFLVISASVPEVEMVGDVRAVVERMIQSLRVYPDITDQPLTQEFGHEAGDAYFTPDGAVLVSEGV</t>
  </si>
  <si>
    <t>GC_00002193</t>
  </si>
  <si>
    <t>MADRKKTLPVIIGGLIMAAVASYFGIDTLQESSQQSAVAAAETTTADATAHAATGTQHRNRSSNASSAAPTYTKNQTANKGFEKFRECQVDSLPKEAMNTIDDILAGGPYEYPENDNKRFGNHEKQLPDIGRNYYREYTVDTPGLNHRGKRRIVTGGGSETDPDVWLYTQDHYQSFCVIPDAEK</t>
  </si>
  <si>
    <t>GC_00002194</t>
  </si>
  <si>
    <t>PF01263.26</t>
  </si>
  <si>
    <t>Aldose 1-epimerase</t>
  </si>
  <si>
    <t>K01785</t>
  </si>
  <si>
    <t>aldose 1-epimerase [EC:5.1.3.3]</t>
  </si>
  <si>
    <t>COG2017</t>
  </si>
  <si>
    <t>Galactose mutarotase or related enzyme (GalM) (PDB:1LUR)</t>
  </si>
  <si>
    <t>KEGG Orthology (KO)&gt;&gt;&gt;09100 Metabolism&gt;&gt;&gt;09101 Carbohydrate metabolism&gt;&gt;&gt;00010 Glycolysis / Gluconeogenesis [PATH:ko00010]|KEGG Orthology (KO)&gt;&gt;&gt;09100 Metabolism&gt;&gt;&gt;09101 Carbohydrate metabolism&gt;&gt;&gt;00052 Galactose metabolism [PATH:ko00052]|Enzymes&gt;&gt;&gt;5. Isomerases&gt;&gt;&gt;5.1  Racemases and epimerases&gt;&gt;&gt;5.1.3  Acting on carbohydrates and derivatives&gt;&gt;&gt;5.1.3.3  aldose 1-epimerase</t>
  </si>
  <si>
    <t>MSSPATIDLAEYPYVRLASGEYSVEVSTYGGGLRVCEYGGKPLIESYPRGHVPPLSSNAILAPWTNRTEDGAFDFAGQSHQLDINEPARTNAIHGFVRSERWSIRESTDDHAVLECAITPRNGWPWKLTLTVDYLLTPQGLCVTYEVTNVGDDAAPFALGVHTYPTLFGAPVDDCVVSVPVDMKLELDPTRLLPTGEETKLATIPVLADLPEGLALAGVLLDDCFHAPDKGDDDRVTVLRHHDEGVEKRRVVMSTSANLPWFQIFTADPAAGHGYPGRGRALAVEPMSAPPNALRSGRDVVVLQPGEKTQFHWGIKIEE</t>
  </si>
  <si>
    <t>MSSPATIDLAEYPYVRLASGEYSVEVSTYGGGLRVCEYGGKPLVESYPRGDVPPLSSNAILAPWTNRTEDGAFDFAGQSHQLDINEPARTNAIHGFVRSERWDIRESTNDHAVLECVITPRNGWPWKLTLTVDYLLTPQGLRVTYEVTNVGDDAAPFALGVHTYPTLFGAAVDDCVVSVPVDMKLELDPTRLLPTGEETKLATVPVLSDLPEGLALAGVLLDDCFHASDKEDDDRVTVLRHRDEGVEKRRVVMSTSANLPWFQIFTADPAAGHGYPGRGRALAVEPMSAPPNALRSGRDVVVLQPGEKTQFHWGIKIEE</t>
  </si>
  <si>
    <t>GC_00002195</t>
  </si>
  <si>
    <t>K|T|T</t>
  </si>
  <si>
    <t>Transcription|Signal transduction mechanisms|Signal transduction mechanisms</t>
  </si>
  <si>
    <t>K00426</t>
  </si>
  <si>
    <t>cytochrome bd ubiquinol oxidase subunit II [EC:7.1.1.7]</t>
  </si>
  <si>
    <t>COG1983|COG4585</t>
  </si>
  <si>
    <t>Phage shock protein PspC (stress-responsive transcriptional regulator) (PspC)|Signal transduction histidine kinase ComP (ComP) (PDB:4GT8)</t>
  </si>
  <si>
    <t>M00153</t>
  </si>
  <si>
    <t>Cytochrome bd ubiquinol oxidase</t>
  </si>
  <si>
    <t>KEGG Orthology (KO)&gt;&gt;&gt;09100 Metabolism&gt;&gt;&gt;09102 Energy metabolism&gt;&gt;&gt;00190 Oxidative phosphorylation [PATH:ko00190]|KEGG Orthology (KO)&gt;&gt;&gt;09130 Environmental Information Processing&gt;&gt;&gt;09132 Signal transduction&gt;&gt;&gt;02020 Two-component system [PATH:ko02020]|Enzymes&gt;&gt;&gt;7. Translocases&gt;&gt;&gt;7.1  Catalysing the translocation of protons&gt;&gt;&gt;7.1.1  Linked to oxidoreductase reactions&gt;&gt;&gt;7.1.1.7  quinol oxidase (electrogenic, proton-motive force generating)</t>
  </si>
  <si>
    <t>MTLAPAYPKYLRRRDSAVVAGVASGLAAHLRVNVAWIRIAFVVLSVLNGLGAGIYIGLWILSKSVTEGQPIPDRFNKLTSLTLVVAGLLLTLVGIFGVAAVSLWIGIPLLIIAVGSSLAWFAYDRFESKGASIAIIAGALLVISGLLLAAYHWEERTTFNAAVGTVLLTITGIAALIVPFGLRLWEKFSAQREAQLIADERAEIASRLHDSVLQTLALIQKRANNPEEVVRLARSQERELRQWLFDPVTDVTVLAALQRASGEVEDTFGVRITPVTVGEDIPLDDANQACVLAAREAMVNAAKYAGDSSIDVYAETFGGLTIYVRDRGPGFDLDAIPADRHGVRDSIFGRVERAGGEVTIHSTPVAANPEQHGTEVEIRLPAQ</t>
  </si>
  <si>
    <t>MTLAPAYPKYLRRRDSAVVAGVASGLAAHLRVNVAWIRIAFVVLSVLNGLGAGIYIGLWILSKSVTEGQPIPDRFNKLTSLTLVVAGLLLTLVGVFGVAAVSLWIGIPLLIIAVGSSLAWFAYDRFESKGASIAIIAGALLVISGLLLAAYHWEERTTFNAAVGTVLLTITGIAALIVPFGLRLWEKFSAQREAQLIADERAEIASRLHDSVLQTLALIQKRANNPEEVVRLARSQERELRQWLFDPVTDVTVLAALQRASGEVEDTFGVRITPVTVGEDIPLDDANQACVLAAREAMVNAAKYAGDSSIDVYAETFGGLTIYVRDRGPGFDLDAIPADRHGVRDSIFGRVERAGGEVTIHSTPVAANPEQHGTEVEIRLPAQ</t>
  </si>
  <si>
    <t>GC_00002196</t>
  </si>
  <si>
    <t>K02068</t>
  </si>
  <si>
    <t>UDP-glucose/iron transport system ATP-binding protein</t>
  </si>
  <si>
    <t>COG4619</t>
  </si>
  <si>
    <t>ABC-type iron transporter FetAB, ATPase component (FetA)</t>
  </si>
  <si>
    <t>Transporters&gt;&gt;&gt;ABC transporters, prokaryotic type&gt;&gt;&gt;Saccharide, polyol, and lipid transporters&gt;&gt;&gt;UDP-glucose/iron transporter</t>
  </si>
  <si>
    <t>MVPVWRDVNFTVSPGSRLLIDGPSGSGKSLLLRAVVGLDPSDGECRLHGKTPAEWGVPRYRSRVMYVPQRPSFAPGTVSDAMAQPFGFGVHQHRAWDEGRAAELLEALGRDAALLRQDVDTLSGGQQQSVALARALQLDPQVLLLDEVTAALDHQLARLTEDYVVAWSTSGERALLWVGHDDEAKKRIATDQYSLGGGSGSTD</t>
  </si>
  <si>
    <t>MVPVWRDVSFTVSPGSRLLIDGPSGSGKSLLLRAVAGLDPSDGECRLHGKTPAEWGVPRYRSRVMYVPQRPSFAPGTVADAMAQPFGFGVHQHRAWDEGRAAELLEALGRGVALLRQDVDTLSGGQQQSVALARALQLDPQVLLLDEVTAALDHQLARLTEDYVVAWSTSGERALLWVGHDDEAKKRIATDQYSLGGGSGSTD</t>
  </si>
  <si>
    <t>GC_00002197</t>
  </si>
  <si>
    <t>MSDACGCTTSTPAENTHGARYQFWDNALILPILSGLLLVLGVITEGRVPGTVHQLFFWASLVAGGITFVPDALKRLVLPGRRLRQRLSIGLLMTISAIGAVLLGYTAEAAALAFLFSIAETLEDRAFAQARSSLRSLYELIPSTATVRRGAETVEITSADIVPGDVIVLRAGDAAPTDGNVSRGTSSLDTAAITGESLPRDVAEGDEVHAGSINLAAPIEITATSPGTDNSITTIVRLVEDAQNKQGERARLADRIARPLIPGVLVLSLLVGVIGSFLGDPATWITRALIVLVAASPCAIAIAVPVTVISAIGAATRWGVIITSGSAFERLGAIDRLAFDKTGTLTANRPTVTTVIGDPDTVALAASVEQHSLHPLAQAIVAAHEGPLLETHNIVETPGQGIKAEVIDSAGQSRTITIQSPRSCTFLQEKWAHTTHDLEQTGATVVVVAEDDTVKGLVGIGDPARESSARAIEELHTMGIRTAMLTGDNKHAGKALATTVGIDEVHAELLPEDKAQFVDGRWAMVGDGINDAPALAAATVGIAMGATGTDAAMASADVALTGTDLRLLPRAMAHARAARRIMNVNIGLALAIIVALPPLALCGVLGLAEVVFIHEVAEVAIIANGLRAGLRRRSQMLL</t>
  </si>
  <si>
    <t>MSDACGCTTSTPAENTHGARYQFWDNALILPILSGLLLVLGVITEGRVPGTVHQLFFWTSLVAGGITFVPDALKRLVLPGRRLRQRLSIGLLMTISAIGAVMLGYTAEAAALAFLFSIAETLEDRAFAQARSSLRSLYELIPSTTTVRRGAETVEITSADIVPGDVIVLRAGDAAPTDGNVSRGTSSLDTAAITGESLPRDVAEGDEVHAGSINLAAPIEITATSPGTDNSITTIVRLVEDAQNKQGERARLADRIARPLIPGVLVLSLLVGVIGSFLGDPATWITRALIVLVAASPCAIAIAVPVTVISAIGAATRWGVIITSGSAFERLGAIDRLAFDKTGTLTANRPTVTTVIGDPDTVALAASVEQHSLHPLAQAIVAAHEGPLLETHNIVETPGQGIKAEVIDSAGQSRTITIQSPRSCTFLQEKWAHTTHDLEQTGATVVVVAEDDAVKGLVGIGDPARESSARAIEELHAMGIRTAMLTGDNKHAGKALATTVGIDEVHAELLPEDKAQFVDGRWAMVGDGINDAPALAAATVGIAMGATGTDAAMASADVALTGTDLRLLPRAMAHARAARRIMNVNIGLALAIIVALPPLALCGVLGLAEVVFIHEVAEVAIIANGLRAGLRRRSQMLL</t>
  </si>
  <si>
    <t>GC_00002198</t>
  </si>
  <si>
    <t>MDKLVGYASLQSALIASTLFRQKEIVVHKMKSLRFFLVLLLVWLGTQIVIWSWSEFILKGSQLERMLELEDVEPYLKIPFYLLWPLTVAVPITRRIVKKDNT</t>
  </si>
  <si>
    <t>MDKLVGYASLQSALIASTLFQQKEIVVHKMKSLRFFLVLLLIWLGTQIVIWGWSEFILKGSQLERVLELEDVEPYLKIPFYLLFPVPYAVAVTHRIVKKDNT</t>
  </si>
  <si>
    <t>GC_00002199</t>
  </si>
  <si>
    <t>MGKLIDALYYLVVTALIGGFVVQGALKLTPTLEHTFGTAAARVPHSWAFPLAIIGLLALNLLLERILPLRALSEAHWVYTARPARRMPGFDGLSWVQLGLVGGVAALVGVGQGMWWQYAVIAVLSRFMMGMRNWTLAQLLAAGVTRSVGLGGLSVQDSELVSQAFAQCAITNNPKVWLAVRPAGNPWLLVARRYGRRFYLPLLVVIIVCLSLSMAPTWPQVAAVVFLLAWSILGAGVARCARFGMWGSPETTRVLWVVVAGHALVAALILWVTWRAVNPAALVATVVMVVYVGVVRSRPRAATSAEVVDSGLGAMVSPDLIGYYGRGLVVALVGAVITLAAISGS</t>
  </si>
  <si>
    <t>MGKLIDALYYLVVTALIGGFVVQGALKLTPTLEHTFGTAAARVPDSWAFPLAIIGLLTLNLLLERILPLRALSEAHWVYTARPARRMPGFDGLSWVQLGLVGAVAALVGMGQGMWWQYAVIAVLSRFMMGMRNWTLAQLLAAGVTRSVGLGGLSVQDSELVSQAFAQCAITNNPKVWLAVRPAGNPWLLVARRYGRRFYLPLLVVIIVCLSLSMAPTWPQVAAVVFLLAWSILGAGVARCARFGMWGSPETARVLWVVVAGHALVAAMILWVTWRAVNPAALVATVVMVVYVGVVRSRPRAATSAEVVDSGLGAMVSPDLIGYYGKGLVVALVGAVITLAAISGS</t>
  </si>
  <si>
    <t>GC_00002200</t>
  </si>
  <si>
    <t>MKNNVVIVDDHEIVLIGISALINSSNTCTMVGAYHTVQEVAEHVHDHTKPPIDVVLLALRLSDNSCPHDNINYLHELDLAVLIFSAYESPYLTRQALTAGVDGIVEKSTSSENIIQEINAACSNPHNPVTSWLATNCVPLSPRQREVLELYALGEPAKRVASLTGLSVETVNDYLSRIRTKYAQAGRPTFSKVDLVLRALEDGLIPGPRDVRVRTLR</t>
  </si>
  <si>
    <t>MKNNVVIVDDHEIFLIGISALINSSNICTMVGAYHTVQEVAEHVHDHTKPPIDVVLLDLRLSDNSCPHDNINYLHELDLAVLIFSAYESPYLTRQALTAGVDGIVEKSTSSENIIQAINAACSNPHNPVTSWLATNCVPLSPRQREVLELYALGEPAKRVASLTGLSVETVNDYLSRIRTKYAQAGRPTFSKVDLVLRALEDGLIPGPRDVRVRTLR</t>
  </si>
  <si>
    <t>GC_00002201</t>
  </si>
  <si>
    <t>K02343</t>
  </si>
  <si>
    <t>DNA polymerase III subunit gamma/tau [EC:2.7.7.7]</t>
  </si>
  <si>
    <t>COG2812</t>
  </si>
  <si>
    <t>DNA polymerase III, gamma/tau subunits (DnaX) (PDB:1A5T)</t>
  </si>
  <si>
    <t>MSGLGGRLYIVALYRKYRPASFAEVIGQDHVTRPLSVALDSGRINHAYLFTGPRGCGKTSSARILARSLNCVQGPTSTPCGVCNSCVSLAPGGAGNLDVVELDAASHNGVDDMRDLRDRATYAPAESRYRIFIIDEAHMITTQGFNALLKIVEEPPEHLIFIFATTEPEKVIGTIRSRTHNYPFRLLAPPDMRMLLERTCQAESVQVEDSVYPLIIRAGGGSPRDSLSVLDQLLAGTGPEGLTYDLASRLLGITSSTLIDAAVDALATSDSAGMFLAVDHAIAAGLEPRRFTADLLDHFRDLMVLQAVPDAVDNGLVDAPQDRIETLQRQAASFQPAALAAIASTINSNVDEMRNATAPRLLLEILAAKLIISASGGGVVQAAPVASAAAPAPTPPAPAPAPSPSGRVYERKSQRLAREAAEAAAQASAAPEPEPEVAQVQAPEPEPVPAPEPVVEQQPEPEPEPAPEPQPEPAQPAASIAEQVRSQWTAVRTKVGSANKVAEIMLTEARVLGMRDGTLVIGHNTGALASRLNDPRNNQAIVDAVKDVVGVEVPITCVIGTNPSEAGISAENTGELTPKKPWTPPVVEKSEEKPGEEEKPASTGWGKPAALGGSQGETPQAPQPAVTPKDVDTQPKEEPRKLKRWEEAAARGRAALEANGGMPEPPPPPPMDESVPLPPEPDDDVPPPPAGDPYGYPADEGIPAPPPPPADTNAEEEEMLREAAQEPGNRDRRDAKTVAMDLLSQELGAKPV</t>
  </si>
  <si>
    <t>MSGLGGRLYIVALYRKYRPASFAEVIGQDHVTRPLSVALDSGRINHAYLFTGPRGCGKTSSARILARSLNCVQGPTSTPCGVCNSCVSLAPGGPGNLDVVELDAASHNGVDDMRDLRDRATYAPAESRYRIFIIDEAHMITTQGFNALLKIVEEPPEHLIFIFATTEPEKVIGTIRSRTHNYPFRLLAPPDMRMLLERTCQAESVQVEDSVYPLIIRAGGGSPRDSLSVLDQLLAGTGPEGLTYDLASRLLGITSSTLIDAAVDALATSDSAGMFLAVDHAIAAGLEPRRFTADLLDHFRDLMVLQAVPDAVDNGLVDAPQDRIETLQQQAASFQPAALAAIASTINSNVDDMRNATAPRLLLEILAAKLILSASGGGVVQAAPVTSAAAPAPTPPASAPAPSPSGRVYERKSQRLAREAAEAAAQASAAPEPEPEVAQVQAPEPEPVPAPEPVVEQQPEPEPEPAPEPQPEPTQPAASVAEQVRSQWTAVRTKVGSANKVAEIMLTEARVLGMRDGTLVIGHNTGALASRLNDPRNNQAIVDAVKDVVGVEVPITCVIGTNPSEAGITAENTGELTPKKPWTPPVVEKSEEKRGEDEKPASTGWGKPATLGGPQDEVPQAPQPAVPPKDVDTQPKEEPRKLKRWEEAAARGRAALEANGGMPEPPPPPPMDESVPLPPEPDDDVPPPPAGDPYGYPADEGIPAPPPPPADTNAEEEEMLREAAQEPGNRDRRDAKTVAMDLLSQELGAKPV</t>
  </si>
  <si>
    <t>GC_00002202</t>
  </si>
  <si>
    <t>MADKIVQRFYHYGAPMKTLSFATFFAALSGFVVVLISARILGAENAADFMAYWGMFFAFAGFIDGLMQETTRAVATSAQKSKKVMHAASPWKIGTLIAVILGIITLATSPLWLIYLLSSDHSLAIIMLAVGVVSYTYQSILSGTLSGLGLWHHYAGLVALDSGIRFILTLCAWTTQWGLPFFLFVTVSGALSWAIVFITSKSAKRAFVTYADVPSSEFIRRAFVAMLASGATAILITGFSPAVKILGGSTATTTLGGIIMAVTLTRAPLLVPLQRFQSTLIVYFVEHKNEIFKAALKPIFITILIGLVGTLPAFFIGPWFLDAFFGPDFEVPGIILSVLTFASAFSGALIITSAAVLASELHRLYVAGWVSAAIIAFSSLLLPLPLETCVCIALLLGPMSGCVIQIFGIYLLRLNGHTTAADTFSSAKISTMPKLTALVTVYHRIDPAQFRACLDSLSAQTRPAEDVVIVEDGPLGPQLRAIVEQFINTYSGARSVVLARNMGAGPASAAGLATINTEFMARLDADDVAKPERFERQLEFFEQHPDVDVLGTAMDEFDGSVDQVISTRRLPTSHAEILRYARLNSPINNPSVMMRVDAVREAGGYRDVYHMEDYDLYARMLAGGKRFHNMPEALTYFRISTSVFERRTAQGMFSAERQMQKNLVAYGLISKRRAWLNLAIRSLYRLLPSVALKAAYGRLFHRR</t>
  </si>
  <si>
    <t>MADKIVQRFYHYGAPMKTLSFATFFAALSGFVVVLISARILGAENAADFMAYWGMFFAFAGFIDGLMQETTRAVATSAQKSKKVMHAASPWKIGTLIAVILGIITLATSPLWLIYLLSSDHSLAIIMLAVGVVSYTYQSILSGTLSGLGLWHHYAGLVALDSGIRFILTLCAWTTQWGLPFFLFVTVSGALSWAIVFITSKSAKRAFVTYADVPSSEFIRRAFVAMLASGATAILITGFSPAVKILGGSTATTTLGGIIMAVTLTRAPLLVPLQRFQSTLIVYFVEHKNEIFKAALKPIFITILIGLVGTLPAFFIGPWFLDAFFGPDFEVPGIILSVLTFASAFSGALIITSAAVLASELHRLYVAGWASAAIIAFSSLLLPLPLETCVCIALLLGPMSGCVIQIFGIYLLRLNGHTTAADTFSSAKISTMPKLTALVTVYHRIDPAQFRACLDSLSAQTRPAEDVVIVEDGPLGPQLRAIVEQFINTYSGARSVVLARNMGAGPASAAGLATINTEFMARLDADDVAKPERFERQLEFFEQHPDVDVLGTAMDEFDGSVDQVIGTLRLPTSHAEILRYARLNSPINNPSVMMRVDAVREAGGYRDVYHMEDYDLYARMLAGGKRFHNMPEALTYFRISTSVFERRTAQGMFSAERQMQKNLVAYGLISKRRAWLNLAIRSLYRLLPSVALKAAYGRLFHRR</t>
  </si>
  <si>
    <t>GC_00002203</t>
  </si>
  <si>
    <t>MTITQRVTFGAAALILTIPLMTACGNNAKDATSSAPARASQPVSPLTTAEKTEAMAEATSQAPTSDQPPADTTDPVIMALEAFAKDHAGAVIVDVDREDHADVVEVKVVDNDKVQKFQVTPDGMATEVPTDDTNDDDVAKAKAAKVTALDAAKQARAKQQNGAIDSIDIEDDSNPVSWKVEFDDPNGVTVAQELIPAQ</t>
  </si>
  <si>
    <t>MTITQRVTFGAAALILTIPLMTACGNNAKDATSSAPARASQPVSPLTTAEKTEAMAEATSQTPTSDQPPADTTDPVIMALEAFAKDHAGAVIVDVDREDHADVVEVKVVDNDKVQKFQVTPDGMATEVPTDDANDDDVAKAKAAKVTALDAAKQARAKQQNGAIDSIDIEDDSNPVSWKVEFDDPNGVTVAQELIPAQ</t>
  </si>
  <si>
    <t>GC_00002204</t>
  </si>
  <si>
    <t>MFALHARYRGREIQRADYVQRFATALAATDGVEAFHILDVEDMCANVSSAAAVTNATMALLSAAEWSVGIGVIPHRREHLGSDSVEAVERVRKLATAAVGKLGKAGVVKARIDARGADPARYTADISGVFCMLGHVLSKRTLEGREATSLMRAGYNQNEAAQELGISKQAMSQRLQAAGWQAESAGWHLAVNLLQRAEEL</t>
  </si>
  <si>
    <t>MFALHARYRGREIQRADYVQRFATALAATDGVEAFHILDVEDMCANVASAAAVTNATMALLSAAEWSVGIGVIPHRREHLGSDGMESAERVRKLATAAVGKLGKAGVVKTRIDARGADPARYTADISGVFCMLGHVLSKRTLEGREATSLMRAGYNQNEAAQELGISKQAMSQRLQAAGWQAESAGWHLAVNLLQRAEEL</t>
  </si>
  <si>
    <t>GC_00002205</t>
  </si>
  <si>
    <t>MPPSGYDARPTTDWYGQRVVSTADHAMVLREIVAHVPRSGNFRLFDATLVLEIDNPQASSGYAVSVRWQSQVLGYLPDSDIEPYFPELARLAASGVDAVVKARLWTNMDDPSHTPGSEEFTVTVGVQPAGEIVPLNDPPLAQWVLIPRGTAITAITDRQIFKVAKNRDSGHYLVTLHLITGGIEIRLDDKYIGTLPASTSENMRALVESYDKQGFVVACHATIDVPDVLVDVNPTYKETGKPLVSPLPTLAPYRKHPRDYHIPGRYQKSRRPSPAAPPQATAQPTRVSQLQQPQPQAAPQAQAASASANVAPPRNASRQDFAASAPSPQSAQFSPTPPTSQYRGAAAAGTAPASRTKHRLIPLIVITGVLFFLIIVPVFISCVSQLTDSASSTHSTTERSSTSATYSDESSVSESTSSASEDYASESAEPDISDSDLTEDTRNMTGTTGTNEKIRGWSVFQARELCHRRVAQQLRSPQSATFESESEFAARPNANPPGWVLAGYVDLPQRSGIVRLTWACAVVPVSSDSAQSRAILVR</t>
  </si>
  <si>
    <t>MPPSGYDARPTTDWYGQRVVSTADHAIVLREIVAHVPRSGNFRLFDATLVLEIDNPQASSGYAVSVRWQSQVLGYLPDSDIEPYFPELARLAASGVDAVVKARLWTNMDDPSHTPGSEEFTVTVGVQPAGEIVPLNDPPLAQWVLIPRGTAITAITDRQIFKVAKNRDSGHYLVTLHLITGGIEIRLDDKYIGTLPASTSENMRALVESYDKQGLVVACHATIDVPDVLVDVNPTYKETGKPLVSPLPALAPYRKHPRDYHIPGRYQKSRRPSPAAPPQTAAQPTRVSQLQQPQ----PQVQAASASANAAPPRNTSRQDFAASAPSPQSAQFSPAPPTSQYRGTAAAGTAPASRTKHRLIPLIVITGVLFFLIIVPVFISCVSQLTDSASSTHSTTGSSSTSATYSDESSVSESTSSASEDYASESAEPDISDSDLTEDTRNMTGTTGMNEKIRGWSVFQARELCHRRVAQQLRSPQSATFESESEFAARPNANPPGWVLAGYVDLPQRSGIVRLTWACAVVPVSSDSAQSRAILVR</t>
  </si>
  <si>
    <t>GC_00002206</t>
  </si>
  <si>
    <t>MTTGRAVFIGGKVATSAMTLHSCTPSRRREDTAKTPGSWAWERGNALATEAYRAACPVRSNEPRSTAQAHHQLPCDLSFRDSPSGFQENITDVAANHSDCLALITEKQVEITCNEEPFCRCCRSQLPEFCLVPVRARHQMKVHMPPPRRADYQPAHRPKKRTQ</t>
  </si>
  <si>
    <t>MTTGRAVFIGGKVATSAMTLHSCTPSRRREDTAKTPGSWAWERGNALATEAYRAACPVRSNEPRSTAQAHHQLPCDLSFRDSPSGFQENITDVAANHSDCLALITEKQVEITCNEEPFCRCCRSQLPEFCLVPVRARHQMKVHMPPPRRADYQPAHRPKKHTR</t>
  </si>
  <si>
    <t>GC_00002207</t>
  </si>
  <si>
    <t>MMNTPMLRPPFEWPIPTPELKDEHVILRNVSLADVDEIVANAVDPETTKYLHIPSAYTRADAEEFVKKSEVRWAYEDPTEVGRMAGIITLRPHHLGSHSISMSYNTHPWARGRGLTTRAVRLAATCAINAGVDRIVVLTRATNTASRRVAEQSGFVFEGIARGAELHRDARYDVAQYGLLATDVVP</t>
  </si>
  <si>
    <t>MMNTPMLRPPFEWPIPTPELKDEHVILRDVSLADVDEIVANAVDPETTKYLHIPSAYTRADAEEFVKKSEVRWAYEDPTEVGRMAGIITLRPHHLGSHSISMSYNTHPWARGRGLTTRAVRLAATCAINAGVDRIVVLTRATNTASRRVAEQSGFVFEGIARGAELHRDARYDVAQYGLLATDVVP</t>
  </si>
  <si>
    <t>GC_00002208</t>
  </si>
  <si>
    <t>COG0489</t>
  </si>
  <si>
    <t>Fe-S cluster carrier ATPase, Mrp/ApbC/NBP35 family (Mrp) (PDB:2PH1) (PUBMED:18616280;19114487;31709520)</t>
  </si>
  <si>
    <t>MTTTPTILVSVTDPVLHPEAINIAAATGMDIIDTNDPRDIVRHAPKAAAILVDATTATHAGGIHPRGHLFLLHPEPGPVDWTLAVRIGAADAVILPAQSNKLLATLAATTAAPDSPAPAAAASVIAVTGAAGGAGTSTLAVALALQLHEIVPTVLVDADPVSPGMDLLLGCETTGGIRWADLSFRSGSIAAADLIAALPETESGLPVLTTDRGSNGTSGITEDKLLRVIGTMHHTHCVVVDLPATAPFFAALTDACDFVVLLIPAEVRAAAAASRIAHSLTARRVDTVGVVRHRGWSGLTAHDVADIVGVDVVGELGTVSQVPRVAETTGIRTLGALPRALRKAVRCVLPQEVT</t>
  </si>
  <si>
    <t>MTTTPTILVSVTDPVLHPEAINIAAATGMDIIDTSDPRDIVRHAPKAAAILVDATTATHAGGIHPRGHLFLLHPEPGPVDWTLAVRIGAADAVILPAQSNKLLATLAATTAAPDSPSPAAAASVIAVTGAVGGAGTSTLAVALALQLHEIVPTVLVDADPVSPGMDLLLGCETTGGIRWADLSFRSGSIAAADLIAALPETESGLPVLTTDRGGDSTSGITEDKLLRVIGTMHHTHCVVVDLPATAPFFAALTDACDFVVLLIPAEVRAAAAASRIAHSLTARRVDTVGVVRHRGWSGLTAHDVADIVGVDVVGELGTVSQVPRVAETTGIRTLGALPRALRKAVRCVLPQEMA</t>
  </si>
  <si>
    <t>GC_00002209</t>
  </si>
  <si>
    <t>MSGGVTTVKRVITSLTPLQPATPIANPTTLHALEFPLPQGGSLVCLTPKESIPAYENLYEKYGITCTTNTTVGYCGDDGIYRFPEYAARSDPDNADIAFAIELRLRKVRNQAPNNRKAAYQALRTIAKDVPQSMHQVFWEEATRILLTTPKSKTAHLNVKHAFTTSRRHATCTDIAKTTAVLAEFAAHHDIVDPDIITDHIKTTIIPARDVPAGLNLLVAPATGGLPINSDAVILMRQLGHHAALTREEADAQLVAALAHTTDGFRSLPRRFFTTMDSQALSRAIAANPHAQQRILDRRPRHLGLKQYLRLVRDSGAWNLLAKTPGKSAYFLCRELCRTVVRFVCGSD</t>
  </si>
  <si>
    <t>MSGGVTTVKRVITSLTPLQPATPIANPTTLHALEFPLPQGGSLVCLTPKESIPAYENLYEKYGITCTTNTTVGYCGDDGIYRFPEYAARSDPDNADIAFAIELRLRKVRNQAPNSRKAAYQALRTIAKDVPQSMHQVFWEEATRILLTTPKSKTAHQNVKHAFTTSRRHATCTDIAKTTAVLAEFAAHHDIVDPNIITDHIKNTIIPARDVPAGLNLLVAPATGGLPINSDAVILMRQLGHHAALTREEADAQLVAALAHTTDGFRSLPRRFFTTMDGQALSWAIAANPHAQQRILDRRPRHLGLKRYLRLVRDSGAWNLLAKTPGKPAYFFCREICRTVVRFVCGSD</t>
  </si>
  <si>
    <t>GC_00002210</t>
  </si>
  <si>
    <t>MTDLDDLYDLIARAQAAPWGPGCSALWAQAARLAEDLGRDEDALECYSNLVTAYTMGGEATRVIAPFTWCDNMYRTRPDLFTDALKHSFAWQYKYVITALRQVPTVPVQKCKDVLQQMRELYLSLGDELSAVYIREYLLLHHFGEYEDAEKALSNWRAAARTEFSDCVSCDPMHEVRYYSHLKEWDRARSIGEEILNTQDSGSCEAQPEALLTVMMMPWLYTGNDSKAWAAHVRSYRRDRSSPAYLEYIPEHIKYLTLSGRTERALHILLRHLPWWERAETPTVLMELAIAGAQVTAALPPEEIFYGTLPGETLPWHPTGSLVNPTNAQARAWFTTLALDIAALFDARPGLTNPHTVTDVTEQLDTIHLDADLNPADVDTRTAIPDFSGVFNESTEEDTYPPLNLGDRPWLDDTPAGNIFIPTNTIFDLSQTGTITYPFTGHDDAYRLIAEAMATEDPMIACQMADQAMRTHTNEPIGVRIMGYRILGNGAYHAGYLNEAIDAYRNCLNLTAACGLIPIQLACAVDLCRCLNQAKRHHEAAEVAEMTLMTLDNSDINDANETKLRSHLVTALSELEYNGQAAEHALELAENSDDNTARCEHYETAAHLFASDGNYERAKTTWQTRLTLTHPDAQQQAKALYQYCRCIADQPGRVPEHEIIQMETIMDELHTIVTSEGFDEHHSPKWHHAEWLSDKAYMHWHCDQQTNAIAYMQAATQAFHDIDAVVREAKTHLNLGYMHVQRDEHDTALHHAGVVLVLLSSPRFFGNPLINEAQQLIAYINDTP</t>
  </si>
  <si>
    <t>MTDLDDLYDLIARAQAAPWGPGCSALWAQAARLAEDLGRDEDALECYSNLVTAYTMGGEATRVIAPFTWCDNMYRTRPDLFTDALKHSFAWQYKYVITALRQVPTVPVQKCKDVLQQMRELYLSLGDELSAVYIREYLLLHHFGEYEDAEKALSNWRAAARTEFSDCVSCDPMHEVRYYSHLKEWDRARSIGEEILNTQDSGSCEAQPEALLTVMMMPWLYTGNDSKAWAAHVRSYRRDRSSPAYLEYIPEHIKYLTLSGRTERALHILLRHLPWWERAETPTVLMELAIAGAQVTAALPPEGTFHGTLPGETLPWHPTGSLVNPTNAQARAWFTTLALDIAALFDARPGLTNPHTVTDVTEQLDTIHLDADLNPADVDTRTAIPDFSGVFNESTEEDTYPPLNLGDRPWLDDTPAGNVFIPTNTIFDLSQTGTITYPFTGHDDAYRLIAEAMATEDPMIACQMADQAMRTHTNEPIGVRIMGYRILGNGAYHAGYLNEAIDAYRNCLNLTAACGLIPIQLACAVDLCRCLNQAKRHHEAAEVAEMTLMTLDNSDINDANETKLRSHLVTALSELEYNGQAAEHALELAENSDDNTARCEHYETAAHLFASDGNYERAKTTWQTRLTLTHPDAQQQAKALYQYCRCIADQPGRVPEHEIIQMETIMDELHTIVTSEGFDEHHSPKWHHAEWLSDKAYMHWHCDQQTNAIAYMQAATEAFHDIDAVVREAKTHLNLGYMHVQRDEHDTALHHAGVVLVLLSSPRFFGNPLINEAQQLIAYINDTP</t>
  </si>
  <si>
    <t>GC_00002211</t>
  </si>
  <si>
    <t>MKNIRFPWWASPSTLLVISLLVVFYAIVFVDDEQYNIWKTPRYVTHVEAVEVGSVIVAVLLGIVVAASISQRNNENYVADTAKFLKSRQLNTLFYIFTVLTIIGYSIWIIKAFHSGLTGAEVLATIKGDPGAVSQLKGTAQPTAGLTTLTQFGSLVVVLGILRDRLAEKNSKLIVWFVLFLSVLRFVFYAERIAFLEVAVPAVILAASLWPTKVRWPSARKWITNILPIVLGLFVFILFAVGEYSRSWAVLRTQTSQTYTEFIISRFLSYYATATNNGVLYGRLADANNLDHTAFYAFYNLPGSFFGTDAVSGTNFDQWWGMQLELFANPSLTNTGTIFPLIGELSLATVLILFFAVGYISTVLFRQAKNGHLISMMAVPILCYAFVELPRISYLTLGRSVPIFLGILIMWFVFDLWKTTERYTLKEQQQ</t>
  </si>
  <si>
    <t>MKNIRFPWWASPSTLLVISLLVVFYAIVFVDDEQYNIWKTPRYVTHVEAVEVGSVIVAALLGIVVAASISQRNNENYVADTAKFLKSRQLNTLFYIFTVLTIIGYSIWIIKAFHSGLTGAEVLATIKGDPGAVSQLKGTAQPTAGLTTLTQFGSLVVVLGILRDRLAEKNSKLIVWFVLFLSVLRFVFYAERIAFLEVAVPAVILAASLWPTKVRWPSARKWITNILPIVLGLFVFILFAVGEYSRSWAVLRTQTSQTYTEFIISRFLSYYATATNNGVLYGRLADANNLDHTAFYAFYNLPGSFFGTDAVSGTNFDQWWGMQLELFANPSLTNTGTIFPLIGELSLATVLILFFAVGYISTVLFRQAKNGHLISMMAVPILCYAFVELPRISYLTLGRSVPIFLGILIMWFVFDLWKTTERYTPKEQQQ</t>
  </si>
  <si>
    <t>GC_00002212</t>
  </si>
  <si>
    <t>PF13575.12</t>
  </si>
  <si>
    <t>Domain of unknown function (DUF4135)</t>
  </si>
  <si>
    <t>K27862</t>
  </si>
  <si>
    <t>class II lanthipeptide synthase [EC:3.13.2.4]</t>
  </si>
  <si>
    <t>KEGG Orthology (KO)&gt;&gt;&gt;09190 Not Included in Pathway or Brite&gt;&gt;&gt;09191 Unclassified: metabolism&gt;&gt;&gt;99980 Enzymes with EC numbers|Enzymes&gt;&gt;&gt;3. Hydrolases&gt;&gt;&gt;3.13  Acting on carbon-sulfur bonds&gt;&gt;&gt;3.13.2  Thioether and trialkylsulfonium hydrolases&gt;&gt;&gt;3.13.2.4  lanthipeptide synthase</t>
  </si>
  <si>
    <t>MTLERAIADKLLARLRSVAGPVRDIPPERFVSEVRNRTADFLTQIPIELRRAASDAVSDCLGRIIAGNLSRADFAAAMHDQLSKIDEVGEWPQSAVVVDAAGRQWCNVVAQIAGRWYNDLAVASKYRVRSNSALAIRLVMAHRHVGAAAARLEQRIAEELPDTPNRVVLGLGDAHSRQQTVARVEFADRQLIYRPHSMATDQVIADICRLVGAPEPPHAFDMGDHGWSEFLTAGPGVTDEAEFYAAVGAWAAVGYLFNANDLHNENFITVGNTPRLIDLETFFQPEFSFLMAPNNRRWANSVLPMGVLPYRIGNGPDSIDVGLVRSRPTPGARHPFPSFMVRTLDDGSRTFIKEDTLPDDPEGTVFLGTTIPEIDRVKDQVKTAFIDTAQRIVDKLDEVQQIVAAARGIRTRVVLTPTFRYAQVLATAGHPAIADDPFLFTLACAQISLWGNDGVWRSEWAGLMNDEIPLFTMSMTDTEVVLGDGAPLPFPQEKPVASASPAAHLESKLADATADGLAEQCRWLETSFVGRYPENRIHAATDSARNVSHPRSKLVSHIVDMVLQAAGANDEAVFGTDFLSATVGEEFDRNWQVGPSNDDFYGGSAGTLYFLAHLMQHSYRQWVPSDQIEQLLEKAVAGMVTATTPEPPRADYPTGLCTGSSGLLLTAVACGDAIGWVSGGREHIARQCANGAIAVATHARNANLDDINVDAINGLASQLRAYAEIAEYLPEVRPNLRELARVTRRVTRKWLRNYPESPDDAGYAHSTAGVLDAYLAASHLCGATVDTGLVEQQVQAILAAIHATGNVSQGWCHGMAGFGFLAAHLCDHIDTRAAGESLLSAIRPGLLAPVDHLGLSVCHGVAGLAESLMSLYTATGDEEILDRARYLIDEAIPADLVEDGLTKENYSVSLMCGVAGVGQLLLSAPIVAAPWHPVERMNVLWQKTA</t>
  </si>
  <si>
    <t>MTLERAIADKLLARLRSVAGPVRDIPPERFVSEVRNRTADFLTQIPIELRRAASDAVSDCLGRIIAGNLSRADFAAAMHDQLLKIDEVGEWPQSEVVADAAGGQWRNVVAQIAGRWYNDLAVASKYRVRSNSALAIRLVMAHRHVGAAAARLEQRIAEELPDTPNRVVLGLGDAHSRQQTVARVEFADRQLIYRPHSMATDQVIADICRLVGAPEPPHAFDMGDHGWSEFLTAGPGVTDEAEFYAAVGAWAAVGYLFNANDLHNENFITVGNTPRLIDLETFFQPEFSFLMAPNNRRWANSVLPMGVLPYRIGYGPDSIDVGLVRSRPTPGARHPFPSFMVRTLDDGSRTFIKEDTLPADPEGTVFLGTTIPEIDRVKDQVKSAFIDTAQRIVDKLDEVQQIVAAARGIRTRVVLTPTFRYAQVLATAGHPAIADDPFLFTLACAQISLWGNDGVWRSEWAGLMNDEIPLFTMGMTDTEVVLGDGAPLPFPQEKPVASASPAAHLESKLADATASGLAEQCRWLETSFVGRYPENRIHAATDSARNMSHPRSKLVSHIVDMVLQAAGANDEAVFGTDFLSATVGEEFDRNWQVGPSNDDFYGGSAGTLYFLAHLMQHSYRQWVPSDQIEQLLEKAVAGMVTATTPEPPRADYPTGLCTGSSGLLLTAVACGDAIGWVSGGREHIARQCANGAIAVATHARNANLDDINVDAINGLASQLRAYAEIAEYLPEVRPNLRELARVTRRVTRKWLRNYPESPDDAGYAHSTAGVLDAYLAASHLCGATVDTVLVEQQVQAILAAIHATGNVSQGWCHGMAGFGFLAAHLCDHIDTRAAGESLLSAIRPGLLAPVDHLGLSVCHGVAGLAESLMSLYTATGDEEILDRARYLIDEAIPADLVEDGLTKENYSVSLMCGVAGVGQLLLSAPIVAAPWHPVERMNVLWQKTA</t>
  </si>
  <si>
    <t>GC_00002213</t>
  </si>
  <si>
    <t>MTFRTKNLKNVAAWLCLACVLPSMIWRIAMISGVNTGFAFADMYQDGPNLRYVLTLEALQLIGGLLSMGLTIDWTMWLPRWVPLTLGALGNAVLYLILGPLLVRFSASWLGLSDNPTPVDGMSGLHLFWLIIAYVPLFFWPVCLSVALYTYYKRAGNPTRT</t>
  </si>
  <si>
    <t>MTFRTKNLKNVAAWLCLACVLPSMMWRIAMISGVNTGFAFADMYQDGPHFRYVLTLEALQLIGGLLSMGLTIDWTMWLPRWVPLTLGALGNAVLYLILGSLLVRFSASWFGLSDNPTPADGMSGPHLFWLIIAYVPLFFWPVCLSMALYTYYKRAGNPTRA</t>
  </si>
  <si>
    <t>GC_00002214</t>
  </si>
  <si>
    <t>MKLFSRKALLAVATATAVTTGAMTAPTAMAEQSSAAATTQ-QSAAASTSPSESEDANSGSGELRGMSRDEKTGKVSAKKIGEWIGVIGTILTVITSVITFMGKIPNFNFGR</t>
  </si>
  <si>
    <t>MKLFSRKALLAVATATAVTTGAMTAPTAMAEQSSTAATTQSQAAVASTSPSESEDANSGSGELRGMSRDEKTGKISAKKIGEWIGVIGTILTVITSVITFMGKIPNFNFGR</t>
  </si>
  <si>
    <t>GC_00002215</t>
  </si>
  <si>
    <t>MRRPLCIIQRLSRATGSGGRRGAICAARATKTVAAAMSGLIVLATSMIPATAATVDVAAAPARTQIIMMKDNGEVIETPGAHESRASLSIVKLYLGHWVLQHGAPEDKALVYEMIRSSHDGIASNLDRKYRQAIPDTIGRFRLTETNYRGRWGDTTTSVHDMAAFVRAVRTDPAARPLIDGMRNPAAVAADGYPQNFGTATLPGIEGTKFGWSDKRDVHATVSFGPGFVVAAHTFGSAQVHTDDVRRAVHTDGLVAGAQQIQIGGVTIPVASGAELKARTRCTKTEQFWQGVPDTVLVPRYVLDVIPAC</t>
  </si>
  <si>
    <t>MRRPLCIIQRFGRATGSGGRRGTICAARATKTVAAAMSGLIVLATSMIPAAAATVDVAAAPARTQIIMMKDNGEVIETPGAHESRASLSIVKLYLGHWVLQHGAPEDKALVYEMIRSSHDGIASNLDRKYRQAIPDTIGRFRLTETNYRGRWGDTTTSVHDMAAFVWAVRTDPAARPLIDGMRNPAAVAADGYPQNFGTATLPGIEGTKFGWSDKRDVHATVSFGPGFVVAAHTFGSAQVHTDDVRRAVHTDGLVAGAQQIQIGGVTIPVASGAELKARTRCTKTEQFWQGVPDTVLVPRYVLDVIPAC</t>
  </si>
  <si>
    <t>GC_00002216</t>
  </si>
  <si>
    <t>MSATQDHLTITSGESGLRALLLRARGLDEQATVRFRQLGEQVDCFVTTPFRVLASRRVVGEVSRDGAAAGVSAVLEALDSSPENASLGPARDAMFPGALPPASGFVLVDELPVGVVRDLADQGRALARQFSGPMGPPASLMDQTVITATSSSGDTSVEVPMRAVFACTALQLIPGGSAPEEIPRQLRVSSVGRWLRIDAPFGSVYFSAGGFSLVDRLV</t>
  </si>
  <si>
    <t>MSPTQDHLTITSGESGLRALLLRARGLDEQATVRFRQLGEQVDCFVTTPFRVLASRRVVGEVSRDGAAAGVSAVLEALDSSPENASLGPARDAMFPGALPPASGFVLVDELPVGVVRDLADQGRALARQFSGPMGPPASLMDQTVITATSSSGDTSVEVPMRAVFACTALQLIPGGSAPEEIPRQLRVSSVGRWLRIDAPFGSVYFSAGGFSLVDRLV</t>
  </si>
  <si>
    <t>GC_00002217</t>
  </si>
  <si>
    <t>MNILVLGATGNIGTPLTQRLHDDGHTVTAWSRRTHGDLSTQLIPLDMVEGTELIIDVTDAKRRSSMLPTMATNVVSSVHRAAVTPRILCLGILNQDKSTFSYYKHKQQQHQVYASSGLPYTTVRCTQFTTFLTSLFDAATPTGLITLPTGARWQLIDPRDVATQLASLPQSDVLTLAGPETLTSREAAERYRTAHGSKRILVNLRVPGAFGKFLREGLNLTTEPDAMGTLTYQGR</t>
  </si>
  <si>
    <t>MNILVLGATGTIGTPLTQRLHDNGHTVTAWSRRTHGDLSTQLIPLDMVEGTELIIDVTDAKRRSSMLPTMAANVVSSVHRAAVTPRILCLGILNQDKSTFSYYKHKQQQHQVYASSGLPYTAVRCTQFTTFLTSLFDAATPTGLIPLPTGARWQLVDPRDVATQLACLPQSDVLTLAGPETLTSREAAERYHTAHGSKRILVNLRVPGAFGKFLREGLNLTTEPDAMGTLTYQGR</t>
  </si>
  <si>
    <t>GC_00002218</t>
  </si>
  <si>
    <t>MLYATIVQRKIKRTFREINQGNVQPMLDTLADPFVYVFHGTHALGGRRTSKDAMRLWWERVFRLLPGIRFDVQEVVISGCPWNMRVAVRSLVSGDLPNGELYSNTAFQFMKLRWGRITRIETMEDTQLLEQALRVVAESGCVEALEPPMNE</t>
  </si>
  <si>
    <t>MLYATIVRRRIKRTFRDINQGNVQPMLDTLADPFVYVFHGTHALGGRRTSKDAMRLWWERVFRLLPGIRFDVQEVVINGWPWNTRVAVRSLVSGDLPNGELYSNTAFQFTNVRWGRITRIETMEDTQILEQALQVVAESGCVEALEQPING</t>
  </si>
  <si>
    <t>GC_00002219</t>
  </si>
  <si>
    <t>MSIPLVEPRDGLPPLCESPDQFHEALARLEAGNGPLAIDTERASGIRYGNRAFLVQIRRAGCGTVLFDAEQHRTELGEILKPLLNSTTWVLHAAVSDLPSLQNFGWFPIRLFDTEVAGRLAGFDRVNLAAMVEKVLGLHLAKGLAQSDWSRRPIPAAWLTYAALDVEVLLELADSMAAILTADGKTAWAEQEFEHIRLQARQPQAESTWQDMKGISVLTRPPQLAVAQALWTTREAIALRKDLSPGRVLRNRVLLDVARTLPTSPVELAKIPGFPKNKGAAYRWFRVVSQALHTPREQWPQPSPQVFDPQSRSWTKHDKAAAAALSDAKNIVAEIASRYHVPESYVLPTAIIKKAVWSTRVAKNITSKEQLQDLLAQQAVRPWQRGLVLEPLAAVLL</t>
  </si>
  <si>
    <t>MSIPLVEPRDGLPPLCESPDQFHEALARLEAGNGPLAIDTERASGIRYGNRAFLVQIRRAGCGTVLFDAEQHRTELGEILKPLLNSTTWVLHAAVSDLPSLQNFGWFPTRLFDTEVAGRLAGFDRVNLAAMVEKVLGLHLAKGLAQSDWSRRPIPAAWLTYAALDVEVLLELADSMAAILTADGKTAWAEQEFEHIRLQARQPQAESTWQDMKGISVLTRPPQLAVAQALWTTREAIALRKDLSPGRVLRNRVLLDVARTLPTSPVELAKIPGFPKNKGAAYRWFRVVSQALHTPREQWPQPSPQVFDPQSRSWTKHDKAAAAALSDAKNIVAEIASRYHVPESYVLPTAIIKKAVWSTRVAKNITSKEQLQDLLAQQAVRPWQRGLVLEPLAAVLL</t>
  </si>
  <si>
    <t>GC_00002220</t>
  </si>
  <si>
    <t>MNSRMNRTIFIIALTAALTGAMAPCAGAQETSPSTPGSLDPLGRCGTLTMIAKLSADVGMGVLTGVIDSYRVAFGSIDFQNPDGLTVKDRLINKTHAFPHQLIDIPRLNQSEREQRYGQYC</t>
  </si>
  <si>
    <t>GC_00002221</t>
  </si>
  <si>
    <t>COG4963</t>
  </si>
  <si>
    <t>Flp pilus assembly ATPase CpaE/TadZ, contains N-terminal REC/TadZ_N domain (CpaE) (PDB:4LDA)</t>
  </si>
  <si>
    <t>MSGVQQEAIVVAVEDPVLHPEAMHVAAATGRPVVETCVPAEVVRASRNASAVLVDAATAAVFTHERRDRVFFLGLDPGPVDWRRAMECHAEHAFLLPAQAPELLAMLGRHNRARGTARTIGVMGVCGGAGTSVLAASIALTGAPALLIDAVPYGGADLLLGIENTPGARWQDLNLGDGFVGASDLWQALPHTKSEVAVLTSARTTMADGFSLDPARVSSAVECAQTGDNLVVVDTCDAAVLGLCDLVALVIPAEVRAVAAATTLAAQLKAQRIHPIGVLRHRGWSGMDADEVERVVQLPIVGEVAHVPRLAKTVETQGLRSIPRPLTKVALDVMDELNV</t>
  </si>
  <si>
    <t>MSGVQQEAIVVAVEDPVLHPEAMHVAAATGRPVVETCVPAEVVRASRSASAVLVDAATAAVFTHERRDRVFFLGLDPGPVDWRRAMECHAEHAFLLPAQAPELLAMLGRHNRARGTARTIGVMGVCGGAGTSVLAASIALTGAPALLIDAVPYGGADLLLGIENTPGARWQDLNLGDGFVGASDLWQALPHTKSEVAVLTSARTTMADGFSLDPARVSSAVECAQTGDNLVVVDTCDAAVLGLCDLVALVIPAEVRAVAAATTLAAQLKAQRIHPIGVLRHRGWSGMDADEVERVVQLPIVGEVAHVPRLAKTVETQGLRSIPRPLTKVALDVMDELNV</t>
  </si>
  <si>
    <t>GC_00002222</t>
  </si>
  <si>
    <t>MILTAGALAITATAPAVAAPVDNPTIDPVGYNIVNGVQDQEHPITVADITKDTGSSSTPSSLGTHPILEQDNVEEKIIEGDSRTQVTTTTEAPFRWVGLITYTTQAGGTGRCTGSLVAADTVVTAGHCLNKNGSNITFTPGQNGADKRFRTAKARQVWYDKTGSAAGHDWGVIKLETPIGSDVGWFGMRTPEPGSLNGSFATVIGYPGDKPFGTMWKGRNKILKANKLQAHYSADTSDGESGASIVDDTAIIYGIHTSGTNQQNWGTLLTGELFNTIVNISKREVEG</t>
  </si>
  <si>
    <t>MILTAGALALTATTPAVAAPVDNPTIDPVGYNIVNGVQDQEHPITVADITKDTGSSSTPSSLGTHPILEQDNVEEKIIEGDSRTQVTTTTEAPFRWVGLITYTTQAGGTGRCTGSLVAADTVVTAGHCLNKNGSNITFTPGQNGADKRFRTAKASQVWYDKTGSAAGHDWGVIKLETPIGSDVGWFGMRTPEPGSLNGSFATVIGYPGDKPFGTMWKGRNKILKANKLQAHYSADTSDGESGASIVDDTAIIYGIHTSGTNQQNWGTLLTGELFNTIVNISKREVEG</t>
  </si>
  <si>
    <t>GC_00002223</t>
  </si>
  <si>
    <t>COG4123</t>
  </si>
  <si>
    <t>tRNA1(Val) A37 N6-methylase TrmN6 (TrmN6)</t>
  </si>
  <si>
    <t>MPNNEFGDFQTPLALARRCLEVLALPQHGPIRVLEPTCGRGAFLRAAKERNPTSIRYGIDINADYVQVARNYGTVAHANIFTRNLTDISWPDPTAPLFVIGNPPWVTAAELNRMGSNNIPPKKNYKGMPGIAALLGSSNFDVCEYIILKALTELRGQPLRLGMLCKTHVARNVLVECARARIQVATAALYPINARRWFNAEVDACWFTLTIDPALPQGNYAIDVHENLFGGAGKIARRWGVVGTTLVSDLDAYQLVRSADGPSPYTWRSGLKHDAARVFEFTSFPENLESEYIYPLLKGTDVFRGRHQHPSRWVLVPQHKFGEDTAHLQYTAPKVWRYLIRHAAALDNRKSMIYRNRPRFSVFGHGDYTFAPLKVSCSGMHKESRFQLVTQAKTPRGARPVVLDDTCYFLPFENSTHAALVTAILRSPECQAFIQSLVFWDAKRPITKKLLSHIDLFALPCDRPTIRATAAAIAADAGVRFDADAATELF</t>
  </si>
  <si>
    <t>MPNNEFGDFQTPLALARRCLEVLALPQHGPIRVLEPTCGRGAFLRAAKERNPTSIRYGIDINADYVQVARNYGTVAHANIFTRNLTDISWPDPTAPLFVIGNPPWVTAAELNRMGSNNIPPKKNYKGMPGIAALLGSSNFDVCEYIILKALTELRGQPLRLGMLCKTHVARNVLVECARARIQVATAALYPINARRWFNAEVDACWFTLTIDPALPQGNYAIDVHENLFEGAGKIARRWGIVGTTLVSDLDAYQLVRSADGPSPYTWRSGLKHDAARVFEFTSFPENLESEYIYPLLKGTDVFRGRHQHPSRWVLVPQHKFGEDTAHLQYTAPKVWRYLIGHAAALDNRKSMIYRNRPRFSVFGHGDYTFAPLKVSCSGMHKESRFQLVTQAKTPRGARPVVLDDTCYFLPFENSTHAALVTAILRSPECQAFIQSLVFWDAKRPITKKLLSHIDLFALPCDRSTIRATAAAIAADAGVRFDADEATELF</t>
  </si>
  <si>
    <t>GC_00002224</t>
  </si>
  <si>
    <t>K23723</t>
  </si>
  <si>
    <t>iron(III)-salmochelin esterase [EC:3.1.1.109]</t>
  </si>
  <si>
    <t>COG2382</t>
  </si>
  <si>
    <t>Enterochelin esterase or related enzyme (Fes) (PDB:2B20)</t>
  </si>
  <si>
    <t>KEGG Orthology (KO)&gt;&gt;&gt;09190 Not Included in Pathway or Brite&gt;&gt;&gt;09191 Unclassified: metabolism&gt;&gt;&gt;99980 Enzymes with EC numbers|Enzymes&gt;&gt;&gt;3. Hydrolases&gt;&gt;&gt;3.1  Acting on ester bonds&gt;&gt;&gt;3.1.1  Carboxylic-ester hydrolases&gt;&gt;&gt;3.1.1.109  iron(III)-salmochelin esterase</t>
  </si>
  <si>
    <t>MPIFYTDDQLIELISQSTDPSNTWSTIWETITREGTPLVDEDSLRMTFLFDAAAVSDMDVESVHVWINRLTDKERVAQGFMKNIPGTTVWVRTVEVPPSLRAAYCFRINAGEHRPPGHNRYPHRRDPHARNGHLVIDGDYGLSLLQGPDVVEVPESSAWQHVDLAHPSRSITSSISGLPTYLYLPIIPHKDLPLVVLIDADVWFQRLKLDQVLDYLIAQGHMPACAVLGIGFTDPAKRRRLLGANNELTALLTGPAVEYAQRQAQSAGHTIAHDTIIIAGQSLGGLTSLWAALRHPDRIRSVIASSPSLWWRPEDGCTPADLATINVPWLVEQILTEAPNHSAHSASDTCDMLPPAYLDVGIREGMSVAHMHGLHFAMTSRNWEHRFEVWDGGHDFAWWREALPHRLSQTLRTLPPATVNYQ</t>
  </si>
  <si>
    <t>MPIFYTDDQLIELISQSNDPSNAWSIIWETITREGTPLVDEDSLRMTFLFDAAAVSDMDVESVHVWINRLTDKERVTQGFMKNIPDTTVWVRTIEVPPSLRAAYCFRINAGEHRPPGHNRYPHRRDPHARNGHLVIDGDYGLSLLQGPDVVEVPESSAWQHVDLAHPSRSITGSISGLPTYLYLPIIPHKDLPLVVLIDADVWFQRLKLDQVLDYLIAQGHMPACAILGIGFTDPAKRRRLLGANNELTALLTGPAVEYAQRQALSAGHTIAHDTVIIAGQSLGGLTSLWAALRHPDRIRSVIASSPSLWWRPEDGCTPADLATINVPWLVEQILTEAPNHSAHSASNTCDMLPPAYLDVGIREGMSVAHMHGLHFAMTSHNWEHKFEVWDGGHDFAWWREALPHRLSQTLRTLPPATVNYQ</t>
  </si>
  <si>
    <t>GC_00002225</t>
  </si>
  <si>
    <t>PF00872.24</t>
  </si>
  <si>
    <t>Transposase, Mutator family</t>
  </si>
  <si>
    <t>MTYLFNDILLPWSLLVAVAVIMFVLRKSRNQWQDLALAWALAAIGTIHIMVAPPTTTPSMLGFPIVTTTMWVFPLAAILVLRCVIGTTMMFMWPGVAFALYLGAVGFMCFDGFARGIIMVPAIIILLTSLHLWARTYMWCLLAKPLTGWVCGASVAVMGRDNILLFPVFILCVVLAIKLISDPYETSEPEEERPQSVAATPPPVASPNASNRWHRRYLGGGYTRLIIDTITVKIADSYQRIFIIIGIDKAGAEQALGLWPDADHVWENIGTQLRLRGVTTIPTVFCPESPHLKHTIELAWPGATVHFDDPTPQSRRRSRALRQAACSKPHADTASMMDALWVALYDYEMKEQPSTGRRQAKC</t>
  </si>
  <si>
    <t>MTYLFNDILLPWSLLVAIAVIMFVLRKSRNQWQDLALAWALAAIGTIHIMIAPPTTTPSMLGFPIVTTTMWVFPLAAILVLRCVIGTTMAFMWPGVAFALYLGAVGFICFDGFARGIIMVPAIIILLTSLHLGARTYMWCLLAKPLTGWVCGASVAVMGRDNILLFPVFILCVVLAIKLISDPYEPSEPEEEMPQPVAATPPPTASPNASNRWHRRYLGGGYTRLVVDTITVKIADSYQRIFIIIGIDKTGTEQALGLWPDTDHVWEDIGTQLRLRGVTTIPTIFCPESPHLKHAIELAWPGVTVHFDDPTPQSRSRSRALRQAARSKPHADTTSMMDALRVALYDYETKEQPPTGRRQAKC</t>
  </si>
  <si>
    <t>GC_00002226</t>
  </si>
  <si>
    <t>MNNSHTYSPHMVWIIAGLLLAAVGQLTVWCLNNPSLQGVGWVATVIGSVIAVISRTVFTAMIPATTTRDY</t>
  </si>
  <si>
    <t>MNNSHTYSPHMVWIIAGLLLAAVGQLTVWCLNNPSLQGVGWVATVIGGVIAVISRTVFTAMIPATTTRDY</t>
  </si>
  <si>
    <t>GC_00002227</t>
  </si>
  <si>
    <t>MDTSTVLRTLLNDQDRAELLGRDTAITQVEVAPDTSIVLGLADNRWARVLWPTQHSSAKRVADWARHYHLWESTTQLSRDILLQQGELKADEKLAPHLVGMGGSTRVLRYTPSKRVVLRHGNHVIEVSHRRFPQHQITGVPTPRKLGPVADPHLVVHEFVADRNLSSEHAPELDAIAGMVFARLHRLPPPEGPCTNVFRRLAALAQLFRYLNPILAARLNWIAGHVEELGGTPVFSHGDASPARVLTDGTQLWLTNFERACGGPAAVDVGSYVETSDSEAGERFISGYTRAGGKLPNARALRHARAQAKLLRIADPLRQGHADWETEIFAELDAVKELVL</t>
  </si>
  <si>
    <t>MDTSTVLRTLLNDQDRAELLGRDTAITQVEVAPDTSIVLGLADNRWARVLWPTQHSSAKRVADWARHYHLWESTTQLSRDILLQQGELKADEKLAPHLVGMGGSTRVLRYTPSKRVVLRHGNHVIEVSHRRFPQHQITGVPTPRKLGPVADPHLVVHEFVADRDLSSEHAPELDAIAGMVFARLHRLPPPEGPCTNVFRRLAALAQLFRYLNPILAARLNWIAGHVEELGGTPVFSHGDASPARVLTDGTQLWLTNFERACGGPAAVDVGSYVETSDSEASERFISGYTRAGGKLPNARALRHARAQAKLLRIADPLRQGHADWETEIFAELDAVKELVL</t>
  </si>
  <si>
    <t>GC_00002228</t>
  </si>
  <si>
    <t>PF10101.14</t>
  </si>
  <si>
    <t>Predicted membrane protein (DUF2339)</t>
  </si>
  <si>
    <t>COG5373</t>
  </si>
  <si>
    <t>MEISHSEKLLFERTLEKLSQAERALGEARMDMHTLLLQRQQLSAPEQSGESVGQSTTEQQAAEQQAATPSAPSAPAPQPSGIVNPAGPRINPGVPHINPGAANPPVQPTPLTRPPIQPMPVYSAQANIQPPGQPGSQADQVLPTRSRWWTSEQIVVRVIATLGTLITIAGVFFLVVLAIQNGLLGPLGRVILASAFSAVMGGIGVIAHKRHAHKAAVGAFCTTSLLSAMATVFSLVVILEWWPEPAGTATIIALTVGFIALATVWNEEGVAIALGIGASIVGSIYFASCVNYAEFSTLPSTLAPTTLAIAAYIRKWSKGIDIAVIFTLITAFFYVLSSDSSTMILPTTPVVVITAVIFVAMGANTERMPWNPLLTIVAPAVLFGLGALGLETMPSLSTHVSTRPLSWVLIAGSICYITIAIVNHNKALIQFGSVFLALNFLPVYVMAAPLGADVLLNKPMVVCIFLLTAVGVTWWMTSGIKFRGGVWYCWAATALILTYMVADGVLSGTFLWLGTFWATAQAAAIIILLLVALRRRSGLTHLSGTTQSGLALVSLHLSMLAIVSIATYLGGLSGNVKGGYLVGHATVSVLWMLLACYVLLRARFLSRQASLIVGLVLAFASIGKLMFFDFGNLHGLPRVAAFIISGVVLLAIAALRNRQSSNKTSITAAEDPAPLVGVSTQANSPTPDATYNDAPPASDVTSVQPAAPGQVPPLSETPLPSMNDREKPQDPHNPQVGPVQKPDEDQ</t>
  </si>
  <si>
    <t>MEISHTEKLLFERTLEKLSQAERALGEARMDMHMLLLQRQQLSEPEQSGESVGQSTTEQQAAEQQAAMPSALSAPAPQPSGIVNPAGPRINPGVPHINPGAANPPVQPAPLTRPPIQPTPVYSAQANIQPPGQPGSQADQVLPTRSRWWTSEQIVVRVIATLGTLITIAGVFFLVVLAIQNGLLGPLGRVILASVFSAVMGGIGVVAHKRHAHKAAVGAFCTTSLLSAMATVFSLVVILEWWPEPAGTATIIALTIGFIALATVWNEEGVAIALGIGASIVGSIYFASCVNYAEFSTLPSTLAPTTLAIAAYIRKWSKGIDIAVIFTLITAFFYVLFSDSSTMILPTTPVVVITAVIFVAMGANTERMPWNPLLTIAAPAVLFGLGALGLEAMPSLSTHVSTRPLSWVLIAGSICYIAIAIVNHNKALIQSGSVFLALSFLPVYVMAAPLGADVLLNKPIVVCIFLLTAIGVTWWMTSGIKFRGGVWFCWAATALILTYMVTDGVLSGTFLWLGTSWATAQAVAIIILLLVALRRRSGLTHLSGTAQSGLALVSLHLSMLAIVSIATYLGGLSGNVKGGYLIGHATVSVLWMLLACYVLLRARFLSRQASLIVGLVLAFASIGKLMFFDFGNLHGLPRVAAFIISGVVLLAIAALRNRQSPQKTSITAAEDPAPLVRVSTQANSPTPDATYNDAPPASDVTSVQPAAPGQVPPLSETPLPSMSDREKPQDPHNPQVGPVQTPDEDQ</t>
  </si>
  <si>
    <t>GC_00002229</t>
  </si>
  <si>
    <t>MVTTPDFLPENKTLTPELVATLPKICLQSRGDLSTILAQAKNRHVMYVEHLAAVADVPRLANIAEESSIMVGFVVDCTGPADLEAIMDDPTGLIVGAVAHTPEVAALLRNALVPYVYDGSVLEQVIYAAARITDAIGLVSDFQLTDDAEIIPTGAAVFVLDRNLPLLCQPAEDIRQEKIEIMSDHPLVLLDSMGFNVAVDDMTAEVIEATELEIDQYYRLLHNTLDASFLPMRTRMALREQVIEPAFAELVDAATDVSSSSPASQQSAQEPPISLTPEQAAAIDPALLAELGITWADLGLE</t>
  </si>
  <si>
    <t>MVTTPDFLPENKTLTPELVATLPKICLQSRGDLSTILAQAKNRHVMYVEHLAAVADVPRLANIAEESSIMVGFVVDCTGPADLEAIMDDPTGLIVGAVAHTPEVAALLRNALVPYVYDGSVLEQVIYAAARITDAIGLVSDFQLTDDAEIIPTGAAVFVLDRNLPLLCQPAEDIQQEKIEIMSDHPLVLLDSMGFNIAVDDMTAEVIEATELEIDQYYRLLHNTLDASFLPMRTRMALREQVIEPAFAELVDAATDVSSSSPASQQSAQEPPISLTPEQAAAIDPALLAELGITWADLGLE</t>
  </si>
  <si>
    <t>GC_00002230</t>
  </si>
  <si>
    <t>MVQRFKPISDDCHITSEFAAGHPGVDFGRDGGSGDQPVFAAQAGLVTHAGAAQGFGGPAPAGWIVIDHPTAAGSGTTVYGSIIAEVAEGEWVRAGQRIARINPDPNTNGGTAPHLHFQVHPFVWQPGSQIDPVAWLDDAPAPTPAQSNPPICYGVDLSNHQPDINLKTIAEEGFEFAILKATEGTWLDPCFQQHYSAAREAGLHTAAYAYVRSETSPQEHADALDNVVRAAAGDMSVPICLDIESGSGTDPDHWRAIHDEFTSRGYQVILTYLPRWYWQQVGSPDLADTGLPPLWSSHYVEPQQGYASAIYQRAGTGGWRSYGGLLVDLWQFSSEATVAGHTIDVNAYLGDPRDLFG</t>
  </si>
  <si>
    <t>MVQRFKPISDDCHITSEFATGHPGVDFGRDGGSGDQPVFAAQAGLVTHAGAAQGFGGPAPAGWIVIDHPTAAGSGTTVYGSIIAEVAEGEWVRAGQRIARINPDPNTNGGTAPHLHFQVHPFVWQPGSQIDPVAWLDDAPAPTPAQSNPPICYGVDLSNHQPDINLKTIAEEGFEFAILKATEGTWLDPCFQQHYSAAREAGLHTAAYAYVRSETSPQEHVDALDNVVRAAAGDMSVPICLDIESGSGTDPNHWRAIHDEFTSRGYRVILTYLPRWYWQQVGSPDLADTGLPPLWSSHYVEPQQGYASAIYQRAGTGGWRSYGGLLVDLWQFSSEATVAGHAIDVNAYLGDPRDLFG</t>
  </si>
  <si>
    <t>GC_00002231</t>
  </si>
  <si>
    <t>MGTFDKAKDALKSELITDAVLDKAAAAAKSKLGQDKASQIDMARDFIDKKVGSE</t>
  </si>
  <si>
    <t>MGTFDKAKDALKSELITDAVLDKAAAAAKSKLGQDKASQVDMARDFIDKKVGSE</t>
  </si>
  <si>
    <t>GC_00002232</t>
  </si>
  <si>
    <t>MVPESVNLSDLSEQLLVDGVALERDNDALHQDLMAARDYATSRGVGELGIAVLEAPPARLADMRDIAQELARDTGIATMVVKVPGTAAVVSTKYSRADLEKAQQSLVVQPDYGVGVRGFADSLAHPLPVGLLSALLLVVVAAAVGASLMRIKAYT</t>
  </si>
  <si>
    <t>MVPESVNLSDLSEQLLVDGVALERDNDALHRDLMAARDYAASRGVGELGIAVLEAPPARLADMRDIAQELARDTGIATVVVKVPGTAAVVSTRYSRADLEKAQQSLVVQPDYGVGVRGFADSLAHPLPVGLLSALLLVVVAAAVGASLMRIKAYT</t>
  </si>
  <si>
    <t>GC_00002233</t>
  </si>
  <si>
    <t>MTGTINFDYDTEYDLYVSDPVAVPQLGISSTTFRFEKELVDTAGLPRIRTAIDALRSSTTDLIAQATPYVYQLYKLYFDMADKYDWEQYLPDLPEAEVWSLVNEVGSWCTVVREDDHVLIAVECDVEWDVEHGMMMVYQDGATLVKVGSAAEAYTNVDGSIFSEEG</t>
  </si>
  <si>
    <t>MTGTINFDYDTEYDLYVSDPVAVPQLGISSTTFRFEKELVDTAGLPRIRTAIDALRSSTTDLIAQATPYVYQLYKLYFDIADKYDWEQYLPDLPEAEVWSLVNEVGSWCTVVREDDHVLIAVECDVEWDVEHGMMMVYQDGATLVKVGSAAEAYTNVDGSIFSEEG</t>
  </si>
  <si>
    <t>GC_00002234</t>
  </si>
  <si>
    <t>PF17802.7</t>
  </si>
  <si>
    <t>Prealbumin-like fold domain</t>
  </si>
  <si>
    <t>MNIFKKSLVAAVATGVILTSTGIGMGVAVATPGATKSVPGASSSIPNAPVGTINKTAPTSLTIHKFSKNNVGTERDNGLRRDNVNGLGEPLRNAVFQVQKVNNIDLTTNEGWLAAEKVVKTGSNDLGPAVTKPTGANGEAVFDGLAVGLYKVTEISAPLGYESVEREFYVTLPLTNPNTKNTWEYNVHVYPKNKPVEDVITKTVQDQGKNVGDRIGYTITSKIPESQKLASYKVADVYDPARLTDGHIKSVKLADNSVTFNEGVDYAVRQENAAGKAKLVIDFTAAGLAKISNLPAQKRKLVTVADFMVQHVNSVDPLAPVVNDAELTSYSEHEDPTNPKPPSTPKDKPKTYFGNVKVVKQNSDKQPLNEARFDIYACDDINHLGNKIRTDVVPGATVQGLHVNDFADGAAVENQAEKAKGYCLVETKAHPGYSLLATPFFFQVNKGSNETIALSTPTVTDAKHNGGHNLPLTGGAGITTLILAGGLIVLVGGGSAVYMFRRQGS</t>
  </si>
  <si>
    <t>MNIFKKSLVAAVATGVILTSTGIGMGVAVATPGATKSVPGASSSIPNAPVGTINKTAPTSLTIHKFSKNNVGTERDNGLRRDNVNGLGEPLRNAVFQVQKVNNIDLTTNEGWLAAEKVVKTGSNDLGPAVTKPTGANGEAVFDGLAVGLYKVTEISVPLGYESVEREFYVTLPLTNPNTKNTWEYNVHVYPKNKPVEDVITKTVQDQGKNVGDRIGYTITSKIPESQKLASYKVADVYDPARLTDGHIKSVKLADNSVTFNEGIDYAVRQENAADKAKLVIDFTAAGLAKISNLPAQKRKLVTVADFMVQHVNSVDPLAPVVNDAELTSYSEHEDPTNPKPPSTPKDKPKTYFGNVKVVKQNSDKQPLNEARFDIYACDDINHLGNKIRTDVVPGATVQGLHVNDFADGAAVENQAEKAKGYCLVETKAHPGYSLLATPFFFQVNKGSNETIALSTPTVTDAKHNGGHNLPLTGGAGITTLILAGGLIVLVGGGSAVYMFRRQGS</t>
  </si>
  <si>
    <t>GC_00002235</t>
  </si>
  <si>
    <t>PF01555.25</t>
  </si>
  <si>
    <t>DNA methylase</t>
  </si>
  <si>
    <t>K07316</t>
  </si>
  <si>
    <t>adenine-specific DNA-methyltransferase [EC:2.1.1.72]</t>
  </si>
  <si>
    <t>COG2189</t>
  </si>
  <si>
    <t>Adenine specific DNA methylase Mod (Mod) (PDB:4ZCF)</t>
  </si>
  <si>
    <t>Enzymes&gt;&gt;&gt;2. Transferases&gt;&gt;&gt;2.1  Transferring one-carbon groups&gt;&gt;&gt;2.1.1  Methyltransferases&gt;&gt;&gt;2.1.1.72  site-specific DNA-methyltransferase (adenine-specific)|Prokaryotic defense system&gt;&gt;&gt;Restriction and modification system (R-M system)&gt;&gt;&gt;Type III R-M system</t>
  </si>
  <si>
    <t>----MNEVPATSPNFQSEVAQKLASLFPEVIADGKIDVAALQTLLGEDAA-GGERFGLFWPGKSQAITAAQTPTTATLAPDHENSVDWENTQNVVIEGDNLEVLKILQKHYYGKIKMIYIDPPYNTGNDFVYEDDYADPIGTYLDITGQRDGDGKLSTNTESVGRFHSNWLNMMYPRLKLARNLLREDGVIAVSIDDDELPRLLMMMEEVFSSDMFYANICWQKKYAPANDAKRFSDMHDFIILFSRSDAFVRGL</t>
  </si>
  <si>
    <t>MSDQINEVPATSPNFQSEVAQKLASLFPEVIADGKIDVAALQTLLGEDAAGGGERFGLFWPGKTQAITAAQTPTTATLAPDHENSEDWENTQNVVIEGDNLEVLKILQKHYYGKIKMIYIDPPYNTGNDFVYEDDYADPIGTYLDITGQRDGDGKLSTNTESVGRFHSNWLNMMYPRLKLARNLLREDGVIAVSIDDDELPRLLMMMEEVFSSDMFYANICWQKKYAPANDAKRFSDMHDFIILFSRSDAFVRGLFPRTAENNKPYKYDDGDGRGPYRTGDLSVRTYNAANDFPITNPNTGKIYNPPTGRCWAFSEETLRRYIDEKRIYWGKNGTGAPQLKRYLSEVQQGTVPSTWWTHEFAGHNDEARKEIRALFHTTAIFETPKPTRLIKRLLQVLTSPNNDNLVLDFFAGSGTTADAIMQLNSEDGGNRRCISVQLPEPTPAGSVAREQGFETIADISRERIRRAGTKILQEEATKLDGCSKALDVGFRAYKLVDTNFTKWRADSSLDADELSDLFTQMHESADDHARPEALLTEILLKLGFSLTEQVTGVDVAGLHVFNVLDGLVMAYLDEHTKPTLEQLRALVVLEPERLVILEDAFQGDDELKTNLVQECRTHGVDLWTA</t>
  </si>
  <si>
    <t>GC_00002236</t>
  </si>
  <si>
    <t>MMPPSGRSGTLELVHRPAKLTPEFTNTHMRLAGFWWVDRQAYRRAPAYRRFETNVEAVGRSLRKGVISGMAAAVIHKIPILNESHRSLVDVTPQEQRKPPSRSQWPAIVHYRYADLPEEDITEINGTRVTTIERTFVDICAMNGEVEGLAFLEAAIRRFGRRKEKFWAHLNRHRGRWGTRKACKVLTQALYGIDSVQETYARYAITHALPKLTVDAQAIFSTPSKNPSFTTYYRADLLVNNWLIIEIDGAIKYHGTPEQRAETYAKQIAREQSIAKHGYYFLRVAPSQIGPALINHINNLTTHIHYDQLPHQHQLVNLSVAPPWWQLREERMNRR</t>
  </si>
  <si>
    <t>MMPPSCGSGTLELVHRPAKLTPEFTNTHMRLAGFWWVDRQAYRRAPAYRRFETNVEAVGRSLRKGVISGMAAAVIHKIPILNESHRSLVDVTPQEQRKPPSRSQWPAIVHYRYADLPEEDITEINGTRVTTIERTFADICAMNGEVEGLAFLEAAIRRFGRRKEKFWAHLNHHHGRWGTRKACKVLAQALYGIDSVQETYARYAITHALPKLTVDAQAIFSTPSKNPSFTTYYRADLLVNNWLIIEIDGAIKYHGTPEQRAETYAKQIAREQSIAKHGYYFLRVAPSQIGPALINHINNLTTHIHYDQLPHQHQLVNLSVAPPWWQLREERMSRR</t>
  </si>
  <si>
    <t>GC_00002237</t>
  </si>
  <si>
    <t>MNILRFGPPVPAKSDHARQSNDATRLGTVGHMSNRRRNTSQTATFVRIGGQEAGGLLLGAKGAGAAAGSWILLVALLVACLFFNWLAILPVLILIGGAIIAAGRHTWASILTIMLLALLGFSSGLFFWWSYYVRIDAARTNEPTPVAADWNLVSLAIFGACLAGMYGIGVWGRRRKQQHNRV</t>
  </si>
  <si>
    <t>MNILRFGPPAPAKSDHARQSNDATRLGTVGHMSNRRRNTSQTATFVRIGGQEAGGLLLGAKGAGAAAGSWILLVALLVACLFFNWLAILPVLILIGGAIIAAGRHTWASILTIMLLALLGFSSGLFFWWSYYVRIDAARTNEPTPVAADWNLVSLAIFGACLAGMYGIGVWGRRRKQQHNRV</t>
  </si>
  <si>
    <t>GC_00002238</t>
  </si>
  <si>
    <t>MCLTFLGTGSGTPTRTRNTAATIYARPDRSEFWLFDCGEATQHQMLRHGINMNKVSRVFITHMHGDHTFGLPGFISSRAFRTPGDPLTIYGPPGIAEFVSVTLNTSASHIRYPLKVVELDHAGEVPLGQDDTVTVRYTTLDHGVQSYAYRITEADQPGELQVDKLIDHGVQPGPCYGQLKRGEDITLDNGTVLRSADFVGPPQSGPDIVLFGDTRFVPGHADFAAGADLMVHEATYGPEYPDKAQKYFHSTTTQAAELARQAGVKKLVLTHFSARYDTDEKLAELLAGAQAIFPHTVLAADGATIGL</t>
  </si>
  <si>
    <t>MCLTFLGTGSGTPTRTRNTAATIYARPDRSEFWLFDCGEATQHQMLRHGINMNKVSRVFITHMHGDHTFGLPGFISSRAFRTPGDPLTIYGPPGIAEFVSVTLNTSASHIRYPLEVVELDHAGEVPLGRDDTVTVRYTTLDHGVQSYAYRITEADQPGELQVDKLIDHGVQPGPCYGQLKRGEDITLDNGTVLRSADFVGPPQSGPDIVLFGDTRFVPGHADFAAGADLMVHEATYGPEYPDKAQKYFHSTTTQAAELARQAGVKKLVLTHFSARYDTDEKLAELLAGAQAIFPHTVLAADGATIGL</t>
  </si>
  <si>
    <t>GC_00002239</t>
  </si>
  <si>
    <t>MMLTVLCCMSMPISGHAQAPVTPDAAQVPDSPGVPGAPPAAPPAAAAEAANAAGRMETPGAPAAGGNSTPAPAGNANPSPISTPGMPDAEITPAPRTSAPDTNNCPNAEHPPKAVTTSERPVPGAATPTPLPQVPNEFGTCGVKKAAGFVVPDITASAWLVWDLDSGAVLGTKDPHGRYRPASIIKVLLAMEVINNLDLNKVVTVSAESANQEGSAVGIGPGGKYTIRDLLHGLLLQSGNDAAHALAQELGGNEQALTRVNALAHNLGATDTYAASYSGLDAPGMSTSARDMAIFYHYAWKNPTFAQIVGTDEYKFPGYQDNPGWPIGNDNGLLMNDPDGIGGKTGFTSDANHTFVGAKKVGNRRIAAVILDTTVDKGRPWQQAQKLIDDNRNVTANVGMLPQPGAAGAQASQHPSASATPSPRPIQEVHASSGDGTYASQFMKNRSTGAVYIVAGSCLFLASVIGLALWRRDRRKKTD</t>
  </si>
  <si>
    <t>MMLTVLCCMSMPISGHAQAPVTPDAAQVPDSPGVPGAPPAAPPAAAAEVANAAGRMETPGTPAAGGNSAPAPAGNANPSPISTPGMPDAEITPAPRTSAPDTNNCPNAEHPPKAVTTSERPVPGAATPTPLPQVPNEFGTCGVKKAAGFVVPDITASAWLVWDLDSGAVLGTKDPHGRYRPASIIKVLLAMEVINNLDLNKVVTVSAESANQEGSAVGIGPGGKYTIRDLLHGLLLQSGNDAAHALAQELGGNEQALTRVNALAHNLGATDTYAASYSGLDAPGMSTSARDMAIFYHYAWKNPTFAQIVGTDEYKFPGYQDNPGWPIGNDNGLLMNDPDGIGGKTGFTSDANHTFVGAKKVGNRRIAAVILDTTVDKGRPWQQAQKLIDDNRNVTANVGMLPQPGAAGAQASQHPSASATPSPRPIQEVHASSGDGTYASQFMKNRSTGAVYIVAGSCLFLASVIGLALWRRDRRKKTD</t>
  </si>
  <si>
    <t>GC_00002240</t>
  </si>
  <si>
    <t>MKRIRAILATALLGLGGIMTAPAVQALTITHTEEKIDLGAAPLPNTTTLGTTVNGAGTPIGVVVSGGAGGVLNIIDLKTRANIASHVLDDSARDAGEEVHAWGYVTLSNGHVMIATSNAGLYDVDPQNYQVKKLSSDDQPGYKTNKIKENGKFFWDITKDDNDKVYIASFSNNTGAGGRVFTYDGKATGDKWGDLLGQISPDQTTARSVAYDNGTLYIGMGQTRPEIIAVNTKNPSEKRTVPLENSAVNGAHEILYLEALDGRLYSTVDSKDACNSTGTCVIDAATGKVSDTLQTWSSRTIKRAGEKSKVYYIYNSGSKGGILREYDPGTKSTKDLNPNGQLAPRLGRNSWATDNVLLTNDMNSGAMTVYDSGNVSNVPAGTLKGSERGIQTLTTGPDGNIYGGFYMSGTQMLKITTSGTPKAELLNDMPTGQVEGFANVGNKLVAGIYPSARLSVFDPGSGQWTVQDKAVDSALPEGTREQDRPYTMTAIDNNRVAVGTVPNKDKVGGALVIFNPQTGAFEDNPIVMNDSGPAELRNLSPVSMAYRDDKLYVGTSIRGGLGVQPKASEAKLFVYNVKSKQIEKVATIPGTPTAINALTFDDSGKLYGVAGKHIHEFNPTTLESVRSSDDVITPDANRSQLHYKDGILYTATGNKVLAVNAGDFKDRAELVSTDPNKEANPDSLTLDKDGNLYYSKRPNIYKITVTK</t>
  </si>
  <si>
    <t>MKRIRAILATALLGLGGIMTAPAVQALTITHTEEKIDLGAAPLPNTTTLGTTVNGAGTPIGVVVSGGAGGVLNIIDLKTRANIASHVLDDSARNAGEEVHAWGYVTLSNGHVMIATSNAGLYDVDPQNYQVKKLSSDDQPGYKTNKIKENGKFFWDITKDDNDKVYIASFSNNTGAGGRVFTYDGKATGDKWGDLLGQISPDQTTARSVAYDNGTLYIGMGQTRPEIIAVNTKNPSEKRTVPLENSAVNGAHEILYLEALDGRLYSTVDSKDACKGTGTCVIDAANGKVSDTLQTWNSRTIKRAGEKSKVYYIYNSGSKGGILREYDPGTKSTKDLNPNGQLAPRLGRNSWATDNVLLTNDMNSGAMTVYDSGNVSNLPAGTLKGSERGIQTLTTGPDGNIYGGFYMSGTQMLKITTSGTPKAELLNDMPTGQVEGFANVGNKLVAGIYPSARLSVFDPGSGQWTVQDKAVDSALPKGTREQDRPYAMTAIDNNRVAVGTVPNKDKVGGALVIFNPQTGAFEDNPIVMNDSGPAELRNLSPVSMAYRDDKLYVGTSIRGGLGVQPKASEAKLFVYNVKSKQIEKVATIPGAPTAINALTFDDSGKLYGVAGKHIHEFNPITLESVRSSDDVITPDANRSQLHYKDGILYTATGNKVLAVNASDFKDRTELVSTDPNKEANPDSLTLDKDGNLYYSKRPNIYKITVTK</t>
  </si>
  <si>
    <t>GC_00002241</t>
  </si>
  <si>
    <t>MTSASRFQHSLAAFMAASIAAGAVVVPTTAIAQQQTTCTDDKAVFKVTGGEFEWDFRDSWNNYIHGTIAHGTSELTGGITNLNEANKAKSNYKFVASKGVSTGVNQAELNVDGTMHYQGHKHGDNYVLDNTFSNFNLKAEGSKLELYADVHYRKRVDNNTAGEWQDAKQIKVSEWTLKEPLALKAGDVAFASNGQGKFGSQDVISALGDFYKDDIHTGAITGKVKVSQNC-----------------------------------------------------SPAPAPNPNPGEPTAPGSSNSQFVKVLAGLGVAGAILAAIFGFLRHSNIPLPFRI</t>
  </si>
  <si>
    <t>MTSASRFQHSLAAFMAASIAAGAVVVPTTAIAQQQTTCTDDKAVFKVTGGEFEWDFRDSWNNYIHGTIAHGTSELTGGITNLNEANKAKSNYKFVASKGVSTGVNQAELNVDGTMHYQGHKHGDNYVLDNTFSNFNLKAEGSKLELYADVHYRKRVDNNTAGEWQDAKQIKVSEWTLKEPLALKAGDVAFASNGQGKFGSQDVINALGGFYKDDIHTGAITGKVKVSRECPPVPSTSAKPSSEPTKPTSSAAKPSSEAAKPSSSAVKPTSSVSKPSSSTTSSAAPTPAPNPNPGEPTVPGSSNSQFIKVLAGLGVAGAILAAIFGFLQHSNIPLPFRI</t>
  </si>
  <si>
    <t>GC_00002242</t>
  </si>
  <si>
    <t>MYPHDVPVLRQELLRTLSRRQIERNYLFVSHFAMVPCTLKRTDSDISLGARSHPRHLRFLFDAITRARAHHLSCPDGIISSWAAAAYAGLPFWADNAHTTLMVKNGKRNSTSPLLPHRRIVASHILTYQPDPEFPSLQVMQPAVASAYCLRDIYRGHHAWWVNKIPDLTFREVRAIQFLDAMQFHTSLNTDSLLENAHGIFDRRTLRRLIRLSDAGAESPPETILRLIAAPLRPGLTTQIPIFTTGCLRKLLTVVDAGWKDIRVGLFYDGEHHLHRNQRDYDSEVWATMRELGWECLRVTQGMLGQPKRLQQRIEAILVNRRC</t>
  </si>
  <si>
    <t>MYPHDVPVLRQELLRTLSRRQIERNYLFVSHFAMVPCTLKRTDSDISLGARSHPRHLRFLFDAITRARAHHLSCPDGIISSWAAAAYAGLPFWADNAHTTLMVKNGKRNSTSPLLPHRRIVASHILTYQPDPEFPSLQVMQPTVASAYCLRDIYRGHHAWWVNKIPDLTFREVRAIQFLDAMQFHTSLNTDSLLENAHGIFDRRTLRRLIRLSDAGAESPPETILRLIAAPLRPGLTTQIPIFTTGCLRKLLTVVDAGWKDIRVGLFYDGKHHLHRNQRDYDSEVWATMRELGWECLRVTQGMLGQPKRLQQRIEAILANRRC</t>
  </si>
  <si>
    <t>GC_00002243</t>
  </si>
  <si>
    <t>PF07804.18</t>
  </si>
  <si>
    <t>HipA-like C-terminal domain</t>
  </si>
  <si>
    <t>K07154</t>
  </si>
  <si>
    <t>serine/threonine-protein kinase HipA [EC:2.7.11.1]</t>
  </si>
  <si>
    <t>COG3550</t>
  </si>
  <si>
    <t>Serine/threonine protein kinase HipA, toxin component of the HipAB toxin-antitoxin module (HipA) (PDB:2WIU)</t>
  </si>
  <si>
    <t>ko01000|ko01001|ko02048</t>
  </si>
  <si>
    <t>Enzymes&gt;&gt;&gt;2. Transferases&gt;&gt;&gt;2.7  Transferring phosphorus-containing groups&gt;&gt;&gt;2.7.11  Protein-serine/threonine kinases&gt;&gt;&gt;2.7.11.1  non-specific serine/threonine protein kinase|Protein kinases&gt;&gt;&gt;Serine/threonine kinases: Other&gt;&gt;&gt;Bacterial family|Prokaryotic defense system&gt;&gt;&gt;Toxin-antitoxin system (TA system)&gt;&gt;&gt;Type II TA system&gt;&gt;&gt;HipA-HipB</t>
  </si>
  <si>
    <t>MGKVKSLDLYLSGQFAAYVSRDANGECLLQYSDEWLANPDAYPFSLSLPLQADPHTTTNIEYILQGLLPENKKLLSDWGRRYNIVNANDAFEVLGHMGEDIAGAAQFVRTGNIPGFDDFSHPLSDRDVETLIASVREFGGALPSHRVIPRATLSGAHEKIALAYHDKQWFLPDGTTPSTHIFKPASMQFRDIDRLEAAIMTAARTIGINTATAGLVGVGSERAYVTARFDRTMLPEGTLRIHQEDIIQAWGLSPEKKYQKAGGPSLSDYVRFLREHSSNAEEDVQALVRQAAFNVAIGNGDAHGKNHSLLIKPGGEVRLAPAYDLISVAPYPSYSQELALSIGTNFNFRTVTMSDWKQFATDAGLEADWVLEEVTTIWKGAPELILQEIQDHKAPARIFNPVAQLFDTLPGRL</t>
  </si>
  <si>
    <t>MGKVKSLDLYLSGQFAAYVSRDANGECLLQYSDEWLANPDAYPFSLSLPLQADPHTTKNIEYILQGLLPENKKLLSDWGRRYNIVNANDAFEVLGHMGEDIAGAAQFVRTGNIPGFDDFSHPLSDRDVETLIASVREFGGALPSHRVIPRATLSGAHEKIALAYHDKQWFLPDGTTPSTHIFKPASMQFRDIDRLEAAIMTAARSIGINTATAGLVGVGSERAYVTARFDRTMLPEGTLRIHQEDIIQAWGLSPEKKYQKAGGPSLSDYVRFLREHSSNAEEDVQALVRQAAFNVAIGNGDAHGKNHSLLIKPGGEVRLAPAYDLISIAPYPSYSQELALSIGTNFNFRTVTMSDWKQFATDAGLEADWVLEEVTTIWKGAPELILQEIQDHKAPARIFNPVAQLFDTLPGRL</t>
  </si>
  <si>
    <t>GC_00002244</t>
  </si>
  <si>
    <t>PF21537.2</t>
  </si>
  <si>
    <t>DUF1980 C-terminal domain</t>
  </si>
  <si>
    <t>COG3689</t>
  </si>
  <si>
    <t>Uncharacterized membrane protein YcgQ,  UPF0703/DUF1980 family (YcgQ)</t>
  </si>
  <si>
    <t>MGVVGVMARRIVGSFCVLVGVALGYASISGSYRAWVSQSPVLIALSSVGLVMVGLTTACQREHCGCGNHDHRWSPWVLGFLAVIIVGASPAALQPAQVETANRVVLATNNGGAMPPLPPGDTPELEIPDIIGRLMAPVDDQLRGKKVQVTGQLSVEHGVSLLSRVVIICCAADARAYRIELSDPRHKLRNIPAGTWVHVTVTLLPGTGTEQRNWVPIVVVEAAESTVDPGYGALRR</t>
  </si>
  <si>
    <t>GC_00002245</t>
  </si>
  <si>
    <t>METLYDAYCTAQRSGAALVAHVRRQGLKKHQIARDFRITQKEADLYIWLGHQFTAKLLMLAAEKQLSVSQLQVVAKAANKASANLVDKQALRQEFIHHAATCTVDELHLYVNTRVLEVNSGRAPRKAATGISKQADADGMGHIHAAMPYHEAKKVSAILDTDAKKLRRLNPNLGYAEALTHALINRVTAPSADSSPTNTPCFLFPLQADATYFADGTVAFTNGSTRPLKELVDEQLSDYGYVIVTALDENGVPTVATSYLCRRSNPDGGGRDKQRSFSPWQKFISTAEYLCCMHPDCSYPAISSQGHHLKAWTNGGPTTLTNCVPLCGPHNAQNDDNPAKHWHNGHAIKDPATGRVGWQFTRGGPIYHNKNPLIRKGMREWALAYYGFISMTPTNK</t>
  </si>
  <si>
    <t>METLYDAYCTAQRSGAALVAHVRRQGLKKHQIARDFRITQKEADLYIWLGHQFTAKLLMLAAEKQLSVSQLQVVAKAANKASANLVDKQALRQEFIHHAATCTVDELHLYVNTRVLEVNSGRAPRKAATGISKQADADGMGHIHAAMPYHEAKKVSAILDTDAKKLRRLNPNLGYAEALTHALINRVTAPSADSSPTNTPCFLFPLQADATYFADGTVAFTNGSTRPLKELVNEQLSDYGYVIVTALDENGVPTVATSYLCRRRNPDGGGRDKQRSFSPWQKFISTAEYLCCMHPDCSYPAISSQGHHLKAWTNGGPTTLTNCVPLCGPHNAQNDDNPAKHWHNGHAIKDPATGRVGWQFTRGGPIYHNKNPLIRKGMREWALAYYGFISMTPTNK</t>
  </si>
  <si>
    <t>GC_00002246</t>
  </si>
  <si>
    <t>MPSIYDARSTREWCDQETVGESFHRTALNDIRKHVPINEHNVRRFDATLVLEMDNPHSKSGHAISVRWQDRVIAHIPDSETNDYFPELARLAASGFDAGVRATLWTNETQPNFNPRDVHMSVHIGSQPPGMIAPINNPPSQKWAVIPRGRTSQVAKEKDHLDVLQSYTGLGNAKTYILVTLHKVFFGTRTRWAGVEVRLDGKRIGELSKATGAKFLPIIEHYDSLGLITVCHAYLRETPTSAEVTLKAATFEEITDKDLYTPDICPIPQLVPYASDPYTYNVPGRYRPNLEDNHAYGARKYGKPHYSNPSRLGHRQANTGLRANKNYTIYLLCLFFGGYLGLHYYYVGKIGKGILYTCTAGLFMIGWIADILNPRRGFHS</t>
  </si>
  <si>
    <t>MPSIYDARSTREWCDQETVGESFYRTALNDIRKHVPINEHNVRRFDATLVLEMDNPHSKSGHAISVRWQDRVIAHIPDSETNDYFPELARLAASGFDAGVRATLWTNETQPNFNPRDVHMSVHIGSQPPGMIAPINNPPSQKWAVIPRGRTSQVAKEKDHLDVLQSYTGLGNAKTYILVTLHKVFFGTRTRWAGVEVRLDGKRIGELSKATGAKFLPIIEHYDSLGLITVCHAYLRETPTSAEVTLKAATFEEITDKDLYTPDICPIPQLVPYASDPYTYNVPGRYRPNLEDNHAYGVRKYGKPHYSNPSRLGHRQANTGLRANKNYTIYLLCLFFGGYLGLHYYYVGKIGKGILYTCTAGLFMIGWIADILNPRRGFHS</t>
  </si>
  <si>
    <t>GC_00002247</t>
  </si>
  <si>
    <t>MTIKIQLLSALEFSSIAPLLVNIYLEAMGYTTVIRDSRIKAWRQAVQEKNFQAVCAHDGTHVLGVAYGYHGHREQWWDQEVRRGLRERGGATTDQLFMLNDYFSVTEIHVTPTYQGRGIGHQLLTMLLENANASYALLSTPEVIAENNNAFHLYRSLGFIDLIRRFYFRGDTRPFAIMAKPLP</t>
  </si>
  <si>
    <t>MTIKIQLLSALEFSSIAPLLVNIYLEAMGYTTVIRDSRIKAWRQAIQEKNFQAVCAHDGTHVLGVAYGYHGHREQWWDQEVRRGLRERGGATTDQLFMLNDYFSVTEIHVTPTYQGQGIGHQLLTMLLENAHASYALLSTPEVIAENNNAFHLYRSLGFTDLIRQFYFRGDTRPFAIMAKPLP</t>
  </si>
  <si>
    <t>GC_00002248</t>
  </si>
  <si>
    <t>MWFILAALAAAAAVGLWFLDSRRNPQLQQAKDSNGTVEQAVAPAGGLRSDDTRQIVLPNKAKPSKGKHAKPEPVVTTKATIADRANS-EEEHAEQSESEAPGRRDKWPGSSRRERRQWAMSRGFGYTKRDDFLHDEWARGTAASGAPVREVVSGTVGDYEMYLADIGGTTVMAVRRGSSSDIVVEAHRGVPQGAEDLVPVRSTAGFRILSNDVGATERLIDARVEAALTAMPAEVSQVWMESDWILAQFVPRTTPVVWEAASEPLALLADAARMLPPRTSALQVDAFDSLGSSRPMPAASESAPESTPAPTPEPEPAPFLRVQRPDTPVEMPSRMHSEVRGVVEPRMVGVDEVDAIADGEKKPEDKPTQTPRIVREQRRPSSIFEDLAEEFGTNPLRDGPTL</t>
  </si>
  <si>
    <t>MWFILAALAAAAAVGLWFLDSRRNPQLQQAKDSNGTVEQAVAPAGGLRSDDTRQIVLPNKAKPSKGKHAKPEPVVTTKATIADRANSEEEEHAEQSESEAPGRRDKWPGSSRRERRQWAMSRGFGYTKRDDFLHDEWARGTAASGAPVREVVSGTVGDYEMYLADIGGTTVMAVRRGSSSDIVVEAHRGVPQGAEDLVPVRSTAGFRILSNDVGATERLIDARVEAALTAMPAEVSQVWMESDWILAQFVPRTTPVVWEAASEPLALLADAARMLPPRTSALQVDAFDSLGSSRPMPAASESTPEPTPAPTPEPEPAPFLRVQRPDTPVEMPSRMHSEVRGVVEPRMVGVDEVDAIADGEKKPEDKPTQTPRIVREQRRPSSIFEDLAEEFGTNPLRDGPTL</t>
  </si>
  <si>
    <t>GC_00002249</t>
  </si>
  <si>
    <t>MAQERTAPAEYFNDFDPEKVAKQLAEQLAAKKTADAEAQAKSEGE</t>
  </si>
  <si>
    <t>MAQERTAPAEYFNDFDPEKMAKQLAEQLAAKKAAEAEAQAKSEGE</t>
  </si>
  <si>
    <t>GC_00002250</t>
  </si>
  <si>
    <t>PF00825.24</t>
  </si>
  <si>
    <t>Ribonuclease P</t>
  </si>
  <si>
    <t>K03536</t>
  </si>
  <si>
    <t>ribonuclease P protein component [EC:3.1.26.5]</t>
  </si>
  <si>
    <t>COG0594</t>
  </si>
  <si>
    <t>RNase P protein component (RnpA) (PDB:1A6F)</t>
  </si>
  <si>
    <t>Enzymes&gt;&gt;&gt;3. Hydrolases&gt;&gt;&gt;3.1  Acting on ester bonds&gt;&gt;&gt;3.1.26  Endoribonucleases producing 5'-phosphomonoesters&gt;&gt;&gt;3.1.26.5  ribonuclease P|Transfer RNA biogenesis&gt;&gt;&gt;Prokaryotic type&gt;&gt;&gt;5'processing factors&gt;&gt;&gt;Ribonucrease P</t>
  </si>
  <si>
    <t>MLPDHLSLTPSQAFAHTVKKGHRAGTKTVVVYLIKHTTNEGLVRQGGPRFGFIVSKAVGNAVTRHRVTRRLRHICQQLAQETREVPGITDCDIVVRALPRSAQASSEQLSADVARGVDKLVAQLQHQETGACHG</t>
  </si>
  <si>
    <t>MLPDHLSLTPSQAFAHTVKRGHRAGTKTVVVYLIKHTTNEGLVRQGGPRFGFIVSKAVGNAVTRHRVTRRLRHICQQLAQETREVPGITDCDIVVRALPRSARASGEQLSADVARGVDKLVAQLQHQETGACHG</t>
  </si>
  <si>
    <t>GC_00002251</t>
  </si>
  <si>
    <t>PF10604.15</t>
  </si>
  <si>
    <t>Polyketide cyclase / dehydrase and lipid transport</t>
  </si>
  <si>
    <t>COG2154</t>
  </si>
  <si>
    <t>Pterin-4a-carbinolamine dehydratase (PhhB) (PDB:1DCH)</t>
  </si>
  <si>
    <t>MDLKDFQYSESILIDAPAHHVYDLVTDVTRTGEWSPIVETCWWKEPSDHAEVGAWFIGRNVTPERTWETESLVTEAQRPIAFQWAVNGGVVRWGYTIAPTDTGCELTETWELTQQGLDFFREKYGDDAENQLADRRAAALAGIPATLVRIKEIAETAA</t>
  </si>
  <si>
    <t>MDLKDFQYSESILIDAPAHHVYDLVTDVTRTGEWSPIVETCWWKEPSDHAEVGAWFIGRNVTPERTWETESLVTEAQRPIAFQWAVNGGVVRWGYAIAPTDTGCELTETWELTQQGLDFFREKYGDDAENQLADRRAAALAGIPATLVRIKEIAETAA</t>
  </si>
  <si>
    <t>GC_00002252</t>
  </si>
  <si>
    <t>PF01455.23</t>
  </si>
  <si>
    <t>HupF/HypC family</t>
  </si>
  <si>
    <t>K04653</t>
  </si>
  <si>
    <t>hydrogenase expression/formation protein HypC</t>
  </si>
  <si>
    <t>COG0298</t>
  </si>
  <si>
    <t>Hydrogenase maturation factor HybG, HypC/HupF family (HypC) (PDB:2OT2)</t>
  </si>
  <si>
    <t>MCLGVPAQVVDIHDTARATVSISGVSRMISTDLMIGEELAVGDWVLIHVGFALGKIDEAEATETLKQIKQLGGGTFEDELESFTSSQIE</t>
  </si>
  <si>
    <t>MCLGVPAQVVDIHDTARATVSISGVSRMISTDLMMGEELAVGDWVLIHVGFALGKIDEAEATETLKQIKQLGGGTFEDELESFTSSQIE</t>
  </si>
  <si>
    <t>GC_00002253</t>
  </si>
  <si>
    <t>MKRTIILTGASDGIGAAAAKRLATDNNTLILVGRNPEKIRAVADPLGCTYLTADFGDLSQVRDLAARIKEKVPRIDVLINNAGGIFGAVREETVDGYEKTFQVNHLSPFLLTNLLLDELAEGEGVVVNTASLGAKLFSELDMDDLNLQHHYSSTRAYGNSKLANILFAKELSVRFADRGIFGVSYHPGSIGSNIGTGTTGLAARFYSSRLLKPFLRSTNYGADRMVYLVNGRLGVDFIPGGYYQNDRPAKSAPLAADPNAASELWEKSAEMVGVLV</t>
  </si>
  <si>
    <t>MKRTIILTGASDGIGAAAAKQLATDDNTLILVGRNPEKARAVAYPLGCTYLTADFGDLSQVRDLAARIKEKVPCIDVLINNAGGIFGAVREETVDGYEKTFQVNHLSPFLLTNLLLDELAEGEGVVVNTASLGAKLFSELDMDDLNLQYDYSSTRAYGNSKLANILFAKELSVRFADRGIFGVSYHPDSIGSNIGTGTTDLAARFYSSRLLKPFLRSTNYGADRMVYLVNGRLGVDFIPGGYYQNDRPAKSAPLAADPNAASELWEKSAEMVGVLV</t>
  </si>
  <si>
    <t>GC_00002254</t>
  </si>
  <si>
    <t>V|P</t>
  </si>
  <si>
    <t>Defense mechanisms|Inorganic ion transport and metabolism</t>
  </si>
  <si>
    <t>COG1132|COG2375</t>
  </si>
  <si>
    <t>ABC-type multidrug transport system, ATPase and permease component (MdlB) (PDB:2HYD)|NADPH-dependent ferric siderophore reductase, contains FAD-binding and SIP domains (ViuB) (PDB:2GPJ)</t>
  </si>
  <si>
    <t>MGKGFQGAMLRAMRVEEHTATVIESEWLTQHVVHITFHSDTLLNSDGELPASWVRVWFPDHEGQGKLHQRCYTLLHADPTTGVFSIAFLIHTPSGPASSWAVRARAGDELTMQRFGGDGFTPDDQPPRGYLFVGDAASWPAINAIIGTLPTGAPIQVVMEQFRDDDTQLSFPDHPDITVRWIPTRHDARALVDALEGHDVHGWRCWVAAESTATRLVKSHLELNFGHNRATLHSQAYWIEGRAMGKQVDVEPDTTADNSGADTADAAATEQTTAPVAASTSDTATSDKAAVSVLRPARVALIISGLAQALLSITYIVPFILFSELAQRLVRGANQDELIQVGLVGVGILGFNTLGTAVLLFAQHVYDANYSAALRKRLLHKLSRLPLGWFKDRRSAEVKTLVQDNVSSLHYLITHAVPDMVGAVVTPLAILIYLFTVDWRLALVLLLPIVLYIVVTVRQASADKQKIARILRWNATISGDTERFVSGQAVSRVFGDDATVNLPRELQEMGDYLITWQRSTLDSKLNSTQMTKPMSIMALLLLVGTGLVVSGIMPAENIIPFLILGTSFGDRLLAVSYSANGIREGLNAKKSLELLLTTPELSESSDGSQRDAASGVEDAADTTEVASARTCGNITVKNVSFSYSAGTRALNKIDLDIPAGTTTALVGPSGSGKSTFASLLARLWDPEDGAIILDGVNLRDIPEDTLHRKVAVVLQDVQLIKGTLFDNIALGHPEATREDVRAAAQAAYIDDFIMSLPHGYDTPVDRKSLSGGQRQRVAIARALLGDPDVVVLDEATAAADPDSEWAVRKGLDALLEGRTKIIVAHRLHTIAHADRIVVLQHGDIAEQGTHNELVTTNGLYSSLASSMHRK</t>
  </si>
  <si>
    <t>MGKGFQGAMLRAMRVEEHTATVIESEWLTQHVVHITFHSDTLLNSDGELPASWVRVWFPDHEGQGKLHQRCYTLLHADPTTGVFSIAFLIHTPSGPASSWAVRARAGDELTMQRFGGDGFTPDDQPPRGYLFVGDAASWPAINAIIGTLPTGAPIQVVMEQFRDDDTQLPFPDHPDITVRWIPTRHDARALVDALEGRDVHGWRCWVAAESTATRLVKSHLELNFGHNRATLHSQAYWIEGRAMGKQVDVEPDTTADNSGADTADAAATEQTTAPVAASTSDTATSDKAAVSVLRPARVALIISGLAQALLSITYIVPFILFSELAQRLVRGANQDELIQVGLVGVGILGFNTLGTAVLLFAQHVYDANYSAALRKRLLHKLSRLPLGWFKDRRSAEVKTLVQDNVSSLHYLITHAVPDMVGAVVTPLAILIYLFTVDWRLALVLLLPIVLYIVVTVRQASADKQKIARILRWNATISGDTERFVSGQAVSRVFGDDSTVNLPRELQEMGDYLITWQRSTLDSKLNSTQMTKPMSIMALLLLVGTGLVVSGIMPAENIIPFLILGTSFGDRLLAVSYSANGIREGLNAKKSLELLLTTPELSESSDGSQRDAASDAGDAADTTEAASAPTCGNITVKNVSFSYSAGTRALNKIDLDIPAGTTTALVGPSGSGKSTFASLLARLWDPEDGAIVLDGVNLRDIPEDTLHRKVAVVLQDVQLIKGTLFDNIALGHPEATREDVRAAAQAAYIDDFIMSLPHGYDTPVDRKSLSGGQRQRVAIARALLGDPDVVVLDEATAAADPDSEWAVRKGLDALLEGRTKIIVAHRLHTIAHADRIVVLQHGDIAEQGTHNELVTTNGLYSSLASSMHRK</t>
  </si>
  <si>
    <t>GC_00002255</t>
  </si>
  <si>
    <t>PF02620.22</t>
  </si>
  <si>
    <t>Large ribosomal RNA subunit accumulation protein YceD</t>
  </si>
  <si>
    <t>K07040</t>
  </si>
  <si>
    <t>DUF177 domain-containing protein</t>
  </si>
  <si>
    <t>COG1399</t>
  </si>
  <si>
    <t>23S rRNA accumulation protein YceD (essential in plants, uncharacterized in bacteria) (YceD) (PUBMED:27574185)</t>
  </si>
  <si>
    <t>MTSPFVFDVAGLLRGPGLPVQESNTGQSPVRVGVPMIAVDEGAEVTVDATLTPLGEGVMVDATVTAPLTGQCSRCLRDLSAERSFKFNEVFSASESFIQGDAVDPEDDEVPAIVNDRLDTLQTFIDAAVLELPFNPTCEDILGEECEDNDVPSPDGISGEENQDRVDPRWAGLEKFK</t>
  </si>
  <si>
    <t>MTSPFVFDVAGLLRGPGLPVQESNTGQSPVRVGVPMIAVDEGAEVTVDATLTPLGEGVMVDATVTAPLTGQCSRCLRDLSAERSFTFNEVFSASESFIQGDAVDPEDDEVPAIVNDRLDTLQTFIDAAVLELPFNPTCEDILGEECEDNDVPSPDGISGEEDQDRVDPRWAGLEKFK</t>
  </si>
  <si>
    <t>GC_00002256</t>
  </si>
  <si>
    <t>K10027</t>
  </si>
  <si>
    <t>phytoene desaturase [EC:1.3.99.26 1.3.99.28 1.3.99.29 1.3.99.31]</t>
  </si>
  <si>
    <t>ko00001|ko01000|ko01000|ko01000|ko01000</t>
  </si>
  <si>
    <t>KEGG Orthology (KO)&gt;&gt;&gt;09100 Metabolism&gt;&gt;&gt;09109 Metabolism of terpenoids and polyketides&gt;&gt;&gt;00906 Carotenoid biosynthesis [PATH:ko00906]|Enzymes&gt;&gt;&gt;1. Oxidoreductases&gt;&gt;&gt;1.3  Acting on the CH-CH group of donors&gt;&gt;&gt;1.3.99  With unknown physiological acceptors&gt;&gt;&gt;1.3.99.26  all-trans-zeta-carotene desaturase|Enzymes&gt;&gt;&gt;1. Oxidoreductases&gt;&gt;&gt;1.3  Acting on the CH-CH group of donors&gt;&gt;&gt;1.3.99  With unknown physiological acceptors&gt;&gt;&gt;1.3.99.28  phytoene desaturase (neurosporene-forming)|Enzymes&gt;&gt;&gt;1. Oxidoreductases&gt;&gt;&gt;1.3  Acting on the CH-CH group of donors&gt;&gt;&gt;1.3.99  With unknown physiological acceptors&gt;&gt;&gt;1.3.99.29  phytoene desaturase (zeta-carotene-forming)|Enzymes&gt;&gt;&gt;1. Oxidoreductases&gt;&gt;&gt;1.3  Acting on the CH-CH group of donors&gt;&gt;&gt;1.3.99  With unknown physiological acceptors&gt;&gt;&gt;1.3.99.31  phytoene desaturase (lycopene-forming)</t>
  </si>
  <si>
    <t>MPPNSAVIIGAGIGGLATAGLLARQGVQVTVIEKNDEVGGRAGSLALDGFRWDVGPSWYLMPEAFDRFFALMGTSTEAELNLVTLDPGYRMFFEGETPMDIPHGATELEQLFESVEPGAGTQIRDYLRSSAEMYQLALQQYLYTNFTSPRSLLSRKMLSRLPLLGMSLRRFVNRQFQDHRLRKILQYPAVFLSSQPKRIPALYHLMSHTDLTLGVRYPLGGFQEVVTALHRLAVAEGVQFRLGQEVTEIYVDDEGVQGVKMVNRQGIPSGQLANVVVSNADIQHTEMKLLPPKFRSYDQSYFAQRDPGISAVLVLLGVDGKLPTLAHHNLLMSRDWDADFTAVFDNPGSLRASKSIYVSKPSASDQTVAPKGCENLFVLIPVAPNTSIGHGNAYRQEESPIVRTIASAAVRQIGEWANIPDLVDRVILRRTIGPQDFEERYHSWLGGALGPAHTLGQSAFFRGTNISRRVKGLLYVGGTTVPGVGVPMCLISAENVLTRLGMPTTT</t>
  </si>
  <si>
    <t>MPPNSAVIIGAGIGGLATAGLLARQGVQVTVIEKNDEVGGRAGSLALDGFRWDVGPSWYLMPEAFDRFFALMGTSTEAELNLVTLDPGYRMFFEGEAPMDIPHGATELEQLFESVEPGAGTQIRDYLRSSAEMYQLALQQYLYTNFTSPRSLLSRKMLSRLPLLGMSLRRFVNRQFQDHRLRKILQYPAVFLSSQPKRIPALYHLMSHTDLTLGVQYPLGGFQEVVAALYRLAVAEGVQFRLGQEVTEIYVDDEGVQGVKMVNRQGIPSGQLANVVISNADIQHTEMKLLPPKFRSYNQSYFAQRDPGISAVLVLLGVDGKLPTLAHHNLLMSRDWDADFAAVFDNPGSLRASKSIYVSKPSASDQTVAPKGCENLFVLIPVAPNTSIGHGNAYRQEESPIVRTIASAAVRQIGEWANIPDLVDRVILRRTIGPQDFEERYHSWLGGALGPAHTLGQSAFFRGTNISRRVKGLLYVGGTTVPGVGVPMCLISAENVLTRLGMPTTT</t>
  </si>
  <si>
    <t>GC_00002257</t>
  </si>
  <si>
    <t>MNRTARSGMVLLACLTCFISLTGLTGCSSSGDIGNGTVAASASAAPTAPVLDSNLPVDALPVIPAGKSEMVPCPYLDTQWVANTNGQRMIGQGIDARFNTPACVFWSFPDEPQATVIVRHMPTEQAAINVVDWAAPITTTEPVDENGWSGGRSGNPQGAVYAVQKGPVAVVVFSNQEQSLKAELIAKETIKNLNL</t>
  </si>
  <si>
    <t>MNRTARSGMVLLACLTCFVGLTGLTGCSSSGDTGKGTVAASASAAPTAPVLDSNLPVDALPVIPAGKSEMVPCPYLDTQWVANTNGQRMIGQGIDARFNTPACVFWSFPDEPQATVIVRHMPTEQAAINVVDWAAPITTTEPVDENGWSGGRSGNPQGAVYAVQKGPVAVVVFSNQEQSLKAELIAKETIKNLNL</t>
  </si>
  <si>
    <t>GC_00002258</t>
  </si>
  <si>
    <t>MTRDDAFTDAIRTEPELQAAGDALADLPSPVPVSPALKNSVLAAVAETPQDNVTTIASRRRPTPRFLTIAAACLAIASVGIGATVLWSGSKEESGGNGASISAEQAGTREMHAIMGAFDVRSADMDAKGANLSIVVSDSMGKGGAMVDGQPVVDAGMGAQVWAVGQDGTMRSAGVIGPEPHSDVWMPLPANIEKVMVTEEPMAGSHQPTGRVLAETPL</t>
  </si>
  <si>
    <t>MTRDDAFTDAIRTEPELQAAGDALADLPSPAPISPALKNSVLAAVAETPQDNVTSIASRRRPTPRFLTIAAACLAIASVGIGATVLWSGSKEESGGNGASISAEQAGTREMHAIMGASDVRSADMDAKGANLSIVVSDSMGKGGAMVDGQPVVDAGMGAQVWAVGQDGTMRSAGVIGPEPHSDVWMPLPANIEKVMVTEEPMAGSHQPTGRVLAETPL</t>
  </si>
  <si>
    <t>GC_00002259</t>
  </si>
  <si>
    <t>MKLRETRNHPRLTIFLCFLLLVAMVAIIFAIVDYLRDEQPVVEQSSAQPGPIIAQETAGAEVDRAVGAAVEQYQTVLDAEWIDPGCWLSHCPNSSWAIRGTPPERALLTKAERGNLEARDDALQRFQRIAVVSTIYVYSVKASPGKGVEAIVSVMTNKCYDNNRISSTDIHRMFLAASSVNAKEYVVLADEVISPETGRLTESYVPLYSSRRDKPPCFVQK</t>
  </si>
  <si>
    <t>MKLRETRNHPRLTIFLCFLLLVAMVAIIFAIVDYLRDEQPVVEQPSAQPGPIIAQETAGAEVDRAVGAAVEQYQTVLDAEWIDPGCWLSHCPNSSWAIRGTPPERALLTKAERGNLEARDDALQRFQRIAVVSTIYVYSVKASPGKGVEAIVSVMTNKCYDNNRISSTDIHRMFLAASSVNAKEYVVLADEVISPETGRLTESYVPLYSSRRDKPPCFVQK</t>
  </si>
  <si>
    <t>GC_00002260</t>
  </si>
  <si>
    <t>MRLGVTDEEKAANPLVAVGAIHRAHLRPSCSLVRRWYGWVAERVTNLRILDGSLDTRGRSLELSTDEADEQPDAVFPLTYGAARNTHQWCDTASPTREKINILRETAVTAESVRALRASGYMRRAAGTSTTSRTLARLADTTPPLADVRSGLEHSVAGALVAEASMRALGLGQLQICPWALREGVILRRIDKGLDEKGRENE</t>
  </si>
  <si>
    <t>MRLGVTDEEKAANPLVAVGAIHRAHLRPSCSLVRRWYGWVAERVTNLRILDGSLDTRGRSLELSTEEADEQPDAVFPLTYGAARNTHQWCDTASPTREKINILRETAVTAESVRALRASGYMRRAAGTSTTSRTLARLADTTPPLADVRSGLEHSVAGALVAEASMRALGLGQLQICPWALREGVILRRIDKGLDEKGRENE</t>
  </si>
  <si>
    <t>GC_00002261</t>
  </si>
  <si>
    <t>MPVQGAAPAVHQAIEFGNRLLTFVLVAFVVAVYVAVRAAHRRREIIMHALIQGLGIVAQAVIGGISVWLQLAWWSVALHFLPSMLLVWLAAILYLRIGEPDDAVPARTYSSGLRLLGAVFAAGIALVLTTGTLVTGAGQHSGDAAVGEDSRLQVPLELIAHVHAWVLYASLAILVVLVVLLRRSGAPAVVQKTGWALVGIIVVQALVGIAQFRLGVPRWSIPIHVCLSSVIVAVSSLLYAQGWARPALDQDPRHTTGSPSGDGMYGFA</t>
  </si>
  <si>
    <t>MPVQGAAPAVHQAIEFGNRLLTFVLVAFVVAVYVAVRAAHRRREIIMHALIQGLGIVAQAVIGGISVWLQLAWWSVALHFLPSMLLVWLAAILYLRIGEPDDAVPARTYSSGLRLLGAVFAAGIALVLTTGTLVTGAGQHSGDAAVGEDSRLQVPLELIAHVHAWVLYASLAILVVLVVLLRRSGAPAAVQKTGWALVGIIVVQALVGIAQFRLGVPRWSIPIHVCLSSVIVAVSSLLYAQGWARPALDQDPRHTTGSPSGDGMYGFA</t>
  </si>
  <si>
    <t>GC_00002262</t>
  </si>
  <si>
    <t>PF02554.20</t>
  </si>
  <si>
    <t>Carbon starvation protein CstA</t>
  </si>
  <si>
    <t>K06200</t>
  </si>
  <si>
    <t>carbon starvation protein</t>
  </si>
  <si>
    <t>COG1966</t>
  </si>
  <si>
    <t>Carbon starvation protein CstA (peptide/pyruvate transporter) (CstA) (PUBMED:26497384;29358499)</t>
  </si>
  <si>
    <t>MTKQDVKDRLTVPDGVELVYSDACDLPVGVHDHRRMSLKKKIVLLLVAIAAAAGWGTIALSRGETVNAVWLVLAAVGSYIIGFTFYARLIEYKVVKPRDDRATPAEYANDGKDFMPTDRRVLFGHHFAAIAGAGPLVGPVMAAQMGYLPGTIWIVVGVILAGAVQDYLVLWVSTRRKGRSLGQMIRDEMGVVGGTAGILAVITIMIIIIAVLALVVVNALAESPWGVFSITMTVPIALFMGVYLRYLRPGRVSEVSVIGVVLLLLSIVAGGWVADTSWGVEMFTWSKIVLAWVLIGYGIVAAILPVWLLLAPRDYLSTFMKVGVIGLLAVGILIDRPEVHMPAITDFAKNGNGPVFAGNLFPFLFITIACGALSGFHALISSGTTPKLVEKETQMRVIGYGGMLMESFVAIMALITAVILDRHVYFAMNAPASMTGGKPESAAEFVNSLGLPGSNLMPEQLTSAAAAVGEHTIISRTGGAPTLAFGMSHILTDIFGHPEMQSFWYHFAIMFEALFILTTVDAGTRVARFMMTDTLANVPGLARFKDPTWTVGNWISTIAVCALWGAILLMGVTDPLGGINVLFPLFGIANQLLAAIALSLVLVVVVKKGMYKWAWIPAIPLFWDVIVTMTASWEKVFSSNPSIGYWAQHNRFKEAAAQGLTTFKSAKSPAEIDAVVRNTAIQGVLSILFAVLVLIVIAAAAVACYKAIVARQRGEEIATSEEPFSPSAFFAPSGLGATSIEKSVAQVWATEAPPTERTAHAHH</t>
  </si>
  <si>
    <t>MTKQDVKDRLTVPDGVELVYSDACDLPVGVHDHRRMSLKKKIVLLLVAIAAAAGWGTIALSRGETVNAVWLVLAAVGSYIIGFTFYARLIEYKVVKPRDDRATPAEYANDGKDFMPTDRRVLFGHHFAAIAGAGPLVGPVMAAQMGYLPGTIWIVVGVILAGAVQDYLVLWVSTRRKGRSLGQMIRDEMGVVGGTAGILAVITIMIIIIAVLALVVVNALAESPWGVFSITMTVPIALFMGVYLRYLRPGRVSEVSVIGVVLLLLSIVAGGWVADTSWGVEMFTWSKIVLAWVLIGYGIVAAILPVWLLLAPRDYLSTFMKVGVIGLLAVGILIDRPEVHMPAITDFAKNGNGPVFAGNLFPFLFITIACGALSGFHALISSGTTPKLVEKETQMRVIGYGGMLMESFVAIMALITAVILDRHVYFAMNAPASMTGGKPESAAEFVNSLGLPGSNLMPEQLTSAAAAVGEHTIISRTGGAPTLAFGMSHILTDIFGHPEMQSFWYHFAIMFEALFILTTVDAGTRVARFMMTDTLANVPGLARFKDPTWTVGNWISTIAVCALWGAILLMGVTDPLGGINVLFPLFGIANQLLAAIALSLVLVVVVKKGMYKWAWIPAIPLFWDVIVTMTASWEKVFSSNPSIGYWAQHNRFKEAAAQGLTTFKSAKSPAEIDAVVRNTAIQGVLSILFAVLVLIVIAAAAVACYKAIVARQRGEEITTSEEPFSPSAFFAPSGLGATSIEKSVAQVWATEAPPTERTAHAHH</t>
  </si>
  <si>
    <t>GC_00002263</t>
  </si>
  <si>
    <t>MARLRTNSAFQRLTAAYASNEMGVTIAYILIPLVILDLTGSATNAGLVTALATTASTVAGIMSGAIADRSNPSFLLRLSFGLEFLLWGLLGLLLWQGTANVAIIAVLAIITSAVGAIDGPSEFVILKRIIPTNQLGEATAITEARGSTTGLIGTPIGGALFTLGGHIAFGIQSLLHLIAIFLVPPVRDARTTNSEDQPEKPHFLQDVKTGFTLVMGNMGLRHLTYVASIANLGMVPISFILLAELETHGTPPPLIGVILACFGGGVLLGAPLTAKLTNRFPLATLLQAALAIYALTSLALLVTIHHFWVSAVIVLISGIALPAMNSAITSYTLAVSDEAHVGKVFTASGVPGMILAPLGLWLAGVTLDHYGFTITMGWAAGALIIALAISLASPALRAMPKLADFADPTDSTEAADAEGETP</t>
  </si>
  <si>
    <t>MARLRTNSAFQRLTAAYASNEMGVTIAYILIPLVILDLTGSATNAGLVTALATTASTVAGIMSGAIADRSNPSFLLRLSFGLEFLLWGLLGLLLWQGTANVAIIAVLAIITSAVGAIDGPSEFVILKRIIPTNQLGEATAITEARGSTTGLIGTPIGGALFTLGGHIAFGIQSLLHLIAIFLVPPVRDARTTDPEDQPEKPHFLQDVKTGFTLVMGNMGLRHLTYVASIANLGMVPISFILLAELETHGTPPPLIGVILACFGGGVLLGAPLTAKLTNRFSLATLLQSALAIYALTSLALLVTIHYFWVSAVIVLISGIALPAMNSAITSYTLAVSDEAHVGKIFTASGVPGMILAPLGLWLAGVTLDHYGFTITMGWAAGALTIALAMSLASPALRAMPKLADLADPT--------EAETP</t>
  </si>
  <si>
    <t>GC_00002264</t>
  </si>
  <si>
    <t>K08224</t>
  </si>
  <si>
    <t>MFS transporter, YNFM family, putative membrane transport protein</t>
  </si>
  <si>
    <t>Transporters&gt;&gt;&gt;Major facilitator superfamily (MFS)&gt;&gt;&gt;Drug transporters&gt;&gt;&gt;Acriflavin-sensitivity (YnfM) family [TC:2.A.1.36]</t>
  </si>
  <si>
    <t>MHTSDHPARRSTAAALVITALFVLTQLYSAIPLIGPVSTDLGGNATFTLSTSFSLCYALGFLIWGPIADHYGRRACLLTGIALLTVATLSCAVTTSLGSLAVARCIQGITAASFAPIALAYLSDSTPPAWRGTAIGAMSTAFLVAGIFGQVTAQAITERWGWHWVFGASALILFICAGAIAVLMRDRTTRTPYSSLIDQFTRVGALLTTPTILLLCSAHVTLLLVFVAMYTALGPHLVTLGYSPSDILILRLVGLPGMFAALAVGKLSQRFSTITLARAGFILGAVGLILEACMHTSITGIGAASLVCVTGVAVAVATMITLFGQVAAPNRATGMAINGLVLFLGASIGPLLGAAGLSFSALLLVLAALYCCAALSLTVVAKLL</t>
  </si>
  <si>
    <t>MHTSDHPARRSTAAALVITALFVLTQLYSAIPLIGPVSTDLGGNATFTLSTSFSLCYALGFLIWGPIADHYGRRACLLTGMALLTVATLSCAVTTSLGALTVARCIQGITAASFAPIALAYLSDSTPPAWRGTAIGAMSTAFLVAGIFGQVTAQAITERWGWHWVFGASALILFICAGAIAVLMRDRTIRTPYSSLIDQFTRVGALLTTPTILLLCSAHVTLLLVFVAMYTALGPHLVTLGYSPSDILILRLVGLPGMFAALAVGKLSQRFSTITLARAGFILGAVGLILEACMHTSTTGIGAASLVCVTGVAVAVATMITLFGQVAAPNRATGMAINGLVLFLGASIGPLLGAAGLSFSALLLVLAALYCCAALSLTVAAKLL</t>
  </si>
  <si>
    <t>GC_00002265</t>
  </si>
  <si>
    <t>MADVDKLVIAGEIGRQTALEYIEYTFEPGVMYALAGRNGAGKSTLLLTLAGELEPVSGEVTFGGTPPGDVTNAGNIVRVSDPIFLPDLSLGEHIELMQRKTKLDLSDALATWQLEELLPLPPAQLSSGQRQRAFLAIQLYLPTQVLLMDEPERYLDTHWQQCLTAELRNLASAGRVVVVATHSADMLAACDHRIVVGHHG</t>
  </si>
  <si>
    <t>MADVDKLVIAGEIGRQTALEYLEYTFEPGVMYALAGRNGAGKSTLLLTLAGELEPVSGEVTFGGTPPGDVTNAGNIVRVSDPIFLPDLSLGEHIELMQRKTKVDLSDALATWQLEELLPLPPAQLSSGQRQRAFLAIQLYLPTQVLLMDEPERYLDTHWQQCLTTELRNLASAGRIVVVATHSADMLAACDHRIVVGHHG</t>
  </si>
  <si>
    <t>GC_00002266</t>
  </si>
  <si>
    <t>PF13810.12</t>
  </si>
  <si>
    <t>Domain of unknown function (DUF4185)</t>
  </si>
  <si>
    <t>K27495</t>
  </si>
  <si>
    <t>D-arabinan endo alpha-(1,5)-arabinofuranosidase [EC:3.2.1.226]</t>
  </si>
  <si>
    <t>COG0739|COG3757</t>
  </si>
  <si>
    <t>Murein DD-endopeptidase MepM and murein hydrolase activator NlpD, contains LysM domain (NlpD) (PDB:2GU1)|Lyzozyme M1 (1,4-beta-N-acetylmuramidase), GH25 family (Acm) (PDB:1H09)</t>
  </si>
  <si>
    <t>KEGG Orthology (KO)&gt;&gt;&gt;09190 Not Included in Pathway or Brite&gt;&gt;&gt;09191 Unclassified: metabolism&gt;&gt;&gt;99980 Enzymes with EC numbers|Enzymes&gt;&gt;&gt;3. Hydrolases&gt;&gt;&gt;3.2  Glycosylases&gt;&gt;&gt;3.2.1  Glycosidases, i.e. enzymes that hydrolyse O- and S-glycosyl compounds&gt;&gt;&gt;3.2.1.226  D-arabinan endo alpha-(1,5)-arabinofuranosidase</t>
  </si>
  <si>
    <t>MCALALTMAISTSVIVAPNASAQSSDLSSGSSSSSSDSNKSSGSSGSSDLWERILKLLGRSKIVPLIMQVSPGIITKKMGDILGRGISDHVGAMAGDLGIMVPINKNKEFAIIFGDSFSGNGFGQGNWMSPIGAIATYDDNGQIVVKRPLNKGDRIEQLLKYNHDNNLTLIPSDVINLDGTLYMQGMWNEGLGNVRGTQIWKSTDQGKTWSSVATTSKHFMNGFGDLLTWERGDDGYVYVMSSRFNRNDGVYLSRFRPEQIGDRNTWEHYVNGSWEANGGRNISPIIKDDMKAGEMSLRRIEDHWVLCMFNEKTASIEVRISDRIDTNWNDIKPAHVVVAGNGGWGAVQTPNNFTQLYGGYIAPGSTIADMNIVVSQWNTSNNSRYMSTQFNVKGLDKFFGITPKAEEVAANGAQAKPELQNAPTPANHDGSDNQGSGVGDDRQIEVRESPVDPEVSGQLAEEKAAEAAADVTVVPLDEEHQ</t>
  </si>
  <si>
    <t>MCALALTMAISTSVIVAPNASAQSSDLSSGSSSSSSDSNKSSGSSGSSDLWERILKLLGRSKIVPLIMQVSPGIITKKMGDILGRGISDHVGAMAGDLGIMVPINKNKEFAIIFGDSFSGNGFGQGNWMSPIGAIATYDDNGQIVVKRPLNKGDRIEQLLKYNHDNNLTLIPSDVINLDGTLYMQGMWNEGLGNVRGTQIWKSTDQGKTWSSVATTSKHFMNGFGDLLTWERGDDGYVYVMSSRFNRNDGVYLSRFRPEQIGDRNTWEHYVNGSWEANGGRNISPIIKDDMKAGEMSLRRIEDHWVLCMFNEKTASIEVRISDRIDTNWNDIKPAHVVVAGNGGWGAAQTPNNFTQLYGGYIAPGSTIADMNIVVSQWNTSNNSRYMSTQFNVKGLDKFFGITPKAEEVTANGAQAKPELQNAPAPANHDGSDNQGSGVGDDRQIEVRESPVDPEVSGQLAEEKAAEAAADVTVVPLDEEHQ</t>
  </si>
  <si>
    <t>GC_00002267</t>
  </si>
  <si>
    <t>MDAAIEAQDLGISRGRIKANTVIPHMTFSVETGSVTGLLGPSGCGKTTLMRAIIGVQRYQNTLTVLGNPAGSRRNLGRIGYVTQQASIYPNLSVKANLDYFAALNPVKIKDQVDAIIDVLGLAAVAHRPAAQLSGGQRGRVSLGCALVGKPELLVLDEPTVGLDPVTRDDIWTYLRQLSDTEGTTLLVSSHVMDEALRCDAVLLMREGALLAHDTPAGLLRTAGTETLDDAFLALIKAQGK</t>
  </si>
  <si>
    <t>MDAAIEAYDLGISRGRIKANTVIPNMTFSVETGSVTGLLGPSGCGKTTLMRAIIGVQRYQNTLTVLGNPAGSRRNLGRIGYVTQQASIYPNLSVKANLDYFAALNPVKIKDQVDAIIDVLGLAAVAHRPAAQLSGGQRGRVSLGCALVGKPELLVLDEPTVGLDPVTRDDIWTYLRQLSDTEGTTLLVSSHVMDEALRCDAVLLMREGALLAHDTPAGLLRTAGTETLDDAFLALIKAQGK</t>
  </si>
  <si>
    <t>GC_00002268</t>
  </si>
  <si>
    <t>MQLGRTYIYSNFLKAMMIFATMLLTVGVALILTPRTDMSEVAKYTVVGIVWLVALYVVSRRFRTMAERNAPRPWWRMTASRFLGWAFAIFFAAAGIWIAAGSNLLPSNPLLGMAYLAFGNLFVMSALRPPTCQR</t>
  </si>
  <si>
    <t>MQLGRTYIYSNFLKAIMIFATMLLAVGVSLMLTPRTDMSEVAKYTVVGIVWLVALYVVSRRFRTMAEGNAPRPWWRMTASRFLGWAFAIFFAAAGIWIAAGSNLLPSNPLLGIAYLAFGNLFVMSALRPPTCRR</t>
  </si>
  <si>
    <t>GC_00002269</t>
  </si>
  <si>
    <t>MIKKILVVVAAIIVVVIGVAVWAFSGRDPLQQYLSQRAEKTSLTFKSVF-TDADRFVVVCPGAEQADITMALGQNVTGNVAAPKDGNNILVSVAQGKAEPHEYQRQRIDLCENLPGGAKVLIIEGEQTYNFVQPANSSQWVMQH-</t>
  </si>
  <si>
    <t>MIKKILVAVVVIVVLLIGLVVWAFSGRDPLQQYLSQRAEKTSLTLESVFNTNANTYLLVCPGADKQK----LNRYVSGDIEPPKEGSNTLVTVTQGKGTAYEYKRDAIDFCVN--ASDPIRVAHGSMVLNFTQPDQSSRWVLDNG</t>
  </si>
  <si>
    <t>GC_00002270</t>
  </si>
  <si>
    <t>------------------------------------------------------------------------------------------MSAVTMSGEQPRPSVRDVAKAAGVSVGTVSHVLNHPERVSEETRQRVHDAVTSLGFVRSASARQLRQGTSTTVGVIILDFTNPFFMEAAQGIDQRLQRDGCIMTIASSNGEPRRQLELLRIYESMQARGIILTPCGTQSPAVVEELDRVIHKLKVPVVLFDHPAI</t>
  </si>
  <si>
    <t>MARLSWGNGEESSTFCCLKRFILNHKEGVADVSIVAVFATLWHCPQPPPVVHARIGVKKVAEVDFSHVSSITYLPHMPHQAEGRRTQQRGMSAVTMSGEQPRPSVRDVAKAAGVSVGTVSHVLNHPERVSEETRQRVHDAVTSLGFVRSASARQLRQGTSTTVGVIILDFTNPFFMEAAQGIDQRLQRDGCIMTIASSNGEPRRQLELLRIYESMQARGIILTPCGTQSPAVVEELDRVIHKLKVPVVLFDHPAIITGIPTVDVDDVTGQSHAINHLLELGHRRIGFINGPFSVRQAVDRWDGACHAVRAYGLDPEDVLTLQTASAFTAAGGAEAAQVLLDTSSDTNDSPVTAFACANDVLAIGAMRVLRARNIPIPQGMAITGYDDIQVAAELITPLTSVRQPMREMGWHAADNLLAAAQNPDTPYTELFQPELSIRESTAGHC</t>
  </si>
  <si>
    <t>GC_00002271</t>
  </si>
  <si>
    <t>MVFQLFTSILASIVAFFGAIVPLNDDVKHWFSDITVGKTLDTVLPADAHPVSAAELKDVRSGNWMSVVRPQTTTMFFGDYYRDAPKKLPNIGEEFGGNAPADLQHFSGGASCNGTASGVWFDGNVMHKTRQILVTNNPCPEVANTRDKDVQAFLSANPEFYLDGQGHLYLKRPDGVASEWQRPWLVK</t>
  </si>
  <si>
    <t>MVFQLFTSILASIVAFFGAIVPLNDDVKHWFADITVGKTLDTVLPADAHPVSAAELKDVRSGNWMSVVRPQTTTMFFGDYYRDAPKKLPNIGEEFGGNAPADLQHFSGGASCNGTASGVWFDGNVMHKTRQILVTNNPCPEVANTRDKDVQAFLSANPELYLDGQGHLYLKRPDGVASEWQRPWLVK</t>
  </si>
  <si>
    <t>GC_00002272</t>
  </si>
  <si>
    <t>MFTRVDDRLHDHPKFLKCSLSARGLWITALSWVGDKLTDGFVPHSCLGRLGARKRDADRLVEAGLWERGECDGEPGYWFHDFEDWNKAATHDEVRKRAGQNRSRVLKHRTRRSVVYKQRTPQPTVTGTTPADWSTPEDPRCRDHAKLPREHVPACRACGQARQWFAQRAMAEKQARHDAIVSCEYCDDRGLATTQDTAGNDVLIRCSHNGPLPIIPAPEPVVHNPPPPEVRAWFDRQHSTRQPVVVHSASME</t>
  </si>
  <si>
    <t>MFTRVDDRLHDHPKFLKCSLSARGLWITALSWVGDKLTDGFVPHSCLGRLGARKRDADRLVEAGLWERGECDGEPGYWFHDFEDWNKAATHAEVRKRAGQNRSRVLKHRTRRSVVYKQRTPQPTVTGTTPADWSTPEDPRCRDHAKLPREHVPACRACGQARQWFTQQAMAEKQARHDAIASCEYCDDRGLATTQDTAGNDVLIRCSHNGPLPIIPAPEPVVHNPPPPEVRAWFDRQHSTRQPVVVHSASME</t>
  </si>
  <si>
    <t>GC_00002273</t>
  </si>
  <si>
    <t>MRLIGHNWDKFVALSAIGFVAVMCAAILTIYNNPYEQAINPVYQKQETAGSLVDQAVGEAVEKYLKVLNAEWLDKDCTLSHCSASSKAIPGVPDERSVFTKQERANLVGRDSERACFAPIIGFAIYSVAAQNQNLGRGAWAWAGISGAGTSGAADSTVSAIVYGTIIERNSVGEAVRSVRIPQRMTLIKAATSGDQGPYVVMEDERLRASEENLPTSSFDPLVFRKFVDYPNDATRTDACVG</t>
  </si>
  <si>
    <t>MRLIGHNWDKFVALSAIGFVAVMYTAILTIYNNPYEQAINPMYQKQETAGSLVDQAVGEAVEKYLKVLNAEWLDKDCTLSHCSASSKAIPGVPDERSVFTKQERANLVGRDSERACFAPIIGFAIYSVAAQNQNPGRGAWAWAGISGVGTSGAADSTVSAIVYGTIIERNSVGEAVRSVRIPQRMTLIKAAASGDQGPYVVMEDERLRASEENLPTSSFDPLVFRKFVDYPNDATRTDACVG</t>
  </si>
  <si>
    <t>GC_00002274</t>
  </si>
  <si>
    <t>MNTFLSEWTKLVSTKAIYWTTGLFLFFGVGFAAVYGLDVPADPMVKLWTGMDIRIIKATSVVAAVAALSFFVTIVQATMVVTSEYRHNYQSVSFMATPNRLKVVMAKWFLYSIFIAILTFVTVLASLYMTKRVSGELSSTLPVWSDEGAIHVLWGYPVAAVLLVTFTQGVSWLLRQTAGAISIMGLWFFALENLLGLLPKVGKYIVKYGPINNFNAFLTKTSIDDIQWDYNGSIAYFGAWAVVIFIAGAIVVRQRDA</t>
  </si>
  <si>
    <t>MNTFLSEWTKLVSTKAIYWTTGLFLFFGVGFAAVYGLDVPADPMVKLWTGMDIRIIKATSVVAAVAALSFFVTIVQATMVVTSEYRHNYQSVSFMATPNRLKVVMAKWFLYSIFIAILTFVTVLASLYMTKRVSGELSSTLPVWSDEGAIHVLWGYPVAAVLLVTFTQGVSWLLRQTAGAISIMGLWFFALENLLGLLPKVGKYIVKYGPINNFNAFLTKTSIDDIQWDYNGSIAYFGVWAVVIFIAGAIVVRQRDA</t>
  </si>
  <si>
    <t>GC_00002275</t>
  </si>
  <si>
    <t>MGVMGVSEFVGYRTRSRDGIESSLNVERSARAVKHHII</t>
  </si>
  <si>
    <t>MGVMGVSEFVGYRTRSRDGIESSLNVERSARSVKHHII</t>
  </si>
  <si>
    <t>GC_00002276</t>
  </si>
  <si>
    <t>MSNYYQSPNNSQPFGPAPQPQQQPVIMVAANRNRALGIIMVVLMVLLVAVLGLIGWLYFNRTYQGHAPVLLKNQDEIETTAPVNNAAPAPQAAAPAAPVTVTVPAPAGNSGASNSSNSGSSSYDALTIPATRCSNYAYAGTNGSDFVSVCNDGGYTYKAYVNDGYLERPASAGGSGLFVVDASPHTITVSGAAVFVQDSSGNTVLTVPMTNWRG</t>
  </si>
  <si>
    <t>MSNYYQSPNNSQPFGPAPQPQQQPVIMVAANRNRALGIIMVVLMVLLVAVLGLIGWLYFNRTYQGHAPVLLKNQDEIETTAPVNNAAPAPQAAAPAAPVTVTVPAPAGNSGASNSSNSGSSSYDALTIPATRCSNYAYAGTNGSDFVSVCNDGGYTYKAYVNDGYLERPASAGGSGRFVVDASPHTITVSGAAVFVQDSSGNTVLTVPMTNWRG</t>
  </si>
  <si>
    <t>GC_00002277</t>
  </si>
  <si>
    <t>MIGILTLPIAEVVAVGVLLGIVGALAIVGKRVFFSESLSHGTFPGAVLGVVIGQFMGASSSSLSLWLFVGAALFCIPLAWLMRYLASLEGISPTAAAGIVLTVGYALGVFLLRWFQPLPLKVEGFLTGSLLAVSHTDVLSAAAILVLAVIALVTCGRRLAFYYFDPIAFRVAVRNSRWWLALMEGITLGLLCASMVVAIPAVGSILSIAILVAPAAGVQVFVRNFAGLILWSGVAGVGIGITGLLLAVWQSLSAGGMVAVVAGLFYLGCRSLGWILCMSWTTPRKPKITSNAFGISSNEPVSRRR</t>
  </si>
  <si>
    <t>MIGILTLPIAEVVAVGVLLGIVGALAIVGKRVFFSESLSHGTFPGAVLGVVIGQFMGASSSSLSLWLFVGAALFCIPLAWLMRYLASLEGISPTAAAGIVLTVGYALGVFLLRWFQPLPLKVEGFLTGSLLAVSHTDVLSAAAILVLAVIALVTCGRRLAFYYFDPIAFRVAVRNSRWWLALMEGITLGLLCASMVVAIPAVGSILSIAILVAPAAGVQVFARNFAGLILWSGVAGVGIGITGLLLAVWQSLSAGGMVAVVAGLFYLGCRSLGWILCMSWTTPRKPKITSSAFGISSNEPVSRRR</t>
  </si>
  <si>
    <t>GC_00002278</t>
  </si>
  <si>
    <t>PF02358.22</t>
  </si>
  <si>
    <t>Trehalose-phosphatase</t>
  </si>
  <si>
    <t>K01087</t>
  </si>
  <si>
    <t>trehalose 6-phosphate phosphatase [EC:3.1.3.12]</t>
  </si>
  <si>
    <t>COG1877</t>
  </si>
  <si>
    <t>Trehalose-6-phosphate phosphatase (OtsB) (PDB:1U02)</t>
  </si>
  <si>
    <t>KEGG Orthology (KO)&gt;&gt;&gt;09100 Metabolism&gt;&gt;&gt;09101 Carbohydrate metabolism&gt;&gt;&gt;00500 Starch and sucrose metabolism [PATH:ko00500]|Enzymes&gt;&gt;&gt;3. Hydrolases&gt;&gt;&gt;3.1  Acting on ester bonds&gt;&gt;&gt;3.1.3  Phosphoric-monoester hydrolases&gt;&gt;&gt;3.1.3.12  trehalose-phosphatase</t>
  </si>
  <si>
    <t>MTTLDDLATTPTLLVVSDFDGTLAGFNVDPMNVPVNTTSIAALEKLSTMPNTKAAILSGRHLEGLRTVAQVSESVILAGSHGAETNEHITPLTEEQQEAMAQLSVELHKLTEKYPKLWIETKPLHMVVHTRPLEDTNLEAAAAEEARALCPAIMHITEGKHVVEFSAIDMTKGSWITSARDNYGATAVLFIGDDQTDENGFHALGDSDMGIKVGDGDTAATVRVNSLDDVADVLTTLATARAHHLGV</t>
  </si>
  <si>
    <t>MTTLDDLATTPTLLVVSDFDGTLAGFNVDPMNVPVNTTSIAALEKLSTMPNTKAAILSGRHLEGLRTVAQVSESVILAGSHGAETNEHITPLTEEQQEAMAQLSVELHKLAEKYPKLWIETKPLHMVVHTRPLEDTNLEAAAAEEARALCPAIMHITEGKHVVEFSAIDVTKGSWITSARDTYGATAVLFIGDDQTDENGFHVLSDSDMGIKVGNGDTAATVRIDSLDDVADVLTTLATARAHYLAI</t>
  </si>
  <si>
    <t>GC_00002279</t>
  </si>
  <si>
    <t>PF00533.33</t>
  </si>
  <si>
    <t>BRCA1 C Terminus (BRCT) domain</t>
  </si>
  <si>
    <t>MSPTQKPTFSHANPTTPPKAEREAGRDTRRDAGRDAGRRAEREEQRRAELAAAPYVAATVLSTGIHPATSRMVGLHMATYSPDGDVVDTYFCVFNPGDNPGPRHLHSLTPEDIEQGVGFETQLRQICAFIDGRTLIVHNSTRDWGFIVAESRRAVRVLNSKGPRSRGQRRGQRGRRRRIGHIPRPEMVVDTLESARRRQANLPDTRLRAVARALGMRAPSPKASVARAAIPAEQLARENTLLLGRMFFNRLRDSDVVQASPNDLRGDRFGLQRSRLRLDAATATRRYTNPGMHQPGKELVQGMEVVITPDITVDPDEIIAAAMDAGLAYSEQLTRETSLVVCNQEGELRGKAMHARRKGIPLVSDTEFMQLTQNVRAGTAE</t>
  </si>
  <si>
    <t>MSPTQKPTFSHANPTTPPKAEREAGRDT----GRDAGRRAEREEQRRAELAAAPYVAATVLSTGIHPATSRMVGLHMATYSPDGEVVDTYFCVFNPGDNPGPRHLHSLTPEDIEQGVGFETQLRQICAFIDGRTLIVHNSTRDWGFIVAESRRAVRVLNSKGPRSRGQRRGQRGRRRRIGHIPRPEMVVDTLESARRRHANLPDTRLRAVARALGMRAPSPKASVARAAIPAEQLARENTLLLGRMFFNRLRDSDVVQASPNDLRGDRFGLQRSRLRLDAATATRRYTNPGMHQPGKELVQGMEVVITPDITVDPDEIIAAAMDAGLAYSEQLTRETSLVVCNQEGELRGKAMHARRKGIPLVSDTEFMQLTQNVRAGTAE</t>
  </si>
  <si>
    <t>GC_00002280</t>
  </si>
  <si>
    <t>MTADKSTYKPGDVVTLTGTGFRPLIDAYLSLDSNTANWPKDQSAGSSLKIYDDYDQALYLRDSDLGGSFTTKVVLPKLDDDFTTGKHTITLVGIDYSGRPTIMKNVEFWVNESGESTAFCGADNH</t>
  </si>
  <si>
    <t>MTADKSTYKPGDVVTLTGTGFRPLIDAYLSLDSNTANWPKDQSAGSSLKTYDDYDQALYLRDSDLGGSFTTKVVLPKLDDDFTTGKHTITLVGIDYSGRPTIMKNVEFWVNESGESTAFCGADNH</t>
  </si>
  <si>
    <t>GC_00002281</t>
  </si>
  <si>
    <t>MKRISRLAVLTIATSLTVSGVTVATAEEAQTPPAAVEQAAEVTKEDQGNPATGNNNGSPGTEDKNNYENVKETITTLADSAIKTADEAIAAAKAKDPELVKDFVKSAEKAKAEAEAIKKALPTTNDEPGLMELMNRADAAKYQAESAKADIEKVTSPEDLAKARKAANEAADAFIRDIDEALKVAKKKQQTDTLKELVAQAETAKADAEKAKKAIPGITSTTALNDLTKYLKGARDEFRNIRATIDTVPNDQNKSSDNSKVKTIIAVLLGVLGLGAIAAAIVQFAGPVLKGLGINLPGL</t>
  </si>
  <si>
    <t>MKRISRLAALTIATSLTVSGMTVATAEEAQTPPAAVEQAAEITKEDQGNPTTGNNNGSPDTKDKNNYENVKETITALADSAIKTADEAIAAAKAKDPELVKDFVKSAEKAKAEAEAIKKALPTTNDEPGLMELMNRADAAKYQAESAKADIEKVTSPEDLAKARKAANDAADAFIRDIDEALKVAKKKQQTDTLKELVAQAESAKADAEKAKKAIPGITSTTALNDLTKYLKGARDEFRKVRATIDTVPNAQNKSSGNSKVKTIIAVLLGVLGLGAIAAAIVQFAGPALKAFGINLPGL</t>
  </si>
  <si>
    <t>GC_00002282</t>
  </si>
  <si>
    <t>MTIIGGKKHLVWRLLCSDFLSNLATSLAAKIISLWFVLAVFGEERSVPWVSGFLTVIAVAQLLAGLFTGAVSDRHDPIATMTMACLVRAVASAGIIAILVFCPTGGLAAVLAVIALAIIEAMCDTAYLPAAASVSHRLADGQELVRLLGWLRFFALLGSMTGPILAGIGADRGWFAGTMALETVALLVAALILAPIRHSISRQTARPTEGFWLAWKAGLRAMVGSESYQVMLPFAILEAVSSSALSMVAIYFFTATLHVSATWYGVWNALVAAGYATGYLTAPWLSERMRFFKLLALSNLAVSLLLAIISLTDSALVAVVVGFSFATSQGVLNPPFQTIFVQAVPSEKVGQAMSVFISVVGAVGALAVPLWGVVADTLARHQPTTGIDPYRTILLIIVAVHAAMVVCALTNRRVRAISID</t>
  </si>
  <si>
    <t>MTIIGGKKHLVWRLLCSDFLSNLATSLAAKIISLWFVLAVFGEERSVPWVSGFLTVIAVAQLLAGLFTGAVSDRHDPIATMTMACLVRAVASAGIIAILVFCPTGGLAAVLAVIALAVIEAMCDTAYLPAAASVSHRLADGQELVRLLGWLRFFALLGSMAGPILAGIGADRGWFAGTMALETVALLVAALILAPIRHSMSRQTAGLAEGFWLAWKAGLRAMVGSESYRVMLPFAILEAVSSSALSMVAIYFFTATLHVSATWYGVWNALVAAGYAIGYLAAPWLSERMRFFKLLALSNLAVSLLLAIISVTDSALVAVVVGFSFATSQGVLNPPFQTIFVQAVPSEKVGQAMSVFISVVGAVGALAVPLWGVVADTLARHQPTTGIDPYRTILLIIVAVHAAMVVCALTNRRVRAISID</t>
  </si>
  <si>
    <t>GC_00002283</t>
  </si>
  <si>
    <t>K07025</t>
  </si>
  <si>
    <t>putative hydrolase of the HAD superfamily</t>
  </si>
  <si>
    <t>MIVKAAARPTSIRAILFDLDDTLIDHTSAAHNAATAWARELGLPGDQTDRWFAIERQYFSAYERGECTHQQQRRNRVRDFLGDFSLDDAATDALFAHFLTLYEQHWRAFPDAAPALTRALEAGLQVGILTNGATELQQRKLKRTGLDISGVQLLTSTDLGAAKPNPECYERALAVMGITAHETIMVGDSFPNDVEGARAVGITAFHLVRGHSSDDLYSLPSLDLLPF</t>
  </si>
  <si>
    <t>MIVKAAARPTSIRAILFDLDDTLIDHTSAAHNAAAAWARELGLPGDQTDRWFAIERQYFSAYERGECTHQQQRRNRVRDFLGDFSLDDAATDALFAHFLTLYEQHWRAFPDAVPALTRALETGLQVGILTNGAMELQQRKLERTGLDISGVQLLTSTDLGAAKPNPECYERALAVMGITAHETIMVGDSFPNDVEGARAVGITAFHLVRGHSSDDLYSLPSLDLLPF</t>
  </si>
  <si>
    <t>GC_00002284</t>
  </si>
  <si>
    <t>MTFRIHNIARFAATIGVLTLFWGLSYMPPASALPPGGAATVNTPGTSSSVSPDSVEQCGSVSYEVSGFPAGETVNVKIDDGNVSGGDKSVQGQGVVDEQAIGNDGRASGSVEISCDFPTGMHTLRFLATGGPQNRGYSNRSPEFEVTAKSGGGGESEDSNNSDSGASDSNSGDSTSGTTSAGGTRSNNSASGGGTTSRGNTASGSRGNSASSDDDDDDDEDESTSSGGGGGGASGGAARAGGGSASSGGGSGGGTSSGSTSNGSSRGSSGGGSGSSGGSSGGSGGSGSGGKNSSSSKNGGSGSSTKASGAKAAGSAKNATGNKAKASGFSNKKSKKKSANSDGPSNGGLFDKAAQDEEITPTANSVPYIGFFVGGAILLVGMTAINAWLYLQRNAAATAAATAAAAVNAANQRDQQEQSRQDDNPFDVFETGNYRS</t>
  </si>
  <si>
    <t>GC_00002285</t>
  </si>
  <si>
    <t>MARPVRFTEDSILDGAARAVEKHGGKVTIAQISTEVGAPTGSIYHRFPSRDHLLIRLWLRAIRRFHTGLLAAPDIAATSRHIPQFCRKHPIDAQVMTLFRHADLIATAPVELRNEVLHINDSAWAKCRDLTQEFYGTTSPELVERMTLAIYWCPYSLVRRYIGQPIPPWLDDATVAATLAIAEAGRTPPE</t>
  </si>
  <si>
    <t>MARPVRFTEDSILDGAARAVEKHGGKVTIAQISTEVGAPTGSIYHRFPSRDHLLIRLWLRAIRRFHVGLLAAPDIAATSRHIPQFCRNHPIDAQVMTLFRHADLIATAPVELRNEVLHINDSAWAKCRDLTQEFYGTTSPELVERMTLAIYWCPYSLVRRYIGQPIPPWLDDATVAATLAIVEAGRTPPE</t>
  </si>
  <si>
    <t>GC_00002286</t>
  </si>
  <si>
    <t>MSLSTSVAALLDAYMSEVFPATHAPGMQVVVVDKDSVRYARAFGDAVSTNQVTGIGSLTKSMTALAIQQLGVDRQAPVTQYLANLHVPDWVTIDRLLTHTSGIATQATLDNIIVNAPGAFEYANLNYHLLGLVIQAVSGENYDYYMRKHVFEPLGMWNTTADLGRVTDLLTGHTVFFGKPVPWRMERFFPNRMNNEARWGNLSAGFVLSTAHDMGIYLQHYLNNGVPEVPDGGYRDGWFRDGDRIFHAGSLEGYSSLMMLLPELGVGVVVLTNMQDYVGNTMSGLRIEAGITNILAGRQPSPVDRGLYLRRHGLLSALYLTIMALPLVRCRHKTIWNVVLPTALLSVPRIVKARWATVWGFAPNLLVSLVASATLLYAGWFTKKTKTR</t>
  </si>
  <si>
    <t>MSLSTSVAALLDAYMSEVFLATHAPGMQVVVVDKDSVRYARAFGDAVSTNQVTGIGSLTKSMTALAIQQLGVDRQAPVTQYLANLHVPDWVTIDRLLTHTSGIATQATLDNIIVNAPGAFEYANLNYHLLGLVVQAVSGENYDYYMRKHVFEPLGMWNTTADLGRVTDLLTGHTVFFGKPVPWRMERFFPNRMNNEARWGNLSAGFVLSTVHDMGIYLQHYLNNGVPEVPDGGYRDGWFRDGDRIFHAGSLEGYSSFMMLLPELGVGVVVLTNMQDYVGNTMSGLRIEAGITNILAGRQPSPVDRGLYLRRHGLLSALYLTIMALPLVRCRHKTIWNVVLPTALLSVPRIVKARWATVWGFAPNLLVSLVASATLLYAGWFTKKTKTR</t>
  </si>
  <si>
    <t>GC_00002287</t>
  </si>
  <si>
    <t>MHRSRILAALGTIIGLGLALMPPAGATENMDPTVVVLDASGSMLQKDVGGQTRMDAAKQATTEFVSEAPKDAQLGLVTYGTGTGSSDAEKEAGCRDITVLARPGEKPSDALKNEVNGLQPRGYTPIGNSLLKANELLPKDGKRSIVLVSDGIDTCAPPPVCDVAKQLKEQGTELVVHAIGFMVDDAARAELTCVANVTGGTYADASSKESLKATLTKAATRTAVGYQAAQKTIEFTPNQGDAQTLEVGTVDNPARVSAKPPTMPMSKNSFVKVNFPNNHRLHVGYTVVPNKIGTRMLGDAYGLGMGIYGPGASSPYPCGDTDENYVTSVDDAEPELGWLMSTKENSNNCPPDKLYLGVRTQDAPHTVDMTVAAVPIPSDKGDAFNESPSAARAKTDVLPFAAGNTTEVKGGTQADNAPEVKDTAISEIVEGETQYFAAPVGWGQALDATVEVLDDPSDKENSASDKVARVLKFSAVNSLGEEQSLIEDTDTLRVADIRKPVATGTMYPISYANVDVNDVQQQTSWLAGKNYFRVRFERYVGSTDEHTQLKPVKYRVTLRPSGKEVAGPKFDNTAVNSSGGADSRSTSMAAPDSTAQAQKTGLNRWLYVGVGALAVLLLVVVGAVMWVVRRSKG</t>
  </si>
  <si>
    <t>MHRSRILAALGTIIGLGLALMPPTGAAENMDPTVVVLDASGSMLQKDVGGQTRMDAAKQATTEFVSEAPKDAQLGLVTYGTGTGSSDAEKEAGCRDITVLARPGEKPSDALKNEVNGLQPRGYTPIGNSLLKANELLPKDGKRSIVLVSDGIDTCAPPPVCDVAKQLKEQGTDLVVHTIGFMVDDAARAELTCVANVTGGTYADASSKESLKATLTKAATRTAVGYQAAQKTIEFTPNQGDAQTLEVGTIDNPARVSAKPPTMPMSKNSFVKVNFPNKHRLHVGYTVVPNKIGTRMLGDAYSLGMAIYGPGASSPSLCGDTEENYVTSVDDAEPELGWLMSTKENSNDCPPDKLYLGVRTQDTPHTVDMTVAAVPIPSDKGDAFNESPSAARAKTDVLPFAAGNTTEVKGGTQADNAPEVNDTAISEIVEGETQYFAAPVGWGQALDATVEVLDDPSDKENSASDKIARVLKFSAVNSLGEEQSLIEDTDTLKVADIRKPVATGTMYPISYANVDVNDVEQQTSWLAGKNYFRVRFERYVGSTDEHTQLKPVKYRVTLRPSGKEVAGPKFDNTAVESSGGSDSPSTTMTAPDSTAQAQNTGLSRWLYVGVGALAVLLLFVVGVVMWVARRSRG</t>
  </si>
  <si>
    <t>GC_00002288</t>
  </si>
  <si>
    <t>PF01867.21</t>
  </si>
  <si>
    <t>CRISPR associated protein Cas1</t>
  </si>
  <si>
    <t>K15342</t>
  </si>
  <si>
    <t>CRISP-associated protein Cas1</t>
  </si>
  <si>
    <t>COG1518</t>
  </si>
  <si>
    <t>CRISPR-Cas system-associated integrase Cas1 (Cas1) (PDB:2YZS)</t>
  </si>
  <si>
    <t>ko03400|ko02048</t>
  </si>
  <si>
    <t>DNA repair and recombination proteins&gt;&gt;&gt;Prokaryotic type&gt;&gt;&gt;DSBR (double strand breaks repair)&gt;&gt;&gt;HR (homologous recombination)&gt;&gt;&gt;Other HR factor|Prokaryotic defense system&gt;&gt;&gt;CRISPR-Cas system&gt;&gt;&gt;Universal Cas proteins</t>
  </si>
  <si>
    <t>MAYSEEALAFSTIPTKDQVRLEDRVSYLYLEYCQVRQDRTGVIARQRGDYPSDSPKRIRIQLPVAGLGVLMLGPGTSISQPAATSCARAGTAILYCGGGGVPAYSLATPLTSSARWAIAQARLVANEAHQRKAAVILYRKQLGIEVMPTNASIATMRGLEGRLMRQTYKQVAARYKVKDFKRNTESPDPINQSLNLANSILYGCAAAACSAIGVNPALGIIHRGDIRSLLFDLADMYKPDISIPLAFKHARSDNYATLVRSDLRKLIVKNKILEEMLQILMTILTPYLPARNDDRLIGGRNREVAGHTQYA</t>
  </si>
  <si>
    <t>MAYSEEALAFSTIPTKDQVRLEDRVSYLYLEYCQVRQDRTGVIARQRGDYPSDSPKRIRIQLPVAGLGVLMLGPGTSISQPAATSCARAGTAILYCGGGGVPAYSLATPLTSSARWAIAQARLVANEAHQRKAAVILYRKQLGIEVMPNNASIATMRGLEGRLMRQTYKQVAARYKVKDFKRNTESPDPINQSLNLANSILYGCAAAACSAIGVNPALGIIHRGDIRSLLFDLADMYKPDISIPLAFKHARSDNYATLVRSDLRKLIVKNKILEEMLQILMTILTPYLPARNDDRLIGGRNREVAGHTQYA</t>
  </si>
  <si>
    <t>GC_00002289</t>
  </si>
  <si>
    <t>MRFSTKFLSAVVLSTPGWWTTAATRRAIATVMTAGVLFTAGTVPMAPSAVVPVAAASDKDKADKDKSDKDKADKNKARPIASPAPKGPINNPVDAANAIVKDMSPLDELGRPKPEILNSMRALADQPGMDKKIADLIRSAVSYYEGEGEPGVNMPALSDAPAITQFGWPAFAGECIGGSQNATGTAFAVSGPAKLPVPGVPENHTAFVFTALGTGALAEQQRGEMTVQWVNMNTLKHGVAPLKYNGINPSGPATVSGTAETGRGTIVAWLSGTINTKEKNAEGAETVANCTFTPTAGIITN</t>
  </si>
  <si>
    <t>MRFSTKFLSAVVLSTPGWWTTAATRRAIATVMTAGVLFTAGTVPMAPSAVVPVAAAADKDKADKDKSDKDKADKNKARPIASPAPKGPINNPVDAANAIVKDMSPLDELGRPKPEILNSMRALADQPGMDKKIADLIHSAVSYYEGEGEPGVNMPALSDAPAITQFGWPAFAGECIGGSQNATGTAFAVSGPAKLPVPGVPENHTAFVFTALGTGALAEQQRGEMTVQWVNMNTLKHGVAPLKYNGINPSGPATVSGTAETGRGTIVAWLSGTINTKEKNAEGAETVANCTFTPTAGIITN</t>
  </si>
  <si>
    <t>GC_00002290</t>
  </si>
  <si>
    <t>MQDQSAVAASVTGEPQWDDATAWVHENHRFAVIGHITPDADDVGSMCAMIAGLHQLGKEAVGLIGQSLPLDDSLLTIPGAEDILVTDELPPCDAIIVVDCGSSARMGALEEAVMRRESDVILIDHHASNLGCQGINLIDYTAESSTTIIRQWFEHLGVEITQNIAHCLYVGLLTDTGGFRWGRPVMHALAQELVNTGLDIRTIGNQMFDGLSFSDLTMIGKVLSSLEIHRSDCHEIAFAFATHDVIAGHSLHAVESIADYVRGMKNIDISVVIKEYQPGFAGVSLRSDTIDVSELAHYLGGGGHLRAAGFTCSGTIAEITANIISAANKSCPVLHQNQEAPIR</t>
  </si>
  <si>
    <t>MQDQSAVAASVTSEPQWDDATAWVHENHRFAVIGHITPDADDVGSMCAMIAGLHQLGKEAVGLIGQSLPLDDSLLTIPGAEDILVTDELPPCDAIIVVDCGSSARMGALEEAVMRRESDVILIDHHASNLGCRGINLIDYTAESSTTIIRQWFDYLGVELTQDIAHCLYVGLLTDTGGFRWGRPVMHALAQELVNTGLDIRTIGNQMFDGLSFSDLTMIGKVLSSLEIHRSDCHEIAFAFATHDVIAGHSLHAVESIADYVRGMKNIDISVVIKEYQPGFAGVSLRSDTIDVSELAHYLGGGGHLRAAGFTCSGTIAEITANIISAANKSCPVLHQNQEAPIR</t>
  </si>
  <si>
    <t>GC_00002291</t>
  </si>
  <si>
    <t>MLGKEIRSARTQRGDRLSDLAERSGVSPQYLSEIERGMKDPSSEMIDAIAGALGMSTLDLAKSVVEKGDSGNGDIHNAASTPVLLLAA</t>
  </si>
  <si>
    <t>MLGKEIRSARTQRGDRLSDLAERSGVSPQYLSEIERGMKDPSSEMIDAIAGALGMSTLDLAKSVVEKGDSRNGDIHNAASTPVLLLAA</t>
  </si>
  <si>
    <t>GC_00002292</t>
  </si>
  <si>
    <t>PF00723.27</t>
  </si>
  <si>
    <t>Glycosyl hydrolases family 15</t>
  </si>
  <si>
    <t>K22934</t>
  </si>
  <si>
    <t>alpha,alpha-trehalase [EC:3.2.1.28]</t>
  </si>
  <si>
    <t>COG3387</t>
  </si>
  <si>
    <t>Glucoamylase (glucan-1,4-alpha-glucosidase), GH15 family (SGA1) (PDB:1AGM)</t>
  </si>
  <si>
    <t>KEGG Orthology (KO)&gt;&gt;&gt;09100 Metabolism&gt;&gt;&gt;09101 Carbohydrate metabolism&gt;&gt;&gt;00500 Starch and sucrose metabolism [PATH:ko00500]|Enzymes&gt;&gt;&gt;3. Hydrolases&gt;&gt;&gt;3.2  Glycosylases&gt;&gt;&gt;3.2.1  Glycosidases, i.e. enzymes that hydrolyse O- and S-glycosyl compounds&gt;&gt;&gt;3.2.1.28  alpha,alpha-trehalase</t>
  </si>
  <si>
    <t>MFTPTNSVPLEEYALIANHHTVALISRAGRVDWFCPQVDHTATFAALLGEPKHGSWSITVDDANMTARTYLDHPDHLILHTTWLSATGTAEVVDYLEGTTLVRAVTCTTGDITVRHDLKIRTDYGSRSPAWHDHFHFVDRQGEAVTALHGPELHHTGRNADFVGSFDLAAGTTLTWTLGETAAPQREFREEPLPPYNGQWVRLAERSAMVLNALALTNGAILAAPTASLPEIIGGDHNWDYRFCWLRDSAFAIDALLMAEQNGYTRAPVRERAVAWRDWLVRTIDPENLQIVYGVRGETHLEERILAHLPGYLDSLPVRVGNAAASQFQADVVGEILLVCRHMREAGIPETEESWRLQTRLLDYCIKNYERRDHGIWEMRGELHYFTHGRAMMWAAFDCALDAVAKHETLTGDTETWRKYRDQLYDEIFSRGFDAERNTFRQIYDNPGVDASLLQLPHTGIIAVTDQRMHDTVAAIVRELGDDHGLIYRYNSDGPRAEYPFLICNFWLAEHYARAGHLDAATRLLEQLVGYANDLGLLAEEYDPVRERLAGNFPQAFSHIGVIRAVDAIARAQ</t>
  </si>
  <si>
    <t>MFTPTNSVPLEEYALIANHHTVALISRAGRVDWFCPQVDHTATFAALLGEPKHGSWSITVDDANMTARTYLDHPDHLILHTTWLSATGTAEVVDYLEGTTLVRAVTCTTGDITVSHDLKIRTDYGSRSPAWHDHFRFVDRQGEAVTALHGPELHHTGRNADFVGSFDLVAGTTLTWTLGETAAPQREFREAPLPPYNGQWVRLAERSAMVLNALALTNGAILAAPTASLPEIIGGDHNWDYRFCWLRDSAFAIDSLLMAEQNGYTRAPVRERAVAWRDWLVRTIDPENLQIVYGVRGETHLEERILAHLPGYLDSLPVRVGNAAASQFQADVVGEILLVCRHMREAGIPETEESWRLQTRLLDYCIKNYERRDHGIWEMRGELHYFTHGRAMMWAAFDCALDAVAKHETLTGDTETWRKYRDQLYDEIFSRGFDAERNTFRQIYDNPGVDASLLQLPHTGIIAVTDQRMHDTVVAIVRELGDDHGLIYRYNSDGPRAEYPFLICNFWLAEHYARAGHLDAATRLLEQLVGYANDLGLLAEEYDPVRERLAGNFPQAFSHIGVIRAVDAIARAQ</t>
  </si>
  <si>
    <t>GC_00002293</t>
  </si>
  <si>
    <t>PF11271.13</t>
  </si>
  <si>
    <t>Porin PorA</t>
  </si>
  <si>
    <t>MLPKSRVFCVMLLGLSAALLVVGVLLPRYVHADSRLPLSLGQTTMVLRDNNGTVGSGESEYKGALLKQVNTELMDPVDATEVTLRIGMTLSKDIKESDLNRLVNAKIWSYRMDRITGEAVGDATLTDQIVGPTQTVAVDGVWTKFPMDAGQGPYQVFDDTLRQSRPAHFVGEERREGRTILHFRQDIQPVNVATLFADAANTTNFAEPDGAMTSGYLFHSAVRDWYVDRATGLIIDAEEHIDDFYGTREGEKREQVILFHGKVTPDSASTLMSQASSVSNGNWVHTTSTVLLGAGGALAFVGLIGVFGAFSLGRGRSERESRRERGNQRGRGSRRGARS</t>
  </si>
  <si>
    <t>MLPKSRVFCVMLLGLSAALLVVGVLLPRYVHADSRLPLSLGQTTMVLRDNNGTVGSGESEYKGALLKQVNTELMDPVDATEVTLRIGMTLSKDIKESDLNRLVNAKIWSYRMDRITGEAVGDATLTDQIVGPTQTVAVDGVWTKFPMDAGQGPYQVFDDTLRQSRPAHFVGEERREGRTILHFRQDIQPVNVATLFADAANTTNFAEPDGAMTSGYLFHSAVRDWYVDRATGLIIDAEEHIDDFYGTREGEKREQVILFHGKVTPDSASTLMSQASSVSNGNWVHTTSTVLLGAGGALAFVGLIGVFGAFSLGRGRSERESRRERGSQRGRGSRRGARS</t>
  </si>
  <si>
    <t>GC_00002294</t>
  </si>
  <si>
    <t>K14059</t>
  </si>
  <si>
    <t>integrase</t>
  </si>
  <si>
    <t>MPTKRVRNTGISWQGRYRDASGKEHSKTFRTKREAKAWEDDQIRAVRRGEWLDPQTSTITVHDLVKKKLSQSAKPNTRQARNYLLANLGDLSPIPITALRPAMVRSWLHVLETGRPWVSDRSPLAANTISMIAGQLRAILTQAVNDDVILRHPMRGVVISSASKQVERDDIPDTEEIQALIQAAYSSGRGVSPNPQLARMIIVAATTGLRGGEIGGLRVKDVDFFRRELHVSQQVSQNSAGPTAPKSRRASRTVPLTEETLAALNTQLRERPRGREETIFAAKSGEPYNSLAIGTQFKNLTKRVGVTTTFHALRHYYASKLIESGVSVSVVQRVLGHSSPATTLGVYAHLWPGAEDEVRDAVRSFCGISDQKSTKDIGKIPG</t>
  </si>
  <si>
    <t>MPTKRIRNTGISWQGRYRDASGKEHSKTFRTKREAKAWEDDQIRAVRRGEWLDPQTSTITVHELVKKKLSQSAKPNTQQARNYLLANLGDLSPIPITALRPAMVRSWLHVLETGRPWVSDRSPLAANTISMIAGQLRAILTQAVNDDVILRHPMRGVVISSASKQVERDDIPDTEEIQALIRAAYSSGRGVSPNPQLARMIIVAATTGLRGGEIGGLRVKDVDFFRRELHVSQQVSQNSAEPTAPKSRRASRTVPLTEETLAALNTQLRERPRGREETIFAAKSGEPYNSLAIGTQFKNLTKRVGVTTTFHALRHYYASKLIESGVSVSVVQRVLGHSSPATTLGVYAHLWPGAEDEVRDAVRSFCGISDQKPTKDIGKIPG</t>
  </si>
  <si>
    <t>GC_00002295</t>
  </si>
  <si>
    <t>MEVVIITTMEPKMSFLQSKYGTPTLTWLLAEAATPAIYQPATGGVQRTEPATERDINFQVKLDNDDATVQLLYEVDVPAAPLVMRLMLMETFDLAGTMFTAEDEAHIGEHVRSSQAIQALNQQMQTFGTMFEVPHPVIDPQQI</t>
  </si>
  <si>
    <t>MEVVIITTMEPKMSFLQSKYGTPTLTWLLAEAATPAIYQPATGGIQRTEPATERDVNFQVKLDNDDATVQLLYEVDVPAAPLVMRLMLMETFDLAGTMFTAEDEAHIGEHVRSSQAIQALNQQMQTFGTMFEVPHPVIDPQQI</t>
  </si>
  <si>
    <t>GC_00002296</t>
  </si>
  <si>
    <t>MIADIFRILGALYWVPAYQRGYYAREWYWLFRAAHSDGERAQVAANAVMMAHKLCPLDPRVRRERCRKNRILFRTYAAAVLFIIIIGGLMPLEDYIVLLLFLIPCMLPPLILMGFLLYSDRHRRGYQGMVTNGVGGTICFEVAWCGVMGDINPWLSKIPDMIYIAIALVFYVCPVFLVLFIVSAAQNFGPQPPACQDPPFPPIPSFTPLPPKTPQVPPGH</t>
  </si>
  <si>
    <t>MIADIFRILGALYWVPAYQRGYYAREWYWLFRAAHSDGERAQVAANAVMMAHKLCPLDPRVRRERCRKNRILFRTYAAAMLFFISIGGLMPIEESIELLLFLIPCMLPPLILMGFLLYSDRHRRGYQGMVTNGVGGTICFEVAWCGVMGDINPWLSKIPDMIYIAIALVIYVCPVFLVLFIISAAQNFGPQPPACQDPPFPPIPSFAPLPPKTPQVPPGH</t>
  </si>
  <si>
    <t>GC_00002297</t>
  </si>
  <si>
    <t>MIAVTTLLLILAALFIIVGGLGWAGKLPGNGVIGIRVPEVRKTKELWDTAHRIAGPLWTVSGVVLALGGILSFGASGWMWLVVALAVVGSLALLGMGAGMGAHAVALIDARATAEAASDSGCDCCSSGASDASASSTAASDAHDPSVDCGVSGGCGSCSLNGACEGGSDAFAAGESFGSVDLDAVRKAAAKGDDRQHGNTTVHP</t>
  </si>
  <si>
    <t>MIAVTALLLILAALFIIVGGLGWAGKLPGNGVIGIRVPEVRKAKELWDTAHRIAGPLWTVSGVVLALGGILSFGASGWMWLVVALAVVGSLALLGMGAGMGAHAVALIDARATAEAASDSGCDCCSSGASDASASSTAASDAHDPSVDCGVSGGCGSCSLNGACEGGSDAFAAGESFGNVDLDAVRKAAAKGDDRQHGNTTVHP</t>
  </si>
  <si>
    <t>GC_00002298</t>
  </si>
  <si>
    <t>MSQPPRSFPHSSAPLARPITIPGVLAVLAFFGCAFLLLPLAALATRVSWDTLGNTLLEPATETLLEITLRSALYATIITVLIGVPMAIMLQRLRRGSQLVRILILLPLAMPPVVAGLSLTALLGRRGITAPILNALELQFAFAFAGVVVAHIFIALPFVVITVDAALRQIDREVFDSAAGIGMSPWQVLWRITLPTLRPAIVTGTGLAFVRSLGEFGTTLTFAGSLPGTTRTMPIGIYLARETDPTDAYNLAAILILLALLVLLSTGIFAMRRIPKPVARTITDLDTDALRDLCAPTHPAPDITINGITFRSGQVTALVGPNGSGKTTLLGRIGGRLTGGQVVLGDADVSALPPHRRGVVVVTQQPGLPPFATVAQALTMVTRDSDRSRRLLAASGLQELAGVRCDGLSGGQAAQVALVRGLAARPAVLLLDEPLAAVDSAAAHRWRTLLRAITPGRTTILVSHDPLEVASISKNIAVLDRGEVTAHDDASTIFRIPPNPFVATFTGRNRLMGTVHTTGKEFVTLHLDDTDHPNPIAVTGIPDGPLREGDQAIAVVEPLSLTLQLPEQVSEESARNHWPGRITSIEAHYNSGVGTNVIVDVGGTPVLCLVTAQSVTDLHLDVGSEVIISAKALNVMIFPQL</t>
  </si>
  <si>
    <t>MSQPLRSFPHSSAPLARPITIPGVLAVLAFFGCAFLLLPLAALATRVSWDTLGNTLLEPATQTLLDITLRSALYATIITVLIGVPMAIMLQRLRRGSQLVRVLILLPLAMPPVVAGLSLTALLGRRGITAPILNALELQFAFAFAGVVVAHIFIALPFVVITVDAALRQIDREVFDSAAGIGMSPWQVLWRITLPTLRSAIVTGTGLAFVRSLGEFGTTLTFAGSLPGTTRTMPIGIYLARETDPTDAYNLAAILILLALLVLLSTGIFAMRRIPKPVARTITDLDTDALRDLCAPTHPAPDITINGVTFRSGQVTALVGPNGSGKTTLLGRIGGRLTGGQVVLGDADVSALPPHRRGVVVVTQQPGLPPFATVAQALTMVTRDSDRSRRLLAASGLQELAGVRCDRLSGGQAAQVALVRGLAARPAVLLLDEPLAAVDSAAAHRWRTLLRAITPGRTTILVSHDPLEVASISKNIAVLDRGEVTAHDDASTIFRIPPNPFVATFTGRNRLMGTVHTTGKEFVTLHLDDVDHPSPITVTGIPDGPLCEGDQAIAVVEPLSLTLQLPEQVSEESARNHWPGRITSIEAHYNSGVGTNVIVDVGGTPVLCLVTAQSVTDLHLDVGSEVIISAKALNVMIFPQL</t>
  </si>
  <si>
    <t>GC_00002299</t>
  </si>
  <si>
    <t>MIKISHMGASMNVGNDVGAVPQWELQDRIQRARRHAGLEQGQLAELAGVSRKSVSNWEIGKTVPRRSALIAIAFATGVNLYWLETGESPYPPEPVKDAKPGNSMV</t>
  </si>
  <si>
    <t>GC_00002300</t>
  </si>
  <si>
    <t>MKILIVGANGRVGTKLMALLSESHTVYAGVRNAEAPNAVTLDLTAPLPEITKAVKSVQPDVIYFTAGSRGKNLLQVDAFGAVKLIQAAKTAGVPRFVMLSTVYALQPERWNEGILADLSDYYIAKFFADHWLVHHSDLDYTILQPGPLEETPGTGRIAVDVAEPRGNSMDDVAATLAAIITIPETVGKVITMSGGDTPIAEALAS</t>
  </si>
  <si>
    <t>MKILIVGANGRVGTKLMALLSESHTVYAGVRNAEAPNAVALDLTAPLPEITKAVKSVQPDVIYFTAGSRGKNLLQVDAFGAVKLIQAAKAAGVPRFVMLSTVYALQPERWNEGILADLSDYYIAKFFADHWLVHHSDLDYTILQPGPLEDTPGTGRIAVDVAEPRGNSMDDVAATLAAIITIPETVGKVITMSGGDTPIAEALAS</t>
  </si>
  <si>
    <t>GC_00002301</t>
  </si>
  <si>
    <t>MSFTSFHPDAHFTHEPAAPLPTPGLSASHTAQALIQFQSRLGSALTHTDDSVADHLTQLHRFISDQTRIDANTSQSLGGGRSCSR</t>
  </si>
  <si>
    <t>MSFTSFHPDAHFTHEPATPLPTPGLSASHTAQALTQFQSRLGSALTHTDDSVADHLTQLHRFISDQTRIDADTSQSLGGGRSCSR</t>
  </si>
  <si>
    <t>GC_00002302</t>
  </si>
  <si>
    <t>MCRNTATALITVLTRPLRLIAELPDRRTLPLLPQRSSKQSQFTSARLLEAVEPLANALNPIRNNLDSDTTVTTIAPEGYDTDIYVRTLRWLLNDDEHLLAIAFPYQMDSNNPLTMVSAAFDLRMDTSWNLLRLEKKIGTVSKTASASFIAVADARIITTNPHDFRNHDTTKGEIPRSEVRHIQFTPTDNDNSRTKIDVTTEKIDLHWTFPAAANNDDNQCPSQNS</t>
  </si>
  <si>
    <t>MCRNTATALITVLTRPLRLFAELPDRRTLPLLPQRSSKQSQFTSARLLEAVEPLANALNPIRNNLDSDTTVTTIAPEGYDTDIYVRTLRWLLNDDEHLLAIAFPYQMDSNNPLTMVSAAFDLRMDTSWNLLRLEKKIGTVSKTASASFIAVADARIITTNPHDFRNHDTTKGEIPRSEVRHIQFTPTDNDNSRTKIDVTTEKIDLHWTFPAAANNDDNQCPSQNS</t>
  </si>
  <si>
    <t>GC_00002303</t>
  </si>
  <si>
    <t>K16012</t>
  </si>
  <si>
    <t>ATP-binding cassette, subfamily C, bacterial CydC</t>
  </si>
  <si>
    <t>KEGG Orthology (KO)&gt;&gt;&gt;09130 Environmental Information Processing&gt;&gt;&gt;09131 Membrane transport&gt;&gt;&gt;02010 ABC transporters [PATH:ko02010]|Transporters&gt;&gt;&gt;ABC transporters, eukaryotic type&gt;&gt;&gt;ABCC (CFTR/MRP) subfamily&gt;&gt;&gt;ABCC-BAC subgroup</t>
  </si>
  <si>
    <t>MEPTVKELVTWLISITRPVLAPLAVSTLCRIANQVLGILLYVVPVYVLVAHAVAMGVVDGGGGANPPSIPAVIGFMIAAALAKAFLRYLEHYFGHLVAFKALELIRVRVFRDIYPQAPAIVSATGNRAVGSGDMLTRLTRDIGQIEVFFAHTTAPVISAIIVPTCVVACVAVIAPWQGLIAAIILLVVTLITIDTSAYRFAVRVTGRRGALAQHITDSVGGVAEVIGYDAEQRRHHELSELEIPLQHDYVRRSALVGARTGAVAAARLAVLFMLLPATDNLPVTVAAMFAVLRCWDMVNEVADLGNHLSQSLAAARRVWMLSHAGLAPTSGPAQLTPHGPGLSVEWRDVSYTYAGSPRPVVTGVNLAVPAGAWVTVVGTTGSGKSTLAKLLLRYWDVDNGAVLIDGRDHREYDLDSLRAAVAVVTQDIRAMNTTVADNLRLAQPTATDADLLAALQVACLDEEVGLADPVGEGGSALSGGQRQRLSLAQALLRGGRVLVLDEFTAHLNPALAAEVRRRLHAAHPDATIIEIAHDLDNITDSIWVAVMDQGRIVEQGSPADLLAEQGALYHLQHRDREDQEKEEVSGVSGMH</t>
  </si>
  <si>
    <t>MEPTVKQLVTWLISITRPVLAPLGVSTLCRIANQVLGILLYVVPVYALVAHAVAMGAVDSDGGANPPSIPVVIGFMIVAALAKAFLRYLEHYFGHLVAFKALELIRVRVFRDIYPQAPAIVSATGNRAVGSGDMLTRLTRDISQIEVFFAHTTAPVISAIIVPTCVVACVAVIAPWQGLIAAIILLIVTLITIDTSAYRFAVRVTGRRGALAQHITDSVGGVAEVIGYDAEQRRHRELSELEIPLQHDYVRRSALVGARTGAVAAARLAVLFMLLPATDNLPVTVAAMFAVLRCWDMVNEVADLGNHLSQSLAAARRVWMLSHAGLAPTSGSAQLAPHGPGLSVEWCDVSYTYVGSPRPVVTGVNLAVPAGAWVTVVGTTGSGKSTLAKLLLRYWDVDDGAVLIDGRDHREYDLDSLRAAVAVVTQDIRAMNTTVADNLRLAQPTATDADLLAALWVACLDEEVRLADPVGEGGSALSGGQRQRLSLAQALLRGGRVLVLDEFTAHLNPALAAEVRRRLHAAHPDATIIEIAHDLDNITDSTWVAVMDQGRIVEQGSPADLLAEQGALYHLQHRDQEDQEKEEVSGVSGMH</t>
  </si>
  <si>
    <t>GC_00002304</t>
  </si>
  <si>
    <t>PF01510.30</t>
  </si>
  <si>
    <t>K01446</t>
  </si>
  <si>
    <t>peptidoglycan recognition protein</t>
  </si>
  <si>
    <t>MAIVFTAVLLASAIIGVQGGHILNTQEEGTGPITASLNTETLKEGNNVVVDDAAIATQGQAGGPRTVKEFSRDEEFSMFALSWEGKKDVAAFVRAQKDDGSWSDWYNADPIDATDHQPRSGTELVFVEPTKKIQVSTSGVDLLGDAPAPEVDPASIKAVFIDGKADEGKIALAADSTDATGMPRVISRSEWGADESIRCAEPDYDDETNAITIHHTAGSNNYTEAEAAGIVRGIYQYHAQTLGWCDVGYHSLVDKYGNIYEGHSGGLNKPVQGVHAGGFNSNTWAISFLGNYDEAPATQAMIDAAGNLAGWRAKVGDFDPKGSDVHYSEGTPYTRFAYGQEVTLPNIFAHRDVGDTACPGQNVYDRMDEIRNIASNKYHSINSTGGSQPSNHNAS-NNNGKSNDGAGKSQSNALQSLVNSSSQGGQTANLGSLAAFAVSAFLAKGGNSQLSSNGNSQVLGGIKLGDIPSILNGMTKLTGGNATLDKILKLASTLAPILGNSRGPAQQVRPISEKNSDVTVAPYDNGVIVSSPEAGTHALWGAIGDAWAEQGFDAGPLGLPLNEEYQEGGLARVDFQGGYITHNAETQETQIHANEAENSAPVVHTEE</t>
  </si>
  <si>
    <t>MAIVFTAVLLASAIIGVQGGHILNTQEEGTGPITASLNTETLKEGNNVVVDDAAIATQGQAGGPRTVKEFSRDEEFSMFALSWEGKKDVAAFVRAQKDDGSWSDWYDADPIDATDHQPRSGTELVFVEPTKKIQVSTSGVDLLGDAPAPEVDPASIKAVFIDGKADEGKIALAADSTDATGMPRVISRSEWGADESIRCAEPDYDDETNAITIHHTAGSNNYTEAEAAGIVRGIYQYHAQTLGWCDVGYHSLVDKYGNIYEGHSGGLNKPVQGVHAGGFNSNTWAISFLGNYDEAPATQAMIDAAGNLAGWRAKVGDFDPKGSDVHYSEGTPYTRFAYGQEVTLPNIFAHRDVGDTACPGQNVYDRMDEIRNIASNKYHSINSTGGSQPSNHNASNNNNGKSNDGAGKSQSNALQSLVNSSSQGGQTANLGSLAAFAVSAFLAKGGNSQLSSNGNSQVLGGIKLGDIPSILNGMTKLTGGNATLDKILKLASTLAPILGNSRGPAQQVRPINEKNSDVTVAPYDNGVIVSSPEAGTHALWGAIGDAWAEQGFDAGPLGLPLNEEYQEGGLARVDFQGGYITHNAETQETQIHANEAENSAPVVHTEE</t>
  </si>
  <si>
    <t>GC_00002305</t>
  </si>
  <si>
    <t>D|I</t>
  </si>
  <si>
    <t>Cell cycle control, cell division, chromosome partitioning|Lipid transport and metabolism</t>
  </si>
  <si>
    <t>COG2755</t>
  </si>
  <si>
    <t>Lysophospholipase L1 or related esterase. Includes spore coat protein LipC/YcsK (TesA) (PDB:1BWP)</t>
  </si>
  <si>
    <t>MTEFKHVVVYGDSLSWGIIPLTRRRLDFASRWPQVMARDLNDTAEAAGRDYRVHVTEECLNGRRTAFEDPYKPGRSGLIGIQQVIEAQSPLDVVIIMLGTNDFQSIHRHTPWHSAMGIAAIIDAIRATTLEPEIPVPKILVVAPPALDHPRGPIGPKFTGGDTASAGLADALRQITAEYGCGFFDANSVITSSTVDGVHLDKEQHRVLGKAVSKVVAQLL</t>
  </si>
  <si>
    <t>MTEFKHVVVYGDSLSWGIIPLTRRRLDFASRWPQVMARDLNDTAEAAGRDYRVHVTEECLNGRRTAFEDPYKPGRSGLIGIQQVIEAQSPLDVVIIMLGTNDFQSIHRHTPWHSAMGIAAIIDAIRATTLEPEIPVPKILVVAPPALDHPRGPIGPKFTGGDTASAGLADALRQITAEYGCEFFDANSVITSSTVDGVHLDKEQHRVLGKAVSKVVAQLL</t>
  </si>
  <si>
    <t>GC_00002306</t>
  </si>
  <si>
    <t>MSFPKITMDRLESIVKEEDLVYDIDLNDGELGLGFPDMAVWFNISEDVLRTYAYWRGELTVAEDIRKAYFVANDLNSKLLSPKILVNSNEDSNRAKIMFEHSVLNHPGMTDEQLLAQVRMEIGSFVYASEQMKEIFPHVVDWEEEQED</t>
  </si>
  <si>
    <t>MSFPKITMDRLESIVKEEDLVYDIDLNDGELGLGFPDMAVWFNISEDVLRTYAYWRGELTVAEDIRKAYFVANDLNSKLLSPKILVNSNEDSNRAKIIFEHSVLNHPGMTDEQLLAQVRMEIGSFVYASEQMKEIFPHVVDWEEEQED</t>
  </si>
  <si>
    <t>GC_00002307</t>
  </si>
  <si>
    <t>MAQHSYTVTGNLVADPHYRQTGENQGVCKFRLGASRQRRGEDNVWYSVDQVWLNVECWGPLAQHARRSLTKGMAVIVVGTLVTHSWRDADGELQSYMVVKASHIGPDLNRYLTNTVVPQHAVVQADATAEMPDASTDASQWVDSSSYKPEDVDKELAAVGAAGEVEEAPF</t>
  </si>
  <si>
    <t>MAQHSYTVTGNLVADPHYRQTGENQGVCKFRLGASRQRRGEDNVWYSVDQVWLNVECWGPLAQHARRSLTKGMAVIVVGTLVTHSWRDADGELQSYMVVKASHIGPDLNRYLTNTVVPQHAVVQADATAEMPDASTDVSQWVDSSSYKPEDVDKELAAVGAAGEVEEAPF</t>
  </si>
  <si>
    <t>GC_00002308</t>
  </si>
  <si>
    <t>MLWKMLVGDVRRSKGVSITLTLLMTLASALVITGVSLVVQTMGAVDVLWKSASPPDVVQMYIGDLEANRAESEALKTWAAERSEVEDMHLMRTLPVPGAQMWLAGQSQADSVLEPAFVTSPERFDLLLDEHYNRVQPGPGEIAMPVIYQEQGTLKLGDTVTVQLAEGVKKDFVVTSFLRDAQMNPSLVTSKRMVVHPDDFSVVNQHLNNPEYFIEFKLAKGADRGAFQHAYRDAHLPNRGIVVDSTIFRLMNALSTLLVAALAIVIASLLVVVAALSVRFAFLAAIENDLKEIGVLKAIGAPSRAMKRLYLIKYAALAGVGTVVGLLLAIPMTHTSLKPVLLYLGTPPTNLWAPLLAAFIVPLLLIGLCWLLLRRMDRISAVQVLQEQTRASRSGRRFRLTRSRFLPVHQWTGLTAALRPANLLLLTVVALSTFLMILPTTLASTFADQRFATYVGIGAADVRIDIRDNTINPEKVTKDAESDPDVTNVVRLTSNRYDIKKADGWETIVVERGDHTVFPLSYTSGHAPTAPDEIALSYNQAQEVNADLGHTITMRTPGGEKQLRVSGIYQDVTNGGRTAKAVFEDSAPAVWEVVYLQLASGVDVHAKTEQLTNTYPEAKVNNVSDVSQQIFGAASSQLGVIALLAAIAAVGLIFLVTTLFLILILAREHDDIASLRAIGATSRGLVGHYLTRFGTVGLAGIIVGVVLVNTLGNSLFKLGLGRMGAPAVELLPDMLLAWVLIPLVLALVIATAIVLPTRKIRGISHA</t>
  </si>
  <si>
    <t>MLWKMLVGDVRRSKGVSITLTLLMTLASALVITGVSLVVQTMGAVDVLWKSASPPDVVQMYIGDLEANRAESEALKTWAAERSEVEDMHLMRTLPVPGAQMWLAGQSQADSVLEPAFVTSPERFDLLLDEHYNRVQPGPGEIAMPVIYQEQGTLKLGDTVTVQLAEGVKKDFVVTSFLRDAQMNPSLVTSKRMVVHPDDFSVVNQHLNNPEYFIEFKLAKGADRGAFQHAYRDAHLPNRGIVVDSTIFRLMNALSTLLVAALAIVIASLLVVVAALSVRFAFLAAIENDLKEIGVLKAIGAPSRAMKRLYLIKYAALAGVGTVVGLLLAIPMTHTSLKPVLLYLGTPPTNLWAPLLAAFIVPLLLIGLCWLLLRRMDRISAVQVLQEQTRASRSGRRFRLTRSRFLPVHQWTGLTAALRPANLLLLTVVALSTFLMILPTTLASTFADQRFATYVGIGAADVRIDIRDNTINPEKVTKDAESDPDVTNVVRLTSNRYDIKKADGWETIVVERGDHTVFPLSYTSGHAPIAPDEIALSYNQAQEINADLGHTITMRTPGGEKQLRVSGIYQDVTNGGRTAKAVFEDSAPAVWEVVYLQLASGVDVHAKTEQFTNTYPEAKVNNVSDVSQQIFGAASSQLGVIALLAAIAAVGLIFLVTTLFLILILAREHDDIASLRAIGATSRGLVGHYLTRFGAVGLAGIIVGVVLVNTLGNSLFKLGLGRMGAPAVELLPDMLLAWVLIPLVLALVIATAIVLPTRKIRGISHA</t>
  </si>
  <si>
    <t>GC_00002309</t>
  </si>
  <si>
    <t>MIATRNSSTRNLIETIANELEQADKVLIGAGAGLSAADGFEYGGAWFQEHFGDFAAAYGMTDAYTTGFYPFPDETEKWAYWSRHINHHRYLKEPGSVYQDLFTLVHDKDYFVLTTNVDHCFQRAHFDKQRLFYTQGDYGLWQCATPCHQATYDNHDQVMAMVAQQHDRHIPAELVPRCPRCGGRMTTNLRIDDTFVQDPGWHAAAKRYRNFASEAAQSRTLLLELGVGMNTPAIIKYPFWQMTYHNLLAHYATVSLDAAVPKQISERSTVVQADIASVLRLLAGA</t>
  </si>
  <si>
    <t>MIATRNSSTRNLIETIANELEQADKVLIGAGAGLSAADGFEYGGAWFQEHFGDFAAAYGLTDAYTAGFYPFPDETEKWAYWSRYINHNRYLKEPGSVYQDLLTLVRDKDYFVLTTNVDHCFQRAHFDKQRLFYTQGDYGLWQCATPCHQATYDNHDQVVAMVAQQHDRHIPAELVPRCPRCGGRMTTNLRADDTFVQDPGWYTAAKRYQNFVSEAAQSRILLLELGVGMNTPAIIKYPFWRMTYHNPRAHYATVSLDAVAPKQISERSTVVQADIASVLRLLAGA</t>
  </si>
  <si>
    <t>GC_00002310</t>
  </si>
  <si>
    <t>COG3259</t>
  </si>
  <si>
    <t>Coenzyme F420-reducing hydrogenase, alpha subunit (FrhA) (PDB:3ZFS)</t>
  </si>
  <si>
    <t>MSTTLRLDQFVDPNEATVIYTRDESGTVIDARFDLSGLPRLDPMLIGRPAADVPDIVKRLCGICPVTHHLAGTRALDALIDAPITPTARAVRALLHHGSLIDAAAPKLFSTNQELAIQLKRFGKAVMAAAGCPGHFPDVAIPGGVRAAADPDLVAALSIPELPEALAVDAIVPDYDGYDLAVTSDNGELDPLGTHIAMHRSGHTELFPIQDWPRRVHETQPGAPAPRPVIGDRPYRVGPWAQQRIAASTSNPTVAMIQRSLDAIAELTHNPALIDGAVATEGQLRAGVGVGVVDGPRGLLVHVYTVDDAGVLVDCQILTPTAQNEWWLAGMLREMVDVESSIRTADPCLPCSSAPPGQMNVTIKEERL</t>
  </si>
  <si>
    <t>MSTTLRLDQFVDPNEATVIYTRDESGTVIDARFDLSGLPRLDPMLIGRPAADVPDIVKRLCGICPVTHHLAGTRALDALIDAPITPTARAVRALLHHGSLIDAAAPKLFSTNQELAIQLKRFGKAVMAAAGCPGHFPDVAMPGGVRAAANPDLVVALSIPELPEALAVDAVVPDYDGYDLAVTSDNGELDPLGTHIAMHRSGHTELFPIQDWPRRVHETQPGAPAPRPVIGDRPYRVGPWAQQRIAASTSNPTVAMIQRSLDAIAELTHNPALIDGAVATEGQLRAGVGVGVVDGPRGLLVHVYTVDDAGMLVDCQILTPTAQNEWWLAGMLREMVDVESSIRTADPCLPCSSAPPGQMNVTIKEERL</t>
  </si>
  <si>
    <t>GC_00002311</t>
  </si>
  <si>
    <t>MFDSEVEGFVARMLLAVTYALTDAINVLLIGVLVVIGVLLPPRSRYNRIATLLIAGDWLGVFLYALVCMLVFDGIGAPIKRLVESSIFGIILIAVGVLSAILTWRGGDTSKMMAKILPSLQYPSFKTFATGLVLGVVQSATSVPFYAGIAVLSAGGFSVMIRYVGMVAYASLALSLPVLSALLVGAVRLYPESLAGRFFAWLRAHKEQANAVGGYLVAVVLIVIGIMHV</t>
  </si>
  <si>
    <t>GC_00002312</t>
  </si>
  <si>
    <t>PF25681.1</t>
  </si>
  <si>
    <t>Phage tail tube protein</t>
  </si>
  <si>
    <t>MAKATVDVSNLVDLSQANFARELALLGVTGVAHYAPYGTKLPESMEKLDKPWTALGWCNDSGISESQSEEKNEFSVWQSTENLREQINKREYTFKLTALSIGGLANALYYSVPEDMMAWDEETGVASFEQGGTIPEDYIFSLVIDIVDGHKARRIVIPKATVSERGDVNYTRSDLVGYEFTFKANLDAGAGYSVKRLFKEGWKPGTEGTMLAGAASENGLGDWSKDVATAEGDTKAYTFTLKGATSGTWDLAVGDKKATGLSWKATDEQVQKALRAKGEKTARVSGSVQGGFTISGVASKPTVTVTALEGVTSAEVSEATAA</t>
  </si>
  <si>
    <t>---MTTKLYTDVDLTEPNYAAELALIGVTGALHYAPYGTPLALNMAQYEKPHVDFGWISEDGLTESLSEDKNDWTPWQSLDALRSQISKREVTFKVVVWSIGGLANALFYAVPEEDMAYDASTGITSFEQGQNIPDKYNFVLSIDILDGQKARRFIMPNCEVVERGDIKYGRGDLVGYEFTFKAAYDKESGYSIRREFREGWKPGTAGTALAGTAKVKSLGDWSGNANEKAGDGKTYLFSLKGATGGVFKITVGS</t>
  </si>
  <si>
    <t>GC_00002313</t>
  </si>
  <si>
    <t>MARLGLHIKLAEQALIAAKTEALKPFGLPVAQYAVLAALYYHPGQSSAQLARTAAVTPQTMASVLARLEDKKLISRTPSEAHAKVLLTSLTKEGEELVLQADEHARAVEQRLLDEFTQAEQEQLKDLLTRARNLLRTQPKQPPTP</t>
  </si>
  <si>
    <t>MARLGLHIKLAEQALIAAKTEALKPFGLPVAQYAVLAALYYHPGQSSAQLARTAAVTPQTMASVLARLEDKKLISRTPSEAHAKVLLTSLTKEGEELVLQADEHARAVEQRLLDEFTQAEQEQLKDLLTRARELLRTQPKRPPTP</t>
  </si>
  <si>
    <t>GC_00002314</t>
  </si>
  <si>
    <t>MIILKNAAVSPYLKPCTVTIHTGEKVALLGASGAGKTTLMRLMCGWLTPTSGDVIAPPVGEFAYVPQDLDASLNPAMRVGDIITEPVAIANGDVAAAVARIPELLRTLDLPADAAGRFPRELSGGQRQRVGIARALIAEPIVVYADEALSALDHTARELVIELLQAPGMTTILVSHDLPAAEKLSDRCIIMADGGIVEDIASSELWDRTNASPARAKLIDAFELLHASSMP</t>
  </si>
  <si>
    <t>MIILKNAAVSPYLKPCTVTIDTGEKVALLGASGAGKTTLMRLMCGWLTPTSGDVIAPPVGEFAYVPQDLDASLNPAMRVGDIITEPVAIANGDVAAAVARIPELLRTLDLPADAAGRFPRELSGGQRQRVGIARALIAEPIVVYADEALSALDHTARELVIELFQAPGMTTILVSHDLPAAEKLSDRCIIMADGGIVEDISSSELWDRTNASPARAKLIDAFELLHASSMP</t>
  </si>
  <si>
    <t>GC_00002315</t>
  </si>
  <si>
    <t>MFTHTEGIYAAAKNFSGDSLQAWADDIAQSAKPALWFTLLDPAGAEDVSTTEPPVGSSYVGGRPDVTADFVWPTQDEKPLTFLFQVDARPLLPYRLAVFAGEPNEPGGHHVAYFDPEAPTERRDYPANTFLSEWFMDPEFFERYHPVIPHQGLDIPRWSSEAHDQLMDILQARLPEEDDEFEDLYEDFRLMAEPDGEAIIRVGGYHAGIGFDSAADAVDKLGGAVSDWRHLVTLDSTRDMCIGDAGYFQVLRRDLDGATFAGTESS</t>
  </si>
  <si>
    <t>MFTHTEGIYAAAKNFGGDSLQAWADDIAQSAKPALWFTLLDPAGVEDVPTTEPPVGSSYVGGRPDATADFVWPTQDEKPLTFLFQVDARPLFPYRLAVFAGEPNEPGGHHVAYFDPEAPTERRDYPANTFLSEWFMDPEFFERYHPVIPHQGLDIPRWSSEAHDQLMDILQARLPEEDDEFEDLYEDFRLMAEPDGEAIIRVGGYHAGIGFDSAADAVDKLGGAVSDWRHLVTLDSTRDMCIGDAGYFQVLRRDLDGATFAGTESS</t>
  </si>
  <si>
    <t>GC_00002316</t>
  </si>
  <si>
    <t>MAWASLHMAKQGSSVLVVILFAVGALDLVLGTIIEVRHASGFASHEPTIWTWIFVGLAAALIAWSLLFGQHIQTLSSGAAACAFLSVLVTRGDACSESAQPMTTPNKPSEQHSTDTPVTPITCDLRPSVIAWPFHSVFTRPYVRIDEDVAHTSWGRSTITLPTSRFQQPNSGIPNATVSVGFSYRWLLHQRLGEAHVAIPQPAFTYIRARLGPFNSSPFRIHEVRS</t>
  </si>
  <si>
    <t>MAWASLHMAKQGSSVLVVILFAVGALDLVLGTIIEVRHASGFASHKPTIWTWIFVGLAAALIAWSLLFGQHIQTLSSGAAACVFSSVLVTRGDACSESAQPMTTPNKSSEQHSTD---TPITCDLRPSVIAWPFHSVFTRPYVRIDEDVAHTSWGRSTITLPTSRFQQPNSGIPNATVSVGFSYRWLLHQRLGEAHVAIPQPAFTYIRARLGPFNSSPFRIHEVRS</t>
  </si>
  <si>
    <t>GC_00002317</t>
  </si>
  <si>
    <t>MAHAPVLPSGCPALRQAPTTSYSPHWPCDAAHVRSTIRHHDGGIIVVINMMSQIIKTILAIIGIIFGGLFILGGLFDGSGWPVLMGLAFLGPGVWWFVTKPGQRQWKAVIPLALLSFFVGAGMAPSTEQKQPAAAVMATPSSSSTPTTTKKTTTSRPTTTSRTTTATTTSASPTTSTIVSQEQVVSDNHTDHYVRDPEPAPVIVPEPEYPPAPAPEPETAPAQNVYYPNCKAAKAAGAAPLYQGEPGYRAGLDRDQDGVACER</t>
  </si>
  <si>
    <t>GC_00002318</t>
  </si>
  <si>
    <t>MSDNRILFSDKNYRLLMTGQTVSTLGNSVSSFAFFAYTLALTQSPFYAALVSGCVTLAIVVMGVPAGIWADKHRPLPLMLSSTILGGAGICVVVANHFILHAPIPLVLAVAACLVGSATAVFSPAEKAALKTLVSPEHLGQAMAINQTRYSLGTVAGPIFGAFLHSLRPIATFVFDLCTYVFAFCTFRKLQVPDTHSDAAENDVQAGYRETLKILRADTVLWAVLWFTPILNFSMSSIFNSAFTQLAGAENGAYVLGVFQTYCGIMGLIGSTAATVLVSRVRGGVGLVATAVGFILAFGGLALVFTTVSCFVFLGLFWLLLPLFNSILSGYFLARIPQRFIGKASAMTTIAAMGFMPAGTWVSGFISERYDPPTVVVATVLLFLPATLAFVGHGDIRRLSTPTGAGSR</t>
  </si>
  <si>
    <t>MSDNRILFSDKNYRLLMMGQTVSTLGNSVSSFAFFAYTLALTQSPFYAALVSGCVTLAIVVMGIPAGIWADKHRPLPLMLSSTILGGAGICVVVANHFILHAPIPLVLAVAACLVGSATAVFSPAEKAALKTLVSPEHLGQAMAINQTRYSLGTVAGPIFGAFLHSLRPIATFVFDLCTYVFAFCTFKKLQVPDTRADVAENDAQAGYRETLKILRADTVLWAVLWFTPILNFSMSSIFNSAFTQLAGTENGAYVLGVFQTYCGIMGLVGSMAATVLVSRVRGGVGLVATAVGFILSFGGLALVFTTVSCFVFLGLFWLLLPLFNSILSGYFPARIPQRFIGKASAMTTIAAMGFMPAGTWVSGFISERYDPSTVVAATALLFLPATLAFVAHADIRRLSTPTGAGSR</t>
  </si>
  <si>
    <t>GC_00002319</t>
  </si>
  <si>
    <t>PF04234.18</t>
  </si>
  <si>
    <t>CopC domain</t>
  </si>
  <si>
    <t>K07156</t>
  </si>
  <si>
    <t>copper resistance protein C</t>
  </si>
  <si>
    <t>COG2372</t>
  </si>
  <si>
    <t>Copper-binding protein CopC (methionine-rich) (CopC) (PDB:1IX2)</t>
  </si>
  <si>
    <t>MFHGAARVCGLCVALSFCAVSATPPAQAHDVVLASTPADGSTVDVFPREISLEFSGVPQKSFNTVAVSDSATSAVLFTAQPETNGPVVSVTVPEDVQPGPGDYMVGFQITSSDGHATRGKTTFTVAGDATSVASPATSTAPTTSPSAGAASESSHTPLFIWGIGVIGLLAVIAVVGALLKNRTK</t>
  </si>
  <si>
    <t>MFHGAARVCGLCVALSFCAVSATPPAQAHDVVLASTPADGSTVDVFPREISLEFSGVPQKSFNTVAVSDSATSAVLFTAQPETNGPVVSVTVPEDVQPGPGDYMVGFQITSSDGHATRGKTTFTVAGDATSVTSPATSTAPTTSPSAGVASESSHTPLFIWGIGVIGLLAVIAMVGALLKNRTK</t>
  </si>
  <si>
    <t>GC_00002320</t>
  </si>
  <si>
    <t>MAESIVERMRRQAFASTKRDVHYEEEQLTTETTVCPGCGAGRAEEHGVKECRYCGYVFISADL</t>
  </si>
  <si>
    <t>MAESIVERMRRQAFASTKRDVHYEEEQLTTETTVCPGCGAGRAEEHGVKECRYCGYLFISADL</t>
  </si>
  <si>
    <t>GC_00002321</t>
  </si>
  <si>
    <t>MLRRCGWCISVDCMNLDATLAAVAATPRLLVVSDYDGTLAEFNTDAYAVSTNPTAERALKELAALPDTEVAILSGRHTEGLKQVTGFDETDLILAGSHGAESNIGKIRALTAEQQAVLDQITTTFEELAAQVEGAFVEYKPYHRVLHLIRATDESKAAEIYERASHADIPGAHLKPGKWIVEGAAIDMTKGTWITIAREQLGATAVIFVGDDRTDEDGFAVLGPGDLSVKVGPGDTKAQYRVPDVSGAGEFFAQLVAARRANGGAGVEGNV</t>
  </si>
  <si>
    <t>MLRRCGWCISVDCMNLDATLAAVAATPRLLVVSDYDGTLAEFNTDAYAVSTNPTAERALKELAALPDTEVAILSGRHTEGLKQVTGFDETDLILAGSHGAESNIGKIRALTAEQQAVLDQITTTFEELAAQVEGAFVEYKPYHRVLHLIRATDESKAAEIYERASHADIPGAHLKPGKWIVEGAAIDMTKGTWITIARKQLGATAVIFVGDDRTDEDGFAVLGPGDLSVKVGPGDTKAQYRVPDVSGAGEFFAQLAAARRANGGAGVEGNV</t>
  </si>
  <si>
    <t>GC_00002322</t>
  </si>
  <si>
    <t>PF04321.23</t>
  </si>
  <si>
    <t>RmlD substrate binding domain</t>
  </si>
  <si>
    <t>K00067</t>
  </si>
  <si>
    <t>dTDP-4-dehydrorhamnose reductase [EC:1.1.1.133]</t>
  </si>
  <si>
    <t>COG1091</t>
  </si>
  <si>
    <t>dTDP-4-dehydrorhamnose reductase (RfbD) (PDB:1KBZ)</t>
  </si>
  <si>
    <t>KEGG Orthology (KO)&gt;&gt;&gt;09100 Metabolism&gt;&gt;&gt;09101 Carbohydrate metabolism&gt;&gt;&gt;00541 Biosynthesis of various nucleotide sugars [PATH:ko00541]|KEGG Orthology (KO)&gt;&gt;&gt;09100 Metabolism&gt;&gt;&gt;09109 Metabolism of terpenoids and polyketides&gt;&gt;&gt;00523 Polyketide sugar unit biosynthesis [PATH:ko00523]|KEGG Orthology (KO)&gt;&gt;&gt;09100 Metabolism&gt;&gt;&gt;09110 Biosynthesis of other secondary metabolites&gt;&gt;&gt;00521 Streptomycin biosynthesis [PATH:ko00521]|Enzymes&gt;&gt;&gt;1. Oxidoreductases&gt;&gt;&gt;1.1  Acting on the CH-OH group of donors&gt;&gt;&gt;1.1.1  With NAD+ or NADP+ as acceptor&gt;&gt;&gt;1.1.1.133  dTDP-4-dehydrorhamnose reductase</t>
  </si>
  <si>
    <t>MRVVVTGSEGQLGSALKLTCPADIEPVWLGHKDLDITDEAAVARHPAFEGADAIINTAGYTNVDAAETDRDAAWVLNASAPGFLARRAAEVGAHLVHLSTDYVFGTVAYRRPLVPDTLTHPTSVYGESKRAGECVVLDSGANSVIVRTAWVFSGAVLPTHRDFVSTMMALEKQHDTISVVDDQHGNPTFAPDLALGLWEVCHVQPTGVLHGVSFGETTWYGVAREVFKNISADPDRVRPCATADFPRPAARPEWSVLDTSSWTEAGLRALPEWRSGVARATQGTLRQL</t>
  </si>
  <si>
    <t>MRVVVTGSEGQLGSALKLTCPADIEPVWLGHKDLDITDEAAVARHPAFEGADAIINTAGYTNVDAAETDRDAAWVLNASAPGFLARRAAEVGAHLVHLSTDYVFGTVAYRRPLVPDTLTHPTSVYGESKRAGECVVLDSGANSVIVRTAWVFSGAVLPTHRDFVSTMMALEKQHDTISVVDDQHGNPTFAPDLALGLWEVCHVQPTGVLHGVSFGETTWYGVAREVFKNISADPDRVRPCTTADFPRPAARPEWSVLDTSSWTEAGLRALPEWRSGVARATQGTLRQL</t>
  </si>
  <si>
    <t>GC_00002323</t>
  </si>
  <si>
    <t>PF24878.1</t>
  </si>
  <si>
    <t>Putative mannosyltransferase YkcB-like, C-terminal</t>
  </si>
  <si>
    <t>COG1807</t>
  </si>
  <si>
    <t>PMT family glycosyltransferase ArnT/Agl22, involved in glycosylation of proteins and lipid IVA (ArnT) (PDB:5EZM) (PUBMED:16226890;31233657;32706435)</t>
  </si>
  <si>
    <t>MSVTLSPGASETQRPIVPGPVSPHSQRDTATRRLPWEKIGFVSLLLVTAVLYFWNLSINDYGNSFYAAAAQAGANNWTAFFFGSSDMANSITVDKTPLSLWPMMLAVKIFGLNSYSLLGPEALLGVASVALLYHTVRRHHGVPAALIAGWALALTPVATLMFRFNNPDAMLVFLMIAAVWAGLRGVEDGRWRWAVAAGAFIGLGFLAKQLQVLLIVPPLALMWLICARGGVMRRIGQLLAAGASMVAAVAWYIAAVELWPADKRPYIGGSQNNSIIELTLGYNGLGRLNGNETGSVVPGGGQGQGGAWGETGIFRMFESAQGGQIAWLLPLALVLFVVGLWVTRTAARTSTIRASYIAWGGWLVATALTFSFMQGIFHQYYTVALAPAIAALVGAGLIDAHRSTSRVIHTVLAASMLGSSIWAYILLNRSSDFLPWLKFVVVAAGVITFVLIMIHTFAPRLLNPKMLLVSTLVAGSLTLLSGPLAYSLETVNSSNMGSIPTAGPAVAGGM------GGPGGPGGQGGPNGHNGNMMPPTGGNDGNTGQAHGQQRPAPPSQNGTMPTPPNGSADGAGTPGGQAGQGGPGGGQGGPGGLLGGGDASTEVTSLLTANADSYTWVAATSGSQSAATYQLAAGYSVMPIGGFNGSDPSPTLEQFKQWVAEGKIHYYIVSDGPGGGPGGPGGENSDSSTERTSTQIQSWVEENFTAQTVDGVTMYDLSS</t>
  </si>
  <si>
    <t>MSVTLSPGASETQRPIVPGPVPPHSQRDTATRRLPWEKIGFVSLLLVTAVLYFWNLSINDYGNSFYAAAAQAGADNWTAFFFGSSDMANSITVDKTPLSLWPMMLAVKIFGLNSYSLLGPEALLGVASVALLYHTVRRHHGVPAALIAGWALALTPVATLMFRFNNPDAMLVFLMIAAVWAGLRGVEDGRWRWAVAAGAFIGLGFLAKQLQVLLIVPPLALMWLICARGGVMRRIGQLLAAGASMVAAVAWYIAAVELWPADKRPYIGGSQNNSIIELTLGYNGLGRLNGNETGSVVPGGGQGQGGAWGETGIFRMFESAQGGQIAWLLPLALVLFVVGLWVTRTAARTSTIRASYIAWGGWLVATALTFSFMQGIFHQYYTVALAPAIAALVGAGLIDAHRSTSRVIHTVLAASMLGSSIWAYILLNRSSNFLPWLKFVVVAAGVITFVLIMIRTFAPRLLNPKMLLVSTLVAGSLTLLSGPLAYSLETVNSSNMGSIPTAGPAVAGGMGGPGGQGGPGGPGGQGGPDGHNGNMMLPTGGNDGNTGQAHGQQRPAPPSQNGTMPTPPNGSADGAGTPGGQAGQGGPGGGQGGPGGLLGGGDASTEVTSLLTANADSYTWVAATSGSQSAATYQLAAGYSVMPIGGFNGSDPSPTLEQFKQWIAEGKIHYYIVSDGPGGGAGGPGGENSDSSTERTSTQIQSWVEENFTAQTVDGVTMYDLSS</t>
  </si>
  <si>
    <t>GC_00002324</t>
  </si>
  <si>
    <t>MFPPYSASDYGNENGPGVSLVEIEPGVAVVMGDRPLESMGLPAEFDCEVTRFQLMPPGDIQNLADKISLATGGLNLVVQGAQGMVSARGLVRLAPETMKAMKSGLQPLTSGGKNLGVLVGKGGKIAHQIRWVPATGVAATNVLAALGPAAAALALQAQLASVSKKLDKNLKETQSIAHTIYGNRWYDLMGLYKNAVRAFREAQELGVVNQHTFSLVAADLSNLEGKRGSFRDNLRQHVVALNTDRKQQLDYIRENSNQILADVQAVMVAEETWRCFHLLRTAHISCDTTMDPALKEKQLAHMVEQAQQEYSQVMDEVSRITLELERMCSLIAILPGKRSMSFFGSNNTRNDDEVARMAATLAKTVSEMRNQVHAIPEKPDPKVTAFYGRVPDDVLVLLQYLLPEDEPLLALAEAKSYDSFFDSDVYLGITLTRFFVSGKNKMSREGIIDKMYPLADVRYVRFREQDGLGPKLEIFTENDNISLYFDTWAANGSWLADAQRIRDLFATVMNIPEQEYRDDSLFAEAHQALEAAKTGMKELPRKSRHSAG</t>
  </si>
  <si>
    <t>MFPPYSASDYGNENGPGVSLVEIEPGVAVVMGDRPLESMGLPAEFDCEVTPFQLMPPGDIQNLADKISLATGGLNLAAQGAQGMVSARGLVRLAPETMKAMKSGLQPLTSGGKNLGVLVGKGGKIAHQIRWVPATGVAATSVLAALGPAAAALALQAQLASVSKKLDKNLKETQSIAHTIYGNRWYDLMGLYKNAVRAFREAQELGVVNQHTFSLVAADLSNLEGKRGSFRNNLRQHVAALNTDRKQQLDYIRENSNQILADVQAVMVAEETWRCFHLLRTAHISCDTTMDPALKEKQLAHMVEQAQQEYSQVMDEVSRITLELERMCSLIAILPGKRSMSFFGSNNTRNDDEVARMAATLAKTVSEMRNQVHAIPEKPDPKVTAFYGRVPDDVLVLLQYLLPEDEPLLALAEAKSYDSFFDSDVYLGITLTRFFVSGKNKMSREGIIDKMYPLADVRYVRFREQDGLGPKLEIFTENDNISLYFDTWAANGSWLADAQRIRDLFATVMNIPEQEYRDDSLFAEAHQALEAAKTGMKELPRKSRHSAG</t>
  </si>
  <si>
    <t>GC_00002325</t>
  </si>
  <si>
    <t>MKQRRRLIAAKSRPVTATIMAVALLASAAVGITATNILKTKEDGIKPIDPTMTTASLADGKNVVVNDPAISKQGDGNTNRTVKEFKRDEAFSQFGLTWDGKKDIAAFVRGQRADGTWTPWFDTDPLDYGSSKPFERKGTDLIYIEPTNTVQVSIAGVDLLKDKTAKDLNAVFIDGGKSTPTDSGIKLAADSDGLPKVISRAEWGADESLRCEEPEYTDHTSAIVIHHTAGSNNYSEDEAAGIVRGIYKYHAQQLGWCDIGYHSLADKFGNLYEGHYGGMNKSVIGAHTGGFNENTWAISMLGNYQEEEPTDVMIKSVGELAGWRAKVAGIDPLGKGTHTSEGTEFTFYPYGTKVELPNIFAHRDVGNTECPGDYAYAKMDQIRQIAKAKFDSLGGKSIDQDITGDNNGASNNSNNSGGSNAGTGTNNRGVSNNNQKSADNAASLVQGLQRQGKSDNKSDTNNSNSLVGLILKVLSANGGLIGTLSKLGTIKIINGLDLGKIISLAQKLAPLSSNNQIFRTANTNYPSLGEARTKEVTYTNGYDQEVTYTFFENGIVVGTPTTGTHALWGPIGDTWAAQGFDMGPLGLPVSEEEANGELVRVDFEGGYATYDSATGKVDVKTNEKGNARNNAVQAGTTAGDSDIAAAASSANSATSATPTAAATATGSEAAGEEATAHATTGATGAAAGNAEPTDADIPVTTEE</t>
  </si>
  <si>
    <t>MKQRRRLIAAKSRPVTATIMAVALLASAAVGITATNILKTKEDGIKPIDPTMTTASLADGKNVVVNDPAISKQGDGNTNRTVKEFKRDEAFSQFGLTWDGKKDIAAFVRGQRADGTWTPWFDTDPLDYGSSKPFERKGTDLIYIEPTNTVQVSIAGVDLLKDKTAKDLNAVFIDGGKSTPTDSGIKLAADSDGLPKVISRAEWGADESLRCEEPEYTDHTSAIVIHHTAGSNNYSEDEAAGIVRGIYKYHAQQLGWCDIGYHSLADKFGNLYEGHYGGMNKSVIGAHTGGFNENTWAISMLGNYQEEEPTDVMIKSVGELAGWRAKVAGIDPLGKGTHTSEGTEFTFYPYGTKVELPNIFAHRDVGNTECPGDYAYAKMDQIRQIAKAKFDSLGGKSIDQDITGDNNGASNNSNNSGGSNAGTGTNNRGVSNNNQKSADNAASLVQGLQRQGKSDNKSDTNNSNSLVGLILKVLSANGGLIGTLSKLGTIKIINGLDLGKIISLAQKLAPLSSNNQIFRTANTNYPSLGEARTKEVTYTNGYDQEVTYTFFENGIVVGTPTTGTHALWGPIGDTWAAQGFDMGPLGLPVSEEEANGELVRVDFEGGYATYDSATGKVDVKTNEKGNARNNAVQAGTTAGDSDIAAAASSANSATSATPTAAATATGSEAAGEEAAAHATTGATGAAAGNAEPTDADIPVTTEE</t>
  </si>
  <si>
    <t>GC_00002326</t>
  </si>
  <si>
    <t>MDLRIDFASLTSAAGNLQGILDATERSSTLAQGTTLGAGYSGMPELSALGAAHGAVLTGGAGSALTILKNFAQQIDWGRYNLERNHDLFENHELGFAQAFTHGDLGGTVHAIKDLATARPDGGFGNFSFPTPAITPNASLADVIAKLASTDTGQAAQAGESWNTMSAEAATIAAQLTNTAAQLQATNDGTAVDAACRVITDMAQVATQFSANAAHMAATVTYLATIPAAFTPSLVAMKTATDIIQDPVEKTAAEKLALTHFYSVYGPAIQAAIPATRNLTQPLPGGGGGGGVAGMTEQVGQDFPTVQQLRYSMASRVEQVHQQYHPNPAGQRTPHAYGSPPTTPHQGQLGQPGQMGPANMPASPGGGGISPHYHPAPGHYGGPGTTNAHQIATERAAYAPPAEITGAGAAHSTNPLGGGQAPAAPGIGGVSGRPMPTGHGGVGGIGGLGGFPGAPRLATPRGAGIGASGSGGGNPRGVSSNFRESCGRMGGTGAGGTGAATTGRGGVAGGGAMMGGVPPGGRGSRGGGKRRKATCGTTVKGVLRRVEQTQNQQELLGPRPATVPGVIGHWVRKAPQERTAADYGC</t>
  </si>
  <si>
    <t>MDLRIDFASLTSAAGNLQGILDATERSSTLAQGTTLGAGYSGMPELSALGAAHGAVLTGGAGSALTILKNFAQQIDWGRYNLERNHDLFENHELGFAQAFTHGDLGGAVHAIKDLATARPDGGFGNFSFPTPAITPNASLADVIAKLASTDTGQAAQAGESWNTMSAEAATIATQLTNTAAQLQATNDGTAVDAACRVITDMAQVATQFSANAAHMAATVTYLATIPAAFTPSLVAMKTATDIIQDPVEKTATEKLALTHFYSVYGPAIQAAIPATRNLTQPLPGSGGGGGVAGMTEQVGQDFPTVQQLRHSMASGVEQVHQQYHPNPAGQRTPHAYGSPPTTPHQGQLGQPGQIGPANMPASPGGGGISPHYHPAPGHYGGPGTTNAHQIATERAAYAPPAEITGAGAAHSTNPLGGGQAPAAPGIGGVSGRPMPTGHGGVGGIGGLGGLPGAPRLATPRGAGIGASGSGGG-PRGVSSNFRESCGRMGSAGAGGTSAATTGRGGVAGGGAMMGGVPPGGRGSRGGGKRRKATCGTTVKGVLRRVEQTQNQQELLGPRPATVPGVIGHWVRKAPQERTAADYGC</t>
  </si>
  <si>
    <t>GC_00002327</t>
  </si>
  <si>
    <t>PF09704.15</t>
  </si>
  <si>
    <t>CRISPR-associated protein (Cas_Cas5)</t>
  </si>
  <si>
    <t>K19125</t>
  </si>
  <si>
    <t>CRISPR system Cascade subunit CasD</t>
  </si>
  <si>
    <t>Prokaryotic defense system&gt;&gt;&gt;CRISPR-Cas system&gt;&gt;&gt;Type I CRISPR-Cas system&gt;&gt;&gt;Subtype I-E factors</t>
  </si>
  <si>
    <t>MTEALYIRLAGPLQSWAGPAITGNFVRTEPRPTRSGLVGLLAGACGYGRGEYPEWLTQLHFQIREDNRGTLVDDFHTINPRDTEEEFRSRLLLAMGQRPTKKLLNSTPDGQGLTAITERTYIADGEFIVQIKAGSREHQELLAEKLQQPHFVTYLGRKAFAPSFPFYLGAGPDDTLARIPTVGGEEPKKILRFYALDDYGYTTTTVPVVKDRKQWLTEVSEIF</t>
  </si>
  <si>
    <t>MTEALYIRLAGPLQSWAGPAITGNFVRTEPRPTRSGLVGLLAGACGYGRGEYPEWLTQLHFQIREDNRGTLVDDFHTINPRDTEEEFRSRLLLAMGQRPTKKLLNSTPDGQGLTAITERTYIADGEFIVQIKAGSREHQELLAEKLQQPHFVTYLGRKAFAPSFPFYLGAGPDDTLARIPTVGGEEPKKILRFYALDDYGYTTTTVPVVKDRNQWLTEVSEIF</t>
  </si>
  <si>
    <t>GC_00002328</t>
  </si>
  <si>
    <t>MGTLRQTIRRVMSVVTATTLLPAIMPLTAQAQAQTAAAPITWENCPAEKLDRPGARCGHIEVPENYANPGGKKITVGFIQFPNANAEVVFTNPGGPGGGVYEWLGKKNGTRLPQELFSQFEVVGVQPRGLVGSTPMDCPSNPGSNPVDEFTNPGGALRSRCESKQPGYADQITTENTARDWEEVRKSLKRETINIYGLSYGTILGSSYASLFPNRVKHTVLDSGIDPTLQWSEIMARQEPAYRDVLHQFFGYVAQNDAKYHLGTTPYAVYRKWADAVKSQSGVTPSVAPPKATAADLPAGTQGAGQAGVDAMNSVEPGRAQAENAGTQLTAGGKSQQSSFLMLYTHAFLPMAYKWDTIARAIANPKLAEDDLRSLGELDVNDAKIKAATASLQMQQTMMCNESVTAPRANEIPRAYWTMFVSKDPFTTGQLLHGSGLACQGAKRVTPGVKLDGSALKVKPLEIQGRQDPQTPYGNFSHMQAAMQSTLVTVNGPGHGHFGYDNKAVDKLVLNYLRTGKATAGEVPGYFG</t>
  </si>
  <si>
    <t>MGTLRHTIRRVMSVVTATTLLPVMMPLTAQAQAQTAAAPITWENCPAEKLDRPGARCGHIEVPENYANPGGKKITVGFIQFPNANAEVVFTNPGGPGGGVYDWLGKKNGTRLPQELFSQFEVVGVQPRGLVGSTPMDCPANPGSNPVDEFTNPGSALRSRCESKQPGYADQITTENTARDWEEVRKSLKRETINIYGLSYGTILGSSYASLFPNRVKHTVLDSGIDPTLQWSEIMARQEPAYRDVLHQFFGYVAQNDAKYHLGTTPYAVYRKWAYAVKAQSGVTPSVEPPKATAADLPAGTQGAGQAGVDAMNSVEPGRAQAENVGTQLTAGGKSQQSSFLMLYTHAFLPMAYKWDTIARAIANPKLAEDDLKSLGELDVNDAKLKAATASLQMQQTMMCNESVTAPRANEIPRAYWTMFVSKDPFATGQLLHGSGLACQGAKRVTPGVKLDGSALKVKPLEIQGRQDPQTPYGNFSHMQAAMQSTLVTVNGPGHGHFGYDNKAVDKLVLNYLRTGKATAGEVPGYFG</t>
  </si>
  <si>
    <t>GC_00002329</t>
  </si>
  <si>
    <t>MLIAASNVFGNLGYAGATTDAIAKAAGVSQAYVVRTFGSKENLFAEASERAINLIKDTFIRAAQKTKGSDTKASMGHAYIELMADRSNLLIVMHLFTMGQHPRFGPIARTGFLEIYRVINDALNMGTEAAKDFLALGMLINVLLGIRLVEVSSASELKSEDEVYKLIHGIFQEDTEAVFGCLRPDNES</t>
  </si>
  <si>
    <t>MLIAASNVFGNLGYAGATTDAIAKAAGVSQAYVVRTFGSKENLFAEASERAINLIKDTFIRAAQKTKGSDTKASMGHAYIELMADRSNLLIVMHLFTMGQHPRFGPIARTGFLEIYHVINNALNMGTEAAKDFLALGMLINVLLGIRLTEVSSASELKSEDEVYKLMHSIFQEDTEAAFGCLRPDNES</t>
  </si>
  <si>
    <t>GC_00002330</t>
  </si>
  <si>
    <t>MNLRRRIGTGICILAVSALALSGCANSERAATKTTRSAKASASASASAAAAAASTSETSSNSDTPIAFTSAYVRAADEGSDKTAIFGTLKNTTDKDITITGFSSSADADSFELHEVVDGQMRQKEGGFVIPANGTLKLEPGHEHFMLVGLKSPVKAGEKVSVKAELSDGTTIDLGEIPGRQVAAGAEDYSGDSNNSHGQGSGIAGDAKSGDTKNDASGSTKGGIKVPGKDGDAKSGDTKSGDAKSGDSKAGAAAGAAGAGAAGAGQGDAKAGDAKGGDAAKGGDAKGGSKHGGKHGEQGAGNAGAGAGAGAAGAEQSAGIRG</t>
  </si>
  <si>
    <t>MNLRRRIGTGICILAVSALALSGCANSERAATKTTRSAKASASASASAAAAAASTSETSSNSDTPIAFTSAYVRAADEGSDKTAIFGTLKNTTDKDITITGFSSSADADSFELHEVVDGQMRQKEGGFVIPANGTLKLEPGHEHFMLVGLKSPVKAGEKVSVKAELSDGTTIDLGEIPGRQVAAGAEDYSGDSNNSHGQGSGIAGDAKSGDTKNDASGSTKGGIKVPGKDGDAKSGDTKSGDTKSGDSKAGAAAGAAGAGAAGAGQGDAKAGDAKGGDAAKGGDAKGDSKHGGKHGEQGAGGAGAGAGAGAAGAEQSAGIRG</t>
  </si>
  <si>
    <t>GC_00002331</t>
  </si>
  <si>
    <t>PF18096.6</t>
  </si>
  <si>
    <t>THUMP domain-like</t>
  </si>
  <si>
    <t>COG2263</t>
  </si>
  <si>
    <t>Predicted RNA methylase (PDB:6H2U)</t>
  </si>
  <si>
    <t>MSYTRDEVRFLIAHQGDISDAEQGLQMNKNTLIADMGVLRGRFGDHARAVGELLHARRAASEKLRDDARARWLFCYESAQQATPSAVADVRAEKIRDIAGEGALVADVTCSVGTEGLAVSRAGLRYAGSDVDLARLDMARHNLVGTSSLIYAADALVPAIQLNDVGCVIADPARRDGGRRISDPAHLIPPLPELIAAWPDVPLAVKCAPGIDYSQWSGLVSVVSVDGKVKETCLYSQHFGRGREAVVLRGGENGGVDKQSADVLNSDMNDRPGEDLAGAPGRFIIDPDGAIVRAGLVRQMAVREGLWMLDERIAYLTGDRIPAGHTGAEFVAQLPLKKMKDVKRLLRELDCGSLEILVRGVDVNPDKLRKQLKLGGKRPLTLVCTRIRAAGVALVCGPRVGPGADNPSSS</t>
  </si>
  <si>
    <t>MSYTRDEVRFLIVHQGDISDAEQGLQMNKNTLIADMGVLRGRFGDHARAVGELLHARRAASGKLRDDARARWLFCYESAQQATQSVVADVRAAKIRDIVGEGAFVADVTCSVGTEGLAVSRAGLRYAGSDVDLVRLDMARHNLAGTSSLIYAADALVPAIQLNDVGCVIADPARRDGGRRISDPAHLIPPLPDLIAAWPDVPLAVKCAPGIDYSQWPGLVSVVSVNGNVKETCLYSQHFGRGREAVVLRGGENGGVDKQSADVLNSDMDDRPGEDLAGAPGRFIIDPDGAIVRAGLVRQMAVREGLRMLDERIAYLTGDRIPAGHTGAEFVAQLPLKKMKDVKSLLRELDCGSLEILVRGVDVNPDKLRKQLKLGGKRPLTLVCTRIGTAGVALVCGPRVGSGADNPSPS</t>
  </si>
  <si>
    <t>GC_00002332</t>
  </si>
  <si>
    <t>MAFYRVSPIGTTKTWLGFTGLVLCALLLPAVLYLTIPDNDGETIPVTLGLESADWAVPVTDQHDTKLECPGTVSLLEQSGTWTCGVNRIAVTSKIIESGREPERTFRRAIRGHLQEIMDIDYQIKELGNIRYSQMERLSRQGQDESQTVLILTGTGDKDGKSLLVTVTGAPIQRQPLAELLMTNLVREDRHLQGDNVDYVAAARIVADSGAADIAAGNPDADG--GSGGEPGGDAGEGDSSGGGGGGDMLQPLIKPMQGEQELGF</t>
  </si>
  <si>
    <t>MAFYRVSPIGTTKTWLGFTGLVLCALLLPAVLYLTIPDNDGETIPVTLGLESADWAVPVTDQHDTTLECPGTVSLLEQSGTWTCGVNRIAVTSKIIESGREPERTFRRAIRGHLQEIMDIDYQIKELGNIRYSQMERLSRQGQDESQTVLILTGTGDKDGKSLLVTVTGAPIQRQSLAELLMTNLVREDRHLQGDNVDYAAAARIVADSGAAEIAAGNPDADGKSGSGGEPGG-AGEGDSS---DGGDMLQPLIKPMQGEQELGF</t>
  </si>
  <si>
    <t>GC_00002333</t>
  </si>
  <si>
    <t>MIFKIFTTLLAAVLGFLGLQQPSTSSTPPTVTTSTSTVATSEPTSTSTQVSTSVPTTAPVVAVPEFGMAVIPALPADAHPGTEADMQKFVTSLWVSPNSTDAKIDFSQSKLYKDYPPIDFLRDFGPRTAKQLKNTTVPDNTRSYVGGTMCPKLRGLAWFEGNRIHTMSWWKTYPAKGCGLVPQIEDTEFQNFLKNATLYFNAAGDRVYVERHTDGAISEWKLHS</t>
  </si>
  <si>
    <t>MIFKIFATLLAAVLGFLGLQQPSTSSAPPTAASTTSAAVTSEPTSTSTQVSTSVPTTAPVVAVPEFGMRLVPALPANAHPGTEADMQKFVTNLWVSPDSTDAKIDFSQSKLYKDYPPMDFLRDFGPRIAKQLKDTTVPDNTRSYVGGTMCPKLRGLAWFEGNRIHTMSWWKTYPAKGCGMVPQIEDTEFQNFLKNATLYFNAAGDRVYVERHTDGAISEWKLHS</t>
  </si>
  <si>
    <t>GC_00002334</t>
  </si>
  <si>
    <t>-------------------MGKSEIGEIGNASPATPAVDARHLYRTFRTTGKEFTALADITFTIPPGEATAILGVNGAGKTTLSKILATWLYPTSGTVNIFGADVVTAAAHARQHIVAVFGGDRGLYPMLTAWENLSYFAAIRGAALPKSQLASILDSVGLADAAHRRVEEYSKGMKQRLHIAVGLSANAPILLLDEPTVGLDPIEAARLRGTLAELKNRGKTIILTSHNLTDVEELADRVILIHSGRIKYDLPL</t>
  </si>
  <si>
    <t>MLGRYDKRQTTNVREAGTGVGKSEIGEISNASPAAPAVDARHLYRTFRTTGKEFTALADITFTIPQGEATAILGVNGAGKTTLSKILATWLYPTSGTVNIFGADVVTAAAHARQHIVAVFGGDRGLYPMLTAWENLSYFAAIRGAALPKPQLASILDSVGLADAAHRRVEEYSKGMKQRLHIAVGLSANAPILLLDEPTVGLDPIEAARLRGTLAELKNRGKTIILTSHNLTDVEELADRVILIHTGRIKYDLPLARFKELAGYRYRITATLQHPTTEPEFEHHPNVDGTVRVTRLIASDEQTLITRILEQLQPCGLVDFTISPASLEEAFTNAVHNND-DGGAA</t>
  </si>
  <si>
    <t>GC_00002335</t>
  </si>
  <si>
    <t>PF08482.15</t>
  </si>
  <si>
    <t>ATP-dependent helicase C-terminal</t>
  </si>
  <si>
    <t>K03579</t>
  </si>
  <si>
    <t>ATP-dependent RNA helicase HrpB [EC:5.6.2.6]</t>
  </si>
  <si>
    <t>MPFDLDRIGAGLPVAASLPELSHALGNQTASRTTAVIQAPPGTGKTTLIPPALHNHVKGKILVTAPRRVAVRAAARRLRHLDPQQARSVGFAVRGEYQRGDAVEFVTPGVLLRRLLTDPGLEGISGVIIDEVHERQLDTDLTLGMLRELHELRNSLDSPFYLVAMSATLDAQRYSELLDNAPIIATPAVTHPVDVLYRPGPQRLGVRGVEKQYLEHVARVAREGIEKHGESVLVFVPGVREVTAACELLDNAIPLHGRLSAREQDAALTDRGTPRIIVSTSIAESSVTVPGVRVVVDSGLARQPQHDATRGISGLVTVGCARSSAEQRAGRAGREGPGIVYRCYTESEFAHMTPHATPEIFTTDLTQAALFMACWGSPDLPLIDAPPPGPFQQAQATLQQLGAVDSSGTVTNFGRRLASIPCDPRLGRALLLTGTRRAAGIVACLADDPRGDIARLTPNKAEAQRLHSLVTSSGSYDDSPGVVTGFAYPEFIAKRVGENEFLLASGTRAVTRDNTFAGSEWLAVASLSSAGERVYIHAAAHLSEDEALSLIGVSETVEASLVNGRIRGRKVRRAGKIELSSTPVAVPPEQAAEALVAGLDVSLFPWSQAATGLRNRLAFVRAQRGEPWPDVSDAALNSMLGDWLAPEIQDIAQGTPLSQVDMLPALRRLVPWPEAASFDEYAPSQLTVPSGRHVFVDYSTGRPVVSVKLQECFGLAESPTLCGQRVLFHLLSPAGRPLAVTDDLASFWSGPYSQVRADMRGRYPKHPWPEDPWSAEATGRVKGRGKR</t>
  </si>
  <si>
    <t>MPFDLDRIGAGLPVTASLPELSHALGNQTASRTTVVIQAPPGTGKTTLIPPALHNHTEGKILVTAPRRVAVRAAARRLRHLDPQRARSVGFAVRGEYQRGDAVEFVTPGVLLRRLLTDPGLEGISGVIIDEVHERQLDTDLALGMLRELHELRNSLDSPFYLVAMSATLDAQRYSELLDNAPIIATPAVTHPVDVLYRPGPQRLGVRGVEKQYLEHVARVAREGVEKHGESVLVFVPGVREVTAVCELLDNAIPLHGRLSAREQDAALTDRGTPRIIVSTSIAESSVTVPGVRVVVDSGLARQPQHDATRGISGLVTVGCARSSAEQRAGRAGREGPGIIYRCYTESEFAHMTPHATPEIFTTDLTQAALFMACWGSPDLPLIDAPPPGPFQQAQATLQQLGAVDSSGTVTNFGRRLASIPCDPRLGRALLLTGTRRAAGIVACLADDPRGDIARLTPNKAEAQRLHSLVTSSGSYDDSPGVVTGLAYSEFIAKRVGENEFLLASGTRAVTRDNTFAGAEWLAVASLSSAGERVYIHAAAHLSEDEALSLIGVSETVEASLVNGRIRGRKVRRAGKIELSSTPVAVPPEQAAEALVAGLDVSLFPWSQAATGLRNRLAFVRAQRGEPWPDVSDAALNSMLGDWLAPEIQDIAQGMPLSQVDMLPALRRLMPWPEAASFDEYAPSQLTVPSGRHVFVDYSTGRPVVSVKLQECFGLAESPTLCGQRVLFHLLSPAGRPLAVTDDLASFWSGPYSQVRADMRGRYPKHPWPEDPWSAEATGRFKGRGKR</t>
  </si>
  <si>
    <t>GC_00002336</t>
  </si>
  <si>
    <t>PF13379.11</t>
  </si>
  <si>
    <t>NMT1-like family</t>
  </si>
  <si>
    <t>K02051</t>
  </si>
  <si>
    <t>NitT/TauT family transport system substrate-binding protein</t>
  </si>
  <si>
    <t>COG0715</t>
  </si>
  <si>
    <t>ABC-type nitrate/sulfonate/bicarbonate transport system, periplasmic component (TauA) (PDB:2X26)</t>
  </si>
  <si>
    <t>Transporters&gt;&gt;&gt;ABC transporters, prokaryotic type&gt;&gt;&gt;Mineral and organic ion transporters&gt;&gt;&gt;NitT/TauT family transporter</t>
  </si>
  <si>
    <t>MTPNHPHPPLTRRAFLRASAAAVAGVSLAGMASSCGSTSPTIDGPDSVLDVTIGYVPIACAAPLVLASAQKLFDQHGVNVALRKYAGWADLWSAYSTGELNVAHMLAPMPLAINAGAANGQRPTEVAFTQNTNGQAITLAEKHVGRAQSAKDFAGMVIGIPFEFSVHALLLRDFLVAGGVDPVRDLELRLLRPADMIAQLQVGGIDGFIGPEPFNQRAVTTGAGRIFTLTKELWAGHPCCSIAMSKEWRTAHPEKARAITAALTQASQMANDPAQKDQVAEILSREKYLNQKRELFLPTLAGTYQNWEGEEKTDHERISFGNPTNPTAIIWMATQLARWNLGGDTLTMDDPTLIHLADSVLPDDVPRGGDPVTINGRVFDAHTPTVGYEVYTR</t>
  </si>
  <si>
    <t>MTPNHPHPPLTRRAFLRASAAAVAGVSLAGMASSCGSTSPTIDGPDSVLDVTIGYVPIACAAPLVLASAQKLFDQHGVNVVLRKYAGWADLWSAYSTGELNVAHMLAPMPLAINAGAANGQRPTEVAFTQNTNGQAITLAEKHVGRAQSAKDFAGMVIGIPFEFSVHALLLRDFLVAGGIDPVRELELRLLRPADMIAQLQVGGIDGFIGPEPFNQRAVTTGAGRIFTLTKELWSGHPCCSIAMSKEWRTAHPEKARAITAALTQASQMANDPAQKDQVVEILSREKYLNQKRELFLPTLAGTYQNWEGEEKTDHERISFGNPTNPTAITWMATQLARWNLGGDTLTMDDPTLIHLADSVLPDDVPRGGDPVTINGRVFDSHTPTAGYEVYTR</t>
  </si>
  <si>
    <t>GC_00002337</t>
  </si>
  <si>
    <t>MSNPLNVGSGVLGSDGGESNDVSESGVAPRRRLRVGKPVLVVVGVVLVVVAGVVGYLMFGYKSTVTEVNTTAKNAEIPLLERYSTANQFLPEKLLAVMQKCNGKADEYNKQITVPVYKCSVAYDEKQILSGAQIRWVPGADAETARNELESGKATRATDAPKISRKTIREASGSQPEVGMSSAKGSTGFVYFYYPQDEFTVYLQFSSKMPSEDEVYSYVNSLGIEAKK</t>
  </si>
  <si>
    <t>MSNPFNVESGVLGSNGGESSDVSASGVVPRRRLRVSKPVLLAVGVVLVVVAGVVGYLVFGYKSTVTEVNTTAKNAEIPLLERYSTANQFLPEKLLAVMQKCNGKADEYNKQITVPVYKCSVAYDEKQILSGAQIRWVPGADAETARNELESGKATRATDAPKISRKTIRKASGSQPEVGMSSAKGSMGFVYFYYPRDEFTVYLQFSSKMPSEDEVYSYVNSLGIEAKK</t>
  </si>
  <si>
    <t>GC_00002338</t>
  </si>
  <si>
    <t>PF08666.17</t>
  </si>
  <si>
    <t>SAF domain</t>
  </si>
  <si>
    <t>K02279</t>
  </si>
  <si>
    <t>pilus assembly protein CpaB</t>
  </si>
  <si>
    <t>COG3745</t>
  </si>
  <si>
    <t>Flp pilus assembly protein CpaB (CpaB)</t>
  </si>
  <si>
    <t>ko00001|ko02044|ko02035</t>
  </si>
  <si>
    <t>KEGG Orthology (KO)&gt;&gt;&gt;09130 Environmental Information Processing&gt;&gt;&gt;09132 Signal transduction&gt;&gt;&gt;02020 Two-component system [PATH:ko02020]|Secretion system&gt;&gt;&gt;Type II secretion system&gt;&gt;&gt;Tight adherence (Tad) export apparatus|Bacterial motility proteins&gt;&gt;&gt;Pilus system&gt;&gt;&gt;Pilus assembly proteins</t>
  </si>
  <si>
    <t>MFASLSHPGFHRSALLRKVVAATLMVTAVGITVTDRLHQHISVVVYSRDVAAGSRITAADVTVVHVSESVLPQDRLATTDAAVGNIVVASRSRGAMVSAADFVDSALVSQTMTNTTSNDAGVKTHMVPITLADPTLASLLRPGDTITIITAADDNSAPRVIAAGGKVIFATTKATDFPGATPGTVLVSLVADSAAAVAAASLSQPLAVVVTGDRAE</t>
  </si>
  <si>
    <t>MFASLSHPGFHRSALLRKVVAATLMVTAVGITVTDRLHQHISVVVYSRNVAAGSRITATDVTVVHVSESVLPQDRLATTDAAVGNIVVASRSRGAMVSAADFVDSALVSQTMTNTTSNDAGVKTHMVPITLADPTLASLLRPGDTITIITAADDNSAPRVIAAGGKVIFATTKATDFPGATPGTVLVSLVADSAAAVAAASLSQPLAVVVTGDRAE</t>
  </si>
  <si>
    <t>GC_00002339</t>
  </si>
  <si>
    <t>MGTSVTSTNIKRRLAAVLLGCFCAITTTVAHAHDAVVGGSPADGEVLASAPTTVTLEFSGEPKQGFNTMAISNSKGDVLVTGEPTVDGRNVTLAIPKTTTLTPDEYTIGFQITSSDGHSTRGKTTFTIAGERVASSATSDTTPATDAPTDPTAELMAGPWGKVAGGVGILLVLAMIVMILARNRMGKKSQESD</t>
  </si>
  <si>
    <t>MGTSVASTNIKRRLAAVLLGCFCAITTTVAHAHDAVVGGSPADGEVLASAPTTVTLEFSGEPKQGFNTMAISNSKGDVLVTGEPTVDGRNVTLAIPENTTLTPDEYTIGFQITSSDGHSTRGKTTFTIAGERVASSATSDTTPATDAPTDPTAELMAGPWGKVAGGVGILLVLAMIVMILARNRMGKKSQESD</t>
  </si>
  <si>
    <t>GC_00002340</t>
  </si>
  <si>
    <t>PF13749.12</t>
  </si>
  <si>
    <t>Putative ATP-dependent DNA helicase recG C-terminal</t>
  </si>
  <si>
    <t>COG2865</t>
  </si>
  <si>
    <t>Predicted transcriptional regulator, contains HTH domain (PDB:3LMM)</t>
  </si>
  <si>
    <t>MGWSKEEVLQVIEHLRSNRGDNATVEVKKAAGGLPINLPETLCAFANMPEGGTIILGVDEKADFELVGVPNAAEIEAGIVSQARNLVHPAPWVDTETVTIDDKSIVVCSVANVSLMHKPALYKGKAYLRQADGDYVMNDSDLRMLEVAKLGANERTHYDEAPVPGTSVADLDEDLLREFIVNSRKSSRRLAWVHDDTELLRLTRIITSDGELTLAGLYALGNYPQGPEPGLQVTAAVRLPRDESRQRTRNLTHFDGPLPTLLQDAMDWVEQNLSTVRVYLDNGHMTDLAELPLSAIREIIANALVHRDLGPNTLGAGKSVQIRLLPDALIIDSPGGLQGVSIRQLESADITPVAVNPRLYYIARQLRTPEGYPIIEGEGSGIREAIESMDDRNLGKPIFTDNGVHFSVRLLRHGNAVMGLVPARATEPQPVIDGNTETDAQLDKYGKNASVVYRVIDQRGSINLNDIVDATALSKGQVRYALKALLDNGLVTMVGTQGRRDTVYKVSR</t>
  </si>
  <si>
    <t>PF04326.19</t>
  </si>
  <si>
    <t>Schlafen, AlbA_2</t>
  </si>
  <si>
    <t>MGWSKEEVLQVIEHLRSNRGDNATVEVKKAAGGLPINLPETLCAFANMPEGGTIILGVDEKADFELVGVPNAAEIEAGIVSQARNLVHPAPWVDTETVTIDDKSIVVCSVANVSLMHKPALYKGKAYLRQADGDYVMNDSDLRMLEVAKLGANERTHYDEAPVPGTSVADLDEDLLREFIVNSRKSSRRLAWVHDDTELLRLTRIITSDGELTLAGLYALGNYPQGPEPGLQVTAAVRLPRDESRQRTCNLTHFDGPLPTLLQDAMDWVEQNLSTVRVYLDNGHMTDLAELPLSAIREIIANALVHRDLGPNTLGAGKSVQIRLLPDALIITSPGGLQGVLIRQLESADITPVAVNPRLYYIARQLRTPEGYPIIEGEGGGIREAIESMDDRKLGKPIFTDNGVHFSVRLLRHGNAVMGLVPARATEPQPVIDGNTETDAQLDKYGKNASVVYRVIDQRGSINLNDIVDATALSKGQVRYALKALLDNGLVTMVGTQGRRDTVYKVSR</t>
  </si>
  <si>
    <t>GC_00002341</t>
  </si>
  <si>
    <t>MTPPHPVTQDQWLDQVTRRRTIARRLWYGYVRYPRRWAKQFIRFLLTTPGKMTTMVVLLSVIITSAGWSMSTMAAERRASFDTLINNTEPVNYVAQSLYANLSAADTAASSSFVLVGDASSQSRSDYARSYQRAGKAIAQAATGFNTGDPELALLENLSQKLPVYTGLVETAWANNQQGNPVGVAYMSEASTLMREDLLPTASQLNVLTGQNVDKQQKALTEPLWVPLTGLVVALIALLVGQIWLAGITNRRLNRGMLCASVLMVVATLWGGTANAITWRTGSLGYERAAAPLNALTDARVMAQQARTQEMLALVWRQSLEDSTNTFEAAAHSVEKTLAGFSGPTADAARIALGRWVDAHNHIIAALDAGDYERAQRLALQTNEESSYPKLDSTLATLIDATRGTMRSYINQGIAASTFVSTMVLMLSLLSVFCLWLGIRPRLQEYL</t>
  </si>
  <si>
    <t>MTPPHPVTQDQWLDQVTRRRTIARRLWYGYVRYPRRWAKQFIRFLLTTPGKMTTMVVLLSVIITSAGWSMSTMAAERRASFDTLINNTEPVNYVAQSLYANLSAADTAASSSFVLVGDASSQSRSDYARSYQRAGKAIAQAATGFNTGDPELALLENLSQKLPVYTGLVETAWANNQQGNPMGVAYMSEASTLMREDLLPAASQLNVLTGQNVDKQQKALTEPLWVPLTGLVVALIALLVGQIWLAGITNRRLNRGMLCASVLMVVATLWGGTANAITWRTGSLGYERAAAPLNALTDARVMAQQARTQEMLALVWRQSLEDSTNTFEAAAHSVEKTLAGFSGPTADAARIALGRWVDAHNHIIAALDAGDYERAQRLALQTNEESSYPKLDSTLATLIDATRGTMRSYINQGIAASTFVSTMVLMLSLLSVFCLWLGIRPRLQEYL</t>
  </si>
  <si>
    <t>GC_00002342</t>
  </si>
  <si>
    <t>MKRPLTRVVLAVCIPVGLLLSACGFGGFTHSNTTDVPAPADAAGAAESPAATETSPPPQLIATDHTGVAAVQKLVNKADTVVVASKTNSGAGAQKAKELRAPLLIDDGTDTDAIATEIKRLKAKEERVADADPGAAAAPSTSAAPSAPSTSGAPTSAPAASANAGPTVAQLLDGYTPGGDTTIALVTDTTDAPSVLAAMAGGLTVERLAAADPRASVSLMAKKPATYYALGADFGTEADFATRLELADAGPVPSGKTGLVFPGRRIIALYGHPSGPALGVMGEQPPQEAVKRVNDLVRQYQELTPDTPTVPAFEVIATVASSSPGDDGDYSNEGTVEELRPYVEAIGKAGGFAVLDLQPGRASFLSQAQRYQELLALPYVGLALDPEWKIGPDEKPLGRVGNTTAAEVNEVSAWLADFTKSKKLPQKIFIMHQFQLQMIRDREQLDLDHPELSFVLHADGHGDAHDKMATWDKMREGLQPQIFMAWKNFIDEDTPMFDPRQTLGVQPTPWFISYQ</t>
  </si>
  <si>
    <t>MKRPLTRVVLAVCIPVGLLLSACGFGGFTHSNTTDVPAPADAAGATDSPAATETSPPPQLIATDRTGVAAVQKLVNKADTVVVASKTNSGAGAQKAKELQAPLLIDDGTNTDAIATEIKRLKAKEERVADADPGA------SAAPSAPSTSGAPTSAPAA---AGPTVAQLLDGYTPGGDATIALVTDTTDAPSVLAAMAGGLTVERLAAADPRASVSLMAKKPATYYALGADFGTESDFATRLELADAGPVPSGKTGLVFPGRRIIALYGHPSGPALGVMGEQPPQEAVKRVNDLVRQYQELTPDTPTVPAFEVIATVASSSPGDDGDYSNEGTVEELRPYVEAIGKAGGFAVLDLQPGRASFLSQAQRYQELLALPYVGLALDPEWKIGPDEKPLGRVGNTTAAEVNEVSAWLADFTKTKKLPQKIFIMHQFQLQMIRNREQLNLNHPELSFVLHADGHGDAHDKMATWDKMREGLQPQIFMAWKNFIDEDTPMFDPRQTLGVQPTPWFISYQ</t>
  </si>
  <si>
    <t>GC_00002343</t>
  </si>
  <si>
    <t>MLVPTMGALHAGHLQLVRVAKRIPGALVVVSIFVNPLQFAEGEDLDAYPRTLDADVELLRGEGADVVFAPSAREMYPNEFRTTVQPGALGTVLEGAFRPTHFTGVLTVVNKLFNIVGPTDAIFGEKDYQQLILIQQMVTDLNMGIRIYWVPIVREASGLAMSSRNRYLSEEEHEVALGLSAALTAGAHASESGADAVLAAARSVLAAVDGLDVDYLELRRASDLGEIGEDKAAGDARLLIAARVGTTRLIDNAGILLGEVQRET</t>
  </si>
  <si>
    <t>MLVPTMGALHAGHLQLVRVAKRIPGALVVVSIFVNPLQFAEGEDLDAYPRTLDADVELLRGEGADVVFAPSAREMYPNEFRTTVQPGALGTVLEGAFRPTHFTGVLTVVNKLFNIVGPTDAIFGEKDYQQLILIQQMVTDLNMGIRIYGVPIVREASGLAMSSRNRYLSEEEHEVALGLSAALTAGAHASESGADAVLAAARSVLAAVDGLDVDYLELRRASDLGEIGEDKAAGDARLLIAARVGTTRLIDNAGILLGEVQRET</t>
  </si>
  <si>
    <t>GC_00002344</t>
  </si>
  <si>
    <t>PF13360.13</t>
  </si>
  <si>
    <t>Outer membrane protein assembly factor BamB</t>
  </si>
  <si>
    <t>MTKAPILQRSRADIIAASVLCFLTVFAVSVVWLTAPIRKAELTPADGTFTATDPLVQAPDRLSESWRVTVDPITGLHRPLSVAGLLIQPDGGDVHALDPTTGERVWTYHRDNDQLCSLSVAFESVIATYNTNVGCGDVVAINANTGTYKATRSAINSFNTVPISSNSAVGTLSRDRLELWRSDLVRTIEYGHVEAPQEADQQPHPDCALTSALTRMELLAITDRCPDSITNGVALRFMGTTPEDSRQPEIKQSIDLEPHSTLVSIGQTAAAVYTPTTPAGTARITSFNQQGKELNAATVPSSPLLDGTAPTHHDDRTGVDTPQIADLPHHMSWFDGQRLYLFEPENLLISHIFEGALGTGIAVGGQLLYPNREGIAVADWNTGKILRVIPVDRQGYDGPVSLNQAGHTIIEQRDDTYVALN</t>
  </si>
  <si>
    <t>MTKAPILQRSRADIIAASVLCFLAVFAVSVVWLTAPIRKAELTPADGTFTAADPLVQAPDRLSESWRVTVDPITGLHRPLSVAGLLIQPDGGDVHALDPTTGERVWTYHRDNDQLCSLSVAFESVIATYNTNVGCGDVVAINANTGTYKATRSAINSFNTVPISSNSAVGTLSRDRLELWRSDLVRTIEYGHVEAPQEADQQPQPDCALTSALTRMELLAITDLCPDSITDGVALRFMGTTPEDSRQPEIKQSIDLEPHSTLVSIGQTAAAVYTPTTPAGTARITSFNQQGKELNAATVPSSPLLDGTAPTHHEDRTGVTTPQIADLPHHMSWFDGQRLYLFEPENLLISHIFEGALGTGIAVGGQLLYPNREGIAVADWNTGKILRVIPVDRQGYDGPVSLNQAGHTIIEQRDDTYVALN</t>
  </si>
  <si>
    <t>GC_00002345</t>
  </si>
  <si>
    <t>COG2182</t>
  </si>
  <si>
    <t>Maltose-binding periplasmic protein MalE (MalE) (PDB:1T0K)</t>
  </si>
  <si>
    <t>MKRTVIAAVGTALLASLSLSACSTNSGNNIELTVWTSQEDQKDQDAWLQTMQAWFEEDHPELNITWHNSVVSPDTAADTVGQDPAAAADVYQFASDQLGTLMSAGAVGQLSDKGEAMLKEYAEESLRNSVKGTDDQYYGLPYEPNTWFVYYDKSKLSSEEVNSFDLMLEKAKVSFPLWNSWYMPAFYAATGTTFFGEDGLDENAGIQAGDKAVDVTKYLVKLVNNPNFINDNDGAGLGSLGKGVDVVFSGAWDAENAKKALGDNLGVAMVPMFNIDGQDTQMKAFAGAKAVAYNPHTKYPRESAMFAEFLASAESQKVHYEKNGVIPADKNLASDEKISADPVAIALIKTVTNGSILQPTIKKMTDFWDPAENFGRALLNREVTEENAAEKTDAWFKAYK</t>
  </si>
  <si>
    <t>MKRTVIAAVGTALLASLSLSACSTNSGNNIELTVWTSQEDQKNQDAWLQTMQAWFEEDHPELNITWHNSVVPPDSAVDTVGQDPAAAADVYQFANDQLGTLMSAGAVGQLSDNGEAMLKGYAEESLLNSVKGPDDQYYGLPYEPNTWFVYYDKSKLSSEEVNSFDLMLEKAKVSFPLSNSWYMPAFYAATGTTFFGEDGLDENAGIQAGDKAVDVTKYLVKLVNNPNFINDNDGAGLGSLGKGVDVVFSGAWDSENAKKALGDNLGVAMVPMFNIDGQDTQMKAFAGSKAIAYNPHTKYPREAAMFAEFLASAESQKVHYEKNGVIPADKNLASDEKISADPVAIALIKTVTNGSILQPTIKKMTDFWDPAENFGRALLNREVTEENAAEKTDAWFKAYK</t>
  </si>
  <si>
    <t>GC_00002346</t>
  </si>
  <si>
    <t>K15520</t>
  </si>
  <si>
    <t>mycothiol synthase [EC:2.3.1.189]</t>
  </si>
  <si>
    <t>KEGG Orthology (KO)&gt;&gt;&gt;09190 Not Included in Pathway or Brite&gt;&gt;&gt;09191 Unclassified: metabolism&gt;&gt;&gt;99980 Enzymes with EC numbers|Enzymes&gt;&gt;&gt;2. Transferases&gt;&gt;&gt;2.3  Acyltransferases&gt;&gt;&gt;2.3.1  Transferring groups other than aminoacyl groups&gt;&gt;&gt;2.3.1.189  mycothiol synthase</t>
  </si>
  <si>
    <t>MELTVTRELHPDQLPAIHAVLDAATSHDGIAPLSEQFLRGLTNPQHHHFLLYDDTTIVGIAAYDGETAELAVTPSARRHGGATLLIDLMGHKPLWAHGNLQPAQHFARHLGYTPSRELLVMAIDGDPLTAATAYQFPDGVELLDLPTAYDRYGSETVDQLWLEANNQAFSWHPEQGGWDLDRLNQARDTDWYRPDDVLTLWENSKLLGFHWVKRHGDLRAGAKGEVYVVGLGDAGRGRGLGGPLVNAGINRLVAEGASLVFLYVEADNEPALRAYQDVGFVVVEHHVLYTRS</t>
  </si>
  <si>
    <t>MELTVTRELHPDQLPAIHAVLDAATRHDGIAPLSEQFLRGLTNPQHHHFLLYDDTTIVGIAAYDGETAELAVTPTARRHGGATLLIDLMGHKPLWAHGNLQPAQHFARHLGYTPSRELLVMAIDGDPLTAATAYQFPDGVELLDLPTAYDRYGSETVDQLWLEANNQAFSWHPEQGGWDLDRLNQARDTDWYRPDDVLTLWENSKLLGFHWVKRHGDLRAGAKGEVYVVGLGDAGRGRGLGGPLVNAGINRLVAEGASLVFLYVEADNKPALRAYQDVGFVVVEHHVLYTRS</t>
  </si>
  <si>
    <t>GC_00002347</t>
  </si>
  <si>
    <t>MFSVDPMRNLKHRAITALTATVIGCSAIALAPTSAVAQTYNTNDGDSTQHGSEPNFNNSWGPSNVPDGVDPGPTEKQVKQSKTIGKCAFGAIAGIATSPEGWVPTAKAAGAGCLGPLAEEALD</t>
  </si>
  <si>
    <t>MFSVDSMRNLKHRAITALTATVIGCSGIALAPTSAVAQTYNTNDGDSTQHRSEPNFNNSWGPSNVPEGIDPGPTDKQVEQSKTIGKCAFGAIAGIATSPAGWVPTAKAAGAGCLGPLAEEALD</t>
  </si>
  <si>
    <t>GC_00002348</t>
  </si>
  <si>
    <t>MAQRNADRRMWKMNPERLEAHLQLRSRARRVPDKKKQASKKACRRGKWQAFGLSYELIDAPTVGLCGRRGGVRYGL</t>
  </si>
  <si>
    <t>MAQRNADRRMWKMSPERLEAHLQLRSRARRVPDKKKQASKKACRRGKWQAFGLSYELIDAPTVGLCGRRGGVRYGL</t>
  </si>
  <si>
    <t>GC_00002349</t>
  </si>
  <si>
    <t>PF02734.22</t>
  </si>
  <si>
    <t>DAK2 domain</t>
  </si>
  <si>
    <t>K07030</t>
  </si>
  <si>
    <t>fatty acid kinase [EC:2.7.2.18]</t>
  </si>
  <si>
    <t>COG1461</t>
  </si>
  <si>
    <t>Predicted kinase related to dihydroxyacetone kinase (YloV)</t>
  </si>
  <si>
    <t>KEGG Orthology (KO)&gt;&gt;&gt;09190 Not Included in Pathway or Brite&gt;&gt;&gt;09191 Unclassified: metabolism&gt;&gt;&gt;99980 Enzymes with EC numbers|Enzymes&gt;&gt;&gt;2. Transferases&gt;&gt;&gt;2.7  Transferring phosphorus-containing groups&gt;&gt;&gt;2.7.2  Phosphotransferases with a carboxy group as acceptor&gt;&gt;&gt;2.7.2.18  fatty acid kinase</t>
  </si>
  <si>
    <t>MVNVEYLDGPALHRWLTRAVAELVARRAEINKLNVFPVPDADTGSNMAHTMEAALAEVNNLPAAHQCDITKLTAAIAVGAVKGARGNSGMVLSQVLRGLAQSAVSDRITGRTVQQALTTANKFVHHAIIEPVEGTVVTVLRAAAIAANQAPTDSLIDVLTAATTAAAIALANTPSQLAVLRDAGVVDAGAQGLVLLLETMLDEVSGGTIETSTNPSFQPPKPKALSIKVVGTAAPGSVDMFTQLLGATRITAPTNTKSNPTEQPQQGKTPPKPRSPFGQPTQLARLWNHQPPTIDTPPTTTTHNQQKPHTTTNANPTVPTETTRPRVDYLEVMFFIQNADLNHVRDQLQPLGDSFIIAPISPHSASVHIHTHQAGTVIETAHHLGKITNLHIEALPEATTTNHRIILALTPTGLITHLYQSAGALTINPGDDIVLDIAAAARASGATEIILLPNGMLTTHQLASIERSSHAFEQALTIVPTGTIIRGLAALAACNNTQPLAVDAYTMGEAAQATRTARIITDPTTTEIHAITNDKNRHPTTLCTTTSLHQAIAHTLTTLIDPTARRVTILIDETAPEFSASDLPKFHGVEIITYRTQNLGSLAEIGVE</t>
  </si>
  <si>
    <t>PF13684.11</t>
  </si>
  <si>
    <t>Fatty acid kinase subunit A-like, C-terminal</t>
  </si>
  <si>
    <t>------------------------------------------------------------------------------------------------------------------------------------------------------------------------------------------------------------------------MEPPTT---------------------------------</t>
  </si>
  <si>
    <t>GC_00002350</t>
  </si>
  <si>
    <t>MRIVRPVFSATGLLITVTIIMCLTLLPIGCERRSPSMTALAQVPQRHTVVGYERAEFGAGWGSSTTRPGCSVRDDMLRTQLTVLTESDRCKPIAQGICPYSGRVISSDPAMAAGEPIELDHIFPLSAAWDMGAYAWPMAKRLAFANDPANLVAVAKAENQAKSDSLPSEWLPSDSSRRCWYVNQLADIAVTYGLAVSAADAAVMRHQCPMG</t>
  </si>
  <si>
    <t>GC_00002351</t>
  </si>
  <si>
    <t>MGQLFRTALLSCTVTLTCLTCLTGVAQAQPLAAETRAPNCIEMKTEWGFVQAYNNCDTTKTLNLKAKMAFGPDTKCLPVKPGTRANIGPALGRFDGVVVCPGDYGTEPEGSNRDSLGMFTVKCPMMNPAPGKRNEVVGYIVGTSDKSVKDAETVADMFASLVVTNQQETAVKQECTPQKQYIAMGAYNANELGT</t>
  </si>
  <si>
    <t>PF01356.24</t>
  </si>
  <si>
    <t>Alpha amylase inhibitor</t>
  </si>
  <si>
    <t>MGQLFRTALLSCTVTLTCLTCLTGVAQAQPLAAETRAPNCIEMKTEWGFVQAYNNCDTTKTLNLKAKMAFGPDTKCLPVKPGTRANIGPALGRFDEVVVCPGDYGTEPEGSNRDSLGMFTVKCPMMNPAPGKHNEVVGYIVGTSDKSVKDAETTADMFASLVVTNQQETAVKQECTPQKQYIAMGAYNANELGT</t>
  </si>
  <si>
    <t>GC_00002352</t>
  </si>
  <si>
    <t>MHDSRGVAKPCDLFSGALVLGLGLCLIFLAATGLVFRYVQPGFRPWVGAAGALLTALGVWTFSSIAEDRTAGPFPRVGTALLLPILLVALVLPGALQFASTGPSKLVPDQPHSALTSSVNEMTLLELYERYFFDDPALLDGHTIRTAGMLHRGDNGWEVRRFRIICCAADASEYAVPITGTVPHAQEGKWVEVIGTASTQPELTLTIRSITSIREPARPYL</t>
  </si>
  <si>
    <t>K08986</t>
  </si>
  <si>
    <t>MHDSRGVAKPRDLFSGALVLGLGLCLIFLAATGLVFRYVQPGFRPWVGAAGALLTALGVWTFSSIAEDRTAGPFPRVGTALLLPILLVALVLPGALQFASTGPSKLVPDQPHSALTSSVNEMTLLELYERYFFDDPALLDGHTIRTAGMLHRGDNGWEVRRFRIICCAADASEYAVPITGTVPHAQEGKWVEVIGTASTQPELTLTIRSITSIREPARPYL</t>
  </si>
  <si>
    <t>GC_00002353</t>
  </si>
  <si>
    <t>PF00773.25</t>
  </si>
  <si>
    <t>RNB domain</t>
  </si>
  <si>
    <t>COG0557</t>
  </si>
  <si>
    <t>Exoribonuclease R (VacB) (PDB:6H25)</t>
  </si>
  <si>
    <t>MKLYAAHLDFTAIIDEFRLDPAFPPDVLADAATATDQHAAGRVDATHIPLVTIDPPGSMDLDQAVGITMLDDERYRVYYAIADPAAFITPGGALHAESLRRGQSIYLPDQTIRLHPPALSENKASLLPNATRPAILWTIDLDSAGAWTDYTIARAIVHSRARFTYEETQAAYDAGTLHPAIAHLPAVGKLLQTSAARRDAITLNFPSQEVQQTPDGLFELIIEPRLPMMDYNSEISLLAGRCAGTTMANAGIGILRTLADLEPTAVSRFWAEAEHLGYTTHPASPGEFLRTLDANTSRGMAIMREAQKLLRGSEYLDLGANPPRSHAGVITNNDGVRPEYYAQVTAPLRRLADRYATEIVLSLVAETPIPDWVTCDLEQVLAAMTASGRLAATVDHACLDYCEAEVLKAFVGNQFPATVVEVNSKQKTARVFVDKPPVLADCDYGGASDLAEPSAEPGVEPGAELVEGERYCVTLSEADPVRRVVRFRI</t>
  </si>
  <si>
    <t>MKLYAAHLDFTAIIDEFRLDPAFPPDVLADAATATDQHAAGRVDATHIPLVTIDPPGSMDLDQAVGITMLDDERYRVHYAIADPAAFITPGGALHAESLRRGQSIYLPDQTIRLHPPALSENKASLLPNATRPAILWTIDLDPAGAWIDYTITRAIVRSRARFTYEETQAAYDAGTLHPAIAHLPAVGKLLQTSAARRDAITLNFPSQEVQQTPDGLFELIIEPRLPMMDYNSEISLLAGRCAGTTMANAGIGILRTLAEPEPTAVSRFWAEAEHLGYTTHPASPGEFLRTLDANTSRGMAIMREAQKLLRGSEYLELGANPPRSHSGVITNNDGVRPEYYAQVTAPLRRLADRYATEIVLSLVAETPIPDWVTCDLEQVFAAMTASGRLAATVDHACLDYCEAEVLKTFVGNRFPATVVEVNPRQKTARVFVDKPPVLADCDYGGASDLAEPSAEPGVKPGAELVEGERYCVTLSEADPVRRVVRFCI</t>
  </si>
  <si>
    <t>GC_00002354</t>
  </si>
  <si>
    <t>PF02369.22</t>
  </si>
  <si>
    <t>Bacterial Ig-like domain (group 1)</t>
  </si>
  <si>
    <t>MSRLKRLTAIIMAPVLGCTVLAAPGVAAAAEETTDLKMNCFIKQGPAKSYSNDVNGAYSQAWVWQLAEYDFSMSLTADAPATAVVGQPVTYSIKSSQVKLSNPIKWRSWWSMRSLSFQDLSQGRLLINAPEGATNVSVTGDNAKLNGNVVRVGGDTDTDHISAGSDAPNQIGQLQSGGLAGWAGSKNYTMDFSGFDLTFTPTQAGDLQPILPRTTLPSDGKSGVAASQAMFTAFAHMKYNNKEEGNYLFRCTPREPVQLPKVHVVQVGSVTLGAQPSTVVAGEKVTYTATAHDTDGNPVAGANATITIGGKAFNGVTNDQGVFTQEFTTEQPGQLAATAAVSDVTSAPVTVTVQKPAPVAKKIMLNVPETARVGDDVTVTAQVLDDENQPFDQDAVDLALGDAAPVAMTKTQTGTFEHTFKPETVGNLAVKATAGTLTASGMIAVSPKDSEVVNELRVLPETQTVTVGEQATVTAKVIAKDNSEMTGQPVTFTVGDKSVPAVEKPAGSYTFTMTPEAAGQTEVVAKLGDKQASATIIAEAAETVDRVTLAIENTNDSSIITVNVIGTKGHKLADTDVVVHVGDQQISGKTDEHGRFQHTIQRPKQEVKVKAVAGGKESVERTIVPVGSSTSEEPGTSEEPETTTPTTKPSEPSESQDSSQSSDPDDSTNGSGPGSERTWKIIAAVLGATFIGGLIYAIARYLRLTP</t>
  </si>
  <si>
    <t>MSRLKRLTAIIMAPVLGCTVLAAPGVAAAAEETTDLKMNCFIKQGPAKSYSNDVNGAYSQAWVWQLAEYDFSMSLTADAPATAVVGQPVTYSIKSSQVKLSNPIKWRSWWSMRSLSFQDLSQGRLLINAPEGATNVSVTGDNAKLNGNVVRVGGDTDTDHISAGSDAPNQIGQLQSGGLAGWAGSKNYTMDFSGFDLTFTPTQAGDLQPILPRTTLPSDGKSGVAASQAMFTAFAHMKYNNKEEGNYLFRCTPREPVQLPKVHVVQVGSVTLGAQPSTVVAGEKVTYTATAHDTDGNPVAGANATITIGGKAFNGVTNDQGVFTQEFTTEQPGQLAATAAVSDVTSAPVTVTVQKPAPVAKNIKLNVPETAKVGDDVTVTAQVLDDENQPFDQDAVDLTLGDAAPVAMTKTQTGTFEHTFKPETVGNLAVKATAGTLTASGMIAVSPKDSEVVNELRVLPETQTVTVGEQATVTAKVIAKDNSEMTGQPVTFTVGDKSVPAVEKPAGSYTFTMTPEAAGQTEVVAKLGDKQASATIIAEAAETVDRVTLAIENTNDSSIITVNVIGTKGHKLADTDVVVHVGDQQISGKTDEHGRFQHTIQRPKQEVKVKAVAGGKESVERTIVPVGSSTSEEPGTSEDPETTTPTTKPSEPSESQGSSQSSDPDDSTNGSGPGSERTWKIIAAVLGATFIGGLIYAIARYLRLTP</t>
  </si>
  <si>
    <t>GC_00002355</t>
  </si>
  <si>
    <t>K16146</t>
  </si>
  <si>
    <t>maltokinase [EC:2.7.1.175]</t>
  </si>
  <si>
    <t>COG3281</t>
  </si>
  <si>
    <t>Predicted trehalose synthase (Ble)</t>
  </si>
  <si>
    <t>KEGG Orthology (KO)&gt;&gt;&gt;09100 Metabolism&gt;&gt;&gt;09101 Carbohydrate metabolism&gt;&gt;&gt;00500 Starch and sucrose metabolism [PATH:ko00500]|Enzymes&gt;&gt;&gt;2. Transferases&gt;&gt;&gt;2.7  Transferring phosphorus-containing groups&gt;&gt;&gt;2.7.1  Phosphotransferases with an alcohol group as acceptor&gt;&gt;&gt;2.7.1.175  maltokinase</t>
  </si>
  <si>
    <t>MSNLAEQRFYAAKSEPITAVTPLTQAPVEGGTLMIARVERPSGSDVYQLLLDAAGNDVLATPAVATPLLQALAKGQPAGFGTFHQVTGKIPEGTPRPMPGEQSNTSLIVGDAVVKFFRRLEPGMNPDVELLVGLSREGCEHIVPVRGWVGYEDYVLAIAQDYLTDAEDAWEVATRADHFTEEARAIGQATRRVHEALATAFPTSSTTTIADTLNQRLDLHIQRSPAVATFEDQARSLYAQLPKDPIPTQRIHGDLHLGQILRTNGRFVLIDFEGEPAIPLEQRRQPDSTLRDVAGLVRSLDYAGHADAIPALLEGYGLASSTPLLDAFVLDKALYEVAYESNNRPDWVHIPLQAVKRILGE</t>
  </si>
  <si>
    <t>MSNLAEQRFYAAKSEPITAVTPLTQAPVEGGTLMIARVERPSGSDVYQLLLDAAGNDVLATPAVATPLLQALAKGQPAGFGTFHQVTGKIPEGTPRPMPGEQSNTSLIVGDAVVKFFRRLEPGMNPDVELLVGLSREGCEHIVPVRGWVGYEDYVLAIAQDYLTDAEDAWEVATRADHFTEEARAIGQATRRVHEALATAFPTSSSTTIADTLNQRLDLHIQRSPAVAAFEDQARSLYAQLPKDPVPTQRIHGDLHLGQILRTNGRFVLIDFEGEPAIPLEQRRQPDSTLRDVAGLVRSLDYAGHADAIPALLEGYGLASSTPLLDAFVLDKALYEVAYESNNRPDWVHIPLQAVKRILGE</t>
  </si>
  <si>
    <t>GC_00002356</t>
  </si>
  <si>
    <t>K02777</t>
  </si>
  <si>
    <t>sugar PTS system EIIA component [EC:2.7.1.-]</t>
  </si>
  <si>
    <t>ko00001|ko00001|ko00001|ko00001|ko00001|ko00001|ko02000|ko02000|ko02000|ko02000|ko02000|ko02000|ko02000</t>
  </si>
  <si>
    <t>KEGG Orthology (KO)&gt;&gt;&gt;09100 Metabolism&gt;&gt;&gt;09101 Carbohydrate metabolism&gt;&gt;&gt;00010 Glycolysis / Gluconeogenesis [PATH:ko00010]|KEGG Orthology (KO)&gt;&gt;&gt;09100 Metabolism&gt;&gt;&gt;09101 Carbohydrate metabolism&gt;&gt;&gt;00500 Starch and sucrose metabolism [PATH:ko00500]|KEGG Orthology (KO)&gt;&gt;&gt;09100 Metabolism&gt;&gt;&gt;09101 Carbohydrate metabolism&gt;&gt;&gt;00520 Amino sugar and nucleotide sugar metabolism [PATH:ko00520]|KEGG Orthology (KO)&gt;&gt;&gt;09130 Environmental Information Processing&gt;&gt;&gt;09131 Membrane transport&gt;&gt;&gt;02060 Phosphotransferase system (PTS) [PATH:ko02060]|KEGG Orthology (KO)&gt;&gt;&gt;09140 Cellular Processes&gt;&gt;&gt;09145 Cellular community - prokaryotes&gt;&gt;&gt;05111 Biofilm formation - Vibrio cholerae [PATH:ko05111]|KEGG Orthology (KO)&gt;&gt;&gt;09140 Cellular Processes&gt;&gt;&gt;09145 Cellular community - prokaryotes&gt;&gt;&gt;02026 Biofilm formation - Escherichia coli [PATH:ko02026]|Transporters&gt;&gt;&gt;Phosphotransferase system (PTS)&gt;&gt;&gt;Enzyme II [TC:4.A]&gt;&gt;&gt;Glucose-specific II component|Transporters&gt;&gt;&gt;Phosphotransferase system (PTS)&gt;&gt;&gt;Enzyme II [TC:4.A]&gt;&gt;&gt;N-Acetylglucosamine-specific II component|Transporters&gt;&gt;&gt;Phosphotransferase system (PTS)&gt;&gt;&gt;Enzyme II [TC:4.A]&gt;&gt;&gt;Maltose/glucose-specific II component|Transporters&gt;&gt;&gt;Phosphotransferase system (PTS)&gt;&gt;&gt;Enzyme II [TC:4.A]&gt;&gt;&gt;Beta-glucoside (arbutin/salicin/cellobiose)-specific II component|Transporters&gt;&gt;&gt;Phosphotransferase system (PTS)&gt;&gt;&gt;Enzyme II [TC:4.A]&gt;&gt;&gt;Trehalose-specific II component|Transporters&gt;&gt;&gt;Phosphotransferase system (PTS)&gt;&gt;&gt;Enzyme II [TC:4.A]&gt;&gt;&gt;N-Acetylmuramic acid-specific II component|Transporters&gt;&gt;&gt;Phosphotransferase system (PTS)&gt;&gt;&gt;Enzyme II [TC:4.A]&gt;&gt;&gt;Alpha-glucoside-specific II component</t>
  </si>
  <si>
    <t>MTSSTTPTTVEVVAPIAGTIIDITDVPDPVLSKKSVGDGFGIGTPPGGTVVAPVTGTVIMVAKTLHAVGFKTESGLQFLVHLGIDTVELEGKPFTLTIAKGDEVKAGQSIGTMDVEAIKEGGKDTTTVVTVTNTTKKLDHIDVNTGPAEAGDKVAVAYVKAEPPVLQAAPTPKELTPAENPNRPAELTGYDALAWDIIDNIGGKENVRSVTYCITRVRFYLKDTTKAETDIITNLNGVRDVVQAGGQYQVVVGPEAEEVYNAVMSQLGEVSSS</t>
  </si>
  <si>
    <t>MTSSTTPTTVEVVAPIAGTIIDITDVPDPVLSKKSVGDGFGISAPPGGTVVSPVTGTVIMVAKTLHAVGFKTESGLQFLVHLGIDTVELEGKPFTLTIAKGDEVKAGQNIGTMDVEAIKEGGKDTTTVVTVTNTAKKLDHIDVDEGPAEAGDKVAVAYVKAEPPVLQAAPTPKELTPAENPNRPAELTGYDALAWDIIDNIGGKENVRSVTYCITRVRFYLKDTTKAETDIITNLNGVRDVVQAGGQYQVVVGPEVEEVYNAVMSQLGEVSSS</t>
  </si>
  <si>
    <t>GC_00002357</t>
  </si>
  <si>
    <t>MAPNTIILGNNESHTIALGSFIRLKAWIMPDDLSGIKLEVSGDVSYNRSNDAQLYVTDCRGRVEIIVKPASGGEFPPDHSVILMVDQPTAGEHICLEFEEARVDGAAERVLGEITPVDEDFVLVKRYQSGDGGNLPREAMTVVSALRAQGVSHTSTKNLQVVFDATASMNASVAPDDLEIVNNVIRGIAYHLDIDVAGDLQSQLGLYQAEAPSRVGSPTMAINPQASVAVVTNSPRPYMSTFPVPTLVFVVGNQATPEAWVYQKSYGESQPLHIIVIDDAQKEALQSGNHAAFHHYATVVQAALNASTSVGDNQPANPFGGN</t>
  </si>
  <si>
    <t>MAPNTIILGNNESHTIALGSFIRLKAWIMPDDLSGIKLEVSGDVSYNRSNDAQLYVTDCRGRVEIIVKPASGGEFPPDHSVILMVDQPTAGEHICLEFEEARVDGAAERVLGEITPVDEDFVLVKRYQSGDGGNLPREAMTVVSALRAQGVSHTSTKSLQVVFDATASMNASVAPDDLEIVNNVIRGIAYHLDIDVAGDLQSQLGLYQAEAPSRVGSPTMAINPQVSVAVVTNSPRPYMSTFPVPTLVFVVGNQATPEAWVYQKSYGESQPLHIIVIDDAQKEALQSGNHAAFHHYATVVQAALNASTSVGDNQPANPFGGN</t>
  </si>
  <si>
    <t>GC_00002358</t>
  </si>
  <si>
    <t>PF08798.16</t>
  </si>
  <si>
    <t>CRISPR associated protein</t>
  </si>
  <si>
    <t>K19126</t>
  </si>
  <si>
    <t>CRISPR system Cascade subunit CasE</t>
  </si>
  <si>
    <t>COG5551</t>
  </si>
  <si>
    <t>CRISPR/Cas system endoribonuclease Cas6, RAMP superfamily (Cas6a)</t>
  </si>
  <si>
    <t>MSFMTYLTKFPVHVALARKPEKTQRWRVDDPEFRHRAVMGLFPDFEDNQARSRNNILFRYEFIPGQAPYFLVQSDCDVVAPDLEGVIETKQVEYPSYENGTPIIFRLALNTVTRRTIETNGRKREVITPVALQPLDAETGLNPAEKHVAYKLSTALQGIEFLNHNRQVLQVPKVSRALQIDTFDCMGVVTDSQALEHIMHAGIGRAKAYGCGLLTARRAA</t>
  </si>
  <si>
    <t>MSFMTYLTKFPVHVALARKPEKTQRWRVDDPEFRHRAVMGLFPDFEDNQARSRNNILFRYEFIPGQAPYFLVQSDCDVVAPDLEGVIETKQVEYPSYENGTPIIFRLALNTVTRRTIETNGRKREVITPVALQPLDAETGLNPAEKHVAYKLSTALQGIEFLNHNRQVLQVPKVSRALQIDTFDCMGVVTNSQALEHIMHAGIGRAKAYGCGLLTARRAA</t>
  </si>
  <si>
    <t>GC_00002359</t>
  </si>
  <si>
    <t>MVFTPLHRELELLAMTPLDQYLLREAIRVGAREQGDLMFRETPHAIAAALARDLCALANRGGGWIFYGIRAPDGVVENLAPCQPIADIDHTVTQVARDLVTPPLVDVAVHHIPVAPTGVVYAIEVPYDDQAPHHLADGTAPIRRGTTPTLEYLTDAEQHQLRLEVRNFSAWRAHTIPALIDEYQRLAPIYGGATFVFVAVPTHRLLPEITTQKIERVFQDDVYTTDYLEKGYDQNLIALYFRDNPIHIDDATLRYQDETEMGSWECQRCEITTTGIIRIAAQLAGENPQEEADSIGSYPYFHPEVIPAAGPAHVSHVELELTLLETFASVLSLQERCFNSDYDLWVGLARRREDEPVAIRRMTIHESGNRYLGELLPVDHDSFITHPQLVSARLPLDSTVNEKRVILNRMCLGLLGQSGITSLRLIREAE</t>
  </si>
  <si>
    <t>MVFTPLHRELELLAMTPLDQYLLREAIRVGAREQGDLMFYETPHAIAAALARDLCALANRGGGWIFYGIRAPDGVVENLAPCQPIADIDHTVTQVARDLVTPPLVDVAVHHIPVAPTGIVYAIEVPYDDQAPYHLADGTAPIRRGT--TLEYLTDAEQHQLRLEVRNFSARRAHIIPALIDEYQRLGPIYGGTTFVFVAVPTHRLLPEITTQKIERTFY-DFYTTDYLEKGYDQNLIVFHFGDDPIHVDNATLRYQDETETGSWASSRCEITTTGIIRFAIQLGGEESPDDADVAYLGPYHQPEVFSAVGPAHVSHVELELTLLETFASVLSLQERCFNSDYDLWVGLARRREDEPVAIRRMTIHESGNRYLGEFLPVDHDSFITHPQLVSARLPLDSSVNEKRVILNRMCLGLLSQSGITSMRLIREAE</t>
  </si>
  <si>
    <t>GC_00002360</t>
  </si>
  <si>
    <t>MITPAMLRRGIIPQTHTTTDGVTAAQAHTALAELLTVGFIADPQELQQLSLEELVNLITQAGTTIGANRTWQPMFPGFPEQVATMPDIELFLTQIYHYLTYGRWRPDIEKTFERTKLAHTDWTQNFRRLTLVELTPQLVQDEWAKAVALSLADREFLHDVIAELGINVPELMTTTGFTSGDNFAAALCEIPHPHERLDTGLALARTATDVLRTVLAAYCKEPDRAVDLLSSAEFRLDMRSIPRPQRRSILRALARFTDNTNLDMVMRHKKLWRRALRPIHPFELPQAAEVHTHLTIIFGKTAHRTFNSQVEAALLRNDIPAAVRLLATNPGNLLRRVDHLMRLSRSNKPSADALLSALAEAAPKARLTTLISCYNGISNRDAPLKVFRIRGRNVLKETNNPPVESWLKSAVFDTLRAAMRQRLRAAPAPTGPVPVGSTVPVELVRREASTSKLALARGQRLPLGDGSIMRLFVHWYGHDVDLGVCFADALLMEQLGYLDYTNLSSNRLKNSVLHSGDITYAPLPDGACEFVDIKDTIWQELPTVRYAIPQLISFSGDKFDDIDNVAGIMVRSQAMAGEIFEPRTVETAMNVHVKSTSAIPFIVDLVDRELIWLDTSLGSRMGCFNSGRSNGVQLIRAELETLNHMLTNGQLLALWAAAHDTETTPDAGDEPTNHDQVAKLLAF</t>
  </si>
  <si>
    <t>MITPAMLRRGIIPQTHTTTDGVTAAQAHTALAELLTVGFIADPQELQQLSLEELVNLITQAGTTIGANRTWQPMFPGFPEQVATMPDIELFLTQIYHYLTYGRWRPDIEKTFERTKLVHTDWTQNFRRLTLVELTPQLVQDEWAKAVALSPADREFLHDVIAELGINVPELMATTGFTSGDNFAVALCEIPHPHERLDTGLALARTATDVLRTVLAAYCKEPDRAVDLLSSAEFRLDMRSIPRPQRRSILRALARFTDNTNLDMVMRHKKLWRRALRPVHPFELPQAAEVHTHLTIIFGKTAHRTFNSQVEAALLRNDVPAAVRLLATNPGNLLRRVDHLMRLSRSKKPSADALLSALAEAAPKARLTTLISCYNGISNRDAPLKVFRIRGRNVLKETNNPPVESWLKSAVLDTLRAAMRQRLRAAPAPTGPVPVGSTVPVELVRREASTSKLALARGQRLPLGDGSIMRLFVHWYGHDVDLGVCFADALLMEQLGYLDYTNLSSNRLKNSVLHSGDITYAPLPDGACEFVDIKDTIWQELPTVRYAIPQLISFSGDKFDDIDNVAGIMVRSQAMAGEIFEPRTVETAMNVHVKSTSAIPFIVDLVDRELIWLDTSLGSRMGRFNTGRSNGVQFIRAELETLNHMLTNGQLLALWAAAHDAETTPDIGDEPTNHDQVAKLLAF</t>
  </si>
  <si>
    <t>GC_00002361</t>
  </si>
  <si>
    <t>MTTIRPSAPEPNYRVITWSVIIIAVSVVFAFLPRPGRIDVVAARNIIARGYRTVPPYTMANRVADFTREHPDAFIMTVRDPRPQLIMPNIHGADSGVKLWCIDSHRESLQEVAQVPDSSCYKEKNDAMTIAIYGGDFRSMSFTPTMAETCETAIVRQWGTNKFLELPETFARFRRVEIAPHAGVPDLSQATSLRNTFQHVKDFQGDVSLWDVSHVTDFSGLFHDSGFHGDISKWNPKTATNMSMMFDHAERFDSDISRWDMRRVASMHNMFDNVGLSPTHVTAIIEGWATNLPHDVTLSSNTLYYCGKPKELPTFKTKMAGNLGSVAQAPDCHPPRVNVVEQTAPNQPISETMVVRLLSDKTLRRWGDECTAVPHTATEPKELECHVTTPGEHTIWVKDYYNNTATVVVMIQNIAPTSPDAYRRA</t>
  </si>
  <si>
    <t>MTTIRSLASEPNYRVITWAVIIIAVSVVFAFLPRPGRIDVVAARNIIARGYRTVPPHTMANRVADFTREHPDAFIMTVRDPRPQLIMPNIHGADSGVKLWCIDSHRESLQEVAQVPDSSCYKEKSDAMTIAIYGGDFRSMSFTPTIAETCETAVVKQWGKNKFLELPETFARFRRVEIAPHAGVPDLSQAISLRNTFQHVKDFQGDVSLWDVSHVTDFSGLFHDSGFHGDISKWNPKTATNMSMMFDHAEWFDSDISRWDMRRVTSIHNMFDNVGLSPTHVTAIIEGWATNLPHDVTLSSNTLYYCGKPKELPTFKTKMAGNLGSVAQAPDCHPPRVNVVEQTAPNQPISETMVVRLLSDKTLRRWGDECTAVPHTATEPKELECHVTTPGEHTIWVKDYYNNTATVVVMIQNIAPTSPDAYRRA</t>
  </si>
  <si>
    <t>GC_00002362</t>
  </si>
  <si>
    <t>MNSGRWRLLGIVLVLVSAASVGLTFVTAAAGFASASNPESYVSKNYTRKSGNTYECKSGDSVQKTASDIANKVKPMARQFDSASGSEYLRYDKRLIVVSNNNGKCQIEVEDLHRYNNGSLIFLGPGFSPSSPRDSSGGSSGSGSNGGSSSGGSSGSGVK</t>
  </si>
  <si>
    <t>MNSGRWRLLGIVLVLVSAASVGLTFVTAAAGFANASNPESYVSKNYTRKSGNTYECKSGDSVQKTASDIANKVKPMARQFDSASGSEYLRYDKRLIVVSNNNGKCQIEVEDLHRYNNGSLIFLGPGFSPSSPRNSSGGSSGSGSNGGSSSGGSSGSGVK</t>
  </si>
  <si>
    <t>GC_00002363</t>
  </si>
  <si>
    <t>MATLGFTQLKTMLTIGGLWRTGVHRTRSIELIPFHDFFRVRGFFNPLFNTMGNLTLFVPLGILLGVWWVMHGRWSSTAGEPVRPVRGAVRRSAVIGFFFSLGIEITQFILGVGYSDISDLLFNTLGAMLGAWLAVKAGVPWHRTLVTACLILAIIGILLLLGVGQWVMDTFGG</t>
  </si>
  <si>
    <t>MATLGFTQLKTMLTIGGLWRTGVHRTRSIELIPFHDFFRVRGFFNPLFNTMGNLALFVPLGILLGVWWVMHGRWSSTAGEPVRPVRGAVQRSAVIGFFFSLGIEITQFILGVGYSDISDLLLNTLGAMLGAWLAVKAGVPWHKTLVTACLILAIIGILLLLGVGQWVMDTFGG</t>
  </si>
  <si>
    <t>GC_00002364</t>
  </si>
  <si>
    <t>MITLCDMTFSDVQRHKLVHLLREVGPDAPTLCEGWTTLDLIIHLVIRENYPLAAAGMMVSQLSAKLAAQTQQLKATVPYTELVDRWERGSRLWPVAKADRWLNAVEHFVHYEDVSRAQPGKADQPQHVDRADEQALLRGLKSMSKMLLRSSTVPVVVQPDGWPRVVVHDTRGVAHNGSGVATVNGPVGEIVLWLFGRDVAQVTVDDVSAGIRRSQA</t>
  </si>
  <si>
    <t>MITLCDMTFSDVQRHKLVHLLREVGPDAPTLCEGWTTLDLIIHLVIRENYPLAAAGMMVPQLSAKLAAQTQQLKATVPYTELVDRWERGSRLWPVAKADRWLNTVEHFVHYEDVSRAQPGKADQPQHVDRADEQALLRGLKSMSKMLLRSSTVPVVVQPDGWPRVVVHDTRGVAHNGSGVATVSGPVGEIVLWLFGRDVAQVTVDDVSAGIRRSQA</t>
  </si>
  <si>
    <t>GC_00002365</t>
  </si>
  <si>
    <t>MTLPNFPSSGDAGDAGQPGGLPNYDAM------PSGPMMGMDDASLAGLKKNTMAVVALVLAIVGLLLCWAPLLGTALLLSALIIAIIALVKAKNYPQLTARRGMSITALIIAVLALILNLVISFLLYYVYSVAPECADISDSLARRQCLEQKLKAN</t>
  </si>
  <si>
    <t>MTLPNFPSSGDSGDAGQPGGLPNYDAMPSGPVVPSGPMMGMDDASLAGLKKNTMAVVALVLAIIGLLLCWVPLFGTALLLGALTIAIIALVKAKNYPQLTARRGMSITALIIAVLALILNLVISFLLYYVYSVAPECADISDSLARRQCLEQKLKAN</t>
  </si>
  <si>
    <t>GC_00002366</t>
  </si>
  <si>
    <t>MTRGLQKTTIAICAALGLYATPVTATAQEISLEPLSSDIITNLLTGGFVVTQKVFVDGKPEASPTPFKVRYTCKAITGEQTGELTVTTETPARVDNIPLGTECELFEQDGDREGYTKTVGFDKQKFFVTDKNQVITATNTYAREQGVFKITSKIVGAETGRKFRVDYSCIDPKVSNGQGPVTSFLEVDGEATSPPLSLGSICTLTVPNQQLPGYALDKIDIEPKPEVVIGREPVDVTLTNNYVRSTGSISIAQKLQVDGKPANPDASIKVGYTCGGLTGEAELKNGNPARIENIPTGTQCEFTDLGGDRAGYIKNSQFDKQKVTVTTKEQAITLTENYNRDAGSLTISKRVTGNAVALAPKTFKFDYQCAAQRGTVEVRAGETVTIPTPAVPGLTCTVTEQDAQVPAATVATTYFVNGQPAGTQVPTNAKFLSSSDYTARVGKFTVSKKITADIPTGRNDFPFTYTCQPAYDGAFAPVDQALTITSTSAESIDLPLGTTCTVTEQDAPVAGYTWNTPASQSVTVGGSVLFENVYKRQTAQFGIANTVRVWEPLRNGTINFTYECVDPAHTKITGTLAVSGNGQQAIAPEKLPVGTLCTVYENAQDAQRTGFRHYAPEAFTFTVGEKDVNKVIGFNQTSTYVPVVPFIVPVVRLLAAPIMRLFDA</t>
  </si>
  <si>
    <t>MTRGLQKTTIAICAALGLYATPVTATAQEISLEPLSSDIITNLLTGGFVVTQKVFVDGKPEASPTPFKVRYTCKAITGEQTGELTVTTETPARVDNIPLGTECELFEQDGDREGYTKTVGFDKQKFFVTDKNQVITATNTYAREQGVFKITSKIVGAETGRKFRVDYSCIDPKVSNGQGPVTSFLEVDGEATSPPLSLGSICTLTVPNQQLPGYALDKIDIEPKPEVVIGREPIDVTLTNNYVRSTGSISIAQKLQVDGKPANPDASIKVGYTCGGLTGEAELKNGNPARIENIPTGTQCEFTDLGGDRAGYIKNSQFDKQKVTVTTKEQAITLTENYNRDAGSLTISKRVTGNAVALAPKTFKFDYQCAAQRGTVEVRAGETVTIPTPAVPGLTCTVTEQDAQVPAATMATTYFVNGQPAGTQVPTNAKFLSSSDYTARVGKFTVSKKITADIPTGRSDFPFTYTCQPAYDGAFAPVDQALTITGTSAESIDLPLGTTCTVTEQDAPVAGYTWNAPASQSVTVGGSVLFENVYKRQTAQFGIANTVRVWEPLRNGTINFTYECVDPAHTKITGTLAVSGNGQQAIAPEKLPVGTLCTVYENAQDAQRTGFRHYAPEAFTFTVGEKDVNKVIGFNQTSTYVPVVPFMVPVVRLLAAPIMRLFDA</t>
  </si>
  <si>
    <t>GC_00002367</t>
  </si>
  <si>
    <t>MRTWYLIQFTPDLTARESRNVGVVVHDDADNWAVRMLFVDKTGAVDPALFRPLGGSLTAEEYAGWVGYYRRAIMEGRWEQAVTLHLRRKVSFHVLKGGTLLGPEQSVTADARSLFDAVVAKKLREPAAGGLAQVRALTMQLLDECGVSYMDNVVLPARWGDDYSDSVSFAFGVGNTVVEPLALGGQRGGLLAREFYARASAVRSASDDDAPHFVATYSGRGLSASGKKQLLRPVMAAATAVDVDSDDAGEALRKAISAG</t>
  </si>
  <si>
    <t>MRTWYLIQFTPDLTARESRNVGVVVHDDADNWAVRMLFVDKTSAVDPALFRPLGGSLTAEEYAGWVGYYKRAIMEGRWEQAVTLHLRRKVSFHVLKGGTLLGPEQSVTADARSLFDAVVAKKLREPTAGGLAQVRTLTMQLLDECGVSYMDNVVLPARWGDDYSDSVSFAFGVGNTVVEPLALGGQRSGLLAREFYARASAVRSASDDDAPHFVATYSGRGLSASGKKQLLRPVMAAATALDVDSDDAGEALRKAISAD</t>
  </si>
  <si>
    <t>GC_00002368</t>
  </si>
  <si>
    <t>PF02021.23</t>
  </si>
  <si>
    <t>Uncharacterised protein family UPF0102</t>
  </si>
  <si>
    <t>K07460</t>
  </si>
  <si>
    <t>putative endonuclease</t>
  </si>
  <si>
    <t>COG0792</t>
  </si>
  <si>
    <t>Predicted endonuclease distantly related to archaeal Holliday junction resolvase, YraN/UPF0102 family (YraN) (PDB:3FOV)</t>
  </si>
  <si>
    <t>MAYAKHNLLLGCRGEELAAQYFENLGAEIVGRNVRYHCGELDVVARFPDGEVVFVEVKTRSSLDYGGAEAVTPEKLTKLRRAAAMWLQGKPYMPVRFDVLVVLMNGDDVNYEHYEGVTDGAW</t>
  </si>
  <si>
    <t>MAHAKHNLLLGCRGEELAAQYFENLGAEIMGRNVRYHCGELDVVARFPDGEVVFVEVKTRSSLDYGGAEAVTPEKLTKLRRAAAMWLQGKPYMPVRFDVLVVLMNGDDVNYEHYEGVTDGAW</t>
  </si>
  <si>
    <t>GC_00002369</t>
  </si>
  <si>
    <t>K27307</t>
  </si>
  <si>
    <t>acetyltransferase [EC:2.3.1.-]</t>
  </si>
  <si>
    <t>MNNLEGLRAVASIGIVLTHVGFQTGVDPATFVGGILTRFDFFVAVFFALSAFLLWRHWGGGVTHSREWRAYYRSRVSRIMPAYVVFVVFVLLVFPEAYASPPLAIVANMTLTQIYFPNGLLPGLTHLWSLCIEAAFYLVLPLAAWAVSTLPQRLRVPAILAVAVLSLGWAFLPFVDASPAPGVPNMQIFPPAFTCWFVVGILAAEVEGRVGPCVRRWLRRRWLWLCIAVVVMVLAAQPFFGPAGLVHPTAPEFVRRILAGTVFAAAVLVPQALDPDDSGRILQSRAVRMLGRWAYGIFLWHLPMLGFTFPILGIRPFSGYFFPVLVATLALTIPVAAASYIFVEQSARKFFSKSKKKPTENKIPT</t>
  </si>
  <si>
    <t>MNNLEGLRAVASIGIVLTHVGFQTGVDPATFVGGILTRFDFFVAVFFALSAFLLWRHWGGGVTHSREWRAYYRSRVSRIMPAYVVFVVFVLLVFPEAYASPPLAIVANMTLTQIYFPNGLLPGLTHLWSLCIEAAFYLVLPLAAWAVSTLPQRLRIPAILAVAVLSLGWAFLPFVDASPAPGVPNMQIFPPAFTCWFVVGILAAEVEGRVGPCVRRWLRRRWLWLCIAVVVMVLAAQPFFGPVGLVHPTAPEFVRRILAGTVFAAAVLVPQALDPDDSGRILQSRAVRMLGRWAYGIFLWHLPMLGFTFPILGIRPFSGYFFPVLVVTLALTIPVAAASYIFVEQSARKFFSKSKKKPTENKIPT</t>
  </si>
  <si>
    <t>GC_00002370</t>
  </si>
  <si>
    <t>MGVVELDGIYTLQDKLLNTVSANFCIGKGLPVGTETPCFRTWQWTYMTSMQSALIPRPKNTRFSCLSISTLSKPTAAHSIQEVGMPLIIAFSQ</t>
  </si>
  <si>
    <t>MGVVELDGIYTLQDKLLNTDSANFCIEKGLPVGTETPCFRTWQWTYMTSMQSVLIPRPKNTRFSCLSISTLSKPTAAHSIQEVGMPLIIAFSQ</t>
  </si>
  <si>
    <t>GC_00002371</t>
  </si>
  <si>
    <t>MKKRSIACVAAVVVALSAHPLALASAAEKTVVAQATHESVSQRHAGLIDSNRQGTLVIHKSSGDPLTQFGDPQNPTASLDRSPIPGIRFEARKVMGIDLTTNEGWLAAENVKAADFYAGGGRESDLSTTVVRGETGPDGSARLANLPLGLYYVTEAPSPAQDKHLSVVSPFLVTVPTTDLQTRGRWMYEVEVHAKDQKLTTTADVDKRCTDVGGTVTYTVTGNSPAPQSDGKIHRYTIANPVPDGVAVKDSSHTVTISNRATGGKTVELDKRKDYTFTVDAQRVATMELTPVGLTKLAASRKNNPDTVVSVSFAATVKDKPESGYVRDTGYLLTEGYPVFDAVTKPGVNSNEVKTAVPCNQTPEPRTKKPGVPPASGDPRTPEYGSNVPAQVVAQPERQRGVEKLAMTGSSVLGLVLLGAVLTVSGGVLLRRRLQ</t>
  </si>
  <si>
    <t>MKKRSIACVAAVVVALSAHPLALASAAEKTVVAQATHESVSQRHAGLIDSNRQGTLVIHKSSGDPLTQFGDPQNPTASLDRSPIPGIRFEARKVMGIDLTTNEGWLAAENVKAADFYAGGGRESDLSTTVVRGETGPDGSARLANLPLGLYYVTEAPSPAQDKHLSVVSPFLVTVPTTDPQTRGRWMYEVEVHAKDQKLTTTADVDKRCTDVGGTVTYTVTGNSPAPQSDGKIHRYTIANPVPDGVAVKDSSHTVTISNHATGGKTVELDKRKDYTFTVDAQRVATMELTPAGLTKLAASRKNNPDTVVSVSFAATVKDKPESGYVRDTGYLLTEGYPVFDAATKPGVNSNEVKTAVPCNQTPEPRTKKPGVPPASGDPRTPEYGSNVPAQVVAQPERQRGVEKLAMTGSSVLGLVLLGAVLTVSGGVLLRRRLQ</t>
  </si>
  <si>
    <t>GC_00002372</t>
  </si>
  <si>
    <t>M|S</t>
  </si>
  <si>
    <t>Cell wall/membrane/envelope biogenesis|Function unknown</t>
  </si>
  <si>
    <t>COG0791|COG3883</t>
  </si>
  <si>
    <t>Cell wall-associated hydrolase, NlpC_P60 family (NlpC) (PDB:2EVR)|Uncharacterized N-terminal coiled-coil domain of peptidoglycan hydrolase CwlO (CwlO1) (PDB:4CGK)</t>
  </si>
  <si>
    <t>MVCNLWLRRSSCAVIVAAATLGSTVGSQFTAAADPDQVDSLIAQMEKVSREVEAKNEEVKHLEEELTGKEKSIDSLRQEVKASGECAERARSLVDSTQTEVNRLAASKYRGAAVDPITTVISAKNPQSAIDRSAYLASRTKRTESTVEGLLHATEEAAAEHNRASRAAAQADFELGEMQSHKKDLDRQQEDLKKQTEGIRKQVDGLSDADRQRWIQKNGPLEVDMARITGINPAGMAAVQAAMTKLGAPYGWGATGPSEFDCSGLVYWAFQQQGKTVPRTSQAQMGGGTPVSRAELQPGDVVGYYPGATHVGIYVGDGKLVHASDYGIPVQVVGVDSMPFYGARRY</t>
  </si>
  <si>
    <t>MVCNLWLRRSSCAVIVAAATLGSTVGSQFTAAADPDQVDSLIAQMEKVSREVEAKNEEVKHLEEELTGKEKSIDSLRQEVKASGERAERARSLVDSTQTEVNRLAASKYRGAAVDPITTVISAKNPQSAIDRSAYLASRTKRTESTVEGLLHATEEAAAEHNRASRAAAQADFELGEMQSHKKDLDRQQEDLKKQTEGIRKQVDGLSDADRQRWIQKNGPLEVDMARITGINPAGMAAVQAAMTKLGAPYGWGATGPSEFDCSGLVYWAFQQQGKTVPRTSQAQMGGGTPVSRAELQPGDVVGYYPGATHVGIYVGDGKLVHASDYGIPVQVVGVDSMPFYGARRY</t>
  </si>
  <si>
    <t>GC_00002373</t>
  </si>
  <si>
    <t>PF11997.14</t>
  </si>
  <si>
    <t>Domain of unknown function (DUF3492)</t>
  </si>
  <si>
    <t>K21011</t>
  </si>
  <si>
    <t>polysaccharide biosynthesis protein PelF</t>
  </si>
  <si>
    <t>KEGG Orthology (KO)&gt;&gt;&gt;09140 Cellular Processes&gt;&gt;&gt;09145 Cellular community - prokaryotes&gt;&gt;&gt;02025 Biofilm formation - Pseudomonas aeruginosa [PATH:ko02025]|Glycosyltransferases&gt;&gt;&gt;Polysaccharide&gt;&gt;&gt;Bacterial polysaccharide (excluding LPS)</t>
  </si>
  <si>
    <t>MMPNNENDKDTSSLPTDVSRDASKLNHPKPASRPTTPKSAIKGSGQLRKEPLFPSRTDMPTPPKVADEPEKPRTPLFPSWHSEKSEKSDPEPPRTPLFPSWHNERPPTRPMETAKPSEPLFPSRSSSTNPNRHSANDSDVEKPKTPLFPSSNSKPRSSGDGPDIPDKPLFPSTGGFRQSKTQSHDPISIFSGFTMMDNPTPPPVQKPKPPKPTSRPKPETSKQDRPASIFDDFKFIKPKSEPDSEPEPAPKAEASQVQPETPAAPKLPKAVETPTVVEPEPTVDVTPEPEPAPAPPEQSAPPVSKTPAVPQQAASTPIVPTAPSTPDVSDVDVPDAPETSDAPDTLAVSDTSDSATIKPELPKHEQASSMLGSFDFVKAPEPESQPTEPDESPVPIVSAEPPAAEAPESEATGVTEAAEPTEAVEVPEDPETTGIGEELPTSSIWTDGFSSLKPITPLPPTITNFDDDDDFDYTPLFNELGAQVAASKAESAAKPEPEPEPEPEPEPEEPEASDELGVIKPLIIGHQADLKPSTNPFSAIVRQPLASPEPEPEAIQDPTLGVAGVSESVTQVTPTVPTSPTASTVPEAPEVPAAPESSTPPEAAPAPARIPTAATTPAPAVPEAPPVKPSKARKPVDVDKLKAELSEWGAWASMPQLGSKKPQDKKKSKVGGPSLVYRFPGDSQVLQEVDIAVVMESTYPFTAGDTAVSVQNIIRHNPDLTFGVIHIADNSNAPAKSMFELPANVKWVDVIYLESTEVSEKFSGLVSSPVTDEQVREVLDAIESSVTGNHEPMHALYENAINPQTRTWSAWGALGHREFMNAAIKAAGKADDISLSQLFDLAYNFFLRIYTLLDRVLPTARVYHAHSSGNAGLVAAAGAVQNKGKFFLTEHNLNIRDSINKLLSRDLNRRVTSEAPLKLTTDTFERFWTQWWLELGALNYAEAELITYLYPQAVTDAQELGGAQEKAEVLPDGIEWEDLEIPRIWRQQAVPKLERKISWKLAVVGDFQPSKGIIELIDAVKLMVDGGKTDVRVDLLKPADGSTTDEPEYYSRCVAHIKQLSVENYVRLRDVKDARDVMHEYDALVVPSFQESQPHAALVAMTMGVPIIGSSVGGMNALVTEELSDAQHKKIGASGELVPPGDSAALATLMAKLTQSPELYRAWHENALARIKAFYLLPQVMRRYNAIYRNLGAGKHKVIGGMAMVP</t>
  </si>
  <si>
    <t>MMPNNENDKDTSSLPTDVSRDASKLNHPKPASRPTTPKSAIKGSGQLRKEPLFPSRTDMPTPPKVADEPEKPRTPLFPSWHSEKSEKSDPEPPRTPLFPSWHNERPPTRPMETAKPSEPLFPSRSSSTNPNRHLANDSDVEKPKTPLFPSSNSKPRSSGDDPDIPDKPLFPSTGGFRQSKTQSHDPISIFSGFTMMDNPTPPPVQKPKPPKPTSRPKPETSKQDRPASIFDDFKFIKPKSEPDSEPEPAPKAEAPQVQPEAPVAPKPPKAAETPTVAEPEPTVDVTPEPEPAPATPEQSAPPVSKTPASPPQAASTPIVPTAPSTPDVSDVDVPDAPETSDAPDTLEVSDTSDSATIKPELPKHEQASSMLGSFDFVKAPEPESRPTEPDESPVPIVSAEPPAAEAPESEATGVTEAAEPTEAVEVPEDPETTGIGEELPTSSIWTDGFSSLKPITPLPPTITNFDDDDDFDYTPLFNELGAQVAASKAESAAKPEPEPEPEPEPEPEEPEASDELGVIKPLIIGHQADLKPSTNPFSAIVRQPLASPEPEPEAIQDPTLGVAGVSESVTQVTPTVPTSPTASTVPEAPEVPAAPESSTPPEAAPAPARIPTAVTTPAPAVPEAPPVKPSKARKPVDVDKLKAELSEWGAWASMPQLGSKKPQDKKKSKVGGPSLVYRFPGDSQVLQEVDIAVVMESTYPFTAGDTAVSVQNIIRHNPDLTFGVIHIADNSNAPAKSMFELPANVKWVDVIYLESTEVSEKFSGLVSSPVTDEQVREVLDAIESSVTGNHEPMHALYENAINPQTRTWSAWGALGHREFMNAAIKAAGKADDISLSQLFDLAYNFFLRIYTLLDRVLPTARVYHAHSSGNAGLVAAAGAVQNKGKFFLTEHNLNIRDSINKLLSRDLNRRVTSEAPLKLTTDTFERFWTQWWLELGALNYAEAELITYLYPQAVTDAQELGGAQEKAEVLPDGIEWEDLEIPRIWRQQAVPKLERKISWKLAVVGDFQPSKGIIELIDAVKLMVDGGKTDVRVDLLKPADGSTTDEPEYYSRCVAHIKQLSVENYVRLRDVKDARDVMHEYDALVVPSFQESQPHAALVAMTMGVPIIGSSVGGMNALVTEELSDAQHKKIGASGELVPPGDSAALATLMAKLTQSPELYRAWHENALARIKAFYLLPQVMRRYNAIYRNLGAGKHKVIGGMAMVP</t>
  </si>
  <si>
    <t>GC_00002374</t>
  </si>
  <si>
    <t>PF01171.26</t>
  </si>
  <si>
    <t>PP-loop family</t>
  </si>
  <si>
    <t>K04075</t>
  </si>
  <si>
    <t>tRNA(Ile)-lysidine synthase [EC:6.3.4.19]</t>
  </si>
  <si>
    <t>COG0037</t>
  </si>
  <si>
    <t>tRNA(Ile)-lysidine synthase TilS/MesJ (TilS) (PDB:1NI5) (PUBMED:21435031)</t>
  </si>
  <si>
    <t>Enzymes&gt;&gt;&gt;6. Ligases&gt;&gt;&gt;6.3  Forming carbon-nitrogen bonds&gt;&gt;&gt;6.3.4  Other carbon-nitrogen ligases&gt;&gt;&gt;6.3.4.19  tRNAIle-lysidine synthase|Transfer RNA biogenesis&gt;&gt;&gt;Prokaryotic type&gt;&gt;&gt;tRNA modification factors&gt;&gt;&gt;Other tRNA modification factors</t>
  </si>
  <si>
    <t>MPSHLGSLELPHTSPHFLEIRRAVRRHTDMRVVVGLSGGPDSVALLAGTLAEGREVEAICIDHGLQDASAEVAATAAETARALGAAATVLRIDVPSTGSMEANARHARYTALTSAANGRPIWVGHTMDDQAETLLLSALRGHATGMLERSTWEDGTTIVRPLLGVRRANTVGACSELGLEVWSDPHNDDQSFRRVALRNRLLPDLADIIGGDPVPGLAQAAERAAWEADLVRVGVDKQGLGEGIVELEVAQVPPHPALRRAVLAEFIRTNGGRESAATIAAVEQLIVAWRGQGPVAIGKAPGGRRLVVARKNGILAVSVR</t>
  </si>
  <si>
    <t>MPSHLGSLELPHTSPYFLEIRRAVRRHTDMRVVVGLSGGPDSVALLAGTLAEGREVEAICIDHGLQDASAEVAATAAETARALGAAATVLRIDVPSTGSMEANARHARYTALASAANGRPIWVGHTMDDQAETLLLSALRGHATGMLERSTWEDGTTIVRPLLGVRRANTVGACSELGLEVWSDPHNDDQSFRRVALRNRLLPDLADIIGGDPVPGLAQAAERAAWEADLVRVGVDKQGLGEGIVELEVAQVPPHPALRRAVLAEFIRTNGGRESAATIAAVEQLIVAWRGQGPVAIGKAPGGRRLVVARKNGILAVSVR</t>
  </si>
  <si>
    <t>GC_00002375</t>
  </si>
  <si>
    <t>MGNMGVASFTRCRIPHLIAALTCVAKTYSVLCYAAAPLVLMNIALFGQSPDVCYSTVRSSAMAARRSTNDCSSADLADAGVGGYRPLPHDFAHGGCHETAADTSRVYQATPGREGRNDGQSWSVFGLVDHPGAPYAFPAWSSQWTCSGVSPHSPLRASSGFAPDSHEAVHTLMASPTRF</t>
  </si>
  <si>
    <t>MGNMGVASFTRCRIPHLIAALTCVAKTYSVLCYAAAPLVLMNIALFGQSPDVCYSTVRSSATAARRSTNDRSSADLADAGVGGYRPLPHDLPHGGCHETTANRSRVYQATPGREGRNDGQSWSVFGLVDHPGAPYAFPAWSSQWTCSGVSPHSPLRASSGFAPDSHEAVHTLMASPTRF</t>
  </si>
  <si>
    <t>GC_00002376</t>
  </si>
  <si>
    <t>MSARHVFLPAYAVFLVGLLLWPLASPGALIHRDMVVVPHPSLSLSAFGCGDLPARNAPQDGVLALAGQLIDASFLARLLLLTAALLGAYGAVAVARYVQAGTVGTAAAMTITIYNPFVVERLLQGHWSLVMAAWLLPGIAAWGFTGQWRLQVVALWLASLTPTGAITALIVGMCTTTRRWFLLCMGLLTCLPWLIPALLHPATSSPDGAWAFAPRAETHVGVVGSVAGLGGIWNSQAVPPSREAGFAIAGVALFCVLLVGAWRQTARCALRPLIMLAAVALGCLLISYIALPFTSWIVTHIPGAALWRDSQKLVMFAIPAYAALAASIQRRTVAAVAITLTFLQVPDAARVVTQITPVPADPAWSALAERAAGRDVFIPDSTTMVHDGSRLSIDPRTKALSTVENGELRVGGRVVDPPSQRYRDAQHAWATGDRAQLERLGIGMVVDNHNSIITETAAPPHRGARFALGVFLTVLWLAVPLVCLPWRFRQRGK</t>
  </si>
  <si>
    <t>MSARHVFLPAYAVFLVGLLLWPLASPGALIHRDMVVVPHPSLSLSAFGCGDLPARNAPQDGVLALAGQLIDASFLARLLLLTAALLGAYGAVAVARYVQAGTVGTAAAMTITIYNPFVVERLLQGHWSLVMAAWLLPGIAAWGFTGQWRLQVVALWLASLTPTGAITALIVGMCTTTRRWFLLCMGLLTCLPWLIPALLYPATSSPDGAWAFAPRAETHVGVVGSVAGLGGIWNSQAVPPSREAGFAIAGVALFCVLLVGAWRQAARRALRPLIVLAAAALGCLLISYIALPFTSWIVTHIPGAALWRDSQKLVMFAIPAYAALVASIQRRTVAAVAIALAFLQVPDAARVVTQITPVPADPAWSALAERAAGRDVFIPDSTTMVHDGSRLSIDPRTKALSTVENGELRVGGRVVDHSSQRYRDAQQAWATGDRAQLERLGIGMVVDNHNSIITETAAPPRRGARFALGVFLTMLWLTVPLMCLPWRFRQRGK</t>
  </si>
  <si>
    <t>GC_00002377</t>
  </si>
  <si>
    <t>COG4188</t>
  </si>
  <si>
    <t>Predicted dienelactone hydrolase</t>
  </si>
  <si>
    <t>MVPLLKGVLFMRKIWKILLIIVAILVVCLIGFVATMMYLNKSTTGDDGVAAGYAEKISFSGQLEQRYSKPGPYQVVESTQDGGGDPTKEYHIYRPQSADSAGKTFPLVLMANGTRTPSTTYAPILEHLASWGFVVVGNEDPNSGSGASTSAMLDAMLQMNGTERSPLRNIVNTNKIGVSGHSQGGAGAINAATNYPNSGQYAALYTASAIENGNAKRLGCSYDTSSLKAQYFMMAGTEASDSFTISPLKDLTQNFEAPNAGKPGVMARREGADHKDVLEFGDPYMTAWFLWTLSDDKEAEKVFAGPDAELAHNSDWKDVQTRNMPK</t>
  </si>
  <si>
    <t>MVPLLKGVLFMGKIWKIFLIIVAILVVCLIGFVATMMYLNKSTTGDDGVAAGYAEKISFSGQLEQRYSKPGPYQVVESTQDGGGDPTKEYHIYRPQSADSAGKTFPLVLMANGTRTPSTTYAPILEHLASWGFVVVGNEDPNSGSGASTSAMLDAMLQMNGTERSPLRNIVNTNKIGVSGHSQGGAGAINAATNYPNSGQYAALYTASAIENGNAKRLGCSYDTSSLKAQYFMMAGTEASDSFTISPLKDLTQNFEAPNAGKPGVMARREGADHKDVLEFGDPYMTAWFLWTLSDDKEAEKVFAGPDAELAHNSDWKDVQTRNMPK</t>
  </si>
  <si>
    <t>GC_00002378</t>
  </si>
  <si>
    <t>PF00885.24</t>
  </si>
  <si>
    <t>6,7-dimethyl-8-ribityllumazine synthase</t>
  </si>
  <si>
    <t>K00794</t>
  </si>
  <si>
    <t>6,7-dimethyl-8-ribityllumazine synthase [EC:2.5.1.78]</t>
  </si>
  <si>
    <t>COG0054</t>
  </si>
  <si>
    <t>6,7-dimethyl-8-ribityllumazine synthase (Riboflavin synthase beta chain) (RibE) (PDB:1C2Y)</t>
  </si>
  <si>
    <t>KEGG Orthology (KO)&gt;&gt;&gt;09100 Metabolism&gt;&gt;&gt;09108 Metabolism of cofactors and vitamins&gt;&gt;&gt;00740 Riboflavin metabolism [PATH:ko00740]|Enzymes&gt;&gt;&gt;2. Transferases&gt;&gt;&gt;2.5  Transferring alkyl or aryl groups, other than methyl groups&gt;&gt;&gt;2.5.1  Transferring alkyl or aryl groups, other than methyl groups (only sub-subclass identified to date)&gt;&gt;&gt;2.5.1.78  6,7-dimethyl-8-ribityllumazine synthase</t>
  </si>
  <si>
    <t>MSTDGLPTINEINATGLRVAVVTAIWNSEICDLLHARAVDMGNALGATVTDYRVVGALELPVVVQELAPRYDAVVALGCVIRGGTPHFDYVCDSVTQGLTRIALDTATPIGNGVLTTNTYDQAKERAGGSNAVEDKGAEAMIAALHTASILAAIRADQSGV</t>
  </si>
  <si>
    <t>MSTDGLPTINEINATGLRVAVVTAIWNSEICDLLHARAVDTGNALGATVTDYRVVGALELPVVVQELAPRYDAVVALGCVIRGGTPHFDYVCDSVTQGLTRIALDTATPIGNGVLTTNTYDQAKERAGGSNAVEDKGAEAMIAALHTASILAAIRADQSGV</t>
  </si>
  <si>
    <t>GC_00002379</t>
  </si>
  <si>
    <t>MSVTSMRSPMRTISLRTIAAHKLRLVLTILSVVLGTAFIAGSSMFTSSLSQSFTSMISSAYDDVDLVVQPTDQSIGGLPLPLIEQLRADPDVRGVSVANYQSSVAITGSDGKALQTGGLDSSAFAVDPPQQAMSFLPLKDGAYPQQPDEIAVNTTAAEKGNIKVGDTITVVTPQDRSPAKVTGIFEFGADAGGTIGVLYSEPTYLQKFTDGQHVSQASISLNDGASADSVRERLSTQHPTVKFETGQALVEQTTKQIKTALSFVNYFLWAFAGISLLVGTFIISNTFSMIVAQRNREFALLRSIGTKQSQITRAVIFEAIIVGIIGSLLGIAAGVGIVRLIYAIMEARGFGFPSTGLGLTAQSIAIPLIVGIIVTVLSAWAPARRAGAVRPVQAMRSGDQSSSDSLLVRTVFGGVVLALGVALVVIPAVISAGGIGLKASIIGVGAFFLVIGLWLAGPMLSIPLVGGLGRIVGAPFGVVGKLAATNSRRNPRRTATTSFALTLGLMMVSSIGMLGATMRDSTSDMLDSSITADFVLTGPQNSSLSIPKDAPERINRVEGVDSTATVSTAPILVNNQALDGNLNGATSPVVMGDISRVYDMKVTDGTIDTNSQNGIVLSQSTAQQLNVGVGDQVTLSKFSVEAVVASGNTFGVAGDPNSERQATVQAITEDNSSEMRFFIPMPTAEQVVKQPDIKITKIFVKTDPGASQTTVRENLEKAVADDIVISVLSKTEYKGQSAQGISQMLNILYGLLALAVVIAVLGIINTLALSVIERRREIGMLRAVGTQRGQIRRMIYIESAVIALFGALIGAAIGLGVGWAFVSILSGDGLDKVVIPWMQVLIMLVGSGFVGVLAAVWPGHKAAKTKPLEAISE</t>
  </si>
  <si>
    <t>MSVTSMRSPMRTISLRTIAAHKLRLVLTILSVVLGTAFIAGSSMFTSSLSQSFTSMISSAYDDVDLVVQPTDQSIGGLPLPLIEQLRADPDVRGVSVANYQSSVAITGSDGKALQTGGLDSSAFAVDPPQRAMSFLPLKDGAYPQQPDEIAVNTTAAEKGNIKVGDTITVVTPQDRSPAKVTGIFEFGADAGGTIGVLYSEPTYLQKFTDGQHVSQASISLNDGASADSVRERLSTQHPTVKFETGQALVEQTTKQIKTALSFVNYFLWAFAGISLLVGTFIISNTFSMIVAQRNREFALLRSIGTKQSQITRAVIFEAIIVGIIGSLLGIAAGVGIVRLIYAIMEARGFGFPSTGLGLTAQSIAIPLIVGIIVTVLSAWAPARRAGAVRPVQAMRSGDQSSSDSLLVRTIFGGVVLALGVALVVIPAVISAGGIGLKASIIGVGAFFLVIGLWLAGPMLSIPLVGGLGRIVGAPFGVVGKLAATNSRRNPRRTATTSFALTLGLMMVSSIGMLGATMRDSTSDMLDSSITADFVLTGPQNSSLSIPKDAPERINRVEGVDSTATVSTAPILVNNQALDGNLNGATSPVVMGDISRVYDMKVTDGTIDTNSQNGIVLSQSTAQQLNVGVGDQVTLSKFSVEAVVASGNTFGVAGDPNSERQATVQAITEDNSSEMRFFIPMPTAEQVVKQPDIKITKIFVKTDPGASQTTVRENLEKAVADDIVISVLSKTEYKGQSAQGISQMLNILYGLLALAVVIAVLGIINTLALSVIERRREIGMLRAVGTQRGQIRRMIYIESAVIALFGALIGAAIGLGVGWAFVSILSGDGLDKVVIPWMQVLIMLVGSGFVGVLAAVWPGHKAAKTKPLEAISE</t>
  </si>
  <si>
    <t>GC_00002380</t>
  </si>
  <si>
    <t>MRVSDAAKIAGCSVRTVRYYHNLGLLPVPTKQRGPWRDYEFADVARLIQIRSMAQAGMRLDDIRLELSAAETAVMAVVPAPAAASTQLVDAPTATPAV-----ADPADCDCEIYDQTLRSLDQQIAKLQQQRARLLEMKQQAMMKSPPLSKTVHDLYMEAEEILKSEQEFEALGFIQRKHKLAILFSELGFFKTSFDNRAQQVDPQLMAEISKRLVRLQQDDWTMADVENLVEYAVAMDKSVPPLTGMAYQLTRRFLSSQTAEMLCVAAYPEPGMKAFIRLGFARFRTIYV</t>
  </si>
  <si>
    <t>MRVSDAAKIAGCSVRTVRYYHNLGLLPVPTKQRGPWRDYEFADVARLIQIRSMAQAGMRLDDIRLELSAAETAVMAAVPAPAAASTQLVDAPTATPAAGTTAPTDPADCDCEIYDQTLRSLDQQIAKLQQQRARLLEMKQQARMKSPPLSKTVHDLYMEAEEILKSEQEFEALEFIQRKHKLAILFSELGFFKTSFDNRAQQVDPRLMAEISKRLVRLQQDDWTMADVENLVEYAVAMDKSVPPLTGMAYQLTRRFLSSQTAEMLCVAAYPEPGMKAFIRLGFARFRTIYV</t>
  </si>
  <si>
    <t>GC_00002381</t>
  </si>
  <si>
    <t>MPTPVIKVRSSYSAILSSRAAKICMLFVIVLGPITVLLLGAYRTSGNNTLSLLYALGMAAPAAGIIIALSSLATIAFRARRVVLVIGEQVSIPHSGISFPMSELSTVKVWTRCDPRRKTTTYVALLPYHVDGEVTAASIRQRGIPAEVTDYVVRFPKGTQPSAYELVDMVGQMRPTVYIERLGSV</t>
  </si>
  <si>
    <t>MPTPVIKVRSSYSAILSSRASKTCMLFVIVLGPITVLLLGAYRTSGNNTLSLLYALGMAAPAAGIIIALSSLAAIAFRARRVVLVIGEKVSIPHSGISFPMSELSTVKVWTRCDPRRKTTTYVALLPYHVDGEVTAASIRQRGIPAEVTDYVVRFPKGTQPSAYELVDMVGQMRPTVYIERLGSV</t>
  </si>
  <si>
    <t>GC_00002382</t>
  </si>
  <si>
    <t>MKTSDVVRQGGIVPVSAAGVNDMTMVATMAKSAQLLGNRTVVKLIAEQLTQAEKLIQEFLGLEPGAAEPVGAALTRAVGFPAWPILQDPPNARHALNLVADVEWAKRMAQGSPGKVADRFTELATGLANAAPHFLPTLYEELARIFDSVGNAKYASRFFGKAREAERTYGLPVDPQRHQAVFMEFSQRGTIAAKELSEEATACIKRADDPAHAYRYFLDLNIVRIKAGGAPYAMMVRDLVKLGKAAGMSASDVCVELINEVDGASGLRRAPAKFFSTVSKHIAPAVKENPVILNTLFSQKSDELSLDEWATAARTSGLFDYLENNPERLVRWVEDTLNNLRGIGDNSEVFSEFILAHSNALKGTTMTVQIEKINLEIFDCLVQAGVSWNLRNASREEKLPHLWKLRQQINRSGHNGIKQLPSLTAAFSNDELCEQLLQGWDLVDFLKNIAHPFVKYGYENIVHYMIRKNIGSFTGQSGTSNKLFPAVEKLTQSINSIQSLKLPCDLLEMVKAAVDFAPEDVLAENLRAGLLTELAWPELERHVSGWLSAVAPKGMHSTKVQLKESFPGVVAIWGRRVVAIEGDKTLREGKILKPRTITSAGYLGADHSIFVTAQHHYSNFAQWVDGDVVQCKTQNDYWWRGDSAGDSTSSVPLNDGRLCPSGMVHVGDQCLTANNEGRVFTTSSGQAWLLKDDENQYHYSYYMRRAHDNNAHKGFVVDSATGNVIGPGLPQPLIDVVADVSASATPDFDRSTLLALPAGIDPRDAVIPMHDGNFVCAAGTDTKREMHYFIATGDGNHYGSDVPINGVIQANGITWLHSPEGELHCPDFRDGSGVLAATRNDRGEVHWLHRLPWTAWVNLRVRDAEASARLRAVTPGQAKMLLDTLVGVRQVKPVASADRKVSDVKHVGTYDPISEDCRPDSAAMKMAASILGIEDPAQHYDLCASMVQLALQVAKHNLRVERLNKKLTLRIARRKREEESAAASETTQPLDGTSSTHVEHTEKVESRPRLTTLAAKEARQLADIVHKKPGTRSTQWRWLPVVGIGKSFAIWAQGPLAHPLVKLHLAEMFSVLLDAGICSPAWNQASVKWETLARHYGKSHIGLSFKLSDADDAPRAIMLNRSHSEKKLLIEGEIPDAIHDVAMTGTAVRGKEFGLSTTLSQAEMQKYISLLSSEDSEIDIEAWKESVASYITAVASRCVLTERAVLVLLAGGYHPGLGKAPILFTDYTQNSIAYEQDKERSAAIRKKLKISLKNLDTAVEQLDAVDGELLELLLVAVSDKNMDAVIAIAEQLPSTKIMFDDAQFDYLLGWGNSYYENKVAAIWKAANPLQQRLQLKGGYGYGRIAGTLLHWATYADANDPLREFYADQLERLKTVDSEMLTHENLTTLPLQGTIVDTDYEGYYWQSNNDNGDAVRALKEGLFNPVIAGLRRKLTINGTMCNPQASVPEVVSAVVDKLGISEASAAYFLQILCLVDCSDAKVKSWNGWKKKDLDAARAELVERGLVIEAKRARTGRSVFLPGTWWEASAPNPAMEAWKAVYYAVRFDGKAFSVVPWCPPILPIDELFAAAWERYASGDVPKMEELTTKKYRKRGR</t>
  </si>
  <si>
    <t>MKTSDVVRQGGIVPVSAAGVNDMTMVATMAKSAQLLGNRTVVKLIAEQLTQAEKLIQEFLGLEPGAAEPVGAALTRAVGFPAWPILQDPPNARHALNLVADVEWAKRMAQGSPGKVADRFTELATGLANAAPHFLPTLYEELARIFDSVGNAKYASRFFGKAREAERTYGLPVDPQRHQAVFMEFSQRGTIAAKELSEEATACIKRADDPAHAYRYFLELNIVRVKAGGAPYAMVVRDLVKLGKAAGMSASDVCVELINEVDGASGLRRAPAKFFSTVSKHIAPAVKENPAILNTLFSQKSDEVSLDEWVTAAKNAGLFDYLAHNPERLVRWVEDTLNNLRGINDNSEVFSEFVLANSNALKGATMTVQIEKINLEIFDCLVQAGASWNLRNASREEKLPHLWKLRQQINRSGHNGIKQLPSLTAAFSNDELCEQLLQGWDLKDFLQNIAHPFAKHGYENIVHYMIRKNIGSFTGQSGTSNKLFPAVEKLTQSINSIQSLKLPCDLLEMIKAAVDFAPEDILAENLRAGLLTELAWPELERHVSGWLSAVAPKGMHSTKVQLKESFPGVVVIWGRRVAAIEGDKTLREGKILKPRTITSAGYLGADHSIFVTAQHHYSNFAQWVDGDVVQCETGNDYWWRGDSTGDSTSSVPLNDGRLCPSGMVHVGDQCLTANNEGRVFTTSNGQAWLLKDNENQHHYSYYMRRAHDNNAHKGFVVDSATGNVIGPGLPQPLIDMVAGISASATPDFDRSTLLALPAGIDPRDTVIPVHDGNFVCAAGTDTKREMHYFVATGDGNHYGSDVPINGVIQANGMTWLHSPNGELHCPDFRDGSGELAATRNDRGEVHWLHRLPWTAWVNLRVRDAEASARLRAVTPGQAKMLLDTLVGVRQVKPVASADRKVSDVKHVGTYDPISEDCRPDSAAMNMAASILGIEDPAQHYDLCASMVQLALQVAKHNFRVERLNKKLTLRIARRKREEESAAASETTQPLDGTSSTHVEHTEKVDNRPKLTTLAAKEARQLADIVHKKPGTRSTQWRWLPVVGIGKSFAIWAQGPLAHPLVKLHLAEMFSVLLDAGICSPAWNQASVKWDTLAQHYGKSYTGLSFKLSDADDAPRAIMLNRSNSEKKLLIEGEIPDAIHDVAMTGTAVRGKEFGLSTTLSQAEMQKYISLLSSEDSEIDIEAWKESVASYITAVASRCVLTERAVLVLLAGGYHPGLGKAPILFTDYTQNSIAYEQDKERSAAIRKKLKISLKNLDNAVGQLKNVDGELLELLLVAVADKNMDAVIAIVEQLPSTKITFDDAQFDHLLGWGNSYYENKVAAIWKAANPLQQRLQLKGGYGYGRIAGTLLHWATYADADDPLREFYADQLERLKTVDNERLTHENLTTLPLQGTIVDTDHEGYYWQSNNDNGDAVRALKEGLFNPVIAGLRRKLTIKGTMCNPQESVPEVVSAVVDKLGISEASAAYFLQILCLVDCSDAKVKSWNGWKKKDLDAARAELVERGLVIEAKRARTGRSVFLPGTWWEASAPNPAMEAWKAVYYAVRFDGKAFSVVPWCPPILPIDELFAAAWERYASGDVPKMEELTTKKYRKRGR</t>
  </si>
  <si>
    <t>GC_00002383</t>
  </si>
  <si>
    <t>MSLDKVDRFRAGVAVLAGAGLLGLVGIMAWQSSDPTSSAPTHFNGDSVGRNNGESIEAYIARCRNTRIDAADSFALVTFTQPLGAREAAEIVGFAGSGGSGVGRVSAVVPYENAPVALPEPVAGATREDVFRRWAGDAPIAGLIVYTNGSAKEKIRSDQRVMCVESLPADAAWGKFGIKPVL</t>
  </si>
  <si>
    <t>MSLDKVDRFRAGVAVLAGAGLIGLVGIMAWQSGDPTSSAPTHFNGDSVGRNNGESIEAYIARCRNTRIDAADSFALVTFTQPLGAREAAEIVGFAGSGGAGVGRVSAVVPYENAPVALPEPVAGATREDVFRRWAGDAPIAGLIVYTGGSAKEKIRSDQRVMCVESLPADAAWGKFGIKPVL</t>
  </si>
  <si>
    <t>GC_00002384</t>
  </si>
  <si>
    <t>MVSPYLLPENREAYLRSKGLIEGDISDDDREWLYFINPHYLISYARNYQLLVEQNQITEPKTLNNIRGIVEADAQLAAILMPWMRTAELNLRALTLKHYCAGHQFGDGYLDISRWTRMQEGDDKRLQGALLNSISRCGEPHVTEHLDRKWAKSHTGDRPKVYDNHEHELWLELCSGLPLWAVVDSFSMGTLGKFIMRCGVQSQEDPLFKAIAGELGITAKYFGTAVESFGITRNLLFHHQRLWMRPMPKSPGLSKDLMRRYRNYDFKEKHKQAQFIALLTISRFLPRKQRDCYLEELEETIDQNEVFSLGIKKPPFPWVKKPDRRRRSGNS</t>
  </si>
  <si>
    <t>MVSPYLLPENREAYLRSKGLIEGDISDDDREWLYFINPHYLISYARNYQLLVEQNQITEPKTLNNIRGIVEADAQLAAILMPWMRTAELNLRALTLKHYCAGHQFGDGYLDISRWTRMQEGDDKRLQGALLNSISRCGEPHVTEHLDRKWAKTHTGDRPKVYDNHEHELWLELCSGLPLWAVVDSFSMGTLGKFIMRCGVQSQENPLFKVIAGELGITAKYFGTAVESFGITRNLLFHHQRLWMRPMPKSPGLSKDLIRKYRNYDFKEKHKQAQFIALLTISRFLPRKQRDCYLDELENTIDQNEVFSLGIKKPPFPWIRKPDRRRRSGNS</t>
  </si>
  <si>
    <t>GC_00002385</t>
  </si>
  <si>
    <t>MQVFVFDSVGRTIPTLVDALPGAPIYPLPGGGGVQRITSDSLQKLAGGTHIQRTTDPQALTALAVLNYRETTRFDPLTGRPLLFDEHGAATVEHDQGTVQVFPRINPAVIGLITLAGTERILLGKNVNHPHYSLIAGYVDLGETLEAAMQREAQEETGRTIYDLRYQRSQPWPYSGSIMVGFTATTDDEHPTMPTDGELSETRWVTRDELLNNTLPLPGPGSLAANLIHEWLHQ</t>
  </si>
  <si>
    <t>MQVFVFDSVGRTIPTLVDALPGAPIYPLPGGGGVQRITSDSLQKLAGGTHIQRTTDPQALTALAVLNYRETTRFDPLTGRPLLFDEHGAATVEHDQGTVQVFPRINPAVIGLITLAGTERILLGKNVNHPHYSLIAGYVDLGETLEAAMQREAQEETGRTIYELRYQRSQPWPYSGSIMVGFTATTDDEHPTMPTDGELSETRWVTRDELLNNTLPLPGPGSLAANLIHEWLHQ</t>
  </si>
  <si>
    <t>GC_00002386</t>
  </si>
  <si>
    <t>MIRRRFVTGAIALATATVIAANGTANAQEIGTPEKIGNVPSSSDAFMQGVHGLSSNDPIERESAPSKFYLSVLAAAYHGILEPLYFATLSLQPHAN</t>
  </si>
  <si>
    <t>MIRRRFVTGAIALATATAIAASGTANAQEIGTPEKIGNVPSSSDAFMQGVHGLSSNDPIERESAPSKFYLSVLAAAYHGILEPLYFATLSLQPHAN</t>
  </si>
  <si>
    <t>GC_00002387</t>
  </si>
  <si>
    <t>PF03313.21</t>
  </si>
  <si>
    <t>Serine dehydratase alpha chain</t>
  </si>
  <si>
    <t>K01752</t>
  </si>
  <si>
    <t>L-serine dehydratase [EC:4.3.1.17]</t>
  </si>
  <si>
    <t>COG1760</t>
  </si>
  <si>
    <t>L-serine deaminase (SdaA) (PDB:4RQO)</t>
  </si>
  <si>
    <t>M00975</t>
  </si>
  <si>
    <t>Betaine degradation, bacteria, betaine =&gt; pyruvate</t>
  </si>
  <si>
    <t>KEGG Orthology (KO)&gt;&gt;&gt;09100 Metabolism&gt;&gt;&gt;09105 Amino acid metabolism&gt;&gt;&gt;00260 Glycine, serine and threonine metabolism [PATH:ko00260]|KEGG Orthology (KO)&gt;&gt;&gt;09100 Metabolism&gt;&gt;&gt;09105 Amino acid metabolism&gt;&gt;&gt;00270 Cysteine and methionine metabolism [PATH:ko00270]|Enzymes&gt;&gt;&gt;4. Lyases&gt;&gt;&gt;4.3  Carbon-nitrogen lyases&gt;&gt;&gt;4.3.1  Ammonia-lyases&gt;&gt;&gt;4.3.1.17  L-serine ammonia-lyase</t>
  </si>
  <si>
    <t>MTISIVDLFSVGIGPSSSHTVGPMRAATTFMADVRAGIGGSDPHTVTVILHGSLAATGRGHGTDRAVLLGLQGCDPATVDPTHPPVPGAIIPPVGEIGGIEYEIVFDPTALPEHPNGMTFISGDYRRRYFSVGGGFVLTSKELAARDANAAGAAAAAQNITLPYPFQTCGELLAQCRAHDMSIPDIMAANETVIHGTDETHIRHIDTVWETMQGCVTAGINTPGMLPGGLQVTRRAPRLYQRLLAAQFSYAGDALSAMEWVNLFALAVNEENAAGGRVVTAPTNGAAGVIPAVMHYVRDFRPPFTPDRVREFLLAAGAIGMLIKENASISGAEVGCQGEVGSAAAMAAAGLCQVLGGTPEQVENAAEIALEHNLGLTCDPVGGLVQIPCIERNAIAAVQAVNAARLACLETGIHRVSLDEAILTMAATGRDMMSNYKETAMGGLAVILGLPVTVTEC</t>
  </si>
  <si>
    <t>MTISIVDLFSVGIGPSSSHTVGPMRAATTFMADVRAGIGGSDPHTVTVILHGSLAATGRGHGTDRAVLLGLQGCDPATVSPTHPPVPGTIIPPVGEIGGIEYEIVFDPTALPEHPNGMTFISGDYRRRYFSVGGGFVLTSKELAARDANAAGAAAAAQNITLPYPFQTCGELLAQCRAHDMSIPDIMAANETVIHGTDETHIRHIDTVWETMQGCVTAGINTPGMLPGGLQVTRRAPRLYQRLLAAQFSYAGDALSAMEWVNLFALAVNEENAAGGRVVTAPTNGAAGVIPAVMHYVRDFRPPFTPDRVREFLLAAGAIGMLIKENASISGAEVGCQGEVGSAAAMAAAGLCQVLGGTPEQVENAAEIALEHNLGLTCDPVGGLVQIPCIERNAIAAVQAVNAARLACLETGIHRVSLDEAILTMAATGRDMMSNYKETAMGGLAVILGLPVTVTEC</t>
  </si>
  <si>
    <t>GC_00002388</t>
  </si>
  <si>
    <t>MKTMDPNTVQGILEQGLHAIGCPTGAAVVVTSQGIVDSATVGDMNSETPVVIGSTSKSLTGLAVTQLADQGLIDVQQPLTHYLPNAHVLPDATVHDVARHCSGLRSDSTCARTKKFRYSNRNYNLLGELVEKISGLPFMEYVQRNIIDLQHHTPVIFGHVAFLGHYFPATPFDLSTQSWIQPPSGGIAMNIQDAAHYLQSYLVGDFSLEHMLIDAAPADGSPAVSGVLGDKGRYGYGWIEKEYSDHRIYLHSGKVPGVTTLFVLVPGRDVGVALLVPAGDFLVGTPLIEKLGEALILTAMGEHGDLPTKRERVIARTRLTVRYALFLVFAMMVGATSVHWNLPLVGIGCAAVIAGGVRLLGGTPTAWIYRFAPDFFCVILVGILLMAGTGIYAFV</t>
  </si>
  <si>
    <t>MKTMDPNTVQGILEQGLHAIGCPTGAAVVVTSQGIVDSATVGDMNSETPVVIGSASKSLTGLAVTQLADQGLIDVQQPLTHYLPNAHVLPDATVHDVARHCSGLRSDSTCTRTKKFRYCNRNYNLLGELVEKISGLPFMEYVQRNIIDLQHHTPVIFGHVAFLGHYFPATPFDLSTQSWIQPPSGGIAMNIQDAAHYLQSYLVGDFSLEHMLIDAAPADGSPAVSGVLGDKGRYGYGWIEKEYSDHRIYLHSGKVPGVTTLFVLVPGRDVGVALLVPAGDFLVGTPLIEKLGEALILTAMGEHGDLPTTRERVIARMQVTAGYALFLAFAMVVGVTSVHWNLPLVGIGCAAVIAGGVRLLGGTPTAWIYRFAPDFFCVILVGILLMAGTGIYAFV</t>
  </si>
  <si>
    <t>GC_00002389</t>
  </si>
  <si>
    <t>MSDEIIIAAEPRTEFGKGFARRLRAAGKVPGVIYSSFLDTPIHFAASRIEIHALLRNHGTNAVFELDIEGDKHLVMVKHVDQNVITLNADHIDLLAIKRGEKVEVDVPVVFEGEPTPGTMLVQDSDTVLVEADVLSIPEEITFNIEGLDVDSKVTAADLVLPAKVTLVADPETVLATINREAVVEEEPAEEAAAADEDSESEAE</t>
  </si>
  <si>
    <t>MSDEIIIAAEPRAEFGKGFARRLRAAGKVPGVIYSSFLDTPIHFAASRIDIHALLRNHGTNAVFELDIEGDKHLVMVKHVDQNVITLNADHIDLLAIKRGEKVEVDVPVVFEGEPTPGTMLVQDSDTVLVEADVLSIPEEITFNIEGLDVDSKVTAADLVLPAKVTLVADPETVLATINREAVVEEEPAEEAAATDEDSESEAE</t>
  </si>
  <si>
    <t>GC_00002390</t>
  </si>
  <si>
    <t>MALPAVTTQRIEAVLKDEELEYGVDDDNEVFASFVNANFFYRIVEDIELLFIYGYWRAETADSDLVARLREFIKDKNSDIYLPKLTMVFLDDGLLRVGYEYSAPVGGGLTDEQLHNTIIAVFGTTFSVLEELEQAFPELVTWDVEEGED</t>
  </si>
  <si>
    <t>MALPAVTTQRIEAVLKDEELEYGVDDDNEVFASFVNANFFYRIVEDIELLFIYGYWRAETADSDLVARLREFIKDKNSDIYLPKLTMVFLDDGLLRVGYEYSAPVGGGLTDEQLHNTIIAVFGTTFSVLEELEQAFPKLVTWDVEEGED</t>
  </si>
  <si>
    <t>GC_00002391</t>
  </si>
  <si>
    <t>PF11268.13</t>
  </si>
  <si>
    <t>Protein of unknown function (DUF3071)</t>
  </si>
  <si>
    <t>MKELFLISAESTKESLVLRTEDNEQYFLVVTDELRTALVGKSTPSTDGTEANQETADATSSAISYLAPLHLAASARAGTDKEADSDTDNAKDDTDATTQSDSKKSTTSSPITAVYSSSMNRTATARDAKLSKLDPRLSAPLKMTPREIQSRIRGGASVAEIAAANDVPESRIESYAHPVLLERSQKAEMAKRAHPVRDDGPARLTLWEILDTVFTARGLDVRNSTWDSYRDTTGQWVVTVSWTSGAAEHVAEWSYHQQGMTSATAVARNGLAASLIDPDFVPPVRNLSAITSPIPVVTDDMIDDPQKVQQISAQQQPVVSEETTGEAIHDSPQAAQARRRRKAVTPHWEDVLLGVRSNAKRPRK</t>
  </si>
  <si>
    <t>MKELFLISAESTKESLVLRTEDDEQYFLVVTDELRTALVGESTPSTDGTEANQETADATSSAISYLAPLHLAASARAGTDKEADSDTDNAKDDTDATTQSDSKKSATSSPITAVYSSSMNRAATARDAKLSKLDPRLSAPLKMTPREIQSRIRGGASVAEIAAANDVPESRIESYAHPVLLERSQKAEMAKRAHPVRDDGPARLTLWEILDTVFTARGLDVRNSTWDSYRDTTGQWVVTVSWTSGAAEHVAEWSYHQQGMTSATAVARNGLAASLIDPDFVPPVRNLSAITSPIPVVTDDMIDDPQKVQQISAQQQPVVSEETTGEAIHDSPQTAQARRRRKAVTPHWEDVLLGVRSNAKRPRK</t>
  </si>
  <si>
    <t>GC_00002392</t>
  </si>
  <si>
    <t>PF11897.13</t>
  </si>
  <si>
    <t>Protein of unknown function (DUF3417)</t>
  </si>
  <si>
    <t>MKSSGTVKVAHNIPSALRPLWRLALNLRWSWRPETRELFRSIDPELWDALGDNPKELLQRVHVDRLRELAADDGFLGNVRKEADNLDHYLQEPLWFQKTYSKQNSGTGRSSTDPIAAYFSMEFGIDPTLPIYSGGLGVLAGDHMKSASDLGIPLIGVGLLYSYGYFSQSLSGDGWQEENYEYHDPRDLPVSPVLGKDGKQITVTVAFPDHRDIVIALWVAEVGRVPLLLLDTNIEENPVDLRDVTDRLYGGDSEHRIKQELVLGVGGVRAVNAFCDARGLARPRVAHLNEGHAGFLGLERIRERMNEGLDYDAALAQVRATNIFTTHTPVPAGIDRFDIELVRRYLGAGNEESRHLCPNVPIEEAIKLGVESDPNRFNMAHMGLRLSQHANGVAKLHGEVSREMFASLYPGYVDEEVPIGSVTNGVHLPTWVKPEMMSIIEKVSGNADLAVADSWDFPDAVNDETLWEARNKLRADLVNVARESVHDSWAHRGLPDAQLHWTKRVLDPNTLTIGFARRVSTYKRLTLMLRDPQRLRSILLNEERPVQFIIAGKAHPHDMGGKKLMQEIVRFADDAGLRDRFLFLPDYDIELAGYLISGADIWLNNPIRPQEASGTSGMKAVMNGCLTLSISDGWWDEMPQEDHGWTIPTVESHDTDYRDHLEAQALYDLIEHEIAPKFYDRDADGLPREWLQWVRRSLVDLSPMVTSTRMLRDYVEGYYRPADEGARRVTASPKVAQEYVQWTKRVQEGWDSIQLSNLMCNGEAAPNAGETLAGDPIRLSVDVSLGDLAGKDVLVQAIIGISDPENPEELVQPSLIFDMKDSSGKGRYEVEIGSDVPGEFGYTIRVVPNHELLVSPAELGLVKYYSE</t>
  </si>
  <si>
    <t>MKSSGTVKVAHNIPSALRPLWLLALNLRWSWRPETRELFRSIDPELWDALGDNPKELLQRVHVDRLRELAADDGFLGNVRKEADNLDHYLQEPLWFQKTYSKQNSGTGRSSTDPIAAYFSMEFGIDPTLPIYSGGLGVLAGDHMKSASDLGIPLIGVGLLYSYGYFSQSLSGDGWQEENYEYHDPRDLPVSPVLDKDGKQITVTVAFPDHRDIVIALWVAEVGRVPLLLLDTNIEENPADLRDVTDRLYGGDSEHRIKQELVLGVGGVRAVNAFCDARGLARPRVAHLNEGHAGFLGLERIRERMNEGLDYDAALAQVRATNIFTTHTPVPAGIDRFDIELVRRYLGAGNEESRHLCPNVPIEEAIKLGVESDPNRFNMAHMGLRLSQHANGVAKLHGEVSREMFASLYPGYVDEEVPIGSVTNGVHLPTWVKPEMMSIIEKVSGNADLAVADSWDFPDAVNDETLWEARNKLRADLVNVARESVYDSWAHRGLPDAQLHWTKRVLDPNTLTIGFARRVSTYKRLTLMLRDPQRLRSILLNEERPVQFIIAGKAHPHDMGGKKLMQEIVRFADDAGLRDRFLFLPDYDIELAGYLISGADIWLNNPIRPQEASGTSGMKAVMNGCLTLSISDGWWDEMPQEDHGWTIPTVESHDTDYRDHLEAQALYDLIEHEIAPKFYDRDADGLPREWLQWVRRSLVDLSPMVTSTRMLRDYVEGYYRPADEGARRVTASPKVAQEYVQWTKRVQEGWDSIQLSNLMCNGEAAPNAGETLAGDPIRLSVDVNLGDLTGKDVLVQAIIGISDPENPEELVQPSLIFDMKDSSGKGRYEVEIGSDVPGEFGYTIRVVPNHELLVSPAELGLVKYYSE</t>
  </si>
  <si>
    <t>GC_00002393</t>
  </si>
  <si>
    <t>COG2818</t>
  </si>
  <si>
    <t>3-methyladenine DNA glycosylase Tag (Tag) (PDB:1LMZ)</t>
  </si>
  <si>
    <t>MENLGDDLEARGLVYNPLDGRVRPEWAVANDQLRDYYDYEWGALATTEAEFFERVCLEALQAGLSWNLVLSKREALRAAFHNFDVDAVAAMTDEDIEQLATNPSLIRNPRKLSALVNNARAAQKLRDQGGLVDFMTSFAPPPREQPLESTADIPTSSPESAALARALKQAGFSFVGPTTCYALMQATGLVDDRVKGSSPLLPQVD</t>
  </si>
  <si>
    <t>MENLGDDLEARGLVYNPLDGRVRPEWAVANDQLRDYYDYEWGALATTEAEFFERVCLEALQAGLSWNLVLSKREALRAAFHNFDVDAVAAMTNEDIEQLATNPSLIRNPRKLSALVNNARAAQKLRDQGGLVDFMTSFAPPPREQPLESTADIPTSSPESAALARALKQAGFSFVGPTTCYALMQATGLVDDRVKGSSPLLPQVD</t>
  </si>
  <si>
    <t>GC_00002394</t>
  </si>
  <si>
    <t>PF01571.26</t>
  </si>
  <si>
    <t>Aminomethyltransferase folate-binding domain</t>
  </si>
  <si>
    <t>K06980</t>
  </si>
  <si>
    <t>tRNA-modifying protein YgfZ</t>
  </si>
  <si>
    <t>COG0354</t>
  </si>
  <si>
    <t>Folate-binding protein YgfZ, synthesis and repair of Fe-S clusters (YgfZ) (PDB:1NRK) (PUBMED:27941785;22081392)</t>
  </si>
  <si>
    <t>Transfer RNA biogenesis&gt;&gt;&gt;Prokaryotic type&gt;&gt;&gt;tRNA modification factors&gt;&gt;&gt;Thiolation factors</t>
  </si>
  <si>
    <t>MATLHPSPPPSPLLSRPGAAIARDADAAIGGTNVAWHYGNPLGEQRYPTMLIDRSDRQVVRVTGPEAPQFLNNLLSQKLDDAPDGFSAAALDLDPQGRVLHHADLLIHDGAFYLDAPAPQAQSLHDYLTRMVFWSDVTIELTDLAVLTLLGDPIDLPEDVLSRPVHWGGKPRIDVLVPRDHLEPTVAALEAAGAQLAGLMAYTAERVTALEPDLLLDLDEKTIPHEVPGWIGRLGDDSWPGAVHLEKGCYRGQETVARVHNLGRSPRVLALAHLDGSAPTLPAPGDELKTSGGRSRVVGRIGTVVHDADLGPIALVLVKRSAAGSAGLVAGEAGEVAVAIDADSIPADDGERPGRAAINRLKGL</t>
  </si>
  <si>
    <t>MATLHPSPPPSPLLSRPGAAIARDDDAAIGGTNVAWHYGNPLGEQRYPTMLIDRSDRQVVRVTGPEAPQFLNNLLSQKLDDAPDGFSAAALDLDPQGRVLHHADLLIHDGAFYLDAPAPQAQSLHDYLTRMVFWSDVTIELTDLAVLTLLGDPIDLPEDVLSRPVHWGGKPRIDVLVPRDHLEPTVAALEAAGAQLAGLMAYTAERVTALEPDLLLDLDEKTIPHEVPGWIGRLGDDSWPGAVHLEKGCYRGQETVARVHNLGRSPRVLALAHLDGSAPTLPAPGDELKTSGGRSRVVGRIGTVVHDADLGPIALVLVKRSAAGSTGLVAGEAGEVAVAIDADSIPADDGERPGRAAINRLKGL</t>
  </si>
  <si>
    <t>GC_00002395</t>
  </si>
  <si>
    <t>MARISRTTRNAQTGWRVFITPGWVITFLLVISFSYAAFTILSPWQLGKDAQIVNRNNHIEDAFNVDPKPYSDIFTSDGVIKDDQEWMRVTLTGRYLTDKEVILRLRPVESTPALQALTPFQLDSGEIILVNRGFEPTTADKETTIPPAPTGEVTILAHARVDEQQPQTAPRTDVDPKQVYGINTEQIGQIEGLTLAKDYVQLSDNQPGLLHFIPIPKLDRGNHLSYGFQWIAFGIMAPLGFGYFLWSEARERRRLREEEAEMAAQAAATPEREPDPEPQPDSAAPIVSAAAAAPVAQQAPAEAASQSTSTAAQGSRPRRSRYGNQHPNHYEKFAKRDDQRF</t>
  </si>
  <si>
    <t>MARISRTTRTAQTGWRVFITPGWVITFLLVISFSYAAFTILSPWQLGKDAQIVNRNNHIEDAFNVDPKPYSDIFTSDGVIKDDQEWMRVTLTGRYLTEKEVILRLRPVESTPALHALTPFQLDSGEIILVNRGFEPTTADKETTIPPAPTEEVTILAHARVDEQQPQTAPRTDVDPKQVYGINTEQIGQIEGLTLAKDYVQLSDNQPGLLHFIPIPKLDRGNHLSYGFQWIAFGIMAPLGFGYFLWSEARERRRLREEEAEMAAQAAATPEREPDPEPQADSAAPIVS---AAPVAQQAPTEAASQSTSTAAQGSRPRRSRYGNQHPNHYEKFAKRDDQRF</t>
  </si>
  <si>
    <t>GC_00002396</t>
  </si>
  <si>
    <t>MTVFFQFAPPETDVTPADYSDALVNFVFATNVAHQDVSGDVADSASAQVVCESLRPTPVRESVVLVAVSGEPDLSAFRRSPLGYPLIAADAGSAHPGLPDDVEVLGYVDATMTPGAQGVDADLVLGVDFLPETPGGRATGSELAAWRELIAGIEEFTQAVGRTLIRIWHGVPLSGGEGDFEWELLDCGYYLGMVELCGVIPTSSESQWEGPVLPPGYDFVVYEDHRSPEQHREPLLQLYTEAEADMPVGGLTRDVVPWTRKRWDHQLHDGEQSLMVVLVYFGVVVGLSEVRRMRGSDCAEQQITVVTRRHRGLNLSSALKYRLRKEVQERWPEVRSIYTAVAEDNEPMLVANYSVDFRENSRTQCFEKVF</t>
  </si>
  <si>
    <t>MTVFFQFAPPETDVTPADYSDALVNFVFATNVAHQDVSGDVADSASAEVVCESLRPTPVRESVVLVAVSGEPDLSAFRRSPLGYPLIAADAGSAHPGLPDDVEVLGYVDATMTPGAQGVDADLVLGVDFLPETPGGPATGSELTAWRELIAGIEEFTQAVGRTLIRIWHGVPLSGGEGDFEWELLDCGYYLGMVELCGVIPTSSESQWEGPVLPPGYDFVVYEDHRSPEQHREPLLQLYTEAEADMPVGGLTRDVVPWTRKRWDHQLRDGEQSLMVVLVYFGVVAGLSEVRRMRGSDCAEQQITVVNRRHRGLNLSSALKYRLRKEVQERWPEVRSIYTAVAEDNEPMLVANYSVDFRETSRTQCFEKVF</t>
  </si>
  <si>
    <t>GC_00002397</t>
  </si>
  <si>
    <t>MTYTYGVAIPTNGNGEYLREVLESLAGLPTPPQAVAINDQSCGTDVAGICEEYTERFPTLVRTTRTDPPGAASARNEAIAAIVDDVEWVCILDDDSVILQLPEIVSGASAIVGEYEGRVASTSSEPFALDGRTIWTHAIESATFLRASILRRGVLFDENLGTGGATPWQSGEGTDLLYRFMQEGPIMYDPGYRVKGLDDGQEAFPISKHRRYARGTGYVLRRRAPLTQQLRALVGPLVRAVKGQRRLNLHVFLGRLEGLLGRTF</t>
  </si>
  <si>
    <t>MTYTYGVAIPTNGNGEYLREVLESLAGLPTPPQAVAINDQSCGTDVAGICEEYTERFPTLVRTTRTDPPGAASARNEAIAAIVDDVEWVCILDDDSVILQLPEIVSGASAIVGEYEGRVASTSSEPFALDGRTIWTHAIESATFLRASILRRGVLFDENLGTGGPTPWQSGEGTDLLYRFMQEGPIMYDPGYRVKGLDDGQEAFPISKHRRYARGTGYVLRRRAPLTQQLRALVGPLVRAVKGQRRLNLHVFLGRLEGLLGRTF</t>
  </si>
  <si>
    <t>GC_00002398</t>
  </si>
  <si>
    <t>MTTAEHTLPEPHTSDVGSRLNWLRAGVLGANDGIVSTAGLVIGVAAAGTSTSALAAAGIAALAAGAVSMALGEYVSVSAQRDTEQVLVQKERWELSNMPDAEHQELVGILRGKGLSEETAERAATEMAEHDALGAHLDLELGMDPDELTNPWVAALSSAVSFMIGAVLPLVAVLLAPQGHRVWVTVVSTLLALTITGSISARFSQARRGRSIARLVIGGGVALAVTYLVGALFGVQAG</t>
  </si>
  <si>
    <t>MTTAEHTLPEPHTSDVGSRLNWLRAGVLGANDGIVSTAGLVIGVAAAGTSTSALAAAGIAALAAGAVSMALGEYVSVSAQRDTEQVLVQKERWELSNMPDAEHQELVGILRGKGLSEETAERAATEMAEHDALGAHLDLELGMDPDELTNPWVAALSSAVSFMIGAVLPLVAVLLAPQEHRVWVTVVSTLLALTITGSISARFSQARRGRSIARLVIGGGVALAVTYLVGALFGVQAG</t>
  </si>
  <si>
    <t>GC_00002399</t>
  </si>
  <si>
    <t>K16899</t>
  </si>
  <si>
    <t>ATP-dependent helicase/nuclease subunit B [EC:5.6.2.4 3.1.-.-]</t>
  </si>
  <si>
    <t>Enzymes&gt;&gt;&gt;5. Isomerases&gt;&gt;&gt;5.6  Isomerases altering macromolecular conformation&gt;&gt;&gt;5.6.2  Enzymes altering nucleic acid conformation&gt;&gt;&gt;5.6.2.4  DNA 3'-5' helicase|DNA repair and recombination proteins&gt;&gt;&gt;Prokaryotic type&gt;&gt;&gt;DSBR (double strand breaks repair)&gt;&gt;&gt;HR (homologous recombination)&gt;&gt;&gt;AddAB pathway proteins</t>
  </si>
  <si>
    <t>MTSPDLTDPAHSSIDQAAESQPPIPGKMETPKLTVRLVRRHAENPRRDWDNDLYHAERGTWRLTGPAGSGVTSLLLDTVARRIEAGEDPERILIVAASKQAASRLRRGIVARVATSHYKSAGTMVRSVHSLAFALLRRMRDEKLRLITGAEQDAVIRELLQGHSELTGEGQQEQGPQVPITIWPEECRDGIVMVGFARGLRDFLLRTVERGLGPEDLERLGEEHHRPMWVAAGKFLREYEQVMSLGGTHSLSASELVSMALEHDVPPEISYSTVIVDDAQHLDPKSAELVARFIDQANFAVIAGDPDQSVFRFRGARPQFLQHHPVDHELRLHTSYRVQARPGAPGVHFHRADSTGNMFEFVADRIRRARLIDDVQWRDIAVVVRSVGMITPIRRALLAAGVPVHIDPTDIVLSQQRIVSALILAVRAVHHGLTLAELEELALGPIGGADAVTLRRLLRGLRQVELRRTGAVAAAFQTPTRRSLEVLSELVLEPEPDPGLVAEVEQVLTDREQDILGRIRQVIAAGRQGGSVEEVLWEIWSATNLDKHLSAVSMRGGAAGSQADRDLDAVMALFDAAGDWVERRPNSTIDAFITHIEEQELPTGVRDRRLVVPDAVNIVTAHATSGQEWHTVIICGVQEDSWPSLSETGTLFGQEELVDLIDDGIAPGTTIARVTEQLREERRLFHMATSRATNTLIITAVDDPDAAEPQEPSRFVRDYMQPDSPEDPWEPQERVVGEQQIDVDNPLTYTRLLSAPAIVAELRRVVTNPDETQRARNQAARQLARLAEAGVPGAHPDQWWGIAGPSTTRSLPVSSLSPSRIEAGMVCPLRATMSRIFTEEELAFPLLRGRLLHAFAEAVALNVDSDVARLKIMDAYQEILAAPTWLRSYRLDTWRTVLDRTKMWIETHRHIFEQVGVEVEAEVTIAEGMKLRGRIDRLEKTMDGDYHIVDFKSGTNSPSEKTIADHVQLLTYQLILHHGAFDGTKIRPVRSTESGMTVDGATLVYPEKDTKNIWSITQAAKTEEQLAEFEDQLPDLLQALRGPELQAQRNPRCATCKLKPICPVFDTGKWTTEPTTNVS</t>
  </si>
  <si>
    <t>MTSPDLTDPTHSSTDQAAESQPPIPGKMETPKLTVRLVRRHAENPRRDWDNDLYHAERGTWRLTGPAGSGVTSLLLDTVARRIEAGEDPERILIVAASKQAASRLRRGIVARVATSHYKSAGTMVRSVHSLAFALLRRMRDEKLRLITGAEQDAVIRELLQGHSELTGEGQQEQGPQVPITIWPEECRDGIVMVGFARGLRDFLLRTVERGLGPEDLERLGEEHHRPMWVAAGKFLREYEQVMSLGGTHSLSASELVSMALEHDVPPEISYSTVIVDDAQHLDPKSAELVARFIDQANFAVIAGDPDQSVFRFRGARPQFLQHHPVDHELRLHTSYRVQARPGAPGVHFHRADSTGNMFEFVADRIRRARLIDDVQWRDIAVVVRSVGMITPIRRALLAAGVPVHIDPTDIVLSQQRIVSALILAVRAVHHGLTLAELEELALGPIGGADAVTLRRLLRGLRQVELRRTGAVAAAFQTPTRRSLEVLSELVLEPEPDPGLVAEVEQVLTDREQDILGRIRQVIAAGRQGGSVEEVLWEIWSATNLDKHLSAVSMRGGAAGSQADRDLDAVMALFDAAGDWVERRPNSTIDAFITHIEEQELPTGVRDRRLVVPDAVNIVTAHATSGQEWHTVIICGVQEDSWPSLSETGTLFGQEELVDLIDDGIAPGTTIARVTEQLREERRLFHMATSRATNTLIITAVDDPDAAEPQEPSRFVRDYMQPDSPEDPWEPQERVVGEQQIDVDNPLTYTRLLSAPAIVAELRRVVTNPDETQRARNQAARQLARLAEAGVPGAHPDQWWGIAGPSTTRSLPVSSLSPSRIEAGMACPLRATMSRIFTEEELVFPLLRGRLLHAFAEAVALNVDSDVARLKIMDAYQEILAAPIWLRSHRLDTWRTVLDRTKMWIETHRHIFEQVGVEVEAEVTIAEGMKLRGRIDRLEKTMDGDYHIVDFKSGTNHPSEKTIADHIQLLTYQLILHHGVFDGTKIRTARSTESGMTVDGATLVYPEKDTKNIWSITQAAKTEEQLAEFEDQLPDLLQALRGPELQAQRNPRCATCKLKPICPVFDTGKWTTEPTTNVS</t>
  </si>
  <si>
    <t>GC_00002400</t>
  </si>
  <si>
    <t>MDSQQLVWRGNTLLDAATAAAGAQGCGGDSGVGDSGLGGVGADGVGAGDGGTQLAHVLSDVIYIGDEESLLIERLTRTVRFRCRGTTSGGEVFTLTQPGLTVSTLVGDCAGRSYELRRVSPWRKGRVIMRGDVEVGVVEPGARELCVSLVQLPEGEGLPLIDVVFLTWCCVLVDMPQMEMRG</t>
  </si>
  <si>
    <t>MDSQQLVWRGNTLLDAATAAAGAQGCGGDSGVGDS------------GDVGAQLAHVLSDVIYIGDQESLLIERLTRTVRFRCRGTTSGGEVFTFTQPGFTVSTLMGDCAGRSYELRRVSPWRKGRVIMRGDVEVGVVEAEARELCVSLVQLPEGEELPLIDVVFLTWCCVLVDMPQREMRG</t>
  </si>
  <si>
    <t>GC_00002401</t>
  </si>
  <si>
    <t>PF00854.27</t>
  </si>
  <si>
    <t>POT family</t>
  </si>
  <si>
    <t>K03305</t>
  </si>
  <si>
    <t>proton-dependent oligopeptide transporter, POT family</t>
  </si>
  <si>
    <t>COG3104</t>
  </si>
  <si>
    <t>Dipeptide/tripeptide permease (PTR2) (PDB:2XUT)</t>
  </si>
  <si>
    <t>MATMTMTKRRSRTQTTPETNPRHPLAMPATVSIEMWERFSFYGMQAILAYYLYYATTDGGLGLERAQATTLLGAYGASVYLCTLAGGWIGDRLIGTERTLLTGCIALMVGHLSLSTLSGGAGATFGLALIAIGSGFVKTAAITILGHAYPTDDPQRDAGFQLFYLGINIGAVLGPLLTGWLSTKYTFHTGFLAAAGLMGIGLITYLALRRRYLTALSSDTATALTAPTNPIPFGRAAITISIVIAGIVGLGVLVRVGTIPLASLATILLVLTLSAAVVLYVSMFRSRQVTAAERRQLLRYIPIFVASCTFWSILNQTYGVFAVYSDIRLDRTIGTFTIPAAWTQSLNPLFILALSVPIAWAWAKIGDRAPSAPVKMGCGVMLTGAGMLVLLPFTGGGESSTPFLALALCVLIVSLGELLVGPVGMSATTAHAPGTYRTRFSALYFLTMAIGTSTAGTLSGFYHPESGSAEFTYFVCCGLAAVIIGAGTTAISARMK</t>
  </si>
  <si>
    <t>MATMTMTERRSRTQTTPENNPRHPLAMPATVSIEMWERFSFYGMQAILAYYLYYATTDGGLGLERAQATTLLGAYGASVYLCTLAGGWIGDRLIGTERTLLTGCIALMVGHLSLSTLSGGAGTTFGLALIAIGSGFVKTAAITILGHAYPTDDPRRDAGFQLFYLGINIGAVLGPLLTGWLSTKYTFHTGFLAAAGLMGIGLITYLALRRRYLTALSSDTATALTAPTNPISFGRAAITISIVIAGIVGLGVLVRVGTIPLASLATILLVLTLSAAVVLYVSMFRSRQVTAAERRQLLRYIPIFVASCTFWSILNQTYGVFAVYSDIRLDRTIGTFTIPAAWTQSLNPLYILALSVPIAWAWAKIGDRAPSAPVKMGCGVMLTGAGMLVLLPFTGGGESSTPFLALALCVLIVSLGELLVGPVGMSATTAHAPGTYRTRFSALYFLTMAIGTSTAGTLSGFYHPESGSAEFTYFVCCGLAAVIIGAGTTAISARMK</t>
  </si>
  <si>
    <t>GC_00002402</t>
  </si>
  <si>
    <t>MAQSQQETHPVLDIFGVEVAEAPSKNKSQRTQGGETRSDVIFSSYQSGNSDVFPNILALHVPEGATIADVTYGKGVFWRNVNLDNYTLLATDLATGVDCRDLPYDDASLDAVVLDPPYMEGLLRANKTSSAGTGTHAGFRDYYSNGTESTLPGDNGTPPPKWHAAVTDLYFRAGREAWRVLKDNGVLIVKCQDEVSANKQWLTHVEIINEYANYGFYAKDLFVVTRTNKAGISRVKKQVHARKNHSYFLVFIKPRPKRRRGASSK</t>
  </si>
  <si>
    <t>MAQSQQETHPVLDIFGVEVAETPSKNKSQRTQGGETRSDVIFSSYRSGNSDVFPNILALHVPEGATIADVTYGKGVFWRNVNLDNYTLLATDLATGVDCRDLPYDDASLDAVVLDPPYMEGLLRANKTSSAGTGTHAGFRDYYSNGTESTLPGDNGTPPPKWHAAVTDLYFRAGREAWRVLKDNGVLIVKCQDEVSANKQWLTHVEIINEYANYGFYAKDLFVVTRTNKAGISRVKKQVHARKNHSYFLVFIKPRPKRRRGASSK</t>
  </si>
  <si>
    <t>GC_00002403</t>
  </si>
  <si>
    <t>PF02065.24</t>
  </si>
  <si>
    <t>Melibiase</t>
  </si>
  <si>
    <t>K07407</t>
  </si>
  <si>
    <t>alpha-galactosidase [EC:3.2.1.22]</t>
  </si>
  <si>
    <t>COG3345</t>
  </si>
  <si>
    <t>Alpha-galactosidase (GalA) (PDB:2XN0)</t>
  </si>
  <si>
    <t>KEGG Orthology (KO)&gt;&gt;&gt;09100 Metabolism&gt;&gt;&gt;09101 Carbohydrate metabolism&gt;&gt;&gt;00052 Galactose metabolism [PATH:ko00052]|KEGG Orthology (KO)&gt;&gt;&gt;09100 Metabolism&gt;&gt;&gt;09103 Lipid metabolism&gt;&gt;&gt;00561 Glycerolipid metabolism [PATH:ko00561]|KEGG Orthology (KO)&gt;&gt;&gt;09100 Metabolism&gt;&gt;&gt;09103 Lipid metabolism&gt;&gt;&gt;00600 Sphingolipid metabolism [PATH:ko00600]|KEGG Orthology (KO)&gt;&gt;&gt;09100 Metabolism&gt;&gt;&gt;09107 Glycan biosynthesis and metabolism&gt;&gt;&gt;00603 Glycosphingolipid biosynthesis - globo and isoglobo series [PATH:ko00603]|Enzymes&gt;&gt;&gt;3. Hydrolases&gt;&gt;&gt;3.2  Glycosylases&gt;&gt;&gt;3.2.1  Glycosidases, i.e. enzymes that hydrolyse O- and S-glycosyl compounds&gt;&gt;&gt;3.2.1.22  alpha-galactosidase</t>
  </si>
  <si>
    <t>MTIHVTDTLFHLRNDSLSYIMQILPNGYLGQLYVGPAVPLDVDYSYLLEFAARPTSACPFYDNPVFSLEHVKQEYGQYGGSDYRQPAVVMSQPDGSTVTTFQYESHRIEAGKSRLDGLPATYVEDDSEAETLIIVLVDPLTTVRIELSYTLFSSRPVLTRTARFINDGHAEVFLDQAMSACLDLPDSKYEWWQFSGAWGRERHLKTRTLEQGITSIGSIRGNSSAQQNPFVILARPGTDDLQGEAIGCAFVYSGNFLIQAEVDTFDTTRLLVGIHPQGFRWKLRPGSSFQTPEVVFAYTTEGLNDLSATLHSLFRERLMRGQWRDRPRPIVTNNWEATYFDFTEDTLIDIARTAQGVGAELFVLDDGWFGARRGERAGLGDWTPNTDLLPDGIAGLSEKVNDLGIDFGLWVEPEMVNEDSNLFRTHPDWVIQTPNRRRSVGRFQLVLDYSRAEVVDHVFTQLSDVFSTAKISYVKWDMNRSLTEVFSSALPTDQQGEVAHRHMLGVYALLERLTTAFPHILFESCASGGARFDAGMLFYAPQAWASDDSDAVERLKIQWGSSFAYPIVSHGAHVSITPNHQVNRVTPLHTRANVAFFGAFGYELDLNKLSDEEIAEVKAQVAFMKEHRELIQFGTFYRLRSPFDSNVTCWMVVNKQKTKAIVGWYRVLNTVNAPFDRVRLVGLDTTKRYRITGNELVDGRDVIRSGSELHNIGLITSDRNSGDVPQNVTPNRDFDSRLFVLTAE</t>
  </si>
  <si>
    <t>MTIHVTDTLFHLRNDSLSYIMQILPNGYLGQLYVGPAVPLDADYSYLLEFAARPTSTCPFYDNPVFSLEHVKQEYGQYGGSDYRQPAVVMSQPDGSTVTTFQYESHRIEAGKSRLDALPATYVEDDSEAETLIIVLVDPLTTVRIELSYTLFSSRPVLTRTTRFINDGHAEVFLDQAMSACLDLPDAEYEWWQFSGAWGRERHLKTRSLEQGITSIGSIRGNSSAQQNPFVILTRPGTDDRQGEAMGCAFVYSGNFLIQAEVDTFDTTRLLVGIHPQGFRWKLRPGSSFQTPEVVFAYTTEGLNDLSATLHSLFRERLMRGQWRDRPRPIVTNNWEATYFDFTEDTLIDIARTAQGVGAELFVLDDGWFGARRGERAGLGDWTPNTDLLPDGIAGLSKKVTDLGIDFGLWVEPEMVNEDSNLFRTHPDWVIQTPNRRRSVGRFQLVLDYSRAEVVDHVFTQLSDVFSTAKISYVKWDMNRSLTEVFSSALPTDQQGEVAHRHILGVYALLERLTTAFPHILFESCASGGARFDAGMLFYAPQAWASDDSDAVERLKIQWGSSFAYPIVSHGAHVSITPNHQVNRVTPLHTRANVAFFGAFGYELDLNKLSDEEIAEVKAQVAFMKEHRELIQFGTFYRLRSPFDSNITCWMVVNKQKTKAIVGWYRVLNTVNAPFDRVRLVGLDTTKRYRITGNELVDGRDVVRSGSELHNIGLITSDRNSGDVPQNVTPNRDFDSRLFVLTAE</t>
  </si>
  <si>
    <t>GC_00002404</t>
  </si>
  <si>
    <t>MGASVNWDRLVVVGSLGFVATMVLVGAFVIHDDDGPIPYATRPDQYSAGPVVDQAVGRAIEKYREVLDEGQNSPDCTRSNCPIASKYIPGVPEDRALFTDAERSELGRVSFGERARSGFSLYSVNRQDDGMVEVIAFVGAYKCFDLQDGGGSSGGTFLHRMLLAPSQVDEHEYVVIKDNFLPMMMDSVYSGSFDPLYISRRSAAELKCPRRKELIVEN</t>
  </si>
  <si>
    <t>MGASVNWDRLVVVGSLSFVVTMVLVGAFVVHDDDGPIPYATRPDQYSAGPIIDQAVGRAIEKYREVLDEGQNSPDCTRLNCPIASKYIPGVPEDRALFTDAERSELGRVSFGERARSGFSLYSVNRQDDGVVEVIAYVVAFKCFDLQDGGGSSGGTFLHRMLLAPSQVDEHEYVVIKDNFLPMTMDHVYPDSFDPLYSSRRSAAELKCPRRKELIVEN</t>
  </si>
  <si>
    <t>GC_00002405</t>
  </si>
  <si>
    <t>PF13191.12</t>
  </si>
  <si>
    <t>COG1474</t>
  </si>
  <si>
    <t>Cdc6-related protein, AAA superfamily ATPase (CDC6) (PDB:1FNN)</t>
  </si>
  <si>
    <t>MNQTSPFTPTFGSSPSVPVGRTDIVESFTLALRSGPGSPSRALLLSGTRGVGKTVLLNEVEDAAREQGWAVITETALPGLVNRLVNEHLPALLQMVDPRSTVRRVTGVTGPAGLGGFTGTVHERHPIVPGLRTQLTQALNHLQEHHVGLLITVDEIGRGTTAELAELAAAVQHIFRENRDIALALAGLPDEVNALLKHRGITFIRRADHRELGAVTREEARRGLVEPVEENGWHWDETALNRALEATRGYPFMIQLIGHHSWLAAKNPTVIDDQAVEHGTQRALKDLNTLVLKPLVAELSGLDLAFVKAMAEDPGPSKVSDIAARIDRSADTVAQYRRRLIARHIVVPVSHGVVAFTIPGLREFLHIEEDHAPIPFW</t>
  </si>
  <si>
    <t>MNQTSPFTPTFGSSPSVPVGRTDIVESFTLALRSGPGSPSRALLLSGTRGVGKTVLLNEVEDAAREQGWAVITETALPGLVNRLVNEHLPALLQMVDPRSTVRRVTGVTGPAGLGGFTGTVHERHPIVPGLRTQLTQALDHLQEHHVGLLITVDEIGRGTTAELAELAAAVQHIFRENRDIALALAGLPDEVNALLKHRGITFIRRADHRELGAVTREEARRGLVEPVEENGWHWDETALNRALEATRGYPFMIQLIGHHSWLAAKNPTVIDDQAVEHGTQRALKDLNTLVLKPLVAELSGLDLAFVKAMAEDPGPSKVSDIAARIDRSADTVAQYRRRLIARHIVVPVSHGVVAFTIPGLREFLHIEEDHAPIPFW</t>
  </si>
  <si>
    <t>GC_00002406</t>
  </si>
  <si>
    <t>MKNTTLVMGILAVLATLSGCGIGDAGGVGVGVGSEAGSYNAGRARREEVVTTRNAIGSGNSEDPASAFGASTSGAIVYSRCSYSQLDEETGVMGVARPTAGELDDGLPLVSSAAVTEYAGQQLGLIQHTGALPADRTVTFVLLSSPMREQFITITMRDTEVLAADYGASDPFDAQTERIALDLADVSAKPDGVLVAMPSDIASAFGDSAIALLSSDTVTSQCTQ</t>
  </si>
  <si>
    <t>MKNTTLVMGILAVLATLSGCGIGDAGSVGVGVGSEAGSYNAGRARREEIVTTRNAIGSGSGEDPASAFGASTSGAIVYSRCSYSQLDEETGVMGAVRPITSELDDGLPLVSSAAVTEYAGQQLGLIQYTGVLPADRTVTFALLSSPMREQFITITMRDTEVLAADYGAGDPFDAQTEQIALDLADVSVKPDGVLVAMPSDIASAFGESTIALLSSDTVTSQCTQ</t>
  </si>
  <si>
    <t>GC_00002407</t>
  </si>
  <si>
    <t>MSINKHHADKHFAFTGETLRFEGVTLRRIQATRDVDKHGVRAGELGGWIESEYNLGGNAWVHDQAKVYGSARVLDDARVRGNAQVGDQANVSGSAEVSDNGRVFGRAVLSANAWVYGNARISGNAEIYGEAEVFDHARIYGHAQVFASAEVYGKAHVSDHSWVFDSAEVYGNAHISGRSWVYGNAKVHGDASVEGNTYIRDSMDIADHVELHGAHHIMVASGFGPTNSLVSVLRTAGGGHVITLGSSKATTWQGDADDFTQEIHRQSRRWECSDAQRRQWLDEYQELDHLIHARIQAWAGVLAGTH</t>
  </si>
  <si>
    <t>MSINKHHADKHFAFTGETLRFEGVTLRRIQATRDVDKHGVRAGELGGWIESEYNLGGNAWVHDQAKVYGSARVLDDARVRGNAQVGDQANVSGSAEVSDNGRVFGRAVLSANAWVYGNARITGNAEIYGEAEVFDHARIYGHAQVFASAEVYGKAHVSDHSWVFDSAEVYGNAHISGRSWVYGNAKVHGEASVEGNTYIRDSMNIADHVELHGAHHIMVASGFGPTNSLVSVLRTAGGGHVITLGSSKATTWQGDADDFAREIHRQARRWECSDAQRRQWLDEYQELDHLIRARIQAWAGVLAGTH</t>
  </si>
  <si>
    <t>GC_00002408</t>
  </si>
  <si>
    <t>MIFKLFDMIVAAIIALLGVNVPGPTIQPTASQSNATTVQPQPTGTKVTSTPVTPTPTASVPKTIGGATLPADAHPATDADLQKFMHNEWISTAYKKASLNFYESTRFMPKGNELDSRRANDNNVTPNDVGFMPDDARSFTGIPVCNTAVSWAAFEKNVMQVYWGPMTEKACGDETLLDEDIMKHFSSRPSLYFNADATYVYVQGGGTISEWKYNEHPTPKASK</t>
  </si>
  <si>
    <t>MIFKLFDMIVAAIIALLGVNVPGPTIQPTASQSNATTVQPQPTGTKVTSTPATPTPTVPVPKTIGGATLPADAHPATDADLQKFMHNEWISTAYKKASLNFYESTRFILKGNELDSRQANGNNATPNDVGFIPDDARSFTGIPVCNTAVSWAAFEKNVMQVYWGPMTEKACGDETLLDEDIMKHFSSRPSLYFNADATYVYVQGGGTISEWKYNEHPTPKASK</t>
  </si>
  <si>
    <t>GC_00002409</t>
  </si>
  <si>
    <t>K02363</t>
  </si>
  <si>
    <t>2,3-dihydroxybenzoate---[aryl-carrier protein] ligase [EC:6.3.2.14 6.2.1.71]</t>
  </si>
  <si>
    <t>COG1021</t>
  </si>
  <si>
    <t>EntE, 2,3-dihydroxybenzoate-AMP synthase component of non-ribosomal peptide synthetase (EntE) (PDB:3RG2)</t>
  </si>
  <si>
    <t>KEGG Orthology (KO)&gt;&gt;&gt;09100 Metabolism&gt;&gt;&gt;09109 Metabolism of terpenoids and polyketides&gt;&gt;&gt;01053 Biosynthesis of siderophore group nonribosomal peptides [PATH:ko01053]|Enzymes&gt;&gt;&gt;6. Ligases&gt;&gt;&gt;6.2  Forming carbon-sulfur bonds&gt;&gt;&gt;6.2.1  Acid-thiol ligases&gt;&gt;&gt;6.2.1.71  2,3-dihydroxybenzoate---[aryl-carrier protein] ligase|Enzymes&gt;&gt;&gt;6. Ligases&gt;&gt;&gt;6.3  Forming carbon-nitrogen bonds&gt;&gt;&gt;6.3.2  Acid-D-amino-acid ligases (peptide synthases)&gt;&gt;&gt;6.3.2.14  enterobactin synthase|Polyketide biosynthesis proteins&gt;&gt;&gt;Nonribosomal peptide synthetase (NRPS)&gt;&gt;&gt;Iterative NRPS&gt;&gt;&gt;Enterobactin synthetase|Polyketide biosynthesis proteins&gt;&gt;&gt;Nonribosomal peptide synthetase (NRPS)&gt;&gt;&gt;Iterative NRPS&gt;&gt;&gt;Bacillibactin synthetase|Polyketide biosynthesis proteins&gt;&gt;&gt;Nonribosomal peptide synthetase (NRPS)&gt;&gt;&gt;Nonlinear NRPS&gt;&gt;&gt;Vibriobactin synthetase|Polyketide biosynthesis proteins&gt;&gt;&gt;Nonribosomal peptide synthetase (NRPS)&gt;&gt;&gt;Nonlinear NRPS&gt;&gt;&gt;Myxochelin synthetase|Polyketide biosynthesis proteins&gt;&gt;&gt;Nonribosomal peptide synthetase (NRPS)&gt;&gt;&gt;Nonlinear NRPS&gt;&gt;&gt;Vanchrobactin synthetase</t>
  </si>
  <si>
    <t>MSLYPADFVELYRREGLWLDETFATFFADAANRFSDAEAVVGPDHAGVEHRLTYRELEDYSAQAAGVLAAHGVGQGDFVVVQLPNIVEYVVTIGAVFRLGARPVFTLPAHRQAELTHFVNQSGAKALITTGVWNGFDHRELARGLNITTLVVAEDPQEFSRFTFADWVEAKPVPAAQVDPLDIAFSQVSGGTTGIPKLIPRSHADYLYSVRESARICELTPETRFLVVLPVSHNFTMSSPGILGVLWSGGTIVLCPEPTPSTSFTLVARERITLCALVPPLALAWLAMAPVLHPDLSSLKVLQVGGAKFTPEAAKRITPELGCRLQQVFGMAEGLVNYTRPDDSEELVIGTQGRPMSPFDEVRVVDDAGNDVPPGERGRLLTRGPYTIRGYWGGADQESFTEDGFYASGDLVRQLPSGHLIVEGRDKDQINRGGEKISAEEIEDHLISHDLVHDAAIIAVPDRLQGERSYAFVVLTDGARLDATVLRDYLRKRGVADYKIPDYFEFAESFPTTGVGKTNRRELRRIVQEYVSAKTQQQEESTN</t>
  </si>
  <si>
    <t>MSLYPADFVELYRREGLWLDETFATFFADAANRFSDAEAVVGPDHTGVEHRLTYRELADYSAQAAGVLAAHGVGQGDFVVVQLPNIVEYVVAIGAVFRLGARPVFALPAHRQAELTHFVNQSGAKALITTGVWNGFDHRELARELNITTLVIAEDPQEFSRFTFADWAEAKPVPAAQVDPLDIAFLQVSGGTTGIPKLIPRSHADYLYSVRESARICELTPETRFLVVLPVSHNFTMSSPGILGVLWSGGTIVLCPEPTPSTSFTLVARERITLCALVPPLALAWLAMAPVLHPDLSSLKVLQVGGAKFTPEAAKRIAPELGCRLQQVFGMAEGLVNYTRPDDSEELVIGTQGRPMSPFDEVRVVDDAGNDVPPGERGRLLTRGPYTIRAYWGGVDKESFTEDGFYASGDLVRQLPSGHLIVEGRDKDQINRGGEKISAEEIEDHLISHDLVHDAAIIAVPDRLQGERSYAFVVLTDGARLDATVLRDYLRKRRVADYKIPDYFEFAESFPTTGVGKTNRRELRRIVQEYVSAKTQQQEESTN</t>
  </si>
  <si>
    <t>GC_00002410</t>
  </si>
  <si>
    <t>I|R</t>
  </si>
  <si>
    <t>Lipid transport and metabolism|General function prediction only</t>
  </si>
  <si>
    <t>COG0318|COG0663</t>
  </si>
  <si>
    <t>O-succinylbenzoic acid-CoA ligase MenE or related acyl-CoA synthetase (AMP-forming) (MenE/FadK) (PDB:5EY9) (PUBMED:25151136;27455459)|Carbonic anhydrase or acetyltransferase, isoleucine patch superfamily (PaaY) (PDB:6IVE)</t>
  </si>
  <si>
    <t>MGLPAVPTQFLRSASAPPERTLVDILRHTAATHPEAAAIDDGTTVITYSELMDTLDAAVADLYEQGIRRGDRIGIRLPSGSHELYIAILSVLAAGAAYVPVDVDDPDERATLVFDEADVTATITSDGLDLRRTRSRGDTGPPLPHDDAWIIFTSGSTGTPKGVAVTHRSAAAFVDAEATLFCQDSPLGPDDRVLAGLSIAFDASCEEMWLAWRHGACLVPAPRSLVRSGMDLGPWLIRRNITVVSTVPTLASLWTTEALDQVRLLIFGGEACPQELVQRVSAQDREVWNTYGPTEATVVSCAAPLQPGEAVSIGLPLSGWDLAVVDTHGNPVEVGQTGELVIGGVGLARYLDADKDRTTYAPLPALGWKRTYRSGDHVRLAEDGLYFVGRVDDQVKIGGRRIELGEVEAAVSGLTGVHSATVVVRETPGGDKILVAYLTLDTPHPDFENIATAQLADLMPRALIPRLCVLDELPVTTSGKVDKKALPWPLPGTNVQAEGLTPTEDWLAQLWVDVLGTAVTERDADFFALGGTSLAAATLVGRVRDRMPTVSVRDLYDHPRLGAFAEHVDAISSTLSPSATRIDAPTPDPSPVSMRTRVAQEAIQVLVMGMQAATRWVPWLLVINAFAAYLGYAWARPVSVPWWLLLLVVLVFLTPLGRLPLSALAARVLTAGITPGDYPRGGATHLRLWAAERLSDTLGGRDVSSATWVLYYARLLGVQVGSGVNLHSLPPVTGLLTLGDHCSVEPEVDLSGYWLEGDILHVGAIYIGHGARIGARSVLLPGTRVGNNAHVEAGSCVTGRKKVKDQARWSGSPAAKVGRARHRFPTDPPPRATYWVPIFGLTSLLLSALPLVAVVAGAASISGARSFLQLVALTPLGVLVAMATYAGLTWLLVRLLAIGLRPGITPVRSRRGWQAWATQRLMDDARRHLFPLYAALLTPLWLRSLGAQVGRNVEISTAVMIPRFTVVRDGAFLADDTMLGGYELGGGWMLTGVSKIGKRSFLGNSGMTGPTRKLSKNSLVAVLSSTPKKSQSGSNWWGSPPERLRRVVVQSAAGESSTYEPGWRVKAARGCVETVRLCAPMTSAVLGVCVLGALQWVYVRHGLGWTILSGGPLLMAAGACAAAITVAMKWICVGRIRAGSHPLWSRFVWLNELQDTFIEVVAAPWLLNHVPGSSAMNVFLRFLGARIGRGAWLESYWLPEADLCRIGVGATIGRGCVVQTHLFQDRVMSLDQVRIDAAATLAPHSVALPGSVLGTGAVVGPSSLVMRGDHVPSATRWQGNPIEIWG</t>
  </si>
  <si>
    <t>MGLPAVPTQFLRSASAPPERTLVDILRHTAATHPEAAAIDDGTTVITYSELMDTLDAAVADLYEQGIRRGDRIGIRLPSGSHELYIAILSVLAAGAAYVPVDVDDPDERAALVFGEADVTATITSAGLDLRRTRTGGDTGPPLPHDDAWIIFTSGSTGTPKGVAVTHRSAAAFVDAEATLFCQDSPLGPDDRVLAGLSIAFDASCEEMWLAWRHGACLVPAPRSLVRSGMDLGPWLIRRNITVVSTVPTLASLWPAEALDQVRLLIFGGEACPQELVQRVSAQGREVWNTYGPTEATVVSCAAPLQPGEAVSIGLPLPGWDLAVVDTHGNPVEVGQTGELVIGGVGLARYLDADKDRTTYAPLPALGWKRAYRSGDHVRLAEDGLYFVGRVDDQVKIGGRRIELGEVEAAVSGLTGVHSATVMVRETPGGDKILVAYLTLDTPHPDFENIATAQLADLMPRALIPRLCVLDELPVTTSGKVDKKALPWPLPGANVQAEGLTPTEDWLAQLWVDVLGTAVTERDADFFALGGTSLAAATLVGRVRDRMPTVSVRDLYDHPRLGAFAEHIDTIASTLSPNTTRIDAPTPAPSPVSMRTRVAQEAIQILVMGIQAATRWVPWLLVINAFAAHLGYAWARPVSVPWWLLLLVVLVFLTPLGRLPLSALAARVLTAGITPGDYPRGGATHLRLWAAEHLSDTLGGRDVSSTTWVLYYARLLGVQVGSGVNLHSLPPVTGLLTLGDYCSVEPEVDLSGYWLEGDTLHVGAIYIGHGARIGARSVLLPGTRVGNNAHVEAGSCVTERKKVKDQARWSGSPAAKVGRARHRFPTDPPRRATYWVPIFGLTSLLLSALPLVAVAAGATSISGARSFLQLVALTPLGVLVALATYAGLTWLLVRLLAIGLRPGITPVRSRRGWQAWATQRLMDDARRHLFPLYAALLTPLWLRSLGAQVGSNVEISTAVMIPRFTVVRDGAFLADDTMVGSYELGGGWMLTGVSKIGKRSFLGNSGMTGPTRKLSKNSLVAVLSSTPKKSQSGSNWWGSPPERLRRVVVKSAAGESSTYEPSWRVKAARGCVETVRLCAPMTSAVLGVCVLGALQWVYVRHGLGWTILSGGPLLMAAGACAAAITVAMKWICVGRIRAGSHPLWSRFVWLNELQDTFIEVVAAPWLLNHVAGSSAMNVFLRFLGARIGRGAWLESYWLPEADLCRIGVGATIGRGCVVQTHLFQDRVMSLDQVRIDAAATLAPHSVALPGSVLGTAAVVGPSSLVMRGDHVPSATRWQGNPIEIWG</t>
  </si>
  <si>
    <t>GC_00002411</t>
  </si>
  <si>
    <t>MRKTIIISTAGFLLILAVLITMMLTPRDTQSQSATAEPETQQPIAARPSCPPIGEIDLPCLGAERNNQGKDITVVNLWAWWCVPCRTELPLMQQLAAENPQWAVVGVHADQDAARGAQLLTDLGIDLPSYQDDTNAFAGKLGLPSVVPITVVFRGSEKLGVIPRAFTHYNDLATAIGEMVNQ</t>
  </si>
  <si>
    <t>MRKTIIISTAGFLLILAVLITMMLTPRDTQSQSATAEAETQQPIAARPSCPPIGEIDLPCLGAERNNQGKDITVVNLWAWWCVPCRTELPLMQQLAAENPQWAVVGVHADQDAARGAQLLTDLGIDLPSYQDDTNAFAGKLGLPSVVPITVVFRGSEKLGVIPRAFTHYNDLATAIGEMVNQ</t>
  </si>
  <si>
    <t>GC_00002412</t>
  </si>
  <si>
    <t>MASTPPFLSLDDRVEYLYTKHYFPKDSIAEPDRHRLGEINFHYFIGYARNFRMLHDQQLIDTPKTPSQVFDIIDTETEISILLYKGLRRAELLLRHCIIKHYCDKYPATGDFLESSNFIDLGSEYSNEDFATGIANDILRYSEKCVVDIIKGNCTDLHISVPKTCNAMDPNKTQEILRGLPLWSVVDSFSLGHLSEFIIRCDTDQDSKEHIWRRVAEEIDFKADRFHRGLDSLRSLRNLVSHHARLWMRPTTYSMPKKGLFRKEIAHADPRSMVIAFYNLASFQGRDTRRAFAGELKAILDQNPAYTYGISHVGSKR</t>
  </si>
  <si>
    <t>MASTPPFLSLDNRVEYLYTKHYFPKDSITEPDRHRLGEINFHYFIGYARNFRMLHDQQLIDTPKTPSQVFDIIDTETEISILLYKGLRRAELLLRHCIIKHYCDKYPATGDFLESSNFIDLGSEYSNEDFATGIANDILRYSEKCVVDIIKGNCTDLHISVPKTCNAMDPNKTQEILRGLPLWSVVDSFSLGHLSEFIIRCDTDQDSKEHIWRRVAEEIDFKADRFHRGLDSLRSLRNLVSHHARLWMRPTTYSMPKKGLFRKEIAHADPRSMVIAFYNLASFQGRDTRRAFAGELKAILDQNPAYAYGISHVGSKR</t>
  </si>
  <si>
    <t>GC_00002413</t>
  </si>
  <si>
    <t>MTLKSAARRGVALGLAGCAALALSACGAGQISQTANQVAAVDGASAHSDDNTIAVRDVTVVVNDDSTAALKFTAVNQDTSESTHTLESVTVGGEQVTLSEKPKLERECTVVADSKKYIDNLTKPETGCITHISTSLENNGLALGGTKDVVFNFDNGEVTVSATIAGNLHKSGQVERTTGSESGDAHSGHSH</t>
  </si>
  <si>
    <t>MTLKSAARRGVALGLAGCAALALSACGAGQISQTANQVAAVDGASTHSDDNTIAVRDVTVVVNDDSTAALKFTAVNQDTSESTHTLESVTVGGEQVTLSEKPKLERECTVVADSKKYIDNLTKPETGCITHISTSLENNGLALGGTKDVVFNFDNGEVTVSATITGNLHKSGQVERTTGSESGDAHSGHNH</t>
  </si>
  <si>
    <t>GC_00002414</t>
  </si>
  <si>
    <t>PF14280.11</t>
  </si>
  <si>
    <t>Domain of unknown function (DUF4365)</t>
  </si>
  <si>
    <t>MCDPKDTAGVDHVVQILRVCGFSVVQYDKEHDLGTDFLVFVRDHRHFDLGGFIKVQVGNWPSLMKNPSTDNGRVGWWVHDFTYHDDPFPRLLVLFDENSEEAYWVNVTKDKVLGTGQEQKIFVPKENVINNESVDSLVEVAFGKLPQSAELPGVPDADRLRYALIAPQLIVPQPHLPLRTLSSAEAIALLSLAQMLMLKGTMEYKITGALRSHHDDPSWRLYSALFKWIDKRQADAILSFSSANVEANVAAAAGVIKATVLFEEHLPQRACEILKDALAARDDYNPVDLAWLQVHLARNLIEIGEFDEAWDLALEASLIGRREYQDPTARYVAGVAMEFVFQLNDLTGRQEAENLFRTIMKYSPDSSSWLRTQILAGGLTDFSEKNYPQSRDDAKIILGKECETTISKAHSTSLMTGFAADANAWRRAAAAFACYFLLSADSIDELVYALNILRVAGVQDELELATSRFLHFGPAEPLAQIMNELSLKDATKSSLPCDFALVGNCVALLDTSAADDHALWLLKELKNPSKTYVFGISRWYENETIQVLAKIYGACSSEVMAKIQDYLITIPGIQDLELAASYAELIKSIIEDDLNWGKEWDNEKLQKLVTRGKIDNELLKGTIEQLRAVHDTNYDRLFGKIRIGDLNALASWQDFDHLPDGIVQRAVLHLANLVDHIIATAASGTLPGSYSRSYSHLSILVHLNISHPHCANWRPCLRMFNNHVSSRDLVPGIETMIDEYQKIPADVARDMREPLMGLMGENEKLKFVYFLNDADVRGPASALLGLLFPEDVPMTKVAQMLRGDASLVKAAVKILAQRKEKLSLSLFARLSKHDSFEVREAVVSALVTWVLEDVRAEESFSLLTEIVADASVCLINTILSLVSQHPRSDAAEKLLGLVAEKDYAVVPRQLEIIKTKWERQ</t>
  </si>
  <si>
    <t>MCE----AGVDHVVQILRVCGFSVIQ----HYPRADLLVFVRDHQHFDLGGFIKVQVKNRPSLMENPSTDNGRVGWWVRDFAYHDDPFPRLLVLFDENSEEAYWVHVTKDKVLGTGQEQKIFVPRENVINNESVDSLVEVAFGKLPQPAELPGVPDADRLRYALIAPQLIVPHPHLPLRTLSSVEAIALLSLAQMRMLKGTMEYKITGALCSHHDDPSWRLYSALFKWIDKRRTDAILSFPSANVEANIAAAAGVIKATVLFEEHLPQRACEVLKDALAARDDYSPVDLAWLQVHLARNLIEIGEFDEAWDLALEASLIGRREYQDPTARYVAGVAMEFVFQLNDLTGRQEAENLFRTIMKYSPDSSSWLRTQILAGGLTDFSEKNYPQSRDDAKIILGKECETTISKAHSTSLITGFAADANAWRRAAAAFACYFLLSADSIDELVYALNILRVAGVQDELELATSRFLHFGPAEPLAQIMNELSLEDATKSSLPCDFALVGNCVALLDTCTVDNHALWLLKELKNPSKTYVFGISRWYENEIIQVLAKIYGACSSEVMAKIQDYLITIPGIQDLELAASYAELIKSIIEDDLNWGKEWDNEKLQKLVTRGKIDNELLKGTIEQLRAVHDTNYDRLFGKIRIGDLNALASWQDFDHLPDGIVQRAVLHLANLVDHIIATAASGTLPGSYSRSYSHLSILVHLNISHPHCANWRPCLRMLNNRVSSIDLVPGIETMIDEYQKIPADVARDMREPLMGLMGKSDTLKIIYPDRDADVRGPASALLGLLFPEDVPMTQVAQMLRGDASLVKAAVKILAQRKEKLSLSLFARLSKHDSFEVREAVVSALVTWVLEDVRAEESFSLLTEIVADASVCLISTILSLVSQHPRSDAAEKLLGLVAEKDYAVVPRQLEIIKTKWERA</t>
  </si>
  <si>
    <t>GC_00002415</t>
  </si>
  <si>
    <t>MQGVGSGMSAIATIVVGRVIDATFGTGHVAEILLPLGLLCALMILGIAGETTSMGMTQVGIARVVHNTRLFLTARLLRSRDIRHSPGTILSTVDTDTKTCADVREITGFPVMMIGYLIGATFGIAPISLTIALLLPVGALLTAGAAALTARPITRVSAARRQAEAGLASLATDVAQGSRVVKGLGAVEITQHRFDATSDTVLDAMERDMRVSIGMDFLRQLVPTFLVILTISYAAWLAHLGEITPGELVSISMIAGPALQALGISMGMLSSTWARGIAAGDRISDLIDATAADSEKPEDDTGERRKAEGLLAAFEPGLHVWQPTEDNYRDYHLLAGLDEVLATPHLVSVFEGTLAENINPTGDISHEQVIAALDAAACTDIIERLGGYGPGGELPTTPLGEAGLNLSGGQRQRVALARALARNPRVLLFDEPTTGLDAVTLDAVVQAIKQLRATSITLVISGRKTWARAAGEEHTR</t>
  </si>
  <si>
    <t>MQGVGSGMSAVATIVVGRVIDVTFGTGHVAEILLPLGLLCALMILGIAGETTSMGMSQVGIARVVHNTRLFLTARLLRSRDIRHSPGTILSTVDTDTKTCADVREITGFPVMMIGYLIGATFGIAPISLTIALLLPVGALLTAGAAALTARPITRVSAARRQAEAGLASLATDVAQGSRVVKGLGAVEITQHRFDATSDTVLDAMERDMRVSIGMDFLRQLVPTFLVILTISYAAWLAHLGEITPGELVSISMIAGPALQALGISMGMLSSTWARAIAAGDRISDLIDATAADSEQSGDDTGEHRKAEELLAAFEPGLHVWQPTEDNYRDYHVLAGLDEVLATPHLVSVFEGTLAENINPTGDIPHEQVIAALDAAACTDIIERLGGYGPGGELPTTPLGEAGLNLSGGQRQRVALARALARNPRVLLFDEPTTGLDAVTLDAVVQAIKQLRATSITLVISGRKTWARAAGEERVR</t>
  </si>
  <si>
    <t>GC_00002416</t>
  </si>
  <si>
    <t>MSSARKTRRNRRNRPGRCVGSTTPQPATISATNQEPGFKAVTQEYNRKVFAFLLGVAHDPGYKPVELRKIIMESLGVSRIHANYLIIAVRALSRIANLCKNITTTGTMDITRLTIIGKHLRGLNHKQLSQIQSELRHLCDSPEWITPTTMRKLLMQARITVDDDARRKAQEAARRREQSQANKSKPAVMIPMPNGMVEVVLRLQPEPAKVFHQQLTLTAQKAHVSAEEYLCARVADLCATLVSGGILSQGRNPEVSAVTNAVKTRPVTKDNGIPAMNPPTAGPPDTAVA</t>
  </si>
  <si>
    <t>MSAARKTRRNRRNRPGRCVGSTTTQPATISATNQEPGFKAVTQEYNRKVFAFLLGVAHDPGYKPVELRKIIMESLGVSRIHANYLIIAVRALSRIANLCKNITTTGTMDITRLTIIGKHLRGLNHKQLSQIQSELRHLCDSPEWITPTTMRKLLMQARITVDDDARRKAQEAARRREQSQANKSKPAVMIPMPNGMVEVVLRLQPEPAKVFHQQLTLTAQKAHVSAEEYLCARVADLCATLVSGGILSQGRNPEVSAVTNAVKTRPVTKDNGIPAMNPPTAGPPDTAVA</t>
  </si>
  <si>
    <t>GC_00002417</t>
  </si>
  <si>
    <t>MQLTQHSITVAGVHILDEYGLADMTMRRLAKRLHVAPGALYWHFPNKQALISAISQFILSEVVGPPTPLDKDAEPTKADADEATSTREDAVPPAELCATIRTLMLAHRDGAELVNAALSDNGLRETLEGHITRALVHSFSKDTEATSHPSQPLLETGATTLLHFVMGATMNEQSALQLMRDTNPGGADVDEKLTTASNAFQITFENGIEIILNGLATTMGTASL</t>
  </si>
  <si>
    <t>MQLTQHSITVAGVHILDEYGLADMTMRRLAKRLHVAPGALYWHFPNKQALISAISQFILSEVVGPPTPLDKDAEPTKADADEATSTREDAVPPAELCATIRTLMLAHRDGAELVNAALSDNGLRETLEGHITRALVRSFSKDTEATTHPSQPLLETGATTLLHFVMGATMNEQSALQLMRDTNPGGADVDEKLTTASNAFQITFENGIEIILNGLATTMGTASL</t>
  </si>
  <si>
    <t>GC_00002418</t>
  </si>
  <si>
    <t>MDFKLKIFVYLDDSLPTPEAILLVRQVFSQSPVFADITPDISPASLHRLCITFTFPAETTVQADNKADEFVQSLLECTSAITDGIREGSNVLSYA</t>
  </si>
  <si>
    <t>MDFKLKIFVYLDDSLPTPEAILLVRQVLSQNPVFAGITPDISPASLHRLCITFTFPAETTGQADKKADEFVQSLLECTSAITDEIREGSNVLSYA</t>
  </si>
  <si>
    <t>GC_00002419</t>
  </si>
  <si>
    <t>MTALTIIVLVDPRWPDQIPLGIIPYLYGVGSSRLEVTPDIPAAARDHYHQLAALPAPPLLQPVARLVITSDDADPRLTEPTETAEKIVEETATRIFRAPSRDDPAWQAQNIMRRALTVGEWEREQTHETLLPYLREETTELAEAITTQANDVELMAELGDVLLQVLFHAEIAARRGAFDFGDVVGSFIGKMRRRSPYLFDGTTSVVPQSEQKRLWELGKHVEGRRVSKG-</t>
  </si>
  <si>
    <t>MTALTIIVLVDPRWPDQIPLGIIPYLYGVGSSRLEVTPDIPAAARDHYHQLAALPAPSLSQPVARLVITSDDADPRLTEPAKTA----EETTTRIFRAPSRDDPTWQAQNIMRRALTVGEWEREQTHETLLPYLREETTELAEAITTRADDAELMAELGDVLLQVLFHAEIAARRGAFDFGDVVGSFIGKMRRRSPYLFDGTTSVVPQSEQKRLWELGKHVEGRRVSKGQ</t>
  </si>
  <si>
    <t>GC_00002420</t>
  </si>
  <si>
    <t>MLAVCLGLIGGGVAGVVWWLKNTELPGDGLPAIVDHTSAPPAPGPEFDTPSAHMFDRIVQEFSALPLEEAAGPAPSAQCRDLSTDPRPEGTRHMCAIQEREGRSITYLGFVYRADLNNSGCTADPVAVKDGFSAALQRTCASEQHPVLYLLDESREVIASDGQVMHPTLVVEGVETQQQAEELLRTWGIAP</t>
  </si>
  <si>
    <t>MLAVCLGLIGGGVAGVVWWLKNTELPGDGLPAIVDHTSAPPAPGPEFDTPSAHMFNRIVQEFSALPLEEAAGPAPSAQCRDLSTDPRPEGTRHMCAIQEREGRSITYLGFVYRADLNNSGCAADPVAVKDGFSAALQRTCASEQHPVLYLLDESREVIASDGQVMHPTLVVEGVETQQQAEELLHTWGIAP</t>
  </si>
  <si>
    <t>GC_00002421</t>
  </si>
  <si>
    <t>MNVPACPPSRIHGDIAARGARIDFSVNVATSTPSWLIDALTSEIANLAAYPDADRLAAAEELIAEYHGVPPDYVMLLAGAAEGFVLLPHLPTTHPTIIHPGFSEPDIIFTDTGRSVDRVILPEPFNVLPSISDDADLVVIGNPTNPTGVLWRPDDLLDLDDGRRFVVVDEAFIDVVGEEHSVIPQVPTHPRLIVLRSLTKTWAIAGLRVGYMVADPDIVLGPLRRWRPHWPIGTLQIAAAEAVFTHGVTTLPEHRSQLLADREAMLRQLATVGWLPVSDSRAPFVLVRPGDLSPDQACTRYRKLMARGIALRRCDTFPGLGWNYFRLAVRKKPQVDSLITALKE</t>
  </si>
  <si>
    <t>MNVPACPPSRIHGDIAARGARIDFSVNVATSTPSWLIDALTSEIANLAAYPDADRLAAAEELIAEYHGVPPDYVMLLAGAAEGFVLLPHLPTTHPTIIHPGFSEPDIIFTDAGRPVDRVILPEPFTVLPSISDDADLVVIGNPTNPTGVLWGTDDLLDLDDGRRFVVVDEAFIDVVGEEHSVIPQVPIHPRLIVLRSLTKTWAIAGLRVGYMVADPDIVLGPLRRWRPHWPIGTLQIAAAEAVFTHGVTTLPEHRSQLLADREAMLRQLATVGWLPVSDSRAPFVLVRPGDLSPDQARTRYRKLMAHGIALRRCDTFPGLGWNYFRLAVRKKPQVDSLITALKE</t>
  </si>
  <si>
    <t>GC_00002422</t>
  </si>
  <si>
    <t>MCPTYAKSAAHGLRLGDDRYSYSLVCGRRIAGAVTSLVLVVSSVKLTAKVVSQFPERREKILDGRLILESAKRIFNVGTKVLGTELGTRRAGAVGVLRVGGTASRGTAGGRLADLHNDLVAFKLQNRAVRGTEFLGGFDEIGKVAESDVGEAERELV</t>
  </si>
  <si>
    <t>GC_00002423</t>
  </si>
  <si>
    <t>MEKRDDFYELITLLITVFVRLIYPLIPLVVFPAYFMLKDDVNATVEFFLRWACISILAVLVGYFLQSTSIFTSKKDSNNIKYIPIYIVAIIQSLALTYLFATYQPNPDRMTQIHILSWVLFATVIHIFWIRGDRRDSPYSLIGQSFGIDSTKFTKLITVLSAFGAIGVWIAIAIIMVKQ</t>
  </si>
  <si>
    <t>MEKRDDFYELITLLITVFIRLIYPLIPLAVFPAYFMLKDDVDTTVKFFLRWACISILAVLVGYFLQSTSIFTNKKDSNNIKYIPIYIAAIIQSLALTYLFAIHQPNPDRMTQIHILSWVLFATVIHIFWIRGDRRDSPYSLIGQSFGIDSTKFTKLITVLSAFGAIGVWIAIAIIMVKQ</t>
  </si>
  <si>
    <t>GC_00002424</t>
  </si>
  <si>
    <t>PF08974.15</t>
  </si>
  <si>
    <t>Domain of unknown function (DUF1877)</t>
  </si>
  <si>
    <t>MSSVAYYIPIDQRQADELRHSADASAWAEERLEEVVLNGASIIDDQQWMGMYFALRQLPQAQVTPELPQAATGIEQLGEEPPVVLVPAEAVSAIADALSGVGAEELEAAAENVRAEYPDVLLDDAETSLKALTALYREAAESGKTVAVVVS</t>
  </si>
  <si>
    <t>MSSVAYYT-IDQRQADELRHSADASAWAEERLEEAVLNGASIIDDQQWMGMYFALRQLPQAQVTPELPQAATGIEQLGEEPPVVLVPAEAVSAIADALSGVGAEELETAAENVRAEYPDVLLDDAATSLKALITLYREAAETGKTVAVVVS</t>
  </si>
  <si>
    <t>GC_00002425</t>
  </si>
  <si>
    <t>MPASHQDELIISVARNHRQVFRTNQEAYVGREGNVRIGADDANLHRVMFVIWHNGSTWMIGNKSSYLPLTITPNLQHSHAVTTMGPKSVTSLPPGESRITFSTQTRSYTVMVLIPVHVMNRPSKMRAVSGDLTVLPQRFNEEQEQLLKILAKFQHNTKEVPPVKKIAATLGWTDKKTNQKIERLAKSLATQGERLFKPYRQCVAEYAERTGWHNRGC</t>
  </si>
  <si>
    <t>MPASHQDELIISVARNHRQVFRTNQEAHVGREGNVRIGADDVNLHRVMFVVWHNGSTWMIGNKSSYLPLTITPNLQHSHAVTTMGPKSVTSLPPGESRITFSTQTRSYTVMVLIPVHVMNRPSKMRAVSGDLTVLPQRFNEEQEQLLKILAKFQHNTKEVPPVKKIAATLGWTDKKTNQKIERLAKSLATQGERLFKPYRQCVAEYAERTGWHNR--</t>
  </si>
  <si>
    <t>GC_00002426</t>
  </si>
  <si>
    <t>K02167</t>
  </si>
  <si>
    <t>TetR/AcrR family transcriptional regulator, transcriptional repressor of bet genes</t>
  </si>
  <si>
    <t>MRGEGPGDGCEDSNTIVLFMKAMVPYERMGSDAILEAVIKLIATRGPEETTVRKVAAEAGVSVGAVQHHFRTKDELLVAAMRELNRQFTASMEKTLDKLPTAEERLRAFLYAIAATDDRAREGAVIWTAFAARACVDEKLREEHSANWDYVEKMLLHLMLEAHPNKGLHADDAAHLLAVADGIAVARAAENPRRMTEKRALSILNAALTAVSSRGDGRKNI</t>
  </si>
  <si>
    <t>MRGEGPGDGCEDSNTIVLFMKAMVPYERMGSDAILEAVIKLIATRGPEETTVRKVAAEAGVSVGAVQHHFRTKDELLVAAMRELNRQFTASMEKTLDKLPTAEERLRAFLYAIAATDDRAREGAVIWTAFAARACVDEKLREEHSANWDYVEKMLLHLMLEAHPNKGLHADDAAHLLAVADGIAVARAAENPRRMTEKRALSILNAALTAVSSR-------</t>
  </si>
  <si>
    <t>GC_00002427</t>
  </si>
  <si>
    <t>MLGIFMYPVSGIMKLWHILLHSVLGINDSLAWVLSIFGLIIVVRGLIAPAQWYILHSGRLTVMMRPEITALYKEYENETSYEKISERDQREREIRKSYGYRVSAGCIPPLIQIPVFLGLYQVLLRMARPKNGLDSQVHDPIGMLSSADVSSFLHARFGNIPVSAYVSMTPQQFARLGTNYEEVMRFVAPLLLATALITFINMSITVIRNYLTIDHQSRTAIVVMRMVAVATVCTPFLLVSGGLTGPVPTAIVAYWVANNLWTLVQNVTIYLILHYRFPLSPEILAFQRDQRHLRIGRLRTRRAHRFKRALSIMGIVVVPWLYDDHRRRIHEANAYFHQDRAERKAEKARRKAISSERRKAKSTHLRESAERAIIEKRQRKNQSQME</t>
  </si>
  <si>
    <t>MLGIFMYPVSGIMKLWHILLHSVLGINDSLAWVLSIFGLIIVVRGLIAPAQWYILHSGRLTVMMRPEITALHKEYENETSYEKISERDQREREIRKSYGYRVSAGCIPPLIQIPVFLGLYQVLLRMARPKNGLDSQVHDPIGMLSSADVSSFLHARFGSIPVSAYVSMTPQQFARLGTNYEEVMRFVAPLLLATALITFINMSITVIRNYLTIDHQSQTAIVVMRMVAVATVCTPFLLVSGGLTGPVPTAIVAYWVANNLWTLVQNVTIYLILHYRFPLSPEILAFQRDQRHLRIGRLRTRRAHRFKRALSLVGIVVVPWLYDDHRRRIHEANAYFHQDRAERKAEKARRKAISSERRKAKSTHLRESAERAIIEKRQRKNQSQME</t>
  </si>
  <si>
    <t>GC_00002428</t>
  </si>
  <si>
    <t>MNIASLDCQPPHTLALHATQFTAPDGATIIRLVPETLLEAETLALQSVGCRCADDQVVGYASAQKVGFPTWSILSDPANAYYVRNLATRLQLVEQQAREHPQTTQKKLVELAMEFAHSMPHLIPIFLEEVVRIYVRINQAPIASQFFNLAREIERKFDVEVDLRRHAAMFQEFIRMGVIGVKEFTTEARKAAKRLPPQEAYDYFFDLCVDRCRAGGLAYSRMASDLRRLAKAAGISAKESDRRLVTSILGLAGFYQAATGFFRDIRPTLVQLLRDNPQWHDKLLTAKPKKLTIEEYFELLRETSVYDGLVADKARLATWLVRIIRHEYSRDNYNFWRSQQLIDAVAHAGDALKGKTLPLNERGMDIDLIDALSAGGITWDLSDTKSRYFDWRSWARPGAGEYRRDLAGIINHPQLGDFMAKTISFSDIRILKQPLLATEPGRQLLSCSLQHQADRRKSIIGYPNVWKRFYHQVLEELAHAQLGHINPTAVEQIFSYDSVAELQARLRLGFFQELAWPLLEQELTRLTGEFSRASWRVRFAEAYPAVILRIDETVEAIDRDHIIAHGTVPDDCYLFLAQLVGDKIAVYYRLENTGD-HAHWLGQNPRPVHRRMNPYFRVGSENNYTIPIADAITGTESRLASDGLITYPHLPKYFEGRVIGTGPYYLFGGRKIREWPSGNTHEDTYFDSLLQGEGVPGINLTGLLPMTPPSGYCFNPWRSSIAPTCPTTTESLCGTLHDQHINIVFQPRCCECGDFHDDSSWLCTPLGQFQSQYNLLGAIKRPGGGVWLIGDKATDRVIIDPETDQIIGRDETTYYKTTDYLEKLPLSAYHQLQPRNLDMSIRLRRATREQVAAILANPAPDVIEQTFGSDPVLVAAILRATVQVNDQAARAAQVRPTPETAQDQA</t>
  </si>
  <si>
    <t>MNIASLDRQPPHTLALHATQFTAPDGATIIRLVPETLLEAETLALQSVGCRRADDQVVGYASAQKVGFPTWSILSDPANAYYVRNLATRLQLVEQQAREHPQTTQKKLVELATEFAHSMPHLIPIFLEEVVRIYVRINQAPIASQFFNLAREIERKFDVEVDPRRHAAMFQEFTRMGVIGVKEFTTEARKAAKRLQPQEAYDYFFDLCVDRCRAGGLTYSRMASDLRRLAKAAGISAKESDRRLVTNILGLAGFYQAATGFFRDIRPTLVQLVRDNPQWHDKLLLAKPKKLTIEEYFELLRETGVYDGLVADKSRLVTWLVRIIRHEYSRDNYNFWRSQQLIDAVAHAGDALKGKTLPLNERGMDIDLIDALSSGGITWDLSDTKSRYFNWRSWARPGAGEYRRDLAGIVNHPQLGDLMAKTIPFSDIRILKQPLLATEPGRQLLSRSLQHQADRRKNIIGYPNVWKHFYHQVLEELAHTQLGHINPTAVEQIFSYDPVVELQARLHLGFFQELAWPLLEQELERLLNESSRTYHRIEFHETYPAVILRVDGTVEAIDRDRVIAHGTIPDDCYLSSAHLASDKIAVFYSVYSSDEKYAYWLGQKPRIISPPYGSYYG-NDETGYTIPIINSITGTESRLASDGLLTYPHLPKNFCGPVIGTGPYYLFKAGKIREWPNGNTYET---NAILQEEGIPGIDLTGLLPMKPPADYHFHFWHTAIVPTCPTTTESLCGTLHDQHINIVFQPRCCECGDFHDDSSWLCTPLGQFQSQYKLLGAIKRPGGGVWLIGDKATDRIIIDPETDQIIARDNAPHHNPADHLYDLPLSAHHQLQPRNLDMSIRLRRATREQVAAILANPAPDVIEQTFGSDPVLVAAILRATVQVNDQAARAAQVRPTPETAQDQA</t>
  </si>
  <si>
    <t>GC_00002429</t>
  </si>
  <si>
    <t>K21739</t>
  </si>
  <si>
    <t>probable pyridine nucleotide-disulfide oxidoreductase</t>
  </si>
  <si>
    <t>MNADFYDAIIIGFGKAGKTLAVALANAGQRVAMVERSSKMYGGTCINIACIPTKALVSAAAHNESFDQAMAHKQAVVSLLHDRNYHMLADNPHVTVIDGEGSFVDSHTVSVRASDERLLINAPRIFINTGAEPIIPPITGIEDSRHVYTSTELLDHTHQPQRLAVIGGGYVGLEFASTYAKLGSKVTVFQRSDALFTDEDPQVAAAATQALIDQRIQIVLNANITHIEDTDSGVLVNGDEFDAVLLATGRRPVTAGLNLEAAGVELTERGAIAVNDLLQTSVPHIWALGDVNGGPQFTYASLDDYRIVKSQLLGDGSYTRAQRKPMAYSVFMQTPLARIGMNEAEARDTGQPVAVKELPASAVPRLHVDGNTTGLLRAIVNPDTKEILGATLLCEGAPEVINLIKTTMDAGLPYTTLRDQVFTHPSVSEALNDLFNM</t>
  </si>
  <si>
    <t>MNADFYDAIIIGFGKAGKTLAVALANAGQRVAMVERSSKMYGGTCINIACIPTKALVSAAAHNESFDQAMTHKEAVVSLLHDRNYHMLADNPHVTVIDGEGSFVDSHTVSVHAGDERLLINAPRIFINTGAEPIIPPITGIEDSQHVYTSTELLDHTHQPQRLAVIGGGYVGLEFASTYAKLGSKVTVFQRSDALFTDEDPQVAAAATQALIDQGIQIVLNANITHIEDTDSGVLVNGDEFDAVLLATGRRPVTAGLNLEAAGVELTERGAIAVNDLLQTSVPHIWALGDVNGGPQFTYASLDDYRIVKSQLLGDGSYTRAQRKPMAYSVFMQTPLARIGMNEAEARDTGQSVAVKELPASAVPRLHVDGNTTGLLRAIVNPDTKEILGATLLCEGAPEVINLIKTTMDASLPYTTLRDQVFTHPSVSEALNDLFNM</t>
  </si>
  <si>
    <t>GC_00002430</t>
  </si>
  <si>
    <t>MEKQKLSPKSIINIIRGVIVLFVLLICILSPLAFFLAYFMFKNSVNATTDFFLRWTCASILTVTIGVLLQFIASLMGNNDFPAEKHILVVFVGAIGQSLIMTYLFATYQPGPDQMSRIYMLSWILSTTIIHTLWVWGCDFKNTPYEAISRSIGINFAQLSKLVMPLSAFGASIPWITIATLMVRQ</t>
  </si>
  <si>
    <t>MEKQKLSPKSIINIIRGVIILFVLLICILSPLAFFLAYFMFKNSVNATTDFFLRWTCASILTVTIGVLLQFIASLMGNNDFPAEKHILVVFVGAIGQSLIMTYLFATYQPGPDQMSQIYMLSWILFATIIHTLWVWGCDFKNTPYEAISRSIGINFAQLSKLVMPLSAFGASILWITIATLMVRQ</t>
  </si>
  <si>
    <t>GC_00002431</t>
  </si>
  <si>
    <t>MAPIKLLSSDLDGTIIFDRAIGPDSIQAIHQWQQAGNIAVCSTGKSIEATRFALRDSGLEFDYNVLYTGAVVTDKNYNVLMSHTLPSALVSELVQKLSEEQGISVFATTLDTNDVRLYSSIPPELSTDILQYFDPLKYEDIPHHTFVGIPIWVSAGDETEKTIQRLHTWILDTYGDVLDCHRNQDFLDIVPPNCTKATGLAWLMKHLRSTTSATYETYSLGDSWNDIDMHHWADHSVSFPHSPAEIQELTETVAPTAADYIQSVLAHE</t>
  </si>
  <si>
    <t>MAPIKLLSSDLDGTIIFDRAIGPDSIQATHQWQQAGNIAVCSTGKSIEATRFALRDSGLEFDYNVLYTGAVVTDKHYNVLMSHTLPSALVSELVQKLSEEQGISVFATTLDTNDVRLYSSIPPELSTDILQYFDPLKYEDIPHHTFVGIPIWVSAGDETEKTIQRLHTWILDTYGDVLDCHRNQDFLDIVPPNCTKATGLAWLMKHLRSTTSATYETYSLGDSWNDIDMHHWADHSVSFPHSPAEIQELTETVAPTAADYIQSVLAHE</t>
  </si>
  <si>
    <t>GC_00002432</t>
  </si>
  <si>
    <t>MYDHVWKSERQKAVEVQFRNLLKKGINFTLVGVVGAIFDYGTRFILLHFGVPAFIARGSSYIVGSTVAYYLNSFFTFKGDRSAAEKTRATISYIVCFCTAVFVDMIVRHTMADVPQVLTISWVISQAAATILNFSIQNLWVFRAANTDGKQAEPRNTEETERTH</t>
  </si>
  <si>
    <t>MYDHVWKSERQKAVEVQFRNLLKKGINFTLVGVVGAIFDYGTRFILLHFGVPAFIARGSSYIVGSTVAYYLNSFFTFKGDRSAAEKTRATISYIVCFCTAVFVDMIVRHTMADVPHVLTISWVISQAAATILNFSIQNLWVFRAGNAEEKK-------------</t>
  </si>
  <si>
    <t>GC_00002433</t>
  </si>
  <si>
    <t>PF14594.13</t>
  </si>
  <si>
    <t>Siphovirus ReqiPepy6 Gp37-like protein</t>
  </si>
  <si>
    <t>MSDFINWLDQRNAAHTTGDGWGLWLTDKYFNPVADLHGCSSLSFEDKVNAVGVMEIVLPGDHPAVEALLPLDLERVGAPEAMWGALVDSGQFLIFEGPGGASERIVGRVARITDTRGQGGHGTVTVEAKTLYRHVEKIACYPTPGAPLVAQLKYRDYRAGDSLRVVKEYLFVNLMREFQPELRLGWKLWDMGAWRSLVDPSRWPLIVNPVHASTATQNTVLDARMDLAADLFSETLDAAGLLLTANLWLPGDKQPDGFPVALTTPIIILDVVPRQFDTSTTGGGLDFLRGLVRSFDRSNNAPRRGLGDTKATAAGVYPWVVWRPEDMGAMTSDFTVVKSEDAHVIVGGRSPEVLNKAISAGTKAAFHGLAGGLAAAFPQFSILIGAAGEFFGEAAASSFQDKLFAWQEFSDSVRMEAQGPYRYRTSVGSGDGWTLSAWQQAFQMLQQGAGMMSVGFTTSAQTIYKWGRDYRAGDQQGLVHRGALFATYVAEAKLSWSVSSGWREELTLGDPRARESWARGYARSLKAVSNAVSRVKSFVM</t>
  </si>
  <si>
    <t>----MDWSDVRAAVHNVGDGWGLWLLDKDMNPIADLHGALSIELPEAVNETTACKIEIRGDHPAAKLILPLDGANLSNPSETWNRLVDDAQWIMAEGPGGETERLVYRVARVTDKSENHGPGRITIEGKSLYRYVEKIACRADPASPLIAQLRYRDFRAGDSLRVIKEYLLVNLMRDFQPRAITGWDLWSSTAWRA-VSPTLWPAIVNPVHKSTSTQAAVLDARFDMAADLFKETLNAAGLMLTVNLWLEGDKQP</t>
  </si>
  <si>
    <t>GC_00002434</t>
  </si>
  <si>
    <t>MSVPRIVQIVFVVFLILTILLKWGFVLNLMAAVGAIGATIWERQSSK</t>
  </si>
  <si>
    <t>MSVPRIVQIVFVVFLILTILLKWGFVLNLIAAVGAIGATIWERQSSK</t>
  </si>
  <si>
    <t>GC_00002435</t>
  </si>
  <si>
    <t>MHSHITPHNFIDGTDGFERVKSSEDIFIPIRSKFSRHDTMNGYVRYESSVIFTYSPGIKSDDDWWGRGLFEVTQPPQ</t>
  </si>
  <si>
    <t>MHSHITPHNFIDGTDGFERVKSSEDIFIPIRSKFSRHDTMNGYVRYESSVIFAYSPGVEREEDW-------------</t>
  </si>
  <si>
    <t>GC_00002436</t>
  </si>
  <si>
    <t>PF01597.25</t>
  </si>
  <si>
    <t>Glycine cleavage H-protein</t>
  </si>
  <si>
    <t>K02437</t>
  </si>
  <si>
    <t>glycine cleavage system H protein</t>
  </si>
  <si>
    <t>COG0509</t>
  </si>
  <si>
    <t>Glycine cleavage system protein H (lipoate-binding) (GcvH) (PDB:1DXM)</t>
  </si>
  <si>
    <t>Glycine cleavage</t>
  </si>
  <si>
    <t>KEGG Orthology (KO)&gt;&gt;&gt;09100 Metabolism&gt;&gt;&gt;09101 Carbohydrate metabolism&gt;&gt;&gt;00630 Glyoxylate and dicarboxylate metabolism [PATH:ko00630]|KEGG Orthology (KO)&gt;&gt;&gt;09100 Metabolism&gt;&gt;&gt;09105 Amino acid metabolism&gt;&gt;&gt;00260 Glycine, serine and threonine metabolism [PATH:ko00260]|KEGG Orthology (KO)&gt;&gt;&gt;09100 Metabolism&gt;&gt;&gt;09108 Metabolism of cofactors and vitamins&gt;&gt;&gt;00785 Lipoic acid metabolism [PATH:ko00785]|KEGG Orthology (KO)&gt;&gt;&gt;09100 Metabolism&gt;&gt;&gt;09108 Metabolism of cofactors and vitamins&gt;&gt;&gt;00670 One carbon pool by folate [PATH:ko00670]</t>
  </si>
  <si>
    <t>MSLPENYSYSDDHEWIDTTADKAVGAKVKVGITSVATDRLGEIVFADLPQVGDSVEAGETCGEVESTKSVSDLYSPVTGTVTAVNQEALDDCAIINGDPFTAGWLFEVEVTEVGPLLTAAEYAEKNGI</t>
  </si>
  <si>
    <t>MSLPENYSYSDDHEWIDTTADKAVGAKVKVGITSVATDRLGEIVFADLPQVGDSVEAGETCGEVESTKSVSDLYSPVTGTVTAVNQEVLDDCAIINGDPFTAGWLFEVEVTEVGPLLTAAEYAEKNGI</t>
  </si>
  <si>
    <t>GC_00002437</t>
  </si>
  <si>
    <t>PF13367.11</t>
  </si>
  <si>
    <t>PrsW family intramembrane metalloprotease</t>
  </si>
  <si>
    <t>K24131</t>
  </si>
  <si>
    <t>protease PrsW [EC:3.4.-.-]</t>
  </si>
  <si>
    <t>COG2339</t>
  </si>
  <si>
    <t>Membrane proteinase PrsW, cleaves anti-sigma factor RsiW, M82 family (PrsW)</t>
  </si>
  <si>
    <t>Peptidases and inhibitors&gt;&gt;&gt;Metallo peptidases&gt;&gt;&gt;Family M82</t>
  </si>
  <si>
    <t>MLRYGKTVLLVSMILGVIVSLFSIGMSAFLVDAPVSLINLAGFIAYLIVGTAIFRVSPMWPEELNWKWYLTCLLWGGCASVGVVSVIGSPISTVLKRLNLMFFEAALGGAYPEEISKLLGVALILIVSQRFSRPWHGFVVGGMVGLGFEAFENIVYGSFGAMIDPNSDVDGALSVWGYRTVAGPGLHMCLTAISGLAIGYAIYLADIPMRKRLAYMFGGLGTSFLLHFAWNTIISAGNLQIVWWVGVAIALYSTFLACWVHCVRQIKTEGSGPITVPHLPLASLEEPAPDTPPATQVMPGVQPPEGFSTQ</t>
  </si>
  <si>
    <t>MLRYGKTVLLVSVVLGVIVSLFSIGMSAFLVDAPVSLINLAGFIAYLIVGTAIFRVSPMWPEELNWKWYLTCLLWGGCASVGVVSVIGSPISTVLKRLNLMFFEAALGGAYPEEISKLLGVALILIVSQRFSRPWHGFVVGGMVGLGFEAFENIVYGSFGAMIDPNSDVDGALSVWGYRTVAGPGLHMCLTAISGLAIGYAIYLADIPMRKRLAYMFGGLGTSFLLHFAWNTIISAGNLQIVWWVGVAIVLYGTFLSCWVHCVRQIKTEGSGPITVPHLPLASLEEPAPDAPPATQVMPGVQPPEGFSTQ</t>
  </si>
  <si>
    <t>GC_00002438</t>
  </si>
  <si>
    <t>MREVKRVLRRLFRQAPATFTLCAANVVVYLLTAVQSLSFLHNLDESSLAQHWVLYLPDMVDSIVGPLRAVGATFLHDGPAHLLFNIVMIYLLGREVEKKIGHALFSTVYFAGGVSGSALSVWLDPQHAVVGASGSAYALMAVFAGLAAKRRGSTDLRGAITLILVNLGFSVLSPGVSLAGHAGGLTAGIVMAVVLTIARTMLMRWGGVLAVFGSVVGALMTRVIEFADQFSTGGLWNSLH</t>
  </si>
  <si>
    <t>MREVKRVLRRLFRQAPATFTLCAANVVVYLLTAVQSLSFLHNLDESSLAQHWVLYLPNMVDSIVGPLRAVGATFLHDGPAHLLFNIVMIYLLGREVEKKIGHALFSTVYFAGGVSGSALSVWLDPQHAVVGASGSAYALMAVFAGLAAKRRGSTDLRGAITLILVNLGFSVLSPGVSLAGHAGGLTAGIVMAVVLTIARTMLMRWGGVLAVFGSVVGALMTRVIEFADQFSTGGLWNSLH</t>
  </si>
  <si>
    <t>GC_00002439</t>
  </si>
  <si>
    <t>MSHHSLPKKWRRSAVTAVLVPSLMCGGHAVVAPTASAAPESSAGSGNVGSTGSAALPGIPDNIIRVLGPALPIVAFLATVFAAATAFSRSGSHTSHISSTSTNPSPSVSAGATTSGSQQPTTPSTSVEAPAPAASEHPTVTAEAARPVQTNGTINQGSKTGSSSPNNRGAGTTGGASTSTAPWKPEAGTEDTSQQIQRLLDAINKPRIAKHLQPVTLDTALSAKQQARADEFLKSGGRVFDDSGSVVIVSGPDPVESYQKTLKEQDYFRQLAERPDVTKVGIGLAGNEDGSWWGGFVHFQSEGEALSTNEQRMTKLVEKLNAARAARGAGALQLAPSFNPEEQQWAQHMKDQNKAYYQGYFRAVGRNRDPLAVVDSWDTPGFREILTGKKYTHVAIGLVQSGNEWFVSARPLTSGQIASDQQRIDTIVRQINAERAKKNLAALTLDAKLSASMQNDAEKFSRTERVEFPMPRRVVFDLTADPTESVSTWLGDNKSRDVIMNPKATKVGVALAQNNGLFGVAGIIN</t>
  </si>
  <si>
    <t>MSHHSLPKKWRRSAVTVVLVPSLMCGGHAVITPTASAAPGSSAGSSNVGSTGSAALPGIPDNIIRVLGPALPIVAFLATVFAAATAFSRSGSHTSHISSTSTNPSPSASAEATTSGSQQPTTPSTSVEAPAPAASEHPTVTAEAARPVQTNGTVNQGSKTGSSSPNNRGAGTTGGASTSTAPWKPEAGTEDTSQQIQRLLDAINKPRIAKHLQPVTLDTALSAKQQARADEFLKSGGRVFDDSGSVVIVSGPDPVESYQKTLKEQDYFRQLAERPDVTKVGIGLAGNEDGSWWGGFVHFQSEGEALSTNEQRMTKLVEKLNAARAARGAGALQLAPSFNPEEQQWAQHMKDQNKAYYQGYFRAVGRNRDPLAVVDSWDTPGFREILTGKKYTHVAIGLVQSGNEWFVSARPLTSGQIASDQQRIDTIVRQINAERAKKNLAALTLDAKLSASMQSDAEKFSRTERVEFPMPRRVVFDLTADPTESVATWLGDKDSRDVIMNPKATKVGVALAQNNGLFGVAGIIN</t>
  </si>
  <si>
    <t>GC_00002440</t>
  </si>
  <si>
    <t>PF12079.13</t>
  </si>
  <si>
    <t>Protein of unknown function (DUF3558)</t>
  </si>
  <si>
    <t>MRLFRATVALCALLPLTACAIVVPPLHSPTPTPLPDPVTTSKSAVPQEVAEEQHPQKDVTVGEFLNAGLYRPESNAFGTFRPCAEISAEQWQELGWNVEDRESVSRNDKPSRYGSLCSIKAIPGKNLGFASFGVNFEGYDKETGTDNARGDREDLNTLEVKKPKGFYVYAAENSTLADTCVAGVLTKRGRIAFEYTSPFIDQSRTGKTKVCQTAVDSLQRILDTPVFAPAPAPSQEAAAPAAAPPPQPSPAPASPPAPAPAPPSPTFTQVLGVSDYRPQDQVPPIFNACTQISAEQWRSLGWQVAKPDSTVTDEYFPRCILWDRDDKPLEGLLIEVTYKTLDEQLKERIPLDKVVVNKPDTYTLTDSTKPREWRCSVNVVTSLGRVTATYVQGDDDPQPRITKEQACQRAVDRLQAVFGLKYAPPTVTPKPTS</t>
  </si>
  <si>
    <t>MRLFRATVALCALLPLTACAIVVPPLHSPTPTPLPDPVTTSKSAVPQEVAEEQHPQKDVTVGEFLNAGLYHPESNAFGTFRPCAEISAEQWQELGWNVEDRERVSHDDKPSRYGSLCNIKAIPGKNLGFASFSVNFEGYDKETGTDNARGDREDFSTLEVKKPKGFYVYAAENSALPGTCMAGVLTKRGRIAFRYTSPFIDQSRTGKTKVCQTAVDSLQRILDTPVFAPAPAPSPEAAAPAAAPPPQPSPAPASPPAPAPAPPSPTFTQVLGVGDYRPQDQVPPIFNACTQISAEQWRSLGWQVAKPDSTVTDEYFPRCILWDHDDKPLEGLLIEVTYKTLDEQLKERIPLDKVVVNKPDTYTLTDSTKPREWRCSVNVVTSLGRVTATYVQGDGDPQPRITKEQACQRAVDRLQAMFGLKYEPPVVTPKPTS</t>
  </si>
  <si>
    <t>GC_00002441</t>
  </si>
  <si>
    <t>PF13203.12</t>
  </si>
  <si>
    <t>Putative metallopeptidase domain</t>
  </si>
  <si>
    <t>COG3864</t>
  </si>
  <si>
    <t>Predicted metal-dependent peptidase</t>
  </si>
  <si>
    <t>MTNPAEPEKPLGADAAEAWAAETRNRFRQARLWAAHAAPYLTSALFALQPVILEPNISEPQPDTQADRAGSGRQPVPDPQFRAFPADTHWRIHIDPGTALVTPTPEFGWWLLHHIGHLCRHHAARSPVTHDHDADQSRHAVGEQTDDLAARRWNQAADAEVNDDLEALGLASPPGVVSPQALGLPEGRLAEEYLSLIEVLDEAHLAGGSHVADLIDCGQAADGIADGGLDTGGTDDGTHPMSDVARHLLELRIAHDIEQQVANRTAVPGGWRRWAQQQLRPTIDWRATLRATIRQGLRVGAGQVDYSYRRPSRRPAPDGVILPTMVAPKPEIAVVVDTSGSVSGQQLNTVMTELIGITRHANLRQIRVICCDLVAHPPQTIRSGHMPLLTGGGGTDIRAGIAAASKLKPQPTLIIVLTDGETPWPDRRPPIPVIIAVIRTPRRDPTSTYPIPWWAHTVNIDE</t>
  </si>
  <si>
    <t>MTNPAEPEKPLGADAAEAWAAETRNRFRQARLWAAHAAPYLTSALFALQPVILEPNVSAPQPDNQADRTSGVRQPVPDPEFRAFPADTHWRIHIDPGTALVTPTPEFGWWLLHHIGHLCRHHAARSPVAHDHDADQSRHAVGEQTDDLAARRWNQAADAEVNDDLETLGLASPPGVVSPQALGLPEGRLAEEYLSLIEVLDEAHLAGGSHVADLIDCGQAADGIADGGLDTGDADDGTHPMSDLARNLLELRIAHDIEQQVANRTTVPGGWRRWAQQQLRPTIDWRATLRATIRQGLRVGAGQVDYSYRRPSRRPAPDGVILPTMVAPKPEIAVVVDTSGSVSGQQLNTVMTELIGITQYANLRQIRVICCDLVAHPPQTIRAGHMPLLTGGGGTDIRAGIAAASKLKPQPTLIIVLTDGETPWPDHRPPIPVIIAVIRTPRRDPTSTYPIPWWARTVNIDE</t>
  </si>
  <si>
    <t>GC_00002442</t>
  </si>
  <si>
    <t>R|Q|M</t>
  </si>
  <si>
    <t>General function prediction only|Secondary metabolites biosynthesis, transport and catabolism|Cell wall/membrane/envelope biogenesis</t>
  </si>
  <si>
    <t>COG0110|COG1020|COG1044</t>
  </si>
  <si>
    <t>Acetyltransferase, isoleucine patch superfamily (WbbJ)|EntF, seryl-AMP synthase component  of non-ribosomal peptide synthetase (EntF) (PDB:5ES5)|UDP-3-O-[3-hydroxymyristoyl] glucosamine N-acyltransferase (LpxD) (PDB:6P83)</t>
  </si>
  <si>
    <t>MRAIVDHPELAIFGVETEPPARTLVDILSATMDAHPEEVAIESATATITYSQLRGLLDEQAARLHAKGIGPGDRVGIRVPSGTTDLYVAILSTLWAGAAYVPVDWDDPDSRADTVWEEASVAAVYGKDLAIVDKHGGGNPDHHVPTLDDDAWVIFTSGSTGKPKGVAVQHRAAAALVDAEARMYLTDNPLGPGDRVMAGLSVAFDASCEEMWLAWRYGATLVTVPRDVVRSGEDLGEWIVSQGITAVSTVPTLASLWPADALEAVRLLIFGGEACPAPLIQRLSRPGRELWNTYGPTEATVISTGALMIPDVPVRIGRPVPGWACAVVDSENQPVKWGETGELIVAGVGLGRYLDPVKDAECYTEFPALGWERGYRTGDLVRAEQEGLIFAGRADDQIKFAGRRMELGEIDEHLTNLPNVNVGAAALHKTEAGSPVLVGYLSAKQGATIDMAEIRRILLKRLPGGIVPLLHVVDEMPMKTSGKVDRKALPWPLPSAGDDAFAGIDPSLHWLAERWHEQLGPVPLDDHSDFFDLGGSSVAIAKLVVALREAYPNAEIAELYNHRSLRDMGQYLESLDVSTEERPLARPIPWYSGFVQAAFVCFLHLINGLRYVVGSIIVVWVLAAIFNAGWVPQPPVLPLIVGWLLLFSIPGRMLQTAIGVRLLCFRIKPGEYLRGGLTHLRIWAAERLLIYENLDIILGSPAAVVMNRLLGNRVGRHCHLHQQPCVTGLVSIGDNVSIEHEADVSGHWLDGDTLHVGTIDLEDGVRIGTRTLVSPNSKVGADSEILPGSHVTGSIPSGQFWGGSPIFYWGKSGETWPSETPEEVEELERWGSLRSWGAYSLGMFLVEFLPILAVFPGGLLVFQHVRTLQRYEEVFPILALYVPIFTLLTVASWLGLVILCVRTVAPLIALGYFPSSSSTGWAVWLTHTLLQRTLKSAYFLYASCYTPMFLRALGATVGKNTEISTVETIPHLTCIEDGSFLADHALVNCARSRGGWIHIGSAVIGERSFVGNSAIVGPDRDIPSESLIAVLSSTPYQPESGTCWLGRKATAIPRVTVASDQEKTYNPPQRLKIARALVEACRVIPLFIAAWLDLAIVYAGTLAYMSAGGISNHRHGLILALLWSGPIVIAAATAASIIPIIAKWLLVGSFKHTQVPLFSTLVWRSELADTFAEMLAVPSMIRMSLGSPLYNVWARLMGTKIGKSVWCETWWLPEFDLISIDARSTVNRGTVLQTHLFHDRVMAMEPVQLGSGATLGPNSFMLPGSSIGERSTVGPGSLVLRDEQLPPNSQWAGNPVRHVDKIIRSTNAQLTITHH</t>
  </si>
  <si>
    <t>MRAIVDHPELAIFGVETEPPARTLVDILSATMDAHPEEVAIESATATITYSQLRGLLDEQAARLHAKGIGPGDRVGIRVPSGTTDLYVAILSTLWAGAAYVPVDWDDPDSRADTVWEEASVAAVYGKDLAIVDKHGGGNPDHHVPTLDDDAWVIFTSGSTGKPKGVAVQHRAAAALVDAEARMYLTENPLGPGDRVMAGLSVAFDASCEEMWLAWRYGATLVTVPRDVVRSGEDLGEWIVSQGITAVSTVPTLASLWPADALEAVRLLIFGGEACPAPLIQRLSRPGRELWNTYGPTEATVISTGALMIPDVPVRIGRPVPGWACAVVDSENQPVKWGETGELIVAGVGLGRYLDPVKDAECYTEFPALGWERGYRTGDLVRAEQEGLIFAGRADDQIKFAGRRMELGEIDEHLTNLPNVNVGAAALHKTEAGSPVLVGYLSAKQGATIDMAEIRSILLKRLPGGIVPLLHVVDEMPMKTSGKVDRKALPWPLPSAGDDAFAGIDPSLHWLAERWHEQLGPVPLDDHSDFFDLGGSSVAIAKLVVALREAYPNAEIAELYNHRSLRDMGQYLESLDVSTEERPLARPIPWYSGFVQAAFVCFLHLINGLRYVVGSIIVVWVLAAIFNAGWVPQPPVLPLIVGWLLLFSIPGRMLQTAIGVRLLCFRIKPGEYLRGGLTHLRIWAAERLLIYENLDIILGSPAAVVMNRLLGNRVGRHCHLHQQPCVTGLVSIGDNVSIEHEADVSGHWLDGDTLHVGTIDLEDGVRIGTRTLVSPNSKVGADSEILPGSHVTGSIPSGQFWGGSPIFYWGKSGETWPSETPEEVEELERWGSLRSWGAYSLGMFLVEFLPILAVFPGGLLVFQHVRTLQRYEEVFPILALYAPIFTLLTVASWLGLVILCVRTVAPLIALGYFPSSSSTGWAVWLTHTLLQRTLKSAYFLYASCYTPMFLRALGATVGKNTEISTVETIPHLTCIEDGSFLADHALVNCARSRGGWIHIGSAVIGERSFVGNSAIVGPDRDIPSESLIAVLSSTPYQPESGTCWLGRKATAIPRVTVASDQEKTYNPPQRLKIARALVEACRVIPLFIAAWLDLAIVYAGTLAYMSAGGISNHRHGLILALLWSGPIVIAAATAASIIPIIAKWLLVGSFKHTQVPLFSTLVWRSELADTFAEMLAVPSMIRMSLGSPLYNVWARLMGTKIGKSVWCETWWLPEFDLISIDARSTVNRGTVLQTHLFHDRVMAMEPVQLGSGATLGPNSFMLPGSSIGERSTVGPGSLVLRDEQLPPNSQWAGNPVRHVDKIIRSTNAQLTITHH</t>
  </si>
  <si>
    <t>GC_00002443</t>
  </si>
  <si>
    <t>MPGFLLQYHRRSGEVHVEKFDSLKQAIQKRVALESNVTDDDTEIVVIVSPDEQMLRKSHSRYFAMS</t>
  </si>
  <si>
    <t>MPGFLLQYHRKSGEVHVEKFDSPKHAMQKRIALESTTTDDDVEIVVIVSPDEQMLRKSHSRYFAMS</t>
  </si>
  <si>
    <t>GC_00002444</t>
  </si>
  <si>
    <t>PF21813.2</t>
  </si>
  <si>
    <t>Family of unknown function (DUF6882)</t>
  </si>
  <si>
    <t>MHTRIRRIGQRTVIYASLRQELMKQMFDEKVGTDDSVNYDVDLGIQRFAMVSNTGEVTAKAHLLASIAAQPPTILWAYAELLASHGAAVERAQKVRDYGLAHNEDELSSEEVAYTFPAGADQGDVIANVAHDIGSLALTVFGTDYYYYSAPIGGGSRMVLLLENLSEPVPPITLNELYARLPRYLQQVDDIPWSLEGFVELMPGWSLELNNDADAHHARITDDAGRSIRVTYQLDQYDRLTRLEMGLDD</t>
  </si>
  <si>
    <t>MHTRIRRIGQRTVIYASLRQELMKQMFDEKVGTDDSVNYDVDLGIQRFAMVSNTGEVTAKAQLLASIAAQPPTILWAYAELLASHGAAVERAQKVRDYGLAHNEDELSSEEVAYTFPTSADQGDVIANVAHDIGSLALTVFGTDYYYYSAPIGGGSRMVLLLENLSEPVPPITLNELYARLPRYLQQVDDIPWSLEGFVELMPGWSLELNNDADAHHARITDDTGRSIRVTYQLDQYDRLTRLEMGLDD</t>
  </si>
  <si>
    <t>GC_00002445</t>
  </si>
  <si>
    <t>MSAEKNEIENSKGSDVGGFLSWEKIKKLGVSLLPLTLCSFTIFGISIPITIINDSNRDSRDNILSSQTMDTSSVANVPQIEGSQKTSDGSGQKCLSSSETAVPCDTQHDGEVISSVSSCGSDVLVNYMGGNVAVDTLSPGISYEPISSGCKVSFPYSLEESVEGKWVADLRHLPGLRSCFNPDRADQVVGCNEPHTGEVVYSQSGGDGVNLSCDAKAADYMDANKDKWQDMLKTEGIEHNGSWLCVAKTRNNNFLDGTLRSLGSQKIKTKPR</t>
  </si>
  <si>
    <t>MSAEKNEIENSKGSDVGGFLSWEKIKKLGVSLLPLTLCSFTIFGISIPITIINDSNRDSRDNILSSQTMDTSSVANVPQIEGSQKTSDGSGQKCLSSSETAVPCDTQHDGEVISSVSSCGSDVLVNYMGGNVAVDTLSPGISYEPISSGCKVSFPYSLEESVEGKWVADLRHLPGLRSCFNPDRADQVVGCNEPHTGEVVYSQSGGDGANLSCDAKAADYMDANKDKWQDMLKTEGIEHNGSWLCVAKTRNNNFLDGTLRSLGSQKIKTKPR</t>
  </si>
  <si>
    <t>GC_00002446</t>
  </si>
  <si>
    <t>MAHVYQWLSIPITNLAAVTLFLAALVALAIWVGWRKPYRILVRAALISALFTGAFWLLYDVIIIPYMEKLMPILYPGIALLAFIIPLSINKRGIIAIAATILPAMGLTNAAYDQYATLADLLPSRNVVPLTYQEFQHQQAAPTIDGNPVGALVSVDIPASKSGFPARTSLAYIPPAYWSGAHLPVVVMMAGNPGSPGQWFGPLNAQAALQSFQAAHHGVAPIVFSIDATGSTNGNPLCIDGPEYKVHTWLADDVPTGIKRMFTVDSDQNHWTIGGLSYGGTCALQVVTNSPSSYGTFISYAGQGEPIYKDHTTTLKMFFNNDEAAFQAVNPMNLLQHPTPERRAEYQRLAGWFIAGTADEHSQQALRQLHEIAQNAGIDSRYTEIPGSHTARVWRTGFGQTLPFAAARGGLTAMADKGADSGAEATSTNTTAASTKGRAA</t>
  </si>
  <si>
    <t>MAHVYQWLSIPITNLAAVTLFLAALVALAVWVGWRKPYRILVRAALISALFTGAFWLLYDVIIIPYMEKLMPILYPGIALLAFIIPLSINKRGIIAIAATILPAMGLTNAAYDQYATLADLLPSRNVVPLTYQEFQHQQAAPTIDGNPVGALVSVDIPASKSGFPARTSLAYIPPAYWSGAHLPVVVMMAGNPGSPGQWFGPLNAQAALQSFQAAHHGVAPIVFSIDATGSTNGNPLCIDGPEYKVHTWLADDVPTGIKRMFTVDSDQNHWTIGGLSYGGTCALQVVTNSPSSYGTFISYAGQGEPIYKDHTTTLKMFFNNDEAAFQAVNPMNLLQHPTPERRAEYRRLAGWFIAGTADEHSQQALRQLHEIAQNAGIDSRYTEIPGSHTARVWRTGFGQTLPFAAARGGLTAGADKGADSGAEATSTNTTAASTKGRAA</t>
  </si>
  <si>
    <t>GC_00002447</t>
  </si>
  <si>
    <t>PF03994.20</t>
  </si>
  <si>
    <t xml:space="preserve">Domain of Unknown Function (DUF350) </t>
  </si>
  <si>
    <t>K08989</t>
  </si>
  <si>
    <t>MHHILLAAQPTALLTEVPTPDQPLGQGVISTLAYFVLSMTIFGIGFIVQDLLTPGKFRKQVFVDNLPNACVLAGSQAIAIGIVLAAAISTSPTDLVAGLIATAVYGTVGLALQTIFLVLLEWLNPEKFRYVVEDTKLRPSVLLSGIILIVVGVINAACLL</t>
  </si>
  <si>
    <t>MYHILLAAQPTALLTEVPAPDQPLGQGVISTLAYFVLSMAIFGIGFIVQDLLTPGKFRKQVFVDNLPNACVLAGSQAIAIGIVLAAAISTSPTDLVAGLIATAVYGTVGLVLQTIFLVLLEWLNPEKFRYVVEDTKLRPSVLLSGIILIVVGVINAACLL</t>
  </si>
  <si>
    <t>GC_00002448</t>
  </si>
  <si>
    <t>MTMLLLRQHYGRESNGVGPLTEFLIAFYAGVFFTKSATGPQCLLALLVCTGISCSMTRRYSLALVTPPIALTARQLLPSCLAFGFCLVSFWGMVLVAAANSNWVALALTVVGVGVGTTAGLLLPKTVASMPRRKHFRRAGAIAVAPRRGGVWQFFEFDVRRRLLRPATRVVMPVGYFGLVCLIATLFPMALVRGMSLPAALCHGAALWLVVSFVYVGRDDRPGLALWSAFGWRLWLVQAGLVLGAVGLGALASLIDATWGYVIGVGCALLLASVFWAKVALSPDHQAPCHPLVRDLPRTGMVEFIMLLMIVSAGAAPILVLLR</t>
  </si>
  <si>
    <t>MTMLLLRQHYGRESNGVGPLTEFLIAFYAGVFFTKSATGPQCLLALLVCTGIPFSMTRRYSSALVTPPIALTARQLLPSCLAFGFCLVSFWGMVLVAAANSNWVALALTVVGVGVGTTAGLLIPRTVAHMPQRKHFRRAGAIAVTPRRGGVWQFFEFDVRRRLLRPATRVVMPVGYFGLVCLIAALFPMALVRGMSLPAALCHGAALWLVVSFVYVGRDDRPGLALWSDFGWRLWPVQAGLVLGAVGLGALASLIDTTWGYVIGVGCALLLASVFWAKVALSPDHQAPCHPLVRDLPRTGMVEFIMLLMIVSAGAAPILVLLR</t>
  </si>
  <si>
    <t>GC_00002449</t>
  </si>
  <si>
    <t>K01226</t>
  </si>
  <si>
    <t>trehalose-6-phosphate hydrolase [EC:3.2.1.93]</t>
  </si>
  <si>
    <t>KEGG Orthology (KO)&gt;&gt;&gt;09100 Metabolism&gt;&gt;&gt;09101 Carbohydrate metabolism&gt;&gt;&gt;00500 Starch and sucrose metabolism [PATH:ko00500]|Enzymes&gt;&gt;&gt;3. Hydrolases&gt;&gt;&gt;3.2  Glycosylases&gt;&gt;&gt;3.2.1  Glycosidases, i.e. enzymes that hydrolyse O- and S-glycosyl compounds&gt;&gt;&gt;3.2.1.93  alpha,alpha-phosphotrehalase</t>
  </si>
  <si>
    <t>MGKPPTKVGFREYAIYQIYPKSFRDTTGSGIGDLQGVIETIPYIASLGIDMIWFNPFFVSPQRDGGYDVADYYNIDPAIGTMDDFDELVRALADNGIGVMLDMVLNHTSTEHEWFQKALAGDKKYQDFYIIRPPAADGGLPTNWESKFGGPAWAPFGDTGNYYLHLYDPTQADLNWRNPEVRDEMVKIVNFWRAKGIHGFRFDVINVIGKAGELKSSAPGEDPRYMYTDGPDVNAYLQQLNAESFGQDPDSVTVGEMSSTSIQNCVDYSNPDNHELDMVFSFHHLKVDYLNGQKWSNVRFNPIDLKRTLNEWALGMQEGNGWNALFLNNHDQPRSVNRFGDPTTYRVESATMLATMIHMLRGTPYIYMGEEIGMTDPEYHSIDDYVDVEARNAYNALIDQGVDAAEAFMIVHSKARDNSRTPMQWDNSPNAGFTTGTPWLRPTNQDRINVAAEEQGGKILAYYKKLIRLRKQHLAISIGEYQPYQLEHPQVYAFTRTHEDEKLLVIINLSDKEIAYDIPEDFATGEVLIANYPNPTVADTIQLHPYEALTMKKEVVA</t>
  </si>
  <si>
    <t>MGKPPTKVGFREYAIYQIYPKSFRDTTGSGIGDLRGVIEKIPYIASLGIDMIWFNPFFVSPQRDGGYDVADYYNIDPAIGTMDDFDELVRTLADNGIGVMLDMVLNHTSTEHEWFQKALAGDKKYQDFYIIRPPAADGGLPTNWESKFGGPAWAPFGDTGNYYLHLYDPTQADLNWRNPEVRDEMVKIVNFWRAKGIHGFRFDVINVIGKAAELKSSAPGEDPRYMYTDGPDVNAYLQQLNAESFGQDPDSVTVGEMSSTSIQNCVEYSNPDNHELDMVFSFHHLKVDYLNGQKWSNVRFNPIDLKRTLNEWALGMQEGNGWNALFLNNHDQPRSVNRFGDPTTYRVESATMLATMIHMLRGTPYIYMGEEIGMTDPEYHSIDDYVDVEARNAYNALIDQGLDAAEAFTIVRSKARDNSRTPMQWDDSPNVGFTTGTPWLRPTNQEHINVAAEEQGGKILAYYKKLIRLRKQHLAISIGEYQPYQLEHPQVYAFTRTHEDEKLLVIVNLSDKEIAYDIPADFATGEVLIANYPNPTVADTIQLHPYEALTLKKEVVA</t>
  </si>
  <si>
    <t>GC_00002450</t>
  </si>
  <si>
    <t>MGAKNRGWHTIAPMSSEAESATGVFRPDRAHLIGAGVMGLMSLLAVGMAPIFLFWIPLLPAVFAYWVLTARTIITEDGIEARYAFSRPKKMTWDNFNGILFGSSRAFACGTDDNKFPLPGVTFNSLPELTEASQGRIPDALTAGHHAADEKVVVIHQDGRQVLTDKSDVADDTDEAS</t>
  </si>
  <si>
    <t>MGAKNRGWHTIAPMSSEAESATGVFRPDRAHLIGAGVMGLMSLLAVGMAPIFLFWIPLLPAVFAYWVLTARTIITEDGIEARYAFSRPKKMTWDNFNGILFGSSRAFACGTDDNKFPLPGVTFNSLPELTEASQGRIPDALTAGHHAADEKVVVINQDGRQVLTDKSDVADDTDEAS</t>
  </si>
  <si>
    <t>GC_00002451</t>
  </si>
  <si>
    <t>MTTHSIPGGPATPAKNGRKTADQQPKRDHRAAVQAHKLRMNLAITALRFGKYEPVMKPRSPMILYASAIIAGISIVACIGGAKLMQMF</t>
  </si>
  <si>
    <t>MTTPNIPGGPATSAKPGRKTADQQPKRDHRAAVQAHKLRMNLAITALRFGKYEPVMKPRSPMILYASAIIAGISIVACIGGAKLMQMF</t>
  </si>
  <si>
    <t>GC_00002452</t>
  </si>
  <si>
    <t>PF09951.15</t>
  </si>
  <si>
    <t>Immunity protein Imm33 domain</t>
  </si>
  <si>
    <t>COG4859</t>
  </si>
  <si>
    <t>Uncharacterized protein, contains DUF2185 domain</t>
  </si>
  <si>
    <t>MEFIPNAGACLATLNVINRTGVVRWMVRVPSQMPADNGWQIMSHLDTTEYLNDLANWRIVDFNDLCAIEPALIGIWDMPVGSDLQIVRDDRIRIFDTPTGREIPVEAWYVPPDKRA</t>
  </si>
  <si>
    <t>MEFIPNAGACLATLNVINKTGVVRWMVRLPSQMPADNGWQIMSHLDTTEYLNDPANWRIVDFNDLCAIEPALIGIWDMPVGSDLQIVRDDRIRIFDTPTGREIPVEAWYVPPDKRA</t>
  </si>
  <si>
    <t>GC_00002453</t>
  </si>
  <si>
    <t>K05343</t>
  </si>
  <si>
    <t>maltose alpha-D-glucosyltransferase / alpha-amylase [EC:5.4.99.16 3.2.1.1]</t>
  </si>
  <si>
    <t>KEGG Orthology (KO)&gt;&gt;&gt;09100 Metabolism&gt;&gt;&gt;09101 Carbohydrate metabolism&gt;&gt;&gt;00500 Starch and sucrose metabolism [PATH:ko00500]|Enzymes&gt;&gt;&gt;3. Hydrolases&gt;&gt;&gt;3.2  Glycosylases&gt;&gt;&gt;3.2.1  Glycosidases, i.e. enzymes that hydrolyse O- and S-glycosyl compounds&gt;&gt;&gt;3.2.1.1  alpha-amylase|Enzymes&gt;&gt;&gt;5. Isomerases&gt;&gt;&gt;5.4  Intramolecular transferases&gt;&gt;&gt;5.4.99  Transferring other groups&gt;&gt;&gt;5.4.99.16  maltose alpha-D-glucosyltransferase</t>
  </si>
  <si>
    <t>------------------MHCARILLTLVYMSRSPSSGWQTSQKSQTSVAKQLEDNAPASQRVAHRHPHDWYKQAVFYEVLVQAFKDSNGDGIGDFQGLTEMLDYLQWLGVDCVWLPPVFDSPLLDGGYDVRDFTKILPDYGIVDDLQHLVAQAHQRGIRVIMDLVMNHTSDQHLWFEQSRRNPHGPYGDYYVWSDTPELYSDARIIFIDTEDSNWSYDPVRGQYYWHRFFSHQPDLNYENPAVQEEMLNTMRFW</t>
  </si>
  <si>
    <t>MSATFCTHTTHTLEGLFKVHCARILLTLVYMSRSPSSGWQTSQKSQTSVAKQLEDNAPASQRVAHRHPHDWYKQAVFYEVLVQAFKDSNGDGIGDFQGLTEMLDYLQWLGVDCVWLPPVFDSPLLDGGYDVRDFTKILPDYGIVDDLQHLVAQAHQRGIRVIMDLVMNHTSDQHLWFEQSRRNPHGPYGDYYVWSDTPELYSDARIIFIDTEDSNWSYDPVRGQYYWHRFFSHQPDLNYENPEVQEEMLNTMRFWLDLGLDGFRLDAVPYLFEENGTNCENLAPTHEFLKRCRRLVDQEYPGRVLLAEANQWPHDVVEYFGDGPIGDECHMAFHFPLMPRLFMSLKEESAQSVIDILANTPAIPESGQWGIFLRNHDELTLEMVNDVERAFMYEHYAQNPRMRSNVGIRRRLASLLQGDLAQLQLLTNLLLSLPGSPVLYYGDEIGMGDNIWLHDRDGVRTPMQWSDQRNSGFSDTDPEQLPLPVITNCQFGHQAVNVENQLRNPGSLLHFTRKLIAVRKEHATFGMGSFRPVASSNPAIFAFIRQYRDETLLCVSNFAATPQHTELALEEFVGRTPVELLGNTAFHTITESWTLTLAPRGFYWMSLR</t>
  </si>
  <si>
    <t>GC_00002454</t>
  </si>
  <si>
    <t>PF06983.19</t>
  </si>
  <si>
    <t>3-demethylubiquinone-9 3-methyltransferase</t>
  </si>
  <si>
    <t>COG3865</t>
  </si>
  <si>
    <t>Glyoxalase superfamily enzyme, possible 3-demethylubiquinone-9 3-methyltransferase (PDB:1TSJ)</t>
  </si>
  <si>
    <t>MLAAAIHVRYGGRMDQFITPAVWCNGTADEAAKFYASVFRDASVVEQVPGVASTVSIHGFRLSLINGDDQYAPNPSISCFLNFDPLLFGSEEQARAYLDELYEQLNTGGVLTELGEYPFSPRYAWVRDRFGMTWQLMLTDPAGEPRPFVIPSFMFGGTNHANAEEATDAWITLFDNSHRGALHRYEEGAPIDPGTVMFTDFTLRGTWMAAMDSGTFHDFTFTPGVSMIVSCRDQKEIDHYWAGLSAAPEAERCGWCVDRWGVSWQVVPHNIAELMADPTTRDQILQMGKIELNKLRF</t>
  </si>
  <si>
    <t>-------------MDQFITPAVWCNGTADEAAQFYASVFRDASIVEQVPGVASTVSIHGFQLSLINGDDQYAPNPSISCFLNFDPLLFGGEEKARAYLDELYEQLSTGGVLTELGEYPFSPRYAWVRDRFGMTWQLMLTDPAGEPRPFVIPSFMFGGTNHANAEEATDAWITLFDNSHRGALYRYEEGAPIDPGTVMFTDFTLRGTWMAAMDSGTFHDFTFTPGISMIVSCRDQKEIDHYWAGLSAVPEAERCGW</t>
  </si>
  <si>
    <t>GC_00002455</t>
  </si>
  <si>
    <t>MASQTTTRSLALIMATILLVTGCSNNKTEETKAEHSFGYVLDDYLINTNVTTGIGFSSNIHQLVGRIYPGAFVNGPEGQRIPNTDLVEARALPGAPMRVEYQITDKAVYSDGQPVTCDSFLLAQVAATSRPLFDSYNPLMDQIDTINCQPGNKTATVVFKGNFGPRWRYLFSGGTLLPAHAIAAKANMSLADLNTALHNRDLPRLQQVAQVWNSGFDLGKFDPALQVSSGPFLVQSVAPDGAVTLVRNDKYYGEPAVLDKLIVYPKGTDLHKLADAGNLHIAEADSKTDTNWIDRNDNKNPYIVKANPGVLAEHLILASAGVLADQADRQAFAACVDQAAVAQASAKESGVEVQPVALRTIRPGDSIATHLKEISDQHLGVNIDQAKKLTGKTIRIGYFAPDKRKMAMVAAIKASCEPAGITILDVSNEAASVSNLPFSYQDEDGVDQATDGKADAVLQALDPQFSFPYVANPASDIEVARREENLSWDYTRTIPLAVQPRVLVLNKSVEGIAENTDLFGVGWNMDRWKE</t>
  </si>
  <si>
    <t>MASQTTTRSLALIMATILLVTGCSNSKTEETKAEHSFGYVLDDYLINTNVTTGIGFSSNIHQLVGRIYPGAFVNGPEGQRIPNTDLVEARALPGAPMRVEYQITDKAVYSDGQPVTCDSFLLAQVAATSRPLFDSYNPLMDQIDTINCQPGNKTATVVFKGNFGPRWRYLFSGGTLLPAHAIAAKANMSLADLNTALHNRDLPRLQQVAQVWNSGFDLGKFDPALQVSSGPFLVQSVAPDGAVTLVRNDKYYGEPAVLDKLIVYPKGTDLHKLADAGNLHIAEADSKTDTNWIDRNDNKNPYIVKANPGVLAEHLILASAGVLADQADRQAFAACVDQAAVAQASSKESGVEVQPVALRTIRPGDSIATHLKEISDQHLGVNIDQAKKLTGKTIRIGYFAPDKRKMAMVAAIKASCEPAGITILDVSNEAASVSNLPFSYQDEDGVDQATDGKADAVLQALDPQFSFPYVANPASDIEVARREENLSWDYTRTIPLAVQPRVLVLNKSVEGIAENTDLFGVGWNMDRWKE</t>
  </si>
  <si>
    <t>GC_00002456</t>
  </si>
  <si>
    <t>MATESELLQAARTVFARHGYKAASMLEISQEAGMAVGGVYTFYRSKLALFQAVYFLENADSKRKIAAMVDWSQPKEALSAYVQANVAAIRDNKILAEWYSKSPGDALRKQYMDQHGSGCVLGEFFTKKIAAWRESGELRPEITDHMIEELFLLFTIVDASSDISQDTMQLCIDATLEKLFDV</t>
  </si>
  <si>
    <t>GC_00002457</t>
  </si>
  <si>
    <t>MHIIAHRGFNGRYPEMSPLAYEQALTLPIHGVECDVRLTRDGQVVCTHDRTMQRVAGDPVVVSQATAGQLKKLNIAQTFAPNPEAPASSRYPASYPPTGLPPAGQPLVQHLLTLDELLDMVFATDDKHLYIETKHPSRAGRMLEEQLVLRLRYHNLLQSRRIHVISFSHVAMRRMRALAPKIETFYLRRDWEARVNPKDVRLSASKGLGLSVARGHSSPWLITDNTYMWTVNEPADMAWARDHGVSVMATDFPDVALDVVGSGKL</t>
  </si>
  <si>
    <t>MHIIAHRGFNGRYPEMSPLAYEQALTLPIHGVECDVRLTRDGQVVCTHDRTMQRVAGDPMVVSQATAGQLKKLNIAQTFAPNPEAPTSSRYPA-----GLPPAGQPLVQHLLTLDELLDMVFATDDKHLYIETKHPSRAGRMLEEQLVLRLRYHNLLQSRRIHVISFSHVAMRRMRALAPKIETFYLRRDWEARVNPKDVRLSASKGLGLSVARGHSSPWLITDNTYMWTVNEPADMAWARDHGVSVMATDFPDVALDVVGSGKL</t>
  </si>
  <si>
    <t>GC_00002458</t>
  </si>
  <si>
    <t>MEQQQKRAKPYKLIIACIMLVGFVAVGAVVAYKWQPIMHKVRSATNTSDIDRTRGEAEFPQVDTSQLSPVRQRILSLAKTEFEAQNKGTKYSEGTEEAWCADFVSWVMREAGAPLKNGNTGGWRIPGTFTLQEYYESIGKFQKAGSGYQPKPGDVVMYNGSPIFGDHTNIVVQNNDGALVTVGGNEDGRIRVYNNTKKEYDGLLGYGVVD</t>
  </si>
  <si>
    <t>MEQQQKRAKPYKLIIACIMLVGFVAVGAVVAYKWQPIMHKVRSATNTSDIDRTRGEAEFPQVDTSQLSPVRQRILSLAKTEFEAQNKGTKYSEGTEEAWCADFVSWVMREAGAPLKNGNTGGWRIPGTFTLQEYYESIGKFQKAGNGYQPKPGDVAMYNGSPIFGDHTNIVVQNNDGALVTVGGNEDGRIRVYNNTKKDYDGLLGYGVVD</t>
  </si>
  <si>
    <t>GC_00002459</t>
  </si>
  <si>
    <t>MKRHILEQNYPRLLASAGIDAEQVLRKAGVAEDTFTHHPPTMTTSDYFAFLTAIGKLCPPGSAVQLASATGIEQFSPPVFASYCARNGRVCIERLKQYKRIIGPLEFHTTGTTKQMSIELVCEGYELPSFLVECEFVFLVNLLRTATGEHITPTSVQLHQLDVDRAVVDFLGCLPQVGPSNVIAFATRDMKLPFISHNDSMWSYFEPELQRRLAELDADDSYTTRVQSALMEMLPGGETGIDDVAHRLGMSKRTLQRKLGAEKTTFQAQLKHTRQLLAQHYLTTTSMKVDEIAYLLGYIELNSFLRAFHTWLGMSPREYRARHAVDEQTGFR--------</t>
  </si>
  <si>
    <t>MKRHILEQNYPRLLASVGIDAEQVLRKAGVAEDTFTHHPPTMTTSDYFAFLTAIGKLCPPGSAVQLASATGIEQFSPPVFASYCARNGRVCIERLKQYKRIIGPLEFHTTGTTKQMSIELVCEGYELPSFLVECEFVFLVNLLRTATGEHITPTSIQLHQLDVDRAVVDFLGCLPQVGPSNVIAFATRDMELPFISHNDSMWSYFEPELQRRLAELDADDSYTTRVQSALMEMLPGGETGIDDVAHRLGMSKRTLQRKLGAEKTTFQAQLKHTRQLLAQHYLTTTSMKVDEIAYLLGYIELNSFLRAFYTWLGMSPREYRARHAVDGQT-LRPPTPPTPP</t>
  </si>
  <si>
    <t>GC_00002460</t>
  </si>
  <si>
    <t>K19776</t>
  </si>
  <si>
    <t>GntR family transcriptional regulator, galactonate operon transcriptional repressor</t>
  </si>
  <si>
    <t>MTYTPTSPTPLLDPVLKELGTEIISGKIPAGQRFTLQDLCTRFGISRTVAREVMRALEQLNLVHASRRVGITVLEKKDWAVFDKSVIAWRLETPQERDLQLHSLTQLRIAVEPIAARAAANNANPEERTRLVELSTLICDLGRSGMGNSPDFLDADIEFHTLILTSSRNEMFASLASTVATVLTGRAQLGLQPNHPADEALDHHERLAAAIASGESLAAEDYARMLVSEARESLAVLTPAS</t>
  </si>
  <si>
    <t>MTYTPTSPTPLLDPVLKELGTEIISGKIPAGQRFTLQDLCTRFGISRTVAREVMRALEQLNLVHASRRVGITVLEKKDWAVFDKSVIAWRLETPQERDLQLHSLTQLRIAVEPIAARAAANNANPEERTRLVELSTLICDLGRSGMGNSPDFLDADIEFHTLILTSSRNEMFASLASTVATVLTGRAQLGLQPNHPSDEALDHHERLAAAIASGEGLAAEDYARMLVSEARESLAVLTPAS</t>
  </si>
  <si>
    <t>GC_00002461</t>
  </si>
  <si>
    <t>MVGRFVFSKTHTLHARGRYKRCARRCVTFIVVLHASLVELAEQAPRCHSAAAVRGVLAESQDLIRNALDHGENPQDMVSWFSRLVTDTLHSAGSRELTGGATLVLTGPVGRGDALPSSPIQWLVECPCGLAPDDIDTEPLAQLITRVGLVSQPTVLGVHARYRQDWLALIRQHAERHNYGELAVFADAGTWCLAEVLRVADPILFLREALCHRPPSLKLFDGLPDKHVVVNVRRDLLYPIIALARWAGVAAKSQEFSTLARVCDAQQAGVMTANQADYLRQAWHAGLQLQLQRFVDRVHSHETTAESLPAIQRSVFGASARMVSDVAHALARDYGLEVR</t>
  </si>
  <si>
    <t>MVGRFVFSKTHMLHARGRYKRCARRCVTFIVVLHASLVELAEQAPRCHSAAAVRGVLAESQDLIRNALDHGENPQDMVSWFSRLVTDTLHSAGARELTGGATLVLTGPVGRGDALPSSPIQWLVECPCGLAPDDIDTEPLAQLITQVGLVSQPTVLGVHARYRQDWLALIRQHAGRHNYGELAVFADAGTWCLAEVLRVADPILFLREALCHRPPSLKLFDGLPDKHVVVNVRRDLLYPIIALARWAGVAAKSQEFSTLARVRDAQQAGVMTANQADYLRQAWHAGLQLQLQRFVDRVHSHETTAESLPAIQRSVFGASARMVSDVAHALARDYGLEVR</t>
  </si>
  <si>
    <t>GC_00002462</t>
  </si>
  <si>
    <t>MIRVLLVDDQALIRQAISVMLDATDDITIVGQGDTGLDAIAMAQRLQPDVVLMDIRMPELDGIAATEKICGDPDLAATRVLILTTFENDTNIVAALRAGASGFIGKGSEPEELARAVRAVAHGDALLSPSATRSLITRMLQPTETDPEPYANPELIDALTIREREVLRLVTKGLSNQEIADELVISIHTTKTHVGNIMTKLGAHDRAQLVIVGYESGLVAPGG</t>
  </si>
  <si>
    <t>MIRVLLVDDQALIRQAISVMLDATDDITIVGQGDTGLDAIAMAQRLQPDVVLMDIRMPELDGIAATEKICGNPDLAATRVLILTTFENDTNIVAALRAGASGFIGKGSEPEELARAVRAVANGDALLSPSATRSLITRMLQPTEADPEPYANPELIDALTIREREVLRLVTKGLSNQEIADELVISIHTTKTHVGNIMTKLGAHDRAQLVIVGYESGLVAPGG</t>
  </si>
  <si>
    <t>GC_00002463</t>
  </si>
  <si>
    <t>PF00271.37</t>
  </si>
  <si>
    <t>Helicase conserved C-terminal domain</t>
  </si>
  <si>
    <t>K03580</t>
  </si>
  <si>
    <t>ATP-dependent helicase HepA [EC:5.6.2.-]</t>
  </si>
  <si>
    <t>Transcription machinery&gt;&gt;&gt;Prokaryotic type&gt;&gt;&gt;Bacterial type&gt;&gt;&gt;Other transcription-related factors&gt;&gt;&gt;RNA polymerase-associated proteins</t>
  </si>
  <si>
    <t>MNKNNPPLTLDQLRDGQRVRGIVPNQTVTIKHVDRLDDATAEVIYCDEAGHYSPVILTPDRLARVEIVTESGDMPAFDGNADDFWLVAEALRITYAARHDPMVAVNSSDVDPLPHQIRAVYEELLPRVPLRFLLADDPGAGKTIMAGLYLKELILRSSCERAIIVVPGGLVEQWRDELAQKFDLHFEVFNATSDDSAGKNPFEAYPYLIVRMDQIARNDRLMRLLEQVKWDVAIVDEAHRMSAHYSLWAGEINATKRFKLGQLLSETSHNFLLMTATPHSGKEEDFQSFMSLLDRDRFEGQYRQGIHRTDTKGLMRRMVKEDLLTLDGRPLFPERRAYTVPYELSRAERDLYEQVSDYVRDEMGKADTIQDGKRRNNVGFALMVLQRRLASSPEAILRSLERRKAKLRRSQREYDAPNDYDSAVSETNWAELEQQVDEVVDRATAAQDQVQLTHEIAVLDGLIATARRVRNQDEDRKWVELRKILESKVLTGKNGENRKIIIFTEHRDTLTYLEDKITTQLGSTDAVVTIHGGTPRHLRQAIREQFAHDPRTLVLLATDAAGEGLNLQRAHLMVNYDLPWNPNRIEQRFGRIHRIGQREVCHLWNLVAHNTREGDVFNRLLEKIEVMSEAYNGNLFNVLGDTDSFDGRPLKDLLIEAIRYGDQPEIKQQLDKVIDASVSKGLDELRAKRALSEDIFSSRELDQVRNTMRDAEERKLQPGFIRSFFIPAFKRLRGLIDKRESGCYKVTYVPPLLRDIASCQYECVTFDVDYKHPAGTYHDAALIAPGHPLLDAVLVRTTEDLKPTLAQGTIFVDRSSKQLATPALLYIVEQRITAGGDKDTLYHHFDYLLVPQDSNTNVNVPNNGGITVTTTPPFLDYDTPKDEENAIIQDIMRDPMLRSWLRKDHGRTVKLWASRKGTQPRMDELERQRHAETQRVWDQVENRLTTEINYWERMISELRYQERNGHVNQRLGSKDAAAKVADLEQRLELRRREKKQASWLNAGTPLIRGMALVIPGHLIDAHSAPNAKKQAATFATETQEVERRAVEAALAAERSLGRVPEEMPRNNPGFDIRSTDPADSLAHRYYLEVKGRIAGSNTFTITNSEINFAQNHKDTHRLVLVSVHPDGPEFDEVRYVTHAFDDMEASMSTHSRNEKWSHYWGQGGAPV</t>
  </si>
  <si>
    <t>MNKNNPPLTLDQLRDGQRVRGIVPNQTVTIKHVDRLDDVTAEVIYCDEAGHYSPVILTPDRLARVEIVTESGDIPAFDGNADDFRLVAEALRITYAARHDPMVAVNSSDVDPLPHQIRAVYEELLPRVPLRFLLADDPGAGKTIMAGLYLKELILRSSCERAIIVVPGGLVEQWRDELAQKFDLHFEVFNATSDDSTGKNPFEAHPYLIVRMDQIARNDRLMRLLEQVKWDVAIVDEAHRMAAHYSLWAGEINATKRFKLGQLLSETAHNFLLMTATPHSGKEEDFQSFMSLLDRDRFEGQYRQGIHRTDTKGLMRRMVKEDLLTLDGRPLFPERRAYTVPYELSRAERDLYEQVSDYVRDEMGKADAIQDGKRRNNVGFALMVLQRRLASSPEAILRSLERRKAKLRRSQREYDAPNDYDSAVSETNWAELEQQVDEVVDRATAAQDQVQLTHEIAVLDGLIATARRVRNQDEDRKWVELRKILESKVLTGTNGENRKIIIFTEHRDTLTYLEDKITTQLGSTDAVVTIHGGTPRHLRQAIREQFAHDPRTLVLLATDAAGEGLNLQRAHLMVNYDLPWNPNRIEQRFGRIHRIGQREVCHLWNLVAHNTREGDVFNRLLEKIEVMSEAYNGNLFNVLGDTDSFDGRPLKDLLIEAIRYGDQPETRQWLDKVIDASVSKGLDELRAKRALSEDIFSSRELDQVRNTMRDAEERKLQPGFIRSFFIPAFKRLRGLIDKRESGCYKVTYVPPLLRDIASRQYECVTFDVDYKHPAGTHHDAALIAPGHPLLDAVLVRTTEDLKPTLAQGTIFVDRSSKQLATPALLYIVEQRITAGGDKDTLYHHFDYLLVPQDGDTNVNVPNNGGVTVTTTPPFLDYDTPKEEERAIIQNLMRDPMLRSWLRKDHGRTVTLWATREGIQPRMKELEQQRRRETQRVWDQVENRLTTEINYWERMISELRYQERNGHANQRLGSKDAAAKVADLEQRLELRKREKEQASWLNAGTPLIRGVALVIPGHLIDAHSAPNAKKQAATFAKETQEVERRAVEAALAAERALGRVPEEMPRNNPGFDIRSTDPADPLAHRYYLEVKGRIAGSNTFTITNSEINFAQNHKDTHRLVLVSVHPDGPEFDEVRYVMHAFDDMEASMSTHSRNEKWSHYWGQGGAPV</t>
  </si>
  <si>
    <t>GC_00002464</t>
  </si>
  <si>
    <t>MCRTILEKAKVNELELISEVIKLKDRKASEDDIVKTDVDIFVRKDKTRLVLSLLLSGDRVVSAENDEVVLEIAVSRNLMTGSYDITDSFGSCYFSDAVYIDKNYFIRIDDELDYAVNKLLRLPS</t>
  </si>
  <si>
    <t>MRRTILEKAKVKELELISEVIKLKDRKASEDDIIKTDVDIFFRKDKTRLVLSLLLSGDRVVSTENDEVVLEITASRNLMTGSYDITDSFGYCYFSDEIYIDSNYFIRLGNELDYVVNKLLGLPS</t>
  </si>
  <si>
    <t>GC_00002465</t>
  </si>
  <si>
    <t>MSIFSYNNSDAENASGDIKNVISEIEGTLTDMDGDMNKLGAAWEGSEQEEYQQIHGKWSSSAQNMRGILEQIRGALDENSSNVSEMRGRASNAISGQ</t>
  </si>
  <si>
    <t>MSIFSYNNSDAENASGDIKNVISEIEGTLSDMDGDMNKLGAAWEGSEQEEYQQIHGKWSSSAQNMRGILEQIRGALDENSSNVSEMRGRASNAISGQ</t>
  </si>
  <si>
    <t>GC_00002466</t>
  </si>
  <si>
    <t>MESAVAGTSTLNVADAISIGVRHVGQQWIPWATAMGAVLFLSLVPFITLIPMFGVVAAEDFFDVRIQEGTILGSAFAWIFFLLLCASAAAALVFWLNSVRNAYRQCQGEVITIGSFFALRGLLTPFFTLLSVVVIVGVGLVMFVIPGLIVMVLLMYVPFAAAEPGSTIAEAFVRGWQAFVDNPGKSIGLWLLVAVVYCVANFTYFALLLVFPVIQVIMMVAYLMCVRRPIALGVIPAGT</t>
  </si>
  <si>
    <t>MESAVAGTSTLNVADAISIGVRHVGQQWIPWAAAMGAVLFLSLVPFITLIPMFGVVAAEDFFDVRIQEGTILGSAFAWIFFLLLCASAAAALVFWLNSVRNAYRQCQGEVITIGSFFALRGLLTPFFTLLSVVVIVGVGLVMFVIPGLIVMVLLMYVPFAAAEPGSTIAEAFVRGWQAFVDNPGKSIGLWLLVAVVYCVANFTYFALLLVFPVIQVIMMVAYLMCVRRPIALGVIPAGT</t>
  </si>
  <si>
    <t>GC_00002467</t>
  </si>
  <si>
    <t>MKGYIRWFATLVTFFIAWIAFSTIVPLLLILPLQANIGPIELLLFTAVGLIPAFFVARKMYRHPRWEQQR</t>
  </si>
  <si>
    <t>MKGYIRWFATLVTFFIAWIAFSTIVPLLLILPLQANIGPIELLLFTAVGLIPAFFASRKMYRHPRWEQQR</t>
  </si>
  <si>
    <t>GC_00002468</t>
  </si>
  <si>
    <t>PF17920.6</t>
  </si>
  <si>
    <t>MTQIPAKERILNAARRQFAVTGFRATTLRAIAAEAECDVALIPHYFGSKERLFRAAIEFPIDVETIVTRMSDIPFEQLGETMLNEALSVWDSPLLDHIIAAFKRQIDSPQLLSDFVNNALWVGIRTRLEGMGLEKDVLEKRIGLAQTQFIGLLVGRYVLKLPGLVEQSRDEIVQAMAPILQGILNGDHHG</t>
  </si>
  <si>
    <t>MKQIPAKERILNAARRQFAVTGFRATTLRAIAAEAECDVALIPHYFGSKERLFRAAIEFPVEVETVMTEVTNTPFEQLGETMLRDVLTVWDSPLLDPIMAAFKRQIDSPQLISDFVNNALWKGIRTRLEDLGLEKDVLEKRIGLAQTQLIGLLAGRYLLRLPGLVEQNREEIVQAMAPILQGILNGDHHG</t>
  </si>
  <si>
    <t>GC_00002469</t>
  </si>
  <si>
    <t>MTQDNSDKRQTDLMDLPKFNGTDVLQPSMESKPPDTQQAQIQSEPWWTNENIIIRLWASFGALITFIGVAFLVAWGIKNGWLTPTIRVVLATLLGIALLATTPVLRRRQLHSATVGSVYVTSLLTLGATAISVGYIFDMCPPVVASAVLGVIVAAYGLGNRWLAQEGVAITVAIVSFILLGWHISRAGLTPHVFPYSLPGLLLLLAAYRRPTWPNAQAVAGILIFAGAAVGDTGSSCFFLLGAMLVTIVLRGHWLITVSLYPVMFFPGTHQIYFLLAFGIFILWACLERANPIPWGLIAVNFLSFHSYFSLVQAGYFVAFAITIWFLHRIDYREILWGLWTLIGLYLVRGLLVAAILNRPIVLGSPHPMVCWAIVIMLGVAVYRYKQVLQLPRPMPAVLAVIGLAFSMIVVLLITSTLMPSEVGFYAGHAIVSVAWLLLAAWLAIWRHTSLSVGMFLSIGVISKLIFFDMQAIQGVPRIAAFILSGIILIGIAVGYASKGAKKAPVYEPAT</t>
  </si>
  <si>
    <t>----------------------------MESKPPDTQQAQIQSEPWWTNENIIIRLWASFGALITFIGVAFLVAWGIKNGWLTPTIRVVLATLLGIALLATTPVLRRRQLHSAAVGSVYVTSLLTLGATAISVGYIFDMCPPVVASAVLGVIVAAYGLGNRWLAQEGVAITVAIVSFILLGWHISRAGLTPHVFPYSLPGLLLLLTAYRRPTWPNAQAVAGILIFAGAAVGDTGNSCFFLLGAMLVTIVLRGHWL</t>
  </si>
  <si>
    <t>GC_00002470</t>
  </si>
  <si>
    <t>MTRTVELLVSSLLVVLLIVLGVATMPAADAHPQFDAGRTAQLSIHKTASSTDTAQEPLAGVVFGIQKVNGIDLNSNEGWKELSTLDARDVQQHPERLGELTHVATRMVDATTAAAVFSDLPLGVYLVTEQPARIGDVSYSVVAPFLVPLPMNTGDGWNYDVVVQAKNQPISITKTASATNVQSGDDITYTLDSTIPAPDTQGKLYRYIVTDPLPSAVAYRSAELALTGFDGAPQLRADTDYTVRYDAASREVTLTVTESGLRTLADARAHNAAAHVLASIRVTAVGNPGDPIDNTAAFFPDGYDPATSKGISSNTHRIVIADHKPPVDGSGNNSGGAAS-----GASGGGPASNGTSADTPTSWLQRRGVLRQGQLALTGAGIYGLCIAGATALFAGAALMYYRDRKQRKAKR</t>
  </si>
  <si>
    <t>MTRTVELLVSSLLVVLLIVLGVATMPAADAHPQFDAGRTAQLSIHKTASSTDTAQEPLAGVVFGIQKVNGIDLNSNEGWKELSTLDARDVQQHPERLGELTHVTTRMVDATTAAAVFSDLPLGVYLVTEQPARIGDVSYSVVAPFLVPLPMNTGDGWNYDVVVQAKNQPISITKTASATNVQSGDDITYTLNSTIPTPDTQGKLYRYIVTDPLPSAVTYRSAELALTGFDGAPQLRADTDYTVRYDAASREVTLTVTEAGLRTLADARAHNAAAHVRASIRVTAVGNPGDPIDNTAAFFPDGYDPATSKGISSNTHRIVIADHKPPVDGSGNSSGGAASGGSAAGASGGGPASNGTSADTPTSWLQRRGVLRQGQLALTGAGIYGLCIAGATALFAGAALMYYRDRKQRKAKR</t>
  </si>
  <si>
    <t>GC_00002471</t>
  </si>
  <si>
    <t>MKHKILALCGLILMCYACSLSTATAAPQSATTDNAAITTAVKTYQSVLDAQWTNTSCTLSRCLSSSSRIVGTPAGRDTFTQVERENLKIRDELLADGTWFAVAKSDVTITQATPQPDGSAFVIATITTTLTEGGKDGKPTPGNLSDAHTITLKQVDGKYYVMADIRNDSGSTSFLSSITIKGQIVTYVFIGLVALAALLPWLAAFRSRGKHPIENKLFVSLTSTLIMTYMWWLTRNHAHVTGVNGARRVCKGSYSFMLNPRVAKILSWSNDCITHSWVAMVLITAAALALLFLELWVTRRYIAAPSVAKRAARRR</t>
  </si>
  <si>
    <t>MKHKILALCGLILMCYACSLSTATAAPQSATTDNAAITTAVKTYQSVLDAQWTNTSCTLSRCLSSSSRIVGTPAGRDTFTQVERENLKIRDELLADGTWFAVAKSDVTITQATPQPDGSAFVIATITTTLTEGGKDGKPTPGNLSDAHTITLKQVDGKYYVMADIRNDSGSTSFLSSITIKGQIVTYVFIGLVALAALLPWLAAFRGRGKHPIENKLFVSLTSTLVMTYMWWLTRNHAHVTGVNGARRVCKGSYSFMLNPRVAKILSWSNDCITHSWVAMVLITAAALALLFLELWVTRRYIAAPSVAKRAARRR</t>
  </si>
  <si>
    <t>GC_00002472</t>
  </si>
  <si>
    <t>MQQQTVTLIGHLTAEPFYREFDTGRKFARFRLGTSRRVRRFADNSAHYEERDQLYIDVETWGDLAVNVHESLSKGNPVICVGYLTTQEWRDQEGKLRTKVVLRALYVGFELCAYVVRYCRNPLPVAKHTGGADLSRFNCEPKNITHYAVEVSAMTLHDGKPPALEAASPTPPAPEAPYSEPMPDDPSAEPVSEALVASGVSHPSSTVMYP</t>
  </si>
  <si>
    <t>MQQQTVTLIGHLTAEPFYREFDTGRKFARFRLGTSRRVRRFADNSAHYEERDQLYIDVETWGDLAVNVHESLSKGNPVICVGYLTTQEWRDQEGKLRTKVVLRALYVGFELCAYVVRYCRNPLPVAKHTGGADLSRFNCEPKNITHYAVEVSAMSLHDGKPPALEAASPTPPAPEAPYSEPMPDDPPAEPVSEALVASGASHPSSTVMYP</t>
  </si>
  <si>
    <t>GC_00002473</t>
  </si>
  <si>
    <t>K00849</t>
  </si>
  <si>
    <t>galactokinase [EC:2.7.1.6]</t>
  </si>
  <si>
    <t>M00632|M00554</t>
  </si>
  <si>
    <t>Galactose degradation, Leloir pathway, galactose =&gt; alpha-D-glucose-1P|Nucleotide sugar biosynthesis, galactose =&gt; UDP-galactose</t>
  </si>
  <si>
    <t>KEGG Orthology (KO)&gt;&gt;&gt;09100 Metabolism&gt;&gt;&gt;09101 Carbohydrate metabolism&gt;&gt;&gt;00052 Galactose metabolism [PATH:ko00052]|KEGG Orthology (KO)&gt;&gt;&gt;09100 Metabolism&gt;&gt;&gt;09101 Carbohydrate metabolism&gt;&gt;&gt;00520 Amino sugar and nucleotide sugar metabolism [PATH:ko00520]|Enzymes&gt;&gt;&gt;2. Transferases&gt;&gt;&gt;2.7  Transferring phosphorus-containing groups&gt;&gt;&gt;2.7.1  Phosphotransferases with an alcohol group as acceptor&gt;&gt;&gt;2.7.1.6  galactokinase|Exosome&gt;&gt;&gt;Exosomal proteins&gt;&gt;&gt;Exosomal proteins of other body fluids (saliva and urine)</t>
  </si>
  <si>
    <t>MSVHVQWSTTRTESEAASAAAALFESEFQAPPVGVWAAPGRVNLIGEHVDYAGGVCLPFALTQCAFVAASPRDDGTISVVSNVKDKDGTDVTHRATISLSEVGPNNPASWLGYIAGTVWAMVDDGILSHNSGFNFAFVSDVPLGAGLSSSAAIECSTAVAAAELSNLTVDNALRKRLVGCCIRAENEVVGASTGGLDQKISLFGHRDSALALDFTDATETIIPCNFNNHGLAILVINTNAPHSLADGQYASRRRVIDGVADVAGASTLREVSNVDESTLAWAEANVPPDVSHDDWLDTVKRRVGHVTSEVARTLEAIENLKVNDFEAFGQRMCESHVSLRDDYEVSCQELDIAVDTAMANGALGARMTGGGFGGSAIALLDVQSAESVAASIAEAFADAGLRAPEFLMAVPSAGARKVP</t>
  </si>
  <si>
    <t>MSVHVQWSTTRTESEAASAAAALFESEFQAPPVGVWAAPGRVNLIGEHVDYAGGVCLPFALTQCTFVAASPRDDGAISVVSNVKDKDGTDVTHRATISLSEVGPNNPASWLGYIAGTVWAMVDDGILPHNSGFNFAFVSDVPLGAGLSSSAAIECSTAVAAAELSNLTVDDALRKRLVDCCIRAENEVVGASTGGLDQKISLFGHRDSALALDFTDATETVIPCNFNNHGLAILVINTNAPHSLADGQYASRRRVIDGVADVAGASTLREVSNVDESTLVWAEANVPPDVSHDDWLDTVKRRVGHVTSEVARTLEAIENLKVNDFEAFGQRMCESHVSLRDDYEVSCQELDIAVDTAMAHGALGARMTGGGFGGSAIALLDVQSAESVAASIAEAFADAGLRAPEFLMAVPSAGARKVP</t>
  </si>
  <si>
    <t>GC_00002474</t>
  </si>
  <si>
    <t>MILEQRSKGTGFIVCFMSVLRENPPVSRNRIHKMGSALREDGVVATPDDWEAYLLHQTEIVGELVKQLGDFAESNSEVLLGGETMEKNIVPGSGAYMVSGRPKTIISLKEKLRRMRETPLERIQDVAGARLDCDVTLTQQRRIADELCDLFTECGATRVDLIDLRDGSHSGYRAIHLHLRFPAGFAEVQVRTALQSHWANVYESAADIFGRQIRYLHEENCQVLLSPAEKKI--VKLLHGLSAHTSQVEKERDECSYIGLHPVGDYNVESNQEKIPSIEYKIYYTILNKLDEQFRKIRGSRRK</t>
  </si>
  <si>
    <t>GC_00002475</t>
  </si>
  <si>
    <t>MPKPMIRPAMKPVMKPVMKQSLTQDPVTPLTPEGESERPFADLTPGDDSTIVLSVVDEGGPVRLTTGTFPRLKDHHFTKASVEDLAQPPELPMQKKIAQPTRAEKALTESFQKVSDESETAARLGYRTAGHDMRRGSSDESVADSMTSMNDTADASVNTFTDDSEADALDHTMVVGFPAIAESEDAATSEFDDSENMGETSIDESDMEEVEDDYDYEDSYDYDDVDDDAYPDEAYAGGMFTNDDFTEGEDVDDDADVTDDSDTEADMDMNAPDATGVMEFEESRFDMGRFEESHDTHDDGHGRFPYRHSRLSQPLQMQQDDDAQEALQTDLQDDNDTDDRDDMDLGRPGRGRLSSARNDIDDPADDPFIDNFDEFEEEFEDDFDEESSNEKMSVLAILGMAAVGVLVGVGVFAGFQVLWDSISNKFIVAGLACVAITIIVGAVHMLRTSWDGFSMTLAGLVGVTMTFGPLAIVNMSA</t>
  </si>
  <si>
    <t>MPKPMIRPAMKPVMKPVMKQSLTQDPVTPLTPEGESERPFADLTPGDDSTIVLSVVDEGGPVRLTTGTFPRLKDHHFTKASVEDLAQPPELPMQKKIAQPTRAEKALTESFQKVSDESETAARLGYRTAGHDMRRGSSGESVADSMTSMNDTADASVNTFTDDSEADALDHTMVVGFPAIAESEDAATSEFDDSENMGETSIDESDMEEVEDDYDYEDSYDYDDVDDDAYPDEAYAGGMFTNDDFTEGEDVDDDADVTDDSDTEADMDMNAPDATGVMEFEESRFDMGRFEESHDTHDDEHGRFPYRHSRLSQPLQMQQDDDVQEALQTDLQDDNDTDDRDDMDLGRPGRGRLSSARNDIDDPADDPFIDNFDEFEEEFEDDFDEESSNEKMSVLAILGMAAVGVLVGVGVFAGFQVLWDSISNKFIVAGLACVAITIIVGAVHMLRTSWDGFSMTLAGLVGVTMTFGPLAIVNMSA</t>
  </si>
  <si>
    <t>GC_00002476</t>
  </si>
  <si>
    <t>PF00186.24</t>
  </si>
  <si>
    <t>Dihydrofolate reductase</t>
  </si>
  <si>
    <t>K00287</t>
  </si>
  <si>
    <t>dihydrofolate reductase [EC:1.5.1.3]</t>
  </si>
  <si>
    <t>COG0262</t>
  </si>
  <si>
    <t>Dihydrofolate reductase (FolA) (PDB:1DDR)</t>
  </si>
  <si>
    <t>KEGG Orthology (KO)&gt;&gt;&gt;09100 Metabolism&gt;&gt;&gt;09108 Metabolism of cofactors and vitamins&gt;&gt;&gt;00790 Folate biosynthesis [PATH:ko00790]|KEGG Orthology (KO)&gt;&gt;&gt;09100 Metabolism&gt;&gt;&gt;09108 Metabolism of cofactors and vitamins&gt;&gt;&gt;00670 One carbon pool by folate [PATH:ko00670]|Enzymes&gt;&gt;&gt;1. Oxidoreductases&gt;&gt;&gt;1.5  Acting on the CH-NH group of donors&gt;&gt;&gt;1.5.1  With NAD+ or NADP+ as acceptor&gt;&gt;&gt;1.5.1.3  dihydrofolate reductase</t>
  </si>
  <si>
    <t>MMLRAIWAQNLMGLIGDGKSMPWHVPEDLQHFKKLTLGSPIIMGRRTWESLPVRPLPGRKNLVLSRRTPGKWSNGASVIASVPESGWVIGGGVVYAATIDKVQEIHRTLIDAPTNLFELGDRAVFAPTIPPDFQLVQHSKWLKSSSGLRYKFETWTKNISR</t>
  </si>
  <si>
    <t>GC_00002477</t>
  </si>
  <si>
    <t>MKREEFIEYLRAYPGVTSVSKIQSDDAPEWSTLELLFDDGTKVNLNPDVLSTSDTDDIDIGATEKILQALDAERRSAQGGQASVPVLPLVRSLAFAIQYREMSSGAFTWLTDFIGYGIALEDAELLNPNANNNPAGYDALQLQSQAFDNLHKTMTEDYFSLVEFGLGPNVVAMPAPEGNESAWFADIPVMEYLIDYLSEQSGTPWVVIPATRNQLFFVNTAATAEEWGALLDALEPTIEYHNGIYPLPHSIIDGQWVEQPIDTETEWGRRLHTLQLQARTISYNAQAEVLSATENNIASYKALSITTVDGAEHDMSFALVPEAWITTSVPRTDLLFFESGNSGTMVPWQGVVDRLPHLIEQQPNVHPPRYTVKRPTLQEMELLQLLGL</t>
  </si>
  <si>
    <t>MKREEFIEYLRAYPGVTSVSKIQSDDAPEWSTLELLFDDGTKVNLNPDVLSTSDTDDIDIGATEKILQALDAERRSAQDGQASVPVLPLVRSLAFAIQYREMSSGAFTWLTDFIGYGIALEDAELLNPNANNNPAGYDALQLQSQAFDNLHKTMTEDYFSLVEFGLGPNVVAMPAPEGNESAWFADIPVMEYLIDYLSEQSGTPWVVIPATRNQLFFVNTAATAEEWGALLDALEPTIEYHNGIYPLPHSIIDGQWVEQPIDTETEWGRRLHTLQLQARTISYNAQAEVLSATENNIASYKALSITTVDGAEHDMSFALVPEAWITTSVPQADLLFFESGNSGTMVPWQGVVDRLPHLIEQQPDVHPPRYTVKRPTFQEMELLQLLGL</t>
  </si>
  <si>
    <t>GC_00002478</t>
  </si>
  <si>
    <t>N|W</t>
  </si>
  <si>
    <t>Cell motility|Extracellular structures</t>
  </si>
  <si>
    <t>COG3170</t>
  </si>
  <si>
    <t>Type IV pilus assembly protein FimV (FimV)</t>
  </si>
  <si>
    <t>MLGTLVPLSIFATWVMVVELYTVPKLLTVFLIDPVDFHIYRLAGEALNHGRSLYSGDFLPGLPFTYPPFAGTLFRVLPLIGPLEGTIMWQGLNALGLLIVLWLIYKEFLPALFLTIGSLGFDAIHGSFFYGQINLVLMFLVALDFLPKNRNRWAGVGVGLAAGLKLTPAFFIIIFIIERRWRAVAATIGTFLLTVFIGWLFVPDATRFWTWAIKDSSRVGIHANPGAQSLRSVMERVLHIPQWWLVAVIIVFALVILAIWLAVRRNDMGWAMVLGGIGACLVSPFSWFHHWVWIIPLFALLTRNLGRSNLQQFATTIASFALLAPHMTYFVSPHTATSLDPNNIWYLGTGLMIIVGYCVYGIFGQYGRRRTETRRQAGETDQAISDTSPQLSHPQPDTTNHAAETAPADVGNRHLCR</t>
  </si>
  <si>
    <t>MLGTLVPLSIFATWVMVVELYTVPKLLTVFLIDPVDFHIYRLAGEALNHGRSLYSGDFLPGLPFTYPPFAGTLFRVLPLIGPLEGTIMWQGLNALGLLIVLWLIYKEFLPALFLTIGSLGFDAIHGSFFYGQINLVLMFLVALDFLPKNRNRWAGVGVGLAAGLKLTPAFFIIIFIIERRWRAVATTIGTFLLTVFIGWLFVPDATRFWTWAIKDSSRVGIHANPGAQSLRSVMERVLHIPQWWLVAVIIVFALVILAIWLAVRRNDMGWAMVLGGIGACLVSPFSWFHHWVWIIPLFALLTRNLGRSNLQQFATTIASFALLAPHMTYFVSPHTATSLDPNNIWYLGTGLMIIVGYCVYGIFGQYGRRRTETRR------QALSDTSPQLSHPQPDTTNHAAETAPADVGNRHLCR</t>
  </si>
  <si>
    <t>GC_00002479</t>
  </si>
  <si>
    <t>MSDDIRKRASGFQRSTIANALRFAFDDGQLDFAEYTERSNTALGATYRDELKPLVADLDLGPHLPAPDADNFLEQVSARFPQPIMPDEVDKIHSAPPEGQQAASNALAVPTPNAVANIPTQARWLVPTNSAGQALVKTNAFLSETDRYGTWTCGPTHSVTGVCSELVLDFTNVILTSPQVELKITLVMAALKLIVPDQFRIQNNITDILAETTTDYSAVATNTGSGQANPTPPVTLILTGTNALSEIEIKVVHV</t>
  </si>
  <si>
    <t>MSDDIRKRASGFQRSTIANALRFAFDDGQLDFAEYTERSNTALGATYRDELKPLVADLDLGPHLPAPDADNFLEQVSARFPQPIMPDEVDKIHSAPPEGQQAASNALAVPTPNAVANIPTQARWLVPTNSAGQALMKTSAFLSETDRYGTWTCGPTHSVTGVCSELVLDFTNVILTSPQVELKITLVMAALKLIVPDQFQIQNNITDILAETTTDYSSVATNTGSGQANPTPPVTLILTGTNALSEIEIKVVHV</t>
  </si>
  <si>
    <t>GC_00002480</t>
  </si>
  <si>
    <t>MHVLFLGDSLTRGSIGYSFADFLPSDIQVINKGVNGDTTRGARDRLMRYITTIDCDSVVVCIGANDVLLPAMGEASLLWRPQMRVRCYLQRCATTDEDFAHEYGTICELLMQSGKDTVLMGLPHMEMKEIAPSLIERRNEIIAQLAEKYSFPYIDSGRVQREEISQRPGAYGWAYSQPCRLADGVIMTLFPRTKRWYAQHRRRRYGLKFTVDGVHLNQYSARALAQHISDVLSQ</t>
  </si>
  <si>
    <t>MRVLFLGDSLTRGSIGYSFADFLPSDIHVINKGVNGDTTRGARDRLMRYITTIDCDSVVVCIGANDVLLPAMGEASLLWRPQMRVRCYLQRCATTDEDFAHEYGKICELLMQSGKNTVLMGLPHMEMKEIAASLIERRNEIIAQLAEKYSFPYIDSGRVQREEISQRPGAYGWAYSQPCRLADGVIMTLFPRTKRWYAQHRRRRYGLKFTVDGVHLNQYSARALAQHISDVLSQ</t>
  </si>
  <si>
    <t>GC_00002481</t>
  </si>
  <si>
    <t>MPHLRIAVIGAGAAGLYTSDLLMRCSVPLHVDLIDAAPTPLGLDLHYRSPRRTKSTVRVLGNVAVSVDKLRPLYDAVIVADFTHDFAAQFAVSTAVFGQSHRTDYRDVTDYLDKQGVPYTEWLEALDLPTGRSLADWRHTLKVARGVPVCV</t>
  </si>
  <si>
    <t>MPHLRIAVIGAGAAGLYTSDLLMRCSVPLHVDLIDAAPTPLGLDLHYRSPRRTKSTVRVLGNVAVSVDKLRPLYDAVIVADFTHDFAAQFAVSTAVFGPSHRTDYRDVTDYLDEQSVPYTEWLEALDLPTGRSLADWRHTLKIARGVPVCV</t>
  </si>
  <si>
    <t>GC_00002482</t>
  </si>
  <si>
    <t>COG4403</t>
  </si>
  <si>
    <t>Lantibiotic modifying enzyme (LcnDR2) (PDB:5DZT)</t>
  </si>
  <si>
    <t>MHSEFPNYYHVLSKSFKKTLLNRLTSADLPVTGTLIDDANNWFLSRSAEFAQRALIDAFHAWRETTGYPDNAESSTAYDDFNQLLLDPNQRTTLVNDRFPKLGQLQERVFSYSVDAVVEAIERFYEDRPHLAMLNVKVDDTIVSLGFHGEETHNHGRTAIVITTDSAVVVYKPRSGMGEIAIDMVCRHLGAAPFSLVAPTIDIGDYCWQLFINPPATGVVDVPAYMRAAGTLLAACHILGTTDLHVDNICCSSAGLPTIIDGETALQFRLPAGLNLDATDVLASGMLPTVLSRSEFWRHFSGLNFFPHEKTATCVKHAVTDSGTDAVAFLRVSYQHPRPPIVADLQNIDPAQAMGILIEGFEKARVQAALSPTLAAYIRDMERVLRWRQVLRATGTYQSFLEASLMPAALAGLDDPLTLLDKGPRGMVDGPTIGVQERLQLADGDVPFFQMDATGKVYDGAGHHVGQASFTDRFSLPSSRLADFTSIAGPAYAQVLDANAHALTLHQPLDTVARVTEPNMRQEILKKSTALPDSGGDRWLCFGIGDEDLTIEAQSISFLMSDGTSWALSDADELQNRWEEFVREAPEVPANFVGFGPGTSLLVTQKAAGDATIVDKLPGVMDSMDTTTDFLGGIDAALAALAHVTADVNPQPIVKSVMTFIGHQLQAAQPETNAGIAHGAAGLLLGAHGLVEFSRARNLVVPDTIRCSMDTIADGIAKTALTMLTDPNITNGLAWCNGASGIAGALAITGYLSHYPGLVDTYLTATQAKTAEPTSDNDQAGIDVSLCHGLAGTLSTLQLLRDFGYADPKVVDKFHAYVEHIALTAPICFGYPNNIHDMGYLNGLGGTYHALYPENHGSIRPLFAGN</t>
  </si>
  <si>
    <t>MHSEFPNYYHVLSKSFKKTLLNRLTSADLPVTGTLIDDANNWFLSRSAEFAQRALIDAFHAWRETTGYPDNAESSAAYDEFNRLLLDPTQRTALVNDRFPKLGQLQERVFSYSVDAVVEAVKRFYEDRPHLAMLNVKADDTIVSLGFHGEETHNHGRTAIVVTTDSAVVVYKPRSGMGEIAIDMACRHLGAAPFSLVAPTIDIGDYCWQLFISPPATGVVDVPAYMRAAGTLLAACHILGTTDLHVDNICCSSAGLPTIIDGETALQFRLPAGLNLDATDVLASGMLPTVLSRSEFWRHFSGLNFFPHEKTATCVKHAVTDSGTDAVAFLRVSYQHPRPPIVADLQNIDPAQAMGILIESFEKARVQAALSPTLAAYVRDMERVLRWRQVLRATGTYQSFLEASLMPAALAGLDDPLTLLDKGPRGMVDGPTIGVQERLQLADGDVPFFQMDATGKVYDGAGHHVGQASFTDRFSLPSSRLADFTSIAGPAYAQVLDANAHALTLHQPLDTVARVTEPDMRQEILKKSTALPDSGGDRWLCFGIGDEDLTIEAQSISFLMSDGTSWALSDADELQNRWEEFVREAPEVPANFVGFGPGTSLLVTQKAAGDATIVDKLPGVMDSMGTTTDFLGGIDAALAALAHVTADVNPQPIVKSAMTFIGHQLQAAQPETNAGIAHGAAGLLLGAHGLVEFSSARNLVVPDTIRRSMDTIADGIAKTALTMLTDPNITNGLAWCNGASGIAGALAITGYLSHYPGLVDTYLTATQVKTTELTSDNDQAGIDVSLCHGLAGALSTLQLLRDFGYADPKTVDKFHAYVEHIALTAPICFGYPNNIHDMGYLNGLGGTYHALYPENHGSIRPLFAGN</t>
  </si>
  <si>
    <t>GC_00002483</t>
  </si>
  <si>
    <t>MIVLVDGPSGSGKTTLATRLGILLRLPVIHMDDFYPGWSGLAAGSDIIAASVLKTTDPGYYRWDWANDRAGEWVPVPPGAKIIEGAGAVTAETLRAASISDPRVAAIMLTGEATTRYRRAMRRDPYYEPYWEMWAEQEKRHYAVQSQGLGDLVPTLWIDTTGLDAGQVVRRAYDFITYYVE</t>
  </si>
  <si>
    <t>MIVLVDGPSGSGKTTLATRLGILLWLPVIHMDDFYPGWSGLAAGSDIIAASVLKTTDPGYYRWDWANDRAGEWVPVPPGAKIIEGAGAVTAETLRAASISDHQVAAIMLTGEATTRYRRAMRRDPYYEPYWEMWAEQEKRHYAVQSQGLGDLVPTLWIDTTGLDAGQVVRRAYDFITYYVE</t>
  </si>
  <si>
    <t>GC_00002484</t>
  </si>
  <si>
    <t>MTAANATPESHTVASQSVWENLKQRRQDTFRRPYFDYLNVMLVVALLATIGIVMVTSASMTTSVVDNNGKAWHVAGNQLLYVLGGITVMWLAMRLPINTLRRLSSILLWGTILLLILVLIPGIGTGLAEKGSQSWISLGSFRLQPSEIARVAIALWGANILAGHKPRFNSINAPFVKFLAVAGTMFTLILAERDLGMAMTFLLVVVALLFFAGINMRYIAGLGVFVAVGFTIVFLAGGLRGKRFDTFISALFGNFADTKSSAFQSYQGFLSLADGSLTGVGLGQSRAKWFYLPEAKNDFIFAIIGEEMGLMGGALVICLFSWLAYIGFRIAARSAHQFLALTAATLTAGVVAQAFINMGYVVGLLPVTGINLPMISAGGTSAVITLGAMGILANCARHEPDTIAAMANFGKPAFDRVLFLPEPTLNGLDRYPAGRRRGDRRTPQTSLDTRTTRDNPNPTVQHPSGPKTGESRGQ----GAARSRAASAPTPKKTGFFPGRSRTSQPVRRPLPARTTARDTSRDPNPANREVSREVTRTTGRRTSPTTSLGPAQTRTSYERHDPRSGRYRTTGRR</t>
  </si>
  <si>
    <t>MTAANATPESHTVASQSVWENLKQRRQDTFRRPYFDYLNVMLVVALLAAIGIVMVTSASMTTSVVDNNGKAWHVAGNQLLYVLGGVTVMWLAMRLPINTLRRLSSILLWGTILLLILVLIPGIGTGLAEKGSQSWISLGSFRLQPSEIARVAIALWGANILAGHKPRFNSINAPFVKFLAVAGTMFTLILAERDLGMAMTFLLVVVALLFFAGINMRYIAGLGVFVAVGFTIVFLAGGLRGKRFDTFISALFGNFADTKSSAFQSYQGFLSLADGSLTGVGLGQSRAKWFYLPEAKNDFIFAIIGEEMGLMGGALVICLFSWLAYIGFRIAARSAHQFLALTAATLTAGVVAQAFINMGYVVGLLPVTGINLPMISAGGTSAVITLGAMGILANCARHEPDTIAAMANFGKPAFDRVLFLPEPTLNGLDRYPAGRRRGDRRTPQTSLDTRTTRDNPNPTVQHPSGPKTGESRGQGAAGGAARSRAASAPTPKKTGFFPGRSRTSQPVRRPLPARTTARDTSRDPNPANREVSHEVTRTTGRRTSPTTSLGPARTRTSYERHDPRSGRYRTTGRR</t>
  </si>
  <si>
    <t>GC_00002485</t>
  </si>
  <si>
    <t>MPTSVPPESATPMPGASTPTVSVLMSVYRNTRADELTAALDSLLQQTRRADEILIVEDGPLTPELYEVLEQHCREHPTSRRLPLPVNQGLGPALQAGLETIETDFVARLDSDDIAAPERFARQLACFTTGQNLDVVGSAVSEFYHHPGDTNNVRALPETHEAIQRYAKINNPINHPSVMMRVSAVKAVGGYQNVHFMEDYDLFARLLAHGYRFYNIPEPLTFFRVSDDQFRRRTSAGMWAAERQLQRNLVTYGLVSYPRSVGNFIIRMSYRKIPHGLLKRVYSLLFHRSSQ</t>
  </si>
  <si>
    <t>MPTSVPPESATPMPGASTPTVSVLMSVYRNTRADELTAALDSLLQQTRRADEILIVEDGPLTPELYEVLEQHCREHPTSKRLPLPVNQGLGPALQAGLETIETDFVARLDSDDIAAPERFARQLACFTTGQNLDVVGSAVSEFYHHPGDTNNVRALPETHEAIQRYAKINNPINHPSVMMRVSAVKAVGGYQNVHFMEDYDLFARLLAHDYRFYNIPEPLTFFRVSDDQFRRRTSAGMWAAERQLQRNLVTYGLVSYPRSVGNFIIRMSYRKIPHGLLKRVYSLLFHRSSQ</t>
  </si>
  <si>
    <t>GC_00002486</t>
  </si>
  <si>
    <t>MSLTLITARRVIAEVLRDRRTVALVLLVPSFMLWLMYLIYDGNRRLFDSIAVLMLGVFPMLMMFIIASVSMQRERSNGTLERLWTTRLSRIQFLAAYGISFSFFALLQSTLLVGVAHWLLDVTTAAPLGWVFLVSPLSGIVGGSLGLMTSAFASNEFQAVQFMPVVIVPQFLLSGVLVPRDTMLRGLEIVSNVLPLSYVIDALQELAAQPELGDNYWKDVAILVLFIVGILVTAALSIPRQTT</t>
  </si>
  <si>
    <t>MSLTLITARRVIAEVLRDRRTVALVLLVPSFMLWLMYLIYDGNRRLFDSIAVLMLGVFPMLMMFIIASVSMQRERSNGTLERLWTTRLSRIQFLAAYGISFSFFALLQSTLLVGVAHWLLDVTTAAPLGWVFLVSPLSGIVGGSLGLMTSAFASNEFQAVQFMPVVIVPQFLLSGVLVPRDTMLRGLEIVSNVLPLSYVIDALQELAAQPELGDNYWKDVGILVLFIVVILVTAALSIPRQTT</t>
  </si>
  <si>
    <t>GC_00002487</t>
  </si>
  <si>
    <t>PF13473.12</t>
  </si>
  <si>
    <t>Cupredoxin-like domain</t>
  </si>
  <si>
    <t>COG3794</t>
  </si>
  <si>
    <t>Plastocyanin (PetE) (PDB:3BQV)</t>
  </si>
  <si>
    <t>MNRLAKTAWHRKASKPVTVWMAALVLISLVHWALPNYRWVLIHMFTLGIVTNSIMLWSQHFTEKFLHHQLPEETRPWQLRRFAILNVGILLIITGQLTKDMFAQHWHITAVGATVVGGSLAFHAGYLGRQYLQAKRGQRYAPSVIAYICSACCLPLGALAGAALAAGFPNPWQERLLLTHLILNILGFVGFAAIGSLMLLFPAIWRTQAHYERAPLTFALMSIGLTTAAGGALFGQGLIVAGGLVAYLIGIIIPIMSWGACVVTVLRDPRDRVTFAAVSVAAAPLWLCGTLIVLAYRAATDLGTTAVSLPTMPFLIGFAAQLLIGVMSNILPSNIGGGPKATRTGMLVYDRAGLFRATLVNVGLACWLYTENSWLRVVLSILAMGSLAVFLVLTPFAVRAQLGVIRKTREPLPLAEKPKTNQITAALAVLALVIASFGGLVDGGSGGSSGVVTAGGTGKITEVALDMKGLRFSPDVITVPAGNQLVLTVHNSDTMAHDLKFDNGAHTGRMNPGEQKRLEVGVISADMAGWCTIAGHRAQGMEMTVKADTSGGSGSSSS---GSNGGGADTAKPTSAHKPTHPIQNGTDDSLEPITER</t>
  </si>
  <si>
    <t>MNRLAKTAWHRKASKPVTVWMAALVLISLVHWALPNYRWVLIHMFTLGIVTNSIMLWSQHFTEKFLHHQLPEETRPWQLRRFAILNVGILLIITGQLTKNMFAQHWHVTAVGATVVGGSLAFHAGYLGRQYLQAKRGQRYAPSVIAYICSACCLPLGALAGAALAAGFPNPWQERLLLTHLILNILGFVGFAAIGSLMLLFPAIWRTQAHYERAPLTFALMSIGLTTAAGGALFGQGLIVAGGLVAYLIGIIIPIMSWGACVVTVLRDPRDRVTFAAVSVAAAPLWLCGTLIVLAYRAATDLGTTAISLPTMPFLIGFAAQLLIGVMSNILPSNIGGGPKATRTGMLVYDRAGLFRATLVNVGLACWLYTENSWLRVVLSILAMGSLAVFLVLTPFAVRAQLGVIRKTREPLPLAEKPKTNQITAALAVLALVIASFGGLVDGGSGGSSGVVTAGGTGKTTEVALDMKGLRFSPDVITVPAGNQLVLTVHNSDTMAHDLKFDNGAHTGRMNPGEQKRLEVGVISTDMAGWCTIAGHRAQGMEMTVKADTSGGSGSSSSGSNGSNGGGADTAKPTSAHKPTHPIQNGTDDSLEPITER</t>
  </si>
  <si>
    <t>GC_00002488</t>
  </si>
  <si>
    <t>PF07739.18</t>
  </si>
  <si>
    <t>TipAS antibiotic-recognition domain</t>
  </si>
  <si>
    <t>K21744</t>
  </si>
  <si>
    <t>MerR family transcriptional regulator, thiopeptide resistance regulator</t>
  </si>
  <si>
    <t>MIDNTELTVGQMADYLGVTTRTLRHWDNIGLLVPSFRTWSDYRLYTEADIERAMQILVYREAGVPLKDIEEMLDKPGTVREHLRNQKRLLLEQIDHLHEMVRAVDTIMEGNLTMDEKVELFGKKWHDYEEEAEARWGDTPEWAQAQERTAQMTREDWVKVVAEMEAFNRDVAAAKAAGVAPGSDAAKELVARHRAQVERYYDCTLSKQVLLARLYVADERYRDMYTNPEYLLTLVEAEAAAAGIDLQSVEWG</t>
  </si>
  <si>
    <t>MIDNTELTVGQMADYLGVTTRTLRHWDNIGLLVPSFRTWSDYRLYTEADIERAMQILVYREAGVPLKDIEEMLDKPGTVKEHLRNQKRLLLEQIDHLHEMVRAVDTIMEGNLTMDEKVELFGKKWHDYEEEAEARWGDTPEWAQAQERTAQMTREDWVKVGAEMEAFNRDVAAAKAAGVAPGSDAAKELVARHRAQVERYYDCTLSKQVLLARLYVADERYRDMYTNPEYLLTLVEAEAAAAGIDLQSVEWG</t>
  </si>
  <si>
    <t>GC_00002489</t>
  </si>
  <si>
    <t>MENLVWGARDSQGKVTSMKLHLGDPEGQVIATFVYDTSASPDVQFATLEGDSPEKIDLVFNGKGGAKADRPNGASFSAHPNKQRFSRSDEIMLDLGQRSLRMVNEAKSDWVIEDQDGTKLGQFSGANHGVRHVIVEMEPDAQLTPVEAAFVAWIARLTLEEKLVSTTWVLTMTLAAMTPFIIWYFFI</t>
  </si>
  <si>
    <t>MENLVWGARDSQGKVTSMKLHLGDPEGEVIATFVYDTSASPDVQFATLEGDSPEKIDLVFNGKGGAKADRPNGASFSAHPNKQRFSRSDEIMLDLGQRSLRMVNEAKSDWVIEDQDGTKLGQFSGANHGVRHVIVEMEPDAQLTPVEAAFVAWVARLTLEEKLVSTTWVLTMTLAAMTPFIIWYFFI</t>
  </si>
  <si>
    <t>GC_00002490</t>
  </si>
  <si>
    <t>MDIYADILPGRSLGGFALLECYDQRLGLEYAPISTHAIRYSFPNDTVELNVDVQTGIIYKISALTNYKGTLLGSIHVGDSIPDVLQNDPSFIYDDFEMAYFSEGSPGVALEPDVYDPWPEDFPYLRIGAITIFDAEYIRNARKLTLDYTC</t>
  </si>
  <si>
    <t>MDIYADILPGRSLGGFALLECYDQRLGLEYTPISTHAIRYSFPNDTVELNVDVQTGIIYKISALTNYKGTLLGSIHVGDSIPDVLQNDPSFIYDDFEMAYFSEGSPGVALEPDVHDPWPEDFPYLRIGAITIFDAEYIRNARKLTLDYTC</t>
  </si>
  <si>
    <t>GC_00002491</t>
  </si>
  <si>
    <t>MTHNRRRTVIAAALTSLFTALASVFTAPLAHAALTPPWLGSADSAFQGLVQSVANSPGSSGQRLSDFLGSAQNAGLADFRPTGPLTSSDGNYPIPTNPNIKETKLVKVTDDPWQRVQRWTVDSPSMQRPVEVQIMLPKDRKAPAPMLYLFDGISGTETSGWLKWGGLEKVFAEENVTIVMPTGASASLYSDWVRDDPALGRYKWETFVTKELAPLLERPEHGLNFNGKRGVAGLSMGAIGAVHMANAHSELFNAVMGLSGCYSTMDPIGRQIAKVMVESRGGNVENMWGPYGSDMWRYHDVVTHPEGLRNMRVYLFTADGTVTQVELDYQKTRPFYELAAGAVLEQGTHQCTVALDQAMRKAGMTHQTVEYKHGGVHSWDLFDRQLPTAWQAIKPSLM</t>
  </si>
  <si>
    <t>MTHNRRRTVIAAALTSLFTALASVFTAPLAHAALTPPWLGSADSAFQGLVQSVANSPGSSGQRLSDFLGSAQNTGLADFRPTGPLTSSDGNYPIPTNPSIKETKLVKVTDDPWQRVQRWTVDSPSMQRPVEVQIMLPKDRKAPAPMLYLFDGISGTETSGWLKWGGLEKVFAEENVTIVMPTGASASLYSDWVRDDPALGRYRWETFVTKELAPLLERPEHGLNFNGKRGVAGLSMGAIGAVHMANAHPELFNAVMGLSGCYSTMDPIGRQIAKVMVESRGGNVENMWGPYGSDMWRYHDVVTHPEGLRNMRVYLFTADGTVTQAELDYQKTRPFYELAAGAVLEQGTHQCTVALDQAMRKAGMTHQTVEYKHGGVHSWDLFDRQLPTAWQAIKPSLM</t>
  </si>
  <si>
    <t>GC_00002492</t>
  </si>
  <si>
    <t>K11206</t>
  </si>
  <si>
    <t>deaminated glutathione amidase [EC:3.5.1.128]</t>
  </si>
  <si>
    <t>COG0388</t>
  </si>
  <si>
    <t>Omega-amidase YafV/Nit2, hydrolyzes alpha-ketoglutaramate (Nit2) (PUBMED:28373563)</t>
  </si>
  <si>
    <t>KEGG Orthology (KO)&gt;&gt;&gt;09190 Not Included in Pathway or Brite&gt;&gt;&gt;09191 Unclassified: metabolism&gt;&gt;&gt;99980 Enzymes with EC numbers|Enzymes&gt;&gt;&gt;3. Hydrolases&gt;&gt;&gt;3.5  Acting on carbon-nitrogen bonds, other than peptide bonds&gt;&gt;&gt;3.5.1  In linear amides&gt;&gt;&gt;3.5.1.128  deaminated glutathione amidase</t>
  </si>
  <si>
    <t>MKIAIGQIGTDADKTANFALVAQAVITAAMNHARLILFPEATMRAFGTGRLDEIAEPLDGPFVSALAGLAKNYNIAIVVGMFRPADQHVVSGRTINRVYNTTVAICPDGTVVHYDKIHTYDAFGYRESDTIKPGKNLVTFTYNAVTFGLATCYDLRFPQQFRQLARRGADIILVPTSWADGPGKLQQRQLLIRARALDATSWVIAADQTHHATSWVIAADQTHHAISHPRGVGHSAFVQPDGMIVLEAGPNAQMLLYDVDPHLVHRIREKLPVIYGD</t>
  </si>
  <si>
    <t>MKIAIGQIGTDADKTANFALVAQAVITAAMNHARLILFPEATMRAFGTGRLDEIAEPLDGPFVSALAGLAKNYNIAIVVGMFRPADQHVVSGRTINRVYNTTVAICPDGTVVHYDKIHTYDAFGYRESDTIKPGKNLVTFTYNAVTFGLATCYDLRFPQQFRQLARRGADIILVPTSWADGPGKLQQRQLLIRARALDATSWVIAADQTHHAT-------------SHPRGVGHSAFVQPDGMIALEAGPNAQMLLYDVDPHLVHRIREKLPVIYGD</t>
  </si>
  <si>
    <t>GC_00002493</t>
  </si>
  <si>
    <t>PF06029.17</t>
  </si>
  <si>
    <t>AlkA N-terminal domain</t>
  </si>
  <si>
    <t>COG0122|COG2169</t>
  </si>
  <si>
    <t>3-methyladenine DNA glycosylase/8-oxoguanine DNA glycosylase (AlkA) (PDB:1DIZ)|Methylphosphotriester-DNA--protein-cysteine methyltransferase (N-terminal fragment of Ada), contains Zn-binding and two AraC-type DNA-binding domains (AdaA) (PDB:1ADN)</t>
  </si>
  <si>
    <t>MLTRHRIPVQEPYDAPGIFTFLADRVIDGVEHADLDQLRYARTIHLPHGPGAVEVTYTQGALETTLELADTTDAPAAIGRVQRLFDAHRDPGDVDTHLKSDPLLAPSVRATPGIRVPGAANYEEMLVRALVGQQISVAAARKHLSRLAEAAGAPYESEIAGLNRCFPTPEQIISAVGDPESLEPTRPLRLPRQSVKAVVASMRALLDGELNVHTDADPEELFTQLVARPRIGIWTANYVLMRLLGHPDVWPEGDVALVAGARKLGIVEGKQHKILARKAMDWAPWRSYAAMHIWRNAS</t>
  </si>
  <si>
    <t>MLTRHRIPVQEPYDAPGIFTFLADRVIDGVEHADLDQLRYARTIHLPHGPGAVEVTYTQGALETTLELADTTDAPAAIGRVQRLFDAHRDPGDVDTHLESDPLLAPSVRATPGIRVPGAVNYEEMLVRALVGQQISVAAARKHLSRLAEAAGAPYESEIAGLNRCFPKPEQIISAVGDPESLEPTRPLRLPRQSVKAVVASMRALLDGELNVHADADPEELFTQLVARPRIGIWTANYVLMRLLGHPDVWPEGDVALVAGARKLGIVEGKQHKILARKAMDWAPWRSYAAMHIWRNAS</t>
  </si>
  <si>
    <t>GC_00002494</t>
  </si>
  <si>
    <t>MLFKFPRAFLAAASVTSILALSGCVLPTSLPTSSMSGQAEASQSSAPAADNTQSAGAKSIANHTIGEVLEIGKYLPEQNGQEYFNPCRDFTKEQWASLGLEAKPYDPQTDSPVFMTPTLCQVKGTGNDVKGISITADSRGIKEALKDAKRQDDVNVKRPDYVYFYTEPKDEKNKCTAATVTNQGRVAVQVYEYRDDKTSSIEPICQQALDIMQKMFQLPAQAQVASAPPTAPVDPSAAPATPQPTPPPTTSAAPEPPASTSNNVPTGQTLGEKLGVGKFRITDLPRKTFNACTEITREQWLSLDLKVEKEIKSSPINGLPEDQSRKTCQVRNNPGGEEPTEQFRVSADYTTYALQMSFDKLVVNVKVNKPDYIYLFEEKSNTAENICSAGAETNRGRMAVTANLQGSAGSKPTKEQACQRAADQLMAISNLKAEALENPLHME</t>
  </si>
  <si>
    <t>MLFKFPRVFLAAASATSILALSGCVLPTSLPTSSVAEQAEASQSSAPAAENTQSAGAKSIANHTIGEVLEIGKYLPEQNGQEYFNPCRDFTKEQWASLGLEAKPYDPQTDSPVFMTPTLCQVKGTGNDVKGISITADSRGIKEALKDAKRQDDVNVKRPDYVYFYTEPKDEKNKCTAATVTNQGRVAVQVYEYRDDKTSSIEPICQQALDIMQKMFQLPAQAQVASAPPTTPTDPSAEPATPQPTPPPATSTAPEPPASTSNNVPTGQTLGEKLGVGKFRITDLPRKTFNACTEITREQWLSLDLKVEKEIKSSPINGLPEDQSRKTCQVRNNPGGEEPTEQFRVSADYTTYALQMSFDKLVVNVKVNKPDYIYLFEEKSNTAENICSAGAETNRGRMAVTANLQGSAGSKPTKEQACQRAVDRLLEISNLKAEALENPLHME</t>
  </si>
  <si>
    <t>GC_00002495</t>
  </si>
  <si>
    <t>K|U|W</t>
  </si>
  <si>
    <t>Transcription|Intracellular trafficking, secretion, and vesicular transport|Extracellular structures</t>
  </si>
  <si>
    <t>COG1321|COG3267</t>
  </si>
  <si>
    <t>Mn-dependent transcriptional regulator MntR, DtxR family (MntR) (PDB:1B1B)|Type II secretory pathway ATPase component GspA/ExeA/MshM (ExeA) (PUBMED:21378198)</t>
  </si>
  <si>
    <t>MNQQYRNQFRPSFGMSPLYLAGRDEWIRSFHLGLFEPGNPIRASLVWGPRGIGKTVLLNEFEDIAAQYGWIVLRADPRQDMIHHLMHTVIPRAVADPASKSNRKITGITIAGLGGVNMMVEHATRPEPTLNTMLRDLLRTVDGVLITIDEVQSVPIEEMRELATTIQDLRRDDLNIAFSGAGLVQGINDLMNHPGMTFLRRAETIQLDMVTDRDVATTLRETMDEGGKQFDEAGLMAATALTRGYPYLIQAVGSLLWAQAEIDHHNQVTADTVAKIHDDVIYRMGHQVHRPALAHLSERELDFLHHMAALGPEPASTSKIADRMGLKANVASQTRAKLLNRELIAVPARGKVEFTLPYLREYLLEGRIP</t>
  </si>
  <si>
    <t>MNQQYRNQFRPSFGMSPLYLAGRDEWIRSFHLGLFEPGNPIRASLVWGPRGIGKTVLLNEFEDIAAQYGWIVLRADPRQDMIHHLMHTVIPRAVTDPASKSSRKITGITIAGLGGVNMTVEHATRPEPTLNTMLRDLLRAVDGVLITIDEVQSVPIEEMRELATTIQDLRRDDLNIAFSGAGLVQGINDLMNHPGMTFLRRAETIQLDMVTDRDVATTLRETMDEGGKQFDEAGLVAATALTRGYPYLIQAVGSLLWAQAEIDHHNQVTADTVAKIHDDVIYRMGHQVHRPALAHLSERELDFLHHMAALGPEPASTSKIADRMGLKANVASQTRAKLLNRELIAVPARGKVEFTLPYLREYLLEGRIL</t>
  </si>
  <si>
    <t>GC_00002496</t>
  </si>
  <si>
    <t>PF01981.21</t>
  </si>
  <si>
    <t>Peptidyl-tRNA hydrolase PTH2</t>
  </si>
  <si>
    <t>K04794</t>
  </si>
  <si>
    <t>peptidyl-tRNA hydrolase, PTH2 family [EC:3.1.1.29]</t>
  </si>
  <si>
    <t>COG1990</t>
  </si>
  <si>
    <t>Peptidyl-tRNA hydrolase (Pth2) (PDB:1Q7S)</t>
  </si>
  <si>
    <t>MDPTLLLKAHERLQRCMADDRDGENPDDPSTVQSMPIILNIPKVNPPAKTDLLEAAAKATVACCLDDRAGGDTAYAEALQSWYGARIRKIARRARNTAWDNVHDVPGVTVESGTAKARACVPTAVVDTHPLVSRLQIGGTDLPDDAPGPLRLDVPTVFAQRDLGMTLGKAAAQVGHGAMLLAAAMPPEWVLQWAERGFDLQVREISAEEFDKQCARADAVPVRDAGYTEVDPGSLTVVAVPTP</t>
  </si>
  <si>
    <t>MDPTLLLKAHERLQRCMADDRDGENPDDPSTVQSMPIILNIPKVNPPAKTDLLEAAAKATVACCLDDRAGGDTAYAEALQSWYGARIRKIARRARNTAWDNVHDVPGVTVESGTAKARACVPTAVVDTHPLVSRLQIGGTDLPDDAPGPLRLDVPTVFVQRDLGMTLGKAAAQVGHGAMLLAAAMPPEWVLQWAERGFDLQVREISAEEFDKQCARADAVPVRDAGYTEVDPGSLTVVAVPTS</t>
  </si>
  <si>
    <t>GC_00002497</t>
  </si>
  <si>
    <t>MKRFIRTSVAAAAATSLLISAAPAMAQESSTATSLSKETTTSTATTSEHKSEEPTTEKDKEKGSGLLEGLTALSRDDNGLLNAKKVKEWLDLISTIFKTLTNVFNITNKF</t>
  </si>
  <si>
    <t>MKRFIRTSIAAAAATSLLISAAPAMAQESSTATSLSKETTTSTATTSEHKSEEPTTEKDKEKGSGLLEGLTALSRDDNGLLNAKKVKEWLDLISTIFKTLTNVFNITNKF</t>
  </si>
  <si>
    <t>GC_00002498</t>
  </si>
  <si>
    <t>MSPAPPPRTTILAKYLVVGYTGFLIVLLLGVLFQPGVLLLRDMAVLRHPALHVGAVGFGDLPARNAPQDGFLALVGMVIPASWFVRMLLVGSAAAGTWGAATLATLARSPAGRNSVAFRQVAAITVTVWNPFVVERLLQGQWSVAMVAWLLPAVVACRTHPAWQVATVWVCSLTPTGGFVALIVALVSACRRRFVAVFGTLCLLPWLVPSMIAPPTSAGTSAFLGRPEELVGTLGAFLGLGGMWNAAAVPASRNVGFAVAGVILAALLVRWIPRRWLVVSAMAVLVFCVLWRWPGLVAHVPGLALFRDSQKLALFLIPGLVIAAGRIGAACPTQLRSGMVSGVVALLAVLQVPDAPVALMALRPLPEPAIVREVQVARPTGDVANMDSAGLVVYAGRTVIDPLYKAVGSVEAGQLVVDGQVVDPASSRYVAARSAWKARDTTQLAKLGVSHVVADGKLIDLRNEPVAHRGGFYAGLVLLAAWLCIPIAAGVVARRW</t>
  </si>
  <si>
    <t>MSPAPPPRAAAVAKYLVVGYAGFLIVLLLGVLFQPGVLLLRDMAVLRHPALHAGAVGFGDLPARNAPQDGLLALVGMVIPASWFVRMLLVGSAAAGTWGAATLATLARSPAGRNSVAFRQVAAITVTVWNPFVVERLLQGQWSVAMVAWLLPAVVACRTRPTWQVATVWVCSLTPTGGFVALIVALVSACRRRFVAVFGTLCLLPWLVPSVIAPPTSAGTSAFLGRPEKLVGTLGAFLGLGGMWNAAAVPISRNVGFAVAGVILTTLLVRWVPRRWLVVSAMAVLVFCLLWRWPGLVAHVPGLALFRDSQKLALFLIPGLVIAAGQIGAACPTRLRSGVVSGVVTLLAVLQVPDAPVALMALRPLPEPAIVREVQAAEPTGDVANMDSAGLVVYTGRTVIDPLYKAVGSVEAGQLVVDGQVVDPASARYVAARAAWKARDMAQLAKLGVSHVVADGKLIDLRNEPVAHHGGFYAGLGLLAAWLCIPIVAGVVARRR</t>
  </si>
  <si>
    <t>GC_00002499</t>
  </si>
  <si>
    <t>K01929</t>
  </si>
  <si>
    <t>UDP-N-acetylmuramoyl-tripeptide--D-alanyl-D-alanine ligase [EC:6.3.2.10]</t>
  </si>
  <si>
    <t>COG0770</t>
  </si>
  <si>
    <t>UDP-N-acetylmuramyl pentapeptide synthase (MurF) (PDB:4CVK)</t>
  </si>
  <si>
    <t>KEGG Orthology (KO)&gt;&gt;&gt;09100 Metabolism&gt;&gt;&gt;09105 Amino acid metabolism&gt;&gt;&gt;00300 Lysine biosynthesis [PATH:ko00300]|KEGG Orthology (KO)&gt;&gt;&gt;09100 Metabolism&gt;&gt;&gt;09107 Glycan biosynthesis and metabolism&gt;&gt;&gt;00550 Peptidoglycan biosynthesis [PATH:ko00550]|Enzymes&gt;&gt;&gt;6. Ligases&gt;&gt;&gt;6.3  Forming carbon-nitrogen bonds&gt;&gt;&gt;6.3.2  Acid-D-amino-acid ligases (peptide synthases)&gt;&gt;&gt;6.3.2.10  UDP-N-acetylmuramoyl-tripeptide---D-alanyl-D-alanine ligase</t>
  </si>
  <si>
    <t>MITLRLDEIAAIVGGRLADATGAEVITGNVEFDSRKVASGDLFVALSGVKVDGHDYAAAAMDRGAAGVLAARPVGVPAVIVPPATEVDHHSYATEHDTDGSVAAVLEGMAKLARYVVDKLSARGLTVIGITGSAGKTSTKDIVHTILELAGDTVAPPGSFNNEIGHPYTALRCTEATKYLVSEMSARSIGNIAHLAAIAPPHIGVVLNVGTAHMGEFGSRDNIARAKGELVEALPADGIAVLNADDDYVAAMADRTSATVWSFSTLHKPVRVAATDIRLDNLSRPTFTLIGTDSQKVTHTAQVTLQIFGEHQVANALAAATAALAAGVDFATVAQGLRAHTVRSAHRMDVHHAGNDVIVIDDAYNANPESMRAGLRALALAAAKNGPGARSIAVLGPMAELGQDATADHVELMRTVAEQGIDLVVVVGTDENARAMINAAAAMGLRAIPTADTTQAATEVLKVLGRGDVILVKASNAYRLWQVAEAVVAQNGKQEN</t>
  </si>
  <si>
    <t>MITLRLDEIAAIVGGRLADATGAEVITGNVEFDSRKVASGDLFVALSGVKVDGHDYAAAAMDRGAAGVLAARPVGVPAVIVPPATEVDHHSYATEHDTDGSVAAVLEGMAKLARYVVDKLSARGLTVIGITGSAGKTSTKDIVHTILELAGDTVAPPGSFNNEIGHPYTALRCTEATKYLVSEMSARSIGNIAHLAAIAPPHIGVVLNVGTAHMGEFGSRDNIARTKGELVEALPADGIAVLNADDDYVAAMADRTSATVWSFSTLHKPVRVAATDIRLDNLSRPTFTLIGTDSQKVTHTAQVTLQIFGEHQVANALAAATAALAAGVDFATVAQGLRAHTVRSAHRMDVHHAGNDVIVIDDAYNANPESMRAGLRALALAAAKNGPGARSIAVLGPMAELGQDATADHVELMRTVAEQGIDLVVVVGTDENARAMINAAAAMGLRAIPTADTTQAATEVLKVLGRGDVILVKASNAYRLWQVAEAVVAQNGKQEN</t>
  </si>
  <si>
    <t>GC_00002500</t>
  </si>
  <si>
    <t>MDVQLQALTAETIPLVQHECAGSVFWELSAQNQHTKNLDSMFEKEAWLATGMLDGVCRGFNLRYDRPDSIPTLRAIATILYCSPTFAPGAAQLPSAPVSDDAWLVSSLHINPVYAGIGLEAVLLDAVIMDAVAADLSALEAFGYYADFVEDPDLPLPPDQCDILARTHDIGLLDVEVLQAAGFVVAQDHRVLPKLRLDLPPARELLTVQAAEELLNSIVV</t>
  </si>
  <si>
    <t>MDVQLQALTAETIPLVQHECAGSVFWELSAQNQHTKNLDSMFEKEAWLATGMLDGVCRGFNLRYDRPDSMPTLRAIATILYCSPTFAPGAAQLPSAPVSDDAWLVSSLHINPVYAGVGLEAVLLDAVIMDAVAADLSALEAFGYYADFVEDPDLPLPPDQCDILARTHDIGLLDVEVLQAAGFVVAQDHRVLPKLRLDLPPARELLTVQAAEELLNSIVV</t>
  </si>
  <si>
    <t>GC_00002501</t>
  </si>
  <si>
    <t>K04719</t>
  </si>
  <si>
    <t>5,6-dimethylbenzimidazole synthase [EC:1.13.11.79]</t>
  </si>
  <si>
    <t>KEGG Orthology (KO)&gt;&gt;&gt;09100 Metabolism&gt;&gt;&gt;09108 Metabolism of cofactors and vitamins&gt;&gt;&gt;00740 Riboflavin metabolism [PATH:ko00740]|Enzymes&gt;&gt;&gt;1. Oxidoreductases&gt;&gt;&gt;1.13  Acting on single donors with incorporation of molecular oxygen (oxygenases)&gt;&gt;&gt;1.13.11  With incorporation of two atoms of oxygen&gt;&gt;&gt;1.13.11.79  aerobic 5,6-dimethylbenzimidazole synthase</t>
  </si>
  <si>
    <t>METYEAIFRRRDVRAEYTGQPLDDAVLHRILEAGHAAPSVGNSQPWDFVIVRGPARLAEFAEHVAGRRAAFANSLPADRKDVFNPIKIEGIRESGTGIVVTYDPQRGGPNILGRQTIDETGLLSVGLAIQNMWLAATAEGIGMGWVSFYEEDFLTNFVGCVGACRPVAWLCIGPVTHLEEVPDLVRFGWNKGRPLEEAVHSERL</t>
  </si>
  <si>
    <t>METYEAIFRRRDVRAEYTGQPLDDAVLHRILEAGHAAPSVGNSQPWDFVIVRDPARLAEFAEHVAGRRAAFANSLPADRKDVFNPIKIEGIRESGTGIVVTYDPQRGGPNILGRHTIDETGLLSVGLAIQNMWLAATAEGIGMGWVSFYEEDFLTNFVGCAGACRPVAWLCIGPVTHLEEVPDLVRFGWNKGRPLEEAVHSERL</t>
  </si>
  <si>
    <t>GC_00002502</t>
  </si>
  <si>
    <t>K12510</t>
  </si>
  <si>
    <t>tight adherence protein B</t>
  </si>
  <si>
    <t>ko00001|ko02044</t>
  </si>
  <si>
    <t>KEGG Orthology (KO)&gt;&gt;&gt;09130 Environmental Information Processing&gt;&gt;&gt;09132 Signal transduction&gt;&gt;&gt;02020 Two-component system [PATH:ko02020]|Secretion system&gt;&gt;&gt;Type II secretion system&gt;&gt;&gt;Tight adherence (Tad) export apparatus</t>
  </si>
  <si>
    <t>MTSLLLCAGALLVPDAAPLHRITERKNWKKTPALAVLLLVLLKGPVSLILSAMLVVGTIVWAIRTARQRARATAIRSHTSTFLGFVIGDLRAGNGMPHALGVAVDSLSSDAPSELRDAVRVAAARSAGGGDGPNVLISSSCPDLVRVGQLWKLAARHGIPLVALCENAQRRIDAQLTHAAATRAALQGPKATAMVLSILPVVGIGMGGLLGADPLHFLLGGGTGGVLLVAGTGLTTAGFVWSQRIMGKATS</t>
  </si>
  <si>
    <t>MTSLLLCVGALLVPDAAPLHRITERKTWKKTPALAVLLLVLLKGPVSLILSAMLVVGTIVWAIRTARQRARATAIRSHTSTFLGFVIGDLRAGNGMPHALGVAVDSLSSDAPSELRDAVRVAAARSAGGGDGANVLISSSCPDLVRVGQLWKVAARHGIPLVALCENAQRRIDAQLTHAAATRAALQGPKATAMVLSILPVVGIGMGGLLGADPLHFLLGGGTGGVLLVAGTGLTTAGFVWSQRIMGKATS</t>
  </si>
  <si>
    <t>GC_00002503</t>
  </si>
  <si>
    <t>MSWLPVGDGVVDECGVLEFFEGVDPEDIQVRVVISKTLKRPVSPVLASVLVTSLKLLVENGKIGLVMIPECLRRGKVLRFLGVAPRELNAYVAEGKLHPASKQ-GRDVYFREELLALRRERLVEVAPVTNLRVLSVYASRDLGAYGGDAVAFSRDVFEWVVLPADGSVVNMPILLRNMEYHEERSGDCRVEVTTPRGEVPMSQVLCECLRQVLWSVLRNGVIEVAGVPRFVAMFDAQRLASTTEKGVEKLVAHGEVGVKWVDGKRRFDREDLLASARRERQRQHDAYERLRQFDLDHPEV-------------------</t>
  </si>
  <si>
    <t>MSWLPVGDGVVDERGVLEFFEEVDPEDIQVRVVIPKGLKWPVSPVLASVLVTSLKLLVENGKIGLARVIEDFDRGDVFDFLGIAPRELNAYVAEGKLHRAADEIDDEIYFREELLVLRRERLVEVAPVTNLRVLSVYASRGLGAYGGDVVAFGRDVFEWVVLPADGSVVNMPILRRNMEYHEERFGDCRVEVTTPRGEVPMSSVLCECLRRVLWSVLRNGMVEVAGVPRFVAMFDAQVLASTTEKGVEELVACGEVGVRWVDGKRRFDREDLLASARRERQRQHDAYERLRQFDLDHPEVWQTYFNPQYGADSETTEET</t>
  </si>
  <si>
    <t>GC_00002504</t>
  </si>
  <si>
    <t>MTFSDNSSVHGAALTEENQADLLDIGLFLLDDPDSANTVVSPVGVVAAAGVIAEGSSDEPIIDLKTLRPAWTMWRRWAGPPTRNPKKNPVIATAAQLFVDPEFSIKPAYHEAIAGWDVSIETGAIIQENLDEWARINTANLIQQSGITVTPETKLVLQNAITFAAKWQEDFRQWDVIDYDFTRADGTITRVKMMCSVRHAPYMVSDGWRGVRLDYADGELAAFVLIPDDDIEQVTPTMLRQAVSQLCRPNETIGFVLTRLPRFTVAISKDLADLFTAIGVEHGMDRAMTTDLPMIPTQAKQQAIIVVDEQGTVVSTVTIVCMGMDIPHWAEEPIDIMADQPFYFIVGDVETGTPLFLSHIGDPKMA</t>
  </si>
  <si>
    <t>MTSSNDSSIHSAALTEENQADLLDIGLFLLDDPDSANTVVSPVGVAAAAGVIAEGSSDEPIIDLKSLQPAWTMWRRWAGPPTRHPKKNPVIATKAQLFVDPEFSIKPAYHEAIAGWDVSIEIEAITQENLDEWARINTANLIQQSGIKVTPEMKLVLQNAITFAAKWQEDFRRGGVLDDDFTRADGTVTRVEMMGSVRHAPYTVSDGWRGVRLDYTDGELAAFVLIPDDDMEQVPLTTLRQAVTQLCRPNETMGRVAVELPRFTATSEKKLFELFDCIGLETNTQLKAMTDPPVMLTQAMQQAIIVVDERGTVVSAVTSGGMETGVSFYTEKPIEIIANRPFYFIVGDVETGTPLFLSHIGDPKMA</t>
  </si>
  <si>
    <t>GC_00002505</t>
  </si>
  <si>
    <t>MLLYDLVFSFGLLLAILLFIGFLFTLSRSTETPKMKTVWVIIALCVPIVGPICHFIVYRGQRS</t>
  </si>
  <si>
    <t>MLLYDLVFSFGLLLAILLFIGFLFALSRSAETPKMKTVWVIIALCVPIVGPICHFIVYRGQRS</t>
  </si>
  <si>
    <t>GC_00002506</t>
  </si>
  <si>
    <t>PF13310.11</t>
  </si>
  <si>
    <t>Virulence protein RhuM family</t>
  </si>
  <si>
    <t>X|S</t>
  </si>
  <si>
    <t>Mobilome: prophages, transposons|Function unknown</t>
  </si>
  <si>
    <t>K07341</t>
  </si>
  <si>
    <t>death on curing protein</t>
  </si>
  <si>
    <t>COG3654|COG3943</t>
  </si>
  <si>
    <t>Prophage maintenance system killer protein (Doc)|Uncharacterized protein RhuM, Salmonella virulence factor (RhuM)</t>
  </si>
  <si>
    <t>Prokaryotic defense system&gt;&gt;&gt;Toxin-antitoxin system (TA system)&gt;&gt;&gt;Type II TA system&gt;&gt;&gt;Doc-Phd</t>
  </si>
  <si>
    <t>MSEKETEKSIIIYRPVEGQAGIDVRVESETVWLSQRQMAALFETSRTNIVEQLGHIYAEGELEKETTCRDFRQVRQEGKRQVNRLVTHYNLDAIISVGYRVNSITITQFRIWAAKLLRERLVQKCSVNQNRLESEVGLGEVLTYYLPSLRLLRDYDDGVITQQSEGRSPLWELGHEDAQAIIARLREEFPDDTLLGVENDDGLQSVVATIYQSFAGQDLYPTLEEKAANLLYLVVKDHPLADGNKRSAAALFVEFLDRNAALYQADGTARVSNNALAAMTLMVAMSSPQEKDLMVALIQRMINTA</t>
  </si>
  <si>
    <t>MSEKETEKSIIIYQPVEGQAGIDVRVESETVWLSQRQMAALFETSRTNIVEHLGHIYAEGELEKEATCRDFRQVRQEGKRRVNRLVPHYNLDAIISVGYRVNSITTTQFRIWAAKLLRKCLVQKCSVNQNRLESEVGLGEVLTYYLPSLRLLRDYDDGVITQQSEGRSPLWELGHEDAQAIIARLREEFPDDALLGVENGDGLQSVVATIYQSFAGQDLYPTLEEKAANLLYLVVKDHPFADGNTRSAAALFVEFLNRNAALRHVDGVARVSNNALAAMTLMVAMSSPREKDLIAALIQRMINTA</t>
  </si>
  <si>
    <t>GC_00002507</t>
  </si>
  <si>
    <t>MSHITLTPALPTDFPELKRRLQAAFAPAVIAEFGDSLTEPIPSDAELAESFTAPGAEVLHVVHEGKSVGGAVVSTDHDGSHGNLEFFFLDGVSQGSGVGFAAWQAIERRYSTVRVWETHTPYFEKRNIHFYVNKCGFHIVEFFHPGHPEPHESPETSQHEADGAGVPDYSFRFQKIITR</t>
  </si>
  <si>
    <t>MSHITLTPALPTDFPELKRRLQAAFAPAVIAEFGDSLTEPIPSDAELAESFAAPGVEVLHVVHEGKSVGGAVVSTDHDGSHGNLEFFFLDGVSQGSGVGFAAWQAIERRYSTVRVWETHTPYFEKRNIHFYVNKCGFHIVEFFHPGHPEPHESPETLQHEADGTGVPDYSFRFQKIITR</t>
  </si>
  <si>
    <t>GC_00002508</t>
  </si>
  <si>
    <t>MVLLALVAMVGYIAVSGYQGYHKSYPAYPEQKTAGQKIDQAVGRAVEHYEEVLDKEQNNPHCTLSNCPISSKFIPGVPENRALFTNAELVNFRRWVTKEKPRSSIDLYSVSANENGVAEAIVYVTMVKCTSPENDYPYSSTTDVHRMILIPSHHHEADYVVMEDEYFPMMDAMKYPAAFSPLYASSEDEDMFPECSEPGSPHRFAGLTRSFTTR</t>
  </si>
  <si>
    <t>MVLLALVAMVGYIAVSGYQGYHKSYPAYPEQKTAGQKIDQAVGRAVEHYEEVLDKEQNNPHCTLSNCPISSKFIPGVPENRALFTNAELVNFRRWVTKEKPRSSIDLYSVSANENGVVEAIVYVTMVKCTSPENDYPYSSTTDVHRMILIPSHHHEADYVVMEDEYFPMMDAMKYPAAFSPLYASSEDEDMFPECSEPGSPHRFAGLTRSFTTR</t>
  </si>
  <si>
    <t>GC_00002509</t>
  </si>
  <si>
    <t>MSTLENVAARIHADFAELLSIVGNAPSPDLVVGNLDHIKTIEQACNIKASFDSLVAYSADQAINRQLITADTATDFLMDELNLSFQEANNRLRRGYVDHAPLPQDTVEPEAAEMQREQARQKAIDAHISASKLNTINQVLDNLRDGTTPARHDLYLQAVNEAEHRNDRDLKTWVTKAVRRANKTVAADPQETMKKRRFTISGQDTDGNHPFYGTMTAAQQAVITAAITPLSHRGSLVNVSDKEDTRSLAERRMDTLAYICEQHLKATSANNSYGIASLVISTTADELAHLTAATELPTNTGTLLNPIEAAALLGSPYDFLAIHDLDNPGNLNLQRTRRNATAWQKLALFVQELVCSHPGCDAPAITCDQHHIDAWSFGGTTDLINLTLQCRHHHRFNDDTKTNAQRGYATRLTDGDKRVGYADPEHPDTVLLNTTSAHDECAAEKLLCQRRQH</t>
  </si>
  <si>
    <t>MSTLENVAARIHADFAELLSIVGNAPSPDLVVGNLDHIKTIEQACNIKASFDSLVAYSADQAINRQLITADTATDFLMDELNLSFQEANNRLRRGYVDHAPLPQDTVEPEAAEMQREQARQKAIDAHISASKLNTINQALDNLRDGTTPARHDLYLQAVNEAEHRNDRDLKTWVTKAVRRANKTVAADPQETMKKRRFTISGQDTDGNHPFYGTMTAAQQAVITAAITPLSHRGSLVNVSDKEDTRSLAERRMDALAYICEQHLKATSANNSYGIASLVISTTADELAHLTAATELPTNTGTLLNPIEAAALLGSPYDFLAIHDLDNPGNLNLQRTRRNATAWQKLALFVQELVCSHPGCDAPAITCDQHHIDAWSFGGTTDLINLTLQCRHHHRFNDDTKTNAQRGYATRLTDGDKRVGYADPEHPDTVLLNTTSAHDECAAEKLRCQRRQH</t>
  </si>
  <si>
    <t>GC_00002510</t>
  </si>
  <si>
    <t>PF03703.20</t>
  </si>
  <si>
    <t>K09167</t>
  </si>
  <si>
    <t>COG3402</t>
  </si>
  <si>
    <t>Uncharacterized membrane protein YdbS, contains bPH2 (bacterial pleckstrin homology) domain (YdbS)</t>
  </si>
  <si>
    <t>MDETLTPVSPDLIKVRYLAHIPWYIIATGGAVVWARYFDDKYWGIHWGYYLAIIAGIFLLWQIWLIPRQVYRLGWLETDNDLLLSKGKLWHTFTVVPYGRVQYLDVSQGPIERRYGLKTLRLHTASASVDAKIPGLDADLADELRARIARRAKENMIDL</t>
  </si>
  <si>
    <t>MDETLTPVSPDLIKVRYLARIPWCIIATGGAVVWARYFDDEYWGIHWGYYLAIIAGIFLLWQIWLIPRQVYRLGWLETDNDLLLSKGKLWHTFTVVPYGRVQYLDVSQGPIERRYGLKTLRLHTASASVDAKIPGLDADLADELRARIARRAKENMIDL</t>
  </si>
  <si>
    <t>GC_00002511</t>
  </si>
  <si>
    <t>MVARMILMRHGRTYSNARKHLDTRPPGAELTEIGRQQAFDTGRRLRNVTSDIGLAVCSIAMRAQQSLNLALLGYGAMPLDVPGVGKPNIPVEVILGIHEIFVGADYDDVDSPEAHRQYDIAFEGWQSGDLSAGLPGGETAGEMLDRYVPALMDAYERANGKDLFVVTHSAAIRVLCVHALADASITGPHIDNGSLTVIEPVGEFGQWRCPMWASTD</t>
  </si>
  <si>
    <t>MVARMILMRHGRTYSNARKHLDTRPPGAELTEIGRQQAFDTGRRLRNVTSDIGLAVCSIAMRAQQSLNLALLGYGAMPLDVPGVGKPSIPVEVILGIHEIFVGADYDDMDSSEAHRQYNIAFEGWQSGDLSAGLPGGETAGEMLDRYVPALMAAYERANGKDLFVVTHGAAIRVLCIHALADPSITGPHIDNGSLTVIEPVGEFGQWRCPMWASND</t>
  </si>
  <si>
    <t>GC_00002512</t>
  </si>
  <si>
    <t>MTKKILGAGVIASAALLLAACGGGGSSSGGSGSSSSAMASSSMSTSESSSSSSSSGSGSSGASAGASASGGSSSGSHSAATAVGVDVPATNGFDPLGTGTVFQGSIDVSTSDANALDENYAVSNGQVTLNLQDLKPLDKDKTVNVYVDVGTVSVTLPDDVPVEMTAKDSVTLTTPSHKTYNESASGKKLTLNVQVNNGPVTIAE</t>
  </si>
  <si>
    <t>GC_00002513</t>
  </si>
  <si>
    <t>MMLIDAPTATAEPCSRRAAPAGPSLSSQLSSGSNGLSSGAGSSNPPWLNGSPGELPVLKGHTQAIQSLTGPGSNPRTDRLFDIAGTDLGIAYKDAAGHTMLVFGDTMACDGSAGEWRSNTIMRTSDNNYTDGVTVEEALTEHGYARQGRAREFIPSLKEPGVEHTVIPTAGITVNGVQYIDFMSVRSWGRPGEWFTNYAATVSSTDGENWTVVPGSQRANKGPSMPGGGQYRAGNERIQMSAFVEHGGYIYRFSTPSGRDGSAIVARAPKAQFPKEDAFEFFDGAGWSATPTRAAAVIDGSVSELSVAWNPYLGKFIALYIDGNGMVLRTADSPTGPWSSKRMLVDTATIGDLYGGFILPSNNDHNLYFVATTWSNYNVMVMRTNLSELFGVPLLASGDVNPDPVADDGLEVVEVLKPEQVAAATADDGVVTEDDVVTR</t>
  </si>
  <si>
    <t>MMLIDAPTATAEPCSRRAVPAGPSLSSQLSSGSNGLSSGAGSSNPPWLNGSPGELPVLKGHTQAIQSLTGPGSNPRTDRLFDIAGTDLGIAYKDAAGRTMLVFGDTMACDGSAGEWRSNTIMRTSDNNYTDGVTVEEALTERGYARQGRAREFIPSLKEPGVEHTVIPTAGITVNGVQYIDFMSVRSWGRPGEWFTNYAATVSSTDGENWTVVPGSQRANKGPSMPGGGQYRAGNERIQMSAFVEHDGYIYRFSTPSGRDGSAIVARAPKAQFPKEDAFEFFDGAGWSATPTRAATMIDGSVSELSVAWNSYLGKFIALYIDGNGMVLRTADSPTGPWSSKRMLVDTATIGDLYGGFILPSNNDHNLYFVATTWSNYNVMVMRTNLSELFGVPLLASGDVNPDPVADDGLEVVEVLKPEQVAAATADDGVVTEDDVVTR</t>
  </si>
  <si>
    <t>GC_00002514</t>
  </si>
  <si>
    <t>PF02347.22</t>
  </si>
  <si>
    <t>Glycine cleavage system P-protein</t>
  </si>
  <si>
    <t>K00281</t>
  </si>
  <si>
    <t>glycine cleavage system P protein (glycine dehydrogenase) [EC:1.4.4.2]</t>
  </si>
  <si>
    <t>COG0403|COG1003</t>
  </si>
  <si>
    <t>Glycine cleavage system protein P (pyridoxal-binding), N-terminal domain (GcvP1) (PDB:4LGL)|Glycine cleavage system protein P (pyridoxal-binding), C-terminal domain (GcvP2) (PDB:4LGL)</t>
  </si>
  <si>
    <t>Glycine cleavage|Glycine cleavage</t>
  </si>
  <si>
    <t>M00532|M00621</t>
  </si>
  <si>
    <t>Photorespiration|Glycine cleavage system</t>
  </si>
  <si>
    <t>Pathway modules; Carbohydrate metabolism; Other carbohydrate metabolism|Pathway modules; Amino acid metabolism; Serine and threonine metabolism</t>
  </si>
  <si>
    <t>KEGG Orthology (KO)&gt;&gt;&gt;09100 Metabolism&gt;&gt;&gt;09101 Carbohydrate metabolism&gt;&gt;&gt;00630 Glyoxylate and dicarboxylate metabolism [PATH:ko00630]|KEGG Orthology (KO)&gt;&gt;&gt;09100 Metabolism&gt;&gt;&gt;09105 Amino acid metabolism&gt;&gt;&gt;00260 Glycine, serine and threonine metabolism [PATH:ko00260]|KEGG Orthology (KO)&gt;&gt;&gt;09100 Metabolism&gt;&gt;&gt;09108 Metabolism of cofactors and vitamins&gt;&gt;&gt;00785 Lipoic acid metabolism [PATH:ko00785]|KEGG Orthology (KO)&gt;&gt;&gt;09100 Metabolism&gt;&gt;&gt;09108 Metabolism of cofactors and vitamins&gt;&gt;&gt;00670 One carbon pool by folate [PATH:ko00670]|Enzymes&gt;&gt;&gt;1. Oxidoreductases&gt;&gt;&gt;1.4  Acting on the CH-NH2 group of donors&gt;&gt;&gt;1.4.4  With a disulfide as acceptor&gt;&gt;&gt;1.4.4.2  glycine dehydrogenase (aminomethyl-transferring)</t>
  </si>
  <si>
    <t>MTPASYSDRHIGPDSKETAEMLGSVGYPTLAALIDAAVPEDIRTTTLALGPALTEEEALRKLRSYAQQNVVLQSFYGQGYFDTITPPVIRRNVVEDPGWYTAYTPYQPEISQGRLEALLNFQTMVQELTGLPIANASLLDEATAVAEAVGLMARTNKKGNRVILDRRLHPQVVAVTTERARTLGLEVEIADVSSGVVGESLIGVVLAYPGTEGDIVDVRGAIEDIHSRGGLAAIATDLLALQLLESPGTLGADIAVGSSQRFGVPLFFGGPHAAFMAVTDKLKRQLAGRIVGVSKDAEGRPAYRLALQTREQHIRRERATSNICTAQALLAVCAAMYAIWHGPAGLRAIAERVHQYASDFAQAVGDKVVHENFFDTVTVECDAPAIVAAAAEAGYLVRSLGDSKVSVSFGEGATREDVEKLAQLFGATATESEARPLPLPRTTETLTHPIFSSVHSETQMLRYLRELKDKDLALDRTMIPLGSCTMKLNPTAGMEPITWPEFANVHPYAPDSQTAGWRALLNEMEEWLAEITGYAKVSVQPNAGSQGELAGLLAIRRYHQANGEHQRDIILIPQSAHGTNAASATLAKLRVVVVATAPDGSIDLGDLDAKLEKHAENIAGIMITYPSTHGVFEDTVREVCQKVHAVGGQVYIDGANLNALTGIARPGEFGGDVSHLNLHKTFSIPHGGGGPGVGPVAVAEHLVPFLPTDANAVDFTKETPINIGVPTSGARYGSAGVVPIAWAYIAMMGTEGLERASATAVLNANYLAKELSDSFPVLYTGKNDLVGHECIFDLRGLEHDTGVSATDVAKRLVDYGFHAPTLSFPVAGTLMVEPTESEDKAELDRFIAAMRSIRAEIEEIAQGSITFEESVLHHAPFTAESVSDDEWGYAFSRRQAAYPVTSLRQGVKYFPPVRRIDEAFGDRHFACSCPPPEAFNIDD</t>
  </si>
  <si>
    <t>MTPASYSDRHIGPDSKETAEMLGSVGYPTLAALIDAAVPEDIRTTTLALGPALTEEEALRKLRSYAQQNVVLQSFYGQGYFDTITPPVIRRNVVEDPGWYTAYTPYQPEISQGRLEALLNFQTMVQELTGLPIANASLLDEATAVAEAVGLMARTNKKGNRVILDRRLHPQVVAVTTERARTLGLEVEIADVSSGVVGESLIGVVLAYPGTEGDIVDVRGAIEDIHSRGGLAAIATDLLALQLLESPGTLGADIAVGSSQRFGVPLFFGGPHAAFMAVTDKLKRQLAGRIVGVSKDAEGRPAYRLALQTREQHIRRERATSNICTAQALLAVCAAMYAIWHGPAGLRAIAERVHQYASDFAQAVGDKVVHENFFDTVTVECDAPAIVAAAAEAGYLVRSLGDSKVSVSFGEGATREDVEKLAQLFGATATESEARPLPLPRTTETLTHPIFSSVHSETQMLRYLRELKDKDLALDRTMIPLGSCTMKLNPTTGMEPITWPEFANVHPYAPDSQTAGWRALLDEMEEWLAEITGYAKVSVQPNAGSQGELAGLLAIRRYHQANGEHQRDIILIPQSAHGTNAASATLAKLRVVVVATAPDGSIDLGDLDAKLEKHADNIAGIMITYPSTHGVFEDTVREVCQKVHAVGGQVYIDGANLNALTGIARPGEFGGDVSHLNLHKTFSIPHGGGGPGVGPVAVAEHLVPFLPTDANAVDLTKETPINIGVPTSGARYGSAGVVPIAWAYVAMMGAEGLERASATAVLNANYLAKELSDSFPVLYTGKNDLVGHECIFDLRGLEHDTGVSATDVAKRLVDYGFHAPTLSFPVAGTLMVEPTESEDKAELDRFIAAMRSIRAEIEEIAQGSITFEESVLHHAPFTAESVSDDEWGYAFSRRQAAYPVTSLRQGVKYFPPVRRIDEAFGDRHFVCSCPPPEAFNIDD</t>
  </si>
  <si>
    <t>GC_00002515</t>
  </si>
  <si>
    <t>MIPHAIVTGASRGVGLSVTRLLLDRGYRVFAHYRTAPADLQHSRLTWWQADFLVPLDDAAPGVDKLDALVHCAGIASVGRGQSREVAAQHMAVNYLAPVELTQRFLPALRAARGTMVYLNSGAGRQAAAGWSAYSASKHAARGWCDALRAEEPEIRVTSVFPGRIATDMQRAIRAQEGLPYIPDEYLDPNTVARVVGDVLETPRDASLTDVVVRPALPPLL</t>
  </si>
  <si>
    <t>MIPHAIVTGASRGVGLSVTRLLLDRGYRVFAHYRTAPADLQHSRLTWWQADFLVPLDDAAPGVDKLDALVHCAGIASVGRGQSREVAAQHMAVNYLAPVELTQRFLPALRAARGTMVYLNSGAGRQAAAGWSAYSASKHAARGWCDALRAEEPEIRVTSVFPGRIATDMQRAIRAQEGLPYIPDEYLDPNTIARVVGDVLETPRDASLTDVVVRPALPPLL</t>
  </si>
  <si>
    <t>GC_00002516</t>
  </si>
  <si>
    <t>PF12796.13</t>
  </si>
  <si>
    <t>Ankyrin repeats (3 copies)</t>
  </si>
  <si>
    <t>COG0666</t>
  </si>
  <si>
    <t>Ankyrin repeat (ANKYR) (PDB:6AUN)</t>
  </si>
  <si>
    <t>MTEKSISAEELEQRYADASISNALTDEDAQELPPELQDFVDKLFELARTGTVPPGEPSAAEQLAGYVAAGLNPNLTNHEGNTLLMLAAYNGHADIVTALAQHGADVDRLNDRGQSPLAGAIFKQEPAVIEALLAAGADPLAGHPTAIECATMFGQTELADRLNLMLN</t>
  </si>
  <si>
    <t>MTEKSISAEELEQRYADATVSNALTDEGAQELPPELQDFVDKLFELARTGTVPPGEPSAADQLAGYVTAGLSPNLTNHEGNTLLMLAAYNGHADIVTALAQHGADVDRLNDRGQSPLAGAIFKQETAVIEALLAAGADPLAGHPTAIDCATMFGQTELADRLNLMLN</t>
  </si>
  <si>
    <t>GC_00002517</t>
  </si>
  <si>
    <t>MPWKCCAPSSKNRQGNCLTILSVWFFRDLDVIDRWRFIIAAVSVAALVVLITATAGQHHTPPPRLVGDELGRDNDETLTDYVQRAQHGFSAAAPGDEVYALVTFRQPLTAQAAGAVVQNIARVNAFEVGFAPVVGIPEPVKGVNRGDSLVHHITLKQMNPLDVRGLVVHDSVEKLHVLAKNSKVLAIEVLPPDATWGSFAVRPVNVS</t>
  </si>
  <si>
    <t>MPWKCCAPSNKNRQGNCLTILSVWFFRDLDVIDRWRFIIAAMSVAALVVLITATAGQHHTPPPRLVGDELGRDNDETLTDYVQRAQHGFSAAAPGDEVYALVTFRQPLTAQAAGAVVQNIARVNAFEVGFAPVVGIPEPVKGVNRGDSLVHHITLKQMNPLDVRGLVVHDSVEKLHVLAKNSKVLAIEVLPPDATWGSFAVRPVNVS</t>
  </si>
  <si>
    <t>GC_00002518</t>
  </si>
  <si>
    <t>MNTQELEQLIRRLRVTGTAGLDVEVRVGVGKQVVETLSAMSNSRGGTLIVGLSVRDGFEPVPGFAAERARDKLLSRCEQLMPTVRAQAEVHTLTNGTSVLVAEVPEMFPRDKPCYVQKRGLYDGSFQRAADNNVPLLAHDIDHYVAEQSQPTWDEEPIPGASLDEAMLRPFVNRQERLRPDLFAAGTAQALESLGVVNNGTPTLAAMLTMGTNPQNHYPQLTATVGIYAGPSERDYTDGVVLSGSIAALIDQGIDLVKHHAPEYPQGAIREAVTNALLHRDYSPLARAYPVQMRVFTDRLEVTNPGALYGAITTRELGEEGLNPTRNRRLVELVGPTVAKGSGLGFAAMQRLLADATFPAPEVRTTATSLTLVLPRHQVGAAPNPKALTARDQVLQLFDARGTISAAEATAVTGLSRSAVQKALAQLVSTGVLEPTEAGRSPKQRYRQV</t>
  </si>
  <si>
    <t>MNTQGLEQLIRRLRVTGTAGLDVEVRVGVGKQVVETLSAMSNSRGGTLIVGLSVRDGFEPVPGFAAERAHDKLLSRCEQLTPTVRAQAEVHTLTNGASVLVAEVPEMFPRDKPCYVQKRGLYDGSFQRAADNNVPLLAHDIDHYVAEQSQPTWDEEPIPGASLDEAMLRPFVNRQERLRPDLFAAGTAQALESLGVVNNGTPTLAAMLTMGTNPQNHYPQLTATVGIYAGPSERDYTDGVVLSGSIAALIDQGIDLVKHHAPEYPQGAIREAVTNALLHRDYSPLARAYPVQMRVFTDRLEVTNPGALYGAITTRELGEEGLNPTRNRRLVELVGPTVAKGSGLGFAAMQRLLADATFPAPEVRTTATSLTLVLPRHQVGAAPNPKALTARDQVLQLFDARGTISAAEATAVTGLSRSAVQKALAQLVSTGVLEPTEAGRSPKQRYRQV</t>
  </si>
  <si>
    <t>GC_00002519</t>
  </si>
  <si>
    <t>K00375</t>
  </si>
  <si>
    <t>GntR family transcriptional regulator / MocR family aminotransferase</t>
  </si>
  <si>
    <t>MRPDLVADIPLHLTAGTPGNPQNPLPTQITTQIRTLIHTGVLAAGDHLPSTRMLARQLGVARGTVVAAYELLAAEGLTVSAHGSGTRVNPNLAQLAERRIDGTTPGAPTMPSAPNAPAARLLPLIPGMPDTHTLIDSTWRAAWRDACTTASVTGTEPATTGIPQLREEISTHLRHMRGLVVNPDRIIVTAGARDGLALLLNVLGPGTIGVESPGYPSLRRVPAALGHTIVDLHTDHHGVNPAELQHLQGLDRVLVTPSHQYPSGGSLSGSRRVALTSWAQHTNTVIIEDDFDSELRYVGQPLPALAALAPDHTVLLGTFSSVLSPALACGYIVAPARLLPALTRLREALGPAVGGIPQHALTQYLATGALRRRTQRLRRVYRRRRNLITSLLADAPGCHLRPITGGLHAVLLCDAPAHQVVDACRRSGIQVTALHDYWGGQGEENGIVFGFGCHDDDTLDWAVNEIKYCVSCL</t>
  </si>
  <si>
    <t>MRPDLVADIPLHLTAGTPGNPQNPLPTQITTQIRTLIHTGVLAAGDHLPSTRMLARQLGVARGTVVAAYELLAAEGLTVSAHGSGTRVNPNLAQLAERRIDGTTPGAPTMPSAPNAPAARLLPLIPGMPDTHTLIDSTWRAAWRDACTTASVTGTEPAATGIPQLREEISTHLRHMRGLVVNPDRIIVTAGARDGLALLLNVLGPGTIGVESPGYPSLRRVPATLGHTIVDLHTDHHGVNPAELQHLQGLDRVLVTPSHQYPSGGSLSGSRRVALTSWAQHTNTVIIEDDFDSELRYVGQPLPALAALAPDHTVLLGTFSSVLSPALACGYIVAPARLLLALTRLREALGPAVGGIPQHALTQYLATGALRRRTQRLRRVYRRRRNLITSLLAEAPGCRLRPITGGLHAVLLCDAPAHQVVDACRRSGIQVTALHDYWGGQGEENGIVLGFGCHDDDTLDWAVNEIKYCVSCL</t>
  </si>
  <si>
    <t>GC_00002520</t>
  </si>
  <si>
    <t>PF11382.13</t>
  </si>
  <si>
    <t>Copper transport outer membrane protein, MctB</t>
  </si>
  <si>
    <t>MAAKKRRYGAVIAGLLFGVALGTAFDHFVLTPNIPGGNNEANNKTVAELSNTKRQSEINQAEAQSADAYVASVAETAVQGKLADKTVVVIRTADADKGDVDNVEWLLQKAGATKAGEVTLKERFLSQDGADAVKSLVVNTLPSGAQLSSDRLDSGTHAGQAFAAGLMVPHTEGASDADEQERSALLDAFTEGGFIDADYDATRAADAAVIVTGDSEGIGSESFAATNLAAFAEALKSKSKGVVVAGRIHTAAPTGVIGQLRKSDRGKSVSTMDSVNRAYGRLGTVLAVQEQLDGGKGAYGAAASADASTPGG</t>
  </si>
  <si>
    <t>MAAKKRRYGAVIAGLLFGVALGTAFDHFVLTPNIPGGNNEANNKTVAELSNTKRQSEINQAEAQSADAYVASVAETAVQGKLADKTVVVIRTADADKGDVDNVEWLLQKAGATKAGEVTLKERFLSQDGADAVKSLVVNTLPSGAQLSSDRLDSGTHAGQAFAAGLMVPHTEGASDADEQERSALLDAFTEGGFIDADYDATRAADAAVIVTGDSEGVGSESFAATNLAAFAEALKGKSKGVVVAGRIHTAAPTGVIGQLRKSDRGKSVSTMDSVNRAYGRLGTVLAVQEQLDGGKGAYGAAASADAPTPGG</t>
  </si>
  <si>
    <t>GC_00002521</t>
  </si>
  <si>
    <t>MAYPTRLDGAALHSWAGRAVACLSARRAELNALNVFPVPDADTGSNMAHTMESALAEADKLFAAFEESGSEAPSVHNVAAALASGSVRGARGNSGVVLTQVLRGIAQVAAHGNIDGTAVRDSLAIALDMVDRAITDPVEGTVLTVLRATSVAANEEDDDSLHAVVKAAVDAARTALANTPSQLDVLRDAGVVDAGGQGFVFLMETLLDEIEGRGDERIPEPLMAVPQGVSAGMSGLQSVQHIGAKASNHPVPVLRPTFLDTPGTLAAAPSHSPGRHRRQPDPVPEPRHPIDRPSSHGSKQELEVMFFFHVSEQMYLEQLESRLSELGNSLAIARETETFALVHIHSAEAGKVIETAFALGEVTGLRLEVLPDPTKVDAPTRIVLAVAPEGTLARLFQDAGAVVVTTSADEDMDEVEIVSRIVAAVRRYSASEVIFLPNGMLSKRELVSAELASHASERSMTILSTSKLVNGLAALAVHDPTQPVAVDAYAMTEAANNMRTADMHPATRAALTQAGACSKGDILVESGGQIVLVEENIQDAVNRTCDLLLQSGGEMVTILATDDARADIDLDVLQRFLEPWGDVDIAIYPAEGMKYSVEIGVE</t>
  </si>
  <si>
    <t>MAYPTRLDGAALHSWAGRAVACLSARRAELNALNVFPVPDADTGSNMAHTMESALAEADKLFAASEESGSEVPSVHNVAAALASGSVRGARGNSGVVLTQVLRGIAQVAAHGNIDGTAVRDSLAIALDMVDRAITDPVEGTVLTVLRATSVAANEEDDDSLHAVVKAAVDAARTALANTPSQLDVLRDAGVVDAGGQGFVFLMETLLDEIEGREDERIPEPLMAVPQGVSAGMSGLQSVQHIGAKASNHPVPVLRPTFLDTPGTLAAAPSHSPGRHRRQPDPVPEPRHPIDRPSSHGSKQELEVMFFFHVSEQMYLEQLESRLSELGNSLAIARETETFALVHIHSAEAGKVIETAFALGEVTGLRLEVLPDPTKVDAPTRIVLAVAPEGTLARLFQDAGAVVVTTSADEDMDEVEIVSRIVAAVRRYSASEVIFLPNGMLSKRELVSAELASHASERSMTILSTSKLVNGLAALAVHDPTQPVAVDAYAMTEAANNMRTADMHPATRAALTQAGACSKGDILVESGGQIVLVEENIQDAVNRTCDLLLQSGGEMVTILATDDARADIDLDVLQRFLEPWGDVDIAMYPAEGMKYSVEIGVE</t>
  </si>
  <si>
    <t>GC_00002522</t>
  </si>
  <si>
    <t>PF08021.17</t>
  </si>
  <si>
    <t>Siderophore-interacting FAD-binding domain</t>
  </si>
  <si>
    <t>COG2375</t>
  </si>
  <si>
    <t>NADPH-dependent ferric siderophore reductase, contains FAD-binding and SIP domains (ViuB) (PDB:2GPJ)</t>
  </si>
  <si>
    <t>MSVRNTLYHATVKGMRKLSSARMDLPDVDMKTDLVRARVVSNQELAPQLRRLTLTAPEFASVTLTGADEYVGLLMPRQGKLTMPDPTIANIRAAVKEIPEDNRPYLRWYTIRELHRDTAEVDIDIVTHGDSGPGSIWAAAAEPGSDVGVRFIGASHYPHQGPQLYVADPTAMPALRAILADMDADTRSKTHVICVSHSDDLLEPGELPDVASFTRIDAAPATAPSALTDVFASPPCDVDSLTYAWLCGESSIATTARRLLVKQGMDKKKIFFSGYWKLGVERS</t>
  </si>
  <si>
    <t>MSVRNTLYHATVKGMRKLSSARMDLPDVDMKTDLVRARVVSNQELAPQLRRLTLTAPEFASVTLTGADEYVGLLMPRQGKLTMPDPTIANIRAAVKEIPEDNRPYLRWYTIRELRRDTAEVDIDIVTHGDSGPGSIWAAAAEPGSDVGVRFIGASHYPHQGPQLYVADPTAMPALRAILANMDADTRSKTHVICVSHSDDLLEPGELPDVASFTRIDAAPATAPSALTDVFASPPCDIDSLTYAWLCGESSIATTARRLLVKQGMDKKKIFFSGYWKLGVERS</t>
  </si>
  <si>
    <t>GC_00002523</t>
  </si>
  <si>
    <t>MLSQFFAAFPLGMVTALIQLQYAHHHQASGVSWLSIVSQVGCVAAIIGLTRITLRQGRRLALVAGMGLMLAASVLGLVSALLDVDLLLYLVAFLLGAGLAANWYTPFAATDFSSKTSRASDFSYVLSMTAIGMALGSPVVNYTYYLEQQAEIPLGVIGFTLCMLCCIVSVIILWFGLHPISGTMQQSEHLSEDNDARFRFIEAPGASAAIVTLTAMILVIDLLWTTTTVYVVSSENELYGTQSLMLVGAAQILSSLIGYGMSPLFGVVADRLGRTRVVATGYGLAVIGCLILVVAASETMWVLAAIVILGIGKVAVMVATGALLVDAVPRHHRVILQGWAGGISMAIAPLGTVMAFLGMPRLAAIGIIVLIIVFFFVFGAVRRTPRHD</t>
  </si>
  <si>
    <t>MLSQFFAAFPLGMVTALIQLQYAHHHQASGVSWLSIVSQVGCVAAIVGLTRITLRQGRRLALVLGMGLMLAASVLGLVSALLDVDLLLYLVAFLLGAGLAANWYAPFAATDFSSKTSRASDFSYVLSMTAIGMALGSPVVNYTYYLEQQAEIPLGVIGFTLCMLCCMVSVIILWFGLHPIADTMQQSEHLSEDNDARFRFIEAPGASAAIVTLTAMILVIDLLWTTTTVYVVSSENELYGTQSLMLVGAAQILSSLIGYGMSPLFGVVADRLGRTRVVATGYGLAVIGCLILVVAASETMWVLAAIVILGIGKVAVMVATGALLVDAVPRHHRVILQGWAGGISMAIAPLGTVMAFLGMPRLAAIGIIVLIIVFFFVFGAVRRTPRHD</t>
  </si>
  <si>
    <t>GC_00002524</t>
  </si>
  <si>
    <t>MGSYSLVMTTLHDFVSCDVIARITLPFYSHFWNVKILSCRRRCRLYPISGYAMLVNSSQPSKAYTPKKGHATPKRNAAQRKEGSFEARFTPAESYSEARKKRKELKASMSKEEWKQYKSDAKAAQKARRQAAQRGMDEGDPRYLLERDKGPERAFVRDLVDSGRYLNTMVMPFALILLILLTIATRYPTVSPILSLTSMVIMLIFFIEAVILGRKAHRLVKEKFPNTTERGTSIGFYAFGRASQPRRWRTPKPRVKVGDQVA</t>
  </si>
  <si>
    <t>MGSYSLVMTTLHDFVSCDVIAKITLPFYSHFRNVKILSCRRRCRLYPISGYAMLVNSSQPSKAYTPKKGHATPKRNAAQRKEGSFEARFTPAESYSEARKKRKELKASMSKEEWKQYKADAKAAQKARRQAAQRGMDEGDPRYLLERDKGPERAFVRDLVDSGRYLNTMVMPFALILLILLTIATRYPTVSPILSLTSMVIMLIFFIEAVILGRKAHRLVKEKFPNTTERGTSIGFYAFGRASQPRRWRTPKPRVKVGDQVA</t>
  </si>
  <si>
    <t>GC_00002525</t>
  </si>
  <si>
    <t>PF25109.1</t>
  </si>
  <si>
    <t>Polynucleotide kinase PNKP phosphatase domain</t>
  </si>
  <si>
    <t>MCYHDCMQEAAIFDMDGTLCDVRSIRHYVQYKPNHRNFHKFHGESINCPTYPEVKELFLKLQQQGLAMLVVTARTSDYSMLTNLWLREQGLHCDEMYMRERRDQRPDAEVKADLLVEIQRSYQPVLAVDDREHVAAVWRAAGIPVIMVAEDGSLHPDA</t>
  </si>
  <si>
    <t>MCYHDCMQEAAIFDMDGTLCDVRSIRHYVQYKPNHRNFHKFHGESINCPAYPEVKELFLKLQQQGLAMLVVTARTSDYSMLTNLWLREQGLHCDEMYMRERRDQRPDAEVKADLLVEIQRSYQPVLAVDDREHVAAVWRAAGIPVIMVAEDGSLHPDA</t>
  </si>
  <si>
    <t>GC_00002526</t>
  </si>
  <si>
    <t>MNNKPYAGISHELSPQALNKAMLEAVDFVDAKGWDAPPTLFGLVPTALIRLAHDALDDAPLTLVVQELPSDLTPESEELGAYISRVTWPNGVVGAILAQEIRFLDLNADTSTPPRPARLFSGVLRDNMAQLTLLQLRPSESDPQAPDRRELRGGPGVATGVIAALQATFE</t>
  </si>
  <si>
    <t>MNNKPYAGISHELSPQALNKAMLEAVDFVDAKGWDAPPTLFGLVPTALIRLAHDALDDAPLTLVVQELPSDLTPESEELGAYISRVTWPDGVVGAILAQEIRFLDPNANASTPLRPARLFSGVLRDNMAQLTLLQLRPSESDPQAPDRRELRGGSGVATGVIAALQATFE</t>
  </si>
  <si>
    <t>GC_00002527</t>
  </si>
  <si>
    <t>MTNNTPINHNDQNEEGEGKHRNSGEHNSFPFIAPREIESPAPTRHRAELAYTDRYFGGRNATGRNDAGIVKADIVEAEIIDAEVLDVQFDDDTDAPQTTHGSRRALHYSAHSPADADVNTADTADAAGNVVDDAEVETTAESEPGSTVTAPESPAGRRFTGAGATEASEPQLEVSPEETPDDAAAADKPWDRAAQPDARRTTSEVDAHTDTDDDLDQEAAATDPEGSPTTLPTTDAGENTAPTTGLRNPGYAAGFVGAGFKNRTTDEYAVDGDTDDAGELADNDDPHGESDHGDLGVDATTPVREARHTPLEIQEEARKLVNSINAAASYEDFDAYPTQGDNPQEEFLDDDAADLSDEDIVDEVLTSADATAPTTEPEA---AEDVTEAEESQASEPASAAVSAVAETLAEANDEPEDLTHTNLAEESEKSEEEEAETAEAPAEGV----DKHKPGQPTPEQPATLVTPPAQPAAPTAAHATANAVTTNAAPVETEDTFDWMEDDYVHTSIGGDNLWDSDAGTLSFDSRRALVQLLQGPLVRAEQHPPIWKAILSDETALRQRLADMFLDLVVDEDAGIAFTRIANSGNPIRVGKEHYVDMPHVLRVKTLTIIDTIVLLDLRTRLGLAVPGERVIVDQEELRENASQFRALDDRDEATFNRRFDASLDRMRRDYSLLGDTETEGRYEVSPALKHIFDAQTVAGIKAEFEELLAREESK</t>
  </si>
  <si>
    <t>MTNNTPINHNDQNEEGEGKHRNSGEHNSFPFIAPREIESPAPTRHRAELAYTDRYFGGRNATGRNDAGIVKADIVEAEIIDAEVLDVQFDDDTDAPQTTHGSRRALHYSAHSPADADVDTADTADAAGNVVDDAEVETTAESEPGRTVTAPESPAGRRFTGAGATEASEPQLEVSPEETSDDAAAADKPWDRAAQPDAHRTTSEVDAHTDTDDDLDQEAAATDPEGSPATLPTTDAGENTAPTTGLRNPGY-AGFAGAGLENRTTDEYAVDGDTDDAGELTDNDDPHGESDHGDLGVDTTIPVREARHTPLEIQEEARKLVNSINAAASYEDFDAYPTQGDNPQEEFLDDDAADLSDEDIVDEVLTSADATAPTTEPEAAEVAEDVTEAEESQASEPASAAVSAVAETLAEANDEPEDLTHTNLAEESEESEEEEAETAEAPTETPVEVDDKPEPGQPTPEQPATLVTPPAQPAAPTAAHATASAVTTNAAPVETEDTFDWMEDDYVHTSIGGDNLWDSDAGTLSFDSRRALVQLLQGPLVRAEQHPPIWKAILSDETALRQRLADMFLDLVVDEDAGIAFTRIANSGNPIRVGKEHYVDMPHVLRVKTLTIIDTIVLLDLRTRLGLAVPGERVIVDQEELRENASQFRALDDRDEATFNRRFDASLDRMRRDYSLLGDTETEGRYEVSPALKHIFDAQTVAGIKAEFEELLAREESK</t>
  </si>
  <si>
    <t>GC_00002528</t>
  </si>
  <si>
    <t>MGFVPLILGLWSAPTLTWLHGMLVIAWTSGFFFFAVAEKWLKFRYKPRYRPALITYGAIAAIFSLILIIGAPHLLWWGLVYLPLIVASFYLSWAKKERSLLARLVAIAAACLVLPLAINVDMPHPWFAADAIAPKGWYLCALLTTYFATTVPFVKTVIRERNSTPWFVGSITVHVIATLAMAALAVQGYNYWTHVLVWVLLTGRAVAMPLLAKHRGVPWRPRNIGMPEIGYSLLVFATLPYGLAFP</t>
  </si>
  <si>
    <t>MGFVPLILGLWSAPTLTWLHGMLVIAWTSGFFFFAVAEKWLKFRYKPRYRPALITYGAIAAIFSLILIIGAPHLLWWGLVYLPLIVASFYLSWAKKERSLLARLVAIAAACLVLPLAINVDMPHPWFAADAIAPKGWYLCALLTTYFATTVPFVKTVIRERNSTPWFVGSITVHVIATLAMAALAVQGYNYWTHVLVWALLTGRAVAMPLLAKHRGVPWRPRNIGMPEIGYSLLVFATLPYGLAFP</t>
  </si>
  <si>
    <t>GC_00002529</t>
  </si>
  <si>
    <t>MSASILTNKVRHRPWSGGRKAAAMVGAIVACATSLVTCSSGNDRDIDHFGYGLSTPLFTTNAGTNVGASTQADLLAGRLYPPVFVVGPSGQLIPNRDLATAKTIPGEPQRVEYAISENAKYSDGAPVTCNDFLLAFRAGSMPELFNSRIPLMEQVENLECTPGSKQFTVVFKRDMGARWRYLFGPGTVLPSHVIASKTGKNEQQLVDELHEGDVDTLRPIAQVWSDGFNLGSFDAQLQVSAGPFKIADVGEDGHVTLTPNEQYVGDQPALSKVTLWPKGTDLSAKAADKSIEVADLVGEADVPWVDRNNSKNPFNISNAVGDLNEQLVLAKAGVLASPEARQAFAACIDIAAVAEESARASGVDVKPMGTRLTTADDPINQQTEHIGAAHLGVDIPRAEMLRGQTIRVGYIAPNSRKAAMVEKMRASCQPAGVNVVDASGDAGTIQDLAVDRKQDNGTTQLDPRKLDAVLVAMDPNSQFGDVNATSGDVEALRQGEERLWVDVPTIPLAAQPHTFVVDRTITNVVVNTSLSGIGWNMDRWQESRKK</t>
  </si>
  <si>
    <t>MSASILTNKVRHRPWSGGRKAAAMVGAIVACATSLVACSSGNDRDIDHFGYGLSTPLITTNAGTNVGASTQADLLAGRLYPPVFVVGPSGQLIPNRDLATAKTIPGEPQRVEYAISENAKYSDGAPVTCNDFLLAFRAGSMPELFNSRIPLMEQVENLECTPGSKQFTVVFKRDMGARWRYLFGPGTVLPSHVIASKTGKNEQQLVDELHEGDVDTLRPIAQVWSDGFNLGSFDAQLQVSAGPFKIADVGEDGHVTLTPNEQYVGDQPALSKVTLWPKGTDLSAKAADKSIEVADLVGEADVPWVDRNNSKNPFNISNAVGDLNEQLVLAKAGVLASPEARQAFAACIDIAAVAEESARASGVDVKPMGTRLTTADDPINQQTEHIGAAHLGVDIPRAEMLRGQTIRVGYIAPNSRKAAMVEKMRASCQPAGVNVVDASGDAGTIQDLAVDRKQDNGTTQFDPRKLDAVLVAMDPNSQFGDVNATSGDVEALRQGEERLWVDVPTIPLAAQPHTFVVDRTITNVVVNTSLSGIGWNMDRWQESRKK</t>
  </si>
  <si>
    <t>GC_00002530</t>
  </si>
  <si>
    <t>MTEHPITNEQPRRSRRRKATVEEEIANDAIVGSPSDAEVVFIGPVGVGKTTAVQTLSSVPPINTEVMMFEGAEEFLHTSKTTTTVGIDYGMWVRPDGKVIGLFGTTGQDRFTDSRTPLLNPDAGIVIWLYGDSDTLGTDLGSWITTAGGPTNSHRILIGVNYPTDEGLNEIKATLEQLELGHIRVTTADPRNIDDVRRVVNDVLQFNGV</t>
  </si>
  <si>
    <t>MTEHPITNEQPRRSRRRKATVEEEIANDAIVGSPSDAEVVFIGPVGVGKTTAVQTLSSVPPINTEVMMFEGAEEFLHTSKTTTTVGIDYGMWVRPDGKVIGLFGTTGQDRFTDSRTPLLNPDAGIVIWLYGDSDTLGADLGSWITTAGGPTNSHRILIGVNYPTDEGLNEIKATLEQLELGHIRVTTADPRNIDDVRRVVNDVLQFNGV</t>
  </si>
  <si>
    <t>GC_00002531</t>
  </si>
  <si>
    <t>MTHQLAHHDSLAPAPVAETLRYLGGLRNALSRRWWVGIIALHCVLLACTILEANVLGYSVDVLRGVAVPIVGTGERALMILVGVACAATFVGHCLRSLANYLIGIKLRRMSVDLKRNCLNSTLQAPIPDVMALGTGNVITRMTHDIDQPVTQFSQIGSRVMFMLLMFPFSIGAMTLIDYRFGVLALVIAVIFVPISKRWIGALPPVTNAMSAIEAERNATLLDTLRGLATFKAFRYGAWALNRMQTKSWAALQATATRVPYINRLLHLAQTISGVWVIAALGLGAWLTAHNHITAGAASAAVFLAVRAETQIFNTMFFLNDIQEGMTRLGRAVALAKLYTPTGQRTAPDLEKPADVTIRGLEFSYPDTTEPVLPTLDLTLAAGTTTALVGASGAGKSTLAALMSGLLRPTAGTITVGDVDIAQVSDVWTARNVTLISQEVHIFSGTLRDDLRMAAPTATDGELLDALAAVGLPENGTAFRRAFPLGLDTQVGAGAVPLMPEVQQQIALARVLLRNPHVLILDEATSEAGSDQAHTLEAAAELVTRGRTALVVAHRLDQAVVADRIIVMDAGRIIEDGRHADLVAAGGRYAQLFARWSGQDHTM</t>
  </si>
  <si>
    <t>MTHQLAHHDPLAPAPVAETLRYLGGFRNALSRRWWVGLIALHCVLLACTILEANVLGYSVDALRGVAVPIVGTGERALMILVGVACAATFVGHCLRSLANYLIGIKLRRMSVDLKRDCLNSTLQAPIPDVMALGTGNVITRMTHDIDQPVTQFSQIGSRVMFMLLMFPFSIGAMTLIDYRFGVLALVIAVIFVPISKRWIGALPPVTNAMSAIEAERNATLLDTLR---------------------------------------------------------GSLPSKHSAMAPGRLTAC---------------------------------------------KPKVGRP---------------SRPLPP-------------------------------------------------------------------------------ASPTST---------------GCSTSPKPFP-------GCG-------------------------------------------------------------------------------------------------------------</t>
  </si>
  <si>
    <t>GC_00002532</t>
  </si>
  <si>
    <t>COG4194</t>
  </si>
  <si>
    <t>Uncharacterized membrane protein, DUF1648 family</t>
  </si>
  <si>
    <t>MISILITIILCLPPILLLPSSFGLRLDHEHIAQIVDIKLRYRAAGVIIAVIAAVCVTLIPFPGKLVTPIIFIALHSANWFVARRSVRRRKLANGWLDDEETKVREAGHPFMLPVLTLPLYLYTGGWLALLLAAIYLDTSWDSMPVQIPIHFDPGFKTDTWAPRNGGSVYFLTFLGLALSLVFLLICLFIRLPSFTRGKAFRTSHVATLATAIHALSWLQCLITLSFAYNQVAYLLPTLHDYEKPVSISSLVACVIMFVGGLCYVILQTGRYEHAARELFPDQLDDDDKKFYILGMFYYNPTDMRVLVNDRFGVGLDFNWARWQSQAFMLVVLGVIVAVIIPAA</t>
  </si>
  <si>
    <t>MISILITIILCLPPILLLPSSFGLRLDHEHIAQIVDIKLRYRAAGVIIAVIAAVCVTLIPFPGKLATPIIFIALHAVNWFVARRSVRHRKLANGWLDDEETKVREAGHSFMLPVLTLPLYLYTGGWLALLLAAIYLDTSWDSMPVQIPIHFDPGFKTDTWAPRNGGSVYFLTFLGLALSLVFLLICLFIRLPSFTRGKAFRTSHVATLATAIHALSWLQCLITLSFAYNQVAYLLPTLHDYEKPVSISSLVACVIMFVGGLCYVILQTGRYEHAARELFPDQLDDDDKKFYILGMFYYNPTDMRVLVNDRFGVGLDFNWARWQSQAFMLVVLGVIVAVIIPAA</t>
  </si>
  <si>
    <t>GC_00002533</t>
  </si>
  <si>
    <t>PF03649.18</t>
  </si>
  <si>
    <t>Uncharacterised protein family (UPF0014)</t>
  </si>
  <si>
    <t>K02069</t>
  </si>
  <si>
    <t>UDP-glucose/iron transport system permease protein</t>
  </si>
  <si>
    <t>COG0390</t>
  </si>
  <si>
    <t>ABC-type iron transport system FetAB, permease component (FetB) (PUBMED:24038693)</t>
  </si>
  <si>
    <t>MAQQISTLHLAMAAGLMLLTLGLSWRLRLGLGRDILISGLRMTAQLLLVGLILRWVFSLHNPVVVLAIGVIMAFLASQAASKRPEYPYPRLLLDCFLAIMCSSFLLTALALHIIVDVRPWYDPQYFIPMLGMVLGNGLTGVSLAVDRYTSELHHSRERIDALLAMGATRWEASHSAFTSALRTALIPTLNSMAVMGVVSLPGMMTGQILGGSSPDTAVRYQIVIMFVIAAATTAACFAVLYLAYLKLFDAHHRLRVSARG</t>
  </si>
  <si>
    <t>MAQQISTLHLAMAAGLMLLTLGLSWRLRLGLGRDILISGLRMTAQLLLVGLILRWVFSLHNPVVVLAIGVLMAFLASQAASKRPEYPYPRLLLDCFLAIMCSSFLLTALALHIIVDVRPWYDPQYFIPMLGMVLGNGLTGVSLAVDRYTSELHHSRERIDALLAMGATRWEASHSAFTSALRTALIPTLNSMAVMGVVSLPGMMTGQILGGSSPDTAVRYQIVIMFVIAAATTAACFAVLYLAYLKLFDAHHRLRVSARG</t>
  </si>
  <si>
    <t>GC_00002534</t>
  </si>
  <si>
    <t>MDKTLLQGLITAYLFMENGDLAGAKRVLTTLPPEYYDDPRQLLMLARVVCLEVQEPEDFAEAITIFHQVAHAGSRDASILVNVAVLALKIGYRDEKHAARERVADHRLALEAARQAIAVEPKLPVSYLIAARLIINLTLYESDGAELESLEAEAKAHLDQAETVGAGPASVATLRVALMLVLGQLDAAREFLTDTHPQPRAVAALRDHLAELDRPLTDRDRADMAHMWVELREFLASFPHFMARMGLSEDDAFADLRGCMLMQAALDLLDDDYDAFPMLLPPESRQLLHDFHKHTIIVKGMAMVAWLSLPLLYPPATLRLCAAIVGVVSMLVVAGLWDRQLRRDAAPLGYAQLLRGNQLLRLALRLSQVVPALCFVPVARTALYGFGNPNVMTLVGILMFFAPMFPLYLLRIALL---</t>
  </si>
  <si>
    <t>MDKTLLQGLITAHLFMENGDLAGAKRVLTTLPPEYYDDPRRLLMLARVVCLEVQEPEDFAEAITIFRQVVRAGSRDASILVNVAALALKIGYRDEKHAACERVADHRLALDAVRQAIAVEPKLSVSYLIATRLIINLTLYAVGGAELESLEAEAKAHLGQAETLGADPAAVATLRVALMLVLGQLDAAREFLTDTHPQPRAVAVLRDYLAELDRPLTDRDRADMAQMWAELREFLASFPHFMARMGLSEDDEFADLRGCMLMQAALDLLDDDYGAFPMLLPPEGRQLLHNFHKHTIIVKGMAMVAWLSLPLLYLPATLRLCAAIVGVVGMLVVARLWDRRLRRDAAPLGYAQLLRGNLLLRLALRLSQVVPALCFVPVARTALQGFGDPNVMTLVGLLMFFAPMFPLYLLRIALRQAS</t>
  </si>
  <si>
    <t>GC_00002535</t>
  </si>
  <si>
    <t>MAVEGVAKRHERSKSYGFGTVILEHGQVGDSDSDLVSEGCKRHFAFGQELVEVADHSL</t>
  </si>
  <si>
    <t>MAVEGVAKRHKRGKSYGFGAVILEHGQVSDGDPNLVSEGGKRHFAFGQELVEVADHSL</t>
  </si>
  <si>
    <t>GC_00002536</t>
  </si>
  <si>
    <t>MLTLIKLGKKAGHSTSAEQGKFRRAKTPPEGGGDCGDVGQVEEGVG-----------------------------------</t>
  </si>
  <si>
    <t>MLTLIKLGKKAGHSTSAEQGKFRRAKTPPEGGGDCGDVGQVEEGCRLISHDISWMDRSMAGYGNTPMSYPAVDVYSCKHLH</t>
  </si>
  <si>
    <t>GC_00002537</t>
  </si>
  <si>
    <t>PF17933.6</t>
  </si>
  <si>
    <t>MTDDLTARARLRDATIALIAGGDKPTARSVASKAGVSIGLIRHHFGTMDGLLLACDEHIATLIRDAKNDAIRGPLPNVLETLREAGQDNILRYLAHRLTESTPGIDALVDQLAADAASYIQRAIDADLMNPVPNVPVAARMLTIYSLGSLVLAPHLKRLLNIDITADNLIAEPGVTDYVQVQLSLFSSLFTPTLLEQMSAQLEGKEE</t>
  </si>
  <si>
    <t>MTDDLTARARLRDATIALIADGDKPTARSVASKAGVSIGLIRHHFGTMDGLLLACDEHIAALIRDAKNDAIRGPLPNVLETLREAGQDNILGYLAHRLTESTPGIDALVDQLAADAASYIQRAIDADLMNPVPNVPVAARMLTIYSLGSLVLAPHLKRLLNIDITADNLTAEPGVTDYVQVQLSLFSSLFTPTLLEQMSAQLEGKEE</t>
  </si>
  <si>
    <t>GC_00002538</t>
  </si>
  <si>
    <t>Q|I|Q</t>
  </si>
  <si>
    <t>Secondary metabolites biosynthesis, transport and catabolism|Lipid transport and metabolism|Secondary metabolites biosynthesis, transport and catabolism</t>
  </si>
  <si>
    <t>K04788</t>
  </si>
  <si>
    <t>mycobactin phenyloxazoline synthetase</t>
  </si>
  <si>
    <t>COG1020|COG3433</t>
  </si>
  <si>
    <t>EntF, seryl-AMP synthase component  of non-ribosomal peptide synthetase (EntF) (PDB:5ES5)|Acyl carrier protein/domain (AcpA) (PDB:2FQ1) (PUBMED:8759840;20663952)</t>
  </si>
  <si>
    <t>KEGG Orthology (KO)&gt;&gt;&gt;09100 Metabolism&gt;&gt;&gt;09109 Metabolism of terpenoids and polyketides&gt;&gt;&gt;01053 Biosynthesis of siderophore group nonribosomal peptides [PATH:ko01053]|Polyketide biosynthesis proteins&gt;&gt;&gt;Nonribosomal peptide synthetase (NRPS)&gt;&gt;&gt;Nonlinear NRPS&gt;&gt;&gt;Mycobactin synthetase</t>
  </si>
  <si>
    <t>MGISNRPAVDTSQPPITADDVIEELQNLLPNTSIRPDSDLFSVGFDSLRIMRFAGLCRKAGFDISFADFLEKPEPAAWAELLNNHAPSTQAPSVTTPSTAPEAATPADNSGTSSTSDDASPFRLAPLQHAYWAGGYDTDKLGGVSAHLYVELDGPDHEPDTLQAALDTVVARHDMLRVKILNDGTQKVQAQPDTPIFSSLDLRDTNDVTVAATLEDIRSEMSGQRAAADLGRMIDVRLTRLPGGRARLHVDFDMLAGDAMSYRIVLDDLAAVLTGEELAPISSSFREYLDAPEVTSLRNRERDQQWWAEQLATLPDPPKLPTYTGVPAHSVRPQRRHLFLDERQRAALEHHAQDNGVTPAACLATAFAEAIGSFTTESRFLLNVPLFHRQQILPDIDRVVGDFSSSVLVTVDVSQEQTVLDRIRAVSESMHGSMRHSDWSALDILRDMSRSRGSQVIAPIVYTSAVGLGELFSARVRSVFGDPVWILSEGPQVLLDAQVTELDGGFLANWDVREGMFLPGMVDAMFESYRANVDLLVQDAEWASAPFPSAVPEEQNQARRDTETTAPLPEDALLHRRFFDLADTHPDRPAVLWGEHGVRTYAELRDDALRVATSLRKHGVAPGDIVGVRIAKGPHQLTALLGVLAAGAAWVPLGADQPATRRSRILERADATVVLHDTNALSDPDEGITGVLLDDALTTDLPEDAAAQATTQSPDDVVYVLFTSGSTGEPKGVELTHRAVMNTINAVNEIVGLTADDRTLGLSSLEFDLSVHDMFGPLNVGGAVVTLTEQERRDAEAWIGLMTRHHVTQLYCVPPLLDMLLSSTSTTQLDKLRWCLLGGDWVTLDLPGRLRERAPHCRFAGLGGATETAIHSTFFEVTDPEAIDPIWGSVPFGSPLPNMHARIVDDAGRIRPDFAPGEYLVSGPGIARGYRHDAEMTDRKFPTIDGARWYRTNDLARYLPGGCIEFLGRRDDQVKIRGYRIEIGEVEAALRQAPGVHSCVAVVSRPAGGPRDGSAHLGAVIAAGSNPAPDLEEQVRAFLGETLPPYMIPDLMVIVEAIPVNKNGKSDREYCAQLIDTARRDTVQQSASEPPTPGTLEHLVAGVFAEVIGVPESVIGLDDDFIQVGGDSVLTTKAASVLRDVLDDPSLPAVLLFESRTPRSVAASLREVEAEPGLFDRTAAIVYELDNEGL</t>
  </si>
  <si>
    <t>MGISNRPAVDTSQPPITADDVIEELQNLLPNTSIRPDSDLFSVGFDSLRIMRFAGLCRKAGFDISFADFLEKPEPAAWAELLNNHAPSTQAPSVTTSSTAPEAATPADNSGTSSTSDDASPFRLAPLQHAYWAGGYDTDKLGGVSAHLYVELDGPDHEPDTLQAALDTVVARHDMLRVKILNDGTQKVQAQPDTPIFSSLDLRDTNDATVAATLEDIRSEMSGQRAAADLGRMIDVRLTRLPGGRARLHVDFDMLAGDAMSYRIVLDDLAAVLTGEELAPISSSFREYLDAPEVTSPKNRERDQQWWAEQLATLPDPPKLPTYTGVPAHSVRPQRRHLFLDERQRAALEHHAQDNGVTPAACLATAFAEAIGSFTTESRFLLNVPLFHRQQILPDIDCVVGDFSSSVLVTVDVSQEQTVLDRIRAVSESMHGSMRHSDWSALDILRDMSRSRGSQVIAPIVYTSAVGLGELFSARVRSVFGDPVWILSEGPQVLLDAQVTELDGGFLANWDVREGMFLPGVVDAMFEAYRANVDLLVQDAEWASAPFPSAVPEEQNQARRDTETTAPLPEDALLHRRFFDLADTHPDHPAVLWGEDGVRTYAELRDDALRVATSLRKHGVAPGDIVGVRIAKGPRQLTALLGVLAAGAAWVPLGADQPATRRSRILERADATVVLHDTNALSDPDEGITGVLLDDALTTDLPEDAAAQATTQSPDDVVYVLFTSGSTGEPKGVELTHRAVMNTINAVNEIVGLTANDRTLGLSSLEFDLSVHDMFGPLNVGGAVVTLTEQERRDAEAWIGLMTRHHVTQLYCVPPLLDMLLSSTSTTQLDELRWCLLGGDWVTLDLPGRLRERAPHCHFAGLGGATETAIHSTFFEVTDPEAIDPIWGSVPFGSPLPNMRARIVDDAGRIRPDFAPGEYLVSGPGIARGYRHDAEMTDRKFPTIDGARWYRTNDLARYLPGGCIEFLGRRDDQVKIRGYRIEIGEVEAALRQAPGVHSCVAVVSRPAGGPRDGSAHLGAVIAAGSNPAPKLEEQVRAFLGETLPPYMIPDLMVIVEAIPVNKNGKSDREYCAQLIDTARRDTVQQSASEPPTPGTLEHLVAGVFAEVIGVPESVIGLDDDFIQVGGDSVLTTKAASVLRDVLDDPSLPAVLLFESRTPRSVAASLREVEAEPGLFDRTAAIVYELDNEGL</t>
  </si>
  <si>
    <t>GC_00002539</t>
  </si>
  <si>
    <t>PF02353.26</t>
  </si>
  <si>
    <t>Mycolic acid cyclopropane synthetase</t>
  </si>
  <si>
    <t>COG2230</t>
  </si>
  <si>
    <t>Cyclopropane fatty-acyl-phospholipid synthase and related methyltransferases (Cfa) (PDB:5Z9O)</t>
  </si>
  <si>
    <t>MQALQDTGRYHHLAAINADVWPGIVTIPTGMFAASKARRAEAEFATACEKAGLDLDGPQPDLRVLYEEVFTRIAYSGWLGLAEGYMAGEWESDNLVRVLTGLLEVGYRPRCGKLEVGGLYLGEEIPDSLVRLYSGDGMSTHGPVFSSGVPTTERVYMKSYVPGAGKKDEPGQHFVDITELSPPTLVERADLGDAQVRAAVGLLDAAHVGIGTHVLDFPSSGPTIPIAAARRSATVDVLSSDAQQVADVQDVVAMADVDSSVQVRLLESLFPNPRTWPSHYDVITSVEKLEVMDTQAQRVYAQSLNRMLVHGGFLAVQTVVATDKLSVTLDRCADVLRAYIWPALNYLTIEQLHRLFDVNTDLRIIAQTHMGSHYVEGLAMQRETFEAQSREAAANGYDRVYRNLWVFQLALREALFRVGALDALQLVVTSRYRRAWG</t>
  </si>
  <si>
    <t>MQALQDTGRYHHLAAINADVWPGIVTIPTGMFAASKARRAEAEFATACEKAGLDLDGPQPDLRVLYEEVFTRIAYSGWLGLAEGYMAGEWESDNLVRVLTGLLEAGYRPRCGKLEVGGLYLGEEIPDSLVRLYSGDGMSTHGPVFSSGVPTTERVYMKSYVPGAGKKDEPGQHFVDITELSPPTLVERADLGDAQVRAAVGLLDAAHVGIGTHVLDFPSSGPTIPIAAARRSATVDVLSSDAQQVADVQDVVALADVDSSVQVRLLESLFPNPRTWPSHYDVITSVEKLEVMDTQAQRVYAQSLNRMLVHGGFLAIQTVVATDKLSVTLDRCADVLRAYIWPALNYLTIEQLHRLFDVNTDLRIIAQTHMGSHYVEGLAMQRETFEAQSREAAANGYDRVYRNLWVFQLALREALFRVGALDALQLVVTSRYRRAWG</t>
  </si>
  <si>
    <t>GC_00002540</t>
  </si>
  <si>
    <t>MASGRDWQETYDQKEPRNPKPYALALLWAVIMAPITLLLGAVQPFTNIPFQVLPLVMVGPFAAAALCKLSVPSWFPPDAPRATTALTKKAWIATALSSLVYVLTLVLLATPGYTPFVVHDWPKPIAVVAVCIGFIFGSWCEEVGFRGIMYRALAAKLGPWPSVVINGVFFGLCHLQYFDVGVLPVILFVASAVLLDVIMAALWTGSWTHRVLIATAIHAVVNISIEATGTDLTQMYPYVVMLAATIVSALCALALGRTFKIGDLLPAKQPRQPLNPPTI</t>
  </si>
  <si>
    <t>MASGCDWQETYDQKEPRNPKPYALALLWAVIMAPITLLLGAVQPFTNIPFQVLPLVMVGPFVAAALCKLSVPSWFPPDAPRATTALTKKAWIATALSSLVYVLTLVLLATPGYTPFVVHDWPKPIAVAAVCIGFTFGSWCEEVGFRGIMYRALAAKLGPWPSVVINGVFFGLCHLQYFGVGVLPVSLFVASAVLLDVIMAALWTGSWTHRVLIATAIHAVVNISIEATGTDLTQMYPYVAMLAATIVSALCAVALGRTFKIGDLLPAK-----------</t>
  </si>
  <si>
    <t>GC_00002541</t>
  </si>
  <si>
    <t>MLDSCLGAAYHLLCETDGRESLKVLQGMPEKYHSHPYWLLIAAEAYRRESCATVDTDNSKYDEALRRAKIGEAEMLKLVREVARQDSQDVIVLFNLAVFPLKVRSGVVGFSDYGIGLKYAHEAIERDPNRVELYFVVVNLILRMISSFDDKLESNPEGLKLWQLYSDAERALSRAESLNADPLLLAKLRIGLLAMSGRRDEAKTRLEQARSGFLRDRDLKAIDKALAQYSRPPSSRDRMFNSFMKNAITQAVEKNSSSVVANLSPEKLAEYNAFMAAMNNPADAIGIRDTELGIHVIRTVEQGDPNFGELNDYGALSMLLSDDVKEDYKGCVLLRNSVLILMSISIAANLPIPAFSDMWRVYCGYGGALLMLTLVVGSNSYLCMRLGKTRYKGLLKAGTKLHMWLRISETLPVLMFLPNVLSVYSEQAGSVYILSVFIAVVFCGAAASLHNASYEALMNMGKTHLNDPATL</t>
  </si>
  <si>
    <t>MLDSCLGAAYHLLCETDGRESLKVLQGMPEKYHSHPYWLLIAAEAYRRESCATVDTDNSKYDEALRRAKIGEAEMLKLVREVARQDSQDVIVLFNLAVFPLKVRSGVVGFSDYGIGLKYAHEAIERDPNRVELYFVVVNLILRMISSFDDKLESNPEGLKLWQLYSDAERALSRAESLNADPLLLAKLRIGLLAMSGRRDEAKTRLEQARSGFLRDRDLKAIDKALAQYSRPPSSRDRMFNSFMKNAITQAVEKNSSSVVANLSPEKLAEYNAFMAAMNNPADAIGIRDTELGIHVIRAVEQGDPNFGELNDYGALSMLLSDDVKEDYKGCVLLRNSVLILMSISIAANLPIPAFSDMWRVYCGYGGALLMLTLVVGSNSYLCMRLGKTRYKGLLKAGTKLHMWLRISETLPVLMFLPNVLSVYSEQAGSVYILSVFIAVVFCGAAASLHNASYEALMNMGKTHLNDPATL</t>
  </si>
  <si>
    <t>GC_00002542</t>
  </si>
  <si>
    <t>MTESEIAQLAQPAPRRRDYSDQTITQKPPALTELTLLRYITLIGLATYITNILFKFGPFLEFLRNNHRFITWTNSAFVIFSLSLASLLFAIIVNKHPIYTIVISIAMVAYLQLATIQITELIIFHDSPWDQLHLGDVASIPTCLTVSILHRKLGKIGMIMAIIIIPVVATSQNVNSIMLRPYVFDVLYSTFIGTPWMYMVHHVVATSRRADKAAFDEYQALTSIQRSNQLKELETTSLSNIHDRILSTLNNINKGVADPEDIHTIDIFDLMPTGSMPLTTFIQNLKTQVGDDTRVVMPESTSNTVAIPMEIAATMLAAIEQAYTNSIAHAPQAQRELVATWDESQLSIVFADTGPGFNVAKIPHHHAGVTITMLERPRNHPGVSAQLTTAPGQGTRYRLTWQLVPQQELAATAEPLSVSKLIGVADIFRPRWAVYAFLVFFADSYRYDHEGRWPAFIIGSAFFAGGLWALTSTTELKLPRRNTIILSGCVVGLVSTGQLAHYSPLMPYHSHWFLSYGLILVANMALRLRPITAWVVWLSLTAATFVVDDIMNIQLSAWPISLFVGITLFVPATLVPSQVALAVRSLPALERVQRNEHLELARALTQKQYVQAMTGWLRSLLSLVDDPATAGLMQKRLRDAIRSPLLDVPELTAAVWQAREAGTEVVLIDARSEQDPNPDPVEHPAIIANAIAALESRPSKLTLRLLPPGRSRYATLVYY</t>
  </si>
  <si>
    <t>MTESEIAQLAQPAPRRRDYSDQTITQKPPALTELTLLRYITLIGLATYITNILFKFGPFLEFLRNNHRFITWTNSAFVIFSLSLASLLFAIIVNKHPIYTIVISIAMVAYLQLATIQITELIIFHDSPWDQLHLGDVASIPTCLTVSILHRKLGKIGMIMAIIIIPVVATSQNVNSIMLRPYVFDVLYSTFIGTPWMYMVHHVVATSRRADKAAFDEYQALTSIQRSNQLKELETTSLSNIHDRILSTLNNINKGVADPEDIHTIDIFDLMPTGSMPLTTFIQNLKTQVGDDTRVVMPESTSNTVAIPMEIAATMLAAIEQAYTNSIAHAPQAQRELVATWDESQLSIVFADTGPGFNVAKIPHHHAGVTITMLERPRNHPGVSAQLTTAPGQGTRYRLTWQLVPQQELAATAEPLSVSKLIGVADIFRPRWAVYAFLVFFADSYRYDHEGRWPAFIIGSAFFAGGLWALTSTTELKLPRRNTIILSGCVVGLVSTGQLAHYSPLMPYHSHWFLSYGLILVANMALRLRPITAWVVWLSLTAATFVVDDIMNIQLSAWPISLFVGITLFVPATLVPSQVALAVRSLPALERVQRNEHLELARALTQKQYVQAMTGWLRSLLSLVDDPATAGLMQKRLRDAIRSPLLDVPELTAAVWQAREAGTEVVLIDARSEQDPNPDPVEHPAIIANAIAALESQPSKLTLRLLPPGRSRYATLVYY</t>
  </si>
  <si>
    <t>GC_00002543</t>
  </si>
  <si>
    <t>MARPVRFSSDDILDGTARTLALRGKNLTMSDIAQEIGGPTGSIYHRFASREELLATLWIRSIKRFHVGLITAYTLPDPDTAIQSAAVHVVTFCRDNPQDALAMTLFRQTRLANDGPDNLRSDVAHINDSATQALSELAIRRFDTPSNHHLDLLTLATRQCPYGLVRPHIGSDIPTWLDAAAATSAAAIAKLGDEPSGRRAT</t>
  </si>
  <si>
    <t>MARPVRFSSDDILDGTARTLALRGKNLTMSDIAQEIGGPTGSIYHRFASREELLATLWIRSIKRFHVGLITAYTLPDPDTAIQSAAVHVVTFCRDNPQDALAMTLFRQTRLANDGPDNLRSDVAHINDSATQALSELAIRRFDTPSNHHLELLTLATRQCPYGLVRPHIGSDIPTWLDAAAATSAAAIAKLGDEPSGRRVS</t>
  </si>
  <si>
    <t>GC_00002544</t>
  </si>
  <si>
    <t>MLTLISRTTTPITPTAVTAVSAAPAPATDLLLLTKQWCVPRLDYTNATPEQQLVIHIQAAAISCRTAVISGLAAALIQGIPTLNQDHDTHVELTLPHHHRPPSRTQWPLIFYYRDAYLPPEDITNIAGHRVTTVPRTFTDIYARHGELEALAYLESALNRGHTKQEFQDYLTTHHGQWNTVKLQRILDLACYGIESVQETRARYAIITQLPTTLVTPQAVIPVPHRTIVGRWSLKRVDLLLDNWLVIEIDGHSKYIGAPQHRLNIFQNQIHRDVHISRHGYHILRFTPAEIATYLIPTIARILQLQPAAPPTRHTVYDLTTTIPYWSHQQ</t>
  </si>
  <si>
    <t>MLTLIPRTTTPTTPTAVTAVSAAPAPATDLLLLTKQWCVPRLDYTNATPEQQLVIHIQAATISCRTAVISGLAAALIQGIPTLNQDHDTHVELTLPHHHRPPSRTQWPLIFYYRDAYLPPEDITNIAGHRVTTIPRTFTDIYARHGELEALAYLESALNRGHTKQEFQDYLTTHHGQWNTVKLQRILDLACYGIESVQETRARYAIITQLPTTLVTPQAVIPVPHRTIVGRWSLKRVDLLLDNWLVIEIDGHSKYIGAPQHRLNIFQNQIHRDVHISRHGYHILRFTPAEIATYLIPTIARILQLQPAAPPTRHTVYDLTATIPYWSHQQ</t>
  </si>
  <si>
    <t>GC_00002545</t>
  </si>
  <si>
    <t>PF10049.14</t>
  </si>
  <si>
    <t>Protein of unknown function (DUF2283)</t>
  </si>
  <si>
    <t>MFQKPAMMTDREGYIYINIGAPSATPRTVAYSIPMESENGEMGIVMDISEDDELLGIEILRLDVMIANYASGL</t>
  </si>
  <si>
    <t>MIQKPAMMTCVDGHAYISIG-KSDGPRTVAYTIPLNSENGGVSALLDISEDDELLGIELPWLGTEIANYASGL</t>
  </si>
  <si>
    <t>GC_00002546</t>
  </si>
  <si>
    <t>MRNRAIAIALAVATATATAISAPQAFAEDAAATSTSASAPASATSPADKSGDQSKKEEGKEPSADLKNKAEKSSDKIKEDLNGASSKLGLGGNTSEVKPSPSAPKVDDKTKDPSSDLKNKFDKSSDKVKEDVNGLSSKLGLTKTTSVTPSASAPKDKDSSKDKLNDLSNKLGGKDKVAIFAGVFALIAAIGGAIAAFLPQIPGLKLPAIPGIPGR</t>
  </si>
  <si>
    <t>MRNRAIAIALAVATATATAISAPQAFAQETSA-PASASASATAEKPADKSNDQSKKDGDKDPSADLKHKAEQSSDKIKEDLNGASSKLGLGGNTSEVKPSPSAPKVDDKTKDPSSDIKNQVDKSSDKIKEDVNGLSSKLGLTKTTSVTPSASAPKDKDSSKDKLNDLSNKLGGKDKVAIFAGVIALIAAIGGAIAAFLPQIPGLKLPAIPGIPGR</t>
  </si>
  <si>
    <t>GC_00002547</t>
  </si>
  <si>
    <t>MSELIANRYELGSVVGSGGMSVVYSATDTLLGREVAVKMLRSELARDANFRERFRREAQNAGRLNHPAIVAIYDTGETLHDGQSTPYIVMELVKGRNLKDIVADGGPLSPDEAATTLIPVCEALQVSHDAGIVHRDIKPANVMITNTGVVKIMDFGIARALDDVTSHMTQTSAVIGTAQYLSPEQARGKPVDGRSDLYALGCLMYDIMVGHPPFDGDTPFAVAYQHVQEDPTPPSEFIPDLSPTAALNVDAVVLTAMAKHPGDRYQTAVEMAADLQRLEKNLVTMAARQYVDHDPEGAASLPGPAGIAAAELAAAGGAGAAGLAGAAGAAGAAGTAGAAGLEAAGFAGTSAGVGAGAADATETTVVPAVSEEFPPRPTPPMQSRRAAHAAPADPRMSPSRNPQGRAAGQHAAHAAQAGQVQRHRRAELDADDYDSYEDRPRKGLRIALIVVAVLSLGVAAAFAYQYFSPTILPTKNNVTVPDLRNQTKEDALATLEKLGLKTEVVNDASADVQEDHVVGTDPTANSTVKSGSTITVTVSSGRENTSVPDLSGKTTAEASAILKKKGLDLDPVVREGSSPKVERGKIMEQNPSAGTQVSKGSKVTITVSTGEATTRVPVVTGMQWSQAEGNLTSLGFEPVVEFVDGSEPDGTVISVDGEGTQMPAKSKINVKVSNGSLIQTPNLTNMTVDAAYSALQAAGWKGNRSQIVLGDPVKTGALVNGGRIAQQTPAAGSPVRKDGTVTVQLWEFDITAIGR</t>
  </si>
  <si>
    <t>MSELIANRYELGSVVGSGGMSVVYSATDTLLGREVAVKMLRSELARDANFRERFRREAQNAGRLNHPAIVAIYDTGETLHDGQSTPYIVMELVKGRNLKDIVADGGPLSPDEAATTLIPVCEALQVSHDAGIVHRDIKPANVMITNTGVVKIMDFGIARALDDVTSHMTQTSAVIGTAQYLSPEQARGKPVDGRSDLYALGCLMYDIMVGHPPFDGDTPFAVAYQHVQEDPTPPSEFIPDLSPTAALNVDAVVLTAMAKHPGDRYQTAVEMAADLQRLEKNLVTMAARQYVDHDPEGAASLPGPAGIAAAELAAAGGAGAAGLAGAAGAAGA---AGAAGLEAAGFAGTGAGVGAGAADATETTVVPAVSEEFPPRPTPPMQSRRAAHAAPADPRMSPSRTPQGRAAGQHSAHAAQAGQVQRHRRAELDADDYDSYEDRPRKGLRIALIVVAVLSLGVAAAFAYQYFSPTILPTKNNVTVPDLRNQTKEDALAALEKLGLKTEVVNDASADVQEDHVVGTDPTANSTVKSGSTITVTVSSGRENTSVPDLSGKTTAEASAILKKKGLDLDPVVREGSSPKVERGKIMEQNPSAGTQVSKGSKVTITVSTGEATTRVPVVTGMQWSQAEGNLTSLGFEPVVEFVDGSEPDGTVISVDGEGTQMPAKSKINVKVSNGSLIQTPNLTNMTVDAAYSALQAAGWKGNRSQIVLGDPVKTGALVNGGRIAQQTPAAGSPVRKDGTVTVQLWEFDITAIGR</t>
  </si>
  <si>
    <t>GC_00002548</t>
  </si>
  <si>
    <t>MRNTHRLMRLPLTVLAAAGLILASTPDVATTVAAQAQVASDASKDAQTQTTTPTSDPTPTTTSTPAARAPLAVPLQDAGAGTNLDLGITIESDGTPDFNGDDTAGNDSGANNGIVRVNDTVTYRVQFSVNGTVGTNTTFRMTLPKGMEMTAVPGFCQAGSTLTPPTAGEPTLPLSADSVNQLSEQTLECNLGSRENATDSVSVTARVSNLVHQGQKLAPVSAEISADGVAPVSVPQAKLPEVTASARLMWDISKNSVALTEDSGYRYGPATEPCPWDNKQVCKRTGYTLLMSAPAGGKGAMPAIGDITLVDDLSFASMYPDATPEQISAMNAAPEKYGSRIYPDSYFYNAPGNKIGTTVNGVALTEKNSVRDAGTLTFDSTLVGKPVPMRITGVDMTLRTYPTQVSRPQGTAIPGNKAYAIAQSFNVFTPVDVLTDFGVQNQAKNTWTLKTVNRYKDLSINGFTASDHQDSASQDQSNDYRTTTPDVSLGARMNKVFTGVPGEAGNMSPNEFSPGYAARGEGPAGGATLHSGGITVAPTQDVLSQIEVTGSTPDLPADVSMVLCDAWDNSRLHLHARDVPASTVRDTDLQSIPSNGAPVWVSGYNNAADGSKSRWATNSGETPALKVQYSAVKGGSGTDSACGDDKGPWYDDPAAVPGNDQALLAQGVYSAVSRVRIHAVLPPPVDNSPAVGGGVRMALSINHRVVDSGRDTGDILPNWASIKYVLKKNTDMQGVLADSGSWGISDYNPDSHTGAPGDRLILALAQARVDKQVRKGETGEFSDTPPQVSGGDAGAQPPIPADNVQYRIVPSLTSGASTRNILKDVWVEDCLPSSQMYVKASREPNVVSVGSTPDDKKRPACGPNETYIRWVYPKHEVNTAIDPIILTAEVSPGATSGVYNNVVQVWAEDDASPAAVRTNDAQVQISNIAGIKLQKEALTPVVQVNRPGQATNERNKWRIQLHNTLPPAQASLVSNPDIIDVLPQNNVAGTSFNGTFTFDSAEVKNGNKPGQEVRILYTNAAAVQLDPRDVSNQADGTTTWCDKAEGGTAVSGSGTCPASPSEVTALRVQRPGAYNTGEVIEVELTMVGVDNAGGDTYVNRVLARADGFQFAVGPIARAEHAIESSVGDYTWWDISRNGVQDAGEPAAADVPVQLEGVDDLGNKVSVSTHTNAQGLYSFPHLRSSNADGYVVTFNKDTPRALTFTTKGTNAQDPATDSNADPATGAADPVVLAKDTNNTTVDAGFIADGSLVVTKMLEGPGANFADGNTLEFQVRCTADGKTVKEETVKLTAERGKTQLNSAPITGIPVGASCTVTETKAGGADPTNTGDLPSTTVQIGLDAQRGTGAQMTAVLTNRYSAGVVTIAKKIVGEPAAVAAAQQKHFTFDVTCQLPGQGGAEPLTVLKKNVTVTGEAAVPVPGDDGGPAKLPVGARCFATETDNGGADSVDIDFNSYDKAALVTASAADEPAQLTITATNTFTVPRGEFIVSKTVVAGGSTGNETFPVNYTCSAAGQAIDSDDEVAATGTITVTAGKDTKVGRFPVGTTCEITGEDNKAAQRTGYSVNVQLGEKVEIARPSSRVEVTNTYSRDHGTFSVQKIVEGDGADTIGDKRFDIDYVCGDLTGTLTVASGATVTGPQVPTGTECHLSEREDSAQREGYTHTMRIDKSTFTVSEKDSVVAVIVTNTYSRDLGSFTVAKKLTGDDVDAARATTFIVHYVCGEQNGDLKVPGDGTAVAGPKMPTGTQCQLSEDEKSAQRDGYSVAGNFDHSTFTIGAKDSVSAVTLTNNYKRHKGGFTLAKSVTGNAAALAGKSFDFTYTCTGLGEKEHTVKVVPGTVTEVTDIPTGRCTITESDAPVDNADYTTSLSVNGATPVTGRSVTIDVANAATVQVTAVNEYTTHNGSFELVKKVEPATGESINIPEDKTFDFTYTCEPAYEGAAHPSGTLTVRADGKAVSSPQLPVGTSCTIAEDAASAKEHGYEAITPQPVSVTISKKVITVEATNTYKRLIPPPTTSVPPTTPRETPPETPRRPRGTVTKPVPVPSTTPVTPAVGTTVIMPPGKPQQPGGQAPEKPHRALAKTGLSKQWPVIVMGAGLLIVAGVGCVVVARRKR</t>
  </si>
  <si>
    <t>MRNTHRLMRLPLTVLAAAGLILASTPDVATTVAAQAQVASDASKDAQTQTTTPTSDPTPTTTSTPAARAPLAVPLQDAGAGTNLDLGITIESDGTPDFNGDDTAGNDSGANNGIVRVNDTVTYRVQFSVNGTVGTNTTFRMTLPKGMEMTAVPGFCQAGSTLTPPTAGEPTLPLSADSVNQLSEQTLECNLGSRENATDSVSVTARVSNLVHQGQKLAPVSAEISADGVAPVSVPQAKLPEVTASARLMWDISKNSVALTEDSGYRYGPATEPCPWDNKQVCKRTGYTLLMSAPAGGKGAMPAIGDITLVDDLSFASMYPDATPEQISAMNAAPEKYGSRIYPDSYFYNAPGNKIGTTVNGVALTEKNSVRDAGTLTFDSTLVGKPVPMRITGVDMTLRTYPTQVSRPQGTAIPGNKAYAIAQSFNVFTPVDVLTDFGVQNQAKNTWTLKTVNRYKDLSINGFTASDHQDSASQDQSNDYRTTTPDVSLGARMNKVFTGVPGEAGNMSPNEFSPGYAARGEGPAGGATLHSGGITVAPTQDVLSQIEVTGSTPDLPADVSMVLCDAWDNSRLHLHARDVPASTVRDTDLQSIPSNGAPVWVSGYNNAADGSKSRWATNSGETPALKVQYSAVKGGSGTDSACGDDKGPWYDDPAAVPGNDQALLAQGVYSAVSRVRIHAVLPPPVDNSPAVGGGVRMALSINHRVVDSGRDTGDILPNWASIKYVLKKNTDMQGVLADSGSWGISDYNPDSHTGAPGDRLILALAQARVDKQVRKGETGEFSDTPPQVSGGDAGAQPPIPADNVQYRIVPSLTSGASTRNILKDVWVEDCLPSSQMYVKASREPNVVSVGSTPDDKKRPACGPNETYIRWVYPKHEVNTAIDPIILTAEVSPGATSGVYNNVVQVWAEDDASPAAVRTNDAQVQISNIAGIKLQKEALTPVVQVNRPGQATNERNKWRIQLHNTLPPAQASLVSNPDIIDVLPQNNVAGTSFNGTFTFDSAEVKNGNKPGQEVRILYTNAAAVQLDPRDVSNQADGTTTWCDKAEGGTAVSGSGTCPASPSEVTALRVQRPGAYNTGEVIEVELTMVGVDNAGGDTYVNRVLARADGFQFAVGPIARAEHAIESSVGDYTWWDISRNGVQDAGEPAAADVPVQLEGVDDLGNKVSVSTHTNAQGLYSFPHLRSSNADGYVVTFNKDTPRALTFTTKGTNAQDPATDSNADPATGAADPVVLAKDTNNTTVDAGFIADGSLVVTKMLEGPGANFADGNTLEFQVRCTADGKTVKEETVKLTAERGKTQLNSAPITGIPVGASCTVTETKAGGADPTNTGDLPSTTVQIGLDAQRGTGAQMTAVLTNRYSAGVVTIAKKIVGEPAAVAAAQQKHFTFDVTCQLPGQGGAEPLTVLKKNVTVTGEAAVPVPGDDGGPAKLPVGARCFATETDNGGADSVDIDFNSYDKAALVTASAADEPAQLTITATNTFTVPRGEFIVSKTVVAGGSTGNETFPVNYTCSAAGQAIDSDDEVAATGTITVTAGKDTKVGRFPVGTTCEITGEDNKAAQRTGYSVNVQLGEKVEIARPSSRVEVTNTYSRDHGTFSVQKIVEGDGADTIGDKRFDIDYVCGDLTGTLTVASGATVTGPQVPTGTECHLSEREDSAQREGYTHTMRIDKSTFTVSEKDSVVAVIVTNTYSRDLGSFTVAKKLTGDDVDAARATTFIVHYVCGEQNGDLKVPGDGTAVAGPKMPTGTQCQLSEDEKSAQRDGYSVAGNFDHSTFTIGAKDSVSAVTLTNNYKRHKGGFTLAKSVTGNAAALAGKSFDFTYTCTGLGEKEHTVKVVPGTVTEVTDIPTGRCTITESDAPVDNADYTTSLSVNGATPVTGRSVTIDVANAATVQVTAVNEYTTHNGSFELVKKVEPATGESINIPEDKTFDFTYTCEPAYEGAAHPSGTLTVRADGKAVSSPQLPVGTSCTIAEDAASAKEHGYEAITPQPVSVTISKKVITVEATNTYKRLIPPPTTSVPPTTPRETPPETPRRPRGTVTKPVPVPSTTPVTPAVGTTVVMPPGKPQQPGGQAPEKPHRALAKTGLSKQWPVIVMGAGLLIVAGVGCVVVARRKR</t>
  </si>
  <si>
    <t>GC_00002549</t>
  </si>
  <si>
    <t>PF14885.12</t>
  </si>
  <si>
    <t>Hypothetical glycosyl hydrolase family 15</t>
  </si>
  <si>
    <t>MRYRPRLAWIRYGSHDLTDEEIQEAAGKFRVAIIQPWELKAAETLKELDSDVIVLAYQCLSSVRVYEKGPIYSSGISPGQAEQLGSFALNSSRRRIEWAGYPGHFQQEVWKPEYQERWVKTVVKRFEHTPFDGVFADNDVYDDYYNLNFPLYGGEEITTVHAALDQLVRKAGEALRGVDKLLVPNIAEARREKDRWLRHSRYGGGVEECWMGWDNSPETRLNYRAIWQQMRTLRAPGVSVARTPGTGEPGDPNLLLALAAAWVFAPTSDVAVSATAHDGYNAMPWREEARWDLGLPTHPRPLNPAPGVYIRTLDKGIAAVNLSHQSRPLGRHMLEPWSGFMALKPL</t>
  </si>
  <si>
    <t>MRYRPRLAWIRYGSHDLTDEEIQEAAGKFRVAIIQPWELKAAETLKELDSDVIVLAYQCLSSVRVYEKGPIYSSGISPGQAEQLGSFALNSSRRRIEWAGYPGHFQQEVWKPEYQERWVKTVVKRFEHTPFDGVFADNDVYDDYYNLNFPLYGGEEITTVHAALDQLVRKAGEALRGVDKLLVPNIAEARREKDRWLRHSRYGGGVEECWMGWDNSPETRLYYRAIWQQMRTLRAPGVSVARTPGTGEPGDPNLLLALAAAWVFAPTSDVAVSATAHDGYNAMPWREEARWDLGLPTHPRPLNPAPGVYIRTLDKGIAAVNLSHQSRPLGRHMLEPWSGFMALKPL</t>
  </si>
  <si>
    <t>GC_00002550</t>
  </si>
  <si>
    <t>K07124</t>
  </si>
  <si>
    <t>MATLITGASSGIGEEFAYRYAAQKHDLILVARTESKLETLAKKLRTEYGVTVTVFPCDLAAPDAAERLWEETNHAGLEVDVLVNNAGFGTQRDVADDDPDRLEQEVRLNCLAVVGLTARYLPAMRERRSGTIINIASAAAFQPMPHMAVYAATKAFVLSFTEALWAETRKDGIRVLAVCPGSTDTPFFDSGEGVVVGKLRSTRQLLDNTMRALKTNKPSFVDGLGNAIVARFAVRIVPKRIILAATERVFRIK</t>
  </si>
  <si>
    <t>MATLITGASSGIGEECAYRYAAQKHDLILVARTESKLETLAKKLRTEYGVTVTVFPCDLAAPDAAERLWEETNHAGLEVDVLVNNAGFGTQRDVADDDPDRLEQEVRLNCLAVVGLTARYLPAMRKRRSGTIINIASAAAFQPMPHMAVYAATKAFVLSFTEALWAETRKDGIRVLAVCPGSTDTPFFDSGEGVVVGKLRSTRQLLDNTMRALKTNKPSFVDGLGNAIVARFAVRIVPKRIILAATERVFRIK</t>
  </si>
  <si>
    <t>GC_00002551</t>
  </si>
  <si>
    <t>MLEPGVKKLIAPARKSMITTAIITSIGGTCAIVPYIAITEIAANWFRGSPSDTLWLWVGVAIVAVFANGLLYGIGLGVTHISEANLRYQLRRRLVQAFGRIPLGRVDQTSSGSIRKMVCDDTAAIHTLVAHLAGDAMNSITALVVGIGYLMWVDWQLTLLILGVWVLIFVVVTGTMMRGFTESTSQFSSAKTELSAATVEMVEGIKEIKNFQAAATARTRFDKARRYFADISYQWLAASGKPMAIISSFFQPAVILVTIAPPTVWFVSKGWLEPAYALPFFMVGVGLPVGFLQFVQIMQHLFTANQAAQDTADLLDIPHQPDGPHTDGPGPKPGEVELTNVSFGYNPENPILRNVNLRIPAGSVTALVGPSGGGKTTIARLIARFYDVDAGAVKVDGLDVREVSNQWLLNQIAIVFQDIALAHDTVANNIALGNPQASRDEIVEAAKSACIHDRIMRLPHGYDTIIGGDGGFLSGGEKQRITIARAYLHNAPILILDEATAQTDPQSERDIHTALAALAKGKTVIIIAHRLATIAAADLIAVIGEPTASTSETSVLAMGTHAELLERSETYRTMWEKQQEVAK</t>
  </si>
  <si>
    <t>MLEPGVKKLIAPARKSMITTAIITSIGGTCAIVPYIAITEIAANWFRGSPSDTLWLWVGVAIVAVFANGLLYGIGLGVTHISEANLRYQLRRRLVQAFGRIPLGRVDQTSSGSIRKMVCDDTAAIHTLVAHLAGDAMNSITALVVGIGYLMWVDWQLTLLILGVWVLIFVVVTGTMMRGFTESTSQFSSAKTELSAATVEMVEGIKEIKNFQAAATARTRFDKARRYFAEISYQWLAASGKPMAIISSFFQPAVILVTIAPPTVWFVSKDWLEPAYALPFFMVGVGLPVGFLQFVQIMQHLFTANQAAQDTADLLDIPHQPDGPHTDGPGPKPGEVELTDVSFGYNPENPILRNVNLRIPAGSVTALVGPSGGGKTTIARLIARFYDVDAGAVKVDGLDVREVSNQWLLNQIAIVFQDIALAHDTVANNIALGNPQASRDEIVEAAKSACIHDRIMRLPHGYDTVIGGDGGFLSGGEKQRITIARAYLHNAPILILDEATAQTDPQSERDIHAALAALAKGKTVIIIAHRLATIAAADLIAVIGEPTASTSETSVLATGTHAELLERSETYRTMWEKQQEVAK</t>
  </si>
  <si>
    <t>GC_00002552</t>
  </si>
  <si>
    <t>MGDWVSMLCGLGEMTPLEEVLPNGSSSGLLLHMDGKSFAFEGEPGGTVELNDDRGVSVFTDYNGDGLIDSVATVLFSGDCYTVECAPGDASTEQWGLNPMGALGVGERGDPSWGLVEQITPEGVANHWWGL</t>
  </si>
  <si>
    <t>MSDWVSMLCGLGETTPLEEVLPNGSSSGLLLHMDGKSFAFEGEPGGTVELNDDRGVSVFTDYNGDGLIDSVATVLFSGDCYTVECAPGDASTEQWGLNPMGALGVGERGDPSWGLVEQITPEGVANHWWGL</t>
  </si>
  <si>
    <t>GC_00002553</t>
  </si>
  <si>
    <t>MAHFPSFSHPPRLSTVTLGELHKLSRMLHAVAVAAGSLPDNPANPTEVMVFEDIAEHPNTTIMDISRRTHLAQSRVSHLVYAMIDHGSVTCTPDPHDKRRKLLTVPQQLLSTFNSTDTDDAISTALHTIYPALSDTAINDVLKYLHALSRYLSNEALNSNTPGS</t>
  </si>
  <si>
    <t>MAHFPSFSHPPRLSTVTLGELHKLSRMLHAVAVAAGSLPDNPANPTEVMVFEDIAEHPNTTIMDISRRTHLAQSRVSHLVYAMIDHGSVTCTPDPHDKRRKLLTVPQQLLSTFNSTDTDDAISTALHTIYPALSDTAINDVLKHLHALSRYLSNEALNSNTPGS</t>
  </si>
  <si>
    <t>GC_00002554</t>
  </si>
  <si>
    <t>MNTRRLSALLMTLSAMGVIPIVRGVKIIKQSYKQLERYQVKTADLSYGRMTYVDQGSGETLLALHGIFGGYDQGYELGVNCGFPGRVIAPSRFGYLGSDVSGQGTPKEQARALVELLDYSGVDKTFVIGGSAGGTHAIRLALDFPERVKGVILYSSRMPLPKRPTKPMQYKYMGPPQFICNDIAMYLLSPVVAMMTSTPLHSVMSILPIEKRKAGAYIDSVISNPDMAKNFDDYRIESLTVPVLIFSAMDDRLIKFTDVEKVIRRFPNKVFVPFENGGHLIVGHDVEIHNTVNEFIARYR</t>
  </si>
  <si>
    <t>MNTRRLSALLMTLSAMGVIPIVRGVKIIKQSYKQLERYQVKTADLSYGRMTYVDQGSGETLLALHGIFGGYDQGYELGVNCGFPGRVIAPSRFGYLGSDVSGQGTPKEQARALVELLDYSGVDKTFVIGGSAGGTHAIRLALDFPERVKGVILYSSRMPLPKRPTKPMQYKYMGPPKFICNDIAMYLLSPVVAMMTSTPLHSVMSILPIEKRKAGAYIDSVISNPDMAKNFDDYRIESLTVPVLIFSAMDDRLIKFTDVEKVIRRFPNKVFVPFENGGHLIVGHDVEIHNTVNEFIARYR</t>
  </si>
  <si>
    <t>GC_00002555</t>
  </si>
  <si>
    <t>MNKLAFTKFARTMVQLKDLVPALLKSGVISTEGGLKAMLATPLVLARYRFTTAREVEQGAIACPHRTALIDDSGSLTYSQLRANARIFAAYLRDTMNGNIHMGVMARNGRGIIYPMAAKGFAGATIYLQNIGSSKEQLTNCLKRDGVNILVIDEEFIDRFDADAMDIPVIIAHRDSNQDYGYPDLESIIATYIPQQRLPFFPKHGPIVVMSSGTTGTPKGVVRVEPVAPTVLAGILTKVPWRAGMRVQITASMFHAWGWAVFNIALGMRGTIVTHRIFDPERVFRDIDEGKLDGMLSSPIFLKDLVNLPDNDRYDCSSLKFIFSSGNALSPWLVEKMHDRFGKNLCNLYGSTEISAVAVASMEEIAQHPTTSGPICTGTDFIILDENDRPCPTGTPGRIFCYNTVTLRGYTDPNIPMTQYGHLIQIGDRGYLDENGFLFVLGRADDMIIVGGENVYPRSVEEVLEEMPGIADMYAGGVEDEETFKRIAVWVVRSDDYAGQNLTTEAIQNWVLDRLAAHSVPRDVHFVDSLPRTATGKVMPRQLVPPQR</t>
  </si>
  <si>
    <t>MNKLAFTKFARTMVQLKDLVPALLKSGVISTEGGLKAMLATPLVLARYRFTTAREVEQGAIACPHRTALIDDSGSLTYSQLRANARIFAAYLRDTMNGNIHMGVMARNGRGIIYPMAAKGFAGATIYLQNIGSSKEQLTNCLKRDGVNILVIDEEFINRFDADAMDIPVIIAHRDSNRDYGYPDLESIIATYIPQQRLPFFPKHGPIVVMSSGTTGTPKGVVRVEPVAPTVLAGILTKVPWRAGMRVQITASMFHAWGWAVFNIALGMRGTIVTHRIFDPERVFRDIDEGKLDGMLSSPIFLKDLVNLPDNDRYDCSSLKFIFSSGNALSPWLVEKMHDRFGKNLCNLYGSTEISAVAVASMEEIAQHPTTSGPICTGTDFIILDENDRPCPTGTPGRIFCYNTVTLRGYTDPNIPMTQYGHLIQIGDRGYLDENGFLFVLGRADDMIIVGGENVYPRSVEEVLEEMPGIADMYAGGVEDEETFKRIAVWVVRSDDYAGQNLTTEAIQNWVLDRLAAHSVPRDVHFVDSLPRTATGKVMPRQLVPPQH</t>
  </si>
  <si>
    <t>GC_00002556</t>
  </si>
  <si>
    <t>MSLLDAPAIRAATMAEVGTLLRSLKLPPGTALAATGSFARGEMTPYSDIDLLLIHPDGTQHPQADGVWYPIWDAKKRLDYAVRTPRECEEMVATDTTAALALLELRPIAGDAQLVEETIQRVRTRWRRSVPKTFNTVVDTAIARWNRSGSVVAMTRPDVKHGRGGLRDIELLKALALGNVCDAPPLEEQHRLLLDIRTLLHVETRRSRDVLDPECATDIATHLGFDDRLDLSRALADAARTIDATLTQALTTARHVLRRPRNYRRRPVDLGVVDAGDELRLSRNQSLDDPGLVLRVGAASARTGLPVSAATWRRLASTPPLPTPWPATATGDFFALLGSSEHTARVVGDMDTHGLWERIVPEWVHIRGLMPREPSHINTIDVHCLNTVANCAHVSVNVSRPDLLLLAALFHDIGKGYNRPHSQVGAEMITRMAARMGLNPRDRMCVQTLVAEHTLLARLAATHDPWDDAAVDTLLDALHYDLLTVELLQELTEADARATGPAVWTAHLNHAVTTLANCARNALTAVHPHKPHVSTPTDLGLTSSGELAHVHWRGSDIIPILALIAAKGWNIVTARIVAERTMVRAEFDVRAMHVGGFNQEEFIQGYKSGVFSTLPTLEPAATATHWFGSVLEVRTVDRRGALGALLNVIPDYTWCTVELPGSTMIARFHLCGAFDRAAVERSITRVLATG</t>
  </si>
  <si>
    <t>PF01966.28</t>
  </si>
  <si>
    <t>MSLLDAPAIRAATMAEVGTLLRSLKLPPGTALAATGSFARGEMTPYSDIDLLLIHPDGTQHPQADGVWYPIWDAKKRLDYAVRTPRECEEMVATDTTAALALLELRPIAGDAQLVEETIQRVRTRWRRSVPKTFNTVVDTAIARWNRSGSVVAMTRPDVKHGRGGLRDIELLKALALGNVCDAPPLEEQHRLLLDIRTLLHVETRRSRDVLDPECATDIATHLGFDDRLDLSRALADAARTIDATLTQALTTARHVLRRPRNYRRRPVDLGVVDAGDELRLSRNQSLDDPGLVLRVGAASARTGLPVSAATWRRLASTPPLPTPWPATATGDFFALLGSSEHTARVVGDMDTHGLWERIVPEWVHIRGLMPREPSHINTIDVHCLNTVANCAHVSVNVSRPDLLLLAALFHDIGKGYNRPHSQVGAEMVTRMAARMGLNPRDRMCVQTLVAEHTLLARLAATHDPWDDAAVDTLLDALHYDLLTVELLQELTEADARATGPAVWTAHLNHAVTTLANRARNALTAVHPHKPHVSTPTDLGLTSSGELAHVHWRGSDIIPILALIAAKGWNIVTARIVAERTMVRAEFDVRAMHVGGFNQEEFIQGYKSGVFSTLPTLEPAATATHWFGSVLEVRTVDRRGALGALLGVIPDYTWCTVELPGSTMIARFHLCGAFDKAAVERSITRVLATG</t>
  </si>
  <si>
    <t>GC_00002557</t>
  </si>
  <si>
    <t>MRTRTKLVSLSLAVVLPLAGMVNAGAEEKPAQGKQETGVVAPAAGANGEAGNAAAGNEASGNQVEAGKGAASGVDAASGAGAAGKPGEKAGGSSAKVSGSSDKVKGSSERGKAGSSAIAENKDNKTLKFLGIIAGIVGIGGLISAGLTWAVQQRLIANPLPGIIPNPPAPPAPAPAPAPAPAPAPVQAAPAPAPAPAPQGGSFRNCAAARAAGVRTPIHRGEPAYAPHLDRDNDGVACER</t>
  </si>
  <si>
    <t>MRTRTKLVSLSLAVVLPLAGMVNAGAEEKPAQGKQEAGVVAPAAGANGEAGNAAAGNEASGNQVEAGKGAASGADAASGAGAAGKPGEKAGGSSAKVSGSSDKVKGSSERGKAGSSAIAENKDNKTLKFLGIIAGIVGIGGLISAGLTWAVQQRLIANPLPGIIPNPPAPPAPAPAPAPAPAPAPVQAAPAPAPAPAPQGGSFRNCAAARAAGVRTPIHRGEPAYAPHLDRDNDGVACER</t>
  </si>
  <si>
    <t>GC_00002558</t>
  </si>
  <si>
    <t>K13687</t>
  </si>
  <si>
    <t>arabinofuranosyltransferase [EC:2.4.2.-]</t>
  </si>
  <si>
    <t>KEGG Orthology (KO)&gt;&gt;&gt;09100 Metabolism&gt;&gt;&gt;09107 Glycan biosynthesis and metabolism&gt;&gt;&gt;00571 Lipoarabinomannan (LAM) biosynthesis [PATH:ko00571]|KEGG Orthology (KO)&gt;&gt;&gt;09100 Metabolism&gt;&gt;&gt;09107 Glycan biosynthesis and metabolism&gt;&gt;&gt;00572 Arabinogalactan biosynthesis - Mycobacterium [PATH:ko00572]|Glycosyltransferases&gt;&gt;&gt;Polysaccharide&gt;&gt;&gt;Bacterial polysaccharide (excluding LPS)</t>
  </si>
  <si>
    <t>MLSAVIVAVLGAWGAWQRRWMSDDGLIVLRTVRNLLAGNGPVFNAGERVEANTSVLWQYLIYLGALLTPARLETIALWLALSFTTAALAIAAFATSRLYRTPGLVFLPVGGLIYISLPPARDFATSGLEWGLCLLWIVVLWALLIRWVGMRGTAKAGRSTYWLAFWAGLSWLVRPELALYGGLVGLVVLIAADNWKKRGWVFAAAVPLPLAYQIFRMGYYGLLVPQTAVAKSASDAAWGSGWDYVTDLFGPYTLWVGLLLAAVSAGLALRVLLTGRVTVRTEEAETETTEKGESEAAEATAPSRRMRLRTPLAICILMWVCGLLHSVYVVRVGGDFMHGRMLLLPLFTLLLPISVVPLWEWGTKPSWHTLATGATACGLLWWGITTVLGGHNWSMPDQDSAIKDIGIVDEREFWISFSRTSYQDPPLYAEDFLSINRMNGYQDVMVDLKKVPTGAVLPILASKNPETFDWILVPRVPREIGQFPPEVQREYTELNYIPPTVTFLNLGMTAMNAPLEVRVLDSIGLATPLAARQPRIENGRIGHDKYLSLEWQLAESPSDLHILPAYVDAEETWEARQALHHEDFVKLFLTYREPMSLKRFLGNIKFALTDGRTLEFSDDPSDYLKEPEKIHNDIPIAWSIDIKRDDLPDLTGVTGDLVNLPGVGDAQGNSEVPGEVANEVTGAGESGDRQQ</t>
  </si>
  <si>
    <t>MLSAVIVAVLGAWGAWQRRWMSDDGLIVLRTVRNLLAGNGPVFNAGERVEANTSVLWQYLIYLGALLTPARLETIALWLALSFTTAALAIAAFATSRLYRTPGLLFLPVGGLIYISLPPARDFATSGLEWGLCLLWIAVLWALLIRWVGMRGTAKAGRSTYWLAFWAGLSWLVRPELALYGGLVGLVVLIAADNWKKRGWVLAAAVPLPLAYQIFRMGYYGLLVPQTAVAKSASDAAWGSGWDYVTDLFGPYTLWVGLLLAAVSAGLALRVLLTVRVTVRTEEAETEATEKGESEAAEATAPSRRMRLRTPLAICILMWVCGLLHSVYVVRVGGDFMHGRMLLLPLFTLLLPISVVPLWEWGTKPSWHTLATGATACGLLWWGITTVLGGHNWSMPDQDSAIKDIGIVDEREFWISFSRTSYQDPPLYAEDFLSINRMNGYQDVMVDLKKVPTGAVLPILASKNPETFDWILVPRVPREIGQFPPEVQREYTELNYIPPTVTFLNLGMTAMNAPLEVRVLDSIGLATPLAARQPRIENGRIGHDKYLSLEWQLAESPSDLHILPAYVDAEETWEARQALHHEDFVKLFLTYREPMSLKRFLGNIKFALTDGRTLEFSDDPSDYLKEPEKIHNDIPIAWSIDIKRDDLPDLTGVTGDLVNLPGVGDAQGNNEVPGEVANEVTGAGESGDRQQ</t>
  </si>
  <si>
    <t>GC_00002559</t>
  </si>
  <si>
    <t>MKITPASRSLVMVYWLVLSGYAYGLGLGLRLVTPYLDALIFMLLVVGSIIMVPILMLLGVVLYVFPSASPTIWRDIRVPFGCFWFGVVMQVWFLPDANFYEDYTHPMVALLSAIFRVSPTVCHYVLAMVFFSLCATSYGRILIVGRQAPRVNTPVAPDYRVGPTWWWVGSSIIIPIATVCISPMHQLSRVVFWEVGILVPLGLGFLLFPAHEPVLSRIKMPLACFWAVIVAANLAWPQPWGVTGCAVMAVACWVWVICRGRWGRAARRGPVSLP</t>
  </si>
  <si>
    <t>MKIIPASRSLVMVYWLVLSGYAYGLGLGLRLVTPYLDALIFMLLVVGSIIMVPILMLLGVVLYVFPSASPTIWRDIRVPFGYFWFGVVMQVWFLPDANFYEDYTHPMVALLSAIFRVSPTVCHYVLAMVFFGLCAASYGRILIVGRQVPRVNTPVVPDYRVGPTWWWVGLSIIIPIATVCISPMHQLSRVVFWEVGILVPLGLGFLLFPAHEPMLSRIKMPLACFWAVIVAANLAWPQPWGVAGCAVMAVACWVWVICRGRWGRAARRGPVSLP</t>
  </si>
  <si>
    <t>GC_00002560</t>
  </si>
  <si>
    <t>MQENPPIHAILNAVTDEKPKIFQSGRDIIYSLAAILAVMIASVAFTGMCSYGRNTPQNTPVVKVDAATFFNLEARASSFPIRLPQVPDDWTPNSARRGAVAGKPAPIVGWVIGNNGYAQLTQTDVPVEQAVENLDEHVREQTSTYDLAGHIVMVYTGTDRDTRAVRVVDLGDVRLIVTGAATDDQFNDLLTRTIAADPIPVER</t>
  </si>
  <si>
    <t>MPENPPIHAILNAVTDEKPKIFQSGRDIIYSLAAILAVMIASVAFTGMCSYGRNTPQNTPVVKVDAATFFNLEARASSFPIRLPQVPDDWTPNSARRGAVAGKPAPIVGWVIGNNGYAQLTQTDVPVEQAVENLDEHVREQTSTYDLAGHTVMVYTGTDWDTRAVRVVDLGDVRLIVTGAATDDQFNDLLTRTIAADPIPVER</t>
  </si>
  <si>
    <t>GC_00002561</t>
  </si>
  <si>
    <t>PF00082.27</t>
  </si>
  <si>
    <t>Subtilase family</t>
  </si>
  <si>
    <t>K14743</t>
  </si>
  <si>
    <t>membrane-anchored mycosin MYCP [EC:3.4.21.-]</t>
  </si>
  <si>
    <t>COG1404</t>
  </si>
  <si>
    <t>Serine protease, subtilisin family (AprE) (PDB:1SCJ)</t>
  </si>
  <si>
    <t>ko01002|ko03110|ko02044</t>
  </si>
  <si>
    <t>Peptidases and inhibitors&gt;&gt;&gt;Serine peptidases&gt;&gt;&gt;Family S8: subtilisin family|Chaperones and folding catalysts&gt;&gt;&gt;Intramolecular chaperones&gt;&gt;&gt;Subtilisin family|Secretion system&gt;&gt;&gt;Type VII secretion system&gt;&gt;&gt;ESX secretion system protein</t>
  </si>
  <si>
    <t>MRRHHVTAVAATALLLCASAPCADAQHTTTPPPPACARSVPTDPPLRADTARAASKSSLKPAHSIATGRNVKVAVIDTGVAPHPRLLPRLDAGADLLGEHNPLHDCDGHGTIVAGLIAGAAGPDDYVGIAPDSTIISIRQTSAHTRDNDHGGTLESLTTAIHRALDLGAQVINISVVSCVPGALRTHPDGAKLRQGLDAALRRAEEQRTVVVAATGNIGTNCEPDSIVYPAHSSTVLAVSAQDEPHTIATYSIPPSGVLLSAPGTTPVGLSPDVGEPPASVFAAGMVTEQGPSSFTGTSFAAPIVSGTAALLKERYPDDTALQIRARIIESADPGTGAVSPYRALTQVPAKYSTITHRQQAVEPVATNDDIMRRCGIAVVVIVMVLLGWVIVARVKSLQAVPDAREC</t>
  </si>
  <si>
    <t>MRRHHVTAVAATALLLCASAPCADAQHTTTPPPPACARSVPTDPPLRADTARAASKSSLKPAHSIATGRNVKVAVIDTGVAPHPRLLPRLDAGADLLGEHNPLHDCDGHGTIVAGLIAGAAGPDDYVGIAPDSTIISIRQTSAHTRDDDHGGTLESLTTAIHRALDLGAQVINISVVSCVPGALRTHPDGAKLRQGLDAALRRAEEQRTVVVAATGNIGTNCEPDSIVYPAHSSTVLAVSAQDEPHTIATYSIPPSGVLLSAPGTTPVGLSPDVGEPPASVFAAGMVTEQGPSSFTGTSFAAPIVSGTAALLKERYPDDTALQIRARIIESADPGTGAVSPYRALTQVPAKYSTITHRQQAVEPVATNDDIMRRCGIAVVVIVMVLLGWVIVARVKSLQAVPDAREC</t>
  </si>
  <si>
    <t>GC_00002562</t>
  </si>
  <si>
    <t>MAKVKDINLHVVPMYGQVQFFGEGDEYPEWGDEGVAVSSAAATFLGMPDVETCSVSLHIYDEYEEVADVFYESMIAIGMNGLEVAYVEASSEPGSEGVMGTCYLLPWRGEGALKFVAPDGFVEGAPGFPVPRSVSVHVMPSHA</t>
  </si>
  <si>
    <t>MAKVKEINLHVVPMYGQVQFFGEGDEYPEWGDEGVAVSSAAATFLGMPDVETCSVSLHIYDEYEEVADVFYESMIAIGMNGLEVAYVEASSEPGSEGIMGTWYSLPWRGGGVLKFVAPDGFVEAAPGFPVPRNVSVHVMPSHA</t>
  </si>
  <si>
    <t>GC_00002563</t>
  </si>
  <si>
    <t>MPTDATNPTNSYRRPAAHHETTHTLEIKRSKFITFITRIETEAQARDFISDLKNRYPDARHHCSAYIYHVDGANPVERSSDDGEPSGTAGTPMLDALRGSGLLDIAAVTVRYFGGIKLGAGGLVHAYSDSVLTCLTHVPTVTRSRKELYLVELSFDIAGRVEATLRTTTDITVIAADYTAAGVTLTLATDPETSEQLNGTMSALTAGQATLVAAGTDWVE</t>
  </si>
  <si>
    <t>MPTDATNPANSYRRPAARHETTHTLEIKRSKFITFITRIETEAQARDFISDLKNRYPDARHHCSAYIYHVDGANPVERSSDDGEPSGTAGTPMLDALRGSGLLDIAAVTVRYFGGIKLGAGGLVHAYSDSVLTCLTHVPTVTRSRKELYLVELPFDIAGRVEATLRTTTDITVIAADYTAAGVTLTLATDPETSEQLNGTMSALTAGQATLVAAGTDWVE</t>
  </si>
  <si>
    <t>GC_00002564</t>
  </si>
  <si>
    <t>MPTFHYPPASLHDRLVTQQIDWDQIDPNGIADDGDFWCIPAGWDTIPMGWGSEGTVWVSPEDNGWFAQMATVTTWRLRGTQYHPQLIENLIDEIPEGAQQYHYDRDTQIVGIKACSATSVMEFGFDHSHFGGGTFHSKSKVDLFEDIPTGDVFLVQRTSVWVEGQQELEFGVWTAAEGVYSHY</t>
  </si>
  <si>
    <t>MPTFHYPPASLHDRLVTQQIDWDQIDPNGIADDGDFWCIPAGWDTIPMGWGSEGTVWVSPEDNGWFAQMATVTTWRLRDTQYHPQLIENLIDEIPEGAQQYHYDRDARIVGIKACSATSVMEFGFDHSHFGGGTFHSKSKVDLFEDIPTGDVFLVQRTSVWVEGQQELEFGVWTAAEGVYSHY</t>
  </si>
  <si>
    <t>GC_00002565</t>
  </si>
  <si>
    <t>PF09344.15</t>
  </si>
  <si>
    <t>CT1975-like protein</t>
  </si>
  <si>
    <t>K19124</t>
  </si>
  <si>
    <t>CRISPR system Cascade subunit CasC</t>
  </si>
  <si>
    <t>COG5934</t>
  </si>
  <si>
    <t>CRISPR-Cas system endoribonuclease Cas6e, RAMP superfamily (Cas6e)</t>
  </si>
  <si>
    <t>MSHHLTLHIIASVPYSNLNRDDTGTPKHVRRGGYLAALLSSQSIKKGIRTKYEANSLVTSVRSGQLDADVVDRALAINPDADEKALRRKAKTLLGKLTKAKESDPEKGKESDRSIWLSSEELETAAAQILEDVDGDFLQDYKTGSLAIASFGRMFAAAPQKGTEAALSVSPAVTTHAVAIATDYFSTIDDIKEANRDTGATYLGVAQYTTGVFYRTVTIDKQQLRKSWTGFDSPDSDESLRLLVDAIIYGLPRGKQHSTAPFVQPALVLAEEQRYRSAYDFEAPVQPDRKEGGYLKPTLEELDRQYAAARAFDRGNFDGVEFVAGTAAEVQNLFKDAEHGSKDELIDAVVAWIKQ</t>
  </si>
  <si>
    <t>MSHHLTLHIIASVPYSNLNRDDTGTPKHVRRGGYLAALLSSQSIKKGIRTKYEANSLVTSVRSGQLDADVVDRALAINPDADEKALRKKAKTLLGKLTKAKESDPEKGKESDRSIWLSSEELETAAAQILEDADGDFLQDYKTGSLAIASFGRMFAAAPQKGTEAALSVSPAVTTHAVAIATDYFSTIDDIKEANRDTGATYLGVAQYTTGVFYRTVTIDKQQLRRSWTGFDSPDSDESLRLLVDAIIYGLPRGKQHSTAPFVQPALVLAEEQRYRSAYDFEAPVQPDRKEGGYLKPTLEELDRQYTAARAFDRGNFDGVEFVAGTAAEVQNLFKDAEHGSKDELIDAVVAWIKQ</t>
  </si>
  <si>
    <t>GC_00002566</t>
  </si>
  <si>
    <t>MRNNGTVPHDANGRSNTSKKPRQPLLSKLATTIARNAINELDDGRAGRHLGVTHIKSTTATHRFAADVPGYPGWEWNVVLACARGSHWITVSELALVPGGTALKAPEWVPYQQRIQPGDLGPGDIMPAPIDDSRLTTDPDEAAIIQQHKASTSSNRPRMLSKTGLSQALQRWETGEHGPQSPYARQAAFTCATCAFYLPLATTIDVGVCANEYSADGTIVAATYGCGAHSETPQPEPLGTTAEPFDDDKTIPIDI</t>
  </si>
  <si>
    <t>MRNNGTVPHDANGRSNTSKKPRQPLLSKLATTIARNAINELDDGRAGRHLGVTHIKSTTATHRFAADVPGYPGWEWNVVLACARGSHWITVSELALVPGGTALKAPEWVPYQQRIQPGDLGPGDIMPAPIDDSRLTTDPDEAAIIQQHKASTSSNQPRMLSKTGLSQALQRWETGEHGPQSPYARQAAFTCVTCAFYLPLATTIDVGVCANEYSADGTIVAATYGCGAHSETPQPEPLGTTTEPFDDDKTIPIDI</t>
  </si>
  <si>
    <t>GC_00002567</t>
  </si>
  <si>
    <t>PF01262.27</t>
  </si>
  <si>
    <t>Alanine dehydrogenase/PNT, C-terminal domain</t>
  </si>
  <si>
    <t>K00259</t>
  </si>
  <si>
    <t>alanine dehydrogenase [EC:1.4.1.1]</t>
  </si>
  <si>
    <t>COG0686</t>
  </si>
  <si>
    <t>Alanine dehydrogenase (includes sporulation protein SpoVN) (Ald) (PDB:2EEZ)</t>
  </si>
  <si>
    <t>KEGG Orthology (KO)&gt;&gt;&gt;09100 Metabolism&gt;&gt;&gt;09105 Amino acid metabolism&gt;&gt;&gt;00250 Alanine, aspartate and glutamate metabolism [PATH:ko00250]|KEGG Orthology (KO)&gt;&gt;&gt;09100 Metabolism&gt;&gt;&gt;09106 Metabolism of other amino acids&gt;&gt;&gt;00430 Taurine and hypotaurine metabolism [PATH:ko00430]|Enzymes&gt;&gt;&gt;1. Oxidoreductases&gt;&gt;&gt;1.4  Acting on the CH-NH2 group of donors&gt;&gt;&gt;1.4.1  With NAD+ or NADP+ as acceptor&gt;&gt;&gt;1.4.1.1  alanine dehydrogenase</t>
  </si>
  <si>
    <t>MIIGCPKEIKPSESRVALTPAGVRELSKHGHTILVETAAGAASGFTDADYKTAGATIIPTAAQVWADADLIVKVKEPQASEWPHMRDGQVLFTYLHLAADPDGAQALMDRGVTGIAYETVTSNNGLPLLAPMSEIAGRLAVQVGAFYLMKPFGGSGILLGGVPGTPPANVAIIGAGIAGENAARMALGMGANVTIVDININRLRQLDSQYGPHLKTLMSNEYNVADVVAASDLVVGSVLIPGAATPKLVTRPMIAAMRNGSVLVDIAIDQGGCFEGSRPTTHEDPVFDQDGKQMYCVANMPGAVPRTSTVALTNATLPYLLRLADLGWQEALTRDLHLARGLNVHAGSLTHPEAAEALGRDYVPVDTILAG</t>
  </si>
  <si>
    <t>MIIGCPKEIKPSESRVALTPAGVRELSKNGHTILVETAAGAASGFTDTDYKTAGATTIPTAAQVWADADLIVKVKEPQASEWPHMRDGQVLFTYLHLAADPDGAQALMDRGVTGIAYETVTSNNGLPLLAPMSEIAGRLAVQVGAFYLMKPFGGSGILLGGVPGTPPANVAIIGAGIAGENAARMALGMGANVTIVDININRLRQLDSQYGPHLKTLMSNEYNVADVVVAADLVVGSVLIPGAATPKLVTRPMIAAMRNGSVLVDIAIDQGGCFEGSRPTTHEDPVFDQDGKQMYCVANMPGAVPRTSTVALTNATLPYLLRLADLGWQEALTRDPHLARGLNVHAGSLTHPEAAEALGRDYVPVDTILAG</t>
  </si>
  <si>
    <t>GC_00002568</t>
  </si>
  <si>
    <t>PF04446.17</t>
  </si>
  <si>
    <t>tRNAHis guanylyltransferase</t>
  </si>
  <si>
    <t>K10761</t>
  </si>
  <si>
    <t>tRNA(His) guanylyltransferase [EC:2.7.7.79]</t>
  </si>
  <si>
    <t>COG4021</t>
  </si>
  <si>
    <t>tRNA(His) 5'-end guanylyltransferase (Thg1) (PDB:3OTB)</t>
  </si>
  <si>
    <t>Enzymes&gt;&gt;&gt;2. Transferases&gt;&gt;&gt;2.7  Transferring phosphorus-containing groups&gt;&gt;&gt;2.7.7  Nucleotidyltransferases&gt;&gt;&gt;2.7.7.79  tRNAHis guanylyltransferase|Transfer RNA biogenesis&gt;&gt;&gt;Eukaryotic type&gt;&gt;&gt;tRNA modification factors&gt;&gt;&gt;Other tRNA modification factors</t>
  </si>
  <si>
    <t>MKKYEYVTRTYLTCRMPVIVRLDGKAFHTFTRGLKKPFDPVFNSAMDDTMLYLAQNSQNCMLAYRQSDEISLLLVDYATFETAAWFDNNISKIVSITASMATAVFNESFKKHALAQLETETDQKYCNALRRCIDNLALFDSRAFNIPREEVANCFWWRQKDAIKNSIASLGQAHFSPRELHGKHGQQIQEMLETKGISWEDAPTPQKQGACALRNDEGQWYVDHNIPVFTEDWNYIDRFVDVDL</t>
  </si>
  <si>
    <t>MKKYEYVTRTYLTCRMPVIVRLDGKAFHTFTRGLKKPFDPVFNSAMDDTMLYLAQNSQNCMLAYRQSDEISLLLVDYATFETAAWFDNNISKIVSITASMATAVFNESFKKHALAQLETETDQKYCNALRRCIDNLALFDSRAFNIPREEVANCFWWRQKDAIKNSIASLGQAHFSPRELHGKHGQQIQEMLETKGISWEDAPTPQKRGACALRDDEGQWHVDHNIPVFTEDWNYIDRFVDVDL</t>
  </si>
  <si>
    <t>GC_00002569</t>
  </si>
  <si>
    <t>PF03446.21</t>
  </si>
  <si>
    <t>NAD binding domain of 6-phosphogluconate dehydrogenase</t>
  </si>
  <si>
    <t>COG2084</t>
  </si>
  <si>
    <t>3-hydroxyisobutyrate dehydrogenase or related beta-hydroxyacid dehydrogenase (MmsB) (PDB:1I36)</t>
  </si>
  <si>
    <t>MGTELAKHLIANNDYEVRVWNRTLDKTTPLVDAGATAYPTAAEAVTGADVVITALFGPKTVRSVVIEPDLIPAGIPWIDTTTVSPQDAEEFATNVSTYIACPVVGTLGPARAGKLGVYVGSPDPQLRELAAGIVSPWADPSRLKLVDSQPKAAIGKLLANLALAISAEGMKEALLFGDAT--------------GLSFMANLKRDFVLGDRSTDPGDFTVDALCKDSKLMLDTAGQVLPGIQAAVESFTIQQDRGRGDHDFSAILVHRSE</t>
  </si>
  <si>
    <t>PF14833.11</t>
  </si>
  <si>
    <t>NAD-binding of NADP-dependent 3-hydroxyisobutyrate dehydrogenase</t>
  </si>
  <si>
    <t>GC_00002570</t>
  </si>
  <si>
    <t>PF00111.32</t>
  </si>
  <si>
    <t>COG0633</t>
  </si>
  <si>
    <t>Ferredoxin (Fdx) (PDB:1KRH)</t>
  </si>
  <si>
    <t>MSDPADNDTVRTDTNNTTTNPDPAHHTVDIEDETHYFAWPKDKVLLDALLDAGVDAPYSCHMGECGACQCTVEGGETHMLANQVLSTYDIEDDQRLACQTIRDEEGPYKISYWF</t>
  </si>
  <si>
    <t>MSDSADNDTVHTDTNNTTTNSNPAHHTVDIEDETHYFAWPKDKVLLDALLDAGVDAPYSCHMGECGACQCTVEGGETHMLANQVLSTYDIEDDQRLACQTIRDEEGPYEISYWF</t>
  </si>
  <si>
    <t>GC_00002571</t>
  </si>
  <si>
    <t>MTIRALVEPLEPESTTLHAVTFTDTDDSSGVVVVRLVPEALIPAEEATLQVLGLVPTRSREVGHTTTRSVGFPAWVISTHPADTRQALRLVSDLEWARNTMPKVAKIEKKFATIIADLGDSAPHFVPTLMEELARIFAAGGKQAAAKRAFAKAREFERTYDLPVDSWRHRAAVTEFAALGIIGAADMTHEAQAASNWCANPQEAYKYFLSLCINQIRAGGQVYAGMLRDVIRLGSAAGHSATDSGVHLVEGIAGSPALKTVPWQFYKELAEHIRPAATRKPELYARLFAHSTTHIDQYGSDPGEWFTMISDLGVVDIIASDQRVFVSWLASIIELEPYTPRRGGGDLTPIIRGIRDKADLVRGQHIPANIAKIPLEILATLTAAGVIWNKKPVQQPVGESNQWRRVLQRLRHCYAGVLDLSALCADAELLAATLGDFSLADIPHHAVPTLVACGGTGLFDALTQAALDELARANHPLIGRTNFRKLMGGIPPQTLSPTTRAAITHHFDISPATILAANLHVGLLTEYTWPELENRWAGVDKRPAITLWESYPGVIVATSDRIAYIENNTTVSEHDHIDTNSDAGQIAVGENILTIRYVAGTIGFNAEWATGVPQPLNLHQWRHGHYELSTNTLPIPAGRLYGGGIARHADAAATDVPGTEITMPEGNAFGDNDDHAWHTVLRKDPWSETYAIRQVNPETGRALGPSQPEALRSLERTTATPIDWGRSTQLPTRIMGRDYRPHHPQLFFRQEPHDPLLLCAILKPHEGTYPLIDADGITHTSPVGTVGYLHLHGVTYLYTEDGQLLRPGISELAMIANPTYDKWGNRHFFHDLPWNAWRNLTIRSPKASEVLRGITEEQAQQLLDSIPAGNPHQVAANLLGLDPDDDLCTSVVQAARRVQEHCKPL</t>
  </si>
  <si>
    <t>MTIRTLVEPPEPESTTLHAVTFTNTDAGSGVVVVRLVPETLIPAEEATLQVLGLVPTRSREVGHTTTRSVGFPAWVISTHPADTRQALRLVSDLEWARNTMPKVAKIEKKFATIIADLGDSVPHFVPTLMEELARIFAAGSKQAAAKRAFAKAREFERTYDLPVDSWRHRAAAAEFAALGIIGAADMTHEARAASSQCANPQEAYKYFLSLCINQIRAGGQVYTGMLRDVIRLGKAAGHSAADSGVHLVEGIAGSPALKTVPWQFYKELAEHIRPAATRKPELYARLFAHSTTQINRYGSDPGEWFTMISDLGVVDIIASEQRVFVAWLANIICLEPYTPRRGGGDLTPIIRGIRDKADLVHGQHIPANIAKIPLEILATLTAAGATWDKKPTQQPVGEANQWRRVLQRLHHCHASVLDLSDLCADAELLAATLGDFSLADIPHHAVPTLVACGGTGLFDALTQAALDELARANHPLIGRTNFRKLVGGIPPQTLSPTTRAAITHHFDISPATILAANLHAGLLTEYTWPELENRWAGVDKRPDITLWESYPGVIVATPDRIAYIENDTTISEHDHVDTNSDAGQIAVGENILTIRYVAGTIGFNAEWATGVPQPLNLHQWRHGHYELSTNTLPIPAGRLYGGGIARHADATATDVPGTEITMPEGNAFGDNDGHTWHTVLRKDPWSETYAIRQVNPETGRELGASQPEALRSLERTTATPIDWGRSTQLPTCIMGRDYRPHHPQLFFRQEPHDPLLLCAILKPLDGTYPLIDADGIPHTSPVGTVGYLHLHGVTYLYTEDGQLLRPGTSELAMIANPTYDKWGNRHFFHDLPWNAWRNLTIRSPKASEVLRAITKEQAQQLLDSLSAGNPHQVAANLLGLDPDDDLCTSVVQAARRVQEHCKPQ</t>
  </si>
  <si>
    <t>GC_00002572</t>
  </si>
  <si>
    <t>PF04183.18</t>
  </si>
  <si>
    <t>IucA / IucC family</t>
  </si>
  <si>
    <t>COG4264</t>
  </si>
  <si>
    <t>Siderophore synthetase component IucA/IucC/SbnC (IucA) (PDB:2W02) (PUBMED:19775248)</t>
  </si>
  <si>
    <t>MVLRKLRSELTVPATNFDRAAAELADSVVGLARAREGVARRYQSRTSLGNMEQLVCEGHPKHPCAKTSLGLGDAYKDVLPEQVETIQLRFVAVREQLARTSGMPLIAALRSQIPGLADRLAAECPPGFVVVPVHPCQEVALSDDVRELATSIAAEPLMSVRTLRVSDETGCVHIKTSVGFQLTGAIRGISYTALAGPVIAERAEQLMRTTGISPYTSDDTPAFRVARDLAGVRVPQADGNSFGAIVRVPPQGIPAAALLATNPLTGENFFAEFLAESGATPAEWFDRLSMILIQPALTLLDQGLAMEPHPQNTVIELRNGWPYAVTVRDFGGCRIVRDSVFGQRYDWGFLEGTALLSDHDTAYDKLIYPMITNLVLGLCEAAGIDPGTIALDNLPPMLPRKRMFGMRLSGAVTEQDYVRIPNPIPPVPLIDELPWAREHVSERLTETMAVEGLTQLPECDVDNAVTTLAHVKQVVDRRLRFYRSPAELISTAPPELRGVVADSLAITGHNVHPLAKLRLGFDAKDSALYGPENFRPTNLKLIGVHPNLLAETGDVTAILRAEFPENTPNTTLRIVPVHPWQWEHVIGAEFAREIAAGTIMDTGATLPVLPTLSLRTALTFHPGTSGRRLFIKTSVDATLTSTRRSMSRDSALGTPLVAAHLAGLGLPCDLLPEIAGCAYDGPKTNPRAVRGLSTLIRESTPRTAITAAALRGLPTVTEEFFSRYARDLLSTVLPTMWHAGIALEAHLQNTLVYVDDDFQYQGICLRDFSGLRAYRPRATGVPIRDGAITMTDDYDVFIAKGYYAAIPGNLAAFVDQLPGDPRHYWRLVRSIVNDLIAEHNPPQVDVDKLLAPTMKQKAFLRMLADPARGDVYVDVPNLLVG</t>
  </si>
  <si>
    <t>MVLRKLRSELTVPATNFDRAAAELADSVVGLARAREGVARRYQSRTSLGNMEQLVCEGHPKHPCAKTSLGLGDAYKDVLPEQVETIQLRFVAVREQLARTSGMPLIAALRSQIPGLADRLAAECPPGFVVVPVHPCQDVALSDDVRELATSIAAEPLMSVRTLRVSDETGCVHIKTSVGFQLTGAIRGISYTALAGPVIAERAEQLMRTSGISPYTSDDTPAFRVARDLAGVRVPQADGNSFGAIVRVPPQGIPAAALLATNPLTGENFFAEFLAESGATPAEWFDRLSTILIQPALTLLDQGLAMEPHPQNTVIELRNGWPYAVTVRDFGGCRIVRDSAFGQRYDWGFLEGTALLSDHDTAYDKLIYPMITNLVLGLCEAAGIDPGTIALDNLPPMLPRKRMFGMRLSGAVTEQDYVRIPNPIPPVPLVDELPWAREHVSERLTETMAVEGLTQLPECDVDNAVTTLAHVKQVVDRRLRFYRSPADLISTAPPELRGVVADSLAITGHNVHPLAKLRLGFDAKDSALYGPENFRPTNLKLIGVHPNLLAETGDVTAILRAEFPENTPNTTLRIVPVHPWQWEHVIGAEFAREIAAGTIMDTGATLPVLPTLSLRTALTFHLGTSGHRLFIKTSVDATLTSTRRSMSRDSALGTPLVAAHLAGLGLPCDLLPEIAGCAYDGPKTNPRAVRGLSTLIRESTPRTAITAAALRGLPTVTEEFFSRYARDLLSTVLPTMWHAGIALEAHLQNTLVYVDDDFQYQGICLRDFSGLRAYRPRATGVPIRDGAITMTDDYDVFIAKGYYAAIPGNLAAFVDQLPDDPRHYWRLVRSIVNDLIAEHNPPQVDVDKLLAPTMKQKAFLRMLTDPARGDVYVDVPNPLVG</t>
  </si>
  <si>
    <t>GC_00002573</t>
  </si>
  <si>
    <t>MPIPDFVRALREKIGTDELWLPGVTAVIIRDVPEGAPITAVPEVLLVKRADNGQWTPVTGITDPGEEPHQTAVREAKEEVGLDIQVEALLGVGAVGPVTYPNGDVTRYMDTAVRCSVVGDSDEPVISDDENTEAAWFSIMHMPPMNPRFRLIVGDAVAQLRRPEGFRPRMGYVKRDRTR</t>
  </si>
  <si>
    <t>MPIPDFVRALREKIGTDELWLPGVTAVIIRDVPEGAPITAVPEVLLVKRADNGQWTPVTGIADPGEEPHQTAVREAKEEVGLDIQVEALLGVGAVGPVTYPNGDVTRYMDTAVRCSVVGDSDEPVISDDENTEAAWFSIMHMPPMNPRFRLIVGDAVAQLRRPEGFRPRMGYVKRDRTR</t>
  </si>
  <si>
    <t>GC_00002574</t>
  </si>
  <si>
    <t>PF01029.23</t>
  </si>
  <si>
    <t>NusB family</t>
  </si>
  <si>
    <t>K03625</t>
  </si>
  <si>
    <t>transcription antitermination protein NusB</t>
  </si>
  <si>
    <t>COG0781</t>
  </si>
  <si>
    <t>Transcription antitermination protein NusB (NusB) (PDB:1EY1) (PUBMED:21652641)</t>
  </si>
  <si>
    <t>MSNTRQDKSRRHGSRYRARRRAVDIIFEAEARDIDPVAIVDDRIELSQQPDPPVKPVASYTQEIVGGVAVELDRVDEVISRYLLDNWMLERLPAVDRAILRVATWELLFNPDVPVKTAVVEGVELASEYSTDAAAPYINAALDAIAGAVDDLRAENTAIQLADSVVVLDSAEEGSGLGDDEAEAPRVARLRWLP</t>
  </si>
  <si>
    <t>MSNTRQDKSRRHGSRYRARRRAVDIIFEAEARDIDPVAIVDDRIELSQQPDPPVKPVAPYTQEIVGGVAVELDRVDEVISRYLLDNWMLERLPAVDRAILRVATWELLFNPDVPVKTAVVEGVELASEYSTDAAAPYINAALDAIAGAVDDLRAENTAIQLADSVVVLDSAEEGSGLGDDEAEAPRVARLRWLP</t>
  </si>
  <si>
    <t>GC_00002575</t>
  </si>
  <si>
    <t>MTTTRLRRSPIPGVRDSYTGVDFNLGFHVRHYELTLDYRVGPNRLSGTAVLTIENYQPLRSLTLDLSHHMRVAKVSARGVGGMSAQVSKFRHTQGKLRVFFAQSIPEDQEFYLTIRYVGTPRPIRTVWGELGWEELTNGALVASQPCGAPSWFPCDDTPDEKAHFDLVISADNPYTVVANGRLLARRASGSRTTWHYRTDHAMASYLATIQVGEYQRIELAQNPVPVVAYIPPSLRPYVDVDFADQAAMLQLFQNLFGPYPFRDYTVVITEDPLEIPLEAQGLSIFGRNHVPGDKTWERLVAHELSHQWFGNSMGLAQWNDIWLNEGFACYAEWLWREHAHGVHASVSARHHYDILARLPQDLLLSNPGPHLMFDDRVYKRGALTVHALRCVLGDAAFFRTIQRYVAAGRHSVVEPIDLRNLCEQACAEEGIDVARFHEVWNSWLYRRELPAFPVS</t>
  </si>
  <si>
    <t>MTTTRLRRSPIPGVRDSYTGVDFNLGFHVRHYELTLDYRVGPNRLSGTAVLTIENYQPLRSLTLDLSHHMRVAKVSARGVGGMSAQVSKFRHTQGKLRVFFAQSIPEDQEFYLTIRYVGTPRPIRTVWGELGWEELTNGALVASQPCGAPSWFPCDDTPDEKAHFDLVISADNPYTVVANGRLLARRASGSRTTWHYRTDHAMASYLATIQVGEYQRIELAQNPVPVVAYIPPSLRPYVDVDFADQAAMLQLFQNLFGPYPFRDYTVVITEDPLEIPLEAQGLSIFGRNHAPGDKTWERLVAHELSHQWFGNSMGLAQWNDIWLNEGFACYAEWLWREHAHGVHASASARHHYDILARLPQDLLLSDPGPHLMFDDRVYKRGALTVHALRCVLGDAAFFRTIQRYVAAGRHSVVEPIDLRNLCEQACAEEGIDVARFHEVWNSWLYRRELPAFPVS</t>
  </si>
  <si>
    <t>GC_00002576</t>
  </si>
  <si>
    <t>MTIAGRPLHFYFIAFALGSIFITFCDTIFCYELNPQTIFLMVVAVIATIIDVVLIKRWTRNPDDKCLASAVAATSFVLFIIGGSYSTATLAIVFWVIQQAFGMRQCMGIAGILMVLMALPRSLAGQYQRDDIHYILFLETIVIVHFSFAWLLTALEKSAEKERRYAVEAAVSMEQAESARMLHDGLGQQLVTAIVALDVAQALKSTSEQAAWSEVCNAQAVAKQALVDLRRWVRALDPPETPTPHTSDQLVAAMQSLSQTFSSTGLEFQIDKPEDNYALAAAQGELFQIAVREGVSNALRHGQPTMIHFHLRVNEDSITLTVEDYSDKEHALVPVKASSTENGYGLRSLRKRATQLGGSMTAGPTDTGFYLDVSLPRTENM</t>
  </si>
  <si>
    <t>MTIAGRPLHFYFIAFALGSIFITFCDTIFCYELNPQTIFLMVVAVIATIIDVVLIKRWTRNPDDKCLASAVAATSFVLFIIGGSYSTATLAIVFWVIQQAFGMRQCMGIAGILMVLMALPRSLAGQYQRDDIHYILFLETIVIVHFSFAWLLTALEKSAEKERRYAVEAAVSMEQAESARMLHDGLGQQLVTTIVALDVAQALKSTSEQAAWSEVHNAQAVAKQALVDLRRWVRALDPPETPTPHTSDQLVAAMQSLSQTFSSTGLEFQIDKPDDNYALAAAQGELFQIAVREGVSNALRHGQPTMIHFHLRVNEDSITLTVEDYSDKEHALVPVKASSTENGYGLRSLRKRATQLGGTMTAGPTDTGFYLDVSLPRTENM</t>
  </si>
  <si>
    <t>GC_00002577</t>
  </si>
  <si>
    <t>MLSVSTLGKTIAMNGKTGKNSKKAWLFKNVTLDVHAGEMVALMGQSGSGKSTLLNCMSGLAPADEGTCQVDGNMLSNVSKRHLRRNLRNHVSLIFQDHHLIPGLTLLQNVQLARSLSDATATNAQPQQLTPDEALDRLGIGPERNSLPESVSGGQAQRAAIARSLVTSAQVIFADEPTGALDGENIGKVLTEMRRACHEMKTHMVVVTHDHAVAAACDRTLLLEGGTVHASDH</t>
  </si>
  <si>
    <t>MLSISTVGKKITMNRKPGTNSKKTWLFKNVTFDVHAGEMVALMGQSGSGKSTLLNCMSGLAPADEGTCQVDGHMLSNVSKRHLRRNLRNHVSLIFQDHHLIPGLTLLQNVQLARSLSDTTATNATPQQLTPDEALDRLGIGPERNSLPESVSGGQAQRAAIACSLVTSAQAIFADEPTGALDGENIGKVLTEMRRACHEMKTHMVVVTHDHAVAAACDRTLLLEGGTVHASDQ</t>
  </si>
  <si>
    <t>GC_00002578</t>
  </si>
  <si>
    <t>MSWLSENSEQVVQLVWAHLLLSIPAIVVSTIIAVPIAYFAYKRPVIGGPLLSAATLLYAIPALPLLALIPAFFGLPLRSPLTVVIALILYGIALLVRTAADAFAAIDPHLRDAAIAMGFSNRSLFWRVELPASIPVLLSGVRVVTVSTIGLATIGALVGVSNIGTLLTDGFQRGITAEVTVGIVATVVLALLIDAALILLGRVIAPWAHDEASKANSRLGTVR</t>
  </si>
  <si>
    <t>MSWLSENSEQVVQLVWAHLLLSIPAIVVSTIIAVPIAYFAYKRPIIGGPLLSVATLLYAIPALPLLALIPAFFGLPLRSPLTVVIALILYGIALLVRTAADAFAAIDPHLRDAAIAMGFSNRNLFWKVELPASIPVLLSGVRVVTVSTIGLATIGALVGVSNIGTLLTDGFQRGITAEVTVGIVATVVLALLIDAALILLGRAIAPWAHDEASKANSRLGTVR</t>
  </si>
  <si>
    <t>GC_00002579</t>
  </si>
  <si>
    <t>MQEEETYTIGDVAAQFGLTVRTLRYWDQIGLVVPSYRDWQDFRQYTESDMQRIHDVLTYRAVGLKLQAIRELLDDPSGDNADVVAQLRTQRRLLLQQQDHISGMLHALDTLLEEAMSTHEVPEARRKEIMGEFYRPELEAEAEEKYGHTEEWAQAMEKQKSMSEADWAAMREKTSHVQETLADAMRRGVKPGSAEANELAEMARESLDWFPVTHSKHVILARSYVADPRFKQYYDGFADGLAVWLRDIIEANAQAHGVDLENVRWQ</t>
  </si>
  <si>
    <t>MQEEETYTIGDVAAQFGLTVRTLRYWDQIGLVVPSYRDWQDFRQYTESDMQRIHDVLTYRAVGLKLQAIRELLDDPSGDNADVVTQLRTQRRLLLQQQDHISGMLNALDTLLEEAMSTHEVPEARRKEIMGEFYRPELEAEAEEKYGHTEEWAQAMEKQKSMSEADWAAMREKTSHVQETLADAMRRGVKPGSAEANELAEMARESLDWFPVTHSKHVILARNYVADPRFKQYYDGFADGLAVWLRDIIEANAQAHGVDLENVRWQ</t>
  </si>
  <si>
    <t>GC_00002580</t>
  </si>
  <si>
    <t>MDEIWRPLETNSTKYVTCKALYEGVPKQMASDLWEWIQAALTEHRQSAGHRGYTIALNNTLMETLCRELSVPLDDYRVWGIGSGNNSRMGRQHIATAMYILHNQADGLQVADYLLARLPDASADELDNLLIRNKSAWTVGIRAGRRGLTRRVIVGG</t>
  </si>
  <si>
    <t>MDEIWRPLETNSTKYVTCKALYEGVPKQMASALWEWIQAALTEHRQSAGHRGYTIALNNTLMETLCRELSVPLDDYRVWGMGSGNNSRMGRQHIATAMYILHNQADGLQVADYLLARLPDASADELDNLLIRNKSAWTVGIRAGRRGLTRRVIVGG</t>
  </si>
  <si>
    <t>GC_00002581</t>
  </si>
  <si>
    <t>MANSSVSPTPPTNEPDHTGHSTDSHHLDHFHNALSSTTPNAHWQPDMLGPDYESMSFALGTDPDRETDIYTTLVRYTPSVQGAQSNQGVQKAETSESTPTGNNNPAPDGHNQPAILLIHGMSDYFFQTHVAEFFANQGYAFYAIDLRKCGRSYRPGQSWHYITSITEYFTDLTTVMEYLATIHQQIIIIAHSTGGLIAPLWLDNIKTHNPQLHQHMTALVLNSPWLDMMVPAWMSLGLTPVVNVIGKHRPHTAIPGVTLSTYGKTIHASVGGEWEFDTTMKPLYGHRKYVGWLRAIKQGQQQIHSGQVDAGIPTLVLSSHESILGKSYSPDRSHSADTLLDVEQIHKWAPRVAAQVTAIRVYGAIHDVFLSRKPIRQQAFAMCAAWLDSVVHPPIMESDDAE</t>
  </si>
  <si>
    <t>MANSSVSPTPPTNEPDHTGHSTDSHHLDHFHNALSSTTPNAHWQPDMLGPDYESMSFALGTDPDGETDIYTTLVRYTPSVQGAQSNQGVQKAETSESTPTGNNNPAPDGHNQPAILLIHGMSDYFFQTHVAEFFANQGYAFYAIDLRKCGRSYRPGQSWHYITSITEYFTDLTTVMEYLATIHQQIIIIAHSTGGLIAPLWLDNIKTHNPQLHQHMTALVLNSPWLDMMVPAWMSLGLTPVVNVIGKRRPHTAIPGVTLSTYGKTIHASVGGEWEFDTTMKPLYGHRKYVGWLRAIKQGQQQIHSGQVDAGIPTLVLSSHESILGKSYSPERSHSADTLLDVEQIHKWAPRVAAQVTAIRVYGAIHDVFLSRKPIRQQAFAMCAAWLDSVVHPPIMESDDAE</t>
  </si>
  <si>
    <t>GC_00002582</t>
  </si>
  <si>
    <t>MSQQAPDPPDYPALDHTPPVTADRPVGLTRVDWLWAFGIFSVASLVRLVIMGMMATANGYTLHSLFYRWDAEYYVSIARDGYFAITEPVVEVPVYERSLAFFPGFPYLLRGLHAVLHPITGLHHETIAYGVNFLLGVVMIAGVMALVNRIPSINHWGAKTQRARILAAVLIAGVPMGITFNMAYSESLFGALSIWALVAIMDRRWLLAGLLVFATGLTRITAVDVMLVLFLAVLTTDRKNWRGWLATLLSPLGLLWYLWWSSSYLTHIGGYFGMQREGWNSAFDWGIATWKFATFTMFASRELGYFLSVAVMIAFVFIVAGSFRKLPWQIWVFSAAVAANILLSDGIMHSRPRLLIPAYLLLLPLVFFFARRLSTPAQITIAVSWLLWGAWFGAYMLGVFPWAI</t>
  </si>
  <si>
    <t>MSQQAPDPPDYPALDHTAPATAGRPAGLTRVDWLWAFGIFSVASLVRLVIMGMMATANGYTLHSLFYRWDAEYYVSIARDGYFAITEPVVEVPVYERSLAFFPGFPYLLRGLHAVLHPITGLHHETIAYGVNFLLGVVMIAGVMALVNRIPSINHWGAKSQRARILAAVLIAGVPMGITFNMAYSESLFGALSIWALVAIMDRRWLLAGLLVFATGLTRITAVDVMLVLFLAVLTTDRKNWRGWLATLLSPLGLLWYLWWSSSYLTHIGGYFGMQREGWNSAFDWGIATWKFATFTMFASRELGYFLSVAVMIAFVFIVAGSFRKLPWQIWVFSAAVAANILLSDGIMHSRPRLLIPAYLLLLPLVFFFARRLSTPAQITIAVSWLLWGAWFGAYMLGVFPWAI</t>
  </si>
  <si>
    <t>GC_00002583</t>
  </si>
  <si>
    <t>MSPRNLSRFTWPDDDLAINNSTSTYELITQLVIIRENRGMTIDQVAQRMGVNKSTISRFERGNTNPTMKTIRRYAEAVGAYLATVAVPVEDNGPWQDLLFNTTDALENSDSIAPKELLD</t>
  </si>
  <si>
    <t>MSPRNLSRFTWPDDDLAIDNSTSTYELITQLVIIRENRGMTIDQVAQRMGVNKSTISRFERGNTNPTMKTIRRYAEAVGAYLTTVAVPVEDSGPWQDLLFNTTDALENSDSIAPKELLD</t>
  </si>
  <si>
    <t>GC_00002584</t>
  </si>
  <si>
    <t>COG1479</t>
  </si>
  <si>
    <t>DNAse/DNA nickase specific for phosphorothioated or glycosylated phage DNA, GmrSD/DndB/SspE family, contains DUF262 and HNH nuclease domains (GmrSD) (PDB:6JIV) (PUBMED:17188297;32251370)</t>
  </si>
  <si>
    <t>MGTTVPLQPIAAVEINLDKLFTDEYEFVIPEYQRPYTWGVEHAVQLLVDLQEALERDLDEPYFLGSIVLVKDAQSPRAEVIDGQQRLVTLTLLLAVLRDIVEDPSLRKDIHERVEKPAVEWEEKPAKPRLTLRRRDIEFFYQYVQKSDATEDVVRLSNNLAVTESQRAIRDNVKALREQLFDWTRNDLANLYKMLRDRTMLVVVSTPDLNSAYRIFNVMNARGLPLLPSDIFKSQVIGEISESSRREYADRWENLEQELGREEFGTLFVYIRAILTQAHATRNLLSEFPEQILSKWQGEAFIDEVLEPYAQADVRLRAQDFHGGPLWESVNHWLKRLSQLNNNDWRPVALWALKEHGDDPKFLNAFFEKLERLAASMLVRRLYRNVRLTRYMALLKQLIAGHGLRSTEFELSEDEKKATREQLDSEIYSSSSTALPKYVLLRLDSILADDPGVSYDHKTISIEHVLPQNPKEGSQWLEWFSDGERAWWTHRLGNLVLLNKSKNSRARNYDFDYKKKSYFLKNGVSVFALTTGVLQETKWTPNVVMRRHIELIGLLEDTWKLR</t>
  </si>
  <si>
    <t>MGTTVPLQPIAAVEINLDKLFTDEYEFVIPEYQRPYTWGVEHAVQLLVDLQEALERDLDEPYFLGSIVLVKDAQSPRAEVIDGQQRLVTLTLLLAVLRDIVEDPSLRKDIHERVEKPAVEWEEKPAKPRLTLRRRDIEFFYQYVQKSDATEDVVRLSNNLAVTESQRAIRDNVKALREQLFDWTRNDLANLYKMLRDRTMLVVVSTPDLNSAYRIFNVMNARGLPLLPSDIFKSQVIGEISESSRREYADRWENLEQELGREEFGTLFVYIRAILTQAHATRNLLSEFPEQILSKWQGEAFIDEVLEPYAQADVRLRAQDFHGGPLWESVNNWLKRLSQLNNNDWRPVALWALKEHDDDPKFLNAFFEKLERLAASMLVRRLYRNVRLTRYMALLKQLIAGHGLRSTEFELSEDEKKATREQLDSEIYSSSSTALPKYVLLRLDSILADDPGVSYDHKTISIEHVLPQNPKEGSQWLEWFSDGERAWWTHRLGNLVLLNKSKNSRARNYDFDYKKKSYFLKNGVSVFALTTGVLQETKWTPNVVMRRHIELIGLLEDTWKLR</t>
  </si>
  <si>
    <t>GC_00002585</t>
  </si>
  <si>
    <t>MLHNIAYVSTLYFRLRRNYLITWIVSLLVLTATFPISFESYYPDLDTRTVVVHTMQSTMSTRAMYGVLEDPGTIGQMVAWNGGAWITVLCSVMAILLFNSLYRIPEESGHSELIRSVGVSHTVMSAATVVVSLVTSVVIGAGTFVVLWMEMLMVDELTFRGALSFGIVASLTFIGSMLIAAIISALLPSALFVNRIGLLSIAVAFIMRAIADIEDISTLNWLSLLGWRSVIKPYTNDSLSNAALCLLLCISLAVLWGFLELHREYGTGRIPARSRDAIPPRNVGGMLRLRWVLERGQLATWGVAVMIMSGFLTSLTGSLKDLFDNEQFGAMMKESMRTTDLQSGFLSQTVQIVGILVAIAGVQMVLRLRIEEKERLVDLMCSTGIRRWTPLGSVTVTSLVATLLLMVAGAIASLFGARFSDDPGLAMRSLLYGFFGEVGPVIAMLGVAVVFVGALPRYATLAWTPLVYCVVVVFLGDTLKLPEWAMDLSVFNHPLFADELTTRGWIPVAMAFAGIAASGVGIVAASWREVR</t>
  </si>
  <si>
    <t>MLHNIAYVSTLYFRLRRNYLIAWIVSLLVLTATFPVSFESYYPDLDTRTVVVHTMQSTMSTRAMYGVLEDPGTIGQMVAWNGGAWITVLCSVMAILLFNSLYRIPEESGHSELIRSVGVSHTVMSAATVVVSLVTSVVIGAGTFVVLWMEMLMVDELTFRGALSFGIVASLTFIGSMLIAAIISALLPSALFVNRIGLLSIAVAFIMRAIADIEDISTLNWLSLLGWRSVIKPYTNDSLSNAALCLLLCIGLAVLWGFLELHREYGTGRIPARSRDAIPPRNVGGMLRLRWVLERGQLATWGVAVMIMSGFLTSLTGSLKDLFDNEQFGAMMKESMRTTDLQSGFLSQTVQIVGILVAIAGVQMVLRLRIEEKERLVDLMCSTGIRRWTPLGSVTVTSLVATLLLMVAGAIASLFGARFSDDPGAAMRSLLYGFFGEVGPVIAMLGVAVVFVGALPRYATLAWTPLVYCVVVVFLGDTLKLPEWAMDLSVFNHPLFADELTTRGWIPVAMAFAGIAASGVGIVVASWREVR</t>
  </si>
  <si>
    <t>GC_00002586</t>
  </si>
  <si>
    <t>MGWSDAAYRLGMVSDRSYVTTIATWVFVLVYASRPLLGSVLPSVVMPGVYAVVVIAALVAYRRVLADAARRAWQHRARSFAMVVGGYLGILALTVAVGYLTQYLFDYFGVALADPQNTGELSQPRASLVQLILSMVYIGIAAPIVEELFFRQFLIGSLGKHAPTWMSLVVSSVLFGMFHVYSLVASEWINAVSFTATGLGLGLVYVLSGRNVVLSSLLHIANNLPIVIMTLLV</t>
  </si>
  <si>
    <t>GC_00002587</t>
  </si>
  <si>
    <t>MFENESVQDLMDLAMDTPYGKTCSALWAEAARRAGVEGLEREEIWCYLRLAQAFTMGGEVTRMVAPFMWVDKRRKERPDLFDADMQDSFAWYYKYVILVLRDVPQASADECFNALREMREFYQSLGDSLKAYYLREYYIFSMLGRDEEADEAYRKWKIADVSEHSDCVACDPQHEVAYYSQRGEWDKAVEVGEEALANSQDSCSSQPSTLYCNMLLPWLYTGQDDKAWPAHIHSMQRNSHSPAFLEYIAKHFVYLELSGSAGRPQRLERALDMVVRFMPWWLEAETPVVLMDVATASARVMAAQPDQDRHLEVTLPGQSLPWVKADDVVNPTVAEAAAWYADLALRIAHMFDQRPGLVKPHMVARVEHNLYHMPPVPQLPDEGPIQDASGRFSPVTFDYRLEGVGETLSAASAVDTDEDEPLIVSIDINGPWRSYSPEQLEAAHAALNTSLPSIYSGILGKAIEIDLETAAEADPARALLIDALRFQVYGQYLEAAQAADTAMRTATEEPIGVRLLALKVLAETALNAGYYDESAEASRHRLNVAAACGLPFTQVNAAVLLVTCLNKQQQFTEAAEVAHTTLSATAAALQAPDYDPLLLEESLALRRLLITALDALDHDTAAAEEALRMAELCQDNGDKVEALTRAMAGFRYDHEYERSFAAGTRLVDAAESLLLEAQARAVVDPDAEENLSQVVSRVVDVLLDVAWSRSTQSTLVDDAGYEFIESVLARRLELQQQYLITDKREAEFYRADNTEDRGLAALRSRRYLDGLLLLDDAAQQFVEIGRPHLAARALNSAARAKGLHEDYDGAREIIQRSLDLLVGTVWESHKSVRQARELLAEIDEWEAEESDD</t>
  </si>
  <si>
    <t>MFENESVQDLMDLAMDTPYGKTCSALWAEAARRAGVEGLEREEIWCYLRLAQAFTMGGEVTRMVAPFMWVDKRRKERPDLFDADMQDSFAWYYKYVILVLRDVPQASADECFNALREMREFYQSLGDSLKAYYLREYYIFSMLGRDEEADEAYRKWKIADVSEHSDCVACDPQHEVAYYSQRGEWDKAVEVGEEALANSQDSCSSQPSTLYCNMLLPWLYTGQDDKAWPAHIHSMQRNSHSPAFLEYIAKHFVYLELSGSAGRPQRLERALDMVVRFMPWWLEAETPVVLMDVATASARVMAAQPDQDRHLEVTLPGQSLPWVKADDVVNPTVAEAAAWYADLALRIAHMFDQRPGLVKPHMVARVEHNLYHMPPVPQLPDEGPIQDASGRFSPVTFDYRLEGVGETLSAASAVDTDEDEPLIVSIDINGPWRSYSPEQLEAAHAALNTSLPSIYSGILGKAIEIDLETAAEADPARALLIDALRFQVHGQYLEAAQAADTAMRTATEEPIGVRLLALKVLAETALNAGYYDESAEASRHRLNVAAACGLPFTQVNAAVLLVTCLNKQQQFTEAAEVAHTTLSATAAALQAPDYDPLLLEESLALRRLLITALDALDHDTAAAEEALRMAELCQDNGDKVEALTRAMAGFRYDHEYERSFAAGTRLVDAAESLLLEAQARAVVDPDAEENLSQVVSRVVDVLLDVAWSRSTQSTLVDDAGYEFIESVLARRLELQQQYLITDKREAEFYRADNTEDRGLAALRSRRYLDGLLLLDDAAQQFVEIGRPHLAARALNSAARAKGLHEDYDGAREIIQRSLDLLVGTVWESHKSVRQARELLAEIDEWEAEESDD</t>
  </si>
  <si>
    <t>GC_00002588</t>
  </si>
  <si>
    <t>MSGKAKLQAGTHGPAVIEGPATALSWLTVLPVRGGARAFDRITGARVIANLPVVGLVVGGVAAGVRWGLDALGTSGMLAGVLVVIACQLVTRFMHMDGLADVADALGSYAAPEKAREILADPHAGLIGMGSALLALLAQAAAMADLPWQLVFFVPMVGRICGIVVAWRGFQPMRPNGFGAMIIGTASAWWVMAWCVVVVPLMLLVDVPWWRPVSGLLVAIVVAVVLARHCHRRFAGLNGDTCGFVIEVTATVFACWMVL</t>
  </si>
  <si>
    <t>MSGKAKLQAGTHGPAVIEGPATALSWLTVLPVRGSAQAFDRITGARVIANLPVVGLVVGGVAAGVRWGLDALGTNGMLAGVLVVIACQLVTRFMHMDGLADVADALGSYAAPEKAREILADPHAGLIGMGSALLALLAQAAAMADLPWQLVFFVPVAGRICGIVVAWRGFQPMRPNGFGAMIIGTASAWWVVAWWVVVVPLMLLVDVPWWRPVSGLLVAIVVAVVLARHCHRRFAGLNGDTCGFVIEVTATVFACWMVL</t>
  </si>
  <si>
    <t>GC_00002589</t>
  </si>
  <si>
    <t>MKTLMKDIIAVLVFAVLARAAHGGLGLAQIADTFWPFAIGSLVGTGIATVVLRGA-GGAIRYGVIVWLVTVLTGLAIWAARHAAAPHISFIIVATTMSGLLLLGWRAARMLVARRRS</t>
  </si>
  <si>
    <t>MKTLMTDIIAVLVFAVLARAAHGGLGLAQIADTFWPFAIGSLVGTGIATVALRGAGGGAIRYGVIVWLVTVLTGLAIWAARHAAVPHISFIIVATTMSGLLLLGWRAAGRLVARRRP</t>
  </si>
  <si>
    <t>GC_00002590</t>
  </si>
  <si>
    <t>MEAAGNIDAALRALADQNRRAILRVIRSGPQPVGAVAETVGLSQQTTSHHLRTLHKAGLAALSTDRTRHLYAVNTDGLAAVRSYLDEFWPDKLAALKSVIEQREAKDG</t>
  </si>
  <si>
    <t>MEAAESIDAALRALADQNRRAILQVIRSGPQPVGAVAETVGLSQQTTSHHLRTLHKAGLATLSTDRTRHLYAVNTNGLAAVRSYLDEFWPDKLATLKSVIEQREAKDG</t>
  </si>
  <si>
    <t>GC_00002591</t>
  </si>
  <si>
    <t>MSVPPASKPLATKPRAVVIGAGVAGLAAACLMAKDYDVTVLEKNPESGGRVGRLRDGGFLWDTGPSWLLMPDAYKRFYQRMGTTMEAELDLVRLDPAYRVFHEGFDPVDVRSGIPEVRALFDALSPGDGEKIAAYLDSATDTYRMALKMFLYTTFSSVRPFLTRAMLGRLGTLQRLLMTSLKRHVERDFSHPIAQKILQYPAVFLATSPADTPAMYHLLSHADLVEGVYYPRGGFGTVVDSLERLALGQGVELRFGYEARAITSTPVDAKETRHKATGVRVCQVNSDKGGVKETEVLPADVVIAAGDMYHTDTQLLPSKLRSHPERHWKHTKPGIGVVVAMLGVRGHLPQLTHHQLILSSEWEEDFDAIFNSPHGSSHSIYVCKPSETDTETAPKGHENLFILIPTSASTDIGHGSTYNDEPTPKVEMLVDAAIQLISDRCGIPDLEERVVARHTLGPADFAQRYFAWHGTALGYAHTLRQSAFLRGNQASKTVEGLFYAGSTTTPGVGVPMCLISAENAASLAADYLA</t>
  </si>
  <si>
    <t>MSVPPASKPLATKPRAVVIGAGVAGLAAACLMSKDYDVTVLEKNPESGGRVGRLRDGGFLWDTGPSWLLMPDAYKRFYQRMGTTMEAELDLARLDPAYRVFHEGFDPVDVRSGIPEVRALFDALSPGDGEKVTAYLNSATDTYRMAVKMFLYTTFSSVRPFLTRAMLGRLGTLQRLLMTSLKRHVERNFSHPIAQKILQYPAVLLATSPADTPAMYHLLSHADLVEGVYYPRGGFGTVVDSLERLALGQGVELRFGYEARAITSTPVDAKETRHKATGVRVCQVNSDKGGVKETEVLPADVVIAAGDMYHTDTQLLPSKLRSHPERHWKHTKPGIGVVVAMLGVRGHLPQLTHHQLILSSEWEEDFDAIFNSPHGSSHSIYVCKPSETDAETAPKGHENLFILIPTSASTDIGHGSTYNDEPTPKVEMLVDAAIQLISDRCGIPDLEERVVARHTLGPADFAQRYFAWHGTALGYAHTLRQSAFLRGNQASKTVEGLFYAGSTTTPGVGVPMCLISAENAASLAADYLA</t>
  </si>
  <si>
    <t>GC_00002592</t>
  </si>
  <si>
    <t>K01428</t>
  </si>
  <si>
    <t>urease subunit alpha [EC:3.5.1.5]</t>
  </si>
  <si>
    <t>COG0804</t>
  </si>
  <si>
    <t>Urease alpha subunit (UreC) (PDB:5A6T)</t>
  </si>
  <si>
    <t>MSFELNRKQYTALYGPTIGDSVRLADTELFATVEKDLTVPGEEALFGGGKVIRAGMGQDGERQRHEDVPDVVITNVLIIDYTGIYKADLAIRDAHIYRIGKAGNPKTMDGVTIPIGVSTDVIAGEGKILTAGGIDTHIHFISPDQINTALTSGITTMIGGGTGPSESTKATTLTPGAWNIAAMLRSFEAFPMNFGLLGKGHGTSTAALGEQIEAGAIGLKVHEDWGATPASIDTSLKVADQYDVQVAIHTDTLNEAGFVDSTKAAIDGRVIHTFHTEGAGGGHAPDIMELASEPYVLPASTNPTLPYTRNTIEEHLDMLMVCHHLNADIPEDVAFADSRIRPETIAAEDVLHDLGIFSITSSDSQAMGRVGEVILRTWQLADAMKRQRGALSEDVAIMGDNFRIRRYIAKYTINPAIAQGISDYVGSIEEGKFADLVLWEPQFFGVKPSLIIKGGQVVSTVMGDPNASIPTPQPALYRPSFGAYGTAVGPNSITFMSRAAVDAGVPENLGLNKEIRVCHGIRTLRKSDLKLNGETPDISVDPQTYDVRVDGELISSNPNDSLPMAQRYFLF</t>
  </si>
  <si>
    <t>MSFELNRKQYTALYGPTIGDSVRLADTELFATVEKDLTVPGEEALFGGGKVIRAGMGQDGERQRHEDMPDVVITNVLIIDYTGIYKADLAIRDAHIYRIGKAGNPKTMDGVTIPIGVSTDVIAGEGKILTAGGIDTHIHFISPDQINTALTSGITTMIGGGTGPSESTKATTLTPGAWNIAAMLRSFEAFPMNFGLLGKGHGTSTAALGEQIEAGAIGLKVHEDWGATPASIDTSLKVADQYDVQVAIHTDTLNEAGFVDSTKAAIDGRVIHTFHTEGAGGGHAPDIMELASEPYVLPASTNPTLPYTRNTIEEHLDMLMVCHHLNADIPEDVAFADSRIRPETIAAEDVLHDLGIFSITSSDSQAMGRVGEVILRTWQLADAMKRQRGALSEDVAIMGDNFRIRRYIAKYTINPAIAQGISDYVGSIEEGKFADLVLWEPQFFGVKPSLIIKGGQVVSTVMGDPNASIPTPQPALYRPSFGAYGTAVGPNSITFMSRAAVDAGVPENLGLNKEIRVCHGIRTLRKSDLKLNGETPDISVDPQTYDVRVDGELISSNPNDSLPMAQRYFLF</t>
  </si>
  <si>
    <t>GC_00002593</t>
  </si>
  <si>
    <t>K25148</t>
  </si>
  <si>
    <t>beta-exotoxin I transport system ATP-binding protein</t>
  </si>
  <si>
    <t>MTAIQAIEIQGLRKKYGSFEALKGIDLEVHTGEIFGFLGPNGAGKSTTIRILLDEIRATAGTARLLGLDSRRDAVAIHRRLGYLPSDLALYPTMTGAQTLRFFARLRGGIDWSYVEVLRQRFDANLDKRVGELSSGNRQKVGLIAALMHKPELIIMDEPNAGLDPLVQHEFHQVLREVTAEGRTVFLSSHTLSEVQEVADRVAIIRAGSLVAVESVADLRAVRRVDLVLDRHADPRDFDDVPGAHDVAVTGARVSLAFDGELGTLLDSLADYRIVDMTAHDADLEEVFLAYYREQS</t>
  </si>
  <si>
    <t>MTAIQAIEIQGLCKKYGFFEALRGIDLEVHTGEIFGFLGPNGAGKSTTIRILLDEIRATAGTARLLGLDSRRDAVAIHRRLGYLPSDLALYPTMTGMQTLRFFARLRGGVDWGYVGVLQQRFDANLDKRVGELSSGNRQKVGLIAALMHKPELIIMDEPNAGLDPLVQHEFHQVLREVTAEGRTVFLSSHTLSEVQEVADRVAIIRAGSLVAVESVADLRAVRRVDLVLDRNADPRDFDGVPGAHDVTVTGARVILAFDGELGTLLDLLTDYRIVDMTAHDADLEEVFLAYYQEQS</t>
  </si>
  <si>
    <t>GC_00002594</t>
  </si>
  <si>
    <t>MTPPRQHRADAARNRITIMNVARQQITEYGPDVSMSQIAAAAGVAVGTLYRHFPTKADLVAMVVADSVDELARAADAAWQRVHTGTTEPADELLEFISHFLDVTAHNKAIKAAARALGATPDYSDAERQAVAALSSIIDAGKKAKTLRADLTVRDIYLLTFHLPADMSAEDRRRWLELIRPGLLREE</t>
  </si>
  <si>
    <t>MTPPRQPRADAARNRITIMNVARQQITEYGPDVSMSQIAAAAGVAVGTLYRHFPTKADLVATVVADSVDELARAADAAWQRVHTGVTEPADELLDFISHFLDVTAHNKAIKAAAHTLGATPDYSDAERQAVAALSSIIDAGKKAKTLRADLTVKDIYLLTFHLPADMSAEDRQRWLELIRPGLLREG</t>
  </si>
  <si>
    <t>GC_00002595</t>
  </si>
  <si>
    <t>PF05437.17</t>
  </si>
  <si>
    <t>Branched-chain amino acid transport protein (AzlD)</t>
  </si>
  <si>
    <t>K26606</t>
  </si>
  <si>
    <t>branched chain amino acid efflux pump</t>
  </si>
  <si>
    <t>COG1687</t>
  </si>
  <si>
    <t>Branched-chain amino acid transport protein AzlD (AzlD)</t>
  </si>
  <si>
    <t>MGLPEGVSLLNTVGILAAVGIVTVMLRQLPFSALRLLKGSNLVGMLGMTMPVGVMTVLVVYTIAHQTAEPGGIWSSLIASAVTLAVHWWRRSAALSIVAGTACYMVIVNLIVS</t>
  </si>
  <si>
    <t>MGLPEGVSLLNTVGILTAVGIVTVMLRQLPFSALRLLKGSNLVGMLGMTMPVGVMTVLVVYTIAHQTAEPGGIWSSLIASAVTLAVHWWRRSAALSIVAGTVCYMVIVNLIVS</t>
  </si>
  <si>
    <t>GC_00002596</t>
  </si>
  <si>
    <t>K01792</t>
  </si>
  <si>
    <t>glucose-6-phosphate 1-epimerase [EC:5.1.3.15]</t>
  </si>
  <si>
    <t>COG0676</t>
  </si>
  <si>
    <t>D-hexose-6-phosphate mutarotase (YeaD) (PDB:1JOV)</t>
  </si>
  <si>
    <t>KEGG Orthology (KO)&gt;&gt;&gt;09100 Metabolism&gt;&gt;&gt;09101 Carbohydrate metabolism&gt;&gt;&gt;00010 Glycolysis / Gluconeogenesis [PATH:ko00010]|Enzymes&gt;&gt;&gt;5. Isomerases&gt;&gt;&gt;5.1  Racemases and epimerases&gt;&gt;&gt;5.1.3  Acting on carbohydrates and derivatives&gt;&gt;&gt;5.1.3.15  glucose-6-phosphate 1-epimerase</t>
  </si>
  <si>
    <t>MASKLLAHGAHVTSVDNKLGELLWLSPVAKLDGPGAIRGGVPIIGPWFAALTGQEPKHGWARVSQWQLIDDATARITKDGLELQVVVVDHATGFTMTYSARNVGDESRKIQLAFHPYFRVADVEKVTVSGVDGADVYDAVTKTHVTQQGDLTFTAGEYDRITRGGDYEYVISDPGLRRRIIVSSSAADSVVVWNPGENTIADIGDEWRHFVCVEPALLGEDYQGVVVEPGGNRTISLTVQAEAF</t>
  </si>
  <si>
    <t>MASKLLAHGAHVTSVDNKLGELLWLSPVAKLDGPGAIRGGVPIIGPWFAALTGQEPKHGWARVSQWQLIDDATARITKDGLELQVVVVNHATGFTMTYSARNVGDEPRKIQLAFHPYFRVADVEKVTVSGVDGADVYDAVTKTHVTQQGDLTFTAGEYDRITRGGDYEYVISDPGLRRRIIVSSSAADSVVVWNPGENTIADIGDEWRHFVCVEPALLGEDYQGVVVEPGGNRTISLTVQAEAF</t>
  </si>
  <si>
    <t>GC_00002597</t>
  </si>
  <si>
    <t>PF01730.21</t>
  </si>
  <si>
    <t>UreF</t>
  </si>
  <si>
    <t>K03188</t>
  </si>
  <si>
    <t>COG0830</t>
  </si>
  <si>
    <t>Urease accessory protein UreF (UreF) (PDB:3SF5)</t>
  </si>
  <si>
    <t>MTPSLLAAMQLTDSALPTGAFSHSLGFESYIEAGIIHDEASFAAWLHMFCTQQLTFTDALAIRLVYAATDFAEVTRIDAALTAQALPHEIRQAGVTMGQRLLTIAAESYDSPWLAAYQRAVADHLVYAHPASVWAVVAKHMGVEADDAVAHHVYATVISLTQNAVRGVPLGQQAGQRVIRQAQDWVQHAVEASKQLDESDLGAIAPGLEIAQMRHEQQRARLFMS</t>
  </si>
  <si>
    <t>MTPSLLAAMQLTDSALPTGAFSHSLGFESYIEAGIIHDEASFAAWLHMFCAQQLTFTDALAIRLVYAATDFAEVTRIDAALTAQALPHEIRQAGVTMGQRLLTIAAESYDSPWLAAYQRAVADHLVYAHPASVWAVVAKHMGVEADDAVAHHVYATVISLTQNAVRGVPLGQQAGQRVIRRAQDWVQHAVEASKQLDESDLGAIAPGLEIAQMRHEQQRARLFMS</t>
  </si>
  <si>
    <t>GC_00002598</t>
  </si>
  <si>
    <t>PF04993.18</t>
  </si>
  <si>
    <t>TfoX N-terminal domain</t>
  </si>
  <si>
    <t>K07343</t>
  </si>
  <si>
    <t>DNA transformation protein and related proteins</t>
  </si>
  <si>
    <t>COG3070</t>
  </si>
  <si>
    <t>Transcriptional regulator of competence genes, TfoX/Sxy family (TfoX) (PDB:2OD0)</t>
  </si>
  <si>
    <t>KEGG Orthology (KO)&gt;&gt;&gt;09190 Not Included in Pathway or Brite&gt;&gt;&gt;09193 Unclassified: signaling and cellular processes&gt;&gt;&gt;99993 Cell motility</t>
  </si>
  <si>
    <t>MTAMTPEQQALIQRIQSLMTDQSDVREVSMFGGRAIMVNDKMIVSAGKAGDLLVRVDADQHDALLSEPGAAQAEMGAGRRMGPGWITVSSEAIADDECLSFWVDAAMSYNKAVTRANQN</t>
  </si>
  <si>
    <t>MAAMTPEQQALIQRIQSLVTDQSDVREVSMFGGRAIMVNDKMIVSVGKAADLLVRVDAAQHDTLLSERGAAQAEMGAGRRMGPGWITVSSEAIADDECLSFWVDAAMSYNKAVTRANQN</t>
  </si>
  <si>
    <t>GC_00002599</t>
  </si>
  <si>
    <t>MSRNNRIVGFIGILVILGAACLASMLYGSKAISASDVFLAMQGLGDHETYVVVAEQRVPRTWVVIIVGAALGVAGALMQALTRNPLADPGILGINAGASLAVVTAVAFLGIHGITAYVWFALVGATLAAIGVYLLGGAGRANVTPAKLTLAGVAISMAISAMVQTVLLSNQEAFNEFRYWASGSVEGRGWDVFATVAPFIVIGLILALITAPALNALALGDDTGKALGVQVTRTRTLVIIGVTLLAGAATAAVGPIMFVGLAVPYLARAICGTDQRLVIPTCMIAAPAFLLLADVAARVIVMPAEVQTGIMSALVGGPIFIAIVRRKNLETFS</t>
  </si>
  <si>
    <t>MSRSNRIVGFIGILVILGAACLASILYGSKAISASDVFLAMQGLGDHETYVVVAEQRVPRTWVVIIVGAALGVAGALMQALTRNPLADPGILGINAGASLAVVTAVAFLGIHGITAYVWFALVGATLAAIGVYLLGGAGRVNVTPAKLTLAGVAISMAISAMVQTVLLSNQEAFNEFRYWASGSVEGRGWDVFATVAPFIVIGLILALITAPALNALALGDDTGKALGVQVTRTRTLVIIGVTLLAGAATAAVGPIMFVGLAVPYLARAICGTDQRLVIPTCMIAAPAFLLLADVAARVIVMPAEVQTGIMSALVGGPIFIAIVRRKNLETFS</t>
  </si>
  <si>
    <t>GC_00002600</t>
  </si>
  <si>
    <t>K23987</t>
  </si>
  <si>
    <t>dTDP-4-dehydrorhamnose 3,5-epimerase/reductase [EC:5.1.3.13 1.1.1.133]</t>
  </si>
  <si>
    <t>COG1091|COG1898</t>
  </si>
  <si>
    <t>dTDP-4-dehydrorhamnose reductase (RfbD) (PDB:1KBZ)|dTDP-4-dehydrorhamnose 3,5-epimerase or related enzyme (RfbC) (PDB:1DZR)</t>
  </si>
  <si>
    <t>KEGG Orthology (KO)&gt;&gt;&gt;09100 Metabolism&gt;&gt;&gt;09101 Carbohydrate metabolism&gt;&gt;&gt;00541 Biosynthesis of various nucleotide sugars [PATH:ko00541]|KEGG Orthology (KO)&gt;&gt;&gt;09100 Metabolism&gt;&gt;&gt;09109 Metabolism of terpenoids and polyketides&gt;&gt;&gt;00523 Polyketide sugar unit biosynthesis [PATH:ko00523]|KEGG Orthology (KO)&gt;&gt;&gt;09100 Metabolism&gt;&gt;&gt;09110 Biosynthesis of other secondary metabolites&gt;&gt;&gt;00521 Streptomycin biosynthesis [PATH:ko00521]|Enzymes&gt;&gt;&gt;1. Oxidoreductases&gt;&gt;&gt;1.1  Acting on the CH-OH group of donors&gt;&gt;&gt;1.1.1  With NAD+ or NADP+ as acceptor&gt;&gt;&gt;1.1.1.133  dTDP-4-dehydrorhamnose reductase|Enzymes&gt;&gt;&gt;5. Isomerases&gt;&gt;&gt;5.1  Racemases and epimerases&gt;&gt;&gt;5.1.3  Acting on carbohydrates and derivatives&gt;&gt;&gt;5.1.3.13  dTDP-4-dehydrorhamnose 3,5-epimerase</t>
  </si>
  <si>
    <t>MPVTMKSPTPFSATPTPIAGLYVLHLDVRPDNRGWFKENWQREKIAAIPELSRACREFRPVQNNISFNAQPGVTRGLHAEPWNKFVTIAQGEVFGVWCDLRADSPTFGKVFSTRITTEQAVFVPRGVANGFQALEPSIYTYLVDAHWSPQAHYSHVNLADPALGICWPIPLDKAEISAADRTHPLLADATAVPPGKILITGADGQVGRALATQFPDATLCNHSDFDLTADYQALEDAVNWDEYAVIINAAAYTAVDHAEMDRARCWAVNAAGPAKLARLATNHDLTVVHFSTDYVFSGDAPGDQDETTPIAPSNFYGASKAAGDAAIALTTKHYIVRTSWVVGDGKNFVTTMVRLAQSGAHPAVVNDQVGRLTFSTDIAQATAHLLAGEHPYGVYGFSNSGQPQSWAQIARRVFEIVQVDPNHVTECSTEEYTARVSAQASTASPTPTAPATAAVPTPVLAVRPKNSCLSLAKIEATGFIPPLWETQLEEYVRNLVAPDPSSFNSEEAE</t>
  </si>
  <si>
    <t>MPITMKSPTPFSATSTPIAGLYVLHLDVRPDNRGWFKENWQREKIAAIPELSQACREFRPVQNNISFNAQPGVTRGLHAEPWNKFVTIAQGEVFGVWCDLRADSPTFGKVFSTRITTEQAVFVPRGVANGFQALEPSIYTYLVDAHWSPQAHYSHVNLADPALGICWPIPLDKAEISAADRTHPLLADATAVPPGKILITGADGQVGRALATQFPDATLCNHSDFDLTADYQALEDAVNWDEYAVIINAAAYTAVDHAEMDRARCWAVNAAGPAKLARLATNHDLTVVHFSTDYVFSGDAPGDQDETTPIAPSNFYGASKAAGDAVIALTTKHYIVRTSWVVGDGKNFVTTMVRLAQSGAHPAVVNDQVGRLTFSTDIAQATAHLLAGEHPYGVYGFSNSGQPQSWAQIARRVFEIVQVDPNHVMECSTEEYTARVSTQASTASPTPTAPATAAVPTPVLAVRPKNSCLSLAKIEATGFIPPLWEARLEEYVRNLVAPDPSSFNSEEAE</t>
  </si>
  <si>
    <t>GC_00002601</t>
  </si>
  <si>
    <t>MPTEVPSNDSIPPQSSEAITPKAKAVATPLTPVLQRSRRDWIACGVIATVAILGVLGVFLTAPIRNSTLTVANTDYTEGAQIPLIGETYHEAWRAPADSINHAPLALNGLVISTNQGDDSTTIQALDASNGAVVWTYTRDVPLCSLSKAWNTIVADFRTGVGCGDVVSINSTSGTYHSTRSSLASTDVVPISSNDRVGIVSQERVELWRSDLVRTVEYGDVPAKAEPAQQPHEECEISSALTRQELLAVVEACPGEDNTYEYVRLQKTTPEESRKPEISSDIALPGTGNEIVAIGESAVALYSPERSSIMTYNTKGQMTHEHAVSESPLVHDHKGVFGAQVADLPHNMTWFDGKRLYLFLPSTMTVSQEFDDAIGTGIALSEQLIYPTESGLNVADWDTGKVIRKIPVDRNGYSGPVSLGFTGNTIIEKRGNELVGLLPF</t>
  </si>
  <si>
    <t>MPTEVLSNDSIPPQSSEAITPKAKAVATPLTPVLQRSRRDWIACGVIATVAILGVLGVFLTAPIRNSTLTVANTDYTEGAQIPLIGETYHEAWRAPADSINHAPLALNGLVISTNQGDDSTTIQALDASNGAVVWTYTRDVPLCSLSKAWNTIVADFRTGVGCGDVVSINSTSGTYHSTRSSLASTDVVPISSNDRVGIVSQERVELWRSDLVRTVEYGDVPAKAEPAQQPHEECEISSALTRQELLAVVEACPGEDNTYEYVRLQKTTPEESRKPEISSDIALPGTGNEIVAIGESAVALYSPERSSIMTYNTKGQMTHEHAVSESPLVHDHKGVFGAQVADLPHNMTWFDGKRLYLFLPSTMTVSQEFDDAIGTGIALSEQLIYPTESGLNVADWDTGKVIRKISVDRNGYSGPVSLGFTGNTIIEKRGNELVGLLPF</t>
  </si>
  <si>
    <t>GC_00002602</t>
  </si>
  <si>
    <t>PF03253.19</t>
  </si>
  <si>
    <t>Urea transporter</t>
  </si>
  <si>
    <t>K08717</t>
  </si>
  <si>
    <t>urea transporter</t>
  </si>
  <si>
    <t>COG4413</t>
  </si>
  <si>
    <t>Urea transporter (Utp)</t>
  </si>
  <si>
    <t>MSILRGISQIFFIDNPVTGAVILIALACADPRLALLTALGSATQTVGAWALRYQDQADHGLMGYNGALVGASTALYVGFTPTSVALTVVGSLACIIVHIALQHVSERPPLKRFALPVSTAPFCAVSSLMFGTLGHLIDPAPLSSAEGTAGFGLGIDNSFSEIVLADGVITGAVIIAALFIGSWRIGAWAVGGSVVSTLLSGLAEHGFSETSTGLHTYSAVLVAIAIGAVFWQDRHLSMRLVGAGVGIVLAMSINQLFTFTLLPIFTWPFLFAMWLVLIAGGFVPARVIKDAPVEAAVGA</t>
  </si>
  <si>
    <t>MSILRGISQIFFIDNPVTGAVILIALACADPRLALLTALGSATQTIGAWALRYQDQADHGLMGYNGALVGASTALYVGFTPTSVALTVVGSLACIIVHIALQHVSERPPLKRFALPVSTAPFCAVSSLMFGTLGHLIDPAPLSSAEGTAGFGLGIDNSFSEIVLADGVITGAVIIAALFIGSWRIGAWAVGGSVVSTLLSGLAEHGFSETSTGLHTYSAVLVAIAIGAVFWQDRPLSMRLVGAGVGIVLAMSMNQLFTFTLLPIFTWPFLFAMWLVLIAGGFVPARAIKDAPVEAAVGA</t>
  </si>
  <si>
    <t>GC_00002603</t>
  </si>
  <si>
    <t>MRTMRPRHIGGLLVLFLLGMTAMRLAASYVSLVSGGAEILDLNFGNEATYIHNTLFALGGSGRDAYLHVYLLIDACYAVIYAVFYACTMAFFLRRIAPERWEWKRVRWVILLPMVAAACDWWENISFARMILQFPTPASQLLVTSATIATMTKFILVYLSLLLVLGLAAGWIVLRLRAGRRQQLKTPTG</t>
  </si>
  <si>
    <t>MRTMRPRHIGGLLVLFLLGMTAMRLAASYVSLVSGGAEILDLNFGNEATYIHNTLFALGGSGRDAYLHVYLLIDACYAVIYAVFYACTMAFFLRRIAPERWEWKRVRWVILLPMVAAACDWWENISFARMILQFPTPASQLLVTSATIATMTKFILVYLSLLLVLGLAAGWIVLRLRARRRQQLKTPTG</t>
  </si>
  <si>
    <t>GC_00002604</t>
  </si>
  <si>
    <t>MSTRIVHRPARLHKKIKADKPIEIAAVPTIRGGGGGGVLMALMPIVGGAGMVMMMMSSGNPIRMAIGSVMIVVVLFTAVGAFARNRTGKRKQAEDDRVRFIEHLGQVEEEIRERAQTQRSEALMRNPAPEMLADVVRDPYRIWERRRGDEDFLITRIGSGIGELATHVFVKPTNDPMAISEPIAQAHLDRMLRRTRTIEGLPMSIPARGVISLVGPLEQTTAAVRSIVLQAAVFHAPDDLRIHVAQPYDGDWLLWLPHILSPELFDGPIGKREVSHDEESATELVEEITSRVEELAEKSKYREATLDRPFFMVIVDMDTPHGKWVAGQLSALPSVASGRMVLLAMSSSQYLEPSHVDVRVLLEDDNTFEVQLLSRGEIEEPAEGEEGYVERMLYGGRKGTLDIIPISLAEAITRQLSPLRLVEDATPDAPLEQTIALDAMLGIQDFATYSIEDAWKPRSTEDFLNVPYGIDSEAKPIKLDIKESAKNGMGPHGLCVGATGSGKSEVLRTLVLSQVICHPPDQLSLVLVDFKGGATFAGLEPLPHTAAIVDNLEDAAGLVDRLHDSILGEIQRRQRVLQAAGNLANVGEYNELRNQGKVTDPLPVLFVVIDEFGELLAAKPEFVDLFVQIGRIGRSIGVHLLLASQRLEEGRLKGLESYLSYRIGLRTFSAQESRSAIGSTAAHELPPIPGSGYLKVDPEIFERFKAAYVSGPYEAAAVATIRELPPVPMPLELANTTEAWLSRKEELHRTQLEMSAVAPKTDKTTLDLVVSRLTTAAEKTRQIWLPPLPEHLSFDGVLTNIDVHPDTGLGADREGYLHVPMGIKDKPLTQWQGPMVLDLAGAGGNVAILGAPQTGKTTALRSLILGAALTHTPHEVNFYIVDMSGSAFGYLAQLPHVGDVVTRFDEDKLRRTIAEMEAFLHERETLFERHQISSVQQMRDMHVQGRLPELFAADVFLVIDGWGTMRKDYDDLAETVEKLAQRGLGYGIHIIFGTGRWPDFRLPVQAVIGTKVEFRLNDSLDSCVAKRVNEKLANETTGRCITSDELISQVALPIMDNPSLVHEATPEALVSAINQAWEGRSAPAVRMLPELITYRDLIHQHQGHEPALVGIAESNLSPVHFNLNRDQRHLIVIGDSQTGKTSFLKNIIAEVCRGKKSRFAVFGIVDLRRSLLGFLTDDDPQFGGYAGMRAGVTPLVEGIKGILDSRLPPDNVTVEQLKNRSWWSGPETYLVIDDFDMIEGSGNPLKPLVPYLPQSEDLGLHIIVARRSAGVSRSSYDPVMQGLREAGANGILLSGDRQEGSVWPKVFLKKLPPGRAQWVTRSGKPQMVQLAFYDQEGRNGL</t>
  </si>
  <si>
    <t>MSTRIVHRPARLHKKIKADKPIEIAAVPTIRGGGGGGVLMALMPIVGGAGMVMMMMSSGNPIRMAIGSVMIVVVLFTAIGAFARNRTGKRKQAEDDRVRFIEHLGQVEQEIRERAQTQRSEALMRNPAPEMLADVVRDPYRIWERRRGDEDFLITRIGSGIGELATHVFVKPTNDPMAISEPIAQAHLDRMLRRTRTIEGLPMSIPARGVISLVGPLEQTTAAVRSIVLQAAVFHAPDDLRIHVAQPYDGDWLLWLPHILSPELFDGPIGKREVSHDEESATELVEEITSRVEELAEKSKYREAILDRPFFMVIVDMDTPHGKWVAGQLSALPSVASGRMVLLAMSSSQYLEPSHVDVRVLLEDDNTFEVQLLSRGEIQEPAEGEEGYVERMLYGGRKGTLDIIPISLAEAITRQLSPLRLVEDATPDAPLEQTIALDAMLGIQDFATYSIEEAWKPRSTEDFLNVPYGIDSEAKPIKLDIKESAKNGMGPHGLCVGATGSGKSEVLRTLVLSQVICHPPDQLSLVLVDFKGGATFAGLEPLPHTAAIVDNLEDAAGLVDRLHDSILGEIQRRQRVLQAAGNLANVGEYNELRNQGKVTDPLPVLFVVIDEFGELLAAKPEFVDLFVQIGRIGRSIGVHLLLASQRLEEGRLKGLESYLSYRIGLRTFSAQESRSAIGSTAAHELPPIPGSGYLKVDPEIFERFKAAYVSGPYEAAAVATIRELPPVPMPLELANTTEAWLSRKEELHRTQLEMSAVAPKTDKTTLDLVVSRLTTAAEKTRQIWLPPLPEHLSFDGVLTNIDVHPDTGLGADREGYLHVPMGIKDKPLTQWQGPMVLDLAGAGGNVAILGAPQTGKTTALRSLILGAALTHTPHEVNFYIVDMSGSAFGYLAQLPHVGDVVTRFDEDKLRRTIAEMEAFLHERETLFERHQISSVQQMRDMHVQGRLPELFAADVFLVVDGWGTMRKDYDDLAETVEKLAQRGLGYGIHIIFGTGRWPDFRLPVQAVIGTKVEFRLNDSLDSCVAKRVNEKLANETTGRCITSDELISQVALPIMDNPSLVHEATPEALVSAINQAWEGRSAPAVRMLPELITYRDLIHQHQGHEPALVGIAESNLSPVHFNLNRDQRHLIVIGDSQTGKTSFLKNIIAEVCRGKKSRFAVFGIVDLRRSLLGFLTDDDPQFGGYAGMRAGVTPLVEGIKGILDSRLPPDNVTVEQLKNRSWWSGPETYLVIDDFDMIEGSGNPLKPLVPYLPQSEDLGLHIIVARRSAGVSRSSYDPVMQGLREAGANGILLSGDRQEGSVWPKVFLKKLPPGRAQWVTRSGKPQMVQLAFYDQEGRNGL</t>
  </si>
  <si>
    <t>GC_00002605</t>
  </si>
  <si>
    <t>MSRADGAEGGASTSGVELQCAGQLQRGSEGGAGTFQTRQRIRRGHIDARRRQELVTRRQALHIHLRRRRNPLHSAILIQMTRNTHIYRVPCDGGFSGVGVRWSGLHGCCGCCGWPVPKVRWIRSPILSSSADISKTLHPMRPSKSASAGPCWFVAKIGLLNYSWNLLVGKYLTDVNSCDIEALCQQHCGHVSACFENQQFSYQWRYGG</t>
  </si>
  <si>
    <t>MSRADGAEGGASTSGVELQYAGQLQRGSEGGAGTFQTRQRIRRGHIDARRRQELVTRRQALHIHLRRRRNPLHSAILIQMTRNTHIYRVPCDGGFSGVGVRCGGLCGDCGSCGWPVPKVRWIRNPILSASTDIRKTQHQMRPSKSTSIGPR---------------------------------------------------------</t>
  </si>
  <si>
    <t>GC_00002606</t>
  </si>
  <si>
    <t>MTVSERAEAIFTTGSLQAPEFASLVGNIATAITATAKAQAEATGAQGSYARPLVFTATHDGFRLAAAPRPKDSADVELDFVVHDIDDVALRTVVDTLFDDSRSLTSLPHAAQRPLANAASVMAKRHHSFSVKLQQLGTDTINYSGNIEHMAGLITEFQTKRVVTETIEDVFQFDGFQGSSDTIFLMIDGTSYAIKATDEQVRQVTGLVASHGPELTLDCTIEQTTWHKPGRKPTIMRRLCAVSRRDRPRVGEQFTLL</t>
  </si>
  <si>
    <t>MTVSERAEAIFTTGSLQAPEFASLVGNIATAITATAKAQAEAMGAQGSYARPLVFTATHDGFRLAAAPRPKDSADVELDFVVHDIDDVALRRVVDTLFDDSRSLTSLPYAAQRPLANAASVMAKRHHSFSVTLQQRGTDTINYSGNIEHMVGLITEFQTKRVVTETIEDVFQFDGFQGSSDTIFLMIDGTSYAIKATDEQVRQVTGFVASHGPELTLDCTIEQTTWHKPGRKPTIMRRLCAVSRRDRPRVGEQFTLL</t>
  </si>
  <si>
    <t>GC_00002607</t>
  </si>
  <si>
    <t>MANKSSRSTIAAPALVELLGPLPDRVTSAWVSSHIMALVAEGRLRTGSILPSERSLAITLDVSRGTVTRAMEQLLEHDMLDSKRGSGHRVRLPKRAARPVESLDPHPTLASNDAIDLRWTVMPPHPLVQECATAVASGIGSITSLGASPAQGVPELIDAICQHYNRRGLPTSPEQVVVTNGVISGLHLSLIAATRPGALVGVENPTYPNIPRVVNTERRRITPLDVASGFPAALTAVLHSGTLDAAIITPDFHNPTGHVLSEAHRTNILRAAAVSRTPLIIDESLVTFNWRGKEMPPPMVSTDRDSAPTFLVGGTSKSLWAGLRVGWIRTSRRATDALANIRLGVDLGAPVIEQLMAAQLMNRTANAQAPSHAELIATQYRALTDAMARHLPHWTYQAPEGGLSLWCQNLTLPAHELVQRAKERGVELLPGVMFSPSQRDWSHALRLPFTSPVHDLEHAVEILGELDRL</t>
  </si>
  <si>
    <t>MANKSSRSTIAAPALVELLGPLPDRVTSAWVSSHIMALVAEGRLRTGSILPSERSLAITLDVSRGTVTRAMEQLLEHDMLDSKRGSGHRVRLPKRAARPVESLDPHPTLASNDAIDLRWTVMPPHPLVQECATAVASGIGSITSLGASPAQGVPELIDAICQHYNRRGLPTSPEQVVVTNGVISGLHLSLIAATRPGALVGVENPTYPNIPRVVNTERRRITPLDVASGFPAALTAVLHSGTLDAAIITPDFHNPTGHVLSEAHRTNILRAAAVSRTPLIIDESLVTFNWRGKEMPPPMVSTDRDSAPTFLVGGTSKSLWAGLRVGWIRTSRRATDALANIRLGVDLGAPVIEQLMAAQLMNRTADAQAPSHAELIATQYRALTDAMARHLPHWTYQAPEGGLSLWCQNLTLPAHELVQRAKERGVELLPGVMFSPSQRDWSHALRLPFTSPVHDLEHAVEILGELDRL</t>
  </si>
  <si>
    <t>GC_00002608</t>
  </si>
  <si>
    <t>MKTSASTLWCLKIAAFITFGTVALGAVVCATYSSAACPNWPGCYFGQILPRGELNPIIEFTHRVFAMSTLPALLVAAVMARKHPLRVVRVLPWFAVAGALGAGIFGMFTIKTGLTPIQGMADLWCALMSLVTIVITLVAARRAEREQNRRIAQLAYGVLGGLFVLHGLGVLTAAAGSYTRCMGWPLWLINDMDKTPALQLARVGLAVIILAGMGVLAWRTKTILPLAMLLAVELILGVIIRVTGLNGLLGSLYGITAVTIVATVAWVAGRYRL</t>
  </si>
  <si>
    <t>MKTSASTLWCLKIAAFITFGTVALGAVVCATYSSAACPNWPGCYFGQILPRGELNPIIEFTHRVFAMSTLPALLVAAVMARKHPLRVVRVLPWFAVAGALGAGIFGMFTIKTGLTPIQGMADLWCALMSLVTIVITLVAARRVELEQNRRIAQLAYGVLGGLFVLHGLGVLTAAAGSYTRCMGWPLWLVNDMDKTPALQLARVGLAVIILVGMGVLAWRTKMVLPLAMLLAVELILGVIIRVNGLNGLLGSLYGITAVTIVATVAWVAGRYRL</t>
  </si>
  <si>
    <t>GC_00002609</t>
  </si>
  <si>
    <t>MTPERTHTLLCRHSRRELDHLFTEIVHGVRMLRTEGSTHVDIITRARAHHLTAPEAVIDSWAAASYAGLSYWTDTAPVTLLVRSGFHKTTTLRRPNRRRLGASLETCTPDPEFPNLRTTMLPYAAAQCLRDIMNNAHGWWTYNVPGLSYGETRSVQFIDAIRQLDPHLNLGDIQAEAKGVVKKTIVEKAVGLSDPGAQSPPETALRLIAAQVHPGLTTQIPIYCGGRLVTRLDCGWRKEKVGLFYDGEHHLTRKQHDYDAEVTLIPA------------</t>
  </si>
  <si>
    <t>GC_00002610</t>
  </si>
  <si>
    <t>MGEQHKATEQGPNAAVAQIIAKAAGVEAEDIGPEKRLVEDLGIDSLTAITLAVQLEQSTKVRIEESDAQMFRTVDDIYAFLSSRP</t>
  </si>
  <si>
    <t>MGEQHKATEQGPNAAVAQIIAKAAGVEAEDIGPEKRLVEDLGIDSLAAITLAVQLEQSTKVRIEESDAQMFRTVGDIYAFLSSRP</t>
  </si>
  <si>
    <t>GC_00002611</t>
  </si>
  <si>
    <t>K00661</t>
  </si>
  <si>
    <t>maltose O-acetyltransferase [EC:2.3.1.79]</t>
  </si>
  <si>
    <t>COG0110</t>
  </si>
  <si>
    <t>Acetyltransferase, isoleucine patch superfamily (WbbJ)</t>
  </si>
  <si>
    <t>KEGG Orthology (KO)&gt;&gt;&gt;09190 Not Included in Pathway or Brite&gt;&gt;&gt;09191 Unclassified: metabolism&gt;&gt;&gt;99980 Enzymes with EC numbers|Enzymes&gt;&gt;&gt;2. Transferases&gt;&gt;&gt;2.3  Acyltransferases&gt;&gt;&gt;2.3.1  Transferring groups other than aminoacyl groups&gt;&gt;&gt;2.3.1.79  maltose O-acetyltransferase</t>
  </si>
  <si>
    <t>MNQTNHAITYVSDEHRKMVAGEWYLPFGPELRELRHNASMLAHEFNQLGPTDPTRSRGILGQLFGNFPESSFLIPPASIDYGIHTFVGEGAYINFNVTILDSAEVHIGDRALIGPNCQLITVGHPVDDVQRRRDAWEQAAPIHIGEDAWLGAGVTVLPGVSIGARSVIGAGSVVTRSIPDDAVAVGNPAKVIRLIT--</t>
  </si>
  <si>
    <t>MNQTNHAITYVSDEHRKMVAGEWYLPFGPELRELRHNASMLAHEFNQLGPTDPARSRGILGQLFGNFPESSFLIPPASIDYGIHTFVGEGAYINFNVTILDSAEVHIGDRALIGPNCQLITVGHPVDDVQRRRDAWEQAAPIHIGEDAWLGAGVTVLPGVTIGARSVIGAGSVVTRSIPDDAVAVGNPAKVIRDISKH</t>
  </si>
  <si>
    <t>GC_00002612</t>
  </si>
  <si>
    <t>PF12804.13</t>
  </si>
  <si>
    <t>MobA-like NTP transferase domain</t>
  </si>
  <si>
    <t>K03752</t>
  </si>
  <si>
    <t>molybdenum cofactor guanylyltransferase [EC:2.7.7.77]</t>
  </si>
  <si>
    <t>COG0746</t>
  </si>
  <si>
    <t>Molybdopterin-guanine dinucleotide biosynthesis protein A (MobA) (PDB:1E5K) (PUBMED:32239579)</t>
  </si>
  <si>
    <t>KEGG Orthology (KO)&gt;&gt;&gt;09100 Metabolism&gt;&gt;&gt;09108 Metabolism of cofactors and vitamins&gt;&gt;&gt;00790 Folate biosynthesis [PATH:ko00790]|Enzymes&gt;&gt;&gt;2. Transferases&gt;&gt;&gt;2.7  Transferring phosphorus-containing groups&gt;&gt;&gt;2.7.7  Nucleotidyltransferases&gt;&gt;&gt;2.7.7.77  molybdenum cofactor guanylyltransferase</t>
  </si>
  <si>
    <t>MEKAAPKLAAIVLAGGRSTRMGRDKAQVVAHGERLIDRLLRQLPPRVLPVVVSPAALGVSCPVVCEDPPHSGPVAGVATGVAWIAHTHPTISLVTVLAVDAPDSPLLIPQLADALRQAGPQADAVAVLADGYIQPLGVLWRLAALHAALERVGDFSKAPLKRLLRGANIVTITPAGGVERDYDTPEELQNLPPAVPIVPAGETQ</t>
  </si>
  <si>
    <t>MEKAAPKLAAIVLAGGRSTRMGRDKAQVVAHGERLIDRLLRQLPPRVLPVVVSPAALGVSCPVVCEDPPHSGPVAGVATGVAWIAHTHPTISLVTVLAVDAPDSPLLIPQLADALRQAGPQTDAVAVLADGYIQPLGVLWRLAALHAALARVGDFTKAPLKRLLRGANIVTITPTGGIERDYDTPEELQNLPPAVPIVPAGETQ</t>
  </si>
  <si>
    <t>GC_00002613</t>
  </si>
  <si>
    <t>MSFRFTPHFIWQLYWSDGLAQAGRIPPYDTDRALIVSVAAVDDRILTTPTAALIAKLVNAVSENPVAIIDTDGMNQPVRAALGAHRGGDFFGLVNQSAHDLGREQVAAFVDCTGKVPTLAVSMSQPKPISPTDLQAVLPRIQHRWPTVIIDLPFTTSNELIFAGTELANHVVLLADKHTTDFSWLYHGDHALAHRAQAGAVTPILVGATSKQALAAGAVALPEVDTRTTAREEITVKTSPEALSMYHRFLSRLYPERKTRLTQSI</t>
  </si>
  <si>
    <t>MSFRFTPHFIRRLYWSDGLAQAGRIPPYDTDRALIVSVAAVDDRILTTPTAALIAKLVNAVSENPVAIIDTDGMNQPVRAALGAHRGGDFFGLVNQSAHDLQREQVAAFVDCTGKVPTLAVSMSQPKPISPTDLQAVLPRIQHRWPTVIIDLPFTTSNELIFAGTELANHVVLLADKHTTDFSWLYHGDHALAHRAQAGAVTPILVGATSKQALAAGAVALPEVDTRTTAREEITVKTSPEALSMYHRFLSRLYPERKTRLTQSI</t>
  </si>
  <si>
    <t>GC_00002614</t>
  </si>
  <si>
    <t>PF01903.22</t>
  </si>
  <si>
    <t>CbiX</t>
  </si>
  <si>
    <t>K03795</t>
  </si>
  <si>
    <t>sirohydrochlorin cobaltochelatase [EC:4.99.1.3]</t>
  </si>
  <si>
    <t>COG2138</t>
  </si>
  <si>
    <t>Sirohydrochlorin ferrochelatase (SirB) (PDB:1TJN)</t>
  </si>
  <si>
    <t>M00924</t>
  </si>
  <si>
    <t>Cobalamin biosynthesis, anaerobic, uroporphyrinogen III =&gt; sirohydrochlorin =&gt; cobyrinate a,c-diamide</t>
  </si>
  <si>
    <t>KEGG Orthology (KO)&gt;&gt;&gt;09100 Metabolism&gt;&gt;&gt;09108 Metabolism of cofactors and vitamins&gt;&gt;&gt;00860 Porphyrin metabolism [PATH:ko00860]|Enzymes&gt;&gt;&gt;4. Lyases&gt;&gt;&gt;4.99  Other lyases&gt;&gt;&gt;4.99.1  Sole sub-subclass for lyases that do not belong in the other subclasses&gt;&gt;&gt;4.99.1.3  sirohydrochlorin cobaltochelatase</t>
  </si>
  <si>
    <t>MVALITLGHGSRHGDAPRGVDTLAAAAGDLLGVPAHAAYLDLNEPLLIDATCALAATHHHAVVVPLLFTRAYHSRVDVPSAVAEAHAASGLNLTLAHGLGVGQDMAQLLAWRVRRDAPTDADIALYSVGTSCDDANRSVVNLADDVAELTGRWVWAVAATRGITIGDVAAQSNKLHILPLFVTAGLLLDKVDIRASHVTVSPPLGSDLAGIVAARYRDCVTVPA</t>
  </si>
  <si>
    <t>MVALITLGHGSRHGDAPRGVDTLAAAAGDLLGVPAHAAYLDLNEPLLIDAARALAATHHHAVVVPLLFTRAYHSRVDVPSAVAEAHAASGLNLTLAHGLGVGQDMAQLLAWRVRRDAPTDADIALYSVGTSCDDANRSVANLADDVAELTGRRVWAVAATRGTTIGDVAAQSNKLHILPLFVTAGLLLDKVDIRAPHVTVSPPLGSDLAGIVAARYRDCVPVPA</t>
  </si>
  <si>
    <t>GC_00002615</t>
  </si>
  <si>
    <t>MGSPRYGLAFIEIDSGDRSINSAELQHVLSMLVLTYLDSSNCINIRPSFGGGLVATMHLPTAIIDIINTNIDYVRRTARLPADFSLEQLDLLRMVALFGGPDTHIQFNTTLYPAQPLDQHYCDCVDRARATLVTNTIGSLQGELYSYLGRDHVMAVGLELANRDVIEIDYDPYAFPTFSVAIEGIVNLHGIIQTHPDSGRPMRIKLRRFNLVQ</t>
  </si>
  <si>
    <t>MGSPRYGLAFIEIDSGDRSINSAELQHVLSMLVLTYLDSSNCINIRPSFGGGLVATMHLPTAIIDIINTNIDYVRRTARLPADFSLEQLDLLRMVALFGGPDTHIKFNTTLYPAQPLDQHYCDCVDRARATLVTNTIGSLQGELYSYLGRDHVMAVGLELANRDVIEIDYDPYAFPTFSVAIEGIVNLHGIIQTHPDSGRPMRIKLRRFNLVQ</t>
  </si>
  <si>
    <t>GC_00002616</t>
  </si>
  <si>
    <t>MKKSFAAQIPASVLAILSLLGFAAGWIVTRFQAAMKDFHIDMEVYRAGGRAILDNTPLYDHWFQAGNIQLPFTYPPFGALILTPLSMFDFMDSQDSSVAMIYFSSLLMLLCLFLVARTLLGTLIDAPNALGFTLATAIWPLAMLTEPLWKNAVYTQVNVLIMTLILLDLLPRKRRIPQGWLIGIAAAIKLTPAVMLLVFLVRKDWRSIITAAVSAVGATAFAALIRPKDTWAYFTSVLYDVNRIGDVGYATNGSFKGAITRFWPSKQAALEAGTLINILWLACSLVAIAAAYVAIRALLQHGLLVDAVMVNAALMLLISPISWSHHWVWMPLWALVLVWRWWHTNDRPVVLLVGAAVLAALTLYTPPHWWFGDYFGVEYTFAVWKKFLVMDFTWYAMFFIGVVWWAARRTPVPSSADEGANSAD</t>
  </si>
  <si>
    <t>MKKSFAAQIPASVLAILSLLGFAAGWIVTRFQAAMEDFHIDMEVYRAGGRAILDNTPLYDHWFQAGNIQLPFTYPPFGALILTPLSMFDFMDSQDSSVAMIYFSSLLMLLCLFLVARTLLGTLIDAPNALGFTLATAIWPLAMLTEPLWKNAVYTQVNVLIMTLILLDLLPRKRRIPQGWLIGIAAAIKLTPAVMLLVFLVRKDWRSIITAAASAVGATAFAALIRPKDTWAYFTSVLYDVNRIGDVGYATNGSFKGAITRFWPSKQAALEAGTLINILWLACSLVAIAAAYVAIRALLQHGLLVDAVMVNAALMLLISPISWSHHWVWMPLWALVLVWRWWHTNDRPVVLLVGAVVLAALTLYTPPHWWFGDYFGVEYTFAVWKKFLVMDFTWYAMFFIGVVWWAARRTPVPSSADEGANSAD</t>
  </si>
  <si>
    <t>GC_00002617</t>
  </si>
  <si>
    <t>COG3177</t>
  </si>
  <si>
    <t>Fic family protein (PDB:3CUC)</t>
  </si>
  <si>
    <t>MDPLAHIAAHPTIASLIDAATADLQALHRHPATARGSGVTSSEGVLRGARLAALLGNAPETQLVDAYSVLAPDVREQTARTFIKAPLQVLARLDVLVGGPGRPRDERAAGRLALLGKIVAAGPHQAVIPAVVQGEIIAHELFGPRSVAVGLAAARVSAVASGFDPRGLAVPEVHYNRHRSELAALGAGFGQPAGVVPFVAYYLAAMRAGVVEARGIANAAQQSGVGGPACGRR</t>
  </si>
  <si>
    <t>MDPLAHIAAHPTIASLIDAATANLQALHRHPATARGSGVTSSEGVLRGARLAALLGNAPETQLVDAYSVLAPDVREQTARTFIKAPLQVLARLDVLVGGSGRPRDGRAAGRLALLGRIVAAGPHQAVIPAVVQGEIIAHELFGPRSVAVGLAAARVSALASGFDPRGLAVPEVYYNRHRSELLALGAGFAQPAGVVPFVAYYLAAMRAGVVEARGIANAAQQSGVGGPACGRR</t>
  </si>
  <si>
    <t>GC_00002618</t>
  </si>
  <si>
    <t>MIADDLAAFLARREPIFHNPEVIWDEASFDAEIASDFREIGASGSCYERQAIKDVVLGRLAGTHEDSLADDFRMHDVEVIQLRHRLLASSFPPRNSGSRLSPRQVFTNRRTNPHNHRIACRLWHGDGYLGLAV</t>
  </si>
  <si>
    <t>MIADDLAAFLARREPIFHNPEVIWDEASFDAEIASDFREIGASGSCYERQAIKDVVLGRLAGTHEDSLADDFRMHDVEVIQLRHRLLASSFPPRNSGSRLSPRQVFTNRRTNPHNHRIACGLWHGDGYLGLAV</t>
  </si>
  <si>
    <t>GC_00002619</t>
  </si>
  <si>
    <t>MSPTNVSHAVDRAIARAVAGQPQYAPCVDDSLGAAVPAEMLASDPVVRRGIALGRQTYKLHEDRFGAHMWLFSLTWSVVAPSVAAMVLTEEIPDLDLSSGLVFHRDEGEGYWFGFRPGRRAESYAASGRHAGESFAPIIATLCRVVKMRPAPLWAVVADGMVQPAVGAGNEHFEQDRAIMVASEIHQGLQQVADVRLPPLRFEQVCDDQVVPVRPGDAEPDYLVVHRSSCCMVFHGDDAGYCAPCPHVPKKKRIAGIIAAASQY</t>
  </si>
  <si>
    <t>MSPTNVSHAVDRAIARAVAGQPQYAPCVDESLGAALSAEMLASDQVVRRGIATGRQTYKLHEDRFGAHMWLFSLTWSVVAPSVVAMVLTEEIPDLDLSSGLVFQRDEGEGYWFGFRPGQRAESYVASGRHAGESFAPIIATLCRVAKVRPAPLWAVVADGMVQPAVGAGNEHFEQDRAIAVASEIHQGLQQVADVRLPPLRFEQVCDDQVVPVRPGDVEPDYLVVHRSSCCMVFHGDDAGYCAPCPHVPKKKRIAGIIAAASQY</t>
  </si>
  <si>
    <t>GC_00002620</t>
  </si>
  <si>
    <t>PF19890.4</t>
  </si>
  <si>
    <t>Domain of unknown function (DUF6363)</t>
  </si>
  <si>
    <t>K07001</t>
  </si>
  <si>
    <t>NTE family protein</t>
  </si>
  <si>
    <t>COG4667</t>
  </si>
  <si>
    <t>Predicted phospholipase, patatin/cPLA2 family (YjjU)</t>
  </si>
  <si>
    <t>MRFSDTALVIEGGGMRNSYTGAVVEKLMREGIEFGWVGGVSAGASHTANFLAGDPLRTRESFVSIGANPRTGGWGSFVRGRGYFDSTYIYHEAPLRTFEHSGGRIAAFDFPAFLRNPTPFSIGAFHVDTGSMTWWNRDHTSTIDALMLRVRASSTMPGFMIMPHVDGELYADGALGPSGGIPIDAAEAAGFRRFLVIMSRPRAYTKGKATPAGILRQVFRTHPAIADALIARPDHYNATRARLLDLERGGNAYLFFAENMSVENRERNLHKLQESYRAGREQAEREWPAIREFLGEPD</t>
  </si>
  <si>
    <t>MRFSDTALVIEGGGMRNSYTGAVVEKLMREGIEFGWVGGVSAGASHTANFLAGDPLRTRESFVSIGANPRTGGWGSFVRGRGYFDSNYIYHEAPLRTFEHSGGRIAAFDFPTFLRNPTPFSIGAFHVDTGSMTWWNRDHTSTIDALMLRVRASSTMPGFMIMPHVDGELYADGALGPSGGIPIDAAEAAGFRRFLVIMSRPRAYTKGKATPAGILRRVFRTHPAIADALIARPDHYNATRARLLELERGGNAYLFFAENMSVENRERNLHKLQESYRAGREQAEREWPAIREFLGEPD</t>
  </si>
  <si>
    <t>GC_00002621</t>
  </si>
  <si>
    <t>MIDGIYDVAFRCTRDARWEAYALSHSAYGFGDTLAEARKDITEALALLVEQPENRIRINEYHERLISAADEHHADVWLRVHHDADPNHVLSRREIVDKLQNEPDAWGSFDNGLSLNGDIIVLACLPDDILGDVFAQVASAHRLYLAVPYPNRLCLRRMHTNEATGRTPESEINIASFNLGAGSTVDDFIRVTSADHNHDATREEYLVA</t>
  </si>
  <si>
    <t>MIDGIYDVAFRYTRDARWEAYALSHSAYGFGDTLAEARKDITEALALLVEQPENRIRLNEYHERLISAADEHHADVWLRVHHDADPNCALSRREIVGKLQNEPDAWGSFDNGLSLNGDIIVLACLPDDILGDVFAQVASAHRLYLAVPYPNRLCLRRMHTNEATGRTPESEINIASFNLGAGSTVDDFIRVTSADHNHDATREEYLVA</t>
  </si>
  <si>
    <t>GC_00002622</t>
  </si>
  <si>
    <t>COG3766</t>
  </si>
  <si>
    <t>Uncharacterized membrane protein YjfL, UPF0719 family (YjfL)</t>
  </si>
  <si>
    <t>MDVFAEVVSTLAYFALAGVMLVLGFVVLDLLTPGKLHRLVFVDHLPNAGFIAAAQQIATGIVVATAVHSSVSELGLGKGLIEAGVFGLLGIALQAAALVAMELAIPGRFRDIVEDKKLRAGAIVASVSLVMVGVVNAACLT</t>
  </si>
  <si>
    <t>MDVFAEVVSTLAYFALAGVMLVLGFVVLDLLTPGKLHRLVFVDHLPNAGFIAAAQQIATGIVVATAVHSSASELGLGKGLIEAGVFGLLGIALQAAALVAMELAIPGRFRDIVEDKKLRAGAIVASVSLVMVGVVNAACLT</t>
  </si>
  <si>
    <t>GC_00002623</t>
  </si>
  <si>
    <t>MFLTAPLSLSDVVADGFLTQAGFDDALKQRGTVTKTEFNPRLDGYEVVLTTDDSKTHVFSSHTVAYIDQGRTTWKWKDEPQFRFLGTWPSDDMIKAARTLAGNGPCFLVPQPDGSFDVAVLDADQLPKLHVHTALCVGLANMPATMELERALTAFGATNNIGMTTADDKVTFDEGTVVDLATRRVVSSLTFANVVADAFYFSTEHQMYFEGRYPGAPVMFNPVTNSVIVADSFAAHGLIVGRIKDGVWQWEHNASLRKFALDYAILEFLRDRTPVAEAAARGFDCATKRILKHWTHVFVRLDDDTTALVIMDAHQLRLPPASPEATLAVMATPLPEGVDKQRAKISYHQLRNS</t>
  </si>
  <si>
    <t>MFLTAPLSLSDVVADGFLTQAGFDDALKQRGTVTKTEFNPRLDGYEVVLTTDDSKTHVFSSHTVAYIDQGRTTWKWKDEPQFRFLGTWPSDDMIKAARTLAGNGPCFLVPQPDGSFDVAVLDADQLPKLHVHTALCVGLANMPATMELERALTAFGATNNIGMTTTDDKVTFDEGTVVDLATRRVVSSLTFANVVADAFYFSTEHQMYFEGRYPGAPVMFNPVTNSVIVADSFAAHGLIVGRIKDGVWQWEHNASLRKFALDYAILEFLRDRTPVAEAAARGFDCATKRILKHWTHVFVRLDDDTTALVIMDAHQLRLPPASPEATLAVMATPLPEGVDKQRAKISYHQLRNS</t>
  </si>
  <si>
    <t>GC_00002624</t>
  </si>
  <si>
    <t>PF01326.24</t>
  </si>
  <si>
    <t>Pyruvate phosphate dikinase, AMP/ATP-binding domain</t>
  </si>
  <si>
    <t>K22579</t>
  </si>
  <si>
    <t>rifampicin phosphotransferase [EC:2.7.9.6]</t>
  </si>
  <si>
    <t>COG0574</t>
  </si>
  <si>
    <t>Phosphoenolpyruvate synthase/pyruvate phosphate dikinase (PpsA) (PDB:5HV6)</t>
  </si>
  <si>
    <t>KEGG Orthology (KO)&gt;&gt;&gt;09190 Not Included in Pathway or Brite&gt;&gt;&gt;09191 Unclassified: metabolism&gt;&gt;&gt;99980 Enzymes with EC numbers|Enzymes&gt;&gt;&gt;2. Transferases&gt;&gt;&gt;2.7  Transferring phosphorus-containing groups&gt;&gt;&gt;2.7.9  Phosphotransferases with paired acceptors&gt;&gt;&gt;2.7.9.6  rifampicin phosphotransferase</t>
  </si>
  <si>
    <t>MIRWFKDVGSDHLALVGGKGANLGECAAAGFPVPPGFIIDTSAYTTATESIQAELIAAVDKQDIEQAQQLVRSVTIPADLRVEVEQAYAALGDGARVAVRSSATAEDLAEASFAGQQDSYLGITGVDALWDAVCSCWASLWNERAVSYRRKHGVPSEGLALAVVVQTMISSDVSGVLFTRNPMADNTDMMISAAYGLGESVVAALVTPDTFTVTREPVTVASRTIGSKETRIDMADGAATVTTPVPLEDQALPCLDEQAIQQLVALGHLVEEHYDAPQDIEWAFADGELYLLQARPITTVASTDATSVEGHSPARSRVERTLRDDLMEHYPAPYPLDLVAVHALQESIQDSMRMIGLNAPSAHEIIVGDDDGVIRIHAQAPRPDVAVVSRLPRTFVKGMRHDPTRWPVEEKEVQEDLARLAHRAAACGDASDTEVVVLLEQILAQAARLMSDRFLYYLAPMTVLRSKAKALIRLARQSDHVSTEDLYEDLDYVTANVLAGIRDLTATAQESGLADVFTKTPPEQIEQALQSAPDSARFLAEVDAFLQRHGARTACMYVPFSHTSWRETPQSLYELIAVSLRGQQASGSAVTGSAVATVEKHLPRLLHGSWRTTVEKLRALHVGREGTLYVIEEVLVLARTAMRELARRLVDRGVLETADDIRYLYFHEVTDALRDGVSRGEVVERRRRQRGTAEAVWWDRGESTSDADAITGVPGSPGQVVGTARIIRTPADFGRLQPGDILVCPFTDPTWTPLFDVASAVVADIGGPLSHAAIVAREYGIPAVLGTGDATLRIKDGEKIMVDGRKGSVVGVG</t>
  </si>
  <si>
    <t>M00173|M00374|M00614</t>
  </si>
  <si>
    <t>Reductive citrate cycle (Arnon-Buchanan cycle)|Dicarboxylate-hydroxybutyrate cycle|Anoxygenic photosynthesis in green sulfur bacteria</t>
  </si>
  <si>
    <t>Pathway modules; Energy metabolism; Carbon fixation|Pathway modules; Energy metabolism; Carbon fixation|Signature modules; Module set; Metabolic capacity</t>
  </si>
  <si>
    <t>KEGG Orthology (KO)&gt;&gt;&gt;09100 Metabolism&gt;&gt;&gt;09101 Carbohydrate metabolism&gt;&gt;&gt;00010 Glycolysis / Gluconeogenesis [PATH:ko00010]|KEGG Orthology (KO)&gt;&gt;&gt;09100 Metabolism&gt;&gt;&gt;09101 Carbohydrate metabolism&gt;&gt;&gt;00620 Pyruvate metabolism [PATH:ko00620]|KEGG Orthology (KO)&gt;&gt;&gt;09100 Metabolism&gt;&gt;&gt;09102 Energy metabolism&gt;&gt;&gt;00720 Other carbon fixation pathways [PATH:ko00720]|KEGG Orthology (KO)&gt;&gt;&gt;09100 Metabolism&gt;&gt;&gt;09102 Energy metabolism&gt;&gt;&gt;00680 Methane metabolism [PATH:ko00680]|Enzymes&gt;&gt;&gt;2. Transferases&gt;&gt;&gt;2.7  Transferring phosphorus-containing groups&gt;&gt;&gt;2.7.9  Phosphotransferases with paired acceptors&gt;&gt;&gt;2.7.9.2  pyruvate, water dikinase</t>
  </si>
  <si>
    <t>MIHWFKDIGSDHLALVGGKGANLGECATAGFPVPPGFIIDTSAYTTATESIQTELIAAVDKQDIEQAQQLVRSVTIPAELRVEVEQAYAGLGDRARVAVRSSATAEDLAEASFAGQQDSYLGITGVDALWDAVRRCWASLWNERAVSYRRKHGVPSEGLALAVVVQTMISSDVSGVLFTRNPMADNTDMMISAAYGLGESVVAALVTPDTFTVTREPVTVASRTIGSKETRIDMADGAATITTPVPLEDQALPCLDEQAIQQLVALGQLVEEHYDAPQDIEWAFADGELYLLQARPITTVASTDAASMEGHSPARSRVERTLRDDLMEHYPAPYPLDLVAVHALQESIQDSMRMIGLNAPSAHEIIVGDDDGVIRIHAQAPRPDAAVASRLPRTFVKGMRHDPTRWPAEEKEVQEDLARLARRAAACGDASDTEVVVLLEQILAQAARLMSDRFLYYLAPMTVLRSKAKALIRLARQSDHVSTEDLYEDLDYVTANVLAGIRDLTATAQESGLADVFTKTPPEQIEDALKSAQGSTRFLAEVDAFLQRRGARTACMYVPFSHTSWRETPQSLYELIAVSLRGQQASGSAVTGSAVATVEKHLPRLLHGSWRTTVEKLRALHVGREGTLYVIEEVLVLARTAMRELARRLVDRGVLETADDIRYLYFHEVTDALRDGVSRGEVVERRRRQRGTAEAVWWDRGESTSDVDAITGVPGSPGQVVGTARIIRTPADFGRLQPGDILVCPFTDPTWTPLFDVASAVVADIGGPLSHAAIVAREYGIPAVLGTGDATLRIKDGEKIMVDGRKGSVVGVG</t>
  </si>
  <si>
    <t>GC_00002625</t>
  </si>
  <si>
    <t>MADMGRVNNHIDYVEFPAKDIGELKKVKEFFGEVFDWSYTMYGDDYADTSDSEMRSGINAENPTPTPLTVIYVSDLQEAYNKVKIAGGTITKEIFDFQGGKRFHFQDPAGNNLAAWSE</t>
  </si>
  <si>
    <t>MADMGRVNNHIDYVEFPAKDIGELEKVKEFFGEVFDWSYTMYGDDYADTSDSGMGSGINAENPTPTPLTVIYVSDLQEAYNKVKIAGGAITKEIFDFPGGKRFHFQDPAGNNLAAWSE</t>
  </si>
  <si>
    <t>GC_00002626</t>
  </si>
  <si>
    <t>MNGAIFNQTVEILRAGTKRSRYSSETVPDWSNPTVIPVEFPVSVQPVGTTEDGVLRPTVDQSWRMYTPPGTDLDIRASDRVRLGGVLVMAVDGAPARWPDPNNPGSVHHVEVGLKHVVG</t>
  </si>
  <si>
    <t>GC_00002627</t>
  </si>
  <si>
    <t>MTTRTIVVAGGSSGIGLAVAQKAVVDGWRTIIVDRQEPTEPVDATFFHCDLLDNDSAHQVLDGIVRDQERIDALVISAGGAMNGRLESKTMEEWDNYYSNDTLLVLRTTRILLPRLRETAERYGIADIVVMGSIAGTTAFEDAAVYGSISAARNALGEQLRLELRGERIRARTIATGYVETPLTKRMSMNAVTEQMGQDPLRPRDIAEIVHHGINLPPEVTVHNIVVVPTKQGWA</t>
  </si>
  <si>
    <t>MTTRTIVVAGGSSGIGLAVAQKAVADGWRTIIVDRQEPIEPVDATFFHCDLLDNDSAHQVLDGIVRDQERIDALVISAGGAMNGRLESKTMEEWDDYYSNDTLLVLRTTRILLPRLRETAERYGIADIVVMGSIAGTTAFEDAAVYGSISAARNALGEQLRLELRGERIRARTIATGYVETPLTKRMSMNAVTEQMGQDPLRPRDIAEIVHHGINLPPEVTVHNIVVVPTKQGWA</t>
  </si>
  <si>
    <t>GC_00002628</t>
  </si>
  <si>
    <t>I|Q</t>
  </si>
  <si>
    <t>Lipid transport and metabolism|Secondary metabolites biosynthesis, transport and catabolism</t>
  </si>
  <si>
    <t>COG0236|COG1020</t>
  </si>
  <si>
    <t>Acyl carrier protein (AcpP) (PDB:1ACP)|EntF, seryl-AMP synthase component  of non-ribosomal peptide synthetase (EntF) (PDB:5ES5)</t>
  </si>
  <si>
    <t>---------MGDSGTVTDQRILGRLIANAGAAGMLTWAFPIPEDAATQARIRDAIIAVAQHRPDLRTTVSA-----------------------DDTGGLQRTVLTADTVVTPSSDSAEPTEVDALAATPIDPTSEPPLRARFLHTPDGTMLVVSTHHVAADEHTWVLLLRDINAEIASPGALSAQPTPPRSDATTAQVATATERRLTAVRPATHDVDGEPTPQPDPFAAERTTTADNTADRITLPVPQDWVQAV</t>
  </si>
  <si>
    <t>MADQAANTQVGDSGTVTDQRILGRLIANAGAAGMLTWAFPIPEDAATQARIRDAIIAVAQHRPDLRTTVSADDTGGLQRTVLTADTVVTPSSDSDDTGGLQRTVLTADTVVTPSSDSTEPTEVDALAATPIDPTSEPPLRARFLHTPDGTMLVVSTHHVAADEHTWVLLLRDINAEIASPGVLFAQPTPPRSDATTAQVTSATERRLAAVRPTTHDVDGEATPQPDPFAAERTTTADNTADRITLPVPQDWVQAVQDRAHADNTTVLSVLIDAAAHVIARRAGAAHDATVVVGTPTDVRDALGADAAESDGDRVSVVPCPIPVGSSLSDVAAAVRAASADRCAGLDDVIRAAGFPHIPGRSPLVDVVVTHRAGTRDLVIDGEPSVGVFVHSGAAPFDAVLSLEESEQGAQLTLEFRHAALRPTTAQRVLEEWRDAAIRPAQSTEVPDLPEVATTTQDVVRAVASHAAATPDAVAVEDGTTTLTYAQLNASAATLAKHITAQGAQPGDVMALRLSRGVGIPVALLAALRAGTPFVAIDPNHPAERSRMILDAANPALIIDDSDVATVLASPVDAPQVPDWSQAHPAYLVFTSGTTGTPKGIVIPRSGLDAVLGSMQDTLQLTADDTYLAASTLGFDISIVENLLPLLAGATVHVAPADFSIDIDAACALLHRVRPTVMEATPSLWAEIVHQDPQAVRGIRACAGGEALPHTLVTTLRAAGADVFNLYGPSEAAIVATSHHVTGNGTPPLGTTLPSVGGDVLGAALTATPDGALGELYLSGPHLGYGYLGDPALTALTFVAAPGGQRRYRTGDLVARDVDTRDLMYLGRADEQLSLHGLRIERGEIEAALAAAPGVTAAVVRVDTTAETPTIIGYVVLTDAQDDSVTAIQAAVADALPSAARPNAIVVVNEFPRTPTGKIDRARLPLPEDTGSHQHRVADTPEEHAVVQAVQDVLELDNTPSIDADFRALGGHSLLAHRLALTLSTALGVHVPVRAVIEEPTLVALAEACANLRDADATDITEQPEPPQDAEPEDGPIEALAGQRRVILAEQLDGENGLYTIPLFATVTGTIDTERLSAALTSVVAAHPVLRSRLSIDDAGIINATLLSPEEALAQPIAVHQRTTTPGSLATFLDELVRTPFPATSDQPLQAYVVQVAEQGNNKDTASTVLALLFHHAFFDEWSLQPFFTDLARAYDNADALNTHNGPSFHRIHAIASTTNPADVDFWSLRQRDTAPGAPAPLPFSRAAAVSAGAAGTALGGRGPAIHRTVTIPAIAAASPDPTLKATAGDVVKAAVLLFLERAGADPAVGIPVSGRHHPELLDVVGYLGNTLPVTVDHAGDAAVSFSHDLDTRKLIEAVHHEVLDVAEHSSIPIEELSGTAPFQVIVDHRVGAPQVPATADWSSELLPVVPPLPKFPVTIVHTELPEVDGITTHRIDVLFSGDYFEQRGADAFVEALQHTIMGVAQAHATPQGQSDTS-TLGAIALSPGTHSTETRSTEPETAGERGVDTQTDTQPDLRDMTIPELIDRQLTEHQDEPMLSTVGVTLTGAEVQQHTRGLAARISAAYDGITAGRMVAIHQPTRFDEVLTILGVMASGAAFTVLRPDDPADRLAAILADANVSLIISSDPDKLPAGHPPVLPDSQDSLGISQELDTPAPQRNPNYPAYMVFTSGTTGRPKGVLVDQRAMSGLTGLIFDLLSATSSTDPNNAAFRPRLVSIAPMSFDVGLLEVIATFCTGGHLYVAHDMERVGPPLAEAVRRHRATHFASTPTVLGFLGDPSSISEDVQVFSGAEPLPADLAERWCARHRLINLYGPTEVTVNAIHGFITPDPTSSAIPIGVADPHVTAVVLDSALQPTPIGMVGELWLAGDKLAVGYPAMPGTTASVFVAAPDHLGLPPGSRMYRTGDLAVLRPDGQFLCLGRVDDQMKIRGLRIEPAEIETALRADSRVDGARVVHVPGSRIGSDRDILAAAVVPTEGTLSAASLADIRHQLASQLPRHLVPQRIVQVPGLPVTPNGKADRATTLLMVLDALSKAPDEVETSSTEQASHAEPAAEPAAPVSPQFQALAEEVAILLDTDPRSIREDDDFLELGGDSILALQLIAKLKDRGWVTAARDIFDARTLGDLALALTPADGTSGTDDAETEPIVPIEPPSDLGTFAPIRVAAEHLADAPDSVFAQSMLLTMLEPVSGHGSALVDALVARHPAFRTRVTDTGECETLAEGQSYFDTETTTLTGDTATEDLTQLRHRLAENLDVRAGVLLAGAEVSTDSGPMLLLVAHHMAVDAASWMQIIGDMRQMVIATMSGRELPEPEGTSPRAGSLMVRGADAPPQPELRARIAAGEVSPDDVAATAAVDTFTVAGDTADELIERHGHGGTLRDALMSALAQAVRATDPWGPHLVTLDVEDHGRDDVIDPRSVGWWTQVFTVVDDGDSLRELPPAQRGIAAGERSDILFNHLGGMFTTGEDSSPVGFVPSPVPELPALDTVVGDDVPLRNPLSVTSVVTAEQAIQVTFIRGTRLVSEETARQLREEFLAALERQVGAQGGDARGVDTRAQTYTLPVTPTQEGMFYLEEQGDPGVAAYLTRMTFTLDGALDSERVLQAWSRLADCHPILRAYFTRNADGSVVATVDPALELDARYDEAFTEADMLRPFDVTAGPLTRLRMKQVDTAHADAPQRHVVDVVFHHIVADGWSAPLLIRDFFTLMDPDQDLVVVDPLPSLLAVRQSTSPLSAWRKPLRAAQPTMLAAGGRDQGTRTELRLTFDATTSEALTTTAQREHVTVAALIHGAWARVLSELTGQTRVTFGSVVSGRPLDAPGAQEAVGLYATTIPVAVTADSPVDAARSASQLLLLGAENPPSLADAQRLVEHGETSGADAPGDLFDSLMVVENYPLDQAALLAPLDGVAVSDLSFQDGTHYPVMVVAHSADRQVSLRIAVADGVELVGGATTDDLLAHLERHLRSIAGLPLLADQVEGLPMVSATQRLSAADTDDIINTYAWALRDRGVGPGDTVAVALPRGVEQVCATLAVWLVGAATMPIEVNSTGIMTARAAAIVGRANPTVVVDSALLAELAATDSASRRFTPADRTRRLTRDDAAYIIHTSGTTGVPKGVVVPWQVMEDLIHWQTATGIIPSGATLAHYAPDQFDVSMQELLTAVGGRHALVVVAEEQRQDMSALARFLDSQGVDVLFATNVVLNALAREYARSGKPSVSVLVQAGEALQPGEDLRAWCSSPDGPALYNQYGPTETHVVLATGNLSADSAALAAPSLGTPLPHVQALVLDEQLQPVPDGEPGELYIAGALASGYLDDPELTAERFPAGIGSVLRCHRTGDVVVKNPDGSFEYRGRADDQMKIRGVRIAPAEVVAIAQAVAGVAEAAACEVDGVLCLAVVAGADTPDAVIADDVREQYAQLVGGGDPAGNNALVPERVLVVPELPVTANGKTDIRMLHSWFRDGAPSGQETSSTATPGAAAGAVSVGVSTSVDLVASIMADVLAEQNSEPTRVHPDDDFLALGGQSLSGTRLSGRLSSALGTPVSLRTILEHRTPRAIAEAVAAGDTDTGFTPEEFAEHYTQHTPTPGVPAPATPAQRRFWALAKVNPGDITYHLPLMVRLTPEEQGDADSLDARTMAGHVQRGVERLVRRHESLRTLLSGDVDGPQQVVLPADEAAHRLTITVLADEAELLRHRATPFRLDQDVPIRAAVCPDGDSVLLSLVIHHSACDGWSLPLLMADLEAAWTHAEEAADTTIVEPAPSPTGIIATWQDAWESSGQEARDREYWQEQLADVPCPLPLPLDRPRNPEGATKGMLASYALSDAEVQAVYEAARTLDATPFMVVHAAVAAVLSRLGCGEDIALATPVSGRHGGMDEAAVGCFVNLLVLRTSLAGNPDFRELVDRIRTTNLQAAEHGGMPFDVLVRELAAGGSKAHHPLATVGIGLQNLPSAFPAPDGVTATILPDNPEVSRFDMNVDVFLGSDDPSTDLPAQLAIEFDSALFDEATIARIARRIKRVLLTAAATPDTRLHDLPVLLDDERAHLRTTHGTVAQPTEAIRQLVRGVPTVGSVLAADGSWLSAKQLEQRVTAVARLLVAHGVKPGDVVSILCQRTVGQLVAQLAVLRTGAAYAPILPDTPAERLAAQFAQCGVRVALCSNTAGLEVPDSVTLVSIGDDAASIIGEAPEVDLPAAESIPADAPAYVLFTSGSTGTPKGVLVSRANLEALLAATNDSVPLADTDVLLALSPFCFDVTGWEYLAPMAAGARLIIANDLQYRDPRAIVTLMAEHGVTCCEATPGLWSLIAEAAADELRGVRAVISGEDLPQTVATAVADAGAQVWNLYGPTEATVFATAGEQNAGPVDIGLPLPGVEIRVLDDYLVPVADGALGDLYLVGSQIAFGYVGRADLTAASFVADPQGTGRVMYRTGDQVRRHADGRLTYWGRRDQQIQLRGHRVEIGEVVSALLSLPEVAKAAAKVLERGTAKTLVGYVVLEDNSEGTAPDESTLLLALRRILPDYSVPAQLVFLPDMPLTDNGKVNVAALPDPEPEEWQEPETETEKLLAGIVAELLGSDELPGRNQGFISLGGDSITAIRLAARAAEQGLPITIQDVLVAPTIHELGAIADSRPRQSDTTAETASEDHAMGDLSGLSSDDLSRVLGAFGDDSE</t>
  </si>
  <si>
    <t>GC_00002629</t>
  </si>
  <si>
    <t>MKADTRGFVIFTTVGCIAAGGVGYAVWQSTSPDAQKASDRSSIPSTTSSSSTKTTSSSSDIPAPPTAVASPLMGDPLLPPNAFVPRDTPEVAPTKLYRPQAQASRNFAEPNPLNTPGAPGPVRGKTTPRNNNPDNNPANPGQPNTGGGNTHRRPDTQERGDNNVPAPSLAGPSTNTRPTPGSGNDNFIEEESPSTGNSGNDTSSQEPSAIPSRPHSPNQLPGQHLPSYPSPQGNGQQSGQSPATASNTPTPSDLTSGEHTSTGQQKTREFNGMGGPDVPIDASGSNTSGTQQSSDNTAETATQNEQPTQQGSAGTQSQQSEQAAPSSYSPADQAAANENNTTTVHGQDSMPNATSFSTTYSAEPTDSASTE</t>
  </si>
  <si>
    <t>MKADTRGFVIFTTVGCIAAGGVGYAVWQSTSPDAQKASDRSSIPSTTSSSSTKTTSSSSDIPAPPTAVASPLMGDPLLPPNAFVPRDTPEVAPTKLYRPQAQASRNFAEPNPLNAPGAPGPVRGGTTPRNNNPDNNPANPGQPNTGGGNTHRRPDTQERGDNNVPAPSLAGPSTNTRPTPGSGNDNFIEEESPSTGNSGNDTSSQEPSAIPSRPHSPNQLPGQHLPSYPSPQGNGQQSGQSPDTASNTPTPSDLTSGEHTSTGQQKTREFNGMGGPDVPIDASGSNTSGTQQSSDNTAETATQNEQPTQQGSAGTQSQQSEQAAPSSYSPADQAAASENNTTTVHGQDSMPNATSFSTTYSAEPTDSASTE</t>
  </si>
  <si>
    <t>GC_00002630</t>
  </si>
  <si>
    <t>MSNHAEKVQYILDNLEELDGWDSPADTYLQSFWSIPDEIPRAALAAEKYDPAMIYYHAAADVRDELLSRYDAANDPRMQALILECLVMQGDEVVATTFGPNNFTYEAGWVVGSDGQPHELVFDTAYAVSPGVGVKVGIPCSERCGTCGSELTILFLFDGTDLRLQHVKINHTITVMACMNCLFYVEALYTRFTACGDAELIQPYGTMYADTAQMVSTEGDKAHHKKFCDELSRVELQLSEQPVPPFSASCPWSGSTVGGFPGWIQCPQYPTCPDCGRDMMFFAQLQWGILVDWMDGTLYVHLCPSCGMSSVLHQQS</t>
  </si>
  <si>
    <t>MSNHAEKVQYILDNLEELDGWDSPADTYLQSFWSIPDEIPRAALAAEKYDPAMIYYHAAADVRDELLSRYDAANDPRMQALILECLVMQGDEVVATTFGPNNFTYEAGWVVGSDGQPHELVFDTAYAVSPGVGVKVGIPCSERCDTCGSELTILFLFDGTDLRLQHVKINHTITVMACMNCLFYVEALYTRFTACGDAELIQPYGTMYVDTAQMVSTEEDKAHHKKFCDELSRVELQLSEQPVPPFSASCPWSGSTVGGFPGWIQCPQYPTCPDCGRDMMFFAQLQWGILVDWMDGTLYVHLCPSCGMSSVLHQQS</t>
  </si>
  <si>
    <t>GC_00002631</t>
  </si>
  <si>
    <t>MEKHHGATGAHTTNGIPHGSTSLTPFLTIPQAREAIAFYESVFGVRIVSIVEANGTVMHAELDFGKGKLQVADPNPQYHTVAPPAGEDCCYSLALYCPDVDNVVNRAVDHGATIREPLTTFVSGDRYASMCDPFGVRWTILTRVEDLGEEESARRVNEWAAEQG</t>
  </si>
  <si>
    <t>MEKHNGATGAHTTNGIPHGSTSLTPFLTIPHAREAIAFYESVFGVRIVSIVEANGAVMHAELDFGKGKLQVADPSPQYHTVAPPAGEDYCYSLALYCPDVDNVVNRAVDHGATIREPLTTFVSGDRYASMCDPFGVRWTILTRVEDLGEEESARRVNEWAAEQG</t>
  </si>
  <si>
    <t>GC_00002632</t>
  </si>
  <si>
    <t>MAQAKARVRAQVRAARTALSPEARAERDAAVVAAVTTLVQDRGWSRVAAYAPMAREPGGSLLVPALARLTTELWLPACRPGRMLRWGRYAGPGSVCAGMWGILEPRDAPQESDFLGSLDGVFVPAIAVDDQGFRLGQGAGFYDRALAGCAAPTVAVVYASEIMPAPHEPHDVMLDIIVSDG</t>
  </si>
  <si>
    <t>GC_00002633</t>
  </si>
  <si>
    <t>MRALPTPAKVAIVGGLSAALLGTGAAMAWAQNSSTDAKSTTSSQSVHHDDASVALDSTKAREDLGSRLDKAVTDGKITSKDKDAVLKAFDAGVLGGEEIAIEFSDGGDGNVNDSTKTREDLTSRLDKAVTDGKITSKDKDAVLKAFNADVFGGEEMAIEIGEGGHGPFGGFRDDSK</t>
  </si>
  <si>
    <t>PF17944.6</t>
  </si>
  <si>
    <t>Arginine decarboxylase C-terminal helical extension</t>
  </si>
  <si>
    <t>MRALPTPAKVAIVGGLSAALLGTGAAMAWAQNSSTDAKSTTSSQSVHHDEASVALDSTKSREDLSSRLDKAVTDGKITSKDKDAVLKAFDAGVLGGEEISIEFSDGGDGNVNDNDKSREDLSSRLDKAVTDGKITSKDKDAVLKAFDADVFGGEEMAIEFGEGGPATFGGFRDDSK</t>
  </si>
  <si>
    <t>GC_00002634</t>
  </si>
  <si>
    <t>MYAYTVNNGG----LQYVQKPEPTPEPGQVSITVHTAGLGLIDALWTIGAMPSNPDFVPGLEVSGTVRALGEGVNHLAEGQLVAAILPAAGGFAEVVCTPATLVAPIPQKLDHDLAAVVPINTVTAHLALTTVARLAESESLLVNAGVGGLGSQFQQVARALGAGPCDAVVGTPEKQALALECGYRTAYLRSELRDIPDGTYDIVVDPVGGDATTQGFRVLRSGGRLVRVGNASQAPDVEIGTLALWLENKTAAGFNVGAWLAEHPADGTDSLAWSLEAVARGDVRVDLTAVGGHEQLPQFLEALERGETTGKLAVRFVSP</t>
  </si>
  <si>
    <t>MYAYTVNNGGLQYVLQYVQKPEPTPEPGQVSITVHTAGLGLIDALWTIGAMPSNPDFVPGLEVSGTVRALGEGVNHLAEGQLVAAILPAAGGFAEVVCTPATLVAPIPQKLDHDLAAVVPINTVTAHLALTTVARLAESESLLVNAGVGGLGSQFQQVAQALGAGPCDAVVGTPEKQALALECGYRTAYLRSELRDIPDGTYDIVVDPVGGDATTQGFRVLRSGGRLVRVGNASQAPDVEIGTLALWLENKTAAGFNVGAWLAEHPADGTDSLAWSLEAVARGDVRVDLTAVGGHEQLPQFLEALERGETTGKLAVRFVSP</t>
  </si>
  <si>
    <t>GC_00002635</t>
  </si>
  <si>
    <t>PF09707.15</t>
  </si>
  <si>
    <t>CRISPR-associated protein (Cas_Cas2CT1978)</t>
  </si>
  <si>
    <t>MFAVISCTAIPDHVRGFLTRFFSEVSTGLYVGIVSPVVLDNLWARIDGTITVGSFTLVHSCHEREQGFNIRMTGPQSRPLFDMDGLLLTSRVPQDDEPELDEEDTEDAA</t>
  </si>
  <si>
    <t>MFAVISCTAIPDHVRGFLTRFFSEVSTGLYVGIVSPVVLDNLWARIDGTITMGSFTLVHSCHEREQGFNIRMTGPQSRPLFDMDGLLLTSRVPQDDEPELDEEDTEDAA</t>
  </si>
  <si>
    <t>GC_00002636</t>
  </si>
  <si>
    <t>MPAHHVNKIIDTLVYNETMILYVSATQGEAAQVPSDYPLIVTGIGIIRATLTLTEYLARADELPERIINFGTAGSLNGNTGIFEIDHVFQHDFDHKVIEQIIGKPFPNGIDLPTVSTLPTAHLATGDSFVNDPDTRARLVQQAQLCDMEGYAIAFVAQHFGIPCTLIKQVSDNADDAAADTWVDAVDRGAQDLAGAIRTLNQRLNRL</t>
  </si>
  <si>
    <t>GC_00002637</t>
  </si>
  <si>
    <t>MPFHTDTDIIPGESLGGITLGDPLTHYWDDITHYQETSGNLHHWMDGHNSIVYELVDCFIELRVHMPTCRIDRIAALPGYQGAFQNIIRIGMPTTQVENLGLGFYYNELGECFVSPQYPGLILEPDLDDPLPYEFPFLEVGYITVVPTPDQVLWPQNFDEA</t>
  </si>
  <si>
    <t>MPFHTDTDIIPGESLGGITLGSPLAHYWDDITHYQETSGNLHYWLDGRNSIVYELVDYFIEFRVHMPSCRIDRIAALPGYQGAFQNIIRIGMPTPQVENLGLGFYYNELGECFVSPQYPGLVLEPDLIDPLPYEFPLLEVGYITVVPTPDQVLWPQNFDEA</t>
  </si>
  <si>
    <t>GC_00002638</t>
  </si>
  <si>
    <t>MSYDFALFIPDYDVDGIAVGSRYLPANKHLMERYNMEDVPDPSAAGPLADIAEAMNSQVQELEENGVLLSSDIALEGGRMLPIPVTYPSAEVAKNWLSELAVNNSLGLIDASSNLVITFGDEDPSFETITAYLSIPGFSRRGLPSLLEYVRDMLDENHFVILQRKDADQNYIQTIVDEDAKQPDAWHVEYRAGSYDQHFALDVDSKDEVVELFNQWLDGSPEFTQHGWENMGFTK</t>
  </si>
  <si>
    <t>MSYDFALFIPDYDVDGIAVGSRYLPENKHLMERYNMGDVPDPSAAGPLADIAEAINSQVQELEENGVLLSSDIALEGGRMLPIPVTYPSAEVAKTWLSELAVNNSLGLIDASSNLVITFGDEDPRFETVTAYLSIPGFSRRGLPSLLEYVRDMLDENHFVILQRKDADQHYIQTIVDEDARQPDAWHVEYRAGSYDQHFALDVDSKDEVVELFNQWLDESPEFTQHGWENMGFTR</t>
  </si>
  <si>
    <t>GC_00002639</t>
  </si>
  <si>
    <t>MTTIPDSDRPLAAALEAKGLPYLLPDRWEDPDPEMIRAYIHAAQDVVTAPGMDLELITDFSAAILEHITTKYRDCWDDMVTAYFAAPAGIERSQFAFWLMQAAGASRKYVARVLDVVLAEDPALIWDFLPWLFVRINQEQWDLLAPNLTDPVLSERIVNFIRRNRSRIEKKGVTPWIPGVEL</t>
  </si>
  <si>
    <t>MITIPDSDRPLAAALEAKGLPYPLPDRWEDPDPEMIRAYIHAAQDVVTAPGMDLELITDFSAAILEHITTKYRDCWDDMVTAYFAALAGIERSQFAFWLMQAAGASKKYVARVLDVVLAEDPALIWDFLPWLFVRINQEQWDLLAPNLTDPVLSERIVNFIRRNRSRIEKKGVTPWIPGVEL</t>
  </si>
  <si>
    <t>GC_00002640</t>
  </si>
  <si>
    <t>MTAYEIVKNYHQAWTTGDIELAMSYIADNMTCRAPGVDLTTKQDYRDFIAGFAPRLTGIGEIAEFADGDKVALFYYPKTAVTDTAPAAELFTVHNGVITESVLIFDRLSYAPQKKG</t>
  </si>
  <si>
    <t>MTAYEIVKNYHQAWTTGDIELAMSYIADNMTCRAPGVDLTTKQDYRDFIAGFAPRLTRIGEIAEFADGDKVALFYYPKTAVTDTAPAAELFTVHNGVITESVLIFDRLSYAPQEKG</t>
  </si>
  <si>
    <t>GC_00002641</t>
  </si>
  <si>
    <t>MQNVALITGSYGGLGTGFVDIHAARHGDLILVGRSEEKLNAQAKEVTTKYGVEVRTIAVDLSTPEAAQTIVDACADVVPDIIINNAGFGGQGDFARERSMDQDLSMIAVNIEAPTRLLKLFLPKMIERGSGKVLNVGSTAATVPGPLQAVYYATKAYLTSWSNALWRELQGTGVTVTALMPGAMQTGFIATGGLSDTKLFANAVEPRQVAQEGYDAMMAGKINVISGLVSWQKPFVSLSPVMPRKALLNFVYNQQTTGH</t>
  </si>
  <si>
    <t>MQNVALITGSYGGLGTGFVDIHAARHGDLILVGRSEEKLNAQAKEVTTKYGVEVRTIAVDLSTPEAAQTIVDACADVVPDIIINNAGFGGQGDFARERSMDQDLSMIAVNIEAPTRLLKLFLPKMIERGSGKVLNVSSTAATVPGPLQAVYYATKAYLTSWSNALWRELQGTGVTVTALMPGAMQTGFIATGGLSDTKLFANAVEPRQVAQEGYDAMMVGKINVISGLVSWQKPFVSLSPVMPRKALLNFVYNQQTTGH</t>
  </si>
  <si>
    <t>GC_00002642</t>
  </si>
  <si>
    <t>MAQPIEKWLPSVLYFPVMMLIGLFVMWQCQTNMVVLVAITGGIIFVYHAVALVRGRNSIFWPGISWSLGYFLIGVYYFYGRGAAGDATWLFTLATVSMVLSAHHWRYSPRITVWPGIMLSLGLAVVAISRPTGDYATEIAILSVVVFGTQRRKSRATVLWSGVGLAAGLLGASMYCAYFVPGSPAATVAVTSLAALWLSLGCQPAKAVMLLRGTWAACLVLTGLVCYDTIHPWLLIAGVMAAFINPVRLLDPDAMTGQPSEEAARERQLIDQWWNRPVDSCYPVLLIEETTLWVHPLQQFFRQGGVGAGIITGIDTAGTMHTLGVWVSDGLGNQLSWQQIHANLTRRGLLDPIMLCCAASSDSLSCIADLWPHATMEIFDIDHYDMWKHVCDRIMPNVSSSEAEMVRVNDRHNAVIHAMRDVCYSNTNISDKLATYLRRKLYYHEATYQITIGTGWKPLMNQWAETYPHRLTSSVE</t>
  </si>
  <si>
    <t>MAQPIEKWLPSVLYFPVMMLIGIFVMWQCQTNMVVLVAITGGIIFVYHAVALVRGRNSIFWPGISWSLGYFLIGVYHFYCRGAAGDATWLFTLATVSMVLSAHHWRYSPRITVRPGIMLSLGLAVVAISRPTGDYATEIAVLSVVVFGTQRRKSRATMLWSGVSLAAGLLGASMYCAYFVPGSPAATVAVISLAALWLSLGCQPAKAAMLLRGTWAACLVLAGLVCYDTIHPWLLIAGVMVAFVNPVRLLDPDAVMERPSEEATKERQLIDQWWNRPVDSCYPVLLIEETTLWVHPLQQFFRQGGVGAGIITGIDTAGTMYTLGVWVSDGLGNQLSWQQIHANLTRRGLRDPIMLCCAASSDSLSCIADLWPHATIEIFDIDHYDMWKHVCDRIMPNVSSSEAEMVRVNDRHNAVIHAMRDVCYSNTNISDKLATYLRRKLYYHEATYQITIGTGWKPLMNQWAETYPHRLTSSVE</t>
  </si>
  <si>
    <t>GC_00002643</t>
  </si>
  <si>
    <t>MLHASLIELAEQAPLCTDQATLRGVLTESHDLTRNALAHDTNAVEVAHWFSRLLTDALHSPAATELTDGRIQIVTGPFGRGEGMPTSPVEWLSILPKSVPYQYNQNLEKVLTETGFVLAPLPATLLPTTREDWEHRIDHALEHGDGEALGVYTDAGTWMAEKVLASRMAPPALLRNAVEHRPPAVQTQAGLPRKDVPIDIRRDLLSPLARLARWAAIAAGSSATETLDRIAAGVHGGVVTQQEADYLSAAWRAGIALRLERWAEHLDGNGTTLDQLTQVQRALFGACCRDVSLVMQSIAAHHRV</t>
  </si>
  <si>
    <t>MLHASLIELAEQAPLCTDQATLRGVLTESHDLTRNALAHDTNAVEVAHWFSRLLTDALHSPAATELTDGRIQIVTGPFGRGEGMPTSPVEWLSILPKSVPYQYNQNLEKVLTETGFVLAPLPATLLPTTREDWEHRIDHALEHGDGEALGVYTDAGTWMAEKVLASRMAPPALLRNAVEHRPPAVQTQAGLPRKDVPIDIRRDLLSPLARLARWAAIAAGSSATETLDRIAAGVHGGVVTQQEADYLSAAWRAGIALRLERWAEHLDGKGTTLDQLTQVQRALFGACCRDVSLVMQSIAAHHRV</t>
  </si>
  <si>
    <t>GC_00002644</t>
  </si>
  <si>
    <t>PF03611.19</t>
  </si>
  <si>
    <t>PTS system sugar-specific permease component</t>
  </si>
  <si>
    <t>K03475</t>
  </si>
  <si>
    <t>ascorbate PTS system EIIC component</t>
  </si>
  <si>
    <t>COG3037</t>
  </si>
  <si>
    <t>Ascorbate-specific PTS system IIC component UlaA (UlaA) (PDB:4RP8)</t>
  </si>
  <si>
    <t>M00550</t>
  </si>
  <si>
    <t>Ascorbate degradation, ascorbate =&gt; D-xylulose-5P</t>
  </si>
  <si>
    <t>KEGG Orthology (KO)&gt;&gt;&gt;09100 Metabolism&gt;&gt;&gt;09101 Carbohydrate metabolism&gt;&gt;&gt;00053 Ascorbate and aldarate metabolism [PATH:ko00053]|KEGG Orthology (KO)&gt;&gt;&gt;09130 Environmental Information Processing&gt;&gt;&gt;09131 Membrane transport&gt;&gt;&gt;02060 Phosphotransferase system (PTS) [PATH:ko02060]|Transporters&gt;&gt;&gt;Phosphotransferase system (PTS)&gt;&gt;&gt;Enzyme II [TC:4.A]&gt;&gt;&gt;Ascorbate-specific II component</t>
  </si>
  <si>
    <t>MLAINFLVNEILAVPAFLIGIITAVGLSALRKPVGTVIGGALKTTLGFLLISAGATLVTASLEPLGTMITGATGAHGVVPTNEAIVGIAQQHYGSQVAWLMIAGFAVSLLLARITPLHYVFLTGHHVLFMATLLTIVLATAGYSGWVVIAFGAVLLGILMVSLPALAQPWTRSVTGDNSIAIGHFGTVGYIAAGAVGKAVGNRRGHESPSTEKLTLPEGLRFLRDSMVATALSMALMYVILAIIVLLRAGRAEAYSAFEDGATSVGNYIMQAVTQGLQFGVAVAVILFGVRTILGELVPAFQGIAAKIVPGAIPALDCPIVFPYAQNAVLIGFIASFAGGLVGLAVLSTWLNPAFGVALILPGLVPHFFTGGAAGVYGNATGGRLGAAFGAFVNGLIITFLPAFLLGVLGAFGSENTTFGDADFGWFGILIGSAAGLPSALGLVLIAASGAVILGLAIVVQKKLVDGGWDPAPGRGVGGTGDGDTAESAGNAEGEVVGRSYPKITPPVGAPTPPAHIDFD</t>
  </si>
  <si>
    <t>MLAINFLVNEILAVPAFLIGIITAVGLSALRKPVGTVIGGALKTTLGFLLISAGATLVTASLEPLGTMITGATGAHGVVPTNEAIVGIAQQHYGSQVAWLMIAGFAVSLLLARITPLHYVFLTGHHVLFMATLLTIVLATAGYNGWVVIAFGAVLLGILMVSLPALAQPWTRSVTGDNSIAIGHFGTVGYIAAGAVGKAVGNRRGHESPSTEKLTLPEGLRFLRDSMVATALSMALMYVILAIIVLLRAGRAEAYSAFEDGATSVGNYIMQAVTQGLQFGVAVAVILFGVRTILGELVPAFQGIAAKIVPGAIPALDCPIVFPYAQNAVLIGFIASFAGGLVGLAVLSTWLNPTFGVALILPGLVPHFFTGGAAGVYGNATGGRLGAAFGAFVNGLIITFLPAFLLGVLGAFGSENTTFGDADFGWFGILIGSAAGLPSALGLVLIAASGAVILGLAIVVQKRLVDGGWDPAPGRGVGGTGDGDTAESAGNAEGEVVGRSYPKITPPVGAPTPPAHIDFD</t>
  </si>
  <si>
    <t>GC_00002645</t>
  </si>
  <si>
    <t>MAQDHSCDHHGVPFRSLSDHLAAVLAVGKPTTTRTVATEESAGLVLAADARANLPVPPFSNSAMDGFLVRAADLPAGDGPWELPVSGDIPAGQAPVDVAPGTAVRIMTGAPTPVNTEGLMVVPVEDTNVPAGAVALPDKVVITTAHHDRTHIRHRGENCQVGDVIAHAGTVIDAGVIASLLSTGVTSVEAYDRPTVAVISAGDELVVSVDSVDQLRPGTIPDSNRPMLAELLREQGVAKVRSVVVDDDAATFRKQLDALSRECDLVVTSGGVSAGAFDVVKEALTNPAASGATDMWFGPVQIQPGKPQGLGRVNGTPVICLPGNPVSSFVCFYLFVMPLVRVLSGIPPQAAAQQARLMLPSHDHIKAPKGRDLFIPCAIDWTEGDVHPVIPGGMGSHFVASLVGISAIIHLPLDHGKTQPGDLVPVILLKV</t>
  </si>
  <si>
    <t>MAQDHSCDHHGVPFRSLSDHLAAVLAVGKPTATRTVATEESAGLVLAADARANLPVPPFSNSAMDGFLVRAADLPAGDSPWELPVSGDIPAGQTPVDVAPGTAVRIMTGAPTPVNTEGLMVVPVEDTNVPAGAVALPDKVVITTAHHDRTHIRHRGENCQVGDIIAHTGTVIDAGVIASLLSTGVTSVEAYDRPTVAVISAGDELVASVDSVDQLRPGTIPDSNRPMLAELLREQGVAKVRSVVVNDNAATFRKQLDALSRECDLVVTSGGVSAGAFDVVKEALTNPAASGATDMWFGPVQIQPGKPQGLGRVNGTPVICLPGNPVSSFVCFYLFVMPLVRVLSGIPPQAAAQQARLMLPSHDHIKAPKGRDLFIPCAIDWTEGDVHPVIPGGMGSHFVASLVGISAIIHLPLDHGKTQPGDLVPVILLKV</t>
  </si>
  <si>
    <t>GC_00002646</t>
  </si>
  <si>
    <t>MCIGIPARIISIEGDVLPNAVIDVAGQQRTCCLAYLPEAQVGDYVLIQNGFAMSIVDEQEAQESLRTIAEYKLINYD</t>
  </si>
  <si>
    <t>MCIGIPARIISIEGDVLPNAVIDVAGQQRTCCLAYLPETQVGDYVLIQNGFAMSIVDEQEAQESLRTIAEYKLINYD</t>
  </si>
  <si>
    <t>GC_00002647</t>
  </si>
  <si>
    <t>----MSANDDIIELVQSHADGDDKKFYAIAMQIAAKAARLGHTQFAQELRDLVTELRRKTHHEAQLATIKTRGELESFATISYPDVRFNSMILSLDNQKQLYNVVVEQRQRDKLMLYNLRPVQQLLFIGPSGTGKTLAAKALAGELNLPLISVRLDMPIGDAATKLRSIIDISQETRGVYLFNEVDAITADGGEARQAINLLLQFVEDDYLNNLIIVATNHPQSFGYATLRRFDQVIKFELPSGDEIRSVIENRL</t>
  </si>
  <si>
    <t>MSEIVSANDDIIELVQSHADGDDKKFYTIAMQIAAKAARLGHTQFAQELRDLVTELRRKTHHEAQLATIKTRGELESFATISYPDVRLNNMTLSPDNQKQLHNVVVEQRQRDKLMLYNLRPVQQLLFIGPSGTGKTLAAKALAGELNLPLISVRLDMPIGDAATKLRSIIDISQETRGVYLFNEVDAITADGGGARQAINLLLQFVEDDYLNNLIIVATNHPQSFGYATLRRFDQVIKFELPSGDEIRSVIENRLAVFTPMKASWEPIVAAADGLSHADLAVAATNAVKRAVLNGKIGKSAGDFEEWTEYLCHELEERRKFGKGEGV-------</t>
  </si>
  <si>
    <t>GC_00002648</t>
  </si>
  <si>
    <t>COG3433</t>
  </si>
  <si>
    <t>Acyl carrier protein/domain (AcpA) (PDB:2FQ1) (PUBMED:8759840;20663952)</t>
  </si>
  <si>
    <t>MTETKIITDVAESLGVAPDTLTPDTNLADAGLDSLRLIMLVEKWRAEGVTVDFQDILTRATLAEWFELFQS</t>
  </si>
  <si>
    <t>MTETKIITDVAESLGVAPDTLTPDTNLTDAGLDSLRLIMLVEKWRAEGVTVDFQDILTRATLAEWFELFQS</t>
  </si>
  <si>
    <t>GC_00002649</t>
  </si>
  <si>
    <t>MDVATTNKNSTRWVFLGVISLGLFMIGVDNSILYTALPTLKTSLHTTSLEALWIINMYPLVLSGLLLGTGTLGDKIGHRRMFEIGLSIFGVAALVAAFAPNPEILIAARALFGIGAATMMPATLSLLRTTFTDVQERNTAIGIWGATATLGAASGPVIGGLLLEHFWWGSVFLINLPVVIIAVIGTTTIAPPNAPNPERQWDFLSSFWAMAAMMGLVMIIKEATHSPIDLGIIGGATAALIGGGWLFARRQRFLAEPLLVLTVFQNKVFTAGVLSAGFAMFALSGTELLTTQRFQLGEGFTPLAAGLVTAAGAIAAIPTSVLGGIMLSRIGFRPLISGGFAIIAAGAALCMWAIGTDSLGLFIGSLIAAGAGAGLVMSVSSTAIIGSAHPRYSGMASAMEEVSYEFGTLLSVAVLGSLMQLFYSWFAPTQVADSFESGLANPQLFDAAYAAFNSGFTLVMLVVAAVSAMVAGITAWLLHNNPKETDYAHE</t>
  </si>
  <si>
    <t>MDVATTNKNSTRWVFLGVISLGLFMIGVDNSILYTALPTLKTSLHTTSLEALWIINMYPLVLSGLLLGTGTLGDKIGHRRMFEIGLSIFGVAALVAAFAPNPEILIAARALFGIGAATMMPATLSLLRTTFTNVQERNTAIGIWGATATLGAASGPVIGGLLLEHFWWGSVFLINLPVVIIAVIGTTTIAPPNAPNPERQWDFLSSFWAMVAMMGLVMIIKEATHSPIDLGIIGGATAALIGGGWLFARRQRFLAEPLLVLTVFQNKVFTAGVLSAGFAMFALSGTELLTTQRFQLGEGFTPLAAGLVTAAGAIAAIPTSVLGGIMLSRIGFRPLISGGFAIIAAGAALCMWAIGTDSLGLFIGSLIAAGAGAGLVMSVSSTAIIGSAHPRYSGMASAMEEVSYEFGTLLSVAVLGSLMQLFYSWFAPAQVADSFESGLANPQLFDAAYAAFNSGFTLVMLVVAAVSATVAGITAWLLHNNPKETDYAHE</t>
  </si>
  <si>
    <t>GC_00002650</t>
  </si>
  <si>
    <t>MSRNQISNLERNDNNARTPADPSLSTIYKLSSALMVPPAVMLPAGSEIVGGVCDLAELVDGIITFELVWPRYASDTEPFTEDQAFAINAGINGYRGSRY</t>
  </si>
  <si>
    <t>GC_00002651</t>
  </si>
  <si>
    <t>MTDDKPEVERDEDNTDVDANPKLIDLSSDAKKAAKDADQDASKDAEATAADTDDGDATDDDDALDAGIDTADLAEVAAALDQVAADAEAESTEPSLEEQLAERTNDLQRLGAEYANYRRRTQAEREQVIENAKAQVIMRFLPIVDDFGLAEQHGDLAEGPMKAFHDKFMNVLDGLKLQAFGDPGDEFDAETYEAVQDMSTGDTKTVGTVLRKGYKLNGRLLRTAMVIIADPPADSESESDES</t>
  </si>
  <si>
    <t>MTDDKPEVERDEDNTDVDANPKLIDLSSDAKKAAKDADQDASKDAEATADTADDD---GDADALDAGIDTADLAEVAAALDQVAADAEAESTEPSLEEQLAERTNDLQRLGAEYANYRRRTQAEREQVIENAKAQVVMRFLPIVDDFGLAEQHGDLAEGPMKAFHDKFMNVLDGLKLQAFGDPGDEFDAETYEAVQDMSTGDTKTVGTVLRKGYKLNGRLLRTAMVIIADPPADSESESDES</t>
  </si>
  <si>
    <t>GC_00002652</t>
  </si>
  <si>
    <t>G|T|G</t>
  </si>
  <si>
    <t>Carbohydrate transport and metabolism|Signal transduction mechanisms|Carbohydrate transport and metabolism</t>
  </si>
  <si>
    <t>K02821</t>
  </si>
  <si>
    <t>ascorbate PTS system EIIA or EIIAB component [EC:2.7.1.194]</t>
  </si>
  <si>
    <t>COG1762|COG3414</t>
  </si>
  <si>
    <t>Phosphotransferase system mannitol/fructose-specific IIA domain (Ntr-type) (PtsN) (PDB:2OQ3)|Phosphotransferase system, galactitol-specific IIB component (SgaB) (PDB:5GQS)</t>
  </si>
  <si>
    <t>KEGG Orthology (KO)&gt;&gt;&gt;09100 Metabolism&gt;&gt;&gt;09101 Carbohydrate metabolism&gt;&gt;&gt;00053 Ascorbate and aldarate metabolism [PATH:ko00053]|KEGG Orthology (KO)&gt;&gt;&gt;09130 Environmental Information Processing&gt;&gt;&gt;09131 Membrane transport&gt;&gt;&gt;02060 Phosphotransferase system (PTS) [PATH:ko02060]|Enzymes&gt;&gt;&gt;2. Transferases&gt;&gt;&gt;2.7  Transferring phosphorus-containing groups&gt;&gt;&gt;2.7.1  Phosphotransferases with an alcohol group as acceptor&gt;&gt;&gt;2.7.1.194  protein-Npi-phosphohistidine---L-ascorbate phosphotransferase|Transporters&gt;&gt;&gt;Phosphotransferase system (PTS)&gt;&gt;&gt;Enzyme II [TC:4.A]&gt;&gt;&gt;Ascorbate-specific II component</t>
  </si>
  <si>
    <t>MSALTRLLSPESIVLDASAADWRDAIQQAGSLLESAGHCTPDYTQSMIDTVAHNGPYIVLTPGLALAHARPSAAVQSTGLSFLRLSTPISFGHPKNDPVSIVIALAAADKTQHLDALSSLSTVLANSTRRAGLDKAATVEEVLELLDVDKQHRSEPQARNKILTVCGNGLGTSLFLKNTLESVLEAWGWGSYITVEATDTISAKGKAKEADCILTSGEIARTLGDVGIPVRVIDNFTSQREIDTALRELYDI</t>
  </si>
  <si>
    <t>MSALTRLLSPESIVLDASAADWRDAIQQAGSLLESAGHCTPDYTQSMIDTVAHNGPYIVLTPGLALAHARPSAAVQSTGLSFLRLSTPISFGHPKNDPVSIVIALAAADKTQHLDALSSLSTVLANSTRRAGLDTAATVEEVLELLDVDKQHRSEPQARNKILTVCGNGLGTSLFLKNTLESVLEAWGWASYITVEATDTISAKGKAKEADCILTSGEIARTLGDVGIPVRVIDNFTSQREIDTALRELYDI</t>
  </si>
  <si>
    <t>GC_00002653</t>
  </si>
  <si>
    <t>PF03773.19</t>
  </si>
  <si>
    <t>Predicted permease</t>
  </si>
  <si>
    <t>K07089</t>
  </si>
  <si>
    <t>COG0701</t>
  </si>
  <si>
    <t>Uncharacterized membrane protein YraQ, UPF0718 family (YraQ)</t>
  </si>
  <si>
    <t>MTWTSVRGRVLLTLVAVLVVAIASRGHPVAQQFFAQFPRVHVVVTAFLALVVQSLPFVLVGSMLSATVALWMTPDRWARVLPRRGIAAVVVAALVGICVPTCECSSVPLAKRMMNSGVTPAAAITVMLAAPSANPLVVYATFTAFGGWEMAVARLVAGMLAVVGVGVSVMVWGGRAFAGLGLVAPHDGGRRSWWGLMSHDVVDSLTFLCVGAFLAAVINLVMPVHLLVSLSHQVVFAVVIMMTLAIVASLCSFGDAFVAASLVGVHPAGMLGFMVVGPIIDMKLASMMEGILGDRPTRFIAVSGFVSALVATLTVAWLWGWWG</t>
  </si>
  <si>
    <t>MTWTSVRGRVLLTLVAVLVVAIASRGHPVAQQFFAQFPRVHVVVTAFLALVVQSLPFVLVGSMLSATVALWMTPDRWARVLPRRGIAAVVVAALVGICVPTCECSSVPLAKRMMNSGVTPAAAITVMLAAPSANPLVVYATFMAFGGWEMAVARLVAGMLAVVGVGVSVMVWGGRAFAGLGLVAPHDGGRRSWWGLMSHDVVDSLTFLCVGAFLAAVINLVMPVHLLVSLSHQVVFAVVIMMTLAIVASLCSFGDAFVAASLVGVHPAGMLGFMVVGPIIDMKLASMMEGILGDRPTRFIAVSGFVSALVATLTVACLWGWWG</t>
  </si>
  <si>
    <t>GC_00002654</t>
  </si>
  <si>
    <t>MSDKKEIRFTFNDRPIVIDISLRSLVLRWLTLAIGAAAYFWVRDLLGVDDTYNWGSFIYVNSGAALFLFIVAVYGWPRKSK</t>
  </si>
  <si>
    <t>MSDKKEIRFTFNDRPIVIDISLRSLVLRWLTLAIGAAAYFWVRDLLGVDDTYNWGSFIYVTSGAALFLFIVAVYGWPRKSK</t>
  </si>
  <si>
    <t>GC_00002655</t>
  </si>
  <si>
    <t>MDNTVLTVDLTPEFAPFLPLLEGTARRTTALHLTPRHDANPHLTGSRVRGPAFISPSYPWPTDGCGNPLFFLAQINLAELPERDGIPTSGLIQFFIADDGDMGLGGYMLDAEQWRGHLVRYIPADEFSHGHAETDSPAEDGVIDSRGYFDLDGQLYDQLPTSRAYEFIAHTRRHGFDFDTDDGLDLSELLDSQHHTIFGGGWIYLCEDLFQQTHHAPAPTDPHHPDSGYIVLFQLESYFGDHSAAAFMLADGGVARFYIHRDDLAALDFSKVIYECESS</t>
  </si>
  <si>
    <t>MDNTVLTVDLTPEFAPFLPLLEGTARRTTALHLTPRHDANPHLTGSRVRGPAFISPSYPWPTDGCGNPLFFLAQINLAELPERDGIPTSGLIQFFIADDGDMGLGGYMLDAEQWRGHLVRYIPADEFSHGHAETDSPAEDGVIDSRGYFDLHGQLYDQLPTSRAYEFIAHTRRHGFDFDTDDGLDLSELLDSQHHTIFGGGWIYLCEDLFQQTHHAPAPTDPHHPDSGYIVLFQLESYFGDHSDAAFMLADGGVARFYIHRDDLAALDFSKVIYECESS</t>
  </si>
  <si>
    <t>GC_00002656</t>
  </si>
  <si>
    <t>MAMPKPILVTILIMAAVAVVFAVVIFRMIPATTPDQQAVPEKLEAPANQGVSAKSVQEFRQAHPDAFVIEVFGEGNFTPTIDQADDNVRIWCLDSRGEATMSAAEFAARSCQPAAALGIYGGGFAGVNFGIKRGAGKLHAIIHQWGTNKFQSLAGMFMAFYSVKLPNPDDSQGERQDTAEPMASVTPVPDLSEATTMENVFNSVVEIYGDVSGWDVQRIQNFAHAFESSGFQGDLSTWRPVSATDMSNMFTNATRFDSDLSAWDVRNVTNMRGMFHLSGLSPTSMSAILARWGQQELSHGVELGADDIYRCEDPAGDDGLRVLTETYGWTVTYAGVASDCTPPSVMVVNQLNITKPGARVNAAVLEFDRDLKYWDSECVAASPTENGETRRLQCPLDIENGNVWLDMWAKDRHNNTVVKREILARR</t>
  </si>
  <si>
    <t>MAMPKPILVTILIMAAVAVVFAVVIFRMIPATTLDQQAVPGKLEAPANQGVSAKSVQEFRQAHPDAFVIEVFGEGNFAPTIDQADDNVRIWCLDSRGEATMSAAEFAARSCQPAAALGIYGGGFAGVNFGIKRGAGKLHAIIHQWGTNKFQSLAGMFMAFYSVKLPNPDDSQGERQDTAEPMASVTPAPDLSEATTMENVFNSVVEIYGDVSGWDVQRIQNFAHAFESSGFQGDLSTWRPVSATDMSNMFTNATRFDSDLSAWDVRNVTNMRGMFHLSGLSPTSMSAILAGWGQQELSHGVELGADDIYRCEDPAGDDGLRVLTETYGWTVTYAGVASDCTPPSVMVVNQLNITKPGARVNAAVLEFDRDLKYWDSECVAASPTENGETRRLQCPLDIENGNVWLDMWAKDRHNNTVVKREILARR</t>
  </si>
  <si>
    <t>GC_00002657</t>
  </si>
  <si>
    <t>MATIPLRFSHSDPLLVRVRELALQLPGAQEKVSVGFPTFYTRKVFAWYGMAVKDAAGVWQHPPSVSLLLPREERQAVLAMPDSFVPGYIGPRGWVGLRLTDDTDWVEVGELIEESFRTTASKKLVRMLESGDFGEQ</t>
  </si>
  <si>
    <t>MATIPLRFSHSDPLLVRVRELALQLPGAQEKVSVGFPAFYTRKVFAWYGMAVKDAAGVWQHPPSVSLLLPREERQAVLAMPDSFVPGYIGPRGWVGLRLTDDTDWVEVGELIEESFRATASKRLVRMLGSGDFGEQ</t>
  </si>
  <si>
    <t>GC_00002658</t>
  </si>
  <si>
    <t>COG4671</t>
  </si>
  <si>
    <t>Predicted glycosyl transferase</t>
  </si>
  <si>
    <t>METTPVRVLLYSHDSQGLGHVRRNLTIAHHIAAAIPAATGHPVSGLLVSGLAPASVFPLPQGFDWLTIPGISKGKDGYQPRSLGEPTHNLIRLRSELLKSTLLSFAPDLVIIDRHIYGVWKELFTPLEQLRTAHPHTSVVLGLREVLDEPAVAAAEWEALGNPEQLCDIVDEVWVYGDPAVHNPLKTGEIPDFFTDRLRFTGYLANGRRVADHDTALAPEPFILTTAGGGSDGYHLLKSATRINFPAGHRHIIVTGPQLEERAFKHIASLAGPNTEVHHSWPGLSTQIARASAVIAMGGYNTVCEILCTDTPGLLIPREHPRREQLIRAESLHEARAIDYLRVGAVSTDALSAWVADAVHRTVDRSSLARDGLNVAAHYATELINHTDLVSTEGSTLK</t>
  </si>
  <si>
    <t>METTPVRVLLYSHDSQGLGHVRRNLTIAHHIAAAIPAATGRPVSGLLVSGLAPASVFPLPQGFDWLTIPGISKGKDGYQPRSLGEPTHNLIRLRSELLKSTLLSFAPDLVIIDRHIYGVWKELFTPLEQLRTAHPQTSVVLGLREVLDEPAVAAAEWESLGNPEQICDIVDEVWVYGDPAVHNPLKTGEIPDFFTDRLRFTGYLANGRRVADHDTTLAPEPFILTTAGGGSDGYHLLKSATRIDVPAGHRHIIVTGPQLEERAFKHIASLAGPNTEVHHSWPGLSTQIARASAVIAMGGYNTVCEILCTDTPGLLIPREHPRREQLIRAESLHEARAIDYLRVGAVSTDALSAWVADAVHRTVDRSSLARDGLNVAAHYATELINHTDLVSTEGSTLK</t>
  </si>
  <si>
    <t>GC_00002659</t>
  </si>
  <si>
    <t>PF05960.17</t>
  </si>
  <si>
    <t>Bacterial protein of unknown function (DUF885)</t>
  </si>
  <si>
    <t>COG4805</t>
  </si>
  <si>
    <t>Uncharacterized conserved protein, DUF885 family (PDB:3IUK)</t>
  </si>
  <si>
    <t>MTEQRTPSKLDHACDTYVHNLAKLSPLSATAWGIHGRDGDIENFSPEYYDSLAVEARTLLATVMEEEAAGDNTLDDVDKVTAAVLKDRLGVELAKHERGENYRDLNNIASPIQSIRDTLNLTPKRHMQSRLAAVPAALEGYKESLTLAASQGNVAAIRQINEVITQCIDLAKDGSMLERLGVGRHAQEVPQARAAFGEFADWLKQELAPQAPTDDAVGRERYELFSHEFVGARVDLDEAYDWGLERLKDITAEQERIATELYGSDVGVKEAMERLNKEERYQLHGTDALKEWMQGIADKAISDLNGTHFDIPEPVRTIECLIDPAGTGGIFYTPPTDDFSRPGRMWWSVPAGEEVFYTWQELTTVYHEGAPGHHLQLGLALTERDKLNLWRRVACWNSGHGEGWALYAEQLMAELGYLEDPGFRMGLLDAQRFRAARVALDIGVHLGKKTPDGQGVWDADYAGEFLRSHTAMADANLRFELNRYLGWPGQAPSYALGQRLWQELRSDATEAGLSAVEFHAKALAQGSIPMEILRDVVMG</t>
  </si>
  <si>
    <t>MTEQRTPSKLDRACDTYVHNLAKLSPLSATAWGIHGRDGDIENFSPEYYDSLAVEARTLLATVMEEEAAGDNTLDDVDKVTAAVLKDRLGVELAKHERGENYRDLNNIASPIQSIRDTLNLTPKRHMQSRLAAVPAALEGYKESLTLAASQGNVAAIRQINEVITQCIDLAKDGSMLERLGVGRHAQEVPQARAAFGEFAEWLKQELAPQAPTDDAVGRERYELFSHEFVGARVDLDEAYDWGLERLKDITAEQERIATELYGSDVGVKEAMERLNKEERYQLHGTDALKEWMQGIADKAISDLNGTHFDIPEPVRTIECLIDPAGTGGIFYTPPTDDFSRPGRMWWSVPAGEEVFYTWQELTTVYHEGAPGHHLQLGLALTERDKLNLWRRVACWNSGHGEGWALYAEQLMAELGYLEDPGFRMGLLDAQRFRAARVALDIGVHLGKKTPDGQGVWDADYAGEFLRSHTAMADANLRFELNRYLGWPGQAPSYALGQRLWQELRSDATEAGLSAVEFHAKALAQGSIPMEILRDVVMG</t>
  </si>
  <si>
    <t>GC_00002660</t>
  </si>
  <si>
    <t>MFFCMSLDVVFADAARKSTKAQAAELIEAAVMTALGTTPPTTSEAKLRRQLAETTKVKRKCCRSKPRCKKCPTVMHRLAKQNALQLDDAALKAALLKSRMW</t>
  </si>
  <si>
    <t>GC_00002661</t>
  </si>
  <si>
    <t>MDPVAIVEDRINLARVDITLVAPIAAYTSEIIAGVAEELNRIDDVIAEYLAENWELSRISAVDRAILRVAVWEMIFNPDVPVKTALSEAVELASQYSGASAPAYINAVLDSVVKNIDDLRRLPVGVSEVDDTDEVSFADALAQAGEEPDDVGADLGEHFDSDEWDESPKPPTAESAESDDPKPDNQPAKVVGPEEPAKAEAPDVSAEPTEAGQPDTLGESAAESADLDVSDEPGGESAQAVGGEEPGEVADALTEPTKPTGESTETTE</t>
  </si>
  <si>
    <t>MDPVAIVEDRINLARVDITLVAPIAAYTSEIIAGVAEELNRIDDVIAEYLAENWELSRISAVDRAILRVAVWEMIFNPDVPVKTALSEAVELASQYSGASAPAYINAVLDSVVKNIDDLRRLPVGVSEVDDTDEVSFADALAQAGEEPDDAGADLGEHFDSDEWDESPKSPTAESAESDEPKPDNQPAKVAGPEEPAKAEAPDVSAEPTEAGQPDTLGESAAESADPDVSDEPGGESAQAVGGEGPGEVADASTEPTEPTGESTETTE</t>
  </si>
  <si>
    <t>GC_00002662</t>
  </si>
  <si>
    <t>MTLAEARTQEDPPTEPTDEATAPVEPVEAEEEYEEYEPEVTDTRMGKGFGVIAAAALIVALASAVTAGATVFYILESTTRSEERTAQLVAALKEPQSYALQGSAGATNQSGAVQGAQPGQPGAAAAQPGQPGAQAQAGGAQAGAAQPGAASAGGAAQGQAAPAAAAPQAAAPAQQAAPQQAAPAAPAAPAPAASAPMPSADLLLQTTMAAAQPGVPGAELAKRTVDGPVTAGTLEQVAAVRSRMAPPPGMEAMGDIVKFDVRDVVVTGDTATATMTIIWPAGWGEWTYPNSGFQYVDGEWKLQKSTVCNLASAAWVNCY</t>
  </si>
  <si>
    <t>MTLAEARTQEDPPTEPTDEATAPVEPVEAEEEYEEYEPEVTDTRMGKGFGVIAAAALIVALASAVTAGATVFYILESTTRSEERTAQLVAALKEPQSYALQGSAGATNQSGAVQGAQPGQPGAAAAQPGQPGAQAQAGGAQ---------------------AAAAPQAAAPAQQAAPQQAAPAAPAAPAPAASAPMPSADLLLQTTMAAAQPGVPGAELAKRTVDGPVTAGTLEQVAAVRSRMAPPPGMEAMGDIVKFDVRDVVVTGDTATATMTIIWPAGWGEWTYPNSGFQYVDGEWKLQKSTVCNLASAAWVNCY</t>
  </si>
  <si>
    <t>GC_00002663</t>
  </si>
  <si>
    <t>COG2247</t>
  </si>
  <si>
    <t>Putative cell wall-binding domain (amidase enhancer), LytB superfamily (LytB) (PDB:5J6Q)</t>
  </si>
  <si>
    <t>MLPQCRDNLAPMTRTKLVTTCATTLFVALSLVACDQGSGSSFARKSTTTSSQQSPVDDGTSSNGEENELPDDADTSDTGDAGDATGQPAPALSAVDINAARTALGSLPTRGFSPNVPKYDRNEFGKPWSDDVTVDGGHNGCDTRNDILARDLTDVEFKPAKRNCIVTKGKLNDPYTNTTIEFKRGRKSSDLIPIDHVVALGDAWYSGAYQWDADRRRNFANDPINLQATNRESNTQKSAKNAAEWLPPNTAYQCEYVGRQITIKSTYGLSVTPAEKNAMEKVLATCS</t>
  </si>
  <si>
    <t>MLPQCRDNLAPMTRTKLVTTCATTLFVALSLVACDQGSGSSFARKSTTTSSQQPPVDDGTSSNGEENELPDDADTSDTGDAGDATGQPAPALSAVDINAARTALGSLPTRGFSPNVPKYDRNEFGKPWSDDVTVDGGHNGCDTRNDILARDLTDVEFKPAKRNCIVTKGKLNDPYTNTTIDFKRGRKSSDLIPIDHVVALGDAWYSGAYQWDADRRRNFANDPINLQATNRESNTQKSAKNAAEWLPPNTAYQCEYVGRQITIKSTYGLSVTPAEKNAMEKVLATCS</t>
  </si>
  <si>
    <t>GC_00002664</t>
  </si>
  <si>
    <t>MQTSTMQTSTITQTRTHRTRTSPHPISPIRSTCRTLSDDPFRSRFGHQLPPGLREEARGMQWRTFTATYSPASSLRIHNIESQRLRAGRFHYTATLTSTDAGCRRSENKDIIAMGPISACTNLLADAGRRVEILEFHQYEIFEATVIFIRTCDHDKQAWAMGFGATTELAAASALSAAAERLHG</t>
  </si>
  <si>
    <t>GC_00002665</t>
  </si>
  <si>
    <t>COG4099</t>
  </si>
  <si>
    <t>Predicted peptidase (PDB:3DOH)</t>
  </si>
  <si>
    <t>MRTIIACIVALLLFVIAVVIYGVVHNQQATRTGSLCAEYGIPADDPRSNPEPLPETDETGENREVAPDNSIKMNQSLDVHGIRSRYHVFARGVDFSKPVGVVMRLHGDGAYEYDHPEGLLNCMASVAASHNMILVAPRTPDHEGTRTWWENIGESSVWLTGLISQLREDYDNVDTHNMWWMGYSGGAELISYGLLAQEPENITAGAIMIGGGGAPTDKPDPAPALNARLPLYWYVGSKDNGKDPRSTFNALNAANNGAHWYRSRGYDNVQEHVIDGDDHFSIPQAKILDDVLNNQK</t>
  </si>
  <si>
    <t>MRTIIACIVALLLFVIAVVIYGVVHNQQATRTGSLCAEYGIPADDPRSNPEPLPETDETGENREVAPDNSIKMNQPLDVHGIRSRYHVFARGVDFSKPVGVVMRLHGDGAYEYDHPEGLLNCMASVAASHNMILVAPRTPDHEGTRTWWENIGESSEWLSGLISRLREDYDNVDTHNMWWMGYSGGAELISYGLLAQEPENITAGAIMIGGGGAPTDKPDPAPTLNARLPLYWYVGSKDNGKDPRSTFNALNAANNGAHWYRSRGYDNVQEYVMDGDDHFSIPQAKILDDVLNNQK</t>
  </si>
  <si>
    <t>GC_00002666</t>
  </si>
  <si>
    <t>MTDQLVIARQEHTTGVLELNRPRALNSLTSDMVRIIDQHLAEWVTDPQITQVLIYSNSPKAFCAGGDVRLAREYLLAGTPERADEFFAAEYVMNGNIAHFPKPYIALIDGIAMGGGLGISAHGSHRIVTENALAAMPEMAIGFMPDVGMSYMMQHMVGTYGRKSPAVARFLAITGYRLDPVDMLYTGLATHYVPRQNLDALHRDIIEYGVDKALATYQETPPENPQLKTYIDDIEAAFGYPTWDEIDHHLTGELRDLVHQHIAHASPSAIVAALELITAAGTKTDIRHELTLEIPFGEYIRRQPDFAEGVRAVLVDKRPDAQFQPKTFADVDPAPYRKILSYSAADDN</t>
  </si>
  <si>
    <t>MTDQLVIARQEHTTGVLELNRPRALNSLTSDMVRIIDQHLAEWATDPQITQVLIYSNSPKAFCAGGDVRLAREYLLAGTPERADEFFAAEYVMNGNIAHFPKPYIALIDGIAMGGGLGISVHGSHRIVTENALAAMPEMAIGFMPDVGMSYMMQHMVGTYGRKSPAVARFLAITGYRLDPADMLYTGLATHYVSRQNLDALHRDIIEYGVDKALATYQETSPENPQLKTYIDDIEAAFGHPTWDEIDHRLTGELRDLVHQHIAHASPSAIVAALELITAAGTKTDIRHELALEIPFGEYIRRQPDFAEGVRAVLVDKRPDAQFQPKTFADVDPAPYRKILSYSAADGN</t>
  </si>
  <si>
    <t>GC_00002667</t>
  </si>
  <si>
    <t>MSVRPFIEVVSGPARASVATETIAGILGVAKQTNGQADWLPFADDQRLYIVPTVDNTVAGYQIHSLDDPSIHGLYDLFTTLCDQTDWHVRLDWDELEYLDKSFPYRSLDSAEA</t>
  </si>
  <si>
    <t>MSVRPFIEVVSGPARASVATETIAGILGVAKQTNGQADWLPFAGDQRLYIVPTVDDTVAGYQIHSLDDPSIHGLYDLFTTLCDQTDWHVRLDWDELEYLDKSFPYRSLDSAEA</t>
  </si>
  <si>
    <t>GC_00002668</t>
  </si>
  <si>
    <t>MNINPLTVSPSTSAHTINATQFTNGTTTIVELVPKPLQAITDSLMAMRGLHRTTHRPVGWAPPQPVGFIHWVAINHPQDMPNMLKYLRELSWAEHNVVTNPVKVKIRLQKSIDDIIVVAPHCAPALIMELAHYFAAEKKSSFVKPYLNLIHKLEKTHNLPIDYDQRMTYFVEFAGCKKVVTGNIMWMEAENLVAQGFTPQQIIDYLAQIITAATRHDNVLYDIRWRLGYSKELNGDSVDNIMLKAVFSVQKLLPQAIGHFRETENAQSIRKFIRENRECQEQLIAAQPWGWETDACYEVLCTTEAWQELTHNPRRLAEWLRNHFTSPSPRTRAWVIDAIKQGRGGFDGMTLPAKKLGYGSLNIIDALVDAGATWDNPDGPTTLYGALWTRWCRELDEIEGDLPAIAADPHLRRSVSNALDVMHIIDHSELFLRYKAAGELAAVALDSFADHRRDTTQNLGAVDWYYEKKILSLTNSQCRRLNPEAIDRIMDFDPVTELINTISYQTNQTHYRTDHVPSRQEAADLLALDNLDHLDPTVALIVANIHETHNWFTKLNQEIRGTTPTIGALTDPAARYLYELEQTRGNPTAKSIINQITDLADRLAHPQQFAQSPKAGTFVNPWVRGIGHEQTLIALLARPHINPELAAEIRDFLIAATHAGVYGSGWCYRTEVRETDEQALNVGWHHGAWVLESRCASHRRTTHMLVHPDHTNLDALRLVDEPPRSLTGEQFRHQLEQLDTIHQAATPMLPGGLTLAEGVHQLAGRTTLTPDAAHAVLSGVMNDNATPQLYAPGMVRDILNAGTTNNLMETGLDFAAIGDYWATSYGTPQLHLTDEEYAQLIPLELKEPYVRVANTLTDKFYDVSSVMSQYLVILIAMAHLFPRIDPRRAAVAGQLLRLKDLATCQASEGHWRMLFTGNLGELQPGNSPKLLDWQTIRALTEGYMDELIADLQQAPDQEAAAAGNPYDPCVSVPELVTQVADTLSIPQDSARYFLQIAALPNPTDKNVRAWNGWKPKQLTNAATPLVEQGLVVQENRRAGRTRFLPGDWLPKTKLMPLMEEAKTPLYLIWNTPKPQPVVRGCPPLVPLPVLFHQAWDLHQQQ</t>
  </si>
  <si>
    <t>MNITPLTVSSPTSAHTINATRFTNGTTTIVELVPKPLQAVTDSLMGMRGLHRTTYRPVGWAPPQPVGFIHWVAINHPQNMPNMLKYLRELSWAEHNVITNPVKVKIRLQKSIDDIIVVAPHCAPAFIMELAHYFAAEKKSSFVKPYLNLIHKLEKTHNLPIDYDQRMTYFVEFAGCKKVVTGNIMWMEAENLVAQGCTPQQIIDYLAQIITAATRHDNVLYDIRWRLGYSKELNGDSVDNIMLKAVFSVQKLLPQAIGHFRETENAQSIRKFIRENRECQEQLIAAQPWGWETDACYEVLCTTEAWQELTHNPRRLAEWLLNHFTSPSPRTRAWVIDAIKQARGGFDGMTLPAKKLGYGSLNIIDALVDAGATWDNPDGPTTLYGALWTRWCRELDEIEGDLPAIAADPHLRRSVSNALDVMHIIDRSELFLRYKAAGELAAVALDRFADHRRDTTQNLGAVDWYYEKKILSLTNSRCRQLNPEAIDRIMDFDPVTELINTISYQTDQTHYRTNHVPSRQEAADLLA---LDHLDPTMALIVANIHETHNWFTKLNQEIRGTTSTIGTLTDPAARYLYELEQTRGNPTAKSIINQITDLADRLARPQQFAQSPKAGTFVNAWVRGIGHEQTLTALLARPHINPELAAEIRDFLIAATHAGVYGSGWCYRTEVRETDEQALLVGWHHGAWVLESRCASHRRTTHMLVHPDHTNLGALRLVDEPPRSLTGEQFLHQLEQLDTIHQAATPMLPGGLTLAEGVDRLAGYTTLTPDAAHAVLSGVMNDNATPQLYAPGMVRDILDAGTTNNLMETGLDFAAIGDYWDSYYGAPQLHLTDEEYAQLIPLELKEPYVRVANTLTDKFYDVSSVMSQYLVILIAMAHLFPRTDPRRAAVADQLLRLKDLAIRQAGEGHWRMLFTGNLGELQPGNSPKLLDWQTIRALTEGHMDELIADLQQAPHQEAAAAGNPYDPCVSAPELVTQVVGTLGIPQDSARYFLQIAALPNPTDKNVRAWNGWKPKQLTNAATPLVERGLVVQENRRAGRTRFLPGDWLPKTKLMPLMEEAKTPLYLIWNTPKPQPVVRGCPPLVPLPVLFHRAWDLHQQQ</t>
  </si>
  <si>
    <t>GC_00002669</t>
  </si>
  <si>
    <t>---------MLVAIILLVVAGGWVTMQYKRINAVGAAIQQYEKLLDAQWIDKDCTLEHCPKSSKSLPGMPPGWAAFTQYERFNLKWRGDYVTLSAPVTDVWVYRVTKTNDGTLEAIIGIGITRCAIDSDGYSFTTDIRKITLAPSTIA---VCGEME------------------------------</t>
  </si>
  <si>
    <t>MKTKTRQWCILVVIILLVVAGGWATMQYKRINAVGAAIQQYEKHLDAQWIDKDCTLEHCLKSSKSLPGMLPDRAEFTQYERFNLKWRGDYVTLSAPVTDVWVYRVTKTNDGKLEAIVGIGITRCAIDSDGYSFTTDIRKITLAPSTIAGEYVVVEDESYSGKTHNPLFPFPKTLYVSKDNGKPQCPR</t>
  </si>
  <si>
    <t>GC_00002670</t>
  </si>
  <si>
    <t>PF00924.24</t>
  </si>
  <si>
    <t>Mechanosensitive ion channel, beta-domain</t>
  </si>
  <si>
    <t>K22044</t>
  </si>
  <si>
    <t>moderate conductance mechanosensitive channel</t>
  </si>
  <si>
    <t>COG0668</t>
  </si>
  <si>
    <t>Small-conductance mechanosensitive channel (MscS) (PDB:2OAU)</t>
  </si>
  <si>
    <t>MPVGYLLDSAQNWILHHGVTLALLFVIAVLVPRVGRFTKRVLSRRLENIDDQSNKSRLALIGAGVYIAQMVAYFILVVLALQEFGFSPTSAAIPATVISAALGLGAQSIIADFLAGFFIISEKQFGVGDWVQFIGSNMDLQGDVIQITMRATTIRTLSGETVIVPNSTARVCVNHSNFWARAVVVIPIPLLGSQSIHEAVARSEKATRRSLAAPELRGDITGDLDVHPAVDIQPPTTVGMPWLVDMRFVVQVNPARQWAVERAIRTAVLEEFWDEYGSATTVSGAVRESLEAEPTIANRTFSSQPLIDVALPDAATRSTAGGTTHAQSAQADTASRENTPTAPQPAVTRDVARQDSEHSRSDLSIENPVDMEDDPTEDDEPTQIFRQATYDNIWLRMASLGGRVRPSTTLLFTLLFLLLFAKTWTVGAEATNANAIQNSQQMEQETQAPAPAPSTESSRQPSTTSDSTAPTSTNASESSSPAETSTPESAAPTSEPATPERQSTNQQNQNQNQNQSQYQQQQQDNSGYSPQR-QQQQQQQQSDQTSNADQQSGNSDNSNSGNTGGGTTGQE</t>
  </si>
  <si>
    <t>MPVGYLLDSAQNWILHHGVTLALLFVIAVLVPRVGRFTKRVLSRRLENIDDQSNKSRLALIGAGVYIAQMVAYFILVVLALQEFGFSPTSAAIPATVISAALGLGAQSIIADFLAGFFIISEKQFGVGDWVQFIGSNMDLQGDVIQITMRATTIRTLSGETVIVPNSTARVCVNHSNFWARAVVVIPIPLLGSQSIHEAIARSEKATRRSLAAPELRGDITGDLDVHPAVDIQTPTTVGMPWLVDMRFVVQVNPARQWAVERAIRTAVLEEFWDEYGSATTVSGAVRESLEAEPTITNRTFSSQPLIDVALPDAATRSTAGGTTHAQAAQADTASRENTPTAPQPAVTRDVARQDSEQSRSDLSVENPVDMEDDPAEDDEPTQIFRQATYDNIWLRMASLGGRVRPSTTLLFTLLFLLLFAKTWTVGAEATNANAIQNSQQMEQETQAPAPAPSTESSRQPSTTSDSTAPTSANASESSSPAETSTPESAAPTSEPATPERQSTNQQNQNQNQNQSQYQQQQQDNSGYSPQRQQQQQQQQQSDQTSNADQQSGNSDNSNSGNTGGGTTGQE</t>
  </si>
  <si>
    <t>GC_00002671</t>
  </si>
  <si>
    <t>MSAVAIMTTHVAFQTGIDPHGNIGAILGRFDYFLAVFFAFSAYLLWRGMDFHRGMLVTYFHRRFWRVVPGYWVYVVVVLALVPEAFGASWVSVLSTLSFTQIYLPEGFLGGMTHLWSLCVEVVFYLVMPLLGWALRNVGPAKRIMVFCGLALLSLGWAFLPVVADSPREHVPNMQIFFPGFFCWYAVGLIAAEVEELRRRRGVMDKPVKVFQYRWAWWLVAFFAMWLAGQEFFGPVGLEHPSAGEFALRVIAGTVMCACVFLPYAFHSAPSFLDWQIISYLGRISYSFFLWHLAVLGAVLPLLGIRPFTGGFLIALPLTFIGSFIVGSCGYVLVEWPFRSARAAKLTLLRIFR</t>
  </si>
  <si>
    <t>MSAVAIMTTHVAFQTGIDPHGNIGAILGRFDYFLAVFFAFSAYLLWRGMDFHRGMLVTYFHRRFWRVVPAYWVYVVVVLALVPEAFGASWVSVLSTLSFTQIYLPEGFLGGMTHLWSLCVEVVFYLVMPLLGWALRNVGPAKRIMVFCGLALLSLGWAFLPVVADSPREHVPNMQIFFPGFFCWYAVGLIAAEVEELRRRRGVMDKPVKVFQYRWAWWLVAFFVMWLAGQEFFGPVGLEHPSAGEFALRVIAGTVMCACVFLPYAFHSAPSFLDWRIISYLGRISYSFFLWHLAVLGAVLPLLGIRPFTGGFLVVLPLTFIGSFIVGSCGYVLVEWPFRSARAAKLTLLRIFR</t>
  </si>
  <si>
    <t>GC_00002672</t>
  </si>
  <si>
    <t>MPTTTILARLSTFVVFGTVVMGAVVCATNSSASCPNWPGCYDGQFTPEFQLNPIIEFVHRVFSMTCAPFVLVMGILLRKHHDRRVRLLPWVALAGALGAGIFGMFTILTGLSPVASMIDLWCALTALVCMVLTTRLLDATQFDATRARIAGYAVVGVAALYGMGVLVAGDGSFTRCIGWPLGFIIDADHAAPLQILRVILAVALIGVFFWLRSLPVLFALATELVLGIVIRTSGLTDLLGSLYGAVAVCIIALAAWQWGNHQYAAGA</t>
  </si>
  <si>
    <t>MPTTTILARLSTFVVFGTVVMGAVVCATNSSASCPNWPGCYDGQFTPDFQLNPIIEFVHRVFSMTCAPFVLVMGILLRKHHDRRVRLLPWVALAGALGAGIFGMFTILTGLSPVASMIDLWCALTALVCMVLTTRLLDATQFDATRARIAGYAVVGVAALYGMGVLVAGDGSFTRCIGWPLGFIIDADHAAPLQILRVILAVALIGVFFWLRSLPVLFALATELVLGIVIRTSGLTDLLGSLYGAVAVCIIALAAWQWGNHQYAAGA</t>
  </si>
  <si>
    <t>GC_00002673</t>
  </si>
  <si>
    <t>PF13347.12</t>
  </si>
  <si>
    <t>MFS/sugar transport protein</t>
  </si>
  <si>
    <t>K03292</t>
  </si>
  <si>
    <t>glycoside/pentoside/hexuronide:cation symporter, GPH family</t>
  </si>
  <si>
    <t>MSNDMAASNPSSSSARMGLEAASQKKYLKWYNKVGYGSGDVAGNVVYALLSAFVMIYLADTAGLNPGVVGTLMMLSKVFDGISDMIFGTLLDRTNTRMGKARPWMLWAYVGCAVLLVAIFAIPPSLGDFAKYTWFFIAYTLLNAVFFTANNIAYSSLTALITRNKDERVQMGSIRFMFAFTTNMLIQTFTVGGVMLFGGGAGGWRNMAIVYALIGLAINTLSVYSVKELSPEELEGENNGPEEDKLPLLESAKILFSNKYYLIILVIFLLTQIFTAMLNMGIFFMKYVLGDERLLGTFAWAINVPLVIGLMITPYIVSKYGGMYRIDILGYIIAVAGRLGVLVAAYMQNVPLMLAFSAIASLGMSPLQGTLNALIAEASEYTWLRTGKRIDGLLFSCTSLGVKIGSGLGTAASGWLLQMSGYHANMEVQPDSAIQMLYVMYVWLTLGANVIILLLLTRLDVEKATARFKEQADAMASDGSVSQPS</t>
  </si>
  <si>
    <t>MSNDMAASNPSSSSAGMGLEAASQKKYLKWYNKVGYGSGDVAGNVVYALLSAFVMIYLADTAGLNPGVVGTLMMLSKVFDGISDMIFGTLLDRTNTRMGKARPWMLWAYVGCAVLLVAIFAIPPSLGDFAKYTWFFIAYTLLNAVFFTANNIAYSSLTALITRNKDERVQMGSIRFMFAFTTNMLIQTFTVGGVMLFGGGAGGWRNMAIVYALIGLAINTLSVYSVKELSPEELKGENNGPEEDKLPLLESAKILFSNKYYLIILVIFLLTQIFTAMLNMGIFFMKYVLGDERLLGTFAWAINVPLVIGLMITPYIVSKYGGMYRINILGYIIAVAGRLGVLVAAYMQNVPLMLAFSAIASLGMSPLQGTLNALIAEASEYTWLRTGKRIDGLLFSCTSLGVKIGSGLGTAASGWLLQMSGYHANMEVQPDSAIQMLYVMYVWLTLGANVIILLLLTRLDVEKATARFKEQADAMASDGSVSQPS</t>
  </si>
  <si>
    <t>GC_00002674</t>
  </si>
  <si>
    <t>PF13434.12</t>
  </si>
  <si>
    <t>L-lysine 6-monooxygenase/L-ornithine 5-monooxygenase</t>
  </si>
  <si>
    <t>K10531</t>
  </si>
  <si>
    <t>L-ornithine N5-monooxygenase [EC:1.14.13.195 1.14.13.196]</t>
  </si>
  <si>
    <t>COG3486</t>
  </si>
  <si>
    <t>Lysine/ornithine N-monooxygenase (IucD) (PDB:3S5W)</t>
  </si>
  <si>
    <t>KEGG Orthology (KO)&gt;&gt;&gt;09190 Not Included in Pathway or Brite&gt;&gt;&gt;09191 Unclassified: metabolism&gt;&gt;&gt;99980 Enzymes with EC numbers|Enzymes&gt;&gt;&gt;1. Oxidoreductases&gt;&gt;&gt;1.14  Acting on paired donors, with incorporation or reduction of molecular oxygen&gt;&gt;&gt;1.14.13  With NADH or NADPH as one donor, and incorporation of one atom of oxygen into the other donor&gt;&gt;&gt;1.14.13.195  L-ornithine N5-monooxygenase (NADPH)|Enzymes&gt;&gt;&gt;1. Oxidoreductases&gt;&gt;&gt;1.14  Acting on paired donors, with incorporation or reduction of molecular oxygen&gt;&gt;&gt;1.14.13  With NADH or NADPH as one donor, and incorporation of one atom of oxygen into the other donor&gt;&gt;&gt;1.14.13.196  L-ornithine N5-monooxygenase [NAD(P)H]</t>
  </si>
  <si>
    <t>MTLPTTSLSSDSLPSHQDIRQTNGTDTLDVIGIGFGPSNIAFAAALADENEAHPDKAQLTALFLESSPTTAWHPGMLLPDAVMQIAFPKDLATLRNPRSRFTFFNYLFENNRLTDFINLQTFFPSRQEIADYIQWAARNVPVDVQYGTSVTSIDTDGDIAVVNTVDADGNTQHYRARAVLLGTGLNPSLPDGLTENDRVSHSVHILPFLEQFREHNTTTPNKKLAVLGGGQSAAEIAKYLHATFPDSEVHLIHTRYGLTPSDDSPFANRVFDPDAVDKWHAAPVEERERLRAVHAGTNYTAVDPDLLNELFRLTYKERLDGKKRLFIHDTTYVTSIAETPDGVQLQLENSMDSTTETLNADMLICGTGFNESDPREFFVDLSHIPVDDNGRVIVERDYRLATGDTPAPAIYLCGGVEHSHGFSSSLLSLVSIRAGEVLESVKSYLATTSTRVT</t>
  </si>
  <si>
    <t>MTLPTTSLSSDSLPSHQDIRQTNGTDTLDVIGIGFGPSNIAFAAALADENEAHPDKAQLTALFLESSPTTVWHPGMLLPDAVMQIAFPKDLATLRNPRSRFTFFNYLFENNRLTDFINLQTFFPSRQEIADYIQWAARNVPVDVQYGTSVTSIDTDGDIAVVNTVDADGNTQHYRARAVLLGTGLNPSLPDGLTENDRVSHSVHILPFLEQFREHNTTTPNKKLAVLGGGQSAAEIAKYLHATFPDSEVHLIHTRYGLTPSDDSPFANRVFDPDAVDKWHAAPVEERERLRAVHAGTNYTAVDPDLLNELFRLTYKERLDGKKRLFIHDTTYVTSIAETPDGVQLQLENSMDSTTETLNADMLICGTGFNESDPREFFVDLSHIPVDENGRVIVERDYRLATGDTPAPAIYLCGGVEHSHGFSSSLLSLVSIRAGEVLESVKSYLATTSTRVT</t>
  </si>
  <si>
    <t>GC_00002675</t>
  </si>
  <si>
    <t>MTFDFGGRQYDKDGLPIEKTPPPAATPQVNPSPSYQQPQQQAPFAQPQQQTPGFATPTPQSQPAPFAQPLMQQPGYGVAAPVPVGYQQKSWVASFLLAFFLGSFGVHNFYLGYSSRAKVQLLLGVGGIVTSPFIIGFLPLLAVGVWAFIEFIMILLSVGEFAHDAQGVPLQK</t>
  </si>
  <si>
    <t>MTFDFGGRQYDKDGLPIEKTPPPAATPQVNPSPSYQHPQQQAPFAQPQQQTPGFATPTPQSQPAPFAQPLMQQPGYGVAAPVPVGYQQKSWVASFLLAFFLGSFGVHNFYLGYSSRAKVQLLLGVGGIVTSPFIIGFLPLFAVGLWAFIEFIMILLSVGEFAHDAQGVPLQK</t>
  </si>
  <si>
    <t>GC_00002676</t>
  </si>
  <si>
    <t>MSQPMLLAQVEQVEAQLGQPLPADYRDFLLDDANEDAGEWGFFIAPEDFLYCELDWTKDFPFSLEHPVDDSPLREFYKRAVHAEKVEHDSNKYNALYDESFDYMVENFLKPMERGIVYVADNGCCMYSFLVLRGEAAGQVWWCEVDAFSVTIEPHFRPFTNEPLSFTEWQFFDKYRYRLTAARENLRNLWEYSWTYPLESKEGRSAIMAMLIEEKLTGMTKEEIEKITCVDDIPESAMFLDQFSDEWHPVRNGIVFPARTM</t>
  </si>
  <si>
    <t>MSQPMLLAQVEQVEAQLGQPLPADYRAFLLDDANEDAGEWGFFIAPEDFLYCELDWTKDFPFSLEHPVDDSPLREFYKRAVHAEKVEHDSNKYNALYDESFDYMVENFLKPMERGIVYVADNGCCMYSFLVLRGEAAGQVWWCEVDAFSVTIEPHFRPFTNEPLSFTEWQFFDKYRYRLTAARENLRNLWEYSWTYPLESKEGRSAIMAMLIEEKLTGMTKEEIEKVTCVDDIPESAMFLDQFSDEWHPVRNGIVFPASTM</t>
  </si>
  <si>
    <t>GC_00002677</t>
  </si>
  <si>
    <t>K08372</t>
  </si>
  <si>
    <t>putative serine protease PepD [EC:3.4.21.-]</t>
  </si>
  <si>
    <t>KEGG Orthology (KO)&gt;&gt;&gt;09130 Environmental Information Processing&gt;&gt;&gt;09132 Signal transduction&gt;&gt;&gt;02020 Two-component system [PATH:ko02020]|Peptidases and inhibitors&gt;&gt;&gt;Serine peptidases&gt;&gt;&gt;Family S1: chymotrypsin family</t>
  </si>
  <si>
    <t>MTNTPRNSNDNDNQPFGNPQQSGSSGFEWPGSTSASQPQQPQQPQQAQQPQQSQQQGPQQPPQQPVAPQQRPQETQQIPRTPTSQSVSDVPSSLGNPNNPYSAAGSMAQPPQAQQVKEKRTIGLLPAAALIVVAAIASGAITGIYATRFAPSANTSSVAESLKEPASRGKPQAEAGTVQAVAEAVQPAVVSIRLLTEDNAISGSGSIISQDGYVLTNNHVVEGAADGRAEMTVTLQDGSTHRAKFIAGDSNTDVAVIKVEDVNNMPTITIGNSDDLAVGQNVVAIGAPLGLEQTVTTGIVSALNRPVRAGEGGEATIIDAIQTDAAINPGNSGGPLVNMNGELIGMNSIIASTTSNGSEEAGSIGLGFAIPANFARRTADQLIKEGKASYPLIGVSLDQRFRESGAKIAEVSKDGPGDKAGLKKGEVVVAINDRVIKNANGLIAAVRSSDFGAKIKLKVVDEKGENPREVEVTLPNE</t>
  </si>
  <si>
    <t>MTNTPRNSNDNDNQPFGNPQQSGSSGFEWPGSTSASQPQQPQQPQQAQQPQQSQQQGPQQPPQQPVAPQQRPQETQQIPRTPTSQSVSDVPSSLGNPNNPYSAAGPMAQPPQAQQVKEKRTIGLLPAAALIVVAAIASGAITGIYATRFAPSANTSSVAESLKEPASRGKPQAEAGTVQAVAEAVQPAVVSIRLLTEDNAISGSGSIISQDGYVLTNNHVVEGAADGRAEMTVTLQDGSTHRAKFIAGDSNTDVAVIKVEDVNNMPTITIGNSDDLAVGQNVVAIGAPLGLEQTVTTGIVSALNRPVRAGEGGEATIIDAIQTDAAINPGNSGGPLVNMNGELIGMNSIIASTTSNGSEEAGSIGLGFAIPANFARRTADQLIKEGKASYPLIGVSLDQRFRESGAKIAEVSKDGPGDKAGLKKGEVVVAINDRVIKNANGLIAAVRSSDFGAKIKLKVVDEKGENPREVEVTLPNE</t>
  </si>
  <si>
    <t>GC_00002678</t>
  </si>
  <si>
    <t>PF17937.6</t>
  </si>
  <si>
    <t>MSEKPDTPTDTRTRILDAAGRILVRDGSDGFTIAAVAKEAGVSKGGLFYHFESKDQLIAGLIQHYVSGFDQLIAQAGDEPGAATRAYLRSAAQPAPRPVLALLAAAISNPAALESLNQRYTTWQRRLDHDGIPPHVATLVRCAIDGLWLAETFDLAAPNPATRGRMLAELEKLID</t>
  </si>
  <si>
    <t>MSEKPDTPTDTRARILDAAGRILVRDGSDGFTIAAVAKEAGVSKGGLFYHFESKDQLIAGLIQHYVSGFDQLIAQASDEPGAATRAYLRSAAQPAPRPVLALLAAAISNPAALESLNQRYTTWQRRLDHDGIPPHVATLVRCAIDGLWLAETFDLAAPNPATRSRMLAELEKLID</t>
  </si>
  <si>
    <t>GC_00002679</t>
  </si>
  <si>
    <t>V|V</t>
  </si>
  <si>
    <t>Defense mechanisms|Defense mechanisms</t>
  </si>
  <si>
    <t>COG1468|COG1518</t>
  </si>
  <si>
    <t>CRISPR/Cas system-associated exonuclease Cas4, RecB family (Cas4) (PDB:4R5Q)|CRISPR-Cas system-associated integrase Cas1 (Cas1) (PDB:2YZS)</t>
  </si>
  <si>
    <t>CRISPR-Cas system|CRISPR-Cas system</t>
  </si>
  <si>
    <t>MSYREDAVLPISLVAQTVYCERRAWLEANGEVTDTSQMQHGHSSHHGVDDPATSRSQQRRSVQVKSDELGIIGRCDVVEPVDNDSMRVVEYKSTPVRKTPQVTEANRIQLALQGICLKESGENITEYAVYFTDHNKKMPVELTEKDFNLARSFVDRTRNIIEGTIAPGPLEDSPKCSWCSHVSVCLPDEHLGRVTSQKIVPSKPDSQVVHLTVQGARASVRKGRMIVQSKGEQIGDVPLERIHSVVIHGNIDLSSALLRDLMWRDYTVIWCSSSGRVYGWSQPGTGPNGLARVQQHVLSARGSVPIATEMISSKIANQATLLRRNGDADHAVKELRKLQQNALKAASLPELFGIEGDAASLYFGGFETMLSTATLRSLGWWWQGRTGRGATDPLNILLNYAYGLLSSECIRAILTCGLDPHAGFLHSSNRNKPALALDLMEEFRAVVADSVVLTLVNRRQISGGSFLSAGDSLRLSPTGRTAIIKAFERRINAEFKHPFFGYSVTWRRAIEIQARMILGVLNGSHPSYVGVKVR</t>
  </si>
  <si>
    <t>MSYREDAVLPISLVAQTVYCERRAWLEANGEVTDTSQMQHGHSSHHGVDDPATSRSQQRRSVQVKSDELGIIGRCDVVEPVENDSMRVVEYKSTPVRKTPQVTEANRIQLALQGICLKESGENITEYAVYFTDHNKKMPVELTEKDFNLARSFVDRTRSIIEGTIAPGPLEDSPKCSWCSHVSVCLPDEHLGRVTSQKIVPSKPDSQVVHLTVQGARASVRKGRMIVQSKGEQIGDVPLERIHSVVVHGNIDLSSALLRDLMWRDYTVIWCSSSGRVYGWSQPGTGPNGLARVQQHVLSARGSVPIATEMISSKIANQATLLRRNGDADHAVKELRKLQQNALKAGSLPELFGIEGDAASLYFGGFETMLSTATLRSLGWWWQGRTGRGATDPLNILLNYAYGLLSSECIRAILTCGLDPHAGFLHSSNRNKPALALDLMEEFRAVVADSVVLTLVNRRQISGGSFLSAGDSLRLSPAGRTAIIKVFERRINAEFKHPFFGYSVTWRRAIEIQARMILGVLNGSHSSYVGVKVR</t>
  </si>
  <si>
    <t>GC_00002680</t>
  </si>
  <si>
    <t>MKSFTTKTMAIVTAAAAALTLSACSNDDKDSSGSKETTSAARTTAAAATLPTAADLNTVLTTATDPAAPVEAKIRTVQGGQSAPELFETMTRSKQESGANFQVVDPILPGYTPNSVLATVSFSVPGNENRKADNVEFIFEDNVWKLSQTWACTLITNTVAPEQVPPMCANDTAVPQPSGAAPAPAPGAAPAPA---APAPAPGAAPAPAAPAPAPGAAPAPAAPAPAAR</t>
  </si>
  <si>
    <t>MKSFTTKTMAIVTAAAAALTLSACSNDDKDSSGSKETTSAARTTAAAATLPTAADLNTVLTTATDPAAPVEAKIRTVQGGQSAPELFETMTRSKQESGANFQVVDPILPGYTPNSVLATVSFSVPGNENRKADNVEFIFEDNVWKLSQTWACTLITNTVAPEQVPPMCANDTAAPQPSGAAPAPAPGAAPAPAAPGAPAPASGAAPAPAAPAPAPGAAPAPAAPAPAAR</t>
  </si>
  <si>
    <t>GC_00002681</t>
  </si>
  <si>
    <t>MRIAYVSVDPGVSVFGPHGASVHIQEIVREFAAQGHEVTIFTTRRGFDLVYERYSLFSTVIAEVNQPGVLEVNSPLLDLQRTHRDVVEYAIWAAAVAQEPWQLRIVGDGPQRVPLMNLAQKLRVDADFRGAVSPSEIPGQLRGSAIGVAPYPETVSAHHYFSPLQVYEYLAAGLPIVASSIGQIPHAVGDAGVLVPGSNASALAQALVSQSRGMSGWRRHIGHRGHRGRHIRGTAS</t>
  </si>
  <si>
    <t>MRIAYVSVDPGVSVFGPHGASVHIQEIVREFAAQGHEVTIFTTRRGFDLVYERYSLFNTVIAEVNQPGVLEVNSPLLDLQRAHRDVVDYVIWAAAVAQEQWQLRIVGDGPQRVPLMDLAQKLRVDADFRGAVSPSEIPGQLRGSAIGVAPYPETVSAHHYFSPLQVYEYLAAGLPIVASNIGQIPHAVGDAGVLVPGSNASALAQALVSQSRGMSGWRRHIGHRGHRGWHMRGTAS</t>
  </si>
  <si>
    <t>GC_00002682</t>
  </si>
  <si>
    <t>PF24481.2</t>
  </si>
  <si>
    <t>CT398-like coiled coil hairpin domain</t>
  </si>
  <si>
    <t>MKLDPQQQVLLLELATTQRLHESSGKAPESPEQAELTKATNALARQRSATHAAQRAVDDMEREILRIQADEARLRSRIADNKKQLMAATDPNTRKDLNKDLYTTKSRLNDLLSELAEAHNEIHALRNNLDLANQRLADAEQAFDAAQAAKDAAPAVPTAADREHRMAEIRQSLPADIIAAYDAQRNENSVGVAAFNGRSCGGCFIILPAGDIAAIRGAAADELPQCPDCGSYLVRT</t>
  </si>
  <si>
    <t>MKLDPQQQVLLLELATTQRLHESSGKAPESPEQAELTKATNALARQRSATHAAQRAVDDMEREILRIQADEARLRSRIADNKKQLMAATDPSTRKDLNKDLYTTKSRLNDLLSELAEAHNEIHALRNNLDLANQRLADAEQAFDAAQAAKDAAPAVPTAADREHRMAEIRQSLPADIIAAYDAQRNENSVGVAAFNGRSCGGCFIILPAGDIAAIRGAAADELPQCPDCGSYLVRT</t>
  </si>
  <si>
    <t>GC_00002683</t>
  </si>
  <si>
    <t>MNFRTALGVAVTIVMTSASLLIPATAGAQETT-----TEASAGQTATETPEKSTETTTA-STSDTQDPNPDSKSDPNKDLQDLSNDLSNNKDKDKDGSSITYDDKGAIESVGSVTTDTLKFIGAIIKVLAGVAGLMVLLGKAFPAVKDLIHNIARGGHL</t>
  </si>
  <si>
    <t>MNFRTALGVAVTIVMTSASLLVPATAGAQETTTTEASTEASAGQTATETPEKSTEATTAISTPDAQDPNSDSKSDPNKDLQDLSNDLSNNKDKDKDGSSITYDDKGAIESVGSVTTDTLKFIGAIIKVLAGVAGLMVLLGKAFPAVKDLIHNIARGGHL</t>
  </si>
  <si>
    <t>GC_00002684</t>
  </si>
  <si>
    <t>MDREELIRILQQHPGIAKVTEEPLPADPNEADSIVIHFDDGTVAHMNPGLTSPLVPDETKDDLIQRIIHTVDTMKVNMTDFDPASLTNIVPLVRAADYFADHGEGSADAYGWLTDYIGFGLAIDEPKILRIINDSQLPEGHDEFDILQLQSQAIENLHTMSEYLTVSEVGLGPNVVAVSRPADNESAWFADAAGMENALVELYNQTHTTWLVIPARRNQLFFVNSDATPEEWRGLLDLLEPALDAHDCLHPLPHLIVDGQWEERLPPTDTDWGRRFRKLQLTAQSRIYNVLARTLAAHMAAHNQEQPGQPEDAGFEIADFTVYSINDELYSVAEITEAAQRTSVPITDMIFIADGDSMLYVMFTDLCRECPHLVEPQDDQHPPRAIITRPTPRDYERLREFTLA</t>
  </si>
  <si>
    <t>MDREELIRILQQHPGIAKVTEEPLPADPNEVDSIVIHFDDGTVAHMNPGLTSPLVPDETKDDLIHRIIHTVDTMKVNMTDFDPASLTNIVPLVRAADYFADHGEGSADAYGWLTDYIGFGLAIDEPKILRIINDSQLPEGHDEFDILQLQSQAIENLHTMSEYLTVSEVGLGPNVVAVSRPADNESAWFADAAGMENALVELYNQTHTTWLVIPARRNQLFFVNSDATPEEWRGLLDLLEPALDAHDCLHPLPHLIVDGQWEERLPPTDTDWGRRFRKLQLTAQSRIYNVLARTLAAHMAGRNQEQPS---EVGFEIADFTVYSINDELYSVAEITETAQRTSVPITDMIFIADGDSMLYVMFTDLCRECPHLVEPQDDQHPPRAIITRPTPRDYERLREFTLA</t>
  </si>
  <si>
    <t>GC_00002685</t>
  </si>
  <si>
    <t>PF12836.13</t>
  </si>
  <si>
    <t>Helix-hairpin-helix motif</t>
  </si>
  <si>
    <t>K02237</t>
  </si>
  <si>
    <t>competence protein ComEA</t>
  </si>
  <si>
    <t>COG1555</t>
  </si>
  <si>
    <t>DNA uptake protein ComE or related DNA-binding protein (ComEA) (PDB:2DUY)</t>
  </si>
  <si>
    <t>MDLAHRLADLTAPTGEEELLNVRYPTPRLRITPRHGLFVVAAAAVLCAVVGGRYLVASEPAEEAPVTFPLATSSAAEPPGEIVVSVVGAVAHPGLTTLAPGARAADALAQAGPLPEAELLGINQAQKLNDGVQIVVPKQGEAVPAPAGNPGGGSGAGGGKVSLNTATAADLIALSGVGEKTAAAIIAHRDSIGGYTSVEQLKDVKGIGPAKYAELEKQVTL</t>
  </si>
  <si>
    <t>MDLAHRLADLTAPTGEEELLNVRYPTPRLRITPRHGLFVVAAAAVLCAVVGGRYLVASEPAEEAPVTFPLATSSAAEPPGEIVVSVVGAVAHPGLTTLAPGARAADALAQAGPLPEAELLGINQAQKLNDGVQIVVPKQGEAVPAPAGNPGGGSGAGGGKVSLNTATAADLIALSGVGEKTAAAIIAHRDSIGGYTSVEQLKDVKGIGPAKFAELEKQVTL</t>
  </si>
  <si>
    <t>GC_00002686</t>
  </si>
  <si>
    <t>MTHREDPTGDELVGSNIAAVEQVDGLTASSGPSGDSASRQQAHPAPSPYKRSTIPEVMILGLAGIAFVVALFILLWSGFNDAIGSQAGLLVGSFVLTSGFLVMSWALYRRALSEQDTAVTLDRERRQETAALDRLNREEAAKQAQLERDEQSRQAGEHILLASEQDRKLHASARRTELSTRLNATLPRLCSEDSTMQAAAITELLFQIDDWSALINTEIDAEFAPEKRHILSEEGRRRRQELFNLAFNNEINNNEVLKTRCDGLVQRLHKDSNLRTLDDLDKTRLALGIQLIAQRGNNGGVVSTQAQFENVKFPTGLRLSGNLSGLNFRGAELPKANLQGADLRGCDLRDTNLQGADLRKTSLLGADLMSAHLENSNLRGSDLQKANLHKAVLRNADLRDTDLEGAYLVGADLQGANLQKANLRLANLQESHLQQTHLQQANLQQADLKNTSLASAKMDSANFQESRLQNSDLQQSDLRNANLQGADMKNVDLQWAKLQGANLHKANLCEAKALNSEFNEHTNYDSAMYNMSTIFPEGLSPITTRMVFIDEDGRPTEIREAELA</t>
  </si>
  <si>
    <t>K21919</t>
  </si>
  <si>
    <t>BTB/POZ domain-containing protein KCTD9</t>
  </si>
  <si>
    <t>Ubiquitin system&gt;&gt;&gt;Ubiquitin ligases (E3)&gt;&gt;&gt;Multi subunit Ring-finger type E3&gt;&gt;&gt;Cul3 complex&gt;&gt;&gt;Adoptor and target recognizing subunit (BTB)</t>
  </si>
  <si>
    <t>MTHREDPTGDEPVGSNIAAVEQVDGLTTSSSPSGNSASRQQAHPAPGTYQRSTMPEVMILGLAGIAFVVALFILLWSGFNDAIGSQAGLLVGSFVLTSGFLVMSWALYRRALSEQDTAVTLDRERRQETAALDRLNREEAAKQAQLERDEQSRQAGEHILLASEQDRKLHASARRTELSTRLNATLPRLCSEDSTMQAAAITELLFQIDDWSALINTEIDAEFAPEKRHILSEEGRRRRQELFNLAFNNEINNNEVLKTRCDGLVQRLHKDSNLRTLDDLDKTRLALGIQLIAQRGNNGGVVSTQAQFENVKFPTGLRLSGNLSGLNFRGAELPKANLQGADLRGCDLRDTNLQGADLRKTSLLGADLMSAHLENSNLRGSDLQKANLHKAVLRNADLRDTDLEGAYLVGADLQGANLQKANLRLANLQESHLQQTHLQQADLQQADLKNTSLASAKMDSANFQESRLQNSDLQQSDLRNANLQGADMKNVDLQWAKLQGANLHKANLCEAKALNSEFNEHTNYDSAMYNMSTIFPEGLSPITTRMVFIDEDGRPTEIREAELA</t>
  </si>
  <si>
    <t>GC_00002687</t>
  </si>
  <si>
    <t>MRALRRFAHGHLAVFLMAALFLVSCTTSESPPAPPPRQLTTPLRGITLESLDDLGRSLDLMAASPTPLTVRVVMDTAMQPEEYRDAVARIHDRAQVMVQVVDSEQLTELSTTEMADRTKAALRDLGEWVDVWEIGNEPNGEWAGSDPKEINAKVAAAHDVVAKAGRPTALTLNYWSSPDCYEHAWEDTMRFAHTVTRQPDYVLLSIYETACDPPQHPTAADIVHTLTALGTVFPHARLGIGEVGAQNRSDGRPQDPGLAEKQQIAQYYYGMHNELRAQVGPRFVGGYFWWYFHADAVRGGLWPTLRQLISGLGDDDASENCAGSKCGVAPAPPPAHG</t>
  </si>
  <si>
    <t>------------------------------------------------------------MAASPTPLTVRVVMDTAMQPEEYRDAVARIHDRAQVMVQVVDSEQLTELSTTEVADRTKAALRDLGEWVDVWEIGNEPNGEWAGSGPGEINAKVAAAHDVVAQAGRPTALTLNYWSSPDCYEHAWEDTMRFAHTVSRQPDYVFLSIYETACDPPQHPTAADIAHTLTALGTVFPHARLGIGEVGAQNRSDGRSQD</t>
  </si>
  <si>
    <t>GC_00002688</t>
  </si>
  <si>
    <t>MIPAHWVEHRRSDDRELIGWVDLDTHAPQLLPYNRLGQPLELVDSWDEAEAAIDAIGLRCLTGRFQYQADGSEELTVRIKHVYDDRIVLTTALTDAVEDVGEEITIPFPAPAALR</t>
  </si>
  <si>
    <t>MIPAHWIEYRRSDDRELVGWVDLDTHAPQLLPYNRLGQPLELVNSWDEAEAAIDAIGLRCLTGRFQYQADGSEELTVRIKHVYDDRIVLTTALTDAVEDVGEEITIPFPAPAALR</t>
  </si>
  <si>
    <t>GC_00002689</t>
  </si>
  <si>
    <t>MTTRDVTSASRNLLIIYWVISAFCSYQLGIALRVTTKLVGFATFYLGFMSLVHIPILMAASLGLCIFPKHTPHIWRQIRIPTILIWIIVTLEVWLMDDGDAARDYPNPLTSLVNRRIGGDREVTYLLVAGVFFIIAAACYARILVIGMRTRSRTDAETQDTPPPPCTEQSGIHPRSDRRFREITPRTGKTAPRDERIPSILSWIGLSFIVPLGIMLRFGAMSGAEKIAWPMLGSFIMYFTTFPLLLLGFVFLVYPKDQPPFLQAKVPFIGFWIMATLAMTMWMFPRIAIIHATDAQIEAFDRITMSLAVITLGFWLWLLGTGGTLRSDRTPPD</t>
  </si>
  <si>
    <t>MTTRDVTSASRNLLIIYWVISAFCSYQLGIALRVTTKLVGFATFYLGFMSLVHVPILMAASLGLCIFPKHTPHIWRQIRIPTILIWIIVTLEVWLMDDGDAARDYPNPLTSLVNRHIGGDREVTYLLVAGVFFIIAAACYARILVIGMQTRSRTDAETQDTPPPPRTQQSGICPWP------IGSRTGKTAPRDERIPSILSWMGLSFMVPLGIMLRFGAMSGAEKIAWPLLESFIMYFTTFPLLLLGFVFLVYPKDQPPFLQAKVPFIGFWIMATLTMSMWMFPRIAIIHATHAQTESFDRTAMSLAVIALGFWLWLLGTGGSLRDDRTPPD</t>
  </si>
  <si>
    <t>GC_00002690</t>
  </si>
  <si>
    <t>MKRATYYVATLMLCGGIITPTAAMAQSFPQPAPASQAAQNPHQVPKPFEVGILKWSQDVYNAGHTSEQEAQRCSSSTPMLPTQLGQTTNQAVANCSTRAIGFVEFITASLVHLVVKVTKPVPGYQGITPAPKPANGEINLSNANVLPHN</t>
  </si>
  <si>
    <t>MKRATYYVATLMLCGGIITPTAAMAQSFPQPAPASQAAQNPHQVPKPFEVGILKWSQDVYNAGHTSEQEAQRCSSATPMLPTQLGQTTNQAATNCSTRAIGFVEFITASLVHLVVKVTKPVPGYQGITPAPKPANGEINLSNANVLPRD</t>
  </si>
  <si>
    <t>GC_00002691</t>
  </si>
  <si>
    <t>MKTLNKKLVSVVASVVIAMGVMAPAAHAQDPTGSTGRCGTLIVLPRVLGKIGMDYANAILIALEVLIGKRDIRDKEVDVFPEQVGKAPRLSMESSSTIPFMDEATRERLYSQFCL</t>
  </si>
  <si>
    <t>MKSLNKKLVSVVASVVIAMGVMAPAAHAQDPTGSTGRCGTLIVLPRVLAQLSMDYMYALFVAFEVLSGYKSFYDKEADLLPEQARNAPRWFRESVTTIPFMDEATRERLYSQYCL</t>
  </si>
  <si>
    <t>GC_00002692</t>
  </si>
  <si>
    <t>PF13424.12</t>
  </si>
  <si>
    <t>MIATSTQLKTHLAELQERSGMHHPDTYRAWNEYIDALVAENQLDAAAAEFSALLTVQEQSYGKKSSETIPLRRRFANFLYQAGDVRDAGTQFAVLQEVAAHNLGPEHLETLHAQEQVAQCLNRLGNVEGATQIFSRVYTSRRHVQGKDHPDTLTSWAHYTVSLGKTGKHKEALAECEKLLPRFTAVWGETDERTVIMHAKRAAALHALQRYDEAIEEYEQTIESYVRVFGPADPSTFKIRNQYAICLSNAHHADAAVAHTAALLDDSRKVFGPHHPKTLRYWNSYAAGLANQNELEESLMEFHDLLATRLELFGENHPDTLHTILGYAKILDGANRHEDAAEFYRALIDLVIKDRGENHPDVIRLRTIYARSLLAAGNYEKASTEFDLARRAARDVFGETHKRHFIIWSQYATTLVCLDRYEEALAEFEGLLAVSRQINGDDSLETIELRYDYMRTLFALGRVDDAWSEYDVLVQDCTRIYGEDHSTTRHVQEFGAQFAGEIAEPKNPVE</t>
  </si>
  <si>
    <t>MIATSTQLKTHLVELQERSGMHHPDTYRAWNEYIDALVAENQLDAAAAEFSALLTVQEQSYGKKSSETIPLRRKFANFLYQAGDVRDAGTQFAVLQEVAAHNLGPEHLETLHAQEQVAQCLNRLGNVEGATQIFSRVYTSRRHVQGKDHPDTLTSWAHYTVSLGKTGKHKEALAECEKLLPRFTAVWGETDERTVIMHAKRAAALHALQRYDEAIEEYEQTIESYVRVFGPADPSTFKIRNQYAICLSNAHHADAAVAHTAALLDDSRKVFGPHHPKTLRYWNSYAAGLANQNELEESLMEFHDLLATRLELFGENHPDTLHTILGYAKILDGANRHEDAAEFYRALIDLVIKDRGENHPDVIRLRTIYARSLLAAGNYEKASTEFDLARRAARDVFGETHKRHFVIWSQYATTLVCLDRYEEALTEFEGLLAVSRQINGDDSLETIELRYDYMRTLFALGWVDDAWSEYDALVQDCTRIYGEDHSTTRHVQEFGAQFAGEIAEPKNPVE</t>
  </si>
  <si>
    <t>GC_00002693</t>
  </si>
  <si>
    <t>MKRVRLAYLTGALTVLISMLGVPALAVADTIISTVPSNTAENYLDPHSAVELNRDQQAVMPNFIKGFLNYGDDAFVLNMGAIILVVMGIVLLFLACWGYKRPVKQ</t>
  </si>
  <si>
    <t>MKRVRLAYLTGALTVLISMLGAPALAVADTIISTAPSNTAENYLDPHSAVELNRDQQAIMPNFIKEFLNYGDDAFVLNMGAIILVVMGIVLLFLACWGYKRPVKR</t>
  </si>
  <si>
    <t>GC_00002694</t>
  </si>
  <si>
    <t>-------MWLFTNINGLFGALNSTTPQPLAERMIVALSQGKFLALLSLIFGVGLALQLDSARRRNQRWPGAYIRRMLLLLLDGAINFLLIAEFDVLMGYAITGLIVSYLVLTRPRTQRIVIITLGTIHVVLLSLIAWAAEFYSGGTGDIPTSAHVNTPYAHGSFLDLVMFRLNNAALFRSESILIAALTIAMFLLGVRLYEAGVFNPEATSLRKRLLLIGAVALPIDLALGIAGNTGLVLLERYVVAPFTAMGLL</t>
  </si>
  <si>
    <t>MGTLWTNMWLFTNINGLFGALNSTTPQPLAERMIVALSQGKFLALLSLIFGVGLALQLDSARRRNQRWPGPYIRRMLLLLLDGAINFLLIAEFDVLMGYAITGLIVSYLVLTKPRTQRIAIITLGTIHVALLSLIAWAAEFYSGGTGDIPTSAHLNTPYAHGSFLDLVMFRLNNAALFRSESILIAALTIAMFLLGVRLYEARVFNPEATSLRKKLLLIGAVALPIDLALGIAGNTGLVLLERYVVAPFTAMGLLALIIEACQRLGTTNLTGRLLQNVGRTALSCYLLQNLLGGIFFYGWGFGLVNHVQSWRIPATMLGYIVIAAAVVMFANLWLRRFSTGPVEWLWKKMAQL</t>
  </si>
  <si>
    <t>GC_00002695</t>
  </si>
  <si>
    <t>MLLDKPHVVEGFGHCIINVGALDAGSQSDAIDGGIKGANEFSHPQHGLAREECGCHRGIGNGREPGSKVTDVLWINVKIIVHI</t>
  </si>
  <si>
    <t>MLLDKPHVVEGFGHCIINVGALNAGSQSDAIDGGIKGANEFSHPQHGLAREECGCHRGIGNGREPGSKVTDVLRINVKIIVHI</t>
  </si>
  <si>
    <t>GC_00002696</t>
  </si>
  <si>
    <t>PF04536.20</t>
  </si>
  <si>
    <t>TPM domain</t>
  </si>
  <si>
    <t>COG1512</t>
  </si>
  <si>
    <t>Uncharacterized membrane protein YgcG, contains a TPM-fold domain (YgcG) (PDB:2KW7)</t>
  </si>
  <si>
    <t>MTVGIGISPFALAGERVFVQAQGTSTATKLSMGVTDQAGRLSQEEIDSINKLAQDYRHKTDGIAYIVFVDSFPPGMDAQEWATQALKPIAASRYDILLAVGSNTYGYAYSEAFTAKSFKQVDTAVVSHLRQHDWAGAASSFITTAQQVAAGGSSSGDSKGSAAVGAAILLGGLGLLGAAGGGAVYAAKRKSKRDTAKAVEQGRALDPKDTAALSQLSTAALEQLAAEELVSTDESIKAAQAELDISVGEFGTERTRKFTQALQHSQSTLQKAFAIQQQINDRKYTSEFDKRSLLIEIISSCGQADDVLDQEAKNFADMRNLLVNAPQTLERLTQSTVDLQARITPAMEQMADLRRSFPAETLSSINHNVEIAQAALAEAEKQIDVGRDLAARPAGEQAGLIEAIRIAETDINQADRMLKAIESARSDIAAAQANLDALIAEIEGEIAQGEAIKSQGVAQGTQLDWNAVSNTLTRAREALQEARGIKDHDPLTAWTRLTDMDSQLDEMLEQIQSGITDHARVLRVFDQQSAAAQTAIRAAQDFISSRGRYVRSDARTKLADAEQAFEKAVAVRTSQTRDAINYARHATTQAQAALRVAQRDVDSEMRQNNSSGSSAGSFVAGALFNEMMNDHHRSGFGSYGSSGGGFNIGGGGGSFGGGGGGGGSF</t>
  </si>
  <si>
    <t>------------------MQAQGTSTATKLSMGVTDQAGRLSQEEIDSINKLAQDYRHKTDGIAYIVFVDSFPPGMDAQEWATQALKPIAASRYDILLAVGSNTYGYAYSEAFTAKSFKQVDTAVVSHLRQHDWAGAASSFITTAQQVAAGGSSSGDSKGSAAVGAAILLGGLGLLGAAGGGAVYAAKRKSKRDTAKAVEQGRALDPKDTAALNQLSTAALEQLAAEELVSTDESIKAAQAELDISVGEFGTERT</t>
  </si>
  <si>
    <t>GC_00002697</t>
  </si>
  <si>
    <t>MFSQRITMMRQQFFILLASMVVVLSGTIAYFAYHNLTYDRARTRQIRHAGFVEKQAVLPDKSVINYGEGPNNGIPLLLIHGQQVSWQDYSQVLTELSSRYHVFAVDCYGHGGSSKDPKKYTARANSDDIVWFINNVVKDQVVVSGHSSGGLIATLVAATAPDMVRGLVIEDAPFFSTEPDRAPKTFAGYGFKDMHDFLASGEPNFTRYSLEHTYLAHLFGEKNFDNLVRKPALKRLDRRPHEIPRVWYYPPGWKINEIYDLTANMQDGTGSYDLRFGDAFYDYSWFTGFDQVETLRAVTCPSVLLHVGPDAKIGGYYDDNGVLLSAMDDKDSQRVYSLLPKQHRMLIDNVDSGHDIHAEKPDIFIYAVDVLAEKWG</t>
  </si>
  <si>
    <t>MFSQRITMMRQQFFILLASMVVVLSGTIAYFAYHNLTYDRARTRQIRHAGFVEKQAVLPDKSVINYGEGPNNGIPLLLIHGQQVSWQDYSQVLTELSSRYHVFAVDCYGHGGSSKDPKKYTARANSDDIVWFINNVVKDPVVVSGHSSGGLIATLVAATAPDMVRGLVIEDAPFFSTEPDRAPKTFAGHGFKDMHDFLASGEPNFTRYSLEHTYLAHLFGEKNFDNLVRKPALKRLDRRPHEIPRVWYYPPGWKINEIYDLTANMQDGTGSYDLRFGDTFYDYSWFTDFDQVETLRAVTCPSVLLHVGPDAKIGSYYDDNGVLLSAMDDKDSQRVYSLLPEQHRMLIDNVDSGHDIHAEKPDIFIYAVDVLAEKWG</t>
  </si>
  <si>
    <t>GC_00002698</t>
  </si>
  <si>
    <t>MSDNPVQGMQENIEAAIHGAQSAFSSFTSSGGSSAGSSDVAGSSAGSSGDAEAAAGSSAIHDAAGGSSAGSSDAAGSSAGSSDVAGSSVTHDAAAGSSAAAGSSASAGSAGSGSASATPVDHMPDQPEPDISNGFSPDYSQDDVLIADPYASDAQNISSRDVDGDGSIDVVHSTTDGVQQIDYLDNQGEVILTDVDLDGNGTFETAVTTEEDNVVVASSDIDDDGDMDVISYADGATGQVFQEDTVEGNVVVDSQLDLDGDGITDVELMDDNKDGTFDVAAVDSDMDGHANVLYHDVNGDGNFDYAAFDSDGDGIMDTNVDASSYANGSVGSVDNFDNLGHDSVQHDAGMDGTF</t>
  </si>
  <si>
    <t>MSDNPVQGMQENIEAAIHGAQSAFSSFTSSGGSSAGSSDVAGSSAGSSGEAEAAAGSSAIHDAAGGSSAGSSDA----AGSSDVAGSSVAHDAAAGSSAAAGSSAGAGSAGSGSASATPVDHMPDQPEPDISNGFSPDYSQDDVLIADPYASDAQNISSRDVDGDGSIDVVHSTTDGVQQIDYLDNQGEVILTDVDLDGNGTFETAVTTAEDNVVVASSDIDDDGDMDVISYADGATGQVFQEDTVEGNVVVDSQLDLDGDGITDVELMDDNKDGTFDVAAVDSDMDGHANVLYHDVNGDGNFDYAAFDSDGDGIMDTNVDASSYANGSVGSVDNFDNLGHDSVQHDAGMDSTF</t>
  </si>
  <si>
    <t>GC_00002699</t>
  </si>
  <si>
    <t>MAAVEPHLITHITINQVKYAIGRLGFLPISPPVNSPHDAQDRIIIPWQHHRTMVHFAEEEGKHLVALSTVRGQLDLSQFNDAAHLLSEWNRRRLGPTSLVYMSNEGDLGLEMRSSLLIEDGASPAQIVAFLHAAHETDILAVNHFLAAFPEMRSSLPLDEATTRDQLAFALPLPHIAERPIIPPPSAQRIIPAHDNTLSTNITIDRIAATLKDLGIQQYDDDDPHHITTGFNGVPIAFFIESGPTLLIRAFWFPDLDPDSDFIRTFLICNDWNETSTCTKAFPTTDDYGLQVHVDYVAPMSLGLTHHQLSHSIISAVQLLLEGLHSISVDTCGTSAVHWPPPPP</t>
  </si>
  <si>
    <t>MAAVEPHLITHITINQVKYAIGRLGFLPISPPINSPHDAQDRIIIPWQHHRTMVHFTEEEGKHLVALSTVRGQLDFSQFNDAAHLLSEWNRRRLGPTSLVYMSNEGDLGLEMRSSLLVEDGASPAQIVAFLHAAHETDILAVNHFLAAFPEMRSSLPLDEATTRDQLAFALPLPHIAEHPIIPPPSAQRIIPAHDNTLSTNITIDRIAATLKDLGIQQYDDDDPHHITTGFNGVPIAFFIESGPTLLIRAFWFPDLDPDSDFIRTFLICNDWNETSTCTKAFPTTDDYGLQVHVDYVAPMSLGLTHHQLSHSIISAVQLLLEGLHSISVDTCGTSAVHWPPPPP</t>
  </si>
  <si>
    <t>GC_00002700</t>
  </si>
  <si>
    <t>MNATTVKARLHDLTHPTGVEDTLSVDFPNNRPFRLAITPPAAIGVAILCALVGVGFIAWHFCAPSPANPTAGARLSS-HATMPLVPASAAATTASAPMSVIVAVVGEVDRPGLHTFAPTARVADALAAAQPKPQAQTLGLNLAQKLADGQQIVVPNIDAGPVPPPPSGVSGGAPSQSGTQAAGKISLNTATAQELTALTGVGEKTAQAIIAYRDAHGGFTSIDELQQVKGIGPAKFATISPEVTL</t>
  </si>
  <si>
    <t>MNATTVKARLHDLTHPTGVEDTLSVDFPNNRPFRLAITPPAAIGVAILCALVGVGFIAWHFCAP-PANPAAGARLSSPHTTVPLVPASAAATTASAPMSVIVAVVGEVDRPGLHTFAPTARVADALAAAQPKPQAQTLGLNLAQKLADGQQIVVPNIDAGPVPPPPSGISGGVPSQGGTQVTGKISLNTATVQELTTLTGVGEKTAQAIIAYRDAHGGFTSIDELQQVKGIGPAKFATISPEVTL</t>
  </si>
  <si>
    <t>GC_00002701</t>
  </si>
  <si>
    <t>-------------------MKLAREYAGMQQHDLADKTGLSRTSIANMETGRTKPRKKTITIIASATGVDREWLATGNAPVYITETGNPDTR---</t>
  </si>
  <si>
    <t>MLVLVGKTGAIPQFGINHRVKLAREYAGMQQHDLADKTGLSRTSIANMETGRTKPRKKTITIIASATGVDREWLATGNAPVYITEMGNPDVGSKD</t>
  </si>
  <si>
    <t>GC_00002702</t>
  </si>
  <si>
    <t>PF24088.1</t>
  </si>
  <si>
    <t>Domain of unknown function (DUF7373) N-terminal</t>
  </si>
  <si>
    <t>MKKLKASVVALLSVTLLSACGNLPNPLSKSQDGSTGQTSTATDAVGAGKESDAAKAFDTGGFKTEPLKPIPDPTPETGHITESFLLAEYVPMPYEVDPVLSKGKGGRAVLGAGNLGMIASNRAVDMLKAYDNRLQSGYYNSAEAPKARAVDPAMTTFQVVLRYDSPATAQEVAQKLAEEITAPVAEGELAVSYVPDSIPNMPNTYAAHYTSESTGETDYSAFTPYNEYVVYTWTSTPVGQEQWSRDYVKKSYDKQIPLLEQFPGIKTPAGYGKATNYPPHDPNNIAIYALQKREGDSAQVPGTYGPRGTAAFYSNTKNIYDTITQAGSVKNGKAVSLVFRADNDFGAQAILNSFMSKDLQAGAKQYDEPQGVPGTSCTENEEVNGTQYACYVTNGRYVADVSDRTYTNKPQDKADKKQLVSQMAAAQYEILKKADQKIENVKN</t>
  </si>
  <si>
    <t>MKKLKASVVALLSVTLLSACGNLPNPLGKSQDGSTEQTSTATDAVGAGKESDAAKAFDTGGFKTEPLKPIPDPTPETGHITESFLLAEYVPMPYEVDPVLSKGKGGRAVFGAGSLGMIASNRAVDMLKAYDNRLQSGYYNSAEAPKARAVDPATTTFQVVLRYDSPATAQEVVQKLAEESTAPVAEGELAVSYVPDSIPNMPNTYAAHYTSESTGETDYSAFTPYNEYVVYTWTSTPVGQEQWSRDYVKKSYDKQIPLLEQFPGIKTPAGYGKATNYPPHDPNNIAIYALQKREGDSAQVPGTYGPRGTAAFYSNTKNIYDTITQAGSVKNGKAVSLVFRADNDFGAQAILNSFMSKDLQAGAKQYDEPQGVPGTSCTENEEVNGTQYACYVTNGRYVADVSDRTYTNKPQDKAEKKQLVSQMAAAQYEILKKADQKIENVKN</t>
  </si>
  <si>
    <t>GC_00002703</t>
  </si>
  <si>
    <t>MKGTRRRRAAALLCTLGISLFNALPAPATESIPFLQVGGVKNGQPDPTRHHAILPPEQSLRWKVELKHGDQLALGMMVTPPEDAASIPGLARITADIIDPAGNHCVSESSDGTAANEFTQPISGFATSYVVGDTFGNCTPGAYDIVITRKGTLGGAHELPLDFTLWKIPTAATDTIATSAPPPELSMDINNSAATLHTATTLNDAPTVHAGSYETTLHSGTTQWLRIPIAEGQRLQIAIEAPPTQGTINWAVIGPNLYPVDIEEGTNNYGETTIPYRLKLDAMEVRKVTSITQEIRWGNIIEDTEFDHKGGFLAGEQNVALRYSADTPQSTTIRLALRAVGNAEPGPKLSYGVAGEAVEVSDAIRARKTSRNNQPTSPFIPIASGALLATAILVLGMLFMLRRR</t>
  </si>
  <si>
    <t>MKGTRRRRAAALLCALGISLFNALPVPATESIPFLQVGGVKNGQPDPTRHHAILPPEQSLRWKVELKHGDQLALGMMVTPPEDAASIPGLARITADIIDPTGNHCVSESSDGTAANEFTQPISGFATSYVVGDTFGNCTPGAYDIVITRKGTLGGAHELPLDFTLWKIPTAATDTIATSAPPPELSMDINNSAATLHTATTLNDAPTVHAGSYETTLHSGTTQWLRIPIAEGQRLQIAIEAPPTQGTINWAVIGPNLYPVDIEEGTNNYGETTIPYRLKLDAMEVRKVTSITQEIRWGNIIEDTEFDHKGGFLAGEQNVALRYSADTPQSTTIRLALRAVGNAEPGPKLSYGVAGEAVEVSDAIRARKTSRNNQPTSPFIPIASGALLATAILVLGMLFMLRRR</t>
  </si>
  <si>
    <t>GC_00002704</t>
  </si>
  <si>
    <t>MCTMRQHNARKMTLTKTIAAIATSVAVSGSTLIGAPAASAQPAAPAPTAASSTGARDLNSILAWFKSLFSGFSSSNGSSDSSSSGQGSSRGSSNSGSATSALSSPTSPASSTASTTDPIFTSMPTVPDAKNTTSAERPPEEPTTSAAAAPATTKVQQDKIEGLTKTAGNDPLITMTSKVIDETNQHRKSHGLGEVTLDNDLQSKAQAYADEMKSYNTSNFSDQPINYHHQPGIDHYENIMWAHNMQPGSIDPFESWKNSDAHNRAMLADVHRIGVGVAFDQNTKHFFAVMKLK</t>
  </si>
  <si>
    <t>MCTMRQHNARKMTLTKTIAAIATSVAVSGSTLIGAPAASAQPAAPAPTAASSTGTRDLNSILAWFKSLFSGFSSSNGSSDSSSSGQGSSRGSSNSGSATSALSSPTSPASSTASTTDPIFTSMPTVPDAKNTTSAERPPEEPTTSAAAAPATTKVQQDKIEGLTKTAGNDPLITMTSKVIDETNQHRKSHGLGEVTLDNDLQSKAQAYADEMKSYNTSNFSDQPINYHHQPGIDHYENIMWAHNMQPGSIDPFESWKNSDAHNRAMLADVHRIGVGVAFDQNTKHFFAVMKLK</t>
  </si>
  <si>
    <t>GC_00002705</t>
  </si>
  <si>
    <t>PF14025.11</t>
  </si>
  <si>
    <t>Protein of unknown function (DUF4241)</t>
  </si>
  <si>
    <t>MDPALFYPLKNSGTEYMGDTTLSLTVTDAGTITIPSGTLLVCDPFAQFIGLSHGLVYDVPAGDYPTKVTIANIPGKTPVNAYLSVVFSNTEPVTFEQPYPHRNPDEIPIPSAMRTDGVALDSGAAAVVDAAAAEAFTASTDLDSFTDYIHTDAPDGWFNLLRDHNGIAQTPLPDHKENMILARSGYDAGFYPIVAGYDRNHTMVSLHVDFLVVGGHPYD</t>
  </si>
  <si>
    <t>MDPALFYPLKNSGTEYMGDTTLSLTVTDAGTITIPSGTLLVCDPFAQFIGLSHGLVYDVPAGDHPTKVTIANIPGKTPVNAYLSVVFSNTEPVTFEQPYPHRNPDEIPIPSAMRTDGVALDSGAAAVVDAAAAEAFTASTDLDSFTDYIHTDAPDGWFNLLRDHNGIAQTPLPDHKENMILARSGYDAGFYPIVAGYDRNHTMVSLHVDFLVVGGHPYD</t>
  </si>
  <si>
    <t>GC_00002706</t>
  </si>
  <si>
    <t>MPMYMPERILVAPSGFKESLSAVDVADAIAAGVRRVYPGVRIDRQPIPDGGEGTIEILSTRPDAIPHHKKVQGPIEGQSVAATWLELANKTAVVEMASAAGLSLVPSDMRDPGMTSTVGVGELIADALDKGMRTIIIGCGDSGTTDGGAGALTALGVRILDENGADIGLGGNSLHNAASIDTTNLHPRIHQARLHLACNMHNVLTGDHGVAAVFGPQKGATPEQVDSLGRALTHWADLLVQTFNPDTNIHTGPGSGASGGLGAGLMALGAEAHNRFDVFLGSMLNGHAETLDDLFEEADLVITAEGAIDYQTPHGKVPAEIARRAQATGVPVLALAGSLGEGAPQVHDIGIGAVASIMTVPMPLEHAVRDGRELLSNAAERTMRLLQLGSVMSGRCENKLRRRFGAA</t>
  </si>
  <si>
    <t>MPMYMPERILVAPSGFKESLSAVDVADAIAAGVRRVYPGVRIDRQPIPDGGEGTIEILSTRPDAIPHHKKVQGPIEGQSVAATWLELANKTAVVEMASAAGLSLVPSDMRDPGMTSTVGVGELIADALDKGMRTIIIGCGDSGTTDGGAGALTALGVRILDENGADIGLGGNSLHNAASIDTTNLHPRIHQARLHLACNMHNVLTGDHGVAAVFGPQKGATPEQVDSLGRALTHWADLLVQTFNPDTNIHTGPGSGASGGLGAGLMALGAEAHNRFDVFLGSMLNGHAETLDDLFEEADLVITAEGAIDYQTPHGKVPAEIARRAQATGVPVLALAGSLGEGAPQVHDIGIGAVASIMTVPMPLEHAVRDGRELLSDAAERTMRLLQLGSVMSGRCENKLRRRFGAA</t>
  </si>
  <si>
    <t>GC_00002707</t>
  </si>
  <si>
    <t>MTSQTHDMYHDHDGPHWSGNPNQALIAEIALVPTPDHSAAALDIGAGEGADAIYLATRGYTVTALEPSEIASGRITCALTTEELRRRVTVRVEPFETAHLDEYDLVTAFYTPLRNTEETLTKLLGSIKPGGHLIIVHHDDITHMAQRENADITDFLTPDRLHQIITSRYLDDYEVLTHGEFTRHVTGGMGAGHTIDRVLHIIRRP</t>
  </si>
  <si>
    <t>MTNQTHDMYHDHDGLHWSGNPNQALIAEIALIPTPEYSATALDIGAGEGADAMYLATHGYTVTALEPSEIASSRITCALTTEELRRHVTVRTEPFETAHLEEYDLVTAFYTPLRNTEETLTKLLGSIKPGGHLIIVHHDDITHMAQRENANVTDFLTPDRLHQIITSRYLDDYEVLTHGEFTRHVTGGMGAGHTIDRVLHIIRRP</t>
  </si>
  <si>
    <t>GC_00002708</t>
  </si>
  <si>
    <t>MAKSAGWTVNLAKNTTAPIAIAAARHCSKNAQVEKEFSVTVILPKDSIKKSIFQGQKVLIGLGKATKSEPSSSSTQPTEPQKPGTPGEPAQKSQHLAVARQAFVRAVFGGRR</t>
  </si>
  <si>
    <t>GC_00002709</t>
  </si>
  <si>
    <t>MITLSQSLVQDVAGDPVADVCLGHDTRFQVHGDKLTELLDDPEMAESTPVDALQTNTSFITRTTIWKFFRTCEPGLHPDVEVTRALHRHVPEYLGHLTYGDYTTAIVSSRLTDAVSMWDLRPDLGPHLRRLGAVIKDVHEDLAEAFPTGVGTRETLYKQFTDRLELFCERTPVVRKFQDVALAAYEDLPRSFPVQRIHADLHLGQILYADGQYYLIDFEGEPTVPLAQRRLPDSPMRDLAGMVRSFDYAQVAEFSDFLDGYGALSPDDHKLLDAYVMDKLMYEVDYDYNHRKEWLHVPLGTAEKRL</t>
  </si>
  <si>
    <t>MITLSQSLVQDVAGDPVADVCLGHDTRFQVHGDKLTELLDDPEMAESTPVDALQTNTSFITRTTIWKFFRTCEPGLHPDVEVTRALHRHVPEYLGHLTYGDYTTAIVSSRLTDAVSMWDLRPDLGPHLRRLGAVIKDVHEDLAEAFPTGVGTRETLYKQFTDRLELFCERTPVVRKFQDVALAAYEDLPRSFPVQRIHADLHLGQILYADGQYYLIDFEGEPTVPLAQRRLPDSPMRDLAGMVRSFDYAQVAEFSDFLDGYGALSPDDHKLLDAYVMDKLMYEVDYDYNHRKEWLHVPLGTAEKLL</t>
  </si>
  <si>
    <t>GC_00002710</t>
  </si>
  <si>
    <t>MSGVEYVAAFGGITPGGMMEQGKTAISKSVTGSVTRGREPGPTYLAWMGGRGEPFGFLCWELPTT</t>
  </si>
  <si>
    <t>MSGVEYVAAFGGITPGGMMEQGKTAISKSVTGSVTRGREPGPTYLAWMGGSGEPFGFLCWELPTT</t>
  </si>
  <si>
    <t>GC_00002711</t>
  </si>
  <si>
    <t>MTDHVKAAKGMVAQLMQSSRGQWKGPKIPIKDIENAVNSTEGLKVASLQQEGHKAGGAEMTRNLVPAAHLCANVIAHVSGGTLADIVMEQIANWQWERERGRKLSESSQKCGSTIESVLDDFEQRLADPEAAANFLVNSVCAWLDKADPEKNPDAFQQTVQLGASNIDSFSQLLMNLCAERDKAIRCCYDKLLDDGRDDNAQPSTGGPTTSAAPVPQASAVSSSAASASAGMAGTGMSRAVMAGAVQSSAAQPSNNVPMHEDHAVSQPIVQPATTARTEQPTPQRHAPCVEPVRCENVPSQSSSPDMRVAQSQVLPQNMARMTTPLPPNYQQSVPQQGYGNACTPSPSLDASNLMSSTIGGGYGSGQPLFEVEHIIRNAVGPVLVTLVTAGVREIVNQVEHHLAQFLEQAGAGSADMHNMNLDVSAQHDVPNHVVENHHGETHHPESPQPQESHVESRTQGTQGTAPPVQPPQEHHAPPPAPQPVKPSPEPVPHVAAPAPAPASHPQPEPPLHQVPQHQAPVHQAPAPQPQPAPQPPVCVPAPGGSGDAPVGGASTSSNRGRARKAGAW</t>
  </si>
  <si>
    <t>MTDHVKAAKGMVAQLMQSSRGQWKGPKIPIKDIENAVNSTEGLKVASLQQEGHKAGGAEMTRNLVPAAHLCANVIAHVSGGTLADIVMEQIANWQWERERGRKLSESSQKCGSTIESVLDDFEQRLADPEAAANFLVNSVCAWLDKADPEKNPDAFQQTVQLGASNIDSFSQLLMNLCAERDKAIRYCYDKLLDDGRDDHAQPSTGGPTTSAAPVPQASAVSSSAASASAGMAGTGMSRAVMAGAVQSSAAQPSNNVPMHEDHAVAQPIVQPATTARTEQPTPQRHAPCVEPVRRENVPSQSSSPDMRVAQSQVLPQNTARMTTPLPPNYQQSVPQQGYGDTCTPSPSLDASNLMSSTIGGGYGSGQPLFDVEHIIRNAVGPVLVTLVTAGVREIVNQVEHHLAQFLEQAGAGSADMHNMNLDVSAQHDVPNHVAENHHGETHHPESPQPQESHVESRTQGTQGTAPPVQPPQEHHAPPPAPQPVKPSPEPVPHVAGPAPAPASHPQPAPPLHQVPQHQAPVHQAPALQPQPAPQPPVCVPAPGGSGDAPVGGASTSSNRGRARKAGAW</t>
  </si>
  <si>
    <t>GC_00002712</t>
  </si>
  <si>
    <t>MSSAMPHGPYQPSSMIVVAPNRNQSVMVASVIIMTILVIVTVGLLLWILVSGRAVTHQEHDSVLLQNQEMATTSADQAPPRAVPVPAAPVEASTSTNSGGNAPERSYDSLTVAATRCGSYDYAGMADYYGSYVSICRSGSKYLYRAHTENGDLELPASKVGSGHYIVGADPHMITVHEGIVTVTDSNGDIVRTIPLYDWKYEYSKYSG</t>
  </si>
  <si>
    <t>MSSAMPHGPHQPSSMIVVAPNRNQSIMVASIIIMTILVIVTVGLLLWILVSGRAATHQEHDSVLLQNQEMATTSADQAPPRTVPVPAAPVEVSTSTNSGGNAPERSYDSLTVAATRCGSYDYAGMADYYGSYVSVCRSGSKYLYRAHTENGDLELPASKVGSGHYIVGADPHMITVHEGIVTVTDSNGDIVRTIPLYDWKYEYSKYSG</t>
  </si>
  <si>
    <t>GC_00002713</t>
  </si>
  <si>
    <t>PF02537.21</t>
  </si>
  <si>
    <t>CrcB-like protein, Camphor Resistance (CrcB)</t>
  </si>
  <si>
    <t>D|P</t>
  </si>
  <si>
    <t>Cell cycle control, cell division, chromosome partitioning|Inorganic ion transport and metabolism</t>
  </si>
  <si>
    <t>K06199</t>
  </si>
  <si>
    <t>fluoride exporter</t>
  </si>
  <si>
    <t>COG0239</t>
  </si>
  <si>
    <t>Fluoride ion exporter CrcB/FEX, affects chromosome condensation (CrcB) (PDB:5A40)</t>
  </si>
  <si>
    <t>MKQTLAVGLGAGCGATLRMQLTPLLYDAPTALIIINAIGCFLIATWAFPNDLAQKFFAPGLLGGFTSFSTFALTTATTSLPAALSYSVLTITSCLGAWAIGDALRHRRHAA</t>
  </si>
  <si>
    <t>MKQTLAVGLGAGCGATLRMQLTPLLYDAPTALIIINAIGCFLIATWVFPNDVAQKFFAPGLLGGFTSFSTFALTTATTSLPAALSYSVLTITSCLGAWAIGDALRHRWHAS</t>
  </si>
  <si>
    <t>GC_00002714</t>
  </si>
  <si>
    <t>MKILLLVVLSYPARVLGYSARRVRNDPSLIDALLILGTAQYNGVPSRQFAARLDHAAEIWQPGQRVFTCGGKLPGDAFTEAAVGKRYLIERGVREDAIVAVEEGSDSWASISAVAQHNSGRVLVITDPNHSLRATSIARRLGLDARPSPTPYAPTRKIGKRWLWTVLHECSGLVVLDLRLINVRWAEWAENQLRTIAETLRPSRKARHDALRRKDT</t>
  </si>
  <si>
    <t>MKILLLVVLSYPARVLGYSTRRVRNDPSLIDALLILGTAQYNGVPSRQFAARLDHAAEIWQPGQKVFTCGGKLPGDAFTEAAVGKRYLIERGVREDAIVAVEEGSDSWASISAVAQHSPGRVLVITDPNHSLRATSIARRLGLDARPSPTPYAPTRKIGKRWLWTVLHECSGLVVLDLRLINVRWAEWAENQLRTLAETLRPSRKARHDALRRKDT</t>
  </si>
  <si>
    <t>GC_00002715</t>
  </si>
  <si>
    <t>MKKAVRKQVRDANFFVVRKTLITFTIAMSLGFSSTIANAQD-VTTDPSPVVEAEVTQTEQTTQNTTSDATETGSDEAKSSSSSQETKPEAPAASEAEAETTSDEGLVAEKPEVDPSSQIKDQLSSSKLSSKDEKSADKTEE-KSEDKSEISDNSSSLSSKKDEKKPAGITQTADEANKSQQASSNPALRVAGVIAGIVGVLGLIGGGIFWALQQNLINIPGLPNPFAPKPAPAPAPAPAPQPAPAPAPAQNQPARQAQAQAQPVRHQAPAPAASGKRYKNCRAVWNELGRPIRSNEPGYGRHLDRDGDGVGCERRPR</t>
  </si>
  <si>
    <t>---------------------------MSLGFSSTIANAQDTTTTDLSPVVEAEVTQTEQTTQNTTSDATVTGSDEAKSSSSSQETKPEAPAASEAEAETTSDEGLVAEKPEVDPGSQIKDQLSSSKLSSKDEKSADKDKATKTEDKSEISDNSSSLSSKKDEKKPAGITQTADEANKSQQASSNPALRVAGVIAGIVGVLGLIGGGIFWALQQNLINIPGLPNPFAPKPAPAPAPAPAPQPAPAPAPAQNQPAR</t>
  </si>
  <si>
    <t>GC_00002716</t>
  </si>
  <si>
    <t>MKNLPFFAPLVVACCCVAACSANPGPPPVEDPQEQTSTTSAPPADSAKNKADVIGIGIDPLTRGLNPHLSADDHAFVQALAALVLPSAFVQGEMNTDVLISAEEVEASESGAVQTLRYQIRQEAQWSDGTPITGADFRYLWAGMVSTPGAIDPAPYRAIKQIRVSNGGKTVEVDLSERVAQWQVLFNNLLPSHMFNTGTTFEQALATSIPASAGRYMVRSIDRPRGVVTLARNDRFWGAHPAATETLQFREVRTPTHGAEMLRSGQISFADLTPTETSLESLDLLPYTQVRTRDRDSRLELTMSVNSRILSDPELRHALTLLIDVPRVARLAAGRSTNLATADPLEQPSEEERAAARDTVVQAVKAKGPLRLAVDATDQTASAAAITIADLLRAEGIDVETVMGDMKEIAGTQLPRGDADAVISWNRVGSTPQVMASRYACPVVPTTVTASGTIQAPNSTGDANNAGTLMFSGNLSGLCLPDVQRKVTEAMAGTAAESDYTPFFEDIEHRERLRIPLMADRRLDVLGKNIIGPSEDLAQWPTGGQAGAFVTAPTWKSTGSIKAEDE</t>
  </si>
  <si>
    <t>MKNLPFFAPLVVACCCVAACSANPGPPPVEDPQEQTSTTSAPPADSAKNKADVIGIGIDPLTRGLNPHLSADDHAFVQALAALVLPSAFVQGEMNTDVLISAEEVEASESGAVQTLRYQIRQEAQWSDGTPITGADFRYLWAGMVSTPGAIDPAPYRAIKQIRVSNGGKTVEVDLSERVAQWQVLFNNLLPSHMFNTGTTFEQALATSIPASAGRYMVRSIDRPRGVVTLARNDRFWGAHPAATETLQFREVRTPTHGAEMLRSGQISFADLTPTETSLESLDLLPYTQVRTRDRDSRLELTMSLNSRILSDPELRHALTLLIDVPRVARLAAGRSTNLATADPLEQPSEEERAAARDTVVQAVKAKGPLRLAVDATDQTASAAAITIADLLRAEGIDVETVMGDMKEIAGTQLPRGDADAVISWNRVGSTPQVMASRYACPVVPTTVTASGTIQAPNSTDDANNTGTLMFSGNLSGLCLPDVQRKVTEAMAGTAAESDYTPFFEDIEHRERLRIPLMADRRLDVLGKNIIGPSEDLAQWPTGGQAGAFVTAPTWKSTGSIKAEDE</t>
  </si>
  <si>
    <t>GC_00002717</t>
  </si>
  <si>
    <t>MALFDWIPRFDPRKALPSSTGTSGTPVVLLHGAYSTPKAFGALAVALNEIGRPFIAPDYAHYGTGAFVDGLRDVTAICEGFRSFDIVGHSFGGIVGLQLVRQPEFVGKVSTIIGLGTPWRGLPTKGKHMVKLFGQAYEDLRGPFEVDDVDPATKVYSVISTADKTVNPKFSQFGEVIVLDGSVAHAALPRETKVITSLLEEAELARGQQ</t>
  </si>
  <si>
    <t>MALFDWIPRFDPRKALPSSIGTSGTPVVLLHGAYSTPKAFGALAVALNEIGRPFIAPDYAHYGTGAFVDGLRDVTAICEGFRSFDIVGHSFGGIVGLQLLRQPEFVGKVSTIIGLGTPWRGLPTKGKHMVKLFGQAYEDLRGPFEVDDVDPATKVYSVISTADKTVNPKFSQFGEVIVLDGSVAHAALPRETKVITSLLEEAELARGQQ</t>
  </si>
  <si>
    <t>GC_00002718</t>
  </si>
  <si>
    <t>MKKTRVVSIALAAIIAATGAMPSAGATAPEDFLKGYGYHVRLVPTEKCETVKENTKSFFENRDIKTTGDFLRVAEIFTTYAEQNPETIREVGANKPGLLKSFNAEQRSRFFALMREDNKASATRLAECKVLTTGDVSTPQPEPTPQPKHDLTPPPAAKKPESRPVVGSSFGSS</t>
  </si>
  <si>
    <t>MKKTRVVSIALAAIIAATGAMPSAGATAPEDFLKGYGYHVRLVPTEKCETVKENTKSFFENRDIKTTGDFLRVAEIFTTYAEQNPETIREVGANKPGLLKSFNAEQRSRFFALMREDNKASATRLAECKVLTTGDVSTPQPEPTPQPKHDPTPPPAAKKPESRPVVGSSFGSS</t>
  </si>
  <si>
    <t>GC_00002719</t>
  </si>
  <si>
    <t>PF02464.23</t>
  </si>
  <si>
    <t>Competence-damaged protein</t>
  </si>
  <si>
    <t>K03743</t>
  </si>
  <si>
    <t>nicotinamide-nucleotide amidase [EC:3.5.1.42]</t>
  </si>
  <si>
    <t>COG1546</t>
  </si>
  <si>
    <t>Nicotinamide mononucleotide (NMN) deamidase PncC (PncC) (PDB:2A9S)</t>
  </si>
  <si>
    <t>KEGG Orthology (KO)&gt;&gt;&gt;09100 Metabolism&gt;&gt;&gt;09108 Metabolism of cofactors and vitamins&gt;&gt;&gt;00760 Nicotinate and nicotinamide metabolism [PATH:ko00760]|Enzymes&gt;&gt;&gt;3. Hydrolases&gt;&gt;&gt;3.5  Acting on carbon-nitrogen bonds, other than peptide bonds&gt;&gt;&gt;3.5.1  In linear amides&gt;&gt;&gt;3.5.1.42  nicotinamide-nucleotide amidase</t>
  </si>
  <si>
    <t>MPHMFDPTLLVAELARRKETVALCESLTGGLASAMLVDVPGASAVFNGALVTYATPMKHRLAGVPCEVLESVGPVSRECAREMALGVRERCAASWGLSMTGVAGPDSQDGHPVGEVWIGVADPNGWADAIRAHPHGYHRWVLLPGETEPQSVIEGDRQLIRTVAASFALETLYKLLIELQKNS</t>
  </si>
  <si>
    <t>MPHMFDPTLLVAELARRKETVALCESLTGGLASAMLVDVPGASAVFNGALVTYATPMKHRLAGVPCEVLESVGPVSRECAREMALGVRERCAASWGLSMTGVAGPDSQDGHPVGEVWIGVADPNGWADAIRAHPHGYHRWVLLTGETEPQSVIEGDRQLIRTVAASFALETLYKLLIELQKNS</t>
  </si>
  <si>
    <t>GC_00002720</t>
  </si>
  <si>
    <t>MNTPSLTQQHRGWTLLVTSLSVFMLLLDINVVNVALPEIRKELDASFTQLQWVLDTYALGLAAILVAAGSLADRIGRRRIFTIGFVIFTLASLACGLAWNVNVLIVSRFIQGIGGAILFAVGPALLGYVYTGADRTRAFGIFGGVGGLAIAAGPLVGGGLTDGLDWRWIFLINIPLGIIALIITRIRVTESRSAVTPPLDLMGAALFSTFLTLLVLGLLRGEDNGWTSTFILGLFAASAITLIAFIVLQVRRGDKAMFEASLFTNTTFNGLNIATLFLNIALLAAIFLLITYIQVLMGYSAWASGLRALPLTLTLVVGAFISGTISSRTAPRISAALALGCVAIGLLLIRLVDSGDSWTAALPMMFVLGIGMGLFNPIRTELSVSTVSPERAGVASGINATFQQVGAAIGVAGLGAFFQNRVHHYFENDPATSILGPMRTDAARGAATGGGNALRELLPPEIPAMMQQQLSSAADAAFINSLHTTFTVAALFPLAGMIITLFTIRRKDFWHAGQSSGVDKIVGVDDN</t>
  </si>
  <si>
    <t>MNTPSLTQQHRGWTLLVTSLSVFMLLLDINVVNVALPEIRKELDASFTQLQWVLDAYALGLAAILVAAGSLADRIGRRRIFTIGFVIFTLASLACGLAWNVNVLIVSRFIQGIGGAILFAVGPALLGYVYTEADRTRAFGIFGGVGGLAIAAGPLVGGGLTDGLDWRWIFLINIPLGIIALIITRIRVTESRSAVTPPLDLMGAALFSTFLTLLVLGLLRGEDNGWTSTFILGLFAASAITLIAFIVLQVRRGDKAMFEASLFTNTTFNGLNIATLFLNIALLAAIFLLITYIQVLMGYSAWASGLRALPLTLTLVVGAFISGTISSRTAPRISAALALGCVAIGLLLIRLVDSGDSWTAALPMMFVLGIGMGLFNPIRTELSVSTVSPERAGVASGINATFQQVGAAIGVAGLGAFFQNRVHHYFENDPATSILGPMRTDAARGAATGGGNALRELLPPEIPAMMQQQLSSAADAAFINSLHTTFTVAALFPLAGMIITLFTIRRKDFWHAGQSSGVDKIVGVDDN</t>
  </si>
  <si>
    <t>GC_00002721</t>
  </si>
  <si>
    <t>COG3695</t>
  </si>
  <si>
    <t>Alkylated DNA nucleotide flippase Atl1, participates in nucleotide excision repair, Ada-like DNA-binding domain (Atl1) (PDB:2KIF) (PUBMED:19516334)</t>
  </si>
  <si>
    <t>MMIELDDLTERVLALCDSIPQGQVASYGDVGAACGTTPRVVGRIMATHGQLTCWWRVVRSDGTSAVADQAVAHWDAENIPHLGLRVTIRECRAQLKC</t>
  </si>
  <si>
    <t>GC_00002722</t>
  </si>
  <si>
    <t>K00669</t>
  </si>
  <si>
    <t>arylalkylamine N-acetyltransferase [EC:2.3.1.87]</t>
  </si>
  <si>
    <t>M00037</t>
  </si>
  <si>
    <t>Melatonin biosynthesis, animals, tryptophan =&gt; serotonin =&gt; melatonin</t>
  </si>
  <si>
    <t>KEGG Orthology (KO)&gt;&gt;&gt;09100 Metabolism&gt;&gt;&gt;09105 Amino acid metabolism&gt;&gt;&gt;00380 Tryptophan metabolism [PATH:ko00380]|Enzymes&gt;&gt;&gt;2. Transferases&gt;&gt;&gt;2.3  Acyltransferases&gt;&gt;&gt;2.3.1  Transferring groups other than aminoacyl groups&gt;&gt;&gt;2.3.1.87  aralkylamine N-acetyltransferase</t>
  </si>
  <si>
    <t>MASWGVVGTAGEIMVHIVTATDEHIPQVSELFADAFMDDPVWKAIAPSPRIRRHVIKAECEWGVGLRGSDSVDVVLDGSADGRVLGALTFETPDMLDIDDEYGWKETLRGLVRGRLPAELRGAKHQKAVDLHQPDGPHWYLHDIATSPDVRGQGIGSALLRRRLALIDVQPAPVFLEATTDASRRLYERYGFSVVAEVSTLPETLSYAMIREAM</t>
  </si>
  <si>
    <t>MAARGVVGAAGEIMVHIVTATDEHISQVSELFADAFMDDPVWKAITPSPRIRRHVIKAECEWGVGLRGSDSVDVAVDDSAGGRVLGALTFETPDMVDIDDEYGWKETLRGLVRGRLPAELRGAKHQKAVDLHQPDGPHWYLHDIATSPDVRGQGIGSALLRRRLALIDAQPAPVFLEATTDASRRLYERYGFSVVAEVSTLPETLSYAMIREAA</t>
  </si>
  <si>
    <t>GC_00002723</t>
  </si>
  <si>
    <t>PF04586.22</t>
  </si>
  <si>
    <t xml:space="preserve">Caudovirus prohead serine protease </t>
  </si>
  <si>
    <t>K06904</t>
  </si>
  <si>
    <t>Escherichia/Staphylococcus phage prohead protease</t>
  </si>
  <si>
    <t>COG3740</t>
  </si>
  <si>
    <t>Phage head maturation protease</t>
  </si>
  <si>
    <t>Peptidases and inhibitors&gt;&gt;&gt;Serine peptidases&gt;&gt;&gt;Family S78</t>
  </si>
  <si>
    <t>MTLHVVVGPPCSGKSTFVELHAPRGTPRFDFDRVAAVVDGTGELHPETVRGESVLNAVAAMRRGFTGWILDAETGSPDAWIISGNPPQSLIAAYAGAGAEFHLLDPGMDVCLQRARDEGRPAYTEEAIRAWYENPPTIPTGEKGGTMKLKQLDFTLVKSDNSDDLAEGEFIGYASVFGNIDSYGDVVARGAFADALKEWGGAPGRLPVLYGHDFHDPFSNIGEVLDAVEDDHGLKVHARLDLDNPKAAQVYRLIKAGRLSQMSFAYDVLDGGPVDIDGRDAYEIRRVKLYEVSVVPIGANQDTEIVGVKNAPSISKDDVMQLLRDVMSTPVAEAEQAASSVVADPEGKDASGDVFAAALAVELELLEVGKNDFEE</t>
  </si>
  <si>
    <t>GC_00002724</t>
  </si>
  <si>
    <t>MNNQPLITTASFKLGVFGTHITQEFSTRIEKLGLSHKQVGLLAIVDAGLANSQRDIATQLGIAPSLVVALADQLVERGAITRARSTTDRRIQIVQLTPAGTQLLHECATIAHQLDQEIRKDLSPQAQAALDLLLPEIP</t>
  </si>
  <si>
    <t>MNNQPLITTASFKLGVFGTHITQEFSTRIEKLGLSHKQVGLLAIVDAGLANSQRDIATQLGIAPSLVVALADQLVERGAITRARSTTDRRIQIVQLTPAGSQLLHECTTIAHQLDQEIRKGLSPQAQVALDLLLPEIP</t>
  </si>
  <si>
    <t>GC_00002725</t>
  </si>
  <si>
    <t>MTKTLVIVTHPNYQDSKINKRWVEELETQPDRFTVHHLYSTYPDAVIDVEREQKLVESHDNVVFQFPVYWFNCPPLLKQWLDEVLLYGWAYGSGGEAFKGKKVGLAVSMGSPAESYTPAGNQGYLVEEILRPFELLANHVESDYQPIFKFHSTENDPEATEDFQEAVDHSAESYMMHLSMYFSDAVAEGDAASDAEDGQG</t>
  </si>
  <si>
    <t>MTKTLVIVTHPNYQDSKINKRWVEELETQPDRFTVHHLYSTYPDAVIDVEREQKLVESHDNVVFQFPVYWFNCPPLLKQWLDEVLLYGWAYGSGGEAFKGKKVGLAVSMGSPAESYTPAGNQGYLVEEILRPFELLANHVKSDYQPIFKFHSTENDPEATEDFQEAVEHSAESYMMHLSMYFSDAVAENDAASDAEDSQG</t>
  </si>
  <si>
    <t>GC_00002726</t>
  </si>
  <si>
    <t>MTTTFRTRSRRHHDTYSPTHSTSPTGPMPLDASSPLLGPAALPELRLRLLVASPATPVRRTNDGFYATPAEVALSGNLRAGFCCGNYVLSHEFLGGLELGIRDAWNRAAANMLDAESDHQGVAVQTRPLSCLTGRHLPGIQIRFAHSSPTAWLAHPQLFATLFHHLSRILGEEACFYAPSDGLLIAAGLSDDRIGVESWLVEELQPRLACRIYYRRGFPTTRGGSGGLPHEGLLSSDYLAELRDRRRAHRRTRWDVYAGDGTCGEYVTQADYDGQDHQHAA</t>
  </si>
  <si>
    <t>MTTTFRTRSRRHNDTYSPTHSTSPTGPTLPDASSPLLGPAALPELRLRLLVASPATPVRRTNDGFYAAPAEVALSGNLRAGFCCGNHVLSHEFLGGLELGIRDAWNRAAANMLDAESDHQGVAVQTRPLSCLTGRHLPGIQIRFAHSSPTAWLAHPQLFATLFHHLSRVLGEEACFYAPSDGLLIAAGLSDDRIGVESWLVEELQPRLACRIYYRRGFPTTRGGSGGLPHEGLLSSDYLAELRDRRRAHRRTRWDVYAGDGTCGEYVIQADYDGQDHQHAA</t>
  </si>
  <si>
    <t>GC_00002727</t>
  </si>
  <si>
    <t>PF08713.17</t>
  </si>
  <si>
    <t>DNA alkylation repair enzyme</t>
  </si>
  <si>
    <t>COG4335</t>
  </si>
  <si>
    <t>3-methylpurine DNA glycosylase AlkC (AlkC)</t>
  </si>
  <si>
    <t>MATAFKDYYDGECAQILATYFDLGSVDDFAAEVDAAVGPLELKDRVLVLARGIKDRLPQHYPDALDQILRHLKQELDDTDGMFNEGWQFMPVARFVEEFGLDYPDESLEAICAITRMHTGEFAIRPYLEQHYDLAMSHVRRWSRSDNVHERRLSSEGIRPRLPWGRTLKRHVDDPQAVIDVIQHLHSDPSPYVRKSVANNLNDISKDHPELAVRTARDWGNECVTQHGLRTLIKAGDPGALELVGMSANPHVTVDAVTLSPTVVPLDDTLTIDVALTNSGDTPAKVVVDYIMQFRGKNGAMRSKVFKLKTTTIEPQSQVMLTKRHAVKNTTTGTLYPGTQGCVVQVNGVRGDVLDWTIAP</t>
  </si>
  <si>
    <t>MATAFKDYYDGECARILATYFDLGSADDFAAEVDAAVGPLELKDRVLVLARGMKDRLPQHYPDALDQILRHLKQELDDTDGMFNEGWQFMPVARFVEEFGLDYPDESLEAIRAITRMHTGEFAIRPYLEQHYDLAMSHVRRWSRSDNVHERRLSSEGIRPRLPWGRTLKRHVDDPQAVIDVIQHLHNDPSPYVRKSVANNLNDISKDHPELAVRTARDWNNEWVTQHGLRTLIKAGDPGALELVGMSANPHVTVDAVTLSPTVVPLDNTLTIDVALTNSGDTPAKVVVDYIMQFRGKNGAMRSKVFKLKTTTIEPQSQVTLTKRHAVKNTTTRTLYPGTQGCVVQVNGVRGDVLDWTIVP</t>
  </si>
  <si>
    <t>GC_00002728</t>
  </si>
  <si>
    <t>PF03591.19</t>
  </si>
  <si>
    <t>AzlC protein</t>
  </si>
  <si>
    <t>K26605</t>
  </si>
  <si>
    <t>COG1296</t>
  </si>
  <si>
    <t>Predicted branched-chain amino acid permease (azaleucine resistance) (AzlC)</t>
  </si>
  <si>
    <t>MVSRETLREWRAGFSDAWTVGLGLVPLGLAFGLLITQSGFSWWWAPILSLVIYAGSMEFLAIGMITAGVGIIPAAVTGFMVNFRHIFYGLTFPRHLIRNFWARAYSTYALTDESYAIVSVRAAAGDGHRMTASRMLSIQVVCQLAWVLPGIIGALAGTALPDTLTGMDFALTALFLVLAWESFASHRDVSLPLSAGLFAVAFALLLPGQMLVLALVCYFCLLLIRFLSPRIDVLLHTDLDKARR</t>
  </si>
  <si>
    <t>MVSRETLREWRAGFSDAWTVGLGLVPLGLAFGLLITQSGFSWWWAPILSLVIYAGSMEFLAIGMITAGVGIIPAAVTGFMVNFRHIFYGLTFPRHLIRNFWARAYSTYALTDESYAIVSARAAADDGHRMTASRILSIQVVCQLAWVLPGIIGALAGTALPDTITGMDFALTALFLVLAWESFASHRDVSLPLSAGLFAVAFALLLPDHMLVFALVCYFCLLLVRFLSPRIDALLHTDLDRVRR</t>
  </si>
  <si>
    <t>GC_00002729</t>
  </si>
  <si>
    <t>MSDTHATADRATQWNEALTRYLPVNGETLAYRDLGVDGGTPIVLLTHLGATLDEWDPRVVDALAAGRRVIAIELPGVGGSTGKVPSTIKGMADVARAFIAALGLTHIDLMGFSLGGFIAQQVTLDNPSLVRRLVLAGTGPAGGHGINRPTGAAYVYVDMLRGVLARTDAKEFLFFPRTPTGKTAARDYLARIHERVMDRDKPITLGAFRRQLAAIKAWGSQEPQDLSTITAPTLIANGDYDRMVPTPLSEDMHQRIPNSTLVIYPNSGHGGVFQYYQEFVPTLLNHLDG</t>
  </si>
  <si>
    <t>MSDAHATADRATQWNEAPTRYLPVNGETLAYRDLGVDGGTPIVLLTHLGATLDEWDPRVVDALAAGRRVIAVDLPGVGGSTGKVPSTIKGMADAARAFIAALGLTHVDLMGFSLGGFVAQHVTLDNPSLVRRLVLAGTGPAGGHGINRPTGAAYVYVDMLRGVLARTDAKEFLFFPRTPTGKIAARDYLARIHERIMDRDTPITLGAFRRQLAAIKAWGSQEPQDLSTITAPTLIANGDYDRMVPTPLSEDMHQRIPNSTLVIYPNSGHGGVFQYYQEFVPTLLNHLDG</t>
  </si>
  <si>
    <t>GC_00002730</t>
  </si>
  <si>
    <t>PF09481.15</t>
  </si>
  <si>
    <t>CRISPR-associated protein Cse1 (CRISPR_cse1)</t>
  </si>
  <si>
    <t>K19123</t>
  </si>
  <si>
    <t>CRISPR system Cascade subunit CasA</t>
  </si>
  <si>
    <t>MGPMPLTEVKFIRTFLRDEPVDMTVEEVLKHATDPDFRLNLDVSGMEFMSIIRLLSHIGARMLQKDDSLHRKRRKKPLPDELIAETLAELEADRPLYGGKQNFFQIPDSKGAVGRGKQPTSKLSPTAPGDNSQAYWDRDKHKPVTLSAEDALRQILIFSMYSSAGNNKFENRKCQNGSPGIRFLGAGNTATEVMVQSQNLWDSLLCSIPATWVAGSGMPAWADPMGEQSKTDTGMHPLWQASWMPNGVSGYWEGGELVGVGVGGVPPQYLGSFSKMWSPYGDKDAKESYKAWFKQRDTEDPFYLYIRDSKTNDPKAKRLDLSKDLIQLAVEWAREGTISKLDSLMAGRVAAPNFKHDKLLFARHQIGGNASTPVIRESVTTNTASSLWCLDQDPEVQARIIGQAEFIDTLKQRVCAPFRRQSDKDHPTFDDLADLRPMMETEFWRRITPVYEEVISTAQAADFNVVELYEKGVAATIAALDAVIDPYLLQNPKRNINVKERTIRFLYALLKDKKGQ</t>
  </si>
  <si>
    <t>MGPMPLTEVKFIRTFLRDEPVDMTVEEVLKHATDPDFRLNLDVSGMEFMSIIRLLSHIGARMLQKDDSLHRKHRKKPLPDGLIVETLAELEADRPLYGGKQNFFQIPDSKGVVGRGKQPTSKLSPTAPGDNSQAYWDRDKHKPVTLSAEEAMRQILIFSMYSSAGNNKFENRKCQNGSPGIRFLGAGNTATEVMVQSKNLWDSLLCSIPATWVAGSGMPAWADPMGEQSKTDTGMHPLWQASWMPNGVSGYWEGRELVGVGVGGVPPQYLGSFSKVWSPYGDKDAKESYKAWFKQRDTEDPFYLYIRDSKTNDPKAKRLDLSKDLIQLAVEWAREGTISKLDSLMAGRVAAPNFKHDKLLFARHQIGGNASTPVIRESVTTNTASSLWCLDQDPEVQARIIGQAEFIDTLKQRVCAPFRRQSDKDHPTFDDLADLRPMMEAEFWRRITPVYEEVISTAQAADFNVVELYEKGVAATIAALDAVIDPYLLQNPKRNINVKERTIRFLYALLKDKKGQ</t>
  </si>
  <si>
    <t>GC_00002731</t>
  </si>
  <si>
    <t>PF00724.26</t>
  </si>
  <si>
    <t>NADH:flavin oxidoreductase / NADH oxidase family</t>
  </si>
  <si>
    <t>COG1902</t>
  </si>
  <si>
    <t>2,4-dienoyl-CoA reductase or related NADH-dependent reductase, Old Yellow Enzyme (OYE) family (FadH) (PDB:1BWK)</t>
  </si>
  <si>
    <t>MTISPLFAPLTLRGLTIKNRIFLPPMCQYQAGEDGIPTDWHLVHYGARAAGGFGLIMVEATGVSPEARISPNCVGLWNDEQAKAWKPIVKFAHSLRAAIGVQLIHAGRKASSFPGLPGYASGTVPLEEGGWVTKAPSPEPFPGYVPPQELTVSDIAAVVADFQAAACRAVAAGFDTVEIHGAHGYLLHQFLSPVSNHRTDDYGGSFDNRARIVIEIIDAIREVIPAEMPLLLRLSATDWLENVPGVESWGIPETIQLATLAREHGVDMVDVSSGGLVPAPISTGPGYQVPLANAVREAAGIPVVAVGELGDPLTAQQVLVDGLADAIDVGRAALFEPQWPLRAARELGLPSEDWPVAPSYIRGVWG</t>
  </si>
  <si>
    <t>MTISPLFAPLTLRGLTIKNRIFLPPMCQYQAGEDGIPTDWHLVHYGARAAGGFGLIMVEATGVSPEARISPNCVGLWNDEQAKAWKPIVKFAHSLRAAIGVQLIHAGRKASSFPGLPGYASGTVPLEEGGWVTKAPSPEPFPGYVPPQELTVSDIAAVVADFQAAARRAVAAGFDTVEIHGAHGYLLHQFLSPVSNHRTDDYGGSFDNRARIVIEIIDAIREVIPADMPLLLRLSATDWLENVPGVESWGIPETIQLATLAQEHGVDMIDVSSGGLVPAPISTGPGYQVPLANAVREAAGIPVVAVGELGDPLTAQQVLVDGLADAIDVGRAALFEPQWPLRAARELGLPSEDWPVAPSYIRGVWG</t>
  </si>
  <si>
    <t>GC_00002732</t>
  </si>
  <si>
    <t>MGQTPSAQYYHQLIQLRATLGEEHPDTLAAWRDYTTALMDEGDDKTAQPELRRLVAACEQTFGPEHPITRSNRADWALCLKETNLHLQALEQYLLVADYDDGYDVRFAAVGCFIRLGCFEEATYLLHAVVRGYAKTLGGRHDLTRLARGTLVFLLAGVHQKEALVEYGRLWGVDKRSMPRPLGILADTRVLLDDITANQPKYIRETFNPVATLPVRNPEVFRFAERLKHREDFYPNLLQRLDPTLKAPTDPSDVPQRRAYCAGLTRIGRIDEAVDEYVKLIDFVAGKYGTQSDLFRSIVLELGWYQLHKSDRHALAMEHVNELRQLSKEQITAGNNQLGQARRTGNWLKTMAQVRKQWGTCRELGTSIPKILDDWWKYIQRTVIGKKSDPAITSRHVCQCLTQWLRFYGCMGPRSRNKCYRYLDYVVRHGCIEEAAALLGPALRLFDGVMDKPDELLLCWSRYLRQLRNQGWLDLAEWEYSAFFEEYVESGINVDGIPYTGYCYCDDHDLEVLLVNIHDGYMKVLCDLGKREKAYDELQRMWNYTDDTWDQRSYCAEAFLARVVYVRYLILLGHPAEARRQIIPLIADYEVFHLNDLTTRWFRRWSEGEYHAPSKKPDGYKFFARGYGQLIDVMADEWGNDDFIVMCARYNYACYLQDIGLKDSVALVQLRDAARASEKLCGADAPLTLQIQRRHAEMLVLAGRKRQGLVLAAELATTCEHRWGLRHPMTALQWASYVCCLHWAGEYQQVVAEAPWVIALCAYEFGCVHLIMMKLFHAAAVAHDSAGHYEKACEYWKILRDSITSPYDTSWLRSWVENRHAECEQRWHGEEGSA</t>
  </si>
  <si>
    <t>MGQTPSAQYYHQLIQLRATLGEEHPDTLAAWRDYTTALMDEGDDKTAQPELRRLVAACEQTFGPEHPTTRSNRADWALCLKETNLHLQALEQYLLVADYDDGYDVRFAAVGCFIRLGCFEEATYLLHAVVRGYAKTLGGRHDLTRLARGTLVFLLAGVHQKEALVEYGRLWGVDKRSMHRPLGILADTRVLLDDITANQPKYIRETFNPVATLPVRNPEFFRFAERLKHREDFYPNLLQRLDPTLKAPTDPSDVPQRRAYCAGLTRIGRIDEAVDEYVKLIDFVAGKYGTQSDLFRSIVLELDWYQLHKSDRHALAMEHVNELRQLSKEQIAAGNNQLGQARRTGNWLKTMAQVRKQWGTCRELGTSIPKILDDWWKYIQRTVIGKKSDPAITSRHVCQCLTQWLRFYGCMGPRSRNKCYRYLDYVVRHGCIEEAAALLGPALRLFDGVMNKPDELLLCRSRYLWQLRNQGWLDLAEWEYSAFFEEYVESGIDVNGIPYTGYCYCDDHDLEVLLVNIHDGYMKVLCDLGKREKAYDELQRMWNYTDDTWDQRSYCAEAFLARVVYVRYLILLGHPAEAWRQIIPLIADYEVFHLNDLTTRWFRRWSEGEYHAPSKKPDGYKLFARGYGQLIDVMADEWGNDDFIVMCARYNYACYLQDIGLKDSVALGQLRDAARASEKLCGVDAPLTLQIQRRHAEMLVLAGRKRQGLVLAAELATTCEHRWGLRHPMTALQWASYVCCLHWAGEYQQVVAEAPWVITLCAYEFGCVHLIMMKLFHAAAVAHDSAGHYEKACEYWKILRDSITSPYDTSWLRSWVENRHAECEQRWHGEEGSA</t>
  </si>
  <si>
    <t>GC_00002733</t>
  </si>
  <si>
    <t>MEKKWAEVSVFASLIDARLGKWLTTHHGVGLTEYWALMYLAESPTRELRVNDLAAKVGLNQSSVTRLLGRLEAKGLSLRDTCPHDGRGVFAVITDKGQELLDFASEAFGAEVERLLSEVSESESGECPGLDGAHIREAFMQVGKRIV</t>
  </si>
  <si>
    <t>MEKKWAEVSVFASLIDARLGKWLTTHHGVGLTEYWALMYLAESPTRELRVNDLAAKIGLNQSSVTRLLGRLEAKGLSLRDTCPHDGRGVFAVITDKGQQLLDSASEAFGAEVERLLGGVSESDSGDCPGLDGTHIREAFMQVGKRIV</t>
  </si>
  <si>
    <t>GC_00002734</t>
  </si>
  <si>
    <t>MWRLLGTIVDDKNLRQLIAIFSVSAVLQGVALAMMIPFLQELLGGGPRVGTWLGVLVGLAVVSFVVEFYGIMRSYRISVYDVCDALIEKIADHTLQLPLGWFDAKREAQIASAMSREIDTLSHVASIIIPALVKQFVTPAVIVIAVLIVDWRLALIMIACIPLLRWGWLYMQKSIVKVDEVQAQAAADSAGRLIEYARLQPILRANGVTQRGWGLLEDALARENDTVHESLRAKGRPNIAYSSIIQTAFALVIIAGLVFMLRMDLDPISYIVIAVISVRVVQPLTLSVMYGTEIHASEAALHTVNEILTAEPLPEPTPEQAVTSLESTTITVTDVSFGYAPERKVVHNVNFTARQGTMTALVGPSGCGKSTMLRLIARFWDVDSGSVQIGGTDVRNIPTPTLMRNISMVFQDVYLFDTTIRENVRMARPDATDAELEAAARAARLDQVIASLPDGWDTQVGQGGLKLSGGERQRVSIARAFIKDAPILLLDEITSALDGENEAAITAVMKELTRGRTVIVVAHRLSTIRDADQVIVFGKLDDDPTNGYGIVESGTFPELADAGGPFSKFIAASTSAKRWLV</t>
  </si>
  <si>
    <t>MWRLLGTIVDDKNLRQLIAIFSVSAVLQGVALAMMIPFLQELLGGGPRVGTWLGVLVGLAVVSFVVEFYGIMRSYRISVYDVCDALIEKIADHTLQLPLGWFDAKREAQIASAMSREIDTLSHVASIIIPALVKQFVTPAVIVIAVLIVDWRLALIMIACVPLLRWGWLYMQKSIVKVDEVQAQAAADSAGRLIEYARLQPILRANGVTQRGWGLLEDALARENDTVHESLRAKGRPNIAYSSIIQTAFALVIIAGLVFMLRMDLDPISYIVIAVISVRVVQPLTLSVMYGTEIHASEAALHTVNEILTAKPLPEPTPEQAVTNLESTTITVTDVNFGYVPERKVVHNVNFTARQGTMTALVGPSGCGKSTMLRLIARFWDLDSGSVQIGGADVRNIPTPTLMRNISMVFQDVYLFDTTIRENVRMARPDATDAELEAAARAARLDQVIASLPDGWDTQVGQGGLKLSGGERQRVSIARAFIKDAPILLLDEITSALDGENEAAITAVMKELTRGRTVIVVAHRLSTIRDADQVIVFGKLDDDPTNGYGIVESGTFPELADAGGPFSNFIAASTSAKRWLV</t>
  </si>
  <si>
    <t>GC_00002735</t>
  </si>
  <si>
    <t>MQYHRKTLSILAAVALLIAGATQLSGCISVPSRESTTVDQTSPTSSTSSTSASASASGTSSAANGPLDAVTWSFPTNESGWQIDFIDQEGRNQLVKPNGCMYSTMQNLFSGQEDISDKTETDYQVEQSINGFKRQMRTAEGKATPSTDVKTYEGKPVDMMRVDIDYTGQDGGTYRSTAWLRVFAHEPTPVFTVVNYACPASAYSEAEMRDLLSQTTLANVTQPTMK</t>
  </si>
  <si>
    <t>MQYHRKTLSILAAAALLIAGATQLSGCISIPSRESTTVDQTSPTSSTSSTSASASASGTSSAANGPLDAVTWSFPTNESGWQIDFIDQEGRNQLVKPNGCMYSTMQNLFSGQEDISDKTETDYQVEQRINGFKRQMRTAEGKATPSTDVKTYEGKPVDMMRVDIDYTGQDGGTYRSTAWLRVFAHEPTPVFTVVNYACPASAYSDAEMRDLLSQTTLANVTQPTMK</t>
  </si>
  <si>
    <t>GC_00002736</t>
  </si>
  <si>
    <t>MVCSALLVTGCGRSITTDITNVVLKSPEELADVDRTPGLSLQGFEYKKQAKRTFDHLPYQYTYVNLRTGKHVGSTNERNSRRAQGIVRLFIGHYAFTKGGEKEREQARRMLLHDDNAITDELYSVFPNSISWVADKYQLDATTANNYWAYSQTSSYDVAYFLGQLLDREPDATLLAVMRERQSLNPQQNYGSGVLPNIIGSQTAESDENKEYFSAGYGSDFVAVGAVNTSKTTLTDMMKYQVLGEGKPYPTETEKPSASETTSATSTSATSTSRAASGTANTKTAAMTKTATTTATKEPTDY</t>
  </si>
  <si>
    <t>MVCSALLVTGCGRSITTDITNVVLKSPEELADVDRTPGLSLQGFEYKKQAKRTFDHLPYQYTYVNLRTGKHVGSTNERNSRRAQGIVRLFIGHYAFTKGGEKEREQARRMLLHDDNAITDELYSVFPNSISWVADKYQLDATTANNYWAYSQTSSYDVAYFLGQLLDREPDATLLAVMRERQSLNPQQNYGSGVLPNIIGSQTAESDENKEYFSAGYGSDFVAVGAVNTSKTTLTDMMKYQVLGEGKPYPTETEKPSASETTSATSTSATLTSRAASGTANTKTAAVTKTATTTATKEPTDY</t>
  </si>
  <si>
    <t>GC_00002737</t>
  </si>
  <si>
    <t>MLRAIWAQTHDRVIGNGHDMPWYLPEDLAHFKNTTLDHPIIMGRATWESLPRRPLPGRDNIILSTRPPGDWSTGATVTTEPPQDGWIIGGGQVYASTLPLVDAITMTLIDAHLAPHLGNRAVFAPDITGEFTIESETDWLTSERGIIRSDDGVDSSGVGGKKTPLRYKYITYVRT</t>
  </si>
  <si>
    <t>MLRAIWAQTHDRVIGNGHDMPWYLPEDLAHFKNTTLDHPIIMGRATWESLPRRPLPGRDNIILSTRPPGDWSTGATVTTEPPQDGWIIGGGQVYASTLPLVDAITMTLIDAHLAPLVGGSAVFAPDITDEFTIESETEWLTSEHGIIRGGDGVDSSGVGDNKTPLRYKYITYVRT</t>
  </si>
  <si>
    <t>GC_00002738</t>
  </si>
  <si>
    <t>PF02834.22</t>
  </si>
  <si>
    <t>LigT like Phosphoesterase</t>
  </si>
  <si>
    <t>K01975</t>
  </si>
  <si>
    <t>RNA 2',3'-cyclic 3'-phosphodiesterase [EC:3.1.4.58]</t>
  </si>
  <si>
    <t>COG1514</t>
  </si>
  <si>
    <t>RNA 2',3'-cyclic phosphodiesterase (2'-5' RNA ligase) (ThpR) (PDB:1IUH) (PUBMED:25239919)</t>
  </si>
  <si>
    <t>Enzymes&gt;&gt;&gt;3. Hydrolases&gt;&gt;&gt;3.1  Acting on ester bonds&gt;&gt;&gt;3.1.4  Phosphoric-diester hydrolases&gt;&gt;&gt;3.1.4.58  RNA 2',3'-cyclic 3'-phosphodiesterase|Transfer RNA biogenesis&gt;&gt;&gt;Prokaryotic type&gt;&gt;&gt;tRNA spricing factors&gt;&gt;&gt;Other tRNA splicing factors</t>
  </si>
  <si>
    <t>MRLFAALPLPDHVRDHLVSALLPIRTAAGPALRWSDPDQWHITCAFYGEQPDGITDDLLAHIAAGVGTPFDLCLKGAGSFHDRNLWIGVGGEVSALHTLMAACALDDAPEHHRAHMTVARVTRTAARPRFSPSLTGEFVHALSVYSGPTWTVDEVHLIQSELGKGRSGGPLHTVVGNIFLV</t>
  </si>
  <si>
    <t>MRLFAALPLPDHVRDHLVSALLPIRTAAGPALRWSDPDQWHITCAFYGEQPDGITDDLLAHIAAGVGTPFDLCLKGAGSFHDRNLWIGIGGEVSALHTLMAACALDDAPEHHRAHMTVARVTRTAARPRFSPSLTGEFVHALSVYSGPTWTVDEVHLIQSELGKGRSGGPLHTVVGNIFLV</t>
  </si>
  <si>
    <t>GC_00002739</t>
  </si>
  <si>
    <t>MSYDFLLYEPERTPDGGLVAPPRFFADHDFLADRWSSKETIFSLPLRAAQAELCSDDALTFEYLDVVIEGDRCLWVPVAYQWAEEAWQRLERLAVRHHLGLADISSAFIVCYGDEDPAYMVQTDRWDNIAFSRASLLPSLEYLCEDSTERRFYILSEHDRDEHYIQTIMMANLSYEVPEFASTAQWWVEYREGDGDHHYGAPAATMVDVVRMFDQWLAKSEEFSSHPWTKMDF</t>
  </si>
  <si>
    <t>MSYDFLLYEPERTPDGGLVAPPRFFADHDFLADRWSSKETIFSLPLRAAQAELCSDDALTFEYLDVVIEGDRCLWVPVAYQWAEEAWQRLERLAVRHHLGLADISSAFVVCYGDEDPAYTVQTDRWDNIAFSRASLLPSLEYLCEDSTERRFYILSEHDRDEHYIQTIMMANLSYEVPEFASTAQWWVEYREGDGDHHYGAPAATMVDVVRMFDQWLAKSEEFSSHPWTKMDF</t>
  </si>
  <si>
    <t>GC_00002740</t>
  </si>
  <si>
    <t>MQRIAVLHVSGMPRAYRPRVEQAMLDVITSEPMSAAPGADVLDATWCTRWQRSGVAAGAVDCRQVLSGTDEELDIFSGVMSLMAGEYGFQAYVELVG</t>
  </si>
  <si>
    <t>MQRIAVLHVSGMPRAYRPRVEQAMLDVITSEPMSAAPGADVLDATWCTRWQRSGVAVGAVDCRQVLSGTDEELDIFSGVMSLMAGEYGFQAYVELVG</t>
  </si>
  <si>
    <t>GC_00002741</t>
  </si>
  <si>
    <t>MTVNNPQSYPQPYGQQAFGQQQSGQMGIETLNMSDALSIAWNHFTRQWVPWVLSSVIVAIAFGVPFFIMYFALLGWIISMEESATSSSYSRYDSYDSYNSYNNTTTEPAFNPFALGGISIAFMLIMVVGMVLLVIFTLNSYRNALRMTQGEVIKTTDFFRISGLGKPFLVQIVMGIAILPVALLTFGLGAIVLVIMWMYVMVAAFANPNASIGEIFGDGFRAFKNNMGQSILLVVVCYLINLLGGALVLGTLVTAPLQMIVLAVAYRMCKQMPIVLPQGV-GSQDTHAGGYGPGAPGSQAPTMQAPGTQPWYDPTGGTQSGYSQPGYGQPGYNQAGYGQTGYGQTGYPQPGGNAQQGGQQPPNQGYGYGVQQGGNDQGGGQPGTGWQPWNQQ</t>
  </si>
  <si>
    <t>MTVNNPQPYPQPYGQQPFGQQQSGQMGIETLNMSDALSIAWNHFTRQWVPWVLSSVIVAIAFGVPFFIMYFALLGWIISMEESATSSSYSRYDSYDSYNSYNNTTTEPAFNPFALGGISIAFMLIMVVGMVLLVIFTLNSYRNALRMTQGEVIKTTDFFRISGLGKPFLVQIVMGIAILPVALLTFGLGAIVLVIMWMYVMVAAFANPNASIGEIFGDGFRAFKNNMGQSILLVVVCYLINLLGGALMVGMLVTGPLQMIVLAVAYRMCKQMPIVLPQGVTTSQDTHVGGYGPGAPGSQAPTMPAHGTQPWYDPTGGTQSGYSQPGYGQPGYNQAGYGQTGYGQTGYPQPGGNPQQGGQQTPNQGYGYGGQQGGNDQGGGQPGTGWQPWNQQ</t>
  </si>
  <si>
    <t>GC_00002742</t>
  </si>
  <si>
    <t>K08981</t>
  </si>
  <si>
    <t>COG3428</t>
  </si>
  <si>
    <t>Uncharacterized membrane protein YdbT, contains bPH2 (bacterial pleckstrin homology) domain (YdbT)</t>
  </si>
  <si>
    <t>MNHRVHPLTPVLRAWSFIVASIIFAVTTFSDYTFDLIHRLLSNDRTETLQAAGIIGAGVVIAAGASLLWWRATSYTVTDIDIVFRWGLIRRKIRSARLDRTQAIDVVQPFHARLFGLAAVRIETAGGHNSRIEVRYLKRRAAENLKKQLLGQFTEGELLVPPIPIYRSLLASLFSLSAFISLVLTLTSMGFDIHLAALLPVFVSTIPNIWRTIDGSYQFTAHRVGDTINVSYGLANLQRKTLNMSRVHAISLRKTALWRPFGWWRVQVTVAGYGERSDGMTILPVGDKRTAMMLCELLTGCRVDPDQPAHPQFRSPARAFLVSPIDFRRQTFELTDDCAIEHRGFFGHRAAIVFRRHIQEFGVFTGPIQRITNISTVKLHLVQGPVSMSGRDLNRDDAQRLLWALHGHRSPAL</t>
  </si>
  <si>
    <t>MNHRVHPLTPVLRAWSFIVASIIFAVTTFSDYTFDLVHRLLSNDRTETLQAAGIIGAGVVIAAGASLLWWRATSYTVTDIDIVFRWGLIRRKIRSARLDRTQAIDVVQPFHARLFGLAAVRIETAGGHNSRIEVRYLKRRAAENLKKQLLGQFTEGELLVPPIPIYRSLLASLFSLSAFISLVLTLTSMGFDIHLAALLPVFVSTIPNIWRTIDGSYQFTAHRVGDTINVSYGLANLQRKTLNMSRVHAISLRKTALWRPFGWWRVQVTVAGYGERSDGMTILPVGDKRTAMMLCELLTGCRVDPDQPAHPQFRSPARAFLVSPIDFRRQTFELTDDCAIEHRGFFGHRAAIVFRRHIQEFGVFTGPIQRITNISTVKLHLVQGPVSMSGRDLNRDDAQRLLWALHGHRSPAL</t>
  </si>
  <si>
    <t>GC_00002743</t>
  </si>
  <si>
    <t>MFIAALGLGVASLGFLIAAIVGSSQIWQWPAIVCALIGLVLLIIDHIRYRGVSHELEEEPEPPRTSNPRSSHSHHRRQDPK</t>
  </si>
  <si>
    <t>MFIAALGLGVASLGFLIAAIVGSSQIWQWPAIGCALIGLVLLIVDHIRYRGASREPEEEPEPPRMPNRRSSHSHHRRQDPK</t>
  </si>
  <si>
    <t>GC_00002744</t>
  </si>
  <si>
    <t>PF03772.21</t>
  </si>
  <si>
    <t>Competence protein</t>
  </si>
  <si>
    <t>K02238</t>
  </si>
  <si>
    <t>competence protein ComEC</t>
  </si>
  <si>
    <t>COG0658</t>
  </si>
  <si>
    <t>DNA uptake channel protein ComEC, N-terminal domain (ComEC)</t>
  </si>
  <si>
    <t>MAELRLIPPAALLWVVTLIIIGTRTPWWALALVFVVGVGVVFWDVGLALTTTVIGVLGVLITSIRAMIVDTTTIHPVVTATAASYAHRTNTGWIQQFRIDDYPVTLPVITHQRPDIPIGTLTELHGNPITTTNFGLGNTLFLATTAHPIGHPDLLHQWGTWVRETFSHAVAAHTSGDAAALIPAMVLGDTTGQTPEFTQRFVATGLTHLSAVSGSNVALVTTAAVLLVAHRSPRTRAAVAALALLGYVVIVGPDASVLRAAATGIVGLIIMLSATTKAPSHTLALVVIGLILYDSSLAAHYGFALSVAATGGIIAAVPPLHALIGRIGLPDIIVRALAVALAAHLVTMPIVALMSNRISVIAVAANLLAAPAVAPITILGLVAAILSLLPGGLETIPLAIIGPLAHWIGLVATGGAALPGATIALPDALAPAWAALAAAWTIWLIYRQHFRILVGVVLILLFAPGIPMPTGARRIDPHTLITYTVPTKDHLITLDKTGGIPPDAQLILIERPPPPRRRQAHRPRPTVTRAGVPVVVMGVDVDLYEDGTQHAADGSF</t>
  </si>
  <si>
    <t>MAELRLIPPAALLWVVTLIIIGTRTPWWALALVFVVGVGVAFWDVGLALTTTVVGVLGVLITSIRAMIVDTTTIHPVVTATAASYAHRTNTGWIQQFRIDDYPVTLPVITHQRPDIPIGTLTELHGNPIATTNFGLGNTLFLATTAHPIGRPDLLHQWGTWVRETFAHAVAAHTSGDAAALIPAMVLGDTTGQTPEFTQRFVATGLTHLSAVSGSNVALVTTAAVLLVAHRSPRTRAAVAALALLGYVVIVGPDASVLRAAATGIVGLIIMLSATTKAPSHTLALVVIGLILYDSSLAVHYGFALSVAATGGIIAAVPSLHTLIGRTNLPDIIVRALAVALAAHLVTMPIVALMSNRVSVIAVAANLLAAPAVAPITILGLVAAILSLLPGGLETIPLAIIGPLAHWIGLVATGGAALPGATIALPAALAPAWAALAAAWTIWLIYRQHFRILVGVVLILLFAPGIPMLTGARRIDPHTLITYTVPTKDHLITLDKTGGIPPDAQLIMIERPPPSGRRQAHRSRPTVTRTGVPVVVMGVDVDLYEDGTQHAADGSF</t>
  </si>
  <si>
    <t>GC_00002745</t>
  </si>
  <si>
    <t>PF00933.27</t>
  </si>
  <si>
    <t>Glycosyl hydrolase family 3 N terminal domain</t>
  </si>
  <si>
    <t>K01207</t>
  </si>
  <si>
    <t>beta-N-acetylhexosaminidase [EC:3.2.1.52]</t>
  </si>
  <si>
    <t>COG1472</t>
  </si>
  <si>
    <t>Periplasmic beta-glucosidase and related glycosidases (BglX) (PDB:2X40)</t>
  </si>
  <si>
    <t>KEGG Orthology (KO)&gt;&gt;&gt;09100 Metabolism&gt;&gt;&gt;09101 Carbohydrate metabolism&gt;&gt;&gt;00520 Amino sugar and nucleotide sugar metabolism [PATH:ko00520]|KEGG Orthology (KO)&gt;&gt;&gt;09100 Metabolism&gt;&gt;&gt;09107 Glycan biosynthesis and metabolism&gt;&gt;&gt;00531 Glycosaminoglycan degradation [PATH:ko00531]|Enzymes&gt;&gt;&gt;3. Hydrolases&gt;&gt;&gt;3.2  Glycosylases&gt;&gt;&gt;3.2.1  Glycosidases, i.e. enzymes that hydrolyse O- and S-glycosyl compounds&gt;&gt;&gt;3.2.1.52  beta-N-acetylhexosaminidase</t>
  </si>
  <si>
    <t>MRVEDSAGENVSNTVEGMKKFPVLALLVAVTVTTTLVGCTDNATDQAAPTSEMTTTTAPTSTSSVAPTTTSTTPANPELRTKVAQLMMVGVRNFDDALAALEQGAGGIFIGSDTEAAILTTPGRDIAELRNRIGRPFAVSIDFEGGRVLRHPEVLGTFPSPRTMAKEKKPEEVRGMAYDMATSLARHGITVDFAPVVDIDGAGLEVVGDRAFSDDPAIAAEYASAFAQGMLDGGVMPVFKHFPGHGRASGDSHLGTVVTPPLNELQNFELVPYRSILATPGVGVMVGHMATPGLGDGKTPSSINPAAYQLLRSGSYEGGRPFDGPVFTDDLSGMKAISNQLTPQDAAATAIIAGADQALWLTTDALLPAIDTTMKRIAEGALSEQDVFAKAERVSHYQR</t>
  </si>
  <si>
    <t>MRVEDSAGENVSNTVEGMKKFPVLALLVAVTVTTTLVGCTDNATDQAAPTSEITTTTAPTSTSSVAPTTTSTTPANPELRTKVAQLMMVGVRNFDDALAALEQGAGGIFIGSDTEAAILTTPGRDIAELHNRVGRPFAVSIDFEGGRVLRHPEVLGTFPSPRTMAKEKKPEEVRGMAYDMATSLARHGITVDFAPVVDIDGAGLEVVGDRAFSDDPAVAAEYASAFAQGMLDGGVMPVFKHFPGHGRASGDSHLGTVVTPPLNELQNFELVPYRSILATPGVGVMVGHMATPGLGDGKTPSSINPAAYQLLRSGSYEGGRPFDGPVFTDDLSGMKAISNQLTPQDAAATAIIAGADQALWLTTDALLPAIDTTMKRIAEGALSEQDVFAKAERVSHYQR</t>
  </si>
  <si>
    <t>GC_00002746</t>
  </si>
  <si>
    <t>MSNPWHLALDYGTITTVAAHTTGPTGAIATLLVTPSATYVSEDGTIITGDAAHTNRQNHPARFIPYPKRYIEHEFVPVAGATMPLATIIGATFRSALDAGRAQHAGYPPTTVTITHPEPWTIPEVMTLVEAASTSGINRDTIRIISEPRAAAIHSASGPQIAICDFGGGTLDITTLQAEPAGDVRVTAATGDSSLGGLTIDNLLYQWFISRLERDHPHLAAELHAAPPQIMRAVEQSIHNAKEQLSTDTETTITIAIRRHRHDIHLTRTEFEHIIASVIGRVADLARPLLNLGTPLYLTGGSALIPCLRTRLEKIASVTLVDDPSTAVAHGAIAATQLGLTTPIRDLHHRRRHSGTEAFPAVKPATPLEPAEAE------EPVANPTATPAE------PVDLPTPPEPAAPTKSKPKKRRYLLTTILALICVGVLAAAGYFIITQKKPDNTADPAPAAATSKPAPTSTPASVGATTTQPTTSAHPTVSKVAAVNTENGDAEIPLIERYSTANQFLPEKFVNASQKCTGKADEHDKYMPVPVYKCTLAEDPDAPKLDHDVSVGNYYWVPGEHAKAARDELESGRSTLASDLNTLTRMHIQKADGAKPEIGAAFPKADWGYIYVYYPKDNFTMYFWRNGIPTREQVDAYLKYMDITQ</t>
  </si>
  <si>
    <t>MSNPWHLALDYGTITTVAAHTTGPTGAIATLLVTPSATYVSEDGTIITGDAAHTNRQNHPARFIPYPKRYIEHEFVPVAGATMPLATIIGATFRSALDAGRAQHAGHPPTTVTITHPEPWTIPEVMTLVEAASTSGINRDTIRIISEPRAAAIHSASGPQIAICDFGGGTLDITTLQAEPAGDVRVTAATGDSSLGGLTIDNLLYQWFISRLERDHPHLAAELHAAPPQIMRAVEQSIHNAKEQLSTDTETTITIAIRRHRHDIHLTRAEFEHIIASVIGRVADLARPLLNFGTPLYLTGGSARIPCLRTRLEKIASVTLVDDPSTAVAHGAIAATQLGLTTPIRDLHHRRRHSGTEAFPAVKPATPPEPAETEAKAEVKEPAATPTATPANQVEPIAPPELPNPPEPAAPTKSKPKKRRYLLTTILALICVGVLAAAGYFILTQKKPDNTAAPAPAAATSKPAPTSTLASAGVTTTQPTTSPHPTVSKVAAVNTENGDAEIPLIERYNTVNQFLPAKFVNASQKCTGKADEHDKYMPVPVYKCTLAEDPDAPKLDHDVSVGNYYWVPGEHAKVARDELESGRSTLASDLNTLTRMHIQKADGAKPEIGAAFPKSDWGYIYVYYPKDNFTMYFWRNGIPTREQVDAYLKYMDITQ</t>
  </si>
  <si>
    <t>GC_00002747</t>
  </si>
  <si>
    <t>K07118</t>
  </si>
  <si>
    <t>MRIAVIGATGKAGKLIVQEAVNRSHEVTAISRRPHPNTPAQHTLVKNITDLTTTDFKAVDVVISALGSQQIVELTTHLGQILSGTDTRLVVIGGTGTLYTTPARTERLVDSPNFPAEYRKYAEAHAAASASLRGITGLKWTAISPAANFLPDAPARHDYEFAGDVFTVGASGISEISYADYAFALVDEAENTTGTHIGEQISVRNR</t>
  </si>
  <si>
    <t>MRIAVIGATGKAGKLIVQEAVNRSHEVTAISRRPHPNTPAQHTLVKNVTDLTTTDFKAIDVVISALGSQQIVELTTHLGQILSGTDTRLVVIGGTGTLYTTPARTERLVDSPNFPAEYRKYAEAHAAASASLRGITGLKWTAISPAANFLPDAPARHDYEFAGDVFTVGASGISEISYADYASALVDEVENTTGTHIGEQISVRNR</t>
  </si>
  <si>
    <t>GC_00002748</t>
  </si>
  <si>
    <t>MQKNMLGWVIDSRTHQHRAFPFLAAFNEIEEYLRRALDAHHHTSFSTMVRQAERDEIITADQADDLLELADLRNAISHGRYGRQNQPIAEPNPDTVRTITKIRDELLQPVSALQLVRAGRVTIYRPNATIGELVAASHGKYPVYSEGKFVALLTNGDIVAWLAARRPQNGRQMTIDLRTPISRLLSEVGAATQCVFVAKTAAPQVVIRAMTTPVGGHLPRAVIITESGRPHQKPLRIITGTELALLIEKRI</t>
  </si>
  <si>
    <t>MQKNMLGWVIDSRTHQHRAFPFLAAFNEIEEYLRRALDAHHHTSFSTMVRQAERDEIITADQADDLLELADLRNAISHGRYGRQNQPIAEPNPDTVLTITKIRDELLQPVSALQLVRAGRVTIYRPNATIGELVAASHGKYPVYSEGKFVALLTNGDIVAWLAARRPQNGRQMTIDLRTPISRLLSEVGAATQCVFVAKTAAPQVVIRAMTTPVGGHLPRAVIITESGRPHQKPLRIITGTELALLIEKRS</t>
  </si>
  <si>
    <t>GC_00002749</t>
  </si>
  <si>
    <t>MTIVEKQGLAALTYESLAAESGLSKSGLIYYFPSRQTLLLEINRFLAAQWEEKMVELAGGPAHEVGKQERIRASFLVMSQSATLADLRMTLDAADNPEMLQPWLDVMARWSTSPNDSDHYLLQIIADGLWVHDHINGFSLSPQQRQQFTQQALMLFHPDPG</t>
  </si>
  <si>
    <t>MTIVEKQGLAALTYESLAAESGLSKSGLIYYFPSRQTLLLEINRFLAAQWEEKMVELAGGPAHEVGERERIRASFLVMSQSATLADLRMTLDAADNPEMLQPWLDVMARWSASPDDSDHYLLQIIADGLWVHDHINGFSLSPQQRQQLTQQALMLFHPDPG</t>
  </si>
  <si>
    <t>GC_00002750</t>
  </si>
  <si>
    <t>COG4988</t>
  </si>
  <si>
    <t>ABC-type transport system involved in cytochrome bd biosynthesis, ATPase and permease components (CydD)</t>
  </si>
  <si>
    <t>------------------------------------------------MGAGAVIDGGGSELILWGVILTFTTIMIRTMVVARGHIAEESRIRHRIIDAVFTSGPVDSTGAVVSLATESSEKMMALRVGFVGQIVASLTAPLVVLGVIGTMSGRIALILLGMLVIVPLLICGFRKIISTVSSGSQDARKALAAAYMDALKSLSTLQLLGAAGRISDQLAATGERNRQAVMRLLKGNQLILFVMDAAFYLAVVTTT</t>
  </si>
  <si>
    <t>MIAGQISLKTMQVRQSKPPYRLSAQARFTIVCSVPLTWLSVVGMSLSIMGAGAVIDGGGSELILWGVILTFTTIMIRTMVVARGHIAEESRIRHRIIDAVFTSGPVDSTGAVVSLATESSEKMMALRVGFVGQVVASLTAPLVVLGVIGTMSGRIALILLGMLVIVPLLICGFRKIISTVSSGSQDARKALAAAYMDALKSLSTLQLLGAAGRISDQLAATGERNRQAVMRLLKGNQLILFVMDAAFYLAVVTTTAYLVLSSTALTTGQAIAIMGLSILLLEPMDQVGAFFYVGMSGLGAQRGIFGFLRGRSKARRRDVSIDPHQEAAVSITDLSFGYDDRDVLSHISLTIAPGERVGIIGRSGQGKSTLLALMGGDLIPRSGQVTLREASASVAQTTWLFTGTIADNLRIARPEATEADMWAALERARVADEIRRMPSGLDTQLGEQGLGISGGQAQRISLARAIISGRRIILLDEPTSHVDLASEREILAAIDDLGRDHTLIMVTHRTTTLRHMDHIITVNNGTLTADNTLAEHHGTHR</t>
  </si>
  <si>
    <t>GC_00002751</t>
  </si>
  <si>
    <t>MYVRIDLIAPDAPPLAHVAEVRPTDSPSLCAMQRIIELGDGSSITGLAQGQHSRGMSALPQEFVPHPDTYADMPDISATILSKDEFEGLWQEALQKFPDF</t>
  </si>
  <si>
    <t>MYVRIDLIAPDAPPLAHVAEVRPTDSPSLCAMQRIIELGDGSSITGLARGQHSRGMSALPQEFVPHPDTYADMPDISATILSKDEFEGLWQEALQKFPDF</t>
  </si>
  <si>
    <t>GC_00002752</t>
  </si>
  <si>
    <t>MKQRSSAGKILLTIIIVTAVLLLLAEFGLRWFIGNQVVQALATQDTQTSSEQKEKPKISFGTSPLLLGLVKGEIPHVELDTPSTINIKKNADSTISEITGVPKTRMVADGLSLLDAENPTARTMTLEVEPDDAFLLAMVQSAVAEQDGAGQTDASDLKANLQGILQQVVKVTKVTSNPQNSTIDVEFTNGAATLTLKPKVQDGNLGFDAVNTALFGFALPSEVTETVSKSLNENISKVNTNGMATDEVTVIDGGLRIKMSGQNVKLSAASQSMQTQ</t>
  </si>
  <si>
    <t>MKQRSSAGKILLTIIIVIAVLLLLAEFGLRWFIGNQVVQALTTQDTQTSSEQKEKPKISFGTSPLLLGLVKGEIPHVELDTPSTINIKKNADSTISEITGVPKTRMVADGLSLLDAENPTARTMTLEVEPDDAFLLAMVQSAVAEQDGAGQTDASDLKANLQGILQQVVKVTKVTSNPQNSTIDVEFTNGAATLTLKPKVQDGNLGFDAVNTALFGFALPSEVTETVSKGLNENISKVNTNGMATDEVTVIDGGLRIKMSGQNVKLSAASQSMQTQ</t>
  </si>
  <si>
    <t>GC_00002753</t>
  </si>
  <si>
    <t>MPEESDKETGTPSTITSRIFWQSMILAAGGFVGLVDSSIIAIAVPNIASDFDASVSVVQWTSAGYLLAMATVIPLTSSLCHRYGAQRTWVMSLAVFTGATLAAGLAWSLSSLIAFRVIQGLGGGMLFPLMRLLAVEIAGQSRMGRVMALTAIPVQIAPIVGPVLGGIIIDQSSWRWALWASIPLALLALIPAALWIPNRLTESTTRVDYWSILMLMPAMTVILLFLTRVSSSDFSVPTFVFGIVAVCLLFAFFKRAKSSTRSVGFELTLLKITSFKATTLIVFINNFGMMGITFLIPLIIETSNPNESVLTAGLSLAPQGIGMLLAVLYVGKKIDISGDPRKLVFAGLTGVAITTLGLAIVANDLSAPIALALLLARGVALAFAVAPTMLTLYAGLPTEKYAEATTTNAIVQQIAGAFGAAFAAVSIQVASQYISDQSSAFGIVFAALAIITAAALFSTRGLPTKNSD</t>
  </si>
  <si>
    <t>MSEESDKETGTPSTITSRIFWQSMILAAGGFVGLVDSSIIAIAVPNIASDFDASVSVVQWTSAGYLLAMATVIPLTSSLCHRYGAQRTWLMSLAVFTGATLAAGLAWSLSSLIVFRVIQGLGGGMLFPLMRLLAVEIAGQSRMGRVMALTAIPVQIAPIVGPVLGGIIIDQSSWRWALWASIPLALLALIPAALWIPNRLTESTTRVDYWSILMLMPAMTVILLFLTRVSSSDFSVPTFVFGIVAVCLLFAFFKRAKSSTRSVGFELTLLKITSFRATTLIVFVNNFGMMGITFLIPLIIETSNPNESVLTAGLSLAPQGIGMLLAVLYVGKKIDISGDPRKLVFAGLTGVAITTLGLAIVANDLSAPIALALLLARGVALAFAVAPTMLTLYAGLPTEKYAEATTTNAIVQQIAGAFGAAFAAVSIQVASQYISDQSSAFGIVFAALAIITAAALFSTRGLPTKNSD</t>
  </si>
  <si>
    <t>GC_00002754</t>
  </si>
  <si>
    <t>PF14720.11</t>
  </si>
  <si>
    <t>NiFe/NiFeSe hydrogenase small subunit C-terminal</t>
  </si>
  <si>
    <t>K06282</t>
  </si>
  <si>
    <t>hydrogenase small subunit [EC:1.12.99.6]</t>
  </si>
  <si>
    <t>COG1740</t>
  </si>
  <si>
    <t>Ni,Fe-hydrogenase I small subunit (HyaA) (PDB:6FPI)</t>
  </si>
  <si>
    <t>MMGRVRMNLGGSWQGETLRDNLERRGVSRRDFMKLCGGLAAVFAFGSPERAPAAAAQELEESTNLIAERLGNVTKPNVAWLQLQECTGCMESVLRSGGTTVEDAVLDLLSVNYNELVMAASGEAAEHALHELNQQPHILVVNGSVSTAENGVYCTIGGKSSEDILLEAAEHASMILAVGACAVYGSVQAAKPNPTGAVGVDEIIKDKPVINVSGCPPIGEVITATISYILTHDAPPKVDAEGRPLFAYDQRIHDSCPRRAHFDAGQFVRSFDDAGARSGWCLYEVGCKGPSTFSPCPIIQWNMKSGWPIGAGHPCIGCTEKHFFDRFTPFYSTLPDVEGLGIEASAEKVGWGLIGVAAVGTAIHGSITTVKSMARRRSAHDEELLAAFGEVDDHHHAGGLVGRNLLAGGHEVFEEPRSGT-----AGTDSGATSPDDTDTDTNNSGKGE</t>
  </si>
  <si>
    <t>MMGRVRMNLGGSWQGETLRDNLERRGVSRRDFMKLCGGLAAVFAFGSPERAPAAAAQELEESTNLIAERLGNVTKPNVAWLQLQECTGCMESVLRSGGTTVEDAVLDLLSVNYNELVMAASGEAAEHALHELNQQPHILVVNGSVSTAENGVYCTIGGKSSEDILLEAAEHASMILAVGACAVYGSVQAAKPNPTGAVGVDEIIKDKPVINVSGCPPIGEVITATISYILTHDAPPKVDAEGRPLFAYDQRIHDSCPRRAHFDAGQFVRSFDDAGARSGWCLYEVGCKGPSTFSPCPIIQWNMKSGWPIGAGHPCIGCTEKHFFDRFTPFYSTLPDVEGLGIEASAEKVGWGLIGVAAVGTAVHGSITTVKSMARRRGARDEELLAAFGEVDDHHHAGGLVGRNLLAGGHEVFEEPRSGTGGTDSGGTDSGATSTDNTDTDTNNSGKGE</t>
  </si>
  <si>
    <t>GC_00002755</t>
  </si>
  <si>
    <t>MTTILQIAFGGFLGGSLRYLLCRLPHGLLLANTIACFLLGLSQHSPFLAVGIAGALSTWSSLAAHLGPLLRTSRARFVRSICATTLCGYAAILIGLSV</t>
  </si>
  <si>
    <t>MTTILQIAFGGFLGGSLRYLLCRLPHGLLLANTIACFLLGLSQHSPFLAVGIAGALSTWSSLAAHLGPLLRTSRARFVQSICATTLCGYAAILIGLSV</t>
  </si>
  <si>
    <t>GC_00002756</t>
  </si>
  <si>
    <t>MAKTSKGDQTRARIIRAARELFAAAAYDRVSVRKIAAAAGVDAALINHYFGGKEKLFYAVVTYTINMDEVTTMLTTTPREQLGESIIRYAEILWTSPAGQSYLAALRHAIASNATATWSIISDAILPLSEYILDPDDPHRETRIALLVSQISGVATTRYLIGMEPMASLDTETLVKTVGPTLQRYIDGDLT</t>
  </si>
  <si>
    <t>MAKTSKGDQTRARIIRAARELFAAAAYDRVSVRKIAAAAGVDAALINHYFGGKEKLFYAVVTYTINMDEVTTMLTTTPREQLGESIIRYAEILWTSPAGQSYLAALRHAIASNATATWSIISDAILPLSEHILDPDDPHRETRIALLVSQISGVATTRYLIGMEPMASLDTETLVKTVGPTLQRYIDGDLT</t>
  </si>
  <si>
    <t>GC_00002757</t>
  </si>
  <si>
    <t>PF18836.7</t>
  </si>
  <si>
    <t>YdcK Beta solenoid repeat</t>
  </si>
  <si>
    <t>MSKHFEFTGETQRLNRVTLHRIRATRNLDNIGVEKGDLGGWIEHESNLDDSGWVFDQGKVHGHARVFDNAIVAENATVHGNARVSGLSQILGQTQVFGDAWVFDQAIVHGRAWLYGNTKLFGQAQVSGKAEISGNAVIQGKVVVGDNAVIGDSAELHDRARVYGDAIIRGESQVSGRAVVAGNAELTNYSIVSGTAEIFEPGHVMTFSSLGPNNIHITAFRTADGGHVVKISEWTVNKTVESKVTDWEGSISDFLEEVHRRADKWEEATVEQRDQWLQEYTALSALIGNRVSTWS</t>
  </si>
  <si>
    <t>MSKHFEFTGETQRLNRVTLHRIRATRNLDNIGVEKGDLGGWIEHESNLDDSGWVFDQGKVHGHARVFDNAIVAENATVHGNARVSGLSQILGQTQVFGDTWVFDQAIVHGRAWLYGNTKLFGQAQVSGKAEISGNAVIQGKVVVGDNAVIGDSAELHDRARVYGDAIIRGESQVSGRAIVAGNAELTNYSIVSGTAEIFEPGHVMTFSSLGPNNIHITAFRTADGGHVVKISEWTVNKTVESKVTDWEGSISDFLEEVHRRADNWEEATVEQRDQWLQEYTALSALIGNRVSTWS</t>
  </si>
  <si>
    <t>GC_00002758</t>
  </si>
  <si>
    <t>MSAVFPYPTTTEDFRVALSEIQERIQAASSPGQSVRLLPVSKTVPADRLRHAIEAGCTVLGENKAQEALAKSEKLADTGISWSIIGHLQSNKAKYIARFADEFQALDSLKLAEILHSRLDSEDRVLRVFIQVNTSGEPQKAGIDPAGVDKLLERMPEFPRLRVVGLMTMARNSTDQAVVRGAFERLRLLRDVLSPNVPEGVSLRELSMGMSGDFELAIQEGSTCVRIGRGLFGHRD</t>
  </si>
  <si>
    <t>MSAVFPYPTTTEDFRVALSEIQERIQAASSPGQSVRLLPVSKTVPADRLRHAIEAGCTVLGENKAQEALAKSEKLADTGVSWSIIGHLQSNKAKYIARFADEFQALDSLKLAEILHSRLDSEDRVLRVFIQVNTSGEPQKAGIDPAGVDKLLERMPEFPRLRVVGLMTMARNSTDQAVVRGAFERLRLLRDVLSPNVPEGVSLRELSMGMSGDFELAIQEGSTCVRIGRGLFGHRD</t>
  </si>
  <si>
    <t>GC_00002759</t>
  </si>
  <si>
    <t>MSTPAVTVGTMNIDTLATPVASTSDATVHAARFTIGDITVVRLVPTKLLHVTETVLETIGLTPATTRQVGRTAATQPMGFIEWVAIHRPDDLTVALPYLGELSRAQGAVTSKPGRVKNRMKPVIAKLEEEAPHCVPAFITELARHFVMAGRTGYLTHYLIRVLEVISEYDLPIGSPEYQELLFEFGSWRAMTSRVLQDAVDIVDWSLEPQAAFDYAYKLIVAQAQAGGILDKAVVIILRRLGKPLGLKPDDVIDRLLADIIYSKGFTTADPEFFTRVEPSLRRIVRADRGRQDHLLAVRPVYMSLDFYHDLLVDTEAWRELTSDNRAFAHWICQLITAPGGIYTKKWLIDAIYQAKDELAGAVLPAKKGQFRHISSPDLINALADAGVTWEKPDDLQWHWYDWCDNHYTDLAGVAADPYLRAKALGELSIIDISLSPQLFLDNELARELAADVLDQMYENRQEFLFSC--SYARRYLTISDLAHPELWLINAQAMNQIFAFDPVVELAAHIEVSEHEATKLLESVNYAYSCGPDIAQAVAETWEIEQLFAEKRALVRGSAVGYIEREGHWGVIIRNIIKNIEKRFG</t>
  </si>
  <si>
    <t>----------MNIDTLASPTASASDAEVHAARFTIGDITVVRLVPTKLLHVTETVLETVGLTPATTRQVGRTAATQPMGFIDWVAIHRPDDLTVALPYLGELSRAQGAVASKPTRVKNRMKPVIAKLEEEAPHCVPAFITELARHLAMAGRAGFLTHYLKQIVKVISQYDLPIGSPEYQELLFEFVSWRAMTSRVLRDEVDIVERSLEPQAAFDYAYKLIVAQAQAGGILDKAAVIILHRLGRPLGLKPADIIDR</t>
  </si>
  <si>
    <t>GC_00002760</t>
  </si>
  <si>
    <t>MKRHLVIGDGLSSWASELVDAAPRGQVAYLGADATCHLTYLRDTVIEEVAFGLEQRGTHPDIMLDQVTAILTDLNLMDLAEAHPTRLSGGQTRRVALASVLVLQADTLVLDDPWAGLDTASCKQVCDILDRYPGDIIAVAHSLPPIDHHFDCFELRDGTMVPYTGQHLSPQLPPCVPTGDIIDLGDVAGKREPPRRRWWQFTTPTEPGFTTPPLHLRLERGEICWLRGPNGVGKTTLLHTLALTPQPASISLQTQRACDQVIETTLRDFIGGEPAGALAGIDPETHPLDLTPTMLRLAQVEKVFNRGTDVVLLDEPDVGLDYPGRTQLHRLIHRHLHGNRPPAIIMTCHDPTLMAEVSQYATVRELALA</t>
  </si>
  <si>
    <t>MKRHLVIGDGLSSWASELVDAAPRGQVAYLGADATCHLTYLRDTVIEEVAFGLEQRGIHPDIMLDQVTAILTDLNLMDLAEAHPTRLSGGQTRRVALASVLVLQADTLILDDPWAGLDTTSCKQVCDILDRYPGDIIAVAHSLPPIDHHFGCFELRDGTMVPYTGHHPPPQLPPCAPTGDIIDLGDVAGRREPPRRRWWQFTTPTEPGFTTPPLHLRLERGEICWLRGPNGVGKTTLLHTLALTPQPASISLQTQRACDQVTETTLRDFIGGEPAGALASIDLETHPLDLTPTMLRLAQVEKVFNQGTDVVLLDEPDVGLDYPGRTQLHRLIHHHLHGNRPPAIIMTCHDPTLMAEVSQYATVRELALA</t>
  </si>
  <si>
    <t>GC_00002761</t>
  </si>
  <si>
    <t>PF13229.12</t>
  </si>
  <si>
    <t>Right handed beta helix region</t>
  </si>
  <si>
    <t>COG2931</t>
  </si>
  <si>
    <t>Ca2+-binding protein, RTX toxin-related (PDB:1AF0) (PUBMED:15135544)</t>
  </si>
  <si>
    <t>MRPQSRWIMRMVAGLCVSMLFVTTQIPAAQAMDLPDTSSGSNFLSLLSKFFSNNKTEEPEHASEENTELTERKLTGKTPKAEKIEESFDTAVVGSISAAQALNTAKQNVVVTDGYTNVRFVRDVDKQKGADATVTIAGVTYGAKFDEVVPLLALGAGGGDNTRELQKAVDLAAQRGLGVTLSPAQKYVVTDQITLPKGLQYFDAKGAQITANMRGQADAPKSVFATTRDTVGCKITDMTLNLASAPYTRGVMIDGGENIEVSKIVFNHLTYRAVEMSATDRLVKNITVADNFINNTEGERAQVGHSLSIVATATRDESDNPVKGSRSPVWERYATNGTVSRPIAGFTGLTIINNRIRGGYYGISFSGVSDSVIRGNDVTANTRNISIQNSSNNNLVEQNQLTNSISSGVHIAYDSDNNVVRDNTISSDVSVGQGLLQAYQGCDNTTFEHNSVTVKGDAKSSPSWILLVGTDSHNTKFVGNRIDGWAKRAMVDVESIWDGRSSETNLRKPGPNEHSYIPDKNGAPSPVDNPKEPYHGGRGDLNGTVISGNEFTPRNKNAPVIYVGAEVSPGRSGKERLIGNINDAVIADNVIVGNQFSELLTTHTGKLPGIGEAKIHFKNSSVVKR</t>
  </si>
  <si>
    <t>MRPQSRWIMRMVAGLCVSMLFVTTQIPAAQAMDLPDTSSGSSFLSLLSKFFSNNKTEEPEHASEENTELTERKLTGKTPKAEKIEESFDTAVVGSISAAQALNTAKQNVVVTDGYTNVRFVRDVDKQKGADATVTIAGVTYGAKFDEVVPLLALGAGGGDNTRELQKAVDLAAQRGLGVTLSPAQKYVVTDQITLPKGLQYFDAKGAQITANMRGQADAPKSVFATTRDTVGCKITDMTLNLASAPYTRGVMIDGGENIEVSKIVFNHLTYRAVEMSATDRLVKNITVADNFINNTEGERAQVGHSLSIVATATRDESDNPVKGSRSPVWERYATNGTVSRPIAGFTGLTIINNRIRGGYYGISFSGVSDSVIRGNDVTANTRNISIQNSSNNNLVEQNQLTNSISSGVHIAYDSDNNVVRDNTISSDVSVGQGLLQAYQGCDNTTFEHNSVTVKGDAKSSPSWILLVGTDSHNTKFVGNRIDGWAKRAMVDVESIWDGRSSETNLRKPGPNEHSYIPDKNGAPSPVDNPKEPYHGGRGDLNGTVISGNEFTPRNKNAPVIYVGAEVSPGRSGKERLIGNINDAVIADNVIVGNQFSELLTTHTGKLPGIGEAKIHFKNSSVVKR</t>
  </si>
  <si>
    <t>GC_00002762</t>
  </si>
  <si>
    <t>MSSHRPELHITAQHGVLEAPAGALFTGEQWHVFHQYRSQPDVKKNNWGHVVSADTPFNWVHRDDVLSAEAPEVQVRAGSVVAPRCGDEAELFFTSVTDEGPSIHRALLTNLSGPQSDVRREGSVVDAPVLGIDKLQDFRSPCVVPGWADEDDRSEGHGGWLMLAVAGPMSAPELVMLSSHDQQSWTLDGPLAFHGDSGLAHHPILVSPRIIRLRDEVDSHVYDVLIVTVEADGVDLSGYLVGTLRGCDFWVKTPFTQMDFGHDFTRPRNTNTVRGVTYGNNERYDAALIFGLMNGVGRLDNPATHESLRAEGWANCLSLPRLTTLQGGLLFQTPTPGLTSAIPHTAHARMWSGLIDAQEGSVTVTLLDNATGRIAATITHSGHHLQLDRSMNPLHAGDSPAEAYLISADTDSLTIIVDGSTVEVFADGGVIAMASRVYFEGICGGFDVTAEGGASILRYFEVAGEDV</t>
  </si>
  <si>
    <t>MSSHRPELHITAQHGVLEAPAGALFTGEQWHVFHQYRSQPDVKKNNWGHVVSADTPFNWVHRDDVLSAEAPEVQVRAGSVVAPRCGDEAELFFTSVTDEGPSIHRALLTSLSGPQSDVRREGSVVDAPVLGIDKLQDFRSPCVVPGWADEDDRSEGHGGWLMLAVAGPMSAPELVMLSSHDQQSWTLDGPLAFHGDSGLAHHPILVSPRIIRLRDEVDSHVYDVLIVTVEADGVDLSGYLVGTLRGCDFWVKTPFTQMDFGHDFTRPRNTNTVRGVTYGNNERYDAALIFGLMNGVGRLDNPATHESLRAEGWANCLSLPRLTTLQGGLLFQTPTPGLTSAIPHTAHARMWSGLIDAQEGSVTVTLLDTATGRIAATITHSGHHLQLDRSMNPLHAGDSPAEAYLISADTDSLTIIVDGSTVEVFADGGVIAMASRVYFEGICGGFDVTAEGGASILRYFEVAGEDV</t>
  </si>
  <si>
    <t>GC_00002763</t>
  </si>
  <si>
    <t>MKMIAHKNTTVVNKKFIAIGFLLWLVSAVAYVLHTVPFYSEEERQRIRAVGVAVEKYEAILDAEWTDENCTLEHCPNSSKSLPGMSPDRAPFTTHERTNMERRGPYAHLQPVTTMNIFRVTARDDGTVEALTQTTVTKCYSLADSDPYGSALNFYAITLAPSTIRGEYVVVDDVYYDILKHPLPADARPVYVGEPKNPPPCA</t>
  </si>
  <si>
    <t>GC_00002764</t>
  </si>
  <si>
    <t>MSILTKTKNFFGLGPYEMDGVREDAYYNDEPPAPRYNGNLAYAPEPDYGYQRESVELPFETSIVSVDVFSYNEAAKIGSAFRDGEAVIFDLSDMPNDIAKRVLDFSGGLAFALHGKIKRLVDEHRVFGLIPEDATVSFDDLRRAAKIY</t>
  </si>
  <si>
    <t>MSILTKTKNFFGLGPYEMDGVREDAYYNDEPPAPRYNGNLAYAPEPDYEYQRESVELPFETSIVSVDVFSYNEAAKIGSAFRDGEAVIFDLSDMPNDIAKRVLDFSGGLAFALHGKIKRLVDEHRVFGLIPEDATVSFDDLRRAAKIY</t>
  </si>
  <si>
    <t>GC_00002765</t>
  </si>
  <si>
    <t>MTQPKKCLISDIYHVRHGVGSIGIMGSMPLTDMNYHDLRVSAITQAAHHWGRRRQAEIFDYQYDTSFLTEGFAEHSEEQRYAELARTAVTIAAAAAKVIAERRAAIENLQAVTTTKSSDVDPVTIVDTAAEEVIRTMLTELRPGDGMIGEEGTATTATTGVTWIVDPIDGTVNFLYNQPQYAVSLAAEIDHTPVAGVVLNVATGQLWVASKNGGAITLGPHTPPRLITTSTETSLTLSLVATGFSYSAARRKKQVEILGELIGTIRDIRRRGSAALDLCAVADGQVEAYYEHATNVWDYAAGALVALEAGAVVETPRYGSPHHHETDKNLVWACAPGIARQFATVMRKIPTALPDNQYG</t>
  </si>
  <si>
    <t>MTQPKKCLISDIYHVRNGVGSIGIMGSMPLTDMNYHDLRVSAITQAAHHWGGRRQAEMFDYQYDTSFLTEGFAEHSEEQRYAELARTAVTIAAAAAKVIAERRAAIENLQAVTTTKSSDVDPVTIVDTAAEEVIRTMLTELRPGDGMIGEEGTATTATTGVTWIVDPIDGTVNFLYNQPQYAVSLAAEIDHTPVAGVVLNVATGQLWVASKNGGAITLGPHTPPRLITTSTETSLTLSLVATGFSYSAARRKKQVEILGELIGTIRDIRRRGSAALDLCAVADGQVEAYYEHATNVWDYAAGALVALEAGAVVETPRYGSPHHHETDKNLVWACAPGIARQFATVMRKIPTALPDNQYG</t>
  </si>
  <si>
    <t>GC_00002766</t>
  </si>
  <si>
    <t>PF16859.10</t>
  </si>
  <si>
    <t>MVKDAADNTVDGRRSRRAKTDDKLAATVREQLNDIGFSAMTIEGVCAASGVAKTTVYRRWKSKAEMVFELVLHGAEDEFPDTGSLAGDVRALAEMTVNFTASDMSQKVLPGFLDAVAADPEMRQRLRDAFVTPTTEHIAAIIDRASARAELTPDTVVDVAVLHAALLGIPYASVHMLGETDTEVLTNQLAEHMLRSLGVG</t>
  </si>
  <si>
    <t>MVKDAADNTVDGRRSRRAKTDDKLAATVREQLNDIGFSAMTIEGVCAASGVAKTTVYRRWKSKAEMVFELVLHGAEDEFPDTGSLAGDVRALAEMTVNFTASDMSQKVLPGFLDAVAADPEMRQRLRDAFVTPTTEHIAAIIDRASARGELTPDTVVDVAVLHAALLGIPYASVHMLGETDIEVLTNQLAEHMLRSLGVG</t>
  </si>
  <si>
    <t>GC_00002767</t>
  </si>
  <si>
    <t>MNPKKRPTIPIFNRVRLLRAERDMTRAQLAARVDVNPQTIGALERGDHSPSLDLAMRICEVFELPVEAVFSRKQFEPMSTHIYNRG</t>
  </si>
  <si>
    <t>GC_00002768</t>
  </si>
  <si>
    <t>MSAFVDAPDASVDASDGGERRQAKPVTLMRLEAVWLSVSVLVFGVVGAVWGLLRPRYTLNVLEGGTVEVAEQSASSREFGAFCSYLGTVAVFAAVVVVLCLWIFGRFYPDMSWARAVRWFRGVVPVLLLANGLLGVVMFSQCVELVSRWRWPIPDAESLHPGDSFDVVVEVSGLHGLIVAGLVTTVLCWLRLVWLVYSPVEEEALAEEGQEEEEGQEEEAGVVS</t>
  </si>
  <si>
    <t>MSAFVDAPDASVDASDGGERCQAKPVTLMRLEAVWLSVSVLVFGVVGAVWGLLRPRYTLNVLEGGTVEVAEQSASSREFGAFCSYLGTVAVFAAVVVVLCLWIFGRFYPDMSWARAVRWFRGVVPVLLLANGLLGVVMFSQCVELVSRWRWPIPDAESLHPGDSFDVVVEVSGLHGLIVAGLVTTVLCWLRLVWLVYSPVEEEALAAEGQEEEEGQEEEAGVVS</t>
  </si>
  <si>
    <t>GC_00002769</t>
  </si>
  <si>
    <t>MSFLGNPDHAHALQDLIAAHHDGGYIIHVDYIQQRNERYTRVVSHIGDDPADHDMWFWKEDIPSDSIVVATQLPHRGENRITDVGDPDQTESAIAACMSIKDIKEGRRWLIRQATNTYNSPQQRTDYAHTIISTDNILKLRTPKKITALAQLVGQ</t>
  </si>
  <si>
    <t>GC_00002770</t>
  </si>
  <si>
    <t>MASRFPRLAAVQSAWAAWAEPTQKPAQPASSPSEWPVASHVPPSRHDAIFRLILWPIAALIVAHRVCVLAANGHITDDYTTVFLALRRFWDGIPVYSENYSFVDPHYLYNPGATMILSPLALVGHVAVARMVFICGNAAAIIAAVAILMRMFGFRLRGWGFPLVVAVAFVTEAVQNTLIFANINGVLLLALVGFLWALLGGRQWWAGVILGLAIMIKPVFLPLLVLPLVKFQWRTILVGVGLPAALNAVAWLVVPGAGEYVSRTMPYLKQVRDYANSSLPGLVTYFGLPGWVGTVLFLVLAAVVVAGVWFLLRLRHSDPLLWACATSGLLLSGAFLLSSLGQMYYSMMLFPLVATVVLRRSPMHSAAGAVGMVLCLSPLEWEFTRWPVYGQWLDTFLPTVGWLCVVVATAMFGFQAFRRPPGGE</t>
  </si>
  <si>
    <t>MASRFPRLAAVQSAWAAWAEPTQKPAQPASSPSEWPVASHVPPSRHDAIFRLILWPIAALIVAHRVCVLAANGHITDDYTTVFLALRRFWDGIPVYSENYSFVDPHYLYNPGATMILSPLALVEHVAVARMVFICGNAAAIIAAMAILMRMFGFRLRGWGFPLVVAVAFVTEAVQNTLIFANINGVLLLALVGFLWALLGGRQWWAGVILGLAIVIKPVFLPLLVLPLVKFQWRTMLAGVGLPAALNAVAWLVVPGAGEYVSRTMPYLKQVRDYANSSLPGLVTYFGLPGWVGTVLFLVLAAVVVAGVWFLLRLRHSDPLLWACATSGLLLSGAFLLSSLGQMYYSMMLFPLVATVVLRRSPMHSAAGAIGMVLCLSPLEWEFARWPVYGQWLDTFLPTVGWLCVVVATAMFGFQAFRRPPGGE</t>
  </si>
  <si>
    <t>GC_00002771</t>
  </si>
  <si>
    <t>MRSTILKITVPTLVLLLIFISYTNLERFEPTADTFTDSEKIVEIAVRANSMEQVVLGELYKQGLDRHGRPAVINMESLGVKHSIERLRQGNADIYISCAGRILHYINGDKARQLEKKYSDTTKKVDINSGDRREEVYQAVMGSLGDNLNGTDPANALGCAEEESDIPQHIIPIYRNPVLDRDERGALNVVSGILTTEKLEKLVEKSREGKNPSEVVSQFLDDNNVQFVNKNQQKDPVDGKKQNS</t>
  </si>
  <si>
    <t>MRSTILKITVPTLVLLLIFISYTNLERFEPTADTFTDSEKIVEIAVRANSMEQVVLGELYKQGLDRHGRPAVINMESLGVKHSIERLRQGNADIYISCAGRILHYINGDKARQLEKKYSDTTKKVDINSGDRREEVYQAVMGSLGGNLNGTDPANALGCAEEESDIPQHIIPIYRNPVLDRDERGALNVVSGILTTEKLEKLVEKSREGKNPSEVVSQFLDDNSVQFVNKNQQKDPVDGKKQNS</t>
  </si>
  <si>
    <t>GC_00002772</t>
  </si>
  <si>
    <t>PF05423.18</t>
  </si>
  <si>
    <t>Mycobacterium membrane protein</t>
  </si>
  <si>
    <t>MTQPQGPQPDPQSNQQPNMGPNPNMGTPPPQIMYVEKPKRPWYQRPGCLIPLILVILVVLGMASCTAMMGKTVSEVDKSLNQEKTVVYRVGGDAQDIRVTYTAGSSQSASDSGVTSGWEKEVKVKGIFGAYMSVTSGVNDSGTVSCQILVDGQVVAENSASGQFASASCNADISDISKK</t>
  </si>
  <si>
    <t>MTQPQGPQPDPQSNQQPNMGSNPNMGTPPPQIMYVEKPKRPWYQRPGCLIPLILVILVVLGMASCTAMMGKTVSEVDKSLNQEKTVVYRVGGDAQDIRVTYTAGSSQSASDSGVTSGWEKEVKVKGIFGAYMSVTSGVNDSGTVSCQILVDGQVVAENSASGQFASASCNADISDISKK</t>
  </si>
  <si>
    <t>GC_00002773</t>
  </si>
  <si>
    <t>COG0272|COG0847</t>
  </si>
  <si>
    <t>NAD-dependent DNA ligase (Lig) (PDB:5TT5)|DNA polymerase III, epsilon subunit or related 3'-5' exonuclease (DnaQ) (PDB:1J53)</t>
  </si>
  <si>
    <t>MSSISAYGATIEVTQAGVYITPSRLAQALEHVPHLVPIDRITGATELSPPTAYGLGAVELTGTTEVIRFAPGQAANMTTLIDAVTDAVQGNAPALVPGLHFVGVDVETANADWGSICQIGVVRVTDGMQVDSHEWLCRPPAGIDHFDEGNIRIHGITPDMVTDAPDFATVFPEVVAYVADQVLVAHNAQFDLTAFSRACHATGTPVPHWKFACSLAASRAAKLGITSHRLPVVAQHLGVELDNHHDAVADARACAGIFVQLALRAHATGDIETVFTTLGFSLGDLNTERIYPVLSNPPTVTVAGGRGHADGAAAPTPARSAPKSARWAKAATPTTIPDPNPDADPNHPLFGHVITLTGDFEPYDKGELWEKMAAVGATVAKNVTKKTTMLVMGPWDSVTSKQKRAEELISKGQNIEMWQSMRLFTALGLDPTANDAADDDEPPF</t>
  </si>
  <si>
    <t>MSSISAYGATIEVTQAGVYITPSRLAQALEHVPHLVPIDRITGATELSPPTAYSLGEVELTGTTEVIRFAPGQAANMTTLIDAVTDAVQGNAPALVPGLHFVGVDVETANADWGSICQIGVVRVTDGMQVDSHEWLCRPPAGIDHFDEGNIRIHGITPDMVTDAPDFAAVFPEVVAYVADQVLVAHNAQFDLTAFSRACHATGTPVPHWKFACSLAASRAAKLGITSHRLPVVAQHLGVELDNHHDAVADARACAGIFVQLALRAHATGDIETVFTTLGFSLGDLNTERIYPVLSNPPTVTVAGGRGHADGAAAPTPARSAPKSARWAKAATPTTIPDPNPDADPNHPLFGHVITLTGDFEPYDKGELWEKMAAVGATVAKNVTKKTTMLVMGPWDSVTSKQKRAEELISKGQNIEMWQSMRLFTALGLDPTADDAADDDEPPF</t>
  </si>
  <si>
    <t>GC_00002774</t>
  </si>
  <si>
    <t>MTAYLFDLYGVLLKVQEEGALRDIERVVGAGPEIWETYWEFRYDLDAGLLTEQEYWEKFRTALDLPPFDVDAAIEVDYRGWLAPDEEMVSYVTEMINQGERVGLLSNIPHGLARRVRKQHAWLDKFNAVTMSCDLGVAKPHPEAFKAALQNLGSTPEDTVFFDDNPDNVAAARALGITGVVFRNIDDVKDEVERNS</t>
  </si>
  <si>
    <t>MTAYLFDLYGVLLKVQEEGALRDIERVVGAGPEIWETYWEFRYDLDAGLLTEQEYWEKFRTALDLPPFDVDAAIEVDYRGWLAPDEEMVSYVTEMINQGERVGLLSNIPHGLARRVRKQHAWLDKFNAVTMSCDLGVAKPHPEAFKAALQNLGSTPEDTVFFDDNPDNVAAARALGIAGVVFRNIDDVKDEVERNF</t>
  </si>
  <si>
    <t>GC_00002775</t>
  </si>
  <si>
    <t>E|H|E|H</t>
  </si>
  <si>
    <t>Amino acid transport and metabolism|Coenzyme transport and metabolism|Amino acid transport and metabolism|Coenzyme transport and metabolism</t>
  </si>
  <si>
    <t>K13950</t>
  </si>
  <si>
    <t>para-aminobenzoate synthetase [EC:2.6.1.85]</t>
  </si>
  <si>
    <t>COG0147|COG0512</t>
  </si>
  <si>
    <t>Anthranilate/para-aminobenzoate synthases component I (TrpE) (PDB:1I1Q)|Anthranilate/para-aminobenzoate synthase component II (glutamine amidotransferase) (PabA) (PDB:1I1Q)</t>
  </si>
  <si>
    <t>KEGG Orthology (KO)&gt;&gt;&gt;09100 Metabolism&gt;&gt;&gt;09108 Metabolism of cofactors and vitamins&gt;&gt;&gt;00790 Folate biosynthesis [PATH:ko00790]|Enzymes&gt;&gt;&gt;2. Transferases&gt;&gt;&gt;2.6  Transferring nitrogenous groups&gt;&gt;&gt;2.6.1  Transaminases&gt;&gt;&gt;2.6.1.85  aminodeoxychorismate synthase</t>
  </si>
  <si>
    <t>MHSPTQPLITSAPPQILLIDNHDSFTHLLGDLIWRAVGISPTILPNNSPDLTASTLDNADLIVISPGPGHPGVAEDIGASTLAVQQETTPVIGVCLGHQAIALEAGARVERATAPMHGLASNVIHNSTGMFEGISSPMRVIRYHSLDVTLDADSEAPLEVLARADDGTIMALRRTDRPHWGVQFHPESIGTAAGERLMRNLIEAAGVLRTPLWHRAELDYSPHPTAVATLWAEHYPYVCWLDTATDPSGTHIIAAGHTLVHPVDIPPGHLTPDSAETALNFIPGALGALRYEATGGWDGTLPSHVDSEEKLLVPEVVLQYECGRCFLMQRAGIDAAPPPLPSHSEEVTPTGPVDAGPITLRHSREEYVALVRRCQEFIDRGESYELCLTTSASAPVTGLTTPADVLDLYLRLRSVAPAPMAGLWLTPDYAVLSSSPERCVQVRDGLVTASPIKGTRPRGATAEEDAALKAELQHSVKDRAENLMIVDLLRNDLARSCLPGSVSVPELCEVYTFSRVHQMISTIQGRLPHAATPMQSLGAVLAAFPGGSMTGAPKQRSMDILAELEAAPRGFYSGCLGYVSANGDVDFNILIRTAVVQDAVVRYGAGGAVTRLSDADAEYEEVLVKMLPLRLVLEASEDL</t>
  </si>
  <si>
    <t>MHSPTQPLITSAPPQILLIDNHDSFTHLLGDLIWRAVGISPTILPNNSPDLTASTLDNADLIVISPGPGHPGVAEDIGASTLAVQQETTPVIGVCLGHQAIALEAGARVERATAPMHGLASNVIHNSTGMFEGISSPMRVIRYHSLDVTLDADSEAPLEVLARADDGTIMALRRTDRPHWGVQFHPESIGTAAGERLMRNLIEAAGVLRTPLWHRAELDYSPHPTAVATLWAEHYPYVCWLDTATDPSGTHIIAAGHTLVHPVDIPPGHLTPDSAETALNFIPGALGALRYEATGGWDGALPSHVDSEEKLLVPEVVLQYECGRCFLMQRAGIDAAPPPLPSHSEEVTPTGPVDAGPITLRHSREEYVALVRRCQEFIDRGESYELCLTTSASAPVTGLTTPADVLDLYLRLRSVAPAPMAGLWLTPDYAVLSSSPERCVQVRDGLVTASPIKGTRPRGATAEEDAALKAELQHSVKDRAENLMIVDLLRNDLARSCLPGSVSVPELCEVYTFSRVHQMISTIQGRLPHAATPMQSLGAVLAAFPGGSMTGAPKQRSMDILAELEAAPRGFYSGCLGYVSANGDVDFNILIRTAVVQDAVVRYGAGGAVTRLSDADAEYEEVLVKMLPLRLVLEASEDL</t>
  </si>
  <si>
    <t>GC_00002776</t>
  </si>
  <si>
    <t>PF11580.13</t>
  </si>
  <si>
    <t>Protein of unknown function (DUF3239)</t>
  </si>
  <si>
    <t>MTIFSFDVDADHARQNNELLKDARRLQISAVLFAAILVGVGVWLHRLLGGMPGIVILGVLAVLALSSLALIIIIPRYVGDAESLYTRYPLCPAMIAKINSRDMVLLSLVNVNSDPDSTPRWALAARTVSRIEGHQRRPGERVPSVAVSSMEQQAQFREVTPLPIAWGTTDPTVIRTAMRTIPEASWDLLRTNMSRLDEVLATPHNLLTLE</t>
  </si>
  <si>
    <t>MTIFSFDVDAHHARQNNELLKDARRLQISAVLFAAILVGVGVWLHRLLGGVPGIVILGVLAVLALSSLALIIIIPRYVGDAESLYTRYPLCPAMIAKINSRDMVLLSLVNINSDPDSTPRWALAARTVSRIEGHQRRPGERVPSVAVSSMEQQSQFREVTPLPIAWGTTDPTVIRTAMRTIPEASWDLLRTNMSRLDEVLATPHNLLALD</t>
  </si>
  <si>
    <t>GC_00002777</t>
  </si>
  <si>
    <t>M|D</t>
  </si>
  <si>
    <t>Cell wall/membrane/envelope biogenesis|Cell cycle control, cell division, chromosome partitioning</t>
  </si>
  <si>
    <t>K21473</t>
  </si>
  <si>
    <t>peptidoglycan DL-endopeptidase RipA [EC:3.4.-.-]</t>
  </si>
  <si>
    <t>COG0791|COG4942</t>
  </si>
  <si>
    <t>Cell wall-associated hydrolase, NlpC_P60 family (NlpC) (PDB:2EVR)|Septal ring factor EnvC, activator of murein hydrolases AmiA and AmiB (EnvC)</t>
  </si>
  <si>
    <t>MARTRFTRRLIAIALSSTILTATIASPEAGLAQPVNPDDSEIATAESNVNTNSRNVAQLANTLSNTQNDISRLENEMGGLREAVNKALVDLHDAQASAEQARQAARAARQELDDVQNQMTQAQQRLDEFSRSAYRKGASNPGVSGVAGTKHSNDALDRQTYLRTNIAKQRAIIDHLDHLRTDKANKESQLREASKLAEQREAQAAQAKEAAQNAINENSRLIEQRTASLKNLMAQRDDAQKKLDAAKSTSDTLNNQRKEYQDYQKAKEERERAEAEAAAAEKARHDAEQTQADAQARADAEADAAATANDAHKSDAEERARTAADEAERARTNTQEKTTQAQQAQQHHDAATAAAADAAAKIAELSPDHTNLDSPYPTDLDADAATIAALQGPQQDNQQDDAATGSSSSSLSTLDTVTSDASASVSGSKEEKIEAVIARAQSQVGLPYAWGGGNASGPTQGIRDGGVADSFGDYNKVGFDCSGLVLYAFAGVGIALPHYTGYQYERGTKISPNEIQRGDLIFYGPNAEDHVAIYLGDGQMLEAPQSGSQVQVSPVRWTGMSPYAVRLI</t>
  </si>
  <si>
    <t>MARTRFTRRLIAIALSSTILTATIASPEAGLAQPVNPDDSEIATAESNVNTNSRNVAQLANTLSNTQNDISRLENEMGGLREAVNKALVDLHDAQASAEQARQAARAARQELDDVQNQMTQAQQRLDEFSRSAYRKGASNPGVSGVAGTKHSNDALDRQTYLRTNIAKQRAIIDHLDHLRTDKANKESQLREASKLAEQREAQAAQAKEAAQNAINENSRLIEQRTASLKNLMAQRDDAQKKLDAAKSTSDTLNNQRKEYQDYQKAKEERERAEAEAAAAEKARHDAEQTQADAQAR----ADAAATANDAHKSDAEERARTAADEAERARTNTQEKTTQAQQAQQHHDAATAAAADAAAKIAELSPDHTDLDSPYPTDLDADDATIAALQGPQQDNQQDDAATSSSSSSLSTLDTVTSDASASVSGSKEEKIEAVIARAQSQVGLPYAWGGGNASGPTQGIRDGGVADSFGDYNKVGFDCSGLVLYAFAGVGIALPHYTGYQYERGTKISPNEIQRGDLIFYGPNAEDHVAIYLGDGQMLEAPQSGSQVQVSPVRWTGMSPYAVRLI</t>
  </si>
  <si>
    <t>GC_00002778</t>
  </si>
  <si>
    <t>MLFYWNEQPDFHLDARVVADAIARSCDVGPMTCKDKLIVLDGLAAAYNAPMQPMLMFSSMWEVEDKAGLLSPLESGQLWRIKGREEEVLATMNYAMGMTEMFTAIMAGDYPLLLRLSIYAAAIHAMVSTYSPDVVHVLHCGDLYDAAELLRSMDESRFSPLNLACTVRAFNIAGSEQDEFVMDSLGLFLFGLPDVQVHAHSVDRGEVESDIWPLAHYLLDSGDVIQNGDTVCEHHYRCQHENALIGPPREVLDINIGAYAAGNRAAPTEDPGA</t>
  </si>
  <si>
    <t>MLFYWNEQPDFHLDARVVADAIARSCDVGPMTCKDKLIVLDGLAAAYNAPMQPMLMFSSMWEVEDKAGLLSPLESGQLWRIKGREEEVLATMNYAMGMTEMFTAIMAGDYPLLLRLSIYAAAIHAMVSTYSPDVVHVLHCGDLYDAAELLRSMDESRFSPLNLACTVRAFNIAGSEQDEFVMDSLGLFLFGLPDVQVHAHSVDRGEVESDIWPLAHYLLDSGDVIQNGDTVGEHHYRCQHENALIGPPREVLDINIGAYAAGNRAAPTEDPGA</t>
  </si>
  <si>
    <t>GC_00002779</t>
  </si>
  <si>
    <t>MLRLASRIIVVGSIILVLVLIVGGCVLEELQWQQMMHPNWPKQETAGAEVDRAVGAAVDRYEAVLDAQWGDADCVVERCPKSSKSLPGMPRDRAEFTKQERFNLEQKAHYLSREPVSSTDLYSVVKTDAAVEAIVYVTVAKCYRSEVIWATDPHRMMLAPSTSRAGEYVVMEDAILTMKESEKYPEAFSPLYSGRKGEEPDCS</t>
  </si>
  <si>
    <t>MFRLASRIIVVGSIILVLVLVVGGCVLEELQWQQMMHPNWPKQETAGAEVDRAVGAAVDRYEAVLDAQWGDADCVVERCPKSSKSLPGMPRDRAEFTKEERFNLERKAHYLSREPVSSTDLYSVVETDAGVEAIVYVTVAKCDGSEVSVATDPHRMMLAPSTSRVGEYVVMEDAILTKEESPKYPETFSPLYSGRKGEEPDCS</t>
  </si>
  <si>
    <t>GC_00002780</t>
  </si>
  <si>
    <t>MLTPQEHAEAILRRLPPRATVTLPLLDAANYTLATDLTAPFDSPRFDNSQMDGYALSSAQQQRTPGVFIVGPTVAAGADPDELYPEGLGDSVAPIMTGAKLPRGTTTIVPVEECQPDTFTDDEVHIPSVPQQQYVRKAGSDSAAGSLLLRAGTRLDAVAIAALASQSITTVTVWQRPRVIICTGGAEISHGAGNEGVASIPDANGPMLHQLCRSADIEVVDHIRTDDNVERFVEDVARGVDKHQPDAVITSGGISHGRYEVVRLAFAEHDAWFGHVAQQPGGPQGLATFRGTPVICLPGNPISTLVSFRLFVAPTLNRCDVGAYTARLTHAVTGLPDLRDQFLRGTYAVDAEGVLHATPIGGAGSHLLQQAVGATCLIRITARTHYHPGAAVQIYPLGELL</t>
  </si>
  <si>
    <t>MLTPQEHAEAILRRLPPRATVTLPLLDAANYTLATDLTAPFDSPRFDNSQMDGYALSSAQQQRTPGVFTVGPTVAAGADPDELYPEGLGDSVAPIMTGAKLPRDTTTIVPVEECQPDTFTDDEVHIPSVPQQQYVRKAGSDSAAGSLLLQAGTRLDALAIAALASQSITTVTVWQRPRVIICTGGAEISHGDGNEGVASIPDANGPMLHQLCRSAGIEVVDHIRTDDNVERFVEDVARGVDKHQPDAVITSGGISHGRYEVVRLAFAEHDAWFGHVAQQPGGPQGLATFRGTPVICLPGNPISTLVSFRLFVAPTLNRRDVGAYTARLTHAVTGLPDLRDQFLRGTYAVDAEGVLHATPIGGAGSHLLQQAVGATCLIRITARTHYHPGAAVQIYPLGELL</t>
  </si>
  <si>
    <t>GC_00002781</t>
  </si>
  <si>
    <t>MKLRRRTVVVLTAVLVGVLVAMWVVDTAIAARSERLLSQRVAEHSHLGFAPEAYFGGLPFVSNFITGVVPSMYVSVTDVKVKPFGLLRTHTTITDVEVSADRLLAGDVAGAKAALITRGVNFDAVSLGRPMGITDLDISNPYDISPAGSAASEVKLTGTPPGFTGPVTVVAELRLKGKMFLLSPITVTDRSKLDDTQNDKLSDDDIFRAFRWELDTTTLPLSKQASYVSAAGGTVYFESQQRNVVVSMDDLAPVSDD</t>
  </si>
  <si>
    <t>MKLRRHTVVVLTAVLVGVLVAMWVVDTAIAARSERLLSQRVAEHSHLGFAPEAYFGGLPFVSNFITGVVPSMYVSVTDVKVKPFGLLRTHTTITDVEVSADRLLAGDVAGAKAALITRGVNFDAVSLGRPMGITDLDISNPYDISPAGSAASEVKLTGTPPGFTGPVTVVAELRLKGKMFLLSPITVTDRSKLDDTQNDKLSDDDIFRAFRWELDTTTLPLSKQASYVSAAGGTVYFESQQRNVVVSMDDLAPVSDD</t>
  </si>
  <si>
    <t>GC_00002782</t>
  </si>
  <si>
    <t>PF05336.19</t>
  </si>
  <si>
    <t>L-rhamnose mutarotase</t>
  </si>
  <si>
    <t>K03534</t>
  </si>
  <si>
    <t>L-rhamnose mutarotase [EC:5.1.3.32]</t>
  </si>
  <si>
    <t>COG3254</t>
  </si>
  <si>
    <t>L-rhamnose mutarotase (RhaM) (PDB:1X8D)</t>
  </si>
  <si>
    <t>KEGG Orthology (KO)&gt;&gt;&gt;09190 Not Included in Pathway or Brite&gt;&gt;&gt;09191 Unclassified: metabolism&gt;&gt;&gt;99980 Enzymes with EC numbers|Enzymes&gt;&gt;&gt;5. Isomerases&gt;&gt;&gt;5.1  Racemases and epimerases&gt;&gt;&gt;5.1.3  Acting on carbohydrates and derivatives&gt;&gt;&gt;5.1.3.32  L-rhamnose mutarotase</t>
  </si>
  <si>
    <t>MPDQSPTNPLTTLLNTTSAKDPGRACFLLHVRPEALEEYVDVHQRVWAEMRDALTTAGWRHYSLFLNPDTGLVVGYFESDDTAAAMEAMADTDVNTRWQAEMQRYFVQPDGGTPTPLQQYFYLP</t>
  </si>
  <si>
    <t>MPDQSPTNPLTTLLNTTSAKDPGRACFLLHVRPEALEEYVDVHQRVWAEMRDALTTAGWRHYSLFLNPDTGLVVGYFESDDTAAAMEAMADTDVNTRWQAEMQRYFVQPDGGTPTLLQQYFYLP</t>
  </si>
  <si>
    <t>GC_00002783</t>
  </si>
  <si>
    <t>MGSVKESSLLPLSLITAVIAVTGLTVGGVYLSSTAGHSKGPEFSYKEVQAVPASQPTPLDQGLPPESDINKVITGLADRQAKAAEKGDRPTAGGKCATYDGFTLCGAMNKRYQELGGVDGVLGRPMSNEVLSQDGHGTRAVFQRGMMFYSPTTGAHEVTGANLIKYALLKFEGGVLGYPTGSEEKQDNGTIQPFEGHTYLTASSKGGVHYIGGRIYEYWQKHGGPSSEFGYPQSDIIDVSAEYQGIGDRLVLFPTGQVIVSSSRTGDIVVEQLP-QQQQQPQTVEPEQPEAPEEAQPVPNS</t>
  </si>
  <si>
    <t>MGSVKESSLLPLSLITAVIAVTGLTVGGVYLSSTAGHSKGPEFSYKEVQAVPASQPTPLDQGLPPESDINKVITGLADRQAKAAEKGDRPTAGGKCATYDGFTLCGAMNKRYQELGGVDGVLGRPMSNEVLSQDGHGTRAVFQRGMMFYSPTTGAHEVTGANLIKYALLKFEGGVLGYPTGSEEKQDNGTIQPFEGHTYLTASSKGGVHYIGGRIYEYWQKHGGPSSEFGYPQSDIIDVSAEYQGIGDRLVLFPTGQVIVSSSRTGDIVVEQLPQQQQQQPQTVEPEQPEAPEEAQPVPNS</t>
  </si>
  <si>
    <t>GC_00002784</t>
  </si>
  <si>
    <t>MTSLITAPDRTRGDICPGAFKLHHATDGSIGRVRFPGGHVRPQQWADIARIATELGDGNIHVTTRGNMQFRGVTQDQEFGCVVTQAGFVPSQPHDKIRNIIASPLSPELWPLVDALDAALLATDATAGLSGRTLFGLDAGDGAIISQEPDFAARKVGDRYQLVLGGTPQHVTVSEADVPEVLAFAAAWWQAHRGDAWRLHETPEDISLILTDIAEAFAVEKLDELPAVPETTTAPIGWIDNDHGRVTLGAGLRFGFFPASVAAMLVTLGAETTITPWASLVIHDLDESHAEAAIKALAPLGLIFDADSPWLRITACTGLPGCAKSKSHTHDDAVALMNSDNIPDGLVHFSGCDRRCGHPRVAHTEYLAVAEGEYLITHQR</t>
  </si>
  <si>
    <t>MTSLISAPDRTRGDICPGAFKLHHATDGSIGRVRFPGGHVRPQQWADIARIATELGDGNIHVTTRGNMQFRGVTQDQEFGCVVTQAGFVPSQPHDKIRNIIASPLSPELWPLVDALDAALLATDATAGLSGRTLFGIDAGDGAIISQEPDFAARKVGDRYQLVLGGAPQHVTVSESDVPEVLAFAAAWWQAHRGDAWRLHETPEDISLILADIAEAFAVDKLDELPAVPETTAAPIGWIDNDHGRVTLGAGLRFGFFPAAVAAMLATLGAETTITPWASLVIHDLDESHAEAAIKALAPLGLIFDADSPWLRITACTGLPGCAKSKSHTHDDAVALMNSDNIPDGLVHFSGCDRRCGHPRVAHTEYLAVAEGEYLITHQR</t>
  </si>
  <si>
    <t>GC_00002785</t>
  </si>
  <si>
    <t>MGYDISGFIADQRLTNDDIDQMFDGVEAEGITKFEGVTAGVVDVIRTDTYTLGLGVLEDIGTATLNSGEFIRFTIGSTAGVYIIERFVDGEKTDERIDMEGYIEETGDAFADAGDDMWQYIEDYVEKRTGLTAEIWQTMECERFSL</t>
  </si>
  <si>
    <t>MGYDISGFIADQRLTNDDIDQMFDGVEAEGITKFEGVTAGVVDVIRADTYTIGLGVLEDIGTATLNSGEFIRFTIGSTAGVYIMERFVDGEKTDERIDMEGYIEETGDAFADAGDDMWQYIEDYVEKRTGLTAEIWQTMEFERFSL</t>
  </si>
  <si>
    <t>GC_00002786</t>
  </si>
  <si>
    <t>MRNSGLRTGTRRQAAVVTTAALCAIMALGLAPQPGHAQQANTTGSTVATPGGGTSGGTPADGTGAGTGATGNTGTTSTSTTASTAGASASSQPSQETAAPATADPSKVSTKTDDVQETKEAANGATDPQKAPLLVPGGAIDGKLYPKLFQDKFTDTATARGLLHWDVELKEDERLAFSYIVPPKQGIQRMDSTLQIIPFIIDQEGHNCVAQKSTDQEDNTNFAAPFTGYISSPRVGGQDQECKPGKFKVSLERRGAIEPSMELPFEFMLWKVPRTSEEPTAVASTNATLTTDDSPAVPLTMADERKNAKLIGSGNYSGTLEPNKLQWFKVLVSEGQRLHVDVNASPIELERNADTSQPISLEWRVVGPTFNPVMTTGTTDNVPYDNVSVSSKQAVGIETVTNPIQWPNLEKEQGSGVGEFLSGEQWVALRYYRPQATANTQPLKFTISLAVSGTPLSVPKFVDNLTGQAATDAKRQEAVAEESQSKTSPRFMVRSNSTPGQLWTWAMVAAIVASIGAVGGVGILRGRGKEVSLFH</t>
  </si>
  <si>
    <t>MRNSGLRTGTRRQAAVVTTAALCAIMALGLAPQPGHAQQANTTGSTVATPGGGNSVGTPADGTGAGTGATGNTGTTSTSTTASTAGASASSQPSQETAAPATADPSKVSTKTDDVQETKEAANGATDPQKAPLLVPGGAIDGKLYPKLFQDKFTDTATARGLLHWDVELKEDERLAFSYIVPPKQGIQRMDSTLQIIPFIIDQEGHNCVAQKSTDQEDNTNFAAPFTGYISSPRVGGQDQECKPGKFKVSLERRGAIEPSMEIPFEFMLWKVPRTSEEPTAAASTNATLATDDSPAVPLTMADERKNAKLIGSGNYSGTLEPNKLQWFKVLVSEGQRLHVDVNASPIELERNADTSQPISLEWRVVGPTFNPVMTTGTTDSVPYDNVSVSSKQAVGIETVTNPIQWPNLEKEQGSGVGEFLSGEQWVALRYYRPQATANTQPLKFTISLAVSGTPLSVPKFVDNLTGQAATDAKRQEAVAEESQSKTSPRFMVRSNSTPGQLWTWAMVAAIVASIGAVGGVGILRGRGKEVSLFH</t>
  </si>
  <si>
    <t>GC_00002787</t>
  </si>
  <si>
    <t>MKRTTPTVTTTALSVVAAATMAWGLTACGNNATEPTNTAATSASTTSASATMTADTTTAPPERAPEELTQREKAARLMMVGVKNYDDARTALKNGAGGIFIGSWTDPALLTSQDRNVAALRAEIGRPFAVSIDAEGGRVQRQPALFGSVPSPREMAATMKPEQVTGVARDLGTKLRERGITMDFAPVLDVDGGSANGAIGDRSFSGDPAVAATYATAFAQGLREAGIEPVYKHFPGHGRASGDTHKQTSRTPALASLKEVDLPPFGKALSQVPAPVMLGHLVVPEWGDLPATLNPAAYNLLRSGDYPEGSPYDGVIVTDDLSGMKAISDRFSTPTAALTALTAGADIALWITTDDLPKAIDEVDAAVTDGRYPREKFETSFARATSLQPDK</t>
  </si>
  <si>
    <t>MKRTTPTVTTTALSVVAAATMAWGLTACGNNTTEPTNTAATSASTTSASATMTADTTTAPPDRAPEELTQREKAARLMMVGVKNYDDARTALKNGAGGIFIGSWTDPALLTSQDRNIAALRAEIGRPFAVSIDAEGGRVQRQPALFGSVPSPREMAATMKPEQVTGVARDLGTKLRERGITMDFAPVLDVDGGSANGAIGDRSFSGDPVVAATYATAFAQGLREAGIEPVYKHFPGHGRASGDTHKQTSRTPALASLKEVDLPPFGKALSQVPAPVMLGHLVVPEWGDLPATLNPAAYNLLRSGDYPEGSPYDGVIVTDDLSGMKAISDRFSTPTAALTALTAGADIALWITADDLPKAIDEVDAAVTDGRYPREKFEASFARATSLQPDK</t>
  </si>
  <si>
    <t>GC_00002788</t>
  </si>
  <si>
    <t>MNKKHKSYHFGEINKFFHYVGGGSCIVLLLGYFLLDKIVNTDTRFFLCWTCVGMLTVIVGIYFRIISGLGGVVTFVYMVATPLILVIIIVQSLFITYLFTTYRPSPDQMPRIYTLSWVLVLAVIHTIWALSESNDNDKSTHPLYGPISKFFGTDVSEFSALVLILSALSTIALWITIALFLVGKGNGNTMDANTKFFFQWTGMSMLTLITSIGLVNIVSHIRKRTFKPTDAVMGILVCAIYPLSTPFFAVFIIQGLAMTYLFANMHHPDPDQMSQIHILSWILFATATSMFYGATYKFLSEDLNTDNRPHKFPRPIAIISTLSTIGLWIAIAVLMAKQ</t>
  </si>
  <si>
    <t>MNKKHKSYHFSEINKFFHYVGVGSFIALLLGYFLLDKIINTGTRFFLCWTCVGILTVIVGIYFRIISGLGGVVTFVYMVATPLILVIIIVQSLFITYLFTTYRPSPDQMSRIYTLSWVLVLAVIHTIWALSESNDNDKSTHPLYGPISKFFGTDVSEFSALVLILSALSTIALWITIALFLVGKGNGNTMDANTKFFFQWTGMSMLTLITSIGLVNIVSHIRKRTFKPTDAVMGILVCAIYPLSTPFFAVFIIQGLAMTYLFANMHHPDPDQMSQIHILSWILFATATSMFYGATYKFLSEDLNTDNRPHKFPRPIAIISTLSTIGLWIAIAVLMAKQ</t>
  </si>
  <si>
    <t>GC_00002789</t>
  </si>
  <si>
    <t>MEIKKPDLPTCPVETTLFFLSTKWSALILRDLMDGPRRFNELQRSIGHISQKVLTSNLRQMEKHGLLTRTVYAEVPPRVEYELTELGASLKPVLDTLRWWGEIYSASASGTSLTGHRQPPHPQP</t>
  </si>
  <si>
    <t>MEIKKPDLPTCPVETTLFFLSTKWSALILRDLMDGPRRFNELQRSIGHISQKVLTSNLRQMEKHGLLTRTVYAEVPPRVEYELTELGASLKPVLDTLRWWGEIYSASASGTSLTGHRQPPHP--</t>
  </si>
  <si>
    <t>GC_00002790</t>
  </si>
  <si>
    <t>MNLSTLRTTTRMARRAYGSYAGYRNRKAQQAYEALVEAANKADVHELIDESQKRFNTLSEKALDRIEAARKDINVEGAVEKASEKFAELTELGKKKTRKERKALKKSARKAERKVNAKFARRKRGRKFVKFTVLTAIGFGVGAAVYYVLWPKSAPEGYGTQPPTVGEYEGSEGSEAEAQAK------PASPEVGVSAAERDDELLDALEEQLKDHKSND</t>
  </si>
  <si>
    <t>MNLSTLRTTTRMARRAYGSYADYRNRKAQQAYEALVEAANKADVHELIDESQKRFNTLSEKALDRIEAARKDINVEGAVEKASEKFAELTELGKKKTRKERKALKKSARKAERKVNAKFARRKRGRKFVKFTVLTAIGFGVGAAVYYVLWPKSAPEGYGTQPPTVGEYEGSEGSEAEAQAKPASPSSPASPEVGVSAAERDDELLDALEEQLKDHKSND</t>
  </si>
  <si>
    <t>GC_00002791</t>
  </si>
  <si>
    <t>MSAPIDLTILVYETAIVFEGETDSYRYDLTGSGIVAGTQVADVIAEARGQLHAQWPNVTIQVKGPEEYCYNLVVGLQAENVTVVSDIDTSATDMADGDYDYYDDDVNDDNDVIYDSDGVDDDYEDSALQTSPSVTPESCDVDNTLLTSVFPRISHPNSPEATRGNIYLYLAIAGVIVLICGVSLWAVGPGSPPPTLPQASARPSPTSQLAAVPQKPASTSNTSTITMEHGNIQVGLPHDYRIEEQPDKPGMLIGRGADENLRVTMAIDPLFDADPTAIFAELDATINGDPTLTPAESLGIGRGQEKNYIENPGDGSTVHWIVWIDAGHVFSLGCHTRTAAANLPQRATCRKAAETLTIRH</t>
  </si>
  <si>
    <t>MSAPIDLTILVYETAIVFEGETDSYRYDLTGSGIVAGTQVADVIAEARGQLHAQWPNVTIQVKGPEEYCYNLVVGLQAENVTVVSDIDTSATDMADGDYDYYDDDVNDDNDVTYDPDGVDDDDEDSALQTSLSAAPESCDVDNTLLTSVFPRISRPNSPEATRGNIYLYLAIAGVIVLICGVSLWAVGPGSPPPTLPQASARPSPTSQLAAVPQKPASTSNTSTITMEHGNIQVGLPHDYRIEEQPDKPGMLIGRGADENLRVTMAIDPLFDADPTAIFAELDATINGDPTLTPAESLGIGRGQEKNYIENPGDGSTVHWIVWIDAGHVFSLGCHTRTAAANLPQRATCRKAAETLTIRH</t>
  </si>
  <si>
    <t>GC_00002792</t>
  </si>
  <si>
    <t>PF03441.19</t>
  </si>
  <si>
    <t>FAD binding domain of DNA photolyase</t>
  </si>
  <si>
    <t>K01669</t>
  </si>
  <si>
    <t>deoxyribodipyrimidine photo-lyase [EC:4.1.99.3]</t>
  </si>
  <si>
    <t>COG0415</t>
  </si>
  <si>
    <t>Deoxyribodipyrimidine photolyase (PhrB) (PDB:1TEZ)</t>
  </si>
  <si>
    <t>Enzymes&gt;&gt;&gt;4. Lyases&gt;&gt;&gt;4.1  Carbon-carbon lyases&gt;&gt;&gt;4.1.99  Other carbon-carbon lyases&gt;&gt;&gt;4.1.99.3  deoxyribodipyrimidine photo-lyase|DNA repair and recombination proteins&gt;&gt;&gt;Eukaryotic type&gt;&gt;&gt;SSBR (single strand breaks repair)&gt;&gt;&gt;Direct repair|DNA repair and recombination proteins&gt;&gt;&gt;Prokaryotic type&gt;&gt;&gt;SSBR (single strand breaks repair)&gt;&gt;&gt;Direct repair</t>
  </si>
  <si>
    <t>MRSSPTIVWFRDDLRLADNRALHWAAERGPVVGLFIHETVGRPLGAAAAWWQRRSLNELRERLPAPLIERRGDPRVIVPQLAHELGAAVTWNRRYHLTEVDAEIKSAVGATTHPGYLLTEPWKITTKSGSPYKVFSPFYRAAHAFLVDDPPSPLPVPEVTPANVEPETLPAPDESEWASTLGRYNCPGEIGGVDKLHSFDVDHYDNNNLGVPSTSGLSPYLRFGEVSPATAWAEVSNSTENAEPFLRQLIWRDFAWHRFYHLPNMATVNVREAFNRFPWEWTPRAKPSSTSRAFAHIEMDVEAQHIGELAAWQAGHTGVPLVDAGMRELWATGSMHNRARMVVGSWLTKNLGIHWRHGEEWFWDTLVDADAASNPFNWQWVAGSGDDAAPYFRVFNPLTQQKKFDASGTYIARWVPEALTPLYPEPMVDIAESRKTALAAYKDISG</t>
  </si>
  <si>
    <t>MRSSPTIVWFRDDLRLADNRALHWAAERGPVVGLFIHETVGRPLGAAAAWWQRRSLNELRERLPAPLIERRGDPRVIVPQLTHELGAAVTWNRRYHLTEVDAEIKSAVGATTHPGYLLTEPWKITTKSGSPYKVFSPFYRAAHAFLVDDPPSPLPVPEVTPANVEPETLPAPDEPEWASTLGRYNCPGEIGGVDKLHSFDVDHYDNNNLGAPSTSGLSPHLRFGEVSPATVWAEVRNSTENAEPFLRQLIWRDFAWHRFYHLPNMATVNVRKAFNRFPWEWTPRAKPSSTSRAFAHIEMDAEAQHIGELAAWQSGRTGVPLVDAGMRELWATGSMHNRARMVVGSWLTKNLGIHWRHGEEWFWDTLVDADAASNAFNWQWVAGSGDDAAPYFRVFNPLTQQKKFDPNGTYVARWVPEALTPLYPEPMVDIAESRKTALAAYKDISG</t>
  </si>
  <si>
    <t>GC_00002793</t>
  </si>
  <si>
    <t>MSDHIQVPMTHLHEIATKFASMKTELDGTEQSATELHGVDANDGHLVATAVTDFLSEWKQSRKTLNENIGILGEVSGKIADLVIGFDTDVSKSIGDAAAKMRENK</t>
  </si>
  <si>
    <t>MSDHIQVPMMHLHEIATKFASMKTELDGTEQSATELHGVDANDGHLVATAVTDFLSEWKQSRKTLNENIGILGEVSGKIADLVIGFDTDVSKSIGDAAAKMRENK</t>
  </si>
  <si>
    <t>GC_00002794</t>
  </si>
  <si>
    <t>MILKFLMTLFTAILAFFGLSTPTPTTTITEGHTRPTVGPLTQNRSEAAEPTDSTTVVTVTPQSGGVTIPEDPNLKTIKATEPTDSAIKLVRTAKKDGRDLLNGREPGDGEGPIPGSALDTTLPATAHVATPAEIAQVRTKNWQSTVRANTVLKFQGTPTSSDWDWLHQYYAAKPPKEKIPEADAINAFAGSSCNGRGAGIAWFKGAELHYYLTDRGAQWHRECDNASDEQHAEALNYIVGRPTVYLDGNGTMYLKRLADGKVSQWREVRG</t>
  </si>
  <si>
    <t>MILKFLMTLFTAILAFFGLSTPTPTTTITEGHTRPTVGPLT--RSAAAEPTDSTTVVTVTPQSGGVTIPEDPNFKPIKAAEPTDSAVKLVHTAKKDGQDLLNGREPGDGEGPIPGSALDTTLPATAHVATPAEIAQVRTKNWQSTVRANTVLKFQGAPTSSDWDWLHQYYAAKPPKEKIPEADAINAFAGSSCNGRGAGIAWFKGAELHYYLTDRGAQWHRECDNTSDVQHAEALNYIVGRPTVYLDGNGTMYLKRLADGKVSQWREVRG</t>
  </si>
  <si>
    <t>GC_00002795</t>
  </si>
  <si>
    <t>MFKKLGAVLICLPLIFGLTSCSQSSNNPDDSKSIKVGTSPGPYSQLFKDAVAPILQNQGYKIEYQDFSVLKQADVALNEGSIDLNVDQHTAYMQVFNKEENAKLAAITEIPTVPAGLYSSRHRSLDDVADGHTVAIPQDASNQSRAYNILAATGWITLKPDANLALVTENDIADNPHNLDIKPMDSATIPRSLPDLDWAVIPGSISYSSKVDSQLELFQEKLRPELILVATTTEDKVNSQWAQAVREAYASQEFKDYMKKHNDNNYWYVP</t>
  </si>
  <si>
    <t>MFKKLGAVLICLPLIFGLTSCSQSSNNPDDSKSIKVGTSPGPYSQLFKDAVAPILQNQGYKIEYQDFSVLKQADVALNEGSIDLNVDQHTAYMQVFNKEENAKLAAITEIPTVPAGLYSSRHRSLDDVADGHTVAIPQDASNQSRAYNILATAGWITLKPDANLALVTENDIADNPHNLDIKPMDSATIPRSLPDLDWAVIPGSISYSSKVDSQLELFQEKLRPELILVATTTEDKVNSQWAQAVRKAYASQEFKDYMEKHNDNNYWYVP</t>
  </si>
  <si>
    <t>GC_00002796</t>
  </si>
  <si>
    <t>COG1116</t>
  </si>
  <si>
    <t>ABC-type nitrate/sulfonate/bicarbonate transport system, ATPase component (TauB)</t>
  </si>
  <si>
    <t>MTSPHVELKEITKSYGSTTIIAPTTITIEEGQFVSILGPSGCGKSTILSMVAGLSFPTTGSVFASGSPITGPGPDRGMVFQHHALLPWMTAKGNIEFGLKSARPHYSRTERSDIADTYLEQVGLTHAASRRPARLSGGMQQRVGIARAFAIDPEILLLDEPFGALDALTRRELQLQLLHVWESSRRTVIMVTHDVDEAIVLSDRILVMSHGPESTVIADVAVDVPHPRHDTDADSAVELRHQLLDLLEH</t>
  </si>
  <si>
    <t>MTSPHVELKEITKSYGSTTIIAPTTITIEEGQFVSILGPSGCGKSTILSMVAGLSFPTTGSVFASGAPITGPGPDRGMVFQHHALLPWMTAKGNIEFGLKSARPHYSRTERSDIADTYLEQVGLTHAASRRPARLSGGMQQRVGIARAFAIDPEILLLDEPFGALDALTRRELQLQLLHVWESSRRTVIMVTHDVDEAIVLSDRILVMSHGPESTVIADVAVDVPHPRHDTDADSTVELRHQLLDLLEH</t>
  </si>
  <si>
    <t>GC_00002797</t>
  </si>
  <si>
    <t>PF04960.20</t>
  </si>
  <si>
    <t>Glutaminase</t>
  </si>
  <si>
    <t>K01425</t>
  </si>
  <si>
    <t>glutaminase [EC:3.5.1.2]</t>
  </si>
  <si>
    <t>COG2066</t>
  </si>
  <si>
    <t>Glutaminase (GlsA) (PDB:1MKI)</t>
  </si>
  <si>
    <t>KEGG Orthology (KO)&gt;&gt;&gt;09100 Metabolism&gt;&gt;&gt;09105 Amino acid metabolism&gt;&gt;&gt;00250 Alanine, aspartate and glutamate metabolism [PATH:ko00250]|KEGG Orthology (KO)&gt;&gt;&gt;09100 Metabolism&gt;&gt;&gt;09105 Amino acid metabolism&gt;&gt;&gt;00220 Arginine biosynthesis [PATH:ko00220]|KEGG Orthology (KO)&gt;&gt;&gt;09100 Metabolism&gt;&gt;&gt;09106 Metabolism of other amino acids&gt;&gt;&gt;00470 D-Amino acid metabolism [PATH:ko00470]|KEGG Orthology (KO)&gt;&gt;&gt;09130 Environmental Information Processing&gt;&gt;&gt;09132 Signal transduction&gt;&gt;&gt;02020 Two-component system [PATH:ko02020]|Enzymes&gt;&gt;&gt;3. Hydrolases&gt;&gt;&gt;3.5  Acting on carbon-nitrogen bonds, other than peptide bonds&gt;&gt;&gt;3.5.1  In linear amides&gt;&gt;&gt;3.5.1.2  glutaminase</t>
  </si>
  <si>
    <t>MKSPIPDYLEEVLETVRLDQSGELASYIPQLATADPDRLAAVFATLDGQVYGVGDVDHQFSIQSISKPFVYALALADRGFDDMLFKVDVEPSGEAFNELSLEGNTGQPRNPMINAGAITIHSLVGRPDSTPEERFERVMSGLSAFAGRRLEVDEAVYTSEMDHAYRNIAIAYMLRSYDIVQENPIAVVEGYTKQCALLVSARDLAVMAVTLANQGLNPVTGEQVVPPEVIRQVVTVMSTCGMYDSAGD</t>
  </si>
  <si>
    <t>MKSPIPDYLEEVLETVRLDQSGELASYIPQLATADPDRLAAVFATLDGQVYGVGDVDHQFSIQSISKPFVYALALADRGFDDVLFKVDVEPSGEAFNELSLEGNTGRPRNPMINAGAITIHSLVGRPDSTPEERFERVMSGLSAFAGRRLEVDEAVYTSEMDHAYRNIAIAYMLRSYDIVQENPIAVVEGYTKQCALLVSARDLAVMAVTLANQGLNPVTGEQVVPPEA-------------------</t>
  </si>
  <si>
    <t>GC_00002798</t>
  </si>
  <si>
    <t>MLVYVLHALVFLPVYPFQKSELFRQIHTVVPMQLGSAGVTFFFILSGFLIYWSNSEVSGVSDALYYCRRRLTKIFPMHLITLVMFVLASATVTASSITWALSFDRLKVWLPNALLIHTWNPDWAVLGGMNVPSWSLCAEMLFYLTFPLFVPLVRRVRGRGNWWALGAMFAVSLGIITVVHLLADGPKTTENFFVPRLWPQDVSPVADVHADPVWFSQDHIPVLQSYWLSYYFPLTRLVEFYLGVFAAKLVWEKQFHNTDLTLPLILLGMSYGTTWFVPIAFKMSVLMSLPMTYVIATLAVRDIEGVSRFIASPRSVLLGNISFAFYMVQFPVMVFVQRYFVAGGEYGFFGWLLAAVGSFVLSVALAWVLFTFVDDPLMRATARKPARRPAHAATRTR</t>
  </si>
  <si>
    <t>MLVYVLHALVFLPVYPFQKSELFRQIHTVVPMQLGSAGVTFFFILSGFLIYWSNSEVSGVSDALYYCRRRLTKIFPMHLITLVMFVLASATVTASSITWALSFDRLKVWLPNALLIHTWNPDWAVLGGMNVPSWSLCAEMLFYLTFPLFVPLVRRVRGRGNWWALGAMFAVSLGIITVVHLLADGPKTTENFFVPRLWPQDVSPVADVHADPVWFSQDHIPVLQSYWLSYYFPLTRLVEFYLGVFAAKLVWEKQFRNTDLILPLILLGMSYGTTWFVPIAFKMSVLMSLPMTYVIATLAVRDIEGVSRFIASPLSVLLGNISFAFYMVQFPVMVFVQRYFVAGGEYGFFGWLLAAVGSFVLSVALAWVLFTFVDDPLMRATARKLARRPAHAATRTR</t>
  </si>
  <si>
    <t>GC_00002799</t>
  </si>
  <si>
    <t>MKQANRVRTAAHNTAEPADEPEQTSGPAHPPSTGSITVAELIKRNQRAAQKGQRRRAEPPKPATPASAKPAPAQAAARSPEDDPATPEKPRRTPATPRGQQPRTPRQTTNATGQATTSRHNPRQTSSRQVPPQRQTQQPQRSATPQPQRQNPPQRQAARRATPQQRPVRPATAARGGQQPPQSDARQSRPGNNLTARQGNPRQQQRSQAASQSGSGQHSSGQQPRQQQSRMQRNQQATPQASRQQSSRQQPSSRSAHASNRPAGTPRSSAASGTHSAASQASQASTGRRAARQAGHQANRQSTQQPQKRTQRTQRTGQPAQRRAATPNQPASRRAATTSNGSRSSRQDRQNPRQDHHDPQKSTGSTPPKPRVRRRRALNDDLYS</t>
  </si>
  <si>
    <t>MKQANRVRTAAHNTAEPADEPEQTSGPAHPPSTGSITVAELIKRNQRAAQKGQRRRAEPPKPATPASAKPAPAQAAARSPEDDPATPEKPRRTPATPRGQQPRTPRQTTNATGQATTSRHNPRQTSSRQVPPQRQTQQPQRSATPQPQRQNPPQRQAARRATPQQRPVRPATAARGGQQPPQSDARQSRPGNNLTARQGNPRQQQRSQAASQSGSGQHSSGQQPRQQQSRMQRNQQATPQASRQQSSRQQPSSRSAHASNRPAGTPRSSAASGTHSAASQASQTSTGRRTARQAGHQANRQSTQQPQKRTQRTQRTGQPAQRRAATPNQPASRRAATTSNGSRSSRQDRQNPRQDHHDPQKSTGSTPPKPRVRRRRALNDDLYS</t>
  </si>
  <si>
    <t>GC_00002800</t>
  </si>
  <si>
    <t>PF13635.12</t>
  </si>
  <si>
    <t>Domain of unknown function (DUF4143)</t>
  </si>
  <si>
    <t>K07133</t>
  </si>
  <si>
    <t>COG1373</t>
  </si>
  <si>
    <t>Predicted ATPase, AAA+ superfamily</t>
  </si>
  <si>
    <t>MLPKRHSKQAYLTRYIDYELDELIEDLSGIAIDGPKGVGKTATASLRSDVVLMLDDVAVRQVVEADAKRQLTAKSVVCVDEWQNYPPVWDTVRRLIDDKVATTFLLTGSASPVVGARTHSGAGRIISLRMRPLSLAERAGTQPTVFIRDLFEREADIAGNSDFSLSDYATAICSTGLPGIYDLSPRARRASIAGYVTRIIDRDVPEQGGSVRRPDTLRSWLTAYAAASSTTTTYTKILDAATPADTDKISKKTSDKYRDLLTKIWVLDSVPAWSPQAPSLARLNLSPKHQLFDPGIAANLLGITDRTLVSAVKGTGEIFGQLFESLATLCVRTAGQAAEARTFHLRTKAGEHEVDLILERYDGAVLAFEVKLSPTVDDKDVSHLHWLGEQIGDRLVDKIVLTTGSTAYRRADGVAVVPLALLG</t>
  </si>
  <si>
    <t>MLPKRHSKQAYLTRYIDYELDELIEDLSGIAIDGPKGVGKTATASLRSDVVLALDDVAVRQVVEADAKRQLTAKNVVCVDEWQNYPPVWDTVRRLIDDKVATTFLLTGSASPVVGTTTHSGAGRIISLRMRPLSLAERAGTQPTVFIRDLFEREADIAGNSDFSLSDYAAAICSTGLPGIYDLSSRARRAAIAGYVTRIIDRDVPEQGGSIRRPDTLRSWLTAYAAASSTTTTYTKILDAVTPADTDKISKKTSDKYRDLLTKIWVLDSVPAWSPQAPSLARLNLSPKHQLFDPGIAANLLGITDRTLVSAVKGTGEIFGQLFESLATLCVRTAGQAAEARTFHLRTKAGEHEVDLILERYDGAVLAFEVKLSPTVDDKDVSHLHWLGKQIGDHLVDKIVLTTGSTAYRRADGVAVVPLALLG</t>
  </si>
  <si>
    <t>GC_00002801</t>
  </si>
  <si>
    <t>MVKTSIRWGVSVAVAVFLYTRPNPLWLLIYTIGIITLLAREFDR</t>
  </si>
  <si>
    <t>GC_00002802</t>
  </si>
  <si>
    <t>K03784</t>
  </si>
  <si>
    <t>purine-nucleoside phosphorylase [EC:2.4.2.1]</t>
  </si>
  <si>
    <t>COG0813</t>
  </si>
  <si>
    <t>Purine-nucleoside phosphorylase (DeoD) (PDB:1A69)</t>
  </si>
  <si>
    <t>M00958|M00959</t>
  </si>
  <si>
    <t>Adenine ribonucleotide degradation, AMP =&gt; Urate|Guanine ribonucleotide degradation, GMP =&gt; Urate</t>
  </si>
  <si>
    <t>KEGG Orthology (KO)&gt;&gt;&gt;09100 Metabolism&gt;&gt;&gt;09104 Nucleotide metabolism&gt;&gt;&gt;00230 Purine metabolism [PATH:ko00230]|KEGG Orthology (KO)&gt;&gt;&gt;09100 Metabolism&gt;&gt;&gt;09108 Metabolism of cofactors and vitamins&gt;&gt;&gt;00760 Nicotinate and nicotinamide metabolism [PATH:ko00760]|Enzymes&gt;&gt;&gt;2. Transferases&gt;&gt;&gt;2.4  Glycosyltransferases&gt;&gt;&gt;2.4.2  Pentosyltransferases&gt;&gt;&gt;2.4.2.1  purine-nucleoside phosphorylase</t>
  </si>
  <si>
    <t>MSQASTPHINPQGVPIAETVLMPGDPLRAQFIAETYLENPVQFNSVRNMLGFTGTYQGNLVSVMGSGMGMPSISIYAWELIHVFGAKRLIRVGSCGSLQQNLDLYDVVIAQSASTDSNFLQQYKLPGTYAPTGSWPLISAVLEQAQRQGVIPHVGNVLSSDVFYNADSAFNERWASMGVLAVEMETAALYSIAAHAGVEALGIFTVSDSIVTGAKTTPEERQHAFTTMMELALPLAQQ</t>
  </si>
  <si>
    <t>MSQASTPHINPQGVPIAETVLMPGDPLRAQFITETYLENPVQFNSVRNMLGFTGTYQGNLVSVMGSGMGMPSISIYAWELIHVFGAKRLIRVGSCGSLQQNLDLYDVVIAQSASTDSNFLQQYKLPGTYAPTGSWPLISAVLEQAQRQGVTPHVGNVLSSDVFYNADSAFNERWASMGVLAVEMETAALYSIAAHAGVEALGIFTVSDNIVTGAKTTPEERQHAFTTMMELALPLAQQ</t>
  </si>
  <si>
    <t>GC_00002803</t>
  </si>
  <si>
    <t>MMNAVAGRSVPSVEPSAVSSSVPFVSPHQWEQWLNAMPLRAWLRSRPADCVAAQCVDAVLEAALGPLRVVVCTESASVPLLSIKDTNSGFSRGIHIVDAAWPVTQGGVDLAVLVHSSEVGARTKARMAAGPMLFTHCESAAEVPLLVADLLRSCPDGDLVGARQRVLHGEVRAIAYRFPEVADDLEKALAVCGPPPPVVAPYEQEPVLAVIGPDSTTTTTVSLQLRQRWQVADKPHAGVDVVIAAAPPQGWGPHDTPTLADAMEKVGRVVSTAALPPEAVPGIAVAQGSVEKKLADVVARPPVGVMPMPEAARWMHAAERADQRAQERLRAELSSIERLAGRRYASARDRLVNLCEQRNVEVPPPLRLGWRALVDAPVVTVVSGGALFRLVHSVVDSAIPGLWLGGIVAFSLVCGAFRLWRQWVARRQRWCSLVISILATTKELDSTSYQQRGVSAGGQWIRLKLSGIEKQHKT</t>
  </si>
  <si>
    <t>MMNAVAGRSAPSVEPSAVSSSVPFVSPHQWEQWLNAMPLRAWLRSRPADCVAAQCVDAVLEAALGPLRVVVCTESASVPLLSIKDTNSGFSRGIHIVDAAWPVTQGGVDLAVLVHSSEVGARAKARMAAGPMLFTHCESAAEVPLLVADLLRSCPDGDLVGARQRVLHGEVRAIAYRFPEVADDLEKALAVCGPPPLVTAPYEQEPVLAVIGPDPATAATVALQLRQRWQVADKPHAGVDVVIAAAPPQGWGPHDTPTLADAMAKVGRVVSTAALPPEAVPGIAVAQGSVEKKLADVVARPPVGVMPMPEAARWMHAAERADQRAQERLRAELSSIERLAGRRYASARDRLVNLCEQRNVEVPPPLRLGWRALVDAPVVTVVSGGALFRLVHSVVDSAIPGLWLGGIVAFGLVCGAFRLWRQWVARRQRWCSLVISILATTKELDSTSYQQRGVSAGGQWIRLKLSGIEKQHKT</t>
  </si>
  <si>
    <t>GC_00002804</t>
  </si>
  <si>
    <t>PF08305.17</t>
  </si>
  <si>
    <t>NPCBM/NEW2 domain</t>
  </si>
  <si>
    <t>MVNDIFNITGSIISGLLVLAIGLLIDQFEQNMTHRKKKFFRIGYTVLSILVVVIFLFSRPILHMLGIGEPDGEIVDAGGKSTSIVSSSDTVTAVTTEVDKPAGPTSTDIEPMSLHQDKNLTDLKAIKYSPFSDLHFNESIEVDNKLRPNSIYYRCKECANQAQLQYNISGEWKRLDLHVGFSNKTPNYDQSAVFIVRINGKEVFNEEVKKGEGMKEISLDVSKVNDIEFLASTNSTGDWADLVWVSPKLSK</t>
  </si>
  <si>
    <t>MVNDIFNITGSIISGLLVLAIGLLIDQFEQNMTHRKKKFFRIGYTVLSILVVVIFLFSRPILHMLGIGEPDGEIVDAGGKSTSIVSSSDTVTAVTTEVDKPAGPTSTDIEPMSLHQDKNLTDLKAIKYSPFSDLHFNESIEVDNKLRPNSIYYRCKECANQAQLQYNISGEWKRLDLHVGFSNKTPNYDQSAVFIVRINGKEVFNEEVKKGEGMKEISLDVSKVNDIEFLASTNSTGDWADLVWVSPKLSN</t>
  </si>
  <si>
    <t>GC_00002805</t>
  </si>
  <si>
    <t>MELNGGRFYLRPLHDDERIDDRPALKKLRVNPDDFISMARISLDRYCWAICEQTSVEMVALGVYDHALGDIVTHPIGDPNRVLPNDPVLPPKTVQDAADDGLEIISRWVDSYFPETVATAEAAEANNSSPSSPASNVDTTAVRAATSVDSTDNAADVTA</t>
  </si>
  <si>
    <t>MELNGGRFYLRPLHDDERIDDRPALKKLRVNPDDFISMARISLDRYCWAICEQTSVEMVALGVYDHALGDIVTHPIGDPNRVLPNDPVLPPKTVQDAADDGLEIISRWVDSYFPETV----AAETNDSSPSSPASNVDTTAVRAATSVDSTDNAADVTA</t>
  </si>
  <si>
    <t>GC_00002806</t>
  </si>
  <si>
    <t>PF02384.22</t>
  </si>
  <si>
    <t>N-6 DNA Methylase</t>
  </si>
  <si>
    <t>K07317</t>
  </si>
  <si>
    <t>COG0286</t>
  </si>
  <si>
    <t>Type I restriction-modification system, DNA methylase subunit (HsdM) (PDB:2AR0) (PUBMED:26872910)</t>
  </si>
  <si>
    <t>Enzymes&gt;&gt;&gt;2. Transferases&gt;&gt;&gt;2.1  Transferring one-carbon groups&gt;&gt;&gt;2.1.1  Methyltransferases&gt;&gt;&gt;2.1.1.72  site-specific DNA-methyltransferase (adenine-specific)|Prokaryotic defense system&gt;&gt;&gt;Restriction and modification system (R-M system)&gt;&gt;&gt;Type II R-M system&gt;&gt;&gt;DNA methyltransferases</t>
  </si>
  <si>
    <t>MPQKTNRAAASVKVHGQHYTPPELAEFLANHVVAVADLDRSELTIIDPACGDGELLVAVVHSLKSAGYLGILKLIGYDIDAAAVEQARARLHNITRNAQVIQGDFLLHQRELPTHSVDIIITNPPYVRTQNLGHETAQLLAEEFHLTGRVDLTHPFVAASSRLLMAHGTLGLLCSNRFLTTLAGENIRRTFMAGDLHITELYDLGDTKLFQAAVLPAIVIATRTTLRRETPRFVNAYHTPTSTSTANLELFDALNAPTSSIAAHNGKLYDVRVGTLRMPDDTKTPWRLSDPTADEWLATINAATWRSFGDVAKIRVGIKTTADNVFLADDWEHRAPSVEADLLHPLITQHNITPWAISPHLTMRVLYPYDLTSEKRRVLNIDGWPGAKSYLLQHYDQLSGRAYVVKSGREWYEIWVPQRPALWAAPKIVFPDISDTPRFALDTSGAIVNGNCYWISLADIGNEDIAYLMLAVANSSLGVRYYDEVCGNRLYSGKRRWITQYINRLPLPYPDTDASRELIAIAKQLAAGRNATGNRDDAVGRLDELVERAFTESSKLIQLLGE---------</t>
  </si>
  <si>
    <t>MPQKTNRAAANVKVHGQHYTPPELAEFLADHIVAAADLDRPELTIIDPACGDGELLVAVARSLKDAGYLGILKLIGYDIDAAAVEQARARLRDVNRDAQVIQGDFLLHQRNLPTHSVDIIITNPPYVRTQNLGHETAQLLAEEFHLTGRVDLTHPFVAASSRLLTAHGTLGLLCSNRFLTTLAGENIRRTFMAGDLHIAELYDLGDTKLFQAAVLPAIVIATRTALRREPPRFVSAYHTPTSSSTTNLGLFDALDTPTSNVAAHNGKLYDVRVGTLRMPDDTKTPWRLSDPAADEWLATINTATWRSFGDVAKIRVGIKTTADNVFLANDWEHRAPLVEADLLHPLITQHNITPWAISPHLTMRVLYPYDLTSEKRRVLNIDNWPGAKSYLLQHYDQLSGRAYVVKSGREWYEIWVPQRPALWAAPKIVFPDISDTPRFALDTSGAIVNGNCYWISLADIGDEDIAYLMLAVANSSLGVRYYDEVCGNRLYSGKRRWITQYINRLPLPCPDTDASRELIALAKRLVTGRNATGSKDDAVGRLDELVERAFTESSKQNELDSKDTTAPLMLF</t>
  </si>
  <si>
    <t>GC_00002807</t>
  </si>
  <si>
    <t>PF05076.18</t>
  </si>
  <si>
    <t>Suppressor of fused protein (SUFU)</t>
  </si>
  <si>
    <t>MAWLPVCSRPPQRKPQLAKSLYDAAGVAVGGWWSAPVGPNPNPQGACPAAPLRCCRRAAPSPHHRRAAIPSPRNLRKYAMDIHETAAWIDGLFDGEMSLHEAKREEGHPTILATFETEEQISLCSTIGFNEVDTGLESGGLDVRCEFFTITEASQSDAMHVVDATVQTLVQANGTLHAQPDTIIPGIGLAVLPEHLTVCHGLFVAPEVWGPSVPQFIEEDRWTLMLELLLITEDEFNYAVTYGARDLLDELEKTGVNLLDWQR</t>
  </si>
  <si>
    <t>GC_00002808</t>
  </si>
  <si>
    <t>K13892</t>
  </si>
  <si>
    <t>glutathione transport system ATP-binding protein</t>
  </si>
  <si>
    <t>COG4172</t>
  </si>
  <si>
    <t>ABC-type microcin C transport system, duplicated ATPase component YejF (YejF) (PUBMED:17873039)</t>
  </si>
  <si>
    <t>MTSTTHDSHESDHTTTAESSNPREPQGTPVLEVSDLNVSFPSEAGSVAAVRGVSFDLYPGRTLGIVGESGSGKSVTSMSIMGLLPQYAKVTGSVKYAGEELLGKTDKEMSKIRGKGIGMIFQDPLSALTPVFDIGTQLVEAIVTHQKVTKQQAEKQAVELLDLVGISEPQKRIRAFPHEFSGGMRQRVVIAIAIANNPRVLIADEPTTALDVTIQAQILDVIKVAQRETGAATIMITHDMGVVAGIADDVLVMYAGRPVEKSDVFSVFSQPRMPYTIGLLGSTPRPDVSSDEPLTPIMGNPPILVDLQDQCQFAPRCPVAQPACLSAEPKLLPLADAPKGVSHATACIRSGEIWDQKINGERLFQVPELSKDILAGKPRDERKVTLHVADLKKEYPIMKGSLLKRKVGTFQAVKGVSFDVREGECMAIVGESGCGKTTTLLEIMDLQPQSGTVVLNGQDASTMTKRQRRAARKDIQIVFQDPMSSLNPRLTVREVIAEPLQSLGYEGDVNKRVQELMALVGLDASQIDRFPGHFSGGQRQRIGLARALATNPSVIVLDEPVSALDVSIQAGVINLLEDLKRKLGLSYLFVAHDLSVIRHLSDRVAVMYKGEFVEVGKVDDIFDHPQHLYTKSLLSAIPIPDPKVARTQKRVKYDPDAVAAVVVEKPESN</t>
  </si>
  <si>
    <t>MTSTTHDSHESDHTTTAESSNPREPQGTPVLEVSDLNVSFPSEAGSVAAVRGVSFDLYPGRTLGIVGESGSGKSVTSMSIMGLLPQYAKVTGSVKYAGEELLGKTDKEMSKIRGKGIGMIFQDPLSALTPVFDIGTQLVEAIVTHQKVTKQQAEKQAVELLDLVGISEPQKRIRAFPHEFSGGMRQRVVIAIAIANNPRVLIADEPTTALDVTIQAQILDVIKVAQRETGAATIMITHDMGVVAGIADDVLVMYAGRPVEKSDVFSVFSQPRMPYTIGLLGSTPRPDVSSDEPLTPIVGNPPILVDLQDQCQFAPRCPVAQPECLSGEPKLLPLADAPKGVSHATACIRSGEIWDQKINGERLFQVPELSKDILAGKPRDERKVTLHVADLKKEYPIMKGSLLKRKVGTFQAVKGVSFDVREGECMAIVGESGCGKTTTLLEIMDLQPQSGTVVLNGQDASTMTKRQRRAARKDIQIVFQDPMSSLNPRLTVREVIAEPLQSLGYEGDVNKRVQELMALVGLDTSQIDRFPGHFSGGQRQRIGLARALATNPSVIVLDEPVSALDVSIQAGVINLLEDLKRKLGLSYLFVAHDLSVIRHLSDRVAVMYKGEFVEVGKVDDIFDHPQHPYTKSLLSAIPIPDPQVARTQKRVKYDPDAVAAVVVEKPESN</t>
  </si>
  <si>
    <t>GC_00002809</t>
  </si>
  <si>
    <t>MNISAIKGILEQYRRSTLQLILCGVSTVDGTGLAMDPAASRVGGPALVSAGYPWPVDSRQTPMMHLAQLNLADCDMPEPYPTSGVLQFYISTDDSWSEALVRYIPVSEFSECSHQWILPDDPDDSVIHGGFFTVTTKPYQQLPTMDDRDFDFLPFPSDMDPDFFYEDHAEELVNVLNDQPTLICGGGWATFRQWDPRPENESLELLLQLDCYEDNGVVLNYGDRGIVNFFVNPHDVEKEDFSHVFYTWSQF</t>
  </si>
  <si>
    <t>MDISVVKGILEQYRRSTLQLILCGVSTVDGTGLAVDPAASRIGGPALVSAGYPWPVDSRQTPMMHLAQLNLADCDMPEPYPTSGVLQFYISTDDSWSEALVRYIPVSEFSECSHQWILPDDPDDSVIHGGFFTVTTKPYQQLPTVDDRGFDFLPFPSDMDPDFFYEDHAEELVNMLNDQPTLICGGGWATFRQWDPRPENESLELLLQLDCYEDNGVVLNYGDRGIVNFFVNPHDVEKEDFSHVFYTWSQF</t>
  </si>
  <si>
    <t>GC_00002810</t>
  </si>
  <si>
    <t>MSDNTNNSHQHDPFANQFPTFGGQRKPATPASDVYNRAGRVVPEEITPNKPRKTDNDTTVMAASQQDLSANVFGNPSGDGSKTPQYFPPTPRPTQQQQSTADDYADSSYFATAELTRDDSYAPGGPNSPGGTPDPVDDYEDYDDYEESYPATSENEAIPTPGASPVVAAPAMARDRQIVNEEFLNARSQDEPKEKRGTLDFGLLLVRAIISTYLIIVSVSTFFQIGANPGLTGLQHDFAAYTFGSALSIIIPTLQLAAGVFLLCGLLSPVATALVITVCGFSTLHAIDKQPNFSVLSPNDSVWLSVLLTALAFAMVFTGPGTISFDRSRGWSRRPLASSWIFAAVGLVGAAALWWFGAGANPFN</t>
  </si>
  <si>
    <t>MSDNTNNSHQHDPFANQFPTFGGQRKPATPASDVYNRAGRVVPEEITPNKPRKTDNDTTVMAASQQDLSANVFGNPSGDGSKTPQYFPPTPRPTQQQQSTADDYADSSYFATAELTRDDSYAPGGPNSPGGTPDPVDDYEDYDDYEESYPATSENEAIPTPGASPVVAAPAMARDRQIVNEEFLNARSQDEPKEKRGTLDFGLLLVRAIISTYLIIVSVSTFFQIGANPGLTGLQHDFATYTFGSALSIIIPTLQLAAGVFLLCGLLSPVATALVITVCGFSTLHAIDKQPNFSVLSPNDSVWLSVLLTALAFAMVFTGPGTISFDRSRGWSRRPLASSWIFAAVGLVGAAALWWFGAGANPFN</t>
  </si>
  <si>
    <t>GC_00002811</t>
  </si>
  <si>
    <t>LVDELAELIGGFSGVDKGVGDGWRRQVADAQGVLDVLSSSASSDLDDVSDAEVLSAFDVVDAEGLARRQEVREHRSVADRARGDIRWSYGHVIIDEAQELSAMEWRMVMRRCPTKWMTIVGDTAQTGSPAGVDSWAETLGPFVGDRFVTHRLSVNYRTPAEIMAVAERVLGLFAPDAPVGVALRGGDDGVVRFCAAGTDPWAVLPREEGRLGVVIVADSRKDETPGVLGVSDVKGLEFDDVVVVDPLVIVDDSPQGYQDLFVALTRATRSLVVIGELPG</t>
  </si>
  <si>
    <t>---MMCRMLRCCRRLMW-----WMLR-------------------------------------GLARRQEVREHRSVADRARGDIRWSYGHVIIDEAQELSAMEWRMVMRRCPTKWMTIVGDTAQTGSPAGVDSWARRWGRLWGTGFVTHRLSVNYRTPARIMAVAERVLGLFAPDAPVGVALRGGDDGVVRFCAAGTDPWAVLPREEGRLGVVIVADSRKGETLAFSG--------------------------</t>
  </si>
  <si>
    <t>GC_00002812</t>
  </si>
  <si>
    <t>MANPKLAPGEHILVNVTATMRAMLFPTLELLLITGLGWMIIGYFDRIPTYDELGVQTGLTLSVQGRNMLVVAWMVLGFLRFVLPLVRACRSRLVVTTSRVLLRAPGLTTSLDTIPLVGIYNASRRGNHLIVNTHGFGPILIRNMPRTKKIAQTINDAIAVAHHNAAGQVGGGYGGSDGPAGGPQYPNRYQPLR</t>
  </si>
  <si>
    <t>MANPKLAPGEHILVNVTATMRAMLFPTLELLLITGLGWMIIGYFDRIPTYDELGVQTGLTLSVQGRNMLVVAWMVLGFLRFVLPLVRACRSRLVVTTSRVLLRAPGLTTSLDTIPLVGIYNASRRGNHLIVNTHGFGPILIRNMPRTKKIAQTINDAIAVAHHNAAGQVGGGYGGSGGPAGGPQYPNRYQPLR</t>
  </si>
  <si>
    <t>GC_00002813</t>
  </si>
  <si>
    <t>MDQTVLDFFVTRRTGAITHILIGLSVIFRPALVLIWASIISAKLWGMRYALLPLFTAVATNIISPITKHIVHRPRPPLNLQLAPEYNYSMPSGHAMTIIAVATAISLIPHKPRWATRLAGVTWAIAITVCVARLYLGVHWLTDVLAGGLIGAATTLALRWGYSQRAQP</t>
  </si>
  <si>
    <t>MDQTVLDFFVTRRTGAITHILIGLSVIFRPALVLIWASIISAKLWGMRYALLPLFTAVATNIISPITKHIVHRPRPPLNLQLAPEYNYSMPSGHAMTIIAVATAISLIPHKPRWATRLAGVTWAIAIMVCVARLYLGVHWLTDVLAGGLIGAATTLALRWGYSQRAQP</t>
  </si>
  <si>
    <t>GC_00002814</t>
  </si>
  <si>
    <t>MNALTPHEAQAQLTEARMRTQGISGFTPAWASYEIIIAAMVFEVLANYCDGHPEFHALRMPLFITGFVWLAVGVGLSTFTVIVAKTALRGFGLRWGIMIGVWSVCYLALMLTTTFTPVSLTQLFIMLSIVPLLGIAGPVWEMLALRKNRKSIR</t>
  </si>
  <si>
    <t>MNALTPHEAQAQLTEARMRTQGISGFTPAWASYEIIIAAMVFEVLANYCDEHPEFHTLHMPLFITGFVWLAVGVGLSTFTVIVAKTALRGFGLRWGIMIGVWSVCYLALMLTTTFIPVSLTQLFIMLSIVPLLGIAGPVWEMLALRKNRKSIR</t>
  </si>
  <si>
    <t>GC_00002815</t>
  </si>
  <si>
    <t>COG0421</t>
  </si>
  <si>
    <t>Spermidine synthase (polyamine aminopropyltransferase) (SpeE) (PDB:6BQ2)</t>
  </si>
  <si>
    <t>MTSTGEVELRPDPYVADGWEVFVNGVPSSHISADPLRLEYEYMRWITAGCEAVIDSRLDASRLRVTHLGGGACSLARYFAARYPSARQTVVEVDAELARLVREWFDLPRAPRLKIRVGDARAVADGFRPGSRDVVIRDVFVGAVTPRPVTTMEFLAAVRRGLGPSGLYVANCGDHADLRLARSELRTMATVFARVGVIADPPMLKGRRYGNIVLLASDGGLPVAGDGVSAQLTKRLLAGAVPAQYRDDAWTRAFMAAGGRVRYDDPGVGLCHEL</t>
  </si>
  <si>
    <t>MTSTGEVELRPDPYVADGWEVFVNGVPSSHISADPLRLEYEYMRWIAAGCEAVIDSRLDASRLRVTHLGGGACSLARYFAARYPSARQTVVEIDAELARLVREWFDLPRAPRLKIRVGDARAVADGFRPGSRDVVIRDVFVGAVTPRPVTTMEFLAAVRRGLGPSGLYVANCGDHADLRLARSELRTMATVFARVGVIADPPMLKGRRYGNIVLLASDGGLPVMGDGVSAQLTKQLLAGAVPAQYRDDAWTRAFMAAGGRVRYDDPGVGLCHEL</t>
  </si>
  <si>
    <t>GC_00002816</t>
  </si>
  <si>
    <t>MTNTNTVNALPDVLELPESLANQVGEEYTNDAREYVWLQIVRGEDDVKELVEDFIDGYELEPSADTSTIVTEFITHTMAIRRQQIAALKEAGFSGKSNLTLAFEKLQQQGVLALEDFGCCNNCGHTEATGLMNEESDRWQAYVFFHEQDTERLIETGETCLRFYCNYRHICSDEEWQKLDHAQKEARLDKQLQELFVTILVPTFAEYGMTVEWNGDVQSCMMLKNAFFFRDL</t>
  </si>
  <si>
    <t>MTNTNTVNALPDILELPEPLANQVGEEYTNDAREYVWLQIVRGEDDVKELVEDFIDGYELEPSADTSTIVTEFITHTMAIRRQQIAALKEAGFSGKSNLTLAFEKLQQQGVLALEDFGCCNNCGHTEATGLMNEESDRWQAYVFFHEQDTERLIETGETCLRFYCNYRHICSDEEWQKLDRAQKEARLDKQLQELFVTILVPTFAEYGMTVEWNGDVQSCMMLKNAFFFRDL</t>
  </si>
  <si>
    <t>GC_00002817</t>
  </si>
  <si>
    <t>MDFSIILLILILLVLMIPTLIIQRKQRRHLDTIRQLQENLIIGDVIITTAGLHAIIRGITDTTVELETSPGVVSTWEKHVVIKNLTQEKKAQPAADAEPEQQPMGELPEGEQPAAEKPADDPDRAS</t>
  </si>
  <si>
    <t>MDFSIILLILILLVLMIPSLIIQRKQRRHLDTIRQLQENLIIGDVIITTAGLHAIIRGITDTTVELETSPGVVSTWEKHVVIKNLTQEKKTQPAADAEPEQQPVGELPEGEQPAAEKPADDPDRAS</t>
  </si>
  <si>
    <t>GC_00002818</t>
  </si>
  <si>
    <t>PF18495.6</t>
  </si>
  <si>
    <t>Antitoxin VbhA</t>
  </si>
  <si>
    <t>MYTRENAPLTPEQRKHLDNVLANSRIEGYEITDQTIDDAIRIILGEKTSDEIRDEILQRYGVTPETTPDT</t>
  </si>
  <si>
    <t>MYTRENAPLTPEQRKHLDNVLANSRIEGYEITDQMIDDAIRIILGEKTSDEIRDEILQRYGVTPETTPDT</t>
  </si>
  <si>
    <t>GC_00002819</t>
  </si>
  <si>
    <t>MIEKAIADFLTVIRNPQHNGDDVKAALSPVMQEVGDDSERRHYAMTQLAPLVTDVASPEEACFIALVVGYFVENGGDPLIGYAPILTRFNETLGKAIDFASQCVDMPLDSEALQPLIDEYGSAEEIDPMDLVRAHIATHGEEVAQHNPELYFALEAQIGLPNAALAHMNHCPEARAYARELPDFVDRLAATEGFIDNENVYWCHRLAQMLDNEELLVIHPASEQGFRVRISGIGDNFQLHTLLADALNGSDGFPYDTPDPHIAAIARGEQEPADDDFAVGVFNMVNWTGIKGLLGESDDDDESHSFFDEWIWGEGTPYDIEKFEGTRVVLIDDAPYQRSWQANLTFGGIRPEVTVVEKLTPQQVQDWLQRFQAGV</t>
  </si>
  <si>
    <t>MIEKAIADFLTVIRNPQHNGDDVKAALSPVMQEVGDDSERRHYAMTQLAPLVTDVASPEEACFIALVVGYFVENGGDPLIGYAPILTRFNETLGKAIDFASQCVDMPLDSEALQPLIDEYGSAEEIDPMDLVRAHIATHGEEVAQHNPELYSALEAQIGLPNAALAHMNHCPEARAYARELPDFVDRLAATEGFIDNENVYWCHRLAQMLDNEELLVIHPASEQGFRVRISGIGDNFQLHTLLADALNGPDGFPYDTPDPHIAAIARGEQEPADDDFAVGVFNMVNWTGIKGLLGESDDDDESHSFFDEWIWGEGTPYDIEKFEGTRVVLIDDAPYQRSWQANLTFGGIRPEVTVVEKLTPQQVQDWLQRFQAGV</t>
  </si>
  <si>
    <t>GC_00002820</t>
  </si>
  <si>
    <t>MTYQTMNPAYPDHLQHVDASMWPGVVHVPEGRVAQRRAQIVEARFALACEKAGLNLDPQSNGGPDIRVHHDELFYRLAESGWLGLAESYMAGEWDAENLPRVLAQLIKSGFSPRRRWWGTPTHIARADYSGEELSAQLVQLFSTDGYSTFGGIFASGVPTTVRTAVTSHVSGAGRRHEPSSHFVDITHIDKPVAVERQDLRPAQDRAVKALLDAARVTEGTDLLEFPLSGGTLALAAARRGASVDTLSADAEHCEVVRGRLEDEDAAFAVTVQHITTPIPTRQEWRGRYDAIVSIETLEKVGKNYRKAYALTLDRLLTTGGYAALQNVVATEKFAELDPHIMDVTRAYIWPALDFPTMEDIHRLFDRETSLRVVAENHTQNHYKATLHLQRELFESHMREAAAAGIDQVYRRLWQYHLALMEALCDVGALDCVQLTLTSRNRGGWR</t>
  </si>
  <si>
    <t>MTYQTMNPAYPDHLQHVDASMWPGVVHVPEGRVAQRRAQIVEARFALACEKAGLNLDPQSNDGPDIRVHHDELFYRLAESGWLGLAESYMAGEWDAENLPRVLAQLIKSGFSPRRRWWGTPTHIARADYSGEELSAQLVQLFSTDGYSTFGGIFASGVPTTVRTAVTSHVSGAGRRHEPSSHFVDITHIDKPVAVERQDLRPAQDRAVKALLDAARVTEGTDLLEFPLSGGTLALAAARRGASVDTLSADAEHCEVVRGRLEDEDAAFAVTVQHITTPIPTRQEWRGRYDAIVSIETLEKVGKNYRKAYALTLDRLLTTGGYAALQNVVATEKFAELDPHILDVTRAYIWPALDFPTMEDIHRLFDRETSLRVVAENHTQNHYKATLHLQRELFESHMREAAAAGIDQVYRRLWQYHLALMEALCDVGALDCVQLTLTSRNRGGWR</t>
  </si>
  <si>
    <t>GC_00002821</t>
  </si>
  <si>
    <t>PF03881.20</t>
  </si>
  <si>
    <t>Fructosamine kinase</t>
  </si>
  <si>
    <t>COG3001</t>
  </si>
  <si>
    <t>Fructosamine-3-kinase (FN3K) (PDB:3F7W)</t>
  </si>
  <si>
    <t>MTTHDVPLSDVAQGEVFTKHVAQPDSAYAEAAGLNWLGAASPQVVKVVAVSDHTISTTKITLKRPTRAAAEAAGVELARIHLAGAPAFGSPPLGWPGPNFIGTQIQACEPDPDWARFYTTQRVLPFYRKAMDAGNIHDPERTVERACELIGAATWESAHVAPGVAGRIHGDLWSGNLLYGRPVSKNVLTETALDDAGADNGEVDGGGVEPFFIDPAAHGGHPETDLAMLALFGTPFIEDVFEGYQSVRPLADDWRDFIPVHQLHPLAVHAFTHGPSYGHELLRCATDVVQLLG</t>
  </si>
  <si>
    <t>MTSHDVPLSDVAQGEVFTKHVDQPDSAYAEAAGLNWLGAASPQVVKVVAVSDHTISTTKITPKRPTRAAAEAAGVELAHIHLAGAPAFGSPPLGWPGPNFIGTQIQACEPDPDWARFYTTQRVLPFYRKAMDAGNIHDPERTVERACELIAAATWESAHVAPGVAGRIHGDLWSGNLLYGRPVSKNVLTETALDDAGADNGEVDGDGVEPFFIDPAAHGGHPETDLAMLALFGTPFIEDVFEGYQSVRPLADDWRDFIPVHQLHPLAVHAFTHGPSYGHELLRCATDVVRLLG</t>
  </si>
  <si>
    <t>GC_00002822</t>
  </si>
  <si>
    <t>MSTAISFHQVSRVFGDFTALDSVTFDVPTGSIFGVVGTSGAGKSTLIRTVNGLETPSSGSVTVLGTPLDGADLRALRRTVSMVFQHYNLLSSKTVAENVAIPLVLSKTPKSEIDERVAEVLGLVGLAERAEHRPGQLSGGQQQRVAIARALITNPDLLLCDEPTSALDPITTAQILDLLVEINTKLGVTILIITHQMNVIAAIADHVAVLEHGHLIEHGPVEQVFAHPREALTRQFVGTVVPQRLPDTLVQEVSSGTWDTVLRVVHTDAAGRGVISHLEKEFGIQVELLHAVDASLRHTSVGIIILGLRGPSIVIDQALQWLHSRKHLEVEILP</t>
  </si>
  <si>
    <t>MSTAISFHQVSRVFGDFTALDSVTFDVPTGSIFGVVGTSGAGKSTLIRTVNGLETPSSGSVTVLGTPLDEADLRALRRTVSMVFQHYNLLSSKTVAENVAIPLVLSKTPKSEIDERVAEVLGLVGLAGRAKHRPSQLSGGQQQRVAIARALITNPDLLLCDEPTSALDPITTAQILDLLVEINTKLGVTILIITHQMNVIAAIADHVAVLEHGHLIEHGPVEQVFAHPREALTRQFVGTVVPQRLPDTLVREVSSGAWDTVLRVVHTDAAGRGVISHLEKEFGIQVELLHAVDASLRHTSVGIIILGLRGPSIVIDQALRWLRSRKHLEVEILP</t>
  </si>
  <si>
    <t>GC_00002823</t>
  </si>
  <si>
    <t>MTPLTIDRVAEIFTNEDLQYRIGDEPNILLSGFPNTAVALIIDGDTLKFEGRWRGEPPSTDAPTILAVVNEWNLTQIMPALHFVETTPGTLALIVHRELLTEGGVSHNQLGAFITSSIHNTLACFNWLEEQFPTLVTWETPATEATETEGAADDE</t>
  </si>
  <si>
    <t>MTPLTIDRVAEIFTNEDLQYRIGDEPNILLSGFPNTAVALVIDGDTLKFEGRWRGEPPSTDAPTILAVVNEWNLTQIMPALHFVETTPGTLALIVHRELLTEGGVSRNQLGAFITSSIHNTLACFNWLEEQFPTLVTWETPATEATETEGAADDE</t>
  </si>
  <si>
    <t>GC_00002824</t>
  </si>
  <si>
    <t>MRHLAIPTSTMCSVIASPTTRLLLATVACLSLLLAACGSTTNDPAVPVDKPVGVQIEAPRVTLVDAGSAPHATLRYRDIDTGDHKVSVTVTDAFTPTVGTAADTNNTPALDAQSPTTFTSALVTRTHKAENSETSSRSVTAELDHPKLTGAGAKEDLASAHGFTFGWFGNDAGTISSVNFTAPTAAGDQTRALTEQFLTTMVGLPVVFPTEPVGVGGSWTVESRITGQTPLLQTITYTVTGMAGDKVDLKTSVEQRPTLGSLDMDDGAKLAVLSSKTVSEGSLTMDLTRPLPTAGSVALTTRIVYGTEDSEHRVIQDTSTKVAFDAQ</t>
  </si>
  <si>
    <t>MRHLAIPTSTMCSVIASPTTRLLLATVACLSLLLAACGSTTNDPAVPVDKPVGVQIEAPRVTLVDAGSAPHTTLRYRDIDTGDHKVNVTITDAFTPTVGTAADTNDTPALEPQSPTTFTSALVTRTRKAENSETSSRSVTAELDHPKLTGDGAKDDLASAHGFAFGWFGNDAGTISSVNFTAPTAANDQTRALTEQFLTAMVGLPIVFPTEPVGVGGSWTVESRITGQTPLLQTITYTVTGMAGDKVDLKTSVEQRPTLGSLDMDDGAKLAVLSSKTVSEGSLTMDLTRPLPTAGSVALTTRIVYGTEDSEHRVIQDTSTKVAFDAQ</t>
  </si>
  <si>
    <t>GC_00002825</t>
  </si>
  <si>
    <t>COG2274</t>
  </si>
  <si>
    <t>ABC-type bacteriocin/lantibiotic exporters, contain an N-terminal double-glycine peptidase domain (SunT) (PDB:3K8U)</t>
  </si>
  <si>
    <t>MKYQLFLQSRSAECGLACATMILRRLGIDTDLHRLRTQYEVGRDGMSTTAIRFLLLDFNVPSFQHKGRVRVIGEALKQGKQVMVHVDGDHFCLVESVDSRWVRLADPGRGRVKMSREDAIRKIGRTWWIMPDSGMSTAFRRARLMCRDLRTSPSLRIVKRTLVSRPWLLLGVFALSLTLLAASGGAPLVISALVNSLQGKSAAPTQATALMLAAAIVTFIGLAVGRTLVEALLLKVTSRELSIEGIRRNMGAKLESFSTHSPGEMMYSLGSVSMVSTGLFTNGVTTAFNALTAITLLGVVAFLWPLMALVLVLVFFLLIGVFTLTVAKITQYGSEEASAGGALSSQQLEIIVTMTPIRMTNSMDSFFDKWSVANERFLSATTKKAVWSGIGGATTMALTVFGPLIPLVLSTLFPDSVSDLGAVVASSGLFSVFISAISQVFTGVTGLAGVQASIDRVDDLLHMQQDPIGTEDPGCATPITTHQASYHYPGAAKNSLDKLDFSIRCGTHNTIVGASGSGKSTFARLITGLVQPSSGSIRINGIDVADMSPEARARHIGFAPQENYLVSGTIRDNIAFGRDISDKEIWAALKITQMDSVVRELPLKLSTPVGDMGSAFSGGQRQRFALSRAIAGKPSLLVLDEATSAVDVPTERAITAALRDLNMTLISIAHRPTAAGPDDTVLRFTEDGTIVTESPDYLKNLMESRG</t>
  </si>
  <si>
    <t>MKYQLFLQSRSAECGLACAAMILRRLGIDTDLHRLRTQYEVGRDGMSTTAIRFLLLDFNVPSFQHKGRVRVIGEALKQGKQVMVHVDGDHFCLVESVDSRWVRLADPGRGRVKMSREDAIRKIGRTWWIMPDSGMSTAFRRARLMCRDLRTSPSLRIVKRTLVSRPWLLLGVFALSLTLLAASGGAPLVISALVNSLQGKSAAPTQATALMLAAAIVTFIGLAVGRTLVEALLLKVTSRELSIEGIRRNMGAKLESFSTHSPGEMMYSLGSVSMVSTGLFTNGVTTAFNALTAITLLGVVAFLWPLMALVLVLVFFLLIGVFTLTVAKITQYGSEEASAGGALSSQQLEIIVTMTPIRMTNSMDSFFDKWSVANERFLSATTKKAVWSGIGGATTMALTVFGPLIPLVLSTLFPDSVSDLGAVVASSGLFSVFISAISQVFTGVTGLAGVQASIDRVDDLLHMQQDPIGTEDPGCATPITTHQASYHYPGAAKNSLDKLDFSIRCGTHNTIVGASGSGKSTFARLITGLVQPSSGSIRINGIDVADMSPEARARHIGFAPQENYLVSGTIRDNIAFGRDISDKEIWAALKITQMDSVVRELPLKLSTPVGDMGSAFSGGQRQRFALSRAIAGKPSLLVLDEATSAVDVPTERAITAALRDLNMTLISIAHRPTAAGPDDTVLRFTEDGTIVTESPDYLKNLMESRG</t>
  </si>
  <si>
    <t>GC_00002826</t>
  </si>
  <si>
    <t>MDFTVQEGMKITTALHAPGWHRTRLIRRAIAILLVLMAAALALHSALKKDPQVVVAVRTIDAGSTVTAEDVALRRVPQNLLPEGTFDSTDDVVGHVAVAAISPNEIPSHLRFVGSELASYLVNLDTLVTNPETDSAQENLGPPTLVPIKLADPTLAHLLNHGDTVTVVTHDDNAPEPITIAAGGRVVLSTLQQKSGGFAASSSREPGTILIALPETPAKRVAAASLTSPLAVVLTGERAKANGME</t>
  </si>
  <si>
    <t>MGFTVQEGMKITTVLHAPGWHRTRLIRRAIAILLILVAATLALHSALKKDPQVVVAVRTIDAGSTVTAEDVALRRVPQNLLPEGTFDSTDDVVGHVAVAAISPNEIPSHLRFVGSELASYLVNLDTPVTNQETDSAQENLGPPTLVPIKLADPTLAHLLNHGDTVTVVTHDDSAPEPITIAAGGRVVLSTLQQKGGGFAASSSHEPGTILIALPETPAKRVAAASLTSPLAVVLTGERAKANGME</t>
  </si>
  <si>
    <t>GC_00002827</t>
  </si>
  <si>
    <t>MSPMDNTGGVLTINDCTISFDGTPVLRIDALHIDDTPRTIAVLGVSGSGKSTLAALIGDYLSPAAAVTGTCTRNGTVSMVAQDAFGALNPLMPVIKQIALTAGSIDAATNLLESVGLKQELHQRFPLQLSGGQRQRAALAFALGPCPRLILADEVTSALDPVATADVVSTLRSVRDNNDATLLFITHDRGAAAALCDQAIIMIPNQDGSHRAHLCTDDEWAELRSLFGAGQRITDSSFAMTSFAMTATAETGAESMSEVSAL</t>
  </si>
  <si>
    <t>MSPMDNTGGVLTINDCTISFDGTPVLRIDALHIDDTPRTIAVLGVSGSGKSTLAALIGDYLSPAAAVTGTYTRNGTVSMVAQDAFGALNPLMPVIKQIALTAGSIDAATNLLESVGLKQELHQRFPLQLSGGQRQRAALAFALGPCPRLILADEVTSALDPVATADVVSTLRSVRDNNDATLLFITHDRGAAAALCDQAIIMIPNQDGSHRAHLCTDDEWAELRSLFGAGQRITDSSFATTSFAMTATAETGAESMSEVSAL</t>
  </si>
  <si>
    <t>GC_00002828</t>
  </si>
  <si>
    <t>MLNRRQFMIAATTAAAATVLGGCVAKKVVPEERSMNFGFEDLVTATPRWADYGPNLQKAHVNAISLAVGRTDWLAFEWSTVPEISASMVQESGTDYVAEALDKLGKFLPGDYQLTLTIDALLPNWISQQANLAGNTPSGKKSSEFASVTALTEGAVAERLVNLVGELCTRYTPHRIALTELMFDNATFGEDDLKSYCAATGAKDWPRRNDGSINESHASIGQWRSKALASLLSKVKAEARRHDDTQLDVDVRAPWDDAEGDRTESGHNYKMLLESVDRIVVWNYFGLENKRPTYGGEVTKELKKSFSDNFTMSSGLWAPDNQTVSPRDLETSLQAVAKAGANSVSVTPASMMTPDHWHVLEKIWAED</t>
  </si>
  <si>
    <t>MLNRRQFMIAATTAAAATVLGGCAAKKVVPEERSMNFGFEDLVTTTPRWADYGPNLQKAHVNTISLAVGRTDWLAFEWSAVPEISANMVQESGTDYVAEALDKLGKFLPKDYQLTLTIDALLPNWISQQANLAGTTPSGKKSSEFASVTALTEGAVAERLVNLVGELCTRYTPHRIALTELMFDNATFGEDDLKSYCTTTGAKDWPRRNDGSINESHASIGQWRSKALASLLSKVKAEARRHDDTQLDVDVRAPWDDAEGDRTESGHNYKMLLESVDRIVVWNYFGLENKPPAYGGEVTKELKKSFSDNFTMSSGLWAPDNQTVSPRDLETSLQAVAKAGANSVSVTPASMMTPDHWHVLEKIWAED</t>
  </si>
  <si>
    <t>GC_00002829</t>
  </si>
  <si>
    <t>MRHKVAACALSAVATIMLASCSTPEKNSDGEAIVMGNATPAESPRSGSEDYHVEGIASATDTSVAGDVLAVRTSDGLLVGTQETIAAGEAPLLSIPSECGQLSAQGSTFIVACGTTIYSIDAANPTLDNARTTDKPMDTAAMTTSGEIVAGSSTSGDVSVFRTSGTVDTFRVSDKTTKIVSVPHNGNPDGVALINKEDTTIHGVDWTSNKPGPTLRVGLGVGSLAAGEDDVVFASDTTGDQLAVYTVSGAIRLHQLHPVDQSPYALAWDKKNKVVWVSSTGTNTLAAYDISSGVPVKKGSLPSAANINSMSARNDGALVTASASEGLSIIPADVVSAALSEG</t>
  </si>
  <si>
    <t>MRHKVAACALSAVATIMLASCSTPEKNSDGEAIVMGNATPAESPRSGSEDYHVEGIASATDTSVAGDVLAVRTSDGLLVGTQETIAAGKAPLLSIPSECGQLSAQGSTFIVACGTTIYSIDAANPTLDNARTTDKPMDTAAMTTSGEIVAGSSTSGDVSVFQTSGTVDTFRVSDKTTKIVSVPHNGNPDGVALINKEDTTIHGVDWTSNKPGPTLRVGLGVGSLAAGEDDVVFASDTTGDQLAVYTVSGAIRLHQLHPVDQSPYALAWDKKNKVVWVSSTGTNTLAAYDISSGVPVKKGSLPSAANINSMSTRNDGALVTASASEGLSIIPADVVSAALSEG</t>
  </si>
  <si>
    <t>GC_00002830</t>
  </si>
  <si>
    <t>MKKLLIAIALVVVTGIVAACLWFFPILKVGNVVISQRDQTSEADIAAITDGLQGQNILRVDTTAVASALSALPWVAEARVAKKFPDTIDVSLVEHRAVLVAEREDGDHLIDANGKVFVVAHRLDYTVPITNTKGDNQETFQAAASIIASIAESERGKITEIKAVTPYSFDIIAGDKTIVWGAAENNGEKARAFSVALQRSESTIDITGAPTISVQE</t>
  </si>
  <si>
    <t>MKKLLIAIALVVVTGIVVACLWFFPILKVGNVVISQRDQTSEADIAAITDGLQGQNILRVDTTAVASALSALPWVAEARVAKKFPDTIDVSLVEHRAVLVAEREDGDHLIDANGKVFVVAHRLDYTVPITNTKGDNQETFQAAAGIIASIAESERGKITEIKAVTPYSFDIIAGDKTIVWGAAENNGEKARAFSVALQRSESTIDITGAPTISVQE</t>
  </si>
  <si>
    <t>GC_00002831</t>
  </si>
  <si>
    <t>MVIDKRTAYDIFRKEADEMVKVGTPHVKETGLENDEFFFATIAALESFQGDKRFLNPPGTPVVLVRKSDGEVVKMHIQTHLEEWVDMKATMIPVHYLAA</t>
  </si>
  <si>
    <t>GC_00002832</t>
  </si>
  <si>
    <t>K01719</t>
  </si>
  <si>
    <t>uroporphyrinogen-III synthase [EC:4.2.1.75]</t>
  </si>
  <si>
    <t>KEGG Orthology (KO)&gt;&gt;&gt;09100 Metabolism&gt;&gt;&gt;09108 Metabolism of cofactors and vitamins&gt;&gt;&gt;00860 Porphyrin metabolism [PATH:ko00860]|Enzymes&gt;&gt;&gt;4. Lyases&gt;&gt;&gt;4.2  Carbon-oxygen lyases&gt;&gt;&gt;4.2.1  Hydro-lyases&gt;&gt;&gt;4.2.1.75  uroporphyrinogen-III synthase</t>
  </si>
  <si>
    <t>MTLPLHGWKVAVLRSPEQSHSLITRLETYGAEVISIPTIRIVPPVDLTQLHHAARQLRAGTYEWVVFTSANAVRCIAERMTGPLNSQTRVATVGRATARVARHYHLDPVLQPPITRQNALGLVEAFEPANSRSEERRKILVPHANIAPSTLVDGLKSQGWIVDDIIGYRTILADPPPPNIHDLLVTGQITAICITSGSTIRNLITIAGRPHPQTLLACIGPSAEAAAKKLGLNVAVVPEVSEAEALADALATYARQKLQP</t>
  </si>
  <si>
    <t>MTLPLHGWKVAVLRSPEQSHSLITRLETYGAEVISIPTIRIVPPVDLTQLHHAARQLRAGTYEWVVFTSANAVRCIAERMTGPLNSQTRVATVGRATARVARHYHLDPVLQPPITRQNALGLVEAFEPANSRSEERRKILVPHANIAPSTLVDGLKSQGWIVDDIIGYRTILADPPPPNIHDLLVTGQITAICITSGSTIRNLITIAGRPHPQTLLACIGPSAEAATKKLGLNVAVVPEVSEAEALADALATYARQKLQP</t>
  </si>
  <si>
    <t>GC_00002833</t>
  </si>
  <si>
    <t>MGSSEKYGRKVVGNMKIMDVNSYSRYTHNVPLLTPIQSAFAPPEDPRFPVRRLSYFDKSNSVIVTYYLCLLSVLILDSVSRTLTVLRTPYVFLPFLGVVIVLMYKTKFANTGSLIIGNTGVNVRTKANEGFFIKWGEVSEFRVVWTLTGRMVEFDYRTVMPGDTSQVYLTRRLSHTQEFRVVQLAKLLNSYRFHYSVGHVAL</t>
  </si>
  <si>
    <t>GC_00002834</t>
  </si>
  <si>
    <t>PF00415.24</t>
  </si>
  <si>
    <t>Regulator of chromosome condensation (RCC1) repeat</t>
  </si>
  <si>
    <t>D|Z</t>
  </si>
  <si>
    <t>Cell cycle control, cell division, chromosome partitioning|Cytoskeleton</t>
  </si>
  <si>
    <t>COG5184</t>
  </si>
  <si>
    <t>Alpha-tubulin suppressor ATS1 and related RCC1 domain-containing proteins (ATS1) (PDB:1A12)</t>
  </si>
  <si>
    <t>MRTIVTRIVRILAALFVIASFSAALPISTAAPKAQTDITESVPPTAPVHETPMMVIDDIPSQRIAVSDTYTCAIDDNNKVWCWGSNASGNLGLGYASDEIFPERKVILGLKATSISITSDGRTCVTDDAGGVQCWGITRSNRDDADKDNVPVEKHAGLPTDKKFKRAGYGCFVDSDDLLWCEEQEGIAKRMGDIKFQSGGGSSSNGCAVSLDHSLYCWETGNNSSIPLDHPSDTPTKVEGITAALLTTGRGTNCVVETNGTPHCWGINNLGQTGEDAKTGKSVDLSKLKVTSMDTTSRHTCVVDDRQVPWCWGGYYGGIVDGNKPLRGFGIPANYRNIENFKAVTVATAPGRTCFVDTEGAFWCWGRNENGELGNGTTTDSAVPVKVEGLTVALTP</t>
  </si>
  <si>
    <t>PF13540.12</t>
  </si>
  <si>
    <t>MRTIVTRIVRILAALFVIASFSAALPISTAAPKAQTDITESVPPTAPVHETPMMVIDDIPSQRIAVSDTYTCAIDDNNKVWCWGSNASGNLGFGYASDEIFPERKVILGLKATSISITSDGRTCVTDDAGGVQCWGITRSNRDDADKDNVPVEKHAGLPTDKKFKRAGYGCFVDSDDLLWCEEQEGIAKRMGDIKFQSGGGSSSNGCAVSLDHSLYCWETGNNSSIPLDHPSDTPTKVEGITAALLTTGRGTNCVVETNGTPHCWGINNLGQTGEDAKTGKSVDLSKLKVTSMDTTSRHTCVVDDRQVPWCWGGYYGGIVDGNKPLRGFGIPANYRNIENFKAVTVATAPGRTCFVDTEGAFWCWGRNENGELGNGTTTDSAVPVKVEGLTVALTP</t>
  </si>
  <si>
    <t>GC_00002835</t>
  </si>
  <si>
    <t>MTMPHDDAAPLTPDLSLPVDSLDPAVWDRILSDALAMPDDDIDASIVPDYDESDEITLDDTDFDSIMLIDADATDDSTDANDQAHDEVTHDDVDDMDNGDDNSDFGQHDLTFDVSHDDTFHDNDDGHNSAVTYHNDDNGFDTDDIDIDFDING</t>
  </si>
  <si>
    <t>MTMPHDDAAPLTPDLSLPVDSLDPAVWDRILSDALAMPDDDIDASIVPDYDESDEITLDDTDFDSIMLIDADATDDSTDANDQAHDEVTHDDVDDMDNGDDNSDFGQHDLTFDVSHDDTFHDNADGHNSAVTYHNDDNGFDTDDIDIDFDING</t>
  </si>
  <si>
    <t>GC_00002836</t>
  </si>
  <si>
    <t>MKRLLTILMAAVMAAFTLAACANPSPNEALSKLLAVAPESEKPALTAEIVRLCGHHKNSEIPKSCDPAAATANIDLPDAGSSGVLQVLADVPQESLPVVVNLYLSYVASEQTTPDLPNVTLDPARSEGDARAAAITAAKAALEAEYAFDYAVGIIEAFGDEQVDNAADGVDDRHEAVAEKLREALGDQAPARLPAYTFNQPLPTDSATARSFLTELTKELDALHVHDAEAATTPAWRLLSLSIAGYLRAK</t>
  </si>
  <si>
    <t>GC_00002837</t>
  </si>
  <si>
    <t>PF00939.25</t>
  </si>
  <si>
    <t>Sodium:sulfate symporter transmembrane region</t>
  </si>
  <si>
    <t>COG0471</t>
  </si>
  <si>
    <t>Di- and tricarboxylate antiporter (CitT) (PDB:4F35)</t>
  </si>
  <si>
    <t>MHESAERRSGQTADHPDDAPRPTSPSPAPTAQYESVLYDSPQLSRGRHRAPE-----TEAEEEDLNDFPSATQASDRQADTPDDASHYATTPPSVHTSKRLDQELGSRRFAWGREAFHEYVLRKDRIAPIVSALLLALVLWQLPDSLPRDARTTFAVFGVAVWFWVFSSIDDTYVALGGSSILVLTGVITVDEFFGPLGDTTTWLLIGAFIISTGVATSGLAMRGAVIVTAGTKNPRMLVHAVTLATVCTVFAVPATAGRAALLVPVFVALGRVLKAQHSWLVVTLSLLFPSVILLSAVGSLIGAGAHLITDQILQDNNLKSIGFASWLIAGLPLAIVTSHLAAEVILFATSSSRQRGEKLDLSLESLAEHAGGVHKIKGPLSQSESRSLLVLCLAVLLWSTESLHGIHPALVALLGGLVVVAPGFGLISLDDAIKKVPWTLLLFMAATLAMSHALTNSGAARYVAEHTLNAGSGTARAVFVLLIIVLSTLAHILIQSRSARSAVLIPMIVMLAPTVGVNPVAAAFISTAAAGFCHTLPASAKPLAMFSTIKEDIPVFTNQQLLRVSMLLLPVHIVSIIIFSFWIWPHLGLPLYL</t>
  </si>
  <si>
    <t>MHESAERRSGQTTDHPDDAPRPTSPSPAPTARYESVLYDSPQLSRGRHRAPEDPEPKAGEEAEDLNDPPSATQASDRQADTPDDASHYATTPPSVHTSKRLDQELGSRRFAWGREAFHEYVLRKDRIAPIVSALVLALVLWQLPDSLPRDARTTFAVFGVAVWFWVFSSIDDTYVALGGSSILVLTGVITVDEFFGPLGDTTTWLLIGAFIISTGVATSGLAMRGAVIVTAGTKNPRMLVHAVTLATVCTVFAVPATAGRAALLVPVFVALGRVLKAQHSWLVVTLSLLFPSVILLSAVGSLIGAGAHLITDQILQDNNLKSIGFASWLIAGLPLAIVTSHLAAEVILFATSSSRQRSEKLDLSLESLAEHAGGVHKIKGPLSQSESRSLLVLCLAVLLWSTESLHGIHPALVALLGGLVVVAPGFGLISLDEAIKKVPWTLLLFMSATLAMSHALTNSGAARYVAEHTLNAGSGTARAVFVLLIIVLSTLAHILIQSRSARSAVLIPMIVMLAPTVGVNPVAAAFISTAAAGFCHTLPASAKPLAMFSTIKEDIPVFTNQQLLRVSMLLLPVHIVSIIIFSFWIWPHLGLPLYL</t>
  </si>
  <si>
    <t>GC_00002838</t>
  </si>
  <si>
    <t>MHSFIFTESGLTLTACGVAQEFDRISDANEYLYDGLSLIVGALPFHRTDAPRLFAPREYKFSSEPVTLESPDTLPAVASVDFLPPLSVHQQRIEQCIAEIQADTLDKLVLSRAERFHFTGPVNPEAVLAGYMASAGTGFGYLVELAGGEFFIGPSPEVLIKKQGREISSFPLAGTAMRSTDPELDRAIAANLQASEKDLHEHSFVTAGIREALAPLCTQLEIPEIPLVMHTAHTWHLGTPIRGILRPDVDMSALDLAQLLHPTAAVNGHPAQIAAELLAKQEPDRGFYSGAVGWANGRGDGEWRVGIRSALISGDTVTAYAGGGIVADSVAADELQETHTKLGPIRSALGIL</t>
  </si>
  <si>
    <t>MHSFIFTESGLTLTACGVAQEFDRISDANEYLHDGLSLIVGALPFHRTDAPRLFAPREYKFSSEPVTLESPDALPAVASVDFLPPLSVHQQRIEQCIAKIQAGTLDKLVLSRAERFHFTGPVNPEAVLAGYMASAGTGFGYLVELADGEFFIGPSPEVLIKKQGREISSFPLAGTAMRSTDPELDRAIAANLQASEKDLHEHSFVTTGIREALAPLCTQLEIPAIPLVMHTAHTWHLGTPIRGILRPDVDMSALDLAQLLHPTAAVNGHPAQIAAELLAKQEPDRGFYSGAVGWANGRGDGEWRVGIRSALISGDTVTAYAGGGIVADSVAADELQETHTKLGPIRSALGIL</t>
  </si>
  <si>
    <t>GC_00002839</t>
  </si>
  <si>
    <t>MSTENLKQQLEYSQQTLGPEHPQTLAVWDSYIESLIASYCIDEAIEELSNLVAVYEQTRGKYHLETSVVRSKYAYFLRQAQDMDQAYEEYAIVAEGFRYVNGELHPDTLFVRQQFVECALELGEYEEALPLLQSLLNDCRYVFGPTNPATITTWKNYVTCLSELERDEQALAEGRELLPTCLNVLGPDHRDTVYLQGMYATLLRNCGHLAEAAEQFGYALAGRRNLYGPEHPRTLNVWTQYASTLAEAGQFKQALPELRSLLDAYRRATGEDSPETLEAWNTYALYLYEARAWWEALAQYEALTQFHENNQGEYGRDTNIARGRYVLCLRAVERYFDAFAECAKVVEGCRKVYGDKHFVTLHARTEYAHCLVDLHRYDEALAAWAALLDDSREVNGPESEKTLSVWNHYAWTLFHAGRVSEAEVEYEFLIEETVRILGADHPFTKNFREVAQRVATHLDKK</t>
  </si>
  <si>
    <t>MSTENLKQQLEYSQQTLGPEHPQTLAVWDSYIESLIASYCIDEAIEELSNLVAVYEQTRGKYHLETSVVRSKYAYFLRQAQDMDQAYEEYAIVAEGFRYVNGELHPDTLFVRQQFVECALELGEYEEALPLLQSLLNDCRYVFGPTNPATITTWKNYVTCLSELERDEQALAEGRELLPTCLNVLGPDHRDTVYLQGMYATLLRNCGHLAEAAEQFGYALAGRRHLYGPEHPRTLNVWTQYASTLAEAGQFKQALPELRSLLDAYRRATGEDSPETLEAWNTYALYLYEARAWWEALAQYEALTQFHENNQGEYGRDTNIARGRYVLCLRAVERYFDAFAECAKVVEGCRKVYGDKHFVTLHARTEYAHCLVDLHRYDEALAAWAALLDDSREVNGPESEKTLSVWNHYAWTLFHAGRVSEAEVEYEFLIEETVRILGADHPFTKNFREVAQRVATHLDKK</t>
  </si>
  <si>
    <t>GC_00002840</t>
  </si>
  <si>
    <t>MTALTTRFLHTSDLQLGMTRWFLQETEDAQALFDAARVEAITRLGEKIIEYQCDFIIVAGDVFEHNSISTKTRERALAALAALPVDVYLLPGNHDPLTADSIFYRAESHPRIHVFTDSTPIEVAPGVELIGAPWHSKTPSCDLVSNAIADLEPAATIRIVVGHGQLDNRSNDIRMDIIDRDTVETAIRGGTIDYLALGDTHSAMSLSDTGAIWFSGAPEVTAFRELPSGQGENNSGKALIVDIAKSAAAQAEVTVTETQIGTWRFDAISADVNSLDDVCDFIAQLDAYPRKDRTVIKYSLVGAVDLATRQHLEAELARLRPLFAHLYPRTRTMNLTTAATDVDIADLDLSGFVLAAAQELATDTDPVASDALNLLFQLHNEV</t>
  </si>
  <si>
    <t>MTALTTRFLHTSDLQLGMTRWFLQETEDAQALFDAARVEAITRLGEKAIEYQCDFIIVAGDVFEHNSIFTKTRERALAALAALPVDVYLLPGNHDPLTADSIFYRAESHPRIHVFTDSTPIEVAPGVELIGAPWHSKTPSCDLVSNAIADLEPAATIRIVVGHGQLDNRSNDIRMDIIDRDTVETAIRGGTIDYLALGDTHSAMSLSDTGAIWFSGAPEVTAFRELPSGQGENNSGKALIVDIAKSAAAQAEVTVTETQIGTWRFDAISADVNSLDDVRDFITQLDAYPRKDRTVIKYSLVGAVDLATRQHLEAELARLRPLFAHLYPRTRTMNLTTAATDVDIADLDLSGFVLAAAQELATDTDPVASDALNLLFQLHNEV</t>
  </si>
  <si>
    <t>GC_00002841</t>
  </si>
  <si>
    <t>MITRKSVFQLFMAFSLACGGLGAVSVLNAPEAAAANTCGTSYRMVKDGRVPVKDASGERFATIEVYFSSKDNQNCAILVKEGRHWGLEENVNVSIAFAGDQDRQHGQDTDSGRMKEYSRAVYTAKGVAAGDKLIKVSATVGNASASAEGWDGSGNAPRITNPK</t>
  </si>
  <si>
    <t>MIARKSVFQLFMAFSLACGGLGVVSVLDAPEAAAANTCGTSYRMVKDGRVPVKDASGERFATIEVYFSSKDNQNCAILVKEGRHWGLEENVNVSIAFSGDQDRQHGQDTDSGRMKEYSRAVYTAKGVAAGDKPIKVSATVGNASASAEGWDGSGNAPRITNPK</t>
  </si>
  <si>
    <t>GC_00002842</t>
  </si>
  <si>
    <t>PF17961.7</t>
  </si>
  <si>
    <t>MNARRCALLGVALLLSIGINVSGAFADLAGAHFARTSFVEMQLAEAHAATSHHQSDVIVQAQANNTAQVNHVGTAANAPTFIDIDAPIITASALPITENSEVTFSWPWSLSGGEFEGQQFTIQFPKQFRVPATFFNALHDSSGRTVGDCTSDRRTNLVTCTFDDSLAGHNNAIGTLTTEVKALSSYDSMDIDFNINGTDQSITLPGDGPSGIVKAAPTLPAHITVEGQQINGTLIRWVVSAPGALLHDKLGERSLRFDSRLSGPRNAVGHVYINSDADELIEYTAEQRDDPFSVPDEQHHAASITQGIKDGGLAQSIVAEPPSGGWKSDHYYLVVFYSTTADAQPVASPIHLTSYGVVQDIMDSIVTETVFQPDAPAAAESQDSLLRFSTPINPTAPAIPAAPAVNRVSPIRTASEAQSLKDVGAFVFLPLALLFLGIIVCALVRVLSKDH</t>
  </si>
  <si>
    <t>MNARRCALLGVALLLSIGINVSGAFADLAGAHFAGTPFVEIQLAEAHAATSRHQSDVIVQAQANNTAQVNHVGTAANAPTFIDIDAPIITASALPITENSEVTFSWPWSLSGGEFEGQQFTIQFPKQFRVPATFFNALHDSSGRTVGDCTSDRRTNLVTCTFDDSLAGHNNAIGTLTTEVKALSSYDSMNIDFNINGTDQSITLPGDGPSGIVKAAPTLPAHITVEGQQINGTLIRWVVSAPGALLHDKLGERSLRFDSRLSGPRNAVGHVYINSDADELIEYTAEQQDDPFSVPDEQHHAASITQGIKDGGLAQSIVAEPPSGGWKSDRYYLVVFYSTTADAQPVASPIHLTSYGVAQDIMDSIVAETVFQPDAPAAAESQDSLLRFSTPINPTAPAIPAAPAVNRVSPIRTASETQSLKDVGAFVFLPLALLFLGIIVCALVRVLSKDH</t>
  </si>
  <si>
    <t>GC_00002843</t>
  </si>
  <si>
    <t>MSSTYTIPYVTTRSGNTEKTVDIYSRLLDERIIYIGTPIDDGVANAVIAQLLHLENDNADMPISLYLNSAGGSMSATLAIYDCMQFVHPTLETTCVGQVVSSSALLLAGGTHGHRLILPHGRVVLHAPVTEGGRGAIPDLIIEAEEIERIRSMQEEILAQHCGVSAEQVRKDTERKLVLTAQQAVDYGLADNIVATSRRPDS</t>
  </si>
  <si>
    <t>MSSTYTIPYVTTRSGNTEKTVDIYSRLLDERIIYIGTPIDDGVANAVIAQLLHLENDNADMPISLYLNSAGGSMSATLAIYDCMQFVHPTLETTCVGQVVSSSALLLAGGTHGHRLILPHGRVVLHAPVTEGGRGAIPDLIIEAEEIERIRSMQEEILAQHCGVSAEQVRKDTERKLVLTAQQAVDYGLADNIVAASRRPGS</t>
  </si>
  <si>
    <t>GC_00002844</t>
  </si>
  <si>
    <t>MKRIAIVACCCLTTTACVDRLEPPLPPTHRQIEQVQDWSHKRSGPYDIPETALRAYAYAAWAVAKQKNCNLGWPTLAALGESLSNHGRANDSQLGDDGTTTVPLRGLNLFDPAHPQEVADTDAGLFDGDPTKDIPIGPLQIMPSRWEQFNAAVEPDAKPNPDNINDASLTLAGFLCSVGDPSTPDGWANGVQQINANPEFVKHVHAIAKKYSR</t>
  </si>
  <si>
    <t>MKRIAIVVCCCLTTTACVDRLEPPLPPTHRQIEQVQDWSHKRSGPYDIPETALRAYAYAAWAVAKQKNCNLGWPTLAALGESLSNHGRANDSQLGDDGTTTVPLRGLNLFDPAHPQEVADTDAGLFDGDPTKDIPIGPLQIMPSRWEQFNAAVEPDAKPNPDNINDASLTLAGFLCSVGDPSTPDGWANGVQQINANPEFVKHVHAIAKKYSR</t>
  </si>
  <si>
    <t>GC_00002845</t>
  </si>
  <si>
    <t>K18230</t>
  </si>
  <si>
    <t>macrolide transport system ATP-binding/permease protein</t>
  </si>
  <si>
    <t>ko00001|ko02000|ko01504</t>
  </si>
  <si>
    <t>KEGG Orthology (KO)&gt;&gt;&gt;09130 Environmental Information Processing&gt;&gt;&gt;09131 Membrane transport&gt;&gt;&gt;02010 ABC transporters [PATH:ko02010]|Transporters&gt;&gt;&gt;ABC transporters, eukaryotic type&gt;&gt;&gt;Other subfamilies&gt;&gt;&gt;Macrolide exporter|Antimicrobial resistance genes&gt;&gt;&gt;Gene variants&gt;&gt;&gt;Macrolide resistance genes&gt;&gt;&gt;Transporters</t>
  </si>
  <si>
    <t>MPASFAHLRFDGVSVSFGTHRVLTNVSFAVPTQGVTGIIGENGCGKSTLLRLAAGLMPVDAGTITAIGPGGTRPRIGFLPQIPQVAPHETIEQTLESAIAYLRSITRTIEQAATLLAHSDSATERTKAGEAYAAALEQAERLNVWDIDARVDAMLDGLGLSHLPRHRPTSHLSGGQLSRLSLACVLLSNPDILLLDEPTNHLDDAATDYLQDMVSHWQGPVLIVSHDRSFLDNVATSLVDLDPRPLPHRQDDAIEYNGITRFSGTYSDYSQVQRDERRRWAQQYRDEQAELRRLKDAVHDSHSVGHGHEIPRTESRAARKFYADRNAKVVSRRVTNARSRLATLQQQQVSKPPRELRFAGFTATTGIGNSATIGGLGELGSDDAVVAATNVSVSQRLSPVSLAIEAGDRWLITGANGVGKSTLLQVLAGELPPTSGHVTRLDGVRVGLLTQETRLPSPPAVQRWERPSTSQKNLVRWTARRAYEQAVGIDRAAEVPLSTFGLLAARDENRVVTELSVGQQRRLALAILLTNPPEVLLLDEPTNHLSLRLVTELEQAIPDYPGAIVVASHDRWLRNTWQGKRLHLAG</t>
  </si>
  <si>
    <t>MPASFAHLRFDGVSVSFNTHRVLTNVSVTVPAQGVTGIIGENGCGKSTLLRLAAGLMPVDAGTITAVGPGGTRPRIGFLPQTPQIVPHETIEQTLESAIAYLRSITRTIEQAATLLAHSDSASERTEAAEAYATALEEAERLNVWDIDARVDAMLDGLGLSHLPRHRPTSHLSGGQLSRLALACVLLSSPDILLLDEPTNHLDDAATDYLQDMVSHWQGPVLIVSHDRSFLDTVATNLVDLDPRPLPHRQDDAIEYNGITRFSGTYSDYLQVQRDERRRWAQQYRDEQAELRRLKDAVHDSHSVGHGHEIPRTESRAARKFYADRNAKVVSRRVTNARSRLATLQQQQVSKPPRELRFAGFTAATGIGNSVTAGGLGELGGDNAVLAASNVSVSQRLSTVSLAIEVRDRWLITGANGVGKSTLLQVLVGELPPTSGRVTRLDGVRVGLLTQETRLPSPPTTQQWERPSASQKNLVRWTARRAYEQAVGIDRAAEVPLSTFGLLAARDETRVVTELSVGQQRRLALAILLANPPEVLLLDEPTNHLSLRLVTELEQAIPDYPGAIVVASHDRWLRNTWQGKRLHLAG</t>
  </si>
  <si>
    <t>GC_00002846</t>
  </si>
  <si>
    <t>K06921</t>
  </si>
  <si>
    <t>MDTYAASLHSFAGNQARTLVISGLRGIGKTALVNELEELARQQGWVTLRAHSTDKDPIATLVESTIPTVIHEQSPPAKRTITGATIAGIGAIQTTVNDDPRPTPTLNSQLRKLAGLLQPHGTGIVISIDEVQHANPDDLAIIATAYQDLIRDGIDISFIVAGLSHGVDNLLQHPGTTFIRRGVRVELQPLSFDEARDLLITTADESAVTMDPAAAANAANFAQGHPYLVQLIGSLSWAKARSAHATQIRDEHIEETKATAINSLGLQVHQPELTYLTQSETRFVEAMAEAMGENNHADIADIARILGKPVTSMSDVRSRLLRKEVIDASGRGEVRFRLPYFKEYLRLPDSSYPFKQMP</t>
  </si>
  <si>
    <t>MDTYAASLHSFAGNQARTLVISGLRGIGKTALVNELEELARQQGWVTLRAHSTDKDPIATLVESTIPTVIHEQSPPAKRTITGATIAGIGAIQTTVNDDPRPTPTLNSQLRKLAGLLQPHGTGIVISIDEVQHANPDDLAIIATAYQDLIRDGIDISFIVAGLSHGVDNLLQHPGTTFIRRGVRVELQPLSFDEAHDLLITTADESAVTMDPAAAANAANFAQGHPYLVQLIGSLSWAKARSAHATQIRDEHIEETKATAINSLGLQVHQPELTYLTQSETRFVEAMAEAMGKNNHADIADIARILGKPVTSMSDVRSRLLRKEVIDASGRGEVRFRLPYFKEYLRLPDSSYPFKQMP</t>
  </si>
  <si>
    <t>GC_00002847</t>
  </si>
  <si>
    <t>MTTSAYRHRVLTALMIAQVMGGISAGVAFSLGSLLAADIGGTEWGGAASTVTTVGAALFSVVLAKIAAAHGRRLSLTSGMILGALGATGAMFAAEWRLLWLLLASFLLIGASSAVNLQSRFVAGDVAATDTRGRDLSLVVWSTTIGAVAGPNLMEPGQRLSELLGFSSFSGAYLICIGAQAVAVLVLSVALHPDPVAPAAPDEETATDATSIRAYPMVIVVIASLAVAHAVMVAVMAMTPVHLHGHGASLRLIGITISAHVAGMYACSPLFGLLADRVGRRWTLALGFVVQLASLGLLIAYGQQDAAVVAALVLLGLGWSAALVSCSTLLIDAAPATRRTHIQGRSDFTMNIVGASGGAVAGPIVHNWGMPTLASLTGFLIIVAVVVLLPRVRDISTR</t>
  </si>
  <si>
    <t>MITPAYRRRVLTALMIAQVMGGISAGVAFSLGSLLAADIGGTEWGGAASTVTTVGAALFSVVLAKIAAAHGRRLSLTSGMILGALGATGAMFAAEWRLLWLLLASFLLIGASSAVNLQSRFVAGDVAATDTRGRDLSLVVWSTTIGAVAGPNLMEPGQRLSELLGFSSFSGAYLICIGAQAVAVLVLSVALHPDPVAPAAPDEETATDATSIRAYPMVIVVIASLAVAHAVMVAVMAMTPVHLHGHGASLRLIGITISAHVAGMYACSPLFGLLADRVGRRWTLALGFVVQLASLGLLIAYGQQDAAVVAALVLLGLGWSAALVSCSTLLIDAAPATRRTHIQGRSDFTMNIVGASGGAVAGPIVHNWGMPTLASLTGFLIIVAVVVLLPRVRDISTR</t>
  </si>
  <si>
    <t>GC_00002848</t>
  </si>
  <si>
    <t>MSSKANLGFVKAALRFAPALLRTPAWRLSVVFLTVVVAAIMTLIISVTSMKLSPDQEREYSLGVADYTANMPDVPVRGYKKLDLDHLSTLGRVELITTLPVTGLGLVAEEHRELRVSETPWDASPYPKRYSLAEGRYPSAPGEIAISTALAAGGAVGGDVRIAVPGVDTSWKITGIIADKYLDDATIYAAPGTLSDVYRRIEHLTGIPQYLGGSLYWSAPSPEPVLAQLRVLNSISAALQELPAATSAQVLLSAADLHGDRPVIGGNPVIYVWPAVFMPALVVIMAILLLSVWLRKQQVTLAAMGIQDSALILAIIGALTIMGLAALAVASPIALGISTIVRIILSRVYELPLSTFVFPWGLFPLFWLSIAGGITAGLAIAGGWPRRKRKITVGVAGTTWVMGGISCLGFLVLSALFLFPDILDDQNQIIGASFVVMASALMALWLTKTRRLWPDSLAGVLSRRMKERDAFSGAITWLLCGAIVGIPLMLVTTAVTTENTMNLTQIDSVPPNTVRVTMADRLGKPMEIPEPLQAQVDAEFPQQPIRIRRVAEEQSVLPQTTVQVGFDAFRMGQLWAFESVSDIDRWLGGLSPEQKVALNNGGILGTDARDGAIPVHVSSLDGTTRTETVTAAPVELPREYLVGMNVRAIALRSFAETRNLPLGPAFVEYPNLDEAAQTRAVQQKPQFSILSLAIDVHNELHHISVPPDLKALVLVSTVIMGVWILVLALGIAGRLSKHLDSLFALGVNRRWAGKVLALSLFPTLIPAILTGMASGYVGVWILKLRPVQQTEALPVATSWPTYGFVALGLAAALALAFGLAVLRISSEKRK</t>
  </si>
  <si>
    <t>MSSKANLGFVKAALRFAPALLRTPAWRLSVVFLTVVVAAIMTLIISVTSMKLSPDQEREYSLGVADYTANMPDVPVRGYKKLDLDHLSTLGRVELITTLPVTGLGLVAEEHRELRVSETPWDASPYPKRYSLAEGRYPSAPGEIAISTALAAGGAVGGDVRIAVPGVDTSWKITGIIADKYLDDATIYAAPGTLSDAYRRIEDLTGIPQYLSGSLYWSAPSPEPVLAQLRVLNSISAALQELPAATSAQVLLSAADLHGDRPAPGGNPVIYVWPAVLMPALVVIMAILLLSVWLRKQQVTLAAMGIQDSALILAIIGALIIMGLAALAVASLIALGIGTVVRIILSRVYELPLSTFVFPWGLFPLFWLSIAGGIAAGLAIAGGWPRRKRKITVGVAGTTWVMGGIGCLGFFVLSILFLFPDILDDQNQIVGASFVVMASALMALWLTKTRRLWPDSLAGVLSRRMKERDAFSGAITWLLCGAIVGIPLMLVTTAVTTENTMNLTQIDSVPPNTVRVTMADRLGKPMEIPEPLQAQVDAEFPQQPIRIRRVAEEQSVPPQTTVQVGFDAFRMGQLWVFESVSDIDWWLGGLSPEQKVALNSGGILGTDARDGVIPVHVSSLDGTTRTETVTATPVELPREYLVGMSVRAIALRSFAETRNLPLGPVFVEYPNLDEAAQTRAVQQKPQFSILSLAIDVHNELHHISVPPDLKALVLVSTVIMGVWILVLALGIAGRLSKHLDSLFALGVNRRWAGKVLALSLFPTLIPAILTGMASGYVGVWILKLRPVQQTEALPVATSWPTYGFVALGLAAALALAFGLAVLRISSEKRK</t>
  </si>
  <si>
    <t>GC_00002849</t>
  </si>
  <si>
    <t>MVARHDAVVTLWFITAAEPARTLRAEPKADRGYGRKYLAHLNPAWPITPIGQFDLNRSVPASPGEFYVGGYPGVAIVQTVINNAHQLSELDARLLTSIPATDVYALAANPSTGLGGIAHWRGGTLKRSFCARRNRVYEDIGFPEDFEHRYWNSDDDAPEVGSNNLPFNPIDLVDTAQQEWIGVPVSPDGPDINIVAYAIDGRPEPKVVDNPKQRNIGDLVAAASNKLGFNPATRDYDDYEDGELEDPNPLNRIAQRGLRALGSARDTTRIRFREFGSSLHEKIRHTDRDPNQPRTQRLPRRLRRRGNNPEYLGDYPEEDFSEEIETTDTEILEVAEITEGISDHISDQADILAYEPIEDFPEDSDDPHERKRS</t>
  </si>
  <si>
    <t>MVARHDAVVTLWFITAAEPARTLRAEPKADRGYGRKYLAHLNPAWPITPIGQFDLNRSVPASPGEFYVGGYPGVAIVQTVINNAHQLSELDARLLTSIPATDVYALAANPSTGLGGIAHWRGGTLKRSFCARRNRVYEDIGFPEDFEHRYWNSDDDAPEVGSNNLLFNPIDLVDTAQQEWIGVPVSPDGPDINIVAYAIDGRPEPKVVDNPKQRNIGDLVAAASNKLGFNPATRDYDDYEDGELEDPNPLNRIAQRGLRALGSARDTTRIRFREFGSSLHEKIRHTDRDPNQPRTQRLPRRLRRRGNNPEYLGDYPEEDFSEEIETTDTEILEVAEITEGISDHISDQADILAYEPIEDFPEDSDDPHERKRS</t>
  </si>
  <si>
    <t>GC_00002850</t>
  </si>
  <si>
    <t>MVFDVARVRGLYVSLSDGWTYLNAQENAQVPEKVSTGVAMAFRTAASIAMLEPATGSHSKSQLVGQQLGISQVEAARRAIADLVGATPERVVLGPNKQMLMRSLADALRPILRPNTSVVLCRSDEPTTTQHFQNFDASVMWAEPDLGTGELPAWQFSRLVSGSTRLVVLPAAHRLVGTITPVSEISDTVHSASRAWVLVDASAIAPYRSIDMEIMGADIIAVECAPLGGPQIAALAFRDTTMFPRLAAVNPLAPHDSAQKLELGALPIGLLGGVAPAIEHLAGLDEYARGTRRTRLTSSFADLAHYHYFLTHHLVESLHGLGNVHLLGISGEAAGLGVTAIDRVPRVTFLVPGVSAETVQQRLMANGIVTSVSPHDPLLEAMGAGEAGGSVTVGLAPFNTTHDIDQLTRALASLA</t>
  </si>
  <si>
    <t>MVFDVARVRGLYVSLSDGWTYLNAQENAQVPEKVSTGVAMAFRTAASIAMLEPATGSHSKSQLVGQQLGISQVEAARRAIADLVGATPERVVLGPNKQMLMRSLADALRPILRPNTSVVLCRSDEPTTTQHFQNFDASVMWAEPDLGTGELPAWQFSRLVSGSTRLVVLPAAHRLVGTITPVSEISDTVHSASRAWVLVDASAIAPYRSIDMEIMGADIIAVECAPLGGPQIAALAFRDTTMFPRLAAVNPLAPHDSAQKLELGALPIGLLGGVAPAIEHLAGLDEYARGTRRTRLTSSFADLAHYHYFLTHHLVESLHGLGNVHLLGISGEAAGLGVTAIDRVPRVTFLVPGVSAETVQQRLMANGIVTSVSPHDPLLEAMGAGEAGGSVTVGLSPFNTTHDIDQLTRALASLA</t>
  </si>
  <si>
    <t>GC_00002851</t>
  </si>
  <si>
    <t>MTYPDNPQQPHSNPYDKAYPVSPFESEPQQAQQQQPPQQVQQPQPQQQPQQWQQSQQQAPWQGPPMPPQGASQSGSMGAQPAQPNPMAYGPNMQPPQQVPYTANPYAPAPVAVNPQNKNHLGLVAMIMGVLCVPSLIFIGWWPPTIAIVTLAVSIVAFVRRKNYAEQNRMTGFAITGLVLSSVCIAIIAVGFLIYAVVEATDSNTYDNYDNYRSYLPDNSLEDA</t>
  </si>
  <si>
    <t>MTYPDNPQQPHSNPYDKAYPVSPFESEPQQAQQQQPPQQVQQPQPQQQPQQWQQNQQQAPWQGPPMPPQGASQSGSIGAQPAQPNPMAYGPNMQPPQQVPYTANPYAPAPVAVDPQNKNYLGLVAMIMGVLCVPSLIFIGWWPPTIAIVTLAVSIVAFVRRKNYVEQNRMTGFAITGLVLSSVCIAIIAVGFLIYAVVEATDSNTYDNYDNYRSYLPDNSLEDA</t>
  </si>
  <si>
    <t>GC_00002852</t>
  </si>
  <si>
    <t>MMYDPSTLGIMPIKPRFATEEIQNLLAHFPVVALHGAPQVGKSVIARDLADRTGGIFVDLDDPDPYAFAYQEPAAFIRQAPGKLLVIDGIHYAPELLDHICGLVEFGSWDGRFLVVDSAGCGIDHDTADIGHVTVHPLSQGEIDEHAIPEDFITWIIARPPVEYPPRSYINRQAVTLRVTRGGMPMALGCATTKSQARWCRNYTRNLCARLRNDVLRRVVAMLATTPVTEIVQARLSRELGITEREARVAMMTLRAAGVIIDLPGWHSAANKRSVSAAKSLLLDTGLTAQNVGFSAGEIDIPRSRTYFRQLLEQFVVQQLVTQQTWSVTSFRLRHFRTRDGATVGVVVELVDGRVVLIDVTTNTQPAIEDFATMERLRQVLGDQVIAGVILHTGMHSRRYRDWQYLLPITTLWEHH</t>
  </si>
  <si>
    <t>MMYDPSTLGIMPIKPRFATQEIQNLLAHFPVVALHGAPQVGKSVIARDLADRTGGIFVDLDDPDPYAFAYQEPVAFVRQAPGKLLVIDGIHYAPELLDHICGLAEFGGWDGRFLVVDSAGCGVDHDTADIGHVTVHPLSQGEIDEHATPEDFVTWIIARPPVEYPPRSYINRQAVTLRVTRGGMPMALGCATTKSQARWCRNYTRNLCARLRNDVLRRVVALLATTPVTEIVQARLSRELGITEREARVAMMTLRAAGVIIDLPGWHSAANKRSVSAAKSLLLDTGLTAQNVGFSAGEIDIPRSRTYFRQLLEQFVVQQLVTQQTWSATSFRLRHFRTRDGATVGVVVELVDGRVVLIDVTTNTQPAIEDFATMERLRQALGDQVIAGVILHTGMHSRRYRDWQYLLPITTLWEHR</t>
  </si>
  <si>
    <t>GC_00002853</t>
  </si>
  <si>
    <t>MNTTTPQEAQAQLTEARLRTQGISGFSPVWVAYEIILIAMTFGVLCAYFDGHPDFQSLRTPFFAMGMAWLFGGIVMLILTKTISKPIRFGFERRWDIMHYLMAGGFFASTLIVVFAPLELWHVLAIISTYLLLGIAAPVWEVITVRNLYRNAQ</t>
  </si>
  <si>
    <t>MDTTTPQEAQAQLAEARLRTQGISGFSPVWVTYEIILIAMTFGVLCAYFDGHPDFQSLRTPFFAMGMAWLFGGIVMLILTKTISKPIRFGFERRWDIMHYLMAGGFFVSTLIVVFAPLELWHVLAIISTYLLLGIAAPVWEVITVRNLYRNAP</t>
  </si>
  <si>
    <t>GC_00002854</t>
  </si>
  <si>
    <t>COG0863</t>
  </si>
  <si>
    <t>DNA modification methylase (YhdJ) (PDB:1BOO)</t>
  </si>
  <si>
    <t>MTGEWRLSYGDALDFYDTWDAPTTIISDGAYGVGGFPGDPRTPADLPRWYEPHIAAWSAKASLATTLWLWNTEIGWANIHPLLTDHGWQYETLNIWNKGTGHIAGNVNSKTIRRFPVVTEVCAFYTRTPRLPKHPGSPQLIHMKEWLLSEWLRTGLPKADANKACGVKNAATRKYFDQGWLWYFPPVDVMMQLVAHANRFGNPAGRPYFSFDGTTPVSAAEWAATRSVWHHEHGVTNVWERPPLRNSERYRGSMRRSAPRTHRPTKLSASHLNQKPLDLMERCINATTNPGDVVWEPFGGLCSASVAAVRLGRTAFSAEPNQDFYQLAYERLSAPGA</t>
  </si>
  <si>
    <t>MTGEWRLSCGDALDFYDTWDTPTTIISDGAYGVGGFPGDPRTPAELPRWYEPHIAAWSAKATLATTLWLWNTEIGWANIHPLLTDHGWQYETLNIWNKGTGHIAGNVKGLT---------------------------------------------------------------------------------------RLG------------------------RSVDKREHA--------------------SRRSPR-----------------------IRSHEYP-----------------------------------------------</t>
  </si>
  <si>
    <t>GC_00002855</t>
  </si>
  <si>
    <t>MKRQLATSLCTFALLTSLQPAAQADEITDFLRSLIAPIVPGNNEGPAPANPGPGDALIAEVSGQHFSAQAPQLDPAVQPQWAIVVFGSALDKDGGVPQALSSRLEKALVVANTNPGATVVVAGGKPQAGVTEAQAMKRWLVEHGVGEERIVTEEQSTDTVGNAKNVAPILSNGGKNGAILITAGSHLRRATVDFRMATGSAYNTISVPAEDKDVTPPVPEWEKTAMERDLKQFS</t>
  </si>
  <si>
    <t>MKRQLATSLCTFALLTSLQPAAQADELADFLRSLVGPIMPGNNEGPAPANPGPGDALIAEVSGQHFSAQAPQLDPAVQPQWAIVVFGSALDKDGGVPQALSSRLEKALVVANTNPGATVVVAGGKPQAGVTEAQAMKRWLVEHGVGEERIVTEEQSTDTVGNAKNVAPILSNGGKNGAILITAGSHLRRATVDFRMATGSAYNTISVPAEDKDVTPTVPEWEKTAMERDLKQF-</t>
  </si>
  <si>
    <t>GC_00002856</t>
  </si>
  <si>
    <t>MSGDVVSMLSMANRTYLYAQKDNEFTGIGEFRYDTPFLALLFTHVDTVAIPSILFDLGDIKVGAFRGRLETTQVTDFLTKLRALFDAHRSKILPKIWEEIEPNFADITETIDRITAGGYTHVLMDPVERVLLIAGSDEEILDEIDLIESELDDCDPDRWLKRAETTLRSGALLDEEQAWWFLRELGLTGFFSPILYFNLQ</t>
  </si>
  <si>
    <t>MSGGVVSMLSMANRTYLYAQKDNEFTGIGEFRYDAPFLALLFTHVDTVAIPSILFDLGDIKVGAFRGRLETTQVTDFLTKLRALFDAHRSKILPKIWEAIEPSFADITETIDRITAGGYTHVLMDPVERVLLIAGSDEEILDEIDLIESALDDCDPDRWLKRAETTLRSDALLDEEQAWWFLRELGLTGFFSPILYFNLQ</t>
  </si>
  <si>
    <t>GC_00002857</t>
  </si>
  <si>
    <t>MPFASKRFAPIFGVVTLLILVALAGSALSNSKRPPNIGQAAASVELSEPSEPQANAEAAAVAEPTSASATPTPAAPETQQPAATND-GGAAAPAAPPAGNPNQGSNPQLQIPGVPQIPLPGGLPNIVIPNPPLNYHDLNINLG</t>
  </si>
  <si>
    <t>MPFASKRFAPIFGVVTLLILVALAGSALSNSKRPPNIGQAAASVELSEPSEPQANAEAAAVAEPTSASATPTPAAPETQQPAATNNGGGAAAPAVPPAGNPNQGSNPQLQIPGVPQIPLPGGLPNIVIPNPPLNYHDLNINLG</t>
  </si>
  <si>
    <t>GC_00002858</t>
  </si>
  <si>
    <t>MLRAELLKLRRSHLWLIAIVLPLLAVITGSINYFSNPGALTHGWDSLFSQVLLFYGMFYLSIGVAIIVAAAWRMEHQGSNYTMLRTNTRRAVSLIAAKTMAVSILILFMQLILVVGTFVVGVTFASHNGAPPLKYLVLVLISIVAAVPLVLLQSVLSMYLKSFAAPIAWSFLGLIIGIAFSFAPGWIRDLGWLFPYSLVSRSLSLISVATGATGTSIDMGSVVTIFLSSAVLAGVFLIGFVRIFTNREYS</t>
  </si>
  <si>
    <t>MLRAELLKLRRSHLWLIAIVLPLLAVITGSINYFSNPGALTHGWDSLFSQVLLFYGMFYLSIGVAVIVAAAWRMEHQGSNYTMLRTNTRRAVSLIAAKTTAVSILILFMQLILVVGTFVVGVTFASHNGAPPLKYLVLVLISIVAAVPLVLLQSVLSMYLKSFAAPIAWSFLGLIIGIAFSFAPGWIRDLGWLFPYSLVSRSLSLISVATGTTGTSIDMGSVVTIFLSSAVLAGVFLIGFVRIFTNREYS</t>
  </si>
  <si>
    <t>GC_00002859</t>
  </si>
  <si>
    <t>MNWIIDINAVMAMVTIVFGIVALARPTLLSGAPADAGSRYYAAMYAARAIPFGAGLVYVLIVAAQHAVPWLVVAGTIQVLDAAIGCRRRVVGAVVAPLALASVHLATAVLVQMAY</t>
  </si>
  <si>
    <t>MNWIIGINAVMAMVTIVFGIVALARPTLLSGAPADAGSRYYAAMYAARAIPFGAGLVYVLIVAVQHAVPWLVVAGTIQVLDAAIGCRRRVVGAVVAPLALASVHLATAVLVQMAY</t>
  </si>
  <si>
    <t>GC_00002860</t>
  </si>
  <si>
    <t>MGPRDQLSSYDPAPESIHGSDSLPNPPQRGPEAIGRHIDSMMASQSPLGTNTNPKIKLSPLVQVLIALGVVALIAIMVLVWTTVFGTKKSDTTALDPSQTITTPTVSVPQLAPSAAPTTPEESLPDSLHENLPPEIASHVPQEIRDNVVSCHAAAAFGFVFGLQSAQSTSCTWVNMADAESEYGHGTVLFTTDKKLAESARKPLMMKKQDISLKPTQGHDILVSSLSSPGTNFVYITDFASDSATIVYFIEGGKNEAEAFLKKFHLAE</t>
  </si>
  <si>
    <t>MGPRDQLSSYDPAPESIHGSDSLPNPPQRGPEAIGRHIDSMMASQSPLGTNTNPKIKLSPLVQVLIALGVVALIAIMVLVWTTVFGTKKSDTTALDPSQTITTPTVSVPQLAPSAAPTTPEESLPDSLHENLPPEIASHVPQEIRDNVVSCHAAAAFGFVFGLQSAQSTSCTWVNMADAESEYGHGTVLFTTDKKLAESARKPLMMKKQDISLKPTQGHDILVSSLSSPGTNFVYITDFASDGATIVYFIQGGKNEAEAFLKKFHLAE</t>
  </si>
  <si>
    <t>GC_00002861</t>
  </si>
  <si>
    <t>PF04954.18</t>
  </si>
  <si>
    <t>Siderophore-interacting protein</t>
  </si>
  <si>
    <t>MLDCITKIVFGCARKVKIVSEHQLTQSELAEMNDVLTHPDHTRGLEEGELVVTALEVLSSTFIRIRGRLEGFRNPDAWRRPNTTLRMEVPVDNDVIEGVATSSRVYTIAEVFGDYDVAIDAVAHGTTSPMMRWLASVNHGDRIVVKGPRPHQLLNPASVNYMLADASALPAVRNILLYQHEVKEKPTVVIAAPQADAEAYVADCADRATIIHLGETGDLAAACAELGIAASATVWAAGERDLMRAIRRYCKEDLGLERSALRIFGYWKEGTSHTLLDVARMRAAKRRVESGLGLDGADDFDLEI</t>
  </si>
  <si>
    <t>MLDCITKIVFGCARKVKIVSEHQLTQSELAEMNDVLTHPDHTRGLEEGELVVTALEVLNSTFIRIRGRLEGFRNPDAWRRPNTTLRMEVPVDNDVIEGVATSSRVYTIAEVFGDYDVAIDAVAHGTTSPMMRWLASVNPGDHIVVKGPRPHQLLNPASVNYMLADASALPAVRNILLHQREVKEKPTVVIAAPQADAEAYVADCVDRATIIHLGETGDLAAACAELGIAASATVWAAGERDLMRAIRRYCKEDLGLERSALRIFGYWKEGTSHTLLDVARMRAAKRRIESGLGLDGADDFDLEI</t>
  </si>
  <si>
    <t>GC_00002862</t>
  </si>
  <si>
    <t>MMHNEDLKYYYNLETHQVEQGKISSYDNRIGPYDTREEAEHALEIAKERNRVADAYDEQDDRWRD</t>
  </si>
  <si>
    <t>MMHNEDLKYYYNLETHQVEQGKISSYDNRIGPYDTREEAEHALEIAKERNQVADAYDEQDDRWRD</t>
  </si>
  <si>
    <t>GC_00002863</t>
  </si>
  <si>
    <t>MMLKKHVRVVLAAASIVLLSSCALPTSVLPQSASGDPQPSGTAQSQGSDGGDSGTDAKTTDAGKQDSFASRTVGEALEIGKFNPEQHSQPAFDPCREVTEEQWKSLGLRVNRADDGATGLFTTCALKVIPEQTEPAQSTIITGNFNPLSKELEKGERLNDVKINKPSYVYLYSSTKPYRDVCSAGTMTNQGRVAVSYGEFSNKVAPPSAEKTCQKAVDVLEGIFNLPVLPPTAASAAPTSQAVQASPAPTTSAASPSVSGAKPTKPADSASAGETFRQKLGVGKFDDDEAVHKTFNPCKEITKKQWESLKLKVKSGEQPTLKLGPDQGDAYECFLASTDEGEHAGEAVKIAVDYLDFLTPDIGKNIVNIKANKPDYVYFYDKNSDLAEDECTAGVVTNRGRLNLTLRLGEKAAKPTKEQACQRAADQLMAISDLKAEGLENVLHK</t>
  </si>
  <si>
    <t>MMLR-HARIILATASIVLLSSCALPTSVLPQSASGDPQPSGTAQSQGSDSGDSGTDAKTTDAGKQDSFASRTVGEALEIGKFSPEQHSQPAFNPCREVTEEQWKSLGLQVNRVDDGTTESSTICSLKVIPEQTEPAQSTIITGNFNPLSEELEKGERLNNVKINKPSYVYLYSSNKPYRDICSAGTVTNQGRVAVSYGEFSNKVAPPSAEKTCQKAVDVLEGIFNLPVLPPTAASAPPTSQAVQASPAPTTSAASPSVSGAKPTKPADSASAGETFRQKLGVGKFDDDEAVHKTFNPCKEITKKQWESLKLKVKSGEQPTLKLGPDQGDAYECFLASTDEGEHAGEAVKIAVDYLDFLTPDIGKNIVNIKANKPDYVYFYDKNSDLAEDECTAGVVTNRGRLNLTLRLGEKAAKPTKEQACQRAADQLMAISDLKAEGLENVLHK</t>
  </si>
  <si>
    <t>GC_00002864</t>
  </si>
  <si>
    <t>MDVKNSPAGHVTEKCAIRQMSFSTDDDNEYDELAHLFTPQNKQNPPASSGDEMKLKTAATKRLTKAKAGYRRLSTPILPGETYNEVFGR--MIR------------</t>
  </si>
  <si>
    <t>MDVKNSPAGHVTEKCAIRQMSFST-DDNEYYELVHLFAPQNKQNLPASSGDEMKLKTAATKRLTKAKAGYRRLSTPILPGETYNEVFGTNDSVKTPEPKSSEARNF</t>
  </si>
  <si>
    <t>GC_00002865</t>
  </si>
  <si>
    <t>MMQAHLRMAEDPFSCAELVISNPGQTIAHNVKFEFIPDLPKPPPEKTAAPTKNPAWHQNPLDIIRQRLLGEPIQTWVPGYEITMLFWFPNENGKFDVSAEGIPAKTTIKISYTDGYKKPTHYSDIFELNAVLLFGTAKPKTPVHRIQTDLQNIHQELKSLREGCGFPQTDISNKY</t>
  </si>
  <si>
    <t>GC_00002866</t>
  </si>
  <si>
    <t>MTQSWCYYTIFVTQYGLLHAAKRRYHERITEVRQDYDVVLVSEHAYQLSTPPLFAELIASHPEPTCREEEYSAFVFTAIITIPNDTNPHMVAHLLELDYADGSSPTFPSRTSATLVSAAGNRTPDFPYQQLAHDN</t>
  </si>
  <si>
    <t>MTQSWCYYTIFVTQYGLLHAAKRRYHERITEVRQNYDVVLVAEHAYRLSTPPLFAELIASHPEPTCREEEYDTFVFTAIITIPNDTNPHMVAHLLELDYPDGASPTFPSRTSATLVSASGNQTPEFPHQQLAHDN</t>
  </si>
  <si>
    <t>GC_00002867</t>
  </si>
  <si>
    <t>MTLQPRPRNPIEQRKLEVRRHARRGVISVAAGVGGGLVLGVLGGSITTFLTTLIFFSALGILLGYFEYRKIQEIINHKDNY</t>
  </si>
  <si>
    <t>MTLQPRPRNPIEQRKLEVRRHARRGVISVVGGVGGGLVLGVLGGSITTFLTTLIFFSALGILLGYFEYRKIQEIINHKDNY</t>
  </si>
  <si>
    <t>GC_00002868</t>
  </si>
  <si>
    <t>MRGIVEPPPIITGDTDIELMVNNFYRCLKRPYPESVLAFAPLIFIDPHQLPADVLEYFPEHFNYLAEILESRSKDGLMLNQILQDKYLPVKATPEEVLYWMGSVRITHGVYSNTLTEILLGFAHHIRSLIDAGDYREADAIIEHVYRLQERTDTWPVDIEALVTLLEGKKAADQRDWEGGLAEDIMEYATDSDDTRTAAATEPDATPLKGSTTTEQHTAPPSQQPQQQATPSRTATTGVNIAKYFGDALVNNRLALTPLGVTASDFIQDFDGMSATDVSELIPLIIKVAQNELRLNRPASIRFLGDIDSGMNKRLFRSDNKEQYSDYDTALAGWYALLSTAPVGIYELLSDRTAYFALQQFATLEFDPRRDKLDALRRFDLLRTYAARMEDYTTSLDAANKKIRWAQLSRDNVAALAAAEDAYRYSRELLKQGYTEVIAQALWSTRSFSQLSSWFKNKVQAADLLLSIPKEFPFNQLDTKSQVNYILSRIELAGLCQEAGQERSRITLLNEAADLYDSIGYFNDALKLRAQHKL</t>
  </si>
  <si>
    <t>MRGIVEPPPIITGDTDIELMVNNFYRCLKRPYPESVLAFAPLIFIDPHQLPADVLEYFPEHFNYLAEILESRSKDGLMLNQILQDKYLPVKATPEEVLYWMGSVRITHGVYSNTLTEILLGFAHHIRSLIDAGDYREADAIIEHVYRLQERTDTWPVDIEALVTLLEGKKAADQRDWEGGLAEDIMEYATDSDDTRTAAAAEPDATPLKGSTTTEQHTAPPSQQP-QQAAPSRTATTGVNIAKYFGDALVNNRLALTPLGVTASDFIQDFDGMSATDVSELIPLIIKVAQNELRLNRPASIRFLGDIDSGMNKRLFRSDNKEQYSDYDAALAGWYALLSTAPVGIYELLSDRTAYFALQQFATLEFDPRRDKLDALRRFDLLRTYAARMEDYTTSLDAANKKIRWAQLSRDNVAALAAAEDAYRYSRELLKQGYTEVIAQALWSTRSFSQLSSWFKNKVQAADLLLSIPKEFPFNQLDTKSQVNYILSRIELAGLCQEAGQERSRITLLNEAADLYDSIGYFNDALKLRAQHKL</t>
  </si>
  <si>
    <t>GC_00002869</t>
  </si>
  <si>
    <t>PF01256.23</t>
  </si>
  <si>
    <t>NAD(P)H-hydrate dehydratase</t>
  </si>
  <si>
    <t>K23997</t>
  </si>
  <si>
    <t>ADP-dependent NAD(P)H-hydrate dehydratase / NAD(P)H-hydrate epimerase [EC:4.2.1.136 5.1.99.6]</t>
  </si>
  <si>
    <t>COG0062|COG0063</t>
  </si>
  <si>
    <t>NAD(P)H-hydrate repair enzyme Nnr, NAD(P)H-hydrate epimerase domain (Nnr1) (PDB:3RRB)|NAD(P)H-hydrate repair enzyme Nnr, NAD(P)H-hydrate dehydratase domain (Nnr2) (PDB:1KYH)</t>
  </si>
  <si>
    <t>KEGG Orthology (KO)&gt;&gt;&gt;09190 Not Included in Pathway or Brite&gt;&gt;&gt;09191 Unclassified: metabolism&gt;&gt;&gt;99980 Enzymes with EC numbers|Enzymes&gt;&gt;&gt;4. Lyases&gt;&gt;&gt;4.2  Carbon-oxygen lyases&gt;&gt;&gt;4.2.1  Hydro-lyases&gt;&gt;&gt;4.2.1.136  ADP-dependent NAD(P)H-hydrate dehydratase|Enzymes&gt;&gt;&gt;5. Isomerases&gt;&gt;&gt;5.1  Racemases and epimerases&gt;&gt;&gt;5.1.99  Acting on other compounds&gt;&gt;&gt;5.1.99.6  NAD(P)H-hydrate epimerase</t>
  </si>
  <si>
    <t>MYAYSVQAIRDAEAPLIGPDDALMKQAAGHVAQAAATLLAETLPNAAYPGNVLVVAGSGGNGGDGLYAGAELARAGHHVEAIRVGTRIHERAATAFEHAGGQFVTKLGDYDLVIDGIIGLGGSKGLSDDLAALLARCAGTPILAIDVPSGINPDTGVPMGAHITATATVTFGALRYAHAVSPACGEVVVGDIGIAPQGSHVQVYQSVGTGRVWPEGLHPIPRIPAIESLEPGPDDHKYSRGVVGLLAGSERYPGAGVLCVQGAVRATPSMVRYVGAARDFVLDATPEVIASSLATAGKVQAWVAGPGGATTAELRDLLSRNIPLLIDADGIKLLAKNADLMELLDNRTAATVVTPHDAEFATLAEVAGISRTDRLTDTQALAEQLGIIVVRKGRFTLVATPGSEPITSINSGHSWSATPGSGDVLAGVMGAWLARHAALGRPLHEAAIIAVHLCADAAWLAAQTPYGPAPTSASPIAAHVQDATARLTATTRR</t>
  </si>
  <si>
    <t>MYAYSVQAIRDAEAPLIGPDDALMKQAAGHVAQAAATLLAETLPNAAYPGNVLVVAGSGGNGGDGLYAGAELARAGHHVEAIRVGTRIHERAAAAFEHAGGQFVTKLGDYDLVIDGIIGLGGSKGLSDDVATLLARCAGTPILAIDVPSGINPDTGVPMGAHITATATVTFGTLRYAHAVSPACGEVVVGDIGIAPQGSHVQVYRSVGTGRVWPEGLHPIPRIPAIESLEPGPDDHKYSRGVVGLLAGSERYPGAGVLCVQGAVRATPSMVRYVGAARDFVLDATPEVIASSLATAGKVQAWVAGPGGATTAELRDLLSRNIPLLIDADGIKLLAKNADLMDLLANRTAATVVTPHDAEFATLAEVAGISRTDRLTDTQALAEQLGLIVVRKGRFTLVATPGSEPITSINSGHSWSATPGSGDVLAGVMGAWLARHAALGRPLHEAAIIAVHLCADAAWLAAQTPYGPAPTSASPIAAHVQDATARLTATTRR</t>
  </si>
  <si>
    <t>GC_00002870</t>
  </si>
  <si>
    <t>K00868</t>
  </si>
  <si>
    <t>pyridoxine kinase [EC:2.7.1.35]</t>
  </si>
  <si>
    <t>COG2240</t>
  </si>
  <si>
    <t>Pyridoxal/pyridoxine/pyridoxamine kinase (PdxK) (PDB:5ZW9) (PUBMED:19096365;23189126)</t>
  </si>
  <si>
    <t>KEGG Orthology (KO)&gt;&gt;&gt;09100 Metabolism&gt;&gt;&gt;09108 Metabolism of cofactors and vitamins&gt;&gt;&gt;00750 Vitamin B6 metabolism [PATH:ko00750]|Enzymes&gt;&gt;&gt;2. Transferases&gt;&gt;&gt;2.7  Transferring phosphorus-containing groups&gt;&gt;&gt;2.7.1  Phosphotransferases with an alcohol group as acceptor&gt;&gt;&gt;2.7.1.35  pyridoxal kinase</t>
  </si>
  <si>
    <t>MAILSIQSHVSYGHVGNSAAVFPLQRIGHEVWPVHTVNFSNHTGYGEWTGELIPAAQVSSIIDGIQARGAFPAIDAILSGYQGGSDIADAIVDAVAKVKAENPNALYACDPVMGNAKSGCFVSDLIPPLLRDKVVPVADIITPNQFELSYLTGVDADDIDSTLKAAEAARKIGPETILVTSVLRPDRPEHTIEMIAVNDQGAWKVQTPFLDIKRNGSGDVTAALFTGHYVRDKDAAGALAKTAAAVYELIELTHAKDSRELLLIDAQESYVHPAHQFEVTKIA</t>
  </si>
  <si>
    <t>MAILSIQSHVSYGHVGNSAAVFPLQRIGHEVWPVHTVNFSNHTGYGEWTGELIPAAQVSSIIDGIQARGAFPTIDAILSGYQGGSDIADAIVDAVAKIKAENPNALYACDPVMGNAKSGCFVSDLIPPLLRDKVVPVADIITPNQFELSYLTGVDADDIDSTLKAAEAARKIGPETILVTSVLRPDRPEHTIEMIAVNDQGAWKVQTPFLDIKRNGSGDVTAALFTGHYVRDKDAAGALAKTAAAVYELIELTHAKDSRELLLIDAQESYVHPTHQFEVTKIA</t>
  </si>
  <si>
    <t>GC_00002871</t>
  </si>
  <si>
    <t>PF13625.11</t>
  </si>
  <si>
    <t>MKKRMNNNNADSASPLTFEQWLSEQPDERLATILRNRPDCALPIPPSFSSLAARLRLPLAVKRAVDKLGAMDIAVVEAASARGAELQPVSTPEVVEEIRGRLHAYSTPDEDIPTQYDVEAALETLKDHALLYSTTTDGSSFQLLPEVMSEIPRHFLVLPESASAGPPLTHQQVEELLDALSPQESKILDTLAQAGGVGLSKDAAPDADPTRPVAMLIAKGLLTRVDHNTVRLRAITRNVLLNPSNTPHRYTLVPATRMPDTPPSDKDVQKVDQAATAAGLEVTRMMRRLLEELGREPAPCLKNGSLGVRAATKLAKTLDIDNLTLARLMCLADSADLISTGEPDPPPQNDNLGDYLAPTPLADDWLQSDPADQWASLLEAWRNSQWSPWLVGHKDDTNKTIHLLDHAALDTHLPAITALTMRPFLRLPPGTPVPPDNVSMDMRYLSPLRGSHIDPTRVADICSNAEWIGAIALNAASTPLRTMMGTSDTDAYEALRKVTQSLTPEPGTTLIAQADMTILAPGPLTTEIQEQVETLADVESPGLASVYRITEASIRRALDTGRTGADLQQFLEENVLGDVPQSITYLITDVARRHGTLRGGPAISYLRSDDPALLAQAVQTPAAARLALRLIAPTVAISQAPLIEVLDNLREAGFQPVAEDATGASIDVRPSPSRITSYQGRPAATREAIDAGLIHAVVSELRRNNTATTAASQGTTATNDQGQVLQGREALSVLQAAVRGRKTVTLGFVDKQGTQMHRVVRPLTVSGGQVDALDAATGKVHRFQLHRITEVILD</t>
  </si>
  <si>
    <t>MKKRMNNNNADSASPLTFEQWLSEQPDERLATILRNRPDCALPIPPSFSSLAARLRLPLAVKRAVDKLGAMDIAVVEAASARGAELQPVSTPEVVEEIRGRLHAYSTPDEDIPTQYDVEAALETLKDHALLYSTTTDGSSFQLLPEVMSEIPRHFLVLPESASAGPPLTHQQVEELLDALSPQESKILDTLAQAGGVGLSKDAAPDADPTRPVAMLIAKGLLTRVDHNTVRLRAITRNVLLNPSNTPHRYTLVPATRMPDTPPSDKDVQKVDQAATAAGLEVTRMMRRLLEELGREPAPCLKNGSLGVRAATKLAKTLDIDNLTLARLMCLADSADLISTGEPDPPPQNDNLGDYLAPTPPADDWLQSDPADQWASLLEAWRNSQWSPWLVGHKDYTNKTIHLLDHAALDTHLPAITALTMRPFLRLPPGTPVPPDNVSTDMRYLSPLRGSHIDPTRVADICSNAEWIGAIALNAASTPLRTMMGTSDTDAYEALRKVTQSLTPEPGTTLIAQADMTILAPGPLTTEIQEQVETLADVESPGLASVYRITETSIRRALDTGRTGADLQQFLEENVLGDVPQSITYLITDVARRHGTLRGGPAISYLRSDDPALLTQAVQTPAAARLALRLIAPTVAISQAPLIEVLDNLREAGFQPVAEDATGASIDVRPSPSRITSYQGRPAATREAIDAGLIHAVVSELRRNNTATTAASQGTTATNDQGQVLQGREALSVLQAAVRGRKTVTLGFVDKQGTQMHRVVRPLTVSGGQVDALDAATGKVHRFQLHRITEVILD</t>
  </si>
  <si>
    <t>GC_00002872</t>
  </si>
  <si>
    <t>COG1112</t>
  </si>
  <si>
    <t>Superfamily I DNA and/or RNA helicase (DNA2) (PDB:2GJK)</t>
  </si>
  <si>
    <t>MHHESLYEHVSFDFPGFVIQVYYLHATNFALAHNKIPLVHYVEVTIDASTPALLAVLKDKNTINISAKYNGHDLFAPLTAPIPRLEKLTSKTLVNDVSAQTRINPTLLQYHDESTFGDLTISVTVGGQTRTKTAKLRILAPNEWFNAPAYYQSLAAFVQPNSEVIEPLKRDTAEILGAATGSTALNGYQAGSERALEIAAAAFQALQDRNLIYSEPPASFEHTGQRVRTSTQVLHNRNGTCIDLAITYAALLEQVGLHPVIVIIHGHALAGLLASKKPLAHPVIYNSVTIRNYIQSGELVPIETVLMTTPNATFRDAVMEAKNTLQQHPGLGLVSVHDARLDGMRPLPNPTAGTGEFPAYPATGTMRKVPSSLSDEFALPTDLQSDNMNVSAIRIAGGMTSTLPRTLANMESHNPPTGSIPAGPGRRQARPQNVPARIAAWQRELLDLSLRNRLLNMRASREVLPLQLRPGMLSELDDIIHQGQPLTVFAHNDVTENRRLQGIQSVKELSADYLLTALTDMSRVYADITQQQYKSYFNNLRRTVRTLKEETGSANLYLTLGGLVYERNDRVVEAPLFLIPITLLATRGNDHVHIKVDSTHEASPNYCLVEWLKQAHNLDIPALSTPRFDESGLDISYTVAEISRQLLAANLPFTVTETANIIIAKFSTYGMWKDIHSHWAEFLSSPIFRHIALQSGESFIEPAPLDNSDIRDIDVSEETLALPIPADGAQLKAIVAAGQGRSFVLEGPPGTGKSQTITNMIAHCLDLGKTVLFVAEKQAALDVVKTRLNSVGLGPFVLDLHGEDQNPTSIRHQLKSTIDAEIEYDLQSFAALQANLKARLQPFLEYPEAIHAKNALDHSLWSATSLLSNLNDVIAAPVPVSFVKNPTDSLEYIEDVVYNAAAYAQGLDAKHVALWQLLGPSASLTTDEAFTDAWEQVTEAYTILRKHRDIISSVIDLPILEVEEAVTAIGSIPKRDHIPPTLRESAAKAEPHIAAVEMEAQQLLNQAEGLLEIFSPAFLSNGDIDALLAEANAVNKGFLGRKKRLAGFAAAVKAASPDPHNAVIDVTGEHAPEQLIPVLRSIPLLRTSAEELKAKLKESEWTDGLSTLSPFMPELVNQLNMRKQQIQFQLAAAQRWPELIDADEAELKELPHYISVIGDAWTAWLDCLGTTPEQEKSFMYLYNSNHLDVLLLEYPRWQASLKAGGFTALRTIARFNAYAQVLKDAGFDDLVEQLLRHKIGLSDVNTALLRGVAEASIKERIETFQLDGFRPDIKADQLAKLQSAMQRIHDEARLALPARLLQRRPYKPGRITGSVAKLRRLLDAKRSARSFRSLLEEFPREITTVAPCFMVNPASLATFVAPGSVHFDVVIFDEASQVTVDQAMGALGRGTSAVIVGDSKQMPPTRIGKTILDSPNDNELVGDDDMADVEDLESILTEAVESGLPQLWLTWHYRSQDESLIAFSNERYYEGKLASLPSPGGHVAAGVSLKRVDGQFNRQPGRLHRTNEVEAHAIVAEISERLNNPITAQESLGVVTFNTQQRNLILDLLEASDDPLIHQKLHQETDALFVKNLENVQGDERDTILFSVAFSKQPSGGPLPLNFGPITRTGGEKRLNVAITRARRSVVMFASFDAVDIDLSRTKSQGMADLRGYMLAATAVDSLTTTLTTAGAPASDDTHGEQLALPQVTQKTINQNHVRDDVAQRLRDRGWVVETDYGMSSFTLDLVIRPQDDDRWHVGVLLDGPKWYHLPTVSDRDLVPELLKPIMQWASVTRVWLPEWAINPDGVVDKLENELAAAQKELAARDARFQHQLEEIKNRLDQQREAATEQLNEEAKPELAVEPLELEAPTAPPTTAAGATAQAGAKGISKITGYSPVKLPKLGERDELEKRLSSARRAELGSIIEDAVNAAGPISLNDLRVLIIKGFNRSRGSKHINGRILGLIPKDLRHKEGRSNTEFVWPRGVVPHEWRGVRASQGKRTANQISLWEVRNAMAQLDFIEEIPADPSEPELDRVIRATMTVFGLKQKSSSVTAHFTEALKLLKTQNKPQPISVSSTTPTQLPVALDVRNSKVGQITSQYHPGTYAVVDVETTGFSTADRIVELAIVVLDDDGENLYEWSTLINPMRDISNGAIHGITAKDVAVAPTFDQVADDVAALLEGKIFVAHNAIFDVRMLKSEFDRVGLKMAGLADGHIDTLRLAQNSLPISSRSLDSCLAFMGITNEQAHSALSDARATGRLLTRFLLDELPNSARSVSVTGDAMQPSREVYPLGTETMERGNSYMNDDWLSAAIDEMPSSGNVDTDSYLELLDFAMLDFELSVHERRELTAHARNLGMSQADADRVHMQYIRQLVRVVMSDGVVTQQERDGLWLAADTLGISREVVEEILNTGSTGDDATQVSTLTLQPGDRVAFTGTRAGEDAAVAAGLIVGGVTKATVVLVAADPDSMSGKAKKARQYHIPIITEHRFNQLVADLMRIE</t>
  </si>
  <si>
    <t>MHHESLYEHVSFDFPGFVIQVYYLHATNFALAHNKIPLVHYVEVTIDASTPALLAVLKDKNTINISAKYNGHDLFTPLTAPIPRLEKLTSKTLVNDVSAQTRINPTLLQYHDESTFGDLTISVTVGGQTRTKTAKLRILAPNEWFNAPAYYQSLAAFVQPNSEVIEPLKRDTAEILGAATGSTALNGYQAGSERALEIAAAAFQALQDRNLIYSEPPASFEHTGQRVRTSTQVLHNRNGTCIDLAITYAALLEQVGLHPVIVIIHGHALAGLLASKKPLAHPVIYNSVTIRNYIQSGELVPIETVLMTTPNATFHDAVMEAKNTLQQHPGLGLVSVHDARLDGMRPLPNPTAGTGEFPAYPATGTMRKVPSSLSDEFALPTDLQSDNMNVSAIRIAGGMTSTLPRTLANMESHNPPTGSIPAGPGRRQARPQNVPARIAAWQRELLDLSLRNRLLNMRASREVLPLQLRPGMLSELDDIIHQGQPLTVFAHNDVTENRRLQGIQSVKELSADYLLTALTDMSRVYADITQQQYKSYFNNLRRTVRTLKEETGSANLYLTLGGLVYERNDRVVEAPLFLIPITLLATRGNDHVHIKVDSTHEASPNYCLVEWLKQAHNLDIPALSTPRFDESGLDISYTVAEISRQLLAANLPFTVTETANIIIAKFSTYGMWKDIHSHWAEFLSSPIFRHIALQSGESFIEPAPLDNSDIRDIDVSEETLALPIPADGAQLKAIVAAGQGRSFVLEGPPGTGKSQTITNMIAHCLDLGKTVLFVAEKQAALDVVKTRLNSVGLGPFVLDLHGEDQNPTSIRHQLKSTIDAEIEYDLQSFAALQANLKARLQPFLEYPEAIHAKNALDHSLWSATSLLSNLNDVIAAPVPVSFVKNPTDSLEYIEDVVYNAAAYAQGLDAKHVALWQLLGPSASLTTDEAFTDAWEQVTEAYTILRKHRDIISSVIDLPILEVEEAVTAIGSIPKRDHIPPTLRESAAKAEPHIAAVEMEAQQLLNQAEGLLEIFSPAFLSNGDIDALLAEANAVNKGFLGRKKRLAGFAAAVKAASPDPHNAVIDVTGEHAPEQLIPVLRSIPLLRTSAEELKAKLKESEWTDGLSTLSPFMPELVNQLNMRKQQIQFQLAAAQRWPELIDADEAELKELPHYISVIGDAWTAWLDCLGTTPEQEKSFMYLYNSNHLDVLLLEYPRWQASLKAGGFTALRTIARFNAYAQVLKDAGFDDLVEQLLRHKIGLSDVNTALLRGVAEASIKERIETFQLDGFRPDIKADQLTKLQSAMQRIHDEARLALPARLLQRRPYKPGRITGSVAKLRRLLDAKRSARSFRSLLEEFPREITTVAPCFMVNPASLATFVAPGSVHFDVVIFDEASQVTVDQAMGALGRGTSAVIVGDSKQMPPTRIGKTILDSPNDNELVGDDDMADVEDLESILTEAVESGLPQLWLTWHYRSQDESLIAFSNERYYEGKLASLPSPGGHVAAGVSLKRVDGQFNRQPGRLHRTNEVEAHAIVAEISERLNNPITAQESLGVVTFNTQQRNLILDLLEASDDPLIHQKLHQETDALFVKNLENVQGDERDTILFSVAFSKQPSGGPLPLNFGPITRTGGEKRLNVAITRARRSVVMFASFDAVDIDLSRTKSQGMADLRGYMLAATAVDSLTTTLTTAGAPASDDTHGEQLALPQVTQKTINQNHVRDDVAQRLRDRGWVVETDYGMSSFTLDLVIRPQDDDRWHVGVLLDGPKWYHLPTVSDRDLVPELLKPIMQWASVTRVWLPEWAINPDGVVDKLENELAAAQKELAARDARFQHQLEEIKNRLDQQREAATEQLNEEAKPELAVEPLELEAPTTPPATAAGATAQAGNKGISKITGYSPVKLPKLGERDELEKRLSSARRAELGSIIEDAVNAAGPISLNDLRVLIIKGFNRSRGSKHINGRILGLIPKDLRHKEGRSNTEFVWPRGVVPHEWRGVRASQGKRTANQISLWEVRNAMAQLDFIEEIPADPSEPELDRVIRATMTVFGLKQKSSSVTAHFTEALKLLKTQNKPQPISVSSTTPTQLPVALDVRNSKVGQITSQYHPGTYAVVDVETTGFSTADRIVELAIVVLDDDGENLYEWSTLINPMRDISNGAIHGITAKDVAVAPTFDQVADDVAALLEGKIFVAHNAIFDVRMLKSEFDRVGLKMAGLADGHIDTLRLAQNSLPISSRSLDSCLAFMGITNEQAHSALSDARATGRLLTRFLLDELPNSAQSVSVTGDAMQPSREVYPLGTETMERGNSYMNDDWLSAAIDEMPSSGNVDTDSYLELLDFAMLDFELSVHERRELTAHARNLGMSQADADRVHMQYIRQLVRVVMSDGVVTQQERDGLWLAADTLGISREVVEEILNTGSTGDDATQVSTLTLQPGDRVAFTGTRAGEDAAVAAGLIVGGVTKATVVLVAADPDSMSGKAKKARQYHIPIITEHRFNQLVADLMRIE</t>
  </si>
  <si>
    <t>GC_00002873</t>
  </si>
  <si>
    <t>COG0599|COG1917</t>
  </si>
  <si>
    <t>Uncharacterized conserved protein YurZ, alkylhydroperoxidase/carboxymuconolactone decarboxylase family (YurZ) (PDB:3BEY)|Cupin domain protein related to quercetin dioxygenase (QdoI) (PDB:2H0V)</t>
  </si>
  <si>
    <t>MAKQTAGRNILGEFAPQFAALNDDVLFGEVWSRETELPAKMRSIVTISALVGKGIVDTSLQHHLAAARENGVTREEMVEILTQLAFYAGWPNAWAAFRMAKDVYFDDSRIAADADAGMVVGDRIVESETIGNEQVGPGSYGGLFGLGELNEAYAEYFTGKSYLNKLSHDGDPITIFNVTFEPGCRNNWHIHHAESGGGQVLICMGGQGWYQAWGEAPRALKPGDIVEIPANVKHWHGAASDSWFSHLAFEIPGTGTSTEWCEPVSDADYLALDESDG</t>
  </si>
  <si>
    <t>MAKQTAGRNILGEFAPQFAALNDDVLFGEVWSREAELSAKMRSIVTISALIGKGIVDTSLQHHLAAARENGVTREEMVEILTQLAFYAGWPNAWAAFRMAKDVYFDDSRIAADADAGMVVGDRIVESETIGNEQVGPGSYGGLFGLGELNEAYAEYFTGKSYLNKLSHDGDPITIFNVTFEPGCRNNWHIHHAESGGGQVLICMGGQGWYQAWGEAPRALKPGDIVEIPANVKHWHGAASDSWFSHLAFEIPGTGTSTEWCEPVSDADYLALDESDG</t>
  </si>
  <si>
    <t>GC_00002874</t>
  </si>
  <si>
    <t>MVNAARHRAVPDTSRAEHPDNTKHAEQTTSMRRTLRLIRQDVAPEKKLIGAGVVALLCEVCFRVLEPWPLKIVVDALSVSLGAKVDELSATPALLLTCGGALLAIVGARALSNYLATVAFSLVGSRAATSLRSRVFSHVQRLSQQFHSRNRSADTVQRVVSDVARMQEVAVTAGLPLLANMITLLVMLVVMIVLDPLLSTVVVIAMVLFFVTSSGTSKKIADASRRTRKAEGRLANTAQESLSSIKVVQSYGLEDHIGERFVDANRISLDTGVTSRRLAARLERTTDVIVGLASAAVMIGGAFRVLDGAMTLGDLVLFTTYLRTTMKPLRDMAKYTGRIARASASGERVADLMDIQSDIVSPRRPARLHKVLGEVRFIDVNTAYDGHPVLRNFNLDVDPGENIAIVGPSGAGKSTLVSLLVRAIDPTSGTVTLDGRALPTLNLEKLRSNVSILHQEAVLFAGTIRENIRFGRFDATDEEIEQAARAAHAHNFIMELPDGYDTIVGERGGTVSGGQRQRIAIARALLRNSPVVVLDEATTGLDPESASLVMDAIEQLVAGRTTLAVTHDADVALRADRVVWVQDGQVLLDGSPAELLATSQEFRDWVDASNRATMDIRIED</t>
  </si>
  <si>
    <t>MVNAARHRAVPDTSRAEHPDNTKRADQTTSMRRTLRLIRQDVAPEKKLIGAGVVALLCEVCFRVLEPWPLKIVVDALSVSLGAKVDELSATPALLLTCGGALLAIVGARALSNYLATVAFSLVGSRAATSLRSRVFSHVQRLSQQFHSRNRSADTVQRVVSDVARMQEVAVTAGLPLLANMITLLVMLVVMIVLDPLLSTVVVIAMVLFFVTSSGTSKKIADASRRTRKAEGRLANTAQESLSSIKVVQSYGLEDHIGERFVDANRISLDTGVTSRRLAARLERTTDVIVGLASAAVMIGGAFRVLDGAMTLGDLVLFTTYLRTTMKPLRDMAKYTGRIARASASGERVADLMDIQSDIVSPRRPARLHKVLGEVRFIDVNTAYDGHPVLRNFNLDVDPGENIAIVGPSGAGKSTLVSLLVRAIDPTSGTVTLDGRALPTLNLEKLRSNVSILHQEAVLFAGTIRENIRFGRFDATDEEIEQAARAAHAHNFIMELPDGYDTIVGERGGTVSGGQRQRIAIARALLRNSPVVVLDEATTGLDPESASLVMDAIEQLVAGRTTLAVTHDADVSLRADRVVWVQDGQVLLDGSPAELLATSQEFRDWVDASNRATMDIRIED</t>
  </si>
  <si>
    <t>GC_00002875</t>
  </si>
  <si>
    <t>PF03358.20</t>
  </si>
  <si>
    <t>NADPH-dependent FMN reductase</t>
  </si>
  <si>
    <t>K19784</t>
  </si>
  <si>
    <t>chromate reductase, NAD(P)H dehydrogenase (quinone)</t>
  </si>
  <si>
    <t>COG0431</t>
  </si>
  <si>
    <t>NAD(P)H-dependent FMN reductase (SsuE) (PDB:6DQI)</t>
  </si>
  <si>
    <t>KEGG Orthology (KO)&gt;&gt;&gt;09190 Not Included in Pathway or Brite&gt;&gt;&gt;09191 Unclassified: metabolism&gt;&gt;&gt;99988 Secondary metabolism</t>
  </si>
  <si>
    <t>MKIGIVVGSIREGRVGDSIGAWVAEHAAQHEGVTAQIVDLADFDLPFFTGVTPPSMLNKEYDNAAAQAFSAAIDDCDAFIFVTPEYNGSVPGAFKNAIDHIAPEWKNKPVGFVGYSYHGGLGAIKHWRDIMQILGSRPMDAQVSLTLGSDVEDGAVKESVQTLTDLETMLTQLTEAQG</t>
  </si>
  <si>
    <t>MKIGIVVGSIREGRVGDSIGAWVAEHAAQHEGVTAQIVDLADFDLPFFTGVTPPSMLNKEYDNAAAQAFSAAIDDCDAFIFVTPEYNGSVPGAFKNAIDHIAPEWKNKPVGFVGYSYHGGLGAIKHWRDIMQILGSRLVDAQVSLTLGSDVEDGAVKESVQTLTDLETMLTQLTEAQG</t>
  </si>
  <si>
    <t>GC_00002876</t>
  </si>
  <si>
    <t>MSNILVIGSTGMVGSRIVNEAVRRGHTVTAASRSGKPVDGAARAIAVELGDTDAVAKLIEAPNTDVTIIAVSPDRTGGSTQPLVNAHKKLIDRGVKGRVLIVGGAGSLQREDGSLLVDSPEFPEEYKAEAQAFVEILNLYRNSDLTWTMLSPSPAIAPGERTGNITLGTDSPVGGAVSAENFAVAMIDEVENPQHVGTRFTVADA</t>
  </si>
  <si>
    <t>MSNILVIGSTGMVGSRIVNEAVRRGHTVTAASRSGKPVDGAARAIAVELGDTDAVAKLIEAPNTDVTIIAVSPDRTGGSTQPLVNAHKKLIDRGVKGRVLIVGGAGSLQREDGSLLVDSPEFPEEYKAEAQAFVEILNLYRNSDLTWTMLSPSPAIAPGERTGNVTLGTDSPVGSAVSAENFAVAMIDEVENPQHVGTRFTVADA</t>
  </si>
  <si>
    <t>GC_00002877</t>
  </si>
  <si>
    <t>MVECQQVQAALSARLDGEPSPLPDDVVDAHVAECAECQSFLDNAALLNRTLAFSDTSVSDIPDLSEEIMAGVAPVWRRRAASRLVSAAICRVVLVLLGVAWCGWAVALLRLPAGDNDPVFLQLVMETVAMRSALGFGVVFVAWQNRLVAGLLPVYGALFMFSFGLGVRDLVVGSMTAAGAGQLGLLFVSVVALLWLWLLDKGWAVVRALSARPVA</t>
  </si>
  <si>
    <t>MVECQQVQAALSARLDGEPSPLPDDVVDAHVAECAECQSFLDNAALLNRTLAFSDTSVSDIPDLSEEIMAGVAPVWRRRAASRLVSAAICRVVLVLLGVVWCGWAVALLRLPARDNDPVFLQLVMETVAMRSALGFGVVFVAWQSRLVAGLLPVYGALFMFSFGLGVRDLVVGSMTAAGAGQLGLLFVSVVALLWLWLLDKGWAVVRALSARPVA</t>
  </si>
  <si>
    <t>GC_00002878</t>
  </si>
  <si>
    <t>PF00596.27</t>
  </si>
  <si>
    <t>Class II Aldolase and Adducin N-terminal domain</t>
  </si>
  <si>
    <t>K01629</t>
  </si>
  <si>
    <t>rhamnulose-1-phosphate aldolase [EC:4.1.2.19]</t>
  </si>
  <si>
    <t>COG0235</t>
  </si>
  <si>
    <t>5-methylthioribulose/5-deoxyribulose/Fuculose 1-phosphate aldolase (methionine salvage, sugar degradation) (AraD) (PDB:1FUA) (PUBMED:31950558)</t>
  </si>
  <si>
    <t>KEGG Orthology (KO)&gt;&gt;&gt;09100 Metabolism&gt;&gt;&gt;09101 Carbohydrate metabolism&gt;&gt;&gt;00040 Pentose and glucuronate interconversions [PATH:ko00040]|KEGG Orthology (KO)&gt;&gt;&gt;09100 Metabolism&gt;&gt;&gt;09101 Carbohydrate metabolism&gt;&gt;&gt;00051 Fructose and mannose metabolism [PATH:ko00051]|Enzymes&gt;&gt;&gt;4. Lyases&gt;&gt;&gt;4.1  Carbon-carbon lyases&gt;&gt;&gt;4.1.2  Aldehyde-lyases&gt;&gt;&gt;4.1.2.19  rhamnulose-1-phosphate aldolase</t>
  </si>
  <si>
    <t>MNPTITDALADMGAAGQRLDAMHAVEAGAGNLSVALRDVDGLDELFPNAEPGAPLPLAVPELAGYTILVTGSGCRLRDVAQQPTRTVSAFIIDPDGTTATWRYHHDRTFARPTSEFNSHLAVHADQIGRRGIAIHAVIHAQPPYLVQLSHNEALRNNTDFNKALFRWEPETIVQLPDGVEVLDFMVPGSDTLMENNVRGLRDHRMTIWSKHGIMVRSDVSPLDAVDKTEYAETGAMYEIRNAMEGGHGQGLLDSEIIAVIDAFGVDTPFYR</t>
  </si>
  <si>
    <t>MNPTITDALADMGAAGQRLDAMHAVEAGAGNLSVALRDVDGLDEFFPNAEPGAPLPLAVPELAGYTILVTGSGCRLRDVAQQPTRTVSAFIIDPDGTTATWRYHHDRTFARPTSEFNSHLAVHADQIGRRGIAIHAVIHAQPPYLVQLSHNAALRNNTDFNKALFRWEPETIVQLPYGVEVLDFMVPGSDTLMENNVRGLRDHRMTIWSKHGIMVRSDVSPLDAVDKTEYAETGAMYEIRNAMEGGHGQGLLDSEIIAVIDAFGVDTPFYR</t>
  </si>
  <si>
    <t>GC_00002879</t>
  </si>
  <si>
    <t>MRSLKIAITTACLALAATSFTPASAGEQFELPASVDSSLDFLSLSALPIYGPVIAYMVCASESSPGMPPGHCLREALAVSSY</t>
  </si>
  <si>
    <t>MRSIKIAITTACLALAATSFTPVSAGERFELPASVDSSLDFLSLSALPIYGPVIAYMVCASESSPGMPPGHCLREALAASSY</t>
  </si>
  <si>
    <t>GC_00002880</t>
  </si>
  <si>
    <t>MKVLPIILRVVIAAVLMFAASFSGVLMQFVPGYESILAGTAVGRSTTGLLLACGAMLMQFACATAVAYVGVRLLTRYLDHQPPTMLKLRPTKTGMLWFVAMIGVAMVILLIAGGVTILLGTTGEPLAQHGDQWWVTLIAVLGMAFLLQGIPEELVWRGWLLSSLGAKTTMRWSVGLSVIVFGTLHLTSNGGQSNAIEHVIYLVMPLGFAYAAAMARLATDSTWAAIGVHGGYHTAMLLANVLPINNSPTLWVLIGALWFAVGLAIRAWQRPFAPAQSDPQESAPA</t>
  </si>
  <si>
    <t>MKVLPIILRVVIAAVLMFAASFSGMLTQFIPGYESILAGTAVGRNTTGLLLACGAMLIQFACATAVAYVGVRLLTRYLDHQPPTMLKLRPTKTGMLWFVAMIGVAMVILLIAGGVTILLGTTGEPLAQHGDQWWVTLIAVLGMAFLLQGIPEELVWRGWLLSSLGAKTTMRWSVGLSVIVFGTLHLTSNGGQSNAIEHVIYLVMPLGFAYAAAMARLAADSTWAAIGVHGGYHTAMLLANVLPINNSPTLWVLIGALWFAVGLAIRAWRRPFAPAQSDPQESAPA</t>
  </si>
  <si>
    <t>GC_00002881</t>
  </si>
  <si>
    <t>MYSKIRAAAISGIAITLMVIGAPLAQAQGLPQLPPLPNINPETAIGTILGSLSSMAVVYLLVGTVYNYFARQNGKKQYDGSYIPKF</t>
  </si>
  <si>
    <t>MYSKIRAAAISGIAITLMVIGAPLAQAQGLPQLPPLPNINPETAIGTIFGSLSSMAVVYLLVGTVYNYFARQNGKKQYDGSYIPKF</t>
  </si>
  <si>
    <t>GC_00002882</t>
  </si>
  <si>
    <t>MQEDNFAHLVKQDFEVLETIGAGGMGVVYKAKDANLEKIVAIKALPSHLSGLNLAARFKKEMQNLAKLRHQAIVQVHSGRSLPNGQLYYVMDYVEGTDLAHLIAQRQQQNRPFTVEETVELLQPIAEALDYLHFEANPRIIHRDIKPANILVPADSDSPSKSLLTDFGISLSTDTTSYSDLSLQLGTPNYVPPEFYQPTSTPSESGDNYALALIAYEMLSLDKVRNTMSATGWQTTNRVIPNIRSTMPPGLRLMGRPLQRVFARALDTIPARRYRKATDFIRALQSADPRRYRMRVGVWGTATAVIAVALVAGTMILHHPTDAGRQTSRSSTTWPEEQAQVAKVFPELLPAGPDDTGWDGMKCQAVANSQRLGLDCANYRQRVWVYRYNSQEDRDATANFSHNENRWVLNGVKCNAEVLLSDSGDEALLLPKEDLSEFAISVQARNAKRTLEQLPICT</t>
  </si>
  <si>
    <t>MQEDNFAHLVKQDFEVLETIGAGGMGVVYKAKDANLEKIVAIKALPSHLSGLNLAARFKKEMQNLAKLRHQAIVQVHSGRSLPNGQLYYVMDYVEGTDLAHLIAQRQQQNRPFTVEETVELLQPIAEALDYLHFEANPRIIHRDIKPANILVPADSDSPSKSLLTDFGISLSTDTTSYSDLSLQLGTPNYVPPEFYQPTSTPSESGDNYALALIAYEMLSLDKVRNTMSTTGWQTTNRMIPNIRSTMPPGLRLMGRPLQRVFARALDTIPARRYRKATDFIRALQSADPRRYRMRVGVWGTATAVIAVALVAGTMILHHPTDAGRQTSRSSTTWPEEQAQVAKVFPELLPAGPDDTGWDGMKCQAVANSQRLGLDCANYRQRVWVYRYNSQEDRDAMANFSHNENRWVLNGVKCNAEVLLSDSGDEALLLPKEDLSEFAISVQARNAKRTLEQLPICT</t>
  </si>
  <si>
    <t>GC_00002883</t>
  </si>
  <si>
    <t>MAIIVLGSHTYEGRPGAVLASRLRKAHDIAARYPTETIVVSGQDEAPVMATWLIDNGIDPARILIEPTATSTNENLERSLALLRSSGHPDPSRGQPFMVVTSDFHKFRTLVWAWHLGIPITVLTAVTLPPHRQLDFARELTAFPHSLARVLWRRLVAWWRQR</t>
  </si>
  <si>
    <t>MAIIVLGSHTYEGRPGAVLASRLRKAHDIAARYPTETIVVSGQDEAPVMATWLIDNGIDPARILIEPTATSTNENLERSLALLRSSGHPDPSRGQPFMVVTSDFHKFRTLVWAWHLGIPITVLTAVTLPPHRQLDFARELTAFPHSLARVLWRRLVAWWRQQ</t>
  </si>
  <si>
    <t>GC_00002884</t>
  </si>
  <si>
    <t>MAASSGKKSSRSKKSRLSSTKSSKSSKSSLWRQIKTIGISIIVVYWLASCFIFGTGDFEIFDEGHWVTAKARAEKVAAFTAEHPEAFIMDVWGFGDRTKINPVIAGADSGVRVWCINSHEVTKTAAEAAQKLCKTTKSGPTTIAIYGGNFANVDFSTNTSGSGSLELTVQQWGKNKYKGLEKMFAGFHTVEFADSAGVPDLSQATSIERVFEYVESIIGDLNKWDVSHIENFSSAFHDSQFNGDISKWDTRNATTMRDMFMSAFYFNGDISRWNISRVTDMRSMFFQAASFDQNLSQWDIAQLKLAYDMFDESGLSPKNFTATLDGWATRQPRQFVHVGARTIHHCGDRQVGLQKLQKAYGWSIPDEGATTDCDPFWIKMVDKNAFQNPVELPTSVLFKVNKKLQKSSSECQMYDEKNLVLECAINEAGTHTFWVEDLEARQVTTDIYVTEYVDSDD</t>
  </si>
  <si>
    <t>MAASSGKKSSRSKKSRSSSARSSKSSKSSLWRQIKTIGISIIVVYWLASCFTFGVSDFEIFDEGHWVTAKARAEKVAAFTAEHPEAFIMDVWGFGDRTKINPVIAGADSDVRVWCINSHEVTKTPAEAAQKLCKTTKSGPTTIAIYGGNFANVDFSTNTSGSGSLELTVQQWGKNKYKGLEKMFAGFHTVEFADSAGVPDLSQATSIERVFEYVESIIGDLNKWDVSNIENFSSAFHDSQFNGDISKWDTRNATTMRDMFMSAFYFNGDISRWNISRVTDMRSMFFQAASFDQNLSQWDIAQLKLAYDMFDESGLSPKNFTAMLDGWATRQPRQYVHMGARTIHHCGDRQVGLQKLQKAYGWSIPDEGATTDCDPFWIKMVDKNAFKYPVELPTSVLFKVNKKLQESSSECQMYDEKNLVLECSIYKAGTHTFWVEDSEARQITTDIHVTEYVDSDD</t>
  </si>
  <si>
    <t>GC_00002885</t>
  </si>
  <si>
    <t>MDDDHFRIGDNDRRRALESLTSLAASGHLTVDEFDERSAAAAIARTRGDIKRLFDDIPGVDFTASDDSADASEEAAKPVSLESPDAYDYTMLPDATQNRASGFQIRVGIMCITAIFGITATAITANPLFIVVLNPIVAILLFVLKVGPARWYVPSAGELERRQLKRLRHQKNLQQELEGDANP</t>
  </si>
  <si>
    <t>MDDDHFRIGDNDRRRALESLTSLAASGHLTVDEFDERSAAAAIARTRGDIKRLFDDIPGVDFTASDDSADASEEAAKPVSLESPDAYDYTMLPDATQNRASGFQIRVGIMCITAIFGITATAITVNPLFIVVLNPIVAILLFVLKVGPARWYVPSAGELERRQLKRLRHQKNLQQELEGDANP</t>
  </si>
  <si>
    <t>GC_00002886</t>
  </si>
  <si>
    <t>MRKALFSDFDAFNHHRLYRAVTGSGGGCGDGVHNFLGLWVSDLTENGVMVGQVTSCVRIHSDEELRTVGAGASIRHGQQVRTVKAQLGVELVGELVAGATATGAGGVAALDHEAINDTVEDRPVIEWTLSIASGIRGLVLLRALSQPNKILNSHRGMVSKKLNGNITTIGVHNRRSGFLCHAHHRNEHPSCCHPQGNIATLDENPPKGQRMTPQTVRLAYKTGKTAYRTFKDYRNRKTAEAYDATSEVLNDAANTYHSLRANVREIAGDIGEELNNRRQELVKETSATGKKLSRAARRKAAKLEKRAAKKAGKKKCCRKVGKLGKFALFGTLFAGIAGGIYYWWARSTAEEPGTEPPRVEEHSRDDYVESRLVYTTQTPEDNDEK</t>
  </si>
  <si>
    <t>GC_00002887</t>
  </si>
  <si>
    <t>MLIDPIELSRLLGQKYPPTEQQATVIQADLGPMLVVAGAGAGKTETMAARVVWLVANGLINPDQVLGLTFTRKAAQQLGKRINDRLGQLAGIPDIAALDPSGRLANRLRSAGPTTSTYDAFAGKLVGEFGLLLPVEPSSRIISQTELYRIAVQVVNEYEGELSMRHTTGHVVDTLLTLTAELDNHMVDERELKIESLLFAQLCEELPPAKRQRKKPSQKILGWQETQFHRIELLPLVTKLKDRLKDENLVTFGEQMSLAARLAVENPSVGKVLRNRYKVVMLDEYQDTSHAQRMLLRSLFAGGAVTAVGDPMQSIYGWRGATAANLNRFVTDFAIDPQESAVKNELTISFRNPPEVLHLANAVATTVLGAPSDPNRPVQPLSSPPSAAAGDIQLGYFPTIADEREFVADTLAELYNNRDTAKPFTAAVLVRKNAHTGPIAKELQRRGIPYEIVGINGLLDVPEVADMVAIATMLIRPTDSAAALRILGGPAVGLGVRDIQALARRAGELSGRASSGKTTDSVDPAVKLEEEIAEVLAADAENIVGLTDAIADLGEPEKYSEEGYRRLGRLSSQLRRLRQTVAAGSSLPDLFAEIERVMGIRTEVLSRENPRLDGAVGTIHLDKLHQEVANFSTIPNVTLSQLLDYFTEARRQESGLELGEVQVRSDRVQILTVHKAKGLEWDTVCVLHANNRDYDKTRASTWLTNPAMVPSTLRGDAAESGDTVGSPVLDTSWLENRAQLEAECAAHIEEFRQSLSEESTRLFYVAVTRAAQRLIVTASALDDNERDTKPCSNFLLMKRNASTDSIVAWHDPAEAAATDTSDEPSEVQQSPTGMFPKPTKTVDLLTGADLVRKAIAQQSAGDPIAFNQDNDLFQLWEKDVTALIEEYQRLQSDIVEVELSPELTATDIVALKQNPEQFARRQRRPVPFKPNRYAKRGTEFHSWLEQRFGAPTLLDESELPGMDEEITPGQLQELKDKFVAGQFADRTPMFVEQPFEVSIDGIVIRGRMDAVFRDESGWHIVDWKTGQLPSRADMRYLMMQLAVYRIAWAQLQGIDPDEIHASFYYVRYDKLSSADNLPSEREIAETLRLAAQPIE</t>
  </si>
  <si>
    <t>MLIDPIELSRLLGQKYPPTEQQATVIQADLGPMLVVAGAGAGKTETMAARVVWLVANGLINPDQVLGLTFTRKAAQQLGKRINDRLGQLAGIPDIAALDPSGRLANRLRSAGPTTSTYDAFAGKLVGEFGLLLPVEPSSRIISQTELYRIAVQVVNEYEGELSMRHTTGHVVDTLLTLTAELDNHMVDERELKIESLLFAQLCEELPPAKRQRKKPNQKILGWQETQFHRIELLPLVTKLKDRLKDENLVTFGEQMSLAARLAVENPSVGKVLRNRYKVVMLDEYQDTSHAQRMLLRSLFAGGAVTAVGDPMQSIYGWRGATAANLNRFVTDFAIDPQEPAVKNELTISFRNPPEVLHLANAVATTVLGAPSDPNRPVQPLSSPPSAVAGDIQLGYFPTIADEREFVADTLAELYNNRDTAKPFTAAVLVRQNAHTGPIAKEFQRRGIPYEIVGINGLLDVPEVADMVAVATMLIRPTDSAAALRILGGPAVGLGVRDIQALARRAGELSGRATSGKATDSVDPAVKLGEEIAEVLAADAENIVGLTDAIADLGEPEKYSEEGYRRLGRLSSQLRRLRQTVAAGSSLPDLFAEIERVMGIRTEVLSRENPRLDGAVGTIHLDKLHQEVANFATIPNTTLSQLLDYFTEARCQESGLELGEVQVRNDRVQILTVHKAKGLEWNTVCVLHANNRDYDKTRASTWLTNPAMVPSTLRGDAAESGDTVGSPVLDTSWLENRAQLEAECAAHIEEFRQSLSEESTRLFYVAVTRAAQRLIVTASALDDNERDTEPCSNFLLIKRNASTDSIVAWHDPAEAAATDTSDEPSEVQQSPTGMFPKPTKTVDLLTGADLVRKAIAQQSVGDPIAFNQDNDLFQLWEKDVTALIEEYQRLQSDIVEVELSPELTATDIVALKQNPEQFARRQRRPVPFKPNRYAKRGTEFHSWLEQRFGAPTLLDESELPGMDEEITPGQLQELKDKFVAGQFADRTPMFVEQPFEVSIDGIVIRGRMDAVFRDESGWHIVDWKTGQLPSRADMRYLMMQLAVYRIAWAQLQGIDPDEIHASFYYVRYDKLSSADNLPSEREIAETLRLAAQPIE</t>
  </si>
  <si>
    <t>GC_00002888</t>
  </si>
  <si>
    <t>MKELFMDPRRVLKAFGAVIVGVIAYCVLVAPLVKEGSYSDVVRDTLASVGVGYCAAVVVVGALWLGVIAVINRRQQ</t>
  </si>
  <si>
    <t>MKELFMDPRRVLKAFGAVIVGVIAYCVLVAPLVKEGSYSDVVRDTLASVGVGYCAAVVVVGALWLGVIAVINRRKQ</t>
  </si>
  <si>
    <t>GC_00002889</t>
  </si>
  <si>
    <t>MSGALIIGLIVVVWLFVLAPLVLRGYRPIRRTNDAFEETRVVVAGGDTPTPPRKRPRFSAEDVRATDDADASVSAQDRAEDADRSDDTVELEGLPVADGLIDDPQPLFVSEKLTEVLAAAQETVNANRRAEDAHTEDAVVAYTEPNPAAAVELHEVSEHEAVEDADVDAELPYGDVDAVRSDEALEVVYDPNAESLFIEDIDSPPSTDTFAVVADAYDEIDAFELADESEPYYYDDAYMSPADFLDPDADYEFADDAFDDDSTLAAELSEEIAADEDLTDEDLAFAARRRGRGGYDPEVDAAVAMSRYQRRQRTLATLVGVVLISVVVGFVFGGWFWTSLVISATLTVLYLYALRRHVRAESALRTQRIRHMRRARLGVRNAVDEKLGIPERLRRPGAIVIELDDESPDFVNLDTFHSNFGHEEPEVWEDEYVDTRRVG</t>
  </si>
  <si>
    <t>MSGALIIGLIVVVWLFVLAPLVLRGYRPIRRTNDAFEETRVVVAGGDTPTPPRKRPRFSAEDVRATDDADASVSAQDRAEDADRSDDTVELEGLPVADGLIDDPQPLFVSEKLTEVLAAAQETVNANRRAEDAHTEDAVVAYTEPNPAAAVELHEVSEHEAVEDADVDAERPYGDVDAVRSDEALEVVYDPNAESLFIEDIDSPPSTDTFAVVADAYDEIDAFELADESEPYYYDDAYMSPADFLDPDADYEFADDAFDDDSTLAAELSEEIAADEDLTDEDLAFAARRRGRGGYDPEVDAAVAMSRYQRRQRTLATLVGVVLISVVVGFVFGGWFWTSLVISATLTVLYLYALRRHVRAENALRTQRIRHMRRARLGVRNAVDEKLGIPERLRRPGAIVIELDDESPDFVNLDTFHSNFGHEEPEVWEDEYVDTRRVG</t>
  </si>
  <si>
    <t>GC_00002890</t>
  </si>
  <si>
    <t>MFRMKITRALIVATTTALIATGTTAAYAAPNTGSADQATSAEQSLSSKQEEGSAQGNGLSSENNNTDLHHTAGVPGVTKNSSGSAEVKKLKVGDGSSKSEAWFERQNPTIQTAVLILGVMGVIGLVIGPLRVAVYNFFHI</t>
  </si>
  <si>
    <t>MFRMKITRALIVATTTALIATGTTAAYAAPNTGSADQATSAEQSLSSKPEEGSAQGNGLSSENNNTDLHHTAGVPGVTKNSSGSAEVKKLKVGDGSSKSEAWFERQNPTIQTAVLILGVMGVIGLVIGPLRVAVYNFFHI</t>
  </si>
  <si>
    <t>GC_00002891</t>
  </si>
  <si>
    <t>PF01470.22</t>
  </si>
  <si>
    <t>Pyroglutamyl peptidase</t>
  </si>
  <si>
    <t>K01304</t>
  </si>
  <si>
    <t>pyroglutamyl-peptidase [EC:3.4.19.3]</t>
  </si>
  <si>
    <t>Enzymes&gt;&gt;&gt;3. Hydrolases&gt;&gt;&gt;3.4  Acting on peptide bonds (peptidases)&gt;&gt;&gt;3.4.19  Omega peptidases&gt;&gt;&gt;3.4.19.3  pyroglutamyl-peptidase I|Peptidases and inhibitors&gt;&gt;&gt;Cysteine peptidases&gt;&gt;&gt;Family C15: pyroglutamyl peptidase I family</t>
  </si>
  <si>
    <t>MRILLTAFSPFNGATENTSLAVVTNLAELLPNHKTQVLELPVAFANSHKVAISTAKQFRPDIILSFGEDATRNSINVETQAYNQQQATIPDNDGFQPKGKAIIPGGIPTIATNFPIWPKAVVASLRQTPWPMELSANPGGFVCNHLAYHLYSSPFPTLFMHVPALHSGNDAATAAADGDVAGEVRGMEADTSTPPTVSDPADAVQKMAETVWMFVDKLS</t>
  </si>
  <si>
    <t>MRILLTAFSPFNGATENTSLAVVTNLAELLPNHKTQVLELPVAFANSHKVAISTAKQFRPDIILSFGEDATRNSINVETQAYNQQQATIPDNDGFQPKGKAIIPGGIPTIATNFPIWPKAVVASLRQTPWPMELSANPGGFVCNHLAYHLYSSPFPTLFMHVPALHSGNDAATAAADGDVAGEVRGMEADTSTPPTVSDPADAVQKIAETVWMFVDKLS</t>
  </si>
  <si>
    <t>GC_00002892</t>
  </si>
  <si>
    <t>MNQPTPVLSARQLTRRFRNTTTVNNVSFDIHPGQIVALVGPNGAGKTTTVKMCSTLLAPTSGTITVCGIDATRRRRQARRHIGIILGGETGFYQHASAKDNLLFFADVAGVPSRSRRSRVEETLAQVHLTDRMFDPVGELSRGMKQRLHIARGLLSRPQVLLFDEPTNGLDPEISVEIRALIRELATDGAGVLLTSHLLTEVAELSDTIHVLINGRIVVTGGVADIAERAGITAVTSFTTPLGAEPRLREFLATLTRYDSIAHVTCVRMATHHAGLISWCGVPTDVTSLADAVGLMVTDVMTRKPNLEESYLALVGQS</t>
  </si>
  <si>
    <t>MNQPNPVLSARQLTRRFRNTTTVNNVSFDIHPGQIVALVGPNGAGKTTTVKMCSTLLAPTSGTITVCGIDATQRRRQARQHISIILGGETGFYQHASVKDNLLFFADVAGVPSRSRRSRVKDALAQVRLTDRMFDPVGELSRGMKQRLHIARGLLSRPQVLLFDEPTNGLDPEISVEIRALIRELATDGAGVLLTSHLLTEVAELSDTIHVLIDGRIIVTGGVADIAERAGITAVTSFTTPLGTEPRLREFLATLTRYDSIAHVTCVRMAAHHAGLISWCGAPTDVSALADAVGLTVTDVMTRKPNLEESYLALVGQS</t>
  </si>
  <si>
    <t>GC_00002893</t>
  </si>
  <si>
    <t>COG0365</t>
  </si>
  <si>
    <t>Acyl-coenzyme A synthetase/AMP-(fatty) acid ligase (Acs) (PDB:4B2O) (PUBMED:14638756)</t>
  </si>
  <si>
    <t>MNLLSHLLEADAAKPRLTVYDEATDSRLDFSAVTLDNWAAKVGNMLIEEFDLDEDSRIAIDLPVSWQAVTIALGALAAHVDFTFGTTDDADVLFCSPDRVDASFTGDIALVTTDPFGRGVVETGGSVPDGVVDFGPTVRFYGDQFFGDTPALPALFDAAVIEPLAASRVLSAGWRDRASFDTNILAPLAAGGSVVVVSGLIDSARVEQIAKSERVTVTLLPI</t>
  </si>
  <si>
    <t>MNLLSHLLEADAAKPRLTVYDEATDSRLDFSAVTLDNWAAKVGNMLIEEFDLDEDSRIAIDLPVSWQAVTIALGALAAHVDFTFGTTDDADVLFCSPDRVDASFTGDIALVTTDPFGRGVVETGGSVPDGVVDFGPTVRFYGDQFFGDTPALPALFDAAVIEPLAASRVLSAGWRDRASFDTNILAPLAAGGSVVVVSGLIDSARVEQIAKSERVTVNLLPI</t>
  </si>
  <si>
    <t>GC_00002894</t>
  </si>
  <si>
    <t>MHVSSTLRQLWRTARKTPVTVALALISTLMVTLCDIVIPLITATAIDSATAADGGHSAGGVSITTVVVLLVVAALVRYLFQFGRRYTAGRLSNTVQHQLRVEILRSLQRLDGPGQDRLRTGQVVSRSISDLNLAQAMVAMMPLIVGHVLKIVITLGVMLWISPLLTLIAVVLLPLLAWLTMMSRPTLFAATWAAQQAVADLSTHVEETVSGIRVVKAFVQESREVATLRNAARVVYAQMMRAARLTARYRPLVQQIPNISLVLSIGVGGFLVLHGDMSIGVFVATSVYMVSLTAVVSMVAGMLVQLQLGMSSAARVFDLINIQPDTTAPPNPEPVPDGPLGIEVSGVDFTTNDQRVLSQCTMAVSPGETLVIVGPAAAGKTMLVQLLCGFYQPDSGSISLVDAAGRRTNYHSLDLADLRQAVACVFDEPFLYSATIRDNIDMGRGLTDDDIWAAARYAAIDRTIADLPNGLDTTVGEGGLTLSGGQRQRIALARALAGNPRILILDDATSAIDASTERTIFHNLTCHFADTTVIAIAHRHSTLDIADRVGLMEDGALTATGDLATMRQNHRFSHLMDLNFPSATPTGDPIPFDDGPTEPGVDKLWPTVAATDARLTMSRTAMRTAAAMAGANPAAGGRGTTRGNMASTTMPATKELLARVDRLPPATATPKTITHSPTAKVTAGSLFYSVRWLLVLVVGLFTASVLTGLIIPSLIRHAIDHGVALGDETTMWRVTLVGLGVVLITWALTVATTIFTSLTGERLLYDLRIRSYTHLMRLPMRYFEATNTGTIMTRMTTDIDALNGFLQSGFTSAVVAITTLVGILILLAVTSIPLSLIALVGVPVIAAGTVVFRRVSTRLYARAREEISEVNALFHEAIAGLRTTQMHGMADKNLHRFTQVAARYRTTRIHTQTAVAIYFPGINAVSELISAAVLAVGVSLVAQGHLPTGVLVAFLLYLDRLYTPIQHLSQVFDSYGQAQVGFRRISALLAEPTEQAKPIESNPENTNAAVDARGPIRFDRVGFSYPGAAQPALRTVTFDIAPGSTVAVVGPTGAGKSTIVKLIERFYEPTEGVIRANTTDIKDLPMNGWRSAVGFVPQEAHLFTGTIAENIAYGRPTASLEEITDAARRVGALHAIAAIPGGFNARIGERGRGLSSGQRQLVALARAEMIHPQLLLLDEATATLDPATEKTIVAASNRVTQARTAVVVAHRLATARRADLILVVSDGVIVESGTHELLLSFGGSYATMWQGKTP</t>
  </si>
  <si>
    <t>MHVSSTLRQLWRTARKTPVTVALALISTLMVTLCDIIIPLITATAIDSATAADGGHSAGGVSITTVVVLLVVAALVRYLFQFGRRYTAGRLSNTVQHQLRVEILRSLQRLDGPGQDRLRTGQVVSRSISDLNLTQAMVAMMPLIVGHVLKIVITLGVMLWISPLLTLIAVVLLPLLAWLTMMSRPTLFAATWAAQQAVADLSTHVEETVSGIRVVKAFVQESREVATLRNAARVVYAQMMRAARLTARYRPLVQQIPNISLVLSIGVGGFLVLHGDMSIGVFVATSVYMVSLTAVVSMVAGMLVQLQLGMSSAARVFDLINIQPDTTTPPNPEPVPDGPLGIEVSGVDFTTNDQRVLSQCTMAVSPGETLVIVGPAAAGKTMLVQLLCGFYQPDSGSISLVDAAGRRTDYHSLDLANLRQAVACVFDEPFLYSATIRDNIDMGRGLTDDDIWAAARHAAIDRTIADLPNGLDTTVGEGGLTLSGGQRQRIALARALAGNPRILILDDATSAIDASTERTIFHNLTCHFADTTVIAIAHRHSTLDIADRIGLMEDGALTATGDLATMRQNHRFSHLMDLNFPSAAPAGDPIPFDDGPTEPGVDKLWPTVATMDARLTMSRTAMRTAAAMAGANPAAGGRGTTRGNMASTTMPATKELLARVDRLPPATATPKTITHSPTAKVTAGSLFYSVRWLLVLVVGLFTASVLTGLIIPSLIRHAIDRGVALGDETTMWRVTLVGLGVVLITWALTVATTIFTSLTGERLLYDLRIRSYTHLMRLPMRYFEATNTGTIMTRMTTDIDALNGFLQSGFTSAVVAITTLVGILILLAVTSIPLSLIALVGVPVIAAGTVVFRRVSTRLYARAREEISEVNALFHEAIAGLRTTQMHGMADKNLHRFTQVAARYRTTRIHTQTAVAIYFPGINAVSELISAAVLAVGVSLVAQGHLPTGVLVAFLLYLDRLYTPIQHLSQVFDSYGQAQVGFRRISALLAEPTEQAKPIESNPENTNAAVDARGPIRFDRVGFSYPGAAQPALRTVTFDIAPGSTVAVVGPTGAGKSTIVKLIERFYEPTEGVIRANTTNIKDLPMNEWRSAVGFVPQEAHLFTGTIAENIAYGRPTASQEEITDAARRVGALHAIAAIPGGFNARIGERGRGLSSGQRQLVALARAEMIHPQLLLLDEATATLDPATEKTIVAASNRVTQARTAVVVAHRLATARRADLILVVSDGVIVESGTHELLLSFGGSYATMWQGKTP</t>
  </si>
  <si>
    <t>GC_00002895</t>
  </si>
  <si>
    <t>MKHQTSARWRISYWIIATVLLALLAVILTTRTFLFSRIEEDANATVEQEVSEFRAFVESGTDPQTAAPFTTSRRMMEVYLSRQIVSNNQAIFGMVDGQLIQMDLSGNSGSHVREVQSNSPLVSSVLQSDNPSGVYKDSELGQVHWGRVAVTTSGPHGQPESHQDQGQFKYQGSESVFVVAVFTEPSRSEVSGQMGSIALVGAGGLAVTSFIAWLVAGQILAPLRDLRRVAASITDSDLSQRVPVVGHDEIAQLAQTFNGMLDRLERSYRDQRQFVDDAGHELRTPITVIRGQLELLNDASYEERERSISLTIDELDRMARIVNDLLTLAIADSADFVHPTMVDAAELTIDIEDKTHVMATRTIRLTAVAEGMVYVDEQRITQAMLELFNNAIRHTTDNDAIEIGSAFIGQGENRILRLWIRDFGPGIPADVLPGLFERFSRGRGSIKRHNGAGLGLSIVRAIADAHDGSAWVESSEGYGATFGLDLPAGRPYDGDDQGTVS</t>
  </si>
  <si>
    <t>MKHQTSARWRISYWIIATVLLALLAVILTTRTFLFSRIEEDANATVEQEVSEFRAFVESGTDPQTAAPFTTSRRMMEVYLSRQIVSNNQAIFGMVDGQLIQMDLSGNSGSHVREVQSNSPLVSSVLQSDNPSGVYKDSELGQVHWGRVAVTTSGPHGQPESHQDQGQFKYQGSESVFVVAVFTEPSRSEVSGQMGSIALVGAGGLAVTSFIAWLVAGQILAPLRDLRRVAASITDSDLSQRVPVVGHDEIAQLAQTFNGMLDRLERSYRDQRQFVDDAGHELRTPITVIRGQLELLNDASYEERERSISLTIDELDRMARIVNDLLTLAIADSADFVHPTMVDAAELTIDIEDKTHVMATRTIRLTAVAEGMVYVDEQRITQAMLELFNNAIRHTTDNDAIEIGSAFIGQGENRILRLWIRDFGPGIPADVLPGLFERFSRGRGSIKRHNGAGLGLSIVRAIADAHDGSAWVESSEGYGATFGLDLPAGRPHDGDDQGTVS</t>
  </si>
  <si>
    <t>GC_00002896</t>
  </si>
  <si>
    <t>MTEQDKPQDTTSPTPEPSKERDRLAAYRGDLAGAERQASQVVSLGRQQVFMGLGMVGFFLSLFLPHSGKVLGLDVLFYSDTAQQYVTTVPERIYMWLALIAAVLLNAATLVTRSALIAYLTWFFSGAAMFYSVFAIWMRQSRPPTEPGVGPSFGLIIGTVSVSVVAAALSFVVLRRNSFQAALAEARREEKHHDHVAAVQEKILADEQATAAFVDDRRSRAAQRRAVGRQAAGGEQPPAENQS</t>
  </si>
  <si>
    <t>MTEQDKPQDTTSPTPEPSKERDRLAAYRGDLAGAERQASQVVSLGRQQVFMGLGMVGFFLSLFLPHSGKVLGLDVLFYSDTAQQYVTTVPERIYMWLALIAAVLLNAATLVTRSALIAYLTWFFSGAAMFYSVFAIWMRQSRPPTEPGVGPSFGLIIGTVSVSVVAAALSFVVLRRNSFQAALAEARREEKHHDHVAAVQEKILADEQATAAFVDDRRSRAAQRRAAGRQAAGGEQPPAENQS</t>
  </si>
  <si>
    <t>GC_00002897</t>
  </si>
  <si>
    <t>PF01965.30</t>
  </si>
  <si>
    <t>DJ-1/PfpI family</t>
  </si>
  <si>
    <t>K05523</t>
  </si>
  <si>
    <t>D-lactate dehydratase / protein deglycase [EC:4.2.1.130 3.5.1.124]</t>
  </si>
  <si>
    <t>COG0693</t>
  </si>
  <si>
    <t>Protein/nucleotide deglycase, PfpI/YajL/DJ-1 family (repair of methylglyoxal-glycated proteins and nucleic acids) (YajL) (PDB:5SY4) (PUBMED:19028889;28596309;26678554)</t>
  </si>
  <si>
    <t>ko00001|ko01000|ko01000|ko01002</t>
  </si>
  <si>
    <t>KEGG Orthology (KO)&gt;&gt;&gt;09100 Metabolism&gt;&gt;&gt;09101 Carbohydrate metabolism&gt;&gt;&gt;00620 Pyruvate metabolism [PATH:ko00620]|Enzymes&gt;&gt;&gt;3. Hydrolases&gt;&gt;&gt;3.5  Acting on carbon-nitrogen bonds, other than peptide bonds&gt;&gt;&gt;3.5.1  In linear amides&gt;&gt;&gt;3.5.1.124  protein deglycase|Enzymes&gt;&gt;&gt;4. Lyases&gt;&gt;&gt;4.2  Carbon-oxygen lyases&gt;&gt;&gt;4.2.1  Hydro-lyases&gt;&gt;&gt;4.2.1.130  D-lactate dehydratase|Peptidases and inhibitors&gt;&gt;&gt;Cysteine peptidases&gt;&gt;&gt;Family C56: PfpI endopeptidase family</t>
  </si>
  <si>
    <t>MSTANGATNDRTPTPDPAEDNAFFPSPYSLSQYVPARTDFDGVRHAGEYTGGRWKILMIGTEERYMMMRNGTFFSTGNHPVEMLLPLHHMHAAGFDVDIATLGGNPVKLELWAFPSDDPTIAETYEKFKPKLKNPLSLQDIAANLGEDSDYLAVFIPGGHGAMNDLPHSPVMQKVLDWALDDDRLIITLCHGPAALAASGLNRDASRFDGYSICVFPDVLDRGANRDIGYIPGELKWYLGESLEKQGITILNQDMTGAVHRDRNLLTGDSPLASNQLGIMSAEALLEQAAKRDK</t>
  </si>
  <si>
    <t>MSTANGATNDRTPTPDPAEDNAFFPSPYSLSQYVPARTDFDGVRHAGEYTGGRWKILMIGTEERYMMMRNGTFFSTGNHPVEMLLPLHHMHAAGFDVDIATLGGNPVKLELWAFPSDDPTIAETYEEFKPKLKKPLSLQDVAANLGEDSDYLAVFIPGGHGAMNDLPHSPVMQKVLDWALDDDRLIIALCHGPAALAASGLNRDASRFDGYSICVFPDALDRGANRDIGYIPGELEWYVGEALEKQGFTILNQDMTGAVHRDRNLLTGDSPLASNQLGIVSAEALLEQAAKRDK</t>
  </si>
  <si>
    <t>GC_00002898</t>
  </si>
  <si>
    <t>PF00494.24</t>
  </si>
  <si>
    <t>Squalene/phytoene synthase</t>
  </si>
  <si>
    <t>K02291</t>
  </si>
  <si>
    <t>15-cis-phytoene synthase [EC:2.5.1.32]</t>
  </si>
  <si>
    <t>COG1562</t>
  </si>
  <si>
    <t>Phytoene/squalene synthetase (ERG9) (PDB:3WEK)</t>
  </si>
  <si>
    <t>KEGG Orthology (KO)&gt;&gt;&gt;09100 Metabolism&gt;&gt;&gt;09109 Metabolism of terpenoids and polyketides&gt;&gt;&gt;00906 Carotenoid biosynthesis [PATH:ko00906]|Enzymes&gt;&gt;&gt;2. Transferases&gt;&gt;&gt;2.5  Transferring alkyl or aryl groups, other than methyl groups&gt;&gt;&gt;2.5.1  Transferring alkyl or aryl groups, other than methyl groups (only sub-subclass identified to date)&gt;&gt;&gt;2.5.1.32  15-cis-phytoene synthase|Prenyltransferases&gt;&gt;&gt;Terpene biosynthesis&gt;&gt;&gt;Squalene/phytoene synthase</t>
  </si>
  <si>
    <t>MHSSTLDPDADLYLRRYDRMAFRAARQVISSYSTSFGLATRMLGKQQRTDIRNLYAMVRIADEIVDGTTKAAGFDIPATTALLEEYERQVLAAPLRRFHPDPILHAYAITARRCKFNPEHIRAFFASMRTDLQKSMHNAASYKSYIYGSAEVIGLLCVSVFLAGRKVETWRRARMATGAQALGAAFQKINFLRDYAEDHATLGRQYFTLELTEATKKALIADIRTDLATAETAIGLLPPSSRTGVQLATQFFTKLTNQLDHTDTCSIRNTRVRLSPTTRARIIAQVCGGSALSTMARIPGISKITQRS</t>
  </si>
  <si>
    <t>MHSSTLDPDADLYLRRYDRMAFRAARQVISSYSTSFGLATRMLGKQQRTDIRNLYAMVRIADEIVDGTTKAAGFDIPATTALLEEYERQVLAAPLRRFHPDPILHAYAITARRCKFDPEHIRAFFASMRTDLQKSMHNAASYKSYIYGSAEVIGLLCVSVFLAGRKVETWRRARMATGAQALGAAFQKINFLRDYAEDHATLGRQYFTLELTEATKKALIADIRTDLATAETAIGLLPPSSRTGVQLATQFFTKLTNQLDHTDTRTIRNTRVRLSPTTRARIIAQVCGGSALSTMARIPGISKITQRS</t>
  </si>
  <si>
    <t>GC_00002899</t>
  </si>
  <si>
    <t>MSRKRTFMAAILAPILGAALCVTPTAYAKESHMEAQFKCDITTRGLSNFMAQQADGPQSNDKFKFNFTVDAPEQVTVGEEFDYTIKGGFVGLPKSFPVAGVATVNIKTVEQARLFVDLPDNIEVTNIAAAGGQRGIKVEKLTGKNRLRVGGNVDSDRMNSRDSNTIKLATGDKGMVGVEKNGKVGFDLPTITVTARATKAGVIQPAFPKVSSPDTHHYPADQSLLSLVAQAKANAGWFGSYDVTALTRCTVDKSNGFPKVRAVDAPKPQPALVTITSTPEVGQVGQASTFTFAVEGTDGKPLANTQVKATIGDETETLTTDANGVATRSFTPIAPGAVQVTAVAGDQDEVLTYQVNPKPEPTTTEPTTSESEPTTEPTTEPTTEPTTTTTEPTTAEPTTSESEPTTEPTTTTKSTEPTESTETTTETTEPSTPQEPGDPQQPSYKGKSLWQILSGIFAVGIVGILAWLGLANLGIVPAHQ</t>
  </si>
  <si>
    <t>MSRKRTFMAAILAPILGAALCVTPTAYAKESHMEAQFKCDITTKGLSGFMAQQADGPQSNDKFKFNFTVDAPEQVTVGEEFDYTIKGGFVGLPKSFPVAGVATVNIKTVEQARLFVDLPDNIEVTNIAAAGGQRGIKVEKLTGKNRLRVGGNVDSDRMNSRDSNTIKLATGDKGMVGVEKNGKVGFDLPTITVTARATKAGVIQPAFPKVSSPDTHHYPADQSLLSLVAQAKANAGWLGSYDVTALTRCTVDKSNGFPKVRAVEVPKPQPALVTITSTPEVGQVGQASTFTFAVEGTDGKPLANTQVKTTIGDETETLTTDANGVATRSFTPTAPGAVQVTAVAGDQDEVLTYQVNPKPEPTTTEPTTSESEPTTEPTTEPTTEPTTTTTEPTTAEPTTSESEPTTEPTTMTKSTEPTESTETTTETTEPSTPQEPGDPQQPSYKGKSLWQILSGIFAVGIVGILAWLGLANLGIVPAHQ</t>
  </si>
  <si>
    <t>GC_00002900</t>
  </si>
  <si>
    <t>MTAELPPLDPTVAAAALELLPPRLQKRAEKLAADTSEWEINTDNGLSVTMGQATVTLIDNADGQASLNCDCLLAPKCAHIGAVCVASPVGEATSANSGDVIEAVDAGESSDADPSDNSAVPRSDAAWAKELPSPSDIMELVSNVKDVIDDIVEFGLGQLSIARHTQLLACVQKARVTGLPRLERALTALATNSQRIRLGKPVGRNDATINTLRVAFTCFLLERNPADREAIGQARRAYTTLDTQSGAGAGMFTPLYAEPIVASSGFAGVTVALATTSGDLYSVTKTPPGQASDVAGIWHGSLRLGDLHCNHAQLARKTLLITGGRSSSDGRIGSGRGVRAALGKDVTLDMVKAIPLKDGLALIEGTVVSIGLKGVVLETTNAGTVTLNFSVSAKKTELPNFIEACQRHLSYGNTLVFTCLVRDGMVLCVWPMNEVLSLPKDYGGRIFPGLDVVTPPSLTNTYKDSGSVFDLDHPIERGISDIVEPWLHRVVFGGAQAINSRVSEAQRDAVHLEQLGAPYAATLLEKFTHEPQRSTHSLALAAYIRKI</t>
  </si>
  <si>
    <t>MTAELPPLDPTVAAAALELLPPRLQKRAEKLAADTSEWEINTDNGLSVTMGQATVTLIDNADGQASLNCDCLLAPKCAHIGAVCVASPVGEATSANSGDVIEAVDAGESSDADPSDNSAVPRSDAAWAKELPSPSDIMELVSNVKDVIDDIVEFGLGQLSIARHTQLLACVQKARVTGLPRLERALTALATNSQRIRLGKPVGRNDATINTLRVAFTCFLLERNPADREAIGQARRAYTTLDTQSGAGAGMFTPLYAEPIVASSGFAGVTVALATTSGDLYSVTKTPPGQASDVAGIWHGSLRLGDLHCNHAQLARKTLLITGGRSSSDGRIGSGRGVRAALGKDVTLDMVKAIPLKDGLALIEGTVVSIGLKGVVLETTNAGTVTLNFSVSAKKTELPNFVEACQRHLSYGNTLVFTCLVRDGMVLCVWPMNEVLSLPKDYGGRIFPGLDVVTPPSLTNTYKDSGSVFDLDHPIERGISDIVEPWLHRVVFGGAQAINSRVSEAQRDAVHLEQLGAPYAATLLERFTHEPQRSTHSLALAAYIRKI</t>
  </si>
  <si>
    <t>GC_00002901</t>
  </si>
  <si>
    <t>MKRTFIALATALAVGAGSLSPVYADVRAKT--SETQAPSDNKLSGDVKDKSSGVIDSKKMEKSTQDLLDKQDGSMKSSAGQDGKNSSEGTSSKNKKGSSPTGSSPIDLLLISGVVGLLVVKGLQTLRLDPATFPPELQGLIRFINSGDPVHLHSS</t>
  </si>
  <si>
    <t>MKRTFIALATALAVGAGSLSPVYADVRVPNSPSETQTPSDNKLSGDVKDKSSGVIDSKKMEKSTQDLLDKQDGSMKSSAGQDGKNSSEGTSSKNKKGSSPTGSSPIDLLLISGVVGLLVVKGLQTLRLDPATFPPELQGLIRFINSGDPVHLHSS</t>
  </si>
  <si>
    <t>GC_00002902</t>
  </si>
  <si>
    <t>MMPSEERLRVDVTSPYISMLFPALELIIITGITWIIIGYMDSDKAAWFLDTNIRNLMVGIWAALSLWRFVLPTIRLRNRRIMVNDERIIIHSAALRPTTHTIPLKFIRAVNRKRNELILTVIGQPQPVVLRDVAHSRRVREEMLAAMDRIPARQEQASYF</t>
  </si>
  <si>
    <t>MMPSEERLRVDVTSPYISMLFPALELIIITGITWIIIGYMDSDKAAWFLDTNIRNLMVGIWAALSLWRFVLPTIRLRNRRIMVNDERIIIHSATLRPTTHTIPLKFIRAVNRKRNELILTVIGQPQPVVLRDVAYSRRVQEEMLAAMDRTPARQEQASYF</t>
  </si>
  <si>
    <t>GC_00002903</t>
  </si>
  <si>
    <t>K16703</t>
  </si>
  <si>
    <t>colanic acid/amylovoran/stewartan biosynthesis glycosyltransferase WcaL/AmsK/CpsK [EC:2.4.-.-]</t>
  </si>
  <si>
    <t>KEGG Orthology (KO)&gt;&gt;&gt;09100 Metabolism&gt;&gt;&gt;09107 Glycan biosynthesis and metabolism&gt;&gt;&gt;00543 Exopolysaccharide biosynthesis [PATH:ko00543]|Glycosyltransferases&gt;&gt;&gt;Others&gt;&gt;&gt;Other glycosyltransferases</t>
  </si>
  <si>
    <t>MTRIGYVLKVYPRFSETFIVTEILAREAHGDDLSIYALRPTTDARFHPELARVQAEVTWIPRPALAIGLWAELVNIIKHPTLRDNFLRILPELVELPADEVAQGVALAQSVHNDGITHLHAHFASLPGRMAWMASKITGIPYTLTTHAKDIFHKSVDSTWLRRICRDADRVIAISQFNKTYLDEALAGTGATISLRYNALELARFPFHEPLPVSNPLKIVAIGRLVPKKGFSDLINAVAKMRDKGYQIDLSIGGAGELYSELQAQILEERLEESARLLGPLNQQEVRNLIKNSHVFVAPCVPAADGNIDGLPTVVLEAMASGIPVIATSVTGLPEVIRTGETGILLEPNDVDGLAAALEDVIKGNVDITALTHNARQLIEEHFDSRQQAAQLSEWQQSTKAEG</t>
  </si>
  <si>
    <t>MTRIGYVLKVYPRFSETFIVTEILAREAHGDDLSIYALRPTTDARFHPELARVQAEVTWIPRPALAIGLWAELVNIIKHPTLRDNFLRILPELVELPADEVAQGVALAQSVHNDGITHLHAHFASLPGRMAWMASKITGIPYTLTTHAKDIFHKSVDSTWLRRICRDADRVIAISQFNKTYLDEALAGTGATISLRYNALELARFPFHEPLPVSNPLKIVAIGRLVPKKGFSDLINAVAKMRDKGYQIDLSIGGAGELYSELQAQILEERLEESARLLGPLNQQEVRNLIKNSHVFVAPCVPAADGNIDGLPTVVLEAMASGIPVIATSVTGLPEVIRTGDTGILLEPNDVDGLAAALEDVIKGNVDITALTHNARQLIEEHFDSRQQAAQLSEWQQSTKAEG</t>
  </si>
  <si>
    <t>GC_00002904</t>
  </si>
  <si>
    <t>MTSPYNSGDPNFQQHDSIFGPPQQQPGGPGPMPQQPQPAMNAGMPQHVQQVVNVNLTAAQVQGMAGAEPVQHVKSFGVYMMCLAFGGYIGAHHYYTGNIGRGLLYTCTFGLFMFGWLGDLVNARRNFNREMASQGILSAQYRS</t>
  </si>
  <si>
    <t>MTSPYNSGDPNFQQHDSIFGPPQQQPGGPGPMPQQPQPAMNAGMPQHVQQVVNVNLTAAQVQGMAGAEPVQHVKSFGVYMMCLAFGGYIGAHHYYTGNIGRGLLYTCTLGLFMFGWLGDLVNARRNFNREMASQGILSAQYRS</t>
  </si>
  <si>
    <t>GC_00002905</t>
  </si>
  <si>
    <t>MFLFVSLRPAGELYHQVAVTEFADFVRATGVVDCEHRIIAGVSDEVGDVSGFAGVIVGGSSLNVTNDAYDAYQVHVHRQLRLLVDAATPVFFICFGAGWLADATGGRVDRSHAESSGGSVVELLPAALSDPVCGGLPDRFMGLTGHTESIAEVGPGVTVLASGPTCPVQLFRWGGNKWASQFHCEMDAAAMEARMRFFIDYGYFSRADFASIVASLGSVDVRWAHRVLQNFISYCLSERVADVAVFAS</t>
  </si>
  <si>
    <t>MFLFVSLRPAGELYHQVAVTEFADFVRATGVVDCEHRIIAGVSDEVGDVSRFAGVIVGGSSLNVTNDAYDAYQVHVHRQLRLLVDAATPVFFICFGAGWLADATGGRVDRSHAESSGGSVVELLPAALSDPVCGGLPDRFMGLTGHTESIAEVGPGVTVLASGPTCPVQLFRWGGNKWASQFHCEMDAAAMEARMRFFIDYGYFSRADFASIVASLGSVDVRWAHRVLQNFISYCLSERVADVAVFAS</t>
  </si>
  <si>
    <t>GC_00002906</t>
  </si>
  <si>
    <t>PF14067.11</t>
  </si>
  <si>
    <t>LssY C-terminus</t>
  </si>
  <si>
    <t>M|I</t>
  </si>
  <si>
    <t>Cell wall/membrane/envelope biogenesis|Lipid transport and metabolism</t>
  </si>
  <si>
    <t>COG0586|COG0671</t>
  </si>
  <si>
    <t>Membrane integrity protein DedA, putative transporter, DedA/Tvp38 family (DedA) (PUBMED:24312110;25917916)|Membrane-associated phospholipid phosphatase (PgpB) (PDB:1D2T)</t>
  </si>
  <si>
    <t>MSPKVREDQVRRPRASIILNAAFFLIATLLAGWLALLLLTASWRIDWQHLLLLIPFWVVTAYLVLPRVHMMLTQIYVPGYFIGRARTSDGLLGDPINLAFDGTAKEVHQAMTKAGWTLADDVTFTSSWGIIVSSLFRRSYPAAPVSPLLVFGRVQCLAYQQEVEDNASQRHHVRLWRCPDGWLLPGGKRVDWIAAGTYDRSVGLSLFTLQVTHKIDANIDIERDYIVHSLQHANPEAKVTIVENFSTGYHSRNGGGDRVATDGHLPIVDLDAVALSPNLVIPEGVERAAYGYSRKEPGGPVKIDPDAVDDNYVPVLHRPVTLTAGVACVVLLALFSFRNDVVSAVGFFEGTMPFPWAWAAVVAAIPNAVLLVGCWFTWKGSNRTRLILMAFVLLEVFSDRHLISTNPSDIQYVLFKDTLPLNILALLALSSTSVQQWVYRRRTLVHGQY</t>
  </si>
  <si>
    <t>MSPKVREDQVRRPRASIILNAAFFLIATLLAGWLALLLLTASWRIDWQHLLLLIPFWVVTAYLVLPRVHMMLTQIYVPGYFIGRARTSDGLLGDPINLAFDGTAKEVHQAMTKAGWTLADDVTFTSSWGIIVSSLFRRSYPAAPVSPLLVFGRVQCLAYQQEVEDNASQRHHVRLWRCPDGWLLPGGKRVDWIAAGTYDRSVGLSLFTLQVTHKIDANIDIERDYIVHSLQHANPEAKVTIVENFSTGYHSRNGGGDRVATDGHLPIVDLDAVALSPNLVIPEGVERAAYGYSRKEPGGPVKIDPDAVDDNYVPVLHRPVTLTAGVACVVLLALFSFRNDVVSAVGFFEGTMPFPWAWAAVVAAIPNAALLVGCWFTWKGSNRTRLILMAFVLLEVFSDRHLISTNPSDIQYVLFKDTLPLNILALLALSSTSVQQWVYRRRTLVHGQY</t>
  </si>
  <si>
    <t>GC_00002907</t>
  </si>
  <si>
    <t>MIAIEFRKLRHLKIAPMVLGMLFLLCLFNIGSFGASRIKDLAAELSGIGMIQAFLVPILIATITTRIVEIEHSGGGWRSFSLIGAPPGTLCRTKFAILTIILIPFTLVEILVPLAFYLSAGGTNFKASAWVSYILCVIIMNLLTCMVHIILAHRYDNQLVSIGVGTLGAFIAMFSFLLPKYITRFIPWAYYSLILPATASSETHSLVYTNPGILTYLCFTTLTILIAGGFYYHTTQLNKGES</t>
  </si>
  <si>
    <t>MIAIEFRKLRHLKIAPMVLGMLFLLCLFNIGSFGASRIKDLAAELSGIGMIQAFLVPILIATITTRIVEIEHSGGGWRSFSLIGAPPGTLCRTKFAILTIILIPFTLVEILVPLAFYLSAGGTNFKASAWVSYILCVIIMNLLTCMVHIILAHRYDNQLVSIGVGTLGAFIAMFSFLLPRYITRFIPWAYYSLILPATASSETHSLVYTNPGILTYLCFTTLTILIAGGFYYHTTQLNKGES</t>
  </si>
  <si>
    <t>GC_00002908</t>
  </si>
  <si>
    <t>MTTARSLTTLSGVISAVVVAALGFYGGWQRRWMSDDGLIVLRTVRNLLAGNGPVFNAGERVETNTSTLWQYIIYIGALISGSRLETIALWAALVFTTVALFIAAVATAKLYQGNNRLLLLPFGGILYISLPPARDFATSGLEWGLSLLWIATWWFLMVQWAEDAKLRWGIKYSYLLAFCSGLSWLVRPELALYGGLSGLMLLIMDRKNWWKILLAAIPVPLAYQVFRMGYYGLLVPHTAVAKSASGSQWGDGWFYLMDFVTPYHLWLGVLIAAAAAGLRVWNATREASISVNRRTVVIGLTCGAALIHFLYVLRVGGDFMHGRMLLLPLFTLLLPVSVVVIDRQRIPTTVAAAGLFIAGMGWSFATVLGGHPYQLPEGDEAPLRIVDERIFWQLATYRDQPTRYAEDFLTARNMNNFVPMLERGRAAHDAQLFQIRLSQHPLVLSWEPRPRTTEHTDLADMPLSLTMINLGMTSMNAPLDVRVLDNMGLANPLAGRQPRVVNGRVGHDKNLPLEWQVADSAVPLDAVPSWVDKAYVKRAREILYTPEYQKLFASYRSPLTFKRFLANIKFSLGAGRTLQFHEDPAAYQGPLPVVDPLPINWPRDIKLDPVR</t>
  </si>
  <si>
    <t>MTTARSLTTLSGVISAVVVAALGFYGGWQRRWMSDDGLIVLRTVRNLLAGNGPVFNAGERVETNTSTLWQYIIYIGALISGSRLETIALWAALVFTTVALFIAAVATAKLYQGNNRLLLLPFGGILYISLPPARDFATSGLEWGLSLLWIATWWFLMVQWVEDARLRWGIKYSYLLAFCSGLSWLVRPELALYGGLSGLMLLIMDRKNWWKILLAAIPVPLAYQVFRMGYYGLLVPHTAVAKSASGSQWGDGWFYLMDFVTPYHLWLGVLIAAAAAGLRVWNATREASISVNRRTVVIGLTCGAALIHFLYVLRVGGDFMHGRMLLLPLFTLLLPVSVVVIDRQRIPTTVAAAGLFIAGMGWSFATVLGGHPYQLPEGDEAPLRIVDERIFWQLATYRDQPTRYAEDFLTARNMNNFVPMLEQGRAAHDAQLFQIRLSQHPLVLSWEPRPRTTEHTDLADMPLSLTMINLGMTSMNAPLDVRVLDNMGLANPLAGRQPRVVNGRVGHDKNLPLEWQVADSAVPLDAVPSWVDKAYVKRAREILYTPEYQKLFASYRSPLTFKRFLANIKFSLGAGRTLQFQEDPAAYQGPLPVVDPLPINWPRDIKLDPVR</t>
  </si>
  <si>
    <t>GC_00002909</t>
  </si>
  <si>
    <t>MSSDRVPDFIWRDVNQQKGLKRHLLGVGERVARAALAESRKHGGKANYSVRYSVRPRGRAQVQVFSDNRAEEYGVEDTPRIGALRRVIKRGGY</t>
  </si>
  <si>
    <t>GC_00002910</t>
  </si>
  <si>
    <t>MPIEDVELLDELEMRADVEALRQARAEDDGTRISLEEFLAEES</t>
  </si>
  <si>
    <t>MPIEDAELLDELEMRADVEALRQARAEDDGTRISLEEFLAEES</t>
  </si>
  <si>
    <t>GC_00002911</t>
  </si>
  <si>
    <t>MTTLLLDVDGTLIDSYPGIRASFTATLRDLGTPIPDEAWLRTIPGPPIEHTFTRLGLTPAEARVAKGMYREHYELSGWLDSSLYPEWPETLAEWKADGHTLCVATSKNEMSAKTMLRNFGIEQYFDFIAGAQEYGPRATKADVIQYVIDSMNLPTDGSDMLMIGDRMHDIEGATPFGIPTVLVSWGYGSPDEWQAACRTASTMTELKGIVHDFNQSPHSFQPRPLTNESNDEPGEAPERRGWGYNTEQS</t>
  </si>
  <si>
    <t>MTTLLLDVDGTLIDSYPGIRASFTATLRDLGTPIPDEAWLRTIPGPPIEHTFTRLGLTPAEARVAKGMYREHYELSGWLDSSLYPEWPETLAEWKADGHTLCVATSKNEMSAKTMLRNFGIEQYFDFIAGAQEYGPRATKADVIQYVIDSMNLPTDGSDMLMIGDRMHDIEGATPFGIPTVLVSWGYGSPDEWQAACRTASTMTELKGIVHDFNQSPHSFQPRPLTNESDDEPGEAPERRGWGYNTEQS</t>
  </si>
  <si>
    <t>GC_00002912</t>
  </si>
  <si>
    <t>MPDIQPQRELPLRGVAMILISVALLLAMWGIYSMTGGKSAKVHNAASTDSATASVVPAQPAAPAGPVTSAPGVPAPSSGAPAPASAPAPAGAAASGAAAPGAPSGATAGTAGAAGASTSAGDKSAVTVHVLNNSTIQGLAAKAKEQLTRQGYRVGQVGNYSRSVVPQNTVYYTDNEQQARELAEKVGGVAQQRPADLPAETAGPGSLVVVLATSFN</t>
  </si>
  <si>
    <t>MPDIQPQRELPLRGVAMILISVALLLAMWGIYSMTGGKSAKVHNAASTDSAAASVAPAQPAAPAGPVTSAPGVPAPSSGAPAPAS--APAGAAASGAVAPGAPSGATAGTAGAAGASTSAGDKSAVTVHVLNNSTIQGLAAKAKEQLTRQGYRVGQVGNYSRSVVPQNTVYYTDNEQQARELAEKVGGVAQQRPADLPAETAGPGSLVVVLATSFN</t>
  </si>
  <si>
    <t>GC_00002913</t>
  </si>
  <si>
    <t>MTQQTLTPRTPNLVWGIIDISDMPKRFRLDVEQLFVEYLPSPAPSEDTRDYAAIDALSAEWFTQWRRSRSNPGTVSCRQTLSAHPAELEELEHALAKFAYEQGFTATVRRF</t>
  </si>
  <si>
    <t>MTQQTLTPRTPNLVWGIIDIADMPKRFRLDVEQLFVEYLPSPAPSEDTRDYATIDALSAEWFTQWRRSRSNPGTVSCRQTLSAHPAELEELEHALAKFAYEQGFTATVRRF</t>
  </si>
  <si>
    <t>GC_00002914</t>
  </si>
  <si>
    <t>MNFTKILGVVSLALILAACSKQAEEQPTPPPAAVQENLPKQAVSPDAAACSQAVGVDKSAACTKLADLYAKHGVTTVTTQPRGLETMGNNTWNIDVNAAFEANGTQQSVPVKLLLEKADTETGWKVREDGITALHDTLDMLLSK</t>
  </si>
  <si>
    <t>MNFTKTLGVVSLALILAACSKQAEEQPTPFFANVRENFPKQAVSPDAAACSQAVGVDKSAACTKLADLYAKHGVTTVTTQPRGLETMGNETWNVDMNIAFEANGTQYSVPVKLLLEKADTETGWKVREDGITALHDTLDMLLSK</t>
  </si>
  <si>
    <t>GC_00002915</t>
  </si>
  <si>
    <t>MVDMTESDNMFETIDDVYWRATVGDIIAAHSDPQHPLRALDPQRFTTVHREVTELLTRVATTMGRFRFRDQIPVRPPDRQVA--ATAPDTSALDLVGQLRADIRNLRIQHDRSEMSRLMSQHSATIDVLARTIRAADADHALALKESETRRLQAQRREQAARRTVRYYAVASLILGVVVVVMWLL</t>
  </si>
  <si>
    <t>MVDMTESDNLFETIDDVYWRATVGDIIAAHSDPQHPLQALDPQRFTTVHREVTALLTRVATTMGRFRLRDQVPVRPPGRQVAVPVTAPDTSVLDLVGQLRADIRNLRTPHDRSEMSRLMSQHSATIDVLARTIRAADADHALALKESETRRLQAQRWEQAARRTARYYAAASLILGVAVVMMWLL</t>
  </si>
  <si>
    <t>GC_00002916</t>
  </si>
  <si>
    <t>MCRIVLSIGFMTSSHIPSDNPLYHDTLELLIALVQNACVNDFTPGSGQEVRNADTLTEFFADTLGINIQRFEPEPGRVSLVVTVPGTNPQEAEPLTFLAHTDVVPVDKQHWTKPPFEGMIEDGKIYGRGTVDMLFITAAMAVVTREVARKGGNLGTLHFVAVADEEARGGLGAKWLAEHHPDAFSWANCVGETGGSHIHGQDGSDSTIVYVGEKGAAQRRIHVYGDPGHGSAPYGKDLATVKIGEIARRLAAAQPAVTDSDTWRQFVAAFRFDPNTAALVEQGKGYEHLGELAAYGDAISHLTIAQTVLRAGQAINVLPSHAWLELDIRTLPGQSQDYVDSVLDDALGTDIEYTIEHLITEDATISPTDHPLYRAISAVFTDLFPDTTVVPTIAAGGSDLRFARQLGGVGYGFAVHSPERTLGEIHRQLHSHDEHLYLEDLESTLAGYLALVAAFLYPSNPGAFQHP</t>
  </si>
  <si>
    <t>-------MGFMTSSHIPSDNPLYHDTLELLIALVQNACVNDFTPGSGQEVRNADTLTEFFADTLGINIQRFEPEPGRVSLVVTVPGTNPQEAEPLTFLAHTDVAPVDKQHWTKPPFEGMIEDGKIYGRGTVDMLFITAAMAVVTREVARKGGNLGTLHFVAVADEEARGGLGAKWLAEHHPDAFSWANCVGETGGSHIHGQDGSDSTIVYVGEKGAAQRRIHVYGDPGHGSAPYGKDLATVKIGEIARRLAAAQP</t>
  </si>
  <si>
    <t>GC_00002917</t>
  </si>
  <si>
    <t>MRACTLGCHTRTRDESVITMSLVFVTGAASGVGLLTARELIDDGHDVVIHARNPERLTGEVTEIIDKVRGVVYGDLDSVTGVETVAASANEYGAFDAVIHNAGSDNEQKTFAVNVVAPYVLSALMTRPKRIVTVSSVMHVNGSPEALPNAFATGIIDYSNSKLFVTALMMGLARHWPGVMVHSVHPGWVPTRMGGPSATDDLDLSYRTQTWLATAPESDIMPRTGGYWFHKQVQNPHSATLDPAFQDEVLHGLKEYTGVELPL</t>
  </si>
  <si>
    <t>MRACTLGCHIRTRDESVITMSLVFVTGAASGVGLLTARELIDDGHDVVIHARNPERLTGEVTEIVDKVRGVVYGDLDNVTGVETVAASANEYGAFDAVIHNAGSDNEQKTFAVNVVAPYVLSALMTRPKRIVTVSSVMHVNGSPEALPNAFATGVIDYSNSKLFVTALMMGLARHWPDVMVHSVHPGWVPTRMGGPSATDDLDLSYRTQTWLATAPESDIMPRTGGYWFHKQVQNPHSATLDPAFQDEVLHGLKEYTGVELPL</t>
  </si>
  <si>
    <t>GC_00002918</t>
  </si>
  <si>
    <t>MFPPMTPPPFGWNGPDDDPRDGGRGPRGPRGRRGRGPRGPWGGPHPGRDFRDGLEEEIREYTRRVKKEAREYQRLLEEEAREYERMMKDVAHEYQRVMDEAGPEVVDEEPEERRRRLHDEAQERRRRLHEEAQERQRRLHEEAQERQRRLHEEAENRRRMRDHYHD------RPGRPGRGFRDAEHTRRSVLDAAIRSLITEGLGVSIQAIATAAGITKSGLMHHFNNRTELLVSVAEDAIEDFRNQVNDNIDLAENRPGKLLRAYIRTLFDNLEYQDSYDPAQLWSVLAPMPEITDLLIDDAARWRDDFIADGLNPDRVTVAMHAAKSFVHEAQLDPGISTESIARAKSVILALTNETGPLVDVSDAENSFDDVEEAEVEVEELESATDDKDSDKESGDDSKDSSV</t>
  </si>
  <si>
    <t>MFPPMTPPPFGWNGPDDDPRDGGRGPRGPRGRRGRGPRGPWDGSHPGRDFRDGLEEEIREYTRRVKKEAREYQRLLEEEAREYERMMKDVAHEYQRVMDEAGPEVVDEEPEERRRRLHDEAQERRRRLHEEAQERQRRLHEEAQERQRILHEAAENRRRMRDHYHDRPGRPGRPGRPGRGFRDAEHTRRSVLDAAIRSLITEGLGVSIQAIATAAGITKSGLMHHFNNRTELLVSVAEDAIEDFRNQVNDNIDLAENRPGKLLRAYIRTLFDNLEYQDSYDPAQLWSVLAPMPEITDLLIDDAARWRDDFIADGLNPDRVTVAMHAAKSFVHEAQLDPGISTESIARAKSVILALTNETGPLVDVSDAENSFDDVEEAEVEVEELESATDDKDSDKESGDDSKDSSV</t>
  </si>
  <si>
    <t>GC_00002919</t>
  </si>
  <si>
    <t>MNDHLAIQMEDISYEPILHNISISIAPSEKVAIIGQSGAGKTTLLRLLTGAYCPTSGSVTEVTRGRFTYIPQDLDASLNPALSVATIVTEPVAIAHGRAAARKAKTRAQELLAQLGLGAEFLTRKPAHLSGGQRQRVGIARALITDPEIIFADEALSALDADTREIVTTMFGDNDATLILITHDLAAATLLCDRWVLLDNGTIAEEGTIQSLWDTTPPVSPARQAFLDADRILHPTLWHDDHRIGYSASERLAADVLSGEDEV</t>
  </si>
  <si>
    <t>MNDHLAIQMEDISYEPILHNISISIAPSEKVAIIGQSGAGKTTLLRLLTGAYSPTSGSVTEVTRGRFTYIPQDLDASLNPALSVATIVTEPVAIAHGRAAARKAKTRAQELLAQLGLGAEFLTRKPAHLSGGQRQRVGIARALITDPEIIFADEALSALDADTREIVTTMFGDNDATLILITHDLAAATLLCDRWVLLDNGTIAEEGTIQSLWDTTPPVSPARQAFLDADRILHPTLWHDDHRIGYSASERLAADVLSGEDEV</t>
  </si>
  <si>
    <t>GC_00002920</t>
  </si>
  <si>
    <t>PF17314.7</t>
  </si>
  <si>
    <t>Family of unknown function (DUF5360)</t>
  </si>
  <si>
    <t>MKSFSKSLLVVVDAGLLLYWCLVITDVFPESMRFRDYSNQVIQAWNWSFFPLDVAAALTVFVGAFLIKRNVVAGDIVLVLGLTLTFCAGFMAISFWAFYGDFEPFWWGSNALLMIVPLVVFAGMVCERMKPAAQ</t>
  </si>
  <si>
    <t>MKSFSKSLLVVVDAGLLLYWCLVITDVFPESMRFRDYSNQVIQAWNWSFFPLDVAAALTVFVGAFLIKRHVVAGDIVLVLGLTLTFCAGFMAISFWAFYGDFEPFWWGSNALLMIVPLVVFAGMVCERMKPAAQ</t>
  </si>
  <si>
    <t>GC_00002921</t>
  </si>
  <si>
    <t>MGVKNASSCMKMAASLIAITCVLLGITPANSQEKTYDYGMDPTIVKNPADNDLPRAQGPFHKIPKLGSLLTRGGSSDNTTFELYSSQEPQETNPMFPAGRSHLPTATIDMNPEVLARLREWAKVDGTKIRQINAYSPSMGRTIPLVWIPAKDTSQPRPVLYALGGGDGGQGENNWITRTDMVDYMRERNVHVIMPMLGAYSLYSDWETELPAQGGKQMWETFLTHELPEPLEKAIGANGKRSLIGMSMSGATALIYATHQPGLYDSVGSLSGCGLTNSWVGRRTVAATIYNAPAEPDDPWGPMNSPQSRYNDVYINAEKLADQPNLYVFSASGTYGINDMNGPNAPKEWEKKDRRTAGFQIEAAANYCNHLLKSRTDSLGIRDNISWDFRLTGTHSWGYWQDALHRFWPIMARGFGLDGGSVPDMDTDGEITGGSSALTTNDLLSSDSVLSSED</t>
  </si>
  <si>
    <t>MGVKNASSCMKMAASLIAITCVLLGITPANSQEKTYDYGMDPTIVKNPADNDLPRAQGPFHKIPKLGSLLTRGGSSDNTTFELYSSQEPQETNLMFPAGRSHLPTASIDMNPEVLARLREWAKVDGTKIRQINAYSPSMGRTIPLVWIPAKDTSQPRPVLYALGGGDGGQGENNWITRTDMVDYMRERNVHVIMPMLGAYSLYSDWETELPAQGGKQMWETFLTHELPGPLEKAIGTNGKRSLIGMSMSGATALIYATHQPGLYDSVGSLSGCGLTNSWVGRRTVAATIYNAPAEPDDPWGPMNSPQSRYNDVYINAEKLADQPNLYVFSASGTYGINDMNGPNAPKEWEKKDRRTAGFQIEAAANYCNHLLKSRTDSLGIRDNISWDFRLTGTHSWGYWQDALHRFWPIMARGFGLDGGSVPDMDTDGEIVDGSSALTTNDLLSSDSVLSSED</t>
  </si>
  <si>
    <t>GC_00002922</t>
  </si>
  <si>
    <t>MNQPLQQTPEPPATPPKPRPRRQPGSANRAYRSHLAHRVGELGEATAAQFYRDEGYRILARNVRYPVGELDVIARAPDPGGTIVFIEVKTRTTLDFGIAEAVTPRKLHRMHRAAYRWLTERHVPWSEVRFDVVAIYLDPTGLASVQRYIGVDDGAR</t>
  </si>
  <si>
    <t>MNQPLQQTPEPSATPPKPRPRRQPRSTNRAYRSHLAHRVGELGEATAAQFYRDEGYRILARNVRYPVGELDVIARAPDPNSTIVFIEVKTRTTLDFGIAEAVTPRKLHRMHRAAYRWLTERHVPWSEVRFDVVAIYLDPTGLASVQRYIGVDDGAR</t>
  </si>
  <si>
    <t>GC_00002923</t>
  </si>
  <si>
    <t>PF00092.34</t>
  </si>
  <si>
    <t>MKSLTAPPLWRILSTFAVIAIIGVLALPGVVQAEDAEVSPSGRENIKKLNTCIDNKKKADLIFVIDESASLKGHGGKPATDPNNIRVPAMQDLVTQLGKFAQESNADINVKLSGFGQGYRSQPDVYGGWVNVRDHAGDLTPPIQGFDQRNNDVFTDYGTALNGAMADLASRPDPESCKAILFFTDGKLTVQGDQKADIVAQKAICSADGQVKKLRDANIQLFTVGLIPSGEESPEQILRSMSEGNDCAIDTVPNGAFFNAESNAASLFSAFRSILPNNAVVEHHGNTASKMRFMLDNSITEVRISAVPNEIVDNDALIPVLITPRGKEIPLKGSSASNDDVSIKVERGDSVPGMVDITMSKDQAGDWAGEWLFGYQAKEGTNTQYSAKAQIFPGLTTVAEELNDKEVIGLSNNEVIHVALVNRDGQPQKLEGEAKLEAKFAPADGSEPINLIEPTSIGDGFPVVVPLKVIDKPSTGEITLSTAIVTKGKDNKPGTQLTPVVARYPVAISPSNFPKVAGQVDIKVNQLETQVSVPVEGPGKLWIDEKATGTKITTPEGATPLKFEAPNNSSEKALTLQAGQKGSLPLIIRTDKLVDGPIAVNSLVKLESLKTGEDGEVAVQFTGTMQAPVNKPVFAGVFVLVLILAILIPLIILYLIKYLTGLLVQSTLHAKSIPVAIKNGRLVREDTGQNLTFTFDELVLNTPGVKPQSREVVLAGKKIRARYGFNPFSSAYAAAEDGPSIGNLGRQVKGRAKLPLALRRTWVLYADKYTKDKGQLLVIVDPNIQQPDIDALAAEAQAKAKDYFDRFPEPAPADADGADGPHVAASQSTGAKPDPFGGAPSKPQPPRTSRNPQPSRDDDDVHRTASLDRPTENDSNDPFA</t>
  </si>
  <si>
    <t>MKSLTAPPLWRILSTFAVIAIIGVLALPGVVQAEDAEVSPSGRENIKKLNTCIDNKKKADLIFVIDESASLKGHGGKPATDPNNIRVPAMQDLVTQLGKFAQESNADINVKLSGFGQGYRSQPDVYGGWVNVRDHAGDLTPPIQGFDQRNNDVFTDYGTALNGAMADLASRPDPESCKAILFFTDGKLTVQGDQKADIVAQKAICSADGQVKKLRDANIQLFTVGLIPSGEESPEQILRSMSEGNDCAIDTVPNGAFFNAESNAASLFSAFRSILPNNAVVEHHGNTASKMRFMLDNSITEVRISAVPNEIVDNDALIPVLITPRGKEIPLKGSSASNDDVSIKVERGDSVPGMVDITMSKDQAGDWAGEWLFGYQAKEGTNTQYSAKAQIFPGLTTVAEELNDKEVIGLSNNEVIHVALVNRDGQPQKLEGEAKLEAKFAPADGSEPINLIEPTSIGDGFPVVVPLKVIDKPSTGEITLSTAIVTKGKDNKPGTQLTPVVARYPVAISPSNFPKVAGQVDIKVNQLETQVSVPVEGPGKLWIDEKATGTKITTPEGATPLKFEAPNNSSEKALTLQAGQKGSLPLIIRTDKLVDGPIAVNSLVKLESLKTGEDGEVAVQFTGTMQAPVNKPVFAGVFVLVLILAILIPLIILYLIKYLTGLLVQSTLHAKSIPVAIKNGRLVREDTGQNLTFTFDELVLNTPGVKPQSREVVLAGKKIRARYGFNPFSSAYAAAEDGPSIGNLGRQVKGRAKLPLALRRTWVLYADKYTKDKGQLLVIVDPNIQQPDIDALAAEAQAKAKDYFDRFPEPAPADADGADGPHVAASQSAGAKPDPFGGAPSKPQPPRTSRNPQPSRDDDDVHRTASLDRPTENDSNDPFA</t>
  </si>
  <si>
    <t>GC_00002924</t>
  </si>
  <si>
    <t>MSRRRYRVAIVTESFLPTINGVTNSVTKTLDHLHKHHHEAIIIAPKQPGAPATYRGFPIITTPTINLNLGLPLGLPTPIITRTLRNFQPDIVHLASPFLLGAAAAFACQHLSIPTIAIFQTNIADYTTRYHLPKLKTTAWRWITHIHNHCDLTLAPSTSSITELRNHGITTIKHWGRGVDTTLFNPDYHQPDPTNHIVGYVGRLAPEKSLHRLQAITNLPNTTLTIVGTGPLEPHLRKLLPTAHFLGPQTGTQLARTLATFDIFIHPGEFETFCQTIQEAHAAGVPTIAPNTGGPQDLITNGHNGYLLGPTRFERDLPHAINAIYANHHAMSHNARAGVENRTWETICSELIHHYEAVIHNPTRYTNLRG</t>
  </si>
  <si>
    <t>MSRRRYRVAIVTESFLPTINGVTNSVTKTLDHLHKHHHEAIIIAPKQPGTPTTYRGFPIITIPTINLNLGLPIGLPTPTITRTLRNFQPDIVHLASPFLLGAATAFACQHLTIPTIAIFQTNIADYTTRYHLPKLKTAAWRWITHIHNHCDLTLAPSTSTITELRNHGITTIKHWGRGVDTTLFNPDHHQPDPTNHIIGYVGRLAPEKGLHRLQAITNLPNTTLTIVGTGPLEPRLRKLLPTARFLGPQTGTQLAHTLATFDIFIHPGEFETFCQTVQEAHAAGVPTIAPNAGGPQDLITNGHNGYLLGPTRFERDLPHAINAIYANHHTMSHNARAGVENRTWETICSELIHHYEAVIHNPTRYTNLRG</t>
  </si>
  <si>
    <t>GC_00002925</t>
  </si>
  <si>
    <t>MSDDRDKPKNIYDDIYSRYGRYGDDGRIPPVQPVESTPPTAEFGQIDESVIHAHYQQSQQSQPPPDPTIPVEPVAPPTPPPSPKKKRRGRGALIAVIIFLMLTIVALAAVVVVLLMQHRTQAAAPPTPVAVPTTSTSVATSTSTSATSATTTSSTSTSASSTTPTTTSVSAEEEAYRKLVSDAGLKATGFNSLGCLANDKWKFASISTGGKHVLICESAESGKLYYTHDYMPEIYRKEVTSSDTDTGTFQVVNDDATIDITKTGLVVKSKKGKVSLESTFEQSFTRNPYP</t>
  </si>
  <si>
    <t>MSDDRDKPKNIYDDIYSRYGRYGDDGRIPPVQPVESTPPTAEFGQIDESVIHAHYQQSQQSQPPPDPTIPVEPVAPPTPPPSPKKKRRGRGALIAVIIFLILTIVALAAVVVVLLMQHRTQAAAPPTPVAVPTTSTSVATSTSTSATSATTTSSTSTSASSTTPTTTSVSAEEEAYRKLVSDAGLKATGFNSLGCLANDKWKFASISTGGKHVLICESAESGKLYYTHDYMPEIYRKEVTSSDTDTGTFQIVNDDATIDITKTGLVVKSKKGKVSLESTFEQSFTRNPYP</t>
  </si>
  <si>
    <t>GC_00002926</t>
  </si>
  <si>
    <t>MKKNLLPKTASQRAIAGLTSLALVAGGLTVMPYAGAQDEPAEPVVAAAEPNNDAAAEEAAPAEAAAPEAAAEDEALPEGAAAVALANAPQLLKEAAPKPTNPDVKGLITGGTAAGSEVDFEASGLKEGDKIISVGTDSANWLRHDQSVNALANDRGEVAIRGVLIPADAKSGDSIFFTYLAKADGKEYEVLLDSKVTSSTETSNIDRYAVAKRTLPSSLYQSAFDSSSNNIFVTRRSAEGLYSIYRLDATTLDVKAKTDIYEGYAADGIALDNKNQVWATNFETGTVSVYRQSDLTHVKTFSKAPIRGATSVVVDEKANLAYVAGEGNEISILDMNADEDGTGVIGTVKLDGFEKVASLSLDKQTNQLIATSGDSADPQVAKVNLADGKKVERFTVKGAETVLGAAYDPASKNIFVGTGGGEVSVVSTETKKVIATIPTGAGTLDVRYNPTDKRVYVVNHDAGTLTVVDPATNKVVSNLAVGDEPSHLSIASNGTVAVVNNAFKDSGVDQHVDEIYTFKYNAPTPPPQPKPSTSESTTQKPTEKPKPSEDPKPKPPTGSQDLSSKLGKYRTILIAIFSVLGLTGIIAGAVAAMAHANMIPKEWLPPQFR</t>
  </si>
  <si>
    <t>MKKNLLPKTASQRAIAGLTSLALVAGGLTVMPYAGAQDEPAEPVVATAEPNNDAAAEEAAPAEAAAPEAAAEDAALPEGAAAVALANAPQLLKEAAPKPTNPDVKGLITGGTAAGSEVDFEASGLKEGDKIISVGTDSANWLRHDQSVNALANDRGEVAIRGVLIPADAKSGDPIFFTYLAKEDGKEYEVLLDSKVTSSTETSNIDRYAVAKRTLPSSLYQSAFDSSSNNIFVTRRSAEGLYSIYRLDATTLDVKAKTDIYEGYAADGIALDNKNQVWATNFETGTVSVYRQSDLTHVKTFSKAPIRGATSVVVDEKANLAYVAGEGNEISILDMNADEDGTGVIGTVKLDGFEKVASLSLDKQTNQLIATSGDSADPQVAKVNLADGKKVERFTVKGAETVLGATYDPASKNIFVGTGGGEVSVVSTETKKVVATIPTGAGTLDVRYNPTDKRVYVVNHDAGTLTVVDPVTNKVVSNLAVGDEPSHLSIAPNGTVAVVNNAFKDSGVDQHVDEIYTFKYNAPTPPPQPKPSTSESTTQKPTEKPKPSEDPKPKPPTGSQDLSSKLGKYRTILIAIFSVLGLTGIIAGAVAAMAHANMIPKEWLPPQFR</t>
  </si>
  <si>
    <t>GC_00002927</t>
  </si>
  <si>
    <t>MGLLYTLCVITPLLAACTVVSLRRFWRARGMLPQLGLDSELSGIPCVSKFLPERMRCGARVIYSGVQYVVRDVYVFTIDDAPWYFYALHSNEGGILRNDALSVHIDNGELHVCWWNRGDTRQRAEELAITIDGSKYTACTEGASDYRAEGELTHGRRGAVAYKLFNNDMRQRWLFFANWDGSDHDTEELFVGTRVSANDVTILPPEKSDWHGEGFDAEMGWAVLTAITGVGTILSGAKAIVLAAGLF</t>
  </si>
  <si>
    <t>MGLLYTLCVITPLLAACTVASLRRFWRARGMLPQLGLDSELSGIPCVSKFLPERMRCGARVIYSGVQYVVRDVYVFTVDDAPWYFYALHSNEGGILRNDALSVHIDNGELHVCWWNRGDTRQRAEELAITIDGSKYTACTEGASDYRAEGELTHGRRGAVAYKLFNNDMRQRWLFFAQWDGSDHDTEELFVGTRVSANDVTILPPEKSDWYCEGFDAEMGWAVLTAITGVGTILSGAKAVVLAVGLF</t>
  </si>
  <si>
    <t>GC_00002928</t>
  </si>
  <si>
    <t>PF10910.14</t>
  </si>
  <si>
    <t>Phage gene 29 protein family</t>
  </si>
  <si>
    <t>MDDIYPYPVADDSHPLAWVFFNAAGFRFDLESCEKLAAHVFDSLKCGAPGSNGDPLIKYDGLGGMGGPWEAGAWIPADQGRASVRVTAPSVDIGAMTVEEREELRAALEAVDVMERANSL--DRGGE----</t>
  </si>
  <si>
    <t>MEDIYPYQVADNHHPLSWVFFNAGGLSLDLETAEALARHVFDALGCGKPGSAAVPSIKYDALGGSGGPWEPGVWIPVKDARMGVSVTVPHVDVGAMSEAERAELRAVLDAADDAARASSLIDAEGGEANGG</t>
  </si>
  <si>
    <t>GC_00002929</t>
  </si>
  <si>
    <t>PF01435.24</t>
  </si>
  <si>
    <t>Peptidase family M48</t>
  </si>
  <si>
    <t>COG0501</t>
  </si>
  <si>
    <t>Zn-dependent protease with chaperone function (HtpX) (PDB:2YPT)</t>
  </si>
  <si>
    <t>MSSFDPKPEKTNPDNPERSGEESPSQTPSQVPPQTQQIPPPTSPQLQTQPQPHPTVREFRHRAEVPMLVLGGILTVLAVVACIFVILLGMSLSEFGQGVLVGILAPALAFFAIRWFYWSAITNAVEVTPAQFPEVYTIYHDLAQQMGFRPDAAGKGITRLPRLYIKNGNGVMNAYASKCQVSRGYVVIHSDLVDVGYTYQDWEFVRFVLAHELGHIKCGHVDLWRSMIRPVTTALRLQASVIRAQEYTADRVALYYAPAGGKGMIHLYCGKHLGHRVNMDEYFVSVHAHKDGFWIKVANFLSDHAVGFRRMAALHEAETKGWDVHGKML</t>
  </si>
  <si>
    <t>------------------------------------------------------------------MLVFGGILTILAVVACIFVILIGMSLSEFGQGVLVGILAPALAFFAIRWFYWSAITNAVEVTPAQFPEVYTIYHDLAQQMGFRPDAAGKGITRLPRLYIKNGNGVMNAYASKCQVSRGYVVIHSDLVDVGYTYQDWEFVRFVLAHELGHIKCGHVDLWRSMIRPVTTALRLQASVIRAQEYTADRVALY</t>
  </si>
  <si>
    <t>GC_00002930</t>
  </si>
  <si>
    <t>MFVDILTLPYLQRPLILLLILGIVGGSVGVLVNLRAMEFSVEALVHSVFPGMVVGLALGGIDGIVPGAAVVAAVAAAALTFVTRRAAAEAGTAVVLTSFYGVGVVLSLAIGDYSGQLDALMFGRLLDVTDTRLIQTAVLSTAALVILLVTWRKQVAVAFDRNFMVAQHINVTLIDAALNAAIAAVVVVASSAVGVLLVIGYLIIPGAAARLLARTIPMMVGIAVAAGLTAAVIGVVAMNVDVGHQISPQAAVSLSLVAVFVIAIALNTLRTTARSAFRKAGAGAKAAKPASQSLQSEQSPQQARTKE</t>
  </si>
  <si>
    <t>MFVDILTLPYLQRPLILLLILGIVGGSVGVLVNLRAMEFSVEALVHSVFPGMVVGLALGGIDGIVPGAAVVAAVAAAALTFVTRRAAAEAGTAVVLTSFYGVGVVLSLAIGDYSGQLDALMFGRLLDVTDTRLIQTAVLSTAALVILLVTWRKQVAVAFDRNFMVAQHINVTLIDAALNAAIAAVVVVASSAVGVLLVIGYLIIPGAAARLLARTIPMMVGIAVAAGLTAAVIGVVAMNVDVGHQISPQAAVSLSLVAVFVIAIALNTLRTTARSAFRKAGAGAKVAKPASQSLQSEQSPQQARTKE</t>
  </si>
  <si>
    <t>GC_00002931</t>
  </si>
  <si>
    <t>MISAHGATIDVTSRTVTITYSPLLAALQSTHGAAEGGASTSTRLSISDITDIDTRHPTAVDLGWARLGGVNHTIRFAPNQENELDTLLAMIDSARNGELPDEPAAFIPGFNFVAIDVETANDDWGSICQIGVVRYTNGQAGASDSWLCTPPPGLERFDALNIGIHGITPDDVADAPAFGDVLGDVVAAVGELPVVAHNAQFDMTAFSRACAAAGQPVPHWTFGCSLALARAAKLGISNHRLPTVAAHFGVELTKHHDALSDARACGDIIVGLASTGVSGGSGASGDEGFAGFFWASGFTLGELTPDKVLPVLRADARGLNIAAQRNRLFPGTMVEAAAEVPEEKPRRRQRPAWEKAATPSVIPETNTEADPEGALYGHNVTLTGDFEPYDKSMLWSGIAERGGVIGKNVTKKTTLLVCGPWHTVTSKQKRAEELIEKGQDITLWTADQLYRELGLDEDPPF</t>
  </si>
  <si>
    <t>MISAHGATIDVTSRTVTITYSPLLAALQSTHGAAEGGASTSTRLSISDITDIDTRHPTAVDLGWARLGGVNHTIQFAPNQENELDTLLAMIDSARNGELPDEPATFIPGLDFVAIDVETANDDWGSICQIGVVRYTNGQAGASNSWLCTPPPGLERFDALNIGIHGITPDDVADAPTFGDVLGDVVAAVGELPVVAHNAQFDMTAFSRACAAAGQPVPHWTFGCSLALARAAKLGISNHRLPTVAAHFGVELAKHHDALSDARACGDIIVGLASAGVSGGSGASSDEGFAGFFWASGFTLGELTPDKVLPVLRADARGLNIAAQRKRLFPGTVVDAAAEVPEEKPRRRQRPAWEKAATPSVIPETNTKADPEGALYGHNVTLTGDFEPYDKSMLWSGIAERGGVIGKNVTKKTTLLVCGPWHTVTSKQKRAEELIEKGQEITLWTADQLYRELGLDEDPPF</t>
  </si>
  <si>
    <t>GC_00002932</t>
  </si>
  <si>
    <t>MSTSLAQGDALAKVITFPTTRRKPRTLIFRAAVDQADVHRHLGINDSLPLTELHRVLSISFGLSEEQTPWSFDSDDVAVDVQECVHQYLSEPEDQLLYRWGLWTITLETIDSYVRDAGTPDALCIGGSGALGHDTFNVAEINAQLTGEATIEAVLDSVREPVRDLIERSQLYDFVALLQAMELTRPAVLEPSLVDARDTLPLEHEAAARDAFWSCVLALSTLADAAVGGKIIEETMAAIGWTNDNGDPLSATHIRSMCAQSLHKLAELGAYGTQALAPVDRLDIYRALLRA</t>
  </si>
  <si>
    <t>MSTSLAQGDALAEVITFPTTRRKPRTLIFRAAVDQADVHRHLGINDSLPLTELHRVLSISFGLSEEQTPWSFHSDDAAVDVQECVHQYLSEPEDQLLYRWGLWTITLETIDSYVRDAGTPDALCIGGSGALGHDTFNVAEINAQLTGEATIEAVLDSVREPVRDLIERSQLYDFVALLQAMELTRPAVLEPSLVDARDTLPLEHEAAARDAFWSCVLALSTLADAAVGGKIIEETMAAIGWTNDNGDPLSATHIRSMCAQSLHKLAELGAYGTQALAPVDRLDIYRALLRA</t>
  </si>
  <si>
    <t>GC_00002933</t>
  </si>
  <si>
    <t>MNMLKRRAKVTAVAMCAVLAATVTPATAQTTEATTPITTTQSTENTANGSLDQLTKVLQLSTTAVGGLIVPFVQRILGAFDRLGCALRGESPCDVGFARQQQ</t>
  </si>
  <si>
    <t>MNMLKRRAKVTAVAMCAVLAATVTPATAQTTEATTPITTTQSTENTANGSLDQLTKVLQLSTTAVGGLVVPFIQKILGAFDRLGCTLRGESPCDVGFARQQQ</t>
  </si>
  <si>
    <t>GC_00002934</t>
  </si>
  <si>
    <t>MLLVLIGVGVLLYPVVATVWNNAQQSSQVEAYASQVQDPATQQRYVDELREAQDWNAQFQGGPILDPWLARVEADNLEYQRYLDVLDVGEVMGRVVIPAISSDLPIYHGSDESVLAKGIGHLYGSAFPVGGESTHAVLTGHTGLSQATLWDNLVDVKKGDAIYVDVAGQKLKYVVEDTFVVLPTETDKLAPVPGRDMITLITCTPYGVNSHRLLVQAVRAEMEPGEANQVFDTVHHPWQGWMTAVLGSAAVIVLLVIAAFAWVLRQRKKARTEINTPTVEAKV</t>
  </si>
  <si>
    <t>MLLVLIGVGVLLYPVVATVWNNAQQSSQVEAYASQVQDPETQQRYVDELREAQDWNAQFQGGPILDPWLARVEADNLEYQRYLDVLDVGEVMGRVVIPAISSDLPIYHGSDESVLAKGIGHLYGSAFPVGGEGTHAVLTGHTGLSQATLWDNLVDVKKGDAIYVDVAGQKLKYVVEDTFVVLPTETDKLAPVPGRDMITLITCTPYGVNSHRLLVQAVRAEMEPGEANQVFDTVHHPWQGWMTAVLGSAAVIVLLVIAAFAWVLRQRKKARTEINTPTVEAKV</t>
  </si>
  <si>
    <t>GC_00002935</t>
  </si>
  <si>
    <t>MDIRPLTTLETPTEPPNRVKVQAARFSGGGITIVELTPTGTLPAATVRAATSGLRRTHIQVVGWATPRDTCTLPILGWARGMVHTRPHLVKTRMVKVINQLAATRPRRAISVVRELARYYMEAGRSDFLPAYLDQILWIARHHNLLLDPERRLAVFREFAAWNALSIDHVRAEAATAAQHFTPEQAFDYHVRLVALASRSGITMQPDLVGRARQLGATAGFDTDRVDAAVVTAVFDTTGFRVAPDTFFAMVGRSLQALVHSRRDYQEKLLDVRPEFMTLDRYHDLLDGTEAWDELANNKWEFAAWLKNLIFDIIVDHPIPFPPRKWLIDAIHQFRRAWGCLDVPDKKLRYCPLDVTNALVAIGGVDEYDVSGDAWMWECWFDSKNYEDMGVERSNLSALMKNDHHYILEHHLDVADIEDNLPVIREHEVVDDMAHKKLIETPGTAFGSTVARCFEQALSVSIGSIELWKYHTRTRNLVRIYQLFAAHVSFYDLVGYCYENEAVTSLNDAYAAFGEGFPYDLGIFIPELSEVMSDLDDIEQWATKTTTHLRSLDNPFTILTEPAAAYLYELSGYHPDLNLTAADIAAQFTQLADELAHPQQSGPPPRVPITNNLWVQAIGCDAIIRKLLQRPFVNPQLAETVCKFLAAGALAGIYASDWLYHTVPYHVELSPGWHHGAWVVESHREGKHVMIDMLIHPDHTNLKTFGITFTQDLARSNYEPEDLFLWLDMTYAIVISRLGEIPINLAKRWKQQSIFPGNLPIETIAALLVDATTLTPAAIYYVLLGITPTHPQGMPRRLRIIAEDQLTSDIIMGLLRAYNSPDMMAGCWAKNYGTPQLHLSDDEYAQLMPLCSRIKVGDTLTDRLPDTQDKAAEYRVLLRHMAHMFPPDDPRQRVVADKLRVLDHLEKSDNPM</t>
  </si>
  <si>
    <t>MDIRPLTTLETPTEPSNRVKVQAARFSGDGITIVELTPTDTLPVATIRAATSGLRRTHTQVIGWTTPRDTCTLPILGWARGMVHTRPHLVKTRMVKVINQLAATRPRRAISVVRELARYYMEAGRSDFLTAYLDQILWIARHHNLLLDPERRLAVFREFAAWNALNIDHVRAEAATAAQHFTPEQAFHYHVRLVALASRSGITMQPDLVDQARQLGATVGLDTDRVDAAVVTAVFDTTGFRAAPETFFAMVGRSLRALVRSRPDYQEKLLDVRPEFMTLDRYHDLLEGTEAWDELAKNKWEFAAWLKDLIFDIIVDHPIPFPPRKWLIDAIHQVRRAWGCLDVPDKKLRYCPLDVTNALVAIGGVDEYDVSGDAWMWECWFDSKNYEDMGVERSNLSALMRNDHHYILEHHLDVADIEDNLPVIREHEVVDDMAHKKLIETPGTAFGSTVARCFEQALSVSIGSIELWKYHTRTRNLVRIYQLFASHVSFYDLVGYCYENEAVTSLNDAYAAFGEGFPYDLGIFIPELSEVMSNLDDIDHWATKTTTYLRSLDNPFTVLTEPAAAYLYELSGYHPDLNLTAADIAAQFTQLADELAHPQQSGPPPRIPITNNLWVQAIGCDAIIRQLLQRPFVNPQLAETVCKFLAAGALAGIYASDWLYHTVPYHVELSPGWHHGAWVVESRREGKHVIIDMLIHPDHTNLKTFGITFTQDLARSNYEPEDLFLWLDMTYTVVISRLGEIPINLAKRWKQQSIFPGNLPIETIAALLVDATTLTPAAIYYVLLGITPTHPQGMPRRLRIIAEDQLTSDITMGLLRAYSLPDIVAGRWAKNYGTPQLHLSDDEYAQLMPLCSRIKVGETLTDRLPDTPDKAAEYRVLLRRMAHMFPPDDPRQRVVADKLCVLDHLEKSDNPM</t>
  </si>
  <si>
    <t>GC_00002936</t>
  </si>
  <si>
    <t>PF11806.14</t>
  </si>
  <si>
    <t>Enterochelin esterase, N-terminal</t>
  </si>
  <si>
    <t>MLTPPHTIRPWPLPRASSPLIDAARTALAAIPDTQQREERAELIYKELTATGTPLVENTLVTFVWYGVAPHGVILNLNKVSDMLDPADTRLESIAGTGLHALTLDMPTEWMGSYNYSVPGSELPAPALHGGADREMFGMLRASAVEDPRAREYVGFLGNARLAVARGRDADRAVLSGDTEGIEEAQVVSPVNGAELTAWTWRPADDAAPVARLVVLDGETWVNQYPLVSALQEVPVPIHAVFIESGGPQQRQLDYTSDAAAGRSFIERALGLLGDGSDAPVIVVGQSMGGLCALLSGMRHPDLVAAAIAQSPSLWWNGGAWFDERSRQDGAPAYLQVGAYEWDLERDVHHAAALLRAQGKLLGFDIYPGGHDALWWQALLPEVLAEVAGKV</t>
  </si>
  <si>
    <t>MLTPPHTIRPWPLPRASSPLIDAAREALAAIPDTQQREERAELIYKELTATGTPLVENTLVTFVWYGDAPHGVILNLKKVSDMLDPADTRLESIAGTGLHALTLDMPTEWMGSYNYSVPGSELPAPALHGGADREMFGMLRTSAVEDPRAREYVGFLGNARLAVARGRDADRAVLSGDTEGIRVAQVMSVVNGAELTAWTWRPADDVAPAARLVVLDGETWVNQYPLVSALRDVPVPVHAVFIESGGPQQRQLDYTSDADAGRSFIERALGLLGDGSGAPVIVVGQSMGGLCALLSGMRHPDLVAAAIAQSPSLWWNGGAWFDERSRQDGAPAYLQVGAYEWDLERDVHHAAALLRAQGKLLGFDVYPGGHDALWWQALLPEVLAEVVGKV</t>
  </si>
  <si>
    <t>GC_00002937</t>
  </si>
  <si>
    <t>MFDSVGWSEIFFILIIGLIVIGPERLPGVIQDVRAAIFAARKAINNAKKELNGEFDDLSADLAEFQKPISQITSIRAMGPKAALGKVLFDDDPEVMDMLDPKTKPTDQPTPPAATDNQPPAGGPKNRNFNWDDVT</t>
  </si>
  <si>
    <t>MFDSVGWSEIFFILIIGLIVIGPERLPGVIQDVRAAIFAARKAINNAKKELNGEFDDLSADLAEFQKPISQITSIRAMGPKAALGKVLFDDDPEVMDMLDPKTKPTDQPTPPATTDNQPPAGGPKNRNFNWDDVT</t>
  </si>
  <si>
    <t>GC_00002938</t>
  </si>
  <si>
    <t>PF21805.3</t>
  </si>
  <si>
    <t>Imm-5 like putative immunity protein</t>
  </si>
  <si>
    <t>MITLTRKLLGGGFKRYEGKNEMDIYAYQRPLGRITDDEKLRNRFIELYDAKTHQQIVQFCRDYGRHLHEVAGFSYPYHEDIADADAGMRRWLAGEANYHEARNCSFRIGRLAKETTDPVTVRFLRTMAQITASPHVKYHGLWATDFAVTLINTQKPGDMAAVHAEREHQITLLSAL</t>
  </si>
  <si>
    <t>GC_00002939</t>
  </si>
  <si>
    <t>K19046</t>
  </si>
  <si>
    <t>CRISPR system Cascade subunit CasB</t>
  </si>
  <si>
    <t>MSELNIYHFVQHIIRQAKRKQESRDSQAIREIAALRSGMSITTEYRAYPYVLPDLGDASPRERMVALRCAAMIAEYADLGADSDDASPLRFGVWANHLARKIGDDDSVDGMIASRLEYLHTQDVEEAITTIRRILQYAQSNSFTQRVDFIQLFKTFWYWGNGYNNDSLNRRLQILRDFYGASNPVTTN</t>
  </si>
  <si>
    <t>MSELNIYHFVQHIIRQAKRKQESRDSQAIREIAALRSGMSITTEYRAYPYVLPDLGNASPRERMVALRCAAMIAEYADLGADSDDASPLRFGVWANHLARKIGDDDSVDGMIASRLEYLHTQDVEEAITTIRRILQYAQSNSFTQRVDFIQLFKTFWYWGNGYNNDSLNRRLQILRDFYGASNPVTTN</t>
  </si>
  <si>
    <t>GC_00002940</t>
  </si>
  <si>
    <t>MAKVNHMRNRRRVVRLSDAVDYDRTADRGNQNEPGDEDRMVIFEDDFGPIGSGAEQGSLEFYREQQPPHY</t>
  </si>
  <si>
    <t>GC_00002941</t>
  </si>
  <si>
    <t>----MTRTNSNHPVLIDCDTGIDDALALIYLAGLAAAGEVQLRAVTTTAGNVDATQAALNSAHMLRLCGLPNVLVVAGVPTPLAVPLVTTPETHGPHGLGYVIPPETSTDTIAVTPGERPDTVPVGVSAADTGWDDLWCANRDATLIITGPATNLATYLRDHPAHQRIYLMGGAYLYPGNTTPTAEWNTWVDPHAAAEVFHATIPITVCPLGVHSQPVTESMLLSPDLLDAACDIVAAAHHPLAEVLPDLLRFYF</t>
  </si>
  <si>
    <t>MTKMTTRKNNSHPVLIDCDAGIDDALALIYLAGLAAAGEVQLRAVTTTAGNVDATQTAFNSAHILRLCGLPNVPVAAGVPTPLVVPLVTTPETHGPHGLGYVIPPETSTDTISVTPGERPDTVPMGVPAADTGWDDLWRANRDATLIITGPATNLATYLRDHPAHQRIYLMGGAYLYPGNTTPTAEWNTWVDPHAAAEVFHTTIPITVCPLGVRSQPVTESMLFSPDLLDAACDILAAAHHPLADVLPDLLRFYFEFHQVMGEGYQAQIHDLITTMVALGTVDYATATVAVDVETTSPLLRGTTVADFKGHWLAETTGQPGRKPVVKLVTGVDPQQAWAEFFRSLKLLASTPPML</t>
  </si>
  <si>
    <t>GC_00002942</t>
  </si>
  <si>
    <t>MARPKNQSTTDIVRMLNLLPYFQQHPGRSTMEAAVDLGLDPATIMDDLNRLFCCGIGDMPDELVDLDPQRQAVQIYDAQGMDKPLRLTRTEAGALLLALESLESIPGLVEKHAVRSAATKLRTIMHNETRGVFDSEAITDTPDEPHTITTLRTALEQGHQITLDYYHRNRDDTTHRTLSPTRIFSTDGQTYLHAYDHHINDHRIFRTDMIHNITITTTPAEPHTTTLHFDTNDPFSLTHATEKATITINPNANWLVDTIPCDIETINPDGTITATLPLVSQEWLTQFALSHTDHITVTEPATIAHTIRQRAKVGLAAYHQSQTKNQNERTTTCPEYGNGSSSPSSSS---SSSEPTNSP-TPPAH---------------------------</t>
  </si>
  <si>
    <t>------------------------------MEAAVDLGLDPATIMDDLNRLFCCGIGDMPDELVDLDPNDKPYKYTTPKAWTNPSD-SPAPKPAPLLALESLESIPGLVEKHAVRSAATKLRTIMHNETRGVFDSEAITDTPDEPHTITTLRTALEQGHQITLDYYHRNRDDITHRTLSPTRIFSTDGQTYLHAYDHHINDHRIFRTDMIHNITITTTPAEPHTTTLHFDTNDPFSLTHATEKATITINPNANWL</t>
  </si>
  <si>
    <t>GC_00002943</t>
  </si>
  <si>
    <t>MKRKNPKFVGMSIFFILLGLLFPITSFLSEPFGASFFYSFFIGGSFVWLAVVFLDARTQLTIMKWERALPTITFHDDITVISIPRMAAFYALSGPFFVLISIGLTPWLFPGAFFDDGSFPSIWHLISAFIILPTCIYMFFLFTSTRKISVNKSRTFIKNEVHGLGWNSELTSLNADLDLDVHHSDHMFELIASNVNYTRNSIFGAKKKEFKKKSVTIPNPRNVQLEEFLPWLFPEQRHLLPLMFDLIAEPRASSSSRSAKARKIREELTRKQEELRRK----</t>
  </si>
  <si>
    <t>MKRENPRFLMIGIGLIVIALFFMLISFLLDPFGASFYYSAFIGGSFIWASLVTLDMRTHLDVFPCKSLHARAEFIDDQIMIIVPRSASFLRGSGVLFSIISLGLAPWLFPGVFLPEGMSIPFWHLFSLFIMFPCFLYVFFVSTASEIITLNQHRTFIRREVHGLGWSSKLMSVDPSLDVDVHKYDHALEFIVSDVDYSRKSIFGSKRERFKEKRIQIPETRNIQLYELIPMIFPEQKNFLPLMFDLISEPRYNSNSRTARAREIRKELTIRQKEFRKNMKSE</t>
  </si>
  <si>
    <t>GC_00002944</t>
  </si>
  <si>
    <t>MIQVRLFRKYVTPKPASWLVIGLGNPGNQYVATRHNVGYRVVDRLLKDTPLHPIKGIPATAANVGDMLLVRSTTYMNDSGRAIAPLADAFAMDLDHIIVIHDELDLPLGTVRIKRGGNENGHNGLKSATAELGSRDYIRVRVGISRPPQGTPVVDYVLSALPEGPDTDDALARAAQAVTLITTKGVSAAQNQIH</t>
  </si>
  <si>
    <t>GC_00002945</t>
  </si>
  <si>
    <t>PF00732.25</t>
  </si>
  <si>
    <t>GMC oxidoreductase</t>
  </si>
  <si>
    <t>K00108</t>
  </si>
  <si>
    <t>choline dehydrogenase [EC:1.1.99.1]</t>
  </si>
  <si>
    <t>COG2303</t>
  </si>
  <si>
    <t>Choline dehydrogenase or related flavoprotein (BetA) (PDB:1B4V)</t>
  </si>
  <si>
    <t>KEGG Orthology (KO)&gt;&gt;&gt;09100 Metabolism&gt;&gt;&gt;09105 Amino acid metabolism&gt;&gt;&gt;00260 Glycine, serine and threonine metabolism [PATH:ko00260]|KEGG Orthology (KO)&gt;&gt;&gt;09100 Metabolism&gt;&gt;&gt;09108 Metabolism of cofactors and vitamins&gt;&gt;&gt;00670 One carbon pool by folate [PATH:ko00670]|Enzymes&gt;&gt;&gt;1. Oxidoreductases&gt;&gt;&gt;1.1  Acting on the CH-OH group of donors&gt;&gt;&gt;1.1.99  With unknown physiological acceptors&gt;&gt;&gt;1.1.99.1  choline dehydrogenase</t>
  </si>
  <si>
    <t>MGAHHVDRSGEIVEDRRRDVVIVGGGSAGSVLARRLSDDPSTEVMVLEAGRMDSLWDLFIHMPAAFSFPIGNKLYDWEYESEPEPEMNGRRIYHARGKVLGGSSSINGMIFQRGNPMDYEKWGKLPGMSNWDFKHVLPYFNKMETALGSEPNDPRRGHNGPLVLTRGPATSPLFQAFFESVQQAGYNLTNDVNGYRQEGFAPFDRNIFKGKRLSAARAYLHPVLDRKNLDVRTRAFTTRILFDGETATGVEYEWKGAKRRVYADKVILCGGAINTPQLLQLSGVGDRDHLEKLGINVVKHLPGVGENLQDHLEVYVQYNVTKPVSSQPYYKMWIRPFIGLQWLLTKRGPVASSHFEAGGFARSNDDEAYPNLMFHFLPMAIRYDGTQPEGEHGFQFHVGPMYSDTLGHVRITSANPKDKPEIIFNYLATDQDRREWVEAVKVSRRLLDTPAMKEYTDGEISPGADVQTDEEILEWVRNDAETALHPSCTAKMGSADDEMAVVDPETMQVHGLKGLYVCDASIMPIITNGNIYAPVIMMAEKAADLIQGKRPLDPIDVPFYQVNKGMPLYAEGEEIRDHKQKIKGADH</t>
  </si>
  <si>
    <t>MGAHHVDRSGEIVEDRRRDVVIVGGGSAGSVLARRLSDDPSTEVMVLEAGRMDSLWDLFIHMPAAFSFPIGNKLYDWEYESEPEPEMNGRRIYHARGKVLGGSSSINGMIFQRGNPMDYEKWGKLPGMSNWDFKHVLPYFNKMETALGSEPNDPRRGHNGPLVLTRGPATSPLFQAFFESVQQAGYNLTNDVNGYRQEGFAPFDRNIFKGKRLSAARAYLHPVLDRKNLDVRTRAFTTRILFDGETATGVEYEWKGAKRRVYADKVILCGGAINTPQLLQLSGVGDRGHLEKLGINVVKHLPGVGENLQDHLEVYVQYNVTKPVSSQPYYKMWIRPFIGLQWLLTKRGPVASSHFEAGGFARSNDDEAYPNLMFHFLPMAIRYDGTQPEGEHGFQFHVGPMYSDTLGHVRITSANPKDKPEIIFNYLATDQDRREWVEAVKVSRRLLDTPAMKEYTDGEISPGVDVQTDEEILEWVRNDAETALHPSCTAKMGSADDEMAVVDPETMQVHGLKGLYVCDASIMPIITNGNIYAPVIMMAEKAADLIQGKRPLDPIDVPFYQVNKGMPLYAEGEEIRDHKQKIKGADH</t>
  </si>
  <si>
    <t>GC_00002946</t>
  </si>
  <si>
    <t>MGVVLTACTPPSVQEKLPTAMGNATPAPSPTIVDAPAGEVISLPKQLAKVTELDHIGEIVAVRAGAVVGVGTVDQLRAGRLVMVPVDAACGDISAAPASNEFVLGCPDGVYSIPTSVADAADDAGGAGDAAGEESDGGKPAELPTANPMLLQATDQPVTAAVKTTSGMIFAGSSDREDVDVYQDGEKTTIRVEDPTDTMIAVPVSGGEDSVYRINRRTTIIQNINVADKSAGAVLRVGLGVGTITPGAQGMALATDTIGKQFGVYLTHDVIRLHQTTPTTGAPWAIAWDDKRQQVWVATTDDNKIRRYQLGSGQGEELEAYNSIENTQSLVALPDGTILAASATGTDVQVITP</t>
  </si>
  <si>
    <t>MGVVLTACTPPSVQEKLPAAMGNATPVPSPAMVDEPAGEVISLPEQLAKVTELDHIGEIVAVRAGAVVGVGTVDQLRAGRLVTVPVDAACGDISATPASNEFVLGCPDGVYGIPTSVADAADDAGGAGDAAGEESDGGKPAELPTAEPVLLQATDQPVTAAVKTTSGMIFAGSSDREDVDVYQDGEKTTIRVEDPTDAMIAVPVSGGEDSVYRINRRTTIIQNINVADKSAGAVLRVGLGVGTITPGAQGMALATDTIGKQFGVYLTNDVIRLHQTTPTTGAPWAIAWDDKRQQVWVATTDDNKIRRYQLGSGQGEELEAYNSIENTQSLVALPDGTILAASATGTDVQVITP</t>
  </si>
  <si>
    <t>GC_00002947</t>
  </si>
  <si>
    <t>MDHLHTIAHACADARTVLIDGRSGSGKTTFAAALARLTGHEVIHLDDFYPGWWGLNDAMSMVAHDVLHPTHPGYQRWNWGTNTPGEWVYLDPERPRIVEGVGAVSEASIRAAQKRGKVVSIRLHLDAQTRKQRALTRDPAFADWWDVWAAQEDARGEQLPVDYELG</t>
  </si>
  <si>
    <t>MDHLHTIAHACADARTVLIDGRSGSGKTTFAAALARLTGHEVIHLDDFYPGWWGLNDAMSMVAHDVLHPTHPGYQRWNWETNTPGEWVNLDPERPRIVEGVGAVNEASIRAAQKRGKVVNIRLHLDAQTRKQRALTRDPAFADWWDVWAAQEDARGEQLPVDYELG</t>
  </si>
  <si>
    <t>GC_00002948</t>
  </si>
  <si>
    <t>MFYRLFFMRTLATTPATPYFILPETPAAACLHYLRHHGLTTRNELVTRTGFSQPTVTRAVTALIQAQLVQERPDLIFSSGPGRPRVPVELAPSPRLHVGVSIFAHEYFVGYFDTKGRTVRHRQVPYTLSRTTPEKLWEHISTSIHLTGSSLGLPIANIGISTIGTVDDQGTVTMPLPGWGTINCTEKLLTEFGAPVSVADIATSLAAAELFSAPTGPVPPTLVLVADDTFSAATIVDGVAAPIKSTQPTTVQALIDAATPVVHEANIQRIILAGASFVRDQDLRSHVGQKLSTSGKDTIELRLIPERELEMRSAARAIALDRCIAHPVAS</t>
  </si>
  <si>
    <t>MFYRLFFMRTLATTPATPYFILPETPAAACLHYLRHHGLTTRNELVTRTGFSQPTVTRAVTALIQAQLVQERPDLIFSSGPGRPRVPVELAPSPRLHVGVSIFAHEYFVGYFDTKGRTVRHRQVPYTLSRTTPDKLWEHISTSIHLTGSSLGLPIANIGISTIGTVDDQGTVTMPLPGWGTINCTEKLLTEFGAPVSVADIATSLAAAELFSAPTGPVPPTLVLVADDTFSAATIVDGVAAPIKSTQPTTVQALIDAATPVVHEANIQRIILAGASFVRDQDLRSHVGQKLSTSRKDTIELRLIPERELEMRSAARAIALDRCIAHPVAS</t>
  </si>
  <si>
    <t>GC_00002949</t>
  </si>
  <si>
    <t>PF01478.23</t>
  </si>
  <si>
    <t>Type IV leader peptidase family</t>
  </si>
  <si>
    <t>MWPAVTIVIGAAWALALCWYDMKYQRLPDNLTMPVLCCLIIIAARMNYVALFGGLVWFFLYFMIALLVGGIGGGDIKLAPSLGIIIGADGIWPVFTAIFLAQMLTLVGAMVFKRTKIPHGPAMILGCIIVLACHPASSTFIHFDRG</t>
  </si>
  <si>
    <t>N|U</t>
  </si>
  <si>
    <t>Cell motility|Intracellular trafficking, secretion, and vesicular transport</t>
  </si>
  <si>
    <t>COG1989</t>
  </si>
  <si>
    <t>Prepilin signal peptidase PulO (type II secretory pathway) or related peptidase (PulO)</t>
  </si>
  <si>
    <t>MWPAVTIVIGAAWALALCWYDMKYQRLPDNLTMPVLCCLIIIAARMNYVALFGGLVWFFLYFMIALLVGGIGGGDIKLAPSLGIIIGADGIWPVFTAIFLAQMFTLVGAMVFRRTKIPHGPAMILGCIIVLACHPASSTFIHFDRG</t>
  </si>
  <si>
    <t>GC_00002950</t>
  </si>
  <si>
    <t>MSSDKTTSRFFAFVSCGFAGAVVIGLGVWQLGVVQNSSQTTSDAGVIAAITSDSPVPAAMSGTNPSNTPLPVPTPNSSGGNREKTPDNQDNSDNTTTPPTEQPNDIKRDPLLPPRAYVAPDRGNQPKNTSGNVNTFVPPITAENVPRVHPVPPPPLLGDTDTTPTPSATTPASSTPTTTSSSPTTTSTSTEAPHKAERERERASEPTPTPSPAAVPHPQHAPYSQGISPGDSANQAYATMTDPQLADPQL</t>
  </si>
  <si>
    <t>MSSDKTTSRFFAFVSCGFAGAVVIGLGVWQLGVVQNSSQTTSDAGIIAAITSDSPVPAAMSGTNPSNTPLPVPTPNSSGGNREKTPDNQDKNDNTTTPPTEQPNDIKRDPLLPPRAYVAPDRGNQPKNTSGNVNTFVPPITAENVPRVHPVPPPPLLGDTDTTPTPSATTPASSTPTTTSSSPTTTSTSTEAPHKAERERERASEPTPTPSPATVPHPQHAPYSQGTSPGDSANQAYATMTDPQLTDPQL</t>
  </si>
  <si>
    <t>GC_00002951</t>
  </si>
  <si>
    <t>MAADLGLNITGEGTPIVMVMGRNASGRVWDAHQVPGLVARGWRVATFDNRGSGGNIDPNQQFHFNDLVQDVLTIIDQHLGEPAFLVGTSLGSRIVLEAARQRPDLVRGVVAAAAHARLTPLQIAQSKELVAVTDALSTVAPDYLAATTATLNLSPSTLLDDAASADWLALLTFAGQGSTVGLAQQIAADCGSDQSQHYPQIAVPVLTLAYADDRVIFPEQVRDVAQLIPGAEYAELPRAGHFGYLERPNEFNELVHEFFTRTNS</t>
  </si>
  <si>
    <t>MAADLGLNITGEGTPIVMVMGRNASGRVWDAHQVPGLVARGWRVATFDNRGSGGNIDPNQQFHFNDLVQDVLTIIDQHLGEPAFLVGTSLGSRIVLEAARQRPDLVRGVVAAAAHTRLTPLQIAQSKELVAVTDALSTVAPDYLAATTATLNLSPSTLLDDAASADWLALLTFAGQGSTVGLAQQIAADCGSDQSQHYPQIAVPVLTLAYADDRVIFPEQVRDVAQLIPGAEYAELPRAGHFGYLERPNEFNELVHEFFTRTNS</t>
  </si>
  <si>
    <t>GC_00002952</t>
  </si>
  <si>
    <t>PF13333.12</t>
  </si>
  <si>
    <t>Integrase core domain</t>
  </si>
  <si>
    <t>K07497</t>
  </si>
  <si>
    <t>putative transposase</t>
  </si>
  <si>
    <t>COG2801</t>
  </si>
  <si>
    <t>Transposase InsO and inactivated derivatives (Tra5)</t>
  </si>
  <si>
    <t>MFQVAGKRVYLSPVMDLYDRSIIGYSTSLTSTVEFAVTSLKQAFTQAGCPHGVVVHSDQGYHYQHESWRGVLDMFGGIQSMSRKGNCWDNAVMENFFGHMKAEMFHGRCFTSADELITAIREYITWYNMTRLQGVLGGRTPIHARYQALVV</t>
  </si>
  <si>
    <t>MFQVAGKRVYLSPVMDLYDRSIIGYSTSLTSTVEFAVTSLKQAFTQAGCPHGVVVHSDQGYHYQHESWRGVLDMFGGIQSMSRKGNCWDNAVMENFFGHMKAEMFHGRCFTSTDELITAIREYITWYNMTRLQGVLGGRTPIHARYQALVV</t>
  </si>
  <si>
    <t>GC_00002953</t>
  </si>
  <si>
    <t>MKILVPGATGTVGRSVVEQALSRGHDVIAVARTPEKLEISHERLTKAAVDILDVDALTPWLEGVDAVVSTVGVGTANTPTQLYSAGTKNLLAAMGHHGVERLVVISSEVAEHWAHQGLLKLWIVLPLLQHFLGATYDDMRRMDIVLWESDARWTAIRAPRIQPVRPGKAKNRYRLSASAPVPRGWMITAPDMATALLDIVERNDLNRRHVYVAN</t>
  </si>
  <si>
    <t>MKILVPGATGTVGRSVVEQALSRGHDVIAVARTPEKLEISHERLTKAAVDILDVDALTPWLEGVDAVVSTVGVGTANAPTQLYSAGTKNLLTAMGHHGVERLVVISSEVAEHWAHQGLLKLWIVLPLLQHFLGATYDDMRRMDIVLWESDASWTAIRAPRIQPVRPGKAKNRYRLSASAPVPRGWMITAPDMATALLDIAERNDLNRCHVYVAN</t>
  </si>
  <si>
    <t>GC_00002954</t>
  </si>
  <si>
    <t>MNLAAGRRHSVVVRADGTVLATGHNGAGECDVEHWRNVVGVAVGNVHTAANTGRSHTVGLCSDGTVLATGWNSYGQCEVGEWRNVAAIAAGWRRTLGLLDDGTVVATGRMQEGACDVQSWRDIVGITCGDWHSVGLRRDGTVLAVGNNSKGQCLVQGWRDIAAVSAGYLHTVGLRIDGRVIAVGSAVAGTCDVGEWEDVVNVDAGSNHTVAVTSAGRVLATGDNGYGQCDVAAWTDIVAVAAGSTHTLGLRVDGTVLSAGNRDDGRCDVGGWMR-----</t>
  </si>
  <si>
    <t>MNLAASRRHSVVARTDGTVLSTGHNGAGECDVEHWRNVVGVAVGNVHTAANTGRSHTVGLCSDGTVLATGWNSYDQCAVSEWRNVAAIAAGWRRTLGLLDDGTVVATGRMQEGACDVQSWRDIVGITCGDWHSVGLKRDGTVLAVGNNSKGQCLVQGWRDIAAVSAGYLHTVGLRIDGRVIAVGSAVAGACDVGEWEDVVSVDAGSNHTVAVTSVGRVLATGDNGYGQCDVAAWTDIVAVAAGSTHTLGLRVDGTVLSAGNRDDGRCDVGGWRRLAIVS</t>
  </si>
  <si>
    <t>GC_00002955</t>
  </si>
  <si>
    <t>K01286</t>
  </si>
  <si>
    <t>D-alanyl-D-alanine carboxypeptidase [EC:3.4.16.4]</t>
  </si>
  <si>
    <t>KEGG Orthology (KO)&gt;&gt;&gt;09190 Not Included in Pathway or Brite&gt;&gt;&gt;09191 Unclassified: metabolism&gt;&gt;&gt;99980 Enzymes with EC numbers|Enzymes&gt;&gt;&gt;3. Hydrolases&gt;&gt;&gt;3.4  Acting on peptide bonds (peptidases)&gt;&gt;&gt;3.4.16  Serine-type carboxypeptidases&gt;&gt;&gt;3.4.16.4  serine-type D-Ala-D-Ala carboxypeptidase</t>
  </si>
  <si>
    <t>MDTLNCMKALISLLGVILAMAFMASPAHAQSHENDRYQKLADDLKTPGLAVVTFDANGVTDEHYVGVDSNSNPIGPDSLFIWGSISKSFTSALAMMLAEQGKIDLNAPLTRYYPEFQGTALGNNGATVTDLIHHTAGLPRELNPYPHNLQSVIDGVKDLPSVDPVGTHSYSNISYILLQQLIERATGESYSTLLETYVDPATGVTPLSRAATINSTVPAGYAPFFTGNLAVREPIQDYEIGEGNLAGTGRQLADYGAWLLRQHQAGQLPSTLSKVSTTDDYEYGAGLFYEQFDGTQLVYHSGAVPGFKSYMGFNQQTGKGVVVLYNVMGLRDQM-NTGIVTPTLVFAEETLGVTPKQQSSNTHWGDVIVYTQTALIVLALLTIGRVIYTWVRRTPPARSTRRRVITIVAALVLGIGSVLTLVFGPVALLGFTLPLLYITAPDLMLQCWILAAEIAVLTGLIVIRQIAQGKTPSM</t>
  </si>
  <si>
    <t>MDTLNCMKALLSLLGVILAVAFMASPAHAQSHENDRYQKLADDLKTPGLAVVTFDATGVTDEHYVGVDSNSNPIGPDSLFIWGSISKSFTSALAMMLAEQGKIDLNAPLTRYYPEFQGTALGNNGATVTDLIHHTAGLPRELNPYPHNLQSVIDGVKDLPSVDPVSTHSYSNISYILLQQLIERATGESYSTLLETYVDPATGVTPLSRAATINSTVPAGHAPFFTGNLAVREPIQDYEIGEGNLAGTGRQLADYGAWLLRQHQAGQLPSTLPKVSTTDDYEYGAGLLYKQFDGTQLVYHSGAVPGFKSYMGFNQQTGKGVVVLYNVMGIRDQMNNNGIVTPALVFAEETLGVTPKQQSSNTHWGDVIVYTQTALIVLALLTIGRVIYTWVRRTPPARSTRRRVITIVAALVLGIGSVLTLVFGPVALLGFTLPLLYITAPDLMLQCWILAAEIAVLTGLIVIRQIAQGKTPSM</t>
  </si>
  <si>
    <t>GC_00002956</t>
  </si>
  <si>
    <t>MKTARTLLAVLGTLLATLVLIVPAQAQQDRYEQLAHDLHIPGLAMVEFDANGITGEHYVGVDGNNNPITADSLFIWGSVSKSFTGALALELADKGLIDLNAPVTQYYPEFRNTAFGNNGATITDLIHHTSGLPRELGIYPRELPKVIEAVKELKNVNPTGSHSYSNIGYVLLQHAMERATGQSYSELLTHYLNPATGISPISTSKEATEKGVPEGYVPFYMGNRTVSDPVRDAEAGEGYLAGTGRQLATYGAWQLRQHQQGQLPSTFSTVPTGEGSSEYGAGLEYAKATSSIDGSEVEIVSHNGAIWGYTTYLGFNQTTGKGFVVLFNSQGLRRQLNMNMNIKGEAFIAEALGTESHKDLPPSIAFGDITLWVQVALIVILLVAIALTLRTWVRRPAPSRTQRRTIITIASALILGLGTTVAIMIGVPAAIGGMTWKELLISTPDLTLNFWALAAETTILALIITARQLAWRRKTAAASG</t>
  </si>
  <si>
    <t>MKTARPLLAVLGTLLATLVLIVPAQAQQDRYEQLAHDLHTPGLAMVEFDTNGITGEHYVGVDGNNNPITADSLFIWGSVSKSFTGALALELADKGLIDLNAPVTQYYPEFRNTAFGNNGATITDLIHHTSGLPRELGIYPRELPKVIEAVKELKNVNPTGSHFYSNIGYVLLQHAMERATGQSYSELLTHYLNPATGISPISTSKEATEKNVPEGYVPFYMGNRTVSDPVRDDEAGEGYLAGTGRQLATYAAWQLRQHQQGQLPSTFSTVPTGEGSSEYGAGLEYAKATSSIDGSEVEIVSHTGVNWGYFTYFAFNKTTGKGLVVLLNSQGLRDQFNMIL-VKAEPFTAEILGTESRKDLPTAVAFGDITLGVQVALIVILLIAIALALRTWVRRSAPSRTLRCTIITIASALILGLGTTAAIMIGVPAAI-GIPWHELLLSTPDLTLNFWALAAETTILALIITARQLAWRRKTAAASG</t>
  </si>
  <si>
    <t>GC_00002957</t>
  </si>
  <si>
    <t>MTLRLVLMRHGQTHSNLRRVIDTRPPGADLTEKGQQQALSAGAELAEMCGPRISEAYCSVAVRTQQTAERVVGAYEGILGLQPGDVPIAVTEGIHEIDLGELEGRDDHAAYEAYMENLAAWLRSDASAQAEGGETYLQLLDRYVPVLDALIADHEGRDTDLLVVSHGGAIRTVAAHAASVDPQVALDAYIANCQFVVLEPGGKPFGQWAVRYWAGHDVR</t>
  </si>
  <si>
    <t>MTLRLVLMRHGQTRSNLRRVIDTRPPGADLTEKGQQQALSAGAELAEMCGPRISEAYCSVAVRTQQTAERVVGAYEGILGLQPGDVPIAVTEGIHEIDLGELEGRDDHAAYEAYMENLAAWLRSDASAQAEGGETYLQLLDRYVPVLDALIADHEGRDTDLLVVSHGGAIRTVAAHAASVDPQVALDAYIANCQFVVLEPGGKPFGQWAVRYWAGHDVH</t>
  </si>
  <si>
    <t>GC_00002958</t>
  </si>
  <si>
    <t>PF06965.17</t>
  </si>
  <si>
    <t>Na+/H+ antiporter 1</t>
  </si>
  <si>
    <t>K03313</t>
  </si>
  <si>
    <t>Na+:H+ antiporter, NhaA family</t>
  </si>
  <si>
    <t>COG3004</t>
  </si>
  <si>
    <t>Na+/H+ antiporter NhaA (NhaA) (PDB:1ZCD) (PUBMED:25746996)</t>
  </si>
  <si>
    <t>MLTKFKSSFSAFVRNETSGATLLLAATIVALLWANLGGHSYEHFWHTHFSIHLGDVFSVDMSLQHWINDGLMMMFFFLVSLEVKHDFVMGELREWRRASVPVVAAVAGLIVPALIFYAFNAGTDDADAWGVVISTDTAFVMGILAVFGNRLPVQLRAFLVTLAVVDDVGSLLVIATVYTERISFVPLIGVVVIAALLFLVQRARVYRSSVYIAAGATLWLLFLASGVHATIAGVVLGLLLPVFPPERSEVLRAEELTHHFRRTPVASTGSAAVIGILRSVSINERMQLALAPIVNLIVVPVFALSNAGVIISGETLQHAFKSPLTWGIIAGLVGGKYLGVFGASIIATKLRIGELAQCLAYRHINAGSMLTGIGFTISLFIIDLAIKDETAQSDARIGVLTASILAAIIGMVALVLTAAYDARHAPERTRLNRSIDPKRDHILGDPNAPLTLVEYAQLGGVDDTTVEEVVREVRDYFGDDLRFVFRHNPIGDETAERAAEALEAVHAQSPELFNYARTELSRLCEDEELDSRVIRRAAVDVGSNLPRLEKDMRQRTYLSRIHDDADDALGMGLTSTPTFFIGDEIYEGPIESNAIIAALEATRTAEITTVGV</t>
  </si>
  <si>
    <t>MLTKFKSSFSAFVRNETSGATLLLAATIVALLWANLGGHSYEHFWHTHFSIHLGDVFSVDMSLQHWINDGL-MMFFFLVSLEVKHDFVMGELREWRRASVPVVAAVAGLIVPALIFYAFNAGTDDADAWGAVISTDTAFVMGILAVFGNRLPVQLRAFLVTLAVVDDVGSLLVIATVYTERISFVPLIGVVVIAALLFLVQRARVYRSSVYIAAGATLWLLFLASGVHATIAGVVLGLLLPVFPPERSEVLRAEELTHHFRRTPVASTGSAAVIGILRSVSINERMQLALAPIVNLIVVPVFALSNAGVIISGETLQHAFKSPLTWGIIAGLVGGKYLGVFGASIIATKLRIGELAQCLAYRHINAGSMLTGIGFTISLFIIDLAIKDETAQSDARIGVLTASILAAIIGMVALVLTAAYDARHAPERTRLNRSIDPKRDHILGDPNAPLTLVEYAQLGGVDDTTVEEVVREVRDYFGDDLRFVFRHNPMGDEAAERAAEALEAVHAQSPELFNYARTELSRLCEDEELDSRVIRRAAVDVGSNLPRLEKDMRQRTYLSRVHDDADDALGMGLTSTPTFFIGDEIYEGPIESNAIIAALEATRTAEITTVGV</t>
  </si>
  <si>
    <t>GC_00002959</t>
  </si>
  <si>
    <t>K02170</t>
  </si>
  <si>
    <t>pimeloyl-[acyl-carrier protein] methyl ester esterase [EC:3.1.1.85]</t>
  </si>
  <si>
    <t>M00572</t>
  </si>
  <si>
    <t>Pimeloyl-ACP biosynthesis, BioC-BioH pathway, malonyl-ACP =&gt; pimeloyl-ACP</t>
  </si>
  <si>
    <t>KEGG Orthology (KO)&gt;&gt;&gt;09100 Metabolism&gt;&gt;&gt;09108 Metabolism of cofactors and vitamins&gt;&gt;&gt;00780 Biotin metabolism [PATH:ko00780]|Enzymes&gt;&gt;&gt;3. Hydrolases&gt;&gt;&gt;3.1  Acting on ester bonds&gt;&gt;&gt;3.1.1  Carboxylic-ester hydrolases&gt;&gt;&gt;3.1.1.85  pimelyl-[acyl-carrier protein] methyl ester esterase</t>
  </si>
  <si>
    <t>MVFALVTKKFRAWRIARNTRGQEFKPPQFSQGHRVGKLRYYTEGDENSQVTLVFVHGYTLAAQAWHVQVAAFADQVRCIAMDLRGHGKSDPVPASECNIPDAADDVMAVLDDAGVTTPIILVGHSLGTMVVLNFLRRYPQFRLRCRGVVLVSASAQPFASEGMTQLLKLPIVNSLRHVAEENPEDVQALRSAVTNVVAPVVTAAAALAHEEDMRKLHIKLIDDTPLATIIGFLDDLQEEDETESLAQLSSIPGAVLVGADDIFTPVASSEYIVQHWPAARLTVVPSAGHMLPLENPAAVNTAISAMLAVATP</t>
  </si>
  <si>
    <t>MVFALVTKKFRAWRIARNTRGQEFKPPQFSQGHRVGKLRYYTEGDENSQVTLVFVHGYTLAAQAWHVQVAAFADQVRCIAMDLRGHGKSDPVPASECNIPDAADDVMAVLDDAGVTTPIILVGHSLGTMVVLNFLRRYPQFRLRCRGVVLVSASAQPFASEGMTQLLKLPIVNSLRHVAEENPEDVQALRSAVTNVVAPVVTAAAALAHEEDMRKLHIKLIDDTPLATIIGFLDDLQEEDETESLAQLSSIPGAVLVGADDIFTPVASSEYIVQHWPAARLTVVPSAGHMLPLENPAAVNTAISAVLAAATP</t>
  </si>
  <si>
    <t>GC_00002960</t>
  </si>
  <si>
    <t>MGEELFDLLGAPRMS-RRIKTIAAAAVALGIGTLITACGSNDDTPVVQSTWQITNVYVDEQHPSVLPDSIAGKATMVFGESTIAGNSGCAPFQTRVHFTKDGQETSSAEATQVNFYRKKIDDPAGCTGADLYYHDSLTNMLDGTFDVQRKAANELLLVKQTDAFNRPAIRLTSISNRS</t>
  </si>
  <si>
    <t>MGEELFDLLGAPRMSARRIKAIAAAAVALSIGTLITACGSNDDTPVVQSTWQITNVYVDEQHPSVLPDSIAGKATMVFGESTIAGNSGCAPFQTRVHFTKDGQETSSAEATQVNFYRKKIDDPAGCTGADLYYHDSLTNMLDGTFDVQRKAANELLLVKQTDAFNRPAIRLTSISNRS</t>
  </si>
  <si>
    <t>GC_00002961</t>
  </si>
  <si>
    <t>PF20013.4</t>
  </si>
  <si>
    <t>GTPase-associated protein 1, N-terminal domain type 2</t>
  </si>
  <si>
    <t>MAGAFSFASFSRTAGRNGGWGIGELKGDITLDQAHRLRELIPSSINDGVDPGNYPSKEVVAQLTRRFAWLPNGDAGPGFSFYASAQAGKDSTNRPGNVFTFVQVCDDDSMGVYQPTEFLYSEEIPIPFGKNQVDRAEIPERLMLPGPITPEVLDHFLDGWSGRSPLPLYFQAVTPADRRRLAQAIAAATAIKQVVLACPLAESALWVAAVARSTAYSRDFSFSTFETADRIEYILRAGCKLSIVDVAHAHHVAPKVAAMDALFIRSDDPDWAELESYESNENSDLLSMEIPSLDAGPMGGAAADPAAGGGLLPGAELSTVDLTKLPELSTLSEQSVLDYRLQPALGGATTDSLQQNFNTQTMPLNSRVMGLEEFERQIIESPEIYSYLRILNELDDNLTSWAAKLVRVHELLTLDPNDATGLHVRSAFLALVLLEGVPQYWSGVHSFVHLTAEEKTTLVTTAKNYVVQLLMTYQLSRDNWEQRISETNTYYDNLDLVGLLEAVKTQVLAELKTESVHHHPPQY</t>
  </si>
  <si>
    <t>MAGAFSFASFSRTAGRNGGWGIGELKGDITLDQAHRLRELIPSSINDGVDPGNYPSKEVVAQLTRRFAWLPNGDAGPGFSFYASAQAGKDSTNRPGNVFTFVQVCDDDSMGVYQPTEFLYSEEIPIPFGKNQVDRAEIPERLMLPGPITPEVLDHFLDGWSGRSPLPLYFQAVTPADRRRLAQAIAAATAIKQVVLACPLAESALWVAAVARSTAYSRDFSFSTFETADRIEYILRAGCKLSIVDVAHAHHVAPKVAAMDALFIRSDDPDWAELESYESNENSDLLSMEIPSLDAGPMGGAAADLAAGGGLLPGAELSTVDLTKLPELSTLSEQSVLDYRLQPALGGATTDSLQQNFNTQTMPLNSRVMGLEEFERQIIESPEIYSYLRILNELDDNLTSWAAKLVRVHELLTLDPNDATGLHVRSAFLALVLLEGVPQYWSGVHSFVHLTAEEKTTLVTTAKNYVVQLLMTYQLSRDNWEQRISETNTYYDNLDLVGLLEAVKTQVLAELKTESVHHHPPQY</t>
  </si>
  <si>
    <t>GC_00002962</t>
  </si>
  <si>
    <t>MGGVMTATVAGVAAAVGVVVIVAAAAEPAAGVVGVAAAGFAVAAILVVVVGVAKTVVDIVVARAGVVAGAAGVVVVVAAAVAVIVGVMVRMGAGAGWG</t>
  </si>
  <si>
    <t>MGGVMTATVARVAAAVG-VVIVAAAAEPAAGVVGVAAAGFAVAAILVVVVGVAKTVVDIVVARAGVVAGAAGVVVVVAAAVAVIVGVMVRMGAGAGWG</t>
  </si>
  <si>
    <t>GC_00002963</t>
  </si>
  <si>
    <t>METLNAPNTEVHVAAVPQPARPVWLIILTVSLPMFMASLDNLIVTNALPVIGRELGATFEQLSWFVNAYTLAFASLVLTSSGVADRCGRRCIFAGGLTLFTVASLLCGLSTEPWMLIAARTLQGVGAAALFPLSLTLLSTSVPERLRPAVIGIWGGISGLGVALGPLIGGIVVEGVNWEAAFWINVPVGIACLALIYWVIPESYGKAQKLDLLGVILAVIGVFALTYGISRGNDKGWTSTEILASIISGSVFLLAFLIWETRTSHPVLPLSMFKNSSFSIANAVSFLFTFGTFGAVFLLSQFLQVVLGNNPLEAGVKTMPWTLAPLFVAPISGWLAGRIGNRPVIFVGLILLASGLTWIAAILAPDMSYRSMIPAMIIAGVGMGLVFSPIVNAVLVGMASEEQATASGTNATIREVGVVFGVAGLTAIFLVYDGQLTPTAFTDAAIPAIFFGAAAVGISALMTLRLPS</t>
  </si>
  <si>
    <t>METLNAPNTEVHVAAAPQPARPIWLIILTVSLPMFMASLDNLIVTNALPVIGWELGATFEQLSWFVNAYTLAFASLVLMSSGLADRCGRRRIFAGGLALFTVGSLLCGLSTEPWMLIAARTLQGVGGAALLPLSLTLLSTSVPERLRPAVIGIWGGISGLGVALGPLIGGIVVEGVNWEAAFWINVPVGIACLALIYWVIPESYGKAQKLDLLGVILAVIGVFALTYGISRGNDKGWTSTEILASIISGSVFLLAFLIWETRTSHPVLPLSMFKNSSFSIANAVSFLFTFGTFGAVFLLSQFLQVVLGNNPLEAGVMTMPWTLAPLFVAPISGWLAGRIGNRPVIFVGLILLASGLTWIAAILAPDMSYRSMIPAMIIAGVGMGLVFSPIVNAVLVGMASEEQATASGTNATIREVGIVFGVAGLTAIFLAYDGQLTPTAFTDAVIPAIFFGAVAVGISALMTLRLPS</t>
  </si>
  <si>
    <t>GC_00002964</t>
  </si>
  <si>
    <t>MPFDSVAVDLHEVQTIFQAIDHYLVAQKSHGLDTPELEFTDLGTEFADFAAPLRNHYAQLHADQAAHVTALREACAAAHREVRRFADHDANFAHTMGDAAWTPR</t>
  </si>
  <si>
    <t>MPFDSVAVDLHEVQTIFQAIDHYLVAQKSHGLDTPELESTDLGTEFADFAAPLRNHYAQLHADQAAHVTALREACAAAHREVRRFADHDANFAHTMGDAAWTPR</t>
  </si>
  <si>
    <t>GC_00002965</t>
  </si>
  <si>
    <t>PF17124.11</t>
  </si>
  <si>
    <t>ThiJ/PfpI family-like</t>
  </si>
  <si>
    <t>MTSVLFVVSAARMWELTDGTRHPTGYWAEELATPHHIFSEAGWGIDIATPGGVAPTVEKSSLGIAGGMPAHRRRVTAYLDAIAADLAHPIPLDRVDETQYDLVFYPGGHGVMVDLAFDETSGSVLTRRLRSGKPLALLGHGVAAILAAKNPRNPRAPSPFADYQVTAVSTVEEKLSPFGRKIPWYLEDRLAEIGVYYHKARIPFRPFIVQDRHLYTGQNPASHEALAHCLLDDIG</t>
  </si>
  <si>
    <t>GC_00002966</t>
  </si>
  <si>
    <t>PF01656.29</t>
  </si>
  <si>
    <t>CobQ/CobB/MinD/ParA nucleotide binding domain</t>
  </si>
  <si>
    <t>COG0455</t>
  </si>
  <si>
    <t>MinD-like ATPase FlhG/YlxH, activator of the FlhF-type GTPase (FlhG) (PDB:1G3Q)</t>
  </si>
  <si>
    <t>-------------------------------------------------------------------------------------------------------------------------------------------------------------------------------------------------------------MGKHSSPGQYDLTPPNALNQSVIVNPVKRAPKSGWRKFVHGMTGGYINPG</t>
  </si>
  <si>
    <t>MNDQPGNNANMPAWLSVARQNNTTPAQQQDPVSLQPQQPQPQPQSQQQPKPNPQPETPQQSPQQQQQSQSEQSQPTWRQQQPQPQPEPAAEPEPLPKPVPEPKDPPTTQPQQQSRQQRQQQSESRGSRHSTPYGNDTPYMYEQAPLPPGPFPPSELPPAPSSRTAGSQQVTQPQQPPQPPTGPPTQQQPAVTPTSPPPEPPPSSIVGKHSSPGQYDLTPPNALNQSVIVNPVKRAPKGGWRKFVHGMTGGYINPGDSARNARADELLQRIQTPLRGDYRIAVMSLKGGVGKTTTTVTLGGVFASLRGDRVIAIDANPDLGTLAQRVAAPGPSTIRDLLAATDTSRYPQVRSYTTQAKSRLEVIGSERDPAFSESFSEMDYRRAIDILQHHYNVILTDCGTGLMHSAMAGVLDLANTLILVSSPALDGAQSASATLDWLNLHGYEQLAANSVVVISGAHPGQATIDMDQLISHFRSRTRAVQVIPFDRHLSEGAVVDLDLISKNTMRAYKELAAIVAEDFDRWHRHSSGEQ</t>
  </si>
  <si>
    <t>GC_00002967</t>
  </si>
  <si>
    <t>MSQRPSQPPSPDHAPEYPATTSTVVFLVATALVVLTQLYLAIPLIAPVGRGLGGDATLALSTAFSLCYASGFLIWGPISDRYGRKKILLCGMTLLILTTACCAMAPNLPTLGVLRGLQGFSAASFAPIALAYLAEALPITHRPTAIGAMSTAFLVAGIVGQVFAATINLTFATWRAVFLSSTILLILCFLSLFPTRRMVEIPHATTAGSMRQSFVVVGQIITKPRTQFLCLAHVTVLMSFVAMYSALGPHLGSIGMSQSQLIWLRLAGLPSMCVSLVIGRIAARIPIGTIARASFIVAALGLLLEGLLSATLWGIIVASLVFVAGIAMAVPTMITLFGQASAPYRAGGMAVNGAVLFIGATLGPLAARLPVGFSTLMWALAGVLLLACGCVMVFQRLSPPDER</t>
  </si>
  <si>
    <t>MSQRPSQPPSPDHAPEYPATTSTVVFLVATALVVLTQLYLAIPLIAPVGRGLGGDATLALSTAFSLCYASGFLIWGPISDRYGRKKILLCGMTLLILTTACCAMAPNLPTLGVLRGLQGFSAASFAPIALAYLAEALPITHRPTAIGAMSTAFLVAGIVGQVFAAAINLTFATWRAVFLSSTILLILCFLSLFPTRRMVEIPHATTAGSMRQSFVVVGQIVAKPRTQFLCLAHVTVLMSFVAMYSALGPHLGSIGMSQSQLIWLRLAGLPSMCVSLVIGRIAARIPIGTIARASFIVAALGLLLEGLLSATLWGIIVASLVFVAGIAMAVPTMITLFGQASAPYRAGGMAVNGAVLFIGASLGPLAARLPVGFSTLMWALAGVLLLACGCVMVFQRLSPPDER</t>
  </si>
  <si>
    <t>GC_00002968</t>
  </si>
  <si>
    <t>MKTINIRTTLLCAFLLLAIPMATTTVAGATDLYDGPLTPIGFKIVNGKSTGNPITIKTEDLVKSPGYTHTESSPGTYTTPEAVIETDDREQITDTTKTPYRWLGRVGFTMEDGRKNHCTGFLVSSDTVVTAGHCVSGKVSDITFTPGVNGDATPFPTAKATQIWYDNKVFLPNPQQDWGVIKLDTPIGDKVGWFGMAIPNDEDLIGRQATVIGYPTTYPGKPEATLWKDRNTITGITPIEITHIIDTTRGQSGGPILSDTNTVYGIHKGGSAYANVGNRMTAELFNLIVNVSKM</t>
  </si>
  <si>
    <t>MKTINIRATLLCAFLLLAIPMATTTVAGATDLYDGPLTPIGFKIVNGKSTGNPITIKTEDLVKSPGYTHTESSPGTYTTPEAVIETDDREQITDTTKTPYRWLGRVGFTMEDGRKNNCTGFLVSSDTVVTAGHCVSGKVSDITFTPGVNGDTTPFPTAKATQIWYDNKVFLPNPQQDWGVIKLDTPIGDKVGWFGMAIPNDEDLIGRQATVIGYPTTYPGKPEATLWKDRNTITGITPIEITHIIDTTRGQSGGPILSDTNTVYGIHKGGSAYANVGNRMTAELFNLIVNVSKM</t>
  </si>
  <si>
    <t>GC_00002969</t>
  </si>
  <si>
    <t>MQLISLDADSTYEQPMGLGESRWGTVAVHVKTADHSGQRGASGAQLMLAHEFIATRLAGALGLPVVSGEVVTLPDRNGTAWASLQVDAIEPTFPPTNPAELASIFPEVTAGIEVFDLWLGNTTRTEHNILFSPDVGAWVVGHEGCFADLDGETPAEEPSGFLPPPDPRCPHVKKWCARVQFFPSDTIEHIMQTAFSLRLLNAQTRNAYKKYLLNRRDRIQELVNTASPYGEVEANQPTLNFVGADE</t>
  </si>
  <si>
    <t>MQLISLDADSTYEQPMGLGESRWGTVAVHVKTADNSGQRGAGGAQLMLAHEFIATRLAGALGLPVVSGEVVTLPDRNGTAWASLQVDAIEPTFPPTNPAELASIFPEVTAGIEVFDLWLGNTTRTEHNILFSPDVGAWVVGHEGCFADLDGETPAEEPSGFLPPPDPRCPHVKKWCARVQFFPSDTIEHIMQTAFSLRLLNAQTRNAYKKYLLNRRDRIQELVNTASPYGEVEANQPTLNFVGADE</t>
  </si>
  <si>
    <t>GC_00002970</t>
  </si>
  <si>
    <t>MVNGHNDERNVPDERHTHSPAHDNDAEPSPETMTLADVANAQDAETEEYARVFLLKAMRLRGVAINREHFLRAELRRRGISEETITAAIALTPIQAGVDQKILDSIASGAIKFETSKSSLVSFTSGLPGGFAVLAAIPADLLQYFIHAFRIMQKIAYTYGWQNLIDDVDEIDDETFAKMVTLLGVMMGVSSASTSIKAFATGATKAVQKQVTNAALTKTAWYGPMKKVLRVVGIKITKDTVGKGISKAVPVLGGIISGGMTFATLTTESNRLKKHLRELPPPGVDGAEFKKMGSRLGKNHPTKFA</t>
  </si>
  <si>
    <t>GC_00002971</t>
  </si>
  <si>
    <t>MINFADAPDVVAPQLLGCVLTIGEVSLRITEVEAYLGANDEASHAYRGKTARNAAMFGPPGCLYVYNSYGIHKAGNIVCWPDGTAGGVLLRAGAIVAGSDVAQARRGDVHPHSRLAQGPGNLGKALGLLIEHNHSPISQDPTDAEAGFLLVSPDEPVDYMTGPRIGISKNTEPHWRFWIPGDPTVSKKRR</t>
  </si>
  <si>
    <t>MINFADAPDVVAPQLLGCVFTIGEVSLRITEVEAYLGANDEASHAYRGKTARNAAMFGPPGCLYVYNSYGIHKAGNIVCWPDGTAGGVLLRAGAIVAGSDVAQARRGDVHPHSRLAQGPGNLGKALGLLIEHNHSPISQDPTDAEAGFLLVSPDEPVDYMTGPRIGISKNTEPHWRFWVPGDPTVSKKRG</t>
  </si>
  <si>
    <t>GC_00002972</t>
  </si>
  <si>
    <t>K15771</t>
  </si>
  <si>
    <t>MLSTLKTVQTNGDIYTKLSLLVFGLGNMKRGQVAKGLIFLAIEIAALIWFFTIGLQKILELPGLGSNGEQTKEKIDGYWYYDQTTPSVVVLLYGVVAICCLVALIWFATVSCRSAYKAQESQMRTGTVRSFQEDLRQLTNDDAHITFMTLPTLGILLFTILPLIFMISMAFTSYDSRHTLYFEWVGFENFGKVLSNSGGIVNLSLFVEVLVWTLVWAFFATFLNYFLGMFVAMMINRRTTIGKNAWRAIFSLSVAVPQFASLLVMRSMLQPQGAINRLLMSSGLINDPLPFFTDTTWARVTVIVINLWIGIPFTIMQITGILQNIPSELYEAARLDGASWWQTYRFITMPYLLFVTTPYLITTFTANVNNFNVIYMLSGGSPTPVGASAGKTDLLITWLYKLTVDRGDYNVGAVIGILTFIVLSAVALITYRRSGSYRNEEGFQ</t>
  </si>
  <si>
    <t>MLSTLKTVQTNGDIYTKLSLLVFGLGNMKRGQMAKGLIFLAIEIAALIWFFTIGLQKILELPGLGSNGAQTKEKIDGYWHYDQTTPSVVVLLYGVVAICCLVALIWFATVSCRSAYKAQEAQMRTGTVRNFQEDVRQLTNDDAHITFMTLPTLGILLFTILPLIFMISMAFTSYDSRHTLYFEWVGFENFGKVLSNSGGIVNLNLFVGVLVWTLVWAFFATFLNYFLGMFVAMMINRRTTVGKNVWRAIFSLSVAVPQFASLLVMRSMLQPQGAINRLLMNSGLINDPLPFFTDTTWARVTVIVINLWIGIPFTIMQITGILQNIPGELYEAARLDGASWWQTYRFITMPYLLFVTTPYLITTFTANVNNFNVIYMLSGGNPTPVGASAGKTDLLITWLYKLTVDRGDYNVGAVIGILTFIVLSAVALITYRRSGSYRNEEGFQ</t>
  </si>
  <si>
    <t>GC_00002973</t>
  </si>
  <si>
    <t>MGIVTSLLKHRARLRSEAKAHIKAQIKSAKAQAKEVGRQQRRADKNRDRLLARQEKSLNKQNSRGLKAKRRHERRMAKASLAKMRAGRFNRQNIVRYTAAGRMLAPIALPLLYRGVTFARAQLVAAKARRLGVTPDALAQFSGHGAALHSRIAGVSSSLEGTGLATGFVQDAQERLTQLRNAVDNAEYMTPEQRRRAHASITADIDALTGQIQERLARA</t>
  </si>
  <si>
    <t>MGIVTSLLKHRARLRSEAKAHIKAQIKSAKAQAKEVGRQQRRADKNRDRLLARQEKSLNKQNSRGLKAKRRHERRMAKASLAKMRAGRFNRQNIVRYTAAGRMLAPIALPLLYRGVTFARAQLVAAKARRLGVTPDALAQFSGHGAALHSRIAGVSSSLEGTGLATGFVQDAQERLTQLRNAVDNAEYMTPEQRRRAHASITADIDALTGQIQERLTRA</t>
  </si>
  <si>
    <t>GC_00002974</t>
  </si>
  <si>
    <t>MLRQRSGTIIIVVIVALFVGYSVHTAVESRRTQAVARAIEEYMAVLDAEWVDADCMPDHCPKSSKSLPGVPQDRALFTSTEGGIIRGRGKDISTVAPVRSSLAIYELKKQKHGVVEAYVDITVTQCPFSGNKGDPYEVLPDLYRITLAPSGVDKHNYVVMDDEYLNPTKYRPGPGGVAIYYRDNGRKPQCFG</t>
  </si>
  <si>
    <t>MLRQRSGTIIIVVIVALFVGYSVHTAAESRRTQVVARAIEEYMAVLDAEWVDADCMPDHCPKSSKSLPGVPQDRALFTSTEGGIIRGRGKDVSTVAPVRSSLAIYELKKQKHGVVEAYVDITVTQCPFSGNKGDPYEVLPDLYRITLAPSVVDKHNYVVMDDEYLNPTKYRPGPGGVAIYYRDNGRKPQCFG</t>
  </si>
  <si>
    <t>GC_00002975</t>
  </si>
  <si>
    <t>MIMSMQQYPRNPIEQRKRAVRTYSRNGVVSVVGGAAGGILLSTITGASFFLFLGLIIAVVGGFVNYRRVRRIINHRD</t>
  </si>
  <si>
    <t>MIMSMQQYPRNPIEQRKRAVRTYFRNGVVSVAGGVAGGILLSIITQVSFWLFLGMIIAVVGGFVNYRRVRRIINHRD</t>
  </si>
  <si>
    <t>GC_00002976</t>
  </si>
  <si>
    <t>MDYQELAAKQRGFLLSSQLSDREFSDAIRTGFICSPPGMQWYFHHGRSNEIPCASTKYMQYAYCTKLVGGHIADSIYLDWLVAFPTIPPEHRHPTPYVCGTKALKARGFDTGRCAVADIIMTPPGLLPYIDETSLCDYIINEHITPDDWELVDNIPVENPLPAMRKFHEDGDDRIDAIDMAYQAYHRGYSWEDIAWTIEPAKGLWVDDDTGTQPANGKELLDIFFAERSPDDPRPPYDDDDW</t>
  </si>
  <si>
    <t>MDYQELAAKQRGFLLSSQLSDREFSDAIRTGFICSPPGMQWYFHHGRSNEIPCASTKYMQYAYCTKLVGGHIADSIYLNWLVAFPTIPPEHRHPTPYVCGTKALKARGFDTGRCAVADIIMTPPELLPYIDETSLCDYIINEHITPDDWELVDNIPVENPLPAMRKFHEDGDDRIDAIDMAYQAYHRGYSWEDIAWTIEPAKDLWVDDDTGTQPANGKELLDIFFAERSPDDPRPPYDDDDW</t>
  </si>
  <si>
    <t>GC_00002977</t>
  </si>
  <si>
    <t>PF22590.2</t>
  </si>
  <si>
    <t>CRISPR-associated nuclease/helicase Cas3, C-terminal</t>
  </si>
  <si>
    <t>K07012</t>
  </si>
  <si>
    <t>CRISPR-associated endonuclease/helicase Cas3 [EC:3.1.-.- 5.6.2.4]</t>
  </si>
  <si>
    <t>COG1203</t>
  </si>
  <si>
    <t>CRISPR-Cas type I system-associated endonuclease/helicase Cas3 (Cas3)</t>
  </si>
  <si>
    <t>Enzymes&gt;&gt;&gt;5. Isomerases&gt;&gt;&gt;5.6  Isomerases altering macromolecular conformation&gt;&gt;&gt;5.6.2  Enzymes altering nucleic acid conformation&gt;&gt;&gt;5.6.2.4  DNA 3'-5' helicase|Prokaryotic defense system&gt;&gt;&gt;CRISPR-Cas system&gt;&gt;&gt;Type I CRISPR-Cas system&gt;&gt;&gt;Type I signiture cas proteins</t>
  </si>
  <si>
    <t>MINKQTVKRSDFSAFFAALNGGHAPFSWQQDLVDQIVTTGTWPERIVAPTGAGKSSVVDVHLFVNALFASGNGPRVPRRLCVVVGRRALVDSQADRAMNIQRTMVDVLNNDAANDESDIIYRVAKLLSSFHVHDVTEPFLVGHIRGELSNRSLPVNELSVCAVIAATPDMWGSRLLFKGYGSSKQARPRETALIAMDSVFVLDEAHLNQQLLVTARRVAKLQEFGADIGVPRLQVVETTATPSELKKGQTEVGVDVSNLGGADDAELLRRVNSVKELRRVSVEKWNGAPGNSEVVAHAVAEIHNLRNDQTGSGVEQSRTIGCIVNHVDTAVKIANELKKRKLNVELIVGRMRTYDLEQLREKHPLLFTCVGDSEIDVVVATQTLEVGIDIDFYSLVTELAPASSLAQRFGRVNRLGKRTDSKIVVLEPVDLAKVKDLMPPYKGDDLRESYNWLDALSQQGNANPAAMLACVPPETLPSRLLYQRPELTDLLEFSRTSEDAYAEPDLDLWLHDSLEEQMAIGGIVVREQLPGDDFVALELLKAFPPKNNEVFPASLDVLHHILSQLVVDDKQRIRLERSEPDILRRAFFLRDGEIEICTPRHRSRPGDLIIIDRGIPFTTEKVAVTGNPGDKEPPEAVKDKYTKILTFDAGMSKSEAEIFREFCGLTPDEATSIWREFGNVDDDIVLSSSIQDDLRFGEVVSWYAVTRKEEPQEDSDIRQEWTYTQGKIFLEDHQRDVAARAEKIACVVGLKEDFAEDVVFAARHHDDGKSDSRFQSMLGGLKSEKSLAKSEVRTRQETKIARQRSGLPQGWRHEQMSVALVANERAQGKLECSDLALRIIGCSHGHGRNSFAHTDRILLPQNSQDPISDTLQEQAHELFFTGRWEELIERTDVEFGPYMTAYLEALERAADVQISAEGK</t>
  </si>
  <si>
    <t>MTNKQAVQRDDFSAFFAALNGGHAPFSWQQDLVDHIVTTGNWPHRIVAPTGAGKSSVVDVHLFVNALFASGNGPRVPRRLCVVVGRRALVDSQADRAMNIQRTMVDVLNNDAANDESDIIYRVAKLLTSFHVHGVTEPFLVGHMRGELSNRSLPVNEPSACAVIAATPDMWGSRLLFKGYGSSKQARPRETALIAMDSVFVLDEAHLNQQLLVTAGRVAELQKFGADIGVPCLQVVETTATPSELKDGQSEVGVDVSNLDGADDAELLRRVNSVKELRRVSVEKWNGAPGNSEVVAHAVAEIHNLRNDQTGSEVEQSRTIGCIVNHVDTAVKIANELKKRKLNVELIVGRMRTYDLEQLREKHPLLFTCVGDNEIDVVVATQTLEVGIDIDFYSLVTELAPASSLAQRFGRVNRLGKRTDSKIVVLEPMDLAKVKDLMPPYKGDDLRKSYNWLDALSQQGNANPAAMLACVPPETLPSRLLYQRPELTDLLEFSRTSEDAYAEPDLDLWLHDSLEEQMAIGGIVVREQLPGDDFVALELLKAFPPKNNEVFPASLDVLHHILSQLVVDDKQRIRLERSEPDILRRAFFLRDGEIEICTPRHRSRPGDLIIIDRGIPFTTEKVAVRGNPGDKEPPEAVKDKYTKILTFDAGMSKSEAEIFREFCGLTPDEATSIWREFGNADDDIVLSSSIQDDLRFGEVVSWYAVTRKEEPQEDSDIRQEWTYTQGKIFLEDHQRDVAARVEKIACAVGLKEDFSEDVVFAARHHDDGKSDSRFQSMLGGLKSEKSLAKSEVRTRQETKIARQRSGLPQGWRHEQMSVALVANERAQGKLECSDLALRIIGCSHGHGRNSFAHTDRILLPQNSQDPISDTLQEQAHELFFTGRWEELIERTDVEFGPYMTAYLEALERAADVQISAEGK</t>
  </si>
  <si>
    <t>GC_00002978</t>
  </si>
  <si>
    <t>PF02452.23</t>
  </si>
  <si>
    <t>PemK-like, MazF-like toxin of type II toxin-antitoxin system</t>
  </si>
  <si>
    <t>MDTPRGTNGLHKPRKPLRRRIRRTLKRIRRPEAITLEEGLDKLAELLGLHDTRIDDPEERAAVTTVRPTEHHARSIYYAPDMDGQADPGEVIWVWIQPNLPGHPARERAMVVVGRSQHLLLGLLISPNPEHANEDNWIDIGSGGWDVAGRQCWVRLDKILEVPESTIRRQGAIMPKSRFERIAQRLRSDYSWV</t>
  </si>
  <si>
    <t>MDTPRGTNGLHKPRKPLRRRIRRTLKRIRRPEAITLEEGLDKLAELLGLHDTRIDDPEERAAVTTVRPTEHHARSIYYAPDMDGQADPGEVIWVWIQPNLPGHPARERAMVVVGRSQHLLLGLLISPNPEHANEDNWIDIGSGGWDVAGRQCWVRLDKILEVPESTIRRQGAIIPKSRFERIAQRLRSDYSWV</t>
  </si>
  <si>
    <t>GC_00002979</t>
  </si>
  <si>
    <t>MITIHTNPTINRPQLARLFADGFIDDPVWTAIMPTRRLRRHLIQAEINAGLRHVGTGRALDVAYLDDRIAGALLLTPPQDGAEPPPGIIERAMASVEQFVPALRRGIKHQEAIDQYQPEEPHWYLTDIVVSPDMQGHGVGSALLEYRLELSGDDPIFLEATTAGSARLYQRHGFHPLATVSVLPRTESVVMLRKS</t>
  </si>
  <si>
    <t>MITIHTNPTINRPQLARLFADGFIDDPVWTAIMPTRRLRRHLIQAEINAGLRHVGTGRALDVAYLDDRVAGALLLTPPEDGAEPPPGIIERAMASVEQFVPALRRGIKHQEAIDQYQPEEPHWYLTDIVVSPDMQGHGVGSALLEHRLELSGDDPIFLEATTAGSARLYQRHGFHPLATVSVLPRTESVVMLRKS</t>
  </si>
  <si>
    <t>GC_00002980</t>
  </si>
  <si>
    <t>PF01938.26</t>
  </si>
  <si>
    <t>TRAM domain</t>
  </si>
  <si>
    <t>K03215</t>
  </si>
  <si>
    <t>23S rRNA (uracil1939-C5)-methyltransferase [EC:2.1.1.190]</t>
  </si>
  <si>
    <t>COG2265</t>
  </si>
  <si>
    <t>tRNA/tmRNA/rRNA uracil-C5-methylase, TrmA/RlmC/RlmD family (TrmA) (PDB:1UWV)</t>
  </si>
  <si>
    <t>Enzymes&gt;&gt;&gt;2. Transferases&gt;&gt;&gt;2.1  Transferring one-carbon groups&gt;&gt;&gt;2.1.1  Methyltransferases&gt;&gt;&gt;2.1.1.190  23S rRNA (uracil1939-C5)-methyltransferase|Ribosome biogenesis&gt;&gt;&gt;Prokaryotic type&gt;&gt;&gt;rRNA modification factors&gt;&gt;&gt;23S rRNA modification factors</t>
  </si>
  <si>
    <t>MTTNLTHGDHITTTITRPAHGGVGIGDLDGRVVFVRGTYPGDVVEACITQVKKNYAKATLVDIVTPSPLRVPNRCPAAAHGAGCCDFADLKPEAELELKTTILTGQLTKLGKLAALPPITAQELLPTTGWRSRIRLGVDRAGRAGFRKAHSHDLVTDHRCIQPMPGLLGDGPDSIVGADSKYRFTPGAEVIAVLDDDGTRHVVEVRKPARGRRSEIITKVISGTGDVVQKVGEYTFTLPPTAFWQAHHQALSTYSDLITQWVTGGQYGVEPVGWDLYGGVGALVPALHHALGNNSHIHSVESARIMATSGQVTFGDDVHFHIGLVGNLVDTLPQPDVVVLDPLRVGAGADVVTRIAARKPQRVIHIGCDPATFATDIRAWSQAGYHLSDIVVVNAFPGTHHFETLGLLQP</t>
  </si>
  <si>
    <t>MTTNLTHGDHITTTITRPAHGGVGIGDLDGRVVFVRGTYPGDVVEARITQVKKNYAKATLVDIVTPSPLRVPNRCPAAAHGAGCCDFADLKPEAELELKTTILTGQLTKLGKLAALPSITAQELLPTTGWRSRIRLGVDRAGRAGFRKAHSHDLVTDHRCIQPMPGLLGDGPDSIVGADSNHRFTPGAEVIAVLDDDGTRHVVEVRKPARGRRSEIITKVISGTGDVVQKVGEYTFTLPPTAFWQAHHQALSTYSDLITQWVTGGQYGVEPVGWDLYGGVGALVPALHHALGNNSHIHSVESARIMATSGQVTFGDDVHFHIGLVGNLVDTLPQPDVVVLDPPRVGAGADVVTRIAARKPQRVIHIGCDPATFATDIRAWSQAGYHLSDIVVVNAFPGTHHFETLGLLQP</t>
  </si>
  <si>
    <t>GC_00002981</t>
  </si>
  <si>
    <t>MTDSEPAQRFGVPPHPQVRLVSRPASVPPHTWQGQAAELVAAAESSARSGVWRVTGVAGSGVTSLLVDALTARLGSGAPASSVCVIATSKESGGRLRRVLAERASQLENSHYVAEGTLVRSVHSFAFAIVRAASIRAQKPAPRLITGAEQDAVIRELLLGHAADGRGEWPPEQREALRMVGFARQLRDFLLRAVERGAGPEDVEELGRRYDRPLWVSAGAFLREYEQTMALSGAHSLNASELVTAALEALSLDPGLLTMLQEQWETVMVDDAQHLDPQSARLVSLFLPSAKLGVIAGDPAQSVFRFRGARPEFLTKYPANHEVVLNTSFRHPEDCSVVVAPTASEHALVVANRVRRAHLLHGVPWSDIAVIVRSVRQLAGVRRALLLAGVPVHLDPTDVVLAEQRIVASMMLGVRALTQPLNSAELEELVLGPIGGADPVTLRRLYRGLRQAEMMRGGSRRAVQVLADLVLPTSWRGTPPEERATEYEDATARLTEREVDVLTRIRAVLDAGFQSRAAGDSVEMILWSLWEATGLSDRLMAASLRGGAAGSQADRDVDAMMSLFDAAGDYVERRPTASIESFVRHIAEQQLPTGSRDRRGVLPDAVRVLTAHAAVGQEWHTVVVAGVQEGTWPTLGETGSLFGQEELVDVLDDGIDPNIPISRSVERLAEERRLFRLATSRATGSLFVTAVDAPDAEDALEPSRFLEELCSERGIEAERVEEQETSIAGTPGGRHDRRLLSTTAIVAELRRVVCDPAERPLRREQAARQLARLARAGVYGADPEDWWGMRGASTREPLQKPRRSVQLSPSRIESTLRCPLRSVLDRLVDDADTPIHMVRGTLAHGFAEAIARGADSDAASALVYEAYAGLLDVPVWQRDTALREWDTLIDNLERWLENTRGQFEQVGVEMDMRVSVGTTESGAPLRIKGRMDRLERNNDGELVVVDVKTGSSKPAQKNMGEHAQLSAYQLALSRGVVDGDSVRDPYPGETPDSVGGGVLVYPSATDVGKYTTREQAAKTPEELEELAAILPGVAAAIRGPALTAIVNDNCDNCRLQSICPAQPTGRMLTNGS</t>
  </si>
  <si>
    <t>MTDSEPAQRFGVPPHPQVRLVSRPASAPPHTWQGQAAELVAAAESSARSGVWRVTGVAGSGVTSLLVDALTARLGSGAPASSVCVIATSKESGGRLRRVLAERASQLENSHYVAEGTLVRSVHSFAFAIVRAASIRAQKPAPRLITGAEQDAVIRELLLGHAADGRGEWPPEQREALRMVGFARQLRDFLLRAVERGAGPEDVEELGRRYDRPLWVSAGAFLREYEQTMALSGAHSLNASELVTAALEALSLDPGLLTMLQEQWETVMVDDAQHLDPQSARLVSLFLPSAKLGVIAGDPAQSVFRFRGARPEFLTKYPANHEVALNTSFRHPEDCSVVVAPTASEHALVVANRVRRAHLLHGVPWSDIAVIVRSVRQLAGVRRALLLAGVPVHLDPTDVVLAEQRIVASMMLGVRALTQPLNSAELEELVLGPIGGADPVTLRRLYRGLRQAEMMRGGSRRAVQVLADLVLPTSWRDTPQEERATEYEDATARLTEREVDVLTRIRAVLDAGFQSRAAGDSVEMILWSLWEATGLSDRLMAASLRGGAAGSQADRDVDAMMSLFDAAGDYVERRPTASIESFVRHIAEQQLPTGSRDRCGVLPDAVRVLTAHAAVGQEWHTVVVAGVQEGTWPTLGETGSLFGQEELVDVLDDGIDPNIPISRSVERLAEERRLFRLATSRATGSLFVTAVDAPDAEDALEPSRFLEELCSERGIEAERVEEQETSIAGTPGGRHDRRLLSTTAIVAELRRVVCDPAERPLRREQAARQLARLARAGVYGADPEDWWGMRGASTREPLQKPRRSVQLSPSRIESTLRCPLRSVLDRLVDDADTPIHMVRGTLAHGFAEAIARGADSDAASALVYEAYAGLLDVPVWQRDTALREWDTLIDNLERWLENTRGQFEQVGVEMDMRVSVGTTESGAPLRIKGRMDRLERNNDGELVVVDVKTGSSKPAQKNMGEHAQLSAYQLALSRGVVDGDSVRDPYPGETPDSVGGGVLVYPSATDVGKYTTREQAAKTPEELEELAAILPGVAAAIRGPALTAIVNDNCDNCRLQSICPAQPTGRMLTNGS</t>
  </si>
  <si>
    <t>GC_00002982</t>
  </si>
  <si>
    <t>K|S</t>
  </si>
  <si>
    <t>Transcription|Function unknown</t>
  </si>
  <si>
    <t>COG3831|COG3878</t>
  </si>
  <si>
    <t>WGR domain, predicted DNA-binding domain in MolR (WGR) (PDB:2CR9)|Uncharacterized conserved protein YwqG, DUF1963 family (YwqG) (PDB:1PV5)</t>
  </si>
  <si>
    <t>MVLVMTITQPDITKIPAQYRDVLTRNARRVVALQLTGVPENKGAADAAEPTGSRVGGLAFVTDDYPEPRDSDGGRMIFLAQLNLAKLPPLEGYPTEGLLQFFIADDDLLGLEYNKLAGGSGSFVVRLIPASELGRGRLAEASQSEYTPVSGGYFTVDGVLYDQLPNSEDKDFGAVTGIDWYSEDPEIEAMFGSLYEFPQSVYGAGWATFTQEDPRDSDSKLELLFQLDWERDNGVEVMFGDAGVVNFFITREDLAQRNFHNAAYNWDCC</t>
  </si>
  <si>
    <t>----MTIMRPDITKIPAQYRDVLTRNARRVVALQLTGVPEKKGAADAAEPTGSRVGGLAFVTDDYPEPRDSDGNRMIFLAQLNLAKLPPLEGYPTEGLLQFFIADDDLLGLEYNKLAGGSGSFVVRLIPASELGRGRLAEASQSEYTPVSGGYFTVDGVLYDQLPNSEDKDFGAVTGIDWYSEDPEIEAMFGSLFEFPQSVYGAGWATFTQEDPRDGDSKLELLFQLDWERDNGVEVMFGDAGVVNFFITREDLT</t>
  </si>
  <si>
    <t>GC_00002983</t>
  </si>
  <si>
    <t>MGRHSNGHRNLRVTKEMVISIVAAVLVLMVGAWWILNRMNANSEHNQAGSCPAGDLTLVVAAQDNPQVQSLLDSYKKSNPVVKDRCVKTEIVGEVANAALALIPGTKETVNARLQIAGRSASTNNYPVALRTSLGIAKLKEGGDS-------HEHSHDEHEHEHSHEHEHGHDENSWAHLASHGVIVPGKDATFFSAVAATALAGGDPDRAANMLRENSGISLSDAVNEKKQRIATTEPETPEGYTYEAPEDIHVNTLAVPLTSSGTVSEDESRAAAHFARYVADNVEQTEPNHTESLLYSTAQVVSEHVAAQPTLSPEDNRAKDTLLLLDTSEAMSETMGDQSVFSQTVQLLDPHIRQVAENGGHTALWNYSSPRSSGVSKGWRSNVPFSDQSKGENVVSTMQQFGLGGEPWTRSSVLAALATAAENARVTGKPTHIILVTSGTADRISVHDLWNDLEKFHDADVHVHVIHVGDDPVDESLASWSKEHFGSAAVAKTPQELSRELDRAFQDSFAGQQSPTSGHTDSSDGESSTAATTTTTTADR</t>
  </si>
  <si>
    <t>MGRHSNGHRNLRVTKEMVISIVAAVLVLMVGAWWILNRMNANSEHNQAGSCPAGDLTLVVAAQDNPQVQSLLDSYKKSNPVVKDRCVKTEIVGEVANAALALIPGTKETVNARLQIAGRSASTNNYPVALRTSLGIAELKEGGDSHEHSHDEHEHSHDEHEHEHSHEHEHGHDENSWAHLASHGVIVPGKDATFFSAVAATALAGGDPDRAANMLRENSGISLSDAVNEKKQRIATTEPETPEGYTYEAPEDIHVNTLAVPLTSSGTVSEDESRAAAHFARYVADNVEQTEPNHTESLLYSTAQVVSEHVAAQPTLSPEDNRAKDTLLLLDTSEAMSETMGDQSVFSQTVQLLDPHIRQVAENGGHTALWNYSSPRSSGVSKGWRSNVPFSDQSKGENVVSTMQQFGLGGEPWTRSSVLAALATAAENARVTGKPTHIILVTSGTADRISVHDLWNDLEKFHDADVHVHVIHVGDDPVDESLASWSKEHFGSAAVAKTPQELSRELDRAFQDSFAGQQSPTSGHTDSSDGESSTAATTTTTTADR</t>
  </si>
  <si>
    <t>GC_00002984</t>
  </si>
  <si>
    <t>MKIGDLARRTGSTTRQLRYYEEQGLLEPDRSGNNYRDYGDEAIEQVHQIKILVGAGIPTRIVRELLPCLHGPTAELPRQANPEMAALLKSERDRLQEHIDHLTTACERINCYLGRVQ</t>
  </si>
  <si>
    <t>MKIGDLARRTGSTTRQLRYYEEQGLLEPDRSGNNYRDYGDEAIEQVRQIKILVGAGIPTRIVRELLPCLHGPTAELPRQANPEMAALLKSERDRLQEHIDHLTTACERINCYLGRVQ</t>
  </si>
  <si>
    <t>GC_00002985</t>
  </si>
  <si>
    <t>MSPAQKFFPTYFRPRNQYEIASGLCSVLIVLCPLIGHMAFQLFPQGIFSALAYTIPLGIIPGILAILSRSVRCVILALCAAIFPITFFFVHSFIVTILYFISFGKIVLA</t>
  </si>
  <si>
    <t>MSPAQKFFPTYFRPRNQYEIASGLCSVLIVLCPLIGHMAFQLFPQGIFSAIIYTIPLGIIPGILAILSRSVRCVVLALCTAIFPITFFFVHSFIVTILYFISFGKIVLA</t>
  </si>
  <si>
    <t>GC_00002986</t>
  </si>
  <si>
    <t>MDFAKLTRYDATFRSDSLRIDSYELELDLGEATTSPTFPVEVGVKLTSKSEQIFLDYLGESVESVTINGNPVPWEQKGGRIVLDVPAGLVGRPIALHVRAHSRYSRSGQGLHRFTDPQDGNTYLYSHSEPSDARRIFPCFDQPDLKAQCTVRMTVPQGWVALSNQPETTREAGAHGDTVTFRATPPVSTYLMAFAAGPYVAQRDTWRSPDGKREIELGVWSRASMAEHVDSEILEVTKQGLDFFDKNFDFPYPWTKYDSIFVPEYNLGAMENPGLVTFTEAYIFRSPATDAQHAHRANTILHEMSHMWFGDLVTPLWWDDLWLKESFAEFMGADASLHATRFTDAWADFAGTRKNWAYVQDQLPTTHPIKAEIPDVDAARQNFDGITYTKGAAVLKQLVHFVGRDNFYAAAREYFRKHAFGTATFDDLIAALGNHTDQDLHDWSKRWLRTSGPDQLIPEVTTSGNTIKQLSIVQNGSPQTRPHRLTVSLFRGAPLERYHSMDVRLPGIPGKNTELTEAHGLPAPDLILLNDNDHTYAKIGFDPTSLHTIKARLGNITDNVSRAVIWTALWNLTRDAELPAQDYIDIVMLHGANEPNPSIIEQVFANAYVAATKFTTDPTVIADLVYSLWDLMYQAKPGSDTQLVLVRAAITALAADRKPGSARKLRELLGGHLAGLVLSPDIRWRIIAALASHDDVTAQELLAEREADNTLDGQAAYLQAMYSYPHAKQQAFDDLLHAMDYSNEEVNALIAGFRAPTDPHQGSHHNTHPATPDFAAEFFANLNHIWTEYPIEIANRIVRGLYPETAAAGAKTEEILETELPGALHRVLLECKDQVQRQLAAQEFNNSAS</t>
  </si>
  <si>
    <t>MDFAKLTRYDATFRSDSLRIDSYELELDLGEATTSPTFPVGVGVKLTSKSEQIFLDYLGESVESVTINGNPVPWEQKGGRIVLDVPAGLVGRPIALHVRAHSRYSRSGQGLHRFTDPQDGNTYLYSHSEPSDARRIFPCFDQPDLKAQCTVRMTVPQGWVALSNQPETTREAGDHGDTVTFRATPPVSTYLMAFATGPYVAQRDTWRSPDGKREIELGVWSRASMAEHVDSEILEVTKQGLDFFDKNFDFPYPWTKYDSIFVPEYNLGAMENPGLVTFTEAYIFRSPATDAQHAHRANTILHEMSHMWFGDLVTPLWWDDLWLKESFAEFMGADASLHATRFTDAWADFAGTRKNWAYVQDQLPTTHPIKAEIPDVDAARQNFDGITYTKGAAVLKQLVHFVGRDNFYAAAREYFRKHAFGTATFDDLIAALGNHTDQDLHDWPKRWLRTSGPDQLIPEVTTSGNTIKQLSIVQNGSPQTRPHRLTVSLFRGAPLERYHSMDVRLPGIPGKNTELTEAHGLPAPDLILLNDNDHTYAKIGFDPTSLHTIKARLGNITDNVSRAVIWTALWNLTRDAELPAQDYIDIVMLHGANEPNPSIIEQVFANAYVAATKFTTDPTVIADLVYSLWDLMYQAKPGSDTQLVLVRAAITALAADRKPGSARKLRELLGGHLAGLVLSPDIRWRIIAALASHDDVTAQELLAEREADNTLDGQAAYLQAMYSYPHAKQQAFDDLLHAMDYSNEEVNALIAGFRAPTDP--------RPATPDFAAEFFANLNHIWTEYPIEIANRIVRGLYPETAAAVAKTEEILETELPGALHRVLLECKDQVQRQLAAQEFNNSAS</t>
  </si>
  <si>
    <t>GC_00002987</t>
  </si>
  <si>
    <t>MKNRLVALIAAVVVGMSLVPPVAGAEDAEGPNPFTFTFANGMCSFGVDDRNPEMKLFRQDSSINRSYVFDEVTKEVPEFAELRAMNPKLEDKTDPAYQAKWKSVAGKLKTAGYTDGDITWLDRQLRKGLLPYPLSAAYKPGNNPISPQKAKKWIDSEDKGRTQFFVFKNFRYLLGDGPQLHEYVYWLDDDHAPQPAPKLSAKIMDKGNAGFELQLHRSIRMAGYGHDKLEECARLGQ</t>
  </si>
  <si>
    <t>MKNRLVALIAAVVVGMSLVPPVASAEDAEGPNPFTFTFANGMCSFGVDDQNPEMKLFRQDSSINRSYVFDEVTKEVPEFAELRAMNPKLEDKTDPAYQAKWKLVAGKLKTAGYTDGDITWLDRQLRKGLLPYPLSAAYKPGNNPISPQKAKKWIDSEDKGRTQFFVFKNFRYLLGDGPQLHEYVYWLDDDHAPQPASKLSAKIMDKGNAGFELQLHRSIRMAGYGHDKLEECAHLGQ</t>
  </si>
  <si>
    <t>GC_00002988</t>
  </si>
  <si>
    <t>MREVHLVANESTATSLVFRAADSDEEFFLAVDDSLLEILTSPDDVFHQTLPAPRVVEHEEPVELPVATTELESSEKQQNVVEMADTPQETPNLPKNLPEHLSGVTPEEDVDKDTHSKQPDPHLSAPLTMRPREIQDRIRSGASLTELAAEIGVPVSRIEPFAHPVLADRASIAQQAKQANPVRDDGPAKLTLWEVLATAFAARGLDLTTTEWDAYRDPAHQWVVRVTWQSGISHNSAEWTFHRKNGTLTVVARNANAADLIDPSFAQPVRSLSRVPTTPSVEDTRDDLPVITDDDDGPDDTGPVHRPAHPAPTPSPSRRRRKAVTPGWEDILLGVRPSTKRSPKRDES</t>
  </si>
  <si>
    <t>MREVHLVANESTATSLVFRAADSDEEFFLAVDDSLLEILTSPDDVFHQTLPAPRVVEHEEPVELPVATTELESSEKQQNVVEMADTPQETPNLPKNLPEHLPGVTPEEDVDKDTHSKQPDPQLSAPLTMRPREIQDRIRSGASLTELAAEIGVPVSRIEPFAHPVLADRASIAQQAKQANPVRDDGPAKLTLWEVLATAFAARGLDLTTTEWDAYRDPAHQWVVRVTWQSGISHNSAEWTFHRKNGTLTVVARNANAADLIDPSFAQPVRSLSRVPTTPSVEDTRDDLPVITDDDDGPDDTGPVHRPAHPAPTPSPSRRRRKAVTPGWEDILLGVRPSTKRSPKRDES</t>
  </si>
  <si>
    <t>GC_00002989</t>
  </si>
  <si>
    <t>MEQLNASKYRYDLDGLRGIAIAFVVLFHVFVGRVSGGVDVFLLLSGYFFLGAQLRYATREGANLNPWWPFWRTLRRLVPVLVVVLGATVLTVALITPELRNLNLASQVWACLGYYQNWMLASQGASYGAASNKVSPLQHLWSMAVQGQFYIFAILLATVVAIFARRLIAAGKTASPRRLAGPTLLLVTIASFVCATYLYISENQSLNYYSTFSRMWELTLGALLALFATRIKLNPRLQRFFSWIGLVLVLTTGLVMDGVKQFPGPATLYPLGGAALVVLGGGHGVNWLAGRFMRWLGTIAYPLYLWHWPMLILVTVYYNKTHPSIIMGVIVIAVSLLLADLSHRFIEEPLRQHGKRPMAGDHRAIEALQQLKQAWAARFRLLGAILIAVLVAVIAYVPVIWQDDVQRASQMRLDPTLYPGAAALGAARIPEVEPQPDPYMLADLVSPAWKDGCMSFLHDNPEEIAIDRYPEKCVYGDKTADKLVYVVGGSHAEQWMAALDKLGKQHHFRVVPIVRQSCPAFAEDRDDGFTPECAIFNRKMLERLRTDKPDVVITNSTRPLLERGSFLDEAPISYRTLWDFLSRENIPFVGLRDNPWFLNPDGTGQMVSECWKETHDLQKCGRPRSDIYSPTDPAAQYLTAPNQVAVDTSQWLCPDNFCPPVIGNIYVYRDGNHMSDDYVLTLVPFLWDKIKNVIEAAPVREKERPATAQKGVHKGSAPATAADSAGGAGETASVPVAVPSEPAAPGEVQPGAPGAPGDYPRQLTNTNRPPTTATSKEPASIPGNAAELHDLNDSLLP</t>
  </si>
  <si>
    <t>MEQLNASKYRYDLDGLRGIAIAFVVLFHVFVGRVSGGVDVFLLLSGYFFLGAQLRYATREGANLNPWWPFWRTLRRLVPVLVVVLGATVLTVALITPELRNLNLASQVWACLGYYQNWMLASQGASYGAASNKVSPLQHLWSMAVQGQFYIFAILLATVVAIFARRLIAAGKTASPRRLAGPTLLLVTIASFVCATYLYISENQSLNYYSTFSRMWELTLGALLALFATRIKLNPRLQRFFSWIGLVLVLTTGLVMDGVKQFPGPATLYPLGGAALVVLGGGHGVNWLAGRFMRWLGTIAYPLYLWHWPMLILVTVYYNKTHPSIIMGVIVIAVSLLLADLSHRFIEEPLRQHGKRPMAGDHRAIEALQQLKQAWAARFRLLGAILIAVLVAVIAYVPVIWQDDVQRASQMRLDPTLYPGAAALGAARIPEVEPQPDPYMLADLVSPAWKDGCMSFLHDNPEEIAIDRYPEKCVYGDKTADKLVYVVGGSHAEQWMAALDELGKQHHFRVVPIVRQSCPAFAEDRDDGFTPECAIFNRKMLERLRTDKPDVVITNSTRPLLERGSFLDEAPISYRTLWDFLSRENIPFVGLRDNPWFLNPDGTGQMVSECWKETHDLQKCGRPRSDIYSPTDPAAQYLTAPNQVAVDTSQWLCPNNFCPPVIGNIYVYRDGNHMSDDYVLTLVPFLWDKIKNVIEAAPVREKERPVTAQKGVHKGSAPATAADSAGGAGETASVPVAVPSEPAVSGEVQPGAPAAPGDYPRQLTNTNRSPTTATSREPASIPGNAAELHDLNDSLLP</t>
  </si>
  <si>
    <t>GC_00002990</t>
  </si>
  <si>
    <t>MTQPTGAKKVRMAWPDVARGVSILGVMTLHATLEVPGGLDTPIAKVNEFIATLRMPLFFMVAGFFSVKIFNFSFWELFRKRLWFLLVPYLFWAPVEMILDRHKAWVVQEIPLPEPMFYVDSVYYAQNMYWFLWSLMLFTIILWATKWLPWIVQLLIPAIVIAASPWLLLAGNLVMPRIIAYLPLFLLGAYLRPHITKFADNALHPWVAITSTMLALVSFQLYALPFDGPWRPALNVIVSLVYLPFGVTVAILLSKVPMVGEGLKRIGRHTLVAYLGHPIALIVFFGFFFVNRDNGFNPEATNFIDTPLCWVIINMGFCAIGTIAMYGISKTKLLGWTVHPPAIKLPKVTVLHWPHIPDILRRGVKTHGTAQGITQSAPASTTG</t>
  </si>
  <si>
    <t>MTQPTGAKKVRMAWPDVARGVSILGVMTLHATLEVPGGLDTPIAKVNEFIATLRMPLFFMVAGFFSVKIFKFSFWELFRKRLWFLLVPYLFWAPVEMILDRHKAWVVQEIPLPEPMFYVDSVYYAQNMYWFLWSLMLFTIILWATKWLPWIVQLLIPAIVIAASPWLLLAGNLVMPRIIAYLPLFLLGAYLRPHITKFADNALHPWVAITSTMLALVSFQLYALPFDGPWRPALNVIVSLVYLPFGVTVAILLSKVPMVGEGLKRIGRHTLVAYLGHPIALIVFFGFFFVNRDNGFNPEATNFIDTPLCWVIINMGFCAIGTIAMYGISKTKLLGWTVHPPAIKLPKVTVPHWPHIPDILRRGVKTHGTAQGITQSAPASTTG</t>
  </si>
  <si>
    <t>GC_00002991</t>
  </si>
  <si>
    <t>MKKSRSLAAKIVALLTVTAVTIMVPTPAVAQSKLRETVSNPGAYDPVPNGGSEYVAFGDSFAANPTYWDQVEPREDNALCRWSKNSYPVQLKPNFSSTFIATCAGSVIEKDAGAEQKSNLIDRVRYAERAGALGPGTKIVTITTGANEAWDGIIRDYGVLQSWRRITPAEYGRRIGPSVRRIHELAPNARVLLVGYPHLVDSDRRLCAINMPKERIGVPVRVVVPDRVMVDYLGTINESMRELGAELHTEFVDIAAGFEGHGSCQPLEQRWVKNIIDDQAQDQIMAWHLTERGVAAQASMIMERVHRR</t>
  </si>
  <si>
    <t>MKKSRSLAAKIVALLTVTTAAVMVPTPAVAQSKLRETVSNPGAYDPVPNGGSEYVAFGDSFAANPTYWDQVEPREDNALCRWSKNSYPVQLKPNFSSTFIATCAGSVIEKDAGPEQKSNLIDRVRYAERAGALGPGTKIVTITAGANEAWDGIIRDYGVLQSWRRITPAEYGRRIGPSVRRIHELAPNARVLLVGYPHVVDSDRRLCAINMPKERIGVPVRVVVPDRVMVDYLGTINESMRELGAELHTEFVDIAAGFEGHGSCQPLEQRWVKNIIDDQAQDQIMAWHLTERGVAAQASMIMERVHRR</t>
  </si>
  <si>
    <t>GC_00002992</t>
  </si>
  <si>
    <t>MSNFGDKIRKQGDELKEKFDDAADKFKDSKLGEQVSEGIDKARDKAEEAAGKLKDKFNRG</t>
  </si>
  <si>
    <t>MSNFGDKIRKQGDELKEKFDDAADKFKDSKLGEQVNEGMDKARDKAEEAAAKLKDKFNRG</t>
  </si>
  <si>
    <t>GC_00002993</t>
  </si>
  <si>
    <t>MTSRTHNVVAVGAIALFWAISTTPTALATPAANPKPDTPNTSSWISSTSVEQCSTLDFEAHGFPKGQTLNIALDDDQEADKQPIDDTGSASGTIEIPCDFPTGTHRLHFTSTDDYTSYSPNFEVTAKPAATSEAANKPSATPSRDSAHLASGTGRTSSNTEPNAGSNAGNRGASQNRSGTAKNTTETAAHNKVKATGFTAQPTTVPNNGGLFDKNADEAIPTSISAAGSIPYIGFFVGGAILLVGMTAINAWLYVQRNDPRRDRYRDRRDRDWDRWDRDRDRRDRWDDEPLD</t>
  </si>
  <si>
    <t>MTSRTHNVAAVGAIALFWAISTTPTALATPAANPKPDTPNTSSWISSTSVEQCSTLDFEAHGFPKGQTLNIALDDDQEADKQPIDDTGSASGTIEIPCDFPTGTHRLHFTSTDDYTSYSPNFEVTAKPAATSEAANKPSATPSRDSAHLASGTGRTNSNTEPNAGSNAGNRGASQNRSGTAKNTTETAAHNKVKATGFTAQPTTVPNNGGLFDKNADEAIPTAISAAGSIPYIGFFVGGAILLVGMTAINAWLYVQRNDPRRDRYRDRRDRDWDRWDRDRDRRDRWDDEPLD</t>
  </si>
  <si>
    <t>GC_00002994</t>
  </si>
  <si>
    <t>PF18202.7</t>
  </si>
  <si>
    <t>T-Q ester bond containing domain</t>
  </si>
  <si>
    <t>MRYCRTHYLKNPLSGIKFALSVTRLAESPENDGSMLSQHSLNKGRSKRLVSAVAALSLFFGAAHVAPTASAQEIGAKFSIDEDEHGYRIASGSTNHQIRTELFSATAQAGGEKRLAYCTEWEVNFQKTDNAYAAKWSDFPGSNSNKFKTDENVRQKINWIAANSYPAVSYETVLQKAGVNSAQVSKKSVIAQTQAAIWNLGSGFDYKGLA--EGSAEEKANAKKVYDYLLGPANVGRAESTSVDLQVGFKGKDTATRQANGTFGPFTLDTNADSLEVTAETGQVVDKNGKAFPANEIKNGQEFYFKAEEQAGSAKLIAKAATSEVNGALIISPKNGGGHHQTLIVTHDKSKTKEAELYIEWEGTNARLSTTARKKGDEHSQRVKSKGGTIVDIVAYEGLIVGKEYTLKGQLYE-RVKQEDGTYKGVATGIKSEKKFTPVQAKDEVHLELEIPEGYAGKTLVVFEEAYGPDGKLIAKHDDINDENQTIYVNQPYQDMSSDSSAAKTGSAGAMFAGSSKCFSGGAAGGSSKKEDKNKGSLGDLFAGSSSLFGGDKDKDKGGSDSNGGSTNGGNGNGNGGSNANGGSTGDNKDNNGSTSGSTGGGNGNGGGNGGANGGSDTKTGSDAGAVAGSAGGALTGSSSDKDKDKKDNGSTAGSSGDNK--GNGQGNGGSDGKSGSDANSTSDANGGSTSGSSGEGKGKGQGNGTGQGEGNGGSTAGSSGEGKGQGNGGANGGSDTQNGSDSENKNGSAALAGSTSGADCGGALALGALAVGGLVLTAVGFNVLAKNAAPAPLAGAADPKSDTKGAAPAAGDPNNKNATNSNTKGAEPKEKGVAHKDPNASKMDVKSASPAKSNSALANTGVSGILIMLAIAAVAAVAGGALIFFGRRKKN</t>
  </si>
  <si>
    <t>MRYCRTHHLKNPLSGIKFALSVTRLAESPENDGSMLSQHSLNKGRSKRLVSAVAALSLFFGAAHVAPTASAQEIGAKFSITEDEKGYKVTDGSKT--ILAELFSAT--SGSEKRLAYCNELEVNFHETNDAYAAKWSEFPGNNN--FKKDETVRRKVNWIAANSYPAVSYETVLQKAGVTSTQVSKQSVIAQTQAAIWNLGSGFNYKGLAHGQGTAEEQQNAKKVYEYLLGPANVGRAESTSVDLQVGFKGKDSATRQANGTFGPFTLDTNADSVEVTAETGQVVDKNGNAFPANEIKKGQEFYFKAEEQAGSAKLIAKAASSEVNGALIISPTANNNHYQTLIVTHDKEKTKEAELYIEWKGTNARLSTTARKKGDEHSQRVKSKGGTIVDIVAYEGLIVGKEYTLKGQLYERRVKEGTDTVEAVPTDIKSEKKFTPTQEKDEVHLELEIPEGYAGKTLVVFEEAYGPDGKLIAKHADINDENQTIYVNQPYQDMSSDSSAAKTGSAGAMFAGSSKCFSGGAAGGSSKKEDKNKGSLGDLFAGSSSLFGGDKDKDKGGSDSNGGSTNGGNGNGNGGSNTQNGSTGDNKDNNGSTSGSTGGGNGNGGGNGGANGGSDTKTGSDAGAVAGSAGGALTGSSSDKDKDKK--GSTAGSSGDNKGNGNGQGAGGSDGKSGSDANSTSDTNGGSTSGSSGEGKGKGQGNGTGQGNGNGGSTAGSSGEGKGQGNGGANG------GSDSENKNGSAALAGSTSGADCGGALALGALAVGGLVLTAVGFNVLAKNAAPAPLAGAADPKSDTKGAAPAAGDPNNKNATNSNTKGAEPKEKGVAHKDPNTSKMDVKSASPAKSNSALANTGVSGILIMLAIAAVAAIAGGALIFFGRRKKN</t>
  </si>
  <si>
    <t>GC_00002995</t>
  </si>
  <si>
    <t>PF00926.24</t>
  </si>
  <si>
    <t>3,4-dihydroxy-2-butanone 4-phosphate synthase</t>
  </si>
  <si>
    <t>K14652</t>
  </si>
  <si>
    <t>3,4-dihydroxy 2-butanone 4-phosphate synthase / GTP cyclohydrolase II [EC:4.1.99.12 3.5.4.25]</t>
  </si>
  <si>
    <t>COG0108|COG0807</t>
  </si>
  <si>
    <t>3,4-dihydroxy-2-butanone 4-phosphate synthase (RibB) (PDB:1G57)|GTP cyclohydrolase II (RibA) (PDB:2BZ0)</t>
  </si>
  <si>
    <t>KEGG Orthology (KO)&gt;&gt;&gt;09100 Metabolism&gt;&gt;&gt;09108 Metabolism of cofactors and vitamins&gt;&gt;&gt;00740 Riboflavin metabolism [PATH:ko00740]|KEGG Orthology (KO)&gt;&gt;&gt;09100 Metabolism&gt;&gt;&gt;09108 Metabolism of cofactors and vitamins&gt;&gt;&gt;00790 Folate biosynthesis [PATH:ko00790]|KEGG Orthology (KO)&gt;&gt;&gt;09140 Cellular Processes&gt;&gt;&gt;09145 Cellular community - prokaryotes&gt;&gt;&gt;02024 Quorum sensing [PATH:ko02024]|Enzymes&gt;&gt;&gt;3. Hydrolases&gt;&gt;&gt;3.5  Acting on carbon-nitrogen bonds, other than peptide bonds&gt;&gt;&gt;3.5.4  In cyclic amidines&gt;&gt;&gt;3.5.4.25  GTP cyclohydrolase II</t>
  </si>
  <si>
    <t>MTDQAEVRLDDIEAAIRDIAAGKAVIVVDDHDRENEGDLIFAAEKATPELVAFMVRYSSGYICAPLTGENCDRLDLPPMTTFNQDIRSTAYTVTVDAATGTTGISAADRAETLRRLANPDSTPGDFTRPGHVVPLRAKEGGVLVRAGHTEAAVDLARLAGLRPAGVLCEIVSEDDPTDMARSPELRRFADTHGLHMVSIAQLIEWRRKHETLVERVVETRLPTDFGLFTAIGYRSTVDGIEHVALVVGDPSDNNGENVLVRVHSECLTGDVFGSRRCDCGQQLHASMKAVQEEGRGVVLYMRGHEGRGIGLLEKLKAYRIQDSGVDTVDANLALGLPTDAREFGTGAQILRDLGIRSLNLLSNNPTKRSGLIGHGITIAKRTPVSVEVNEDNITYLKTKRDRMGHDLPQVAAYEEEHR</t>
  </si>
  <si>
    <t>MTDQAEVRLDDIEAAIRDIAAGKAVIVVDDHDRENEGDLIFAAEKATPELVAFMVRYSSGYICAPLTGENCDRLDLPPMTTFNQDIRSTAYTVTVDAATGTTGISAADRAETLRRLANPDSTPGDFTRPGHVVPLRAKEGGVLVRAGHTEAAVDLARLAGLRPAGVLCEIVSEDDPTDMARSPELRRFADTHGLHMVSIAQLIEWRRKHETLVERVVETRLPTDFGLFTAIGYRSTVDGIEHVALVVGDPSDNNGENVLVRVHSECLTGDVFGSRRCDCGQQLHASMKAVQEEGRGVVLYMRGHEGRGIGLLEKLKAYRIQDSGVDTVDANLALGLPTDAREFGTGAQILRDLGIRSLNLLSNNPTKRSGLIGHGITIAKRTPVGVEVNEDNITYLKTKRDRMGHDLPQVAAYEEEHR</t>
  </si>
  <si>
    <t>GC_00002996</t>
  </si>
  <si>
    <t>MGEIIVNAPSGQCTGTTVADDVTVFKRIVYGIAPRFGVARPPQHEDLHTHKCGEDGKEMCELVLSITAPASAKPLDDLPVVVFIHGGSYEAGSYDEPWFNAVPFARDGVVTVSVSYRLGFLGFTRFDDEEPNRYRGIDDCEMALEWVQKNIESFGGNPTNVTLVGQSAGAGIVLWLCRRDHYKGAFRRAWAMSPAFPRQPFRQRLAKILLRTRLTRDALNKVNYDRLKKTRARIRSLVPNDLRFGPHPFRAQELSADIPLVVTSSQEEMLL--ASRKQDFSWWGRMLRPFCRRLFGANTLWLPPHRVREIGYLIGDAMIRKFVVQVADANPKKTWVLEYRGTTQDPIYHCADIPWFFGNFDSIPQDIPEIKHCPPLEKLVHEKALRFIHGEEPDWPEYGVDKQVLVAHLDGSTDIITDPLGYIREGMK</t>
  </si>
  <si>
    <t>MGEIIVNAPSGQFTGTTVADDVTVFKRIVYGIAPRFSVARPPQHEDLHMHKCGEDGKEMCELVLSITAPASAKPLDDLPVVVFIHGGSYEAGSYDEPWFNAVPFARDGVVTVSVSYRLGFLGFTRFADEEPNRYRGIDDCEMALEWVQKNIESFGGNPTNVTLVGQSAGAGIVLWLCRRDHYKGAFRRAWAMSPAFPRQPFRSRLAKILLRTRLTRDALGKVDYDRLEKTRARMRSLVLNDLRFGPHPFRAQELSADIPLVVTSSQEEMLLSTAGQKRDASWWGRVLRPFYRRLFGANTLWLPPHRVREIGYLIGDAMIRKFVVQVADANPKKTWVLEYRGTTQDPIYHCADIPWFFGNFDSIPQDIPEIRHCPPLEKLVHEKALRFIHGEEPDWPEYGVDKQVLVAHLDGSTDIITDPLGYIREGMK</t>
  </si>
  <si>
    <t>GC_00002997</t>
  </si>
  <si>
    <t>MKFLRIAAILTTVSLVLTGCSKSADEPKAGGGKASQSGKGTSAAPGAITIKHAFGETVINNKPERIAAVAWGNQEVPLALGVVPVGMQYVSWGSDTTGMLPWVADKVKELGGEPPKLFEETDSIPFDQIADTHPDVILAAYSGMSQDDYNKLSAIAPTVAYPDKPWGTSMEQMIEMNATAMGKEAEGKKLAADLKKQIQASVAKHAALKGKKVLFTAFGPQNSFNKLGFYRSSDPRAGFLYDSVGMGIPKVVAEESKKSGNDAWVEVSAEDPTVFDDIDMIVAYGMDSDEANQEWLGKLQKDPLLGKIKAIKQGKVAFLDNGAVGAVANPSPLSIPWGLDKYLDVVESAATS</t>
  </si>
  <si>
    <t>MKFLRIAAILTTVSLVLTGCSKSADEPKAGGGKASQSGKGTSAAPGAITIKHAFGETVINKKPERIAAVAWGNQEVPLALGVVPVGMQYVSWGSDTTGMLPWVADKVKELGGEPPKLFEETDSIPFDQIADTHPDVILAAYSGMSQDDYNKLSAIAPTVAYPDKPWGTSMEQMIEMNATAMGKEAEGKKLAADLKKQIQASVAKHAALKGKKVLFTAFGPQNSFNKLGFYRSSDPRAGFLYDSVGMGIPNVVAEESKKSGNDAWVEVSAEDPTVFDDIDMIVAYGMDSDEANQEWLGKLQKDPLLGKIKAIKQGKVAFLDNGAVGAVANPSPLSIPWGLDKYLDVVESAATS</t>
  </si>
  <si>
    <t>GC_00002998</t>
  </si>
  <si>
    <t>MQSGVDTMENLSHVISGMDTAVAQGAELVVFPEATMRSFGGGRLDTIAEPLDGPFATLIRDHATELGVIAVIGMFSPADTVDKDGTTRNRVANMALVTGPDVHESYQKIHTYDAFGYRESDTVAPGTDLMLFDAPSARVGVAICYDIRFPEQFINLAKLGAEVIVVPASWQDGPGKLDQWRTLVTARALDSTSFIIAADQARPGGETAAGHDDGPTGIGHSAVVSPFGRRIIEAGYDEQVLVCDIDLTDVRRARKAIPVLDWPARTPHSPNPEIN</t>
  </si>
  <si>
    <t>MQSGVDTMENLSHVISGMDTAVAQGAELVVFPEATMRSFGGGRLDTIAEPLDGPFASLIRDHATELGVIAVVGMFSPADTVDKDGTTWNRVANMALVTGPDVHESYQKIHTYDAFGYRESDTVAPGTDLMLFDAPSARVGVAICYDIRFPEQFINLAKLGAEVIVVPASWQDGPGKLDQWRTLVTARALDSTSFIIAADQARPGGETAAGHDDGPTGIGHSAVVSPFGRRIIEAGYDEQVLVCDIDLTDVRRARKAIPVLDWPARTPHSPNPEIN</t>
  </si>
  <si>
    <t>GC_00002999</t>
  </si>
  <si>
    <t>MSGLTTLRDDDGSATITTAGLIVALILVVLALTHGIRGTIASHHAKVVADLSAVAGAYAAYTGADPCDTAATVARRNAAILDHCATSGDDVTVTVFDAPAHAVATAGPR</t>
  </si>
  <si>
    <t>MSGLTTLRDDDGSATITTAGLIVALILVVLALTHGIRGTIATHHAKVVADLSAVAGAYAAYTGVDPCDTAATVARRNAATLDHCATSGDDVTVTVFDAPAHAVATAGPR</t>
  </si>
  <si>
    <t>GC_00003000</t>
  </si>
  <si>
    <t>MPRKTHGRPPSITLEQIGEAGRTITLDKLTIRGLAEYLNVSEMSIYRHVRNLETARNLVAQHIIARESLPEPHHADPEDSLTDMAQALRRFVQDNPGIGTFLTQLTPEHTTALSAIEKTQAGYATTYGWLPHQASIVLSVVAEHAVALAHLAPLSHRDNALAHHSELPGNVPTITSGARMTEQWSPDDFFNWSMRATIRGTLDMLGLR</t>
  </si>
  <si>
    <t>MPRKTHGRPPSITLEQIGEAGRTITLDKLTIRGLAEYLNVSEMSIYRHVRNLETARNLVAQHIIARESLPEPHHADPEDSLTDMAQALRRFVQDNPGIGTFLTKLTPEHTTALSAIEQTQAGYATTYGWLPHQASIVLSVVAEHAVALAHLAPLSHRDNALAHHSELPGNVPTITSGARMTEQWSPDDFFTWSMRATIRGTLDMLGLR</t>
  </si>
  <si>
    <t>GC_00003001</t>
  </si>
  <si>
    <t>MVPELVLVDRVLALHDRLLTEKDIHAFLLDTAKFLGEKPIEMYGPGIRFRWLIGDRIIEMRVGMRGGQHLLTVRSFDRNLIMDTYEYSSLKQWLPDLCPPLYLWSALLGPAPKNGWWWPGFPVVTTWDIFAVTIGRMLQHLPTDIALTPPKWRVGLAYLWNIGAIPSGFGGVCVSGERDGLGIDAGAVGMNLLIPRTHLDAGLVNVTDVIAGMTPGHLLSGVEHFDVEGFDSCPVTPGYDDSQATGVPRPGITLDELRTIIMTEVPPATPAPLSPLGTMPPQIALTIPQAIDAIVDAVTHERFETIQVSKSPQVGVDSLQVIDYARQLCDALTDRFGFPIGLAASSDRHFMRIFQISGVGVQVTNARDEVAVVINQLDTILRETYC</t>
  </si>
  <si>
    <t>MVPELVLADRVLALHDQLLTEKDIHAFLLDTAKFLGGKPIEMYGPGIRFRWLIGDRIIEMRVGMRGGQHLLTVRSFDRKLIMDTYEYSSLNQWLPDLCPPLYLWSALLGPAPKNGWWWPGFPVVTTWDIFAVTIGRMLQHLPTDIALTPPKWRVGLAYLWNIGAIPSGFGGVCVSGERDGLGIDAGAVGMNLLIPRTHLDAGLVNVTDVIAGMTPGHLLSGVEHFDVEGFDSCPVTPGYDGPQATGVPRPGITLDELRAIIMTEVPPATPAPLSPLGTMPPQIALTIPQAIDAIVDAVTHERFETIQVSKSPQVGVDSLQVIDYARQLCDALTDRFGFPIGLAASSDHHFMRIFQIGGVGVQVTNARDEVAVVINQLDTILRETYC</t>
  </si>
  <si>
    <t>GC_00003002</t>
  </si>
  <si>
    <t>MSTWYVVGGIVVAMVVTFFTRVIPFPLQTRLANSGFLREFSRWMPLGAMVILFVYACSTIPAGRWLPYVVALAVTMIMHWWRRNVLLSIMVGTGVCVGLSLLQVGA</t>
  </si>
  <si>
    <t>MSTWYVVGGIIVAMVVTFFTRVIPFPLQTRLANSGFLREFSRWMPLGAMVILFVYACSTIPAGRWLPYVVALAVTMIMHWWRRNVLLSIMVGTGVCVGLSLLQVGA</t>
  </si>
  <si>
    <t>GC_00003003</t>
  </si>
  <si>
    <t>MKFSRRDFSFADSAAVAAVADSLLFDEVLVDDVDVELVAEEDVEGSVDECGVSEVGCCAPRGTVASGYCGGFC</t>
  </si>
  <si>
    <t>MKFSRRDFSFADSAAVAAVADSLPFDEVLVDDVDVELVAEEDVDGSVDECGVSEVGCCAPRGTVASGYCGGFC</t>
  </si>
  <si>
    <t>GC_00003004</t>
  </si>
  <si>
    <t>MTHRPELHVTPGTGVLRAPAAALFDGTIWHVFHQFQPRTTEGSRWAHQYSDGSPFSFEECDDVLAPEGDELEIRAGSVTATDNEVNLYFTSVTETGRSIHLAEVPDIAATVENVNDDPTALDPHVRRVGEILGDINGGRWFRSPCVVPDWRDHTDRDCGHSGWIMLAVRGHRDAPEVVVCTSPDGVHWSLLGPLELVGDTGLQGERMVAPRIMRLHDEVKDKVCDVLLITLERDGIDASGYLIGSLVGTQFRVDKPFSRIDHGHDFTRPRNTNFVSRSNNIATHYRDAYLFGLMNGVGRLDDAYQHESYLAEGWANCLSLPRRVTLQDGILYQTPARGLISAIEESDHALMLTSIFEVPPGDAITVELTDSCGQVAAMITHYGDRLELDRSMNTYHQGDEVAVAPLGEGDTDTITVIADGSTVEVFADGGQVAMASRVYFNGQCEEFHLHHTPGVTVLHTNVIAPTMSGFYHLDDVDEGIIR</t>
  </si>
  <si>
    <t>MTHRPELHVTPGTGVLRAPAAALFDGTIWHVFHQFQPRTTEGSRWAHQYSDGSPFSFEECDDVLAPEGDELEIRAGSVTATDNEVNLYFTSVTETGRSIHLAEVPDIAATVENVNDDPTALDPHVRRVGEILGDINGGRWFRSPCVVPDWRDHTDRDCGHSGWIMLAVRGHRDAPEVVVCTSPDGVHWSLLGPLELVGDTGLQGERMVAPRIMRLHDEVKDKVCDVLLITLERDGIDASGYLIGSLVGTQFRVDKPFRRIDHGHDFTRPRNTNFVSRSNNIAAHYRDAYLFGLMNGVGRLDDAYQHESYLAEGWANCLSLPRRVTLQDGILYQTPARGLISAIEESDHALMLTSIFEVPPGDAITVELTDSCGQVAATITHYGDRLELDRSMNTYHQGDEVAVAPLGEGDTDTITVIADGSTVEVFADGGQVAMASRVYFNGQCEEFHLHHTPGVTVLHTNVIAPTMSGFYHLDDVDEGIIR</t>
  </si>
  <si>
    <t>GC_00003005</t>
  </si>
  <si>
    <t>MDTTATDIFYYNQDSQVSKVSTQFLKTLVANGLTIEGATTSSPLPKQVTDDIANQVVARIAGRYSYGAPAVGNALRVYGRNTLLRLAGKLLATRALEPVFLRAYYYVIDNKGRLGGMLKNLALKKLKRQK</t>
  </si>
  <si>
    <t>MDTTATDIFYYNQDSQVSKVSTQFLKTLVANGLTIEGATTSSPLPKQVTDDIANQVVARIAGRYSYGVPAVGNALRVYGRNTLLRLAGKLLATRALEPVFLRAYYYVIDNKGRLGGMLKNLALKKLKRQK</t>
  </si>
  <si>
    <t>GC_00003006</t>
  </si>
  <si>
    <t>MNENDKVSDSWEEEDRAAFQVGGVDRELSPEQQLEQLATYIHAHYEAPTKNPPWSDDPSDPVAADTFDARLPDRLTHSAMLMLGTAVDHSMPGVAFAQGVTAQSVPEINAQVFVPESPNGRYAVSMHPGGWWKGSGVALENAWRPEVAAVAQLSGVTMVDVDYPLVPEASLPEVMSAVGDAAAWARRQADWVGAWGYSSGGALAVLCAPLFDALALTFPHLDLTVLPDDVRAGIDEFPTTLPPTFIQVASNDTIAGRYEWAEALAVKVTEYVSEHRVSTPKVARQRVMDVAEFLKSV</t>
  </si>
  <si>
    <t>MNENDRVSASWEEEDRAAFQVGGVDRELSPEQQLEQLATYIHAHYEAPAKNPPWSDDPSDPVAADTFDARLPDRLTHSAMLMLGAAVDHSMPGVAFAQGVTAQSVPEINAQVFVPESPNGRYAVSLHPGGWWKGSGVALENAWRPEVAAVAQLSGVTMVDVDYPLVPEASLPEVMSAVADAAAWARRQAGWVGAWGYSSGGALAVLCAQLFDALALTFPHLDLTVLPDDVRAGVDEFPTTLPPTFIQVASNDTIAGRYEWAEALAVKVTEYVSEHRVSTPKVARQRVMDVAEFLKSV</t>
  </si>
  <si>
    <t>GC_00003007</t>
  </si>
  <si>
    <t>MSEELAVPSSNEPDIPRTRIRSQQRDALVYGLNLALDDGQLDYEETQKRATIANRATYMDEVMPLLSDLNFGRNLPATTNPQILDVLTQAQQQGLTEIAAIDAATTAITQPQNQALTNYSNAPKSTASIAIFSGSSKRGPWLVGPKHNVFGAFGGVHIDLRQAQLAGPVTTIRTAMCFGGVNIKVPENYRIIESVFPLFGGVSITDGKGVTLKLSDLPPDAPVIDLRGIMAFGGLEIKRVPINK</t>
  </si>
  <si>
    <t>MSEELAVPSSNEPDIPRTRIRSQQRDALVYGLNLALDDGQLDYEETQKRATIANRATYMDEVMPLLSDLNFGRNLPATTNPQILDVLTQAQQQGLTEIAAIDAATTAMTQPQNQALTNYSNASKSTASIAIFSGSSKRGPWLVGPKHNVFGAFGGVHIDLRQAQLAGPVTTIRTAMCFGGVNIKVPENYRIIESVFPLFGGVSITDGKGVTLKLSDLPPDAPVIDLRGIMAFGGLEIKRVPINK</t>
  </si>
  <si>
    <t>GC_00003008</t>
  </si>
  <si>
    <t>MGRNAEDITQELKQRFTQIWRLNGAYDPETLAALTYYVAVLLEYRNELKPSALPAAATSIADLVAELRHDYGEYHPATCAARTKNAEILQAMGQYEEARTLFRKSADGFEQAYGKANVSVLDLRNKAADCLAKLGRFSEALPEFMDVLEQQRHILGPHDPDTLLTWTEVMICLDEVGRVTQALAEAEQLLAVRVQVSGENHPDTLLIRYKYAGQLRAMGRPGEALIEYQAVLDGRRKTLGEYHPRTFVAWGAVGTCLMDVGRLDAAIDEFARALQAAQKSLGIHHNQTLILWNDWIGCLLRNHDFYRGISELKKLLAVRKKVNGLDSPQTLETWYAYAYYLYATKQFPEAARELPDILARFEQLYGTLDEETTTVRLTYAQTLYATRHLVGACDEYHRVIAAYQQQSHQDPMKFLVARSEYSRCLLELGRFEETLTELSTIVEQARQVYGDDDEETFKAWNNYAWGLYKAGMISEAQFEYECLLDATVQKLGPTHPIILGIHETLSDIATQLG</t>
  </si>
  <si>
    <t>MGRNAEDITQELKQRFTQIWRLNGAYDPETLAALTYYVAVLLEYRNELKPSALPAAATSIADLVAELRHDYGEYHPATCAARTKNAEILQAMGQYEEARTLFRKSADGFEQAYGKANVSVLDLRNKAADCLAKLGRFSEALPEFMDVLEQQRHILGPHDPDTLLTWTEVMICLDEVGRVTQALAEAEQLLAVRVQVSGENHPDTLLIRYKYAGQLRAMGRPGEALIEYQAVLDGRRKTLGEYHPRTFVAWGAVGTCLMDVGRLDAAIDEFGRALQAAQKSLGIHHNQTLILWNDWIGCLLRNHDFYRGISELKKLLAVRKKVNGLDSPQTLETWYAYAYYLYATKQFPEAARELPDILARFEQLYGTLDEETTTVRLTYAQTLYATRHLVGACDEYHRVIAAYQQQSHQNPMKFLVARSEYSRCLLELGRFEETLTELSTIVEQARQVYGDDDEETFKAWNNYAWGLYKAGMISEAQFEYECLLDATVQKLGPTHPIILGIHETLSDIATQLG</t>
  </si>
  <si>
    <t>GC_00003009</t>
  </si>
  <si>
    <t>MSSKRPTTRSLPLIVYLVIAVAALIGTGAGWAWYVTYPPERMVALIVGIVAVVVVAAALLANRRAWQIIMNLAPTALLLAILPFVTKQLGAQTTIVVLVAITTPWLVGTAMLPAFRPVARLTGTDKQAKQDFVREFCRGWLLMLVFTLIPVGIFSLLLLICGWSAGNIGLYIVGVMSNVFFLHCLIPTMEIRKEAVVAGWVAYGAVFFFLPGFWYLAPLAGAVLQIPFLGKGLLGLFQAPAMDLQSMLAKAVYGVLIGGVLWMDKFLVLVLTPNEENLWLAYTAIIPVTVTLAVCNATKFPDLQHSFDQLVDDVAHRPLSQLGSDISNSRGNLAYLVASTIAVSTSASLGSLLMGGVFGIQHGYTSLLLFLLPATLVAAYVSMAQLSQVRRHVNAAVGAGGYLVLVTVAFAFLSPLVGLVMALLVSSVVAMLAAVRVERSVVDAPYELFWQKAVA</t>
  </si>
  <si>
    <t>MSSKRPTTRSLPLIVYLVIAVAALIGTGAGWAWYVTYPPERMVALIVGIVAVVVVAAALLANRRAWQIIMNLAPTALLLAILPFVTKQLGAQTTIVVLVAITTPWLVGTAMLPAFRPVARLSGTDKQAKQDFVREFCRGWLLMLVFTLIPVGIFSLLLLICGWSAGNVGLYIAGVMSNVFFLHCLIPTMEIRKEAVVAGWVAYGAVFFFLPGFWYLAPLAGAVLQIPFLGKGLLGLFRAPAMDLQSMLAKAVYGVLIGGVLWMDKFLVLVLTPNEENLWLAYTAIIPVTVTLAVCNATKFPDLQHSFDQLVDDVAHRPLSQLGSDISNSRGNLAYLVASTIAVSTSASLGSLLMGGVFGIQHGYTSLLLFLLPATLVAAYVSMAQLSQVRRHVNAAVGAGGYLVLVTVAFAFLSPLVGLVMALLVSSVVAMLAAVRVERSVVDAPYELFWQKAVA</t>
  </si>
  <si>
    <t>GC_00003010</t>
  </si>
  <si>
    <t>MAARIGRSGTIGRPLRAGNYNKLMSSTRIRRAGRKTGPKPRFTREDVINAAVELGIDRFTLGAVAAKLGIATSAMYRLFESRDALVDACLAQAAAEISMIMLDDELPWPELLRNWAETTWNICEKYPGLDITIFQYTQSFSHVQGFTQHAMGILMAQGFARSEALFALDFIGDTVLATHIGMSAMQHSPEGMDIVARTITELSAETLLDNRDRWNPQRGFLDAKVEFIIAGLRQQLGQRATEKT</t>
  </si>
  <si>
    <t>GC_00003011</t>
  </si>
  <si>
    <t>PF05167.17</t>
  </si>
  <si>
    <t>Uncharacterised ACR (DUF711)</t>
  </si>
  <si>
    <t>K09157</t>
  </si>
  <si>
    <t>COG2848</t>
  </si>
  <si>
    <t>Uncharacterized conserved protein, UPF0210 family (PDB:2HA9)</t>
  </si>
  <si>
    <t>MDFHHSSNNILDTIAMIEKYRLDIRTVTMGISLLGCMRSATKDTCTAVYDTITHRAEHLVSECEKIERELGIPIVNKRISVTPVALITSREHELVAHALDEAAKAVGVNFIGGYSALVEKGMSESDSRLIASIPEALASTDVVCSSVNIGSSRAGINMDAVRTMGEVIKRVAELTKDQGAIGCAKLVVFANAVGDNPFMAGAFHGVEEPDCVVSVGVSGPGVVDRALGSLAGASLDEVAEAIKKAAFKITRAGQLVGTMASQRLQVPFGIVDLSLAPTAELGDSVAHIMEHMGLSQVGTHGTTAALALLNDAVKKGGMMACSRVGGLSGSFIPVSEDKGMIDAVRAGTMSVDKLEAMTAICSVGLDMVAIPGDTSAELIAGMIADEAAIGVMNHKTTAVRVIPVPGMGPGDQVDFGGLLGYAPIIPVSMVDNSEFIRRGGFIPAPVHGFRN</t>
  </si>
  <si>
    <t>MDFHHSSNNILDTIAMIEKYRLDIRTVTMGISLLGCMRSATKDTCTAVYDTITRRAEHLVSECEKIERELGIPIVNKRISVTPVALIASREHELVAHALDEAAKAVGVNFIGGYSALVEKGMSESDSRLIASIPEALASTDVVCSSVNIGSSRAGINMDAVRTMGEVIKQAAELTKDQGAIGCAKLVVFANAVGDNPFMAGAFHGVEEPDCVVSVGVSGPGVVDRALGSLAGASLDEVAEAIKKAAFKITRAGQLVGTMASQRLQVPFGIVDLSLAPTAELGDSVAHIMEHMGLSQVGTHGTTAALALLNDAVKKGGMMACSRVGGLSGSFIPVSEDKGMIDAVRAGTMSVDKLEAMTAICSVGLDMVAIPGDTSAELIAGMIADEAAIGVMNHKTTAVRVIPVPGMGPGDQVDFGGLLGYAPIIPVSTVDNSEFIRRGGFIPAPVHGFRN</t>
  </si>
  <si>
    <t>GC_00003012</t>
  </si>
  <si>
    <t>MAHERTNIRQQVIVLETDTEIPDIMTVTNLEVISGTKFTDFTIPAAGLTLIHTGREQASTTLSMTLAGRMRPRRGRITITAPDGRAYRDDRRRFQHIALAGVPEIDSLERLVTVRAVIREQAAWHQPWWKPTPRSIDNIPSYTQAAELLGFTMTNDDATTLVGELDTLSRLVLRILLAIMARPDADLLIVDDIDQLRSMELRNKLLVKLRDYSQLKPVIATSVNPDFTYLCHNHVTLTTDTYQITAVNQ</t>
  </si>
  <si>
    <t>GC_00003013</t>
  </si>
  <si>
    <t>MTAHTYSWVGDTLYDDRRHPIATVAGSQLTVGDTTYRITKTGGRDFRLRADGGGVTFIFTTASLTTNRLEAMCGSRHYILRRPRPWNPARTITTRDGTKYGTITRTFSPRSGATIKAELTNADIPNAHLAFLAYGCKLVDADTTNIKI</t>
  </si>
  <si>
    <t>MTAHTYSWVGDTLYDDRRHPIATVAGSQLTVGDTTYCITKTGGRDFRLRADGGGVTFIFTTASLTTNRLEAMCGSRHYILRRPRPWNPARTITTRDGTNYGTITRTFSPRSGATIKAELTNADIPNAHLAFLAYGCKLVDADTTNIKI</t>
  </si>
  <si>
    <t>GC_00003014</t>
  </si>
  <si>
    <t>MTVPRSPSDTPPPHDFRSPGVRLLTYIVAGTTALLVIIFPLIDHGFSSGELYSFLCVISTVMFIAVGHVMRLKTVIALGVIMALWAGIYQSVIAALALPISLSHISAPENISPLTATAVTM</t>
  </si>
  <si>
    <t>MTVPRSPSDTPPPHDFRSPGVRLLTYIVAGTTALLVIIFPLIDHGFSSGELYSFLCVISTVMFIAVGHVMRLKTVIALGVIMALWAGIYQSVIAALALPTSPSPVSAPENISPLTATAVTM</t>
  </si>
  <si>
    <t>GC_00003015</t>
  </si>
  <si>
    <t>MSEQSVDVTQILDQHIYRELFDHRIIILADALEQHNANRLCTSLLLLSFRDPTADIVFLINSPGGSVPGMLAIRDCMNGIPNDVITVNLGMAYSAGQFLLSAGTQGKRFCLPHAKVLLHQGSGGIGGVAQDIEIQANDIRHTRDSVLECISEDTGRSLAEVTHDSLRDRWFTAKQALEYGFVDHITADVSQFLQRPTRVMGLSAKGHAHS</t>
  </si>
  <si>
    <t>MSEQSVDVTQILDQHIYRELFDHRIIILADALEQHNANRLCTSLLLLSFRDPTADIVFLINSPGGSVPGMLAIRDCMNGIPNDVITVNLGMAYSAGQFLLSAGTQGKRFCLPHAKVLLHQGSGGIGGVAQDIEIQANDIRHTRDSVLECISEDTGRSLAEVTHDSLRDRWFTAEQALEYGFVDHITSDVSQFLQRPTRVMGLSAKGHAHS</t>
  </si>
  <si>
    <t>GC_00003016</t>
  </si>
  <si>
    <t>MFVLNYLAVPATKFDRLAMDDDQVDAVHELLESAEYPTTDIDKAWGPLSMVVGESPIMGAIAGTQEWDEEVTANPPALVAEQAAALAAADGAQLAAAANELDSDTPPEYVADAVAELTRFYQAAANRGDAIIIVVN</t>
  </si>
  <si>
    <t>MFVLNYLAVPATEFDRLAADDDQVDAVHELLESAEYPTTDIDKAWGPLSMVVGESPIMGAIAGTQEWDEEVTANPPTLVAEQAAALAAADGAQLAAAANELDSDTPPEYVADAVAELTRFYQAAANRGDAIIIVVN</t>
  </si>
  <si>
    <t>GC_00003017</t>
  </si>
  <si>
    <t>MRERMAVMGAAVGADMAAARLDRGAPERFFNVVQLPERLARCFPGGGLPRKAVSQVSDCATLVMEIISAVTEQGGYVAVVGWADLLFAGVVDSGGDVSKIVSVPDPGIDALPVAAVFAEGMDMVVCRSAAPRRLTPTNSRPFLAKVRQGSAAMLLVGISVPSPALTVSAQVTKIYGLHRGGGRIRGLDVEVEAASKSADHQRIRTLLRCGEAAPMEPSPGPGLQAVS</t>
  </si>
  <si>
    <t>GC_00003018</t>
  </si>
  <si>
    <t>MSAIVCRDVTRRFGELTAVDGVSFTVEDNEIFGIIGPNGAGKTTLLSCIEGLDAPASGTIDVLGMHPIKDMHQLVQRTGIQLQQAALLPRLKVGEALQLFSSFYDNPVPWRPLLDLLGIGVKERSFVTKLSGGERQRVFIALALIHDPELLFLDELTTALDPQARLAMWDVVRGIRDRGKTVVLTTHYMEEAEALCDRVAIIDSGKLVALDTVAGLIQRYGGDSTLRLNLNSPALNTPALAELASVQGVTGVNGDGDAVVVKGRGAFAQNVLAYLTQAGLAVHDMNTTTPGLEDVFLNLTGRTLRKEH</t>
  </si>
  <si>
    <t>MSAIVCRDVTRRFGELTAVDGVSFTVEDNEIFGIIGPNGAGKTTLLSCIEGLDTPTSGTIDVLGMHPIKDMHQLVQRTGIQLQQAALLPRLKVGEALQLFSSFYDNPVPWRPLLELLGIGVKERSFVARLSGGERQRVFIALALIHDPELLFLDELTTALDPQARLAMWDVVRGIRDRGKTVVLTTHYMEEAEALCDRVAIIDSGKLVALDTVAGLIQRYGGDSTLRLNLNSPVLDHPVLAELTSVQGVTSVDGDGDAIVVKGRGAFAQNVLAYLTQSGLAVHDMETTTPGLEDVFLNLTGRTLRKEH</t>
  </si>
  <si>
    <t>GC_00003019</t>
  </si>
  <si>
    <t>MVGKRMRFALESVPMLPKSRIVSALAIGLGLALVAWGVLFPRIVPTDARLPLSLKQTTMTLVDQHATQRIPNDGTTYTGPMTKQYHAELLPPVDQEVATARIGVSLMRGEHGPEGAIQASDLDRLVEATVWTYTFKRTTGMNTSPVKFVNMPATGAIDVDFSGYWVKFPLDAKQTSYEVFDATLRRTAPAVYKDSQERNGRTIYHYQQKIDPTNTADLYSTFFTTIKLPIKPAPPADKPQDIEAYLFHSGVRDYYVDQISGMIVDMSENIIDYYGDRNGGKLADAHLFAGKMSNEQSAAMLAQAAQLSDGHIMRIITWVVLGLGVVVTFAGIMGAFGVGRRQDEYAEDLEED</t>
  </si>
  <si>
    <t>-MGKRMRFALESVPMLPKSRIVSALAIGLGLALVAWGVLFPRIVPTDARLPLSLKQTTMTLVDQHATQRIPNDGTTYTGPMTKQYHAELLPPVDQEVATARIGVSLMRGEHGPEGAIQASDLDRLVEATVWTYTFKRTTGMNTSPVKFVNMPATGAIDVDFSGYWVKFPLDAKQTSYEVFDATLRRTAPAVYKDSQERNGRTIYHYQQKIDPTNTADLYSTFFTTIKLPIKPAPPADKPQDIEAYLFHSGVRDYY</t>
  </si>
  <si>
    <t>GC_00003020</t>
  </si>
  <si>
    <t>MSRNRKNHRNHQARRNQRRQRQAALRQSALAEFPAIVETLAPDIADDNETVSFKSFKTATQYYNRAVLDHLLQYQLIYDEHYDEALMLICDGFGLTKANGKHLLTTAHILTILPDIRARIYDVGTADLERLIIIGKQLAGLNDDQIMEVEPAIYNLFTSDEETYEWVKTTIIRAALKAARLDVDEEARAAEEARVAAREEKKQQQQSRLVHHELNDGRTEIIIRIDKENSPQFNQQVAEAAQTAGKEVADYLYDHVHAVVDPDVTLLAVADDKGNLVVEGCQPMVVKNVIDLQNAVREARRYRLSKLRGLITTPEAPEPGPADPDSSGHAAA</t>
  </si>
  <si>
    <t>MSRNRKNHRNHQARRNQRRQRQAALRQSALAEFPAIVETLAPDIADDNETVSFKSFKTATQYYNRAVLDHLLQYQLIYDEHYDEALMLICDGFGLTKANGKHLLTTAHILTILPDIRARIYDAGTADLERLIIIGKQLAGLNDDQIMEVEPAIYNLFTSDEETYEWVKTTIIRAALKAARLDVDEEARAAEEARVAAREEKKQQQQSRLVHHELNDGRTEIIIRIDKENSPQFNQQVAEAAQTAGKEVADYLYDHVHAVVDPDVTLLAVADDKGNLVVEGCQPMVVKNVIDLQNAVREARRYRLSKLRGLITTPEAPEPGPADPDSSGHAAA</t>
  </si>
  <si>
    <t>GC_00003021</t>
  </si>
  <si>
    <t>PF05525.19</t>
  </si>
  <si>
    <t>Branched-chain amino acid transport protein</t>
  </si>
  <si>
    <t>K03311</t>
  </si>
  <si>
    <t>branched-chain amino acid:cation transporter, LIVCS family</t>
  </si>
  <si>
    <t>COG1114</t>
  </si>
  <si>
    <t>Branched-chain amino acid permease (BrnQ)</t>
  </si>
  <si>
    <t>MSKRALFAIALMLFSMFFGAGNLIFPPMLGANAGDNFVPAVTGFLISGVALPVLAIIAIALSGQDIRALAARAGTVFTIVFSIAIYLSIGTFFGIPRTGAVSFSTAVSPVTGWESTPASVGFNLVFFAVATWLALNPSGLVDRLGKVLTPALLTLLAVLIVLSLFQLHNPGAAPTEEYAASPFPAGLMEGYFTMDSLAALAFGILVISAIKEQKIANPLPGTTMAALGAGALLGTIYLGLAIMGSRIPEGQSYKDGATLLSHASLQVLGFPGQVVLGGVVLLACLTTAVGLLAATSEFFNYLVPKISYRTWLMTFAVVSFGIASGGLETVISIATPIIVFIYPVAMTVIIVTLIGAVVKPILPLYWGFAIPAWGVFLWSVVDKIVTWQSGAPINLPLFNADFTWLAPALAGLAVGASIDFFRKEDCQRRIARTNEKIRTWNSIKIVRETDPV</t>
  </si>
  <si>
    <t>MSKRALFAIALMLFSMFFGAGNLIFPPMLGANAGDNFVPAVTGFLISGVALPVLAIIAIALSGQDIRALAARAGTVFTIVFSIAIYLSIGTFFGIPRTGAVSFSTAVSPVTGWESTPASVGFNLVFFAVATWLALNPSGLVDRLGKVLTPALLTLLAVLIVLSLFQLHNPGAAPTEEYAASPFPAGLMEGYFTMDSLAALAFGILVISAIKEQKIANPLPGTTMAALGAGALLGTIYLGLAIMGSRIPEGQSYKDGATLLSHASLQVLGFPGQVVLGGVVLLACLTTAVGLLAATSEFFNYLVPKISYRTWLITFAAVSFGIASGGLETVISIATPIIVFIYPVAMTVIIVTLIGAVVKPILPLYWGFAIPAWGVFLWSVVDKIVTWQSGAPIELPLFNADFTWLAPTLAGLAVGASIDFFRKEDCQRRIAQTNEKIRTWNSIKIIRETDPV</t>
  </si>
  <si>
    <t>GC_00003022</t>
  </si>
  <si>
    <t>PF01261.30</t>
  </si>
  <si>
    <t>Xylose isomerase-like TIM barrel</t>
  </si>
  <si>
    <t>K01820</t>
  </si>
  <si>
    <t>L-rhamnose isomerase / sugar isomerase [EC:5.3.1.14 5.3.1.-]</t>
  </si>
  <si>
    <t>COG4952</t>
  </si>
  <si>
    <t>L-rhamnose isomerase (PDB:3M0Y)</t>
  </si>
  <si>
    <t>KEGG Orthology (KO)&gt;&gt;&gt;09100 Metabolism&gt;&gt;&gt;09101 Carbohydrate metabolism&gt;&gt;&gt;00040 Pentose and glucuronate interconversions [PATH:ko00040]|KEGG Orthology (KO)&gt;&gt;&gt;09100 Metabolism&gt;&gt;&gt;09101 Carbohydrate metabolism&gt;&gt;&gt;00051 Fructose and mannose metabolism [PATH:ko00051]|Enzymes&gt;&gt;&gt;5. Isomerases&gt;&gt;&gt;5.3  Intramolecular oxidoreductases&gt;&gt;&gt;5.3.1  Interconverting aldoses and ketoses, and related compounds&gt;&gt;&gt;5.3.1.14  L-rhamnose isomerase</t>
  </si>
  <si>
    <t>MTTLNDYTPEARRLLEEQTIELPSWAFGNSGTRFKVFTTGGVPRTPYEKLEDAAQVNAYTGITPRVSLHIPWDRVDDFADLAAYATDHGVTIGAINSNVFQDDDYKLGSLCHSDQRIRAKAIDHHRECIDIMNQTGSTDLKIWLADGTNYPGQDSIRARQDRLADSLQQIYADLSEGQRIILEYKFFEPAFYHTDIPDWGTALVHCQALGSNAMVVLDTGHHAPGTNIEFIVAQLLRVGRLGAFDFNSRFYADDDLMVGAADPFQLFRIMHEIVAVGALDKNSGVNFMLDQCHNLEEKIPGQIRSVMNIQEATAKALLVDHSALTEAQHSGDVLAANAVLMDAYNTDVRDALAELRESKGLAANPMAAFAESGYLDTIRAARAGGEQAGWGA</t>
  </si>
  <si>
    <t>MTTLNDYTPEARRLLEEQTIELPSWAFGNSGTRFKVFTTGGVPRTPYEKLEDAAQVNAYTGITPRVSLHIPWDRVDDFADLAAYATDHGVTIGAINSNVFQDDDYKLGSLCHSDQRIRAKAIDHHRECIDVMNQTGSTDLKIWLADGTNYPGQDSIRARQDRLADSLQQIYADLSEGQRIILEYKFFEPAFYHTDIPDWGTALVHCQALGSNAMVVLDTGHHAPGTNIEFIVAQLLRVGRLGAFDFNSRFYADDDLMVGAADPFQLYRIMHEIVAVGALDKNSGVNFMLDQCHNLEEKIPGQIRSVMNIQEATAKALLVDHSALTEAQHSGDVLAANAVLMDAYNTDVRDALAELRESKGLAADPMAAFAESGYLDTIRAARAGGEQAGWGA</t>
  </si>
  <si>
    <t>GC_00003023</t>
  </si>
  <si>
    <t>PF13483.12</t>
  </si>
  <si>
    <t>COG2220</t>
  </si>
  <si>
    <t>L-ascorbate lactonase UlaG, metallo-beta-lactamase superfamily (UlaG) (PDB:2WYM)</t>
  </si>
  <si>
    <t>MIVTMTAITLFGHSGVRIDRIAIDPGIFTNPAIMEGAEHVLLTHSHPDHCNLDIIHNLPVYGPKEAIEQLTDCDTHEVYPGDELELDGHHIRVVGGYHAVVHPSLNRPTNLGYLIDGRILHPGDEFPDIAMHSLNDIEILFLPVAAPWLKVSETVEFAHSILPRLSLPIHDAILSAEGKALVDSILTATKVPGYVRPDLLTTIEL</t>
  </si>
  <si>
    <t>MIVTMTAITLFGHSGVRIDRIAIDPGIFTNPAIMEGAEHVLLTHSHPDHCNLDIIHNLPVYGPKEAIEQLTDCDTHEVYPGDELELDGHHIRVVGGYHAVVHPSLNRPTNLGYLIDGRILHPGDEFPDIAMHSLNDIEILFLPVAAPWLKVSETVEFAHSILPRLSLPIHDAILSAEGKALVDSILTATKVPGYVRPDLLTAIEL</t>
  </si>
  <si>
    <t>GC_00003024</t>
  </si>
  <si>
    <t>K19133</t>
  </si>
  <si>
    <t>CRISPR-associated protein Csb3</t>
  </si>
  <si>
    <t>Prokaryotic defense system&gt;&gt;&gt;CRISPR-Cas system&gt;&gt;&gt;Type I CRISPR-Cas system&gt;&gt;&gt;Subtype I-U factors</t>
  </si>
  <si>
    <t>MSTITLAGDYRSALTHFALYGLAMLAETHHPGAVTLGWSDEVIPKAQLDIEGVGLDAVAEYILQYSVQLSSVDSWVTVNNEYGSGKKKAIFSPFSPRIRGIDVQANPYDWHNHQKARFHALNQLTLDGDLLSLRWIFGLGEAAYWRFLRKENRPDHGASRWEMKTRNKGEEFVQYRLRPLCIELSQWSISDISSGITGVTLRDTIGKNAIDSRTSTGFTPPGPADVALTFAALLGIACFPVVRKIDQLSITPGAWPSDVLHPDNMVLPIFAQKITPARLRAILRSQAFAEAVEQVCGVEAGIVENNTASVLGSARSAVWLKDRGVKAVARFPILLAGSSSAPERQVQYGTAVPL</t>
  </si>
  <si>
    <t>MSTITLAGDYRSALTHFALYGLAMLAETHHPGAVTLGWSDEVIPKAQLDIEGVGLDAVAEYILQYSVQLSSVDSWVNVNNEYGSGKKKAIFSPFSPRIRGIDAQANPNDWHNHQKARFNALNQLTLDGDLLSLRWIFGLGEAAYWRFLRKENRPDHGASRWEMKTRNKGEEFVQYRLRPLCIELSQWSISDISSGITGVTLRDTIGKNAIDSRTSTGFTPPGPADVALTFAALLGIACFPVVRKIDQLSITPGAWPSNILHPDNMVLPIFTQKITPARLRAILRSQAFAEAVEQVCGVEAGIVENNTARVLGSARSAVWLKDRGVKAVARFPILLAGSSSAPERQVQYGTAVPL</t>
  </si>
  <si>
    <t>GC_00003025</t>
  </si>
  <si>
    <t>MNPQSFPTLNASDVISVAWRHFSRQWVPWVLSMLALMASIFVLFAVMMVIVLATATTKTETTTFSTTQTTEPSGVGLVAMAIFYILMWVVAVVYSINSYRNAFRVTQGETIAVGDFFKFSGLATPLIVSILCGIIIYIGMLLFVIPGIIAMFALMYVPVAAVINNSTVGRAFSEGFAAFKNNIGQSILLAVLLGLIGLAGSLVLGIGNLVTIPLANIALVVGYLMVTGRNLVVAN</t>
  </si>
  <si>
    <t>MNPQSFPTLNASDAISVAWRHFSRQWVPWVLSMLALMASIFVLGAVMVVIVLATATTKTETTTFSTTQTTEPSGVGLVAMVIFYILIAAVAVVYSINSYRNAFRVTQGETIAVGDFFKFSGLVTPLIVSILCGIITYIGMLLFVIPGIIAMFALMYVPLAAVINNSTVGRAFSEGFAAFKNNIGQSILLAVLLGLIGFAGSLALGIGNLVTIPLIYIALVVGYLMVTGRNLVVAN</t>
  </si>
  <si>
    <t>GC_00003026</t>
  </si>
  <si>
    <t>MQGLRAQGHAVFGGPHAVPQADMVVFKLMDVKSLMPCVRPGQILILVDFCHSLEVLEPLAAQGCHTIVLMPLAPNRYAFLADQEISTVIMELLTTELASVCEHVPAERQQEFVAGFVLSQLASEVYQLGATLQDPSGNSVSSILGPNSEPAEPPRLAKQDLPSWLSITPHQPKQQDS--QEHPDTNAAQPEQSQEPHEDERPLLPRQLLREHHLAWCAEALPTDHARSVFYTLLYYGLLQHNTKPENLVAWAKKQQERYGGL</t>
  </si>
  <si>
    <t>MQGLRAQGHAVFGGPHAVPQADMVVFKLTAVKSLVSRVRPGQILILVDFCHSLEVLEPLAAQGCHTIVLMPLAPNRYAFLADQEISTVIMELLTTELASVCEHVPAERQQEFVAGFVLSQLASEVYQLGATLQDPSGNSVSSILGPNSEPAEPPRLAKQDLPSWLSITPHQPKQQDSQEQEHPDTNAAQSEQSQEPHEDERPLLPRQLLREHHLAWCAEALPTDHARSVFYTLLYYGLLQHNTKPENLVAWAKKQQERYGGL</t>
  </si>
  <si>
    <t>GC_00003027</t>
  </si>
  <si>
    <t>MSALDTLRQLPKVRRSWPHDDGSITVELVDDDSRVRAGLIHPNGVWEMADYGVDEKLPDLTPHDGIVSHKWHEHAVIMDADRVYGYMLPEQNQAIIRAHSLLAQKCTAAHLNVARVLSHTDSMVILNRLPGITVYDFGDEAAPAWVIFAQLWPQFTTFQLPVKKHTAADEAQVLRWWADKVPGISVDQAIAGLTSGTPDPEVLLHGDLHDKHLFFDGSRLSLVSLETLARGEAAADLGNVLAYAELRWYQGNINDATRDVMVDSVHTLADSLHVSPARLSAYYEAARRRVACVYSFRPQASSWLAQWIATFS</t>
  </si>
  <si>
    <t>MSALDTLHQLPKVRRSWPHDDGSITVELVDDDSRVRAGLIHPNGVWEMADYGVDEKLPDLTPHDGIVSHKWHEHAVIMDADRVYGYMLPEQNRAIIRAHSLLAQKCTVAHLNVARVLSHTDSMVILNRLPGITVYDFGDEAAPAWVIFAQLWPQFTTFQLPVKKHTAADEAQVLRWWADKVPGISVDQAIAGLTSGTPDPEVLLHGDLHDKHLFFDGSRLSLVSLETLARGEAAADLGNVLAYAELRWYQGNINDATRDVMVDSVHTLADSLHVSPARLSAYYEAARRRVACVYSFRPQASSWLAQWIATFS</t>
  </si>
  <si>
    <t>GC_00003028</t>
  </si>
  <si>
    <t>MRCGAWQCRPRRGEPSKLSAMIALVSTLTSPMVRKLGLVASLLILLGSFGGGSLQKRNSLLSAANLDFLSFGHGAAFSNVTLWLGTVLFVVAWVLMGKLVIDKVVDADYVRRTLCMWLVPLAGAAPIMSRDVYSYLMQGTLLRDGLNAYTQGPASNPNQILFEVSHDWRNTTTPYGPLHLWLGEAVTTVFGDNVTAGVYAFKALAVAGFVAIMWFVPKIAQHLGADPAFALWLGVANPVMVFHLVGGMHNEAMMVGLVTVGLYLVVRQATYPAVLGGFFAGVALIAVAMALKASAALCLPFVVWLVVNRAGESMGAKVRAFLLAGVGGAVETVAILAVITWASGTTWEWIAALAGNTKVVNPLSFPSLVSGVIGEAGRIGNPQFPFNDVMVVARAVSLVIMAVGFVACWWFLRRKPITGAMWAYLIVFSFNAVTLPWYYASVLPLVGVVNCSRRINQFFIIGSIVVALAFTGSGNHQLYNPMWMGILAVSGWVASRWLFAETTLVAYRRPGLEGHRLGAAHHLPGQVPV</t>
  </si>
  <si>
    <t>--------------------MIALVSTLTSPMVRKLGLVASLLILLGSFGGGSLQKRNSLLSAANLDFLSFGHGAAFSNVTLWLGTVLFVVAWVLMGKLVIDKVVDADYVRRTLCMWLVPLAGAAPIMSRDVYSYLMQGTLLRDGLNAYTQGPASNPNQILFEVSHDWRNTTTPYGPLHLWLGEAVTTVFGDNVTAGVYAFKALAVVGFVAIMWFVPKIAQRLGADPAFALWLGVANPVMVFHLVGGMHNEAMMV</t>
  </si>
  <si>
    <t>GC_00003029</t>
  </si>
  <si>
    <t>MRIAILGRGGSGKSTLARQLGLPHIELDKLLWGADLTPQPLDWESIVSREEWVIDGDLGAYDNLAPRVARADAVVVLDFPLWLCAWRALRRGHENWEFWRWVIGYRRHLPEILAQIPAEKLHHLRHPKDIPQTLKYVASGW</t>
  </si>
  <si>
    <t>MRIAILGRGGSGKSTLARQLGLPHIELDKLLWGADLTPQPLDWESIVSGEEWVIDGDLGAYDNLAPRVARADAVVVLDFPLWLCAWRALRRGHENWEFWRWVIGYRRHLPEILAQIPAEKLHHLRHPKDIPQTLKYVASGW</t>
  </si>
  <si>
    <t>GC_00003030</t>
  </si>
  <si>
    <t>PF03572.23</t>
  </si>
  <si>
    <t>Peptidase family S41</t>
  </si>
  <si>
    <t>COG0793</t>
  </si>
  <si>
    <t>C-terminal processing protease CtpA/Prc, contains a PDZ domain (CtpA) (PDB:6IQU)</t>
  </si>
  <si>
    <t>MKVVKTLTIIIAVIAVLVGAITWFFGPSLGVALLGRPILMVSTPHRYGQAAIDIGRSLAIYADTPQATAAYEEAKTEIANVHSVEETYPIIKKYLKVAGGKHSNFLSPEDNATSDDLGNDSPTVTKNDNIVTAMLPSLNLGPVGQKYADILANGLAENVPNSCGVILDLRKNDGGDMGPMIAGVSGLLPDGTLLSFKSKNSTSPVTLNNGSISGGGTPTTVGPKDKFRVPVAILTSNVTASSGEATLLSFRGLENTRTFGQPSAGYASGNLIIDMPDGAGLMVTTANDVARTGEEFSEDPIAPDVSTDRPEQAATEWLHSQCGQ</t>
  </si>
  <si>
    <t>MKVVKTLTIIIAVIAVLAGAITWFFGPSLGVALLGRPILMISTPHRYGQAAIDIGRNFAIYADTPQATAAYEEAKAEIANVHSVEETYPIIKKYLKVAGGKHSNFLSPEDNANSDDLGNDSPTVTKNDNIVTAMLPSLNLGPVGQKYADILANGLAENVPNSCGVILDLRKNDGGDMGPMLAGVSGLLPDGTLLSFKSKNSTSPVTLNNGSISGGGTPTTVGPKDKFRVPVAILTSNVTASSGEATLLSFRGLENTRTFGQPSAGYASGNLIIDMPDGAGLMVTTANDVARTGEEFSEDPIAPDVSTDRPEQAATEWLHSQCGQ</t>
  </si>
  <si>
    <t>GC_00003031</t>
  </si>
  <si>
    <t>K07451</t>
  </si>
  <si>
    <t>5-methylcytosine-specific restriction enzyme A [EC:3.1.21.-]</t>
  </si>
  <si>
    <t>---------------------MRTNYNFLCDWLALFPDGLEEVDEDSFIRCLVVGTGLGCGVIRTNLYIADQLKRMPRLCEFALTMRHLDRARLVAIEHACVSVKDELLPLVEEEIIRLLTPTKPRQMLITARTITEKIKEIITQIDPPAAERSAYESEEQLDMSHQPDGISTLTCTFRADEGHEVHTILKSVAAREHCTQAQALLQLIRQQTTATVVLNLYAPQDKHQPVNFGGTHTLDATAAAEWLDRVTRTR</t>
  </si>
  <si>
    <t>MTETTAYYTCCDPADPCACMSMRTNYNFLCDWLALFPDGLEEVDEDSFIRCLVVGTGLGCGVIRTNLYITDQLKRMPRLCEFALTMRHLDRARLVAIEHACVSVKDELLRLVEEEIIRLLTPTKPRQMLITARTITEKIKEIITQIDPPAAERSAYESEEQLDMSHQPDGISTLTCTFRADEGHEVHTILKSVAAREHCTQAQALLQLIRQQTTATVVLNLYAPKDTHQPVNFGGTHTLDVTAASQWLDRVTRTRDIDCYANAHTPAYRIPEAMKAFVKGRDGGCRFPGCGARAEVCDIDHVVPYDQGGATAPANLQCLCRHCHNLKTDGMATATISKDATVTWTMPDGSTVTTTPQGPIAPTIKQRDSRWAVSIGERRKRRINRAA</t>
  </si>
  <si>
    <t>GC_00003032</t>
  </si>
  <si>
    <t>MNKLIVPWEKSVVLGCLFLLVTVMAVGAYVGIKEEGRAFNPVYQEQKTAGPMVNRAVGAAMEKYLDSADSSVSRVRIYSTTVNGDGAVTAIVYVSRLGCGGMQDDDSNPHEMTLAPDEASGEAYVVSADDVLNPKNHDLPQFQPFDALYASDEGRIPRCG</t>
  </si>
  <si>
    <t>MNKLIVPWEKSVVLGCLFLLVTVMAVGAYVGIKEEGRAFNPVYQEQKTAGPMVNRAVGAAMEKYLDSADSSVGRVRIYSTTVNGDGAVTAIVYVSRLGCGGMQDDDSNPHEMTLAPDETSGDEYVVSADDVLNPKNHDLPQFQPFDALYASDDGRIPRCG</t>
  </si>
  <si>
    <t>GC_00003033</t>
  </si>
  <si>
    <t>MPRRLLPLTIFLTLLLTACNANDTTSSQHFHAKATLTSVTSVTSTSSTKTSSTKPPTTTSTEPQDSTPQDVAPEPNNIAAPEPAATYDEPYFIQCFAQYPGYALWSDNSSRYSQWCADIMGVNAPTNTGNGYGNTYNYVDPEPIPTFDPNSGDGYGPNQKLPPLCARFPSDYGPC</t>
  </si>
  <si>
    <t>MPRRLLPLTISLTLLLTACNANDTTSSQHFHAKATLTSVTSITSTSSTKTSSTKPPTTTSTEPQDSTPQDVAPEPNNIAAPEPAATYDEPYFIQCFAQYPGYALWSDNSSRYSQWCADIMGVNAPTNTGNGYGNTYNYVDPEPIPTFDPNSGDGYGPNQKLPPLCARFPSDYGPC</t>
  </si>
  <si>
    <t>GC_00003034</t>
  </si>
  <si>
    <t>MSKSVFAGKATQRALAGLTSLALVAGGLTVVPSVAGAQEIKECNGSFVGPKNLGLEDSNLALQKNTYWPGDVLEISAENLELLKDPYLTLNGNAMTGLAWPYQEGI-EGVHVDGNKLIIENVDDRGHAKEGIIRVQAQLPSEIGEGGLFMGKNVLTLSGTDDNNDQEVTLSRSVDFWVNKSGHEGDPCSYTLQQEETPTPEEPEDPANPSTEPSAKPSEPTAKPSEPTTKPTEPGKPTTKPSEPGKPTTKPSESTKP-TEPGKPSESTKPTEPGKPGDGNGKSDFNKFFGSLKDNTKGILFAVAAAIGIPAIIAGVVGLLAQQGMIPKEWLQGFKF</t>
  </si>
  <si>
    <t>MSKSVFAGKATQRALAGLTSLALVAGGLTVVPSVAGAQEIKECNGSFVGPKNLGLEDSNLALKKNTYWPGDVLEISAENLNLLKNPYLTLNGNAMTGVAWPEDQDYGEGLTVDGNKLIIKDVDDQGHAKEGIIRVKAVLPSL--ENGLFTGKNVLTLSGTDDDNDKDVTLSRSVDFWVNESGHEGDPCSYTLQQEETPTPEEPEDPANPSTEPSAKPSEPTAKPSEPTTKPTEPGKPTTKPSEPGKPTTKPSESTKPTTEP-----STKPTEPGKPGDGNGKSDFNKFFGSLKDNTKGILFAVAAAIGIPAIIAGVVGLLAQQGMIPKEWLQGFKF</t>
  </si>
  <si>
    <t>GC_00003035</t>
  </si>
  <si>
    <t>MFPSRYSARMIVTSLAVTSAMAAHAGLAVAEDLDVNTQLADVIADEQENLTNENQNMNQQDASGNGVMSEQQERIIALLDETIKIADEAIVIAQAKDLGNEGYDAAKIKQQAVDLRETAATTRDKDVLRALEFRARVLKEAAVDVKRKASNVGASEADVAKVRQETSQAIDAFLKEIDETLAIAEKKEQTDSLKNYVHLARMSKANAELMKQKLPTLGLEELQELKDNIDIASVGFRNNLGAAIKDAPDKSGQSSSTDSGARGIIGVILGVLGVGAIVAAIMQFGGPALKNLGVNLPGIPQR</t>
  </si>
  <si>
    <t>MFPSRYSARMIVTSLAVTSAMAAHAGLAVAEDLDVNTQLADVIADEQENLTNENQNMNQQDASGNGVMSEQQERIIALLDETIKIADEAIAIAQAKDLGNESYDAAKIKQQAVDLRETAAMTHDKDVLRALEFRARVLKEAAVDVKRKASNVGASEADVVKVRQETSQAIDAFLKEIDETLAIAEKKEQTDSLKNYVRLARMSKANAELMKQKLPTLGLEELQELKDNIDIASVGFRNNLGAAIKGAPDRSDQGSSTDSGVRGIIAVILGVLGVGAIVAAIMQFGGPALKNLGVNLPGIPQR</t>
  </si>
  <si>
    <t>GC_00003036</t>
  </si>
  <si>
    <t>PF13523.12</t>
  </si>
  <si>
    <t>MSAEDNANIVRLWAAETHVLPPVERGTSTRVVTPPLFVAADQRDAAALSFQWSVPQVGLPTVDEVSLVDPADESGRQVPVSDPAELLALLQRVAAFRAGRDTPDNPDLEAVGHAHEALVDVLSSTESASDNTPAASTPAEPADGSVEGHTPGAWLEADSFFFPTLRGRDTLNHSGPTGTTWLAAAGFGGPKDDMPELSLDGLDLPGKMAGAVEFEGCELREAHGPADAERIAEWMQSELLYTFRQPWSVERWEEELDLLNSQPFTQPYILSAEGAPIGYIEVYRPAHMSIGASRPTDPRTVGIHIGVADTSRVGKGMGRDLVTLFGVAALLGDKTLFSHALGEPNLLNNAARGAAKHTMGGEVAQLAFPHKCAALLSSAPTVLSAVISARAQYE</t>
  </si>
  <si>
    <t>MSAEDNANIVRLWAAETHVLPPVERGTSTRVVTPPLFVAADQRDAAALSFQWSVPQVGLPTVDEVSLVDPADESGRQVPVSDPAELLALLQRVAAFRAGRDTPDNPDLEAVGHAHEALVDVLSSTESASDDTPAASTPAEPADGSVEGHTPGAWLEADSFFFPTLRGRDTLNHSGPTGTTWLAAAGFGGPKDDMPELSLDGLDLPGKMAGAVEFEGCELREAHGPADAERIAAWMQSELLYTFRQPWSVERWEEELDLLNSQPFTQPYILNAEGVPIGYIEVYRPAHMSIGASRPTDPRTVGIHIGVTDTSRVGKGMGRDLVTLFGVAALLGDKTLFSHALGEPNLLNNAARGAAKHTMGGEVAQLTFPHKCAALLSSAPTVLSAVISARAQYE</t>
  </si>
  <si>
    <t>GC_00003037</t>
  </si>
  <si>
    <t>MSIYFPVDVNFYDSPEFFEVNMSARGLWVTCGTWCKRHLTDGVIPAKIVHHLGGTVRQIKTLIKNNVWAESEQNGTKVYIFCHWFEHNLSREEVEERRRKWRESKQRSRAKNRPEQRKQTKPQSSPPQDVHHNVHDDVPHVREEVIEENKRGGGQVTADPPPNHPPNPAAARCPDHAHIPPNGYVPACHACRAERERAEALVVEWENREAERRKASIAACPHCDDRGMAQTEDTNGNSLVIRCTHDGPPPIVPAAEPERHTPPPPEVRRMIAGLGRRAAS</t>
  </si>
  <si>
    <t>MSIYFPVDVNFYDSPEFFEVNMSARGLWVTCGTWCKRHLTDGVIPAKIVRHLGGTVRQIKTLIKNNVWAESEQNGTKVYIFCHWFEHNLSREEVEERRRKWRESKQRSRAQNRPEQRKPAKPQNSPPQDVHHNVHDDVPRVREEVIEENKRGGGQVTADP----PPNPAAARCPDHAHIPPNGYVPACHACRAERERAEALVVEWENREAERRKASIAACPHCDDRGMAQTEDTNGNSLVIRCAHDGPPPIVPAVEPERHTPPPPEVRRRIAGLGRRAAS</t>
  </si>
  <si>
    <t>GC_00003038</t>
  </si>
  <si>
    <t>MIGWQNTNDKEKYTMKPHSTTRHITTMLTALTALALLTACGSETTAPTELGYLRPRDWHTITDIKDTIRTLTGGCAAYTDTEGIGSCAEGDQQTYLFTIDPADLDPATTQPRAGTITMTARAQAEERNVAAAVLIGPRWQIACYGAHALSNCSVLRGAFDMKTIDVYNLEQADNADDFRTDVTVRILD</t>
  </si>
  <si>
    <t>GC_00003039</t>
  </si>
  <si>
    <t>MPDWLRDVLVTILVISVTFTADPAHPYQPPSALSIALSVTAAGLLLMRRRRPILIAIAMVGLFVVGSVWARDHNPGLLLAVTIAIAGLFYRRGMDVGIPVAIGALIAMEVATWHFVGAVFTYHMLHPIFSVAFAGAAGDSVRMHRRYIKAITDRAIRAEQTRESEAARRVTEERLRIARDLHDTVAHQISVISLNAGVASQMMEKHPQQARESLATVRNAARSVLTEIGNLLEHLRSTEAGGAGELDTTPQPSISHIDGLVAKFSQVGMRVVVQKPDDLDRVPAAVGRVAYRIVQEALTNAYKHGDNTHAVVDLRLTDSALTITVTNPASPQPETTGQGFGLIGLQEQAASVRGTIAAGLVDNDWRVTATLPFQGSTL</t>
  </si>
  <si>
    <t>MPDWLRDVLVTIMVISVTFTADPAHPYQPPTVLSIVLSVTAAGLLLMRRRRPILIAIAMVGLFVVGSVWARDHNPGLLLAVTIAIAGLFYQRGMDVGIPVAIGALIAMEVATWHFVGAVFTYHMLHPIFSVAFAGAAGDSVRMHRRYIKAITDRAIRAEQTRESEAARRVTEERLRIARDLHDTVAHQISVISLNAGVASQMMEKHPQQARESLATVRNAARSVLTEIGNLLEHLRSTESGGTGELDTTPQPSISHIDGLVAKFSQVGMRVVVQKPDDLGRVPAAVGRVAYRIVQEALTNAYKHGDNTHAVVDLRLKDSALTITVTNPASPQPETTGQGFGLIGLQEQAASVRGTIAAGLVDNDWRVTATLPFQGSTL</t>
  </si>
  <si>
    <t>GC_00003040</t>
  </si>
  <si>
    <t>PF05108.18</t>
  </si>
  <si>
    <t>Type VII secretion system ESX-1, transport TM domain B</t>
  </si>
  <si>
    <t>K27085</t>
  </si>
  <si>
    <t>ESX secretion system ATPase EccB</t>
  </si>
  <si>
    <t>MGITPTTKAQISGHKFLTRRLEHGLVLGDIRMIHDPLATRNRAHVFSLAATVLICLGALAMAIFKPAIDPGDAAIIQAESGQLYVRIDNKLHPVANLASARLIVGEAADIHTGSDTVLKNLPKAIPIGIVDAPGLIAPPDTATQKLLSHACHTTTKPVNRLDTAPSQITVIMQETGANPTDTNQTTPTFQRLAVDHAVVGLVDQAEWLVTADGRRLLPPADTPDGRNIRHRLGIAPTTPRWSPPPQVFSAIAEKPPAAIPTGILEILRIPGANNPQLWARTADGVVYLTPIQADILLDVGIHMRDGTATELGANPDSKTLTDLPLPDRVPTWVDPTAQPLCVAEHGEVETAPLIEGKPAWGEAVALAGKAVATHFVGPGWAVGVDTGSGIHVVSAHGLRHQVESQETAAALGISHFYSIRWDLLRLLPSGTTLSKQQALQPLY</t>
  </si>
  <si>
    <t>MGITPTTKAQISGHKFLTRRLEHGLVLGDIRMIHDPLATRNRAHVFSLAATVLICLGALAMAVFKPAIDPGDAAIIQAESGQLYVRIDNKLHPVANLASARLIVGEAADIHTGSDTVLKNLPKAIPIGIVDAPGLIAPPDTATQKLLSHACHTTTKPVNRLDTAPSQITVIMQETGANPTDTNQTTLTFQRLAVDHAIVGLVDQAEWLVTADGRRLLPPADTPDGRNIRHRLGIAPTTPRWSPPPQVFSAIAEKPPAAIPTGILEILRIPGANNPQLWARTADGVVHLTPIQADILLDAGIHMRDGTATELGANPDSKTLTDLPLPDRVPTWVDPTAQPLCVAEHGEVETAPLIKGKPAWGEAVALAGKAVATHFVGPGWAVGVDTGSGIHVVSAHGLRHQVESQETAAALGISHFYSIRWDLLRLLPSGTTLSKQQALQPLY</t>
  </si>
  <si>
    <t>GC_00003041</t>
  </si>
  <si>
    <t>MMDRDEEKYQGYYLPPALGEQIKKAVAQVGPMVFVKQMLMFRLTEVGVHEGEVWDAVMRLSQEAYEDPEYVVEINRLADKYNLLADDVFEYPGGPDVCTAFFAVSDGLVMGLDASLSELPYLVCESLICRVWPDDKMYKGVAWIMDQ</t>
  </si>
  <si>
    <t>MMDRDEEKYQGYYLPPALGEQIKKAVAQVGPMTFVKQMLTFRLTEVGVHEGEVWDAVMRLSQEAYEDPEYVVEINRLADKYNLLIEDD-EYSGDPEACVAFFAVSDGLVMGLDESLSKLPYLVCESLICEVWPDDKMYKGVAWIMDQ</t>
  </si>
  <si>
    <t>GC_00003042</t>
  </si>
  <si>
    <t>MEQQLDHESLERLIRISRTSLETATITNVGSFNVEALMVSFLEDEDSLHTLAWEGLAPGRSWDFEIPSDYVGDEQVKIGVSYPVIVPNPRVIRDMVI</t>
  </si>
  <si>
    <t>MEQQLDHESLERLIRISRTSLETATITNVGSFNVEALMVSFLEGEDSLHTLAWEGLAPGRSWDFEIPSDYVGDEQVKIGVSYSVIVPNPRVIRDMVI</t>
  </si>
  <si>
    <t>GC_00003043</t>
  </si>
  <si>
    <t>MLAASVKKLHWDRWVVFGLLFFIVAAVAVSCYFYEDEVVPADKMVFQKQYSASLEVDRAVGEAIEKYMSVLDAEYTDHDCWVDDCPRSSKSIPGVPENRALFTTQEHANLEGHRGRRAMDRGPVSRVRLYSVAQQPDGMVVAIAEITTVKCLYPGSKDPYSSSSDYYRMILTPSQEGYVVLQDSSIDPVRERLPEGFHSLYHNTVKKPECAST</t>
  </si>
  <si>
    <t>MLAASVKKRHGDRWVVFGPLFLVLVAVAVSCYFYEDEVVPTDKMVFQNQYSAGPEVDRAVGEAIGKYVSVLDAEYMDHDCWVDDCPRSSKSIPGVPEDRALFTTQERANLEGHRGRRAMDRGPVSRVRLYSVAQQPDGMMVAIAEITTVKCLYPGSKDPYSSSSDYYRMILTLSQEGYVVLQDSSIDPVRERLPEGFHSLYHNTVKKPECAST</t>
  </si>
  <si>
    <t>GC_00003044</t>
  </si>
  <si>
    <t>MADISTPEDSPINSTSEDPFEVASTEADAAPADAASAEVGGTESVNSAEAPEAAAASKVDLAEAIDAVPFPEFSRAASATGESETTPAESGEPLKPHPRLSWVRHGHPISSWQLKKAAGRYHVAILNPWELRAAHNLKKHNPHMKVLAYKNLSSVPTAAAEEKGPIYTSGIHPVMAQNLGTSARLTRRVSHKGRDHQRVWDLTYQQAWLGSVAAEMVDSPFDGVVVDSDLDERFFRHELDREQMYEGIEKLFNRAGDRLTSMGKIVVPNFPARDGNWRGQGRFGGVFESNWLGWGGAGDGWLSADECVEQARRLNEAEGQIILRAPGANRNYIRHLGLALAAAWVFFPQREVSVAATGADDFNGVPLVPEVDLGDPTSDVIRDGDLFRREFTGGVARINLSETTSIDGLRPHSGSVEAS</t>
  </si>
  <si>
    <t>MADISTPEDSPINSTSEDPFEVASTEADAAPADAASAEVGGTESVNSAEAPEAAAAPKVNLAEAIDAVPFPEFSRAASATGESETTPAESGEPLKPHPRLSWVRHGHPISSWQLKKAAGRYHVAILNPWELRAAHNLKKHNPHMKVLAYKNLSSVPTAAAEEKGPIYTSGIHPVMAQNLGTSARLTRRVSHKGRDHQRVWDLTYQQAWLGGVAAEMVDSPFDGVVVDSDLDERFFRHELDREQMYEGIEKLFNRAGDRLTSMGKIVVPNFPARDGNWRGQGRFGGVFESNWLGWGGAGDGWLSADECVEQARRLNEAEGQIILRAPGANRNYIRHLGLALAAAWVFFPQREVSVAATGADDFNGVPLVPEVDLGDPTSDVIRDGDLFRREFTGGVARINLSETTSIDGLRPHSGSVEAS</t>
  </si>
  <si>
    <t>GC_00003045</t>
  </si>
  <si>
    <t>MPHSPHCIAFYCGSANGHNLTYKSAISEIVEQLAVRNISVVYGGGNIGLMGVLGDAATAHGLHITGIIPRSLVDREIAHPGLTELEVVDTMAQRKTRMEQLADTYIALPGGVGTLEELSEVLTLQQLGEITGPIVLYNIDGFWTPFVYTLQCMCDAGFINPKYIATLIVVDNPDDLFAALERWHAPGGKWGD</t>
  </si>
  <si>
    <t>MPHSPHCIAFYCGSANGHNLTYKSAISEIVEQLAARNISVVYGGGNIGLMGVLGDAATAHGLHITGIIPRSLVDREIAHPGLTELEVVDTMAQRKTRMEQLADTYIALPGGVGTLEELSEVLTLQQLGEITGPIVLYNIDGFWAPFVYTLQCMCDAGFINPKYIATLIVVDNPDDLFAALEQWHAPGGKWGD</t>
  </si>
  <si>
    <t>GC_00003046</t>
  </si>
  <si>
    <t>MIWWAALINSIAAGGAVGFAGLALMNPTVLCSNATTHRYYPAMYASRSIPLNIMVGIIGWLSANPAVVVPLVGVALVTQLFDAAIGGIYRIPGMIAGGLIAALCHGVALMTVL</t>
  </si>
  <si>
    <t>MIWWAALINSIAAGGAVGFAGLALMNPTVLCSNATTHRYYPAMYASRSIPLNIMVGILGWLSANPAVVVPLVGVALVTQLFDAAIGGIYRIPGMIAGGLIAALCHGVALMTVL</t>
  </si>
  <si>
    <t>GC_00003047</t>
  </si>
  <si>
    <t>MDLDYSIGATSSIGARMGALAGATGSTSTAVSRCLFNGAYTAAPGLSQLAANHASVLLSGAGSAKAVLDSYQQQVDWLQSSLRANVSAISGQDDCMAHAMERNNASPVQQCTVDPATFPMRPEEHYDNFMFTPPLVNGIAPLKPVLAAFEATNTAMVDNAAAQWNNAADAIDKIAGELDGLAKEIVDVNTGVPFDAASARIAETAQTGHNFAANARTMAASVSKLNEIKDWAVAALQRIDKTVSTVPDTLARSTLEAEFMAKFMNMDLPAAIQQGVPPITNLMQTPPPPPSQETTANVGMTQTATAGLPLDGANVAGFLSNAGTAVNAVKNVVDGVNAIAGGAGPNGIGGVGALGGLGNAHTLMEAGRHMLNPGNLAATTAGLGTATLGGTNPALPGLGGASTGMGASGLGAMALGAGGFGGGRGGFGGAPGVGNVIGGNMSPRSVGSVASALGDKGAYPAGAMTGMGGAYGANNRRGGRSGTRAFRTSTGISGAGGGFDVSGPGGFGGSGVGVGAGGANGGAMPRGGFGAGGSMAGAGSAGGAGSSATSATRGGAPMMGGMPMAGGGARGNKKAKAVTSTVEAEGNVADLLGTPRRIVPGVIGDWVRG</t>
  </si>
  <si>
    <t>MDLDYSIGATSSIGARMGALAGATGSTSTAVSRCLFNGAYTAAPGLSQLAANHASVLLSGAGSAKAVLDSYQQQVDWLHSSLRANVSAISGQDDCMAHAMERNNASPVQQCTVDPATFPMRPEEHYDNFMFTPPLVNGIAPLKPVLAAFEATNTAMVDNAAAQWNNAADAIDKIAGELDGLAKEIVDVNTGVPFDAASARIAETAQTGHNFAANARTMAASVSKLNEIKDWAVAALQRIDTTISAVPDTLARSTLEAEFMAKFMNMDLPAAIQQGVPPITNLMQAPPPPPSQETTANVGMTQTATAGLPLDGANVAGFLSNAGTAVNAVKNVVDGVNAIAGGAGPNGIGGTGALGGLGNAHTLMEAGRHMLKPGNLAATTAGLGTATLGGTNPALPGLGGASTGMGASGLGAMALGAGGFGGGRGGFGGAPGVGNVIGGNMSPRSVGSVASALGDKGAYPAGAMTGMGGAYGANNRRGGRSGTRAFRTSTGIGGAGGGFDAPGQGGFGGSGVGVGAGGANSGAMPRGGFGAGGSMAGAGSAGGAGSSATSATRGGAPMMGGMPMAGGGARGNKKAKAVTSTVEAEGNVADLLGAPRRIVPGVIGDWVRG</t>
  </si>
  <si>
    <t>GC_00003048</t>
  </si>
  <si>
    <t>MRALNPLTSIVCGFTAWIIVLGLNNPWVSATVMIVALVVGTATTRNLSLIATTLALSLPTGLSMLLIYVPFAATYRDGLVTAGQLSLRFAALIAALLAALTAVRIPELVKALQTARIHHSISFILGSAIQFLPQAHDITRCMRDACRLAGRTPHPGNLVIPVLVQVLYHGGQRAIAMITMGLELPGRRTVLRPPPDSPIQKLVRILLPLAAITLVVTV</t>
  </si>
  <si>
    <t>MRALNPLTSIVCGFTAWIIVLGLNNPWVSATVMIAALVVGTATTRNLSLIATTLALSLPTGLSMLLIYVPFAATYRDGLVTAGQLSLRFAALIAALLAALTAVRIPELVKALQTARIHHSMSFILGSAIQFLPQAHDITRRMRDACRLAGRTPHPGNLVIPVLVQVLYHGGQRAAAMTTMGLELPGRRTVLRPPPDSTIQKLVRILLPLAAITLVIIV</t>
  </si>
  <si>
    <t>GC_00003049</t>
  </si>
  <si>
    <t>MGGMELLHRNTESLGNQLLGHFPITVIQGARQVGKSTLAQILGKQRGAQYYSLDDVSVRDSLIADPVGFIDSHASQTLIIDEVQLLPELLRTVKASVDQNRRPGRFLLTGSANLLRLYGDTDSLAGRAVTLRLRGFSQGELHSHTDDFIHNIHDADFNPLSFSSSWAKNDYAHALATGGFPDVSALPEPLQFRWFDGYLSRVLERDAAVRSGGSQTQRITTLASLIAANQAGELVKARLSEQAGIPQSSIQTYLDALDSIYLCDQLPPWTPNLTKREVGRKKTMISDSGLAMHMAGLTAEQISGVTSKAMGGVLEAFVVQELLKQQEWSSKRYTLSHYRDRDGIEVDVIVELSSGEIYAFEVKASATYKADQFRGLTYLRDKLGDRFLGGFVLGTAPQGYRFADKLWGLPVSALWSI</t>
  </si>
  <si>
    <t>MGGMELLHRNTESLGNQLLGHFPITVIQGARQVGKSTLAQILGKQRGAQYYSLDDESVRDSLIADPVGFIDSHASQTLIIDEVQLLPELLRAVKASVDQDRRPGRFLLTGSANLLRLYGDTDSLAGRAVTLRLRGFSQGELRSHTDDFIHKIHDADFNPLSFSSSWAKNDYAHALATGGFPDVSALPEPLQFRWFDGYLSRVLERDAAVLSGGSQTQRITTLASLIAANQAGELVKARLSEQAGIPQSSIQTYLDALDSIYLCDQLPPWTPNLTKREVGRKKTMISDSGLAMHMAGLTAEQISGVTSKAMGGVLEAFVVQELLKQQEWSSKRYTLSHYRDRDGIEVDVIVELSSGEIYAFEVKASATYKADQFRGLTYLRDKLGDRFLGGFVLGTAPQGYRFADKLWGLPVSALWSI</t>
  </si>
  <si>
    <t>GC_00003050</t>
  </si>
  <si>
    <t>MHVIILAGGVGSRLGGVSKAEVRVNGTRLIDALLTTLPTHVSVSIVTPYPIELGTHAQTIRCVCEDPPFGGPAAGISAGLNPATEMTAVLAVDAPASGTLLEALTNALATNPGADAAAIMSTQGHLEPLCVVWRTASLVAAFDQLGDPRDKPAKALLRIAGSVVPVPGTGAEVDYDTVAELSELGAVELPAPPPPATQ</t>
  </si>
  <si>
    <t>MHVIILAGGVGSRLGGVSKAEVRVNGTRLIDALLATLPTHVSVSIVTPYPIELGTHAQTIRCVCEDPPFGGPAAGISAGLNPATEMTAVLAVDAPASGTLLEALTNALATNPGADAAAIMSTQGHLEPLCVVWRTASLVAAFDQLGDPRDKPAKALLRIAGSVVPVPGTGAEVDYDTVAELSELGAVELPAPPPPATQ</t>
  </si>
  <si>
    <t>GC_00003051</t>
  </si>
  <si>
    <t>MNGSFGNDTDPRADLTLGQRIFHLGMLLRRAEFGPDKPPFGRGGHGPHTFQGQGRVLALLAMRSPIAQRELAYILGVRPQSLGEVLGKLESAGLITRDADPNDARARLVSITEAGKERAQEMEKRPQVDPLDVLSDEEQKQFLDLLQRVTDHLEEVVGHDADDAHGPFGGRPGRGRGRGGGFKGGRGGARRDCADHGGPRGMHGMRRGFPFPDLDGWR</t>
  </si>
  <si>
    <t>MNGSFGNDADPRADLTLGQRIFHLGMLLRRAEFGPDKPPFGRGGHGPHTFQGQGRVLALLAMRSPIAQRELAYILGVRPQSLGEVLGKLESAGLITREADPNDARARLVSITEAGKERAQEMEKRPQVDPLDVLSDKEQKQFLDLLQRVTSHLEKVVGHDADDVPGPFGGRPGRGRGRGGGFKGGRGGARRDCADHGGP---HGMRRVFPFPDLDGWR</t>
  </si>
  <si>
    <t>GC_00003052</t>
  </si>
  <si>
    <t>PF00874.25</t>
  </si>
  <si>
    <t>PRD domain</t>
  </si>
  <si>
    <t>COG3711</t>
  </si>
  <si>
    <t>Transcriptional antiterminator (BglG) (PDB:1AUU)</t>
  </si>
  <si>
    <t>MMDALLTELNRSDLDLIDAPALAHQLQSLPQKRRPAAPVRDVSSWFPTEYQVAQRLIAHHLRNADPNLVALHLVAASVVGGTVADAHLMAAELDHITRLLPAQMGMKFLTHVRLFLTRVLGGQQLDTGLSAVRASLMANHPEAMQVGRNIARLVAADLGVDITEDEETFLALHAARLLDH</t>
  </si>
  <si>
    <t>MMDALLTELNRSDLAVVDAPALTHQLQTLPQKRRPAAPVRDVSSWFPTEYRVAQRLIAHHLRNADPNLVALHLVAASVVGGTVADAHLMAAELDHITRLLPVQMGMKFLTHVRLFLTRVLGGQQLDTGLSTVRASLVTNHPEAMQVGRNIAHLVADDLGVDITEDEETFLALHAARLLDH</t>
  </si>
  <si>
    <t>GC_00003053</t>
  </si>
  <si>
    <t>PF03583.20</t>
  </si>
  <si>
    <t xml:space="preserve">Secretory lipase </t>
  </si>
  <si>
    <t>COG0429</t>
  </si>
  <si>
    <t>Predicted hydrolase of the alpha/beta-hydrolase fold (YheT)</t>
  </si>
  <si>
    <t>MCVWSILFLAVSAMFPAAATADNDDFYQPPAQFSAHPQAPGTVLRTQPVDNTRATKMLYASTDQDGKPVAVSGYVIEPDRPAIGTVVFAPGTRGQGDMCAPSRGPWLVGAVSPTAMSVNYELPIQYYAASLGLRVIVTDYIGLGTPGIHTYVNAAEEAHAVLDAARAGLRVAKAPLDSPVGLHGYSQGGGAVAAAAELAEEYAPDVRLVGTYAGAPPADLFEVFTTVDGSSISGVLGMAINGFSARDAQFRAAVDRHVSDAGHRYLQTVATSCVIDSVGKYGFMKSNVFTKTGITFKEVVQQEPVIAETLKRNSLGKKPPRTPIFMMTGRSDDIIPTDQVARLADKYCRAGATVSATQSALPRVTPTINSGINHALSSWEDIQPSMEYLLARFRGDPARNDCGNYQSPRSSL</t>
  </si>
  <si>
    <t>MCVWSIIFLAVSAMFPAAATADNDDFYQPPAQFSTHPQAPGTVLRTQPVDNTRATKMLYASTDQDGKPVAVSGYVIEPDRPAIGTVVFAPGTRGQGDMCAPSRGPWLVGAVSTTAMSVNYELPIQYYAASLGLRVIVTDYIGLGTPGIHTYVNAAEEAHAVLDAARAGLRVAKAPLDSPVGLHGYSQGGGAVAAAAELAEEYAPDVRLVGTYAGAPPADLFEVFTTVDGSSISGVLGMAINGFSARDAQFRAAVDRHVSDAGHRYLQTVATSCVIDSVGKYGFMKSNVFTKTGITFKEVVQQEPVIAETLKRNSLGKKPPRTPIFMMTGRSDDIIPTDQVARLADKYCRAGATVSATQSALPRVTPTINSGINHALSSWEDIQPSMEYLLARFRGEPARNDCGNYQSPRSSL</t>
  </si>
  <si>
    <t>GC_00003054</t>
  </si>
  <si>
    <t>MHTTTKLGTIVVISLLLGGCSFFGGDGSDAAASVSASAAASPVFQAKEVSPITAAELDKPQTDPGLNVEITLQAAGYNPAGTGSVIYVLVKNLNEASLPTDALTVHLEGANPITEGTIGLDLPLGPGAAANLQYAFDAPTSALSNARFTIGNIIYQGDLANV</t>
  </si>
  <si>
    <t>MHTTTKLGTIVVISLLLGGCSFFGGDGSDAAASVSASAAASPVFQAKEVSPITAAELDKPQTDPGLNVEITLQAAGYNPAGSGSVIYVLVKNLNEASLPTDALTVHLEGANPITEGTIGLDLPLGPGAAANLQYAFDAPTSALSNARFTIGNIIYQGDLANV</t>
  </si>
  <si>
    <t>GC_00003055</t>
  </si>
  <si>
    <t>K02364</t>
  </si>
  <si>
    <t>L-serine---[L-seryl-carrier protein] ligase [EC:6.3.2.14 6.2.1.72]</t>
  </si>
  <si>
    <t>COG0236|COG1020|COG3319</t>
  </si>
  <si>
    <t>Acyl carrier protein (AcpP) (PDB:1ACP)|EntF, seryl-AMP synthase component  of non-ribosomal peptide synthetase (EntF) (PDB:5ES5)|Thioesterase domain of type I polyketide synthase or non-ribosomal peptide synthetase (EntF2) (PDB:5JA1)</t>
  </si>
  <si>
    <t>ko00001|ko01000|ko01000|ko01008</t>
  </si>
  <si>
    <t>KEGG Orthology (KO)&gt;&gt;&gt;09100 Metabolism&gt;&gt;&gt;09109 Metabolism of terpenoids and polyketides&gt;&gt;&gt;01053 Biosynthesis of siderophore group nonribosomal peptides [PATH:ko01053]|Enzymes&gt;&gt;&gt;6. Ligases&gt;&gt;&gt;6.2  Forming carbon-sulfur bonds&gt;&gt;&gt;6.2.1  Acid-thiol ligases&gt;&gt;&gt;6.2.1.72  L-serine---[L-seryl-carrier protein] ligase|Enzymes&gt;&gt;&gt;6. Ligases&gt;&gt;&gt;6.3  Forming carbon-nitrogen bonds&gt;&gt;&gt;6.3.2  Acid-D-amino-acid ligases (peptide synthases)&gt;&gt;&gt;6.3.2.14  enterobactin synthase|Polyketide biosynthesis proteins&gt;&gt;&gt;Nonribosomal peptide synthetase (NRPS)&gt;&gt;&gt;Iterative NRPS&gt;&gt;&gt;Enterobactin synthetase</t>
  </si>
  <si>
    <t>MSPLSPTFTLSPGQRAIWFAQQTNPTSTEYQCAELLTFDTTVDVEVLSQVIADCLETLPVFQAHYAGPHEATAWPHRITVERCDTVAGDVQQWAAQRITEVADPALRGDTLTKHWLATLPDGRLVWLARFHHITGDGFAINALLSWLGEAYTAHVAGKPLPENHLTCDYSTISDAEPTQEVADYWAHAGVSAPESIMSAQPADDEMVLASTVISTAERAKLRAIHPVEMETLATVAAFYVSTFSSPDAATVTLGMPLMNRPLGQSQVALTPMVSVLPLVVPASSEQPVTIPEVAQAFRGLRAHATIRTDQLRQVLGVTDPHRHVVGPHVNIRPFTPEFQFGSAVARLTTISVGPINDCELVFQSLPDGGLEVIVMARGSNLGLDVHRHANRLAHLIRKIAEQGNFDSVSVATTAELAEIAAANDTAHELPARSLPELIEFNRTRTPMDVLALGIWYDSKISSGQGPRGTFAWRTWAQVWAAVDDRIAVLRDLGLGPGHVVAVHLERSEEFLLTVAAAASLGIAWCPIDPDLPPDRKAHMVATSNAAAVVTLTPVADTVVDDATTGITTIDAANWQVTRRARIPAAGDPECAYILFTSGSTGTPKAVGVSQVGIANRLEWMCDYYILGPFDRVLHKTPSSFDVSVWEYLLPFTHGISTAIASPQAHRNPEEILAHLRVGKISVCHFVPSALKAFLTYVSYADNQPDLPKLRMVITSGEALDSGVAQHCRTLLGVAVHNLYGPTEAAIDVTAHTVTDADRIIPIGAPVWNTRIYVVDRYGQPVPPGVPGTLLIAGCQVALGYVGQPELTAQRFRPDPDYPGEQIYDSGDRALWHGGELYYLGRSDGQVKLRGQRLELGEVESAVATVHGVAQAAVAVKEVGGDKTLVAYCVPTPGADPQAIPEEVLTATNAVLPAFMVPSFILVVPELPMTRNGKLDASALPSPAPQAVSTVADATPAERRVLQAFSEVLGTPVADVDANFFALGGSSLSAVTVAVALDGVHIADVFAHPTARSLAQLIDAPSTGDAGFAEVITLHEHHGDTPVLCFYPAGGLSWSYTTLVRMLADREYPGGVFGFQAPGILDESERATSITDSAARICEHVIGSMGFSRVALVGWSVGGVLAHEVAIQLTQRGIEVEHVIVLDAYPATVWQQLPAPDDRQLWQGVLAMAGITADRELTPAEVVAAMQSRGGVFAELPPTALDGIRTMVKHNAYLMRDHHTSHYPGKLIHVTAAAELPERDPRLVASTWEPHVGTLTSYHADVRHPGMVSPEVLSQVAAIISGAPTTW</t>
  </si>
  <si>
    <t>MSPLSPTFTLSPGQRAIWFAQQTNPTSTEYQCAELLTFDTMVDVEVLSQVIANCLETLPVFQAHYAGPHEATAWPHRIAVEHYGTVAGDVQQWAAQRITEVTDPALRGDTLTKHWLGTLPDGRVVWLARFHHITGDGFAINALLSWLGEAYTAHMAGKPLPKNHLTCDYSTISDVEPTQEVADYWAHAEVSAPESIMSAQPADDEMVLASTVISTAERAKLHAIHPVEMETLATVAAFYVSAFSSPDAATVTLGMPLMNRPLGQSQVALTPMVSVLPLVVPVSSEQPMTIPEVAQAFRGLRAHAAIRTDQLRQVLGVTDPHRHVVGPHVNIRPFTPEFQFGSAVARLTTISVGPINDCELVFQSLPDGGLEIIVMARGSNLKLDVHRHANRLAHLIRKIAERGNFDGVSVATTAELAEIAAANDTAHELPARSLPELIEFNRTRTPMDVLALGIWYDSKISSGQGPRGTFAWRTWAQVWAAVDDRVAVLRDLGLGPGHVVAVHLERSEEFLLTVAAAASLGIAWCPIDPDLPPDRKVHMVATSNAAAVVTLTPVADTVVDDATTGITTIDAANWRVTRRAEIPATGDPECAYILFTSGSTGTPKAVGVSQVGIANRLEWMCDYYILGPFDRVLHKTPSSFDVSVWEYLLPFTHGISTAIASPQAHRNPEEILAHLRVGKISVCHFVPSALKAFLTYASYADNQPDLPKLRMVITSGEALDSGVAQRCRALLGVAVHNLYGPTEAAIDVTAHTVTDADRIIPIGAPVWNTRIYVVDRYGQPVPPGVPGTLLIAGCQVALGYVGQPELTAQRFRPDPDYPGEQIYDSGDRALWHGGELYYLGRSDGQVKLRGQRLELGEVESAVATVHGVAQAAVAVKEVGGDKALVAYCVPTPGADPQAIPEEVLTATKAVLPAFMVPSFVLVVPELPMTRNGKLDASALPSPAPQAVSTVADATPAERRVLQAFSEVLGTPVADVDANFFALGGSSLSAVMVAVALDGVHIADVFAHPTARSLAQLIDAPSAGDAGFAEVITLHEHHGGTPVLCFYPAGGLSWSYTTLVRMLADREYPGGVFGFQAPGILDESERATSITDSAARICEHVIGSMGFSRVALVGWSVGGVLAHEVATQLTQRGIKVEHVIVLDAYPATVWRQLPAPDDRRLWQGVLAMAGITADRELTPAEVVAAMRSRGGVFAELPPTALDGIRTMVKHNAYLMRDHHTSHYPGELIHVTAAAELPERDPRLVASAWEPHVGTLTSYHANVRHPGMVSPEVLSQVAAIISGAPTTW</t>
  </si>
  <si>
    <t>GC_00003056</t>
  </si>
  <si>
    <t>MKVATSTYAELGDDLGQDGCGVVEDAMVGGCCVFACVVSISVSLFCSACKLSSKEGGDPWFTTTETQRGGFSLIGQVVHDGVLRLSPPPAADPCRHHGRVHHFHHSKQDLDAFVRQGDHSGVVSLALMPFYVRRTVGNARGI</t>
  </si>
  <si>
    <t>MKVATSTYAELGDDLGQDGCGVVEDAMVGGCCVFACVVSISVSLFCSACKLSSKEGGDPWFTTTETQRGGFSLIGQVVHDGVLRLSPPPAADPCRHHGRVHHFHHSKQDLDAFVRQGDHSGVVLLALMPFYVRRTVGNARGI</t>
  </si>
  <si>
    <t>GC_00003057</t>
  </si>
  <si>
    <t>MQKIAKVIAPAIISLLLLSGCGTILKQAIDGGTDSVKGQFDKIVKDQNITAINRVTVNAAGVSVTYLKDGSYTTARLGNGDDTIKEDEEHENFINSASPDKFDVEQLNKKLDQMSDCEEAKRVAAAEATPTGELIQHVQCSTGFLSGVTKTFDTAGNPLPEFDNWNSVDAISAVVDEAKKYGGNEITKMRLTNQSDAEKVSFANAQVSFKTEQCTNGETCEATLIRAANLKEPDAAIIMKVSTSSESLPDQVIDLSSITAKDIVNTIAKTPRTGNIPPNSDLSTILQIELAYSYVAKQPALDVIFSDNSRLSDAVIIKEGQNAPSTSSAPARR</t>
  </si>
  <si>
    <t>MQKLAKVIAPAIISLLLLSGCGTILKQAIDGGTDSVKGQFDKIVKDQNITAINRVTVNAAGVSVTYLKDGSYTTARLGNGDDTIKEDKEHESFINSASPDKFDVEQLNKKLDQMSDCEEAKRVAAAEATPTGELIQHVQCSTGFLSGVTKTFDTAGNPLPEFDNWNSIDAISAVVDEAKKYGGNEITKLRLTNQSDVEKVTFANAQVSFKTEQCTNGETCEATLIRAANLKDPDAAIMMKVSTSSESLPDQVIDLSSTTAKDIVNTIAKTPRTGNIPPNSDLSTILQIELAYSYVAKQPALDVIFSDNSRLSDAVIIKEGQNAPSTSSAPARR</t>
  </si>
  <si>
    <t>GC_00003058</t>
  </si>
  <si>
    <t>MLNAHQVTKDYQIRVLDHIDVSINDEEFVAIMGPSGSGKSTLLHALSGLDRPTSGTVSIDDRELTDLSEAELAQLRLVTFGFVFQQPHLLSSLSVLDNVVLPGFLAKQEPRQTIVERGRELMERVGIADLADRAITEASGGQLQRVGICRALINKPKILFGDEPTGALNSATSATILDIFHDINHEGTTIALVTHDPVVAAHADRVLILVDGTIADDVTLGAYHPNDHQERLAHINGLMAARGV</t>
  </si>
  <si>
    <t>MLNAHQVTKDYQIRVLDHIDVSINDEEFVAIMGPSGSGKSTLLHALSGLDRPTSGTVSIDDRELTDLSEAELAQLRLVTFGFVFQQPHLLSSLSVLDNVVLPGFLAKQEPRQTIVERGRELMERVGIADLADRAITEASGGQLQRVGICRALINKPKILFGDEPTGALNSATSATILDIFHDINHEGTTIALVTHDPVVATHADRVLILVDGTIADDVTLGAYHPNDHQERLAHINGLMAARGV</t>
  </si>
  <si>
    <t>GC_00003059</t>
  </si>
  <si>
    <t>MKENRKRMQMMEQKLVEEVHLYCSPLELEEFIQHFCSSFIQKFDEIADLSTFSVEKESDDYDLSSENTGKSNFEDRQNYVLKQKFTCMIHEKDGEPCEEDLDLISDRIFEVVKQSIGSIPYFSFLGFEDNSDEDNQPS</t>
  </si>
  <si>
    <t>GC_00003060</t>
  </si>
  <si>
    <t>PF05117.17</t>
  </si>
  <si>
    <t xml:space="preserve">Family of unknown function (DUF695) </t>
  </si>
  <si>
    <t>MAETHHPTLEEQQAAIDAFWSWWRDEGAELLDRVFTGQEQVDVMGLVHPKIVAIAEQLQWEFTPGFDGARHALTVTAAGAELRGVARRWFEAAPDADDVWAFSEFRRPAQDLDVKINYEGVYVQLSETTVLYQRRNSLVDIAVYNPAFNEFDDDSIVTRLGFLLLDKTLGELNVEMWIGAIEFVRENPDDAVPISEFTDVLHDLTSEFPLIGNRNWQVAEAMVDDHPIIIRVLPPLVTLAAPLFETHVAVAFAYDAHETGLPRDEETMQALGSIEDALDSAVANDGRCVAIETGQGQRLMHFYVDSSSEVIQRMEEVLALWDRGNVNLVPSFDPGWEEVSHLRF</t>
  </si>
  <si>
    <t>MAETHHPTLEEQQAAIDAFWSWWRDEGAELLDRVFTGQEQVDVMGLVHPKIVAIAEQLQWEFTPGFDGARHALTVTAAGAELRGVARRWFEAAPDADDVWAFSEFRRTAQDLDVKINYEGVYVQLSETTVLYQRRNSLVDIAVYNPAFNEFDDDSIVTRLGFLLLDKTLGELNVEMWIGAIEFVRENPDDAVPISEFTDVLHDLTSEFPLIGNRNWQVAEAMVDDHPIIIRVLPPLVTLAAPLFETHVAVAFAYDAHETGLPRDEETMQALGSIEDALDSAVANDGRCVAIETGQGQRLMHFYVDSSSEVIQRMEEVLALWDRGNVNLVPSFDPGWEEVSHLRF</t>
  </si>
  <si>
    <t>GC_00003061</t>
  </si>
  <si>
    <t>PF20434.5</t>
  </si>
  <si>
    <t>BD-FAE</t>
  </si>
  <si>
    <t>MTMADGEEVTVNYKLWKGIVYVANPVDAEYQSMNIKQPTSVNGKEVDASGAPIVFAMNIGGYTSSAVNAEQPGGMPGGGMPPGGGAPPAGAGGVESGSGAQMSAGKHIDLGDYALASGLVVVNPGARGRDNVNADGVYFGKAPAAIVDLKAAMRYLKANSGVVPGNTDRIVSSGSSAGGALSVLLGASGGSDLYQKDLVALGAADASDVIYAVAGYCPITDLENADAAYEWCFGDATNETVSVNATVSEELRARFPQYMERLGLKDDQGRKLTADNLAEHMLSVHLRPSAKRYLDGLSDEDRAAYVAQNPWVEGDFTWEQFIDHTGRGKGAPAFDALDLSSGENSLFGNENTNARHFTTYAQGGDLEEGVEDAVTRMNPMGFILDRNPQRAQHWFLRVGAKDTDTSFSIVSNLASALSNAGDAVDTSYYWDAGHGANEDPDAFIAWVKSL</t>
  </si>
  <si>
    <t>MTMADGEEVTVNYKLWKGIVYVANPVDAEYQSMNIKQPTSVNGKEVDASGAPIVFAMNIGGYTSSAVNAEQPGGMPGGGMPTGGGAPPAGAGGVESGSGVQMSAGKHIDLGDYALASGLVVVNPGARGRDNVNADGVYFGKAPAAIVDLKAAVRYLKANSGVVPGNTHRIVSSGSSAGGALSVLLGASGGSDLYQKDLVALGAADASDVIYAVAGYCPITDLENADAAYEWCFGDATNETVSVNATASEELRARFPQYMERLGLKDDQGRKLTADNLAEHMLSVHLRPSAKRYLDGLSDEDRAAYVAQNPWVEGDFTWEQFIDHTGRGKGAPAFDALDLSSGENSLFGNENTNARHFTTYAQGGDLEEGVEDAVTRMNPMGFILDRNPQRAQHWFLRVGAKDTDTSFSIVSNLASALSNAGDAVDTSYYWDAGHGANEDPDAFIAWVKSL</t>
  </si>
  <si>
    <t>GC_00003062</t>
  </si>
  <si>
    <t>K07768</t>
  </si>
  <si>
    <t>two-component system, OmpR family, sensor histidine kinase SenX3 [EC:2.7.13.3]</t>
  </si>
  <si>
    <t>KEGG Orthology (KO)&gt;&gt;&gt;09130 Environmental Information Processing&gt;&gt;&gt;09132 Signal transduction&gt;&gt;&gt;02020 Two-component system [PATH:ko02020]|Enzymes&gt;&gt;&gt;2. Transferases&gt;&gt;&gt;2.7  Transferring phosphorus-containing groups&gt;&gt;&gt;2.7.13  Protein-histidine kinases&gt;&gt;&gt;2.7.13.3  histidine kinase|Protein kinases&gt;&gt;&gt;Histidine kinases&gt;&gt;&gt;OmpR family|Two-component system&gt;&gt;&gt;OmpR family&gt;&gt;&gt;SenX3-RegX3 (phosphate starvation response)</t>
  </si>
  <si>
    <t>MPLPSPRRAESNRFSLSAVIIGCLIGIVIGMVITVMALLITRHRRTTATPGASISQLLHLAVQGSPAGVAVVTHKGDVVLSNTQAHALGIISDHTVRPDVWRQAHNVFTHQKPQTLDLPAGQQRTGSRVSAVKAVIKPLTLADGDFVIIYCTDESENMRLEAARRDFVANVSHELKTPVGGMALLSEALIESRDDPDTVEHFGIKLNKEAQRMANLINELIALSKLQGAEPLPNMEPVSVDEVIDDALQRTQLAADNANITIDRGPASSAFVMGDKTLLVTAMANLLSNAINYSPANTSVSISQRRAGGNVHISVTDRGIGIAPEDQQRVFERFFRVDKARSRATGGTGLGLAIVKHVAANHGGAITVWSRLGVGSTFTLELPELLDPPGGTTNERTT</t>
  </si>
  <si>
    <t>MPLPSPRRAESNRFSLSAVIIGCLIGIMIGMVITVMALLITRHRRTTATPGASISQLLHLAVQGSPAGVAVVTHKGDVVLSNTQAHALGIISDHTVRPDVWRQAHNVFTHQKPQTLDLPAGQQRTGSRVSAVKAVIKPLTLADGDFVIIYCTDESENMRLEAARRDFVANVSHELKTPVGGMALLSEALIESCDDPDTVEHFGIKLNKEAQRMANLINELIALSKLQGAEPLPNMEPVSVDEVIDDALQRTQLAADNANITIDRGPASSAFVMGDKTLLVTAMANLLSNAINYSPANTSVSISQRRAGGNVHISVTDRGIGIAPEDQQRVFERFFRVDKARSRATGGTGLGLAIVKHVAANHGGAITVWSRLGVGSTFTLELPELLDPPGGTTNERTT</t>
  </si>
  <si>
    <t>GC_00003063</t>
  </si>
  <si>
    <t>MANPFSKGWKYLQASLDQSIDENADPQIQIRQAVEGAKKQHQQISQQAAAVIGNKNQLEMKLNRLIEEQQKLADKTRQALTLADQANAQGDAIKSQEFSSTAEIYATQLVSVETQLEETKTLHAQATQNAEQAKRQVQQSEARLKQQLAEADQLLNQARQAKMQESATKAMDTMNQIKPDDSVPTLDHVRAKIESRYATAMGAQELLENSVGDRLAEIEAASNDMKASAKLAEIRAQMHGGDSATGGQLTAGSDSTSPQLPAGTGMNTGVGTNTGVDAGTTPQSGFGAGNT-GTGSAGVGGTGAFPASGGPVAGGPVAGTPMSGTPSVPNTPAAGTSAPSVPVTGSSAPTTPATGIPATGTSAPSVPVTGSSAPTTPATGIPATGTSATETSSVSTTPMDAEPVFEEVGPDQNPFKPAGSSGTTSVTNTLDVDDADVVEDSTDEPAGTKPKTTPNTGSTGSAGNSNTTGNGFQLPGPQHKEL</t>
  </si>
  <si>
    <t>MANPFSKGWKYLQASLDQSIDENADPQIQIRQAVEGAKKQHQQISQQAAAVIGNKNQLEMKLNRLIEEQQKLADKTRQALTLADQANAQGDAIKSQEFSSTAEIYATQLVSVETQLEETKTLHAQATQNAEQAKRQVQQSEARLKQQLAEADQLLNQARQAKMQESATKAMDTMNQLKPDDSVPTLDHVRAKIESRYATAMGAQELLENSVGDRLAEIEAASNDMKASAKLAEIRAQMHGGDSATGGQLTAGSDSTSPQLPAGTGMNTGVGTNTGVDAGTTPQSGFGAGSTGGTGSAGVGGTGAFPASGGPATGGPVAGTPMSGTPSVPNTPAAGNSAPSVPVMGSSAPTTPATGIPATGTSA------------------------------ASTTPMDAEPVFEEVGPDQNPFKPAGSSGTTSVTNTLDVDDADVVEDSTDEPAGTKPKTTPNTGSTGSAGNSNTTGNGFQLPGPQHKEL</t>
  </si>
  <si>
    <t>GC_00003064</t>
  </si>
  <si>
    <t>MSFTEPKKLRRMPTWSWFAPVTPPEEPDLIPVGSWRSNKQAAWDLLFSFKKVSWLSIALIMVNTIIGSLISRIIGNATQWVFGSGSFGDVLWPMTLVTVLLFATAAGEATADALTELGSARTVHRLRLELTRRLMRAPAVRGLTPGAILNTVDEDSDQLAKLKEILNFPVMMLGFLTGTILVLIPIWWPLAVLMVIGGAATMWASALTARPIGRVSSRRREAESQAVALATDFAQGSRVVKGLGAVSASQARFDAAVDCSLELMLTDARVSSLMTFYRQLVPAVFSLIVVGYAGWLTNGGTISTGDFVTVTLLAPPSLTVMGHSLGFLTDSWARGTASAGRVRTLIDVTADTDDGPEPCCVDTQQAGLVVLSATTSAGREAAQRYTANLNALRPPHAVNVFEGTLADNINPSGDIPDDVVRSALDAASCDDIVHRLGGYGDDGSLPTALIGEAGLNLSGGQRQRIALARALAHDAHVLILDEPTTGLDTVTLDNVAQAVAELRSDRTTFVITTSNAWKSVATTVLSDEELLNT</t>
  </si>
  <si>
    <t>MSFTEPKKLRRMPTWSWFAPVTPPEEPDLIPAGSWRSNKQAAWDLLFSFKKVSWLSIALIMVNTIIGSLISRIIGNATQWVFGSGSFGDVLWPMTLVTVLLFATAAGEATADALTELGSARTVHRLRLELTRRLMRAPAVRGLTPGAILNTVDEDSDQLAKLKEILNFPVMMLGFLTGTILVLIPIWWPLAVLMVIGGAATMWASALTARPIGRVSSRRREAESQAVALATDFAQGSRVVKGLGAVSASQARFDAAVDCSLELMLTDARVSSLMTFYRQLVPAVFSLIVVGYAGWLTNGGTISTGDFVTVTLLAPPSLTVMGHSLGFLTDSWARGTASAGRVRTLIDVTADADDGPEPCGVDTQQAGLVVLSATTSAGREAAQRYTANLNALRPPHAVNVFEGTLADNINPSGDIPDDVVRSALDAASCDDIIHRLGGYGDDGSLPTALIGEAGLNLSGGQRQRIALARALAHDAHVLILDEPTTGLDTVTLDNVAQAVAELRSDRTTFVITTSNAWKSVATTVLSDEELLNT</t>
  </si>
  <si>
    <t>GC_00003065</t>
  </si>
  <si>
    <t>MPTPSPADQYWELTTSTITHVGETLHRIRATHAIPEQGVAAGTLGGWVSPQAQLSDGAWVADSAKVLGSVVVTRHALVCGRAEVRDKAQVSGPVIISDDAVVSDSVTIDADKGATVSGRARMSDHATLFEQAQISGRATVSDDALLSGQSMVSEQAHVGDSAQLTGNARVMGAAQVNGNARVHNCLVTGAAQVTDAALVSDSAQILGSAIVSGHAQVGGSARIFGNATVDGTAKINVSARIFDHAHVEGDAHICDYAQVGASAHISGAAFIAGNAHISGHSVIRGRAHISDSAVIIGHANITLPQHILTVAPLGPTHASATLFRTADGHCLVIGSWHGTVDQLAEYGMNPEELQGLTTIAAARIKAWSP</t>
  </si>
  <si>
    <t>MPTPSPADQYWELTTSTITHVGETLHRIRATHAIPEQGVAAGTLGGWVSPQAQLSDGAWVADSAKVLGSVVVMRHALVCGRAEVRDKAQVSGPVIISDDAVVSDSVTIDADKGATVSGRAHMSDHATLFEQAQISGRATVSDDALLSGQSMVSEQAHVGDSAQLTGHARVMRAAQVNGNARVHNCLVTGAAQVTDAALVSDSAQILGSAIVSGRAKVSG------------------AASVMDHAHVEGDAHICDYAQVGASAHISGAAFIAGNAHISGHSVIRGRAHISDSAVIIDHANITLPQHILTVAPLGPTHASATLFRTADGHCLVIGSWHGTVDQLAEYGMNPEELQGLTTIAAARIKAWSP</t>
  </si>
  <si>
    <t>GC_00003066</t>
  </si>
  <si>
    <t>MYPTVSVVDVISAEGANGAPDGERLVVWHVQTAPDAAADALSGAWIFGDSTGHSIAQAADVVSGTVMLPTPSASDHAVLEQLGVDKQISVDAVIKAMEAELKRYKAVATEAKKNNPQLTLPRFEAIRTPDLDDITAGFHGEPEARDAWAYATAVAELVEQWNAIESQRKTRKYLQEEFGADVRPLPVAP</t>
  </si>
  <si>
    <t>MYPTVSVVDVTSAEGANGAPDGEQLVVWHVQTAPDAAADALSGAWIFGDGTGHSIAQAADVVSGTVMLPTPGASDHAVLEQLGVDKRISVDAVIKAMEAELKHYKAVATEAKKNNPQLTLPRFEAIRTPDLDDITAGFHGEPEARDAWAYATAVAELVEQWNAIESQRKTRKYLQEEFGADVRPLPVAP</t>
  </si>
  <si>
    <t>GC_00003067</t>
  </si>
  <si>
    <t>MSSTVTAREVITSLIDAGQTVATCESLTAGLLAATLADVPGASAALRGGLVTYATDLKHTLARVPQEVLVAHGPVARETAIAMARGVRDVCGADWGVSLTGVAGPDPQDGHPVGEVWVGVAGPE-----DTGVAELAGTVLGSADLLVGDRAAIRRQAVTAALAIMVRVRAGHIG</t>
  </si>
  <si>
    <t>MSSTVTAREVITSLIDAGQTVATCESLTAGLLAATLADVPGASAALRGGLVTYATDLKHTLARVPQEVLVAHGPVARETAIAMARGVRDVCGADWGVSLTGVAGPDPQDGHPVGEVWVGVAGPEGTGVVHTGVAELAGTVLGSTDLLVGDRAAIRRQAVTAALAVMVRVRAGHIG</t>
  </si>
  <si>
    <t>GC_00003068</t>
  </si>
  <si>
    <t>PF22521.2</t>
  </si>
  <si>
    <t>Carbamoyltransferase, Kae1-like Domain, second subdomain</t>
  </si>
  <si>
    <t>K04656</t>
  </si>
  <si>
    <t>hydrogenase maturation protein HypF</t>
  </si>
  <si>
    <t>COG0068</t>
  </si>
  <si>
    <t>Hydrogenase maturation factor HypF (carbamoyltransferase) (HypF) (PDB:3TSP)</t>
  </si>
  <si>
    <t>MDVVRQRVVLRGVVQGVGFRPHVAQVAARHPITGFCGNDATSVFIEAQGTRDAVEAFITDVLATLPPLAHVLDRTDTSLPVSEEKGFSIAASISNPGERTLIPPDVATCDECLADMADPGNRRYQYPFTTCTNCGPRLSIIEDLPYDRPNTTMRIFPMCPACETEYTTPTDRRFHAQPISCPNCGPQLSMSIAAARALIDAGRILAVKGIGGFHLMCDATNEDAVSELRRRKNRPDKPFAVMVPDLDWARRLVTLTPEEEELLTSPARPIVIASARVELPGIAPGLGDIGVLLPYTPLHSLLVDRPMVATSGNAAGEPLCFTNDDAMSKLGALADEFVLHDRDIHIPVEDSVFVGTTPSRRSRGYAPLPIPVAPGPTVLAVGGELKNTFALAHGDCVHVSAHVGDMGSLASQQAFDRGVEQMLRIQRAEPSLVVCDLHPGYATTALAERLAERFNVDVIPVQHHYAHALSLLTEHGVDEGPVVVGAFDGTGYGLDGTIWGGEILTIAEDYSWSRTWHVSSFPLVGGDRAVHHPWRIAAGISHAWDLNIPLPDSPEAALVASQLESGFGVVQSSSLGRLFDAASWLLTGITPTFEAHAAMHLEYVASRVDHARGTTSAATSFPDLFMELLSPGDISERALRFHHGVARLLAAQLRAAAEAAGTRTIGVTGGCALNRLLMRFLQDELANYHLLTHHHVPANDGGLSLGQAVAGRRYASNQ</t>
  </si>
  <si>
    <t>MDVVRQRVVLRGVVQGVGFRPHVAQVAARHPITGFCGNDATSVFIEAQGTRDAVEAFITDVLATLPPLAHVLDRTDTSLPVTEEKGFSITASISTSGERTLIPPDVATCDECLADMADPSNRRYQYPFTTCTNCGPRLSIIEDLPYDRPNTTMRIFPMCPACETEYTTPTDRRFHAQPISCPNCGPQLSMSIAAARALIDAGRILAVKGIGGFHLMCDATNEDAVSELRRRKTRPDKPFAVMVPDLDWARQLVALTPEEEELLTSPARPIVIASARAELPGIAPGLGDIGVLLPYTPLHSLLVDRPMVATSGNAAGEPLCFTNDDAMSKLGALADEFVLHDRDIHIPVEDSVFVGTTPSRRSRGYAPLPIPIASGPTVLAVGGELKNTFALAHGDCVHVSAHVGDMGSLASQQAFDRGVEQMLRIQRAEPSLVTCDLHPGYATTALAERLAERFDVDVIPVQHHYAHALSLLTEHGVDEGPVVVGTFDGTGYGLDGTIWGGEILTIAEDYGWSRTWHVPSFPLVGGDRAVHHPWRIAAGISHAWDLDIPLPDSPEAALVASQLESGFGVVQSSSLGRLFDAASWLLTGITPTFEAHAAMHLEYVASRVDHARGTTSAATSFPDLFMELLSPGDISERALRFHHGVARLLAAQLRAAAEAAGTHTIGVAGGCALNRLLMRFLQDELADYHLLTHHHVPANDGGLSLGQAVAGRRYASNQ</t>
  </si>
  <si>
    <t>GC_00003069</t>
  </si>
  <si>
    <t>-------------------------------------------------------MVVCPEEFTTQFRSGLTNAIGDFAGHELIQGIFRLVDDWARHAETINTVVSDAHAAAAAITTMGQEAEHSCEQMATQAASSVDKVCEVLGGIDSANNPHQFMKLVALGGAAIDHAITGSCGVYEQRNCGIDKVLHGHVNVLDQMHDGAATRPASVGMGSIGNAGFRGGNDAGEVPDMGQMVAELRAEVQLGLQAGLEAGL</t>
  </si>
  <si>
    <t>MDASVTILAGAIATLGEASGGIYRKPASFDRLCSLADCSKTPNTGRLLSAAQGSGMVVCPEEFTTQFRSGLTNAIGDFAGHELIQGIFRLVDDWARHAETINTVVSDAHAAAAAITTMGQEAEHSCEQMATQAASSVDKVCEVLGGIDSANNPHQFMKLVALGGAAIDHAITGSCGVYEQRNCGIDKVLHGHVNVLDQMHDGAATRPASVGMGSIGNAGFRGGNDAGEVPDMGQMVAELRAEVQLGLQAGLEAGLHQAHQAFGGFEPDPAIPMRDAGVITAQPVPATPETSGVNTGETIAVSDDGGGQALATSEAPAPEAVPDPTPDPVPDPAPIPEAAPEPDPTPDPPQVVMPIEVQQCVPPTPAPPQDPPVPPRVGFQPHKAGAWS</t>
  </si>
  <si>
    <t>GC_00003070</t>
  </si>
  <si>
    <t>K04781</t>
  </si>
  <si>
    <t>salicylate synthetase [EC:5.4.4.2 4.2.99.21]</t>
  </si>
  <si>
    <t>KEGG Orthology (KO)&gt;&gt;&gt;09100 Metabolism&gt;&gt;&gt;09109 Metabolism of terpenoids and polyketides&gt;&gt;&gt;01053 Biosynthesis of siderophore group nonribosomal peptides [PATH:ko01053]|Enzymes&gt;&gt;&gt;4. Lyases&gt;&gt;&gt;4.2  Carbon-oxygen lyases&gt;&gt;&gt;4.2.99  Other carbon-oxygen lyases&gt;&gt;&gt;4.2.99.21  isochorismate lyase|Enzymes&gt;&gt;&gt;5. Isomerases&gt;&gt;&gt;5.4  Intramolecular transferases&gt;&gt;&gt;5.4.4  Transferring hydroxy groups&gt;&gt;&gt;5.4.4.2  isochorismate synthase</t>
  </si>
  <si>
    <t>MFTETILTTAQPTRNILAALTSALGDYIVYEQGEVTFIVAQPVWEFTLHGGHDTPWDAVRDVIQGTDYAHDQAIYGWVGFELASGGAAGQEIAHFLIPGIEIRIAGENVTIRTSDDVAPDVVAQLRSIIESADPYQPEPPRGANVRALDQRYLDAVAAAVAEIQAGVLQKVILSRVVDLPFTVNMLDTYLHGRAANTPARSFLFSLGDWQAAGFSPETVVEVNSRGEVSTQPLAGTRALTGDAVEDEILRSELLADPKEIFEHAASVKLACEELSMVADANGPWVSEFMEIKPRGSVQHLGSRVNCHLADGKNAWDALAVLFPAITASGIPKAPAYELIKKHETAPRMLYSGAVLRADSDGSLDAALVLRTVYQHAGKAWLRAGAGIVLGSTPAREHEETCEKLSSVAPYVVAQD</t>
  </si>
  <si>
    <t>MFTETILTTAQPTRDILAALTSALGDYIVYEQGEVTFIVAQPVWEFTLHGGHDAPWDAVRDAIQGTDYAHDQAIYGWVGFELASGGAAGQEIAHFLIPGIEIRIAGENVTIRTSDDVAPDVVAQLRSIIESAAPYQPEPPRAVNVRALDQRYLDAVAAAVAEIQAGVLQKVILSRVVDLPFTVNMLDTYLHGRAANTPARSFLFSLGDWQAAGFSPETVVEVNSRGEVSTQPLAGTRALTGDAVEDEILRSELLADPKEIFEHAASVKLACEELSMVADANGPWVSEFMEIKPRGSVQHLGSRVNCRLAEGKNAWDALAVLFPAITASGIPKAPAYELIKKHETAPRMLYSGAVLRADSDGSLDAALVLRTVYQHAGKAWLRAGAGIVLGSTPAREHEETCEKLSSVAPYVVAQD</t>
  </si>
  <si>
    <t>GC_00003071</t>
  </si>
  <si>
    <t>MNIAAIGQGRPKKTTPLNAMEFIGPTGNVVVKLVPNMLVKAETIAMKTAGLSPTRKQKVGYVPPTSTGFPAAALAADLQGAQYVLDLIPTMEWARRVAGTDASAVRTRFDTLDDALFEAAPRVIPPIFDELARIFAKVEKNTYARHYYAKARQVERDYDLPIDTSQRAATFVEFFNLGVVGVRELRDQVRADSQSSVQVLVAVMRAGVGAYAGVLQDIPEDKHQYFLEAILGSSGFRRSEAGFFQEAHESLRTLTSKNPDCRAVLRESRPAHLTAAEFLSLLHDCDAIPTLAADLVDWLESLGYREVLPSDRRLVDAVRSMSLSGLSLVPRFSVFPIDLVDALCASGIEWNGDFSEELRWQDWASDSNRCDLAGICSHKRLRGWLVANLNIRTIANNFDAFAASKPARRLVSLVLNRLVKTKQQLAGSGPEWDIFQTQQLAYVFDKRFVSMNSKAVAQLRDFDPVAELQLRISRGVMSELAWPMLEQVCKSHKNFELYDAYPAVAVRSGQSIEMIDGDAIVARGRLPKDCRTLDSAWLVGERIAVRYDDAHGARHCRLLGARTRNDGELLAPWGSQECNGKVVGTGPHYVLVDDVAMVWETGEIVDMDYFSPLKRGTSVPGIKITGLRRTRIPADHEFLMSDSLVVSAHPTTADGPCGVSNGAHIALSFGPRDGTGDYRLVTPLGSFRAPVPLCAALNRPGGGRWLLSRDRMLIDVDSGLPIAQVADGIGGVPVGALNQLRPRDLSMSTALRAVTTEQAEELWENPELATIEKLFGSNSVIAESLLSLVSKVRQLHGWFGAADYSETNDMSEAALSLLFTVTGRTGRGSRSVNPYHEATKLWEVLSRLDSDPMPAATMTFRWLDYIGREKTLVAGLAGRHLDPDVVAEVCRFLLWATELGIFGSGWQSRDAHTGHYDGDRHWRYNRNRVLVYRPDSVDSRFPDLSLTRSEFIYYLGVILAWSRHPDQPDRSAQLAAHTILTPETCTYMLGGLVVSPGEGVPAPAVRNRYGLSQPDMHVAIVQLRGLTRIDYVLGAGVNADFSETGLDIAAMAAQLNANTGKPIMHITAGQFQQAMPQFDDLSWLTNVALSETTEVPVGLDEYSAGDYLATLLHLISNTSLDDPARGVFREKLQNLKTYGQQQLDAGEWEVGTIDIVGAADYRNLDYFTRNTMPIRVLLEGHLNELLMDLGRTGGPAGDPHDPLVSVPEIVAEVANRFAVSTDSARYFLQVLALADPTDAHVRAWNGWRKSQLDKAAAPLVAQGLLVQGEHPGAGRGRFLPGAWQDGIEASKAVRYLVWEDMGPILTKCPPLWSMDRLFAAAWRDYIK</t>
  </si>
  <si>
    <t>MNIAVIGQGRPKKTTPLNAMEFIGPTGNVVVELVPNALVKAETIAMKTAGLSPTRKQKVGYAPPASTGFPAAALAADPQGAQYVLDLIPTMEWARRVAGTDASAVRTRFDALDDVLFEAAPRVIPPIFDELARIFAKVEKNTYARHYYAKARQVERDYDLPIDTSQRAATFVEFFNLGVVGVRELRDQVRADSQSSVQVLVAVMRAGVGAYAGVLQDIPEDKHQYFLEAILGSSGFRRSEAGFFQEAHESLRTLTSKNPDCRAVLRKSRPAHLTAAEFLSLLHDCDAIPTLAADLVDWLEGLGYREVLPSDRRLVDAVRSMSLSGLSLVPRFSVFPIDLVDALCASGIEWNGDFSEELRWQDWASDSNRCDLAGICSHKRLRGWLVANLNIRTIANNFDAFAASKPARRLVSLVLNRLVKTKQQLAGSGPEWDIFQTQQLAYVFDKRFVSMNSKAVAQLRDFDPVAELQLRISRGVMSELAWPMLEQVCKSHKSFELYDAYPAVAVRSGQSIEMIDGDAIVARGRLPKDCRTLDSAWLVGERIAVRYDDAHGARHCRLLGARTRNDGELLAPWGSQECNGKVVGTGPHYVLVDDVAMVWETGEIVDMDYFSPLKRGTSVPGIKITGLRRTRIPADHEFLMSDSLVVSAHPTTADGPCGVSNGAHIALSFGPRGGTGDYRLVTPLGSFRAPVPLCAALNRPGGGTWLLSRDRMLIDVDSGLSIAQVADGIGEVPVGALNQLRPRDLSMSTALRAVTTEQAEELWENPELATIEKLFGSNSVIAESLLSLVSKVRQLHGWFGAADYSETNNMSEAALSLLFTVTGRTGRGSRSVNPYHEATKLWEVLSRLDSDPMPAATMTFRWLDYIGREKTLVAGLAGRHLDPDVVAEVCRFLLWATELGIFGSGWQSRDAHTGHYDGDRHWRYNRNRVLVYRPDSVDSRFPDLSLTRSEFIYYLGVILAWSRHPDRPDRSAQLAAHTILTPETCTYMLGGLVVSPGEGVPAPAVRNRYGLSQPDMHVAIVQLRGLTRIDCVLGAGVNADFSETGLDIAAMAAQLNANTGKPIMHITAGQFQQAMPQFDDLSWLTNVALSETTGVPIGLDEYSAGDYLATLLHLIGNTSLDDPARGVFREKLQNLKTHGQQQLAAGEWEVGTIDIVGAADYRKLDYFTRNTMPIRVLLEGHLNELLMDLGRTGGPAGDPHDPLVSVPEIVAEVANRFAVSADSARYFLQVLALADPTDAHVRAWNGWRKSQLDKAAAPLVAQGLLVRGEHPGAGRGRFLPGAWQDGIEASKAVRYLVWEDMGPILTKCPPLWSMDRLFAAAWHDYIK</t>
  </si>
  <si>
    <t>GC_00003072</t>
  </si>
  <si>
    <t>MTALSALATVPRIRRGWPHVDGTLTFEQHDDSGRIRAGRINPDGSIHHADFAVDPALPSLEPPASGDLVVHRLGRRAVIINDTYVRKCVRDGKATALARVTTKVGRLCAIAGLASAHVKNVDNAHVDFSRVNGSTLHSLGEAGASGWLHFATTWPELVTQDANDLPEHDAHAEATVLTRWLELAELFDALPELPRFRAVVEKTAHDLVAGPADRPLVLHRDLHDKQLLWDGSTLGVLDVDTAARGEVALDLGNLLAHADLRLTQNIFTPSTSDTIAGHVNTVAAALNVNPARLETYRRAALLRLACVYAFRPTSKDWLPGWVDTCVTL--</t>
  </si>
  <si>
    <t>MTALSALATVPRIRRGWPHVDGTLTFEQHDDSGRIRAGRINPDGSIHHADFAVDPALPSLEPPASGDLVVHRLGRRAVIINDTYVRKCVRDGKATALARVTTKVGRLCSIAGLASVHVQNVDNAHVDFSRVNGSTLHSLGEAGASGWLHFATTWPELVTQDANDLPEHDAHAEATVLTRWLELAELFDALPELPRFRAVVEKTAHDLVAGPADRPLVLHRDLHDKQLLWDGSTLGVLDVDTAARGEVALDLGNLLAHADLRLTQNIFTPSTSDTIAGHVNTVAAALNVNPARLETYRRAALLRLACVYAFRPTSKDWLPGWVDTCVTLCP</t>
  </si>
  <si>
    <t>GC_00003073</t>
  </si>
  <si>
    <t>MNQSELTARVAEAEAQLGQPLPADYRAFLLDDTNENKFTGDYLLLDSMICEFFLDPGAYTREDPDWTQDFPFTPENPLIADVPESFYTRLDNATTAAEYDAITEEQIDYLQKNFDEPALRGMAFLSDDGCNIYTAIILRGPARGQIWRHEITMDNADVRPYWHPFTKELLTFNDWRYFEQHRYLLTIDGRDDAQTYSIMNDWYGFWAMKRMIADGTLTGLAAEDVDKLRQPTDIPPNAVFLDPRRNEWYPVRDATVFRVSYAA</t>
  </si>
  <si>
    <t>GC_00003074</t>
  </si>
  <si>
    <t>MGIIPPSIRDILTVGIGAALGAVTRFLITSTIPVGGLWSLLAINIAGCFLMGLIRPGLFWGTGFLGGFTSFSTYMLFAHHLFIDAPPLQAATYLLVTSASCIGAWILGDWIHSLRPEAAA</t>
  </si>
  <si>
    <t>MGIIPPSIRDVLTVGIGAALGAVTRFLITSAMPVGGLWSLLAINIAGCFLMGLIRPGLFWGTGFLGGFTSFSTYMLFAHHLFIDAPPLQAATYLLVTSASCIGAWILGDWIHSSRPEAAA</t>
  </si>
  <si>
    <t>GC_00003075</t>
  </si>
  <si>
    <t>MGIPAKSGVAGGLIGVLPSQVGLATFSPRLDAHGNSVRGIALFERISEDMDLHLMEMPPVSQAVVRSNRVTGGIRVVELQGDIRFAGAERLIREIVSTVAEEPSVAIDVSRVHSLNPVAYRMLMEVIRRLSLNGYTAYLIDPEDVVPNPDPGGGGHVTVVRSLNEIPV</t>
  </si>
  <si>
    <t>GC_00003076</t>
  </si>
  <si>
    <t>MGEDRFITTPDGRKIRAMIHGNGPTLVVLDAGLGANGFYWSKTYKLLAEKLPNVCIVAYDRAGMGASDPDPRPRTLAHMADDLDTIIDSFVPRQVFLIGHSWGGTLAQFAAARRRAAGRTITGVMLVDSSTRTNQYSSLKVRTSVALAPPVLRLLGRTRLAKLAMFKLGAGLPRPLRNAAIAGSASRTATEAAAAEAELFLSEIDWLSKQPLRLDGVDVCVISGMKGSKIIAKIRRELIAAHQKIAAAGRWVPATKSAHNIPLSEPELIAEQIMNMVDRARVAAAQEPVLV</t>
  </si>
  <si>
    <t>MGEDRFITTPDGRKIRAMIHGNGPTLVVLDAGLGANGFYWSKTYKLLAEKLPNVCIVAYDRAGMGGSDPDPRPRTLAHMADDLDTIIDSFVPRQVFLIGHSWGGTLAQFAAARRRAAGRTITGVMLVDSSTRTNQYSSLKVRTSVALAPPILRLLGRTRLAKLAMFKLGAGLPRPLRNAAIAGSASRTATEAAAAEAELFLSEIDWLSKQPLRLDGVDVCVISGMKGSKIIAKIRRELIAAHQKIAAAGRWVPATKSAHNIPLSEPELIAEQIMNMVDRARVAAAQEPVLV</t>
  </si>
  <si>
    <t>GC_00003077</t>
  </si>
  <si>
    <t>MTCDMGCIYHGCMSSETFFRPRYHITPPQGRLNDPNGVFVSPRTGRLHVFYQHDPAFPFGKKRTGWGHVSAELDTLRWLHHPDALYPDVAYDLDGCYSGGAVVDGEQVYLFYTGNLKEPTADGGFARRATQNRVNAVDPDDLMGGVYRRDAANPLIDGPAAGYTAHYRDPMITRDPHDSHDGWRMVIGAQREDETGTVVLYHSDDLHNWNFVGELEFDTTNAALGTAPDLVPGGYMWECPNLITLRDAVTGEDLDILIICPQGLEPVTTDTATHYASSDQCGYIVGKLDGTRFTVLRGFSELDHGQQFYAPQITGFSETSGLLLGWMGLPGQDDTPSVAAEGWVHSLTVPRRVEVHNHVLRQTLIVPESVRNGEINHMDSGILWHSERLDGHETTLVITGSQGTIGATIHYLSGADPVLEIDVAGDVRRVPCPPGELTVFVDRSAVEVTAADGAIAASFVTFPNVNEIWSTITRNCD</t>
  </si>
  <si>
    <t>MTCDMGCIYHGCMSSETFFRPRYHITPPQGRLNDPNGVFVSPRTGRLHVFYQHDPAFPFGKKHTGWGHVSAELDTLRWLHHPDALYPDVAYDLDGCYSGGAVVDGEQVYLFYTGNLKEPTADGGFARRATQNRVNAVDPDDLMGGVYRRDAANPLIDGPAAGYTAHYRDPMITRDPHDSHDGWRMVIGAQREDETGTVVLYHSDDLHNWNFVGELEFDTTNAAPGTAPDLVPGGYMWECPNLITLRDAVTGEDLDILIICPQGLEPVTTDTATHYASSDQCGYIVGKLDGTRFTVLRGFSELDHGQQFYAPQITGFSETSGLLLGWMGLPGQDDTPSVAAEGWVHSLTVPRRVEVHNHVLRQTLIVPESVRNGEINHMDSGILWHSERLDGHETTLVITGSQGTIGATIHYLSGADPVLEIDVAGDVRRVPCPPGELTVFVDRSAVEVTAADGAIAASFVTFPNVNEIWSTIARNCD</t>
  </si>
  <si>
    <t>GC_00003078</t>
  </si>
  <si>
    <t>MTVLTDWVVEHIRAALRTRAMVPGATYSGYQLAADLGISRSPVRDGLLRLAATGLIEFTPNRGFRIIQPTETDIAEIYALRIAIEVPAAQRAARILASQQGPTSSVGDVHDFILTTIGSRQGRRILAQLRDQLLAAPQIPGHGSADHQAIRRALTSYNSEVVGELMRRHLEHAALSRLTIMLDGNPEAAANVWQRVEAPEPAGDAARRRSC</t>
  </si>
  <si>
    <t>MTVLTDWVVEHIRAALRTRAMVPGATYSGYQLAADLGISRSPVRDGLLRLAATGLIEFTPNRGFRIIQPTETDIAEIYALRIAIEVPAARRAARILASQQGPTSPVGDVHDFIFATIGSRQGSRILAQLRDQLLAAPQIPGHGSADHQAIRRALTSYNSEAAGELMRRHLEHAALSRLTIVLDGNPEAAANLWQRVEAPEPAGDAARRRSC</t>
  </si>
  <si>
    <t>GC_00003079</t>
  </si>
  <si>
    <t>MASLSGFFSTTVCRMVGNIFFRFMPKWGIRGGATKIWGRHFGLSTGTHSLKWGVVVSGLCNNIDQRHEIFIVFNGRDANKLPPHGGGDFFGVFGA</t>
  </si>
  <si>
    <t>MASLSGFFSTTVCRMVGNIFFRFMPKWGIRGGATKIWGRHFGLSTGTHSLKWGVVVSGLCNNIDQRHEIFIVFNGGDANKLPPHGGGDFFGVFGA</t>
  </si>
  <si>
    <t>GC_00003080</t>
  </si>
  <si>
    <t>PF10503.15</t>
  </si>
  <si>
    <t>Esterase PHB depolymerase</t>
  </si>
  <si>
    <t>K03932</t>
  </si>
  <si>
    <t>polyhydroxybutyrate depolymerase</t>
  </si>
  <si>
    <t>COG3509</t>
  </si>
  <si>
    <t>Acetyl xylan esterase AxeA and related esterases, LpqC family (LpqC) (PDB:2D80) (PUBMED:9291122)</t>
  </si>
  <si>
    <t>MLPQSVKKIFSTSGAVALLTASSLGISNAESAETLRQFFERTATPQVTTVADSNAAADASAQPSKPAEPTIEDDHGSNPNPPVASGDTQSITLTTKDGTQRRYIMHVGANYNPDKPNPIPVLFSFHGWDQSVDSFMESSAYQNTRAWNDAIVIYPEALDGAWEAAPYATGRPGKDLAFVEDIIADVDNDYLIDRHRVYASGFSNGGGMAAVVGCHLPDKFAAFASVSGAYYQQVNVGCSERPIPAMIVHNVDDPVVHYKGGPRNGGQLIPVYEVAYQYAHRNHCDLLPPTSSDITNGTRLTFNNCEEPTQHIRVNVGGHTWPRNPDIAFEAWQFLSSQAR</t>
  </si>
  <si>
    <t>MLPQSVKKIFSTSGAVALLTASSLGISNAESAETLRQFFERTATPQVTTVADSNAAADASAQPSKPAEPTIEDDHGSNPNPPVASGDTQSITLTTKDGTQRRYIMHVGANYNPDKPNPIPVLFSFHGWDQSVDSFMESSAYQNTRAWNDAIVIYPEALDGAWEAAPYATGRPGKDLAFVEDIIADVDNNYLIDRHRVYASGFSNGGGMAAVVGCHLPDKFAAFASVSGAYYQQVNVGCSERPIPAMIVHNVDDPVVHYKGGPRNGGQLIPVYEVAYQYAHRNHCDLLPPTSSDITNGTRLTFNNCEEPTQHIRVNVGGHTWPRNPDIAFEAWQFLSSQAR</t>
  </si>
  <si>
    <t>GC_00003081</t>
  </si>
  <si>
    <t>MATNERTFFGHPWGLANLFGVEMWERFSFYGLQAILLYYLYYQTTDGGLGIDESIATAIVGAYGGLVYVAAIGGGWVADRVLGAERTLFYSAIIVMLGHVSLGLLPGIPGLTVGLMLVALGSGGVKTTASTVLGGLYEEGDPRLDGGYSIFYMGINIGALFGPLVTGWMWGQAGFHWGFGMAAFGMAIGLIQYAVMRKDTIGAVGSTVLNPAPRSQILSVLGITLALVAVVVVLFTTGILKIGWLSNFVSIVGGIAAVLLFVQMYSSPKTTRTEKHRLLGFIPMFFASVMFWSIYQQQFTVIAIYSDQRLNRTFGGFEVSPAWVGSISPIFIIVFSGIFATMWLKLGERQPSTPMKYALSLMLTGLAAFIFIPFAGGGPNSTPFFAMVAILFLFTMAELMISPVGLSLASRLAPARFATRMMSLQFLSLAVGTALSGTFAGYYDAGDAGAERTYFLVIGAAAILGGLVMVALRRGILTAFEGVQ</t>
  </si>
  <si>
    <t>MATNERTFFGHPWGLANLFGVEMWERFSFYGLQAILLYYLYYQTTDGGLGIDESIATAIVGAYGGLVYVAVIGGGWVADRVLGAERTLFYSAIIVMLGHVSLGLLPGILGLTVGLMLVALGSGGVKTTASTVLGGLYEEGDPRLDGGYSIFYMGINIGALFGPLVTGWMWGQAGFHWGFGMAAFGMAIGLIQYAVMRKDTIGAVGSTVLNPAPRSQILSVLGITLALVAVVVVLFTTGILQIGWLSNFVSIVGGIAAVLLFVQMYSSPKTTKTEKHRLLGFIPMFFASVMFWSIYQQQFTVIAIYSDQRLNRTFGGFEVSPAWVGSISPIFIIVFSGIFATMWLKLGERQPSTPMKYALSLMLTGLAAFIFIPFAGGGPNSTPFFAMVAILFLFTMAELMISPVGLSLASRLAPARFATRMMSLQFLSLAVGTALSGTFAGYYDAGDAGAERTYFLVIGAAAILGGLVMVALRRGILTAFEGVQ</t>
  </si>
  <si>
    <t>GC_00003082</t>
  </si>
  <si>
    <t>MKAFVLEKYGQPLRAVNMPIPEPGPRQVLVRMAASGVNHADERTRVGEFKAVFRLDLPKVMGGELSGEVIALGSQVTEFAVGDKVYGYTGVVGMGTWAETVAVDVDALAHAPRNVSLTHAAALPVVALTAWQALVSIGHLQAGQTVLVHGGAGGVGSAVIQLAKHLGATVATTASAASADDVRALGADIIIDYRNEDFVERLANTPVDIVVDTQGGDITSRSLQVLRRGGVVVGIAGSPEPTLADQAGAGPVVKFALSVLSFRLRRQARKLGVRYRFLFIKPDGAALRTVAELVDEGILKPVIDRVLPFNDTLIALNQLLSGKTRGKVLVTTNPEEVTADV</t>
  </si>
  <si>
    <t>MKAFVLEKYGQPLRAVNMPIPEPGPRQVLVSMAASGVNHADERTRVGEFKAVFRLDLPKVMGGELSGEVIALGSQVTEFAVGDKVYGYTGVVGMGTWAETVAVDVDALAHAPRNVSLTHAAALPVVALTAWQALVSIGHLQAGQTVLVHGGAGGVGSAVIQLAKHLGATVATTASAASAYDVRALGADIIIDYRNEDFVERLANTPVDIVVDTQGGDITSRSLQVLRRGGVVVGIAGSPEPTLADQAGAGSVVKLALSILSFRLRRQARKLGVRYRFLFIKPDGAALRTVAELVDEGILKPVIDRVLPFNDTLTALNQLLSGKTRGKVLVTTNPEEVTADV</t>
  </si>
  <si>
    <t>GC_00003083</t>
  </si>
  <si>
    <t>MSAMTTKRRFITLCACVTTAFVGFAGPATMSMVTPGGMVPHAAALPFPMTPDSPEIKTQWINPAARSQDDDAPVRVLLESLEPSTIHVGDTTRARLRISNKGSEVVRNLSIQAQRASKQNSLADARSILASDSSAFQVAGLKFKLPDQLEPNQEIIIDVELPTAPDQDRSLSISNPGIYPLTLNVNGDQGQGDAYVGSTHFLLSVLNPDTQSVSDETQESPGMTMLWPLSAKIDIIAGETGAAPGSAHLILKNENLAAELAQGGRLYQLLDAYVQATTEGGAASTSSGAPHATSNSAAAKLREGSCLALDPQLVDTVSRMSQGYSVADQRPSPVAPKLRLRDSWGSEADDVPSTPGSSPVVAGEWLAKLRGVAKDSCVVALPWANVDINALGRTGNEWLLREALSQGASTIEQIVGVAPLRNVVVPASGYVTEQTVAGLGVADSPLEDTTGDTNGNTGDSPQQLGTSGNSTSGSSNATPARKPEDAWEYAQSHNPGVTEPTNPHGGETALNDNSLPNPDNGFHSSQPNSPIRVLVSDNTVWDVPRAGQFAALGPNIMGVGYQSSLAATLAALGTDPETVGYSSPATRFDFRIDSGTARSLNAQAALRMSVDEKAHSTNNGESADNTPILVTPSALLGSVDDARALLNTASDLLSHNLARPVPLTQAITPSAEQEADLQRQSDQAGSSETSSRFGAPYDDPTVATDTEILRVTQQGNYIDDLTHLMVNDPAIALTRYQFTAPLQRDLLRALTLSGRRSLATYDPTVAETDSILNLNREMLVNLRRSVTLLPPGNVYTRTSASSPLLIVARNGLPLPVDAHIMYQGPEGAVIHTPDQQRIPAQGSITTQMTADLPNDRERTDLTLWLATPSGNAISDSVDIGVQTRAGFFGVYGVVALIVGLIFALLFRMRRMVKKPSTTSPASDATKRSIKAAQTDSSVSSDTTDDTRNERRLNNGHADQNSGSPRPPGR</t>
  </si>
  <si>
    <t>MSAMTTKRRFITLCACVTTAFVGFAGPATMSMVTPGGMVPHAAALPFPMTPDSPEIKTQWINPAARSQDDDAPVRVLLESLEPSTIHVGDTTRARLRISNKGSEVVRNLSIQAQRASKQNSLADARSILASDSSAFQVAGLKFKLPDQLEPNQEIIIDVELPTAPDQDRSLSISNPGIYPLTLNVNGDQGQGDAYVGSTHFLLSVLNPDTQSVSDETQESPGMTMLWPLSAKIDIIAGETGAAPGSAHLILKNENLAAELAQGGRLYQLLDAYVQATTEGGAASTSSGAPHATSNSAAAKLREGSCLALDPQLVDTVSRMSQGYSVADQRPSPVAPKLRLRDSWGSEVDDVPSTPGSSPVVAGEWLAKLRGVAKDSCVVALPWANVDINALGRTGNEWLLREALSQGASTIEQIVGVAPLRNVVVPASGYVTEQTVAGLGVADSPLEDTTGDTNGNTGDSPQQLGTSGNSTSGSSNATPARKPEDAWEYAQSHNPGVTEPVNPHGGETALNDNSLPNPDNGFHSSQPNSPIRVLVSDNTVWDVPRAGQFAALGPNIMGVGYQSSLAATLAALGTDPETVGYSSPATRFDFRIDSGTARSLNAQAALRMSVDEKAHSTNNGESADNTPILVTPSALLGSVDDARALLNTASDLLSHNLARPVPLTQATTPSAEQEADLQRQSDQAGSSETSSRFGAPYDDPTVATDTEILRVTQQGNYIDDLTHLMVNDPAIALTRYQFTAPLQRDLLRALTLSGRRSLATYDPTVAETDSILNLNREMLVNLRRSVTLLPPGNVYTRTSASSPLLIVARNGLPLPVDAHIMYQGPEGAVIHTPDQQRIPAQGSITTQMTADLPNDRERTDLTLWLATPSGNAISDSVDIGVQTRAGFFGVYGVVALIVGLIFALLFRMRRMVKKPSTTSPASEPTKRSIKAAQTDSSVSSDTTDDTRHERRLNNGHADQNSGSPRPPGR</t>
  </si>
  <si>
    <t>GC_00003084</t>
  </si>
  <si>
    <t>MNHYPIPRDYPEYQSPPEKVSDGRRFSIYAVLDAVFIVVALGLALWLAYILLVGSFVWSVKLIIPLTFGWATLAYLALPRLHQLFTLLYVPNYFIGRTKTVDGILGDPVNLAFDGTETDVHAAMRNAGWVPADPITLRSSWNIIISSVFGTSYPQAPVSNLYLFDTKQDFAYQQEVSGNASQRHHVRFWRVPEGWVLPGGYRADWLAAGTYDRSVGFSSFTFQFTHKVDADTDLERDYIVKTLRFSDHDIGVQVIRDFSTAYHQRNGGGDKINTDGNLPIIDVRDAAHRTPIPAPKKPPRKRRDPADHGVPPVSLLVAGGLLVLNIVGAIQLGIVALTGQDWGWLLIDDGADEPWWILLLMPFMSLIEIFLLVGTLLRHKWARIGLMVLCVISAVQTLVALTGETTSFRAVLFAFLSVFVVLGVSGDKVREWVSAEHTTLRTKQRA</t>
  </si>
  <si>
    <t>MNHYPIPRDYPEYQSPPKKVSDGRRFSIYAALDAVFIVVALGLALWLAYILLVGSFVWSVKLVIPLTFGWATLAYLALPRLHQLFTLLYVPNYFIGRTKTVDGILGDPVNLAFDGTETDVHAAMRNAGWVPADPITLRSSWNIIISSVFGTSYPRAPVSDLYLFDTKQDFAYQQEVSGNASQRHHVRFWRVPEGWVLPGGHRADWLAAGTYDRSVGFSSFTFQFTHKVDADTDLERDYIVKTLRFSDHDIGVEVIRDFSTAYHQRNGGGDKINTDGNLPIIDVRDAAHRTPMPAAKKSLRKWKDPADHGVPPVSLLVAGGLLVLNIVGAIQLGIVALTGQDWGWLLIDDGADEPWWILLLMPFMSLIEIFLLVGTLLRHKWARIGLMVLCVISAVQTLVALTGETTSFRAVLFAFLSVFVVLGVSGDKVREWVSGEHTTLRTKQQA</t>
  </si>
  <si>
    <t>GC_00003085</t>
  </si>
  <si>
    <t>MRITSNALLALAQPPTENTVGGRNVGPIAALSAVHDCLPERVVVKLVPQALVTAEKQVQLHTGFDHHCVPIETVACGPIRAIGFPAWPIIIDPDNAQHALNLVADLEWARRTAASAPGKVQDRFAELTASLERSVPHFVPALLEELARIFDDNGKSHLAARFFGRARASERTYNIHIDPNRQRSLFQEFAERGVVTAKELTAERIRCIDSWDSTDNAFEYFLQLNVDRIRAGGVPYTNLPRDLAAVGKMYGLKPADTGMRLTHEIKGAGSLRRAPLGFIQALARQLARTRSTHPELIVHLFSVYNPFVDVDEWLRIGEKSGLFDVLDNNTQLCHFWINSIVHAIGDNGIHSELFTAFLLRKSASLRGLHLTVCPQALSLEIIDALLGAGADVEFLDGSKENAHSSQMHDRRFWNRPLVIFANEARQKLIPGHCSIVTLSSRQDLVAQIIATTSLKDISRERISVLIQHGGLGFVAALVAREMVIAKRYGYLLPHLSTLIRSFFRVVDTLKNILATHPSSQKSSSYYTSDTLSQFFHYMSQCAQLTAADIAASNLRNGLLTELAWPELERYVVAWNSAVPEDSTDPVPRVQIRESFPGAVAVFGKEVVAVEGDNTIGKATIPAQRYRLISAFYFLNSRSIKSQSTRTKRNGSPSLGVITANNQNELLAAWSDDSAAIVRPASTSRWGWHWDLPKSTVSVPLGTEQSSRLCGSGVISPHQESFDLPDGVVFCDASGNMWRGSYSADRTFVVRRVAPVTAVDIQQEIPPQLVSAQRRVTQLVERDVAKRGAFNSDGNVRVRVNYRMSTLLPAPTAGPEYKLSGSHERAIPVVDGEVLVASVDVVDRYDAIDSHAVTTGDGGVWWSAEPCVGVAHVAGLTWLIADDVHDKDDHTHLLIPAASRAEAQESITADISYGRLALTLDARGNRHWMHDIPWSVWGNLRLRDAAASQRLRHATAQQLEPLTNIVEAAAQETKKQSTVHKATSTSVSPLCRPNAPAMEAAATFLGTDDQELCASVVQLVTLSCREARRCASLNTQVQALIAKLDSAPTTAIYAQHADDSDHSSTTATTLAGASIVAAEEVSQLAAGLNDRSPRKVQQTNQAKPKQWEWLGAIGLEKALISWATGPFAHPRAPIELAAMLQGLSELGVGSEQWSAATIQWFRLTDQCGKFAVGTRLPTSLPVLTLGLPLRRTAAHTHNWTAHGSQHRILCQASSTELPESVLGVPVEGAPTGAATYGVSTALSSPQLSAWSSRVCELYGKNSGDPATWYEQVKPCVQALCGACALTEAAAIVLFGGGIQPIHLGRDLFDTDYVAQKNAVAEDALRVKSMYSALGLSQAAVARGVAQLNRIDAQTQELLLAAAFDSDVEAIKRIAADLPQSSVPIDDALLAAVDTCCRDAVTTVALTWKLMVPLPKESTLSNMHGLATAVLLHVLIDAHPNNPHGEFYVAQLRRLAEYPIGVAHMENVTELPLQGVMPASPPHSISSGDAFRGLKEGLFDAVITDASSSNTVNGCVWDPRVSAAMVVDAVVDTLRLSTQAATYFLQLLCLVNCTDAKVKTWNGWTKKELDAARAELLQRELVVEGKRARSGRRVFLSGAWLDVATPNLPMEEWKAPYYLVRWVRESGKAESVVSGCPPLLPPADLFSNAWERYAGGEVPSLEQIKSTKYRKKSY</t>
  </si>
  <si>
    <t>MRITSNALLALAQPPTENTVGGRNVGPVAALSAVHDCLPERVVVKLVPQALVTAEKQVQLHTGFHHHCAPTETVACGPIRAIGFPAWPIIIDPDNAQHALNLVADLEWARRTAASAPGKVQDRFAELTASLERSVPHFVPALLEELARIFDDNGKSHLAARFFGRARASERTYNIHIDPNRQRVLFQEFAERGVVTAKELTAERTRCIDSWDSTDNAFEYFLQLNVDRIRAGGVPYTNLPRDLAAVGKMYGLKPADTGMRLMHEIKGAGSLRRAPLGFIQALARQLARTRSTHPELIVHLFSVYNPFVDVDEWLRIGEKSGLFDVLDNSTQLCHFWINSIVHAIGDNGIHSELFTAFLLRKSASLRGLHLTVCPQALSLEIIDALLGAGADVEFLDGSKENARSSQMHYKRFWNKSLVVFANEARQKLIPGHCGISTLSSRRDLVIQIIDNTSLKSISREHIDVLIQHGGLGFVAALVAREMVMLKRYGYPLPHLSTLISSFFRAVDTLKNILATPPSSQKSSSYYTSDTLSQFFHYMSQCAQLTAADIAASNIRNGLLTELEWPELERHVLAWNSAVPEDSTDPVPRVQIRESFPGAVAVFGKEVVAVEGDNTIGKATIPAQRYRLISAFYFLNSRSIKSQSTRTKRNGSPSLGVITAHNQNELLAAWSDDSAAIVRPASTSRWGWHWDLPKSTVSVPLGTEQSSRLCGSGVISPHQESFDLPDGVVFCDALGNMWRGSYSADRTFVVRRVAPVTAVDIQQEIPPQLVSAQRRVTQLVERDVAKRGALNSDGKVRVRVNYRMSTLLPAPTAGPEYELSGSHERAIPVVDGEVLVASVDVVDRYDAIDSHAVTTGDGGVWWSAEPCVGVAHVAGLTWLIADDLRDKDDHTQLLIPAASRAEAQESITADISYGRLALTLDARGNRHWMHDIPWSVWGNLQLRDAAASQRLRHATAQQLEPLTNIVEAAAQETKKQSTVHKATSTSVSPLCRPNAPAMEAAATFLGTDDQELCASVVQLVKLSCCEARRCASLNTQMQTLIAKLNSTPTTATDTQHADDSDHSSATAATLAEASIVAAEEVSQLAAALNDRSPRKVQQTNQAKPKQWEWLGAIGLEKALISWATGPFAHPRAPIELAAMLQGLGELGVGSEQWSAATVQWFRLTDQCGKFAVGTRLPKSLPVLTLGLPLRRTAAHTHNWTAHGSQHRILCQASSTELPESVLGVPVEGAPTGAATYGVSTALSSPQLSAWSSRVRELYSKNSGDLATWYEQVKPCVQALCGACALTEAAAIVLFGGGIQPIHLGRDLFDTDYVAQKNAVAEDALRVKSMYPALGLSQAAVARGVAQLNRIDAQTQELLLAAAFDSDVEAIKRIAADLPQSSVPIDDALLAAVDTCCRDAVTTVALAWKLMVPLPKESTLSNMHGLATAVLLHVLIDAHPNNPHGEFYVAQLRRLAEYPIGVAHMENVTELPLRGVMPASPPHSISSGDAFRGLKEGLFDAVITDASSSNTVNSCVWDPRVSAAMVVDAVVDTLRLSTQAATYFLQLLCLVNCTDAKVKTWNGWTKKELDAARAELLQRELVVEGKRARSGRRVFLSGAWLDVATPNLPMEEWKAPYYLVRWVRESGKAESVVSGCPPLLPPADLFSNAWDRYAGGEVPSLEQIKSTKYRKKSY</t>
  </si>
  <si>
    <t>GC_00003086</t>
  </si>
  <si>
    <t>PF03083.21</t>
  </si>
  <si>
    <t>Sugar efflux transporter for intercellular exchange</t>
  </si>
  <si>
    <t>COG4095</t>
  </si>
  <si>
    <t>Sugar transporter, SemiSWEET family, contains PQ motif (SWEET) (PUBMED:24027245)</t>
  </si>
  <si>
    <t>MNEKQAQTLGWVATAMSVMMYVSYIPQIMSNLSGHKGDFIQPSVAAVNCTLWVIYGLFKKQRDLPLAAANMPGIVFGLIAASTALL</t>
  </si>
  <si>
    <t>MNEKQAQTLGWIATAMSVMMYVSYIPQIMSNLSGHKGDFIQPSVAAVNCTLWVIYGLFKKQRDLPLAAANMPGIVFGLIAASTALL</t>
  </si>
  <si>
    <t>GC_00003087</t>
  </si>
  <si>
    <t>PF07786.18</t>
  </si>
  <si>
    <t>Heparan-alpha-glucosaminide N-acetyltransferase, catalytic</t>
  </si>
  <si>
    <t>MPSNSFDPIPLRSTTEGQVPEGHLPPGTRPSPGRRPSREAWLGKRKQAVEARDDAAVEETSQSTSMPSGPDHPVIRHFRHRVERFTNDGRATGRLTGIDAARGLAMVGMVAIHTLPELNEKTGRPTMNWNLFSGHASALFAVLAGVTISLLSGGNNPHTGDRMQQTRIMLGTRALVLLLFGLTLNFMDFSAHNILLYYGLYFLLVIPFTTMTSGQLFVMGGFCAIFGPLAIQATRLVTVIDPSPNPSLEQAISDPIGTVLALFALGTYPAFTWLTFIFIGMGIGRLQLTREKTQTKLVFYGLTIALTSSIASQMLLYQFGGLEAIQRANASMSGDNIQSIIDFGGGNDQLETTMWWLVIPTPHSNTTFSVLISGGIAIALIGVFLMLGKQKVVPLALLADIGSMTLTLFTLHLTFLSIVDVDAKPVLWFVTQIGVAISIAAIWKRIWKRGPLEYIVTTVCGNTARILQPKVASLLRRGGASGDEAQREGLDGAESESDADLEDSEELIPSIESVFLPALHDVNTTMQYKQGKNINRASHVRLFGQPVHTTHHKKK</t>
  </si>
  <si>
    <t>MPSNSFDPIPLRSTTEGQVPEGHLPPGTRPSPGRRPSREAWLGKRKQAVEARDDAAVEETSQSTSMPSGPDHPVIRHFRHRVERFTNDGRATGRLTGIDAARGLAMVGMVAIHTLPELNEKTGRPTMNWNLFSGHASALFAVLAGVTISLLSGGNNPHTGDRMQQTRIMLGTRALVLLLFGLTLNFMDFSAHNILLYYGLYFLLVIPFTTMTSGQLFVMGGFCAIFGPLAIQATRLVTVIDPSPNPSLEQAISDPIGTVLALFALGTYPAFTWLTFIFIGMGIGRLQLTREKTQTKLVFYGLTIALTSSIASQMLLYQFGGLEAIQRANASMSGDNIQSIIDFGGGNDQLETTMWWLVIPTPHSNTTFSVLISGGIAIALIGVFLMLGKQKVVPLALLADIGSMTLTLFTLHLTFLSIVDVDAKPVLWFITQIGVAISIAAIWKRIWKRGPLEYIVTTVCGNTARILQPKVASLLRRGGASGDEAQREGLDGEESESDADLEDSEELIPSIESVFLPALHDVNTTMQYKQGKNINRASHVRLFGQPVHTTHHKKK</t>
  </si>
  <si>
    <t>GC_00003088</t>
  </si>
  <si>
    <t>MTNAQSTIVADDNDIDDTSIEADAVEEKPQSSRTALVLDIISFLSRFGLAATWIWAGFHKVGSVLETGQSIQAYKIFTLEWSVFLAQIIGPLELMGGFILLIGVFFRQAGWLSTIVLMLFIIGIGQAWARGLVIDCGCFGKQDLTDGGMDYLQTILRDVVLIAMSLWTAYRPYRRFAIYP</t>
  </si>
  <si>
    <t>MTNAQSTIVADDNDIDDTSIEADAVEEKPQSNRTTLVLDIISFLSRFGLAATWIWAGFHKVGSVLETGQSIQAYKIFTLEWSVFLAQIIGPLELMGGFILLIGVFFRQAGWLSTIVLMLFIIGIGQAWARGLVIDCGCFGKQDLTDGGMDYLQTILRDVVLIAMSLWTAYRPYRRFAIYP</t>
  </si>
  <si>
    <t>GC_00003089</t>
  </si>
  <si>
    <t>MYTPDQVRAAEQPLLARLGEKLMLSAAFAVAVECARLLDHHPYGKRVLVLAGSGGNGGDALYAAEELERRGAHITVWQTSTGLHHAYRRPEEPTAAAAARADLIIDGVVGIGASGGLRGEAAQAASIIAEHATCPVVAVDIPSGVDPMTGVPGDSYIRATNTVTFGGLKPVHVLGWEYCGDVVLRGLGIDEELASMDPWGYSVDRVENWPRPGADSNKYTDGVVGIYAGSVAYPGAAVLCVEGAVRATSPMVRYLGPCVTKVIRAVPEVVAGEGRVQALVIGPGCSEDDTQLAEQLRSNLPLVIDATSLTRVAESEELRELVRRRTAFTVLTPHTGEFARFGVAAPEELARELDVCVLLKGRVTQVVSEGERYLIEAGSSWAATAGSGDVLSGVIGAAVAYEPSAVMVAMAARVHADAAALCNGPVPAHLIAEALTLVVSQAVAR</t>
  </si>
  <si>
    <t>MYTPDQVRAAEQPLLARLGEKLMLSAAFAVAVECARLLDHHPYGKRVLVLAGSGGNGGDALYAAEELERRGAHITVWQTSTGLHHAYRRPEEPTAAAAARADLIIDGVVGIGASGGLRGEAAQAASIIAEHATCPVVAVDIPSGVDPMTGVPGDSYIRATSTVTFGGLKPVHVLGWEYCGDVVLRGLGIDEELASMDPWGYSVDRVENWPRPGADSNKYTDGVVGIYAGSVAYPGAAVLCVEGAVRATSPMVRYLGPCVTKVIRAVPEVVAGEGRVQALVIGPGCSEDDTQLAEQLRSNLPLVIDATSLTRVAESEELRELVRRRTAFTVLTPHTGEFARFGVATPEELARELDVCVLLKGRVTQVVSEGERYLIEAGSSWAATAGSGDVLSGVIGAAVAYEPSAVMVAMAARVHADAAALCNGPVPAHLIAEALTLVVSQAVAR</t>
  </si>
  <si>
    <t>GC_00003090</t>
  </si>
  <si>
    <t>MDWKTGACYKNPKNLCYSPIHRLTFGFVRILVIDHQDSFTFNLVSYLEDLVGQRPTVVNHDEKLSIEFIASFDAVIFSPGPGRVDNPVDIGNTLNIIKLADVPMLGVCLGHQALAQAWGGGTDYAPEPVHGQTVWVYHDGVGLFAGLPSPLEVVRYHSLIAEPIPDSLVVTARTIDGIPMAMAHKELPQWGVQFHPESVGGFDGHRLLQNFLSMAARRGGVSFQQRQAPKVPAQPKPTPKWHANVLTIDKSVNTATIYRNLFARSYTSFWLDASDNDHADGRVSYLGDTTGPYAMTMMHNVGRGDALDQLEWVLNTHVGETSALDHLDLGFKLGWVGYLGYELKAECGADRAHTSPYPDMSLLFADRAVAVDHHRNQVHLMWLTGADEPSNQEQMQWVAEAVEAICSPRKRLKRREHPMRVTKLKARAGYDQYLSDINECIDRIYAGDSYEICLTNKITARGNIDVVSSYLQLREENPSPFGALLRFGDVAVMSTSPERFLRVDAAGMIESRPIKGTRVRGETAEEDELLREDLATNPKDRAENLMIVDLVRNDLAHVAQPGTVHAEPMFEVETFSTVHQLISTVTAELRGDKTRVDLIRSSFPGGSMTGAPKIRTMQIIDAIEGEARGIYSGALGYFGVDGAMDLSMVIRSIIVDGDSLSYGVGGAILALSDPETEYQEIMTKTVPLLDLTNQDFPTG</t>
  </si>
  <si>
    <t>---------------------------MRILVIDHQDSFTFNLVSYLEDLVGQRPTVVNHDEKLSIEFIASFDAVIFSPGPGRADNPVDIGNTLNIIKLADVPMLGVCLGHQALAQAWGGGTDYAPEPVHGQTVWVYHDGVGLFAGLPSPLEVVRYHSLIAEPIPDSLVVTARTIDGIPMAMAHKELPQWGVQFHPESVGGFDGHRLLQNFLGMAARRGGVSFQLRQAPKVPAPPKPTPKWHANVLTIDKSVNTA</t>
  </si>
  <si>
    <t>GC_00003091</t>
  </si>
  <si>
    <t>MTHLPLNRRLIFVDIENINGRSIGSVQEANWCRCALNQWLNITNRDLIVVAADKSGIPHLHESWGTCQILDAVGKSGADKRLIAAIAAEHNLVGRFKEVIIVSGDGIFVDSVLYLMSVGIPTTVCSYKNALNATLAACADNILILGKQTTRTRKVSSARPLRLPKHAAAHPIPKPGPVHANTSTMKPSTTPVSAPVVRKVDPPSPCPTPPVISRSKISPISLTSLDQRSAIGERGIPTSPAQSTSQQLADRCSEFLKYCIGFVKKVCSVMAKATN</t>
  </si>
  <si>
    <t>MTHLPLNRRLIFVDIENINGRSIGSVQEANWCRCALNQWLNITNRDLIVVAADKSGIPHLHESWGTCQILDAVGKSGADKRLIAAIAAEHNLASRFKEVIIVSGDGIFVDSVLYLMSVGIPTTVCSYKSALNATLAACADNILILGTRATRTHKVSSARPLRIPKHAAAHPIPKPGPVHANTSTMKPSTTPVSAPVVRKVDPPSPCPTPPVISRSKISPISLTSLDQRSAIGEHGIPTSPAQSTSQQLADRCSEFLKSCIGFVKKVCSVMAKATN</t>
  </si>
  <si>
    <t>GC_00003092</t>
  </si>
  <si>
    <t>MANVYDVGQYITELVPNVNTMKLYKLCYFSQGWKLAWTGCLLFQEPLQAWANGPIPIALRDRSKPGGDTTNLTTTELRTIESVVDFYRDKDSIELSELSRGKAWKEARRNLPDNVRSQEILSVTTMREEFTDLLHSTPNVPSCPPRALIPENYSLETALAAIAEIEKTWGGTLALLATH</t>
  </si>
  <si>
    <t>MANVYDVGQYITELVPTVDTMKLYKLCYFSQGWKLAWTGCLLFQEPLQAWANGPVPVALRDRSKPGGDSTNLTDTELHTVESVVDFYGDKDSIELSRLSRGKAWKEARRNLPDNAHFQEVLSVTTMREEFTDLLHSTPNVPSCPPGVLIPENYSLETALAAIAKIEKTWGGTLALLATR</t>
  </si>
  <si>
    <t>GC_00003093</t>
  </si>
  <si>
    <t>MYKPVSMRRTATALVAGVAVFFSGLVATPAYAQNATDNANITITELTVSNDAQNGADETLTVWDNATFNAKWKAENGVKNGEKFTVKYPAEFQVYASQDFKLVDKNGTDGGDCKVVSDEQTIECTFNKEFEGRDNVEGTLTTKLQAKQTRDNRDVELEVNHKQTSTGAKLPGKGVGIGESHNRLPKDITKFGWYTIQGNEGYWVINMPGKDLAESNKDTIHVEDELTGYGHQYKNCKVDFNEYAATDSGNDYSIDKQIADHDNLVKNPQCSGNKISFDLQRPDGGWKADSYYRASYKSQTADGNIAPAGEKTTNKANVLGKEVTSTIQRDQYSSGTIQGVKRQSFEVKKNLTDQSPTSKVPTDTKFTIQAAYKANGKDETEKIEVGLDGTPVSGKKELPVGTEVTLSEIEMPNVDGVTWGEPKFTATDNGDAGNVTVAPDGKSAVVKIKDGGNVGVTVTNTISSVTPPPPTNGGGNGGGNGGGNGGGTGGGNSKGKSDSGSLKDSGSSGGLLGALLGGSSLLSGSSSDKSGENGSANGSSGGAAASQSGGAAASQSAGAGASGGAAASKSKDSSVAGSLGGADKSKENGSLGGALGGSDKSKSSESGSLATGSVSSLLNGSSNSGLGKWAFLLLLVPVLAGGLALLLGAIPGMASPFQALQQRPKDSNTQNKGPNKDNNTKGQGPKQDSDTKGKTPNDKALDQGGPNQGKNLGEK</t>
  </si>
  <si>
    <t>MYKPVSMRRTATALVAGVAVFFSGLVATPAYAQNATDNANITITELKVTNDAQNGADETLTVWDNATFNAKWKAENGVKNGEKFTVKYPAEFQVYASQDFKLVDKNGTDGGDCKVVSDEQTIECTFNKEFEGRDNVEGTLTTQLQAKQTRDSRDVELEVNHKQTTTGAKLPGKGVGIGESHNRLPKDITKFGWYTIQGDEGYWVINMPGKDLAESNQETIHVEDELTGYGHQYKNCKVDFNEYAATDSGNDYSIDKQIADHDSQVKNLNCSGTKISFDLKRPAGGWKADSYYRASYKSQTADGNIAPAGEKTINKANVLGKEVTSTIQRDQYSSGTIQGVKRQSFEVKKTLTEQSPTSKVPTDTKFTIQAAYKANGKDETEKIEVGLDGTPVSGKKELPVGTEVTLSEIEMPNVDGVTWGEPKFTATDNGDAGNVTVAPDGKSAVVKIKDGGNVGVTVTNTISSVTPPPPTNGGGNGGGNGGGNGGGTGGGNSKGKSDSGSLKDSGSSGGLLGALLGGSSLLSGSSSDKSGENGSANGSSGGAAASQSGGAAASQSAGAGASGGAAASKSKDSSVAGSLGGADKSKENGSLGGALGGSDKSKSSESGSLATGSVSSLLNGSSNSGLGKWAFLLLLVPVLAGGLALLLGAIPGMASPFQALQQRPKDSNTQNKGPNKDNNTKGQGPKQDSDTKGKTPNDKALDQGGPNQGKNLGEK</t>
  </si>
  <si>
    <t>GC_00003094</t>
  </si>
  <si>
    <t>MPEYINLNPVIREISDVQNNILLLNGKMDTMGAQVGAVTQDLNTTRQKLQELAEAFEKFSRQAERIAVVQRAETQLGNLKSELDRVYGHYALVRRTSVGVLQAFDVGNVTNDVVAQVSEELMIQSPRYWLAPALVGLAAWSRDDKAICEKSVQEAFTRDAAKTSLFFALILRRVNRHDEAYTWLKHYLMNCDATKLTREFAVILEATARGAFGTQAEQLLTNQLGEWDAELRQNAQLRTAQVTAWVEEIASNREQLVVDDYENLRKLSPDFDRMRSLLESATALGVTAKKYEEIRDRLDAPVGKIEDLLDDLLEKLVTEYDAEELPLRRKAAYAEAVIESNGDLAQAQVKTDKYVRALANTVDAVSLQTQAAITPERLGVSISTQRTAIGNGLDNVRAAIDEYTSRYRRDFLPAATIILDGTHSGYASQFGFVEFRCATNEDEQAVRQRLGEYWETLFTPHINQATFQQSDMIMPIMVGVITSVAFLLGMKLLGLLMVVLVVIAVAFYIHRKKTLAERNVAELHVAKEQAIQISNNVITEARAEFTDLMLEFEDRDAEQAELTRVFATWPSSRTTNALHSSTTHNEVR</t>
  </si>
  <si>
    <t>MPEYINLNPVIREISDVQNNILLLNGKMDTMGAQVGAVTQDLNTTRQKLQELAEAFEKFSRQAERIAVVQRAETQLGNLKSELDRVYGHYALVRRTSVGVLQAFDVGNVTNDVVAQVSEELMIQSPRYWLAPALVGLAAWSRDDKAICEKSVQEAFTRDAAKTSLFFALILRRVNRHDEAYTWLKHYLMNCDATKLTREFAVILEATARGAFGTQAEQLLTNQLGEWDAELRQNAQLRTAQVTAWVEEIASNREQLVVDDYENLRKLSPDFDRMRSLLESATALGVTAKKYEEIRDRLDAPVGKIEDLLDDLLEKLVTEYDAEELPLRRKAAYAEAVIESNGDLAQAQVKTDKYVRALANTVDAVSLQTQAAITPERLGVSISTQRTAIGNGLDNVRAAIDEYTSRYRRDFLPAATIILDGTHSGYASQFGFVEFRCATNEDEQAVRQRLGEYWETLFTPHINQATFQQSDMIMPIMVGVITSVAFLLGMKLLGLFMVVLVVIAVAFYIHRKKTLAERNVAELHVAKEQAIQISNNVITEARAEFTDLMLEFEDRDAEQAELTRVFATWP-SRTTNALHSSTTHNEAR</t>
  </si>
  <si>
    <t>GC_00003095</t>
  </si>
  <si>
    <t>MKKFFVAVTAAVSCVALLTSCAQSSTSSRHAKAAASRSAAASKSAAASKSAQASGDVTKVSAPSLTLFAAASTRVINDELQALPELADTKITFNNDGSPSLVQQIEDGGPADVLVTADEKNMQKAVDGGLVDAPVTLATNSMVLVVPKDNPKKIKSWDDFVKTKNSATVVTCDLDVPCGNVADQVLKENKVEVEPASLETSVSNVLGKVTSGEADAGFVYATDAAAAGDAVTTIEIPNAQKHRNQILAAVVKSSTQQEGAKQLVDLLKSQKVAELWKTHGFESAS</t>
  </si>
  <si>
    <t>MKKFFVAVTAAVSCVALLTSCAQSSTSSRHAKAAASRSAAASKSAAASKSAQASGDVTKVSAPSLTLFAAASTRVINDELQALPELADTKITFNNDGSPSLVQQIEDGGPADVLVAADEKNMQKAVDGGLVDTPVTLATNSMVLVVPKDNPKKIKSWDDFVKTKNSATVVTCDLDVPCGNVADQVLKENKVEVEPASLETSVSNVLGKVTSGEADAGFVYATDAAAAGDAVTTIEIPNAQKHRNKILAAVVKSSTQQEGAKQLVDLLKSQKVAELWKTHGFESAS</t>
  </si>
  <si>
    <t>GC_00003096</t>
  </si>
  <si>
    <t>MISMLVPAALGSAGLLLCAPTSGVGRLTTPRHRWVARLGGLVRNHPYQLAICGVVVGAATVGQHFPTLVAAVFAGGTAMMMLRRMRARRQAARQRAESATMLTLIVGELQAGATMGAALTACLPTLTEPELRREITVAARRCATGGSAGAELEQSPILALSLMGHAWRIAETNGMALAGVLDNIRHRIDHQNRHESRTKAALQGANATAIVLALLPLLGMVMGHAIGVNVPAFLTSGGVGGLILIAGVSAECAGILWSDHIIQKAHSCSSSAPSSSSAPSPSPAAGPHPG</t>
  </si>
  <si>
    <t>MISMLVPAALGSAGLLLCAPTSGVGRLTTPRHRWVARLGGLVRNHPYQLAIGGVVVGAATVGQHFPTLVAAVFAGGTAMMMLRRMRARRQAARQRAESATMLTLIVGELQAGATMGAALTACLPTLTEPELRREITVAARRCATGGSAGAELEQSPILALSLMGHAWRIAETNGMALAGVLDNIRHRIDHQNRHESRTKAALQGANATAIVLALLPLLGMVMGHAIGVNVPAFLTSGGVGGLILIAGVSAECAGILWSDHIIQKAHSCSSSAPSSSSAPSPSPAAGPHPG</t>
  </si>
  <si>
    <t>GC_00003097</t>
  </si>
  <si>
    <t>MKLRELTLADAPWCAELELLLFPGDSPWSVEEFQSEIAHALTKYFGVEISGRLVGYAGMAVLGPPDDVECEIRTIAVDPTYQGRGVGKLFMDAFTRIADAQDAPIFLEVRTDNEPAMALYHSYGFATIGMRKGYYMPSGADAYTMLRPRLSERDRTKP</t>
  </si>
  <si>
    <t>MKLRELTLADAPWCAELEQLLFPGDSPWSVEEFQSEITHVLTKYFGVEISGRLVGYAGMAVLGPPDDAECEIRTIAVDPTYQGRGVGKLFMDAFTRIADAQDAPIFLEVRTDNEPAMALYHSYGFATIGVRKGYYMPSGADAYTMLRPRLSERDRTNP</t>
  </si>
  <si>
    <t>GC_00003098</t>
  </si>
  <si>
    <t>MPEGYRLGAAGFVPVPSVPLLPAPPDHNVIDSFLLVDGVVSGLGLHIDRFVRSVSGFVSLGVSAAELESMVRACLPQVGEWFPRLECHAVDRGGPCEVYLQVRPAPARRAATRLWVPAGSDPRERPENKGWDLPALMDMRAEAVRQGADDALLLAAATGDAIETTTGALVAWVGDHLVTADAGVLPSVTWRCTMAGVRSAGIRVVSGAVGVDELRRLPCAVGNALHGWTPVVAIHDAHTVTRSPAPPVDLNRFLR</t>
  </si>
  <si>
    <t>MPEGYRLGAAGFVPVPSVPLLPAPPDHNVIDSFLLVDGVVSGLGLHIDRFVRSVSGFVPLGVSAAELESMVRACLPQVGEWFPRLECHAVDRGGPCEVYLWVRPAPARRVATRLWVPAGSDPRERPEIKGWDLPVLTDMRAEAVRQGADDALLLAAATGDAIETTTGALVAWVGDHLVTADAGVLPSVTWRRTIAGVRAAGIRVVSGAVSVKELRRLPCAVGNALHGWTPVVTIHDAHTVTRSPAPPVNLNRFLR</t>
  </si>
  <si>
    <t>GC_00003099</t>
  </si>
  <si>
    <t>PF00668.25</t>
  </si>
  <si>
    <t>Condensation domain</t>
  </si>
  <si>
    <t>K04792</t>
  </si>
  <si>
    <t>mycobactin peptide synthetase MbtF</t>
  </si>
  <si>
    <t>COG1020</t>
  </si>
  <si>
    <t>EntF, seryl-AMP synthase component  of non-ribosomal peptide synthetase (EntF) (PDB:5ES5)</t>
  </si>
  <si>
    <t>MTVSKAVVDVLAATPLQEGLLALHRLSSGADPYHVQFVFRIDGNLDEALLARCADAMLVRYPNLRVAFYDKNVEHPVQVVPASAKLDWEVVPMTATSAPDAATDTDTRDAQAAEFAASDFSEPFDLFRPAPLRLRLLRWDSHCHHLVLTAHHILIDGWSAPLFFAELINLYRHGGHAELLPPPPDYRKYIAWLQQKSKEESLQVWRTALGEQPAPCLVAPQAPSSPGLPPVVFEAQLDREQTEQLQTWCRKHGVTVSNAVLFAWMMVLGTLTDRDEVLTGTVVSGRPADLPGAESMIGLFINTVPARATLNPREDAATQVQALRDTLVATRPHEHIGLSDIQRAAGTRDLFDTLVVFQNTPLGAATTDDNSGLKVTPLATNDSTHYPLTIVPALVDGVFRVKVEARADLMEGTLPAAASAIASAITTLLRTFPTADGLPLAQVGNGFSAPTIPYAPTAEPRTLPQRMRNLTDANPDAPALADATTQLTRRDLLNHILDIARLLIDAQLTTGRRVAILLPRTVSQPASLVACAWTGAVAVQLDASAPDAHNQSIIEQAGVDAVLTTGTTAAYGDVPVLTVPPIDTANAASVDKQLAQVPDASSLDAPLYMVFTSGSTGTPKGVVGTQRGLSALIAAHERWVLPEDRQLTVGHAWSMAFDASWQPLTALFAGHAVAILDEQQQRDPQLYMEALRTHGVDMIETSPTMFSQLEPRGLLDATDEWPGLSVLGLGGEAIDPAVWSRLAARERPAVFNFYGPTETTVDAAAARLSDYTTPCIGAPLPGLKARVLDRWLRPLPAGLPGELYVSGSQVALGYSDRPDLTAGSFIATTSGERAYRTGDVVVFDPNDQALRYIGRADDQIKIRGFRVEPSQVLHGVLALPGVRDARVQVVTTDAGPRLIAVVIPTDDVLHNAVDDPAGTSARLIGQLRSAVASHLIPAAIIPVREFPLTRNGKIDVAALPSITADAVVTPPEGPVETQLAATISRLTGVQAIDRDADIRDLGLDSILLMQLSSDLQSLDDAHPALKRLTPRMILGNPTVRGIAEQLTAADSVNAAPDSGVGTFRAMPVQQWLIDVGGGRRFSQWALLNLPQGTDRTHIEQAIGRLLSNHGMLRATVNANDGTFTIPAEVPPAEEWLSVEEAAGDDIDVLRQTAESAINLIDPMAGRMLRAVWLKPQQQLLLLVHHHAVDGTSWRVLIGELMSATGGSETTSFARWAELMERRREALDTQALRDTWASYVEPRDRSTLGSRAVDPAMDLAADAHTATSLTPATEVLQRADEAGSGTGGSVSLREVLLAMLARTLHRWRGVGPVVVDLEGHGRDANILDAYGHPGDDLSRTAGWFTTITPTLLPADMGDESIGAMAGRVADSIAAQPSSPVDHSLACGVSNGPAEIEVNYLGRLDAGAGGISADSIPNDAWSISTDHAVYEALPEMPDPELPRTYALEVTLSVVPGEAGSGTEEASGPQLSAHFNLATGVFTPDDAEALRACWEEVAQGVVTP</t>
  </si>
  <si>
    <t>MTVSKAVVDVLAATPLQEGLLALHRLSSGADPYHVQFVFRIDGNLDEALLARCADAMLVRYPNLRVAFYDKNVEHPVQVVPASAKLDWEVVPMTATSAPDAATDTDTRDAQAAEFAASDFSEPFDLSRPAPLRLRLLRWDSHCHHLVLTAHHILIDGWSAPLFFAELINLYRHGGHAELLPPPPDYRKYIAWLQQKSKEESLQVWRTALGEQPAPCLVASQAPSSPGLPPVVFEAQLDREQTEQLQAWCRKHGVTVSNAVLFAWMMVLGTLTDRDEVFTGTVVSGRPADLPSAESMIGLFINTVPARATLSPREDAATQVQALRDTLVATRPHEHIGLSDIQRAAGTRDLFDTLVVFQNTPLGAATTDDNSGFKVTPLATNDSTHYPLTIVPALVDGVFRVKVEARADLMEGTLPAAASAIASAITTLLRTFPTADGLPLAQVGNGFSAPTIPYAPTAEPRTLPQRMRNLADANPDAPALADATTQLTRRDLLAHILDIARLLIDAQLTTGRRVAILLPRTVSQPASLVACAWTGAVAVQLDASAPDAHNQSIIEQAGVDAVLTTGTTAAYGDVPVLKVPPIDTANAASVDKQLAQVPDASSLDAPLYMVFTSGSTGTPKGVVGTQRGLSALIAAHERWVLPEDRQLTVGHAWSMAFDASWQPLTALFAGHAVAILDEQQQRDPQLYMEALRTHGVDMIETSPTMFSQLEPRGLLDATDEWQGLSVLGLGGEAIDPAVWSRLAARERPAVFNFYGPTETTVDAAAARLSDYTTPCIGSPLPGLKARVLDRWLRPLPAGLPGELYVSGSQVALGYSDRPDLTAGSFIATTSGERAYRTGDVVVFDADDQALRYIGRADDQIKIRGFRVEPSQVLHGVLALPGVRDARVQVVTTDAGPRLIAVIIPAEDVLPDAVDDPAGTSAHLIGQLRSAVASHLVPAAIVPVREFPLTRNGKIDVAALPSITADAMVTPPEGPVETQLAATISRLTGVQAIDRDADIRDLGLDSILLMQLSSDLQSLDDAHPALKRLTPRMILGNPTVRGIAEQLTAADSVNAAPDSGVGTFRAMPVQQWLIDVGGGRRFSQWALLNLPQGTDRTHIEQAIGRLLSNHGMLRATVNANDGTFTIPAEVPPAEEWLSVEEAAGNDIDVLRQTAESAINLIDPTAGRMLRAVWLKPQQQLLLLVHHHAVDGTSWRVLIGELMSATGGSETTSFARWAGLMERRREALDTQALRDTWADYVEPRDRSTLGSRAVDPAMDLAADAHTATSLTSAAEVLQRADEAGSGTGGSVSLREVLLAMLAHTLHRWRGVGPVVVDLEGHGRDANILDAYGHPGDDLSRTAGWFTTITPTLLPANMGDESIGAMAGRVADSIAAQPSSPVDHSLACGVSNGPAEIEVNYLGRLDAGAGGMSADSIPDDAWSISTDRAVYEALPEMPDPELPRTYALEVTLSVVPGEAGSGTEGASGPQLSAHFNLATGVFTPDDAAALRACWEEVVEG-VTP</t>
  </si>
  <si>
    <t>GC_00003100</t>
  </si>
  <si>
    <t>MKFDHLIQKAADAPLTTDELEEFNALNTGFDAALNIRYTHISASGTRAQIHVTDTHLQPMELVHGGVFTAIAESVGSVAGCCAAGGPVVGVNNNTDFIRSVGAGVIEAEATPIHLGRSTQVWEVHLNHRGNIVARTTLRTLVLDRELGDSV</t>
  </si>
  <si>
    <t>MKFDHLIQKAADAPLTTDELEEFNALNTGFDAALNIRYTHISASGTRAQIHVTDTHLQPMGLVHGGVFTAIAESVGSVAGCCAAGGPVVGVNNNTDFIRSVGAGVIEAEATPIHLGRSTQVWEVHLNHRGNIVARTTLRTLVLDRELGDSV</t>
  </si>
  <si>
    <t>GC_00003101</t>
  </si>
  <si>
    <t>MTAFDFVWELKRTQRRRHPADTEAALRASFRRGEVRAGMWPKDRELAAETPLRANQEVWFYRIPAPEVPVPYRCETIFEDERLLVVDKPPFLATMPRGKHITQSATVQLRKLTGNGELSPAHRLDRLTSGVLVFTKTREVRGAYQQLFARREAEKTYEAIARYDPTNPMAQPGMVWRDRMAKNPGELQGYFVPGEPNAITTVIAVEPVPPERMRALRATHGLELPQQARYVLQPATGRTHQLRLHMWKAGVPILGDPAYPTVLPEAEEDFAVPMHLRAKTLRFTDPLSGVEREFRSLSIY</t>
  </si>
  <si>
    <t>MTAFDFVWELKRTQRRRHPADTEAALRASFRRGEVRAGMWPKDRELAAETPLRANQEVWFYRIPAPEVPVPYRCETIFEDERLLVVDKPPFLATMPRGKHITQSATVQLRKLTGNGELSPAHRLDRLTSGVLVFTKTREVRGAYQQLFARREAEKTYEAIARYDPVNPKAQPGMVWRDRMTKNPGELQGYFVPGEPNAITTVIAVEPVPTERMRALRATHGSELPQQARYVLQPATGRTHQLRLHMWKAGVPILGDPAYPTVLPEAEEDFAVPMHLRAKMLRFTDPLSGVEREFRSLSIY</t>
  </si>
  <si>
    <t>GC_00003102</t>
  </si>
  <si>
    <t>MVIGIMTFLTVVLVVGYVISERQQYRMLHPTYSEQYSAGPAINQLVGAVIENYESVIDAESQNLDCTLQHCETSSKSIPGVPTDRALFTEAEQFLLGWWPGAKSASTIRIYSVAQRPDKTVEAIVDVTITKCAYPETKNPYMIVTDPHRMILAPSTLNQHEYVVVEDVILDRHEAQEYPESFQPLYVGKGKEARC</t>
  </si>
  <si>
    <t>MHLAALR-----------------------------------------------------------NLQQIN------PGVPADRALFTEAERFLLGWWPGAEPASTIRIYSVAQRPDKTVEAIVDVTITKCAYPETKNPYMIVTDPHRMILTPSTLNQYEYVVVEDVILDRHESQEYPESFQPLYVGKGKEARC</t>
  </si>
  <si>
    <t>GC_00003103</t>
  </si>
  <si>
    <t>MTRVRIIVTITLILLGILTAPTTSLFTHPAQAQQARDVPANQWDDRLSVSSTTKCAVNSDNSVWCWSDPPERDDIHYVPTPLYSKVPEKIEGVEAKAVSASIDSVCIIALDNELWCWGTKNGTENDDKPTITAPKKIGMQAKKVQLINGKVQVIDTNDNLWEWGLEHTDQAMQYRKKIPSIKVKDIHTSGSTSCAVDLGNKVWCWGNNQDGILGSYEPEYSDSPILIHGITAQKVAVGRSACALDTAGEVFCWGDNYFGQLGSDTPGSTAIPTKVEKLPADVTDITTDDNTNCVLNASGNSWCWGKFRDDLGETTDINHPEIPRKSTLPSAQLLRIEDKACIADKAGYTWCTKDYHRLISPGDPHDFSMKKIENIRLTSSFSD</t>
  </si>
  <si>
    <t>MTRVRTIVIITLILLGILTAPTTSLFTHPAQAQQARDVPANQWDDRLSVSSTTKCAVNSDNSVWCWSDPPERDDIHYVPTPLYSKVPEKIEGVEAKAVSASIDSVCIIALDNELWCWGTKNGTENDDKPTITAPKKIGMQAKKVQLINGKVQVIDTNDNLWEWGLEHTDQAMQYRKKIPSIKVKDIHTSGSTSCAVDLGNKVWCWGNNQDGILGSYEPEYSDSPILIHGITAQKVAVGRSACALDTAGEVFCWGDNYFGQLGSDTPGSTAIPTKVEKLPADVTDITTDDNTNCVLNASGNSWCWGKFRDDLGETTDINHPEIPRKSTLPSAQLLRIEDKACIADKAGYTWCTKDYHRLISPGDPHDFSMKKIENIRLTSSFSD</t>
  </si>
  <si>
    <t>GC_00003104</t>
  </si>
  <si>
    <t>MIRRLLTTLILWILVLTLIPPPTTAADPPPTTSTPNTAPKRPTDCATTFAANPELIKYQAAVSDHYRDVHKLATGMGVTIGIIDTGVAPHPRLPPITDGGDFLEPKAGATVDCDAHGTIVAGVIAAHDTGDGIVGVAPDAAIMSFRQTSSQSKETDTGGTLATLTTAINAAIDKKVQVINISVVSCLPPGAPPIDTREFDAAIQRAEEHGIVIVAAAGNMGNNCQQGSVVYPAHHTMVVGVTATSDSYQPTEYSIKSPHPTISALGTVYAGLDPLGSGLSTGIVQHTTVLPFEGTSFAAPMVTGTVALLRQRHPSASAQQIRNMLFASVDPSNGTLDIGRVVQYVMETQPSARVVAVNAQPKSSPIPMLRVGWVMGIVVVIVLVILGLRLRTQRRKA</t>
  </si>
  <si>
    <t>MIRRLLTTLILWILVLTLIPPPTTAADPPPTTSTPNTAPKRPTDCATTFAANPELIKYQAAVSDHYRDVHKLATGMGVTIGIIDTGVAPHPRLPPITDGGDFLEPKAGATVDCDAHGTIVAGVIAAHDTGDGIVGVAPDAAIMSFRQTSSQSKETDTGGTLATLTTAINTAIDKKVQVINISVVSCLPPGAPPIDTREFDAAIQRAEEHGIVIVAAAGNMGNNCQQGSVVYPAHHTMVVGVTATSDSYQPTEYSIKSPHPTISALGTVYAGLDPLGSGLSTGIVQHTTVLPFEGTSFAAPMVTGTVALLRQRHPSASAQQIRNMLFASVDPSNGTLDIGRVVQYVMETQPSARVVAVNAQPKSSPIPMLRVGWVMGIVVVIVLVILGLKLRTQRRKA</t>
  </si>
  <si>
    <t>GC_00003105</t>
  </si>
  <si>
    <t>MSGTNWTIGIDFGTSNTAAAHTNPVKGTVEAVNLSHNRTTMSSSVYVESPEQIDVGDVAMDKAESNPAGFIPAPKRVIPQQMFQVNGYDLSASMPVAAVLSSVVQRVSREHGNVQPSELVLTHPEAWSSNEIKVLLDAAAQLGLSAAKITTISEPQAAAHYYSRAKALQPGQRIAVFDFGGGTLDVAVLEANDNDAFDVIAARGDNTLGGKTFDAMMRRWVDQQLDDRNPELLDYFRTQAPLQERHALEDSIRRAKELLSEASYATVVVSGGGETERFQITRAEFEEIISPALDKAAALTRATLADAGITNAEDLVALYLTGGSSRIPLVQDRLKNFGPLATLDDPKTVVAQGAISALGPIVRGMTPHNMGADAPTMQEPAQGGVDFGSSGYGTPNYGTTNYGASAPSATAPAGQVASATPAASTSAPTKTRRNLIIAAAAVVAVAAIGATTLYLLGNRNSEETTTTQPTAAATSSASAGNLVSREAVIAAAPSKFRESLDKCELNGTTETGRLKVQCQIKEGSSAYSYFARDSTSVPIVTFNIDPDSSDIERRRITEGWYDTRNKDTETVENGNKTAAAFIYSDTATSGSNNKYSLAYSSTETNLILTSSDLKDKESAKAYLQAAGLM</t>
  </si>
  <si>
    <t>MSGTNWTIGIDFGTSNTAAAHTNPVKGTVEAVNLSHNRTTMSSSVYVESPEQIDVGDVAMDKAESNPAGFIPAPKRVIPQQMFQVNGYDLSASMPVAAVLSSVVQRVSREHGNVQPSELVLTHPEAWSSNEIKVLLDAAAQLGLSAAKISTISEPQAAAHYYSRAKALQPGQRIAVFDFGGGTLDVAVLEANDNDAFDVIAARGDNTLGGKTFDAMMRRWVDQQLDDRNPELLDYFRTQAPLQERHALEDSIRRAKELLSEASYATVVVSGGGETERFQITRAEFEEIISPALDKAVTLTRATLADAGITNAEDLVALYLTGGSSRIPLVQDRLKNFGPLATLDDPKTVVAQGAISALGPIVRGMTPHNMGADAPTMQEPAQGGVDFGSSGYGTPNYGTTNYGASAPSATAPAGQVASATPAASTSAPTKTRRNLIIAAAAVVAVAAIGATTLYLLGNRNSEETTTTQPTAAATSSASAGNLVSREAVIAAAPSKFRESLDKCELNGTTETGRLKVQCQIKEGSSAYSYFARDSTSVPIVTFNIDPDSSDIERRRITEGWYDTRNKDTETVENGNKTAAAFIYSDTATSGSNNKYSLAYSSTETNLILTSSDLKDKESAKAYLQAAGLM</t>
  </si>
  <si>
    <t>GC_00003106</t>
  </si>
  <si>
    <t>MSSNSVESAKEPKSPKKPVEAGPRPPGSHDAPGVPEISETSAGPQTHPPAHIPAQLNASVTPLSPPLPGIIGRILAIPGWQPQPFGWRDWGIAAILFAVTSAIRLGTLRLLTSAHSFTDVLQQWDALHFVDIAQYGYFSSDGQGGPEPDVFQQRLAFFPGLPALIQQVHLLTGLGYVASGWLVVAIAGVVMTAGIMALAALLGAGYRGRILAGLLFLGAPMAVTFNMVYTEAPFLALCVWALIFMIQERWWQTTVLIYLLGFVRLTAIDLVATFAIIVLLYARTNWRAWLGVAVSGLSLITYIRFASASTQDIGGYFGMQSKGWNSTFDWGVATVDWVYSTLTEFNDIGYILSVVSIIGAPIAMLIAFRRLPWALWVFGTGITANVLLSDGIMHSRPRLLLPALLLLLPVVLWLEKLSRRVGWHTVWVVPAVLWFAFGTCFSVFMLVFFEWAI</t>
  </si>
  <si>
    <t>MSSNSVESAKEPKSPKKPVEAGPRPPGSHDAPKIPEISETSAGPQTHPPAHIPAQLDASVTPLSPPLPGIIGRILAIPGWQPQPFGWRDWGIAAILFAVTSAIRLGTLRLLTSAHSFTDVLQQWDALHFVDIAQYGYFSSDGQGGPEPDVFQQRLAFFPGLPALIQQVHLLTGLGYVASGWLVVAIAGIVMTAGIMALAAFLGAGYRGRILAGILFLGAPMAVTFNMVYTEAPFLALCVWALIFMIQERWWQTTVLIYLLGFVRLTAIDLVATFAIIVLLYARTNWRAWLGVAVSGLSLITYIRFASASTQDIGGYFGMQSKGWNSTFDWGVATVDWVYSTLTEFNDIGYILSVVSIIGAPIAMLIAFRRLPWALWVFGTGITANVLLSDGIMHSRPRLLLPALLLLLPVVLWLEKLSRRVGWHTVWVVPAVLWFAFGTCFSVFMLVFFEWAI</t>
  </si>
  <si>
    <t>GC_00003107</t>
  </si>
  <si>
    <t>PF01750.23</t>
  </si>
  <si>
    <t>Hydrogenase maturation protease</t>
  </si>
  <si>
    <t>K03605</t>
  </si>
  <si>
    <t>hydrogenase maturation protease [EC:3.4.23.-]</t>
  </si>
  <si>
    <t>COG0680</t>
  </si>
  <si>
    <t>Ni,Fe-hydrogenase maturation factor (HyaD) (PDB:1CFZ) (PUBMED:15294295)</t>
  </si>
  <si>
    <t>Peptidases and inhibitors&gt;&gt;&gt;Aspartic peptidases&gt;&gt;&gt;Family A31: HybD endopeptidase family</t>
  </si>
  <si>
    <t>MPEPITVLGIGNPIMSDDGVGLEILEQLRAHYTDQQHLEFVDGGTSGMELLPTIQDAESILVLDALAPTAHSNPGDVVTLIGDQIPRLLNSKLSPHQVGLLDLLSAARLLGTEPRRVAVVGVVAESTELHVGLTPTVTRALPSAVAEARTLLDEWLCHSTSM</t>
  </si>
  <si>
    <t>MPEPITVLGIGNPIMSDDGVGLEILEQLRAHYTDQQHLEFVDGGTSGMELLPTIQDAESLLVLDALAPTAHSNPGDVVTLIGDQIPRLLNSKLSPHQVGLLDLLSAARLLGTEPRRVAVVGVVAESTELHVGLTPTVTRALPGAVAEARTLLDEWLCHSTSM</t>
  </si>
  <si>
    <t>GC_00003108</t>
  </si>
  <si>
    <t>PF02782.22</t>
  </si>
  <si>
    <t>FGGY family of carbohydrate kinases, C-terminal domain</t>
  </si>
  <si>
    <t>K00848</t>
  </si>
  <si>
    <t>rhamnulokinase [EC:2.7.1.5]</t>
  </si>
  <si>
    <t>COG1070</t>
  </si>
  <si>
    <t>Sugar (pentulose or hexulose) kinase (XylB) (PDB:4C23)</t>
  </si>
  <si>
    <t>KEGG Orthology (KO)&gt;&gt;&gt;09100 Metabolism&gt;&gt;&gt;09101 Carbohydrate metabolism&gt;&gt;&gt;00040 Pentose and glucuronate interconversions [PATH:ko00040]|KEGG Orthology (KO)&gt;&gt;&gt;09100 Metabolism&gt;&gt;&gt;09101 Carbohydrate metabolism&gt;&gt;&gt;00051 Fructose and mannose metabolism [PATH:ko00051]|Enzymes&gt;&gt;&gt;2. Transferases&gt;&gt;&gt;2.7  Transferring phosphorus-containing groups&gt;&gt;&gt;2.7.1  Phosphotransferases with an alcohol group as acceptor&gt;&gt;&gt;2.7.1.5  rhamnulokinase</t>
  </si>
  <si>
    <t>MSTLHLAIDLGASSGRIIAGTLSGGTITMTEIARFRNRPIALPTRRGDYLYWDILDLWESIDQGLARIDALTSLTPTSIGVDTWGVDYALLGRNGELLANPSCYRCPRTDTAPEQFYADLARDEHYRRTGIQFQQFNTVFQLIAAAGSTSLQHAEQALLMPDLLTSWLGGEPHTDITNASTTALLDPVTRDWDDAVGAVIEKQTGRRPAELFAPLVEPGTVVGQRHDAQVVTVASHDTASAVVAVPTDAPNPYFISCGTWSLVGVERTQPLTSDAACAANMTNELGYGRTVRFLKNIMGLWVLNECAHRWNDADIPTLCAQAASIPAGHCVIPINDHRLFAPGDMPARIRAIAAEQGQPQPHTQAEVTRCIIDSLALAYRRALHTTEALTGTPLNTVHMVGGGINNTLLCQLTADATGIPVVAGPTEGTALGNLVVQAAATTPLGADREAVREIIRASVTTTMYYPRSEQLALWDRLDATISH</t>
  </si>
  <si>
    <t>MSTLHLAIDLGASSGRIIAGTLSGGTITMTEITRFRNRPIALPTRRGDYLYWDILDLWESIDQGLARIDALTSLTPTSIGVDTWGVDYALLGRNGELLANPSCYRCPRTDTAPEQFYADLARDEHYRRTGIQFQQFNTVFQLIAAAGSTSLQHAEQALLMPDLLTFWLGGEPHTDITNASTTALLDPVTRDWDDAVGAVIEKQTGRRPAELFAPLVEPGTVVGQRGDAQMVTVASHDTASAVVAVPTDAPNPYFISCGTWSLVGVERTQPLTSEAARVANMTNELGYGRTVRFLKNIMGLWVLNECARRWNDADIPMLCAQATSIPAGHCVIPINDHRLFAPGDMPARIRAIAAEQGQPQPHTQAEVTRCIIDSLALAYRRALHTTEALTDTPLNTVHMVGGGINNTLLCQLTADATGIPVVAGPTEGTALGNLVVQAAATTPLGADREAVREIIRASVTTTMYYPRSEQLALWDRLDATISH</t>
  </si>
  <si>
    <t>GC_00003109</t>
  </si>
  <si>
    <t>MRKIVIAALTALTLLVFPPPAIAYVDPTTGAPGPGRVLRAFDKPEHNWLPGHRGVDMQLEVGDTVRAADDGVVAFVGMVAGTPVVSIDHADGIRTTYQPVHARVAQGERVHAGQEIGTLAPPTDGWPGLHWGAKRGKDYLNPLSLLAEPHIRLKPVAA</t>
  </si>
  <si>
    <t>MRKIVIAVLTALTLLAFPPPAIAYVDPTTGAPGPGRVLRAFDKPEHNWLPGHRGVDMQLEVGDTVRAADDGVVAFVGMVAGTPVVSIDHADGIRTTYQPVHARVAQGERVHAGQEIGTLAPPTDGWPGLHWGAKRGKDYLNPLSLLAEPHIRLKPVAT</t>
  </si>
  <si>
    <t>GC_00003110</t>
  </si>
  <si>
    <t>MTHHIPRLSIGPLNRIRRRLHHSIILGLTALTTATATTLCSTSAIPTARADALPNFPTNPIAKARWVNPNLRPGEETSNYKIEILRVPQHIKLGEELKVTLKVVNNSPESIAGFKIVPAHADAPKDLATARIVLSQEPGAYPYQAKTISRDDIIAPGHSVDIDVIIPTAPGATGGFNISEADFYPVLFALRSLENDALLYTQRFLLNVNAKNTTGSGATTGATHQGNSGTNTGSQTADTNSKTSSQLSPGVTIVYPLTATVDSVGGETGEAPNHPPLILESEQLAEQLRSGGRLDTLLKDYSTYTKASESLATATCLAIDPQLVSVVERMAGGYTIAHDRPSTVSQKRRLRDSWGTDDEPESGTPGTGADDAGRWLAELRKTAQHAKCTIALPWGNTDLNSVAATGNDWLMREAVQTGPGIIATILGITPETNIVIPGAGYVTTQAAGNLGWADLAPYRSRNEYPNISEEWQTDSKQVGAPVPTAPVDVLVADNTVWGIPKVDRFGVLDTAGATKNATTNSNIGGGIRAVTYLGSLAASLAEATDTATTVGYSNYNARFNYDLDSLPARRATATSALQMSIMKANNEGNMSDSRGGGQGDSPVSGASSPQPLLVQLPSAMSNTAQWLDALVKMFESNAATPMKLSDYVNPSLQQVEQLASMAAATSAATSAAADAATEADEQQRLTQSAQAVQSGRSARLAGSVRAASSVDSQRTQRAPAPTTTATGTANAATTAEQSQPNSTPFGAPHEDPGVISDSEIFRATSLLESIDNLTQLVISDPTIALTPYGFTEPLRQDILRALSRDRRRAMSTYDTNVRDVQRLLDNEDIVLKELRSSVALIPPGNVYTRISESSPLLIVARNGLPLPVDTRIHYWGPTGAKINMPETIFIPAKGSITVQMTASLPTDTAWDERTDLNLWLATNSGSRFSDEITIGVRTRSGVLGTSGSLASLAVIVLSIALLGRLTLRRRKAKSEAAADSKSTVSTNSD</t>
  </si>
  <si>
    <t>MTHHIPRLSIGPLNRIRRRLHHSIILGLTALTTATATTLCSTSAIPAARADALPNFPTNPIAKARWVNPNLRTGEETSNYKIEILRVPQHIKLGEELKVTLKVVNNSPESIAGFKIVPAHADAPKDLATARIVLSQEPGAYPYQAKTISRDDIIAPGHSVDIDVIIPTAPGATGGFNISEADFYPVLFALRSLENDALLYTQRFLLNVNAKNTTGSGATTGATHQGNSGTNTGSQTADTNSKTSSQLSPGVTIVYPLTATVDSVGGETGEAPNHPPLILESEQLAEQLRSGGRLDTLLKDYSTYTKASESLATATCLAIDPQLVSVVERMAGGYTIAHDRPSTVSQKRRLRDSWGTDDEPESGTPGTGADDAGRWLAELRKTAQHAKCTIALPWGNTDLNSVAATGNDWLMREAVQTGPGIIATILGITPETNIVIPGAGYVTTQAAGNLGWADLAPYRSRNEYPNISEEWQTDSKQVGAPVPTAPVDVLVADNTVWGIPKVDRFGVLDTAGATKNATTNSNIGGGIRAVTYLGSLAASLAEATDTATTVGYSNYNARFNYDLDSLPARRATATSALQMSIMKANNEGNMSDSRGGGQGDSPVSGASSPQPLLVQLPSAMSNTAQWLDALVKMFESNAATPMKLSDYVNPSLQQVEQLASMAAATSAATSAAADAATEADEQQRLTQSAQAVQSGRSARLAGSVRPASSVDSQRTQRVPAPATTATGTANAATTAEQSQPNSTPFGAPHEDPGVISDSEIFRATSLLESIDNLTQLVISDPTIALTPYGFTEPLRQDILRALSRDRRRAMSTYDTNVRDVQRLLDNEDIVLKELRSSVALIPPGNVYTRISESSPLLIVARNGLPLPVDTRIHYWGPTGAKINMPETIFIPAKGSITVQMTASLPTDTAWDERTDLNLWLATNSGSRFSDEITIGVRTRSGVLGTSGSLASLAVIVLSIALLGRLTLRRRKAKSEAAADSKSTVSTNSD</t>
  </si>
  <si>
    <t>GC_00003111</t>
  </si>
  <si>
    <t>MSPIQQILQRRAAEDSALLLHIASEKPSASDLAAWGRITLKRARRMLWVVKVLGRALLTKLTSRHLSYDEIDIIASGLNKLTGTDTDRVKLVDDFCEQAAKVLPHELEQHVKQTVANLTAHRNHPRLAFNKTADANNHLYFQGAGPAELVAAVETELVATANALRTDNMKFSEAMFHALVRKVLHPSGKTTDPFLPYRNCYVIVLDPTLRYHADGKVMTTTGTLVDVKDLVNQELQPYGYAVAYALSAGGDYEHIGTYGVQRFFNQHQRFVGSLEHPICAYPGCDRPAKTCQAHHVQAAALGGPTLLSNYAPLCAVHNGQNDDDPSKPPKNGRIEFDPATRVPGLRRFPGDPLRYNLNPVTIKGIRRYLAYLRGEGYAASFRD</t>
  </si>
  <si>
    <t>MSPIQQILQRRAAEDSALLLHIASEKPSASDLAAWGRITLKRARRMLWVVKVLGRALLTKLTSRHLSYDEIDIIASGLNKLTGTDTDRVKLVDDFCEQAAKVLPHELEQHVKQTVATLTAHRNHPRLAFNKTADANNHLYFQGAGPAELVAAVETELVATANALRTDNMKFSEAMFHALVRKVLHPSGKTTDPFLPYRNCYVIVLDPTLRYHADGKVMTTTGALVDVKDLVNQELQPYGYAVAYALSTGGDYEHVGTYGVQRFFNQHQRFVGSLEHPICAYPGCDRPAKTCQAHHVQAAALGGPTLLSNYAPLCAVHNGQNDDDPSKPPKNGRIEFDPATRVPGLRRFPGDPLRYNLNPVTIKGIRRYLAYLRGEGYAASFRD</t>
  </si>
  <si>
    <t>GC_00003112</t>
  </si>
  <si>
    <t>MVFAFYKGQFYPRYWVIILQGTAKNLDNMPAVFKNPFFCPVLTGCCSIRKRHIDIKVTIIFGLSQEPNGIVPLFVAVGIPWYGKRLETMGILPVYFDGNLGATALRVAIILALDVNRVISGNTTINFGDWGAPGVRKTFW</t>
  </si>
  <si>
    <t>MVFAFYKGQFYPRYWVIILQGTAKKLDNVPAVFKNPFFCPVLTGCCSIRKRHIDVKVAIIVGLSQEPNGIVPLFVAVGIPWYGKRLEAMGILPVYFDGNLGATALRVAIILALDVNRVISGNTTNNFGDWGAPGVRKTFW</t>
  </si>
  <si>
    <t>GC_00003113</t>
  </si>
  <si>
    <t>MADQINVHQEPSVTRLSRIVAGGISAVCLGISTPAVVHAAPNADVVQARNNVNGLIAALSKSNSDIAALELKMGRLREAVNKALVDFHAAQADATKARTEADQARAALDTTQGQITKAQKVLDDISNIVYRGSSSSAISGVVSKPKAEDTLDRHTLLRTNADKQRDAMTELDKLRTQQTNEESSLRAARDVAEKREQETDKAKQDAQKAIDDAAAELKQHQAEHAALVASRDAAQKELDTIQAKQKTTTAKATTSAVPTPTTPARQKPEAKPTEATAIADSIAKIVGSSQPDHTSLNLKPVAENITLTENDIDDEDDDEEENEDTQDQAQTQAPAQSQGGSTNPTQEANKVKDGELTLDMHALSSNGPGSVADLLKKLSEAGGAGSDQANINLNGDRASKIETVIARAESQLGVPYAWGGGDANGPTLGIRDGGVADSFGDFEKVGFDCSGLTLYAFAGVGIALPHYTGYQYQFGTKVSPQEMQRGDLIFYGANAEDHVAIYLGDGQMIEAPQSGSEVVVSPVRWGGMSPQVVRLL</t>
  </si>
  <si>
    <t>MADQINVHQEPSVTRLSRIVAGGISAVCLGISTPAVVHAAPNADVVQARNNVNGLIAALSKSNSDIAALELKMGRLREAVNKALVDFHSAQADATKARTEADQARAALDTTQGQITKAQKVLDDISNIVYRGSSSSAISGVVSKPKAEDTLDRHTLLRTNADKQRDAMTELDKLRTQQTNEESGLRAARDVAEKREQETDKAKQDAQKAIDDAAAELKQHQAEHAALVASRDAAQKELDTIQAKQKTTTAKATTSAAPTPTTPAKQKSEAKPTEATAIADSIAKIVGSSQPDHTSLNLKPVAENITLTENDVDDEDDDEEENEDTQDQAQTQAPAQSQGGSTNPTQEANKVKDGELTLDMHALSSNGPGSVADLLKKLSEAGGAGSDQANINLNGDRASKIETVIARAESQLGVPYAWGGGDANGPTLGIRDGGVADSFGDFEKVGFDCSGLTLYAFAGVGIALPHYTGYQYQFGTKVSPQEMQRGDLIFYGANAEDHVAIYLGDGQMIEAPQSGSEVVVSPVRWGGMSPQVVRLL</t>
  </si>
  <si>
    <t>GC_00003114</t>
  </si>
  <si>
    <t>MSTTTISAGGIAPLADGVPAHTDRLIALSFTINDRPLVRLIPEKLNQAETLTLGSLGVSAGASRPVGAAASRAVGFPAWPIINDPDNAHHALNLVGDLEWARRNAQNNAKRVKERFDALVVTLTSSAPHFVPTLLEELARIFYGVGNVQYARQYFGKAREVERAHALPVDNDRHQSVFVEFAVAGVVGARELTAEASAALERSDNPADAFDYMLNINAERIRAGVAPYAFLPRDMRKIGKAAGLSADDVDDKLFDSILGLKGFDNAPAGFFNSVVTSLSRYARTRPDVREILLSSCPDEMTIEKYLTLLDNAGALVELRENKDALAAWVINLCENVSYSSFDEPSPRLINEILAAGTALQGQEIRPEWHRTPLSVLDALAEFNVVWKGIEGEKRYIDFSWSEWFNPDYDSTRRSLSFLADDSVLAPQLAHDLSGHRVQHQLGLILAHEGAKKILLQKIDMLIDERKKQKGSVPENSKFLTHKAEYYAQPELYAAAPERLDALFSLDAAEQLQAAMNMGILAELTWPLFEQEYARLAENLSSKDYEIEVFESYPAVSLVAEKDCEIIDGDQIVINAEMPAQYGDVDAVRLVGNQAMVTYDKPNRYRSSVFWTGSLAVTDFDTWFSNSGEYSLPINDTRLTGSGVLTENSATT-PGEGTVLSADTIKGPTFIQKS-RWADLCKWNGSGVEEWDGTLSEMLQELGVYSDYNLDFSTLPASFNLNASRSTFIPVQPTTRTSLFGSVKDVHISLTFSSENYGHSHGKRSFIVSSLGTFSSASYDTCAAIRRPGGGVWLTTGTNLWDPESDVELFNDSNIHLSELPLAGWHQLRPADEDASTVMRSYTLAQAKAVMNGDSIDRETIATQLGTANQPLIESVVRLAEAIRDIDQQFAAIRVRYMRQLSLTEKAILTDAAASLLRVDVGGWHNEHEDMLATLHILSELNQGNILEEEKRSFLFSRALAKYANNERKLIGLLGSPLLSALFEHDDTLSVAISFIRALVDAKVLGHGARLVTLDLGPDSSGWRNSKTCVLPVGTVTDGCLVVDDAWDYDGSQYLIKRTVWAPDDRTEIAGYPVASQHYDPLSADEILACLDAIEHSTPERSLLPETRDAIASGTGLSPEAVTYLFGGLPGIDAWEANFLTKEQRAVYGFTVKQSQGARRQVRFSDAPVLDVLAAAVPADSPISYITEGPDAQGVVEYWKSHHRVPDIRLSSEEFWDLRDCFNSISDKAMYANEDTKLEDNDIAHNSDDILRMFTVLAASLPLDDSRRPLLASKLEWLRTESARVFAIPQYKKYLCDVEFGAPFDDSRFAKAKTSPRLQSIRVLLEGHLDSLIADLKTKYTTTGSQWDPEVSVPELVQQVMQHHALSTNAARYFLQLLALAHPTDANIRAWNGWKKKDIDTASAELLDKGLIVEAKRSGAGRSRFLPGGWLPGSTNNKPMEVWKAPHYLLWQSDKVQPAIEGCPVLMPAQRLFEEVWERYTSGDVPGYEELKTTRYRSRRR</t>
  </si>
  <si>
    <t>MSTTTISAGGIAPLADGVPAHTDRLIALSFTINDRPLVRLIPEKLNQAETLTLGSLGVSAGASRPVGAAASRAVGFPAWPIINDPDNAHHALNLVGDLEWARRNAQNNAKRVKERFDALVVTLTSSAPHFVPTLLEELARIFYGVGNVQYARQYFGKAREVERAHALPVDNDRHQSVFVEFAVAGVVGARELTAEASAALERSDNPEDAFNYMLNINAERIRAGVAPYAFLPRDMRKIGKAAGLSADDVDDKLFDSILGLKGFDNAPAGFFNSVVTSLSRYARTRPDAREILLSSCPDEMTIEKYLTLLDNAGALVELREHKDALAAWVINLCENVSYSSFDEPSPRLINEILAAGTALQGQEIRPVWYNTTLSVLDALAECSVVWKGIEDEEIYINISWSEWFNPDYDSTRRSLDFLASDPVLVLQLARNLSGHDLQSHLDLILVHDGATKILMQKIDMLVAEREGQKGSVPENSRFVTYDAKYYAHPELYAAAPERVDALFSFDAVEQFQTAVRMGILAELTWPLFEQEYVRLAENLSSKDQTIKVFESYPAVSLVAGKDLEIIDGDNIIVRTQMPAQYQDVDAVRLVGNQAVVTYDKPGRYQPSLFWTESHVVADFNTWLSLSGKYSLPINDTRLTGYGLLVEDGITTLSGNGVVLSADAINGPTFIQQDYRSDNFYRWNNDKAEEWEGTPTNLLQELGAYSDYGLDFSTLTNDFQFDAFQSTFIPAFATTQGSLLGNTNNVHISLKFAPKHYGRRSEYDSIIISSLGTFASND-NVCAAVKRPGGGIWLTNGTNLWDAEADIELFSDGQIHLSKLPLAGWHQLRSVDENASAVMRAYTIAQAEAVMNGDNIDRDLIAEQLGTTNQRLIDSVVKLAESIRDIDQQFSNMRMCCRQQSLFDEQVTLTDTAASLLNADTQRWYTGKEGMLATLHILSELKQGTLTERPEHSFFFSESFAKYANNERKLIGLLGSPLLPALFEHDNTLSVAVSFVRSLVDAKVLGYGARLATLDLGYDSSPWAENKKNVLPVGTIIDGCLIVDETWDYDGSQSRVKRTVWAPDDRTEIAGYPVLSQHYDPLSADEILACLDAIEHSTPERSLLPETQNAIASGTGLSHEAVTYLFGGLLGIREWESNFLTKEQRTVYGFTIKQSKGARMQIKFSDAPVLDVLAAAVPADNPVSYITEGPDAQSVVEYWKSHYRVPAIRLSSEEFWDLGDCFTRISNNAVYANEDTKLEDNDIAHNSDDILRMFTVLAASLPLDDSRRPILASKLEWLRTESARVFAIPQYKKYLCDVEFGAPFDDSRFAKAKTSPRQQSIRVLLEGHLDSLIADLKIQYTTTGSQLDPEVSVPELVQQVMQHHALSTNAARYFLQLLALAHPTDANIRAWNGWKKKDIDIASAELLDKGLIVEAKRSGAGRSRFLPGGWLPGSTNNKPMEVWKAPHYLLWQADKVQPAIEGCPVLMPARRLFEEVWERYTSGDVPGYEELKTTRYRSRRR</t>
  </si>
  <si>
    <t>GC_00003115</t>
  </si>
  <si>
    <t>MTLNYRSPGLYLVAFSLISSILICIEPLCFPDRYSPLIYFYAQIRIVVAIILVAIDALLLYYWSKNPRNKLLATATASINLILSFVGDDTIASGTMAVALWIVLRSFSMRICLIIVAACVVTAPIPHIFRHASAIELFWHAFAMFVLSVLFLLLAWLLTSFEESGERERKLAVAAAVDNERSEAARMLHDGIGQQLVAITMSFDVAKALKTTKEHDAWMEVDHAHTVATQALRDLRRWVRALDPPPAPVPEDSMQLVTVLESLSQAFASTGLEFYIQGPQAKHHLGATAGEIFQVTAREGLSNALRHGHPDALQFTLKCTDDAATLTVEDFSTSLQRSIPAESKDEGYGLRSLRERAEQAGGMLHAEPTTEGFFLGVSLPLTESV</t>
  </si>
  <si>
    <t>MTLNYRSPGLYLVAFSLISSILICIEPLCFPDRYSPLIYFYAQIRIVVAIILVAIDALLLYYWSKNPRNKLLATATASINLILSFVGDDTIASGTMAVALWIVLRSFSMRICLIIVAACVVTAPIPHIFRHASAIELFWHAFAMFVLSVLFLLLAWLLTSFEESGERERKLAVAAAVDNERSEAARMLHDGIGQQLVAITMSFDVAKALKTTKEHDAWMEVDHAHTVATQALRDLRRWVRALDPPPAPVPEDSMQLVTVLESLSEAFASTGLEFYIQGPQAKHHLGATAGEIFQVTAREGLSNALRHGHPDALQFTLKCTDDAATLTVEDFSTSLQRSIPAESKDEGYGLRSLRERAEQAGGMLHAEPTTEGFFLGVSLPLTESV</t>
  </si>
  <si>
    <t>GC_00003116</t>
  </si>
  <si>
    <t>MGQSLQMITELRERLDVFLGKLRQRGEEIAAEARATAPEIKANDTDEYKRSFLAFQTGIGNQMHQLVEKAEQVFHKQFSVYMSVEDQNVRAVFLEAEDAVEDFSDYIDTLTESIFMESETDDAEKQYNQAVADWKEAAARFTCSQCSAPIPVTQLYYQAQYLTCTGCGTQTTFMPSTAMRNAPQAAEALAELRTRHIEEENYRIATSPGGWVGQVIMLHINYELAQHRELVRLLPAYAETRVDFLRKSIVEEARTKGHTKLEPAGTREADVTYYNVMGSLGDTMRNLRAAQDTQFANIVELIVRDLARPGCEVANAIINGTYTDELWEKYAAIASRSPEDY</t>
  </si>
  <si>
    <t>MGQSLQMITELRERLDVFLGKLRQRGEEIAAEARAAAPEIKANDTDEYKRSFLAFQTGIGNQMHQLVEKAEQVFHKQFSVYMSVEDHDVRAVFLEAEDAVEDFSDYIDTLTESIFMESETDDAEKQYNQAVADWKEAAARFTCSQCSAPIPVTQLYYQAQYLTCTGCGTQTTFMPSTAMRNAPQAAEALAELRTRHIEEENYRIATSPGGWVGQVIMLHINYELAQHRELVRLLPAYAETRVDFLRKSIVEEARTKGHTKLEPAGTREADVTYYNVMGSLGDTMRNLRAAQDTQFANIVELIVRDLARPGCEVANAIINGTYTDELWEKYAAIASRSPEDY</t>
  </si>
  <si>
    <t>GC_00003117</t>
  </si>
  <si>
    <t>MAQYNTISAIPFPDLLKVSSLVNPTRANITEVLQGYPDEVVDKLVALLNGHADQDESDELVDVEPVEPPVDHQPDHDTQETVVFDRPDTIIHNAQQSAAVFQSEPAGTYRSGTKQSLFQDFEETSDHDAPAPQEAEPADVPMNPIPSDTTLDQDVSRKTTSTDAPHGDPEPAGDTNQPPVTQAPDTQQTPPAATPAPPATPPVPPAATTASTSSSRGGFSLAAMLKAAKDAEIERQRRVDPNDFEDIDRSYFADYDWSTQEVTRDTVHIIPENLYNTDDGADTPPTMLIYWDPVDVPDDQIVLYLLVGDDFEQEPSPENGHELVVTRGTAFRETINEDAGMRHYMVWAYIAPEANPKQLLKVQPVFVGENAIALPPSDLKVVESDGVVTGTWTPKRGHANVMVYVRQSSDRRPLDSPENRLRDKVDARGFSYTVPVRGVTYDFQLFPEIVFRGNTMRGVGGEVRQLTISANIQQIELLEASLMVREEGTRGSGNDTILLSYIHPPTGEVKIYLTKTEPAPDLIGQEVDSSYLDDDDALGNTEWSKSYEGDPGEEMIKELSWPAGWSQVYCVPVNVVGEKSMVGEPKQIRRVESIKDFDLIQRVDSQLITFDWPSGAQMVEVRQEQKPMLELTEDDYRRQGGIRLHLNPLHDKVTLLPKAIHEGRYTKADHATSKDYPGLKLYAYKIEVPQEPGEGVLPKLWIWREDLEDRNQAPRFSLVYRSDRLPLYNEDGEEVIRCALSNDQRGAPGEPAPFLNPDTLAHGFDKAKSWGEYWLIDLPSEGPNAKTSGFIRLFIQPDSDDAATEKGASRVLIDDEAIDSLNLDDGKWSAYFYQRGY</t>
  </si>
  <si>
    <t>MAQYNTISAIPFPDLLKVSSLVNPTRANITEVLQGYPDEVVDKLVALLNGHADQDESDELVDVEPVEPPVDHQPDHDTQETVVFDRPDTIIHNAQQSAAVFQSEPAGAYRSGTKQSLFQDFEETSDHDAPAPQEAEPADVPMNPIPSDTTLDQDVSRKTTSTDAPHGDPEPAGDTNQPPVTQAPDTQQTPPAATPAPPATPPAPPAATTASTSTSRGGFSLAAMLKAAKDAEIERQRRVDPNDFEDIDRSYFADYDWSTQEVTRDTVHIIPENLYNTDDGADTPPTMLIYWDPVDVPDDQIVLYLLVGDDFEQEPSPENGHELVVTRGTAFRETINEDAGMRHYMVWAYIAPEANPKQLLKVQPVFVGENAIALPPSDLKVVESDGVVTGTWTPKRGHANVMVYVRQSSDRRPLDSPENRLRDKVDARGFSYTVPVRGVTYDFQLFPEIVFRGNTMRGVGGEVRQLTISANIQQIELLEASLMVREEGTRGSGNDTILLSYIHPPTGEVKIYLTKTEPAPDLIGQEVDSSYLDDDDALGNTEWSKSYEGDPGEEMIKELSWPAGWSQVYCVPVNVVGEKSMVGEPKQIRRVESIKDFDLIQRVDSQLITFDWPSGAQMVEVRQEQKPMLELTEDDYRRQGGIRLHLNPLHDKVTLLPKAIHEGRYTKADHATSKDYPGLKLYAYKIEVPQEPGEGVLPKLWIWREDLEDRNQAPRFSLVYRSDRLPLYNEDGEEVIRCALSNDQRGAPGEPAPFLNPDTLAHGFDKAKSWGEYWLIDLPSEGPNAKTSGFIRLFIQPDSDDAATEKGASRVLIDDEAIDSLNLDDGKWSAYFYQRGY</t>
  </si>
  <si>
    <t>GC_00003118</t>
  </si>
  <si>
    <t>MFFVLAAIIVAGLGGYLLYLDARRKRAQVADDSELYDDSARDYGPDPIEPAGDEAEAFADHHDFDVGQGPVRETDYGQPVSPKPAARPAQPASRRGSAYGPNSGRSNLPNQSNQQPGRSSQSGGQAGQQNQPGQPGQRRPRPAAQRPTPQSVPPQQPAAPERQPFTITKTPHITRPTGARGTTGVAGSGGEAGADHDADSHDEEPGGSGGLGGGVGGHESPDTTTTTGQAQQPAAQSDASVVPAAREKKTVAPPMVLPSAHARLPKSAFTGLLRSATRARRNWAQEHEFEYQKEDPYLSDEWSHGFASSNLTAKDVVSGFAAGYELWLVDLGQVTVMAMRRKATSDVVIDIRRILQSDTYKFENLVSVTTFQGFHVFSNNPGAAQRFIDDRVGTAFATMPAKVTAMWLESSWVLAATPKGSVEEDWDAMIQPLALLADAAYVLPPAPGAMPPISYQDSDPTRVLPQAPELPEDEDEPEVTPPMPQLRPKEEPVVLPSRVREESRGSVNSRQVGMDDVSPIADGGKPADPNDYFGTRVIRDTSQGPSIFTDGKQKD</t>
  </si>
  <si>
    <t>MFFVLAAIIVAGLGGYLLYLDARRKRAQVADDSELYDDSAQDYGPDPIEPAGDEAEAFADHHDFDVGQGPVRETDYGQPVSPKPAARPAQPASRRGSAYGPNSGRPNLPNQSNQ----SNQPGGQVGQQNQPGQPGQRRPRPAAQRPTPQSVPPQQPAAPERQPFTITKTPHITRPTGARGTTGVAGSGGEAGADHDADSHDEEPGGSGGLGGGVGGHESPDTTTTTGQAQQPAAQSDASVVPAAREKKTVAPPMVLPSAHARLPKSAFTGLLRSATRARRNWAQEHEFEYQKEDPYLSDEWSHGFASSNLTAKDVVSGFAAGYELWLVDLGQVTVMAMRRKATSDVVIDIRRILQSDTYKFENLVSVTTFQGFHVFSNNPGAAQRFIDDRVGTAFATMPAKVTAMWLESSWVLAATPKGSVEEDWDAMIQPLALLADAAYVLPPAPGAMPPISYQDSDPTRVLPQAPELPEDEDEPEVTPPMPQLRPKEEPVVLPSRVREESRGSVNSRQVGMDDVSPIADGGKPADPNDYFGTRVIRDTSQGPSIFTDGKQKD</t>
  </si>
  <si>
    <t>GC_00003119</t>
  </si>
  <si>
    <t>MRAAQFTSYNGPQALHLGDITTPNITPRQVLVRVAGSSVNQMDVLEQEGKMKLFTGRSFPIGTGVDFAGTISAVGAHVSGYKVGDRVWGYVGFRRPGTSLAAADYIAVSPHCLSPAPTTIPLVEAAALPLAGLAALKGFAGLKAGEKVLVIGGNGGVGSTAIQVALALGAEVDAVTGAEEGIAKHVGAGQTFSYHITPPSSIPGRYSFILDTAGINLLPYRALLAPGGRFTTVAPAVMDVLRSLVRRGPRIRIVSAGANPTGLAWLAQKVDSGEIRPVIGGIYPAEQVRDAYRAYSAAESAHGKLVISWED</t>
  </si>
  <si>
    <t>MRAAQFTSYNGPQALHLGNITTPNITPRQVLVKVAGSSVNQMDVLEQEGKMKLFTGRSFPIGTGVDFAGTISAVGAHVSGYKVGDRVWGYVGFRRPGTSLAAADYIAVSPHCLSPAPTTIPPVEAAALPLAGLAALKGFAGLKAGEKVLVIGGNGGVGSTAIQVALALGAEVDAVTGAEEGVAKHVGAGQTFNYHITPPSSIPGRYSFILDTAGINLLPYRALLAPGGRFTTVAPAVMDVLRSLVRRGPRIRIVSAGANPTGLAWLAQKVDSGEIRPVIGDIYPAEQVRDAYRAYTAAESAHGKLVISWED</t>
  </si>
  <si>
    <t>GC_00003120</t>
  </si>
  <si>
    <t>MFWKENLQLIMNFEDFDQAYEWFTPRHDPMPFPKMTKAQLRNAVKLFKEDQGPRITYVAEYLDSTSGKDFPTLGDLEQLLRLGRKSMDRTGPEFDDISGTFFSLANDFAFCLCAFLQKYRDDVDWVASKTSKKSGAYNRPLIARPNYETSKGYIDGLRFFSDSLRSSVRRGKTVDDVMRQLKRSIKRNFDIDLS</t>
  </si>
  <si>
    <t>MFWKENLQLIMNFEDFDQAYEWFTPRHDPMPFPKMTKAQLRNAVKLFKEDQGPRITYVAEYLDSTSGKDFPTLGDLEQLLRLGRKSMDRTGPEFDDISGTFFSLANDFAFCLCAFLQKYRDDVDWVASKTSKKSGAYNRPLIARPNYETSKGYIDGLQFFLNSLRSSVRREETVDDVMDELKFAIKRNFDIDLS</t>
  </si>
  <si>
    <t>GC_00003121</t>
  </si>
  <si>
    <t>MTLQQTSQHMAFDGTHQAVTSCYRFRPPLLFLLFIVVLMMVSTPPLATADPSQPQITRPTHPASPRTGHPTGFTNPVTRLPRPNRVLRPFNKPAKNWLPGHRGVDLEAAPTDPIYAAGDGTVIYAGTLAGIPTVSIEHPGGLRTTYQPVLPLVAVGDTVTGQQPIGTLAPGGTHGYPGLQWGAKFGADDYINPLTLLPAPVIRLKPPPSA</t>
  </si>
  <si>
    <t>GC_00003122</t>
  </si>
  <si>
    <t>MSEYKSIYELRGLIGLTPEQLLIIADEVCHQHHCSITNFSALCAASAVTTAAISGIDIHGGDLAAVEHELARVILVLKPLNKNNDVLAAVAVEVFHQVNA</t>
  </si>
  <si>
    <t>MSGYQSVYESRGLIGLTPEQLLIIADEVCHQHHCNITNFSALCAASAVTTAAISGIDIHGGDLAAAEHELARVILALKPLNKNNEVLAAVSVEVFHQVNA</t>
  </si>
  <si>
    <t>GC_00003123</t>
  </si>
  <si>
    <t>COG0463|COG2246</t>
  </si>
  <si>
    <t>Glycosyltransferase involved in cell wall bisynthesis (WcaA) (PDB:5MLZ)|Putative flippase GtrA (transmembrane translocase of bactoprenol-linked glucose) (GtrA) (PDB:5MLZ) (PUBMED:24710389)</t>
  </si>
  <si>
    <t>MVLAVCPSTLCTMTTKESTLERVPEALPGQPVPAYSSPQSLRQATMDIIIPVYNEEHSLPRCVDQLAAFISTEMPVPTSVIIADNASTDDTWEVAGTLCAQYDNVHRIHLDEKGRGRALKRAWLASNATVVAYMDVDLSTDLNGLLPLVAPLLTGHSDIAIGTRLARTSRVERGPKREFISRTYNLMLKTAMAAHFSDAQCGFKAMRTDVAARLLPHVEDNAWFFDTELLLLAEKAGYRVHEVPVDWIDDPDSRVNIIDTAVKDIQGMWRVGTGLITGKIQPKEFSAFATEKYVTKTDTTGQILRFITVGVASTIAYALLYLVFQMFMGPQAANFLALLTTAVGNTAANRAFTFGVNGRHRITSDHSIGLGVFFLGWALTAGSLWLLHAAFPGAGAVIELGVLTVANLVSTLIRFVALRMLFNGREGAR</t>
  </si>
  <si>
    <t>MVLAVCPSTLCTMTTKESTLERVPEALPGQPVPAYSSPQSLRQATVDIIIPVYNEEHSLPRCVDQLTAFISTEMPVPTSVIIADNASTDDTWEVAGTLCAQYDNVHRIHLYEKGRGRALKRAWLASNATVVAYMDVDLSTDLNGLLPLVAPLLTGHSDIAIGTRLARSSRVERGPKREFISRTYNLMLKTAMAAHFSDAQCGFKAMRTDVAARLLPHVEDNAWFFDTELLLLAEKAGYRVYEVPVDWIDDPDSRVNIIDTAVKDIQGMWRVGTGLITGKIQPKEFSAFATEKYVTKTDTTGQILRFITVGVASTIAYALLYLVFQMFMGPQAANFLALLITAVGNTAANRAFTFGVNGRHRITSDHSIGLGVFFLGWALTAGSLWLLHAAFPGAGAVIELGVLTVANLVSTLIRFVALRMLFNGREGAR</t>
  </si>
  <si>
    <t>GC_00003124</t>
  </si>
  <si>
    <t>MKLRAALAVTATILAGAVGGLSGCALPTGMAGLGNGAGTGLTGTQVADTECHPQLDLAETAFGLWVTAKKIPIQGSSHQFYFTVQDNYFDPCADLSWVTLQGVEQDPAHYDPMAMESAQRTLIFFHRDQLITDASFLLAYDARDITVADNQLEVTYEALAYPRVTEGPTQKITYKYADGALRQEANPTIDVKPLKLDFHTNPPASDAITIPLGNANYSPAIKTYEGNVLADVPMGDGKILCDFYLTQKTSGPSCTNRQKATWPIVNEGPAQAPTNSDSKSNSEGKTNFAAFSFSPPPSLRTSYFPSGNINPEDTFPDESVVQVGPYF-----VDTRGDTVKISNNSSTVVLGDGVAELRDEPLFTLDKSRWPQDLKSSR</t>
  </si>
  <si>
    <t>MKLRAALAVTATILAGAVGGLSGCALPTGMAGLGNGAGTGLTGTQVADTECHPQLDLAETAFGLWVTAKKIPIQGSSHQFYFTVQDNYFDPCADLSWVTLQGVEQDPAHYDPMAMESAQRTLIFFHRDQLITDASFLLAYDARDITVADNQLEVTYEALAYPRVTEGPTQKITYKYADGALRQQANPTIDVKPLKLDFHTNPPASDAITIPLGNANYSPAIKTYEGNVLADVPMGGGKILCDFYLTQKTSGPSCTNRQKATWPIVNEGPAQAPTNSDSKSNSEGKTNFAAFSFSPPPSLRTSYFPSGNINPRTRSRTSPWCKWAPILWIPAAIPSRFRIIPAPWCLATAWRSSGTSHY----------SLWTNPGGRRI</t>
  </si>
  <si>
    <t>GC_00003125</t>
  </si>
  <si>
    <t>MATTPVSQSGVYTNTYTDLPISKEATTSRVLVNNDVLRHVMFTMDAGQVLTEHTSTRAVIINILEGRFRFTINGKDNEVAPGDVIYLAPNDPHAVEALEPSRMSLTLVVV</t>
  </si>
  <si>
    <t>MTTTPVSQSGVYTNTYTDLPISKEATTSRVLVNNDVLRHVMFTMDAGQVLTEHTSTRAVIINILEGRFRFTINGKDNEVVPGDVIYLAPNDPHAVEALEPSRMSLTLVVV</t>
  </si>
  <si>
    <t>GC_00003126</t>
  </si>
  <si>
    <t>----------------------MLAGAELWGAIGMQVAVFAVPLIALEMFQATPMQVACLNLMESAAALVFGLVVAGSIDRLPGVRAITVANFLRLIACISVAVFLFTRPSFSMLFVCLFILGVSSLMNEAGVNSTVVAVVGRGTKSLNRVNSLLRSSEVISELGGIALGGVALTLLTFAETMAIGALSFGLALFLSFRLWLVLSRQNKDNDIVSSNRESAVEPVGWKEEESTFSGLKYIFGNRFLKKLTLTSFH</t>
  </si>
  <si>
    <t>MILWRSTLVINSSKKWSLSPVLVLAGAELWGAIGMQVAVFAVPLIALEMFQATPMQVACLNLMESAAALVFGLVVAGSIDRLPGVRAITIANFLRLIACISVAVFLFTRPSFSILFVCLFILGVSSLMNEAGVNSTVVAVVGRGTKSLNRVNSLLRSSGVISELGGIALGGVALTLLTFAETMAIGALSFGLALFLSFRLWLVLSRQKKDNDVVSSDRESAVEPVGWKGEESTLSGLKYIFGNSFLKKLTLTSFHFNFFSSIFQAVFVVFCVQILDFKPWALSIVGIAGAVGGLSGAVAASTSFCSKNAKILYAISIALPSLSISLMLFAQYSGSNNLRIGLVGLGEYIFGFCMVLCIVLFNTARQQCSPDSMVGSIAATERTVALGGEVPGFLLGGVLATVFSLGIAMLVAIIGILFAPAWLWRLKTWPSGDEFSGSVQT</t>
  </si>
  <si>
    <t>GC_00003127</t>
  </si>
  <si>
    <t>MRWLSVATAIAGISGFAVVIIPGRAFGKESTISIEFLAYWGLFFTITGIITGLTQETTRAVTTALETQKPRDNYDDSHGINPITTSTGKNLAQPIIIGLWIALVTMVTVIVVAPLWSPRILSQHNLVGIILMAVGLASYTVQATIAGLISASRLWNRYALLITLDSVSRMVLAIIAWIFGWKLVAFLVVTVLGAASWLVLVTFSSQVRETLRLRADVSTKQFLQRAGFAMAASGATAVLITGFPTLAKFTHPDVTPVGEVSVNVVSYGVILTRAPLLVPLQQFLSALVVRFVQHRNKPLRALSQPFLLIWSVGLLGSFAAWLIGPWLMVAVLGDAYVISGRSLALFTLGATCTASLMITGAAAMSIDKHQYYLWGWATATLVGICFLASPLSLENGAWLALCIGPLCGLVVHMVGIFTARTNSSSLSTSVA</t>
  </si>
  <si>
    <t>MRWLSVATAIAGISGFAVVIIPGRAFGKESTISIEFLAYWGLFFTITGIITGLTQETTRAVTTALETQKPRDNYDDSHGINPITTSTGKNLAQPIIIGLWIALVTMVTVIVVAPLWSPRILSQHNLVGIILMAVGLASYTVQATIAGLISASRLWNRYALLITLDSVSRMVLAIIAWIFGWKLVAFLVVTVLGAASWLVLVTFSSQVRETLRLRADVSTKQFLQRAGFAMAASGATAVLITGFPTLAKFTHPDVTPVGEVSVNVVSYGVILTRAPLLVPLQQFLSALVVRFVQHRNKPLQALSQPFLLIWSVGLLGSFAAWLIGPWLMVAVLGDAYVISGRSLALFTLGATCTASLMITGAAAMSIDKHQYYLWGWATATLVGICFLASPLSLENGAWLALCIGPLCGLVVHMVGIFTARTNSSSLSTSVA</t>
  </si>
  <si>
    <t>GC_00003128</t>
  </si>
  <si>
    <t>MITLTLAEVAEIVGGQLNGDPHIRVDSVEFDSRKVTPHTLFVALRGARVDGHDFATSVDGPVLAARPVDAPSVVVPHIDNPQSNADAYAHDPSGDNASVLEALSKLARYNIDHADVTVIGVTGSAGKTSTKDLIASVVQRLGSTVAPPGSFNNELGHPYTALRCDKTTDYLVAELSARGLGHVAHLAQIAPPTIGVVLNVGTAHLGEFGSREVIAQAKGELVAALPSTGVAVLNADDRLVTNMPTSAKVVRFSTTMEADYYATDIQLGELSQASFVLHTPHGQAPVNLQVFGEHQVANALAAAAVGVECGLSVADVAQALSEYTAASAHRMDVQRCGDVVIIDDAYNANPDSMRAGVSALIDATSKKTWAVLGQMNELGEDADAEHRKLGEYLAERGVDTLVAVGTSAQVEALANSAREHGVHTLVASDVQQAVDLVQAELAPGDAVLVKASYSDSLWRVAEGLMQLRRSE</t>
  </si>
  <si>
    <t>MITLTLAEVAEIVGGQLNGDPHIRVDSVEFDSRKVTPHTLFVALRGARVDGHDFATSVDGPVLAARPVDAPSVVVPHIDNPQSNADAYAHDPSGDNASVLEALSKLARYNIDHADVTVIGVTGSAGKTSTKDLIASVVQRLGSTVAPPGSFNNELGHPYTALRCDKTTDYLVAELSARGLGHVAHLAQIAPPTIGVVLNVGTAHLGEFGSREVIAQAKGELVAALPSTGVAVLNADDRLVTNMPTSAKVVRFSTTMKADYYATDIQLGELSQASFVLHTPHGQAPVNLQVFGEHQIANALAAAAVGVECGLSVADVAQALSEHTAASAHRMDVQRCGDVVIIDDAYNANPDSMRAGVSALIDATSKNTWAVLGQMNELGEDADAEHRKLGEYLAERGVDTLVAVGTSAQVEALANSAREHGVHTLVASDVQQAVDLVQAELAPGDAVLVKASYSDSLWRVAEGLMQLRRSE</t>
  </si>
  <si>
    <t>GC_00003129</t>
  </si>
  <si>
    <t>R|V</t>
  </si>
  <si>
    <t>General function prediction only|Defense mechanisms</t>
  </si>
  <si>
    <t>COG0491|COG0494</t>
  </si>
  <si>
    <t>Glyoxylase or a related metal-dependent hydrolase, beta-lactamase superfamily II (GloB) (PDB:1QH3) (PUBMED:25670698)|8-oxo-dGTP pyrophosphatase MutT and related house-cleaning NTP pyrophosphohydrolases, NUDIX family (MutT) (PDB:4V14)</t>
  </si>
  <si>
    <t>MARFVEGYRGNKLAVTVLLVRDGAYGLEVYVQERVSSMPTFPKATVFPGGGVDPRDFTLAQPQTGKSSAPLVFEPLTHDIFETDPTWYGPSLSVWAKRLKTDRFRARALILGACRELFEESGTLLASHADGRLVADATPFHDDRLALESHCLSFSQLLLQNNLVARTDLLTPCSRWVSPETDKHQFDLYSFVAALPHDQEPDDDDSIEVSSTGWFPPSLILDGWRAGLLRLVIPTWAHMLFLSEHTTVKSLLDTLQNPSMDPVLGDPIHDPRYQEFFTYTPPKRF</t>
  </si>
  <si>
    <t>MARFVEGYRGNKLAVTVLLVRDGAYGLEVYVQERVSSMPTFPKATVFPGGGVDPRDFTLAQPQTGKSNAPLVFEPLTHDIFETDPTWYGPSLSVWAKRLKTDRFRARALILGACRELFEESGTLLASHADGRLVADATPFHDDRLALESHCLSFSQLLLQNNLVARTDLLTPCSRWVSPETDKHQFDLYSFVAALPHDQEPDDDDSIEVSSTGWFPPSLILDGWRAGLLRLVIPTWAHMLFLSEHTTVKSLLDTLQNPSMDPVLGDPIHDPRYQEFFTYTPPKRF</t>
  </si>
  <si>
    <t>GC_00003130</t>
  </si>
  <si>
    <t>PF13828.11</t>
  </si>
  <si>
    <t>Domain of unknown function (DUF4190)</t>
  </si>
  <si>
    <t>MSIPNYSSYSDPNMPGAFPNDGMMPPSGKNTMAVVALVLAIIGLVTCWVAILGFLLSIIGVILSIIALVKVKNYPPVTAGKGMSIAALVISVIGVLVGLFVTISMVYVASVASECFTIADPTAKAQCVQEKLETVTK</t>
  </si>
  <si>
    <t>MSIPNYSSYSDPNMPGAFPNDGMMPPSGKNTMAVVALVLAIIGLVTCWVAILGFLLSIIGVILSIIALVKVKNYPPVTAGKGMSIAALVISVIGVLVGLFVTISMVYVASVASECFTIADPTAKAQCVQEKLEAVTK</t>
  </si>
  <si>
    <t>GC_00003131</t>
  </si>
  <si>
    <t>MGTLVPMKRFATGLFCALAIPLVVGVSACSTQSSTEGAASTAATTTMAQEIPEFVEKCQVKPISSEKEQAKKEDEKAESGASEQPKASGSKTTAKSSQADSAAKDSGETAMVPEQFLTKDVTLTLKTTAGDIPMKLTASKTPCAASTIASLAKQGFYNKTVCHRITTEEIYVLQCGDPDGTGEGGPGFVFKDEYPVGTDQSNLYKPGVVAMANAGQNTNGSQFFVTYADSPLPAYYTIFGSVSEAGMKTVQAIAKKGTKGGVPDGQPATEVRIDKAVVSE</t>
  </si>
  <si>
    <t>MGTLVPMKRFATGLFCALAIPLVVGVSACSTQSSTEGAASTAATTTMAQEIPEFVEKCQVKPISSEKEQAKKEEGKAEGGASEQPKASGSKTAAKSSQADSAAKDSGETAMVPEQFLTKDVTLTLKTTAGDIPMKLTASKTPCAASTIASLAKQGFYNKTVCHRITTEEIYVLQCGDPDGTGEGGPGFVFKDEYPVGTDQSNLYKPGVVAMANAGQNTNGSQFFVTYADSPLPAYYTIFGSVSEAGMKTVQAIAKKGTKGGVPDGQPSTEVRIDKAVVSE</t>
  </si>
  <si>
    <t>GC_00003132</t>
  </si>
  <si>
    <t>MALYRKYRPGSFNELVGQEQVTVPLSAALDNGRINHAYLFSGPRGCGKTSSARIMARSLNCVNGPTSKPCGKCNSCVSLAANGPGNLDVTELDAASHNGVDDMRELRDRAMFAPAESRYRIFIIDEAHMITNQGSNALLKIVEEPPAHLIFIFATTEPEKVIGTIRSRTHHYPFRLLTPQAMRGLLERTVAAEDAIIEESVYPLVIRAGGGSPRDTLSILDQLLAGTGPDGLTYQYARMLLGVTDDTLIDATIAALATNDRASLFTTVDDVIEAGLSPRKFSEDLLDRLRDLMLLQAVPDAVNLGLVDAPTDRGEILLQQAQEFDSQRIPRIAGILNDGLSSLKGATSPRLLLEILCAKMLIEPGGQAAPAPALSAPSARPTPAAPASTPSSKYERPSQRRAREAQEVRNVAEKPEVVEAVAEAKPRESEESPETQSTPPQPASTSVHVQPIDAIKNAWDKIRSTVSKTNAVAGILLTGAQPLGIADETLVLGHNTGALASRLNAPEHNATIQSAVLETTGLELEVRCEVGTNPKAFGFETDSPKPVWNPEQDAGEAGSAGDAQETAVQEAESTNPVAAEQVEPEPAPESTQPEGVVEPAESGHTPKLAKSDVDSGLVQSPEDATEPEASPPSPPTPEPAREVAPEPEPSAPPVPPALAAPEDTWGEPALAAPEDTWGEPARLGGAPESAPDMPKPDSAVVPEDDASEVGTNPAAQPSQPPSAASPAVESATSIWGQPAQLGGGGGPAHQSAHQSAHQPTHQPTHQAQPAQPAHERPAPQAQTQPQPSAKPTTSTWRERARRGNKLLAEQQNAPRFSDGTPAPPEPSEPWDMPPPPPPPADVPEMSAPEPGAEAGFWAGAAPMPGAAPGQSVPPAPKGAPEPPEQRESVVPATPVGPAGPVSPGASAPT-----------------------PSSAPDSGSSPGAGNAGAPTSNAPSHRRPHRQH------HRPGDEEAEMMHQAATELGEHDHRDAMTIAISLVEQELGGRVV</t>
  </si>
  <si>
    <t>MALYRKYRPGSFNELVGQEQVTVPLSAALDNGRINHAYLFSGPRGCGKTSSARIMARSLNCVNGPTSKPCGKCNSCVSLAANGPGNLDVTELDAASHNGVDDMRELRDRAMFAPAESRYRIFIIDEAHMITNQGSNALLKIVEEPPAHLIFIFATTEPEKVIGTIRSRTHHYPFRLLTPQAMRGLLERTVAAEGAIIEESVYPLVIRAGGGSPRDTLSILDQLLAGTGPDGLTYQYARMLLGVTDDTLIDATIAALATNDRASLFTTVDDVIEAGLSPRKFSEDLLDRLRDLMLLQAVPDAVNLGLVDAPTDRGEILLQQAQEFDSQRIPRIAGILNDGLSSLKGATSPRLLLEILCAKMLIEPGGQAAPAPALSAPSARPTPAAPASTPSSKYERPSQRRAREAQEARNVAEKPEVVEAPVEAKPRESEESPETRSTPPQPASTSVHAQPIDAIKNAWDKIRSTVSKTNAVAGILLTGAQPLGIADETLVLGHNTGALASRLNAPEHNATIQSAVLETTGLELEVRCEVGTNPKAFGFETDSPKPVWNPEQDAGEAGSDGDAQETAAQEAESTNPVAAEQ---------------VEPAESGHTPKLAKSDVDSGLVQLPEDATEPEATPPSPPTPEPAREVAPEPEPSAPPVP------------PALAAPEDTWGEPARLGGAPESAPDMPKSDSAVVPE-DASEAGTNPAVAPNQQSSTANPAVESATSIWGQPAQLGGGGGP----THQSAHQPTHQPTYQAQPAQPVHERPAPQAQTQPQPSARPTTSTWRERARRGNKLLAEQQNAPRFSDGTPAPPEPSEPWDAPPPPPPQADVPEMSAPEPGVEAGFGAGAAPVSGAAPGQPVPPAPKGAPEPSEQRESVVPATPVGPASPVSPGVSAPTTSIASASAASAAPARASQNAAPAPGSAPDSGSSPGAG-----TSNDSSHRRTHHQHHQSRQPHRPGDEEAEMMHQAATELGEHDHRDAMTIAISLVEQELGGRVV</t>
  </si>
  <si>
    <t>GC_00003133</t>
  </si>
  <si>
    <t>MKYNYYLLLIDNQFLQLAKTLKLGRLIPSAEPNDIIFIAAIGEGGGIISPGIPFSDLARQEIRWPDFLGEPDNNDMDYVSELYFQFCGIAESNELQWIILVDTSKFSQLIGDLRSSFNVDLALATAGNKTLLRKTAKERIIATLGSQIKYAVLSAQDKTNEKSRYTAISIAATSAILTSILFLPAYYNEYSNMPASITTFSITQITTMIIGFVLGAILLRLCYLDVSDPDKQKKRSALNSKELWIPLGIYLIFLAILYNFTNESLGHNFTIVSIILTIVLAIMILLPSRFYMPIVSFYMVGIMLGTNVILGYLTTSWQFYQETTDLKCGHYYDDVSSGSRLMCIDNLRSSKWQPQDTQIQQTGSSPDSRTTHANYSFTYNECVSANLEVYQDFNPKDSIFGNTHYFQDRTITLQPVMEHPFFSSERFARYAPGHNSWKLLEWSEQDNDKYSRVRDYQLISEGQPLGLKSTQAVLRIDENNCDLTAEEELNKVPQELMKHINLASSQYIDSTFIAINDAAEVKTYADDLKILAGPNVNRAILPQNDQEGLRPENWNSSTILLIKGIDENNEIPISVWLSNRSDLDYSWFDGQWESNAWRRQPDDPFIFSLFLVNRSDYSSWEYGISISDPTALVGETIDPTELEGKLRGKLSYLFDSSYLFQQSMDAP</t>
  </si>
  <si>
    <t>MKYNYYLLLIDNQFLQLAKTLKLGRLIPSAEPNDIIFIAAIGEGGGIISPGIPFSDLARQEIRWPDFLGEPDNNDMDYVSELYFQFCGIAESNELQWIILVDTSKFSQLIGDLRSSFNVDLALATAGNKTLLRKTAKERIIATLGSQIKYAVLSAQDKTNEKSRYTAISIAATSAILTSILFLPAYYNEYSNMPASITTFSITQITTMIIGFVLGAILLRLCYLDVSDPDKQKKRSALNSKELWIPLGIYLIFLAILYNFTNESLGHNFTIVSIILTIVLAIMILLPSRFYMPIVSFYMVGIMLGTNVILGYLTTSWQFYQETTDLKCGHYYDDVSSGSRLMCIDNLRSSKWQPQDTQIQQTGSSPDSRTTHANYSFTYNECVSANLEVYQDFNPKDSIFGNTHYFQDRTITLQPVMEHPFFSSERFARYAPGHNSWKLLEWSEQDNDKYSRVRDYQLISEGQPLGLKSTQAVLRIDENNCDLTAEEELNKVPQELMKHINLASSQYIDSTFIAINDAAEVKTYADDLKILAGPNVNRAILPQNDQEGLRPENWNSSTILLIKGIDENNEIPISVWLSNRSDLDYSWFDGQWESNAWRRQPDDPFIFSLFLVNRSDYSSWEYGISISDPTALVGETIDPTELEGKLRGKLSYLFDSSYLFQQSMDAL</t>
  </si>
  <si>
    <t>GC_00003134</t>
  </si>
  <si>
    <t>MNQHRIRVSTVCAMAALTLAMGQNAAAVERVERTERTSERSTERTTERTTERSPEQKTQQHNTQQQKQQSAGLTPLSADAIESVDKPQPGGEFTDPAYGTHVHRATAASDGEGGRMRHEYSRRQAFNADNSRYLTQDGRGAWYLYDGKTFRNLGAIETLAGDCEPIWHPTDPSLIYFTDRNGGTTWWTYNTTTKKKDVVFDFTGKTPWPDATSYWTKGEGTTSADGRYLSLMATSYNESTKEKKIYGLLTLDIREKKIVGTLDAKDFPVPGAFPDHISTSASGKYAVPSWLNGQGGTRAYTLDFKKSVELATGSEHSDLAFGPNKQDYFVYADYGSGQLVAVDIDSKERIDLHSLYPASGEAYALHVSGQAFDKPGWVVISTYADSANYNTTSPAPTLRPEYRKVWLQELKPNGRSLNVAHIRANDSKATGDTAYFLEPQATASRDLSRIIFASNLGGTDVESYVADVPEVK</t>
  </si>
  <si>
    <t>MNQHRIRVSTVCAMAALTLAMGQNAAAVERVERTEKTSERSTERTTERTAERSPEQKTQQHNTQQQKQQSAGLTPLSADAIESVDKPQPGGEFTDPAYGTHVHRATAASDGEGGRMRHEYSRRQAFNADNSRYLAQDGRGAWYLYDGKTFRNLGAIETLAGDCEPIWHPTDPNLIYFTDRNGGTTWWTYNTATKKKDVVFDFTGKTPWPDATSYWTKGEGTTSADGRYLSLMATSYNESTKEKKIYGLLTLDIREKKIVGTLDAKDFPVPGAFPDHISTSASGKYAVPSWLNGQGGTRAYTLDFKKSVELATGSEHSDLAFGPNKQDYFVYADYGSGQLVAVDIDSKERINLHSLYPASGEAYAVHVSGQAFDKPGWVVISTYADSADYNATSPAPTLRPEYRKVWLQELAPNGRSLNVAHIRANDSKATGDAAYFLEPQATASRDLSRIIFASNFGGTDVESYVADVPEVK</t>
  </si>
  <si>
    <t>GC_00003135</t>
  </si>
  <si>
    <t>K20491</t>
  </si>
  <si>
    <t>KEGG Orthology (KO)&gt;&gt;&gt;09130 Environmental Information Processing&gt;&gt;&gt;09131 Membrane transport&gt;&gt;&gt;02010 ABC transporters [PATH:ko02010]|KEGG Orthology (KO)&gt;&gt;&gt;09130 Environmental Information Processing&gt;&gt;&gt;09132 Signal transduction&gt;&gt;&gt;02020 Two-component system [PATH:ko02020]|KEGG Orthology (KO)&gt;&gt;&gt;09140 Cellular Processes&gt;&gt;&gt;09145 Cellular community - prokaryotes&gt;&gt;&gt;02024 Quorum sensing [PATH:ko02024]|Transporters&gt;&gt;&gt;ABC transporters, prokaryotic type&gt;&gt;&gt;ABC-2 type and other transporters&gt;&gt;&gt;Lantibiotic transporter</t>
  </si>
  <si>
    <t>MIPYLHAEVIRVRRTSVAYFPWVGVLLALMTVVLSAGVQSAGYISVPFSWQVMYFTGMAAPLMMLMAALSEQRERRARHGGLWWRGVDKRKDRAARLLILAGISALLQVLNFGIVILFGAPLDRGMVAALYCWIGSLGLIGLGALVARRFGMIAALAVGVVWQLIGVVFAESSWWLLCPPTWPIRILLVPVGVAVSGLPIPADNPALHDPPLVGAGLCVLLGVVTFAAAALMNETGEARPVRRRPAPQVSVPHSAPLSTPAFTTASASRQLPAFPILAVVSILRRSGVLTCVVLSALVVVALASWYPADTASGLFSYMIVSLGVGILPVLTWAAVGPNLAHTTAENPRFFPAYVATHIIILAVLAGVTSASLVAVGQPAGEVLRQLILWLLVGSVFVLLALALVIRFGMGATLVAMIVWTIVTVLIGGDVLAESFLWVIAPLAWPETAIPVQRFIIAMPLAALGCVASWYVVRAAGRRYVENA</t>
  </si>
  <si>
    <t>MIPYLHAEVIRVRRTSVAYFPWVGALLALMTVVLSAGVQSAGYISVPFSWQVMYFTGMAAPLMMLMAALSEQRERRARHGGLWWRGVDKRKDRAARLLILAGISALLQVLNFGIVILFGAPLYRGMVAALYCWIGSLGLIGLGALVARRFGMIAALAVGVVWQLIGVVFAESSWWLLCPPTWPIRILLVPVGVEVSGLPIPADNPALHDPPLVGAGLCVLLGVVMFAAAAFMNETGEARPVRRRPAPQVSVPHSAPLSTPAFTTASASRQLPAFPILAVVSILRRSGVLTCVVLSALVVVALASWYPADTASGLFSYMIVPLGVGILPVLTWAAVGPNLAHTTAENPRFFPAYVATHIIILAVLAGVTSASLVVVGQPAGEVLRQLILWLLVGSVFVLLALALVIRFGMGATLVAMIVWTIVTVLIGGDVLAESFLWVIAPLAWPETAIPVQRFIIAMPLAALGCVASWYVVRAAGRRYVENA</t>
  </si>
  <si>
    <t>GC_00003136</t>
  </si>
  <si>
    <t>MTTLRTLSVIAVAGLFLTGCSLIWGNGDSETTTATKTTTAKTTTAEVTTSTITQTATTTSSTSTSTTATTSEPAGSSGFHNSVFGKMPKQISDMTQRKLEVNNPEEEASVFYRNDTEEMRVHEFLATVDEGKREIKDSEKDEARHDFVDSYTEGKSFASTRQEVSASGMDFSCAEGNNTEEKYYEAGCFTVYRGRVMNYQRHDSTPRSLEEQKHRTASLAKEVGEALASLPN</t>
  </si>
  <si>
    <t>GC_00003137</t>
  </si>
  <si>
    <t>MTYNDHHPHPPQPLTPHTRPQLELITNTNYREPQHQTPEVSTCSGAAHGGFLSRDPAVLPDHVRDSFHVDATSSAKRLGSPWDYGWLVQNIVLIPVIHPDRAAWSSRLRENLKVDGVRIVAPVRTTDGRFINAGWRASVFVPGELGWRGDETIAAALRLDKALAQITIPDSFHLIDRKDIFSVADHAAWREEHDLVVLDPKDPTHETVAEWMPQIRKLMQPLVDASNNALPNQVTHADMFATTVYAGDRMPAVTDVVGVAHPYGYTAALALVDALLMNVVDVSVIERFRHVAALEQLILRGLLYRLYVHALHPDASSNSGTNLGLVCHAIMAYMSQRHGTI</t>
  </si>
  <si>
    <t>GC_00003138</t>
  </si>
  <si>
    <t>PF00326.27</t>
  </si>
  <si>
    <t>Prolyl oligopeptidase family</t>
  </si>
  <si>
    <t>MSVAYPEGIARHWNDGRRLLQEKTRELGTNDVEYLTEFVHNFECTGRVFGAGFSNGGHMIYRLLHEAPGLFDAALVIAATQPTPENFLPAPPTADRWRPTPLLLIHGESDPIAPVAGGTVRGGTQSAQATADYYRRLNGDAAPVRLITLPNTGHVVPGPGCVTSEFLGPANELVDAAKLFGQFIDELPR</t>
  </si>
  <si>
    <t>MSVAYPEGVARHWNDGRRLLQEKTRELGTNDVEYLTEFVHSFECTGRVFGAGFSNGGHMIYRLLHEAPGLFDAALVIAATQPTPENFLPAPPTTDRWRPTPLLLIHGESDPIAPIAGGTVRGGTQSAQATADYYRRLNGDAAPVRLVTLPNTGHVVPGPGCVTSEFLGPANESVDAAKLFSQFIDELPR</t>
  </si>
  <si>
    <t>GC_00003139</t>
  </si>
  <si>
    <t>MNTTTTRLMAALIAITALAPAPALAADGTNPYTVKLDNGVCTFGIDLNNPEARAYSQDRGYINQSYVLDKIAKEVPEFAPVWAANPRLENKLTDPGYRVNWDKAVAKLKAAGYTDNDIMWIDRVLHKRGMISPLADDTDLSKPLPPKEARRRADMEPKGIMQHYASKMLYYNIDENGKIELFQYWSPADKPLPELSEKITDKASGEGHLQLVKRARDFAGYQHDILEECAKLGGFGAGADTSSQSAAKSTSVSGLPTEPTVTSGSRAASDSMFSKPSQDRKPGGALGTIYRIINSVIGFFVPTLSTPLLPE</t>
  </si>
  <si>
    <t>MNTTTTRLMAALIAITALAPAPALAADGTNPYTVKLDNGVCTFGIDLNNPEARAYSQDRGYINQSYVLDKIAKEVPEFAPVWAANPRLENKLTDPGYRVNWDKAVAKLKAAGYTDNDIMWIDRVLHKRGMISPLADDTDLSKPLPPKEARRRADMEPKGIMQHYASKMLYYNIDENGKIELFQYWSPADKPLPELSEKITDKASGEGHLQLVKRARDFAGYQHDILEECAKLGGFGAGADTSSQSAAKSTSASGLPTEPTVTSGSRAASDSMFSKPSQDRKPGGALGTIYRIINSVIGFFVPTLSTPLLPE</t>
  </si>
  <si>
    <t>GC_00003140</t>
  </si>
  <si>
    <t>MRLSESVVYTTTAMSSIVLCCVLFLSGSAAVPPSPIDDQPMAAGPDPVDAETPEPDDTATMAANPTTLGEALGVGDGTFDPTVDGFHLFDPCAEITTEQWEKLGWKPLPGQQVRSDADRKFCTFIPATDRPEWVTGFAESDVLDQRQLDQQGLLITDVKVTAPDGFYLYKFSKDENEFFCSAAVATSRGRVSFTFGANPDIPTEKKRTCQVAADMLRDILELPPAATQ</t>
  </si>
  <si>
    <t>MRLSESVVYTTTAMSSIVLCCVLFLSGSAAVPPSLIDEQPTAASPDPIDAETPAPDDTTTMAANPTTLGEALGVGDGTFDPTVDGFHLFDPCAEITTEQWEKLGWKPLPGQQVRSDADRKFCTFIPATDRPEWVTGFAESDVLDQRQLDQQGLLITDVKVTAPDGFYLYKFSKDENEFFCSAAVATSRGRVSFTFGANPDIPTEKKRTCQVAADMLRDILELPPAATQ</t>
  </si>
  <si>
    <t>GC_00003141</t>
  </si>
  <si>
    <t>MTQLPPSQSIDDDYTFRLLGVLTAAGRETAEGWSEIGLLINFDPNTYELRTFSNVVWRGQHYDSWITDALQNELINTALGWLKALYDAGYPLWTSMFLGINSDKHFLWEPSYEADFGPWRVDLEGDNWPTVAAGLRKMGTDTQ</t>
  </si>
  <si>
    <t>MTQLPPSQSIDDDYTFRLLGVLTAAGRETAEGWSEIGLLINFDPNTYELRTFSNVVWRGQHYDSWITDALQNELINTALGWLKALYDAGYPLWTSMFLGINSDKYFLWEPSYEADFGPWRVDLEGDNWPAVAAGLRKMGTDTQ</t>
  </si>
  <si>
    <t>GC_00003142</t>
  </si>
  <si>
    <t>PF13646.12</t>
  </si>
  <si>
    <t>HEAT repeats</t>
  </si>
  <si>
    <t>COG1413</t>
  </si>
  <si>
    <t>HEAT repeat (HEAT) (PDB:1OYZ)</t>
  </si>
  <si>
    <t>MVGYPVDMDIQQLRDALTQSDSSVRLKAVLAAGTHPDDAALDVLVAQCSHEPDFYVRDMLTWAITRLPRDITIPAVRAELASPIPQARSQALHTLSKIRVPEAWPWIFPHMLRDDDDEVVRVAWRLAVAIVPEGAEPELADVLVSQFDRGNMEVKTSLARALASLAAWYTPALDLVDAATRSGDLGVRIHATATRAIIHDPEIGFAGIFAEAKRSLGG</t>
  </si>
  <si>
    <t>GC_00003143</t>
  </si>
  <si>
    <t>MTDNHNNDDGKEPRDKSDREGSGKPTDPRQKNPYSPQSGNYSDGLTGSGSGSSSYGGYGQPSQSSNPYSGSGSNPYGQSSSSYGQSQQGSSSPYGSNSSGYGQPTGGYGQQGGYGQPSRSNSPYGSPHSSTSGSETGQSGSAYSSYGQSSNSSDQSQDSGSYNRPTGTYGQSQQG---------SSPYGQQSRQNDSGSYSKPQETVSYERPQQNDTGNYERPQQNTGSYERPQQSDSGSYNRPTGGYEQPRQPQSGSPYGGPTGYGQSPQSGGGYGQQSGGYGNGGQQPPANNSAPYGSPSAAGTPYGQQSGGYGQSAGGYGQPAGGYGQPPQQMPGGAPYGQPQGGGYGGQAPTTSS------GGYGQPQGPQGPQGGGYVQQTPPNSGGYGQPNFGGGFQPQAPGTNQYGQQPPQGGFDPAAGQYAPQQQSGPQLPAPVAGVEVVGQNALYETNMLKRESGLSIGMTFTYGYKAIMKNPVLWLAIGAVVGVIMAVVNYLNQRQLQAQIQEQMQNIMAGSSTSANVTVMTPTMMIMYLVLVLVVILISPILCAAILTQLDGEAVKMETVKARMNYVQTLISAALVALVLIVFSGISGLASKYLSSLAVASIVGLLVSLAVFFTLPLFGLAPGFASESRASGLNSIVANFTAMKKAYFPFLGLLLLWGVIFVVASLIVSFGGIIGVITSAILVMFIAPVLVNSMGHAYRQMSGAPYPQM</t>
  </si>
  <si>
    <t>MTDNHNNDDGKEPRDKSDREGSGKPTDPRQKNPYSPQSGNYSDGLTGSGSGSSSYGGYGQPSQSSNPYSGSGSNPYGQSSSSYGQSQQGSSSPYGSNSSGYGQPTGGYGQQGGYGQPSRSNSPYGSPHSSTSGSETGQSGSAYSSYGQSSNSSDQSQDSGSYNRPTGIYGQSQQGSSSPYGQNSSSSYGQQSRQNDSGSYSQPQETVSYERPQQNDTGNYERPQQNTGSYERPQQSDSGSYNRPTGGYEQPRQPQSGSPYGGPTGYGQSPQSGGGYSQQSGGYGSGGQQPPANNAAPYGSPSAAGTPYGQQSGGYGQPAGGYGQPAGGYGQSPQQMPGGAPYGQPQGGGYGGQAPTSSGGYGQPQGGYGQPQGPQGPQGGGYVQQASPNSGGYGQPNFGGGFQPQAPGANQYGQQPPQGGFDPAAGQYAPQQQSGPQLPAPVAGVEVVGQNALYETNMLKRESGLSIGMTFTYGYKAIMKNPVLWLAIGAVVGVIMAVVNYLNQRQLQAQIQEQMQNIMAGSSTSANVTVMTPTMMIVYLVLVLVVILISPILCAAILTQLDGEKVTMETVKARMNYVQTLISAALVALVLIVFSGISGLASKYLSSLMVASIVGLLVSLAVFFTLPLFGLAPGFASESRASGLNSIVANFTAMKKAYFPFLGLLLLWGVIFVVASLIVSFGGIIGVITSAILVMFIAPVLVNSMGHAYRQMSGAPYPQM</t>
  </si>
  <si>
    <t>GC_00003144</t>
  </si>
  <si>
    <t>MKSLMQSLRKTKRSQDQGASADAAAAKAPNNTNNTGNATAAPGAARVKLLAYLRHVTWIIQVARRVPITSVLIVVAWVMWLLARNTSPQRAYGLTSDMAGQSWRFFTSGLTEKTLPALLIATVVLAVLGSAAEYMLGSRQYLGFGLVLQVFSVIGMLVTRDVMVVCRSSWAKAWLTEPFLSQIPWVFGVATVASSHFGRLWRRRLLVVLLVITGSMVLYSGSAADVARLMAVVAGAVMSRTPVRGSLRRSSLQEFRLLIAAAFVMIAAGPLMTSVNPDSDAPLSRIYLLTWEESPVTVREAGVLGAIFNLVPLIIAVVLAIGLARGRRIAWWGAQVFLWATIAGLLFEAFRITKLETDIPINLMASYGLLTVLPWLVLIVVLLVYWRDFRAPAEHGTTKLLVLRISSFSVLVCCLWVGSVMALRDHFEPHVSLLGTIKALRVVLLPPVLSRVFTADIHPADQLGWWLGLWPGPVLGIAVAIFLYIACRSTHVELGDDAKHQRMHQILTTGQGGDHLSWMTLWPGNLVWEAKDGAGYVAYRLHSSTVLTLGEPVVNSGDATAQSLADEFGKFAEQQGWTLAWYSVGAEFAAGRPGTSKLQVAEESIVSTELVTFRGKKFQDVRTARNRAGKEGIRAVWTTWNDAGTMIRSQIRALSEEWVSDKSLPEMGFTLGNLSTLHDPEVRLMLALDEHDNLHGVTSWLPVYEDGALAGWMLDFMRRDPAGFRPVVEFLIAETLVQAHEDGLGWISLSGAPLAHEASGEENPLNIVTDVLGRTLEPLYGFRSLASFKRKFLPEYAPWFLVYTDPATLPAIGLAVSAAYVPDFSIADMQRAARQLLAARKEE</t>
  </si>
  <si>
    <t>MKSLMQSLRKTKRSQDQGVSADAAAAKAPNNANNTGNATAAPGAGRVKLLAYLRHVTWIIQVARRVPITSVLIVVAWVMWLLARNTSPQRAYGLTSDMAGQSWRFFTSGLTEKTFPALLIATVVLAVLGSAAEYMLGSRQYLGFGLVLQVFSVIGMLVTRDVMVVCRSSWAKAWLTEPFLSQIPWVFGVATVASSHFGRLWRRRLLVVLLVITGSMVLYSGSAADVARLMAVVAGAVMSRTPVRGSLRRSSLQEFRLLIAAAFVMIAAGPLMTSVNPDSDAPLSRIYLLTWEESPVTVREAGVLGAIFNLVPLIIAVVLAIGLARGRRIAWWGAQVFLWATIAGLLFEAFRITKLETDIPINLMASYGLLTVLPWLVLIVVLLVYWRDFRAPAEHGTTKLLVLRISSFAVLVCCLWVGSVMALRDHFEPHVSLLGTIKALRVVLLPPVLSRVFTADIHPADQLGWWLGLWPGPVLGIAVAIFLYIACRSTHVELGDDAKHQRMHQILTTGRGGDHLSWMTLWPGNLVWEAKDGAGYVAYRLHSSTVLTLGEPVVNSGDATAQSLADEFGKFAEQQGWTLAWYSVGAEFAAGRPGTSKLQVAEESIVSTELVTFRGKKFQDVRTARNRAGKEGIRAVWTTWNDAGTMIRSQIRALSEEWVSDKSLPEMGFTLGNLSTLHDPEVRLMLALDEHDNLHGVTSWLPVYEDGALAGWMLDFMRRDPAGFRPVVEFLIAETLVQAHEDGLGWISLSGAPLAHEASGEENPLNIVTDVLGRTLEPLYGFRSLASFKRKFLPEYAPWFLVYTDPATLPAIGLAVSAAYVPDFSIADMQRAARQLLAARKEE</t>
  </si>
  <si>
    <t>GC_00003145</t>
  </si>
  <si>
    <t>PF01268.25</t>
  </si>
  <si>
    <t>Formate--tetrahydrofolate ligase</t>
  </si>
  <si>
    <t>K01938</t>
  </si>
  <si>
    <t>formate--tetrahydrofolate ligase [EC:6.3.4.3]</t>
  </si>
  <si>
    <t>COG2759</t>
  </si>
  <si>
    <t>Formyltetrahydrofolate synthetase (MIS1) (PDB:1EG7)</t>
  </si>
  <si>
    <t>KEGG Orthology (KO)&gt;&gt;&gt;09100 Metabolism&gt;&gt;&gt;09102 Energy metabolism&gt;&gt;&gt;00720 Other carbon fixation pathways [PATH:ko00720]|KEGG Orthology (KO)&gt;&gt;&gt;09100 Metabolism&gt;&gt;&gt;09108 Metabolism of cofactors and vitamins&gt;&gt;&gt;00670 One carbon pool by folate [PATH:ko00670]|Enzymes&gt;&gt;&gt;6. Ligases&gt;&gt;&gt;6.3  Forming carbon-nitrogen bonds&gt;&gt;&gt;6.3.4  Other carbon-nitrogen ligases&gt;&gt;&gt;6.3.4.3  formate---tetrahydrofolate ligase</t>
  </si>
  <si>
    <t>MPTDVEIAQAHTLEPITTIAARAGIPEQSLIPYGTTKAKIDITTTPTETTGKLVLVTGISPTPAGEGKSTVLIGLADAIRSAGRSAIVAIREPSLGPVMGIKGGAAGGGYSQIVPMEDINLHFTGDFHAITAANNTLAAMIDNHIHQGNQLGIDPRRVSWQRCVDVNDRSLRHVVTGLGGKAHGVPAETGFTITAASEIMAVLCLATDLADLSDRISRMVVAQTYDGKPVTAGDVNAQGALTALLKDAINPNLVQTLGGTPAFVHGGPFANIAHGCNSLIATRTALAHADVVLTEGGFGSDLGAEKFFDIKARAGDLDVSAVVIVATIRSLKYNGGLARDQLTTENLDALQQGVANLARHVENVRKFGAEPVVALNSFTSDTDVEKQWLADWAQTNNITLVPCDVWAHGGAGATNLADAVLTTIDAATPTHPLYDPADGLEANITTIARELYHATSVEFTKQARTDLAYLAENGWDTLPVCISKTQYSFSDDPTLLGAAEGHVLHVRQLLPRIGAGFIVALTGNVMTMPGLPKKPAAEGIAVSDGGKITGLF</t>
  </si>
  <si>
    <t>MPTDVEIAQAHTLEPITTIADRAGIPEQSLIPYGTTKAKIDITTTPTETTGKLVLVTGISPTPAGEGKSTVLIGLADAIRSTGRSAIVAIREPSLGPVMGIKGGAAGGGYSQIVPMEDINLHFTGDFHAITAANNTLAAMIDNHIHQGNQLGIDPRRVSWQRCVDVNDRSLRHVVTGLGGKAHGVPAETGFTITAASEIMAVLCLATDLADLADRISRMVVAQTYDGKPVTAGDVNAQGALTALLKDAINPNLVQTLGGTPAFVHGGPFANIAHGCNSLIATRTALAHADVVLTEGGFGSDLGAEKFFDIKARAGDLDVSAVVIVATIRSLKYNGGLARDQLTTENLDALQQGVANLARHVENVRKFGAEPVVALNSFTSDTDVEKQWLADWAQTNNITLVPCDVWAHGGAGATNLADAVLTTIDAATPTHPLYDPADGLEANITTIARNSTTPPAWNSPNKPAPTWPTLPKTGGTPSPCASPKPNTHSATTPPSSAPPKA----------------TSSTSGNSCPASGPASSWHSPETL-----------</t>
  </si>
  <si>
    <t>GC_00003146</t>
  </si>
  <si>
    <t>MLTMIRHHDDTYAYEPLTRRWSTPRLDYEQAPAHEKLDLHTRVAAASVRTAVITGLAAGILHHIPILNHANQVVVHLTLPGRQQPPPRSQWENSILRYRYAVLPDTDICLIGGNRVTTLARTFTDICTINGELEGLAFLEAALHMGHSKQEFQAYIDRNDHRWGMARAQKVLEQALYGIESVYETYARYIITTMLPALQVDPQAIIPIPSRWYYDGFSRRRVDLLIERFIIIEIDGRIKYQQSQDKLIEVLSDQVYREKHLIRHGYHVLRFAPWELKTLLIPTLTQTLGMLHCDHAPDVHQIPNLQAGHPSWDNRFAVA</t>
  </si>
  <si>
    <t>MLTMIRHHDDTYAYEPLTRRWSTPRLDYEQAPAHEKLDLHTRVAAASVRTAVITGLAAGILHHIPILNHANQVVVHLTLPGRQQPPPRSQWENSILRYRYAVLPDTDICLIGGNRVTTLARTFTDICTINGELEGLAFLEAALHMGHSKQEFQAYIDRNDHRWGMARAQKVLDQALYGIESVYETYARYIITTMLPALQVDPQAIIPIPSRWYYDGFSRRRVDLLIERFIIIEIDGRIKYQQSQDKLIEVLSDQMYREKHLIRHGYHVLRFAPWELRTLLIPTLTQTLGMLHCDHAPDVHQIPNLQAGHPSWDNRFAVA</t>
  </si>
  <si>
    <t>GC_00003147</t>
  </si>
  <si>
    <t>MKIATATASAVFAVALCAGMSPQAPQAEAQSSPDVAKALTSSQGTDTRAPEGGAKVVVFGDSHTAGTNAPLWADDRGCFRSNTAWPMQLQRKLGLAPGDLIDSSCWGSTINSGPNLHFSDQVRSASARGALGQRTEHIFIQLGFNDAWGTQVTMKDSVKHCLFDVAHGCGDEAVRAGAMQDPAAITGTHYADRVRQVVDYLKYYAPKAKITLVGYQEMVPPSGGEVCTNVAGQQARKADAPALVQAVNNIDRAQREAAEQLKLGFIDLKTASAGHSSCSADPWVNGVGDARATMMGGVWHPSVHAEEITGDIIAQYVRQ</t>
  </si>
  <si>
    <t>MKIATATASAVFAVALCAGMSPQAPQAEAQSSPDVAKALTSSQGTDTRAPEGGAKVVVFGDSHTAGTNAPLWADDRGCFRSNTAWPMQLQRKLGLAPGDLIDSSCWGSTINSGPNLHFSDQVRSASERGALGQRTEHIFIQLGFNDAWGTQVTMKDSVKHCLFDAAHGCGDEAVRAGAMQDPAAITGTHYADRVRQVVDYLKYYAPKAKITLVGYQEMVPPSGGEVCTNVAGQQARKADAPALVQAVNNIDRAQREAAEQLKLGFIDLKTASAGHSSCSADPWVNGVGDARATMMGGVWHPSVHAEEITGDIIAQYVRQ</t>
  </si>
  <si>
    <t>GC_00003148</t>
  </si>
  <si>
    <t>K18926</t>
  </si>
  <si>
    <t>MFS transporter, DHA2 family, lincomycin resistance protein</t>
  </si>
  <si>
    <t>MSDLPQSLGDALEPDHSRPTNTARQNNLVLWILVISTMVMILNETVLSVALPIISQDFGVEATMVQWLTTGFLLVMAVVFPMTGYLLQRFSTRTMFVAALALFAIGTAAAGMAWTFPILLVARLVQAIGTAVIIPLLMTVTMTTVPPERRGATMGLIGVVISVAPALGPTVSGVILSALSWHWLFWTVLPFVVLCLVIGIKFMRNVSEQHALPLDIISVPLSALGFGGLVYGLSEIGTVINGSTKMPLVVLAVGAVFLVLFVLRQLTLGKRDAALLNLQPFSFRPFCVAVIAIGSSMGVLLGTVVVLPFFLQDSLGASALQTGLLVLPGGLLEGLASPVVGRIYDRRGARVLVIPGAIGITVSELGLSMLSENSSIFAVLVLHMLLCLSLACVMTPLMTDGLAAVPQNLYSHGSAILNTLEQLGGAAGTAILVAAMTVASKYALDSGDAPTTAMASGASTAFIVGTLVGVATLVTVLFAAGKTAKTAEPASDG</t>
  </si>
  <si>
    <t>MSDLPQSPGNALEPDHFRPTNTARQNSLVLWILVISTMVMILNETVLSVALPIISQDFGVEATMVQWLTTGFLLVMAVVFPMTGYLLQRFSTRTMFVAALALFAIGTAAAGMAWTFPILLVARLVQAIGTAVIIPLLMTVTMTTVPPERRGATMGLIGVVISVAPALGPTVSGVILSALSWHWLFWTVLPFVVLCLVIGIKFMRNVSEQHALPLDIISVPLSALGFGGLVYGLSEIGTVINGSTKMPLVVLAVGAVFLVLFVLRQLTLGKRDAALLNLQPFSFRPFCVAVIAIGSSMGVLLGTVVVLPFFLQDSLGASALQTGLLVLPGGLLEGLASPVVGRIYDRRGARVLVIPGAIGITVSELGLSMLSENSSIFAVLVLHMLLCLSLACVMTPLMTDGLAAVPQNLYSHGSAILNTLEQLGGAAGTAILVAAMTVASKYALDSGDAPTTAMASGASTAFIVGTLVGVATLVTVLFAAGKTAKTAELASDG</t>
  </si>
  <si>
    <t>GC_00003149</t>
  </si>
  <si>
    <t>MNSLPAQTLANIPGVLGYYPHQSIIFVTFRHHRDDTHSRWALGPTLRIDIDSLDALPEVGEVLTAEHADVVLAFIIGRFPTQDGTTLDEITTTLAQATDTHIVPIDACWHATTITNNGTYQLRFEQTPSLTDRGLPTAGWCHGRIADIPTAQATQQLLADGDLPELTRDDCFTAFDKATIDPTTWRDRASNVANLAAQLAVDAQCCPSQFQAWFTTLETELIRLEQPLPTPPGPGADIIDTCAAMLSITRIRDAAINLLLDHDRAARTLALEVARHFDAPIRTEALCVFALCALGRHNTPKALHALMVARAEQPNHTLTRYLLLAYQHELTENLIEKVRDGSTAAAAYYGLTIPGRHDTGAGRAATTGPNADNTITTT</t>
  </si>
  <si>
    <t>MNSLPAQTLANIPGVLGYYPHQSIIFVTFRHHRDDTHSRWALGPTLRIDIDSLDALPEVGEVLTAEHADVVLAFVIGRFPTQDGTTLDEITTTLAQAADTHIVPIDACWHATTITNNGTYQLRFEQTPSLTDRGLPTAGWCHGRIADIPTAQATQQLLADGDLPELTRDDCFTAFDKAATDPTIWRDRASNVANLAAQLAVDAQCCPSQFQAWFTTLETELIRLEQPLPTPPGPGADIIDTCAAMLSITRIRDAAINLLLDHDHAARTLALEVARHFDAPIRTEALCVFALCALIRHNTPKALHALMVARAEQPSHTLTRYLLLAYQHELTENLIEKVRDGSTAAAAYYGLSIP-------RQTATTGPNADNTITAT</t>
  </si>
  <si>
    <t>GC_00003150</t>
  </si>
  <si>
    <t>MTLIHFTKAHSALVSTFTQVLSEFCGFQVPTPMLIDDWVVFYQAQLESEEGFYAHKYEGVHCLPFRLAINPAKFARQVAIDQAAALNEHILISSHELISNWLRDALANLEWAAYCAIDDEKVNPNDVGFDLILDGPKELKIRRWYRGEQDVLDKMLTQAA</t>
  </si>
  <si>
    <t>MTLIHFTKAHSALVSTFTQVLSEFCGFQVPTPMLIDDWVVFYQTQLESEEGFYAHKYEGVHCLPFRLAINPAKFARQVAIDQAAALNEHILISSHELISNWLRDALANLEWAAYCAIDDEKVNPNDVGFDLILDGPKELKIRRWYRGEQDVLDKMLTQAA</t>
  </si>
  <si>
    <t>GC_00003151</t>
  </si>
  <si>
    <t>MMRPARRRFGKIVTTLLLLPYLSGCAIPFAQQLTTGTGGVSPSTTAAAPT-TTSADDVSAGAAGGSSKSSKKSSAGGEEDDDLVEDPKYYSACTFQHRSKDGLPEGEKKSVSEAGSADYPVMKFLGMARTVQGDTFVFIKFKPPITNSRETSFTIYPNQERKEFMQIRVARDAVTSTTYGRDNPNDLSNRETGSKEAYFARDQINDPRYSGNDVILARIDKKYSRSYRLESVLTMETDTTVSECAYNPDDPNNKAS</t>
  </si>
  <si>
    <t>MMRPARRRFGKIVTTLLLLPYLSGCAIPFAQQFTTGAGGVSPSTTVAAPTATTSADDVSAGAAGGSSKSSKKSSAGGEEDDDLVEDPKYYSACTFQHRSKDGLPEGEKKPVSEAGSADYPVMKFLGLARTVQGDTFVFIKFKPPITNSRETSFTIYPNQERKEFMQIRVARDAVTSTTYGRDNPNDLSNRETGSKEAYFARDQINDPRYSGNDVILARIDKKYSRSYRLESVLTMETDTTVSECAYNPDDPNNKAS</t>
  </si>
  <si>
    <t>GC_00003152</t>
  </si>
  <si>
    <t>MVWVSTKPAKHRAADRAPRLSSAPRRTSVLSAILIVMGIVVLLAPVVLTKLHNADQVRIAEQYSASIREMPVDQREQELARAQEWNERLGRFELRDPWSFAPDPESPEYQEYLSVLAMNPVMARLRVPSVGIDLPVYHGSTEKVLAQGAGHVFGSAFPIGGEGTHAALTGHTGVSTSTMFDNLHKVKLGDTFTVETLGKRVAYRVDNIIVVKPEDTQHLQPVQGKDYVTLITCTPYGINSHRLLVRGERLPDDSPALAENVNSDRWQWWMLLAMGLSALAFIYLILGFVKRKKGQQ</t>
  </si>
  <si>
    <t>MVWVSTKPAKHRAADRAPRPASAPRRTSVLSAILIVMGIVVLLVPVVLTKLHNADQVRIAEQYSASIREMPVDQREQELARAQEWNERLGRFELRDPWSFAPDPESPEYQEYLSVLAMNPVMARLRVPSVGIDLPVYHGSTEKVLAQGAGHVFGSAFPIGGEGTHAALTGHTGVSTSTMFDNLHKVKLGDTFTVETLGKRVAYRVDNIIVVKPEDTQHLQPVQGKDYVTLITCTPYGINSHRLLVRGERLPDDSPALAENVNSDRWQWWMLLAMGLSALAFIYLILGFVKRKKGQQ</t>
  </si>
  <si>
    <t>GC_00003153</t>
  </si>
  <si>
    <t>MFMPKTVRAILAGAVAVATMVATTPVASARDIEETEVSAGGCIKYYISYLDKFDDFMMTIKYHKRGAMQCSIQLTPLDSDFGPAPRLRPRDDWPTTSGKLGKAYENTLYKWELLDDHDKVVNSGTFYS</t>
  </si>
  <si>
    <t>MFMPKTVRTILAGTVAVATMLAATPVASARDIEETEVSAGGCIKYYISYLDKFDDFMMTIKYHKRGAMQCSIQLTPLDSDFGPAPRLRPRDDWPTTSGKLGKAYENTLYKWELLDDHDKVVNSGTFYS</t>
  </si>
  <si>
    <t>GC_00003154</t>
  </si>
  <si>
    <t>MRNLASCVALCTALAMPLVVTPAVSAQQTSAAPSSAAAAASTSAAAPASAEPSAAATSAAKAAEEQGSNGSSLSSDSGLQPNTNATPGANFTGQKSQIEENPSWILSENKFADKAWAGDLDRYSKYTDSQGRKRVVAMAATSPSMNNAKIPLGIIRAKDANRPTMYLLNGAGGGEQSTNWMTFDSAIRFYLDRNVNVVVPMRGAFTYYIDWYDKKGAKGEAYIDGPQNWETFLTKELAEPIEQTLGSNGQRGIVGLSMSATSSLLLAARNPGFYKAVGSYSGCASTSRPIPYMFASITLQREGISPRQVFGPMGGSYNTEHDALVKAEGLRGSAIYVSNATGLMSQNETFNKLRKEGAESAAAANTSSDIVVQGGLIEGATNACTHDLRAKLNGLNIPADYKFRNTGVHTWYYWLDDMRESWPTFARGFGLENELASVPDKSNYPDPQK</t>
  </si>
  <si>
    <t>------------------------------------------------------------------------------MQPNTNATPGANFTGQKSQIEENPSWILSENKFADKAWAGDLDRYSKYTDSQGRKRVVAMAATSPSMNNAKIPLGIIRAKDANRPTMYLLNGAGGGEQSTNWMTFDSAIRFYLDRNVNVVVPMRGAFTYYIDWYDKKGAKGEAYIDGPQNWETFLTKELAEPIEQTLGSNGQRGIVG</t>
  </si>
  <si>
    <t>GC_00003155</t>
  </si>
  <si>
    <t>MPILSSHVVDIGASPQSSQWCDALLEQVARGDQHAFEQLFDHLAPQALGLATRIIHDHAQAEEVVQEVFVEVWRKAPQFDATLGGARSWVLRLTRMRSIDRLRSFIASHDREEKDATQRAAGWSLSVEEEAVSAVENAELRRIVDDIGEPHTTAIVLAFFAGLTHSELAEATGVPLGTAKTRVRDGLRKLKTLLDGKGVTHYDPR</t>
  </si>
  <si>
    <t>MPILSSHVVDIGASPQSSQWCDALLEQVARGDQHAFEQLFDHLAPQALGLATRIIHDHAQAEEVVQEVFVEVWRKAPQFDATLGGARSWVLRLTRMRSIDRLRSFIASHDREEKDATQRAASWSLSVEDEAVSAVENAELRQIVDDIGEPHTTAIVLAFFAGLTHSELAEATGVPLGTAKTRVRDGLRKLKTLLDGKGVTHYDPR</t>
  </si>
  <si>
    <t>GC_00003156</t>
  </si>
  <si>
    <t>MSAFFNAVRSETLKFTSLTSFWVYLVALIASLVGPIFIYTMFAAGPKPVGWDVVTMGGPVFTLIATVFMASAVAGEVETRMNAHAFLTQDRRGLWLGARILVAMAILLAAYIAAMVLTILVLLVMGLNLDLSNLVPLYSSVGSLIMVGLLTAGVSGMLGSRLGGMTLMVLWNMMLTSLVSYAAHMSPKLVFLWLLEPANRMEQLANQLVHTSGLPSGWDLASMQPMVFNIGVILVWLVGMVFGAFVVNVRRDVR</t>
  </si>
  <si>
    <t>MSAFFNAVRSETLKFTSLTSFWVYLAALIASLVGPIFIYTMFAAGPKPVGWDVVTMGGPVFTLIATVFMASAVAGEVETRMNAHAFLTQDRRGLWLGARILVAMTILLAAYIAAMVLTILVLLVMGLNLDLSNLVPLYSSVGSLIMVGLLTAGVSGMLGSRLGGMTLMVLWNMMLTSLVSYAAHMSPKLVFLWLLEPANRMEQLANQLVHTSGLPSGWDLASMQPMVFNIGVILVWLVGMVFGAFVVNARRDVR</t>
  </si>
  <si>
    <t>GC_00003157</t>
  </si>
  <si>
    <t>PF05970.20</t>
  </si>
  <si>
    <t>PIF1-like helicase</t>
  </si>
  <si>
    <t>COG0507|COG2378</t>
  </si>
  <si>
    <t>ATPase/5-3 helicase helicase subunit RecD of the DNA repair enzyme RecBCD (exonuclease V) (RecD) (PDB:1W36) (PUBMED:29901759;30601118)|Predicted DNA-binding transcriptional regulator YobV, contains HTH and WYL domains (YobV)</t>
  </si>
  <si>
    <t>MNVNMTKEFSSTLLEMQRGRNLLITGREGTGKSALLCTFINEYSRGRNCLIIAPTEDAASKVGGMTIGEVFGFSQSEPVNTTRSYRQTPNEEYTEILESLDILIIDEISMVRADHFDMINTALTE</t>
  </si>
  <si>
    <t>COG0507</t>
  </si>
  <si>
    <t>ATPase/5-3 helicase helicase subunit RecD of the DNA repair enzyme RecBCD (exonuclease V) (RecD) (PDB:1W36) (PUBMED:29901759;30601118)</t>
  </si>
  <si>
    <t>MNVNMTKEFSSTLLEMQRGRNLLITGRTGTGKSTLLCTFINEYSRGRNCLIIAPTEDAASKVGGMTIGEVFGFSQSEPVNTTRSYRQTPNEEYTEILESLDILIIDEISMVRADHFDMINTALTE</t>
  </si>
  <si>
    <t>GC_00003158</t>
  </si>
  <si>
    <t>MISVSDFYDYAYNEFRDELWITHESWFFDNDVYIKAGIWTYYGAHYEFYITDATIDLIHTHDRTILEEWDVDPRIERPFYWSDHCIQFVTDDTSMDEPYAAEIRITGSKFFVVPHYYSFEKPQSGPRGFPKPGMTADEIERTTRFQELIFND</t>
  </si>
  <si>
    <t>MISVSDFYDYAYNEFRDELWITHESWFFDNDVYIKAGIWTYYGAHYEFYITDATIDLIHTHDRTILEEWDVDPRIERPFYWSDHCIQFVTDDTSMDEPYAAEIRITGSKFFVVPHYYSFEKPQSGPRGFPKPGMTADEIERTTRFQELIFNN</t>
  </si>
  <si>
    <t>GC_00003159</t>
  </si>
  <si>
    <t>MKRMLAKHVMAGVVAASLATGMTPAFAAENVNTLDTVISDMTKENDKVLAYNGEVGKRFYGPGTLVMGTNPHGDQTPGYYKKALVHPDFKDADAWNAMVPWLEIFTARENQARNTSVEMSNIKLYVLRKSTGKWQEVSDTAVDGKDFPKHGASGDVLTPDLHPEGDNKVVTPASDINRMFHGWGSETDTRELAEGFPTTDIKAVFATVNARLVKKDDKGTDDRDKSEYHLQMGTDYYPDKGVRTEDERILMKGEDGKPMRNKEGKPIGTYFPGVGVSRAKRVTNDWQAFNFVTIWDEEGKITQDDNNGISIKERAISVDELRKNPPPLN</t>
  </si>
  <si>
    <t>MKRMLAKHVMAGVVAASLATGMTPAFAAENVNTLDTVISDMTKENDKVLAYNGEVGKRFYGPGTLVMGTNPHGDQTPGYYKKALVHPDFKDADAWNAMVPWLEIFTARENQARNTSVEMSNIKLYVLRKSTGKWQEVDNSALGGMEFPKHGASGSESNADLHSKDGNMVVTPASDENRMFHGWGNEVDTRQLSDGFSTDDIKAVFATVNARLVKKDDKGADDRDKSQYHLQMGTDYYPEKGVRTSDRRM--------EMRDEHGNKTGTYFPGVGVSRAKRVTNDWQAFNFVTIWDEEGKITQDDNNGISIKERAISVDELRKNPPPLN</t>
  </si>
  <si>
    <t>GC_00003160</t>
  </si>
  <si>
    <t>MIYRDTVTRKELIDGIELLRSATMEESEESALLERLERGVSDPALSDYILWSDMTATEIVRIVEAHQPIALS</t>
  </si>
  <si>
    <t>MIYRDTVTRKELIDGIELLRSATMEESEESALLERLERGVSDPALSDYIVWSDMTATEIVCIVEAHQPITLS</t>
  </si>
  <si>
    <t>GC_00003161</t>
  </si>
  <si>
    <t>PF02836.23</t>
  </si>
  <si>
    <t>Glycosyl hydrolases family 2, TIM barrel domain</t>
  </si>
  <si>
    <t>K01190</t>
  </si>
  <si>
    <t>beta-galactosidase [EC:3.2.1.23]</t>
  </si>
  <si>
    <t>COG3250</t>
  </si>
  <si>
    <t>Beta-galactosidase/beta-glucuronidase (LacZ) (PDB:5N6U) (PUBMED:19291314)</t>
  </si>
  <si>
    <t>KEGG Orthology (KO)&gt;&gt;&gt;09100 Metabolism&gt;&gt;&gt;09101 Carbohydrate metabolism&gt;&gt;&gt;00052 Galactose metabolism [PATH:ko00052]|KEGG Orthology (KO)&gt;&gt;&gt;09100 Metabolism&gt;&gt;&gt;09103 Lipid metabolism&gt;&gt;&gt;00600 Sphingolipid metabolism [PATH:ko00600]|KEGG Orthology (KO)&gt;&gt;&gt;09100 Metabolism&gt;&gt;&gt;09107 Glycan biosynthesis and metabolism&gt;&gt;&gt;00511 Other glycan degradation [PATH:ko00511]|Enzymes&gt;&gt;&gt;3. Hydrolases&gt;&gt;&gt;3.2  Glycosylases&gt;&gt;&gt;3.2.1  Glycosidases, i.e. enzymes that hydrolyse O- and S-glycosyl compounds&gt;&gt;&gt;3.2.1.23  beta-galactosidase</t>
  </si>
  <si>
    <t>MIVPRHFDDLSVLHEHTLPPRAYYVPASHPLSTAWKREDSDRFHLLNGTWAFKYLPSIYELTEPFWDHSPTTSAPDGFSMIEVPSTWQHLGYDHHHYTNVRYPIPLDPPHVPQDNPCGAYIRDFDYTPNPQAPSTYLTFEGVDSCFYVWLNGTYIGYSQVSHASAEFDVTDFIHPDANRLAVLVLKWCDGTYLEDQDKFRTSGIFRDVYLVDRPAAVFFDYVTTTSFTSDTAIVDIRGNYRGGTVPTTVELYDSDGHLVTTSTMELIDADADYTHHAQLTVTNPHLWNAEDPYLYQLAIVKPDEVITDRVGIRDVAVKDTEVCLNGNPLTLRGVNRHDSDPVTGPVVDLEHMQRDLRLMKEHNINAVRSSHYPNDPRFYQLCDEYGFYVMSEADNESHGTQTQFLADASWDNQVEHWNEPIADNPKWTEATVDRMQLCVHREKNRPSIISWSAGNECAYGCTLETALSWTKSFDPTRLTHYESSYYRDSKRRYDYSCIDLYSRMYPAIEEIRKYLDSDPDKPFILVEYCHAMGNSPGDLEDYWEIIRADKRMCGGFVWEWCDHAVTAGTSEDGRPIYLYGGDHDEQIHDGNFCVDGLVSPDRIPHSGLAELKNVQRPARVVAYDQDKGLLTIVNELDHTDLSQYLSISYEVRRDGAIVEHGDLDLNEPVPPHATTTLRCEPRIPESGRCHLLVTYRLARPEPLLTTGHILGFDEVPLHNSDARHQRAVELAHRPVGNQPLSVSRTATRIDVDTRDLHYSFDVRTGLPVSLVHRGSEFLDRPAELNIWRAPTDNDRHIRREWERAHYHQATARAYAVDVSEEPGRVIISAEVAVVAPTVQPVLRGRLTWTITDSDVLSLNLRLQRTLGFPSLPRLGLRLFLPESMNHVDYCGMGPQESYVDKHRASYHGFFNATVADLHQDYIRPQENGSHSDCNEVTISDSDRSLTALALSPFSFNASHYTQEELVAQKRNTDLTPSGSTVLCLDAAMAGIGSNSCGPTLRPKYQVKNHELEMDLHLLLTTF</t>
  </si>
  <si>
    <t>MIVPRHFDDLSVLHEHTLPPRAYYVPASHPLSTAWKREDSDRFHLLNGTWAFKYLPSIYELTEPFWDHSPTTSAPDGFSMIQVPSTWQHLGYDHHQYTNVRYPIPLDPPHVPQDNPCGAYIRDFDYTPNPQAPSTYLTFEGVDSCLYVWLNGTYIGYSQVSHASAEFDVTDFIHPGTNRLAVLVLKWCDGTYLEDQDKFRTSGIFRDVYLVDRPAAVFFDYVTTTSFTSDTAIVDIRGNYRGGTVPTTVELYDSDGHLVTTSTMELIDADADYTHHAQLTVTNPHLWNAEDPYLYQLVIVTPDEVITDRVGIRDVAVKDTEVCLNGNPLTLRGVNRHDSDPVNGPVVDLEHMQRDLRLMKEHNINAVRSSHYPNDPRFYQLCDEYGVYVMSEADNESHGTQTQFLADASWDNQVEHWNEPIADNPEWTEATVDRMQLCVHREKNRPSIISWSAGNECAYGCTLEAALSWAKSFDPTRLTHYESSYYRDSKRRYDYSCIDLYSRMYPAIEEIREYLDSDPDKPFILVEYCHAMGNSPGDLEDYWEIIRADKRMCGGFVWEWCDHAVTAGTSEDGRPIYLYGGDHDEQIHDGNFCVDGLVSPDRIPHSGLAELKNVQRPARVVAYDQDKGLLTIVNELDHTDLSQYLSISYEVRRDGAIVEHGDLDLNEPVPPHATTTLRCEPRIPESGRCHLLVTYRLARPEPLLTTGHILGFDEVPLHNSDARHQRGVELAHRPVGNQPLSVSRTATRIDVDTRDLHYSFDVRTGLPVSLVHRGSEFLDRPAELNIWRAPTDNDRHIRREWERAHYHQATARAYAVDVSEEPGRVIISAEVAVVAPTVQPVLRGHLTWTITDSDVLSLNLRLQRTLGFPSLPRLGLRLFLPESMNQVDYCGMGPQESYVDKHRASYHGFFNATVADLHQDYIRPQENGSHSDCNEVTISDSDRSLTALALNPFSFNASQYTQEELVAQKRNTDLTPSGSTVLCLDAAMAGIGSNSCGPTLRPKYQVKNHELEMDLHLLLTTF</t>
  </si>
  <si>
    <t>GC_00003162</t>
  </si>
  <si>
    <t>MRALTDAEVAVLTAMIQHAPPDLTPESMTEERRTMWLNQVPRVSVARECGCGTCASIEFALDGVPVAQAWSDEILFAYDMWQDAIVAVHIINDVIRELEVAPVQDTVVTTPNPAALDFSGWSEP</t>
  </si>
  <si>
    <t>GC_00003163</t>
  </si>
  <si>
    <t>MSAQPQSTEPSFVHDIDAESGIFDSATGTLKLLAEPTRLHILWLLSERERNVTELVEVTGVARTVVSQHLAKLRLGGLVQTRRVGRSVIYRVDDGHLTRLVFESLNHADHQMTGEPAHE</t>
  </si>
  <si>
    <t>MSAQPQSTEPSFVHDIDAESGIFDSATGTLKLLAEPTRLHILWLLSERERNVTELVEVTGVARTVVSQHLAKLRLGGLVQTRRVGRSVIYRVDDGHLNRLVFESLNHADHQMTGEPAHE</t>
  </si>
  <si>
    <t>GC_00003164</t>
  </si>
  <si>
    <t>MGRHGMPNDPQHDLRHKHHNGRRARQQDAYEDDYEEWSGQANYVEDQADDIDDTDAADSDYDDYAYADYIDDADEAWDE------EDEWEEPVEWGEAPKKIKTPSGRATMLKLSVRSIMAHKLRLLLSVVAVMLGTAFVAGSMMFTASLNAVFDSTVEDTFAGVDAVITPDPAAIMAEVAQNPDAADSLGGIRRSLLDELRNDPEIKNVVIQDGVRLMLADANRKPFQTRNGRVRVVPWYDENSAVGVGNRLITGSLPENPDQVLLNKQAAQTYNIKVGDTVVVIDPQNQRNMTVTGIFSPAKASAELGANITLAIPETDFLDQYTDGKTVKSLAVSGNTKHGAELVDYLKSKYQGVKYQLGSELAAELNGAIRDGLKFINYFLVAFGLIALLVGTFIIANTFAMIVAQRLQEFALLRALGVSRLQLTTSVIIEAFLVGIIGSGTGIGAGMGLVRGIQFALKYFNMSIPEVGLGLTTTSVVGPLALGVLVTLMSAWSPARRAGAVHPVEAMRSTETAAESPLKLRTFLGLVLLATGGAAAAAAVRASIADYDTQTRALAVGAGAVLVTIGVFMVAPALSILVVGIIGRLLGLPFRAVGKLAATNSRRNPRRTATTAFALTLGVALVTTIGMLAASMQQSVKDLVSSGVRADYVLSSPGDGRFPIPDDAVQKVRETAGVGEITGFSRVPVSVGVTPDSFMVANGMAKTLVADNDLTKTLELEGVSGSMNLADPNVFVAFDDYAHKQGWKVGDMVPVKNLAGDDVVEAKLIGTYEENQVIGDVVLSASTVANTPYAREQVLTWLMVVGNGEVSKEQLRANLQAAVADYLVVQVQDRQEYAGERAAMINQMLYILYALLALSVLVATLGIVNTLALNVIERRQEIGMLRAVGMQRRQIRLLITIESVQIALFGAAVGIGVGVGLGWAFLKVLAGEGLSALVIPWPQLGWMFGASAVVGVIAALWPASRAAKTPPLDAIAH</t>
  </si>
  <si>
    <t>MGRHGMPNDPQHDPRHKHHNGRRARQQDAYEDDYEEWSDQADYVEDQADDIDDTDSA--DYDDYAYADYIDDADEAWDEDDEWDDEDEWEEPVEWGEAPKKIKTPSGRATMLKLSVRSIMAHKLRLLLSVVAVMLGTAFVAGSMMFTASLNAVFDSTVEDTFAGVDAVITPDPAAIMAEVAQNPDAADSLGGIRRSLLDELRNDPEIKNVVIQDGVRLMLADANRKPFQTRNGRVRVVPWYDENSAVGVGNRLITGSLPENPDQVLLNKQAAQTYNIKVGDTVVVIDPQNQRNMTVTGIFAPAKASAELGANITLAIPETDFLDQYTDGKTVKSLAVSGNTKHGAELVDYLKGKYQGVKYQLGSELAAELNGAIRDGLKFINYFLVAFGLIALLVGTFIIANTFAMIVAQRLQEFALMRALGVSRLQLTTSVIIEAFLVGIIGSGTGIGAGMGLVRGIQFALKYFNMSIPEVGLGLTTTSVVGPLVLGVLVTLMSAWSPARRAGAVHPVEAMRSTETAAESPLKLRTFLGLVLLAAGGAAVAAAVRASIADYDTQTRALAVGAGAVLVTIGVFMVAPALSILVVGIIGRLLGLPFRAVGKLAATNSRRNPRRTATTAFALTLGVALVTTIGMLAASMQQSVKDLVSSGVRADYVLSSPGDGRFPIPDDAVQKVRETAGVGEITGFSRVPVSVGVTPDSFMVANGMAKTLVADNDLTKTLELEGVSGSMNLADPNVFVAFDDYAHKQGWKVGDMVPVKNLAGDDVVEAKLIGTYEENQVIGDVVLSASTVANTPYAREQVLTWLMVVGNGEVSKEQLRANLQAAVADYLVVQVQDRQEYAGERAAMINQMLYILYALLALSVLVATLGIVNTLALNVIERRQEIGMLRAVGMQRRQIRLLITIESVQIALFGAAVGIGVGVGLGWAFLKVLAGEGLSALVIPWPQLGWMFGASAVVGVIAALWPASRAAKTPPLDAIAH</t>
  </si>
  <si>
    <t>GC_00003165</t>
  </si>
  <si>
    <t>MEVNAGLLSDYQAKFYAHELERSYASDHVGRLAGLLFDAQVEPKPHQVDAALFALQTPFTSGVILADEVGLGKTIEAGIVISQYWAERKRRILIIAPSSLRQQWRQELNEKFALPASLLERGSLDELTSSGAHEQILICSYEFANSQHLNLTRPWDLVVCDEAHRLRSYWTGQAKIAANIARICRVATKTVMLTATPLQNRLEELFGLVSVFAPDYFRSLETFKERYINNPEGVGNDDLAARVARIAKRTLRKDANKYIRFTTRMPLTIAFTPSEDEVQLYEFINSYLQRPFLWAFAKSQRHLSALILRKRLGSSSYAVASTLESIANRLEAETRSGKRRNDAGAFIADRDLTSEEREEADNTLASTEVVEGGERAEMLAEVQELRDYAALARSITVNQKAVKLVDALEQGFAKLREIGAPEKAIIFTDSTVTQNYLAQSLCDAGWGEGLVLFNGTNDSAEANAIYREWLEENKGGDIVTGIPAADRRKALVDEFRQRGRLMIATEAAAEGINLQFCSMLVNYDLPWNPQRVEQRIGRVHRFGQKHNVVVVNFSNKGNLAEERILQLLTEKFQLFTSVFGSSDEVLGQIEDGLDFEKNIAAILDRCTTAEQIDAAFTELEARYAAQITREMKGTRKKVFDNLDPKVRDKLKSYDAQTGVVLNAFERLLIALTRYELADLATFNDTATQFTLTQPPIPGIAIGEYFFKAEPRKGAHQYRYASDLCQWVISSAKMHKTPPARLTFQIKDSVRATAVSKRLRKKSGRLTVHEATFTMQAGNQNLRETYLLLAGFFEDGTPMDHEQIRDLFDLTCIDVVPEAVSTDGFSEAIDALRSHIAIDVQDRNATFYLQQEALIEAARLDLKATFDAKIRDFHAKESTATKAARKASSTAEQLKLTREARQWKRRAEEADDEYRRERDKLRDESDTYLDNAAQALEAEQSTNELFTINWEVR</t>
  </si>
  <si>
    <t>MEVNAGLLSDYQAKFYAHELERSYASDHVGRLAGLLFDAQVEPKPHQVDAALFALQTPFTSGVILADEVGLGKTIEAGIVISQYWAERKRRILIIAPSSLRQQWRQELNEKFALPASLLERGSLDELTSSGAHEQILICSYEFANSQHLNLTRPWDLVVCDEAHRLRSYWTGQAKIAANIARICRVATKTVMLTATPLQNRLEELFGLVSVFAPDYFRSLETFKERYINNPEGVGNDDLAARVARIAKRTLRKDANKYIRFTTRMPLTIAFTPSEDEVQLYEFINSYLQRPFLWAFAKSQRHLSALILRKRLGSSSYAVASTLESIANRLEAETRSGKRRNDAGAFIADRDLTSEEREEADNTLASTEVVEGGDRAEMLAEVQELRDYAALARSITVNQKAVKLVDALEQGFAKLREIGAPEKAIIFTDSTVTQNYLAQSLCDAGWGEGLVLFNGTNDSAEANAIYREWLEENKGGDIVTGIPAADRRKALVDEFRQRGRLMIATEAAAEGINLQFCSMLVNYDLPWNPQRVEQRIGRVHRFGQKHNVVVVNFSNKGNLAEERILQLLTEKFQLFTSVFGSSDEVLGQIEDGLDFEKNIAAILDRCTTAEQIDAAFTELEARYAAQITREMKGTRKKVFDNLDPKVRDKLKSYDAQTGVVLNAFERLLIALTRYELADLATFNDTATQFTLTQPPIPGIAIGEYFFKAEPRKGAHQYRYASDLCQWVISSAKMHKTPPARLTFQIKDSVRATAVSKRLRKKSGRLTVHEATFTMQAGNQNLRETYLLLAGFFEDGTPMDHEQIRDLFDLTCIDVVPEAVSTDGFSEAIDALRSHIAIDVQDRNATFYLQQEALIEAARLDLKATFDAKIRDFHAKESTATKAARKASSTAEQLKLTREARQWKRRAEEADDEYRRERDKLRDESDTYLDNAAQALEAEQSTNELFTINWEVR</t>
  </si>
  <si>
    <t>GC_00003166</t>
  </si>
  <si>
    <t>MILSSEHTNTTRARMVALLTVLCVVLSITVGAVATVTGTAVAHAQTANNQASEPRAGDAWSTRTNTRKLDGTYATWAARFNTTALAANVPNLAFTGTPTQLNFAVTADDGQVLVDEQPYWELHRVEAGKAEGAGEADSATLLASAAVAADGYSVSYEFTDAAGTSANVTINGPFAPDATYEVRFHTIPISPAKPYFDRGAGLHVTTAIAGLNSTATNYDISGTITSEETTPGFGTFSITNLVQGGAADKMPAGARFIINGTYTLPNGTTTSDYADWSAPGTIRADKTGGAFTMMVGKDNAATLDDAAHPGHIIQFPLGTRIDFKEQQPQDSWEYAWAPPFFRIGNDIISGVTLSAEKTHIEVVNQVHMRSDVTPAWTLLTGIPFLGSVIAPLVASGLGILPTGSSTPSGAGMSGAAQSAAPDNPVVPSANGFSGSSQPGELSQGDSGHEQPSIAQAEVLNRDGGTARKIAGNAGTSAHMDVSAVRATSSSAVLDALRVGWVVIVLALLLLVVAVGLLITVAYRNRL</t>
  </si>
  <si>
    <t>MILSSEHTNTTRARMVALLTALCIVLSISVGAVATATGTAVAHAQTANNQASEPRAGDAWSTRTSTRKLDGTFATWAARFNTSALAATVPNLAFTGASTQLTFMVTADDGQVLVDEQPYWELHRVEAGKAEGAGEADSATLLASAAVAADGYSVSYEFTDAAGTSANVTIDGPFASDATYEVRFHTIPISPAKPYFDRGAGLHVTTAIAGLNSTATNYDISGTITSEETTPGFGTFSITNLVQGGAADKMPAGARFIINGTYTLPNGTTTSDYADWSAPGTIRADKTGGAFTMMVGKDNAATLDDAAHPGHITQFPLGTRIDFKEQQPQDSWDYAWAPPFFRIGNDIISGVTLSAEKTHIEVVNQVHMRSDVTPAWTLLTGIPFLGSVVAPLVASGLGILPTGSSTPSGAGMSGAAQSAAPDNPVVPSAHGFSGSSQPGELSQGDSGHEQPSIAQAEVLNRDGGTARKIAGNAGTSAHMDVSAVRATSSSAVLDALRVGWVVIVLALLLLVVAVGLLITVVYRNRL</t>
  </si>
  <si>
    <t>GC_00003167</t>
  </si>
  <si>
    <t>COG1320</t>
  </si>
  <si>
    <t>Multisubunit Na+/H+ antiporter, MnhG subunit (MnhG) (PDB:6CFW)</t>
  </si>
  <si>
    <t>MSIAAVIATALVVVATLLIVATVIALWRAPDAVTRANLMGPTTGVAAPLLIIAKVVYDAADGITPNSLIRAVLAILGLLIVASVSGFYMGRSLQETARERTEAAEAADA</t>
  </si>
  <si>
    <t>MSIAAVIATALVVVATLLIVATVIALWRAPDAVTRANLMGPTTGVAAPLLIIAKVVYDAADGITPNSLIRAVLAILGLLIVASVSGFYMGRSLQETARERAEAAEAADA</t>
  </si>
  <si>
    <t>GC_00003168</t>
  </si>
  <si>
    <t>PF17929.6</t>
  </si>
  <si>
    <t>MPESFRRAHTDEQRKIRSEVILDTTRRMLATTRVPDLSLNAIAREVGLAKSNVLRYFHSREAILLSLLTTEYTTWVTNVTAAANDCTSPEALAAVLAQKACAQPLFPPLLSELTNTLEHNITVDDVVNFKTQILHQVKTLTDFVHETCPELSECPDLPLIAGIHAHICYTWGVGHPAPTLVQASATNSAIPSHAGQQEDIMRELITAHLRGLSTPPTRRDGAN</t>
  </si>
  <si>
    <t>MPESFRRAHTDEQRKIRSEVILDTTRRMLATTRVPDLSLNAIAREVGLAKSNVLRYFHSREAILLSLLTTEYTTWVTNVTAAANDCTSPEALAAVLAQKACAQPLFPPLLSELTNTLEHNITVDDVVNFKTQILHQVKTLTDFVHETCPELSECPDLPLIAGIHAHICYAWGVGHPAPTLVQASATNSAIPSHAGQQEDIMRELMTAHLQGLSAPPTHRDGAN</t>
  </si>
  <si>
    <t>GC_00003169</t>
  </si>
  <si>
    <t>MSSLSSVKITVLDSATLFEGIDTIYRYDLPGTGVEEGWAVNAVIEQIRDMYGAVWPDVEVVIDGSEAATDMLSRTLLNKGVTAYSIEALTDPVIQESGSQPSHEDLFQIRRPTEHTRQLPFTRFHAVLAGIGVVIVGGVVLLVGNSVRTDAPAHSHAATVSTAAHALGNGASSPAASTRRKQEVPPSRVLEYQNVVFSVPQGFKLEPRDDGLLVATGDDPNLRILVAADPIHNVDPAAVRREVEEMVEHDPQLTAQSDEQMRGPEIVTQTYREDPGDGSSVLWVTWVQQNNQVSVGCHSKTNATIPQKAACRMAVETLQLKN</t>
  </si>
  <si>
    <t>MSSLSSVKITVLDSATLFEGIDTIYRYDLPGTGVEEGWAVNAVIDQIRDMYGAVWPDIEVVIDGSEAATDMLSRTLLNKGVTAYSIEALTDPVIQESGSQPSHEDLFQIRRPTEHTRQLPFTRFHAVLAGIGVVIVGGVVLLVGNSVRTDAPAHSHAATVSTAAHALGNGASSSATSTRRKQEVPPSRVLEYQNVVFSVPQGFKLEPRDDGLLVATGDDPNLRILVAADPIHNVDPAAVRREVEEMVEHDPQLTAQSDEQMRGPEIVTQTYREDPGDGSSVLWVTWVQQNNQVSVGCHSKTNATIPQKAACRMAVETLQLKN</t>
  </si>
  <si>
    <t>GC_00003170</t>
  </si>
  <si>
    <t>PF16169.10</t>
  </si>
  <si>
    <t>Domain of unknown function (DUF4872)</t>
  </si>
  <si>
    <t>COG4990</t>
  </si>
  <si>
    <t>Predicted cysteine peptidase, C39 family (YvpB) (PDB:3ERV)</t>
  </si>
  <si>
    <t>MIDTQPFVGQHCETTTVGTLLGQLGIHLSEPMLFGLGEGLAYTIWKMKTMDFPFLGGRIKPDLITENIATNLGLLLTVKETTSQAKAWRMVKELLDAGHVVGLKLDCYHLEYFSQPTHFAGHYVAIRGYDDHQAFLVDTQQQGTTAVTSLESLALARNEKGPMSSRNRYFTLAIDPEHPQPMTRETLAETVATAIRKNAATYLNPPIKNLCYKGIEKTSWEILRWYDTSDNVQEEFAITAMLMERAGTGGALFRNMYRDFLQEAHELNGAENINAAHNAFVNIAHDWSQVIALFEQVGATGDRTYVEQASELLKSLAKQEQAAMQLLL</t>
  </si>
  <si>
    <t>MIDTQPFVGQHCETTTVGTLLGQLGIHLSEPMLFGLGEGLAYTIWKMKTMDFPFLGGRIKPDLITENIATNLGLLLTVKETTSQAKAWRMVKELLDAGHVVGLKLDCYHLEYFSQPTHFAGHYVAIRGYDDHQAFLVDTQQQGTTVVTSLESLALARNEKGPMSSRNRYFTLAIDPEHPQPMTRETLAETVTTAIRKNAATYLNPPIKNLCYKGIEKTSREILRWYDTSNNVQEEFATTAMLMERAGTGGALFRNMYRDFLQEAHQLTGAENIKAAHNAFVNIAHDWSQVIALFEQVGATGDRTYVEQASELLKSLAKQEQAAMQLLL</t>
  </si>
  <si>
    <t>GC_00003171</t>
  </si>
  <si>
    <t>MNTNKNSKLLTTDLTTDLNEFIDALEHAFASEGHPDTEVSIGRVERSKRLPDGTYSIDFLINLNNGPVIPQDEYLVPGAPRLSEEMARRVCAQVGLAVKNVIEIRIRHQITLVAIVGTSQ</t>
  </si>
  <si>
    <t>MNTNKNSKLLTTDLTTDLNEFIDALEHAFASEGHPDTEVSIGRVERSKRHPDGTYSIDFLINLNNGPVIPQDEYLVPGAPRLSEEMARRVCAQVGLAVKNVIEIRIRHQITLVAIVGTSQ</t>
  </si>
  <si>
    <t>GC_00003172</t>
  </si>
  <si>
    <t>MTDTEPPAPTPDTPSPTTPQSATPQQAPKQQPAVQRLYRTATRGEAVAGMAWLCLGAIISMFLEVIYLGTWMFGVAVPYTIPIAFCFNMVLTRTALLWTKNPYLALIPLWVWLGGIILIAFTFSFTGDQLIGSNIRSILLMVAGALGGSWPLFVKK</t>
  </si>
  <si>
    <t>MTDTEPSAPTPDTPPPATPQSATPQQAPKQQPAVQRLYRTATRGEAVAGMAWLCLGAIISMFLEVIYLGTWMFGVAVPYTIPIAFCFNMVLTRTALLWTKNPYLALIPLWVWLGGIILIAFTFSFTGDQLIGSNIRSILLMVAGALGGSWPLFVKK</t>
  </si>
  <si>
    <t>GC_00003173</t>
  </si>
  <si>
    <t>MIDLDQIPPKIAAFVDAVNAQDMAGIVECFHPDARLTSVPYYGEGLATVRYWANCLVNGRMTIRNYFYACGSHNLNLWLEFHPPGKVRATRVMYCFELADDGRIAVLHSNALTISLKIDDRFSSMFSLRCAQGKRHS</t>
  </si>
  <si>
    <t>MVDLDRIPPKIAAFVDAVNAQDMAGIVECFHPDARLTSVPYYGEGLATVRYWANCLVNGRMTIRNYFYACGSHNLNLWLEFHPPGKVRATRVMYCFELADDGRIAVLHSNALMISLEIDNRFSSMFSLRCAQGKRHS</t>
  </si>
  <si>
    <t>GC_00003174</t>
  </si>
  <si>
    <t>MDMDNPGLTRESKLVLGTLVLAATVMLLNETTLSVALPVIMDSFGVTAATAQWLTTGFMLTMAVVIPTTGFVIERLTTRQVFITAFVFFLGGTLVAALAPVFLVLLGGRVLQAAGTALIMPLLMTTVMNVVPPSMRGSFVGMMSVVISLAPAFGPTVSGFILNYFSWNFVFWFMVPFVVFILLVGVKYISNVGESTEKPFDIISVPLAAIGFGGFVYALSDIETLMAGSFVPIIVGVAAIIALVAFVLRQLSLGKRDQAFLDLRVFAVPGFAIAIVLVMVIFGLLLGLVTVLPIYLQKALLVTTAVSGLVVMPGGLLQGLAAPFIGRLYDRVGVRPLMIPGIIVVAISTGLLAWAAYQRFGPIAMAMLYVLFEVGIAFGITPLYTASLSSLPAHLYSHGSATLSTAQQLASAIGVAILVAVLTQQTNSKVAAGAPLVDATAHGATSAFLVATILAVVAVLLSFFIKQAKN</t>
  </si>
  <si>
    <t>MDMDNPGLTRESKLVLGTLVLAATVMLLNETTLSVALPVIMDSFGVTAATAQWLTTGFMLTMAVVIPTTGFVIERLTTRQVFITAFVFFLGGTLVAALAPVFLVLLGGRVLQAAGTALIMPLLMTTVMNVVPPSMRGSFVGMMSVVISLAPAFGPTVSGFILNYFSWNFVFWFMVPFVVFILLVGVKYISNVGESTEKPFDIISVPLAAIGFGGLVYALSDIETLMAGSFVPIIVGVAAIIALVAFVLRQLSLGKRDQAFLDLRVFAVPGFAIAIVLVMVIFGLLLGLVTVLPIYLQKAILVTTAVSGLVVMPGGLLQGLAAPFIGRLYDRVGVRPLMIPGIIVVAISTGLLTWAAYQRFGPIAMAMLYVLFEVGIAFGITPLYTASLSSLPAHLYSHGSATLSTAQQLASAIGVAILVAVLTQQTNSKVAAGAPLVDATAHGATSAFLVATILAVVAVLLSFFIKQAKN</t>
  </si>
  <si>
    <t>GC_00003175</t>
  </si>
  <si>
    <t>MPPKVACNMIGGMSAQQRLNSQISFQFYTGSRLMQRMYRPYLDEWGITYSQYLVLECLWEEDGQTIADLSIPLDLDSGTLSPLLKRMENGGFVRRQADKTDYRRVLFFLTQRGQKLQDEAIIMEQEIVKMLNFTDADLKAIGTVMAKINPNGKFTD</t>
  </si>
  <si>
    <t>GC_00003176</t>
  </si>
  <si>
    <t>PF08002.16</t>
  </si>
  <si>
    <t>Protein of unknown function (DUF1697)</t>
  </si>
  <si>
    <t>COG3797</t>
  </si>
  <si>
    <t>Uncharacterized conserved protein, DUF1697 family (PDB:2HIY)</t>
  </si>
  <si>
    <t>MRYVLLLRGINVGGKNKVVMADLKADLVELGFQNPVSYINSGNLVFDSENREAKITETLTDYFRSTYDFPLPFILISAATLRKEAAQVPDWWRDEAAYRRDVLFYLPEAKKDEIEAATADWATDTERLHFGHTAFFYSNTNQADYFKSNYHKKLLKASFYKQLTIRNGKTFQKLLELVDEA</t>
  </si>
  <si>
    <t>MRYVLLLRGINVGGKNKVVMADLKADLAELGFQNPVSYINSGNLVFDSENREAKIAETLTDYFRSTYDFPLPFILISAATLRKEAAQVPDWWRDETAYRRDVLFYLPEAKKDEIEAATADWATDTERLHFGHTAFFYSNTNQADYLKSNYHKKLLKASFYKQLTIRNGKTFQKLIELADEA</t>
  </si>
  <si>
    <t>GC_00003177</t>
  </si>
  <si>
    <t>------------MGRMVLPIQRRTRIDSLDVVRGIAVCGIAFVNIAPIVRFDSWAENAVSHFLNLFVQQRFFPIFSLLFGIGFGMMWSRARERSQRPRLVLLRRILFLLGLGIPHEMVHPGEALLPYATVALVILLPATWIPQRWLVPVTAGLGALSLVGLLAIGGGSIMIVPSLLLLGFAYAVSGEVEHCEDDFRVFVFACAVLLPAVIGCLYWQLHPSSPEMALQAESVAGTVLAAFYIGVIMLLMHTPARRV</t>
  </si>
  <si>
    <t>MQWFGGYLRLAIMGRMVLPIQRRTRIDSLDVVRGIAVCGIAFVNIAPIVRFDSWAENAVSHFLNLFVQQRFFPIFSLLFGIGFGMMWSRARERSQRPRLVLLRRILFLLALGIPHEMVHPGEALLPYATVALVILLPATWIPQRWLVPVTAGLGALSLVGLLAIGGGSIMIVPSLLLLGFAYAVSGEVEHCEDDFRVFVFACAVLLPAVIGCLYWQLHPSSPEMALQAESVAGTVLAAFYIGVIMLLMHTPARRVLTAVFAPLGRMALTNYMSATLVFYMVKWWGKDALGLADGTLRDWQILMLVVAVMLIAQSIVSALWLRRFKQGPLEQLWRWATWGQWGVTSQTAAKISAASGQRE</t>
  </si>
  <si>
    <t>GC_00003178</t>
  </si>
  <si>
    <t>METRYTDTVTAEKLRPPAVVRWAAIIAIIQSAIGLGFAIILIVREATGQTDPNLVYESAHANRWVGYGTAVFFIIIFGAVAAGAMMMFTARRWGRGPVIMLELFLLVAAVYMFNAQQYSLSLATAGSALLGLGLLFNPRAISWAAQHY</t>
  </si>
  <si>
    <t>METRYTDTVTAEKLRPPAVVRWAAIIAIIQSAIGLGFAIILIVREATGQTDPNLVYESAHANRWVGYGTAVFFIIIFGAVAAGAVMMFTARRWGRGPVIMLELFLLVAAVYMFNAQQYSLALTTATSALLGLGLLFNPRAISWAAQHY</t>
  </si>
  <si>
    <t>GC_00003179</t>
  </si>
  <si>
    <t>MPAQTIIAPPSTAALFLIFTIDETAPEAIDTVRDLFADFPGLNRTVSFRYPDADLYGVIGIGARLWPLITSAPIPEQLHEFREIRGAKHSAPSTPGDLILHLRAASVDMCWELARIVMDRLANVATVVDETHGFKFFDNRDLLGFVDGTENPENSDAENAVRISAPSTSPYINGSYLIVQKYLHDMNAWKELNTEEQEKVIGRTKLDNVELDDATKPNNSHVAINDVDSDIYRLNMPFGSFKEQEFGTYFAGYSGDVSVTEEMLTNMFVGKPTGNYDRILDFSYPTTGTLFFIPSIELLDDFAEQLPAPTAE</t>
  </si>
  <si>
    <t>MPAQTIIAPPSTAALFLVFTIDETAPDAIDTVRDLFADFPGLNRTVSFRYPDADLYGVIGIGARLWPLITSAPIPEQLHEFREIRGAKHSAPSTPGDLILHLRAASVDMCWELARIVMDRLANVATVVDETHGFKFFDNRDLLGFVDGTENPENSDAEDAVHISAPSTSPYINGSYLIVQKYLHDMNAWKELNTEEQEKVIGRTKLDNVELDDATKPNNSHVAINDVDSDIYRLNMPFGSFKEQEFGTYFAGYSGDVSVTEEMLTNMFVGKPTGNYDRILDFSYPTTGTLFFIPSIELLDDFTEQLPKPTK-</t>
  </si>
  <si>
    <t>GC_00003180</t>
  </si>
  <si>
    <t>MRKTLVTFTIAISLGLSGTVANAQEAAPAGPAAQ------VAEAEAAPAPADAATTNNTETTTEATTAAESEAAEPANAEADQPEITQTADTANQSQKASSNPTLRTVGIIAGVVSLLGLIGGGIFWAIQQNLINIPGLPGLPNPNPAPAPAPQGKYYPNCKAVWDELGRPIRNGEPGYDRNLDHDGDGVGCEQRPR</t>
  </si>
  <si>
    <t>MRKTLVTFTIAISLGLSGTVANAQEAAPAGPAAQVADSTVVAEAEAAPAPADTATTNNTEATTEATTAAESDVAETANAEADQPEITQTADTTNQSQKASSNPTLRTVGIIAGVVSLLGLIGGGIFWAIQQNLINIPGLPGLPNPNPAPAPAPQGKYYPNCKAVWDELGRPIRNGEPGYDRNLDHDGDGVGCEQRPR</t>
  </si>
  <si>
    <t>GC_00003181</t>
  </si>
  <si>
    <t>MLEIIIALAAAIFLGNTLAHRIRVTPAILLIFLGLALALLPAMHELREVGLPSYVILEIFLPIMLFWEARNTSLREVRKSLRAIITSGTVLVIVTAFAMAGVLTHFFHIDWGTALIIGAALAPTDATAVATLNGKLPKRSITVLKAESLINDGTTLVVFALAIQVAGGADLSVSHAGGMLAFSFLCGIAVGLAVGWVANRLRARIANPMNFVIYMMTIPFVAFLLSESIEISEGMKGSGVVAVVVSAFYLTYYGVDTIKPQNRFYGLPIWAYMSYLMNGAIFVLVGVQLPEAWQNISEVAHNNTAYSQSHAAIMVAAIWLVSLLVRFLFMRPAMLSDIKASAEEQYRAEQVKEQRPLRERHELRRLIRAAMRDPEVRSEIYRDRVVSTMAGLRGGVSLAVALSVSTSVPNRDFIIFMVAAVVMVSMLVQGLSLPAIIRWAKIPADDTEHQETLNAVGTMNKEAYDALEDLAAQKDVGPEALAYVRYELDFQHDTGIESCRFLQNNPDLTPEELQAITLQGQVRTLRLAIIGHQREVLKRLRNEGVIDMNVLHSIQERLDTEEIRITGPVELE</t>
  </si>
  <si>
    <t>MLEIIIALAAAIFLGNTLAHRIRVTPAILLIFLGLALALLPAMHELREVGLPSYVILEIFLPIMLFWEARNTSLREVRKSLRAIITSGTVLVIVTAFAMAGVLTHFFHIDWGTALIIGAALAPTDATAVATLNGKLPKRSITVLKAESLINDGTTLVVFALAIQVAGGTDLSVSHAGGMLAFSFLCGIAVGLAVGWVANRLRARIANPMNFVIYMMTIPFVAFLLSESIEISEGMKGSGVVAVVVSAFYLTYYGVDTIKPQNRFYGLPIWAYMSYLMNGAIFVLVGVQLPEAWQNISEVAHNNAAYSQSHAAIMVAAIWLVSLLVRFLFMRPAMLSDIKASAEEQYRAEQAKEQRPLRERHELRRLIRAAMRDPEVRSEIYRDRVVSTMAGLRGGVSLAVALSVGTLVPNRDFIIFMVAAVVMVSMLVQGLSLPAIIRWAKIPADDTEHQETLNAVGTMNKEAYDALEDLAAQNDVGPEALAYVRYELDFQHDTGIESCRFLQDNPDLTPEELQAITLQGQVRMLRLAIIGHQREVLKRLRNEGVIDMNVLHSIQERLDTEEIRITGPVELE</t>
  </si>
  <si>
    <t>GC_00003182</t>
  </si>
  <si>
    <t>MKSSSSVRILTPDLARGAALLGIAIANGITAWSLRSGDVPQGYHRTLSGIIVNNSLWDKATIILADMFVHTRGLPMFATLLGYGVGMILVREQRKGATKKQCRAILLRRYGALILFGLLHMVFLFYGDIMFNYGLIILVLVIPMRNAKNKTLLITAGVLFVLAMVMNGALWSYLDMNAVLLHGYGHGYMQDQLVRGASLAFMYNFLQFPYILPLVGSVILIGFVAGRNGVLEHPEQFRTPMRIAAAITVIIVIAVGLPVGLASLGILGHEKFFYILNSLVGMASGPGTVVWISWIAGWVERRKFTDTLPIRMLTALGRMSMTGYVLQSVIFIFIMTPWFLGIGSGQSVAIVAVTATGVWLVTLVFAYLWSVTGNRGPLEIVHRSIGYKKNRVYGETPQLAPAS</t>
  </si>
  <si>
    <t>MKSSSSVRILTPDLARGAALLGIAIANGITAWSLRSGDAPQGYHRTLSGIIVNNSLWDKLTIILADMFVHTRGLPMFATLLGYGVGMILVREQRKGATKKQCRAILLRRYGALILFGLLHMVFLFYGDIMFNYGLIILVLVIPMRNAKNKTLLITAGVLFVLAMVMNSALWSYLDMNAVLLHGYGHGYVQDQLVRGASLAFMYNFLQFPYILPLVGSVILIGFVAGRNGVLEHPEQFRTPMRIAAAITVIIVIAVGLPVGLASLGILGHEKFFYILNSLVGMASGPGTVVWISWIAGWVERRKFTDTLPIRMLTALGRMSMTGYVLQSVIFIFIMTPWFLGIGSGQSVAIVAVTATGIWLVTLVFAYLWSLTGNRGPLEIAHRSIGYKKNRVYGETPQLAPAS</t>
  </si>
  <si>
    <t>GC_00003183</t>
  </si>
  <si>
    <t>MIERLNAWVGHPLRLFIIVALGVLFIISFLDPHPTVGVPALTSTQHIIGFVVYLTVTVALCIHPKYPDATMGVIACSFTALLVAQVASDFPRVGIPLLYVIYLASANCNPRWRPLWLVWILAGIAAAEMMNDKLLDADAQNYVSAWQLRVTAVVISWIIVGFFWQLGGVARRRQAEHQALQDRAELAAIVERTRIAREMHDIVAHNLSAVIALADGARYTNPTNPEVGTEALETIAATSRSALKQMRGLLSVLRDNEGRDADAVFNIAAIRGLLYDARHAGLDVHTSGIDTLPDDLPQLIQTTLYRIIQELLTNMLKYSPGQRGQLTVETTEKHVTITATNRLPEHRPDPGYGIQGMRERATALGGATQVRTDNNEFLVKVEIPR</t>
  </si>
  <si>
    <t>MIERLNTWVGHPLRLFIIVALGVLFTISFLDPHPTVGVPPLTSTQHIIGFVVYLTVTVALCIHPKYPDATMGVIACSFTALLVAQVASDFPRVGIPLLYVIYLASANCNPRWRPLWLVWILAGIAAAEMMNDKLLDADAQNYVSAWQLRVTAVVISWIIVGFFWQLGGVARRRQAEHQALQDRAELAAIVERTRIAREMHDIVAHNLSAVIALADGARYTNPTNPEVGTEALETIAATSRSALKQMRGLLSVLRDNEGRDADAVFNIAAIRGLLYDARHAGLDVHTSGIDTLPDDLPQLIQTTLYRIIQELLTNMLKYSPGQRGQLTVETTEKHVTITATNRLPEHRPDPGYGIQGMRERATALGGATQVRTDNNEFLVKVEIPR</t>
  </si>
  <si>
    <t>GC_00003184</t>
  </si>
  <si>
    <t>MTGNNTTTNATHADNKSTLGDPTSPRTNIDARIKLLYLIVCNVLVMGLNTRSTLWPIIICLGILIACDMSRRFFLGYLAIILISFGATLLPGVPGMNNWLGVALGIVGYWVLRFTVSLSVAIWMFSTTRISEFTTAFHQMRLPNMIVIPLSVMFRFFPVVIDEMRGIVEAMKLRGYQKPWLHPIRTAEYIVVPLLSAVARIADELAAAALIRGLGAPGRPTQLSTHRFGAWDAVILLAILGFIGLTIAQRS</t>
  </si>
  <si>
    <t>MTGNNTTANTTHADNESTLGDSSSPRTNIDARMKLLYLIVCNVLVMGLNTRSTLWPIIICLGILIACDMSRRFFLGYLAIILISFGATLLPGVPGMNNWLGVALGIVGYWVLRFTVSLSVAIWMFSTTRISEFTTAFHQMRLPNMIVIPLSVMFRFFPVVIDEMRGIVEAMKLRGYQKPWLHPIRTAEYIVVPLLSAVARIADELAAAALIRGLGAPGRPTQLSTHRFGAWDAVILLAILGFIGLTIAQRS</t>
  </si>
  <si>
    <t>GC_00003185</t>
  </si>
  <si>
    <t>MKRLLATGILTLSVITAGAGLSACGSSTVSDDATASASKAPIAPLKGSGGSGATSGAAGASDGAGAGASGANGAGGSGDAGESGNAAPPADGPAQEVSSIPTPAQQLSDADKTYFDALTAGGIKVEGAENQMIGAAQVVCQNQFPQAVQAVGGQLVEQKRTSLSPEETVSLIETSARKAYCS</t>
  </si>
  <si>
    <t>MKRLLATGIFTLSVITAGAGLSACGSSTVSDDATASTSKAPIAPLKGSGGSGATSGAAGASDGAGAGASGANGAGGSGDAGESGNAAPPADGPAQEVSSIPTPAQQLSDADKTYFDALTAGGIKVEGAENQMIGAAQVVCQNQFPQAVQAVGGQLVEQKRTSLSPEETVSLIETSARKAYCS</t>
  </si>
  <si>
    <t>GC_00003186</t>
  </si>
  <si>
    <t>MSITLTPRLQQAIIQAATSHDGHYRKGSTKPYVTHVVSVMLIASECTDDEDILVACLLHDIMEDRPDTYSFDQMAADFGPRVVDLVQGVTKDSTLPDWRARSDAYLAHLRQAGPDVALISLSDKYHNLTSILADYEQLGDVLWERFNAGKSDQQWWYTMVLAAAEPQLPAGHPLMARYREQLQKLQGL</t>
  </si>
  <si>
    <t>MSIPLTSRLQQAITQAATSHDGHYRKGSTKPYVTHVVSVMLIASEYTDDEDILVACLLYDIMEDRPDTYSFDQMAADFGPRVVDLVQGVTKDSTLPDWRARSDAYLAHLRQAGPDVALISLSDKYHNLTSILADYEQLGDVLWERFNAGKADQQWWYTMVLAAAEPQLPDGHPLVACYREQLQKLQGL</t>
  </si>
  <si>
    <t>GC_00003187</t>
  </si>
  <si>
    <t>MAEQQHHVFRPERTHLLAAIIMILLSLFIIGSDLLYLFWLPLLPVVFIMWVVRAHTIVDDTGITAHPAFAQPNTTDWADIAGIGFGRSQAFLQTKEGKKITLPGVTFNSLPQLEAASAGRIPDALTQGRQAADDKVVIVHKDGRQVLVDKQEYERFATEDVDKQAKTDSD</t>
  </si>
  <si>
    <t>MAEQQHHVFRPERTHLLAAIIMILLSLFIIGSDLLYLFWLPLLPVVFIMWVVRAHTIVDDTGITAHPAFAQPTTTDWADIAGIGFGRSQAFLQTKEGKKITLPGVTFNSLPQLEATSAGRIPDALTQGRQAADDKVVIVHKDGRQVLVDKQEYERLAAEDVDKQAKTDSD</t>
  </si>
  <si>
    <t>GC_00003188</t>
  </si>
  <si>
    <t>MFVILDCVDEPPLTLSLREQRHIEAVHHVTTIAFELFEQQGYQNTTIAQIAKAAKISEATFYRWFGTKEGLITTDPLRNQGGSMLKLIDLDDLIGSIDRIAATSNFSGMTYILQEPSVRVAINAELDDYAEQLIPDLQQRGHSPLKARVLARSLVFGVYFGSLEQWYLDGSVRPLRDVFYDALTSTGFMEQLTASPSEDHQ</t>
  </si>
  <si>
    <t>MFVILDCVDEPHLTLSLREQRHIEAVHHVTTIAFELFEQQGYQNTTIAQIAKAAKISEATFYRWFGTKEGLITTDPLRNQGGSMLKLIDLDDLIGSIDRIAATSNFSGMTYILQEPSVRVAINAELDDYAEQLIPDLQQRGHSPLKARVLARSLVFGVYFGSLEQWYLDGSVRPLRDVFYDALTSTGFMEQLTASPSEDHQ</t>
  </si>
  <si>
    <t>GC_00003189</t>
  </si>
  <si>
    <t>MSTIVDDMSITPRFTTAAKHTLKTSRLVARGRGVPQADHLDILLAALPIGTELHPTMPIPTPRTLWDSLRHPIGFTPHAQSLVRTVATQATTDITPRDLGLAVLRLKEPEVVEKLGDMGLSVDQCTAAFN</t>
  </si>
  <si>
    <t>GC_00003190</t>
  </si>
  <si>
    <t>MTSIFEPLPLKHGGPLPNRLAKAAMEEQLGTENMLPSQGIFNLYRTWARGGVGLIITGNVMVDYRAVTNGDGIILNEDSLLEPFQEWAAAAHANGTTDTKVWMQINHPGRQVPASLPGIKLAPSAIPVNMGAHSKIFATPISMTEEQIEEVIGMFVTTATRAIESGFDGVQVHAAHGYLLSQFLSPLVNRRTDRWGGDLKNRSRLLREIITRIRAAVPDSAAVAVKLNSADFQRGGFDVDDATAVVRMLGDLGVDLVEVSGGTYESPAMQGMQGVAKDQRTLDREAYFLTFAEQIAKVSPMPIMVTGGITRRATAERVLATEVDMVGMGTALSLDPGLPNTWRVREAAAPTMPTPRFKDKALHSYASLVQVQHQLHRLSKGKRPFPKAPLAMVLATAQIRDRQSQKHYRKWLEAAGWL</t>
  </si>
  <si>
    <t>MTSIFEPLPLKHGGPLPNRLAKAAMEEQLGTENMLPSQGIFNLYRTWARGGVGLIITGNVMVDYRAVTNGDGIILNEDSLLEPFQEWAAAAHANGTTDTKVWMQINHPGRQVPASLPGIKLAPSAIPVNMGAHSKIFATPIAMTEEQIEEVIGMFVTTATRAIESGFDGVQVHAAHGYLLSQFLSPLVNRRTDRWGGDLKNRSRLLREIITRIRAAVQDSAAVAVKLNSADFQRGGFDVDDATAVVRMLGDLGVDLVEVSGGTYESPAMQGMQGVAKDQRTLDREAYFLTFAEQIAKVAPMPIMVTGGITRRATAERVLATEVDMVGMGTALSLDPGLPNTWRVREATAPTMPTPRFKDKAINSYASLVQVQHQLHRLSKGKRPFPKAPLAMVLATAQIRDRQSQKHYRKWLEAAGWL</t>
  </si>
  <si>
    <t>GC_00003191</t>
  </si>
  <si>
    <t>PF09534.15</t>
  </si>
  <si>
    <t>Tryptophan-associated transmembrane protein (Trp_oprn_chp)</t>
  </si>
  <si>
    <t>MAKAFVAVGAGVLWVSSRLTWINVTASDDKSGESTQPLVGATWSTEIMALSLLLLAGFVASLVLRKTGRRVVGIVCAVAAAAASWAPLGLLAGEPDPARAKSLLTSGVATQNSSAPTTLSDWAQVTDLHVNALGPSLALLGCAVALVGGIVVAMRPGEDTPKRNQYETKAARREKLEEDLADAPESGRVMWDALDEGIDPTDMTGGAGSASEDAPTS</t>
  </si>
  <si>
    <t>MAKAFVAVGAGVLWVSSRLTWINVTASDDKSGESTQPLVGATWSTEIMALSLLLLAGFVASLVLRKTGRRVVGIVCAVAAAAASWAPLGLLAGEPDPARAKSLLTSGVATQNSSAPTTLSDWAQVTDLHVNALGPSLALLGCAVALVGGIVVAMRPGEDTPKRNQYETKAARREKLEEDLADAPESGRVMWDALDEGIDPTDMTGGAGSASEDTPTS</t>
  </si>
  <si>
    <t>GC_00003192</t>
  </si>
  <si>
    <t>MITGLIG-NGSGKTTRLKNLYAQHAPGAAQFVPDNPIIPIEVSAHELLHRLGRMHRLPRAEAKRRATILCDELAIDGGTTRAISTYSAGNYKKTALAIVFIKPARHLYLDEPLEMVDAISRARILRILRRISNLGHQVTISTQDFTIAEQCDAIEVMADLEVVAEGTPSAVLGNDPFTRLMELSGAEFTDCQADWLDDPGGVNTEVGPGLGPQAGSKTSPAAGSAADGRGE</t>
  </si>
  <si>
    <t>MITGLIGINGSGKTTRLKNLYAQHAPGAAQFVPDNPIIPIEVSAHELLHRLGRMHRLPRAEAKRRATILCDELAIDGGTTRAISTYSAGNYKKTALAIVFIKPAQHLYLDEPLEMVDAISRARILRILRRISNLGHQVTISTQDFTIAEQCDTIEVMADLEVVAEGAPSAVLGNDPFTRLMELSGAEFTDCQADWLADPGGVKTEAKPGLGSEA----SPAAGSAAGGRGE</t>
  </si>
  <si>
    <t>GC_00003193</t>
  </si>
  <si>
    <t>MRWAWRGRVWGVSKKSSPQARSVRRPRSRGRIDSDVRSVPQARRGRQSGREKETDRVSLKGRITYFLPFTVVPNVIIVSVLLMLAIAGLMFTNTTLVALPATVAQLWLLFNASPLSGDGQVVAAVPILPALILVAVLSNRVFKAVKDKVSLADLNVLVGLALGFPLTLTLISWAMLLDAASVFPVDAPPLLAALGRTLLVHVLVLVIGMGSRLWRALCRRFGLPQWIVDANFTALKFLGSVSVAGLLLSVIMMAAHTSSLGQLFSNFHGVGAAGLVLLSLLYLPNVMVGSSSVLLGGEYHFGDAWVSLFGSHTVPFPTLPWFVVIPQTVYPFAGALLIIPVVLAVWGVRGRLDRTDQPFAEMIVSGLFTGLYTLIACLLITGRMGVYSQTGPMTWLTAVLAVAWLSGVGLLVSGVQNMMGRRAAAMPLPPEPDYPNDPEDLDYPDDEEGADKETTEDPAEETEEEVDDSDDLHEIDEDVDEYADEDPESDPESNPEIQEPESTQEFTQRD</t>
  </si>
  <si>
    <t>MRWAWRGRVWGVSKKSSPQARSVRRPRSRGRIDSGVRSVPQARRGRQSGREKETDRVSLKGRITYFLPFTVVPNVIIVSVLLMLAIAGLMFTNTTLVALPATIAQLWLLFNASPLSGDGQVVAAVPILPALILVAVLSNRVFKAVKDKVSLADLNVLVGLALGFPLTLTLISWAMLLDAASVFPVDAPPLLAALGRTLLVHVLVLVIGMGSRLWRALCRRFGLPQWIVDANFTALKFLGSVSVAGLLLSVIMMAAHTSSLGQLFSNFHGVGAAGLVLLSLLYLPNVMVGSSSVLLGGEYHFGDAWVSLFGSHTVPFPTLPWFVVIPQTVYPFAGALLIIPVVLAVWAVRGRLDRTDQPFAEMIVSGLFTGLYTLIACLLITGRMGVYSQTGPMTWLTAVLAVAWLSGVGLLVSGVQNMMGRRAAAMPLPPEPDYPNDPEDLDYPDDEEGADKETTENPAEETEEEVDDSDDLHEIDEDVDEYADEDPESDPESNPEIQEPESTQEFTQRD</t>
  </si>
  <si>
    <t>GC_00003194</t>
  </si>
  <si>
    <t>MLSNTAHKPHELHEPVRLMWVTFGSINGSSDVVPESHIY--</t>
  </si>
  <si>
    <t>MLSNTTHKP---HEPVRLMWVTFDSINGSSDVVPESHIYWF</t>
  </si>
  <si>
    <t>GC_00003195</t>
  </si>
  <si>
    <t>PF18741.7</t>
  </si>
  <si>
    <t>REase_MTES_1575</t>
  </si>
  <si>
    <t>COG1112|COG2852</t>
  </si>
  <si>
    <t>Superfamily I DNA and/or RNA helicase (DNA2) (PDB:2GJK)|Very-short-patch-repair endonuclease (YcjD) (PDB:3HRL)</t>
  </si>
  <si>
    <t>MTTQSDKAARLFQFLAQVRRLREHTTTDIKGFEDRGGVVWLSDVAHNTAANGWPVRVNALLWQRLGLLDADDDPGRTGDAVIIAAGRPKHMEAPRLPEKLKPWIEGASHNHRRRPSVKPDADEETTKQANYWLEKWDAWAAAKQYQDVYNTLFDAHINASQSSEEFELVLGLGLLAWAPGGKRAESTQINRHLFTVTVTSALDKTTGEIRYSLADGAAPLKAEVDFIPVEALQDRSFVKDITAKAAEYAGHIFDIELFDDLGVFTANSLSTSAVYLPRGRGAQPKETPVINWAPALILRKRQNTGFAVAYEKIAAEIEQSGTVPAGLLSLLDPDQEPPVVASDEPGAVVPFGDDIFSPLPLNDIQQRIIERVDQHSQVVVQGPPGTGKTHMAAALLSHFLAQGKRVLVTAEADRALYEVRDKLPEEIRELAVSVIGTSADDMADLRLAVNRIARSAAEFDQTVSRRAINDAVDNLHHFQQRRAELLQQISAEIRRKTEPAHIPGYELPPGLLAAQVQEDSARYGWIWDYAIEVIVARGAGGVKKFPLSLKDIDRYCKQLIAYRDADKEQIEMTRRVDFDALPQPDECEYVVEALAGLDAQLESHRTGLTEEQWAALQASTEETRVAAREQAVKLNEQLERINRSGSAWVADFMKAYDAAELEAWRTSIKQLSTRVQTIERLLLTIGAVKKISVGNNAADMEKYLPYAKRLRDYLNEKGPLKTDAHGQVKLGVFAPALLKDGKEFFAAVSVEGEQPSTAEQVEAVIAHIQVHWELDALRKEIPQWLPVSNDVKTAVMVARMEADLAQITQCIDAVSAYPPARQLLAPFAFPPEGSKLPELIAGLERYAGAPALMAQIDQKKAQLQIVHRQTNKVADKHPDVPWLQRYRSVMLDGDFAAARESLSVGEAYMRQHQAFAEFHRLDGVLSEWSPQFAKDLRTSEGSDKMIERLRTVRPALNWFRAAQQVDIRPGADIAQLDKELTLLEEKIYQEVRTLAAARAWDHALSGHRITARMRKNLVEYAQSVKRLGKGTGKYADQQLREVRRALDNCREAVPVWIMPLHRIIDQLDVQSNMFDVVMVDEASQAGAEACFLQYLAPSIIVIGDDKQVSPSAVGVREEDMRKLADHYLDDDEDKAGWADPKRSLFDVASARFGGTLTLTEHRRCVPEIIGFSNQLTYEPDDITLTPVREVPADRLAPFKIVHTPYGRQERSGKINRGEADALIAQLCECINDPTYADKTIGVISLLSSSRQADYIQTRLMEQLPAEVWEKHNLRVGTPAEFQGAERDVMFLSMVAAKDENKRLPALTSDVYVQRYNVAVSRAKDQVWLFHSVGMDELTNPEDVRYKLLKYAYGVATHTVSDEKSERVSDDDRVGPFNSLFEQRVYNAIVDRGYRVIPQFDAHPYRIDLVVQGTDARLAVECDGDHWRGLEYIDKDLRRQRDLERLGWRFVRIFESDYYLDKQAQLEKIWSALDDMGITPHHIHNEVDPSDSIMVLSAPM</t>
  </si>
  <si>
    <t>MTTQSDKAARLFQFLAQVRRLREHTTTDIKGFEDRGGVVWLSDVAHNTAANGWPVRVNALLWQRLGLLDADDDPGRTGDAVIIAAGRPKHMEAPRLPEKLKPWIEGASHNHRRRPSVKPDADEETTKQANYWLEKWDAWAAAKQYQDVYNTLFDAHINASQSSEEFELVLGLGLLAWAPGGKRAESTQINRHLFTVTVTSALDKTTGEIRYSLADGAAPLKAEVDFIPVEALQDRSFVKDITAKAAEYAGHIFDIELFDDLGVFTANSLSTSAVYLPRGRGAQPKETPVINWAPALILRKRQNTGFAVAYEKIAAEIEQSGTVPAGLLSLLDPDQEPPVVSSDEPGAVVPFGDDIFSPLPLNDIQQRIIERVDQHSQVVVQGPPGTGKTHMAAALLSHFLAQGKRVLVTAEADRALYEVRDKLPEEIRELAVSVIGTSADDMADLRPAVNRIARSAAEFDQTVSRRAINDAVDNLHHYQQRRAELLQQIAAEIRRKTEPAHIPGYELPPGLLAAQVQEDSARYGWIWDYAIEVIVARGAGGVKKFPLSLKDIDRYCKQLIAYRDADKEQIEMTRRVDFDALPQPDECEYVVEALAGLNAQLESHRTGLTEEQWAALQASTEEARVAAREQAVKLNEQLERINRSGSAWVADFMKAYDAAELEAWRTSIKQLSTRVQTIERLLLTIGAVKKISVGNNAADMEKYLPYAKRLRDYLNEKGPLKTDAHGQVKLGVFAPALLKDGKEFFAAVSVEGEQPSTAEQVEAVIAHIQVHWELDALRKEIPQWLPVSNDVKTAVMVARMEADLAQITQCIDAVSAYPPARQLLAPFAFPPEGSKLPELIAGLEKYAGAPALMAQIDQKKAQLQIVHRQTNKVADKHPDVPWLQRYRSVMLDGDFAAARESLSVGEAYMRQHEAFAEFHRLDGVLSEWSPQFAKDLRTSEGSDKMIERLRTVRPALNWFRAAQQVDIRPGADIAQLDKELTLLEEKIYQEVRTLAAARAWDHALSGHRITARMRKNLVEYAQSVKRLGKGTGKYADQQLREVRRALDNCREAVPVWIMPLHRIIDQLDVQSNMFDVVMVDEASQAGAEACFLQYLAPSIIVIGDDKQVSPSAVGVREEDMRKLADHYLDDDEDKAGWADPKRSLFDVASARFGGTLTLTEHRRCVPEIIGFSNQLTYEPDDITLTPVREVPADRLAPFKIVHTPYGRQERSGKINRGEADALIAQLCECINDPTYADKTIGVISLLSSSRQADYIQTRLMEQLPAEVWEKHNLRVGTPAEFQGAERDVMFLSMVAAKDENKRLPALTSDVYVQRYNVAVSRAKDQVWLFHSVGMDELTNPEDVRYKLLKYAYGVATHTVSDEKSERVSDDDRVGPFNSLFEQRVYNAIVDRGYRVIPQFDAHPYRIDLVVQGTDARLAVECDGDHWRGLEYIDKDLRRQRDLERLGWRFVRIFESDYYLDKQAQLEKIWRALDDMGITPHHIHNEVDPSDSIMVLSAPM</t>
  </si>
  <si>
    <t>GC_00003196</t>
  </si>
  <si>
    <t>MTRTLLKLQFVLWGRSLRKNPSSMVMSVLVFVYALMGLLGIGAMTAFAMHDGAYAAVAGAVGVGTLAYLLASVMMPSGESQLSPESFAIYPIKAKELIGGFALAAIAQSRGVAALMCTIGTTLFVSVPLIIDGKGWLIAVIIPAMILQFLITIVLGLCLTTALGGTSTRTSKERMTIIGTFLAFIGYFAFMAMINSDSSGNMNLGQLGRYIMWTPFGAAGGAISGAADGNAVTALGCSLIAALTFGIALWFWLRGVANQLEAPLESVQKNNKKKEKAATTGVPLLLPGLRYGLGAMIYSRALVYSRRDSRLLGSFLLMPVFSIYFLYMGAVQQPGTEYLGAFVVALLGSALAANDFGYDGPANWLHISANVPARTLVPARHFASMTIGYLFLIAYLIAMNILANNHVLALILTPCFLGLAMSGGAVGVMLSSYNPFPVAKPGTNPWQDKSSFSAGALISSFASLLIGWIPSAPGVALVLIGHTTGTIWLTAVGMIVAIALPAILYFFAIKAATKRVTVHYPEIFERVRSFAN</t>
  </si>
  <si>
    <t>MTRTLLKLQFVLWGRSLRKNPSSMIMSVLVFVYALMGLFSIGAMTAFAMHEGAYAAVAGAVGVGTLAYLLASVMMPSGESQLSPESFAIYPIRAKELIGGFALAAIAQSRGVAALICTIGTTLFVFVPLIIDGKGWLIAVIIPAMILQFLITIVLGLCLTTALGGTSTRASKERMTIIGTFLAFIGYFAFMAMINSDSSGNMNLGQLGRYIMWTPFGAAGGVISGAADGNAVTALGCLLIAALTFGIALWFWLRGVANQLEAPLESVQKTNKRKEKAATTGVPLLLPGLRYGLGSMIYSRALVYSRRDSRLLGSFLLMPVFSIYFLYMGAVQQPGTEYLGAFVVALLGSALAANDFGYDGPANWLHISANVPARTLVPARHFASMTIGYFFLIAYLIAMNILTSNHVLALILTPCFLGLAMSGGAVGVILSSYNPFPVAKPGTNPWQDKSSFSAGALISSFASLLIGWIPSVPGVALVLIGHSTGMVWLTAVGMIVAIALPAILYFFAIKAATKRVTVHYPEIFERVRSFAN</t>
  </si>
  <si>
    <t>GC_00003197</t>
  </si>
  <si>
    <t>K04655</t>
  </si>
  <si>
    <t>hydrogenase expression/formation protein HypE</t>
  </si>
  <si>
    <t>COG0309</t>
  </si>
  <si>
    <t>Carbamoyl dehydratase HypE (hydrogenase maturation factor) (HypE) (PDB:2I6R) (PUBMED:28618091)</t>
  </si>
  <si>
    <t>MDPKNRLNDNEDTVNTNINRVRARPFRLTDDYVTLAHGSGGKASAALVENVFYGGYGNEVLDARGDSAVLALADLAAAGSASGGASGADAASLAFSTDSYVVNPINFPGGCIGELAINGTVNDLAVAGAEPAVISVAFILEEGLPIAELRHQAEAMRAAAERAGVRIVAGDTKVVPQGACDKMYITTAGVGMVPAGRLTEKPQVGDRILLSGPIADHGMAVMLARGDLAIAAPIESDTQAINHYTSALFNAASPHWLRDATRGGLATVMNELARDTGLGIVLDDAAISVRDLTRGACDMLGIDPLYVANEGTFVAVVSDAEADAALEALRAAGCPEAVSIGRIVEEPASSVVLTTGFGGTRMVDMLVGDPLPRIC</t>
  </si>
  <si>
    <t>MDPKNRLNDNEDTVNTNINRVRARPFRLTDDYVTLAHGSGGKASAALVENVFYGGYGNEVLDARGDSAVLALADLAAAGSASGGASGTDAASLAFSTDSYVVNPINFPGGCIGELAINGTVNDLAVAGAEPAVISVAFILEEGLPIAELRHQAEAMRAAAERAGVRIVAGDTKVVPQGACDKMYITTAGVGMVPAGRLTEKPQVGDRILLSGPIADHGMAVMLARGDLAIAAPIESDTQAINHYTSALFNAASPHWLRDATRGGLATVMNELARDTGLGIVLDDAAISVRDLTRGACDMLGIDPLYVANEGTFVAVVSDAEADAALEALRAAGCPEAVSIGRIVEEPASSVVLTTGFGGTRMVDMLVGDPLPRIC</t>
  </si>
  <si>
    <t>GC_00003198</t>
  </si>
  <si>
    <t>MDLSVIKDQLGDFATFVKGFGKVVDNLPMAVKALGMAVKTFSSK</t>
  </si>
  <si>
    <t>MDLSVIKEQLGNFATFVKGFGDIVDNLPMAVKALGMAVKTFSSK</t>
  </si>
  <si>
    <t>GC_00003199</t>
  </si>
  <si>
    <t>MADNPISPRGRENTHPTEQNRRTGPHSAATNRPGRRRAHRGNGATLKDIAELTGLSVSTVSRALSRNPVIPAPTREIVEKAAAELKYRPNAQARALRNARTNIIGVLVPDIQNPFFSTLAASIHKAAYENGFSMLLSHTDEKPDRLNRALEMLGRQRVDGIIVVPHIQSARATLELHDSGMPIVAADRLIPHSIIPSVTADAVPGITDALMALSSLPNAKIGYLAGPQDTSTGQERLNLVKEISKEMGLEPPTIFFGGYQELAGFEGTIDLLEQGVNCILASDTMMTTGAVEALREKNLKIGKHVALVGYDDTQLFRLQNPPLSVIDQNVTLIGKKAFEMLYDYITLEKAPKSMKIPSIYRGRGSTMLAP</t>
  </si>
  <si>
    <t>-----------------------------------------------------------------------------MEKAAAELKYRPNAQARALRNARTNIIGVLVPDIQNPFFSTLAASIHKAAYENGFSMLLSHTDEKPDRLNRALEMLGRQRVDGIIVVPHIQSARATLELHDSGMPIVAADRLIPHSIIPSVTADAVPGITDALMALSALPNAKIGYLAGPQDTSTGQERLNLVKEISKEMGLEPPTIF</t>
  </si>
  <si>
    <t>GC_00003200</t>
  </si>
  <si>
    <t>MFLIVGLGNPGAKYERTRHNSGVMALTELAGAVAFRRRGSALVAESRLAGHRVVFAIPQRFMNVSGGPVKEVAGFFKIPPQRTIVLFDDLELEFGTIRLPVLGDHGHNGLRSITKVFGADYVRAGLGIGRPPGRMPVADFVLKPFTKAERPQLPIMWADMADEVTRFITTSGT</t>
  </si>
  <si>
    <t>MFLIVGLGNPGAKYERTRHNSGVMALTELAGAVAFRRRGSALVTESWLADHRVVFAIPQRFMNVSGGPVKEVAGFFKIPPQRTIVLFDDLELEFGTIRLPVLGDHGHNGLRSITKVFGADYVRAGLGIGRPPGRMPVADFVLKPFTKAERPQLPIMWADMADEVTRFITTSGT</t>
  </si>
  <si>
    <t>GC_00003201</t>
  </si>
  <si>
    <t>MFSEHVHQSSDELLCCQQEALYVRLVASIFDATALHVRKLRSCLLGLGLAVARHVSDTSRPSARLVTARWCGGRRRQVPLSITELKDCFYEHSG</t>
  </si>
  <si>
    <t>GC_00003202</t>
  </si>
  <si>
    <t>MSVVESSLLLRRDASVAFLQRRFEQLIHDVDQVNGDAAWACALAENIATGGKHVRSLLVHVGADRPARVEATPDIAVGAAFDLLHAAFLVLDDVIDADEQRRGSPTIHAAARQRATDLHGPITRDDAAHYGTSVAILAGTAAMNEASRIIIDAGAPADTTVQLMRIFHTAITDSVVGEFMDIHHSLPGVDASDDLIRMASRLKTSSYSFETPLISGAILAGRDWAVPHLTHLGRTIGSAYQLADDIQSIFAPSSITGKDPAGDLIRGRATPLMALAQHTQQWPDMVTAITSGDLDHARTLLRHSGAVDKAHAEAEGYIDDAAVILNTEGLFSPDARTALTNVGTYIRRSLDVAR</t>
  </si>
  <si>
    <t>MSVVESSLLLRRDASVAFLQRRFEQLIHDVDQVNGDAAWACALAENIATGGKHVRSLLVHVGADRPARVEATPDIAVGAAFDLLHAAFLVLDDVIDADEQRRGSPTIHAAARQRATDLHGPITRDDAAHYGTSVAILAGTAAMNEASRIIIDAGAPADTTVQLMRIFHTAITDSVVGEFMDIHHSLPGVDASDDLIRMASRLKTSSYSFETPLISGAILAGRDWAVPHLTNLGRTIGSAYQLADDIQSIFAPSSITGKDPAGDLVRGRATPLMALAQHTQQWPDMVAAIAGGDLDHARTLLRRSGAVDKAHAEAEGYLDDAAAILNTEGLFSPEARTALTNVGTYIRRSLDVAR</t>
  </si>
  <si>
    <t>GC_00003203</t>
  </si>
  <si>
    <t>MSTNGNMARVALIADVPVDIWAVPAWAHAGTPSNPHETKNQECRGFGEEATDISATEASKGGCSIDTDITHYETARRQAIRYESCISISTGIGTKIVNAGSLKHHADASKNHE</t>
  </si>
  <si>
    <t>GC_00003204</t>
  </si>
  <si>
    <t>MNVALLFLILYFVVMAGIGVWTTRRSSTSTEDYLLAGRSLGPAVTALRLQSSSMSGYMFLGAGSLGYTQGYFGMWYALGDLGGGIMNLSILGRRMRKLSQRLGSLTSIEYLEHRYRSAWVRIIAAPIALGCLFLYVLSQFVAGGVGLASVTGWNFELSLIIATGVIVLYTFLGGYLAVAYTDFVQAIVMLVGMLWILIATLHAVGGFAEGNRKVGKINQNLLTMWGADLHYQGQWGVILGALMIFSIGYLGWPHVVVSHMAMKQPSVARGAGAYSMIFNYLFIPAPYLIGTFALVILPELNDPEQAIFQVAQTVLPSFVVGIVMAAVMAAIMSTADALLLQASTIAAKDIMARFFLPAMTERQMVLISRAMVLLIAVAGIGLAIWQPPAVFSLVIFATTVLGSAFVPSYVCAVWWKKANAVGAVCSMIAGSVAAVLWKLCGSDAIDPMVAGIASSTVAMVVGSLATQRTHPVPADIVDAMTEAARVAPVTDNPQLAAQFPDA</t>
  </si>
  <si>
    <t>MNVALLFLILYFVVMAGIGVWTTRRSSTSTEDYLLAGRSLGPAVTALRLQSSSMSGYMFLGAGSLGYTQGYFGMWYALGDLGGGIMNLSILGRRMRKLSQRLGSLTSIEYLEHRYRSAWVRIIAAPIALGCLFLYVLSQFVAGGVGLASVTGWNFELSLIIATGVIVLYTFLGGYLAVAYTDFVQAIVMLVGMLWILIATLQAVGGFAEGNRKVGQINQNLLTMWGADLHYQGQWGVILGALMIFSIGYLGWPHVVVSHMAMKQPSVARGAGAYSMIFNYLFIPAPYLIGTFALVILPELNDPEQAIFQVAQTVLPSFAVGIVMAAVMAAIMSTADALLLQASTIAAKDIMARFFLPAMTERQMVLISRAMVLLIAVAGIGLAIWQPPAVFSLVIFATTVLGSAFVPSYVCAVWWKKANAVGAVCSMIAGSVAAVLWKLCGSDAIDPMVAGIASSTVAMVVGSLATQRTHPVPADIVDAMTEAARVAPVTDNPQLAAQFPDA</t>
  </si>
  <si>
    <t>GC_00003205</t>
  </si>
  <si>
    <t>MTTQNPNPNDPSDPQGGNGEFPNYDTGAAFAMTPELGDGLIRDKKNYLEITALVFGVLAIISMIMDPRSGIILTLVCIIAAIIALI-----------------------------------------------------------------</t>
  </si>
  <si>
    <t>MTTQNPNPNDPSDPQGGNGELPNYDTGAAFAMTPEPGDGLIRDKKNYLEITALVFGVLAIISMIFDPRSGIILTLVCIIVAIIALIQRKKYAPENRRTWFSIVGLACAVTSLAILVFYLVNIYLLLEKHPECQQGTSSEKAKCIQKVVKRP</t>
  </si>
  <si>
    <t>GC_00003206</t>
  </si>
  <si>
    <t>MNKPLLATGVIFLSFGVPLVILWLVVHLYPGAGWIITWSHVWYLLVYPVLASAANSAGRLIPGRAGVVVQEVLEFAAWCMLCYYLMAPVGVALAAACSCWFYVKLMTPMVAKTLRPLNEAP</t>
  </si>
  <si>
    <t>MNKPLLATGVIFLSFGVPLVILWLVVHLYPGAGWIITWSHVWYLLVYPVLASAASSAGRLIPGRAGVVVQEVLEFAAWCMLCYYLMAPVGAALAAACSCWFYVKLMTPMVAKTLRPLNEAP</t>
  </si>
  <si>
    <t>GC_00003207</t>
  </si>
  <si>
    <t>MAIIQFDCLMPDSDTEALAQRFTQLSHLITRDGKAETAQVTHNANPTVPTEIITQLRAQLHQEHHPPTHVTMHRYVVHLTGVTGSLNQVAMLYARLLTPPANLPHNAVAAENESECEIPARYPWTVQIIPSSW</t>
  </si>
  <si>
    <t>MAIIQFDCLMPDSDTEALAQRFTQLSHLITRDGKAETAQVTHNANPTVPTEIITQLRAQLHQEHHPPTHVTMHRYVVHLTVVTGSLNQVAMLYARLLTPPANLPHNAVAAENENECEIPARYPWTVQIIPSSW</t>
  </si>
  <si>
    <t>GC_00003208</t>
  </si>
  <si>
    <t>MSIISFSHVTFSYPTTDVLTNVSFTCGTDERLCVVGPNGSGKTTLLKLALGELTPLRGHVDTPLSWDNHAPPTTVGDVIDAACHQVLKLRHEFDMLSHKLAFDVSAETARRFDELLARITAMNGWELDTQLDKTLRSLGLGNIARDRPLDSLSPGQKERLHLAAVLLRGSPALVVDEPTNHLDTTAREFVIQTLTGWNGPVLFASHDRDFIDRAATGILDLDTTSWHAIATAAGQPTTNGIYRCNGTYSDYVQEKDTARSRHLQIHAHQQHDKQQLLQHRFSSETIGHRNATPRSEVRASKKYYADRAQTVSTRRINDDSRRLDRLTEVEVRKPRYDAITITFLDPTVVSTGIACSVRNVHIPGRLDPVSFELAGGEHMMITGVNGAGKSTLLRWIHTRQCLAAEASGTISAADSVFVPQELPRNKDELIPPEIWHNGIGDLGKGFLHPRLWATPLEQLSDGNKRRVQLALALAQQPEFLIIDEPTNYLDIDTIESLEAAIMSWHGTLIIATHDQWLIDAWNQTPADGESHRQHITLTTNVASSQ</t>
  </si>
  <si>
    <t>MSIISFSHVTFSYPTTDVLTNVSFTCGTDERLCVVGPNGSGKTTLLKLALGELTPLRGHVDTPLSWDNHAPPTTVGDVINAACHQVLKLRHEFDMLGHKLAFDVSAETARRFDELLARITAMNGWELDTQLDKTLRSLGLGDIARDRPLDSLSPGQQERLHLAAVLLRGSPALVVDEPTNHLDTTAREFVIQTLTGWNGPVLFASHDRDFIDRAATGILDLDTTSWHAIATAVGQPTTNGIYRCNGTYSDYVQEKDTARSRHLQIHAHQQHDKQQLLQHRFSSETIGHRNATPRSEVRASKKYYADRAQTVSTRRINDDSRRLDRLTEVEVRKPRYDVITITFPDPTVVSTGIACSVRNVHIPGRLGPVSFELAGGEHMMITGVNGAGKSTLLRWIHTRQCLAAEASGTISAADSVFVPQELPRNKDELIPPEIWHNGIGDLGKGFLHPRLWATPLEQLSDGNKRRVQLALALARQPDFLIIDEPTNYLDIDTIESLEAAIMSWHGTLIIATHDQWLIDAWNQTPANGESHRQHLTLTTNVASSQ</t>
  </si>
  <si>
    <t>GC_00003209</t>
  </si>
  <si>
    <t>PF08546.17</t>
  </si>
  <si>
    <t>Ketopantoate reductase PanE/ApbA C terminal</t>
  </si>
  <si>
    <t>MKIVVYGAGAVGTWLGVHLSRAGADVTFIARGATFDWLSQSPMELRSPDGSLRIDAHVAHTIPDDADLVIFATKTLGSVDLPELPATTTILTTQNSVEMPHLAVEKYGPEHVIPGVVRSFLTRLAPGITCHDGNIQTLTFGSLHPATRDLAAQLVEILSKTPITPTIRDDILADVWAKALFVTTFGALGALMNQPIGVLRTTYRDSLRALITEAAHVAQANQVALPATIVADTMAFIDIQDPASTSSMQRDIVAGNPNELDAQVGAICRMAGRAGMAAPLHRLVVEAIEAHPVAH</t>
  </si>
  <si>
    <t>MKIVVYGAGAVGTWLGVHLSRAGTDVTFIARGATFDWLSQSPMELRGPDGTLRIDAHVAHTIPDDADLVIFATKTLGPVDLPELPATTTILTTQNSVEMPHLAVEKYGPEHVIPGVVRSFLTRLAPGITCHDGNIQTLTFGSLHPATRDLTAQLAEILSKTPITPAIRDDILADVWAKALFVTTFGALGALMNQPIGVLRTTYRDSLRALITEAAHVAQANQVALPATIVADTMAFIDIQDPASTSSMQRDIVAGNPNELDAQVGAICRMAGRAGVVAPLHRLVVEAIEAHPVAH</t>
  </si>
  <si>
    <t>GC_00003210</t>
  </si>
  <si>
    <t>K01200</t>
  </si>
  <si>
    <t>pullulanase [EC:3.2.1.41]</t>
  </si>
  <si>
    <t>KEGG Orthology (KO)&gt;&gt;&gt;09100 Metabolism&gt;&gt;&gt;09101 Carbohydrate metabolism&gt;&gt;&gt;00500 Starch and sucrose metabolism [PATH:ko00500]|Enzymes&gt;&gt;&gt;3. Hydrolases&gt;&gt;&gt;3.2  Glycosylases&gt;&gt;&gt;3.2.1  Glycosidases, i.e. enzymes that hydrolyse O- and S-glycosyl compounds&gt;&gt;&gt;3.2.1.41  pullulanase</t>
  </si>
  <si>
    <t>MPRYTIGELHSPEFNNRYFFDGTLGALHAVDGTTFRLWAPTAWRVVLNVHSGPAAGTYPMTPDQPHPGVWECRLSGDQDGAEYTYTLVFEAGGSGTESVDPYARAVTANGQRGVVVNVDKLLGKATRMPSFGSASDAIIYELHIRDLTIGPENGITHKGKFLGLTEAGTRTAAGNLSGLDYIASLGVTHVQLLPVFDFGSVDETGDLRFGAQYNWGYDPVHYNVPEGSYATDPTDPTSRIQEFRQLVDAFHARGIRVIMDVVYNHVYDAADSPLERTVPGYYFRMRPDGGFYNGTACGNETASEQLMMRKFIVDSITYWATTFGLDGFRFDLMGIHDVDTMNAVRAAVDDIDPGIILLGEGWDLGHHPDGVVPAHHGNSRLMPGVSSFNDFYRDIIKGSNFILSDPGFVSGCVGSYDCVQSNAGALYDALLGTPTNRQFASAAQSVLYNEAHDNWTMFDKLRGTYTLMWAREPDIAKRHILATGTQYIGRGVVFIHAGQEFLRTKNGVENSYRSPDSVNVFDYDRAGRFANEVRYFKDLNAFRKTWPWLRESDYEVIKASAQLITAKGLHLSYRVAGAFGTGRDALVMINANYSSWHHPLPAGTYKVHINDGVVHFDPKAQEINKKLVVPPLRLAVVEHIN</t>
  </si>
  <si>
    <t>MPRYTIGELHSPEFNNRYFFDGTLGALHAADGTTFRLWAPTAWRVVLNVHSGPAAGTYPMTPDQPHPGVWECRLSGDQDGAEYTYTLVFEAGGSGTESVDPYARAVTANGQRGVVVNVDKLLGQATRMPSFGSASDAIIYELHVRDLTIGPGNGITHKGKFLGLTEAGTRTAAGNLSGLDYIASLGVTHVQLLPVFDFGSVDETGDLRFGAQYNWGYDPVHYNVPEGSYATDPTDPTSRIQEFRQLVDAFHARGIRVIMDVVYNHVYDAADSPLERTVPGYYFRMRPDGGFYNGTACGNETASEQLMMRKFIVDSITYWATTFGLDGFRFDLMGIHDVDTMNAVRAAVDDIDPGIILLGEGWDLGHHPDGVVPAHHGNSRLMPGVSSFNDFYRDIIKGSNFILSDPGFVSGCVGSYDCVQSNAGALYDALLGTPANRRFASAAQSVLYNEAHDNWTMFDKLRGTYTLMWAREPDIAKRHILATGTQYIGRGVVFIHAGQEFLRTKNGVENSYRSPDSVNVFDYDRAGRFANEVRYFKDLNAFRKTWPWLRESDYEVIKASAQLITAKGLHLSYRVAGAFGTGRDALVMINANYSSWHHPLPAGTYKVHINDGVVHFDPKAQEINKKLVVPPLRLAVVEHIN</t>
  </si>
  <si>
    <t>GC_00003211</t>
  </si>
  <si>
    <t>MPTPNPPQPIRTLAATIALGLVLAIATTTPAHATTSTSSATTDLITSIQTLIDTITNTAADETPDPNPPAPQATTPTTPYFLAANFPKITGDPESIHQVAFSYLRNTDGGLTPITDGRWFGTIGGKKLADFTPTSTTPVLAINVREADLKNITITHTTPEGIKTTLAVVDPQLSREAQTTLFVPTE</t>
  </si>
  <si>
    <t>MPTPNPPQPIRTLAATIALGLVLAIATTTPAHAATSTSSATTDLITSIQTLIDTITNTAADETPDPNPPAPQATTPTTPYFLAANFPKITGDPESIHQVAFSYLRNTDGSLTPITDGRWFGTIGGKKLADFTPTSTTPVLAINVREADLKNITITHTTPEGIKTTLAVVDPQLSREAQTTLFVPTE</t>
  </si>
  <si>
    <t>GC_00003212</t>
  </si>
  <si>
    <t>MTANKTLTLLLEAIESAFSTKIVVRSLTICGFLASIMVMVVQVLSTTDRIDMMVYRAGAQAYVDGGSLYGEPFEVFGLKLPFIYPPFAALLLAPFTLLTDVGAGYAMVVISALFMLACIWFLAQNLLRDTGLALLLTSWAWGLILLSEPVRANASFGQINMWLLVLVFLDLVPRRRRIPQGWLIGVAAAIKLTPVVMLFVFLIKKDWRAITSAIVGFLGATGVAALYNTRETVDFYTRAIFIMNDNSKIGVNIAYISNQSIKGVITRLWPSNDAANAASSLINIIWLVLVAVTITAFYFIIKALLNRDLFLLAAFANSALMLLISPISWNHHWVWLPLWLIVLWHYSWRLRNRDGLVTAAVLSFFTLTVPPQWWLGDPTGDQDFQQHLFMKFFMDDYFFWCLMLTIMLCVAMPRIMDLTRPDQVSPAR</t>
  </si>
  <si>
    <t>MTANKTLTLLLEAIESAFSTKIVVRSLTICGFLASIMVMVVQVLSTTDRIDMMVYRAGAQAYVDGGSLYGEPFEVFGLKLPFIYPPFAALLLAPFTLLTDVGAGYAMVAISALFMLACIWFLAQNLLRDTGLALLLTSWAWGLILLSEPVRANASFGQINMWLLVLVFLDLVPRRRRIPQGWLIGVAAAIKLTPVVMLFVFLIKKDWRAITSAIVGFLGATGVAALYNTRETVDFYTRAIFIMNDNSKIGVNIAYISNQSIKGVITRLWPSNDAANAASSLINIIWLVLVAVTITAFYFIIKALLNRDLFLLAAFANSALMLLISPISWNHHWVWLPLWLIVLWHYSWRLRSRDGLVTAAILSFFTLTVPPQWWLGDPTGDQDFQQHLFMKIFMDDYFFWCLMLTIMLCVAMPRIMDLTRPDQVSPAR</t>
  </si>
  <si>
    <t>GC_00003213</t>
  </si>
  <si>
    <t>COG4245</t>
  </si>
  <si>
    <t>Uncharacterized conserved protein YegL, contains vWA domain of TerY type (TerY)</t>
  </si>
  <si>
    <t>MKKYKATYLPVFFLIDVSYSMLEEKPGGGTLLDAANQLVPGIVEACEKYSVLDQRLRLGLIEFYDEARVVIPLSEIDAFSENIPQLVAKGGTNFAAAFWAVFNEMGVAVESLRKPEIGIHRPTVFFITDGEDIGDVEERARAWAALSDEGFRYRPNFFTFGVGNANLEGIRAFKLGSGFAAATKDPTRAVQRLQEILNTLVSSIVSSSAGDNPTGKIIVDPKTFNSDEWEVDDEFV</t>
  </si>
  <si>
    <t>MKKYKATYLPVFFLIDVSYSMLEEKPGGGTLLDAANQLVPGIVEACEKYSVLDQRLRLGLIEFCDEARVVIPLSEIDAFSENIPQLVAKGGTNFAAAFWAVFNEMGVAVESLRKPEIGIHRPTVFFITDGEDIGDVEERARAWAALSDEGFRYRPNFFTFGVGNANLEGIRAFKLGSGFAAATKDPTRAVQRLQEILNTLVSSIVSSSAGDNPTGKIIVDPKTFNSDEWEVDDEFV</t>
  </si>
  <si>
    <t>GC_00003214</t>
  </si>
  <si>
    <t>MTPPVRITIRGEHRVVGAAARQTSGVRRPDETGRPGRARQPRGASDMGGMNVVRRSGGLGRDVHPHGGGSTLREALRLPEETFPAVPLAPNCFFVSAPLRHYALDVGDTVGAGWDAQDQGRLRVTDVYCLQPGWYVRGHIRGFKR----GEWAAERGLGEGAAGQGSACRRAMRQTVGSAATELCFLKRTARRLATMNDGVFLGQWSPKYSRHQLIDMFDVLQPRVTIAAMLCPAERLRWLHDWVAGGPLAADPWGSGRTPAAADPARYQAGRDPEWFARGLATPEFLRHIQTLVRDNADLLTLIEAGEYDRAVRWIRAYDATLARLAG</t>
  </si>
  <si>
    <t>MTPPVCITISGEHRAFGAAVRQPSGVRRSDETGCQGRARQTRGAGDTGGMSVSRRSGALSRGAYPHGGGGALGDALRLPEETFPAVPLAPNCFFVSAPLRHYALDVGDTVGAGWDA--QGRLRVTDVYCLQPGWYVRGYIRGFEREQECGEGAAEQGLGE-EFGQGSARRRAMRQTVESAATELCFLKRTAQRLATMNDGVFVGQWSPKYSRHQLIDMFDVLQPRVTIAAMLCPAERLRWLRDWVAGRLLAANPWGSGRAPATADPARYQAGRDPEWFARGLATPEFLRHIQTLVRDNADLLTLIEAGEYDRAVRWIRAYDATLARLAG</t>
  </si>
  <si>
    <t>GC_00003215</t>
  </si>
  <si>
    <t>K19132</t>
  </si>
  <si>
    <t>CRISPR-associated protein Csb2</t>
  </si>
  <si>
    <t>COG5946</t>
  </si>
  <si>
    <t>CRISPR-Cas system type I-G effector complex subunit Csb5, RAMP superfamily Cas5 group (Csb5gr5)</t>
  </si>
  <si>
    <t>MRSLNIIARFPLGVYVGHKSDRRSDEFPDPARLHAALLNSATQGTHAIQGKHGLEPSESALVALKWLEKNPPDGIEKPTSLPVFTGRQRFMHREVAQSSGGRKTEQRPLSDGIALASHVGWHWDNVPDDVAETLEQLCDDVPHLGESVSVAILEGGVVNPNLHLDAQGSPLVSGGMMLRVPIDGRTDALIKTYRSNNPSKIPTKAADRPKKNEEPLNTPVTHECLGNVKYSRQEPTVCDAPWSQIVLLEVAGEDLPPRQYVAICVALHRAIISAIGFGASSFITGKYDKAVAKIPANRLAFQYLPGQYTQHLGLKGAAIAIMIPAAANTEDLSQLAKGLAAVKQLYSRDFGRRHVYFSGISVQADAFWPKPQQGCVRLWKPLTAIVPETRPVKPKDGTRRWTLADSGLLSLAYVWRDRFNSEKKGEQRYLELRDQVKTQDAMVFKARTVNANPRKYAHRTHASVVTQPWRGLLSLGTLATDKTLVAIGQSRHLGGGLLVPHDVLKDDFERMIQKEKHSNDK</t>
  </si>
  <si>
    <t>MRSLNIIARFPLGVYVGHKSDRRSDEFPDPARLHAALLNSATQGTHAIQGKHGLEPSESALVALKWLEKNPPDGIEKPTSLPVFTGRQRFMHREVAQSSGGRKTEQRPLSDGIALASHVGWHWDNVPDDVAETLEQLCDDVPHLGESVSVAILEGGVVNPNLHLDAQGSPLVSGGMMLRVPIDGRTDALIKTYRSNNPSKIPTKAADRPKKNEEPLNTPVTHECLGNVKYSREEPAVCDAPWSQIVLLEVAGEDLPPRQYVAICVALHRAIISAIGFGASSFITGKYDKAVNKIPANRLAFQYLPGQYTQHLGLKGAAIAIMIPAAANTEDLSQLAKGLAAVKQLYSRDFGRRHVYFSGISVQADAFWPKPRQGCVRLWKPLTAIVPETRPVKPKDGTRRWTLADSGLLSLAYVWRDRFNSEKKGEQRYLELRDQVKTQDAMVFKARTVNANPRKYAHRTHASVVTQPWRGLLSLGTLATDKTLVAIGQSRHLGGGLLVPHDVSKEDFERMIQKEKYSNDK</t>
  </si>
  <si>
    <t>GC_00003216</t>
  </si>
  <si>
    <t>MTRALRKIALSLILCVFESPAERITLLASRVISYCALGLGIALLIIAVLSPFLLIPTLKVIPLDAGGPQTTQEAPGMLLDAQAFAANQPVEEHRDAPECAPSEGELPMSCFISSSTPLRLNRTMESKDPATKKFVTLQATTTLSRGDREAPDNVVSTAVDAVTLNRFSAEPDADLQSSFQIQAPDLGLNEDTGKFARVGLQYRFPFDTERRSYQFFDTTAQTDNLMDFSDAVKEHGTKSLQFEQNVGAVNMLNAVTDALRRDGDLSDNDRAALTDLQVTAPARRWYSADELAAQGISPDEQVSMTRYYSVARTVRVEPKTGIIVYGADRLNYFFARSDEEAQQVADAFFRSVDHGDAFTPSPQRTALFVDAAWDQDTQDRAWDSALAGFTALKNLEFAIYVVGTLGVLVIAVSMVFVRRSLHRQHHS</t>
  </si>
  <si>
    <t>MTRALRKIALSLILCVFESPAERITLLASRVISYCALGLGIALLIIAVLSPFLLIPTLKVIPLDAGGPQTTQEAPGMLLDAQAFAANQPVEEHRDAPECAPSEGELPMSCFISSSTPLRLNRTMESKDPATKKFVTLQATTTLSRGDREAPDNVVSTAVDTVTLNRFSAEPDADLQSSFQIQAPDLGLNEDTGKFARVGLQYRFPFDTERRSYQYFDTTAQTDNLMDFSDAVKEHGTKSLQFEQNVGAVNMLNAVTDALRRDGDLSDNDRATLTDLQVTAPARRWYSADELAAQGISPDEQVSMTRYYSVARTVRVEPKTGIIVYGADRLNYFFARSDEEAQQVADAFFRSVDHGDAFTPSPQRTALFVDAAWDQDTQDRAWDSALAGFTALKNLEFAIYVVGTLGVLVIAVSMVFVRRSLHRQHHS</t>
  </si>
  <si>
    <t>GC_00003217</t>
  </si>
  <si>
    <t>MSATGLLVYLCGFFAGAYLVFQGARMMGNPEKLWSALNNFGTLTPAKTMRTAAFFPPALIAAGLLLASNTAILFSGILSIAILLAFTRIIIKTPADNLVFGTPAKNSTEPDAAEQQKNSIVAVNILVIVMAFITYFGDFQMKLWEYIPLGIGVVFVIAIFSYRLTTLKKAHTTTLPTPAQPLASAAA</t>
  </si>
  <si>
    <t>MSATGLLVYLCGFFAGAYLVFQGARMMGNPEKLWSALNNFGTLTPAKTMRTAAFFPPALIAAGLLLASNTAILFSGILSIAILLAFTRIIIKTPADNLVFGTPAKNSTNPDAAEQQKNSIVAVNILVMVMAFITYFGDFQMKLWEYIPLGIGVVFVIAIFSYRLTTLKKAHTTTLPTPAQPLASAAA</t>
  </si>
  <si>
    <t>GC_00003218</t>
  </si>
  <si>
    <t>PF20570.3</t>
  </si>
  <si>
    <t>Domain of unknown function (DUF6779)</t>
  </si>
  <si>
    <t>MSVLSEDHGFAQQDDAPATRDTGQLLLVGLVVLALAASVIMMLTGNINLLKVALLAALWAAVFGIFLTYFYRNKLSEQKLEHENQIEQARLAFHAEQAARELELEQRITEKTNDATQETLDKIKDQLDNLRSQLEMLSGVSFEEPAMIRAEAHRIKEIKEISASDGMDYGSVDFDTTTSDHEMAEDYRESDDVSVDSDQFNNARFGTYPTFTGSGSNATDMTDVFSHVPDPEPEFDPDAEWDESKHFSEFPVETATNNSNMEDSAVDGEPIPTDYDLPSYSSWESNRYASENSEDAEVEEPTGSFPANADVNANASAGS--SDSGRSGGAHSSPGNSGASTSGYGADFSAARLQNIYGRSAASSQATQGSRAAQGAQGSQSSGGHTSHRGSDSFAFGNSSNAANANAGEADSRDTTNARSNDANTPNRATYPNFAMPSGSQENTDYSASNQDNRGSHRSGGHSTDSNQTGFSYSNYGSSGYSSPDYSAPAADSNNDSAATVYEAPSSSGSSYASPNWSSTSPAVGDSATTDSTDSAGRQQDTGSWRQRVAAGSTPSEGGGRRRKQSEPEPEPQNHRGSHRRPEQEAEDTRHGRRRRDEGGGLSVADLLRRNDG</t>
  </si>
  <si>
    <t>MSVLSEDHGFAQQDDAPATRDTGQLLLVGLVVLALAASVIMMLTGNINLLKVALLAALWAAVFGIFLTYFYRNKLSEQKLEHENQIEQARLAFHAEQAARELELEQRITEKTNDATQETLDKIKDQLDNLRSQLEMLSGVSFEEPTMIRAEAHRIKEIKEISASDGMDYGSVDFDTTTSDHEMAEDYRESDDVSVDSDQFNNARFGTYPTFTGSGSNATDMTDVFSHVPDPEPEFDPDAEWDESKHFSEFPVETATNNSNMEDSAVDGEPIPTDYDLPSYGSWEGSRYASENSEDAEVEEPTGSFPANADANANASAGSSGSDSGRSGGAHSSPDNSGASTSGYGADFSAARLQNIYGRSAASSQATQGSRAAQGAQGSQSSGGHTSHRGSDSFAFGNSSNAANANAGEADSRDTTNARSNDANTPNRATYPNFAMPSGSQENTDYSASNQDNRGSHRSGGHSTDSNQTGFSYSNYGSSGYSSPDYSAPAADSNNDSAATVYEAPSSSGSSYASPNWSSTSPAVGDSATTDSTDSAGRQQDTGSWRQRVAAGSTPSEGGGRRRKQSEPEPEPQNHRGSHRRPEQEAEDTRHGRRRRDEGGGLSVADLLRRNDG</t>
  </si>
  <si>
    <t>GC_00003219</t>
  </si>
  <si>
    <t>MRRNLSPNAVALDGEFRHDMVHTRGLRLHAATAGNPADPAIVLLHDAYTCWADFKDVLPLLGNLGLHAIAVDLRGYGMSDKPPMGHDLRHLCGDIAGAIRTLGHDKAHIVGMGTGATLAWTMATGYPDHVASITSCGAIHPIDMRRATFTHPWLFTTLLITSGLFRLPSWLVRNLWRTRGRFIRRDLRSNTTLQFQQSPAYHNNLHLRATALAIANTAAAVIRTVRLPLAIPPVKWATSKVQVPTMMLVDASRQSCSLIRAAHNRCLTQPTIAHIPNTRLRPHLENPEGFTTFVGSFIQEADSPH</t>
  </si>
  <si>
    <t>MRRNLSPNAVALDGEFRHDMVHTRGLRLHAATAGNPADPAIVLLHDAYTCWADFKDVLPLLGNLGLHAIAVDLRGYGMSDKPPMGHDLRHLCGDIAGAIRTLGHDKAHIVGMGTGATLAWTMATGYPDHVASITSCGAIHPIDMRRATFTHPWLFTTLLITSGLFRLPSWLVRNLWRTRGRFIRRDLRSNTTLQFQHSPAYHDNLHLRATALAIANTAAAVIRTVRLPLAIPPVKWATSKVQVPTMMLVDASRQSRSLIRAAHNRCLTQPTIAHIPDTRLRPHLENPEGFTTFVGSFIQGTDSPY</t>
  </si>
  <si>
    <t>GC_00003220</t>
  </si>
  <si>
    <t>MQRHSTALMFTVVWLFWCAITLINLPNHQERMMPSLFVWALICIVHCVFHQSFSYLDTTPVIPPRYLLILLTIQVGFGIALWALIHDYAIRALVPYLAHLLVFCVARLWVSLVSGSAIIGAGIMLSLLIDEATHKATIMDLVDCFLFILASRLLLEFDNRRQQAKELRQRKHDRDRIAHDVHELLGESLSTIIKTARSIEATTTDDSLKQQTTEIMGISQQAMQELHYTVAQLRSRTVEEEIEAATQALEAAGITAIIHRDGTLTHQEFSWVLREIVTNVIRHSHATRCVINIGNNHLIVHDNGVGIGTHKRGNGITGVTERVTQAGGTINFNHANGTKVTAVLPATTHIR</t>
  </si>
  <si>
    <t>MQRHSTALMFTVVWLFWCAITLINLPNHQERMMPSLFVWALICIVHCVFHQSFSYLDTTPVIPPRYLLILLTIQVGFGIALWALIHDYAIRALVPYLAHLLVFCVARLWVSLVSGSAIIGAGIMLSLLIDEATHKATIMDLVDCFLFILASRLLLEFDNRRRQAKELRQRKHDRDRIAHDVHELLGESLSTIIRTARSIEATTTDDSLKQQTTEIMGISQQAMQELHYTVAQLRSRTVEEEIEAATQALEAAGITAVIHRDGTLTHQEFSWVLREIVTNVIRHSHATRCVINIGNNHLIVHDNGVGIGTHKRGNGITGVTERVTQAGGTINFNHANGTKVTAVLPATTHIR</t>
  </si>
  <si>
    <t>GC_00003221</t>
  </si>
  <si>
    <t>MMRRVAQMRAEKMIGMLFGMRKIISSVIAGLLCFGASISVPASAQADELQAMLKKAGQENAGVDLMAGRTYVVPETLNVPMGVRYIRGHGAHLDVRTKGTSSTLASAFELQSKTSGIELSDFTLNMKNSSFSSGISGDHISNVTVRNVTMNDVNYRGVSILADHGDVSNVTVDRSTITMANENDGVVPIFVSTNRVKDDYTGKGAEVWERYVATGKTADPMFKNTDIKITDNTIDGGYYGIEFSGVTSSHITGNTIRNNTRNISMQDRSSNNTVENNQLRDSISSSVHIAYGSEHNDVKGNNIVTRRAYGQGILQAYQGSKNNTFSGNSVTTRDKHPSWLLYVGPDSGGTTFTGNTVDGTANRAFVGVESVWDGDSSLSHLNGAKDNPHSYMVQGESKKPSGETVRYAGGNGPLENITITGNTFTPRNKTLPVVYVGAEVSKAQNGRQEVRGDIKGVNVSGNTVKGVKGNDYSELLVTHEGSLDKLGPATISFTDKSVVAQ</t>
  </si>
  <si>
    <t>MMRRVAQMRAEKMIGMLFGMRKIISSVVAGLLCFGASISVPASAQADELQAMLKKAGQENAGVDLMAGRTYVVPETLNVPMGVRYIRGHGAHLDVRTKGTSSTLASAFELQSKTSGIELSDFTLNMKNSSFSSGISGDHISNVTVRNVTMNDVNYRGVSILADHGDVSNVTVDRSTITMANENDGVVPIFVSTNRVKDDYTGKGAEVWERYVATGKTADPMFKNTDIKITDNTIDGGYYGIEFSGVTSSHITGNTIRNNTRNISMQDRSSNNTVENNQLRDSISSSVHIAYGSEHNDVKGNNIVTRRAYGQGILQAYQGSKNNTFSGNSVTTRDKHPSWLLYVGPDSGGTTFTGNTVDGTANRAFVGVESVWDGDSSLSHLNGAKDNPHSYMVQGESKKPSGETVRYAGGNGPLENITITGNTFTPRNKTLPVVYVGAEVSKAQNGRQEVRGDIKGVNVSGNTVKGVKGNDYSELLVTHEGSLDKLGPATISFTDKSVVAQ</t>
  </si>
  <si>
    <t>GC_00003222</t>
  </si>
  <si>
    <t>MSYRSLRTKNTVSSRVLSLQVATTALVMAGIVVGSTTAAGAEPSTTRPTTTSTSASASATTPASAAADPSASQAPTSHDRLVPVTEKGYRLDSQEMSRLYGPGVFTQTALSNTVVGAAKSKFTIVSNRFRATESGELSFLRFYWPTGSGYASGTGGNIKITVVPDDGSSEHRPDLKAEPLAVTHYQPKLVDGKKQTKQELLSEIPIEQSKNALTSGQLYHVVLENVDPKPQDNFISSNNSITVKEDGKPARWLNSTDWSTLMGSRPANDNTADYHWDDLTRDGSGEKLLSPIMEVGLTTGKSIGMFDMESGSVHPERIYAASQNKPVREHFTPSTQKRVSGFSVASAASTGGALGWSIKQGDRVLASGQIEQPEANFTTHKLTRVVGSFTWYDVALPQDVVLEAGQSYDLEFRPVGNSVWQFGDHSNGSNYGVKWPAAFTESQAQHLQDGTWINTNHWDHTKPGGGTNWPVVLHVAP</t>
  </si>
  <si>
    <t>MPYRSLRTKNTVSSRVLSLQVATTALVMAGIVVGSTTAAGAEPSTTRPTTTSTSASASATIPTSAAAEPSASQASTSHDCLVPVTEKGYRLDSQEMSRLYGPGVFTQTALSNTVVGAAKSKFTIVSNRFRATESGELSFLRLYWPTGSGYASGTGGNIKITVVPDDGSSEHKPDLKAEPLAVTHYQPKLVDGKKQTKQELLSEIPIEQSKHALTSGQLYHVVLENVDPKPQDNFISSNNSITVKEDGKPARWLNSTDWSTLMGSRPAHDNTADYHWDDLTRDGSGEKLLSPIMEVGLTTGKSIGMFDMESGSVYPNRIYAASQNKPVREHFTPSTQKRVSGFSVASAASTGGALGWSIKQGDRVLASGQIEQPEANFTTHQLTNVLGSFTWYDVALPQDVVLEAGQSYDLEFRPVSNSVWQFGDHSNGSNYGVKWPAAFTESQAQHLQDGTWINTNHWDHTKPGGGTNWPVVLHVSP</t>
  </si>
  <si>
    <t>GC_00003223</t>
  </si>
  <si>
    <t>MSEQDMLQDLLGDEYLLNWVVGNGGMSTVWLADDIENEREVAVKVLRPEFSDNVEFLSRFRNEALASEDIRNDNVVETYNYKEVTDDSGRTFCFIVMEFIRGESLADMLIRKGSLLEPDALDILEQAAHGLAAIHERGLVHRDIKPGNLLITQNGKVKITDFGIAKAAAAAPLTRTGMVVGTAQYVSPEQAQGKDVTTATDVYSLGVVGYEMLAGKRPFSGDSSVSVAIAHINQAPPALPTSISAPTRELIGIALRKEPEHRYSDGAELEKAVAAARLGKRPPQPVGVATPSQSMEETSATAQTSQIPATDATTIAPQETTGPRTNPPTTPPARANNVPARAASATIAPPRKPRPHPQPEPEEESRTTGLITGIGISIVLAIAVIVGMYYFSGGKWTGKQQPKSSSVVATTTSSSPRTVTVTQDTPVQQAPQVPDNYTNNNQYEAPSQPTVQHNNQSTVGTPSYQPTYAQPTPTPTVVITDLPTAVPTAVQPPVVTEPTAQPDPGDGNGGGGN-GGGGGGQNNQNNPGANQ</t>
  </si>
  <si>
    <t>MSEQDMLQDLLGDEYLLNWVVGNGGMSTVWLADDIENEREVAVKVLRPEFSDNVEFLSRFRNEALASEDIRNDNVVETYNYKEVTDDSGRTFCFIVMEFIRGESLADMLIRKGSLLEPDALDILEQAAHGLAAIHERGLVHRDIKPGNLLITQNGKVKITDFGIAKAAAAAPLTRTGMVVGTAQYVSPEQAQGKDVTTATDVYSLGVVGYEMLAGKRPFSGDSSVSVAIAHINQAPPALPTSISAPTRELIGIALRKEPEHRYSDGAELEKAVAAARLGKRPPQPVGVATPSQSMEETSATAQTSQIPATDATTIAPQETTGPRTNPPTTPPARANNVPARAASATIAPPRKPRPHPQPEPEEESRTTGLITGIGISIVLAIAVIVGMYYFSGGKWTGKQQPKSSSVVATTTSSSPRTVTVTQDTPVQQAPQVPDNYTNNNQYEAPSQPTVQHNNQSTVGTPSYQPTYAQPTPTPTVVITDLPTAVPTAVQPPVVTEPTAQPDPGDGNGGGGNGGGGGGGQNNQNNPGANQ</t>
  </si>
  <si>
    <t>GC_00003224</t>
  </si>
  <si>
    <t>MPSESPEQSTQPASSASPQPAQQSQSDGSLRTQLVRFIAVGVVCAVIDYGTTLLLDYVLGVPRGWAKAVGWVAGTTSAYFMNAKWTFNSKTSAKATVAVAILYLSTFAVQNILYKVVPMPLHSFELPKFVVDTISFVIAQGVATVTNFVMQRAFIFKQR</t>
  </si>
  <si>
    <t>MPSESPEQPTQPASSASPQPAQQSQSDGSLRTQLVRFIAVGVVCAVIDYGTTLLLDYVLGVPRGWAKAVGWVAGTTSAYFMNAKWTFNSKTSAKATVAVAILYLSTFAVQNILYKVVPMPLHSFELPKFVVDTISFVIAQGVATVTNFVMQRAFIFKQR</t>
  </si>
  <si>
    <t>GC_00003225</t>
  </si>
  <si>
    <t>MENVFSADYAFAQDVMDEVETIVDRVGPLSFVKNILLFYLEDHGIHDGVVWECVVNLSESAHESPSYRKHMDALLADYGEDRYPKVGQCRQDSANLQACLIATQCILAGLSVAEAPLELPYTVCGLIVDSDWGFDKLHEGMMQMLPPPGHHAGGNGDAQPCC</t>
  </si>
  <si>
    <t>MENVFSADYAFAQDVMDEVETIVDRVGPLSFVKNILLFYLEDHGIHDGVVWECVVNLSESAHESPSYQKHMDALLAEYGDDRYPKV---RQDSANLQACLIATGCILAGLSVAEAPLELPYTVCGLIVDSDWGFDKLHEGMMQMLPPPGHHAGDNGDAQPCC</t>
  </si>
  <si>
    <t>GC_00003226</t>
  </si>
  <si>
    <t>MQKDVFSWVMVMLIAVSLGAARCAASISIRSGDAVPMVGGAACVGALTALLYVVGRLYGMRMRASYFLAGRWRIYVVSSLALGCYMLPGSAVENSSALEWGVDAAVLLVCAGLVAMALKRLWRA</t>
  </si>
  <si>
    <t>MQKDVFSWVMVMLIAVSLGAARCAASISIRSGDAVPMVGGAACVGALTALLYVVGRLYGMRMRASYFLAGRWRIYVVSLLALGCYMLPGSAVENSSALEWGVDAAVLLVCAGLVAMALKRLWRA</t>
  </si>
  <si>
    <t>GC_00003227</t>
  </si>
  <si>
    <t>PF07508.19</t>
  </si>
  <si>
    <t>Recombinase</t>
  </si>
  <si>
    <t>K06400</t>
  </si>
  <si>
    <t>site-specific DNA recombinase</t>
  </si>
  <si>
    <t>COG1961</t>
  </si>
  <si>
    <t>Site-specific DNA recombinase SpoIVCA/DNA invertase PinE (SpoIVCA) (PDB:1GDT)</t>
  </si>
  <si>
    <t>KEGG Orthology (KO)&gt;&gt;&gt;09190 Not Included in Pathway or Brite&gt;&gt;&gt;09193 Unclassified: signaling and cellular processes&gt;&gt;&gt;99978 Cell growth</t>
  </si>
  <si>
    <t>MDQDKRYISDPETAPIVTQIFHDYASGVSMQKICNQLNAQGIRTTRGYRFTPKNLNKMLKNRAYIGEYAYGGHVHEDGMPRLVDDLTFNEVQRRFAINNRRGAKTKAELAAQGENAPDYWLTGRAYCLTCGGPMEGVSGTSKTGTTYRYYYCLNQRKKKCSAKTVRKDEIEIRIEEIVASFRADPEMLASLAVDLADHYQQTHGRGDDILKALEARRADVEKKLANFVKAISQGIFNETTAEAMRSQEEQKHELDAAIQAEHVKATLYEDKASIGAFYKRFAEATIDTPETRDQLFEYFVDKVFIGREQIIIASYFHDSAAPIEFEDLEEALTSGHRAGEVRTYARKRVFDTFPSGGAAEGSTPTRYELV</t>
  </si>
  <si>
    <t>-----------------------------------------------------------------------------------------------------------------------------------------------------------------------------------------------------------------MNALEA----------------------------------QKQELD</t>
  </si>
  <si>
    <t>GC_00003228</t>
  </si>
  <si>
    <t>MTTTHLSAQLRAIIASAKIQLLIVAKRPMNIATGIITPWMFLSLFLIPRLGNLNQDQITHAISATITASFWAASIWSGAGIIRREKWMGTLGHTLSGLLSPMAAILAKMLGAVAYDVTLITISTISFCLIFRIPFHPTHPFLLAAGIILVAVFGVCSSILIAGLLINSRNPFHLTNAFGTPMLLLGGLLIPPSYLPPAVSWVSALINLYWLRQFLSSLTTTPDWGSLLIGCLVSTCYLLGAWLCIRHMVTRAKVRGTFEFT</t>
  </si>
  <si>
    <t>MMTTHLSAQLRAIIASAKIQLLIVAKRPMNIATGIITPWMFLSLFLIPRLGNLNQDQITHAISATITASFWAASIWSGAGIIRREKWMGTLGHTLSGLLSPMAAILAKMLGAVAYDVTLITISTISFCLIFRIPFHSTHPFLLAAGIILVAVFGVCSSILIAGLLINSRNPFHLTNAFGTPMLLLGGLLIPPSYLPPAVSWVSALINLYWLRQFLSSLTTIPDWGSLLIGCFVSTCYLLGAWLCIRHMVTRAKVRGTFEFT</t>
  </si>
  <si>
    <t>GC_00003229</t>
  </si>
  <si>
    <t>MAFDGKERRSSRRSPQVGNVIYVNFGARDYTPVAGHDTFTDPDAPSYKPRRKTTRARATVKRTRSTAADWLTDLAFTQSDNGRMSRGRGYYQGGHVMNLEFVPGSITAKVIGSQPQPFSVAIMFPPRTDPQLARLPDLISQLDGGIQAVRSGQFSPDMLKILFGGHPYKARYYCDCPDKAKVCKHIVATMMAAADRVAADPGLVFQLRGLNLADMRLPKQSMKPVGSAGSVPATPETSASAGSAGAAKK--AEAPSPEAIAAATDRFWNGGPLPEIPQLKTQSALADSDEELLHKAMRTISYTSVDELCAVSDIEDLYYNLTHET</t>
  </si>
  <si>
    <t>MAFDGKERRSSRRSPQVGNVIYVNFGARDYTPVAGRDTFTDPDAPSYKPRRKTTRARATAKGTRSTAADWLTDLAFTQSDNGRMSRGRGYYQGGHVMNLEFVPGSITAKVIGSQPQPFSVAIMFPPRTDPQLARLPDLISQLDGGIQAVRSGQFSPDMLKILFGGHPYKARYYCDCPDKAKVCKHVVATMMAAADRVAADPGLVFQLRGLNLADMRLP----KPAGSAG---AEPETSVPAGASGARQKPQAEAPSPEAIAAATDRFWNGGPLPEIPQLKTQSALADSDEELLHKAMRTISYTSVDELCAVSDIEDLYYNLTHET</t>
  </si>
  <si>
    <t>GC_00003230</t>
  </si>
  <si>
    <t>MPIHNPTEYPAIIARLKTKLAEKSVVMGPTLDEAEIEAFEIACNTRLPEAYRLFLQQAGDGCDDTVLYGLKRLADTAVKDLSHTVTINDYWLWEAEEDEALLTGEAFDERLGNQGVLLLDQGCGDTYQLITAGKWAGEVWNFCDVGAGPCCERQDFLG-------------------</t>
  </si>
  <si>
    <t>MPIHNPTEYPAIIARLKTKLAEKSVVMGPTLDEAEIEAFEIACNTRLPEAYRLFLQQAGDGCDDTVLYGLKRLADTAVKDLSHTVTINDYWLWEAEEDEALLTGEAFDERLGNQGVLLLDQGCGDTYQLITAGKWAGEVWNFCDVGAGPCCEHQDFLGWLELWVDSDFDADFFKDYE</t>
  </si>
  <si>
    <t>GC_00003231</t>
  </si>
  <si>
    <t>MFPLKSEELFAAAAEHQKFAQAATTAMNSQQQGWDAVFAGSLSGPGFNAGQRTLGTLVANYASQAQKSADLAQVLYQTGLAQRDIEKAAEKVRQGAKSLLSAALHRGTILGDKAIDSLPICYQILMFLHGISLILDKTCAHQIGCIAVEHDDPHGVYLGDDLSLTPEQLNAQAFEHIRPEVRPLVDDPHIAGQDDHTGRKKPQAIQVINGKAALIFGDPTQAKTIVTVVQGVTSSNPDTIVTNVANVSDFYEDLNRGKGDVAVVMYDYAAPKGIFSGIHPGYAHKAANDYQSYKKALRAKYPDAQLMDVGHSYGSVLLGTAAQRPGGLETDVLIDAGSPGMNTRSTRNLHLNSSNPEVISSLNDADPARMLHTPDLGVHGPDPTDKLFGATEVWTGTGGHDYLTNPDFRAHMRDKLATYHR</t>
  </si>
  <si>
    <t>MFPLKSEELFAAAAEHQKFAQAATTAMNSQQQGWEAVFADSLSGPGFDAGRRTLGTLVADYASQAQKSADLAQVLYQTGLAQRDLEKAAEKVRQGARSLLSAALHHGAILGDKAIDSLPICYQILMFLHGISLILDKTCAHQIGCIAVEHNDPHGVYLGDDLSLTPEQLNAQAFEHIRPEVRPLVDDPHIAGQDDHTGRKKPQAIQVINGKAALIFGDPTQAKTIVTVVQGVTSSNPDTIVTNVANVSDFYEDLNRGKGDVAVVMYDYAAPKGIFSGIHPGYAHKAANDYQSYKKALRAKYPDAQLMDVGHSYGSVLLGTAAQRPGGLETDVLIDAGSPGMNTRSTRNLHLNSSNPEVISSLNDADPARMLHTPDLGVHGPDPTDKLFGATEVWTGTGGHDYLTNPDFRAHMRDKLATYHR</t>
  </si>
  <si>
    <t>GC_00003232</t>
  </si>
  <si>
    <t>MSEFEHPIKDVTDSLLGWATQAELELAQRLNHPNVTIIGDLDLASDEVERIEKLYGIFLAHQLAAGGNLAELTALSPALFLVTLTARAKKLVAADAFSREYLGGIGLNDLVPESQINSILADKLAEYLTNMQVSAFDADPVTVLCWHAGFVNTEIPQLLETIDTAAAEHDNPTIDDLELPHYFSGFHQVSPHAAILYQGVMALRDFTITHPQSWFDRDRKHLEPQLPTAIADAVAAELRERPVGTEDRAAAVGVANRELRPRLILDPVRKKVCLRLPEQRVPARGEITWRVSLEGSTTVYRTGRAWGDVTGYAESLDITLPRAVREVTVEDLSNHITWNVPVVNTNDPILLFNKRGGSVTDKKSLHHQRIRALIPAENRLVDVVHDMDIQPVSSFTIDGWDGWVCHNVILDGVDSLASLDAAATATQSDLKLLRVVDPRQRVTFRTPDEAIKHVTTLGGLKVHSQSLVAEFPPTPSGDTEIWHLSISAFGGAGLAGEEITQPEPLEVPAEGGVFHVLDPDAYDAPWVGEYLVRMRGPRNESFRHEFAIVEGMLAVTTYAGSSGSCRIPAGGGLSEATLIVKPGDKPFTAQPDKVHVSSQEAGADFVVSTEEGDSLPLRFNPPRLIFELPLLTEPPMWRASRMLLHPRMIDTQGTIRVRGAGELEDPKISVRNHHGQPVKTTKLTSRDGGITYVVPVSKLVSTTTVLSRGRIDLEWTDPSNNKRISVTLADVETTEPVAVTLDGGTLTVTGTEQQNLGVWVWPETAPWHPADTFPVVDGAVTLPEEYVDAGNLIVQVHVRDPFTVLHTPVSPGPEATVLEQEGFFGTDDGVLGTLSAFISGIHDTIPADPQVMPVLWDMLASGGHRPETIKAVRTVFQANPDASLRGLSQSLVKSAQQPGRFIETGLVRCRFTGTPSSEAMDADLHLAAWIGTLELLGQLDHLFGAEGYPDAAKPQVQEVKKQLAALAGDNILETLKTARDTTLDSACIDKTTVMLAGMDPAQQRFLLNQVFGEHIVPGAVLDDSSRLLAVFETFNQRDKLRELLGSENLIASAVTLLRTLRSSNKSLYALARIRFDKLDGVDTNAKENLWALAPVVSLVLALASRVSAHGLITSNKTLDAATAGWARLAEVVPDLVISDIVAADAIALAIAKPGIA</t>
  </si>
  <si>
    <t>MSEFEHPIKDVTDSLLGWATQAELELAQRLNHPNVTIIGDLDLASDEVERIEKLYGIFLARQLAAGGNLAELTALSPALFLVTLTARAKKLVAADTFSREYLGGIGLNDLVSESQIDSILADKLAEYLTNMQVSAFDTDPVTVLCWHAGFVNTEIPQLLETIDTVAAKHDNPTIDDLELPHYFSGFHQVSPHAATLYQGVMALRDFTITHPQSWFDRDRKHLEPQLPIAIADAVAAELRERPVGTEDRAAAVGVANRELRPRLILDPVRKKVCLRLPEQRVPARGEITWRVSLEGSTTVYRTGRAWGDVTGYAESLDITLPRPVREVTVEDLSNHITWNVPVVNTNDPILLFNKRGGSVTDKKSLHHQRIRALIPAENRLVDVVHDMDIQPVSSFTIDGWDGWVCHNVILDGVDSLASLDAAATATQSDLKLLRVVDPRQRVTFRTPDEAIKHVTTLGGLKVHSQSLVAEFPPTPSGDTEIWHLSISAFGGAGLAGEEITQPEPLEVPAEGGVFHVLDPDAYDAPWVGEYLVRMRGPRNESFRHEFAIVEGMLAVTTYAGSSGSCRIPAGGGLSEATLIVKPGNKPFTVQPDKVHVSSQEAGADFVVSTEEGDSLPLRFNPPRLIFELPLLTEPPMWRASRMLLHPRMIDTEGTIRVRGAGELEDPKISVRNHHGQPVKTTKLTSRDGGITYVVPVSKLVSTTTVLSRGRIDLEWTDPSNNKRISVTLADVETTEPVAVTLDGGTLTVTGTEQQNLGVWVWPETAPWHPADTFPVVDGAVALPEEYVDAGNLIVQVHVRDPFTVLHTPVSPGPEATVLEQEGFFGTDDGVLGTLSAFISGSHDTIPTDPQVMPVLWDMLASGGHRPETIKAVRTVFQANPDASLRGLSQSLVKSAQQPGRFIETGLVRCRFTGTPGSEAMDADLHLAAWIGTLELLGQLDHLFGAEGYPDAAKPQVEEVKKQLAALAGDNILETLKTARDTTLDSACIDKTTVMLAGMDPAQQRFLLNQVFGEHIVPGAVLDDSSRLLAVFETFNQRDKLRELLGSENLIASAVTLLRTLRSSNKSLYALARIRFDKLDGVDTNAKENLWALAPVVSLVLALASRVSAHGLITSNKTLDAATAGWARLAEVVPDLVISDIVAADAIALAIAKPGIA</t>
  </si>
  <si>
    <t>GC_00003233</t>
  </si>
  <si>
    <t>MRWGCKFGGLGFVGAVMPWSWFFYKSQPTKSAASLGIKFPELEFWFLVFSTPGHMGAAFLKLQLSTCEA</t>
  </si>
  <si>
    <t>MRWGCKFGGLGFAGAVMPWSWFFYKSQPTKPAASLGIRFPELEFRFWAFPVPGPMGAAFLKLQLSTCEA</t>
  </si>
  <si>
    <t>GC_00003234</t>
  </si>
  <si>
    <t>MKMKIFAAGIAAVTVGVLAPIPAMGVDKPSDSVSTSMTATPQDIIDDWHKPHPVPPLSGTMPAGTHAATAADMQKFVTKNWVSAVSTAKLDFTQSKLYKGNEAEFRTTFRKAEQKFNGDVPDTARTFGGGSTCRGSLVLVWFENDNVMRFIDAGPTIAVGCQKEVEEQDRELQTYLKQSTIYFNEVGDHMYLKRASDGAVSHWKLANAETVNRS</t>
  </si>
  <si>
    <t>MKTKIFAAGIAAVTVGVLAPIPAMGVDKSSDSVSTSMTTTPRDIIDDWHKPHPVPPLSGTMPAGTHAATAADMQKFVTKNWVSTVSTAKLDFTQSKLYKGNEAEFRTTFRKAEQKFNGNVPDTARTFGGGSTCRGGLVLVWFENDNVMRFIDAGPTIAVACQTEVEEQDRELQTYLKQSTIYFNEVGDHMYLKRASDGAVSHWKLADAETVNRS</t>
  </si>
  <si>
    <t>GC_00003235</t>
  </si>
  <si>
    <t>MAHGNRDSLFTTHSPTNRGNSPHDHPFRRDEDHTDSSSKFSYHSDRDFSPFQQRYSGKEPPEDTEKQFEYIDMVEQTDTTSTTSRQQAPRRKAGLKRKLHRLRRSNVPLVTTASYSPTQNRKKREKQYMWIQGSRLPFLLLAMVTYMSMHNVWLSALLFVISVPLPWIAVVLANGIGEPRDARAPAVYKPAALREQAAAQSQQRAQMSRGNRVPPRQLPAGSDPA</t>
  </si>
  <si>
    <t>MAHGNRDSLFTTHSPTNRGDSPHDHSFRRDEDHADSSSKFSYHSDRDFSPFQQRYSGKEPPEDAEKQFEYIDMVEQTDTTSTASRQQAPRRKVGLRRKLHRLRRSNVPLVTTASYSPTQNRKKREKQYMWIQGSRLPFLLLAMVTYMSMHNVWLSALLFIISVPLPWIAVVLANGIGEPRDARAPAVYKPAALREQAAAQSQQRAQMSRGTKVPPRQLPAGSDSA</t>
  </si>
  <si>
    <t>GC_00003236</t>
  </si>
  <si>
    <t>MAVPVAVAPCGVAPHPAAATPRRTTPPYITPPRPAPEAAAYLLSSVFLLSRPTPPRIRRKIPAANQRPCLSSMKPNSPTPPIPQATGSRTPLSLTSSDFAPKQAQARGPTPGNRAYQTCSCTPDRPQPLLAAPGSATTLGCTGSKLGFHSCLPQIRRVITAQKPNTMLIKSATRGPGKSPCPIQGNEDQSFKGKRLPKPQKAAKLVAHRTPSPRPASADPSPTPGPQQPCLA-------------</t>
  </si>
  <si>
    <t>GC_00003237</t>
  </si>
  <si>
    <t>MLSEPRSNCPINRSLEMLGDRWSMLILRDIILHDRRSFRDLLTGSAEGISAPVLSRRLGDLVKAGFLTKSDVTRGKQGKYSLTDTGLATVPLLIELGRLGVCIDPSTRNNAPDFGTDPTELATRIAALRDAHGASPQQ</t>
  </si>
  <si>
    <t>MLSEPRSNCPINRSLEMLGDRWSMLILRDIILHDRRSFRDLLTGSAEGISAPVLSRRLGDLVKAGFLTKSDVTRGKQGKYSLTDTGLATVPLLIELGRLGACIDPSTRHNAPDFGTDPAELATRIAALRDAHGASPQQ</t>
  </si>
  <si>
    <t>GC_00003238</t>
  </si>
  <si>
    <t>MVRKRSQKYFASVFWQHNGVDHPTKVADTPHNGRHLTNFSGMIEYMQPVEFEQRKKEILRLLEEQERLFEAEKHRIETEFAEKTKKLEESHQQIEAIQQTITEAQERGESLDVVLAEKPEPMVVPEEFTELHEALTHKHAS</t>
  </si>
  <si>
    <t>GC_00003239</t>
  </si>
  <si>
    <t>PF06889.16</t>
  </si>
  <si>
    <t>Protein of unknown function (DUF1266)</t>
  </si>
  <si>
    <t>MVVFMTVTVTPISFKPNQKSPFKWSGRPLDPAMVRANSFGLPYREPQPVDAPGELLPKKMQTQIQQVLQAQWGFNDSDDVRQTCEILLGNGMHYRAFDAMLTPSNTLAQMYRESASPLDFRTQTDLFTSFLRGLYYYNNFDPDHEAQHFHHWVNMLVTQEFQNVCPDRMPHTTRAWDVVRVELTAGRAVGCGLLSPEEGQDYSHRAVQELQKSFANWYQVALSFWWGRAMWMADEPLDIGLLTVYDDLFSTALTHPDSPWVKVPLQP</t>
  </si>
  <si>
    <t>MVVFMTVTVTPISFKPNQKSPFKWSGRPLDPAMVRANSFGLPYREPQPVDAPGELLPKKMQTQIQQVLQAQWGFNDSDDVRQTCEILLGNGMHYRAFDAMLTPSNTLAQMYRESASPLDFRTQTDLFTSFLRGLYYYNNFDPDHEAQHFHHWVNMLVNQEFQNVCPDRMPHTTRAWDVVRVELTAGRAVGCGLLSPEEGQDYSHRAVQELQKSFANWYQVALSFWWGRAMWMADEPLDIGLLTVYDDLFSTALTHPDSPWVKVPLQP</t>
  </si>
  <si>
    <t>GC_00003240</t>
  </si>
  <si>
    <t>MLLFLRDNVAKMKRLRGDDLARAIVIRDRISHGQTTFSRQWIVDAQVRVMAAENFMHFEETETVQFSNAFKVAGIQQLFAVTNDDDPHYIHHAAIVDSTPDDFEDLSLTAFVGEFFILFSQDERHAVLFSPTGDFKLIAGPREFLLSIYPDLHAQRNKFIDFAHAQLSYPHTIGYELGMQRAIRYMDWLN</t>
  </si>
  <si>
    <t>GC_00003241</t>
  </si>
  <si>
    <t>MNIIPYEPPMRQAALDLALRAWEPVFPQLKAAVPGFVYGAFYPEEWQKRQLSDLGQILDNEPHTVDVAMLQDQNGSETPQLAGWVCTRIHPEDSMGEVYILAVDPQFQRRGIGHALMNHSHDRARAAGMTMMMVETGGDPGHAPARHTYEAAGYQRWPVARYFKNLQ</t>
  </si>
  <si>
    <t>MNIIPYEPPMRQAALDLALRAWEPVFPQLKAAVPGFVYGAFYPEEWQKRQLSDLGKILDNEPHTVDVAMLQGQNGSETPQLAGWVCTRIHPEDSMGEVYILAVDPQFQRRGIGHALMDHSHDRARAAGMTMMMVETGGDPGHAPARHTYEAAGYQRWPVARYFKNLQ</t>
  </si>
  <si>
    <t>GC_00003242</t>
  </si>
  <si>
    <t>K00059</t>
  </si>
  <si>
    <t>3-oxoacyl-[acyl-carrier protein] reductase [EC:1.1.1.100]</t>
  </si>
  <si>
    <t>M00083|M00874|M00572</t>
  </si>
  <si>
    <t>Fatty acid biosynthesis, elongation|Fatty acid biosynthesis in mitochondria, fungi|Pimeloyl-ACP biosynthesis, BioC-BioH pathway, malonyl-ACP =&gt; pimeloyl-ACP</t>
  </si>
  <si>
    <t>Pathway modules; Lipid metabolism; Fatty acid metabolism|Pathway modules; Lipid metabolism; Fatty acid metabolism|Pathway modules; Metabolism of cofactors and vitamins; Cofactor and vitamin metabolism</t>
  </si>
  <si>
    <t>ko00001|ko00001|ko00001|ko01000|ko01004</t>
  </si>
  <si>
    <t>KEGG Orthology (KO)&gt;&gt;&gt;09100 Metabolism&gt;&gt;&gt;09103 Lipid metabolism&gt;&gt;&gt;00061 Fatty acid biosynthesis [PATH:ko00061]|KEGG Orthology (KO)&gt;&gt;&gt;09100 Metabolism&gt;&gt;&gt;09108 Metabolism of cofactors and vitamins&gt;&gt;&gt;00780 Biotin metabolism [PATH:ko00780]|KEGG Orthology (KO)&gt;&gt;&gt;09100 Metabolism&gt;&gt;&gt;09110 Biosynthesis of other secondary metabolites&gt;&gt;&gt;00333 Prodigiosin biosynthesis [PATH:ko00333]|Enzymes&gt;&gt;&gt;1. Oxidoreductases&gt;&gt;&gt;1.1  Acting on the CH-OH group of donors&gt;&gt;&gt;1.1.1  With NAD+ or NADP+ as acceptor&gt;&gt;&gt;1.1.1.100  3-oxoacyl-[acyl-carrier-protein] reductase|Lipid biosynthesis proteins&gt;&gt;&gt;Fatty acid synthase&gt;&gt;&gt;Component type</t>
  </si>
  <si>
    <t>MNHNMSNDGFSDAAAAGDGACDDVCGGAAGSGGVAWSREADAASGAGAVNSVALVTGVSRRGGIGFAIARRLAEAGFDLVIQHWVLHDADQPWGSDDIDLVVSELRSCLMPGRRLVHVSADFSQPDTPEAVVDAGMREFGHVDVLVANHAMSGSDGSLDSITAADLDHHWAVNTRSSIMLAAAVAQVRDPRVPGRIVFMTSGRDLGPLPGEIAYGASKASLAGITKTIAYELAPRGFTVNCVNPGPVDSDSYVTEGMREALAPLFPFGRWGLPDDAARLVAWLVSEDGRWVTGQVINSEGGFMR</t>
  </si>
  <si>
    <t>----MSNDGFSGAGAAGDGT----CGGAAGLGGSAQGGEADAASGASAVNSVALVTGVSRRGGIGFAIARRLAEAGFDLVIQHWVPHDADQPWGSDDIDLVVSELRSCLAPGRRLVHVSADFSQPDAPEAVVDAGMREFGHVDVLVANHAMSGSDGSLDSITVADLDHHWAVNTRSSIMLAAAVAQVRDPRVPGRIVFMTSGQDLGPLPGEIAYGASKAALASITKTIAYELAPRGFTVNCVNPGPVDSDSYVTD</t>
  </si>
  <si>
    <t>GC_00003243</t>
  </si>
  <si>
    <t>COG4626</t>
  </si>
  <si>
    <t>Phage terminase-like protein, large subunit, contains N-terminal HTH domain (YmfN)</t>
  </si>
  <si>
    <t>MDYAQLMEAWSRQDDGQHGHTMPRLFPPTLGGRELTPETTAGFSLIEFAELIGQPLRPFQQWLALHGLEYNEDGSDFRFKRVIVEVARQNGKTHFMVVLGLWRLFVFGASGIISTAQNLKYAEGTLADAFRIAAFNPVLSQWLRDNTRADEDDEFNGKYITRVNGGHMFKLTGAPVDGAVDLAKDGPPFWSVTTSTRKGGRSMTVDLAFFDELREHIKWDAWDAITPTVSQRPFGQVWAFSNAGDASSIVLQDLRSQCLESVNAGLADASNMALFSWSADPALPIDDPRGMLQANPSLGYGAAKLEHLRAEVRSTPNPDGFRTEYLCQWVQSVEPGKILPAVWEPLADPASTIPDDAVIAVGVDVAVDGRAAYIAVAAERGDGVVHVEIVAARPGYSWVVDWLRPRV-GSWCDGVVALQVKGSPSQALAPGL-ADAGFTVRPWQGGDMTRSTLGFFDAIQSGRVVHIDQPVLNEAALAAVERKAGDVFIWDRGKSFGDISPFVACNIAWWA-ALNPPEKFISAYAADDFEDVVEELEDAPLIDDDDDGGGLLIV</t>
  </si>
  <si>
    <t>------------MVKEVKGFEQPRLFPPPL--RPLTLETSKGFEAIEFAEQLGIRLYPWQKWLLVHGLELNEDLTDFRFKRVIVEVARQNGKTTLMTVLGLWRLFIFGASEIVSSAQKLTVAEATLEDAFKIAAWQPVLRGFLPDDPRP-KDGRFNGAWMRETNGNKQIELNAAPVPEKLDVF-GALPTWSVTTADRKGGRSSSVDLAFIDELRELLTWDGWNSIEPTISARRESQLWGFSNAGDKRSIVLKSLR</t>
  </si>
  <si>
    <t>GC_00003244</t>
  </si>
  <si>
    <t>MHHKFYQGSIDKGSLDFTMTPAATPPPSSLASSQSQLRPADRVGLWVWWFACHLILLGVLATTEIPEGDIRYYFSSLRGEFPDGLTEYPAIGTWPAHVVFWFSHRSTEHYLAMFGGFCMVIDGLFFVLLLNSGAARSRKSQILAAGFWAVFAVCTGHVAVQRLDLVPAVLVGVAALLLFYYPRISSALLGTATMIKLWPGVLAIGLVRGYRRKATYWHIAVFVGTIIGLSALVAMVSGVQRLLSPFTYQGVRGLQIESIAATPMIVRGAFGAAAEYSVTYAASKSYEITGPGVDTAIMVTNVLMLATLVFAVAWALRGFMKDTWSPDGSLIVWVTLIFMLLVANKVFSPQYILWLGPIMAVVLLRTNGSKYPLALAWLMLLMAVLGQIVYPYYYDDVVHPGTGTLGVIGLAIRNGLMVVSMIVSLMWAISHRPAANAQANA</t>
  </si>
  <si>
    <t>MHHKFYQGSIDKGSLDFTMTPAATPPPSSLAFSQSQLRPADRVGLWVWWFACHLILLGVLATTEIPEGDIRYYFSSLRGEFPDGLTEYPAIGTWPAHVVFWFSHRSTEHYLAMFGGFCMVIDGLFFVLLLNSGAARSRKSQILAAGFWAVFAVCTGHVSVQRLDLVPAVLVGVAALLLFYYPRISSALLGTATMIKLWPGVLAIGLVRGYKRKATYWCIAVFVGTIIGLSALVAMISGVQRLLSPFTYQGVRGLQIESIAATPMIVRGAFGAAAEYSVTYAASKSYEITGPGVDAAIMVTNVLMFATLVFAVAWALRGFVKDTWSPDGSLIMWVTLIFMLLVANKVFSPQYILWLGPIMAVVLLRTNGSKYPLALAWLMLLMAVLGQIVYPYYYDDVVHPGTGTLGVIGLAIRNGLMVVSMIVSLMWAISHRPAANAQANA</t>
  </si>
  <si>
    <t>GC_00003245</t>
  </si>
  <si>
    <t>MSEKNLTPRTLAIIITVAALTLAACNNSDSNTSKPANTASTAQPPSATAPPTSEQPASTSPNAPAATTASNNAEGNTNPGTNQNTEEGKLVPIGMIVGNYDDYDQVTINFAGTNTPEWTAEYIDNPTQQGSGRPIKYDGDHALNLYIKNVAMPFEVGRDDPNLSPVPGIGPAVSEVRSGGTFEGQAQFVIGLKDSKHPYKVHTEQNPTRLIIDVQH</t>
  </si>
  <si>
    <t>MSEKNLTPRTLAIIITVAALILAACNNSDSNTSKPANTASTAQPPSATAPPTSEQPASTSPNAPAATTASNNAEGNTNPGTNQNTEEGKLVPIGMIVGNYDDYDQVTINFAGTNTPEWTAEYIDNPTQQGSGRPIKYDGDHALNLYIKNVAMPFEVGRDDPNLSPVPGIGPAVSEVRSGGTFEGQAQFVIGLKDSKHPYKVHTEQNPTRLIIDVQH</t>
  </si>
  <si>
    <t>GC_00003246</t>
  </si>
  <si>
    <t>MISVMRMVWFHLRQFARVGYFVGLLVSSTTSMFLLQLLAMRAATGPISGQDPQLWVRAALVGMWSVCTVSAGMIGFQRMQGTLVHVLFSPRSPIVTLGPIVAAGSCFGILSFPLAAGLAVVFHQPVGVINGVGLPLYWLACLSVSVVVAATFVFTRNAIAYEPLLLVPMIVLSGVFGSPLPQLAAVGWVIPTSHAIAVLITPNIDPGRIVATLAVSAAWLASGGWLARIALQRATVAGTLEVA</t>
  </si>
  <si>
    <t>MISVMRMVWFHLRQFARVGYFVGLLVSSTTSMFLLQLLAMRAATRPILSPDPQLWARAALVGMWSVCTVSAGMIGFQRMQGTLVHVLFSPRSPIVTLGPIVAAGSCFGILSFPLAAGLAVVFHQPVGAINGFGLPLYWLACLSVSVVVATTFVFTRNAIAYEPLLLVPMIVLSGMFGSPLPQLAAVGWVIPTSHAITVLTTPNIDPGRIVATLAVSAAWLASGGWLARIALRRATVAGTLEVA</t>
  </si>
  <si>
    <t>GC_00003247</t>
  </si>
  <si>
    <t>MPTHLIVSDIDGTFITSAERVTPRLRDAVTHAATKDAELVLATGRPPRWIYPVLDQLPIRPICICVNGAVLYDSDTDRVVTARTLPPATLTRIMQLIDDVLPVSYAVERVGASAFDKCEELFLVTPDFLHLWDSEEHTVVDKTELAAKSAVKLLVRNDRKTAWDLYHLVKLVVPPELAHITFSTDEGLLEISAPQVTKAAGLMAVAQFYGVPASDVVAFGDMPNDIEMLQWAGLGVAMGNADERVKVAADEITTSNDDFGVARVLERLFP</t>
  </si>
  <si>
    <t>MPTHLIVSDIDGTFITSAERVTPRLRDAVTHAATKDAELVLATGRPPRWIYPVLDQLPIRPICICVNGAVLYDSDTDRVVTARTLPPATLTRIMQLIDDVLPVSYAVERVGASAFDKCEELFLVTPDFLHLWDSEEHTVVDKTELAAKSAVKLLVRNDRKTAWDLYHLIKLVVPPELAHITFSTDEGLLEISAPQVTKAAGLMAVAQFYGVPASDVVAFGDMPNDIEMLQWAGLGVAMGNADERVKVAADEITTSNDDFGVARVLERLFP</t>
  </si>
  <si>
    <t>GC_00003248</t>
  </si>
  <si>
    <t>---------------------------------------------------------------------------------------------------------------------------------------------MLFPQHVHASISLTSLATATILTALPLGLSFLAVLRSAAFGKIRENLDPTPVTITVPQPRLLSGQFLVFLIAIVCLWGAISAGDQAGIFVILAFVLLLSWFAATWTLPLTRAAE</t>
  </si>
  <si>
    <t>MPATSRQVTREYAKHTFPATATATAVFGLSCGVLAAVLNIRSAAALEGDSSNIMVPISTNAAVSWVIASLFCVPFVLDKAFRRADYLNSCLAVIGWPIRRQVRMLAGQFAIILAGGTVLSYPVSVVTQWGLWRIRRANGVDMLFPQHVHAPISLTSLATATILTALPLGLSFLAVLRSAAFGKIRENLDPTPVTITVPRPRLLSGQFLVFLIAIACLWGAISAGDQAGIFVILAFVLLLSWFAATWTLPLTRAAEKVLAKATPRSPRSAALSALLGEFHPSLRAVFVPLVYILGVPAVLFSVSRTEAIAHHDPHAGVAVWDFSVLLGLALVYVGCACVVTFFIAAAEHNTTADYLNQVGIGELTTRVLRFLGIPAMLLGASLAVAAVFAFLASLLHVTLLGGTIVAAFQGLRLGFSCGLAAVLLVVFAVVGTCCVLRARN</t>
  </si>
  <si>
    <t>GC_00003249</t>
  </si>
  <si>
    <t>MKPAAVITTLILVVGVLISPGAAVAQTARGTNPYQVRYKNGHCIFSLDETNPEARKYLADSDLINRSYVMEAVAREVPDFGPLVADNPRLENKLATDPTYQKRWGKVVAKLKSAGYTSNDIMWLDAITLKRGVRDLDEEVAHAITPREAMFAVKAQSRTARMYYAPSKLAADEVDGELAPQHYWRRDAPYPELSQKITGPANAGYQQLVERARTFAGYRYDALMECSGKGEPPAPNPSLRKDPIVQSYTIISQVSPVLLPAF</t>
  </si>
  <si>
    <t>MKPAAVITTLILVVGVLISPGAAVAQTARGTNPYQVRYKNGHCIFSLDETNPEARKYLADSDLINRSYVMEAVAREVPDFGPLVADNPRLENKLATDPTYQKRWGKVVAKLKSAGYTGNDIMWLDAITLKRGVRDLDEEVAHAITPREAMFAVKAQSRSARMYYAPSKLGADEVDGELAPQHYWRRDAPYPELSQKITGPANAGYQQLVERARTFAGYRYDALMECSGKGEPPAPNPSLRKDPIVQSYTIISQVSPVLLPAF</t>
  </si>
  <si>
    <t>GC_00003250</t>
  </si>
  <si>
    <t>PF06634.17</t>
  </si>
  <si>
    <t>Protein of unknown function (DUF1156)</t>
  </si>
  <si>
    <t>K07445</t>
  </si>
  <si>
    <t>putative DNA methylase</t>
  </si>
  <si>
    <t>COG1743</t>
  </si>
  <si>
    <t>Adenine-specific DNA methylase, contains a Zn-ribbon domain</t>
  </si>
  <si>
    <t>MTTVKKKLIETSLPLEAINAASAREKSIRHGHPSTLHLYWSRKPLATARAVLFAQLVDDPASRPEEFPTVESQDKERARLHALMEKLIIWENSNDEKLLEQAREEIRKSNDGKLPAVVDPFAGGGSIPLEAQRLGLESHASDLNPLAVLINKALIEIPPKFAGWSPVFPGVAEEQSSWLRAEGLAADVQHYGQWLRDEAEKRIGHLYPKVTAPGGTEHTVIAWKWARTVISPNPANPIETPLVNSWWLSKKKGKEAWVKATVVDGRVQYEVQHNAGGPKKGEDGTIKHGKGAWTVGDGTPFSYDYVRESGKRGEIGAHLIGIVAEGNPGRLYLSPTPEHIQAAKVDAGDAGIIGEIATNPRWFSPPAYGMREFSDLFTNRQLVALTTLSDLVSEARSKVLEDALAAGIPAGERLEDGGSGAEAYADAVATYLAFALDKLADLNNSLVGWEPKAQCPRHLFGRQSIPMVWDYAEANPLSNSSGSFNTIIQGISKAMKAPFFGVSSSTNNSVSPGNAMAREYKDLIVSTDPPYYDNIGYADLSDFFYVWLRKSLRTIHPSVVGTMLTPKADELVANPYRHDGKQGAEKFFIEGFNSVFHRIREDDANPDVPMTVYYAYKQQDRGKDGTSSTGWHTLLDGLIQSGWEITATWPMRSEAKNRLLAHSTNALASSILLACRPRPSDARAVARRAFVAALKSELPEALRTLMQGAIAPVDLAQAAIGPGISVFSRYAKVREADGSDMSVRDALQLINATLDEVLGEQESDLDSDTRFAVRWYRQYGWKADSSGIADQLARSSDTSLAELQRGGIFEAKGGKARLLSPTQLNEAWDPAADEHVSVWEATVRLAAVLAKDGVDKVAELLPAVGEKVSLDAVKELGFLLFHEAEKNKDTDDAILFNGLVSSWGDLNEQARQIVAHPKAHQEALTFEED</t>
  </si>
  <si>
    <t>MTTVKKKLIETSLPLEAINAASAREKSIRHGHPSTLHLYWSRKPLATARAVLFAQLVDDPASRPGEFPTVESQDAERARLHALMEKLIIWENSNDEKLLEQAREEIRKSNDGKLPAVVDPFAGGGSIPLEAQRLGLESHASDLNPLAVLINKALIEIPPKFAGWSPVFPGVAEEQSSWLRAEGLAADVQHYGQWLRDEAEKRIGHLYPKVTAPGGTEHTVIAWKWARTVISPNPANPIETPLVNSWWLSKKKGKEAWVKATVVDGQVQYEVQHNADGPKKDEDGTIKHGKGAWTVGDGTPFSYDYVRESGKRGEIGAHLIGIVAEGNPGRLYLSPTPEHIQAAKVDAGDAGIIGEIAANPRWFSPPAYGMREFSDLFTNRQLVALTTLSELVSEARGKILEDALAADIPAGERLEDGGVGAEAYADAVATYLAFALDKLADLNNSLVGWEPKAQCPRHLFGRQSIPMVWDYAEANPLSKSSGSFITIIQGISKAMKAPFFGVSSSTSNSVSPGNAMAREYKDLIVSTDPPYYDNIGYADLSDFFYVWLRKSLRTIYPSVVGTMLTPKADELVANPYRHDGKQGAEKFFVEGFNSVFRRIREGEANPDVPMTVYYAYKQQDRGKDGTSSTGWHTLLDGLIQSGWEITATWPMRSEAKNRLLAHGTNALASSILLACRPRPADARAVARRAFVAALKSELPEALRTLMQGAIAPVDLAQAAIGPGISVFSRYAKVREADGSDMSVRGALQLINATLDEVLGEQESDLDSDTRFAVRWYRQYGWAADSSGIADQLARSSDTSLAELQRGGIFEAKGGKARLLSPTQLNEAWDPAADEQVSVWEATVRLAAVLAKDGVDKVAELLPAVGEKVSLDAVKELGFLLFHEAEKNKDTDDAILFNGLVSSWGDLNEQARQIVAHPKAHQEALTFEED</t>
  </si>
  <si>
    <t>GC_00003251</t>
  </si>
  <si>
    <t>MKRASRLSALAVIASLTFGGLTAPNAFAANLGDPANNAQNAPDAPANDALKDAKKAATKT------------------------------------------------------------------------------------------------ADEAISLADEAVAAAAKKDTAAAKEHVDKANAAKKAAQEAKPKIEAAQNADEVKVQKAAVDNAKTDAQAAKDAIAKLPDKKA--AEDLTEAKKAATKTADEAISLADEAVAAAAKKDTAAAKEHVDKANAAKKAAQEAKPKIEAAQNAEDVKVQQKVVDQAKTEAQAAKDAIAKLPDKKADSDKDIAAAKDVANKAVDEAIKAADEALATAKKKEQTDSLKAAVKELETLKTNLGALKKEISEAKTVAALNAQKDKAEKAKATVAEHKKAIDKVADKKGSSNISSENKNVRTALAVVLGVLGVGALVAAIFQFAGPALKNLGIELPKF</t>
  </si>
  <si>
    <t>MKRASRLSALAVIASLTFSGLTVPNAFASNPEDSANNAQNASATPANDELKDAKKAATEAADAVLASVKELTNLAKTKEQTAEVKDAVGKIEPIRSAVEQLKGQIEAKTEVAGVTEIKTQIETKKTELTQLKTVIEKAANKPAEDLTEAKKAATAIADETISLADEAVAAAAKKDTAAAKDHVEKANAAKKAAQEAKPKIEAAKTAEDVKTQKAAVEQAKADAQAAKDEIVKLADKKADTGKDITEAKKAATAIADEAIKVADEAVAAAAKKDAAAAKDHVEKANAAKKAAQEAKPKIEAAQNADEVNAQQKVVDKAKTDAQAAKDAVAKLPDKKADSDKDIAAAKDAAAKAVDEAIKAADEALATAKKKEQTDSLKAAVKELETLKTNLEALKKEISEAKTVAALNAQKDKAEKAKATVAEQKQVIDKVADKKGSSNISSENKNVRTALAVVLGVLGVGAIVAAIFQFAGPALKNLGIQLPKF</t>
  </si>
  <si>
    <t>GC_00003252</t>
  </si>
  <si>
    <t>K06877</t>
  </si>
  <si>
    <t>DEAD/DEAH box helicase domain-containing protein</t>
  </si>
  <si>
    <t>COG1205</t>
  </si>
  <si>
    <t>ATP-dependent helicase YprA,  contains C-terminal metal-binding DUF1998 domain (YprA)</t>
  </si>
  <si>
    <t>MLLTGCLASCQAASPYNQKHPQCLGVCLLEGANLLCLQPFGTFTDLKLNLLIFHQGAETTALDLGVVDENVVGAVGWRDEAEALLSVEPLHSSLCHTFKTFSCYRTLRLEYWVDNQPRPSVSRFGDTAIVLSQFHRLFTEMNRFFGEEIASLITERHQGTCTHMVTLPARPARYAEWPEWAVVRDVDKLYEHQAEAAQRAWNGEHVVLATGTSSGKSLAYQLPVITTLLNDPTACALYITPTKALGSDQLTSIRHDVQAAPYDGDTPIDARRHIRDAARWVFTNPDMLHTILLNHKQWQRLFRHLTYVVVDECHAYRGVFGAHVALVLRRLRRIAAHYGSHPTFFFASATSADPAAHASRLLGLPVTAVTDDASPAGARTIMLWQPDKSAVADAAGFMATSIAEGARTLGFVRSRRQAEIVALRCAEELAMMGRIDLSHLVASYRSGYLAEDRRKLERMLDSGELLGVASTNALELGIDVGGLDTVIISGYPGTVASFWQQAGRAGRRGQGALAAFIARDDPLDTYLVHHPEALLDRPLEQHVFDPTNPFVLRTHMLAAAVEIPLTDEDIAEFHAEKVVEELVAEKLMRHRKRWYAMEAPATLRGGSEVSIVDSTDGRLLGTIDRARAMTQTHPGAVYLHQGESFVIDSLDDDLALAHPEEPEWTTYARTTKNIRILDEVSDWVSNVDVEVTEQVIGYTRDSEIIPLDMPPQVLKTRAVVFTAHGSPGALHAAEHAAIGLLPLFATCDRWDLGGLSTVYEGMPTIFIYDGQGGAGFVDCGFRRFKEWMTATYETIRLCECESGCPSCVQSPKCGNGNEPLDKAGALELLGDVIKRLG</t>
  </si>
  <si>
    <t>MLLTGCLASCQAASPYNQKHPQCLGVCLLEGANLLCLQPFGTFTDLKFNLLIFHQGAETAALDLGVVDENVVGAVGWRDEAEALLSVEPLHSSLCHTFKTFSCYRTLRLEYWVDNQPRPSVSRFGDTAIVLSQFHRLFTEMNRFFGEEIASLITERHQGTCTHMVTLPARPARYAEWPEWAVVRDVDKLYEHQAEAAQRAWNGEHVVLATGTSSGKSLAYQLPVITTLLNDPTACALYITPTKALGSDQLTSVRHDVQAAPYDGDTPIDARRHIRDAARWVFTNPDMLHTILLNHKQWQRLFRHLTYVVVDECHAYRGVFGAHVALVLRRLRRIAAHYGSHPTFFFASATSADPAAHASRLLGLPVTAVTDDASPAGARTIMLWQPDKSAVADAAGFMATSIAEGARTLGFVRSRRQAEIVALRCAEELAMMGRIDLSHRVASYRSGYLAEDRRKLERMLDSGELLGVASTNALELGIDVGGLDTVIISGYPGTVASFWQQAGRAGRRGQGALAAFIARDDPLDTYLVHHPEALLDRPLEQHVFDPTNPFVLRTHMLAAAVEIPLTDEDIAEFHAEKVVEELVAEKLMRHRKLWYAMEAPATLRGGSEVSIVDSTDGRLLGTIDRARAMTQTHPGAVYLHQGESFVIDSLDDDLALAHPEEPEWTTYARTTKNIRILDEVSDWVSNVDVEVTEQVIGYTRDSEIIPLDMPPQVLKTRAVVFTAHGSPGALHAAEHAAIGLLPLFATCDRWDLGGLSTVYEGMPTIFIYDGQGGAGFVDCGFRRFKEWMTATYETIRLCECESGCPSCVQSPKCGNGNEPLDKAGALELLADVIKRLG</t>
  </si>
  <si>
    <t>GC_00003253</t>
  </si>
  <si>
    <t>MRGDGDGWVETPIGPRWGRYGAAGLLLYSVNNVGETVILLQHRATWVAQGDTWALPGGARDSHETPTQAALREAWEEAGIPPAGVRVDKQKTTAVAGPWHYTTVIGFIKNPLIGEGNAEAHEHRWVPINEVDTYDLLPGFAAAWPELHKCVQELLI</t>
  </si>
  <si>
    <t>MRGDGDGWVETPIGPRWGRYGAAGLLLYSVNNVGEIVILLQHRATWVAQGDTWALPGGARDSHETPTQAALREAWEEAGIPPAGVRVDKQKTTAVAGAWCYTTVIGFIKNPLIGEGNAEAHEHRWVPINEVDTYDLLPGFAAAWPELHKCVQELLI</t>
  </si>
  <si>
    <t>GC_00003254</t>
  </si>
  <si>
    <t>MAVRIDKLGDKANELINRLIADGEALPFFKDTCVHIIDDTPYTASDLREFISLISYKDVQNGDTYPRSEELAIKYAYLLEKSSARLGPDLVAIQAIHNVAQAAHVLFDDPIIDRRVAAAISMLISVLYTEEQLCKDIERFALKQYRGGSDLQ</t>
  </si>
  <si>
    <t>MAVRIDKLGDKANELINRLIADGEALPFFKDTCVHIIDDTPYTASDLREFISLISYKDVQNGDTYPRSEELAVKYAYLLEKSSARLGPDLVAIQAIHNVAQAAHVLFDDPIIDRRVAAAISMLISVLYTEEQLCKDIERFALKQYRGGSDLR</t>
  </si>
  <si>
    <t>GC_00003255</t>
  </si>
  <si>
    <t>MTPTNPNRRAEIIDAAERRFASQGYLQTSVSEIIGDAGIAKGTFYHYFQSKESVMYAVIDKNITLLKDQVESYMAESTQPPLAQFTMILGGGFAPRRPETAAISTELEQDGNELMHMRAIDATINTLIPPLADLLGRATANGDIDCPNPNIAAAAILVLSAQLLDRDLLGWVKTRDIATIRNFGGVAERVIGAPTGTFAPIVDSFIASMP</t>
  </si>
  <si>
    <t>MTPTNPNRRAEIIDAAERRFASQGYLQTSVSEIIGDAGIAKGTFYHYFQSKESVMYAVIDKNITLLKDQVESYMAESTQPPLAQFTMILGGGFAPRRPETAAISTELEQDGNELMHMRAIDATINALIPPLADLLGRATANGDIDCPNPNIAAAAILVLSAQLLDRDLLGWVKTRDIATIRNFGSVAERVIGAPTGTFAPIVDSFIASMP</t>
  </si>
  <si>
    <t>GC_00003256</t>
  </si>
  <si>
    <t>MSVASHIFPVKHADDSMVPVTAQESISSIMGERVVVRLVQEPLVEANSFVQKYLGLEICDSYNVGMAPPRAEGFPEWPIIIDPDNAHHALNLVSDVEWARRMVATQPNKVKQRIDALVKTLLVSVPHFVPPLLEEIARIFDNAGNSKYAVQFFGKAREIDRTYGTDGDTARHRRVMEEFARRGCVSAKDMTRESADCVAMFGDATEAYRYVLHLNAQRCRAGMPPYSSMARDLIKMGKAAEIDPADVCKDVLESIEGTRGMRTAPLGFYQGMAKHLSGESLKRLFATCPSSVSGDEWAGAADKVGLFKLLTEAEMLEWLCDAIRSSNRYSAENLVRVVEKYKEILHGHVLRVACSNLHLSLLISLEKAGVIWEFTDPVGTGNRQFLSYLRGTYDILDMGVIFRNPHICERLLHGITLSEFVREHDVGRLRELGLAPAIDYLVRCDLAVFQGGDFLLPQAKKMVENMDVLAKLELSREVLDEAINSLHYDFAAMLARNLQAGVLTELSWPALEKAMADFQKRRFFKKDKPIKFFESYPGVVALIEDSLVAVEGESVVATYIHPDRDSVIRAGYVGDALYCMNAEDETVSGEWSHGQAMMVEKPENWQWGTITSTASLLCPAGRLTGAGIITAYATKAPYPAGNVYGSTSGDLWRLQLSEYEHGNCTIYSVDPHTGEDKDESYPSQFDAVTAPSIRREECVMLPAPAGQHVVPVHDGEFFSVFARDRDKNLPYMVITGDGNIVRSGAYAPGLVQFGGVTWLRDADGNVYLPGLPGDEGLLAETHGTKGKHWLHDLPWSAWINLQVRNEAASQRLRTITPYHAAVLLNSEMSAARFLGTKDPELCASVDHCVEEVRKLDKKLKRLRSILRMIRDNVTPHNTSNGPQVDKILEHAHKYQAGVEAEQLVRLVRQVPVEISGTWKWLLSVGNEKSLVAWASGPLANPLVGQEVAAMFSVLANAGIGAETWNQVSLNWTKLGADLPQLHTGLVLPNAVVVGKPKPYQWGEWTDSSLSYRVFAQGELPYTDTDVVGITALGAKYGIVPGLTSQHMAECALSFPEPGDIDRMVHALSDNCALTEAAATVLFNGGFHPLHQGSRFHGDDIMQQVIDAEDKPRLEAAKKSLRISAKVYDNAIIQLRELDLEHVELLLAAAFDRNYDAIARIAAELPQTVVPLDDDTLVQLTGWYSRWDEKIPRVVMQAAQKLSDEMLVDSCDYGRLLGAVLYWATHAPLNDPLRGFYADQLDILKTIEPVDNSRMTTQYPLQGSLETIPPMRPEDSADARRALRQGYFDEVIAGLRREVSSGGCPLNPALSASDVVDEVCEHLGLGKLAAMYFLQLLAIAYCPDVSIRTWNNWKKKDLDAARGELLEKQLVVHGKRTRAGRSVFLPCPWWEASSPHYPMEEWKAQYYLVRYGNKAWSLVPWCPPLLPLDTLFRHAWDRYKGGDVPRMEELTTTRYKGKSRR</t>
  </si>
  <si>
    <t>MSVASHIFPVKHADDSMVPVTAQESISSIMGERVVVRLVQEPLVEANSFVQKYLGLEICDSYNVGMAPPRAEGFPEWPIIIDPDNAHHALNLVSDVEWARRMVASQPNKVKQRIDALVKTLLVSVPHFVPPLLEEIARIFDNAGNSKYAVQFFGKAREIDRTYGTDGDTARHRRVMEEFARRGCVSAKDMTRESADCVAMFGDATEAYRYVLHLNAQRCRAGMPPYSSMARDLIKMGKAAEIDPADVCKDVLESIEGTRGMRTAPLGFYQGMAKHLSGESLKRLFATCPSSVSGDEWAGAADKVGLFKLLTEAEMLEWLCDAIRSSNRYSAENLVRVVEKYKEILHSHVLRVACSNLHLSLLISLEKAGVIWEFTDPVGTGNRQFLSYLRGTYDILDMGVIFRNPHICERLLHGITLSEFVREHDVDRLRELGLAPAIDYLVRCDLAAFQGGDFLLPQAKKMVENMDVLAKLELSREVLDEAINALHYDFAAMLARNLQAGVLTELSWPALEKAMADFWKRRLFKKDKPIKFFESYPGVVALIEDSLVAVEGESVVATYIHPDRDSVIRAGYVGDALYCMSVEDETVSGEWSHGQAMMVEKPENWQWGTITSTASLLCPAGRLTGAGIITAYATKAPYPAGNVYGSTSGDLWRLQLSEYEHGNCTIYSVDPHTGQDKDESYPSQFDAVTAPSIRHEECVMLPAPAGQHVVPVHDGEFFSVFASDRDKNLPYMVITGDGNIVRSGAYAPGLVQFGGVTWLRDADGNVYLPGLPGDEGLLAETHGTRGKHWLHDLPWSAWINLQVRNEAASQRLRTITPYHAAVLLNSEMSAARFLGTKDPELCASVDHCVEEVRKLDKKLKRLRSILRMIRDNVTPHNTSNGPQVDKILEHAHKYQAGVEAEQLVRLVRQVPVEISGTWKWLLSVGNEKSLVAWASGPLANPLVGQEVAAMFSVLANAGIGAETWNQVSLNWTKLGADLPQLHTGLVLPNAVVVGKPKPYQWGEWTDSSLSYRVFAQGELPYTDTDVVGITALGAKYGIVPGLTSQHMAECALSFPEPGDIDRMVHALSDNCALTKAAATVLFNGGFHPLHQGSRFHGDDIMQQVIDAEDKPRLEAAKKSLRISAKVYDNAIIQLRELDLEHVELLLAAAFDRNYDAIARIAAELPQTVVPLDDDTLVQLTGWYSRWDEKIPRVVMQAAQKLSDEMLVDSCDYGRLLGAALYWATHAPLNDPLRGFYADQLDILKTIEPVDNSRMTTQYPLQGSLETIPPMRPEDSADARRALRQGYFDEVIAGLRREVSSGGCPLNPALSASDVVDEVCEHLGLGKLAAMYFLQLLAIAYCPDVSIRTWNNWKKKDLDAARGELLEKQLVVHGKRTRAGRSVFLPCPWWEASSPHYPMEEWKAQYYLVRYGKKAWSLVPWCPPLLPLDTLFRHAWDRYKGGDVPRMEELTTTRYKGKSRR</t>
  </si>
  <si>
    <t>GC_00003257</t>
  </si>
  <si>
    <t>PF16576.10</t>
  </si>
  <si>
    <t>Barrel-sandwich domain of CusB or HlyD membrane-fusion</t>
  </si>
  <si>
    <t>K02005</t>
  </si>
  <si>
    <t>HlyD family secretion protein</t>
  </si>
  <si>
    <t>COG1566</t>
  </si>
  <si>
    <t>Multidrug resistance efflux pump EmrA (EmrA) (PDB:4TKO)</t>
  </si>
  <si>
    <t>MRIKNLSKRKVFFIIAAAVVIITLIGVAMYSFFANSSAITLASSDVQVLDKRDNSQRVAVSGNVEPQKSMVLSTRLTGPVNQLNVKVGDRVQADQLVANLDVTDKETELAKSKAQAATNEANSIAEIKGAESRYNRYKELLDNGMNQDINNAKAALRTAESAYDEANRNFQLESALRGNGKQQDIAAQQSKIENARQDSMNTNVEAARMGLKAVGTLQDQDTERRSLATEQSNLAELKAQLDGASPEQQVQIQAQIKASEERVETLQNSVNKQYRNTIDSGLDAADVTNKLQAADRNLRESQDSYEATLAQADNKLVTDQRNVAKTFEEKKDAATALAVAERNAQFQMEDNQAAIDNAVRNARAAQASNNAGDNQLKLDIASAQIRAPFDGVVTNVAAKQGSAANGALMTIADDARMIVHANVKEIDVAKIAVGQRVEFTTPGTGDKKFQGKVSFVSTVAAPQETPAIPASGSGSAGGSASGGSSGASGSNNKVNFPVEIEVLGNKGTLRLGSTAKARIITREASDKMVIPQSAVYEDQGKKKVLAIAADDTIVERTVKLGSKTDFDVEVLSGEAKKGDKILVDAAKYRQSVGQKATVDTAAPGGADGAGASGASGTATSTAAAEVR</t>
  </si>
  <si>
    <t>MRIKNLSKRKVFFIIAAAVVIITLIGVAMYSFFANSSAITLASSDVQVLDKRDNSQRVAVSGNVEPQKSMVLSTRLTGPVNQLNVKVGDRVQADQLVANLDVTDKETELAKSKAQAATNEANSIAEIKGAESRYNRYKELLDNGMNQDINNAKAALRTAESAYDEANRNFQLESALRGNGKQQDIAAQQSKIENARQDSMNTNVEAARMGLKAVGTLQDQDTERRSLATEQSNLAELKAQLDGASPEQQVQIQAQIKASEERVETLQNSVNKQYRNTIDSGLDAADVTNKLQAADRNLRESQDSYEATLAQADNKLVTDQRNVAKTFEEKKDAATALAVAERNAQFQMEDNQAAIDNAVRNARAAQASNNAGDNQLKLDIASAQIRAPFDGVVTNVAAKQGSAANGALMTIADDARMIVHANVKEIDVAKIAVGQRVEFTTPGTGDKKFQGKVSFVSTVAAPQETPATPASG-GSAGGSASGGSSGASGSNNKVNFPVEIEVLGNKGTLRLGSTAKARIITREASDKMVIPQSAVYEDQGKKKVLAIAADDTIVERTVKLGSKTDFDVEVLSGEAKKGDKILVDAAKYRQSVGQKATVDTAAPGGADGAGASGASGTATSTAAAEVR</t>
  </si>
  <si>
    <t>GC_00003258</t>
  </si>
  <si>
    <t>MANAYETWARALRSWATDPTATLDGLPPITAGSFNPTVHRRLLKHIERALSIADNRWSETLTNLPATADYHEFERWWLTTRNNLARRMHLCNHPGLPDEIRSTLLSDAQTRIGNWQHHIESILRRSSVAGELPTATEQRIYDLVRSTPLTAVLDPTYGTATRLTHALEQS</t>
  </si>
  <si>
    <t>MANAYETWARALRSWATDPTVTLDGLPPITAGSFNPTVHRRLLKHIERALSIADTRWSETLTNLPATADYHEFERWWLTTRNNLARRMHLCNHPGLPDEIRSTLLSDAQTRIGNWQHHVESILRRSSVAGELPTATEQRIYDLVRSTPLTAVLDPTYGTATRLTHALEQS</t>
  </si>
  <si>
    <t>GC_00003259</t>
  </si>
  <si>
    <t>MTWTEGELYRFYTDKDIVTTYEKMIKSVGSQLGFTHDYIEFNDEKNILFYRDSAMPDSHLENGYHLDHNGEGCFGIESKNISMNHIANLHTFDTLNDVAPYDINLIFKDAYYYLFVLPEPVETSPLSARILRLSSCVLNNTF</t>
  </si>
  <si>
    <t>GC_00003260</t>
  </si>
  <si>
    <t>MSDKNQNFDDFDGADVPTYHGDKNSPLASDAPTTIFRPAASSGVSDYDPSAMPAHPSAHTPRGYADPPPYEEQPTVALSFSQSDRAAAAAGTDPNAYAPTEVAPPVEPTAPVDLSGDPYAAPADSYPAQVYPPADVADGSQVPQQDMPAEPVGDARRGTMDFGIFLIRAVASLYLILDSVSVFFQLGGNSGVPGLEHSYSGYAYPGILSIAIPSAELAAGVFLFLGLITPVSAAVGTIVAAFTFLHTMHVSTSGLSIFGADSTLRLSALMLVVLVGLQFTGPGKISFDMGRGWTQRPLASSWIFVVLGLGGAAALWWFGAGVNPLS</t>
  </si>
  <si>
    <t>MSDKNQNFDDFDGADVPTYHGDKNSPLASDAPTTIFRPAASSGVSDYDPSAMPAHPSAHTPRGYADPPPYEEQPTVALSFSQSDRAAAAAGTDPNAYAPTEVAPPVEPTAPVDLSGDPYAAPVDSYPAQVYPPADVADGSQIPQQDMPAEPVGDARRGTMDFGIFLIRAVASLYLILDSVSVFFQLGGNSGVPGLEHSYSGYAYPGILSIAIPSAELAAGVFLFLGLITPVSAAVGTIVAAFTFLHTMHTSASGLSIFGADSTLRLSALMLIVLVGLQFTGPGKISFDMGRGWTQRPLASSWIFVVLGLGGAAALWWFGAGVNPLN</t>
  </si>
  <si>
    <t>GC_00003261</t>
  </si>
  <si>
    <t>MVTVGKVGMFRNVASVAADDVWYWDVYKYELQDQSASHMVE</t>
  </si>
  <si>
    <t>MVTVGKVGMFRNVASVAAGDVWYWDVYQYELQDQSASHMVE</t>
  </si>
  <si>
    <t>GC_00003262</t>
  </si>
  <si>
    <t>PF03575.23</t>
  </si>
  <si>
    <t>Peptidase family S51</t>
  </si>
  <si>
    <t>K05995</t>
  </si>
  <si>
    <t>dipeptidase E [EC:3.4.13.21]</t>
  </si>
  <si>
    <t>COG3340</t>
  </si>
  <si>
    <t>Peptidase E (PepE) (PDB:1FY2)</t>
  </si>
  <si>
    <t>Enzymes&gt;&gt;&gt;3. Hydrolases&gt;&gt;&gt;3.4  Acting on peptide bonds (peptidases)&gt;&gt;&gt;3.4.13  Dipeptidases&gt;&gt;&gt;3.4.13.21  dipeptidase E|Peptidases and inhibitors&gt;&gt;&gt;Serine peptidases&gt;&gt;&gt;Family S51</t>
  </si>
  <si>
    <t>MMLLFSHFAQATSLVPTVLGNSTVGTQVVFIPTAALAEAVDMSEYTAGNRQALEGLGFAVVELELSTATPSEIEQTITQADALFIDGGNTFYLLQELKRTGAYDLVKNHIRAGKLYMGNSAGSIITTPDIGYCTAMEHMDSNKLNGSVDTRGLGAVDFYPVPHVGNPMFDKAVHTIIADYTDRLSLLPLTDQQAVHIHDGIATTLAAQ</t>
  </si>
  <si>
    <t>MMLLFSHFAQATSLVPTVLGNSTVGTQVVFIPTAALAEAVDMTEYTTRNWQALEGLGFAVVELELSTATPSEIEQTITQADALFIDGGNTFYLLQELKRTGAYELVKNHIHAGKLYMGNSAGSIITAPDIGYCTAMEHMDSNKLNGSVDTRGLGAVDFYPVPHVGNPMFDKAVHTIIADYTDQLSLLPLTDQQAVHIHDGIATTLTAQ</t>
  </si>
  <si>
    <t>GC_00003263</t>
  </si>
  <si>
    <t>MTNQQP----QDFPQYQYQQPQPQPQPQEYAQQPQPQPQEYAQQPPTSPAQPSFFQVPASVSFNRQQIIAKVVAGLGIAVFIVSLLGFLATHGDFGPDDIIDFMISGISLVIVVLACIWNALATIGKHIVKTE</t>
  </si>
  <si>
    <t>MTNQQPPQQPQDFPQYQYQ----QPQPQEYAQQPQPQPQEYTQQPPTSPAQPSFFQVPASVSFNRQQIIAKVIAGLGIAVFIVSLLGFLATRGDFGPDDIIDFMISGISLVIVVLACIWNALATIGKHIVKTE</t>
  </si>
  <si>
    <t>GC_00003264</t>
  </si>
  <si>
    <t>MTIMGACLVAIGLLVVIWGVIETHGVDMTNLDFLSFFTGGIIVMALGVCLIPALPPVGKVAGIWLAGVAIAWYVGCMDMELIVKLMSFVVIAGLAAWLTTKLI</t>
  </si>
  <si>
    <t>MTIIGACLVAIGLLVVIWGVIETHGVDMTNLDFLSFFTGGIIVVALGMCLIPALPPVGKVAGIWLAGVAIAWYVGCMDMELIVKLMSFVVIAGLAAWLTTKLI</t>
  </si>
  <si>
    <t>GC_00003265</t>
  </si>
  <si>
    <t>MVRGNILLKQAKHDVYAIWWWETMGKKRRKARRKAAIKLPPFNPVSKSDNTCFFCVILRLFRQFSFFATTVGTMSTPVSSSRSGTAAATYAQSTLIIQAQVVSTDHEIIRHIGVDSAVTVAEFYNIITICFDLDNPEFDRYCCNFGGTTLDPDSLLWEHLQADGDEFHCVVGLWQIRIQLIEIIARDNGTPTALCVGGFGSMADLLFDDFDDHDDFDDFYDGDAGGPGGSPGGPGGSGPPGGPGTPGGPGASVASGFVGAVDAHGNPSAAPAGNSGAIDRMRLCATCQDSFDLTRINTRLTGAETIETVLGRTRPEPANLIRRSGILDFVPLLQAIDFSRTPDIDPEVAMMCAVLPVEEDPVQQDAFWAVVLGLSCMSDEEVTDAIIESIVQALGWNKTANEVRALCPNSLKHLRDIGGLSSPVERIEIYRELLRL</t>
  </si>
  <si>
    <t>GC_00003266</t>
  </si>
  <si>
    <t>MDMLKESQMVFDVARVRGLYTSLGDGWTYLSAHAQPQIPERVSSAVARGFRQAPVVEYVEPNTGNHGNHSVAPEMGRLGAESQMKAARQAVADLTGTTANAVILAPSIDVLYQRLDTALRPVLRRGQLLASRADTHQLTNDDIAYAEPDLGTGEVPAWQYTNLVTGDTRLVTLSAVHPQVGTVNDVSQISENVREHSRAWVLVDATALAGFSPITIDDLGVDMVIVDCTAIGAPQVAALAFRDTSMFPRIDMAAFLEDVAPGLVAGLPAAVDHLAGLVEQDHGSRRQRLETSLFEAGLYLRRMADYLADSLSSMTRLHVFGVTGEIAYGSTATRVPRVTFCIPGVPASTIRRRLIDNRLVTTVAKPDPLLSAMGLEDTDGAITVGLGPYNTTHDVDQLIRVLASLA</t>
  </si>
  <si>
    <t>MDMLKESQMVFDVARVRGLYTSLGDGWTYLSAHAQPQIPERVSSAVARGFRQAPVVEYVEPNTGNHGNHSVAPEMGRLGAESQMKAARQAVADLTGTTANAVILAPSIDVLYQRLDTALRPVLRRGQLLASRADTHQLTNDDIAYAEPDLGTGEVPAWQYTNLVTGDTRLVTLSAVHPQVGTVNDVSQISENVREHSRAWVLVDATALAGFSPITIDDLGVDMVIVDCTAIGAPQVAALAFRDTSMFPRIDMAAFLEDVAPGLVAGLPAAVDHLAGLVEQDHGSRRQRLETSLFEAGLYLRRMADYLADSLSSMTRLHVFGVTGEIAYGSTATRIPRVTFCIPGVPASTIRRRLIDNRLVTTVAKPDPLLSAMGLEDTDGAITVGLGPYNTTHDVDQLIRVLASLA</t>
  </si>
  <si>
    <t>GC_00003267</t>
  </si>
  <si>
    <t>Peptidases and inhibitors&gt;&gt;&gt;Serine peptidases&gt;&gt;&gt;Family S1: chymotrypsin family</t>
  </si>
  <si>
    <t>MLSCVGTLALFVSAVTPISTVTAPVAEAAPQTRQLITPIGYKMVNGKQDRENPLSAPDLLVDPGYSETRPNFGDQENNEDVIGTDDRYEVKDATQYPYRWVGTLTFTLESGKRVSCTGSLIGPDSVVTSGHCLSDKFTDMTFSPGQNGDSKPFGTANVTQVWMDENKRSEQDIERDWAVAKLDQPLGNKAGWFGMKSADNESLYGKSTTIIGYPVDKEKNTMWVGHGRIFSEERGLFYHDTDTYYGNSGSSVLDERGTIYGIHYGGNAQSAVSTRITHNIFNVLANITNRSAEDLAQSR</t>
  </si>
  <si>
    <t>MLSCVGTLALFVSAVTPISTVTAPVAEAAPQTRQLITPIGYKMVNGKQDRENPLSAPDLLVDPGYSETRPNFGDQENNEDVIGTDDRYEVKDATQYPYRWVGTLTFTLESGKRVSCTGSLIGPDSVVTSGHCLSDKFTDMTFSPGQNGDSKPFGTANVTQVWMDENKRSEQDIERDWAVAKLDQPLGNKAGWFGMKSADNESLYGKSTTIIGYPVDKEKNTMWVGHGRIFSEERGLFYHDTDTYYGNSGSSVLDDRGTIYGIHYGGNAQSAVSTRITHNIFNVLANITNRSAEDLAQSQ</t>
  </si>
  <si>
    <t>GC_00003268</t>
  </si>
  <si>
    <t>MVSYQSGGEVLRPGARVAFSGRITVNNELVPQGEKLRELCSEVGLVYKTAVSQTGCDAVVADSLTTAKVRRAADYGKPIVSVADFSDWVLANQPDHSEFLSALFETPPEQSKTLVPLAADSIGLLASGKSAWVCKDRKEFLQKIGAERNRFPQKRSTMALHVTLTLLLFTLIAVLIAVTKAWYLLGAISGLFPIWLSSSRVDDTNVPVFYIDQDKLSPLHRQVLGSMQSVFAEAAAYNQPISASYWRELTGSAMQSVDAYLQTGDLTQAQILGDQIALVRTGVARLE</t>
  </si>
  <si>
    <t>MVSYQSGGEVLRPGARVAFSGRITVNNELVPQGEKLRELCSEVGLVYKTAVSQTGCDAVVADSLTTAKVRRAADYGKPIVSVADFSDWVLANQPDHSEFLSALFETPPEQSKTLVPLAADSIGLLASGKSAWVCKDRKEFLQKIGTERNRFPQKRSTVTLHVTLTLLLFTLIAVLIAVTKAWYLLGAISGLFPIWLSSSRVDDTNVPVFYIDQDKLSPLHRQVLGSMQSVFAEAAAYNQPISASYWRELTGSAMQSVDAYLQTGDLTQAQILGDQIALVRTGVARLE</t>
  </si>
  <si>
    <t>GC_00003269</t>
  </si>
  <si>
    <t>MNLANPLATRWVLDSLSASELNLVPPLAALTSLMILGAFLHWWQAITLGSLAETIVYDARSSMIHRYLTGKVLPLTSRPAGELTTRVTSDSVLLREASSASLVELIDGTIMLIGSLILMAVLDPILVLTTAITIGIVVGIFIRMTPAIARAEQQGQDALGVLGGQLQATLRAIKTVKAAGAQGRQETKLLGLATESRKQGIIAVRRRALTGATAMTGVQIALMIILSAGAWRVALGDMTVSTLVAFLLYALGIVGPIEQISGSITRLQSGMAAAGRIQELEDIDFERTHAAAEASTSESGDTIVEFDQVTARYTPGGAPILDGVSLAVPRVGHTAIVGPSGAGKTTMLSAMLDFIQPEHGELRLNGTPYPGLAPDEIRAHFAYVEQETPTLPGTLRDNLTLANPGATPEDIDTVLKTVRLDEHVATLPQGLDTELTDTNVSGGQRQRIALARALLAKPDILLLDEVTAQLDGISEGAIHDAITDYATRHAVVTVAHRLSTVVDADNIAVMQAGRIIAQGTHHQLMTDNPLYQQLVAALSLDK</t>
  </si>
  <si>
    <t>MNLANPLATRWVLDSLSAAELNLVPPLAALTSLMILGAFLHWWQAITLGSLAETIVYDARSSMIHRYLTGKVLPLTSRPAGELTTRVTSDSVLLREASSASLVELIDGTIMLIGSLILMAVLDPILVLTTAITIGIVVGIFIRMTPAIARAEQQGQDALGVLGGQLQATLRAIKTVKAAGAQGRQETKLLGLATESRKQGIIAVRRRALTGATAMTGVQIALMIILSAGAWRVALGDMTVSTLVAFLLYALGIVGPIEQISGSITRLQSGMAAAGRIQELEDIDFERTHADAKASTSESGDTIVEFDQVTARYTPGGAPILDGVSLAVPRVGHTAIVGPSGAGKTTMLSAMLDFIQPERGELRLNGTPYPGLAPDEIRAHFAYVEQETPTLPGTLRDNLTLANPGATPEDIDVVLKTVRLDEHVATLPQGLDTELTDTNVSGGQRQRIALARALLAKPDILLLDEVTAQLDGISEGAIHDAITDYATRHAVVTVAHRLSTVVDADNIAVMQAGRIIAQGTHHQLMTDNPLYQQLVAALSLDK</t>
  </si>
  <si>
    <t>GC_00003270</t>
  </si>
  <si>
    <t>PF11847.13</t>
  </si>
  <si>
    <t>Alpha-(1-&gt;3)-arabinofuranosyltransferase, N-terminal GT-C domain</t>
  </si>
  <si>
    <t>K16648</t>
  </si>
  <si>
    <t>arabinofuranan 3-O-arabinosyltransferase [EC:2.4.2.-]</t>
  </si>
  <si>
    <t>MSSQTTARRVHLIGWLCCAFIIFLQSPGKTVADTKHDLVANPARFLGGALHAWTDTFPLGQLQNQAYGYLFPQGLFFLLTDPLPDWIAQRLWWLIVVGVGFSGFFTLLNRLGRSKGQSKEWSSTAFMVLAAMLYAFSPRTISTLGAISSETWTVMLAPWVIVPFIQPITRVGPAFRAVAASVLAVAAMGAVNATATLAACVPAGLYLLSTLRQRPWYTLPAWVTGCALVSAWWVGPLLVLGRYAPPFTDFIENAWVTTRWLNPTEILRGTTSWTPFVDTERTAGFQLATEPTFILITGAVAALGVAGLALRRTPQRGVWVIMLCTGVLILGAAHGPLGDDVRAFLDGPGAALRNVHKFDPVVRIPLLVGLATWGSVVRLPQTWAETARSGRRQAAGVLVVLVLVCAVAPAWSGRLAPKGAYGQVPGYWQEAADWLNSNAADTRTLIVPGAQFARQSWGWTRDEPLQPLLSVPWVVRDAIPLVEPEAIRGLDGLMATLASDAVDPKAAFESAAQFGVGVVAIRHDLTSGDAKRLSSRAREAGFPIHTFGEVDIVEVDRHAGMRVSPDRPTRVAGGGESVAMLAALTQQHPAEATYQLTNADAEVVTDTPQLTARNYGAVSAAASAALADLDEGSDVHNPVKDYPSVGPLTSVAQHGGRVTVSSSAADATSFGGVQSRRSASAAVDGDLTTSWYPTPGTQEGQWIDIDADSVEADGAKEIEVRTTGGSVAATFTANGKSWSEWLQPHRTMRFTIPDGPATQVRLTLGESRHPVGITEFRLVGAPVTREITVPNTSPNARQFFFQQLTSRTDLLARTFTAPRPMDVRIDAPTCRASPATPMRIILDGDAVECGETVHLDEGEHTIRTHAQWLLLTEPGFTGVTSTALRDADAAAADQNRLVNTMRAHNPGLEGYAGETRLEGTVLGAGMQAFTLPAGVSGDVHLRFSGDTPYRISLLVGCILWAITCLGCLIVVARTRTGGRRLATAEVAECSPGIGRCALVGAVAGGLLSMWIAGSWSGLAAGALGLALGIGLSRVTGQADGRSVTAFTGGSMGIAALWLAHAPWPNAHYAGDQPFVSGACFLALGFLLSTFYSTLGFRAAGKQTPGS</t>
  </si>
  <si>
    <t>MSSQTTARRVHLIGWLCCAFIVFLQSPGKTVADTKHDLVDNPARFLGGALHAWTDTFPLGQLQNQAYGYLFPQGLFFLLTDPLPDWIAQRLWWLIVVGVGFSGFFTLLNRL----GQSKEWSSTAFMVLAAMLYAFSPRTISTLGAISSETWTVMLAPWVIVPFIQPITRVGPAFRAVAASVLAVAAMGAVNATATLAACVPAGLYLLSTLRQRPWYTLPAWVTGCALVSAWWVGPLLVLGRYAPPFTDFIENAWVTTRWLNPTEILRGTTSWTPFVDTERTAGFQLATEPTFILITGAVAALGVAGLALRRTPQRGVWVIMLCTGVLILGAAHGPLGNEVRAFLDGPGAALRNVHKFDPVVRIPLLVGLATWGSVVRLPQTWAETARSGHRQAAGVLVVLVLVCAVAPAWSGRLAPKGAYGQVPGYWQEAADWLNNNAADTRTLIVPGAQFARQSWGWTRDEPLQPLLSVPWVVRDAIPLVEPEAIRGLDGLMATLASDAVDPKAAFESAAQFGVGVVAIRHDLTSGDAKRLSSRAREAGFPIHTFGEVDIVEVDRHAGMRVSPDRPTRVAGGGESVAMLAALTQQHPAEATYQLTNADAEVVTDTPQLTARNYGAVSAAASAALADLDEGSDVHNPVKDYPSVGPLTSVAQHGGRVTVSSSAADATSFGGVQSRRSASAAVDGDLTTSWYPTPGTQEGQWIDIDADSVEADGAKEIEVRTTGGSVAATFTANGKSWSEWLQPQRTMRFTIPDGPATQVRLTLGESRHPVGITEFRLVGAPVTREITVPNTSPNARQFFFQQLTSRTDLLARTFTAPRPMDVRIDAPTCRASPATPMRIILDGDAVECGETVHLDEGEHTIRTHAQWLLLTEPGFTGVTSTALGNA-SAASDQNRLVNTMRAHNPGLEGYAGETRLEGTVLGAGMQAFTLPAGVSGDVHLRFSGDTPYRISLLVGCILWAITCLGCLIVVARTRAGGRRLATAEVEEYSPGMGRCALVGAVAGGLLSMWIAGSWSGLAAGALGLALGIGLGRVTGQADGRSVTAFTGGSMGIAALWLAHAPWPNAHYAGDQPFVSGACFLALGFLLSTFYSTLGFRAAGKQTPGS</t>
  </si>
  <si>
    <t>GC_00003271</t>
  </si>
  <si>
    <t>MARKHFELTDCTQRVGDRVLHRIRATRDLPRHGVDKGMVGGWVEHSTCLAGDAWVDDDARVFRNAKVYGQALAGEDALIADRAKVYGDAVVVGDARVMDQAKVLGKVELSECVQVRDNARIRGDTWIEDFVQFTGDMDYNGGPDLQGFRPDITPRNEQDDYVPGEPYFRLVGHARKIEGVLMKRVKAIRNLPHAGVFKGDVGGWVEKESNLADGAWVADDAKVYGDALLAGEVVVFEQARVCDRARVTGRAKVWGSAVICGDAQVRGDAVVCGQAYVCGKAQVGSDDERACVCDCARVDGRARVLNCARVYGNAEVTGSAVVSSFARVFSDARVRARAKVQDRARIFGTTILTGAVRVGGNAEICADVTLSDTKNVTTIGDYLEPFYESATLIRTGDGADDHLLRVGLWQGTVDKFATRIEELPASWSANGTQRRMWRAEYKKIEKTARVLTSRPR</t>
  </si>
  <si>
    <t>MAKKHFELTDCTQRVGDRVLHRIRATRDLPRHGVDKGMVGGWVEHSTCLAGDAWVDDDARVFRNAKVYGRALAGEDALIADRAKVYGDAVVVGDARVMDQAKVLGKVELSECVQVRDNARIRGDTWIEDFVQFTGDMDYNGGPDLQGFRPDITPRNDQDDYIPGEPYFRLVGHARKIEGVLMKRVKAIRNLPHSGVVKGDVGGWVEKESNLADGAWVADDAKVYGDAVLAGEVVVFEQARVCDRARVTGRAKVWGSAVICGDAQVRGDAVVCGQAYVCGKAQVGSDDERACVCDCARVAGRARVLNCARVYGNAEVTGSAVVSSFARVFSDARVRARAKVQDRARIFGTTILTGAVRVGGNAEICADVTLSDTKNVTTIGDYLEPFYESVTLIHTGDGADDHLLRVGLWQGTVDEFAARIEELPASWSANGTQRRTWRAEYKKIEKAARVLTSRPR</t>
  </si>
  <si>
    <t>GC_00003272</t>
  </si>
  <si>
    <t>MNLEHLLHALTNHPDIQSATFGPAPNDLLDWDVITITFTDDTLRLLNVNVAQPTYPGETEAECVERVLKLVFNSEAATVVRESSLTDTLPLVRSADYFADLKQASPEAFGWLTDFIGFGLAFDLPTTLRVVSTQDLPPDHDAATNMELCHAAVANLRALAGEVTLSDIGLGPNILTMSEPVGHELAWFADVATMSDLLSNLRQRTNSEWVVIPARRNQILLVNTESSESEWSTFLDVIEDAFRYHDVVYPVPHIIVDGRWVEPVFDDPTDVGRRLRRLQMAARHQTYEEIPALLREQTGCEMASFEVMTSDIDDSHSVPETYSIAYVDTNSAATSVPATNFMAFRHDTGSIFVPSSLLMERLPRLYQRQEGVYPPRFLVPHPAPEEWRQLQELAL</t>
  </si>
  <si>
    <t>MNLEHLLHALTNHPDIQSATFGPAPNGLLDWDVITITFTDDTLRLLNVNVAQPTYPGETEAECVERVLKLVFNSEAETVVRESSLTDTLPLVRSADYFADLKQASPEAFAWLTDFIGFGLAFDLPTTLRVVSTQDLPPDHDAATNMELCHAAVANLRALAGEVTLSDIGLGPNILTMSEPAGHELAWFADVATMSDLLSNLRQRTNSEWVVIPARRNQILLVNTESSESEWSTFLDVIEDAFRYHDVVYPVPHIIVDGQWVEPVFDDPTDVGRRLRRLQMAARHQTYEEIPALLREQTGCEMASFEVMTSDIDDSHSVPETYSIAYVDTNSAATSVPATNFMAFRHDTGSIFVPSSLLMERLPRLYQRQEGVYPPRFLVPHPTPEEWRQLQELAL</t>
  </si>
  <si>
    <t>GC_00003273</t>
  </si>
  <si>
    <t>MPHQPRPSRLKQLSVSLFDAPRRYGTMERYRAFTPGLNPGAPDVSNAPVGSRIAALTIDAALYSALLISALIAITVATGNAWWWFLLFGGVVPAYLLQSALDAGGGSIGKRMMGLRVVGPADVPVSFGQAARRNSWLLLPLIPFAGPFITVGVAGWFAASARTDAFGMGPHDRTARTRVIQRGTRRSGGGGAPQIPASYTD</t>
  </si>
  <si>
    <t>GC_00003274</t>
  </si>
  <si>
    <t>MNAANPIESADSYPSAVGYDPFAANACALPSSRTFCSDVAAEPLPGSARTGGVFVLYEHAGPWSHDILDGGTFSAADTETLKQLPGLYLIRKPGRIGRQCGPEHNTYLVFCEQGITKHLMISSVDELGELDLTSPDTVPERARVITEPQLLVCTHAKRDRCCAIKGRPIAQDLVRAFPDAPIWECSHTKGHRFAPSMMLFPWAYFYGRLNSRAAQDVYSYALQDKLFLPGNRGRGIFTSQQQVAEIAVLEKIFDQGETPRPGVLTVAAAATDAATATSAESSAQGQGAEKLLVTHRDGRGWLVTLEQREASGVIPSCGDQPKTAQVWVATSVARA</t>
  </si>
  <si>
    <t>MNAANPIESADSYPSAVGYDPFAANACALPSSRTFCSDVAAEPLPGSARTGGVFVLYEHAGPWSHDILDGGTFSAADTETLKQLPGLYLIRKPGRIGRQCGPEHNTYLVFCEQGITKHLMISSIDELGELDLTSPDTVPERARVITEPQLLVCTHAKRDRCCAIKGRPIAQDLVRAFPDTPIWECSHTKGHRFAPSMMLFPWAYFYGRLNSRAAQDVYSYALQDKLFLPGNRGRGIFTSQQQVAEIAVLEKIFDQGETPRPGVLTVAAAATDAATATSAEPSAQGQGAEKLLVTHRDGRGWLVTLEQREASGVIPSCGDQPKTAQVWVATSVARA</t>
  </si>
  <si>
    <t>GC_00003275</t>
  </si>
  <si>
    <t>MSSKTTKRAKIQSPNENGSGFIWAIIAVVLVAVAVIAYVIISGNKSQEEKFAETYNETTAFNNKVDGSAVQLVSDKADKAKTVDIYEDFSCHYCSQLAKETDADMKKLIEDGKVKVNIRTMNFLDKGEIGHSNKAGTAAYTIAKDDSAQVYWNFRTMLMTEQQNIWGKKELKDFADMAKILGAKDETVKKIADGTYSDEFKKIADDNAKKLEKDGDGQVSSPRVFIDGKEIKENATWPSQIK</t>
  </si>
  <si>
    <t>MSSKTTKRAKIQSPNENGSGFIWAIIAVVLVAVAVIAYVIISGNKSQEEKFAETYNETTAFNNKVDGSAVQLVSDKADKAKTVDIYEDFSCHYCSQLAKETDADMKKLIEDGKVKVNIRTMNFLDKGEIGHSNKAGTAAYTIAKDDSAQVYWNFRTMLMTEQQNIWGKKELKDLADMAKILGAKDETVKKIADGTYSDEFKKIADDNAKKLEKDGDGQVSSPRVFIDGKEIKENATWPSQIK</t>
  </si>
  <si>
    <t>GC_00003276</t>
  </si>
  <si>
    <t>MVAFALGVMPGTDMVAAADVIAGETGDVRTIPRLPARGIMSDAVGATCALLPDAPVAAGPRSWRLEARPQLITRRLWDQAERDLDLLEAEWGSSGFTVQVAALGPWSLAAQVELPNGHLAVTDPGALHDLTEIVTYGLAEHASRLRRRFHGEVNIQVNEPLLAALNHGEIAGTNDFDVLRPIPAKELGERLHYVFESLPGRRLLGSGSRPLFDVASIAQPDAIIVPQSALVGSELLDGCAATLDAGIGVSLGCVTLGNDIDDARDVAIKIAQLFDELRMDRAIIPELVDVTNAREFTSGDLVSVARALACARVADEILVRDVGDL</t>
  </si>
  <si>
    <t>MVAFALGVMPGTDMVAAADVIAGETGDVRAIPRLPARGIMSDAVGATCALLPDAPVAAGPRSWRFEARPQLITRRLWDQAERDLDLLEAEWGSSGFTVQVAALGPWSLAAQVELSNGHLAVTDPGALHDLTEIVTYGLAEHASRLRRRFHGEVNIQVNEPLLAALNRGEIAGTNDFDVLRPIPVKELGERLHYVFESLPGRRLLGSGSRPLFDVARIAQPDAIIVPQSALVGSELLDGCAATLDAGIGVSLGCVTLGDDVDDARDVAIKIAQLFDELRMDRAIIPELVDVTNAREFTSGDLVSVARALACARVADEILVRDVGDL</t>
  </si>
  <si>
    <t>GC_00003277</t>
  </si>
  <si>
    <t>---------MLFTLAACTSGETPTAGTATPGTAVIGTSTITNFLPITAPGATSAGDRLLAGILYQPLFSYQHKTPTKYSLDTLRSLAEVTNVSEDGLTYTIVLRNRSWSDGIPITTYDIELWWRLILANKENWRGYHQGRIPDTITSLTITDPMTFTVTTDKPYDPNWFVGNELAHVIPLPQHIWDPDNIANTPAGAARLYADLIAAAPDAKNKFLTAVSGPYKLDNLKNGTVTLTAVDKYDGLDKPRIGTIKLQ</t>
  </si>
  <si>
    <t>MRIRYLVLAMLFTLAACTSGETPTAGTATPGTAVIGTSTITNFLPITAPGATSAGDRLLTGILYQPLFSYQHKTPTKYSLDTLRSLAEVTNVSEDGLTYTIALRNRSWSDGIPITTYDIELWWRLILANKENWRGYHQGRIPDTITSLTITDPMTFTVTTDKPYDPNWFVGNELAHVIPLPQHIWDPDNIANTPAGAARLYADLTAAAPDAKNKFLTAVSGPYKLDNLKNGTVTLTAVDKYDGLDKPRIGTIKLQPTPDNDLGTSLTTKKLDVAMLPSATTADQVKKLQDSGFTVAPQYDWGISYLSFNFNNKTSLPLLEQTYIRKSLQRLINQDNLIKNSWSGEARKGCDVLPTAPNASDNPCPPTVAYDLQAAKQELAQHGWQQHGADMVCTESAKCGEGIAPNTKLTFTVVATKNSPAIRELEQLRDEFAQAGITLTINQVPDAVAVMSDCARTARQCEWDLGLATTPLSWVFPTYPSGEHILATNSAANFGGFSNPQADELIAKTYQSATPDSLATYSNFINERQPVLWLPQPPVRYIAYPKNLNGVDNDAPLIPQNWSTP</t>
  </si>
  <si>
    <t>GC_00003278</t>
  </si>
  <si>
    <t>MANPFSKGWKYLAASLDRAIDENADPKVQIQQAIDAAKSQHQAILDQAAAVLGNKRQLEMKLNKLVKDQTAAQEKARAAIVAADEAAAAGDTDRAADLNGVAEVLATQLVTVEQQLEDTKALYAQAETAAEQAKKQVKESEARLHDQMSQINELAAQADQAALQETTVKAMDSIGQFSKDDSVPTLDAVREKIERRYANALGAQELTEQNISGRMAEISQSGQDTLAAARLAEIRAELGGAQTEEKPKELEASTEDEVVEEDTVAADSTTEVDADDVETVVEEEGTEDGIVEADVEDGDVDKPQEQDEEEAATEAPASSDKADS</t>
  </si>
  <si>
    <t>MANPFSKGWKYLAASLDRAIDENADPKVQIQQAIDAAKSQHQAILDQAAAVLGNKRQLEMKLNKLVKDQTAAQEKARAAIVAADEAVAAGDTDRAADLNGVAEVLATQLVTVEQQLEDTKALYAQAETAAEQAKKQVKESEARLHDQMSQINELAAQADQAALQETTVKAMDSIGQFSKDDSVPTLDAVREKIERRYANALGAQELTEQNISGRMAEISQSGQDTLAAARLAEIRAELGGAQTEEKPKELEASTEDEVVEEDTVAADSTTEVDADDVETVVEEEGTEDGIVEADVEDGDVDKPQEQDEEEAATEAPASSDKADS</t>
  </si>
  <si>
    <t>GC_00003279</t>
  </si>
  <si>
    <t>MSDKQLTVAELMARAAQEGNSPRESRPRRRRSLDEGGVSVAELTGSIPRVNKKPAESKHSSVPLDAPQERVEEKVAASVDSATSDTMVGAAAGASGGMREAHREPPARPAPQAPQPVMVEPSAPSVQDTGVADASDVDDLDDLDDSLTDEETMVLSVVTEDDPVRLTTGSFPALTAELLGDDENDGSAQYGATDSNSGVSYSPQRSVDDDALTDNEGSGAEDEEIVTKVVFAGDNISGPEGYDASDEYADEDYADEDFADESIDSIAPVEDALPDRYDSEELDRVDDTAFVGSRVGFATGTFEKTRTGQFPEVSDDAEAEADVDDDASADVRAVDSATFRAVPAQEDVESDSEFDEEDDAFDPDFNDEETYEEDAFDEDDELDEVDANDNQKVSVLSVVLMVIIAIAVGVGLFKGFEMLWANMSKIITALLAVAATGAIVGIVHALRTERDGLSMVLAGAAGLAVTFGPLAIVGF</t>
  </si>
  <si>
    <t>MSDKQLTVAELMARAAQEGNSPRESRPRRRRSLDEGGVSVAELTGSIPRVNKKPAESKHSSVPLDAPQERVEEKVAASVDSATSDTMVGAAAGASGGMREAHREPPARPAPQAPQPVMVEPSAPSVQDTGVADASDVDDLDDLDDSLTDEETMVLSVVTEDDPVRLTTGSFPALTAELLGDDENDGSAQYGSTDSNSGVSYSPQRSVDDDALTDNEGSGAEDEEIVTKVVFAGDNISGPEGYDASDEYADEDYADEDFADESIDSIAPVEDALPDRYDSEELDQVDDTAFVGSRVGFATGTFEKTRTGQFPEVSDDAEAEADVDDDASADVRAVDSATFRAVPAQEDVESDSEFDEEDDAFDPDFNDEETYEEDAFDEDDELDEVDANDNQKVSVLSVVLMVIIAIAVGVGLFKGFEMLWANMSKIITALLAVAATGAIVGIVHALRTERDGLSMVLAGAAGLAVTFGPLAIVGF</t>
  </si>
  <si>
    <t>GC_00003280</t>
  </si>
  <si>
    <t>MFASLLPLSTDNISLLHPVAGRCVFWELEPSAAHHVQNQGFSALEKEAWLSRMLLEYGPCGFNISCGIDDTPALATVLFGDERNLPGVENMPTAPVTNGADVISSLFVETGFECLGFEQLLIDAALTQLTRQGSRVVEAFGLRAGAFIAEDESVGWGIGTPASVGLIPETILLEAGFTVVADHDVLPRLQMTLPPPQGLLAVEEAEELIRQALTAVQT</t>
  </si>
  <si>
    <t>MFASLLPLSTDNISLLHPIAGRCVFWELEPSAAHHVQNQGFSALEKEAWLSRMLLEYGPCGFNISCGIDDTPALATVLFGDERNLPGVENMPTAPVTNGADVISSLFVETGFECLGFEQLLIDAALTQLTRQGSRVVEAFGMRAGAFIAEDESVGWGIGTPASVGLIPETILLDAGFTVVADHDVLPRLQMTLPPLQGLLAVEEAEELIRQALTAVQT</t>
  </si>
  <si>
    <t>GC_00003281</t>
  </si>
  <si>
    <t>MMNLFNFSRPSSSTSYPDMGTIAILIIVILLLIIGILLGMLG-IIRKNFSKKESNQAMDTDNRHDEWQSNNDDSVNKEECQDIRTDGGESYGSTDEQEFTQFPTDASSRSRKNLQYNSETNEVPSPSPLHR-EDRLSSITHSPRLNQNQDNSRHPTRKTVKKNRYVIIAEGLKRGIASFGDVKNAPNRDPLIVLSNKDDSYFPGCVADVIVHENLTIGIVAVRGLSHEENKKVRQDSVAFGVSADGRYLIGSIADGVSEAEFSHKGSYYATQKIVKSVRKKLDEGFHPEDLPWEDITNHVRNELRARGKRTFKIAEEDVQDQELDSQLAKVIGTTAEVLIIDSKKINDQVSCIRASLAGDGYSFIISNDSMTLLGSGKETPSGDFVLNEKVRALPKDPGPKYPLINQVTISKNEAIFITSDGIGDDISKPDLGIDVYLCDKLAKPVPAYELLKITSYLAFQSHDDRSMIIVWA</t>
  </si>
  <si>
    <t>MMNLFNFSRPSSSTSYPDIGTIAIPIIVIILLIIGVLLSLLGIIIKKNFSQKESNQAMDTDDRHDEWQSNNDDSVNKEECQSIRTDSEGPYGYTDEQEFTQSPTDTSSRSRKNLQYNSETNEVPSPSPLHRPEDRLSSITHSPRLNQNQDNSHHPTRKTVKKNRYVIIAEGLKRGIASFGDVKNAPNRDPLIVLSNKDDSYFPGCVADVIVHENLTIGIVAVRGLSHEENKKVRQDSVAFGVSANGRYLIGSIADGVSEAEFSHKGSYYATQKIVKSVRKKLDEGFHPEDLPWEDITNHVRNELRARGKRTFKIA-EDAQDQELDSHLAKVIGTTAEVLIIDSKKINDQVSCIRASLAGDGYSFIISNDSMTLLGSGKETPSGDFVLNEKVCALPKDPGPKYPLINQVTISKNEAIFITSDGIGDDISKPDLGIDVYLCDKLAKPVPAYELIKITSYLAFQSHDDRSMIIVWA</t>
  </si>
  <si>
    <t>GC_00003282</t>
  </si>
  <si>
    <t>MSGKVVQGMKWVGCAAACAAVILTGTLAGCGSRDAAPTLTASPVVTSTKVVTATPASGKAIVQDAEKFRTADGYVFSYSTGAQGMCVFNDQQVTCQGTPESGVPKVQTSTYSASPDAITASTSGLTYGMFDHAQPDRLVPLRDNQKVFLGSVTCELRSSTLNCGSGNNSFTITGVARTITTKGTVQTPVTTTTTQTSTATPTTSARHQPSAADFVACGVTHNGQNVMATKSTPCQEAIGLMEQYGTVAESQGQGASRHITFDDGWSCAQASNDEVRSTGASRICRNGDNIVAS</t>
  </si>
  <si>
    <t>MSGKVVQGMKWVGCAAACAAVILTGTLAGCGSRDAAPTLTASPVVTSTKVVTATPASGKAIVQDAEKFRTANGYVFSYSTGAQGMCVFNDQQVTCQGTPESGVPKVQTSTYSASPDAITASTSGLTYGVFDHAQPDRLVPLRDNQKVFLGSVTCELRSSTLNCGSGNNSFTITGVARTITTKGTVQTPVTTTTTQTSTATPTTSARHQPSAADFVACGVTHNGQNVMATKSTPCQEAIGLMEQYGTVAESQGQGASRHITFDDGWSCAQASNDEVRSTGASRICRNGDNIVAS</t>
  </si>
  <si>
    <t>GC_00003283</t>
  </si>
  <si>
    <t>PF18019.7</t>
  </si>
  <si>
    <t>Cas3, HD domain</t>
  </si>
  <si>
    <t>MSPLGVDMNVVWAKERGLETPYPLLGHLLDTSTVMGELYHRWLRPGLRSLLVDELGEHVDKLLMLVAGLHDIGKANPHFQHQNNQQGETFTAIRENLRRHGLTVSPDYMSYFSDTRAMRRHENHSAIILDEDIETDMDAADSWLALALVGHHGKFAAFNPTRATDLKITKIKQIFDATPWGKIHKALIAQVELGVGMSRDELPDHVSPTVTVLISGLVVLADRIASQLDWTQTAQREMDEGIISLADPKQWVTHRVAESVEIIKKTVGLYQNWPTREAARADILDGFPPRFAQAAALEQGDGLWNVMAATGSGKTEAALLRHATRNERLIFLLPTQATTNAIMRRVQKAFKGTTNVASLAHGLAITEDFYSQNISVSDVMVGDNYQDNGGLFPTEFVKSGASRLLAPVCVGTVDQAILGSLPTKFNHLRLLALANAHVVIDEVHTLDAYQSELLEDLLHWWAATHTPITFLTATMPAWQQEKFKQAYSKHDGDPARFPSFTTWLPRSGDELDSAPATDAPPVVIPTEPYTIDLTVDPVPYDQLVDSHIRWIQAQRQAYPQARIGIICNTVDRAQAIVQAFDHEKPVLLHSRMTAEHRRRNAEELEQSIGKNGAAMTVLVVGTQAIEASLDIDLDVLRTELCPAESLIQRAGRLWRRDDVARADRVPGLAHKTISIAAIDNPKEWQTKPYFAAQLDRVAHWIAALDEVESKKPLRFPDQIQDFINQSSMGLTELFTTLNDDEDDNASGMDEIAELIHKINAGNNARIDFSTVLADDATNTDFFTITHKDELAETATRLIDRITIPAILHDPTGTIPGAWTGSIAELNSIKWHDTEAIREALRAVVEIPDTSSYKAMTSEATDITSNSSILCRYKVVENASRFYDQRLGLIPVKES</t>
  </si>
  <si>
    <t>MSPLGVDMNVVWAKERGLETPYPLLGHLLDTSAVMGELYHRWLRPGLRSLLIDELGEHVDKLLMLVAGLHDIGKANPHFQQQNKQQGETFTAIRENLRRHGLTVSPDYMSYFSETRAMRRHENHSAIILDEDIETDMDAADSWLALALVGHHGKFAAFNPTRATDLKITKIKQIFDTTPWGKIHKALIAQVELGVGMSRDELPDHVSPTVTVLISGLVVLADRIASQLDWTQTAQREMDEGIISLADPKQWVTHRAAESVEIIKKTVGLYQNWSTREAARADILDGFPPRFAQAAALEQGDGLWNVMAATGSGKTEAALLRHATRNERLIFLLPTQATTNAIMRRVQKAFKGTTNVASLAHGLAITEDFYSQNISVSDVMVGDNYQDNGGLFPTEFVKSGASRLLAPVCVGTVDQAILGSLPTKFNHLRLLALANAHVVIDEVHTLDAYQSELLEDLLHWWAATHTPITFLTATMPAWQQEKFKQAYSKHDSDPARFPSFTTWLPRSGDEIDSDPATDAPPVVIPTEPYTIDLTVDPVPYDQLVDSHIRWIQAQRQAYPQARIGIICNTVDRAQAIVQAFDHEKPVLLHSRMTAEHRRRNAEELEQSIGKNGEATTVLVVGTQAIEASLDIDLDALRTELCPAESLIQRAGRLWRRDDVARADRVPGLAHKTISIAAIDNPKEWQTKPYFAAQLDRVAHWIAALDEVDGKKPLRFPDQIQDFINQSSMGLTELFTTLNDDEDDNASGMDEIAELIHKINAGNNARIDFSTVLADDATNTDFFTITHKDELAETATRLIDRITIPAILHDPTGTIPGAWTGSIADLNSIKWHDTEAIREALRAVVEIPDTSSYKAMTSEATDITSNSSILCRYKVVENANRFYDQRLGLIPIKES</t>
  </si>
  <si>
    <t>GC_00003284</t>
  </si>
  <si>
    <t>MKTKVLVTLALIVAYLLMAIFRVNQQVMAPVMCAAIAAVLFWPARRKK</t>
  </si>
  <si>
    <t>MKTKVLVTLALIVAYLIMAIFRVNQQVMAPVMCAAIAAVLFWPARRKK</t>
  </si>
  <si>
    <t>GC_00003285</t>
  </si>
  <si>
    <t>MRNICRIVLAITTAGMLAIAPPSALAQPAPPGSAPCADLDVIFARGSGGKLNSVESLRLQAQVAAGAKAAGITTNFYELGSRPDQQYAYPAVSVNDEKGALTALGAKVSGGQAFEYGRSVRIGVVDAVHYIAQRVEKCKDARFFISGVSQGAQVIGEAYGELPDNLRERVIFNALFGDPKLYLPEGQPELTAAGITYPRYERGERSEWRRGVPDPSTFVGSLGARTPYLPEGWTHTTGLWCNDNDFVCGSDLNPLVDSGHHQYDVENGPIDQAVREALDRYAHRLAVTPLVDARTTGREPAAVTQSPALSVSVNPTPGGTLLSWDAATNPSGGWVVQVDGVYLGKTQPGARSITITDFAPTRSTEFSVAPISADNLMGIGRTAYLHE</t>
  </si>
  <si>
    <t>MRNICRIVLAITTAGMLAATPPSALAQPAPPASAPCADLDVIFARGSGGKLNSVESLRLQAQVAAGAKAAGITTNFYELGSRPDQQYAYPAVSVNDEKGALTALGAKVSGGQAFEYGRSVRIGVADAVHYIAQRVEKCKDARFFISGVSQGAQVIGEAYGELPVNLRERVIFNALFGDPKLYLPEGQPELTAAGITYPRYERGERSEWRRGVPDPSTFVGSLGARIPYLPEGWTHTTGLWCNDNDFVCGSDLNPLVDSGHHQYDVENGPIDQAVREALDRFAHRLAVTPLVDARTTGREPTAATQSPALSVSVNPAPGGTQLSWDAATNPSGGWIVQVDGVYLGKTQPGARSITITDFVPTRSTEFSVAPISADNLMGVGRAAYLHE</t>
  </si>
  <si>
    <t>GC_00003286</t>
  </si>
  <si>
    <t>MILYSKPMTKIRNSRTTGIKKTFDELRARLGEEHVDTREVWLTYIDALIRDGDTEHALTELALLISVSERMLGDNHIFVAGLISKYAHYLMQRGKYQDAYTKFHHAAQLTYHHYGPTSEEWLYLRGKTAECITYLGKYEEAGQIFSELLTTRRRLYGNDHPGILGTWINYLVCLEKQRDYPKALAEAELLLPFCTKLLGNHHNSTLYVRSKYAAILRGIGKPNLALIEIHRLLIARRDDLGPDHIDTLNTRGHHAACLSELGRSNEAYAEMTRLLADYRRILGPEHPETLTVWHNYIASLANAGYTNEAVSEAHTLLIARRRLLGADHVETRQTWRNYAIMLADAGRFHEAAAELAQLTEISTNQKGEFHPDTVDLRSRYAHCLLGSDQIFDAYTEFQRAREGARRLHGENDDRTFYLRIRCTDCLMDIGDYEKALCEWEHLLHDSRQARGEDHPETLKLWNDYAWALFTSEKIAEAHLEYEFLIPECVRILGEHDPQTVAYQELSQKVAEYFCQG</t>
  </si>
  <si>
    <t>MILYSKPMTKIRNSRTTGIKKTFDELRARLGEEHVDTREVWLTYIDALIRDGDTEHALTELALLISVSERMLGDNHIFVAGLISKYAHYLMQRGKYQDAYTKFHHAAQLTYHHYGPTSEEWLYLRGKTAECITYLGKYEEAGQIFSELLTTRRRLYGNDHPGILGTWINYLVCLEKQRDYPKALAEAELLLPFCTKLLGNHHNSTLYVRSKYAAILRGIGQPNLALIEIHRLLIARRDDLGPDHIDTLNTRGHHAACLSELGRSNEAYAEMTRLLADYRRILGPEHPETLTVWHNYIASLANAGYTNEAVSEAHTLLIARRRLLGADHVETRQTWRNYAIMLADAGRFHEAAAELAQLTEISTNQKGEFHPDTVDLRSRYAHCLLGSDQIFDAYTEFQRAREGARRLHGENDDRTFYLRIRCTDCLMDIGDYEKALCEWEHLLHDSRQARGEDHPETLKLWNDYAWALFASEKIAEAHLEYEFLIPECVRILGEHDPQTVAYQELSQKVAEYFCQG</t>
  </si>
  <si>
    <t>GC_00003287</t>
  </si>
  <si>
    <t>MNATVHNRYSPAVEEPIAAGFIEFIGGKLGRYAQVGTQRYWTPLRVLLMFAVIFLGLAYLSKAYCLESVLPGAGLGGAGSAGSSGGAGATTGAGEALLNWSGNRQYTAACYSDTIAGYTQFSYNFPYNVPVADASKSPVLSTLFGWVMYWISGMVGVVVRLVGLQIAPPVVYFAVTAVTLSILWMITVRIMVDLTGSRVWDTLLLTCSPVVIVHAFTHWEILSITTAVGALWCLSRQHFGYAGVFIGLGISAQIWPVFLLLALYIIAGRNDQWWETLRCTQFTILSWAAINIPVAVLFPHTWFRYFVDVYLQMWDWQSGFALLIRETNWLGFDRATTLNLVTVGMFSVLLVMIIAVICQSPSTPGVPEVTLLLLVAWLLSTKEWSSQFSLWLVPIIVLAVPKWRLVFAWGAVEAVLWYVQALHMLGKDHLGLPGGMLDFMLIIRGGLLLMLVWVMLRDNIPHIPKTRRRAYRKHTWTAPQSPQWEASLWDFSASADRSPATCTTSRRSSPGDSSP</t>
  </si>
  <si>
    <t>----------------MAAGFIEFIGGKLGRYAQVGTQRYWTPLRVLLMFAVIFLGLAYLSKAYCLESVLPGAGLGGAGSAGSSGGAGATTGAGEALLNWSGNRQYTAACYSDTIAGYTQFSYNFPYNVPVADAPKSPVLSTLFGWVMYWISGMVGVVVRLVGLQIAPPVVYFAVTAVTLSILWMITVRIMVDLTGSRVWDTLLLTCSPVVIVHAFTHWEILSITTAVGALWCLSRQHFGYAGVFIGLGISAQIW</t>
  </si>
  <si>
    <t>GC_00003288</t>
  </si>
  <si>
    <t>PF09922.15</t>
  </si>
  <si>
    <t>Cell wall-active antibiotics response LiaF, C-terminal</t>
  </si>
  <si>
    <t>COG4758</t>
  </si>
  <si>
    <t>Membrane protein LiaF, inhibitor of the LiaRS two-component envelope stress sensory system (LiaF) (PUBMED:16816187;23279150)</t>
  </si>
  <si>
    <t>MNLGRFITMTSPVPFQDKREYAQAQLTQAVGDGRLDLGRFSDLVGTVWETDDIATIDRITREVAVVPNSSVEQTVQTAPATPPTDIPTRLVAIFGTHKRKGRFRLPGMAQALCIFGDVTLDLSEASLTAPETLVDVTCIFGTIKVIVPPGVMVESQVASVFGEDKVTISETTIPNGPRITLRGANIFGTVKAKNPGKSWFTKFYG</t>
  </si>
  <si>
    <t>MNLGRFITMTSPVPFQDKREYAQAQLTQAVGDGRLDLGRFSDLVGTVWETDDVATIDRITREVAVVPNSSVEQTVQTAPATPPTDIPTRLVAIFGTHKRKGRFRLPGMAQALCIFGDVTLDLSEASLTAPETLVDVTCIFGTIKVIVPPGVMVESQVASVFGEDKVTISETTIPNGPRITLRGANIFGTVKAKNPGKSWFTKFYG</t>
  </si>
  <si>
    <t>GC_00003289</t>
  </si>
  <si>
    <t>MRGLPAEERKNLILDQAQRLFVERGFAATTVEDILNRAGIAKGTLYHHFSGKEDIMRQLIARTTNVMRQKAEAAASSDAHPLEKFAEIVASARVQGEEAEMIEQLHHVENTDFHVLTMTRAIVALAPLLASAVQEGVDQGVFSTPDPVGDCRIILTAGFMLPDHGLFPEWDAGEQLVQVVTAAERLLGCEPGAIAASMHATSVNRTQANTIAEKG</t>
  </si>
  <si>
    <t>MRGLPAEERKNLILDQAQRLFVERGFAATTVEDILNRAGIAKGTLYHHFSGKEDIMRQLIARTTNVMRQKAEAAASSDAHPLEKFAEIVASARVQGEEAEMIEQLHHVENTDFHVLTMTRAIVALAPLLASAVQEGVDQGVFSTPDPVGDCRIILTAGFMLPDHGLFPEWDAGEQLVQVVTAAERLLGCEPGAIAASMHAISVNRTQANTIAEKG</t>
  </si>
  <si>
    <t>GC_00003290</t>
  </si>
  <si>
    <t>MALRIFSALMLVLASIFYVPTASAQTTNNDGYRVDNVTLKPYPQSVDADGNLYEWSGLEVEFDWSAPKGGVQAGDEFTIKFPKDDNGAPLLGLKQSREFDLVDTNGQSGGTCVANEAKGEVTCHPDDRFVDKDDVHGTIRVAAATRGVNANLTSYAFTIGKGSVEAYVPGNKGIVGRGQNFPENSFKSGWMENDGRTLTWVLYVPGKSLPSNPSMPLHITDAIPADSSPHTFKCAPDQGYIVPQGPGNFRVQALGFRNSSDVLKDLDNNAKSHLGVTAQTFENNNKTMHLTVNPPEGGWKSDEGYRIKYHTCVDSPVAEGVFKNGAKAENIDFGTHVVDYKDDASGTIGGVSRKGYQITKKIAADSAPIDANQEFEVTVKVDADDDRFDSTDTIKLKADKTYVSKKELPAGARVTVSEENLPKVSGLTFKDPQYSADDVDNPVVNGNSVTVKISNDKNADIKVTNSATGKPKTTGGGLLITGGGSSGGSSEGSSAGSSGLPLWVGLLAVPLLAAGVVGSSAVGSSAVGSSNNGPAAAPAAAPGPNRPAGQQQAAPAGNGGAPAAAPAKGIPAGQGGGQQATPTSAAPAAAQAEKTLANTGVRVIEIVGAALAVLVLGVVLLVVRSRRAR</t>
  </si>
  <si>
    <t>MALRIFSALMLVLASIFYVPTASAQTTNNDGYRVDNVTLKPYPQSVDADGNLYEWSGLEVEFDWSAPKGGVQAGDEFTITFPKDDNGAPLLGLKQSREFDLVDTNGQSGGTCVAHEAKGEVTCHPDDRFVDKDDVHGTIRVAAATREANANLTSYAFTIGKGSVEAYVPGNKGIVGRGQNFPENSFKSGWMENDGRTLTWVLYVPGKSLPSNPSMPLHITDAIPADSSPHTFKCAPGQGYIVPQGPGNFRVQALGFRNSSDVLKDLDNNAKSHLGVTAQTFENNNKTMHLTVNPPEGGWKSDEGYRIKYHTCVDSPVAEGVFKNGAKAENIDFGTHVVDYKDDASGTIGGVSRKGYQITKKIAADSAPIDANQEFEVTVKVDADDDRFDSTDTIKLKADKTYVSKKELPAGTRVTVSEENLPKVSGLTFKDPQYSADDVDNPVVNGNSVTVKISNDKNADIKVTNSATGKPKTTGGGLLITGGGSSGGSSEGSSAGSSGLPLWVGLLAVPLLAAGVVGSSAVGSSAVGSSNNGPAAAPAAAPGPNRPAGQQQAAPAGNGGAPAAAPAKGIPAGQGGGQQATPTSAAPAAAQAEKTLANTGVRVIEIVGAALAVLVLGVVLLVVRSRRAR</t>
  </si>
  <si>
    <t>GC_00003291</t>
  </si>
  <si>
    <t>MPTFDLGGRTAVITGATGAIGSAVARTFVESGAKVALIARNRRRLERLCARFPEEAETLVCSADVSSAYDLVEARDKVLEELGAPDLVITAAGVRRAANFDEAIPADWRRMLATNLRGTLQTVQTFSPDVLAAGERGDRADIVMLSSAPARERQHAYSVFSSLGASLGQFSKHLRAEYGLRGVRVHYFDSIYTGGSFFTQGNLGSNRATSDHHDVIQGPLPELESIAIDTAHVAEEVGFAASLPAHVNMASATILPLEGN</t>
  </si>
  <si>
    <t>MPTFDLGGRTAVITGATGAIGSAVARTLVESGAKVALIARNRRRLERLCARFPEEAETLVCSADVSSAYDLVEARDKVLEELGAPDLVITAAGVRRAANFDEAIPADWRRMLATNLRGTLQTVQTFSPDVLAAGERGDRADIVMLSSAPARERQHAYSVFSSLGASLGQFSKHLRAEYGLRGVRVHYFDSIYTGGSFFTQGNLGSNRATSDHHDVIQGPLPELESIAIDTAHVAEEVGFAASLPAHVNMASATILPLEGN</t>
  </si>
  <si>
    <t>GC_00003292</t>
  </si>
  <si>
    <t>K14588</t>
  </si>
  <si>
    <t>cuproxidase [EC:1.16.3.4]</t>
  </si>
  <si>
    <t>KEGG Orthology (KO)&gt;&gt;&gt;09190 Not Included in Pathway or Brite&gt;&gt;&gt;09191 Unclassified: metabolism&gt;&gt;&gt;99980 Enzymes with EC numbers|Enzymes&gt;&gt;&gt;1. Oxidoreductases&gt;&gt;&gt;1.16  Oxidizing metal ions&gt;&gt;&gt;1.16.3  With oxygen as acceptor&gt;&gt;&gt;1.16.3.4  cuproxidase</t>
  </si>
  <si>
    <t>MNRRHFLALCAALGLTACAPKTSNPDGPTSNEPVIPRGWDGEPRPLPIPPLLDGDETDGRYYYKLTAQTGETEILPGIKTATWGFNGAMLGPTIHASRNHPVDLEFTSELPETTAVHCHGLLLPANMDGGPHSTIEPGATWTSSFTVNQPALTAWYHPHPHGKTGVQAYRGLAGMIIVDDDVEQALDIPHDYGVDDIPIVIMDANFTDDGQLDETFNPNLGLQGAVPHVNGITNPEFTATKPRARFRLLNGSNMRFHNLGFDDGREFQVIATDSGLLDRPRKATSVRLGPGERAEIVADVTGTMKLRSLGYADNLGVPQDEYSLDFKLQEQVDLLTIRGPVPGNAPGTIQRADQGEDVTVNVAAPDVLDPAAAAPIKTATIERKFELNTFQINGKSMDMNRVDVVIDHSDPETWIVTNGNSDWIHNFHIHNCAFKVLEVSDTNIQFDAYGWKDTVTIPPGVTVKLGILFGQYRNNHYPYMYHCHMLFHEDKGMMGQYMMVDPGEEPDLQTDYTAHGGHGGHSDDTGSADSTESSTQDESQYE</t>
  </si>
  <si>
    <t>MNRRHFLALCAALGLTACAPKTSNPDGPTSNEPVIPRGWDGEPRPLPIPPLLDGDETDGRYYYKLTAQTGETEILPGIKTATWGFNGAMLGPTIHASRNHPVDLEFTSELPETTAVHCHGLLLPANMDGGPHSTIEPGATWTSSFTVNQPALTAWYHPHPHGKTGVQAYRGLAGMIIIDDDVEQALDIPHDYGVDDIPIVIMDANFTDDGQLDETFDPNLGLQGAVPHVNGITNPEFTATKPRARFRLLNGSNMRFHNLGFDDGREFQVIATDSGLLDRPRKVTSVRLGPGERAEIVADVTGTMKLRSLGYADNLGVPQDEYSLDFKLQEQVDLLTIRGPVPGNAPGTIQRADQGEDVTVNVAAPDVLDPAAAAPIKTATIERKFELNTFQINGKSMDMNRVDVVIDHSDPETWIVTNGNSDWIHNFHIHNCAFKVLEVSDTNIQFDAYGWKDTVTIPPGVTVKLGVLFGQYRNNHYPYMYHCHMLFHEDKGMMGQYMMVEPGEEPDLQTDYTAHGGHGGHSDDTGSVDSTESSTEGESQYE</t>
  </si>
  <si>
    <t>GC_00003293</t>
  </si>
  <si>
    <t>MNTPSLTSHVVVVDITPDAGRMVIVTLSGGSLSTTEVHRFEHHSDRHSTHSVNHLVTEIIAGLRIVNLELSSAKATVSISACGGDYVCLTPQRDIVSASTYPAQPGKVTCNPRDFFTLTGVQPAPTATAFRLHAHLNSNPEDRSRIDAVLSIPDYIVYQLTGVMGWSRSILSGTGLTQPGSKHWSPEVFNTLGIPQHCVGEPSPDMTVVGPVTVPGLDNFTVVRGGADNNACAVHGLGLVDGEAFISFDADSLVGCVTDNPQLGDTAFAAHFNNDNCTDGHTRLQRVLPGLRLLEHCCAVFADQGRASDVAILTAQAAQHYDPGITIDITAPGISNYPEHIARLLRHHGVDRLGESCDDPALIMRVVTASLARAHATTVANLEQTIQKRITSIRLIGAGAQNTLLCKLTAQACGIPVAAGPRDATPFGSALAQLELCGHDRDALLDIERARTVRTVYTPS</t>
  </si>
  <si>
    <t>MNTPSLTSHVVVVDITPDAGRMVIVTLSGGSLSTTEVHRFEHHSDRHSTHSVNHLVTEIIAGLRIVNLELSSAKATVSISACGGDYVCLTPQRDIVSASTYPAQPGKVTCNPRDFFTLTGVQPAPTATAFRLHAHLNSNPEDRSRIDAVLSIPDYIVYQLTGVMGWSRSILSGTGLTQPGSKHWSPEVFNTLGIPQHCVGEPSPDMTVVGPVTVPGLDNFTVVRGGADNNACAVHGLGLVDGEAFISFDADSLVGCVTDNPQLGGTAFAAHFSNDNCTDGHTRLQRVLPGLRLLEHCCAVFADQGRASDVAILTAQAAQHYDPGITIDITAPGISNYPEHIARLLRHHGVDRLGESCDDPALIMRVVTASLARAHATTIANLEQTIQKRITSIRLIGAGAQNTLLCKLTAQACGIPVAAGPRDATPFGSALAQLELCGHDRDALLDIERARTVRTVYTPS</t>
  </si>
  <si>
    <t>GC_00003294</t>
  </si>
  <si>
    <t>MIRVLIVDDQQLLRRGLKLLLAQSPEIQVVTTCASAAETLVSLHNSEVDVVLADAVMPGMDGPELVEQCHTLWPSLPVIILTTFDDATIVRRSIKAGAAGFLLKDVSPTTLAEAITAAYDGHPYVDPRVAHLLALPSRFAGLTPTEKTVAELVGQGLSNREIAAELHLAEGTVKNHISALLRKTQVPDRTRLALHFHT</t>
  </si>
  <si>
    <t>MIRVLIVDDQQLLRRGLKLLLAQSPEIQVVTTCASAAETLVSLHNSEVDVVLADAVMPGMDGPGLVEQCRTLWPSLPVIILTTFDDATIVRRSIKAGAAGFLLKDVSPTTLAEAITAAYDGHPYVDPRVAHLLALPSRFAGLTPTEKTVAELVGQGLSNREIAAELHLAEGTVKNHISALLRKTQVPDRTRLALHFHT</t>
  </si>
  <si>
    <t>GC_00003295</t>
  </si>
  <si>
    <t>MVMGIRRTDCKAAAIIVIVALLIVASVSACANQPRQHIGGSITYVEAQEFDSLYPPAADFYPNGGIVHNITDRLLFQDPVTLDLYPWIATALPEVNENATEFTFKLRKDVTYSDGSHVNAANVVRNFDLFGLGDEGRRFAPSPALPHYQRAEALDAYTVKFYFSEPTPEFPQAVSMPRAGLLADATLKRTMEGFGPGHATDIVASGPFVVSDERVGEELTLTARDDYNWAPAVREHEGRPAIDSVRVVFNQEDTERVGLVTGRAADIAARIDPSDESQVRQARLNLVAASTRGVNNSLTFRPGHPLLQDKRVRQAIIAGVDRKAIRDDLFTDSYPLATSILAERAPGYKKQKAYKHDAARANTLLDQAGWVRNPDDGIREKNGQRLSLNVNDALPLPRSKEVVAMLQEQLKDIGVEINFYPGDFADQVEAVKDPNKIQLFHSMSDGTLYQQFSTSRIDAAHNTHSDGSLLDPQLEELLAPQTVEQAQDYLTEQVYVLPLVEQPVVYGLRTHVHGFDTDPTGLPSFYQVSRLGR</t>
  </si>
  <si>
    <t>MVMGIRRTDCRAAAIIVIVALLIVASVSACANQPRQHIGGSITYVEAQEFDSLYPPAADFYPNGGIVHNITDRLLFQDPVTLDLYPWIATALPEVNENATEFTFKLRKDVTYSDGSHVNAANVVRNFDLFGLGDEGRRFAPSPALPHYQRAEALDAYTVKFYFSEPNPEFPQAVSMPRAGLLADATLKRTMEGFGPGHATDIVASGPFVVSDEHVGEELTLTARDDYNWAPAVREHEGRPAIDSVRVVFNQEDTERVGLVTGRAADIAARIDPSDESQVRQARLNLVAASTRGVNNSLTFRPGHPLLQDKRVRQAIIAGVDRKAIRDDLFTDSYPLATSILAERAPGYKKQKAYKHDAARANTLLDQAGWVRNPDDGIREKNGQRLSLNVNDALPLPRSKEVVAMLQEQLKDIGVEINFYPGDFADQVEAVKDPNKIQLFHSMSDGTLYQQFSTSRIDAAHNTHSDGSLLDPQLEELLAPQTVEQAQDYLTEQAYVLPLVEQPVVYGLRTHVHGFDTDPTGLPSFYQVSRLGR</t>
  </si>
  <si>
    <t>GC_00003296</t>
  </si>
  <si>
    <t>PF13529.12</t>
  </si>
  <si>
    <t>Peptidase_C39 like family</t>
  </si>
  <si>
    <t>MTSMDGYDDHSMFDELNSLIDPSDLEDDSFNESFDDMGHDHPFADPFVDPIADDPAVNIPDDGLPVVPDLHDHPIDPTTHDPAVQDPAVQDPAVADPNMVDPDTVDIDDADPGHADPAPAPEV-----HDPTTHDPVIDAPAPDPAPESDPSLDVPAPGEEPALDDDGVYGNSYEWNSDWFYQQVDGYCGPTSVAIIANEFSDAGITDPQVMVDQAYNMGLTQDISEGLYMEDIQTLLDASGVPCETVTSSMDDLAARLDAGCGVIAAVDSGELWGDSADAAGEDNMPDHALVVSEIDTNTGMVTLEDPGNPDGNGTQVPISQFEDAWADSGFQMVATTEGDPDLGGTSDNPQLAFVNVTGSDVIQ</t>
  </si>
  <si>
    <t>MTSMDGYDDHSMFDELNSLIDPSDLGDDSFNESFDDMGHDHPFADPFVDPIADDPAVNIPDDGLPVVPDLHDHPIDPTTHDPAVQDPTVQDPAVADPNMVDPDTVDIDDADPGHADPAPAPEVHDPTTHDPTTHDPVIDAPTPDPAPESDPSLDVPAPGEEPALDDDGVYGNSYEWNSDWFYQQVDGYCGPTSVAIIANEFSDAGITDPQVMVDQAYNMGLTQDISEGLYMEDIQTLLDASGVPCETVTSSMDDLAARLDAGCGVIAAVDSGELWGDSADAAGEDNMPDHALVVSEIDTNTGMVTLEDPGNPDGNGTQVPISQFEDAWADSGFQMVATTEGDPDLGGTSDNPQLAFVNVTGSDVIQ</t>
  </si>
  <si>
    <t>GC_00003297</t>
  </si>
  <si>
    <t>K25282</t>
  </si>
  <si>
    <t>COG4607</t>
  </si>
  <si>
    <t>ABC-type enterochelin transport system, periplasmic component (CeuA) (PDB:3ZKW)</t>
  </si>
  <si>
    <t>Transporters&gt;&gt;&gt;ABC transporters, prokaryotic type&gt;&gt;&gt;Metallic cation, iron-siderophore and vitamin B12 transporters&gt;&gt;&gt;Iron-siderophore transporter</t>
  </si>
  <si>
    <t>MNWLRPRVIIDPAAAAVMIVMLAVAGCGSPSDDVDSSATSTSTTTSAENAAHYPVTISHKQGETVLDKRPQRIVVLDYGALDYVDSMGFGSAIVGIPAGRIVPPSAENYGGTDEVGPLGKPDLKRIAELKPDLILTSSGTAVTYEKLAAVAPTVELADAGTDVLGNNAANARQMGRIFGVDADVEAELAALDEKVVTVREQVAALGATALVVVNSKGKTTAYGVHSRFSLVYDLGFIGIDGLHGGEPVKYSAEDIAKADPEFLFVINRDTLIDTHDQSATSTAAEEEEDILGSKVVRKSRAAQHRHIVYLNAAEWYQTGIGLTTLNTMVDAVGDAIKQ</t>
  </si>
  <si>
    <t>MNWLRPRVIIDPAAAAVMIVMLAVAGCGSPSDDVDSSVTSTSTTTSAENAAHYPVTISHKQGETVLDKRPQRIVVLDYGALDYVDSMGFGSAIVGIPAGRIVPPSAENYGGTDEVGPLGKPDLKRIAELKPDLILTSSGTAVTYEKLAAVAPTVELADAGTDVLGNNAANARQMGRIFGVDADVEAELAALDEKVVTVREQVAALGATALVVVNSKGKTTAYGVHSRFSLVYDLGFIGIDGLHGGEPVKYSAEDIAKADPEFLFVINRDTLIDTHDQSATSTAAEEEEDILGSKVVRKSRAAQHRHIVYLNAAEWYQTGIGLTTLNTMVDAVGDAIKQ</t>
  </si>
  <si>
    <t>GC_00003298</t>
  </si>
  <si>
    <t>MPSHTAFYTSGCFTITSLIAREKLAMNMHLVDMSSRVNELLIPHFAHARYSTSQRYPTSIPLSDCPVFSEQTPTTNITKNFYRKDFPIRV</t>
  </si>
  <si>
    <t>MPSHTAFYTSGCFTITSLIAREKLAMNMYLVDMSSRVNELLIPHFAHARYSTSQRYPTSIPLSDCPVFSEQTPTTNTTKNFYRKDFPIRV</t>
  </si>
  <si>
    <t>GC_00003299</t>
  </si>
  <si>
    <t>K13633</t>
  </si>
  <si>
    <t>AraC family transcriptional regulator, transcriptional activator FtrA</t>
  </si>
  <si>
    <t>COG4977</t>
  </si>
  <si>
    <t>Transcriptional regulator GlxA, contains an amidase domain and an AraC-type DNA-binding HTH domain (GlxA)</t>
  </si>
  <si>
    <t>Transcription factors&gt;&gt;&gt;Prokaryotic type&gt;&gt;&gt;Helix-turn-helix&gt;&gt;&gt;AraC family</t>
  </si>
  <si>
    <t>MNTVVFVVPDRVQLLDIAGPAQVFSTLRDLTGEPSTIVYVGEQQTVQSKQGLPVNVSTDWPGLTPDDLLIIPGFAATAHPLNNNLLASIAAHHAAGGTIASICAGAFIVAEAGLLDGRRATTHHDLQDTLGARYPRVHVVRDVLFVGGQGIYTSAGIASGIDLSLHLVEQHFGARIAARIARTMVVYARRNGNMEQHSVILRYRDHCDDLVHRIQDFLNDHFAQSFTLADLARRGNVSERTLSRSFMKNIGLTPSQYQRAVRLEHAELLVAQGATMEQAARQVGFADARSLRKHRA</t>
  </si>
  <si>
    <t>MNTVVFVVPDRVQLLDVAGPAQVFSTLRDLTGEPSTIVYVGEQQTVQSKQGLPVNVSTDWPGLTPDDLLIIPGFAATAHPLNNNLLASIAAHHAAGGTIASICAGAFIVAEAGLLDGRRATTHHDLQDTLGARYPHVHVVRDVLFVGGQGIYTSAGIASGIDLSLHLVEQHFGARIAARIARTMVVYARRNGNMEQHSVMLRYRDHCDDLVHRIQDFLNDHFAQSFTLADLARRGNVSERTLSRSFMKNIGLTPSQYQRAVRLEHAELLVAQGATMEQAARQVGFADARSLRKHRA</t>
  </si>
  <si>
    <t>GC_00003300</t>
  </si>
  <si>
    <t>MKPLKIFIAATSALLLASCSAGQITQTSDQVAAVDGASVNSSDNTIAVRDVTIHVTKDGETGVKFTAINQDKKRDATHKLEKITIDGQEVAIDGTTEFKAGCNLVGGIPSEMAKLTEPEGACVTHVTTTADNPGFPLGGTKDVVFDFDSGQVTARAAVAAPVLESGKVNRQTGAEAHHESETSTTATTTTSAANSE</t>
  </si>
  <si>
    <t>MKPLKIFIAATSALLLASCSAGQITQTSDQVAAVDGASVNSSDNTIAVRDVTIHVTKDGETGVKFTAINQDKKRDATHKLEKITIDGQEVAIDGTTEFKAGCNLVGGIPSEMAKLTEPEGACVTHVTTTADNPGFPLGGTKDVVFDFDSGQVTARAAVAAPVLESGKVNRQTGAEAHHESETSTTTTTTTSAANSE</t>
  </si>
  <si>
    <t>GC_00003301</t>
  </si>
  <si>
    <t>COG4912</t>
  </si>
  <si>
    <t>3-methyladenine DNA glycosylase AlkD (AlkD) (PDB:3JX7)</t>
  </si>
  <si>
    <t>MDRYADPEVAAGQKAYMRGKFEFLGVKTPDRRRASKSFITAHGPRVVPDLWAEPEREFQYVGADVLWAKVSQLSSTDVEWLGGFVQQKSWWDTVDALAKTIGQVATAQQMLDWSVADNLWLRRVAIIHQLRRKASTDADLLARIIVNNVGSTEFYINKAIGWALREYSKTDADWVRGFVATHELSRLSQREALKRLGG</t>
  </si>
  <si>
    <t>MERYADPEVAAGQKAYMRGKFEFLGVKTPDRRRASKSFITAHGPQVVPDLWAEPEREFQYVGADVLWAKVSQLSSTDVEWLGGFVQQKSWWDTVDALAKTIGQVATAQQMLDWSVADNLWLRRVAIIHQLRRKASTDADLLARIIVNNVGSTEFYINKAIGWALREYSKTDADWVRGFVATHELSRLSQREALKRLGG</t>
  </si>
  <si>
    <t>GC_00003302</t>
  </si>
  <si>
    <t>MSLSTSITRLYAPHVATNPLADAPSLTHTVASPIDTATSATTDVLGIHTVTIRSAAASIVTGIAVMLAVFAANFYLQNPVSAVLLAAGITFGAAATVWRLQFHLHSVGAWLAALGGVIMLLVGMVLAVAQHSGVTRLHTAMMNAWTIAVPVAATVILIGGFLQLPRILAPWIALITGGLIVATWATIDFRFDPVVIWVGALAALCGSAQCLAQLSRWLPHRGHHRNGQQRHQHGSCLACYAAQAALILAIVVAISEIMVSINVGEFKPALLLWELTTITLLGTVAAWTTPTTTAAAETNKIIAVEDLPVTRRYPSVLRSRWRWFLTGSTVQ</t>
  </si>
  <si>
    <t>MSLSTSITRLYAPHVATNPLADAPSLTHTVASPIDTATSATTDVLGVHTVTNRSAAASIVTGIAVMLAVFAANFYLQNPVSAVLLAAGITFGAAATVWRLQFHLRSVGAWLAAVGGVIMLLVGMVLAVAHHSGVTRLHTAMMNAWTIAVPVAATVILIGGFLQLPRILTPWIALITGGLIVATWATIDFRFDPVVIWVGALAALCGSAQCLAQLSRWLPHRGRHQNGQQRHQHGSCLACYAAQAALILVIVVAISEIMVSINVGEFKPALLLWELTTITLLGTVAAWTTPTTTAAAETNKIIAVEDLPVTRRYPSVLRSRRRWFLTGSTVQ</t>
  </si>
  <si>
    <t>GC_00003303</t>
  </si>
  <si>
    <t>MQTMSVLKKAMIVGVCVTPLVLGACGSNKEENKAEGSTSSASSVSAVAKQATSSSDASTSAATSSAAPTSEAPAPASEPAVPPEVNLDNPIQAQQLAPIEGQPASAGDKDAITNVVRSMVPTGTLRQFMATTVNNTCARLIEEGGGAPDLNEVPDLPLESIPDYQKAKPTVDSVEDVRVNGESASASVTHTSNGKTETGVMRFQRENGAWKMCR</t>
  </si>
  <si>
    <t>MQTMSVLKKAMIVGVCVTPLVLGACGSNKEENKAEGSTSSASSVSAVAKQATSSSDASTSAATSSAAPTSEAPAPASEPAVPPEVNLDNPIQAQQLAPIEGQPASAGDKDAITNVVRSMVPTGTLRQFMATTVNNTCARLIEEGGGAPDLNEVPDLPLESIPDYQKAKPTVDSVEDVRVNGESASASVTHTSNGKTETGVMRFQRENGAWKMCK</t>
  </si>
  <si>
    <t>GC_00003304</t>
  </si>
  <si>
    <t>MTYPPYPQQPGGDGYQHPENDHGGYANPQYQQQQYSGMPDPGGTANGTGKLDFGGAISFGFKAVFQQPGFWIGMTLLMGVLIALIGIVVAIIVPGPVYDVSNPDAAPTVSSTLQRNIPSIIGGALSIFGINAALRYIDKGSVSVSETFQNPQLVVVFAIQIVAGLLGLGLSLGALSSSAFLAVAVVISIGSFFLTPFFMFLYPCLLDGRGSVTECLSLSINYGRRHYLILLGFSIVMGLISVAGFLPCGLGLIVIMPAIFLMYATAYRQISGGLVRSL</t>
  </si>
  <si>
    <t>MTYPPYPQQPGGDGYQHPENDHGGYANPQYQQQQYSGMPDPGGTANGTGKLDFGGAISFGFKAVFQQPGFWIGMTLLMGVLIALIGIVVAIIVPGPVYDVSNPDAAPTVSSTLQRNIPSIIGGALSIFGINAALRYIDKGSVSVSETFQNPQFGVVFVIQIVAGLLGLGLSLGALSSSAFLAVAVVISIGSFFLTPFFIFLYPCLLDGRGSVTECLSLSINYGRRHYLILLGFSIVMGLISVAGFLPCGLGLIVIMPAIFLMYATAYRQISGGLVRSL</t>
  </si>
  <si>
    <t>GC_00003305</t>
  </si>
  <si>
    <t>MPNTNDTQPTDDRTRAQVVTARTVAEAARKTGEKVQSRIIIVENLADTSLVIDQAGGPNAVVEPLTELSPAADLSPIMRRLAALEATPTPAATVVEQVQASARLNRLADHAGITTRAIGIGWEDTSNAARRNWSEIARTAVTRGYTTIDLAAGRPEWTLFQWPAHPEWVSLEPQENPLRDVIATLRANGIEKIYLTLDMMVSTSLAKFPEWKAISRDGTIRNMPSPAALTRSPIRDMLAGAVAQVATQFGDIIDGIIITELFWDSGSFSDNDLLLYRSDTGATDWPRSDDGALQETPEYQEWLTTKMANFIAHCRSLTAGIPLVMDVRVNWNQPLAGRPDSGHDYAKLLRVADEIQPWVYYDTGEESKAVALVSALNKQWPGRVRPALGLWSATPASVGKTLADLATAHRVQITPYSKMGTLLH</t>
  </si>
  <si>
    <t>MPNTNDTQPTDDRTRAQVVTARTVAEAARKTGEKVQSRIIIVENLADTSLVIDQAGGPNAVVEPLTELSPAADLSPIMRRLAALEATPTPAATVVEQVQASARLNRLADHAGITTRAIGIGWEDTSNAARRNWSEIARTAVTRGYTTIDLAAGRPEWTLFQWPAHPEWVSLEPQENPLRDVIATLRANGIEKIYLTLDMMVSTSLAKFPEWKAISRDGTIRNMPSPAALTRSPIRDMLAGAVAQVATQFGDIIDGIIITELFWDSGSFSDNDLLLYRSDTGATDWPRSDDGALQETPEYQEWLTTKMANFIAHCRSLTAGIPLVMDVRVNWNQPLAGRPDSGHDYAKLLRVADEIQPWVYYDTGEESKAVALVSAFNKQWPGRVRPALGLWSATPASVGKTLVDLAAAHRVQVTPYSKMGTLLH</t>
  </si>
  <si>
    <t>GC_00003306</t>
  </si>
  <si>
    <t>-------------------------MKDALGALKAAYVHRNIADESSAADKWWTAKFAAAEQLLETVDDGNPEEMLAIARLANAEIAMMGGIGLPPVEGHHD------</t>
  </si>
  <si>
    <t>MSDINNNEMGAETPNRNIGFAEFDVMKDALSALKATYIHRKVADDSSAAEKWWSAKFQAVRQLLKMVDDSNPEEMLAVARLANAEIAMMGGIGLPPEEPQDPSADEVL</t>
  </si>
  <si>
    <t>GC_00003307</t>
  </si>
  <si>
    <t>MSATPLPSLAPGVSADALAVIPSRLLKRAEKLAADSDSWQVKLVDDGFRVEVGTTTVTYLENKFECSCLISPKCAHIGAVCMAAPIAAEAEDSDESPAGGVDKPAADKATTDTDSAAQAAWAKKLPAVADIAGCVSQAQDITSAICDQGLANLSARFHMQLLALVRTTRVVGLPRLERAITALATLSQDARVGKPVARGEVARQLFAVAMVAHLLDRDPHDRDAIGAARRAYKPLELSGAQNATFIPLYAEPIVTTSGFAGMSITLCTRGGDMFSITKTPPGDASAVPTIWYGPVRLGDMHCSYAHLARHMLLMSGGKGSADGRIGSGKGVRAALGQEVSLELIRSLSLPGDLSLVSGVVCDATLKELSLNTREGIVTVNFSAAARRTNIRNLVNLILATKPDDRGVTCLIHGSEVVCLWPEDNWLQLKPEQGGRIFPGLDSVSAVAGAPVDTQQQTDFAAPPTRGVSDVLTVWLERCALGGRSAIRTHHAACAADVRLLNDAGAPYAAELLQRFVTDPTPRHGLSLVAYLQS</t>
  </si>
  <si>
    <t>MSATPLPSLAPGVSADALAVIPSRLLKRAEKLAAGSDSWQVTLVDDGFRVEVGTTTVTYVEDKFECSCLISPKCAHIGAVCMAAPIAAEAEDSTEPSAGGVDKPAADKTTTDTDSAAQAAWAKKLPAVADIAGCVSQAQDITSAICDQGLANLSARFHMQLLALVRTTRVVGLPRLERAITALATLSQDARVGKPVARGEVARQLFAVAMVAHLLDRDPRDRDAIGAARRAYKPLELSGAQNATFIPLYAEPIVTTSGFAGMSITLCTRGGDMFSITKTPPGDASAVPTIWYGPVRLGDMHCSHAHLARHMLLMSGGKGSADGRIGSGKGVRAALGQEVSLELIRSLSLPGDLSLVSGVVCDATLKELSLNTREGIVTVNFSAAARRTNIRNLVNLILATNPDDRGVTCLIHGSEVVCLWPEDNWLQLKPEQGGRIFPGLDSVSAVAGAPVDAQQQTDFAAPPTRGVSDVLTVWLERCALGGRSAIRTHHAACAADVRLLNDAGAPYAAELLQRFVTDPTPRHGLSLVAYLQS</t>
  </si>
  <si>
    <t>GC_00003308</t>
  </si>
  <si>
    <t>K07171</t>
  </si>
  <si>
    <t>mRNA interferase MazF [EC:3.1.-.-]</t>
  </si>
  <si>
    <t>COG2337</t>
  </si>
  <si>
    <t>mRNA-degrading endonuclease MazF, toxin component of the MazEF toxin-antitoxin module (MazF) (PDB:2MF2)</t>
  </si>
  <si>
    <t>MTNASPAVHTGQIVWVNLSPTAGKEQAGHRPAVVVSSTLFLQVVTDLVTVIPVTSTNRGWANHVPVPILGPDSVAMTEQIRTISRSRITKYGPCVDEESFATMKMWIRDFLT</t>
  </si>
  <si>
    <t>MTNASPAVHTGQIVWVNLSPTAGKEQAGHRPAVVVSSTLFLQVVTDLVTVIPVTSTNRGWANHVPVPILGPDSVAMTEQIRTISRSRITKYGPCVDEESFATMKMWIRDFLI</t>
  </si>
  <si>
    <t>GC_00003309</t>
  </si>
  <si>
    <t>MPPPQTRVPRTTYTTYTYRPRRTTSETAKFQAANIQLAGGWWMTKQSYHTLPSHKRLDTHARAVGATRRTGVISGFAAASLLGIGVLNLHHITTVDVTLPGKAQPPSRSQWPSIVHYRSADLLPEDIMIVHGYRVTTPARTFTDICTMHGEAEGLAFLESALHAYDLHYFQAYVARHRSQWGMVRAQRVLDWALYGIDSVYESYARYLIITQLPHISVDAQVVFFFQESDNYYRVDLLVDDWLIVEIDGRFKEQGTDTQVKTTLLNQNRREHYLENLGYHMLRLHPDELTHHLIPTITHLTSLIHHTRPLTEHVPQNLKSRPWWSTPRYRC</t>
  </si>
  <si>
    <t>MPPPQTRVPRTTYTTYTYRPRRTTSETAKFQAANIQLAGGWWMTKQSYHNLPSHKRLDTHARAVGATRRTGVISGFAAASLLGIGVLNLHHITTVDVTLPGKAQPPSRSQWPSIVHYRSADLLPEDIMIVHGYRVTTPARTFTDICTMHGEAEGLAFLESALRAYDLHYFQAYVARHRSQWGMVRAQRVLNWALYGIDSVYESYARYLIITQLPHISVDAQVVFFFQESDNYYRVDLLIDDWLIVEIDGRFKEQGTDTQVKTTLLNQNRREHYLENLGYHVLRLHPDELTHHLIPTITHLTSLIHHTRPLTEHVPQNLKSRPWWSTSRYRC</t>
  </si>
  <si>
    <t>GC_00003310</t>
  </si>
  <si>
    <t>MGYSVSRKIYAIVSSLLLVLTSLLTYQPVAQATGGVRIENVSVESENTPIKNLSYVHVRWDWYAGNVSNGQQFSVEFPDVLQLGSDQGIELRDADGVVGGTCNADSDTRIVTCTFNDKFSHKDNVHGMFEVQVQVAKAQKSKEIPFKIDGVSRLVRLPGPDDQDGIIGADYTAPKTFSKEGWAESDKVHARWTISVPGSELVKHSINSDVVIEDELKLVTGDVGHKFIKGWGEYAVEYTKDQLDDPRFKGKPLAFEQDIQPGETKQVITLKRPNDGWKADRFYQVSYTSISADGAIPAKNTDISNKASLRGTALVSTAVSEFKQDARGTITGVNRGTFELKKVLNPAATRPEGLKDGTTFPVNVTVDSPDDKFDETYTLNVPLNGDVVKGNKELPAGSKVTLEEVIPQGGAVTYDAPQFTATNTSDAPNLEGAGSSKVTVTTVSDRNIGVTLTNTPKLTGGFYFDKVIAVMTEDGTHVAEGKDAEIAELKKQFPEFTVHYTCTTAGKDYDGDVTIKSDGTPSQPVNNIPVGAQCSFTEKDVQAVDYRWHYHIRKNQQGDLLQNHPETPNVFNYTVTNERQHLRVTNKFTPTKTPMGKFKIVKTVEDPHKVIPQNENRRYVFDYVCTPPALSQPNTGGRVEVQDVNEPAPLQFTLTVDGAGEVTSPEIPVGYECQIAERADSADVKDATRTTNITPKSVKISANQVQIFTVNNVYASKLGDFTITKKLVNPDNVAVGDKEFTFHYVCTDKAKTEATKVEGDLVVKANGTATSKKIPHDFNCVVNEVGAGVAGAHLKTSGLEEITIVKGATKSVTATNTYTALKGSVKVTKELAGSAKDLDVIKHKTFTVGYVCTKEGKETSKGEVKLKVDEPATIKDIVVGSRCTFTEDTKDVAVDGAIFVEDESIVRAEATVEDERSEASARIKNSYDKLGTVEITKEVVGLVAGSSSNKSKEYQFTATWGIGNESKKETFTLKDGDTHKLPQMPVGTMVTLKETMPASDTFTSWATPRFGSDTAGAVKDNGDGTATITVKAESSKATVVKVTNSANIPWWWFVIPIVPLIPLPTPPAPSVQKPPAPLSATPTPSVPAPKTCDPHAPASGTPSEPGGYSGGHGANGNDKGVPCVPQKGIPAKAQSGNPTPEKQNPKKLANTGASVIGVSMLALLVVTAGAAMIIRSRRS</t>
  </si>
  <si>
    <t>MGYSVSRKIYAIVSSLLLVLTSLLTYQPVAQATGTVRIDNVSVESENTPIKNLSYVHVRWDWYAGNVSNGQQFSVEFPDVLQLGSDQGIELRDADGVVGGTCNADSDTRIVTCTFNDKFSHKDNVHGMFEVQVQVAKAQKSKEIPFKIDGVSRLVRLPGPDDQDGIIGADYTAPKTFSKEGWAESDKVHARWTISVPGPELVKHSINSDVVIEDELKLVTGDVGHKFIKGWGEYAVEYTKDQLDDPRFKGKPLAFEQDIQPGETKQVITLKRPNDGWKADRFYQVSYTSISADGAIPAKNTDISNKASLRGTALVSTAVSEFKQDARGTITGVNRGTFELKKVLNPAATRPEGLKDGTTFPVNVTVDSPDDKFDETYTLNVPLNGDVVKGNKELPAGSKVTLEEVIPQDSAVKYDAPQFTATNTSDAPNLEGAGSSKVTVTTVSDRNIGVTLTNTPKPTGGFYFDKVIAVMTEDGTHVAEGKDAEIAELKKQFPEFTVHYTCTTAGKDYDGDVTIKSDGTPSQPVNNIPVGAQCSFTEKDVQAVDYRWHYHIRKNQQGDLLQNHPETPNVFNYTVTNERQHLRVTNKFTPTKTPMGKFKIVKTVEDPHKVIPQNENRRYVFDYVCTPPALSQPNTGGRVEVQDVNEPAPLQFTLTVDGAGEVTSPEIPVGYECQIAERADSADVKDATRTTNITPKSVKISANQVQTFTVNNVYASKLGDFTITKKLVNPDNVAVGDKEFTFHYVCTDKAKTEATKVEGDLVVKANGTATSKKIPHDFNCVVNEVGAGVAGAHLKTSGLEEITIVKGATKSVTATNTYTALKGSVKVTKELAGSAKDLDVIKHKTFTVGYVCTKEGKETSKGEVKLKVDEPATIKDIVVGSRCTFTEDTKDVAVDGAIFVEDESIVRAEATVEDERTEASARIKNSYDKLGTVEITKEVVGLVAGSSSNKSKEYQFTATWGIGNESKKETFTLKDGDTHKLPQLPVGTMVTLRETMPASDTFTSWATPRFGSDTAGAVRDNGDGTATITVKAESSKATVVKVTNSANIPWWWFVIPIVPLIPLPTPPAPSVQKPPAPLSATPTPSVPAPKTCDPHAPASGTPSEPGGYSGGHGANGNDKGVPCVPQKGIPAKAQSGNPTPEKQNPKKLANTGASVIGVSMLALLVVTAGAAMIIRSRRS</t>
  </si>
  <si>
    <t>GC_00003311</t>
  </si>
  <si>
    <t>K20490</t>
  </si>
  <si>
    <t>MAIIELRDVNVSLGGNSILNDMSMSVEPGRVHALLGRNGAGKSTAFKTILGLVPVTSGTVNILGEPLNAGHRRDIGASINGPALYGHLTARENLKVHTLLLGLPDADIDRVLELVGLSETGRKKAKSFSTGMKARLALAIAMLGSPKILLLDEPQNGLDPQGIADLRVFLKEWAQRGGTVVVSSHQLGEIARLADDITVIESGKTVFSGTADYLTQGGDLESRFFHLTHQLPDVAEGE</t>
  </si>
  <si>
    <t>MAIIELRDVNVSLRGNSILNDMSMSVEPGRVHALLGRNGAGKSTAFKTILGLVPVTSGTVNILGEPLNAGHRRDIGASINGPALYGHLTARENLKVHTLLLGLPDADIDRVLELVGLSETGRKKAKSFSTGMKARLALAIAMLGSPKILLLDEPQNGLDPQGIADLRVFLKEWAQRGGTVVVSSHQLGEIARLADDITVIESGKTVFSGTADYLTQGGDLESRFFHLTHQLPDVAEGE</t>
  </si>
  <si>
    <t>GC_00003312</t>
  </si>
  <si>
    <t>MKNIFTSSWFALTFAARTAPRTLGAVLLLQLVLAGFPAAQVWLVSALGRAIETRSAHTYVLAFCVALLIAGFLSLQDISSRLGDILRLNIAWMGRKTVDHKVSRLPPERLAHTETNKQVRQALEVVSNGNLSVQATAVTSVIFAVTVAVSLFVSIVQFNVWTAMFTILALIPSLVVNFYCSRRLAEQWEQNNDYHRHANYLCEQMIYKEPATELALLDAREWFRAEAETYRDKVASLDRSVHTMYIRTELYNSLATIACFGLALLAFVRTDTLTAVQATATLVGISSGLFAIHNVGWSVGMLMQETTPLLMLQRFFNSPEVEPPLPVIETSEQLRVEKLFVTDILYDVNLTARQGQLIAIVGPNGAGKTTLVSALVGTRPIAAGTVTIDGHDITHASFAEKHRYFGMLPQDYSRFGLTIAQNLRLGGPGDPTEALRISGADAFVHDLDQQLGEQWGGVGLSGGQWQRLSLARLRLRNPGIWILDEPTSSIDAHGEMEIFAELRRISGNKIVIVVSHRASTLRMMDKIYFLSNGRITESGTFDELYAKGGEFTELFTSQIEGVAGAADPAGSVENEQPADLGNPSDSSDSSNSEG</t>
  </si>
  <si>
    <t>MKNIFTSSWFALTFAARTAPRTLGAVLLLQLVLAGFPAAQVWLVSALGRAIETRSAHTYVLAFCVALLIAGFLSLQDISSRLGDILRLNIAWMGRKTVDHKVSRLPPERLAHTETNKQVRQALEVVSNGNLSVQATAVTSVIFAVTVAISLFVSIVQFNVWTAMFTILALIPSLVVNFYCSRRLAEQWEQNNDYHRHANYLCEQMIYKEPATELALLDAREWFRAEAETYRDKVASLDRSVHTMYIRTELYNSLATIACFGLALLAFVRTDTLTAVDATATLVGISSGLFAIHNVGWSVGMLMQETTPLLMLQRFFNSPEAEPPLPVIETSEQLRVEKLFVTDILYDVNLTARQGQLIAIVGLNGAGKTTLVSALVGTRPIAAGTVTIDGHDITHASFAEKHRYFGMLPQDYSRFGLTVAQNLRLGGPGDPTEALRISGADAFVHDLDQQLGEQWGGVGLSGGQWQRLSLARLRLRNPGIWILDEPTSSIDAHGEMEIFAELRRISGNKIVIVVSHRASTLRMMDKIYFLSNGRITESGTFDELYAKGGEFTELFTSQIEGVAGAADPAGPVENEQPADLGNPSDSSDSSDSEG</t>
  </si>
  <si>
    <t>GC_00003313</t>
  </si>
  <si>
    <t>MIIVEGLSKKYGSKLAVNNVSFTVPDGQVTGFLGPNGSGKSTTMRCMLGLDAPTQGRVLFRGECGGKAYDDEFAKLRNKPAVAGAILDAGWFHPNRSGRNHLRVIARGAGISDDRVEQCLAVVGMTEAANQRIGGYSLGMKQRMGVATALLGDPQHLILDEPINGLDPEGVSWMRRTIRTLAEQGKAIVVSSHLLAEMEQTADRLVVIGKGTMIGEYSMAEFLADGTIVEVETPQADELQQRLAERGLTVAHHSTNALAAQGVSVVRVPVPADHDDMKLRTIIAEVALTNSILVVGMATHRENLEQRFLEATKNVQEYHTDDAVAAPAPTN</t>
  </si>
  <si>
    <t>MIIVEGLSKKYGSKLAVNNVSFTVPDGQVTGFLGPNGSGKSTTMRCMLGLDAPTQGRVIFRGECGGKAYDDEFAKLRNKPAVAGAILDAGWFHPNRSGWNHLRVIARGAGISDDRVEQCLAVVGMTEAANQRIGGYSLGMKQRMGVATALLGDPQHLILDEPINGLDPEGVSWMRRTIRTLAEQGKAIVVSSHLLAEMEQTADRLVVIGKGTMIGEYSMAEFLADGTIVEVETPQADELQQRLAERGLTAAHHSTNALAAQGVSVVRVPVPADHDDMKLRTIIAEVALTNSILVVGMATHRENLEQRFLEATKNVQEYHTDDAVAAPAPTN</t>
  </si>
  <si>
    <t>GC_00003314</t>
  </si>
  <si>
    <t>MSARTTAAVEVADLHITRAKNHILHGLTFTLDKGSITGLLGPSGCGKTTLIRAIVGSQRITSGTITILGQPAGSAQLRTTVAYATQNLSIYRDLTVMANITYFARLYGATDYDNVLETVGLTDYRTTLVENLSGGQASRVSLACALVAHPQVLILDEPTVGLDPVTRKSLWEVFRQLADTGITIMVSSHVLDEANHCDNVILMHRGRILAHAPIDTIQQETHTTNPEAAFLAYIANNS</t>
  </si>
  <si>
    <t>MSARTTAAVEVADLHITRAKNHILHGLTFTLDKGSITGLLGPSGCGKTTLIRAIVGSQRITSGTITILGQPAGSAQLRTTVAYATQNLSIYRDLTVMANITYFARLYGATDYDNVLETVGLTDYRTTLVENLSGGQASRVSLACALVAHPQVLILDEPTVGLDPVTRKSLWEVFRQLADTGITIMVSSHVLDEANHCDNVILMRRGRILAHAPIDTIQQETHTTNPEAAFLAYIANNS</t>
  </si>
  <si>
    <t>GC_00003315</t>
  </si>
  <si>
    <t>MTAWVVSVRGMSESIIETHNLTKRFAKATTNSVTDLNFAVQQGEMVAFLGPNGAGKTTSIRMLTTLIAPSSGEAIVCGYNTRTQPHKVRAHIGYVGQNSSGSLPQRVRDELVSQGAFYGMSTAAARTRADDLITTLGLESCVRTTVQRLSGGQRRRLDIALGLMHSPQLIFLDEPSTGLDPQSRANLWKHITNLREHYGTTVFVTTHYLEEADQYAERIMVMDKGHIIADAPATMLKQRYAGDILTLDLMNLADIQRAVGIVKQVVPDSSSLTVDTTTITLTAVHGCQALPQLLALFDAADIPVRRVTAVPPTLDDVFLALTGTSLRESGDHS</t>
  </si>
  <si>
    <t>MTAWVVSVRGMSESIIETHNLTKRFAKATTNSVTDLNFAVQQGEMVAFLGPNGAGKTTSIRMLTTLIAPSSGEAIVCGYNTRTQPHKVRAHIGYVGQNSSGSLPQRVRDELVSQGAFYGMSTAAARTRADDLITTLGLESCVRTTVQRLSGGQRRRLDIALGFMHSPQLIFLDEPSTGLDPQSRANLWKHITNLREHYGTTVFVTTHYLEEADQYAERIMVMDKGHIIADAPATMLKQRYAGDILTLDLMNLADIQRAVGIVKQVVPDSSSLTVDTTTITLTAVHGCQALPQLLALFDAADIPVRRVTAVPPTLDDVFLALTGTSLRESGDHS</t>
  </si>
  <si>
    <t>GC_00003316</t>
  </si>
  <si>
    <t>MKATLMFGAGDVRIADVPEPTIKHPTDAIVRTVRACVCGSDLHPYHNMPRNDAGNPMGHELIAVVEEVGSNVTTVHPGDFVIVPFAYQDNTCVYCQEGMQTSCIHGGFYGQPDPGGLQAQYARIPLADGSMVKVPDINPDTASDELLASLLTLSDVYLTGHHAAHMGEVTPGKIVTVIGDGAVGLSAVLAAKSLGAERIILMGRHKDRTDLGREFGATDVVAERGEAGITQVMDLTGGYGSHVVLEAVGHMPAYDQAVGVVRPGGIISRVGVPQYEEAPIGFGSLFGKNARLAGGPAPVRNYLEAGIADVLSGKINPGKVFDLTLPLEQVADAYQAMDSRTALKAMLTP</t>
  </si>
  <si>
    <t>MKATLMFGAGDVRIADVPEPTIKHPTDAIVRTVRACVCGSDLHPYHNMPRNDAGNPMGHELIAVVEEVGSDVTTVHPGDFVIVPFAYQDNTCVYCQEGMQTSCIHGGFYGQPDPGGLQAQYARIPLADGSMVKVPGINPDTANDELLASLLTLSDVYLTGYHAAHMGEVTPGKIVTVIGDGAVGLSAVLAAKSLGAERIILMGRHKDRTDLGREFGATDVVAERGEAGIAQVMDLTGGYGSHVVLEAVGHMPAYDQAVGVVRPGGIISRVGVPQYEEAPIGFGSLFGKNARLAGGPAPVRNYLEAGIADVLSGKINPGKVFDLTLPLEQVADAYQAMDSRTALKAMLTP</t>
  </si>
  <si>
    <t>GC_00003317</t>
  </si>
  <si>
    <t>MTYHLVEYLQISEFPENQYCIVLRWIEKNRILPVWIDAADAFELLQHEAGVPTRRPRMVNVLIDLAAATAGGFKEVHIDSYFAGDYIASLVTNNGDELECRPSDAMGVAYLLNLPIMASEDVLSHASVFISEADLETWLGLYLTTDPVESHLEESASGDAAADADFSKLMESMGVSEADLLGSDDNPPNDSKE</t>
  </si>
  <si>
    <t>MTYHLVEYLQISEFPENQYCIVLRWIEKNRILPVWIDAADAFELLQHEAGVPTRRPRMVNVLIDLAAATAGGFKEVHIDSYFAGDYIASLVTNNGDELECRPSDAMGVAYLLNLPIMASEDVLSHASVFISEADLETWLGLYLTTDPVESHLEESASGDAAADADFSKLMESMGVSEADLLGSDDNPPKDSKE</t>
  </si>
  <si>
    <t>GC_00003318</t>
  </si>
  <si>
    <t>MYEKTDLPQPGVWHIPGSGQTTITIDLVHEYNKITPSDREALDRLLRRIIHPASGPCRVQPPMMIEYGVNTTIGANTFINFGVTILDTTTVTIGEWMQIGPNCNLITVTHPVDDYEMRREGWEIAHPITIGNGVWLGANVTVLPGVTIGDNAVIGAGSVVTKDIPANAIAMGVPARVTRFVDPQRSERDQLREQ</t>
  </si>
  <si>
    <t>MHEKTDLPQPGVWHIPGSGQTKITIDLVHEYNKITPSDRGALDRLLRRIIHPASGPCRVQPPMMIEYGVNTTIGPNTFINFGVTILDTTTVTIGEWVQIGPNCNLITVTHPVDDYEMRREGWEIAHPITIGNGVWLGANVTVLPGVTIGDNAVIGAGSVVTKDIPANAIAVGVPARVTRFVDPQRSERDQLREQ</t>
  </si>
  <si>
    <t>GC_00003319</t>
  </si>
  <si>
    <t>PF00068.24</t>
  </si>
  <si>
    <t>Phospholipase A2</t>
  </si>
  <si>
    <t>K01047</t>
  </si>
  <si>
    <t>secretory phospholipase A2 [EC:3.1.1.4]</t>
  </si>
  <si>
    <t>ko00001|ko00001|ko00001|ko00001|ko00001|ko00001|ko01000|ko03036</t>
  </si>
  <si>
    <t>KEGG Orthology (KO)&gt;&gt;&gt;09100 Metabolism&gt;&gt;&gt;09103 Lipid metabolism&gt;&gt;&gt;00564 Glycerophospholipid metabolism [PATH:ko00564]|KEGG Orthology (KO)&gt;&gt;&gt;09100 Metabolism&gt;&gt;&gt;09103 Lipid metabolism&gt;&gt;&gt;00565 Ether lipid metabolism [PATH:ko00565]|KEGG Orthology (KO)&gt;&gt;&gt;09100 Metabolism&gt;&gt;&gt;09103 Lipid metabolism&gt;&gt;&gt;00590 Arachidonic acid metabolism [PATH:ko00590]|KEGG Orthology (KO)&gt;&gt;&gt;09100 Metabolism&gt;&gt;&gt;09103 Lipid metabolism&gt;&gt;&gt;00591 Linoleic acid metabolism [PATH:ko00591]|KEGG Orthology (KO)&gt;&gt;&gt;09100 Metabolism&gt;&gt;&gt;09103 Lipid metabolism&gt;&gt;&gt;00592 alpha-Linolenic acid metabolism [PATH:ko00592]|KEGG Orthology (KO)&gt;&gt;&gt;09130 Environmental Information Processing&gt;&gt;&gt;09132 Signal transduction&gt;&gt;&gt;04014 Ras signaling pathway [PATH:ko04014]|Enzymes&gt;&gt;&gt;3. Hydrolases&gt;&gt;&gt;3.1  Acting on ester bonds&gt;&gt;&gt;3.1.1  Carboxylic-ester hydrolases&gt;&gt;&gt;3.1.1.4  phospholipase A2|Chromosome and associated proteins&gt;&gt;&gt;Eukaryotic type&gt;&gt;&gt;Centrosome formation proteins&gt;&gt;&gt;Centriole proteins</t>
  </si>
  <si>
    <t>MKFARSIPASIGAAAILALAPMTATAVPGGQTKETETTTQATTTQEKPQASDIKKSSDIDEQATVLQRFVTEKDGQKRFNEQAAKDAGASDLILESGRKYNAISESRNGTDEFK--VHGNYCGPSHSGPGAPIDTLDRLCQEHDKCYGQKGNHACSCDSDLINGITRNLGKFRGPEEQQAAISIAIAFAAYTP-SCNPN</t>
  </si>
  <si>
    <t>MKFAQSIPASIGAAAILALAPMTAMAAPNVQTKEAVTTTQTTTTQAKPQKFNIDENSDLESQATAIEHFVTEKDGQKHFDEQAAKAAGASDYLLEAGRAYNAFTES-SSEEGFKIPVHGNYCGPGHSGPGAPIDKLDELCQTHDNCYGKKGYFSCSCDAELREGIIKNWGNFNGAGEKANAAAI---FAAFSKVGCNPF</t>
  </si>
  <si>
    <t>GC_00003320</t>
  </si>
  <si>
    <t>MLLQPSDLVGCRYRLSQKQRHPDIPPTDTTYARRRRLALARRQATALLPTHPQRGDKKLFHRVDLGTLDDAEDRWFATLEALAAQATIITDAMLHTTRGGHAFAVPIDALVRRPDGNYMPVLITNHRIIRPDPNRTIQVMSTRRLGLGTPNIGHYRLKHHSADSFTLALANHALADVGHAAQRGILIGQDPEIAVILDTELLEQGLQLALKQPIPAHAHRVKECGTCRFWPLCEAELVERDDLSLLFAGDKSAQYQREGIITVADLAQEPTGNPANPDIILARAFRRGSHLVKRRPETTAPSFDLEIDIDVEAYLDRGVYLWGAYDGTTYHPFATWDNLGGRAEAENFARFWIWLTNTRRAAHAAGKTVGVFCYSNHGENYWLLSSARKFEAEFSDIAGLPSMAEVRRFIASPEWLDVFALVRRELLGTRGLGLKIVARATGFSWDEQDVDGEASIGLYLAGTPAARAALLSYNGDDCRATAAVRRFLAAGAPGLPSMADFA</t>
  </si>
  <si>
    <t>MLLQPSDLVGCRYRLSQKQRHPDIPPTDTTYARRRRLTLARRQATALLPTHPQRGDKKLFHRVDLGTLDDAEDRWFATLEALAAQATIITDAMLHTTCGGHAFAVPIDALVRRPDGNYMPVLITNHRIIRPDPNRSIQVMSTRRLGLGTPNIGHYRLKHHSADSFTLALANHALADVGHAAQRGILIGQDPEIAVILDTELLEQGLQLALKQPIPAHAHRVKECGTCRFWPLCEAELVERDDLSLLFAGDKSAQYQREGIITVADLAQEPAGNPVNPDIILARAFRRGSHLVKRRPETTAPSFDLEIDIDVEAYLDRGVYLWGAYDGTTYHPFATWDNLGGRAEAENFARFWTWLTNTRRAAHAAGKTVGVFCYSNHGENYWLLSSARKFETEFSDIAGLPSMAEVRRFIASPEWLDVFALVRRELLGTRGLGLKIVARATGFSWDEQDVDGEASIGLYLAGTPAARAALLSYNGDDCRATAAVRRFLAAGAPGLPSMADFA</t>
  </si>
  <si>
    <t>GC_00003321</t>
  </si>
  <si>
    <t>MSKLDERIDVHAGSWVIPTLVFITLGGAFCISLIDAPLITLHARIEAWATIVIALIVQAIPFLVLGILVSSVLSAFVPASVYQRFPRGVFGVPVAALAGMAIPACECASVPVGQSLMRRGVAPSHALVFLLASPAINPVVLVATAVAFNGNPMMVWARFAASLAAACVVGWIWMRVRFTIDGIVDDTCGHHHHRSWEAFRITAVQDFLQACGFLVIGAAIAALIKVAVPESALSVVTGNVWLGVAMMVLLAVVMSLCSEADAFVAASFVGVSPIAQLAFMVVGPMVDIKLVFMQAGAFGWRFVLRFVPLVLVAAMLSAVGVGIVLL</t>
  </si>
  <si>
    <t>MSKLDERIDVHAGSWVIPTLVFITLGGAFCISLIDAPLITLHARIEAWATIVIALIVQAIPFLVLGILVSSVLSAFVPASVYQRFPRGVFGVPVAALAGMAIPACECASVPVGQSLMRRGVAPSHALVFLLASPAINPVVLVATAVAFNGNPMMVWARFAASLAAACVVGWIWMRVRFTIDGIVDDTCGHHHHRSWEAFRITAVQDFLQACGFLVIGAAIAALIKVAVPESALSVLTSNVWLGVAMMVLLAVVMSLCSEADAFVAASFVGVSPIAQLAFMVVGPMVDIKLIFMQAGAFGWRFVLRFVPLVLAAAVLSAVGVGIVLL</t>
  </si>
  <si>
    <t>GC_00003322</t>
  </si>
  <si>
    <t>MRRLFFQFPDDPGDVSGGAHVVEREFDGAVGTDEEGGADHAFDDFAVVLFLPKGTPFFEHVFVGVGEQGKGEVVFLAEGHEFIHRIGGDAHHLYPQVIELCEAVTEVAGFCGASGGVGTRVEIDEHAFTLVVGQRRRFTAIVGQGEGRGLVTNFQAFLLSHSDKNTHVAVFCVRVLGLSTSVSVVYCLFRNFGRLFVARNIEDIQQDIERTRRQLAGTLDRLAYRTRPQTIVEDAKKSALQRLQEPQVKQILTGVAAVVAVGVLIGLARSRRRSKDLKELQRLLSDR</t>
  </si>
  <si>
    <t>GC_00003323</t>
  </si>
  <si>
    <t>MKRTGRETEAQMTTHTPQSHTPSTQTHTSQETKTTLLTPLKNSIYRRLFTAHVLALTATGLLNVGLGLLAFDIAGDRAGAVVSMALTIKILIYVCAGPWLSAFFARFPVKAVLVGSDIIRIAVGCSLPFITSEAQVYVAVAVLQMAAATFTPTFQALIPRIINNQNEYTSALSLSRIAYDLEQILSPVLAAMLLSFASRGQVFAVAAVGFVGSATMVAGSGSLGVDKRESVSRRVREGMVTMLRLPELRGVLALNLALAAPTALVLVNTVVLVRGQLGRSESDVAVLLGACGAGSIVMALLIPHLRLHVTLFGGAGGAVAGLLGLFLLIDAAPTWPVFISLWFVLGMSMSALATPMGQVIRRNVADEELGSVFAAQFSLSHACYMLTYPLAGWCGAALGLGWTSLLLALIAGFALIAAANVWPSVHVDKDV</t>
  </si>
  <si>
    <t>MNRTSRETEAQMTTHTPQSHTSSTQTHTSQETKTTLLTPLKNPIYRRLFTAHVLALTATGLLNVGLGLLAFDIAGDRAGAVVSMALTIKILIYVCAGPWLSAFFARFPVKAVLVGSDIIRIAVGCSLPFITSEAQVYVAVAVLQMAAATFTPTFQALIPRIINNRNEYTSALSLSRIAYDLEQILSPVLAAMLLSFASRGQVFAVAAVGFVGSATMVAGSGSLGVDKRESVSRRVREGMVMMLRLPELRGVLALNLALAAPTALVLVNTVVLVRGQLGRSESDVAVLLGACGAGSIVMALLIPHLRLHVTLFGGAGGAVAGLLGFFLLIDAAPTWPVFISLWFVLGMSMSALATPMGQVIRRNVADEELGSVFAAQFSLSHACYMLTYPLAGWCGAALGLGWTSLLLALIAGFALIAAANVWPSVHVDKDV</t>
  </si>
  <si>
    <t>GC_00003324</t>
  </si>
  <si>
    <t>MTPMTSPTPASTPATSAPAATPATKPPVLVTENLDLGYDATTILENVNLTVAPGAALALIGANGSGKSTLLKGILGMCRATGVLRCVNNIGYVPQHQDIDPSFPVTAQGVVAMGLSATTPWWRRVDSNKISSALARVNLEQKATERFGSLSGGQRQRVLIARAVVTNPALMLLDEPFNGLDTTSRDVLVRVLTELKQQGTGVVVSTHDYSLAEQLCEQTAVFADGHVAIYDTAEALLHHVR</t>
  </si>
  <si>
    <t>MTPMTSPTPASTPATSAPAATPATKPPVLVTENLDLGYDATTILENVNLTVAPGAALALIGANGSGKSTLLKGILGMCRTTGVLRCVNNIGYVPQHQDIDPSFPVTAQGVVAMGLSATTPWWRRVDSNKISSALARVNLEQKATERFGSLSGGQRQRVLIARAIVTNPALMLLDEPFNGLDTTSRDVLVRVLTELKQQGTGVVVSTHDYSLAEQLCEQTAVFADGHVAIYDTADALLHHVR</t>
  </si>
  <si>
    <t>GC_00003325</t>
  </si>
  <si>
    <t>PF00781.29</t>
  </si>
  <si>
    <t>Diacylglycerol kinase catalytic domain</t>
  </si>
  <si>
    <t>K07029</t>
  </si>
  <si>
    <t>diacylglycerol kinase (ATP) [EC:2.7.1.107]</t>
  </si>
  <si>
    <t>COG1597</t>
  </si>
  <si>
    <t>Phosphatidylglycerol kinase, diacylglycerol kinase family (LCB5) (PDB:2BON) (PUBMED:17351295)</t>
  </si>
  <si>
    <t>KEGG Orthology (KO)&gt;&gt;&gt;09100 Metabolism&gt;&gt;&gt;09103 Lipid metabolism&gt;&gt;&gt;00561 Glycerolipid metabolism [PATH:ko00561]|KEGG Orthology (KO)&gt;&gt;&gt;09100 Metabolism&gt;&gt;&gt;09103 Lipid metabolism&gt;&gt;&gt;00564 Glycerophospholipid metabolism [PATH:ko00564]|Enzymes&gt;&gt;&gt;2. Transferases&gt;&gt;&gt;2.7  Transferring phosphorus-containing groups&gt;&gt;&gt;2.7.1  Phosphotransferases with an alcohol group as acceptor&gt;&gt;&gt;2.7.1.107  diacylglycerol kinase (ATP)</t>
  </si>
  <si>
    <t>MRLLLISNPNSTTQTPELFRHIIPTLRGVTGLHLTTYFTHHPGHATELCHNITNADYDVVVAIGGDGTVNEVINGLLGPAPTPRTNIPTLAVIPTGSANVFVRALGFPPEPIHATEALAHTLEHNLKRTIDLGIWQDHWFAVNAGFGIDADVIATMDRARRRGFAATPLRYIRVTYRAWRRARKYPPTINVRGKDRNGATKTARNLPFCIISNTNPWTFLGPLPVITNPRNSFDVGLGVFGINSVAGLAGILAVLQMLGANMIAPIAQWLEKRTFVFDDAMEVTLDCATRQRFQVDGEYAGEHQSATLTVLPDAIEVYAPKEKIPTKPLSWIKLGLSFFDIRL</t>
  </si>
  <si>
    <t>MRLLLISNPNSTTQTPELFRHIIPTLRGVTGLHLTTYFTHHPGHATELCHNITNADYDVVVAIGGDGTVNEVINGLLGPAPTPRTNIPTLAVIPTGSANVFVRALGFPPEPIHATEALAHTLEHNLKRTIDLGIWQDHWFAVNAGFGIDADVIATMDRARRRGFAATPLRYIRVTYRAWRRARKYPPTINVRGKDRNGATKTARNLPFCIISNTNPWTFLGPLPVITNPRNSFDVGLGVFGINSVAGLAGILAVLQMLGANMITPIAQWLEKRTFVFDDAMEVTLDCATRQRFQVDGEYAGEHQSATLTVLPDAIEVYAPKEKIPTKPLSWIKLGLSFFDIRL</t>
  </si>
  <si>
    <t>GC_00003326</t>
  </si>
  <si>
    <t>-----------MSTLMLVASPSLLFGVEWGLIIIMAVAGWLWQKHPLTMGIIMIGCLGIMQILFLWRLPNNMGISPAFLLAPMILYQWARDKRLEPRWPQGLALLLAAASLVSPLMWRVHQYDFGYGLIRIHGIDLVVTMVAHWAIIGAIFLWGRSNRTTEITREREAVREARLLERNRIAAEVHDALAHTLTLIRMQASAGLYAPEQAPDILRSIQEISGAGITEVRAIVAALRSDDIPDTMDMSDVIRRFHDS</t>
  </si>
  <si>
    <t>MIRGVTLLIAIMSTLMLVASPSLLFGVEWGLIIIMAVAGWLWQKHPLTMGIIMIGCLGIMQILFLWRLPNNMGISPAFLLAPMILYQWARDKRLEPRWPQGLALLLAAASLVSPLMWRVHQYDFGYGLIRIHGIDLVVTMVAHWAIIGAIFLWGRSNRTTEITREREAVREARLLERNRIAAEVHDALAHTLTLIRMQASAGLYAPEQAPDILRSIQEISGAGITEVRAIVAALRSDDIPDTMDMSDVIRRFHDSGLDITARTDPLTDLPIRLRLAIHRIVTETLVNVVKHQENPQVTVDIAVGECVTITVVSHGPKKPDSSGTGVGLPSLDERAQAVGGTFEFAFDGHTATTIAQLPRETP</t>
  </si>
  <si>
    <t>GC_00003327</t>
  </si>
  <si>
    <t>MPLSTIASLFWAWIVDPGLTLGLWLIIALLIPRAGRLAMYLITNKIVAPDEDDTKTQLALAGVLVYLAQIAAYFLVFVFALSALGFSLAGATIPATAASAALGFGAQSIIADFIAGFFVLSEKQYGVGDWVRFEGGATDIEGTVIQITMRSTRIRTLAEQTVIIPNSKAGVSINNSNHWSSAVVTMQIPLLESSTVDEAVERATKAAEAALTEPKIDEVVWGALTVHPAVNVTEPTTVGMPWTVGVRFLAQVKPGSQWLVERAIRMSLVSEFWNEYRSTSSLDGKYSLNDANAKGSVGADQASPKTTMFASTSASDAAKAVDQDHKFRSLTTEQLREVRLRHAPEGVLSPDDVVPPEKVESQTERGLLTTNDPAIPDHDKKKTSKEEEKPKEERKLKGWEKLLTIGGRVRVSTTMLLVAALVLLVLKGLTFTPANGAEGNAGILAPKATQSVNAPGNGYGVSQSTNTNAPTTGTNSESTNPSDEQSQSTDSSGHPRGSEVAPTQGSSSRGAGGANSNDDYSGQEPSGGTNGTAGGTSGGTSGGTGGNAGGGTAGGTSGGTSGGTNSGGTGGGTAGGTSGGTGGNTGGTTGGTGGETGGGTGGTGGGTTGGTGGETGGGTGGTGGGTAGGAATQ</t>
  </si>
  <si>
    <t>MPLSTIASLFWAWIVDPGLTLGLWLIIALLIPRAGRLAMYLITNKIVAPDEDDTKTQLALAGVLVYLAQIAAYFLVFVFALSALGFSLAGATIPATAASAALGFGAQSIIADFIAGFFVLSEKQYGVGDWVRFEGGATDIEGTVIQITMRSTRIRTLAEQTVIIPNSKAGVSINNSNHWSSAVVTMQIPLLESSTVDEAVERATKAAEAALTEPKIDEVVWGALTVHPAVNVTEPTTVGMPWTVGVRFLAQVKPGSQWLVERAIRMSLVSEFWNEYRSTSSLDGKYSLNDANAKGSVGADQASPKTTMFASTSASDAAKAVDQDHKFRSLTTEQLREVRLRHAPEGVLSPDDVVPPEKVESQTERGLLTTNDPAIPDHDKKKTSKEEEKPKEERKLKGWEKLLTIGGRVRVSTTMLLVAALVLLVLKGLTFTPANGAEGNAGILAPKATQSVNAPGNGYGVSQSTNTNAPTTGTNSESTNPSDEQSQSTDSSGHPRGSEVAPTQGSSSRGAGGANSNDDYSGQEPSGGTNGTAGGTSGGTSGGTGGNAGGGTAGGTSGGTSGGTNSGGTGGGTAGGTSGGTGGNTGGTTGGTGGETGGGTGGTGGGTTGGTGGETGGGTGGTGGGTAGGAGTQ</t>
  </si>
  <si>
    <t>GC_00003328</t>
  </si>
  <si>
    <t>MTDQNNQSENNPSISGRVERIIPTSGEDVVQPLSADRIAAYLKAKELMFNRDDDGDVFINFDGNGFVLLATGEKREILVVRGAWQVTAPIEMRDRLVDLCNDWNRDKLWPKTYVTVDDAGAVRVRTELNIDMEYGASDLQLKQSLDCGIATSMSFFESLDKKFPDTRFAQ</t>
  </si>
  <si>
    <t>MTDQNDQSENNPSISGRVERIIPTSGEDVVQPLSADRIAAYLRAKELMFNRDDDGDVFINFDGNGFVLLATGEKREILVVRGAWQVTAPIEMRDRLVDLCNDWNRDKLWPKTYVTVDDAGAVRVRTELNIDMEYGVSDLQLKQSLDCGIATSMSFFESLDKKFPDTRFAQ</t>
  </si>
  <si>
    <t>GC_00003329</t>
  </si>
  <si>
    <t>MARASIAVRLAWRDLMGHRRRFALSVALFSLPIACIVAFFTLISSERVEYPDIGEPATSISLTNTPCNYDSWAKNKDWCLSPDHADRADLSDKQRISDALGHDPELISKVYASLSTYATISANGEQASSDMVSKEVNPSGPKPGEVLLDKDFAELLGVSPGDTVTITVPVLGNLEEQKELSLVVAGFSQTQRNVANYEDLSRAIGITDSARDSELGRSAHLSWRSDERMSITTEPGMGISVSSAERGSRSGTIVGEARGLFSSPENMVVGVVVLVLLLLLVAAIIGPIFAVSARRKRRMLGLYASIGASPSDVRNTVLMEGIIVSCIGYILGLVLSLPVFYAVTLLPGIGVIHLQWAWDVALVLLPAVFVSGVGAALIPAVWVGTENPVHALADGASRRMRRFHWMMALPLLLFIPIMILAALPQHALTSVWWNLAGIAAILCAPLMVWVVARCGTVLPLPGKLAARDALRNIHRTAPAVAAVAGTVYSCAMLLGVMGPGMDGVDASDVDKNPARATQMVARTTVDTATARPYEQDVRAIREHYDVNHQADVYELSTSYGEARTLLTCAYGDQANLPQVEASTESEDSILFSSITKIDSCMVIAEPDYLDTVASLHPGQVTPEQLAAAKQALADGKAVVDNTNYIRDGKVRVDMYHNSDIATGYEFSFHADDGWTVNKTDAEPESTTLLDAAPLNNNASPVTRWGTPILITPETARKLGADIVYAGSVFELSEPLSLVELILVELGAPHGVRHMTVTLPGASQPEKLVILLPQVAMSGALTIGVVLLIVFLAAAESRSDMEAMAALGAPKSLVRRYAGAQGMVVGLAGAVAGTLCLVIPGTVNYLSNAQLFGRFAHWDLQYIEVYGLFLLFIVGLSWLAGALFGVRSVSDYPRRR</t>
  </si>
  <si>
    <t>MARASIAARLAWRDLMGHRRRFALSVALFSLPIACIVAFFTLISSERVEYPDIGEPATSISLTNTPCNYDSWAKNKDWCLSPDHADRADLSDKQRISDALGHDPELISKVYASLSTYATISANGEQASSDMVSKEVNPSGPKPGEVLLDKDFAELLGVSPGDTVTITVSVLGNLEEQKELSLVVAGFSQTQRNVANYEDLSRAIGITDSARDSELGRSAHLSWRSDERMSIITEPGMGISVSSAERGSRSGTIVGEARGLFSSPENMVVGVIVLVLLLLLVAAIIGPIFAVSARRKRRMLGLYASIGASPSDVRNTVLMEGIIVSCIGYILGLVLSLPVFYAVTLLPGIGVIHLQWAWDVALVLLPAVFVSGVCAALIPAVWVGTENPVHALADGASRRMRRFHWMMALPLLLFIPIMILAALPQHALTSVWRNLAGIAAILCAPLMVWVVARCGTVLPLPGKLAARDALRNIHRTAPAVAAVAGTVYSCAMLLGVMGPGMDGVDASDVDKNPARATQMVAQTTVDTATARPYEQDVRAIREHYDVNHQADVYELSTSYGEARTLLTCAYGDQANLPQVEASTESEDSILFSSITKIDSCMVIAEPDYLDIVASLHPDQVTPEQLAAAKQALADGKAVVGNTNYIRDGKVRVDMYRNSDIATGYEISFLTDDGWTVNKTDTEPESTTLLDAAPLNNDASPVTRWGTPILITPETARKLGADIVYAGSVFELSEPLSLVESIRVELGAPRGVRHMTVTLPGASQPENLVILLPQVVMSGALTIGVVLLIVFLAAAESRSDMEAMAALGAPKSLVRRYAGAQGMVVGLAGAVAGTLCLVIPGTVNYLSNAQLFGRFAHWDLQYIEVYGLFLLFIVGLSWLAGALFGVRSVSDYPRRR</t>
  </si>
  <si>
    <t>GC_00003330</t>
  </si>
  <si>
    <t>MLILAIDTSTPTLVTGLVRDGVTVAERILPKCREQEERLVPCVQECLAEVDATFQDVTAIVVGCGPGPFTGLRVGMATAAAFGDALGVPVHGVCSLDAIAARIDAPTVLVTTDARRREVYWAWYQDGRRVEGPSVQSPAESFPQAHMVNVPEHLADKLSIEGAQRVDLDPSPASLVAVADLDSSPQPLVPLYLRRPDVKEPKPRPPSSAVPDVEWQ</t>
  </si>
  <si>
    <t>MLILAIDTSTPTLVTGLVRDGVTVAERILPKCREQEERLVPCVQECLAEVDATFQDVTAIVVGCGPGPFTGLRVGMATAAAFGDALGVPVHGVCSLDAIAARIDAPTVLVTTDARRREVYWAWYQDGRRVEGPSLQSPAESFPQAHMVNVPEHLADKLSIEGAQRVDLDPSPASLVAVADLDSSPQPLVPLYLRRPDVKEPKPRPPSSAVPDVEWQ</t>
  </si>
  <si>
    <t>GC_00003331</t>
  </si>
  <si>
    <t>MSDVVHDDSTGRDFHVGGQDRNLSEAEQLEQLSWYIHEHHPMPTAPADKDAWLARLPDRLTHAAMLMLGAAVDHTMPGVAFTQGVEVQELPELAAVMFIPQQPNDRQRWAVSLSPGLSAFALDNAWRPEVAAAANLSGTTIIDVSDPSKAASAIEYARAQGAQHVTAWGTAESAADACSLAPLIDALLLTRPVYAPDAFIASATESWPATMIQHGIRDDVATRWEDAEKRATVREYMAEHHVLTPAVARQRIQDAAEFLRSV</t>
  </si>
  <si>
    <t>MNDVVHDDSTGRDFHVGGQDRNLSEAEQLEQLSWYIHEHHPMPTAPADKDAWLARLPDRLTHAAMLMLGAAVDHTMPGVAFTQGVEVQELPELAAVMFIPQQPNDRQRWAVSLSPGLSAFALDNAWRPEVAAAANLSGTTIIDVSDPSKAASAIEYARAQGAQHVTAWGTAESAADACSLAPLIDALLLTRPVYAPDAFIASATGFWPATMIQHGIRDDVAARWEEAEKRATVREYMAEHHVLTPAVARQRIQDAAEFLRSV</t>
  </si>
  <si>
    <t>GC_00003332</t>
  </si>
  <si>
    <t>MVGRGFPQGVVGRFQVVPADPGSGFARPVLAAGAVLWRWAAGADGAADAADGGGRVFACVHRPGYDDWSLAKGKVDAGESLPVTAVREVGEETGFSVRLGKLVGHVTYPLPDKMSGGKGPRTKVVYYWVAEVIGGQFVPNDEVDEVRWLSADAARELLSYDTDRLVLAKAVKRLTATPVTSRVLLVRHAKAARPEGVPDEKRPLTAKGVRQAQALASMLAPYGPTVVFAAEPDRCVATATPLADAVGVPVVTDSRLGDASWCAQLVASQARVSEIIDLGGTSVIVSQGLMIPDVVAWLSARGTLPIDSPVAKKASVWVLSFTDGVLTGADYLESPLAVL</t>
  </si>
  <si>
    <t>MAGRGFPQGVVGRFQVVPADPGSGFARPVLAAGAVLWRWAASADGAADAA-GGRQVFACVHRPGYDDWSLAKGKVDAGESLPVTAVREVGEETGFAVRLGKLIGHVTYPLPDTMSGGKGPRTKVVYYWVAEVIGGQFVPNDEVDEVRWLSADTARELLSYDTDRLVLAKAVKRLTAAPVTSRVLLVRHAKAARPEGVPDEKRPLTAKGVRQAKALASMLAPYGPTAVFAAEPDRCVATAAPLADAVGVPVVTDSRLGDASWCAQLVASQARVSEIIGLGGTSVIVSQGLMIPDVVAWLSARGTLPIDSPVAKKASVWVLSFTDGALTGADYLESPLAVL</t>
  </si>
  <si>
    <t>GC_00003333</t>
  </si>
  <si>
    <t>MHIAYVCLDPGIPVFGTKGASVHIQEVVREYRRRGHDVTVYATRRGSDVPDDLAELRVVDVPITTRDEEERERAQQAASASVSDMVRAGGYDLVYERYSLFSTVIAECGVPGILEVNAPLIDEQRTHRVLVDEQAADAALQEQVQAALATICVSDPVRDWVIARTEGTRVFTVPNGVNVHRITPQPESPGAPVVTFVGTLKPWHGVDVLLRARAQAHKDWQLRIIGDGPMRAELDDLARSLGIDVDFRGAVAPDVIPQHMAGTAIGVAPYPAMDTDSDQYFSPLKVYEYMAAGLPVVASRVGQLPEIMGESAYLVPPSDPEALAEALDALVANPAERAQVGSDNRRQAEREHSWAGTVDHILAHAGVKEDVPHG</t>
  </si>
  <si>
    <t>MHIAYVCLDPGIPVFGTKGASVHIQEVVREYRRRGHDVTVYATRRGSDVPDDLAELRVVDVPITTRDEGERERAQQAASASVSDMVRAGGYDLVYERYSLFSTVIAECGVPGILEVNAPLIDEQRTHRVLVDEQAADAALQEQVQAALATICVSDPVRDWVIARTEGTRVFTVPNGVNVHRITPQPESPGVPVVTFVGTLKPWHGVDVLLRARAQAHKDWQLRIIGDGPMRAELDDLARSLGIDVDFRGAVAPDVIPQHMAGTAIGVAPYPAMDTDSDQYFSPLKVYEYMAAGLPVVASRVGQLPEIMGESAYLVPPSDPEALAEALDALVANPAERARVGSDNRRQAEREHSWAGTVDHILAHAGVKEDVPHG</t>
  </si>
  <si>
    <t>GC_00003334</t>
  </si>
  <si>
    <t>MTTTPVLDLLARVLHDAAGLLVELQASRPKPEDLARLLGTSHLTATRLLRNAELFDANQLAAMRTARLSLDTIFTIGKYWRKLSNSQADREGLFADVIARAGADSLNELEEHLKEVVGALNRQCADKPRSDWARFSRTVDCDGKGYLNIKAPAEALARMNSLIDDEAKAMFHQGHACSIAEAKATIITRRVITYGEREASQSEGEGASGEDNPLGFKYRPFVVICHPWLLEKRDGKYLTTDGTVVDLRGYADRMLEPFGWVTVPYRNFAGGVEFSEPIEVRRFADDAQRLVLTAAYPTCAHPDCRIAARYCQIHHIQAFAAGGPTEIPNMVPLCMRHNKENDDDPTKPCNGRIEKDPVTSRIGRRRWPDEPLRFTKAPPTRYGAFEQSRAFFDRVDEYSGVASPNSPPTIATVE</t>
  </si>
  <si>
    <t>MTTTPVLDLLARVLHDAAGLLVELQASRPKPEDLARLLGTSHLTATRLLRNAELFDADQLAAMRTARLSLDTIFTIGKYWRKLSNSQADREGLFADVIARAGADSLNELEEHLKEVVGALNRQCADKPRSDWARFSRTVDCDGKGYLNIKAPAEALARMNSLIDDEAKAMFHQGHACSIAEAKATIITRRVITYGEREASQSEGEGVNGEDNPLGFKYRPFVVICHPWLLEKRDGKYLTTDGTVVDLRGYADRMLEPFGWVTVPYRNFAGGVEFSEPIEVRRFADDAQRLVLTAAYPTCAHPDCRIAARYCQIHHIQAFAAGGPTEIPNMVPLCMRHNKENDDDPTKPCNGRIEKDPVTSRIGRRRWPDEPLRFTKAPPTRYGAFEQSRAFFDRVDEYSGVASPNSPPTIATVE</t>
  </si>
  <si>
    <t>GC_00003335</t>
  </si>
  <si>
    <t>MSSKIKSPNESSNGFLWALLAVIVIAAVVVGYIVINGQKSHGGGGGSNDIAAQWEKQNVSFTETFADDAVTLKSASATAETPTVDLYEDFSCPHCSELAIASDDAMKDAIDQGKLVVNVRTLNFLDRGQDTDKGHSTRAGTAALAVAKSGDANLYWNFRAMLMNNQKDVYNKWDNEQFAKAAETLGASEDVTKAIKDEKEKDAFLKMKDTNTSKLEGLGRGVSSPRVINKDGQDVSVVDSSQQVSDAWVAQVTGS</t>
  </si>
  <si>
    <t>MSSKIKSPNESSNGFLWALLAVIVIAAVVVGYIVINGQKSHGGGGGSNDIAAQWEKQNVSFTETFADDAVTLKSASATAETPAVDLYEDFSCPHCSELAIASDDAMKDAIDQGKLVVNVRTLNFLDRGQDADKGHSTRAGTAALAVAKSGDANLYWNFRAMLMNNQKDVYNKWDNEQFAKAAETLGASEDVTKAIKDEKEKDAFLKMKDTNTSKLEGLGRGVSSPRVINKDGQDVSVVDSSQQVSDAWVAQVTGS</t>
  </si>
  <si>
    <t>GC_00003336</t>
  </si>
  <si>
    <t>MRPIRTIIIACGVATLTACSLTNNSDDNPPANPAATAESTTAQQDSEAHPPKDVTIGEMLNAGVYAPDSTAYGLFRPCGGDISLPQLQEIGWKVDSISNNQNDLENINVNRLEDITGSSFYCFLKGIPGKQLGSGHLSVNYKSYEEVTQLEGVRETREDLNKLNVKRPAGYYIHDAESSTTNSDKVQRCSAGVMTKRGRITFDYQSPFTDTSTTGKEKVCQTAVDSLQTILDMPITAAPAANPAPEPAPAPESETPTTPVKPAAHAVAAGPELKFQPSPGFSSHAPAPQQTPANPEKPEKPESPAAPAHPTDPTQSPQ--TTSQPQQPADPTGSEKPENSQVPTFAKVLGVGEYKPQDKLRGSLGIFNACEEISAEQWKSLGLVPFDDPKLGSAKDVPPYYSCFYRTGDSDKEFQEMLVAESTFNPLEGQMKHMTPLDHIKVNKPENFYLIDSPNAKEKQCSVGVVTSRGRFTLNYGNKIATESISKEEACQRVVDKMQAILALKYEPPAEKTAKPSTEKAAPESAPKAQSPSDAPAGSNTPETSEAPKAPESTPESAPSTSGA</t>
  </si>
  <si>
    <t>MRPIRTIIIACGVATLTACSLTNNSDDNPPADPAAPAESTTAQQESEAHPPKDVTIGEMLNAGMYAPDSTAYGLFRPCGGDIGLPQLREIGWKVDSASSNQDDLENMNVNKLKDIAGSSFYCFLKGIPGKQLGSGHLSVNYKSYDEVTQLEGVREAREDLNKLNVKRPIGYYIHDAESSTTNSDKVQKCSAGVMTKRGRITFDYQSPFMDSSTTGKEKVCQTAVDSLQTILDMPITAALAANPAPEPTPAPGSEAPTTPVKPAAHAVAAGPELKFQPAPGFSSHAPAPQQSPANPEK---PETPATPAHPTDPAQSPQPPQTSQPSQPTDPTGSEKPEDSQVPTFAKVLGVGEYKPQDKLRGSLGIFNACEEITAEQWKSLGLVPFDDPKLNVAKDVPPYYSCFYRTGDSDKEFQEMLVAESTFNPLEGQMKHMTPLDHIKVNKPENFYLIDSPNAKEKQCSVGVVTSRGRFTLNYGNKIATESISKEEACQRVVDKMQAILALKYEPPAEKTAKPSTEKAAPESAPKAQSPSDAPAGSNAPETSEAPKAPESTPESAPSTSGA</t>
  </si>
  <si>
    <t>GC_00003337</t>
  </si>
  <si>
    <t>MSDNNDTTGIERLQQLIGPDYTLKWIIGHGGMSTVWLADDVNNGNREVAIKVLRPEFSDNSEFLSRFRNEAMAAEKIDSDNVVQTYDYREITDAADHTFCFIVMEYVPGESLADRLVRDGVVPEEDALDIFEQVAHGLSVIHSLGMVHRDIKPGNILITDSGHVKITDFGIAKAAAAVPLTRTGMVVGTAQYVSPEQAQGQKVSPASDVYSLGVVGYEMLAGRRPFNGDSSVSVAIAHINQAPPQLPQTVTGPARELIGIALRKDPQRRFSDGQELERAVSAVRLGQRPPQPRFAAAATAVHSPPPASLPATKLGEAVNVQRHVPQQTAHSARPPQTRRPQDQGASSKSGRSNGGVIALVVIVLIVVSALLIWMLYNSGILSGGSANETSTSSTPLVTEWVTTTVNPTGGNDEPVSQAPTGGTSLEPVQPSRGAPETQNAAPSEFMSEQNSNSEQRRRRDEDTYPSQYYQEPSSAASVPSVEQPTSEQNGASQ</t>
  </si>
  <si>
    <t>MSDNNDTTGIERLQQLIGPDYTLKWIIGHGGMSTVWLADDVNNGNREVAIKVLRPEFSDNSEFLSRFRNEALAAEKIDSDNVVQTYDYREITDAADHTFCFIVMEYVPGESLADRLVRDGVVPEEDALDIFEQVAHGLSVIHSLGMVHRDIKPGNILITDSGHVKITDFGIAKAAAAVPLTRTGMVVGTAQYVSPEQAQGQKVSPASDVYSLGVVGYEMLAGRRPFNGDSSVSVAIAHINQAPPQLPQTVTGPARELIGIALRKDPQRRFSDGQELERAVSAVRLGQRPPQPRFAAAATAVHSPPPASLPATKLGEAVNVQRHVPQQTAHSARPPQTRRPQDQGASSKSGRSNGGVIALVVIVLIVVSALLIWMLYNSGILSGGSANETSTSSTPLVTEWVTTTVNPTGGNDEPVSQAPTGGTSLEPVQPSRGAPETQNAAPSEFMSEQNSNSEQRRRRDEDTYPSQYYQEPSSAASVPSVEQPTSEQNGASQ</t>
  </si>
  <si>
    <t>GC_00003338</t>
  </si>
  <si>
    <t>PF11127.14</t>
  </si>
  <si>
    <t>Inner membrane protein YgaP-like, transmembrane domain</t>
  </si>
  <si>
    <t>MPRGAASRCGQSTCHKNDGGMADILCRLWLLSLGMKKNLSDSNRLTRVAAAVVLWILSFIVSKSPLKIIFRLLGTVLGVSGAVGFCPAKCLLGGDQCPTNF</t>
  </si>
  <si>
    <t>MPRGAASRCGQSTCHKNDGGMADILRRLWLLSLGMKKNLSDSNRLTRVAAAVVLWILSFIVSKSPLKIIFRLLGTVLGVSGAVGFCPAKCLLGGDQCPTNF</t>
  </si>
  <si>
    <t>GC_00003339</t>
  </si>
  <si>
    <t>MPPAIQCLDSSRYFPKVKANDHINLTIEPHQIFGLLGPNGCGKTTLLHQLQGLDAPTSGTVKVLGLDPRRDRQELMARIGTQLQEARVIPRLKVIEVLTTFGSFYPQSQDPMTVLESVGLAAKAGAFVDKLSGGQRQRVFIALALIHNPELLFFDELTSALDPQSRLKIWDILRDLKAAGRTVILTTHSMEEAQTLCDRIAIMDAGHIIAEGTPDELIDEFAQGSTLKFSVSGTVQPAPLEKISGVTSVDIQGQDVTVIGKGDFTPHVMQVLTDQHVSPAHMSLNPATLEDVFLHLTGRSLQA</t>
  </si>
  <si>
    <t>MPPAIQCLDSSRYFPKVKANDHINLTIESHQIFGLLGPNGCGKTTLLHQLQGLDAPTSGTVKVLGLDPRRDRQELMARIGTQLQEARVIPRLKVIEVLTTFGSFYPQSQDPMTVLESVGLAAKAGAFVDKLSGGQRQRVFIALALIHNPELLFFDELTSALDPQSRLKIWDILRDLKAAGRTVILTTHSMEEAQTLCDRIAIMDAGHIIAEGTPDELIDEFTQGSTLKFSVSGTVQLAPLEKISGVTSVDIQGQDVTIIGKGDFTPHVMQVLTDQHVSPAHMSLNPATLEDVFLHLTGRSLQA</t>
  </si>
  <si>
    <t>GC_00003340</t>
  </si>
  <si>
    <t>MRKQLLAVATIVSALLLTSCTQAGQRSTADAATGTASATAVNVNSAAESLSGSTEGGVGGATGESETSTETPTSTTPAVKQIGIYGTAGDYDPLNTGHMFNGQIAGVVTNARDLNPDYVVDSGQIYLDLSGMETLTEPKTVSIYINSGHFDLKMPKNVPVDLTCKVPSEKSNCKTKKYNSDAPGSIFTLNITSNTARVTIAKK</t>
  </si>
  <si>
    <t>MRKQLLAVATIVSAVLLTSCTQAGQRSTADAATGTASATAVNVNSAAESLSGSTEGGVGGATGESETSTETPTSTTPAVKQIGIYGTAGDYDPLNTGHMFNGQIAGVVTNARDLNPDYVVDSGQIYLDLSGMETLTEPKTVSIYINSGHFDLKMPKNVPVDLTCKVPSEKSNCKTKKYNSDAPGSIFTLNITSNTARVTIAKK</t>
  </si>
  <si>
    <t>GC_00003341</t>
  </si>
  <si>
    <t>PF03551.20</t>
  </si>
  <si>
    <t>Transcriptional regulator PadR-like family</t>
  </si>
  <si>
    <t>MAIKYALLALLAEKPQTASALQQQFIALTEGTQTLNIGQVSQTLSRLERNNFIARAGTVRNPSGHQVEQYEITSAGQELLTEWLERPVIRAMTDRDELVTKIAIAATRPDWDLISLLDTQRSAVLSQLKELNRQNRKLPQQRTAARLTIERRIYDLEAEARWLDRVEALDAPTHTDTPEGQ</t>
  </si>
  <si>
    <t>MAIKYALLALLAEKPQTASALQQQFIALTEGTQTLNIGQVSQTLSRLERNNFIARAGTVRNPSGHQVEQYELTSAGQELLTEWLERPVIRAMTDRDELVTKIAIAATRPDWDLISLLDTQRSAVLSQLKELNRQNRKLPQQRTAARLTIERRIYDLEAEARWLDRVEALDAPTHTDTPEGQ</t>
  </si>
  <si>
    <t>GC_00003342</t>
  </si>
  <si>
    <t>MINQLVRWLGLIMFLLGGSAFILSGINSQIVPFENWPAFTSGPEKLLANYSYFTLWSNLLGALVGLGYFTNFRRVSPTLAKVVRIDAALMLTVTGLIYNLILRATASPDEGIELYTNPVFHIIMPILAPLTWILFMFFGDTKTEREITLTTTLLALVIPVVWTIWTIFRGITTGGYYPYGFINADKLGWPVAIRNIAGIYIGFFAAVSLVGGVEKLADGRKR</t>
  </si>
  <si>
    <t>MINQLVRWLGLIMFLLGGSAFILSGINSQIVPFENWPAFTSGPEKLLANYSYFTLWSNLLGALVGLGYFTNFRRVSPTLAKVVRIDAALMLTVTGLIYNLILRATASPDEGIELYTNPVFHIIMPILAPLTWILFMFFGNTKTEREITLTTTLLALVIPVVWTIWTIFRGITTGGYYPYGFINADKLGWPVAIRNIAGIYIGFFAAVSLVGGVEKLADGRKR</t>
  </si>
  <si>
    <t>GC_00003343</t>
  </si>
  <si>
    <t>MVKTRRPNENFELEEVDVAIVAESTYPFLKGGVSAVVHDIITNNPELTFGIIHIAWDSESPTEYLYDVPGNVLWVDMIYLSMAETSVALQKLFDSTAELNGHSPNEVAKKLMYALDQVTRDNPQPLWDLYDEAVNPLTRSYRLWPVFPTKAMMQQSIKMVGNAEDMSVGTLFWQLRDFFSLAFAITDRVQPPAKVYHAHTTGYASVIAACGARQHNGSFLLTEHNLYVRDTVNTLLDRRMDLPITRTSHLELPKNTVEYFWTRWWVEMGAWLYPSADHITYLYPLAITEAEALGGIPSKSEVLPNGMEWDDFSYGRLRRREALDDIVSGRKQNWRFACIARVVPIKGIIELIDSVAHLVRMGYTNFTVDVLGPTDHIPEYYRRCVAYAEKIGVSDRVVFRGTVKVREVIHDYDALVLASFNEGQPIVVLESMACGLPVVGTNVGGMDQVVRDPLPDLDGGEVGPCGILVEPGDSEGLAKGIATLMGSGEAYREWYENALVRLQGTFLMPVVMSRYNAIYRRLGAASTPASLPNADLARGEDDIREGGFLRRPKGSQLFGWGTTRNPETVRTGQLMGGYFRRQK</t>
  </si>
  <si>
    <t>MVKTRRPNENFELEEVDVAIVAESTYPFLKGGVSAVVHDIITNNPELTFGIIHIAWDSESPTEYLYDVPGNVLWVDMIYLSMAETSVALQKLFDSTAELNGHSPNEVAKKLMYALDQVTRDNPQPLWDLYDEAVNPLTRSYRLWPVFPTKAMMQQSIKMVGNAEDMSVGTLFWQLRDFFSLAFAITDRVQPPAKVYHAHTTGYASVIAACGARQHNGSFLLTEHNLYVRDTVNTLLDRRMDLPITRTSHLELPKNTVEYFWTRWWVEMGAWLYPSADHITYLYPLAITEAEALGGIPSKSEVLPNGMEWDDFSYGRLRRREALDDIVSGRKQNWRFACIARVVPIKGIIELIDSVAHLVRMGYTNFTVDVLGPTDHIPEYYRRCVAYAEKIGVSDRVVFRGTVKVREVIHDYDALVLASFNEGQPIVVLESMACGLPVVGTNVGGMDQVVRDPLPDLDGGEVGPCGILVEPGDSEGLAKGIATLMGSGEAYREWYENALVRLQGTFLMPVVMSRYNAIYRRLGAASTPASLPNADLARGEDDVREGGFLRRPKGSQLFGWGTTRNPETVRTGQLMGGYFRRQK</t>
  </si>
  <si>
    <t>GC_00003344</t>
  </si>
  <si>
    <t>PF12679.13</t>
  </si>
  <si>
    <t>K25147</t>
  </si>
  <si>
    <t>beta-exotoxin I transport system permease protein</t>
  </si>
  <si>
    <t>Transporters&gt;&gt;&gt;ABC transporters, prokaryotic type&gt;&gt;&gt;ABC-2 type and other transporters&gt;&gt;&gt;Beta-exotoxin I transporter</t>
  </si>
  <si>
    <t>MSGVVVMERSLAPQWKAIAVIVVSMFACLLMGIAVVQSMDTAVYDSLPPAMLALAGIPAGASISAMVYAQMLGFLGAITVAGFAVAVGARMIAGEEKDGTLSLLLSYPVSRLGVGMAKVVALVLAVAAISLGLWGAGLLAGALFDIALGDAHLGELCLALGANAVVCGAGAFAVGGVTGRRQAATGIGAMLVGLGWLFAGLLPQWSQTKDVARFIPWYWYSEPSVLLNGLDAGYMALMIAVAVVLFVVGIVGLNVRDLRGNLRGTFLAQRIQHVGWVWQAVKGTSATGRDLYSLLVLRHAGLLVVLGVVMFAVMGLLMGPIYQQMAPQLETASQSMPPALLQAWGATDMASPAGFYWGETMSLMAPTAVIVAGAAVASRLGADEHSGQLGLVLSTPMRRIRVLGLAAAAQATLITIVAVLTGLGVWGGARLGGINLTAEHIAGATVHLLALGLCMGAVSMLGVAAFGTPSAGTWAAAGVGVVGYALNITLPMNSGYVTWARISPFYWYGAVQPLENGVDWGHVAILMAGTLVLLAVSFFLFARRDLHS</t>
  </si>
  <si>
    <t>MSGVVVMERSLAPQWKAIAVIVVSMFACLLMGIAVVQSMDTAVYDSLPPAMLALAGIPAGASISAMVYAQMLGFLGAITVAGFAVAVGARMIAGEEKDGTLSLLLSYPVSRLGVGMAKVVALVLAVVAISLGLWGAGLLAGALFDIALGDAHLGELCLALGANAVVCGAGAFAVGGVTGRRQAATGIGAMLVGLGWLFAGLLPQWSQTKDVARFIPWYWYSEPSVLLNGLDAGYMALMIAVAAVLFAVGIVGLNVRDLRGNLRGTLFAQRIQHVGWVRQAVRRTSTTGRGLYSLLVLRHAGLLVVLGVVMFAVMGLLMGPIYQQMAPQLETASQSMPPVLLQVWGATDMASPTGFYWGETMSLMAPTAVIVAGAAVASRLGADEHSGQLGLVLSTPVRRIRLLGSAAAAQATLITIVAVLTGLGVWGGARLGGMNLTAEHIAGATVHLLALGLCVGAASMLGVAAFGTSSAGTWAAAGAGAVGYALNITLPMSSDYATWARISPFYWYEAVQPLENGVDWGHVAILMAGTLVLLAVSFFLFARRDLHS</t>
  </si>
  <si>
    <t>GC_00003345</t>
  </si>
  <si>
    <t>MEYTSWGNRGKAGDTRIVHLFEKSDGDIATFPQVNTGDATVGEATWQLTSTPNTLTAVLPEGVTYTATVPAKKFSRAKEITIDFGDKQVQAINEGGADWVYVDAADKKLGQFSGSNNGVRRSITEFEPDVALTHDEQVFLSWVTRTMLESRLAVTTMIATMSLLLMIPVALFALIT</t>
  </si>
  <si>
    <t>MEYTSWGNRGKAGDTRIVHLFEKSDVDIATFPQVNTGDATVGEATWQLTSTPNTLTAVLPEGVTYTATVPAKKFSRAKEITIDFGDKQVQAINEGGADWVYVDAADKKLGQFSGSNNGVRRSITEFEPDVTLTHDEQVFLSWVTRTMLESRLAVTTMIATMSLLLMIPVALFALIT</t>
  </si>
  <si>
    <t>GC_00003346</t>
  </si>
  <si>
    <t>MKNAKWWVATAVATVAVVATAVTGVIVTDKNRLYYDPAPQLVDAKPVAFPLKKPDGEPNLANLAPMLDDARLGKASIQFRDVTTGNVVLAKNPQLPLLPASSTKVLTVSAALLKLDLDDRITTRVVQSGSDIAVIKAAGDVWMTYETIKDLAEQIRKNLPGVKQVQIDTSAWTAPSFIESWGRENITEGFIAPMEPAMIYGARLNGARSGDVPRSNTPALDVAGAVARELGVTAFSKAEGTVPAGEGVKELAKVESPTLRERIEKLMETSDNVMAEAVGRELSGNDPVGETLRILGEHFQIPADLKIFDNSGMSKANRIPAEFLDSLMFAAAKDNSRLSAILATLPVAAGTGTLESRYTTLRGRGYVRAKTGTLTDTSALVGTILSESGRVYTFAIISNDAPILEARSAMDELASAVRSS</t>
  </si>
  <si>
    <t>MKNAKWWVATAVATVAVVATAVTGVIVTDKNRLYYDPAPQLVDAKPVAFPLKKPDGEPNLANLAPMLDDARLGKASIQFRDVTTGNVVLAKNPQLPLLPASSTKVLTVSAALLKLDLDDRITTRVVQSGSDIAVIKAAGDVWMTYETIKDLAEQIRKNLPGVKQVQIDTSAWTAPSFIESWGRENITEGFIAPMEPAMIYGARLNGARSGDVPRSNTPALDVAGAVARELGVTAFSKAEGTVPAGEGVKELAKVESPTLRERIEKLMETSDNVMAEAVGRELSGSDPVGETLRILGEHFQIPADLKIFDNSGMSKANRIPAEFLDSLMFAAAKDNSRLSAILATLPVAAGTGTLESRYTTLRGRGYVRAKTGTLTDTSALVGTILSESGRVYTFAIISNDAPILEARSAMDELASAVRSS</t>
  </si>
  <si>
    <t>GC_00003347</t>
  </si>
  <si>
    <t>MTIILVFAGGILGGITRYLLGKALPPYLGTLIANMCACLTLGIIARLFEAHSFAYAAGGVGFAGALSTWSTLANELGHLLKTHNYRLFAGYLTATIIGGLAALQLGLTIGTIMT</t>
  </si>
  <si>
    <t>MTIILVFAGGILGGITRYLLGKALPPYLGTLIANMCACLTLGIIAHLFEAHSFAYAAGGIGFAGALSTWSTLANELGHLLKTHNYRLFAGYLTATIIGGLAALQLGLTIGTMMT</t>
  </si>
  <si>
    <t>GC_00003348</t>
  </si>
  <si>
    <t>MTTTRTELISSLIADLLPTSQLTVSEAELGRLAPDDLRALLRALMNLWQPGPLDADFLRRQDTLLQAERDERGIVTIPDTQAAAEDPRICLWRGDITRLDVDGIVNAANNKLLGCFRPGHTCVDNAIHSAAGLQLRQACAELVPSPDYEEPTGSAQITPGFNLPARYVLHTVGPIVAGTEANRQQVAELSASYTSCLNLAHSSGLNSLAFCCISTGVFGFPPAHAARIAVAAARAFLAGLPKDSDFTIIFTVFTQDDYDRYAQLLNPQPHRNDR</t>
  </si>
  <si>
    <t>MTTTRTELISSLIADLLPTSQLTVSEAELGRLAPNDLRALLRALMNLWQPGPLDADFLRRQDALLQAERDERGIVTIPDTQAAAEDSRIRLWRGDITRLDVDGIVNAANNKLLGCFRPGHTCVDNAIHSAAGLQLRQACADLVPSPDYEEPTGSARITPGFNLPARYVLHTVGPIVAGREANRQQVAELSASYISCLNLAHSSGLESLAFCCISTGVFGFPPSHAARIAVAAARAFLAGLPKDSDFTIIFTVFTQNDYDRYAQLLNPQPYRNDR</t>
  </si>
  <si>
    <t>GC_00003349</t>
  </si>
  <si>
    <t>PF13643.11</t>
  </si>
  <si>
    <t>Domain of unknown function (DUF4145)</t>
  </si>
  <si>
    <t>MGKHNKHPDRSPGR-NNNDLAANERSKAKLAYKIIIFATATVKLITEILHHTVSMDCTRFDYFRGVLMRGNLAFCGILMGMNFYDGLRLISRDYSPREDTAWWSAHCSYCGTATMLAVALGEASEATGYRESAWLMCVNCGKGAWAIGYSNNIIFQSPQPAPFTTPDHLSPEVKTTWEEACNSFTVGAYTACTLMCRKLIFYMAVEEGLPEKNDRNHAPGFEQCINYLVESGLITSRYRGEWVDSIRVWGNAATHDLAVIDKSVAEKALTFTHSLLKMVYEFPQSASQE</t>
  </si>
  <si>
    <t>MGKHNKHPDRSPGRNNNNDLAANERSKAKLAYKIIIFATATVKLITEILH--------------------------------------------------------------------------------------CIGS-----------------------------------------------------------------------------------------------------------------------------------------------------</t>
  </si>
  <si>
    <t>GC_00003350</t>
  </si>
  <si>
    <t>MATVLDYSAGVPQAAAVRDAGYDGAVRYISPPRADWMRGKPIQRAEIDDFHAHGLDVAFVWQYGKEADSDVMRGRDGGLADARAAKQKLDELGCSSHPVFFAVDFAITLEQWNVTAVEYFRACCEILGRERVGIYGHSRVISWAVEDGVIANLGGGKHLAWQTIAWSWGELSSEAVLFQRAGQVTVDGIECDVNDVWHPYWGQKPVSEVVPQPQSQPETSGPIVVRYDADFTADMPGVGYRSIDSIQSICVHTVECPPERDGIAVAQWQTNPANGSSYNVLAGADGILILCNTDDFMPYAAGPTGNARCLHISLTGYARMSREDWLDDDAKLRRTAEQIASWSQLYDIPLEFIDADRLRAGARGVHGHAEISEAWREVNHTDPGPGFPYDVVLGYAQELRNTRQPNNPTPTPTPETPEQGEERIMIRWILDQLVGPEWDTKGPRFTGWKATEGKTFVDFVAGKIRLIPEIARTVATLPERLDRIEKMLTELQKQK</t>
  </si>
  <si>
    <t>MATVLDYSAGVPQAAAVRDAGYDGAVRYISPPRADWMRGKPIQRAEIDDFHVHGLDVAFVWQYGKEADSDVMRGRDGGLADARAAKQKLDELGCSNHPVFFAVDFAITLEQWNVTAVEYFRACCEILGRERVGIYGHSRVISWAVEDGVIANLGGGKHLAWQTIAWSWGELSDEAVLFQRAGQVTVGGIECDVNDVWHHYWGQKPVSEVAPQPQSQPESSGPIVVRYDADFTADMPGVGYRSIDSIQSICVHTVECPPERDGIAVAQWQTNPANGSSYNVLAGADGILILCNTDDFMPYAAGPTGNARCLHISLTGYARMSREDWLDDDAKLRRTAEQIASWSQLYDIPLEFIDADRLRAGARGVHGHAEISEAWREVNHTDPGPGFPYDVVLGYAQELRNTRQPNNPTPTPTPETPEQGEERIMIRWILDQLVGPEWDTKGPRFTGWKATEGKTFVDFVAGKIRLIPEIARTVATLPERLDRIEKMLTELQKQK</t>
  </si>
  <si>
    <t>GC_00003351</t>
  </si>
  <si>
    <t>MLNSYRAVLFDLDGTLVDHSNAARAGVIAWSQELGIPPDPARWQALEQQWFLAYEHGKLTHSGQRAARVREYLHEPKLSETAALQLFNGFLHQYIASMQPFSGAAEVLEQCFDCGQLVGIATNGAASLQTTKLRTTGLWDDRLIMLAAVEMEAAKPNPEFYTRALDIVGTAPADTIMVGDTLPNDVLAPIAAGIAAIHVDHAGTGTTDPRYPTIRDLSELLNAP</t>
  </si>
  <si>
    <t>MLNSYRTVLFDLDGTLVDHSNAARAGVIAWSQELGIPPDPARWQALEQQWFLAYEHGKLTHSGQRAARVREYLHEPKLSETAALQLFDGFLHQYIASMQPFSGAAEVLEQCFDCGQLVGIATNGAASLQTTKLRTTGLWDDRLIMLAAVEMEAAKPNPEFYTRALDIVGTAPADTIMVGDTLPNDVLAPIAAGIAAIHVDHAGTGTTDPRYPTIRDLSELLNAP</t>
  </si>
  <si>
    <t>GC_00003352</t>
  </si>
  <si>
    <t>MTDYKADFNVQPLVVNDELVLEAIEELGYRFIAETGSELAIATLHWPYHTLQLEFSDDQFRMLYAEVSFTGSSSLSRINEISHAVDAWNSERVSPAAYLSIADDARINVFFRTGLAIARRASLDQIKAFIRVAAESTVVACETFVEQFPELGQRSGQASNSFGDLDFSLTDDSQLPTKLSIPRVRSVLRDLGIEKTHGDDAMVLAWINDILVGFFLESGPSLLVKGHWDPGLDPDREYMKAALVCNKWNEDNPTTKAFCVTDEDGLQVRVEFVADSGAGLNTSQLILNVQMAIHFILSAIDRISTEIQGHCAVAWPEDTN</t>
  </si>
  <si>
    <t>MTDYKADFNVQPLVVNDELVLEAIEELGYRFIAETGSELAIATLHWPYHTLQLEFSDDQFRMLYAEVSFTGSSSLSRINEISHAVDAWNSERVSPAAYLSIADDARINVFFRTGLAIARRASLDQIKAFIRVAAESTVVACETFVEQFPELGQRSGQASNSFGDLDFSLTDDSQLPTELSIPRVRSVLRDLGIEKTHGDDAMVLAWINDILVGFFLESGPSLLVKGHWDPGLDPDREYMKAALVCNKWNEDNPTTKAFCVTDEDGLQVRVEFVADSGAGLNTSQLILNVQMAIHFILSAIDRISTEIQGHCAVAWPEDTN</t>
  </si>
  <si>
    <t>GC_00003353</t>
  </si>
  <si>
    <t>MHDNLLAVGFALIAALVIAWGTVVRHRIAAHQPDNGDSPIVAAAKRPLWWFALLTALSGYGFQVLALGFGTLLIVQPVLALTLMFTFPMTAFYEKRRLTMDEIIGGALLTVSVATLVILGKPVPFHGKVTFHDWLPAIIVTAIVMGIIYAASIRMSAPYRGLSLGVITGITYGFVAVLSKAAVNVFNHGGLLILLTAWEFYALIACAVLGTIIQQYAFNVGALRLSLPAMTTLEPVVAFILSYTVLGEKFQVHGWNWVIMGIALVTMILSTFALSARGNA</t>
  </si>
  <si>
    <t>MHDNLLAVGFALIAALVIAWGTVVRHRIAAHQPDNGDSPIVAAAKRPLWWFALLTALSGYGFQVLALGFGTLLIVQPVLALTLMFTFPMTAFYEKRRLTMDEIIGGALLTVSVATLVILGKPVPFHGKVTFHDWLPAIIVTAIVMGIIYAASIRMSAPYRGLSLGVITGITYGFVAVLSKAAVNVFNHGGLLILLTAWEFYALIACAVLGTIIQQYAFNVGALRLSLPAMTTLEPVVAFILSYAVLGEKFQVHGWNWAIMGIALVTMILSTFALSARGNA</t>
  </si>
  <si>
    <t>GC_00003354</t>
  </si>
  <si>
    <t>MKSENKYWEFTEEEMHHFGHRLRRIRALVDLPDRRVKKGDIGGWVSDSAEISGLAWVYDEAKVYENARITDSAEVSGSALVYGSAWVAGSARVREYAGVSGKARIYGSAQVYGCSEVLDKACIYGSAQVY------GFARIYDKAQIYDQARVAGSARVYGL------------ARVGGTAGVYD-----------------------G-AEIFSSARVEMQTHVMTLTSIGSEDATVNLVRTEDGHYLQVGCWEGTAYNLMEEVYRRSGRYEKWLRDETVKQQWIEEYQALEMLAMKRVTAWEKARGAENRGQVGG</t>
  </si>
  <si>
    <t>MKSENKYWEFTEEEMHYFGHRLRRIRALINLPERRVKKGDIGGWVSDSAEISGLAWVYDEARVYGSSRVSDSAEVSGSAWVYGNAQITGSARVSGAARVHGLARVYGSARVSGSAEITGSARIYGSARVSGSAEITGFARIYGSAQVSDSAKVVGSARVYGRSLVYGWARIVDEARVAGSAEVFDLAWVCDGARVCGEARVYGSAWVAGLAEVSGEARVKVKSHVMTLTSIGSKDSTVNLVRTEKGHYLQVGCWEGTVQTLMEEVYKGS---EKWVCDAATKQQWIKEYQALEMLAMERVAAWERARSEEATNQ---</t>
  </si>
  <si>
    <t>GC_00003355</t>
  </si>
  <si>
    <t>MITGASSGIGAQAARHLARSHPEDRLILIGRNPDRTKRVAAEVGADYFFADYSRLADVRRLAVKLRDTTDRIDVLANNAGGLFNGPSLTQDGFELTFQTNHLAPMLLTHELLPMLQQSRATVVATASMANLMARPDLTDLNGLREFHAFRNYANSKLANILFTQELFARFPELNPVAFHPGVVHTNFSLDTRSLAKYLYKIPLARFYTIDDTEGGKHLTYFITGTPGIMWEPGHYYDGPSRTPGRINKHATAPGFAARHFDLSSDMLDIDWQKN</t>
  </si>
  <si>
    <t>MITGASSGIGAQAARHLAHSHPEDRLILIGRNPDRTKRVAAEVGADYFFADYSRLADVRRLAVKLRDTTDRIDVLANNAGGLFNGPSLTQDGFELTFQTNHLAPMLLTHELLPMLQQSRATVVATASMANLMARPDLTDLNGLREFHAFRNYANSKLANILFTQELFARFPELNPVAFHPGVVHTNFSLDTRSLAKYLYKIPLARFYTIDDTEGGKHLTYFITGTPGIMWEPGHYYDGPSRTPGRINKHATAPGFAARHFDLSSDMLGIDWQKN</t>
  </si>
  <si>
    <t>GC_00003356</t>
  </si>
  <si>
    <t>PF01453.30</t>
  </si>
  <si>
    <t>D-mannose binding lectin</t>
  </si>
  <si>
    <t>MNTKRSLKRAVPSAIIAVLATGFILSPQAMAQSSSSSDLGSLSSNGSASKHQTDKTKTGQDSQTSVSSKSILKQNETLRVGQSLRSENGKFEAQMQEDGNLVIQGENKTVTWSTNVKKTGDFKELVMQQDGNLVLYIDHQAVWASHTETSNANCLTLTNEGALQVKKDESVVWDSSKSGDKADTKKDDKAPSQDAKKDDKSKDAQKTDAPKKDDKPKADAPKDDKPKADPPKNDQPKPEANPAEGKFKEFTDQTMGKPICNHGACECVALFNHYNEQILGHGFIQVGAAKDLHAAAPDANWEKLPASATPRKGDVAIWGHTWQYSPYGHVAVVESDAGDHLNVISQNPGATRQMPLPKTSLVGYLRPKL</t>
  </si>
  <si>
    <t>MNTKRSLKRAVPSAIIAVLATGFILSPQAMAQSSSSSDLGSLSSNGSASKHQTDKTKTGQDSQTSVSNKSILKQNETLRIGQSLRSENGKFEAQMQEDGNLVIQGENKTVTWSTNVKKTGDFKELVMQQDGNLVLYIDHQAVWASHTETSNANCLTLTNEGALQVKKDESVVWDSSKAGDKADTKKDDKAPSQDAKKDDKAKDAQKTDAPKKDDKPKADAPKDDKPKADPPKNDQPKPEANPAEGKFKEFTDQTMGKPICNHGACECVALFNHYNEQILGHGFIQVGAAKDLHAAAPDANWEKLPASATPRKGDVAIWGHTWQYSPYGHVAVVESDAGDHLNVISQNPGATNQMRLPKTSLVGYLRPKL</t>
  </si>
  <si>
    <t>GC_00003357</t>
  </si>
  <si>
    <t>COG4922</t>
  </si>
  <si>
    <t>Predicted SnoaL-like aldol condensation-catalyzing enzyme (PUBMED:15071504)</t>
  </si>
  <si>
    <t>MTGFDLVTTAIGKLFTDRNIAAADDYFAPTYIQHSTLAADG------------------------------------------------------------------------------------------------------------------------------------------------------------------------------------------------------------MPHTNGVF</t>
  </si>
  <si>
    <t>MTAFDLVTTAIGKLFTDRNIAAADDYFAPTYIQHSTLAADGIDGLKTLVANLPDGFRYDGARIIADDRFVVLHGTYHGFGDTPLVAFDIFRVADGKIVEHWDAFTPEVAETASGRSQVDGAATTDAAANTDANRQLIADFVDQVLIGGDYSQLTRFISTDSYAQHNPEAADGLSGFGAAAEAWAADGKNLVYKKLHQIIAQDDFVFTRSEGTFGEPVAYNDLWRIADGKIVEHWDVIAPIPADDAMPHTNGVF</t>
  </si>
  <si>
    <t>GC_00003358</t>
  </si>
  <si>
    <t>MPSRRVISVCICALLLPVTAITVPTAANAQSRGAVQDTRPLHTFVDNTPFDLSDATWFAYDTRDSFGRDISATATLFRATRPWDNTSERPVVIITPFTQGGDDPCAFSHTITQGTHIDPTNPGESAVASQYYAIHSMLEQGWDVVVPDHPGLGTPDQHSYMDNVASGQALLDAATAGLSLLDRPHAPIALTGHSQGAGASAWAAENAPHYAPKLNIKAAALSAPPYNLPHLAQDVDGKQEVGMLFMAVNTLSRQYPAVQAEIDRVFTPEGKALLAKADTMCVPAMFAVIGKHNTRDLTTTGESVFDLVNRLPDVQKEIQRQRIGLRAPQVPVLMIYHQSDPLVSWEDSRALGENWQREGGTVRFVDYPRNPVADTLKSAHSETALTPVPDIVAFFKQEFH</t>
  </si>
  <si>
    <t>MPSRRVMSVCICALLLPVTAITVPTAANAQSRGAIQDTRPLHTFVDNTPFDLSDATWFAYDTRDSFGRDISATATLFRATRPWDNTSERPVVIITPFTQGGDDPCAFSHTITQGTHIDPTNPGESAVASQYYAIHSMLEQGWDVVVPDHPGLGTPDQHSYMDNVASGQALLDAATAGLSLLDRPHAPIALTGHSQGAGASAWAAENAPHYAPKLNIKAAALSAPPYNLPHLAQDVDGKQEVGMLFMAVNTLSRQYPAVQAEIDRVFTPEGKALLAKADTMCVPAMFAVIGKHNTRDLTTTGESVFDLVNRLPDVQKEIQRQRIGLRAPQVPVLMIYHQSDPLVSWEDSRALGENWQREGGTVRFVDYPRNPVADTLKSAHSETALTPVPDIVAFFKQEFH</t>
  </si>
  <si>
    <t>GC_00003359</t>
  </si>
  <si>
    <t>MRAFSKTSKLAIIGGSLAVALGTGALAAHAQNATDVPAASASASQLPGKDRDKGNKDDKGPAELAKKLGVSEDKLKEAMDSLRSEGSGEQKGERPDKSAMDQKLATALGVDVSKVEQAMSEMHSEREAEHRTELSSRLDEAVSKGTLSSSDKDSVLKAFDAGVLGGGPGGGHGGPERAAQ</t>
  </si>
  <si>
    <t>MRAFSKTSKLAIIGGSLAVALGTGALAAHAQNATDAPAASASASQLPGKDRDKGNKDDKGPAELAKKLGVSEDKLKEAMDSLRSEGSGEQKGERPDKSAMDQKLATALGVDVSKVEQAMSEMHSEREAEHRTELSSRLDEAVSKGTLSSSDKDSVLKAFDAGVLG-------GGPERAAQ</t>
  </si>
  <si>
    <t>GC_00003360</t>
  </si>
  <si>
    <t>MSYSIDEVHYLIAHNADITCHLATRSFAPRDALTDATYLREHLGEYGRAAMELGRARHTAARKQLPADWIVCHESAQQATPLPVARVRAARLARTLGPGAHIHDITCSIGTEGHALVAAGLQYLGSDLDPSRVIMARHNLGATFPTANAANKPQPVWGFHVADAKHPATIPGAANAIIADPARRHQGRRITNPDELLPPLATIIATYPRTPMAIKCAPGIDFTGWDGLVSLVSVDGGVKEACLYSPALADGLHREAVIIRDGTMGILTDRDDPGADTPVGEPGTYIIDPDGAVIRAGLVRHYAHRENLWLLDERIAYLTGDQIPAGMSGFPYIETVPLKKLRSVLRDHDCGSVEILVRGVDVDPDRLRQKLRLAGSRPMAVVCTRIGRSGVALVCEARVVGEPLAGQPIP</t>
  </si>
  <si>
    <t>MSYSIDEVHYLIAHNADITCHLATRSFAPRDALTDATYLREHLGEYGRAAMELGRARHTAARKQLPADWIVCHESAQQATPLPVARVRAARLARTLGPGARIHDITCSIGTEGHALVAAGIQYFGSDLDPSRVIMARHNLGATFPTANAANKPQPVWGFYVADARHPATIPGAADAIIADPARRHQGRRITNPDELLPPLATIIATYPRTSMAIKCAPGIDFTGWDGLVSLVSVDGGVKEACLYSPALADGLHREAVIIRDGTMDILTDRDDPGADTLVGEPGTYIIDPDGAVIRAGLVRHYAHRENLWLLDERIAYLTGDRIPAGMSGFPYLETVPLKKLRSVLRGHDCGSVEILVRGVDVDPDRLRQKLRLSGSRPMAVVCTRIGRSGVALVCEARVVGEPPAGQPIP</t>
  </si>
  <si>
    <t>GC_00003361</t>
  </si>
  <si>
    <t>COG1647</t>
  </si>
  <si>
    <t>Esterase/lipase (YvaK) (PDB:4DIU)</t>
  </si>
  <si>
    <t>MKPLVLYLPRRGTLPAPLPVTRDDVPVLLLHGYLGSPGNFGPTARALQQRGTPALGFEFGHRGTDRLDDSLNQIADFARTIPSERFDIVGHSQGGLLGLQLAHLPEFQPRIRRIVGLGASFKGINVNYPAWLDPIAAAIGGPAAPYLRGKGFHEATIPDGVEVASIISTADRIVRPDNATLGHLITIDGVPHSRMPELAGPVIKALDMEV</t>
  </si>
  <si>
    <t>MKPLVLYLPRRGTLPTPLPVTRDDVPVLLLHGYLGSPGNFGPTARALQQRGTPALGFEFGHRGTDRLDDSLNQIAHFARTIPSERFDIVGHSQGGLLGLRLAHLPEFQPRIRRIVGLGASFKGINVNYPAWLDPIAAAIGGPAAPYLRGKGFHEATIPDGVEVVSIVSTADRIVRPDNATLGHVITIDGVPHSRMPELAGPVIKALDMEV</t>
  </si>
  <si>
    <t>GC_00003362</t>
  </si>
  <si>
    <t>MRTPFANKKLVLAGSFAALVLGVGATTAYAQYAATSSESPVAATSLQPARATELSGLGVTADIPSEQLQTADPTNTAQRAELVKQLDRSVAAGVISPAGKDRVLKEFDEGTLILGPSNPAAGQTTNQQQSTPTSSDYLDAA</t>
  </si>
  <si>
    <t>MRTPFANKKLVLAGSFAALVLGVGATTAYAQYAAISSESPVAATSLQPARATELSGLGVTADIPSEQLQTADPTNTAQRAELVKQLDRAVAAGVISPAGKDRVLKEFDDGTLILGPSNPAAGQAANQQQSTPTSSDYLDAA</t>
  </si>
  <si>
    <t>GC_00003363</t>
  </si>
  <si>
    <t>MKNTSNSPFVFDVSDPMRSGMVEHRTQTGPSPTRIGPEMIAIPEGHDVTVDATLTPLGEAIMVDATIQARLQGECVRCLKTITPDTTLTVSQVFATTPDFVVGDPDDEEETEAVPLIQHDMVDLLQSVIDEAGITLPFNPVCPDGCADDAEVPGLDHLDDGSA---DSDNSDSGAARPIDPRWSGLEKFL</t>
  </si>
  <si>
    <t>MKNTSNSPFVFDVSDPMRSGMVEHRTQTGPSPTRIGPEMIAIPEGYDVTVDATLTPLGEAIMVDATIQARLQGECVRCLKTITPDTTLTVSQVFATTPDFVVGDPDDEEETEAVPLIQHDMVDLLQSVIDEAGITLPFNPVCPDGCADDAEVPGLDHLDDGSADSDDSDDSDSGAARSIDPRWSGLEKFL</t>
  </si>
  <si>
    <t>GC_00003364</t>
  </si>
  <si>
    <t>MNKTLVSISTAATAAALCIAVPAASAAPLNNAQSIPADLSSQQTIPKEPEKPKDPNNPQQYATYALDLIEVYGIYADKPEFAQARKDAEVKVKDAKTVKDTYSVLNDVARVAGGKHSSFRPPEDNISGTKDNTELPKVTAADGIVTAKLPSLAGGPVGQEYADTAAKGLVDNMPKSCGAIIDLRGNDGGDMGPMLAGVSSLLPDGTVMQFKNRYTTTDVKIDGSSVTGGGTNTTAASKGKFTDKPVAILTNKDTASSAEATVLSFRGLSNARTFGQPTAGFTSANVPIEMPDGASLVITMAKDVARTGEEFAEEPINPDVTTDKPAEEAAAWLKQQCR</t>
  </si>
  <si>
    <t>MNKTLVSISTAVTAAALCIAVPAASAAPLNNAQSIPADLSSQQTIPKEPEKPKDPNNPQQYATYALDLIEVYGIYADKPEFAQARKDAEVKVKDAKTVKDTYSVLNDVARVAGGKHSSFRPPEDNISGTKDNTELPKVTAADGIVTAKLPSLASGPVGQEYADTAAKGLVDNMPNSCGAIIDLRDNDGGDMGPMLAGVSSLLPDGTAMQFKNRYTTTDVKIDGSSVTGGGTNTTAASKGKFTDKPVAILTNKDTASSAEATVLSFRGLSNARTFGQATAGFTSANVPIEMPDGASLVITMAKDVARTGEEFAEEPINPDVTTDKPAEEAAAWLKQQCR</t>
  </si>
  <si>
    <t>GC_00003365</t>
  </si>
  <si>
    <t>PF19787.4</t>
  </si>
  <si>
    <t>Family of unknown function (DUF6271)</t>
  </si>
  <si>
    <t>----MTEIKHILVIPTNRDATAAISSASLEVQEARSLGYDIPLVVIETDNGDHVENNAAALRECRNRDGKLDTIHLTIERQSKIIHRIFTSESDHRWRSLFLQGSKDYGTAMNKCFLYSIALGADVVHRRDSDTVTLDHKFRNQQGRLPIVKELSLLGSGHSEHSSSAHSADTYITVVGGNYVGEWNLDVKDLVVAAGDRTILHRLYEVLGFDPASIPDVIEEAFPQETVVPDRDVITLVRSVNDGLNPDCGNVA</t>
  </si>
  <si>
    <t>MGVIVAEEKHILVIPTNRDATAAISSASLEVQEARSLGYDIPLVVIETDSSDHVKNNAAALRECRNQDGRLNTIHLTIERQRRIIHRIFASESDHCWRSLFLRGSKDYGTAMNKCFLYSIALGADVVHRRDSDTVTLDHKFRNQQGRLPIVKELSLLGSGHSDHSSSAHSADTYITVVGGNYVGEWNLDVKDLVVAAGDRTILHRLYEVLGFDPASIPDMIEEAFPQETVVPDRDVITPVHSVNDGLNPDCGNVAFMEIHKYLPVVPGPNILASDYFAFDAATSLGLPSIHHSDAVFHEYDSTRKSLSSQLSYWEGVARFADYFNAYAKIYSGNLSSLLGIEPGTLPADSNSREKLISLVREAAAGSVPERINRVESLANDVLVPLGGDFADIGGVLVRNASRYVDECSASYNMHADLIELWPELVERCSAACGVVSARNM</t>
  </si>
  <si>
    <t>GC_00003366</t>
  </si>
  <si>
    <t>MNLQETAYWLDGLFPGDLKFSRINGLHIASIDLSSEDTTEALACTADFGRVDTGLVSSEEAFEDRGVEKQVEVRSEIFCVASAEPEVVERAVVAAASFLAESNTIQTGIVPAQPGQLLPAVGVFGGLAEMPGIEVRHGLLVAPYVWSDGVPRMREDDRITTMLQLVMLTDDEYEYATTYGVDELQEAMVNEGVNILDLGR</t>
  </si>
  <si>
    <t>MNLQETAYWLDGLFPGDLKFSRINGLHIASIDLSSEDTTEALACTADFGRVDTGLVSSEEAFNDGGVEKQVEVRSEIFCVASAEPEVVERAVVAAASFLAESNTIQTGIVPAQPGQLLPAVGVFGGLAEMPGIEVRHGLLVAPYVWSDGVPRMREDDRITTMLQLVMLTDDEYEYATTYGVDELQEAMVKEGVNILDLGR</t>
  </si>
  <si>
    <t>GC_00003367</t>
  </si>
  <si>
    <t>MEFSTITLKVIENGIRQQKVFQGMKIYSRTIPADDQTTITHQRIYTTPKGNFVFHQHTRPNWEGYWREDENRVMPQDIEESTMLKICSSLDELDDTIPAPVLASLVSKVAQDEIVEHLDI</t>
  </si>
  <si>
    <t>MEFSTITLKVIENGIRQQKVFQGLKIYSRTIPADNQTTITHQRIYTTPKGNFVFHQHTRPNWEGYWREDENRVMPQDIAESTVLKICSSLDELGGIIPAPVLASLASKVAQDEIVEHLDI</t>
  </si>
  <si>
    <t>GC_00003368</t>
  </si>
  <si>
    <t>K00605</t>
  </si>
  <si>
    <t>glycine cleavage system T protein (aminomethyltransferase) [EC:2.1.2.10]</t>
  </si>
  <si>
    <t>COG0404</t>
  </si>
  <si>
    <t>Glycine cleavage system protein T (aminomethyltransferase) (GcvT) (PDB:2GAH) (PUBMED:25433025;25505271)</t>
  </si>
  <si>
    <t>KEGG Orthology (KO)&gt;&gt;&gt;09100 Metabolism&gt;&gt;&gt;09101 Carbohydrate metabolism&gt;&gt;&gt;00630 Glyoxylate and dicarboxylate metabolism [PATH:ko00630]|KEGG Orthology (KO)&gt;&gt;&gt;09100 Metabolism&gt;&gt;&gt;09105 Amino acid metabolism&gt;&gt;&gt;00260 Glycine, serine and threonine metabolism [PATH:ko00260]|KEGG Orthology (KO)&gt;&gt;&gt;09100 Metabolism&gt;&gt;&gt;09108 Metabolism of cofactors and vitamins&gt;&gt;&gt;00785 Lipoic acid metabolism [PATH:ko00785]|KEGG Orthology (KO)&gt;&gt;&gt;09100 Metabolism&gt;&gt;&gt;09108 Metabolism of cofactors and vitamins&gt;&gt;&gt;00670 One carbon pool by folate [PATH:ko00670]|Enzymes&gt;&gt;&gt;2. Transferases&gt;&gt;&gt;2.1  Transferring one-carbon groups&gt;&gt;&gt;2.1.2  Hydroxymethyl-, formyl- and related transferases&gt;&gt;&gt;2.1.2.10  aminomethyltransferase</t>
  </si>
  <si>
    <t>MTELRQSPLHAEHEKLGASFTAFGPWNMPLKYGNELEEHRAVRTACGLFDLSHMGEIRVTGPDAGAFLDYALISHLSIIKVGKAKYSMIVNEDGHIIDDLITYRLGENEFLVVPNAGNAETVFQAFVDRAAKFDVKLVNESTDTALIAVQGPNAEALLVTLTNEVDGQIVKEMKYYSAAPVTVAGHEVLLARTGYTGEDGFELFLPNAGAADLWERILQAGDEFGLKPAGLAARDSLRLEAGMPLYGNELNLTLTPIDAGLGVLVGKKKEGDFVAKEKLLSGTPPTRVLVGLTSTGRRAARAHAELFDADGTVVGEVTSGQPSPTLGHPIALAYVDTALAEPGTKLEADIRGKKYPFEVVKLPFYSRAK</t>
  </si>
  <si>
    <t>MTELRQSPLHAEHEKLGASFTAFGPWNMPLKYGNELEEHQAVRTACGLFDLSHMGEIRVTGPDAGAFLDYALISHLSIIKVGKAKYSMIVNEDGHIIDDLITYRLGENEFLVVPNAGNAETVFQAFVDRAAKFDVELVNESTDTALIAVQGPNAEALLVTLTNEADGQIVKEMKYYSAAPVTVAGHEVLLARTGYTGEDGFELFLPNAGAADLWERILQAGDEFGLKPAGLAARDSLRLEAGMPLYGNELNLTLTPIDAGLGVLVGKKKEGDFVAKEKLLSGTPPTRILVGLTSTGRRAARAHAELFDADGTVVGEVTSGQPSPTLGHPIALAYVDTALAEPGTKLEADIRGKKYPFEVVKLPFYSRAK</t>
  </si>
  <si>
    <t>GC_00003369</t>
  </si>
  <si>
    <t>MCPPSAINISPVFRGPTTPAAVCFQVIRLKQPVTRTHLFQHSTHSQPTIARAVTALIDAHLVRERPDKIVAEGPGRPKIPLEMTPTPWVHVGVALGTKSTYLGIYGTRGQLLREQFVEITPAKHRMSAFIAEIIPHINAMVASTQLPLANIGISASGVVREQKFITAPNLGWDSEDIVTPFARLFDVPITVASVVEAIAGAEQQTQEPPLRPTGSEPLADHRGLIFYVDDTTGAAIHTRTSVESIDLNIGKYPTLAAAALDLTARTEPDTVVLAGSAFAHRADTQVVGRALQEIGGVEVRVIPTHIDNARAAARALALSGLLTNPLTFSKQLSLLIDEYAI</t>
  </si>
  <si>
    <t>MCPPSAINISPVFRGPTTPAAVCFQVIRLKQPVTRTHLFQHSTHSQPTIARAVTALIDAHLVRERPDKIVAEGPGRPKIPLEMTPTPWVHVGVALGTKSTYLGIYGTRGQLLREQFVEITPAKHRMSAFIAEIIPHINAMVASTQLPLANIGISASGVVREQKFITAPNLGWDGEDIVTPFARLFDVPITVASVVEAIAGAEQQTQEPPLRPTGSEPLADHRGLIFYVDDTTGAAIHTRTSVESIDLNIGKYPTLAAAALDLTARTEPDTVVLAGSAFAHRADTQVVGRALQEIGGVEVRVIPTHIDNARAAARALALSGLLTNPLTFSKQLSLLIDEYAI</t>
  </si>
  <si>
    <t>GC_00003370</t>
  </si>
  <si>
    <t>MSTIFISGAARGIGRAIAELFLDRGWIVGAYDIDTVDYTHPNLITGVLDVTDAQSWQTTLAEFAAHSPTSTITVVVNNAGVLTSGNIADISPAAIEHQISVNCTGIALGAHAAFPHLRTGSTLVNMGSASAIFGQPTIAVYSATKFFVAGLTEALSLEWAKHHIRVIDLWPLWAKTDLSSHANAGSIKRLGVHITPNQVAHRVWEAIHPHNRWQAGKLHYGVSVADTVLYYARRLAPTRVAHRITQLVAH</t>
  </si>
  <si>
    <t>MSTIFISGAARGIGRAIAELFLDRGWIVGAYDIDTVDYTHPNLITGVLDVTDAQSWQTTLAEFAAHSPTSTITVVVNNAGVLTSGNIADISPAAIEHQISVNCTGIALGAHAAFPHLRTGSTLVNMGSASAIFGQPTIAVYSATKFFVAGLTEALSLEWAKHHIRVIDLWPLWAKTDLSSHANAGSIKRLGVHITPNQVAHRVWEAIHPHNRWQAGKLHYGVSVADTVLYYARRLAPTRVARRITQLVAH</t>
  </si>
  <si>
    <t>GC_00003371</t>
  </si>
  <si>
    <t>MRTFRSILVTVGVLLLSGCAVPTMTSSSLFGGSGTGAPQGQSQAGPGSLPTEQNGRNGQNVQKGDTFAKALGAGSFAPEEQGNMLFSPCEEITKEQWQSLGWELQHLPDKESSNYAVNCILKSPEKDDSYSMLSITTDNSKYDDVIKHGKDLSSLKVTKPENVYVFDQFTEASRDSECSAGVVTNRGRLSVTLNSYVYSRSTSKPSKEEVCQQAVDSLTAMLNLPVEVSAQPKKNPTPKSSEKATPAERPTQSERARSGASNNA</t>
  </si>
  <si>
    <t>MRTFRSILVTVGVLLLSGCAVPTMTSSSLFGGSGTGAPQGQPQAGPGSLPTEQNGRNGQNVQKGDTFAKALGAGSFAPEEQGNMLFSPCEEITKEQWQSLGWELQHLPDKESSNYAVNCILKSPEKDDSYSMLSITTDNSKYDDVIKHGKDLSSLKVTKPENVYVFDQFTEASRDSECSAGVVTNRGRLSVTLNSYVYSRSMSKPSKEEVCQQAVDSLTAMLNLPVEVSAQPKKNPTPKSSEKATPAERPTQSERARSGASNNA</t>
  </si>
  <si>
    <t>GC_00003372</t>
  </si>
  <si>
    <t>MVCMQRKLSRPPTFFNHVPDTCLFGLGGSAFVAAWLWPSAVVFPTMLRWVGVAVIGVALVLIAATMSTLWQARTSTNPIDAPSQLLMAGPFSWSRNPLYVAYVVILCGCALASGSWLALGCPLLGFVVINGLIIPIEELRMAEEFGDDYRRYCQQVRRWL</t>
  </si>
  <si>
    <t>MVCMQRELSWLPTFFNHVPDACLFGLGGLAFATAWLWPGAVVFPTVLRWVGVAMIGVALVLIAATMSALRQARTSTNPIDAPSRLLVTGPFSWSRNPLYVAYVVALCGCALASGSWLALGCPLLGFVVMNGLIIPIEELRMAEEFGDAYRRYCQQVHRWL</t>
  </si>
  <si>
    <t>GC_00003373</t>
  </si>
  <si>
    <t>MSELRLVPAALLCWAATWTVLAHRGWALPLLLVAVTAGIAWWLRHSGQALVLGALGSAAVLLTYLRVRAGSRPLPPLLMGRVEAVPRPVHDGVWLLRIHGETVFYRAATCAAKVGDTVQVRVTARASERIGASSHVASATHLDITQHAGGIQAWMAGVREGFYGASISRLGEGSAQLLPAMVLGDTRGLNMDLYAGAGLAHLSAVSGSNVAIVTTSMVLLARALTLGPRVQISMAGAALVGFVLLVGLEPSVLRAAVTGVVGLVAVLANSRSQPIHALSLAVIGLVLWDSDMAASYGFALSVVATAGIVALHPLLFRALARVSLGRVVMPEILARCLAVAIAADLVTMPIVALMSGKISAVSVVANLLAEPAVTPITILGLVAVLLPGPARGLVLWIVQPFVWWVHHVALWSTRLPGAVIHVPPGWLGVGLVVLVCLWVLALIWAGRWQVVVLGFVLLVGVSWKGGSAEVPLTSLRVVEIDHWEDSYQPPLGTQVLVVHDPHGSPRDRPSTLPDGTPVLFPERDGHVALYRDGTQHAADGRF</t>
  </si>
  <si>
    <t>MSELRLVPAALLCWVATWIVLAHRGWALPLLLVGVIAGIAWWLRHSGQALVLGALGSAAVLLTYLRARAGSRPLPPLLTGRVEAVPRHVHDGVWLLRIHGETVFYRAATCAAKVGDTVQARVTARASERIGVSSHVASATHLDIIQHAGGIQAWMAAVREGFYGASISRLGEGSAQLLPAMVLGDTRGLNMDLYAGAGLAHLSAVSGSNVAIVTTSMVLLARALTLGPRVQISMAGAALVGFVLLVGLEPSVLRAAVTGVVGLVAVLANSRSQPIHALSLAVIGLVLWDSDMAASYGFALSVVATAGIVALHPLLFRALARVSLGRVVVPEILARCLAVAIAADLVTMPIVALMSGKISAVSVVANLLAEPAVTPITILGLVAVLLPGPARGLVLWVVQPFVWWVHHVALWSTRLPGAVIHVPPGWLGVGLVVLVCLWVLALIWAGRWQVVVLGFVLLVGFSWRGGSVEVPLTSLRVVEIDHWEEGYQPPPGTQVLVVHDPHGSPRDRPSTLPDGTPVLFPERDGHVALYRDGTQHAADGRF</t>
  </si>
  <si>
    <t>GC_00003374</t>
  </si>
  <si>
    <t>MNKIPGQFRLSSIQVYNWGTFSGVHTVPVAREGYLVTGASGSGKSTLIDAVSAVLVPPSTMRFNAAAQDPGTKSGRNLITYCRGAWRREHSEDIDELTQSYLRTGATWSGVALTYEDGEGATVTALRLMFLSAHCHQPTDIVNLFVLVPRVAELWEFNDLAKEGLDLRKAKQQHKDALAVQRSHSPFMNVFRRELGIADQAALTLLHRTQSAKSLGDLNALMRDFMLPEPPTLKTAADAVEKFTELNAAYQGVHTARMQIEALEPIRSADEDIARLTAETTLREEEQTHLDAYVTHHRLALERTKWERITGDIAVQQATLEDISTQAADLKTTYDQLQVQIHGHENIGLLQAQHDLTQAKQQLESIQSARELFEKSTRVVGAVVPNTSEDFTNLRLQLQELTTELVLKASKYSERRQALYGALNTTQETVTRLQQELDFVRTYRSPMDQRLLEARRRVAEFVEIEENELPFVADLLTMRDSETNWQPAAERVLGGFARTLIVPEEYYARVSDAIDAMNLGARLVYIRFTSDLARRIPSSFAAGSLGSKIDVTPGRFFTWLQSELSSRFDYECVDTVAELRKTRRAVTRNGQFRNDFRHEKDDRTQIDDRSSWVLSTSYDDKIDSLREQIRMAKAELAKRFADSEGFEDSVKEEATRHHACNTLLAVENFAAIDTTAAAQAVSQRQTVVDELTDSNPELKTLQDQRDRVVFEQEKLKQQEDEARDVLGGLRRELRQAEELIAQLEERQKINRSVPEEVVQRLNELVGTFTRKIRADNVVDVQKKMLDALNSAQQALARKLHEQERKTAQVMLEFLQQWPERRGDLFPEQEYRGDFIALLHRLENDDLPAFEARFLELLRSQTQNNLNRLLLQIQRATQAIRDGIEPINASLMAAEFEPDTHLQIEVRESQPAEAREFMAKLKEVVDGVLNDESTLASEERFLKLRAVIEMLKITDETPERIYRLRLDTRKHVTFLGVEHNADGTRGAVYDSAQGLSGGQAQKLVFFCLAAALRYQLTGAGLSTSRAKNCTIEHDGKQFSRFGTVILDEAFDRADSQFTRRGMDVFNEFGFHMVLATPEKMLQTIQDYIGGAAVVQCFDRKHSTLALLEIEDA</t>
  </si>
  <si>
    <t>MNKIPGQFRLSSIQVYNWGTFSGVHTVPVAREGYLVTGASGSGKSTLIDAVSAVLVPPSTMRFNAAAQDPGTKSGRNLITYCRGAWRREHSEDIDELTQSYLRTGATWSGVALTYEDGEGATVTALRLMFLSAHCHQPTDIVNLFVLVPRVAELWEFNDLAKEGLDLRKAKQQHKDALAVQRSHSPFMNVFRRELGIADQAALTLLHRTQSAKSLGDLNALMRDFMLPEPPTLKTAADAVEKFTELNAAYQGVHTARMQIEALEPIRSADEDIARLTAETTLREEEQTHLDAYVTHHRLALERTKWERITGDIAVQQATLEDISTQAADLKTTYDQLQVQIHGHENIGLLQAQHDLTQAKQQLESIQSARELFEKSTRVVGAVVPNTSEDFTNLRLQLQELTTELVLKASKYSERRQALYGALNTTQETVTRLQQELDFVRTYRSPMDQRLLEARRRVAEFVEIEENELPFVADLLTMRDSETNWQPAAERVLGGFARTLIVPEEYYARVSDAIDAMNLGARLVYIRFTSDLARRIPSSFAAGSLGSKIDVTPGRFFTWLQSELSSRFDYECVDTVAELRKTRRAVTRNGQFRNDFRHEKDDRTQIDDRSSWVLSTSYDDKIDSLREQIRMAKAELAKRFADSEGFEDSVKEEATRHHACNTLLAVENFAAIDTTAAAQAVSQRQTVVDELTDSNPELKTLQDQRDRVVFEQEKLKQQEDEARDVLGGLRRELRQAEELIAQLEERQKINRSVPEEVVQRLNELVGTFTRKIRADNVVDVQKKMLDALNSAQQALARQLHEQERKTAQVMLEFLQQWPERRGDLFPEQEYRGDFIALLHRLENDDLPAFEARFLELLRSQTQNNLNRLLLQIQRATQAIRDGIEPINASLMAAEFEPDTHLQIEVRESQPAEAREFMAKLKEVVDGVLNDESTLASEERFLKLRAVIEMLKITDETPERIYRLRLDTRKHVTFLGVEHNADGTRGAVYDSAQGLSGGQAQKLVFFCLAAALRYQLTGAGLSTSRAKNCTIEHDGKQFSRFGTVILDEAFDRADSQFTRRGMDVFNEFGFHMVLATPEKMLQTIQDYIGGAAVVQCFDRKHSTLALLEIEDA</t>
  </si>
  <si>
    <t>GC_00003375</t>
  </si>
  <si>
    <t>MVDYLSPQTITDVVADGIFAQAEYDSDFNSNLGSIAHVDVESAGDSFVVHFKPTFGSIFTANAEQVAVLNSAQGMLHWTSPRAHQAHTSFNIPEFEGDVPYSPSLFAAARTLHGNRPALYAPQRNGETPVLVLDTPPPTPNSRRALTHGIPYLLPTMDIRRALRAYAAATGLGIYETDTTISFSDGTDLTLEDNLIKCISGDFSLDDFRADAFYFNVEQQLLFDALYPNSPATPTAQFDPVTSLLTLFSQFEAGRPALTVHAMVLATVRDDTWTWAWASNLPPHLQQASLKLRETGAHLGIPAFLYPQLPVSLAESWGVLTAVKPPLQRWIHTAVPLGDGTTAVLLFDHPELRLPTATTDALHATLQTPLPAELDARQAVRSYARLRGVNSSFDQLEEHAIVHAPEAPIHVTFDGDHHLLHTELPV</t>
  </si>
  <si>
    <t>MVDYLSPQTITDVVADGIFAQAEYDSDFNSNLGSIAHVDVESAGDSFVVHFKPTFGSIFTANAEQVAVLNSAQGMLHWTSPRAHQAHTSFNIPEFEGDVPYSPSLFAAARTLHGNRPALYAPQRNGETPVLVLDTPPPTPNSRRALTHGIPYLLPTMDIRRALRAYAAATGLGIYETDTTISFSDGTDLTLEDNLIKCISGDFSLDDFRADAFYFNVEQQLLFDALYPNSPATPTAQFDPVTSLLTLFSQFEAGRPALTVHAMVLATVRDDTWTWAWASNLPPHLQQASLKLRETGAHLGIPAFLYPQLPVSLAESWGVLTAVKPPLQRWIHTAVPLGDGTTGVLLFDHPELRLPTATTDALHATLQTPLPAELDARQAVRSYARLRGVNSSFDQLEEHAIVHAPEAPIHVTFDGDHHLLRTELPV</t>
  </si>
  <si>
    <t>GC_00003376</t>
  </si>
  <si>
    <t>MNHVPSRVPAHRLTGRSGLDPRTKLLTITVCNMLAMGAFPSKVLWIIVALATMLLLIDASLRAVATYATGIAIAAVLYTAPLLPHNSVTGWIIATSALVGYWLARIGTCIALAYWMITSTTVSELITAFRQLHAPRAFIIPLAVVFRFIPVAFQEFRGVLEALALRGFSGSALWLHPVHTAEKLIVPVLSASARIADDLAAAALIRGLGAPGTPTSVVRLRFSLVDALTIAVVAAITVYAFWGGALL</t>
  </si>
  <si>
    <t>MNHVPSRVPAHRLTGRSGLDPRTKLLTITVCNMLAMGAFPSKVLWIIVALATLLLLIEASLRAVATYATGIAIAAVLYAAPLLPHNSVTGWIIATSALVGYWLARIGTCIALAYWMITSTTVSELITAFRQLHAPRAFIIPLAVVFRFIPVAFQEFRGVLEALALRGFSGSALWLHPVRTAEKLIVPVLSASARIADDLAAAALIRGLGAPGTPTSVVRLRFSLVDALTIAVVAAITVYAFWGGALL</t>
  </si>
  <si>
    <t>GC_00003377</t>
  </si>
  <si>
    <t>MPTPTITLTLPPAASPPILYPVANCSETFTARRVPCRHDRYTITNADHTTFPLVPGDVVIAGSVGGGVSGGGVSAAAGAARADTSTLCGAGVASTHRLIVTTIIRLQPGNLVYGDTPTDPEQRAKLRAFLQRRAYSCHVGRLFFTSYWPPAFDTGTFRDFFTACPAPIHHYVHMTCRARRDTLLRDTDVESAEWVNRLLPTTSDDADGTHGVHVVLRQQDPVWLFLTLVDAYRRAYPDLAAAATWSETAAWVLNSPDAALLRRSLRDVGLLEALCGEARQLLGGEQS</t>
  </si>
  <si>
    <t>MPTPTLTLTLSPAASPPILYPVVNCSETLTARRVPCRHDRYTITNADHTTFPLVPGDIVIAGSVGGGVGGGGASAGGGAARADTLTLCGAGVASTHRLIVTTIIRLQPGNLVYGDAPTDPEQRAKLRAFLQRRAYSCHVGRLFFTSYWSPAFDTGTFRDFFTACPVPIHHYVHMTCRARRDTLLRDTDVEFAEWANRLLPTTSDDADGTHGVHMVLRQHDPVRLFLTLIDAHRHAYPDLAAAATWSETAAWVLNSPDAALLRRSLRDVGLLEALCGEAGQLLGGEQS</t>
  </si>
  <si>
    <t>GC_00003378</t>
  </si>
  <si>
    <t>MTLKPTVPVRLTLIIPGVAIIAALVAYFHWTPPTIVAALAALALIGWAAWGCTVRITVDDTTVLLVAPLWSREIPLDSIESVQVIPDDGRNRGWINWIVTKSRAGVRINAGGTAAVVITARAETCTIVCPTPEQARLCAQLFDA</t>
  </si>
  <si>
    <t>MTLKPTVPVRLTLIIPGVAIIAALVAYFHWTPPTIVAALAALALIGWAAWGCTVRITVDDTTVSLVAPLWSREIPLESIESVQVIPDGGHNRGWVNWIVTKSRAGVRINAGGTAAVVIAARAETYTIVCPTPEQARLCAQLFDA</t>
  </si>
  <si>
    <t>GC_00003379</t>
  </si>
  <si>
    <t>K15523</t>
  </si>
  <si>
    <t>protein-ribulosamine 3-kinase [EC:2.7.1.172]</t>
  </si>
  <si>
    <t>KEGG Orthology (KO)&gt;&gt;&gt;09190 Not Included in Pathway or Brite&gt;&gt;&gt;09191 Unclassified: metabolism&gt;&gt;&gt;99980 Enzymes with EC numbers|Enzymes&gt;&gt;&gt;2. Transferases&gt;&gt;&gt;2.7  Transferring phosphorus-containing groups&gt;&gt;&gt;2.7.1  Phosphotransferases with an alcohol group as acceptor&gt;&gt;&gt;2.7.1.172  protein-ribulosamine 3-kinase</t>
  </si>
  <si>
    <t>MHYSQLPAELTDGLTITGVTPLSGGDISQAFRVDTPDTSYFLKAHQKPKKQMFEREARGLKALRDTVPETLGVPEVVRASSRGLMLEWIEEGGRTFTSEADLGTSLAELHQVPQPHFGGIDGDDSGFLGSVEVDLTPTQSWPDFYVYRRVQPLITQATAMGAVPSGVQRLFDELLPKAVDLCGPDEPPALVHGDLWGGNRLVDVEGRNWLIDPAAYYAHREVDLAMMLLFGGFGKDAFIAYNNTYPLADGWHERVPWYQLPPLLVHAILFGGGYGASVVRVLTDLAG</t>
  </si>
  <si>
    <t>MHYSQLPAELTDGLTITGVTPLSGGDISQAFRVDTPDTSYFLKAHQKPKKQMFEREARGLKALRDTVPETLGVPEVVRASSRGLMLEWIEEGGRTFTSEADLGNSLAELHQVPQPHFGGIDGDDSGFLGSVEVDLTPTQSWPDFYVYRRVQPLITQATAMGAVPSGVQRLFDELLPKAVDLCGPDESPALVHGDLWGGNRLVDVEGRNWLIDPAAYYAHREVDLAMMLLFGGFGKDAFIAYNNTYPLADGWHERVPWYQLPPLLVHAILFGGGYGASVVRVLTDLAG</t>
  </si>
  <si>
    <t>GC_00003380</t>
  </si>
  <si>
    <t>MANILLPTSKAQVSGYKFLMRRAQHGVVLGDIRMIHDPLARRHRALYAGAAMATVLGLGAGAMAVLNPAINPGEAPIVASESGALYVRIDATLHPVTNLASARLITGEATQPVRASDSVLATIPRGVPVGIPDAPGMIAPEPPGDTHWSACHHEAGVLGALPHVSVQVGHPAEHLRDNEALVAEVAGHFYLVTNKGRAQLPAENTPEGRVIRRRLGITPDVFVWRPPRELLNVIAEQPPLHIPNNVREVLVSDGGAWVRYENGIQPITSFQHDILRDANIKETRVNAGILAEHPDAPPAPITLPTEPLMLIHLRPESRVCATDADGVVSVDAEDLVDDAHSTQPRRGVALSGDSLARTYVGPGTGVGVDSGHGYFVVSDTGITHRVASHEELEALGVRTPATAPWSIIRLLPSGSQLAKKQAMLPTY</t>
  </si>
  <si>
    <t>MANILLPTSKAQVSGYKFLMRRAQHGVVLGDIRMIHDPLARRHRALYAGAAMATVLGLGAGAMAVLNPAINPGEAPIVASESGALYVRIDATLHPVTNLASARLITGEATQPVRASDSVLATIPRGVPVGIPDAPGMIAPEPPGDTHWSACHHEAGVLGALPHVSVQVGHPAEHLRDNEALVAEVAGHFYLVTNKGRAQLPAENTPEGRVIRRRLGITPDVFVWRPPRELLNVIAEQPPLHIPNNVREVLVSDGGAWVRYENGIQPITSFQHDILRDANIKETRVNAGILAEHPDAPPAPITLPTEPLMLIHLRPESRVCATDADGVVSVDAEDLVDDAHSTQPRRGVALSGDSFARTYVGPGTGVGVDSGHGYFVVSDTGITHRVASHEELEALGVRTPATAPWSIIRLLPSGSQLAKKQAMLPTY</t>
  </si>
  <si>
    <t>GC_00003381</t>
  </si>
  <si>
    <t>MKIYRTFLTPQPEEIIAACAAGHSVCVPPNMLDFATGDVASFAGYPTGNHHQLVKASEARLAAQQGARLIIAVPSIISGAMPGTTSTGIHEPLMAEIVLLREAVPHPTTLAIMIDTQKFDDAQALALATVAKTSGADAICTGVTESRPHSHPVLASMLPVIAIGRSSACAQDATIWLNTDINSAE</t>
  </si>
  <si>
    <t>MKIYRTFLTPQPEEIIAACAAGHSVCVPPNMLDFATGDVASFAGYPTGNHHQLVKASEARLAAQQGARLIIAVPSIISGAMLGTTSTGIHEPLMAEIVLLREAVPHPTTLAIMIDTQKFDDAQALALATVAKTSGADAICTGVTESRPHSHPVLASVLPVIAIGRSSACAQDAAIWLNTDINSAE</t>
  </si>
  <si>
    <t>GC_00003382</t>
  </si>
  <si>
    <t>PF04465.17</t>
  </si>
  <si>
    <t>Protein of unknown function (DUF499)</t>
  </si>
  <si>
    <t>COG1483</t>
  </si>
  <si>
    <t>MALNNRERITRAFDLLQEGLHDLVDEVMTRYFHTSDWPERMAAQDAQRYGRERRRLEKTDPQVQLRAITEYSREFSRELSRGQQSLASELRDTRNEWAHGAAFNSDDTGRALDTIERLLRAVNSMDSANDVRKLREDLQRTVYEDRTRKRSKPTNTASISASKGLKPWREIIHPHDDVARGDFTASEFAADLHDVSKGQASSEYGDPIEFFSRTYLTEGLRDLLTRALRRLSGDANASPVVNLQTNFGGGKTHSMLALYHLFSGTKKDDFPQEIQDLIQDAGNPRLDDLGVRRVTLVGTYLQAGSPSIKEDGTEVHTLWGELAWQLGGRDAYNIVAGADRSGTNPGEALHTLISAHGPVLILIDEWVAYARQLVTDKELPAGSFDTQFTFAQSLTETVRGIPGAMLVVSIPASDGGKDGRGTDIEVGGTNGQLALERLQNVIRRVADQWRPSSRDESFEIVRRRLFKEPDAQGLADIAVVARQFVTMYRNNAPSFPRDVATTNDYEHRIRASYPLHPELLDRLYEDWSTLERFQRTRGVLKLVSSIVHELWVNNNDAAPLILPGNVPLSATRVNTDLTQYLEDQWKPIIDSDIDGVGSTAQRIDADRPALGERSITQRIARTIFIGAAPRSKTSHKGLDKQYLWLGTAIPGDPLGNFGTAVEQISQRSTYFYEEQGLYWFDTQPSVAKAARDHAEQLREDPDTAWNEIVRRLKASEGKGRGFFSHIHIAPDTAADIPDMDTVRLVIVHPRLRRRKKDGAESEVVKWIRAAVESKGAAQRTHRNTLVFLVADSDELERLENTTRNYLGWKMVQDSAEQLNLSKQQSNQADSWVKRLNDTINSNIRSTYMWMVYPEQIDPTRPFELVAEKTSDSDGKTLTERVFTKIKRDGQLITELAPTMLGMTLHSELGALWDRVDDMTVGDLWGYFTQYAYMPRLASRTVLDDALRSVIDVMLMPGEQFALATGKDE------------------------EGHYQGLILPPSSAATPPVVTDNTLVVKWEVAKAQLDAD------DALEAAYEDG--------EVIMASDHS--ETTIVSWPASRVTVVNNDAVSGVGGSEAEASSTAAVELPDIHYTGSVVIKSDRYVRMVNNIIEEVIDRLVGSGADLEITMNIHATKPKGFTETEKRIISENSQTLKFGHYRFERG</t>
  </si>
  <si>
    <t>MALNNRERITRAFDLLQEGLHDLVDEVMTRYFHTSDWPERMAAQDAQRYGRERRRLEKTDPQVQLRAITEYGREFSRELSRGQQSLASELRDTRNEWAHGGAFNSDDTSRALDTIERLLRAVNSMDSANDVRKLREDLQRTVYEDRTRKRSKPTNTASISASKGLKPWREIIHPHDDVARGDFTASEFAADLYDVSKGQASSEYGDPIEFFSRTYLTEGLRDLLTRALRRLSGDANASPVVNLQTNFGGGKTHSMLALYHLFSGTKKDDFPQEIQDLIQDAGNPELDTLGVRRVTLVGTYLQAGSPSIKEDGTEVHTLWGELAWQLGGREAYNIVAGADRSGTNPGEALHTLISAHGPVLILIDEWVAYARQLVTDKELPAGSFDTQFTFAQSLTETVRGIPGAMLVVSIPASDGGKDGRGTDIEVGGTNGQLALERLQNVIRRVADQWRPSSRDESFEIVRRRLFKEPDAQGLADIAVVARQFVTMYRNNAPSFPRDVATTNDYEHRIRASYPLHPELLDRLYEDWSTLERFQRTRGVLKLVSSIVHELWVNNNDAAPLILPGNVPLSATRVNTDLTQYLEDQWKPIIDSDIDGVGSTAQRIDADRPALGERSITQRIARTIFIGAAPRSKTSHKGLDKQYLWLGTAIPGDPLGNFGTAVEQISQRSTYFYEEQGLYWFDTQPSVAKAARDHAEQLREDPDTAWNEIVRRLKAAEGKGRGFFSHIHIAPDTAADIPDMDTVRLVIVHPRLRRRKKDGAESEVVKWIRAAVESKGAAQRTHRNTLVFLVADSDELECLENTTRNYLGWKMVQDSAEQLNLSKQQSNQADSWVKRLNDTINSNIRSTYMWMVYPEQIDPTRPFELAAEKTSDSDGKTLTERVFTKIKRDGQLITELAPTMLGMTLHSELGALWDRVDDMTVGDLWGYFTQYAYMPRLASRTVLDDALRSVIDVMLMPGEQFALATGKDSGDFGQGLGGLGARSGLAAGAAREGAAHYQGLILPPSSAATAPVITDNTLVVKWEVAKAQADAEAAEAELAAQQAAAEQGSGAEGSRDQAVLRGDLSDGETLTASYHGEPSTVGTRPSPNASVGSGGLSGGPTVVELPDTHYTGSVVINSDRYVRMVNNIIEEVIDRLAGSGADLEITMNIHATKPKGFTETEKRIISENSQTLKFGYYGFERG</t>
  </si>
  <si>
    <t>GC_00003383</t>
  </si>
  <si>
    <t>-------------------MGSWWRSGKVATLLLIVLLAMLAGRYLGGPGLGGNNVFDSIGIFGDKNTRAMKSWLKEQGSVEKASVSSDKGYRYSLEAKATMKKDASPDDVCALLEGAAAKARTGLENPLRYGDDFTIDLTWDYQSGTSMEFDNMLSATLNNLQEEELVKKHCALVDIGAEEVGPEIRDIKVSDHGIWVQRDTVNEVPASLSSRSLQGINTDDTYYHDYYNVHQWYVISETALASEESGDGSDLV</t>
  </si>
  <si>
    <t>MGARQFYRQKYIAFGKIALMGSWWRSGKVATLLLIVLLAMLAGRYLGGPGLGGNNVFDSIGIFGDKNTRAMKSWLKEQGSVEKASVSSDKGYRYSLEAKATMKKDASPDDVCALLEGAAAKARTGLENPLRYGDDFTIDLTWDYQSGTSMEFDNMLSATLNNLEEEKLIKKHCALVDIGAEEVGPEIRDIKVSDHGIWVQRDTVNEVPASLSSRSLQGINTDDTYYHDYYNVHQWYVISETALASEESGDVSDLVKRITQTPQQEQKFVASLEINTLKKPTGGDKPHVKVRLGTDADHKKLTVASAAPVLAEIMGDTRFSYVQLCNWEETDTGVGCVEYQMADGVVDATSGAPHPLAQKIYDTAAALKLPAD</t>
  </si>
  <si>
    <t>GC_00003384</t>
  </si>
  <si>
    <t>K03586</t>
  </si>
  <si>
    <t>cell division protein FtsL</t>
  </si>
  <si>
    <t>MTTNYRIRDTRIRSGRPINTYTPYRPTRSARSLTRTRQSQDHSRNDTALLVEDRPSRTGTSGRAIPTVPTQAPPRRRMQRKAGSQQVFSNRGKRIVRQRVDPSRIRFVLALTLLLGAGVFIAMMLSKISTEQSFEMQELQHHESTLQNQVETLNRDLQNASATAEIARQAKDLGMVIPDQPGILAKNESGDIHEQRAPGTVTRPIVDVNGQQVRPQVASSDPKATNEVSQRLNEAPRITPRTSNVAPYISNRN</t>
  </si>
  <si>
    <t>MTTNYRIRDTRIRSGRPINTYTPYRPTRSARSLVRTQQSQDHSRNDTALLVEDRPSRTGTSGRAIPTVPTQAPPRRRMQRKAGSQQVFSNRGKRIVRQRVDPSRIRFVLALTLLLGAGVFIAMMLSKISTEQSFEMQELQHHESTLQNQVETLNRDLQNASATAEIARQAKDLGMVIPDQPGILAKNESGDIHEQRAPGTVTRPIVDVNGQQVRPQVASSDPKATNEVSQRLNEAPRITPRTSNVAPYISNRN</t>
  </si>
  <si>
    <t>GC_00003385</t>
  </si>
  <si>
    <t>MVTPRLGRKTGPKPKFTSEDAVMAALRLGIDRFTIAGVATQLGVATSAVYRLFDNRDALVHACLAHAGRSMTPPPNGLSWQDILRHAAEEVWACCEKYPGLDITIFQFPSAFTHIEDYLRNIVGQLVAAGLSEEQAAFAFDFIGDTTIACHIGVAALRQVGDDGRTGIEVVRDRTTHTSVFVPDPSWTDRGTLDRKVEFIIRGMEKEVEG</t>
  </si>
  <si>
    <t>MVTQRLGRKTGPKPKFTSEDAVIAALRLGIDRFTIAGVATQLGVASSAVYRLFDNRDALVHACLAHAGRSMTPPPDGLSWQDILRHAAEEVWACCEKYPGLDITIFQFPSAFTHIEDYLRNIVNQLVKTGLGQEQAAFAFDFIGDTTIACHIGVAALRQVGDDGRTGIEVVRDRTTHTSVFVPDPSWTDRGTLDRKVEFIIRGMEREVEG</t>
  </si>
  <si>
    <t>GC_00003386</t>
  </si>
  <si>
    <t>----------------------MALGRDQVHYPGSMSNTPPPSNPGLDLESEVLYQIYPQSFADSNGDGIGDLAGITSKLDYLADLGITMIWLNPIFDSPFKDAGYDVRDYYQIAPRYGTTEDLVTLVEQAHRRGLKVLLDLVPGHTSEEHAWFQQSARPEPNEFSDRYIWTEHAFDNGAGLPFIGGEYDRNGTYILNFFKSQPALNYGFHQRNRPWQQSPDAPGPMATRQAMVEVMKHWLELGCDGFRVDMADS</t>
  </si>
  <si>
    <t>MAAPPGPQLRRSAAPATLGWPWVALGRDRVHYPGSMSNTPPPSNPGLDLESEILYQIYPQSFADSNGDGIGDLAGITSKLDYLADLGITMIWLNPIFDSPFKDAGYDVRDYYRIAPRYGTTEDLVTLVEQAHRHGIKVLLDLVPGHTSEEHAWFQQSARPEPNEFSDRHIWTEHAFDNGAGLPFIGGEYDRNGTYILNFFKSQPALNYGFHQRNRPWQQSPDAPGPMATRQAMVEVMKHWLELGCDGFRVDMADSLVKFDTEDKQATIAVWQDMIGRVRAMYPNAILVSEWGKPELAHEAGFDMDFYLDWGDNGYHLLTRESPDPLDRTHDRSFFAQHSDTPATDFIVQYEPLYRHGLFNIISGNHDTPRLAPRLTEAERMAFFFFLLTMPGVPTIYYGDEIGMEYVKIPTKEGGYARTGSRTPMQWDSTQPNYGFSTAAPESLYLPVSGGPSVDKQPQLLALTRQLIAIRRTTPALQASAPLEFLPTPHPRLLAYRRSHLTIVINPSAQPLDYPDANGTMVAGIGGAELTEAGLHLPPTAAAIVDTDK</t>
  </si>
  <si>
    <t>GC_00003387</t>
  </si>
  <si>
    <t>MTKLRCASLLSVVAVCVIGTLASCAASPGPAPIEESNNEATQPTTTTTTPRKQAKELALGIDPVHSGFNPHLLADDSRFIQTLARLTLPSIFVDGRLNTDLVVMVEELNRNGEVVSVTNAQHPEGHTSQSVSAARPTSTSTTAKPADSNDAETDKPAPVKTVRYRLASGAQWSDGTPITVADFEYLWSSMLNTPGTLNPAGYWAITDIRSSGGGKTIEVDFNKDIAEWRTLFDHILPSHVLRGVSFATALSSTIPVSAGKFTMKSYDRNRGLITLNRNDRFWGKEPALVENLNFREIRSTDQGIELIQNGQISFMDVTPTETSKEAYSLVPGTQVRTETDKYGLEIVANSHLPKPLRKELRSIIDPGLITRIAYNRRTDLTLVDKPGGTTTGSGMSLETTTEAAEPTVTGETGATGTGETPENTTDPIGLQTLNRPLIIGVDPSDPVVASAAKTLVNSLIRHGVRVTMKSADTNELMQTLIPRGQVDAVVAKSGANLADSYACPNIGLLGSNRSGFCQADTQILINEYLTGKKTEDELTEHLAHLETDEALRTVIAIDTRLEVLGTGVTGPDPDLNQWPRGYATVDTWHSKN</t>
  </si>
  <si>
    <t>MTKLRCASLLSVVAVCVIGTLASCAASPGPAPIEESNNEATQPTTTTTTPRKQAKELALGIDPVHSGFNPHLLADDSRFIQTLARLTLPSIFVDGRLNTDLVVMVEELNRNGEVVSVTNAQHPEGHTSQSVSAARPTSTSTTAKPADSNDAETDKPAPVKTVRYRLASGAQWSDGTPITVADFEYLWSSMLNTPGTLNPAGYWAITDIRSSGGGKTIEVDFNKDIAEWRTLFDHILPSHVLRGVSFATALSSTIPVSAGKFTMKSYDRNRGLITLNRNDRFWGKEPALVENLNFREIRSTDQGIELIQNGQISFMDVTPTETSKEAYSLVPGTQVRTETDKYGLEIVANSHLPKPLRKELRSIIDPGLITRIAYNRRTDLTLVDKPGGTITGSSMSLETTTEAAEPTVTGETGATGTGETPENTTDPIGLQTLNRPLIIGVDPSDPVVASAAKTLVNSLIRHGVRVTMKSADTNELMQTLIPRGQVDAVVAKSGANLADSYACPNIGLLGSNRSGFCQADTQILINEYLTGKKTEDELTEHLAHLETDEALRTVIAIDTRLEVLGTGVTGPDPDLNQWPRGYATVDTWHSKN</t>
  </si>
  <si>
    <t>GC_00003388</t>
  </si>
  <si>
    <t>MSVLPTQQGTEPATRLIAPDFARGLTLLGIAMANVTTAWLSPRAPLPGASSGGILNNSVWDKVTIVLENMFVHVRGLPMFATLMGYGVGMIAMSLYRKQYPIGKARGVLARRYGFLALFGAFHMVFIFFGDIMFLYGCVGILLGLMIGVSDKVMLWIAGGVAAFWVVFAVAGAILVAIFSDSITNISNSNSQNSFLAQTQSGIANTYPEVLQTGALALLAQAIIFFLVVAPLIPVMILGFVAARHNVLGRVEEFKKQLLIAAFVSGFIIIGIGMPLGFSDIGVFSNKVNSSFALMNTMIGIYTGPGFVAMAALATLPLQRRINAGGQQGETPKIPLFVRMICALGKRSMTGYLLQSIVFFIITAPFILNYGHDRGAFFSTIIAIGVWLVTLFAAWIMELLGKPGPFEAVHRRLSYGKNGLYSQYPGGLIAPMQPLHVQPYASHHDGPSTPAPRPGHFQPPVDR</t>
  </si>
  <si>
    <t>MSVLPTQQGTEPATRLIAPDFARGLTLLGIAMANVTTAWLSPRAPLPGASSGGILNNSVWDKVTIVLENMFVHVRGLPMFATLMGYGVGMIAMSLYRKQYPIGKARGVLARRYGFLALFGAFHMVFIFFGDIMFLYGCVGILLGLMIGVSDKVMLWIAGGVAAFWVVFAVAGAILVAIFSDSITNISNSNSQNSFLAQTQSGIANTYPEVLQTGALALLAQAIIFFLVVAPLIPVMILGFVAARHNVLGRVEEFKKQLLIAAFVSGFIIIGIGMPLGFSDIGVFSNKVNSSFALMNTMIGIYTGPGFVAMAALATLPLQRRINAGGQQGETPKIPLFVRMICALGKRSMTGYLLQSIVFFIITAPFILNYGHDRGAFFSTIIAIGVWLVTLFAAWIMELLGKPGPFEAVHRRLSYGKNGLYSQYPGGLIAPMQPLHVQPYAPHHDGPSTPAPRPGHFQPPVDR</t>
  </si>
  <si>
    <t>GC_00003389</t>
  </si>
  <si>
    <t>COG0296|COG3281</t>
  </si>
  <si>
    <t>1,4-alpha-glucan branching enzyme (GlgB) (PDB:4LPC) (PUBMED:25871919)|Predicted trehalose synthase (Ble)</t>
  </si>
  <si>
    <t>MERIAKIHPTATLSPTKDEILHQQFGPVTSIGAFRFVDPNGKVGIETLLVRETTNGALLQFPVTYREQCISDTHEVGTTEHSDLGTRHITKVVADPVAVTEIIRVILEGDTNVQRSDGKTSPYKIHGTGTAGVDTLTLDNIHLKKIADTVVTGHIDVNGDHKAFSLSLPTQVPVIPAVAADKSGMPETALIGVDPETGDHYVFAELTI</t>
  </si>
  <si>
    <t>MERIAKIHPTATLNPTKDEILHQQFGPVTNIGAFRFVDPNGKVGIETLLVRE-TDGALLQFPVTYREQRISDTHEVGTTEHSHLGTRHITKIVADPVAVTEIIRVILEGDTNVQRSDGKTSPYEIRGTGTAGVDTLTLGNIHLKKIADTVVTGHIDVNGNHKAFSLSLPTQVPVIPAAAADKNGMPETALIGIDPETGDHYVFAELII</t>
  </si>
  <si>
    <t>GC_00003390</t>
  </si>
  <si>
    <t>MGEQHRRTMDEHLQAALALVAPLQHTAQVSTRDLNDHHGIVVARDVMSAAAIPPFTNSAMDGFLVRSTDLAGDGPWTFPVSGDIPAGSPPVPVPAGHAVRIMTGAPVPEDPDTKDDELYVIPIENTDARNDVMPTTVTVKDYNPHRAHIRYRGEHVQPGDVVTHAGTRIDAGVIATLISAGVEQVELYPRPTVCVITSGDEVGDARNAWGIPNSNGPMLVAAAHASGAIPTHRHVRDDAAAVHAAIDTAASEFDLVVTVGGVSAGAYDVVRAVGGTADMWFGPVDIQPGKPQGLGTWNGTPVMCLPGNPVAAYVSFFLFVVPVLHTLAGMPAPHSVWDLPHVSAFVSDDFPQPGPRTRFIPVQLTWGEHGATATLPHGGTGSHMVATLAGVHGLAVLPAESEPHDPTSVAVLFV</t>
  </si>
  <si>
    <t>MGEQHRRTMDEHLQAALALVAPLQHTAQVSTRDLNDHHGIVVARDVMSAAAIPPFTNSAMDGFLVRSTDLAGDGPWTFPVSGDIPAGSPPVPVPAGHAVRIMTGAPVPEDPDTKGDELYVIPIENTDARNDVMPTTVTVKDYNPHRAHIRYRGEHVQPGDVVTHAGTRIDAGVIATLISAGVEQVELYPRPTVCVITSGDEVGDARNAWGIPNSNGPMLVAAAHASGAVPTHRHVRDDAAAVHAAIDTAASEFDLVVTVGGVSAGAYDVVRAVGGTADMWFGPVAIQPGKPQGLGTWNGTPVMCLPGNPVAAYVSFFLFVVPVLHTLAGMPAPHSVWDRPHVSAFVSDDFPQPGPRTRFIPVQLTWGEHGATATLPHGGTGSHMVATLAGVHGLAVLPAESESHDPTSVAVLFV</t>
  </si>
  <si>
    <t>GC_00003391</t>
  </si>
  <si>
    <t>MSKDTTPKISRETVPQYFSRGWICVSRGWDSIAIEKFLPIPDRVMPHSGGAADVLYRRDRVKEIEDSFEFKVDTWRRRGLYRDGETLTHILQQFYVDPNFIGLSKVGLLRAALWHYVEREYPDESPEIQKYQVGLLGDCPTDTKERLMVNYLRHMGTNYEQLVSATEGRRDFYVFILWQALNRIAEEYPYLQKECRRQLALKRNETGDFNPPRGHAPYVTRAHKHRLARRADRKWRRKYQHL</t>
  </si>
  <si>
    <t>MSKDTTPKISRETVPQYFSRGWICVSRGWDSIAIEKFLPIPDRVMPHSGGAADVLYRRDRVKEIEDSFEFKVDTWRRRGLHRDGETLTHILQQFYVDPNFIGLSKVGLLRAALWHYVEREYPDESPEIQKYQVGLLGDCPADTKERLMVNYLRHMGTNYEQLVSATEGRRDFYVFILWQALNRIAEEYPYLQKECRRQLALKRNETGDFNPPRGHAPYVTRAHKHRLARRADRKWRRKYQHL</t>
  </si>
  <si>
    <t>GC_00003392</t>
  </si>
  <si>
    <t>MRGGGVFKAAVAFAVGIVVGCLGLAPSLAGSADSRVAGLSTAVAQARGELEAARAQLRSADSVVLDVGRETLAGTLAERSVMVVYAGGVRDADVTKVRGLLADAGARDAGSMRLREEFFTPAMKNIASNVLPAGATLSEDKLDVGTHAGEVLGSLVFRSSATDEERASGLGTLRNAGFLTYGDGGVKPADAVVLIVGPDVPTEFLTRFAPALGSRGGGLVVAGDTGSAQLAALQGRVVTVDSIDWATGQFAVVRQVALLVPPNDPDSVGDAE</t>
  </si>
  <si>
    <t>MRGGGVFKAAVAFAVGIVVGCLGLAPSLAGSADSRVAGLSTAVAQARGELEAARAQLRSADSVVLDVGRETLAGTLAERSVMVVYAGGVRDADVTKVRGLLADAGARDAGSMRLREEFFTPAMKNIASNVLPAGATLSEDKLDVGTHAGEVLGSLVFHSSATDEERASGLGTLRNAGFLTYGDGGVKPADAVVLIVGPDVPTEFLTRFAPALGSRGGGLVVAGDTGSAQLAALQGRVVTVDSIDRATGQFAVVRQVALLVPPNDPDSVGDAE</t>
  </si>
  <si>
    <t>GC_00003393</t>
  </si>
  <si>
    <t>MRASVIFGYVLVETLVFYAVAKWLGVGTALLLLLGVFFGGFLVALWQMSRLGRLAQRRGLSPRDSSRLLGDMGLVAAGTVGVALPGFVSSVVGLVLIVPVTRAVVRRVVAKQLQERISVAGARSFARVYQSRPRTSYGSFGGQSAPIVVDESEIVEWSKSVKPEDFAGPRGSSDNDSGKDVKG</t>
  </si>
  <si>
    <t>MRASVIFGYVLVETLVFYAVAKWLGVGTALLLLLGVFFGGFLVALWQMSRLGRLAQRRGLSPRDSSRLLGDMGLVAAGTVGVALPGFVSSVVGLVLIVPVTRAVVRRVVAKRLQERISVAGARSFARVYQSRPRTSYGSFGGQSAPIVVDESEIVEWSKSVKPEDFAGPRGSSDNDSGKDVKG</t>
  </si>
  <si>
    <t>GC_00003394</t>
  </si>
  <si>
    <t>MGTKRKTYDYDIPTIFFHCVGGGSCIALLLGYFLLDKNVNTGMKFFLYWTCASILAFTAGFYLRTISGISGWGFFSIIFASSEIFAGLVIQGLAMTYLFVTYQPGPDQISQIYAFSWILVIAVIHALWALEDGTDQGVVWNPFYEAIGKSLGIDSGNLSILMFKLSVFITIGLWATIAALIGNGGGNVMDANLQFFLQWTGMSILALILGILLAGIISHSNQTPKISEVTIRITHIINYFLRSPFFAGVILQSLAMTYLFANMHQPNLDQMMQIRILSWVLFAVAISVIFCITTSNFSNSSSRNPPHKSSHLATRISTLSAIGLWITIAILLGSQ</t>
  </si>
  <si>
    <t>MGTKRKTYDYDIPTIFFHCVGGGSCIALLLGYFLLDKNVNTGMKFFLYWTCASILAFTAGFYLRTISGISGWGFFSIIFASSEIFAGLVIQGLAMTYLFVTYQPGPDQISQIYAFSWILVIAVIHALWALEDGTDQGVVWNPFYETIGKSLGIDSGNLSILMFKLSVFITIGLWATIAALIGNGGGNVMDANLQFFLQWTGMSILALILGILLAGIISHSNQTPKINEVAIRITHIINYFLRSPFFAGVILQSLAMTYFFANMHRPNPGQMMQIRILSWVLFAVAISVIFCITTSDFSSSGSRNPPHKSSHLATQISTLSTIGLWIAIAALIGSQ</t>
  </si>
  <si>
    <t>GC_00003395</t>
  </si>
  <si>
    <t>MVPAITKPTLLHLLHRVPFRSATIISPRGSHLTGWIFLGLISFFQPLGYIAADTKHDLLANPGRFLAGAQSAWTDTFTLGQLQNQAYGYLFPHGAFFWLFDALPDAFTQRLWWWLVLGVGYSGFLLLLRRIADTSGGLAGSFTTGFAMGAAFLYALSPRVLSTLTTISSETWPVMLAPWVLWPLITRRLTLRSVTMSVLAIGMMGAVNATATLAACTPAGIFLLWRLMVAFRWRLIGLTMMWGLGAVLISLWWILPLLVLGRYASPFTDYIENATVVTRWLNLAEILRGTTSWSPFVDAERQAGHALATDPYLIIFTLAVAGLGLYGLSRVRNLRGFWFTLLGIGLIVLGGAHHVTGFLDGAGVALRNIHKFDPLVRLPLLVGFAQLWQLFPAPKLTQPGAPGGPPKPVGASVGARQFLMAWLPRHPRRAAALALILLVSISAVSPAWAGRLLPLGAYRSVPDYWAKAAEFLNHEAHGTRTLILPASSFARQTWGWTRDEPAQPLLDVPWAVRDAIPLVTPEAIRGLDGVSAYPTPENLARLGIGAVIVRHDLARSTRNMSAERLFPQAKIHRFGEVEVVILNRNLGMTVVDSDRIPTVAGGGESLALLGSGAYRLVGQGASIVTDTPLLVGRNYGSLNSVSAPLADAAEAKDVHNRVIDYPSVGPFTKVVESGGQVRASSSAGDATSFAGSRPGRAVTAAVDGLATTAWWPRPGTQRGEWIELQPDTPLADPVLEVLLTASKPVRAEVIVTADGRKVTKRMKTGERVKIPIPGGMASKVRLTLGAAAAPIGVAELGIEHAPITRNVTVPDTSPQVRQFVFNQVFSYTEQLQRRFTVPRTMRVRVDLSACVQRVYVDGARHECGDTITLTPGVHQIRTGAQILKLTEVGFDPTGAPTTPLTHLKPATRERLIITNRAANDGLIGTLDGTPLTPTTINSGIQAFIVPPGHGGEFRLSFAGDHTYRQGLIIGSITAGITALLCAIATVRRRQARHEVLHITGGTYGTVIICGGLALTTGWPILILIPLTWLVLRYTLIGRGLLIAATMTMTAMWLARAPWPAANYAGDSPLLACACAIAVITMCISLRRGSPEYPQPKTPKSAPPPGPHSAHPAPEPAPAPPPADAPPQAPPPA</t>
  </si>
  <si>
    <t>MVPAITKPTLLHLLHCVPFRSATIISPRGSHLTGWIFLGLISFFQPLGYIAADTKHDLLANPGRFLAGAQSAWTDTFTLGQLQNQAYGYLFPHGAFFWLFDAFPDAFTQRLWWWLVLGVGYSGFLLLLRRIADTSGGLAGSFTTGFAMGAAFLYALSPRVLSTLTTISSETWPVMLAPWVLWPLITRRLTLRSIVMSVLAIGMMGAVNATATLAACTPAGIFLLWRLMVAFRWRLIGFTMMWGLGAVLISLWWILPLLVLGRYASPFTDYIENATVVTRWLNLAEILRGTTSWSPFVDAERQAGHALATDPYLIIFTLAVAGLGLYGLSRVRNLRGFWFTLLGIGLIVLGGAHHVTGFLDGAGVALRNIHKFDPLVRLPLLVGFAQLWQLFPAPKLTQPDAPSGPPKPVGASVGARQFFAAWLPRHPRRAAALALILLVSVSAVSPAWAGRLLPLGAYRSVPNYWAKAAEFLNHEAQGTRTLILPASSFARQTWGWTRDEPAQPLLDVPWAVRDAIPLVTPEAIRGLDGISAYPTPENLARLGIGAVIVRHDLARSTRNMSAERLFPQAKIHRFGEVEVVILNRNLGMTVVDSDRIPTVAGGGESLALLGSGAYRLVGQGASIVTDTPLLVGRNYGSLNSVSAPLADAAEAKDVHNRVIDYPSVGPFTKVVESGGQVRASSSAGDATSFAGSRPGRAVTAAVDGLATTAWWPRPGTQRGEWIELQPDTPLADPVLEVLLTASKPVRAEVIVTADDRKVTKRMKTGERVKIPIPGGMASKVRLTLGAAAAPIGVAELAIAHAPITRNVTVPDTSPQVRQFVFNQVFSYTEQLQRRFTVPRTMRVRVDLSACVQRVYVDGARHECGDTITLTPGVHQIRTGAQILKLTEVGFDPTGAPTTPLTHLKPATRERLIITNRAANDGLIGTLDGTPLTPTTINSGIQAFIVPPGHGGEFHLSFAGDHPYRQGLIIGSITAGITALLCAVAMVRRRQARHEVLHITGGTYGAVIVCGGLALTTGWPILILIPLTWLVLRYTLIGRGLLITATMTMTAMWLARAPWPAANYAGDSPLLACACAIAVITMCISLRRGSPEYPQPKTPKSAPPPGPHSAHPEPEPAPAPPPADAPPQAPPPA</t>
  </si>
  <si>
    <t>GC_00003396</t>
  </si>
  <si>
    <t>MNKTVQVMAIFCCVGLLAAACSSSESGQSTGNGSDSGSQQTSSALGASRSEPQKPQVIEDLDYSGIGASQQFFDHSDTVIVTDMSRAAQLRGASIGVTVGAPVLMDAGTNARQITDEVRRLGASTVLLVQNARIDAPDGVTVVRDPLTWDGLKQLTGKDMADKPVATIDEAVAGAAELNANAPVDLIPSWEPPLAATESNQVGELPKSQPKAGENPPVVVATRDSSISAVATARAHGAEVTYLDAPDLRTSPELVKKARERGYVIALGRQFGSAEYIDGVLSFTNTTYLPNNRMIALYGNPISPGLGVMGEKPPAESAEHAKKLASDYAPFSEQPVVPAFEIIATVAHTDPGEDGDYSSETDPAAIRPYIDAITQAGGYAVIDLQPGRGSFLEQAKKYQELLELPNVGLALDPEWKLGPNEKPLSRVGNTTAAEVNETTEWLAGLTREKNLPQKVLILHQFQVGMIQNREQLNINHPELAFVVHIDGNGTPGEKMETWNAIRNGLDPRIFVAWKNFIDEDKPMFDPRAVMDVAPQPWFVSY-</t>
  </si>
  <si>
    <t>MNKTVQVMAIFCCVGLLAAACSSSESGQSTGNGSDSGSQQTSSALGASRSEPQKPQVIEDVDYSGIGASQQFFDHSDTVIVTDMSRAAQLRGASIGVTVGAPVLMDAGTNARQITDEVRRLGASTVLLVQNARIDAPDGVTVVRDPLTRDGLKQLTGKDMADKPVATIDEAVAGAAELNANAPVDLIPSWEPPLAATESNQVGELPKGQPKAGENPPVVVATRDSSISAVAIARAHGAEVTYLDAPDLRTSPELVKKARERGHVIALGRQFGSAEYIDGVLSFTNTTYLPNNRMIALYGNPISPGLGVMGEKPPAESAEHAKKLASDYAPFSEQPVVPAFEIIATVAHTDPGEDGDYSSETDPAAIRPYIDAITQAGGYAVIDLQPGRGSFLEQTKKYQELLELPNVGLALDPEWKLGPNEKPLSRVGNTTAAEVNETTDWLAGLTREKNLPQKVLILHQFQVGMIQNREQLNINHPELALVVHIDGNGTPGEKMETWNAIRNGLDPRIFVAWKNFIDEDKPMFDPRAVMGLDPQPWFVSYQ</t>
  </si>
  <si>
    <t>GC_00003397</t>
  </si>
  <si>
    <t>MTVENNTKKTVATTDGLAGTADPVTSTMQLFTEVPGFTALSFATAAAFGAFSLMLPVIPLAVILTTGSDTLAGATTMVFMAVTVATQLVTNRIIRRYGYRRVMLAAAFLLGVPTLWYLVSMDTASLLLVAAVRGMGFGSLCVAQFALVAHIAPPGALGKASGIIGLFTGAAQMVGLPAGLWLSEHVGNSVVFIAGALVALVAAGLAVLIHNPAPEPVISRPKPPLEHGRKQLRMREKLRGGTLWVLAAPAVAMTTVAMGYGALSSFLPATVKDVDPVQGASFAGLLLAVVGGAQMIARYVCGAWADRVGKPGSLMFVGQGLVIASLVGMVGIISGGLPLGWLLVSATLFGCGFGFVSTEAMLEMFMRVPRGRIGQASTVWNAAFDTGTGSGAILLGLVAAWQGYTAIFLVSALVVIVGAIAEIGDRRGRRRALSRGGKSVF</t>
  </si>
  <si>
    <t>MTVENNTKKTVATTDGLAGTADPVTSTMQLFTEVPGFTALSFATAAAFGAFSLMLPVIPLAVILTTGSDTLAGATTMVFMAVTVATQLVTNRIIRRYGYRRVMLAAAFLLGVPTLWYLVSMDTASLLLVAAVRGMGFGSLCVAQFALVAHIAPPGALGKASGIIGLFTGAAQMVGLPAGLWLSEHVGNSVVFIAGALVALVAAGLAVLIHNPAPEPVISRPEPPLEHGRKQLRMREKLRGGTVWVLAAPAVAMTTVAMGYGALSSFLPATVKDVDPVQGASFAGLLLAVVGGAQMIARYVCGVWADRVGKPGSLMFVGQGLVIASLVGMVGIISGGLPLGWLLVFATLFGCGFGFVSTEAMLEMFMRVPRGRIGQASTVWNAAFDTGTGSGAILLGLVAAWQGYTAIFLVSALVVIVGVIAEIGDRRGRRRALSRGGKSVF</t>
  </si>
  <si>
    <t>GC_00003398</t>
  </si>
  <si>
    <t>PF10936.14</t>
  </si>
  <si>
    <t>Protein of unknown function DUF2617</t>
  </si>
  <si>
    <t>MIEFTIPQKDVSADALGLCLGGPAPEDQLADTVFIPADQSDDGQRLCLRLCIIGASHVAELLDRENTVVLREEVSCAAQQHGGEPLRDVQELTMPHSHGQYRFHAEHLRYSPEGFTAAATDLCAVFDDDWLVGTFPGEGKYHITALFGMPQHDGWLWDTYHLYPNDYTVVHTTSTFQPLSQRTTTS</t>
  </si>
  <si>
    <t>MIEFTIPQKDVSADALGLCLGGPAPEDQLADTVFIPADQSDDGQHFCLRLCIIGASHVAELLDRENTVVLREEVSCAAQQHGGEPLRDVQELTMPHSHGQYRFHAEHLCYSPEGFTAAATDLCAVFDDDWLVGTFPGEGKYHITALFGMPQHDGWLWDTYHLYPNDYTVVHTTSTFQPLSQRTTTS</t>
  </si>
  <si>
    <t>GC_00003399</t>
  </si>
  <si>
    <t>MGEFTQRMVVWAHRYQLRRAERWQKYYDLSATKFLTWRTLRRRKALIVVYYLTIAVMLACCVAQLWWQNWLVVWALCTPVAMIALRILRFSIRLKDSAPDDFLDEYEYAVITTWRSISLKLLGYLMLPIVYALAFIPLFIPEITVQMTFTIALLLTLIIVITMTLPTVAYAITFTDGAESESDSGNGGYQ</t>
  </si>
  <si>
    <t>MGEFTQRMVVWAHRYQLRRAERWQKYYDLSATKFLTWRTLRRRKALIVVYYLTIAVMLACCVAQLWWQNWLVVWALCTPVAMMALRILRFSIRLKDSAPDDFLDEYEYAVITTWRSISLKLLGYLMLPIVYALAFIPLFIPEITVQMTFTIALLLTLIIVITMTLPTVAYAITFTEGTESESDSGNGGYQ</t>
  </si>
  <si>
    <t>GC_00003400</t>
  </si>
  <si>
    <t>MKFLLLSSMRNHLGRLLATALAVMLSVAFIVTTLITMASYTDSITKSLTAELANTDVWVGPQPNALNNELERKLVKDVEKIRELPGVAAVSPRTMAMGEVNHDGRRSNARLLAQVDPSLQWNSLAQGEWPTKPDEVSISEGTAETMKVSVGDKMVVTPLGVSEPVTVRVVGITSGSSAMDMGIPVLTLTHEGLAALQSPTMATTELLVHATPGTTTPELVSSIKQTVSDENLQVLTREEAADRQVKQLSGSSSSLLAMLAAFAGLSLIVAGYVIANTFQVLVAQRIKELALLRCIGAESRQVRTLILAEAALVGLVASAVGTLLGIGISALFVQLAKGSGFTIDHLVVPGYAPLAGLVAGTLATVACAYGAARKATQVRPITALQPMEATTQNTVPRARIILGSLLVLAGVAGLVLAARGTGGDAAIFLGIGAGMVCLVGVLMLGAVVLPPLIHRVGMLISPLGPTTELAAANSMRNPLRTAATATSLLIGVTVLVLLVTGITSTRESITSEIDTQRPIDLVVRTTDSFTPAEITGIKQTQGITATASLESAPITAATSGGDKKLMAQGMDQTQLDQVLHAPKQLAPEPGHMKANTHDFPGMRSGDTVTVFGNTGSLPVALDLSDKGENGEVALNQADLAKLSTKLHTNQMYMKVDSGLSAQQIQTIVSDLNSLNPHFQVGGGAQERADYIKILDTVLVVMISLLAVAIIIAIVGIGNTTALSIIERRRESAMLRAVGLERRQLVVMVMIEAALTAVVAAICGTILGVAFGWSGILSISASMAKLPLHLYVPWSQIGLIVVGAGVAGLVAAALPALGASRRRPIQDLATI</t>
  </si>
  <si>
    <t>MKFLLLSSMRNHLGRLLATALAVVLSVAFIVTTLITMASYTDSITKSLTAELANTDVWVGPQPNALNNELERKLVKDVEKIRKLPGVAAVSPRTMAMGEVNHDGRRSNARLLAQVDPSLQWNSLTRGEWPTKPDEVSISEGTAETMKVSVGDTMVITPLGVSKPVTVRVVGITSGSSAMDMGIPVLTLTHEGLTALQSPTMATTELLVHATPGTTTPELVSSIKQTVSDENLQVLTREEAADRQVKQLSGSSSSLLAMLAAFAGLSLIVAGYVIANTFQVLVAQRIKELALLRCIGAESRQVRTLILAEAALVGLVASAVGTLLGIGISALFVQLAKGSGFTIDHLVVPGYAPLAGLVAGTLATVACAYGAARKATQVRPITALQPMEATTQNTVPRARIILGSLLVLAGVAGLVLAARGTGGDAAIFLGIGAGMVCLVGVLMLGAVVLPPLIHRVGMLISPLGPTTELAAANSMRNPLRTAATATSLLIGVTVLVLLVTGITSTRESITSEIDTQRPIDLVVRTTDSFTPAEITGIKQTQGITATASLESAPITAATSGGDKKLMAQGMDQAQLDQVLHAPKQLAPEPGHMKANTSDFPGMHSGDTVTVFGDTGSLPVTLDLSDKGENGAVALNQADLAKLSTKLHTNQMYMKVDSSLSAQQIQTIVSDLNSLNPHFQVGGGAQERADYIKILDTVLLVMISLLAVAIIIAIVGIGNTTALSIIERRRESAMLRAVGLERRQLVVMVMIEAALTAVVAAICGTILGVAFGWSGILSISASMAKLPLHLYVPWSQIGLIVVGAGVAGLVAAALPALGASRRRPIQDLATI</t>
  </si>
  <si>
    <t>GC_00003401</t>
  </si>
  <si>
    <t>MVHRAMLKPKLTTIFDRSANPLNATMEPLKKQNGVYAENATCMVNGNMIILALMRTASTIPNL</t>
  </si>
  <si>
    <t>MVHRAMLKPKLTTIFDRSANPLNATMEPLKKQNGVYAENATCMVNGNMIILALMRTASAIPSL</t>
  </si>
  <si>
    <t>GC_00003402</t>
  </si>
  <si>
    <t>MPGATPPGDTDQHPTHMGVAWHYGNPLTEQRHCATGALVDRSHRTVIRVSGPDAATFLHNLLSQKLDDVPDGFSASALNLDGQGRILHYLDVTKVKDAFYLDISAVDAESLVDYLRAMVFWSQVEITVTDLGILSIIGAEVPEVGGEFSRQLPFGAWVRHDMFVPRGALVDVAKRIIEQGIEPMGLMAYTAERVRAGLPERSLDLDDKSIPHEVPALINRGERIAAVHLDKGCYRGQETVARVENLGRPPRLLTLVHLDGSAPTLPTPGTPIVMGPATGRQRTVGRIGTVIHDHEFGPIALALLKRAALTSQALTAGESAILVDPDFIPAEEQSQAGRAAINRLRGSETQQ</t>
  </si>
  <si>
    <t>MPGATPPGDTDQHPTHMGVAWHYGNPLTEQRHCATGALVDRSHRTVIRVSGPDAATFLHNLLSQKLDDVPDGFSASALNLDGQGRILHYLDVTKVKDAFYLDISAVDAESLVDYLRAMVFWSQVEITVTDLGILSIIGAEVPDVGGEFSRQLPFGAWVRHDVFVPRGALVDVAKRIIEQGIEPMGLMAYTAERVRAGLPERSLDLDDKSIPHEVPALINRGERIAAVHLDKGCYRGQETVARVENLGRPPRLLTLVHLDGSAPTLPTPGTPIVMGPATGRQRTVGRIGTVIHDHEFGPIALALLKRAALTSQALMAGESAILVDPDFIPAEEQSQAGRVAINRLRGSETQQ</t>
  </si>
  <si>
    <t>GC_00003403</t>
  </si>
  <si>
    <t>MGRMCTNVLSQIDLRHTLRGSRYSVVTMSFPRDLRIGIPAVLGGLLVVLRCVQVSQRTLYWDDLVIPARFSPLSFTGLFGLYDNHLMPGSALVQVLVARAAPLSWWLPALIIVLLTAASFLLWVCALRALAPDRPMMRLIGLALLGFSPFLMDAAGWWSTAINAYAWQCACAGVLWLVLRKHPWFAAIVLLVGLVFTEKSLTIMPVIVVLLLIIGKIRSHKLPIFLLMVVTAGWLAVYLPRINFGLGGTTRTVTFGLPTALFQAIIPGAFGGPWQWSRWIPGKAFADPSMALSIIAVIVLFALMFPAALRRPQRVLLLIPTLGYLITIWFFLFTARGGEETSETLLRSMHYYVDWWSMTVLVGVAGLRLHNTTIIKVFTWVFVVSSMVSTGTWIVVWHTDPSREYLPNVRAALAREGDTILNQQTPLEVLTPLMHPYNWVSAIAGITPVNATTQPRVFDAHGLLHPARVEPVSRSQLGPEPECGYRVYSGGSVDIPINPGVPFGEWVWEFNSLASTDGMKVTITTPNGLEPIAATNSRAITVPAPTELGTKWVRVPGGGQILRVVVTGPNPQAHVCIGAGALGPLVPVG</t>
  </si>
  <si>
    <t>---------------------------MSFPRDLRIGIPAVLGGLLVVLRCVQVSQRTLYWDDLVIPAKFSPLSFTGLFRLYDNHLMPGSALVQVLVARAAPLSWWLPALIIVLLTAASFLLWVCALRALAPDQPMMRLIGLALLGFSPFLMDAAGWWSTAINAYAWQCACAGVLWLVLRKHPWFAAIVLLVGLVFTEKSLTIMPVIVVLLLIIGKIRSHKLSIFLLVVVTAGWLAVYLPRLDFGLGGTTRTVTF</t>
  </si>
  <si>
    <t>GC_00003404</t>
  </si>
  <si>
    <t>MIAVAAAPGDRPLMREAIGEVFRTTRHHRSERISDVARRANVSPQYLSEVERGVKDPSSEIVESISTALDLPVSDVLRQAARRIDTHQVCGFLPVAA</t>
  </si>
  <si>
    <t>MIAVAAAPGDRPLMREAIGEVFRTTRHHRSERISDVARRANVSPQYLSEVERGVKDPSSEIVESISTALDLPVSDVLRQAARRIDTHQVCNFLPVAA</t>
  </si>
  <si>
    <t>GC_00003405</t>
  </si>
  <si>
    <t>MTAETNPPNLDVDLDVTSPEFKIAHDRLVEVFAHRSARGTENPDEPDTVQAMQIALNLPKQHPPSRHDLLAAAAQAVVAVCLNPQAGADGEWSAALNRWYDHRIRKVTRRARNTGWQAVQNLPGVTSSVHGAQARAFIPSAVHEVEPLIRKLQIKGTDLPLADHQPPPRADTPTIYVDAGLGMSLGKAAAQVGHGSMLLAAHQPFDWVQSWARRGFELCVVETDPDVFAQLVDAPGAVTIRDIGYTEVAPNTATVVASPRP</t>
  </si>
  <si>
    <t>MTAETNPPNLDVDLDVTSPEFKIAHDRLVEVFAHRSARGTENPDEPDTVQAMQIALNLPKQHPPSRHDLLAAAAQAVVAVCLNPQAGTDGEWSAALNRWYDHRIRKVTRRARNTGWQAVQNLPGVTSSVHGAQARAFIPSAVHEVEPLIRKLQIKGTDLPLADHQPPPRADTPTIYVDAGLGMSLGKAAAQVGHGSMLLAAHQPFDWVQSWARRGFELCVVETDPDVFAQLVDAPGAVTIRDIGYTEVAPNTATVVASPRP</t>
  </si>
  <si>
    <t>GC_00003406</t>
  </si>
  <si>
    <t>MATLGRMNLFLTSYFAKVAHLLPTISDKPLAECTIAFIPTAAAVEDVDFYVAEARQALADLGATIREVDIASADAATVAAAIDAADCIYVSGGHTFYLLKQLRDSGAGSLIVKAVRQGTTYIGESAGSAVAADDCVYIHPLEDPESFDFHSMTDFAGLSLTTTRVLPHKHNPMFESAVDQAIAAHPEVLAITDSQAVHITGSDHASETIMVVSG</t>
  </si>
  <si>
    <t>MATLGRMNLFLTSYFAKVAHLLPTISDKPLAECTIAFIPTAAAVEDVDFYVAEARQALADLGATIREVDIASADAATVAAAIDAADCIYVSGGHTFYLIKQLRDSGAGSLIVKAVRQGTTYIGESAGSAVAADDCAYIRPLEDPESFDFHSMTDFAGLSLTTTRVLPHKHNPMFESAVDQAIAAHPEVVDITDSQAVHITGSDHGSETIMVVSG</t>
  </si>
  <si>
    <t>GC_00003407</t>
  </si>
  <si>
    <t>MKRAYAAAVMVASGLLAPAVMPAAQAQATPNDTAQDNQKNSGSTAHRVPPFDPGYWTPDRMRNAKPAPMPIDTSDVSKQADPIRINDDGDIVRNDSVTHTVPPFDPGYWTPERMRDAEPAPMPSFPEGQKPVENDDSVTHTVPPFDPGYWTPERMRNAQPVENGVGYNYKILKDFFKTIRG</t>
  </si>
  <si>
    <t>MKRAYAAAVMVASGLLAPAVMPAAQAQATPNDTAQDNQKNSGSTAHRVPPFDPGYWTPDRMRNAKPAPMPIDTSDVSKQADPIRINDDGDIVRNDSVTHTVPPFDPGYWTPERMRDAEPAPMPSFPEGQKPVENDDSVTHAVPPFDPGYWTPERMRNAQPVENGVGYNYKILKDFFKTIRG</t>
  </si>
  <si>
    <t>GC_00003408</t>
  </si>
  <si>
    <t>MRSTATSTVDTPVSPPAPGMATRRYCTLVAAVLNTKTARKLISFGVKMVQKSPAVWRRIPPIYIDETAHPVTSNQDYDVPRLAKRVFDEAPRVERWFIESPCMRRIVEVQVMLPPRPEEPAPMLYLLDGVTAPRRSGWLREGQLEKGLNNEQVIVVMPTEASGSLYENWVADDPEVGRHQWDTFLTQELPNIMEDPTTGLKFNGRRIIGGLSMGASGAIRLAAKHPEFYHGAIGLSGCYSTTSAMGRGMTLAILRCVGSDPDNAWGTGPTPTWARDDVSTNPEGLRNIPVYLFAADAHITKYDIELHTGRTRLDLPGATILEYASYTSTRDLERAMINAGMTHQVVHYQYGGVHAWEYYGDQLKAGWDAVYKSQVS</t>
  </si>
  <si>
    <t>MRSTATSTVDTPVSPPTPGMATRRYCTLVAAVLNTKTARKLISFGVKMVQKSPAVWRRIPPIYIDETAHPATSNQDYDVPRLAKRVFDEAPRVERWFIESPCMRRIVEVQVMLPPKPEEPAPMLYLLDGVTAPRRSGWLREGQLEKALNNEQVIVVMPTEASGSLYENWVADDPEVGRHQWDTFLTQELPNIMEDPTTGLKFNGRRIIGGLSMGASGAIRLAAKHPEFYHGAIGLSGCYSTTSAMGRGMTLAILRCVGSDPDNAWGTGPTPTWARNDVADHPEGLRNIPVYLFAADAHITKYDIELHTGRTRLDLPGATILEYASYTSTRDLERAMINAGMTHQVVHYQYGGVHAWEYYGDQLKAGWDAVYKSQVS</t>
  </si>
  <si>
    <t>GC_00003409</t>
  </si>
  <si>
    <t>MTSQTNHDNPLHQRRQIIINNLKLFLLWTGGSVLAVFLGFMLRLGSGLDGWLGLFFIMAIPYMLVIIIIQSTIMTCFLSHLKKRNPDRMPRLYRLSWYLFAVVANAVWAPSDFGDQDTIWHPAYGRFSGIVFLLSVFIAIVLWGIIAVMALNSRSAMKFFIIWLSISTVVCGVILFVTKTIPLIILPIYVLVMLQSVIVTVCYSKALHHSHEK</t>
  </si>
  <si>
    <t>MTSRTNHDNPLHQHKQGIINSLKYFLLWTGGSVLAVSLGFIFRLGSGLDGWLGLFFIMAIPYMLIIIIIQSTIMTCFLTYLKKRNPDRMPQLYRLSWYLFAVVANAVWAPSDFGDQDTIWHPAYGRFSGIVFLLSVFIAIVLWGIIAVMALNSRSAMKFFIIWMSISTVVCGIILFVTKTIPLIILPIYILVMLQSVIVTVCCSKALHHSHEK</t>
  </si>
  <si>
    <t>GC_00003410</t>
  </si>
  <si>
    <t>MPRRPQPFWPDRSPAFLKLRRAVRALASSEDPVLIGLSGGADSLGLVAAALAEGRDVLALCVDHGLQPDSATVADRAVAMARSLGAEARSVKVQVKPGNIEAQAREARYKALMTAAAAEGRSVWVAHTMDDQAETYLLGSLRGRAVGMPVSGTVIRPFLSVRRADTVAACAELGLEVWHDPMNADPRFRRVRVRTEVLPLLADIHGGDPVPPLAAAASLARDDAAALDAQAIATAQVAEIACLPVALRRRAYLALVDAPLGPRHLEAIDSLVMDWHGQGPVAVAGFQVRRQGAELRVIPRST</t>
  </si>
  <si>
    <t>MPRRPQPFWPDRSPAFLKLRRAVRALASSEDPVLIGLSGGADSLGLVAAALAEGRDVLALCVDHGLQPDSATVADRAVAMARSLGAEARSVKVQVKPGNIEAQAREARYKALMTAAAAESRSVWVAHTMDDQAETYLLGSLRGRAVGMPVSGTVIRPFLSVRRADTVAACAELGLEVWHDPMNADPRFRRVRVRTEVLPLLADIHGGDPVPPLAAAASLARDDAAALDAQAIATAQVAEIACLPVALRRRAYLALVDAPLGPRHLEAIDSLVMDWHGQGPVAVAGFQVRRQGAELRVIPRST</t>
  </si>
  <si>
    <t>GC_00003411</t>
  </si>
  <si>
    <t>MTYNGNANVIILGHGSVFEEIRSHVADLVAMNQVRRSFWIDTATGLSDAAVRVLEYRDSGSQAFINLDQALREITGVKLVIALDTLDDISDRQFDALDTWTYAIETRVSGRVSKVRLLVPRLPLPTTPVDWDRWSAWSTIAIAPEDSDSPHSSASPINHADDPFTVAKVVAPTIVSLAGLWSSSTSVPLLEASGQEISSGQSGSFRLARAYHRSVDASEVEEELLKRVVDISEQLPLTNLADGRQAVYINDAGPVNEYAERLLHQHHSSLLSAMMPENNQGTIRQEGFAAVRSFLKEFFLAVVGTPTMWKQALTNTVSERVAKNIQNGLYGEKSVVEVVIGNSSGKSVSLDNLQNSSLMIQERTRQQGFVVEPPPSLSVLWEGYTSAALTLVDGADRLQDDLAGPRDHNGNPAIVRKGNDSVPDVTESFDGYHPVLADISGMSPEDSRVLPFDVYGAQRFKSELDYALSQTADASVTRVNNEFAAWREKMSTSFAWRTGEKLLGLLDQARTNARNSWYRLGELQHYLKELTSRDYDAENRKLAKTLRYLTFTWVVLFFIEIYCTGRYYQPDWRFFLPSWEGIDWRWALFLVFITTVVIMGIQMQIFMRARRGIIDEIERKKLLESNLTIASDNYLNANNDVVRIASAYYQFLSWSTLLGRVISQPFGKPHKEASAPPIPTDGMPRSTQLGRAVVDDNAMVSLVNDVRSKMFQTSWAGTALTAFVDDVFTIIKQKEGINPSRIKELYGQPGFRSNSTLDRLCTWAIGPEMAARDRIHENWETAISDQSVIAHINQALNTVEYYENNELKRVPREQFLFALQQADVSQSRFSNASVSPVGVNRGATNVEPAFSHTDAKDPSSANLTRFVTVSQFGPAVPLGYLVGTGKARTSGPVEFHVPDSADTQTNPFGLGGAGAPSFNFDDSDGTI</t>
  </si>
  <si>
    <t>MTYNGNANVIILGHGSVFEEIRSHVADLVAMNQVRRSFWIDTATGLSDAAVRVLEYRDGGSQAFINLDQALREITGVKLVIALDTLDDISDRQFDALDTWTYAIETRVSGRVSKVRLLVPRLPLPTTPVDWDRWSAWSTIAIAPEDSDSPHSSASPINHADDPFTVAKVVAPTIVSLAGLWSSSTSVPLLEASGQEISSGQSGSFRLARAYHRSVDASEVEEELLKRVVDISEQLPLTNLADGRQAVYINDAGPVNEYAERLLHQHHSSLLSAMMPENNQGTIRQEGFAAVRSFLKEFFLAVVGTPTMWKQALTNTVSERVAKNIQNGLYGEKSVVEVVIGNSSGKSVSLDNLQNSSLMIQERTRQQGFVVEPPPSLSVLWEGYTSAALTLVDGADRLQDDLAGPRDHNGNPAIVRKGNDSVPDVTESFDGYHPVLADISGMSPEDSRVLPFDVYGAQRFKSELDYALSQTADASVTRVNNEFAAWREKMSTSFAWRTGEKLLGLLDQARTNARNSWYRLGELQHYLKELTSRDYDAENRKLAKTLRYLTFTWVVLFFIEIYCTGRYYQPDWRFFLPSWEGIDWRWALFLVFITTVVIMGIQMQIFMRARRGIIDEIERKKLLESNLTIASDNYLNANNDVVRIASAYYQFLSWSTLLGRVISQPFGKPHKEASAPPIPTDGMPRSTQLGRAVVDDNAMVSLVNDVRSKMFQTSWAGTALTAFVDDVFTIIKQKEGINPSRIKELYGQPGFRSNSTLDRLCTWAIGPEMAARDRIHENWETAISDQSVIAHINQALNTVEYYENNELKRVPREQFLFALQQADVSQSRFSNASVSPVGVNRGATNVEPAFSHTDAKDPSSANLTRFVTVSQFGPAVPLGYLVGTGKARTSGPVEFHVPDSADTQTNPFGLGGAGAPSFNFDDSDGTI</t>
  </si>
  <si>
    <t>GC_00003412</t>
  </si>
  <si>
    <t>MVDIMNILILGGTAWLSSTIARTATGRGHHVTCAARGTDTPPQGCAFIPLDRNQPDAYATLPNITWDAVVDVTTSRDFAADAITNICTNQWVYVSSASVYADMSDPNRDETTPLVSPEGADTPGNFPAAKVACEQQFPPETTCIIRPGLIGGAGDPTGRSGYYPWRFTHPTGPEVLAPDRRMPVALIDVTDLAAWIVHCMEHQVMGVFNAVGPAHTLNDVYELSPIPVREVPTDALLSAGINQWLGPTSLPLWLADPNLQYAMVFDSTAARNHGLTTRPLAETLQAAAQTFQPGTSGLTDEEERELRAYLTASTSE</t>
  </si>
  <si>
    <t>MVDIMNILILGGTAWLSSTIARTATGRGHHVTCAARGTDTPPQGCAFIPLDRNQPDAYATLPNITWDAVVDVTTSRDFAADAITNICTNQWVYVSSASVYADMSDPNRDETTPLVSPEGADTPGNFPAAKVACEQQFPPETTCIIRPGLIGGAGDPTGRSGYYPWRFTHPTGPEVLAPDRRMPVALIDVTDLAAWIVHCMEHQVMGVFNAVGPAHTLNDVYELSPIPVREVPTDALLSAGINQWFGPTSLPLWLADPNLQYAMVFDSTAARNHGLTTRPLAETLQAAAQTFQPGTSGLTDEEERELRAYLTASTSE</t>
  </si>
  <si>
    <t>GC_00003413</t>
  </si>
  <si>
    <t>MYFGAGNLIFPPILGAQSGEGFSLAIVGFLLTGVALPVVAVIAIARTGSDIFDLSMRGGKVFGVAFPVLVYLAIGAFYALPRTAVVSYSTAIVPLTGWSSGIASTAFFVGFFAVALALAFNPHGLIDKLGKWLTPALLILLVVLVALAAMQLHPTETDAINKFATHPLSTGLIEGYFTMDSLASLAFGILVVSALRHSTKTTGSTLARLVSIAACGAGLLLGLIYVGLGLVGHLIPNSHSYSNGAELLAAAAEQTMGRTGLIIFGAIVLLACMTTAVGLIGATSEFFNRLLPGVSYRAWAVIFSLVSFAVSTTGLETVLSIAGPIIGFLYPSAITLVLLTLLEPLLPVRLHYGFRFALTVSVVWAALMSLSDIGLSFLEPLISWSPAHAQQLGWVVPTLVLAAVGFAVDMVRKKETTEAEPETSTADESAEASV</t>
  </si>
  <si>
    <t>MYFGAGNLIFPPILGAQSGGGFSLAIVGFLLTGVALPVVAVIAIARTGSDIFDLSMRGGKIFGVAFPVLVYLAIGAFYALPRTAVVSYSTAIVPLTGWSSGIASTAFFVGFFAVALALAFNPHGLIDKLGKWLTPALLILLVVLVALAAMRLHPTETDAINKYATHPLSTGLIEGYFTMDSLASLAFGILVVSALRHSTKTTGSTLSRLVSIAACGAGLLLGLIYVGLGLVGHLIPNSHSYSNGAELLAAAAEQTMGRTGLIIFGAIVLLACMTTAVGLIGATSEFFNRLLPGVSYRAWAVIFSLVSFAVSTTGLETVLSIAGPIIGFLYPSAITLVLLTLLEPLLPVRLHYGFRFALTVSVVWAALMSFSDIGLSFLEPLISWSPAHAQQLGWVVPTLVLAAVGFAVDMVRKKETTEAEPETSTADESAEASV</t>
  </si>
  <si>
    <t>GC_00003414</t>
  </si>
  <si>
    <t>MDKRTLHDVLGHADELIALREHVHSLLSTLDAHAVVEGVDVQGVDKRFFPASRVRWPQHINAHAELSSRPGAYDTLRWFMDDTAAVPQLRASAADATASFLRRLFGGVDVNRAIADANALAQRVSDPVRYADVRMLLGIASTADAQPTDPLSGPGPRAIGQALNMPGAQVESYDGYAIFQVQSQVRALLDDPNSEPNLRRTADTHVRALNEGRAHELMAQMPVDSLKTVTKDRLRFGNLHSIGVTTVADVLRASAAALTAANGVGEQTAIRMKAAAQTLLNEAMSTSTPLIGDAPTPPAVALVRILARYEQCADVLGEVERDRRDRLVELCTQLPPSFATEPWLVAYTDPTAYAQAHDDMAWMIANPSLFQPRYPVDPGDDVWQDYLQRPAHYQSLLGSLLRIEAEGIDERQDAATLQRIRSLELDTTHVKNLFLRGYQSYGARFAVVQQKTILGDEMGLGKTIQAIAFAAHLYANGLRRIVVVCPASVMVNWKRELNAFCTMEVFVAHGPSKEFYRNSWASADSGGVLLCTFDGARVLDLSDSDVVIVDEAHAVKNPRSKRAQAVASVIAQCKYALLLTGTPMENRVSEFATLVGYVQPELITRGMESMSAEHFRRRVAPAYLRRNQEDVLDELPARINNDDWITLTPADQRMYTAAVEQGSFMDIRRAAFLAPGEPAKITRIKEILDDARDNNHRAIIFSYFRTVLDAIAGALDPELVAGVITGATPPNKRQDYVDALGKAPAGSTLLAQITAGGVGLNIQSASVVIIAEPQLKPTIEDQAIARAHRMGQTTAVNVHRLIGDDTVDERLLELLAGKRQLFEHYARPSESAGVADAVDVSEQQLAAAVIKAERQRLGIDNE</t>
  </si>
  <si>
    <t>MDKRTLHDVLGHADELMALREHVHSLLSTLDAHAVVEGVGVQGVDKRFFPASRVRWPQHINAHAELSSRPGAYDTLRWFMDDTAAVPQLRASAADATASFLRRLFGGVDVNRAIADANALAQRVSDPVRYADVRMLLGIASTADAQPTDPLSGPGPRAIGQALNMPGAQVESYDGYAIFQVQSQVRALLDDPNSEPNLRRTADTHVRALNEGRAHELMAQMPVDSLKTVTKDRLRFGNLHSIGVTTVADVLRASAAALTAANGVGEQTAIRMKAAAQTLLNEAMSTSTPLIGDAPTPPAVALVRILARYEQCADVLGEVERDRRDRLVELCTQLPPSFATEPWLVAYTDPTAYAQAHDDMAWMIANPSLFQPRYPVDPGDDVWQDYLQRPAHYQSLLGSLLRIEAEGIDERHDAATLQRIRSLELDTTHVKNLFLRGYQSYGARFAVVQQKTILGDEMGLGKTIQAIAFAAHLYANGLRRIVVVCPASVMVNWKRELNAFCTMEVFVAHGPSKEFYRHSWASADSGGVLLCTFDGARVLDLSDSDVVIVDEAHAVKNPRSKRAQAVASVIAQCEYALLLTGTPMENRVSEFATLVGYVQPELITRGMESMSAEHFRRRVAPAYLRRNQEDVLDELPARINNDDWITLTPADQRMYTAAVEQGSFMDIRRAAFLAPGEPAKITRIKEILDDARDNNHRAIIFSYFRTVLDAIAGALDPELVAGVITGATPPNKRQDYVDALGKAPAGSTLLAQITAGGVGLNIQSASVVIIAEPQLKPTIEDQAIARAHRMGQTTAVNVHRLIGDDTVDERLLELLAGKRQLFEHYARPSESAGVADAVDVSEQQLAAAVIKAERQRLGIDNE</t>
  </si>
  <si>
    <t>GC_00003415</t>
  </si>
  <si>
    <t>MDRRNNYPRRPNIRSAARPSYDGRPLPAEVYYRRRRLAALFALLVIIGVVATLLFIRSNHESATVAVTEPIASTPRATGGAPATPTGSPKATSVSGGGAGSEPAAEVATEVATTPGTAAGTRTGGASGASGAGGKKSVTHTTAASDDAQADDTKDDDAESEAAQAKETCDLSDLKIEASTDHFSYEEGQLPNLYMKVANPTKADCIIDLTDNVIRFEIYTMDTNQLLWSDVDCNDPAETGKQTFKANSERYFKVQWSRTSSAPNACIDREPAPAGDYYMHAAIGKLHTEEGVVHSDAFTFNLQ</t>
  </si>
  <si>
    <t>MDRRNNYPRRPNIRSAARPSYDGRPLPAEVYYRRRRLAALFALLVIIGVVATLLFIRSNHESATVAVTEPIASTPRATGGAPATPTGSPKATSASGGGAGSEPAAEVATEVATTPGTAAGTRTGGTGGASGAGGKKSVTHTTAASDDAQADDTKDDDAESEAAQAKDTCDLSDLKIEASTDHFSYEEGQLPNLYMKVANPTKADCIIDLTDNVIRFEIYTMDTNQLLWSDVDCNDPAETGKQTFKANSERYFKVQWSRTSSAPNACIDREPAPAGDYYMHAAIGKLHTEEGVVHSDAFTFNLQ</t>
  </si>
  <si>
    <t>GC_00003416</t>
  </si>
  <si>
    <t>MGKRNYTSEQSWPKHPKKTVNELFDVAKLHGWTLIEETNHNAFRLTCPAGCCSFRVFSTGRAQENVLKSKRKDIVRCPHSKFADSTVREVTQSLDNLEQLINATNIQMKLTETEKAFDSAQLDTELDELLGKVEDLEESLTSILKKLPTNRARICTTNISEMSQAANDESRNVRSLLKPLSRDRQDVKQCWERLRKLNSQLRSLPS</t>
  </si>
  <si>
    <t>MGKRNYTSEQSWPKHPKKTVNELFDVAKLHGWTLIEETNHNAFRLTCPAGCCSFRVFSTGRAQENVLKSKRKDIVRCPHSKFADSTVREVTQSLDNLEQLINATNIQMKLTETEKAFDSAQLDTELDELLSKVEDLEESLTSILKKLPTNRARICTANISEMSQAANDESRNVRSLLKPLSRDRQDVKQCWERLRKLNSQLRSLPS</t>
  </si>
  <si>
    <t>GC_00003417</t>
  </si>
  <si>
    <t>MAWNGELIVSSVNAVADALQCQRVASESSAWSLLRSSNAPAIAAVFRSVFDGQRRSVTGTEFVEELNPLLVELREEGFDLPRNAVGYISDWVKAGFLIRRSPQGMQEEFYELSTDAITALDYISVLLKPRKSATRSRLSTVAERLTSLAIDTDPDESHVLARLEEEKKQIERRIALVQERGVDVISEDEAREQVENILSLVADIPSDFARVRQATEELDQNLREQILVDELSAAEVLDNVFRGVDVIQDSDEGKSFNGFYELLFDREQSTRLESTLESILSRPFVEDLSTDQRAELRWLLRNLEEPSDEVHNSMTSLARSLRRFVQSREVESQQALASAINHAQALALRLGHQVNPSTKIGVDLELTSRHPSSMSTWVLHDPADFHIEGDMEVAPADVANLAELQARVRDSEIDWAELQANIVSVLTQHQIATVGDVLKTHPATQGLASVVGVLKLAMQHGERIGGTEYVTWDTSQDSQYDGGADTTRTKRAKVLRYRFTPKSLAELGQDQRHVRLVPVSETATKGMHTDG</t>
  </si>
  <si>
    <t>MAWNGELIVSSVNAVADALQCQRVASESSAWSLLRSSNAPAIAAVFRSVFDGQRRSVTGTEFVEELNPLLVELREEGFDLPRNAVGYISDWVKAGFLIRRSPQGMQEEFYELSTDAITALDYISVLLKPRKSATRSRLSTVAERLTSLAIDTDPDESHVLARLEEEKKQIERRIALVQERGVDVISEDEAREQVENILSLVADIPSDFARVRQATEELDQNLREQILVDELSAAEVLDNVFRGVDVIQDSDEGKSFNGFYELLFDREQSTRLESTLESILSRSFVEDLSTDQRAELRWLLRNLEEPSDEVHNSMTSLARSLRRFVQSREVESQQALASAINHAQALALRLGHQVNPSTKIGVDLELTSRHPSSMSTWVLHDPADFHIEGDMEVAPADVANLAELQARVRDSEIDWAELQANIVSVLTQHQIATVGDVLKTHPATQGLASVVGVLKLAMQHGERIGGTEYVTWDTSQDSQYDGGADTTRTKRAKVLRYRLTPKSLAELGQDQRHVRLVPVSETATKGMHTDG</t>
  </si>
  <si>
    <t>GC_00003418</t>
  </si>
  <si>
    <t>MRMKRTPLLVWRSATAAMVVMLGIATMTLTAPPAVAQSSFSSDSGQTYKKSPEGPTEKPLPQPQPSKTPAPSEAPDEQADDTMFHLSDGFHWLEKPGMVIPGAAFVNMRTGGACSSAYIVGNAEGNFMLTAGHCGAVGDRIGVRNNSGHIDQVGTVTLSEFEWAGKRDIALVKIDDMSKVHTEIAKNSRHTDYPGATQKIIGWAGAEWLQKHKPYICRMGHRTGITCGKFDRLESDGLFSFVSFVDRGDSGGPVYAVTDQGLVAVGVTSYKFLYDAGKTRAMLIEDVMNSRALKLVN</t>
  </si>
  <si>
    <t>MRMKRTPLLVWRSATAAMVVMLGIATMTLTAPPAVAQSSFSSDGGQTYKKSPEGPTEKPLPQPQPSKTPAPSEAPDEQDDGTMFHLSDGFHWLEKPGMVIPGAAFVNMRTGGACSSAYIVGNAEGNFMLTAGHCGAVGDRIGVRNNSGHIDQVGTVTLSEFEWAGKRDIALVKIDDMSKVHTEIAKNSRHTDYPGATQKIIGWAGAEWLQKHKPYICRMGHRTGITCGKFDRLESDGLFSFVSFVDRGDSGGPVYAVTDQGLVAVGVTSYKFLYDAGKTRAMLIEDVMNSRALKLVN</t>
  </si>
  <si>
    <t>GC_00003419</t>
  </si>
  <si>
    <t>MFGADLLLASCDYCDYGDGDRIHSSCDASWWGGTGVVCDHHGDCFCWLECADDYSEQSVTTDPWAMDCVFVDSGGGNGGFSDYAASASVNMMKRFSQQDWLDAGLSALSEGGVGAVTIDALCRRVGKTKGSFYSHFPTMSDFIRQLGERWRQTNTDMLIDASERAKPEERRAVLNQLAMSLDHGLEREFRRLAAGDHVAAKILCDVDDRRIEFLAESYRATGVFNDDDALALARVEYAMFLGYQNHMEDRHDEFADSYQRFLRIIGL</t>
  </si>
  <si>
    <t>MFGADLLLASCDYCDYGDGDRIHSSCDASWWGGTGVVCDHHGDCFCWLECADDYSEQSVTTDPWAMDCVFVDSGGGNGGFSDYAASASVNMMKRFSQQDWLDAGLSALSEGGVGAVTIDALCRQVGKTKGSFYSHFPTMSDFIRQLGERWRQTNTDMLIDASERAKPEERRAVLNQLAMSLDHGLEREFRRLAAGDHVAAKILCDVDDRRIEFLAESYRATGVFNDDDALALARVEYAMFLGYRNHMEDRHDEFADSYQRFLRIIGL</t>
  </si>
  <si>
    <t>GC_00003420</t>
  </si>
  <si>
    <t>MKNIRKSAVAAATALALTLGGVAAAHAAE--QGLPTDVAAQQGSSSEGGKSKDAKAVGSSDKYLGEDGKPSAELQKKYEADKAATGVQMSSEEKDANLPKWAKTLRAVTATGLVGSFLGLVVFPIINFLKFQGVIR</t>
  </si>
  <si>
    <t>MKNIRKSAVAAATALALTLGGVAAAHAEEATPKLPTDVATQQGLSSEGGKGKDAKAVGSSDKYLGEDGKPSAELQKKYEADKAATGIQMSSEEKDTNLPKWAKTLRAVTATGLVGSFLGLVVFPIINFLKFQGVIR</t>
  </si>
  <si>
    <t>GC_00003421</t>
  </si>
  <si>
    <t>MDQRRPGGDHDAFAEHTDDVLFDTDVFLTELSKGHDPSEGEDPLAQLLLSFNDEVIYSRAPEPPTIDNAFMGRFDAATEIFEPVTDAASLLDRQPDLSADDGYADDYFEGGAEYADRTEQAEPKDQVDDYDSAVADVVPLESRRRKPRINAFMSGLIGAAAATLVIAGSGAAIYNSQPGSFLWGLNTKLFGDHAAVVELASTLEQVDNLNAKGDTDGALALLEQAKSLIKEINSKDRATLRRDIDQSEQRISTQTVTAAPPTSTTPPTSESEPVPTVTVTVTATVGPNGVVQNQNQSGGGASQVAPTTNPLPQSAPSTAVTSTPASTTGDGGGAQNNNQSNQPPRHISSVPKPSSNEPSQPGANAGSSDP</t>
  </si>
  <si>
    <t>MDQRRPGGDHDAFAEHTDDVLFDTDVFLTELSKGHDPSEGEDPLAQLLLSFNDEVIYSRAPEPPTIDNAFMGRFDAATEIFEPVTDAASLLDRQPDLSADDGYADDYFEGGAEYADRTEQAEPKDQVDDYDSAVADVVPLESRRRKPRINAFMSGLIGAAAATLVIAGSGAAIYNSQPGSFLWGLNTKLFGDHAAVVELASTLEQVDNLNAKGDTDGALALLEQAKSLIKEISSKDRATLRRDIDQSEQRISTQTVTAAPPTSTTPPPSESEPVPTVTVTVTATVGPNGVVQNQNQSGGGASQVAPTTNPLPQSAPSTAVTSTPASTTGDGGGAQNNNQSNQPPRHISSVPKPSSNEPSQPGANAGSSDP</t>
  </si>
  <si>
    <t>GC_00003422</t>
  </si>
  <si>
    <t>MNWVEHAIWWHVYPLGFVGAPIREPEQGIHHRLPRLTNWLDYAVELGTSGLLLNPIFASDSHGYDINNYFEIDPRLGDQADLDVFLAECKNRGLRVLFDGVFSHASKHFDHPELFDLQPDGTPNVFEGHENLLRLNHSNPATVDFVVNVMTHWLGRGIDGWRLDAAYSIATDFWAQVIPRVKEQYPDAWIMGEVIHGDYNEFVEQSKVDSITEYELWKSIWSSISNKNFFELDWTLQRHNDFLHHFTPTIFIGNHDVTRIASYVGTDGAALALAILMTVGGIPTIYYGDELGYLGVKEERPGGDDAVRPEFPEHPGERNHMYRTHQDLIGLRRRNPWLVHATTETLALENPHIAYRSSADGHHIDVNINLDATPPQAHITDETGATLWSSTS</t>
  </si>
  <si>
    <t>MNWVEHAIWWHVYPLGFVGAPIREPEQGIHHRLPRLTNWLDYAVELGTSGLLLNPIFASDSHGYDINNYFEIDPRLGDQADLDVFLAECKNRGLRVLFDGVFSHASKHFDHPELFDLQPDGTPNVFEGHENLLRLNHSNPATVDFVVKVMTHWLGRGIDGWRLDAAYSIATDFWAQVIPRVKEQYPDAWIMGEVIHGDYNGFVEQSKVDSITEYELWKSIWSSISNKNFFELDWTLQRHNDFLHHFTPTTFIGNHDVTRIASYVGTDGAALALAILMTVGGIPTIYYGDELGYLGVKEERPGGDDAVRPEFPEHPGERNHMYRTHQDLIGLRRRNPWLVHATTETLTLENPHIAYRSSADGHHIDVNINLDATPPQAHITDETGATLWSSTS</t>
  </si>
  <si>
    <t>GC_00003423</t>
  </si>
  <si>
    <t>K14161</t>
  </si>
  <si>
    <t>protein ImuB</t>
  </si>
  <si>
    <t>MTVTSEQRFLALWFPDWPAQAVACADHHDNQAPRVVTGEGKNRAVVWVCSASARAMGIRRGMKLRYAQALCPNLEIAGYDQERDACMFEPILAGLDQIAAGVEVLRPGLAVVDAGAAARYHGSEHTAAQLLIDASASAGIDSCAGIAGELFTALIAARVGAVVPPGVGEGRAFLRPLSITLLSAEEALGCDPETVASFQQLGIRTLGELADLPYKKVVTRFGEAGQRCHDIAHAHPSRSIAPPLPTDDLRVMHEPDDPIVRVDVAAFLARQLATALHARLARAGVVCHLLTVRATMANGDTVERTWRTRDALTEHATADRVRWQLDGWLTTRRTGGDWASTSSDDGVVRLELDPVECVAPQQDASGLWGARGEREAAVQRVVARVQSTLGTDAVLQPRHVGGRGPAERIDYVPFGEERPYPRDPDGAWPGRIPAPHPAQGYATAEPGGSCVALYDQHDRAIIVTQDVQLSAQPATLQWGQRRFDICGWAGPWGVDERWWTPHGKTYARLHVAGTETGDDASQKRETAWLLVWSAGRWGIEGSYS</t>
  </si>
  <si>
    <t>MTVTSEQRFLALWFPDWPAQAVACADHHDNQAPRVVTGEGKNRAVVWVCSASARAMGIRRGMKLRYAQALCPNLEIAGYDQERDACMFEPILAGLDQIAAGVEVLRPGLAVVDAGAAARYHGSEHTAAQLLIDASASAGIDSCAGIAGELFTALIAARVGAVVPPGVGEGRAFLRPLSITLLSAEEALGCDPETVASFQQLGIRTLGELADLPYKKVVTRFGEAGQRCHDIAHAHPSRSIAPPLPTDDLRVMHEPDDPITRVDVAAFLARQLATALHARLARAGVVCHLLTVRATMANGDTVERTWRTRDALTEHATADRVRWQLDGWLTTRRTGGDWASTSSDDGVVRLELDPVECVAPQQDASGLWGARGEREAAVQRVVARVQSTLGTDAVLQPRHVGGRGPAERIDYVPFGEERPYPRDPDGAWPGRIPAPHPAQGYTTAEPGGSYVALYDQHDRAIIVTQDVQLSAQPATLQWGQRRFDICGWAGPWGVDERWWTPHGKTYARLHVAGTETGDDASQKRETAWLLVWSAGRWGIEGSYS</t>
  </si>
  <si>
    <t>GC_00003424</t>
  </si>
  <si>
    <t>MLETLWPPSTLQIRAGGLRIVAITDEHLPHVCTMTFADIYGDTIPDHAFTWLFTSTPVAAAQFRWSNRANMSSKKWSLDLAAFNEHTGEFIGAIDLRATNFATTRCISTGSWVLHKHQGRGYGTTIRRAICEYGLVTLGATVMQTVWIAGNHASAAVSAKVGYRVVESVTAPAGPNGTPLPAVLAELRRDDYTPNPDVVITGHTPSLHEFLTGERPGPAPSE</t>
  </si>
  <si>
    <t>MLETLWPPSTLQIRAGGLRIVAITDEHLPHVCTITFADIYGDTIPDHAFTWLFTSTPVAAAQFRWSNRANMSSKKWSLDLAAFNEHTGEFIGAIDLRATNFATTRCISTGSWVLHKHQGRGYGTTIRRAICEYGLVTLGATVMQTVWIAGNHASAAVSAKVGYRVVESVTAPAGPNGTPLPAVLAELRRDDYTPNPDVVITGHTPSLHEFLTGERPGPAPSE</t>
  </si>
  <si>
    <t>GC_00003425</t>
  </si>
  <si>
    <t>MGSPEFRAAARQAGAVWAGFFAMALGLGIVVVQAGLPWWVAPMLSGLVYAGSMEFIMIGLLTGGASWGTIAVTTFFTNSRHIFYGLTYPLHAVRGWWARAYAVFTLADETYALVSALPADARTSRRILTITAGLHLHWLAGSTVGAVFASHMLGTIPGLDFILVGLFAVLAMDVPAQSRDTRTAGLAAACAAVGLVAAPHHMLLVAMTLFAVLLGIRYWL</t>
  </si>
  <si>
    <t>MGSPEFRAAARQAGAVWAGFFAMALGLGIVVVQAGLPWWVAPMLSGLVYAGSMEFIMIGLLTGGASWGTIAVTTFFTNSRHIFYGLTYPLHAVRGWWARAYAVFTLADETYALVSALPADARTSRRILTITAGLHLHWLAGSTVGAVFASHMLGTIPGLDFILVGLFAVLAMDVLAQSRDVSTAGLAAACAAVGLVAAPHHMLLVAMTLFAVLLGIRYRL</t>
  </si>
  <si>
    <t>GC_00003426</t>
  </si>
  <si>
    <t>MPVWPTNTDSQADNNDLIAAVVEYHTTAAGRAPEALATAPATWSLIGEHTDHAGGIVLLSLCQARVAAAISPRPDRTIHVTEYTFDPTTNGFQPETTTAPTLDDTTADTPNTTTTSEPSSAATCTTRAEILSQLVATLIQRQLLSRETAGFDITLTTTIPPQAGIGDDAAIEVATALALAHNVEEIDSPPIRAKLAETCYQAATRSHAIPPLRAPYLVTLRGKDTVINVVDYADYSITEATKNTHPIVESNTTVALLVIPPRHTTKPEELRRRRVFLDEAARAFGVESIRHLPDANTRVLDWLQARHEVQGSDGLPTLIEAQNWLEFQSQELALIRSIGQTLRGRALNRLYPALSQSQSNMSGLYQITGSDEQVAQLCLGRGAFSARSAYSGATSAVIAIVRHDREANFTTDLSDMGLTIMPLYQGRIAELVDIELLTEPPAE</t>
  </si>
  <si>
    <t>MPVWPTNTDSQADNNDLIAAVVEYHTTAAGRAPEALATAPATWSLIGEHTDHAGGIVLLSLCQARVAAAISPRPDRTIHVTEYTFEPTTNGFQPETTTAPTLDDITADTPNTATASEPSSAATCTTRAEILSQLVATLIQRQLLSRETAGFDITLTTTIPPQAGIGDDAAIEVATALALAHNVEEIDSPPIRAKLAETCYQAATRSHAIPPLRAPYLVTLRGKDTVINVVDYADYSITEATKNTHPIVESNTTVALLVIPPRHTTKPEELRRRRVFLDEAARAFGVESIRHLPDANTRVLDWLQARHEVQGSDGLPTLIEAQNWLEFQSQELALIRSIGQTLRGRALNRLYPALSQSQSNMSGLYQITGSDEQVAQLCLGRGAFSARSAYSGATSAVIAIVRHDREANFTADLSDMGLTIMPLRQGRIAELVDIELLTEPPAE</t>
  </si>
  <si>
    <t>GC_00003427</t>
  </si>
  <si>
    <t>MRIHNGTVPDTVLIDTATTHDGVAPLSEQFLRGLSEPELGHTHAYILTDDQVVALAAGDGASWELVVHPAYRRRGLGTALLGSLGESAHVWAHGNLPAAKGLAAARGWASIRELLVMGVDWVPAETQLPDSMVCLNLDESAERFGRDAVLDAWLAANNEAFDWHPEQGGWDRARLDQAMAASWFNSADVLLLWDGDQLAGFHWTKRHSTELGEVYVVGLAAAYRGRGLGDPLVRLGLDHLAEAGMGRIILYVEADNVPAVAAYEKLGFEEVENHVLYAHESAEN</t>
  </si>
  <si>
    <t>MRIHNGTVPDTVLIDTATTHDGVAPLSEQFLRGLSEPELGHTHAYILADDQVVALAAGDGASWELVVHPAYRRRGLGTALLGSLGESAHVWAHGNLPAAKGLAAARGWASIRELLVMGVDWVPAETQLPDNMSCLNLDESAERFGRDAVLDAWLAANNEAFDWHPEQGGWDRARLDQAMAASWFNSADVLLLWDGDQLAGFHWTKRHSAELGEVYVVGLAAAYRGRGLGDPLVRLGLDHLAEAGMGRIILYVEADNVPAVAAYEKLGFEEVENHVLYAHESAEN</t>
  </si>
  <si>
    <t>GC_00003428</t>
  </si>
  <si>
    <t>MKTEIRTGQEADHSDIEDRATKLLTTITDKILRQYKLDDISDLAVARASSTQQTRSVVVVGEVKRGKSSLVNAIVGKRNASPVGVNVTTSTAIALTSETDELREGQACLFYPDGEKIVRLNEVGEWINAGAVRAAQEDADSLPTRATIPIRRMPLEGVTIVDTPGVGGLDPKLSALAKVSVDQACVLVIVCDASTTITKPEMDFIRDTGSEIEAIIVAVTKTDKHLVRWQEIVEQNKKLLREHIGRDIPVVGVSSLLAVIGSEMSMAAGGGKVLELSGINDLNALIAGKFRIAEHLPLANGLRIATKGLRDLSEDLQQRLEILREGDAAVPDLSNRLEELKQLKKEGESWDYYLGRDLTLIRQESMDQLEQKLDTIRESWTERINKNGMAVLRKNPQYFTAEMEREFQTAIGETLTYFSTELENRIVKPRFVDSDVIWEQIRNEVSSAFIGKELQTHTVQTKRQGLLDPMMLMMGMSGGSMLGGVIGTMVSFTGLGAIVGVSWVAFNVGFRAMRSGKTNLLNWMRETTATSKMFTSKILEAAIANARPAIQLRYREYLKDMLDTTQKQIQEAERVAKADQASREKRKKTLEKNITIINKNITAAEKMITELTSQVARRGQQG</t>
  </si>
  <si>
    <t>MKTEIRTGQEADHSDIEDRATKLLTTITDKILRQYKLDDISDLAVARASSTQQTRSVVVVGEVKRGKSSLVNAIVGKRNASPVGVNVTTSTAIALTSETDELQEGQACLFYPDGEKIVRLNEVGEWINAGAVRAAQEDADSLPTRATIPIRRMPLEGVTIVDTPGVGGLDPKLSALAKVSVDQACVLVIVCDASTTITKPEMDFIRDTGSEIEAIIVAVTKTDKHLVRWQEIVEQNKKLLREHIGRDIPVVGVSSLLAVIGSEMSMAAGGGKVLELSGINDLNALIAGKFRIAEHLPLANGLRIATKGLRDLSEDLQQRLEILREGDAAVPDLSNRLEELKQLKKEGESWDYYLGRDLTLIRQESMDQLEQKLDAIRESWTERINKNGMAVLRKNPQYFTAEMEREFQTAIGETLTYFSTELENRIVKPRFVDSDVIWEQIRNEVSSAFIGKELQTHTVQTKRQGLLDPMMLMMGMSGGSMLGGVIGTMVSFTGLGAIVGVSWVAFNVGFRAMRSGKTNLLNWMRETTATSKMFTSKILEAAIANARPAIQLRYREYLKDMLDTTQKQIQEAERVAKADQASREKRKKTLEKNITIINKNITAAEKMITELTSQVARSGQQG</t>
  </si>
  <si>
    <t>GC_00003429</t>
  </si>
  <si>
    <t>MTVHKRWLIPFSEELVTWRQYVFIALMIVLILIMGVGDSEARELIYPASVATLVVVMEVIGFALLALGLVVQLTRFELGLGLVGLGLFCSSFAVFPIQFVAYPIVCYQTAVAAARLNFRRRLWLTIIIVGSLYASAYILIVPELFQGKSRPHWWQTLHLYNVILIIGAVIVGVLVTIGFFWLVGSGIRRRYQRMQDLEARADYAVVQERNRIAREMHDIIAHSLTVMIAQADGGKFAGKKNPDMAITALDTIGDVGRSALAEMRQLLSVLRETETPERSLATTPGVAGIGDLIKETRRAGAEVDYTVTGTPHVVRESLGLSVFRIVQECLTNALKHGSANIIMSLDWLSDRLIIVVKNDLGGGLVDPQQLADVPGGRGLIGIAERAKIHGGAAHWGPHAGQWVVEVTLPLGE</t>
  </si>
  <si>
    <t>MTVHKRWLIPFTEELVTWRQYVFIALMIVLILIMGVGDSEARELIYPASVATLVVVMEVIGFALLALGLVVQLTRFELGLGLVGLGLFCSSFAVFPIQFVAYPIVCYQTAVAAARLNFRRRLWLTIIIVGSLYASAYILIVPELFQGKSRLHWWQTLHLYNVILIIGAVIVGVLVTIGFFWLVGSGIRRRYQRMQDLEARADYAVVQERNRIAREMHDIIAHSLTVMIAQADGGKFAGKKNPDMAITALDTIGDVGRSALAEMRQLLSVLRETETPERSLATTPGVAGIGDLIKETRRAGAEVDYTVTGTPHVVRESLGLSVFRIVQECLTNALKHGSANIIMSLDWLSDRLIIVVKNDLGGGLVDPQQLADVPGGRGLIGIAERAKIHGGAAHWGPHAGQWVVEVTLPLGE</t>
  </si>
  <si>
    <t>GC_00003430</t>
  </si>
  <si>
    <t>MSTLVNPVSHLRYLRISLVSIVSAALILLSQMVSMPGAPGDLGAAVAHAQANAAQEGSQGCDYRKEGPFANDICWLNFSNIDFAKARQPQGVDVSIKLDSTLTAYFNLRVVDSFTDSQNGKVWDRKIRDSDVPSWTWATFGKHVYTRPDLRKNLKNSIGTTAFGSGTPVDSRSSVQLTRMRVVGAGGLPVNYGLTVWDAESTNKGEFLEMSSDVDLGDPTYFTPSGAEAACRLGAVKNGNTFTCNGSESNFIGSFGFYTKNPTQFTTVLGGKSQQKIAIGFAKLNATGTVTVDRKGADRIGDTTEFQLDNNWANSTLASTTVTPGQTTGNVSATYLVDRKDPRVEFVGQLTKEKLAYLRYRPEWMCRVDTPDGPGVSKAPKTADTRALSKVIYRQEFFGHIHCDVVYKSVFDFSSTLTIAKKVTGDAAGAALLNGREYRMRYTCTKEGFADAYPDQQGYMSGEVSLRGGQTHRVDNIPVGSNCTVEEVDPFTDPSLAFNKSVSVDDGAQQPNQRVELTTKTGINAVTMTNEYNRILGKINVTKDVTGPAAAPFANTPVTMKYQCTGDSEKTLTAHPGSAVTSAVEVPVETDCFLWEEITLTPEQQEKLQMTTSYAVNDGQLAVLQGSRIPFRIPAARRAGDIATLPIRVVNNFDYRRAPLTITSTLTGAAAAKVANSGATFPVTWECTWDNGAHSERGEVPFSPGSEQAVAQVPVGSMCRVFEKEPTGGQPVLSQVELTKSTVKYADGEKTNADATTAAHFVAIKPVFTNGGNHVTIENNYIDKLGVVHLQKKVDSTVSDAHSAEYTVAYNCGVRTVATAHGTTDVPLTGRIRLTEGHAAAPIQADNADANDQAGGGMGIPFGNTCVFTEDLDNLPANTTGTNRFTSEAGSPITENGTLVINDQDTTVQVTNTVALIPGGLSVQARTESTVGLETDHTDLHVVCKAPEDAVGARDIDDDLALSTNDGHDTHEYERHDVPSGTLCQVTVKSEPNTRSNPLTGGSFPVKKTVTVQVDGKNIGTSTSFEDTAFPHFRVDDQAKVVVTSVYDYAYGDVAIDKNVAFDSNTGNMVPDHDGKQAHDYTFNVVCTTPLGASSTHTVTAHHGQRGVVTHVPVGSVCSAAEKPLTPTERGDGVTLAVTSHRGDGAGVAAAPATHKLTGEANLPFLVTTEDGVQTMHFVNTFARELADVKVLFAMENPGNDAAAALTSGDNPNDYTVTLTCTDPLAPDAAPMTVRATPQRHDLVTNGSAEITLPNVPIGTNCVASAGIQNVTFNYTAQLPSGQVTSRPELTTRTTWKTDDTLPTYILENDSKSADTNHSTPLRVRAGQPANGNNTVNVTVRHTYTTAAVEMKKVVKIPADDAQLLRDARPTYHFTYVCKGPDLSTTNPSGNVSSLFTSATFEGDDLLGTGFISSPGSHPTGREEKTFEYRNFANDDSVILPVGSFCHIEEQEPSGNPDALTMNKDPQGPQVFQVKSLEDIQPGQENAANIWVFTNTYSRRATAIGAYNYVTGSGKDHAATDSYTFTYRCTLDGKDYPNNTGTYTLDAAHTGDYAGLDGTTLVTRNSAGNDVPSTTAFTAPAGALCTVTESADSVPAAPELAATGRTPHHDRSPYTLFMGRAGKDNKPGLAVDKAAQGGSAHTTPVDDGKVDFAGNMIVPDTTTEQQAFKNRTFTFEVPTTMDAAQPYGYEIVTGHVYVIDTKDITITKTGRLPEDAQDQQFRFKYSCEGGTPHEDIIRVGARFTIAGVPVGSTCHVEEVPDSYTINRLPPQITWTTGANSRIGDFRSYTGAETVQRENNGVSFTVQPVADVNDTKPDPAHWAITVDNSYPNITLTKTIDGPRVSPDWTNELNTAVLRPGQPDMIVNYHVQNTGPLPLTNVSIRDLELRSEIHQLTDDAGNPITRLDDGTLSGLNCAALLQPGQEVDCKVHVKFLENEDRPLYYGGEAYAIAKFGDADVTDQDFFAAIRPPLLPFLLPNTGTKAMVWVLGIGLIVALGALWNYMRRRKDDDGDA</t>
  </si>
  <si>
    <t>MSTLVNPVSHLRYLRISLVSIVSAALILLSQMVSMPGAPGDLGAAVAHAQANAAQEGSQGCDYRKEGPFANDICWLNFSNIDFAKARQPQGVDVSIKLDSTLTAYFNLRVVDSFTDPQTGKVWDRKIRESDVPSWTWATFGKYVYTRPDLKKNLKNSIGTTAFGSNTPLDSRSSVQLTRMRVVGAGGLPVNYGLTVWDAESTNKGEFLEMSSDVDLGDPTYFTPSGAEAACRLGAVKNGNTFTCNGSESNFIGSFGFYTKNPTQFTTVLGGKSQQKIAIGFAKLNATGTVTVDRKGADRIGDTTEFQLDNNWANSTLASTTVTPGQTTGNVSATYLVDRKDPRVEFVGQLTKEKLAYLRYRPEWMCRVDTPDGPGVSKAPKTADTRALSKVIYRQEFFGHIHCDVVYKSVFDFSSTLTIAKKVTGDAAGAALLNGREYRMRYTCTKEGFADAYPDQQGYMRGEVSLRGGQTHRVDNIPVGSNCTVEEVDPFTDPSLTFNKSVSVDDGAQQPNQRVELTTKTGINAVTMTNEYNRILGKINVTKDVTGPAAAPFANTPVTMKYQCTGDSEKTLTAHPGSAVTSAVEVPVETDCFLWEEITLTPEQQEKLQMTTSYAVNDGQLAVLQGSRMPFRIPAARRAGDIATLPIRVVNNFDYRRAPLTITSTLTGAAAAKVANSGATFPVTWECTWDNGAHSERGEVPFSPGSEQAVAQVPVGSMCRVFEKEPTGGQPVLSQVELTKSTVKYADGEKTNADATTAAHFVAIKPVFTNGGNHVTIENNYIDKLGVVHLQKKVDSTVSDAHSAEYTVAYNCGVRTVATAHGTTDVPLTGRIRLTEGHAAAPIQADNADANDQAGGGMGIPFGNTCVFTEDLDNLPDNTTGTNRFTSEAGSPITENGTLVINDQDTTVQVTNTVALIPGGLSVQARTESTVGLETDHTDLHVVCKAPEDAVGARDIDDDLALSTNDGHDTHEYERHDVPSGTLCQVTVKSEPNTRSNPLTGGSFPVKKTVTVQVDGKNIGTSTSFEDTTFPHFRVDDQAKVVVTSVYDYAYGDVAIDKNVAFDSNTGNMVPDHDGKQAHDYTFNVVCTTPLGASSTHTVTAHHGQRGVVTHVPVGSVCSAAEKPLTPTERGDGVTLAVTSHRGDGAGVAAAPATHKLTGEANLPFLVTTEDGVQTMHFVNTFARELADVKVLFAMENPGNDAAAALTSGDNPNDYTVTLTCTDPLAPDAAPMTVRATPQRHDLVTNGSAEITLPNVPIGTNCVASAGIQNVTFNYTAQLPSGQVTSRPELTTRTTWKTDDTLPTYILENDSKSATTNHSTPLHVRAGQPANGNNTVNVTVRHAYTTAAVEMKKVVKIPADDAQLLRDARPTYHFTYVCKGPDLSTTNPSGNVSSLFTSATFEGDDRLGTGFISSPGSHPTGREEKTFEYRNFANDDSVILPVGSFCHIEEQEPSGNLDALTMNKDPQGPQVFQVKSLEDIQPGQENAANIWVFTNTYSRRATAIGAYNYVTGSGKDHAATDSYTFTYRCTLDGKDYPNNTGTYTLDAAHTGDYAGLDGTTLVTRNSAGNDVPSTTAFTAPAGALCTVTESADSVPAAPELAATGRTPHHDRSPYTLFMGRAGKDNKPGLAVDKAAQGGSAHTTPVDAGKVDFAGNMIVPDTTTEQQAFKNRTFTFEVPTTMDAAQPYGYEIVTGHVYVLDAKDVTITKTGRLPEDAQDQQFRFKYSCEGGTPHEDIIRVGARFTIAGVPVGSTCHVEEVPDSYTINRLPPQITWTTGANSRIGDFRSYTGAETVQRENNGVSFTVQPVADVNDTKPDPAHWAITVDNSYPNITLTKTIDGPRVSPDWTNELNTAVLRPGQPDMIVNYHVQNTGPLPLTNVSIRDLELRSEIHQLTDDAGNPITRLDDGTLSGLNCAALLQPGQEVDCKVHVKFLENEDRPLYYGGEAYAIAKFGDADVTDQDFFAAIRPPLLPFLLPNTGTKAMVWVLGIGLIVALGALWNYMRRRKDDDGDA</t>
  </si>
  <si>
    <t>GC_00003431</t>
  </si>
  <si>
    <t>MSHRNHTRQRQQKNPAELPNMQAATCNYNRTVFAHLLAVTKKKNNLSQTALCALIMSTFGVVKAHAVYLITAVTMLRRYPTICAAIHKNGTIDIARLAIIGKHLTGLSKAQFKQMKPQLHALCDESEWITPASLRSMLIQARIKVDEKARQKAEAQARKRAQTRANKDKPVVVTELPSGVTELTLRITKEQAVGFHRCITAAAAHTKQPVEKFLHDYVTRLADPPVTLLGATDHNGALMIEGLGTFTVSNAADFQDVAAAIHHTSLAQLQALGLTPATSTTPTQADAPQGLLASDSGTAGILDAPEMSKSSQGVPQVPETPEMPEVLMKPMAQPETPKVPAEKASNTSAKQVA</t>
  </si>
  <si>
    <t>MSHRNHTRQRQQKNPAELPNMQAATCNYNRTVFAHLLAVTKKKNNLSQTALCALIMSTFGVVKAHAVYLITAVTMLRRYPTICAAIHKNGTIDIARLAIIGKHLTGLSKAQFKQMKPQLHALCDESEWITPASLRSMLIQARIKVDEKARQKAEAQAQKRARARANKDKPVVVTELPSGVTEITLRIAKEQAVGFHRYITAAAAHTKQPVEKLLHDYVTRLADPPVTLLGATDHNGALMIEGLGTFTVSNVDDFQDVAAAIHHTSLAQLQALGLTPATSTTPTQADAPQGLLVSDSGTTDILDAPEMSKSSQGVPQVPETPEMPEVSMKPMAQPETPKVPAGKASNTSAKQVA</t>
  </si>
  <si>
    <t>GC_00003432</t>
  </si>
  <si>
    <t>PF04519.19</t>
  </si>
  <si>
    <t>Polymer-forming cytoskeletal</t>
  </si>
  <si>
    <t>MAKHFEFTGDERVFEGVTVHRIRALVDLPELNVVAGDVGGWVESEDNVSDSAWVMGEAVVCQDARVMDSAVVSGNAVVSGQAKVSGSVLVTDNAQVTDGAKVSGSAVVSGQSQVRGKAKVNGSVTITDNAQVRDDVELAGVITVSVNALVCGNALVTGEVLVTDNAQVRDDVEISGKVKFLGNAQVFGSALISGSCRIEDDAQVFEHAELYGRVRVKDRAQVHGSAVVYGKVKIKGKSNVH</t>
  </si>
  <si>
    <t>MAKHFEFTGDERVFEGVTVHRIRALVDLPELNVVAGDVGGWVESEDNVSDSAWVMGEAVVCQDARVMDSAVVSGSAVVSGQAKVSGSVVVTDNAQVTDGAKVSGSAVVSGQSQVRGKAKVNGSVTI------------------------------------MDNAQVRDDVEISGKVKFLGNAQVFGSALISGSCRIEDDAQVFEHAELYGRVRVKDRAQVHGSAVVYGKVKIKGKSNVH</t>
  </si>
  <si>
    <t>GC_00003433</t>
  </si>
  <si>
    <t>MHETDWAASRPHVSSECNCHDLHIFLYELVDNELTDEDCSRLKRHISVCPACAEKVAAETALREILHCCACDAPKSLRDKIRGELSSRNE</t>
  </si>
  <si>
    <t>MHETDWAASRPHVSSECNCHDLHIFLYELVDNELTDEDCSRLKRHISECPACAEKVAAETALREILHCCACDAPKSLRDKIRGELSSRNE</t>
  </si>
  <si>
    <t>GC_00003434</t>
  </si>
  <si>
    <t>PF08242.18</t>
  </si>
  <si>
    <t>MSSGVDGTEYWNHNSAYHPWILRQITGRSGLAALDVGCGEGLLLQRLSPYCTTLVGIDPDPSSIARARRRLPQATLLTQLFDDLSTDQSFDLITMVASLHHMELEPTLHRVRQLLRPGGQFLVVGLSARKSVADWVISALSVPVASIGSALHREARDIGVQVAQPRESLAEIRAAAAKILPGARIRRGVYYRYLLSYRRPA</t>
  </si>
  <si>
    <t>MSSGVDGAEYWNHNSAYHPWILRQIAGRSGLAALDVGCGEGLLLERLSPYCTTLVGIDPDPSSIARARRRLPQATLLTQLFDDLSTDQSFDLITMVASLHHMELEPTLYRVRQLLRPGGQFLVVGLSARKSVADWVISALSVPVASIGSALHREARDIGVRVAQPRESLAEIRAAAAKILPGARIRRGVYYRYLLSYQRPT</t>
  </si>
  <si>
    <t>GC_00003435</t>
  </si>
  <si>
    <t>MPDNPLHAYNHYSRRAASIVIREYSTSFSLASCLLRGRVRHDICNLYAVVRIADEIVDGVAAAAGLDTNSIAAELDGFEQQVFRATRTGFSTNPAVHAFASTVHRCRIFEEHIRAFFTSMRRDLDPTAYDQAALDDYIWGSAEVIGLMCLAIFTADQPLSPADQKRCEEGARRLGAAFQKINFLRDVGDDTIALGRDYLNVQAEGEQRGVDKRQIVADITADLDAAYPSIALLPTAARAGVLAAYLIFRDLCARLDHMTMSEIMSTRVRVPAVMKARLVARACVQAPRLHPPTM</t>
  </si>
  <si>
    <t>MPDNPLHAYNHYSRRAASIVIREYSTSFSLASCLLRGRVRHDICNLYAVVRIADEIVDGVAAAAGLDTNSIAAELDGFEQQVFRATRTGFSTNPAVHAFASTVHRCRISEEHIRAFFTSMRRDLDPTAYDQAALDDYIWGSAEVIGLMCLAIFTADQPLSPASQKRCEEGARRLGAAFQKINFLRDVGDDTIALGRDYLNVQAEGEQRGVDKRQIVADITADLDAAYPSIALLPTAARAGVLAAYLIFRDLCARLDHMTMSEIMSTRVRVPAMMKARLVARACAQAPRLHPPTM</t>
  </si>
  <si>
    <t>GC_00003436</t>
  </si>
  <si>
    <t>MKRLLAIFVAALLITGCSTTGGREKQEQETRQVQPQSSPQSNREIIDTPSESRNPASVPGLYRTCTYQAKRDDSRKSQPASAATNADLPLIDGAALSTTENGVRAVIHYRGDLTDDQSASVDIYSSAKQEHFITVTLIGTKVVAVSHGEGNTRRDDQREWLEPQIASVKKEWVEIALNAKLARYFGDQSYVVMRSPASTSQCHDGKNSDMSLPEKPASTSEAVSAGEPAAAVPNSAGAQGQQGQGQQSVPSSSRQ</t>
  </si>
  <si>
    <t>MKRLLAIFVAALLITGCSTTGGREKQEQETRQVQPQSSPQSNRQIIDTPSESRNPASVPGLYRTCTYQAKRDDSRNSQPASAATNADLPLIDGAALSTTENGVRAVIHYRGDLTDNQSASVDIYSSAKQEHFITVTLIGTKVVAVSHGEGNTRRDDQREWLEPQIASVEKEWVEIALNAKLARYFGDQSYVVMRSPASTSQCHDGKNSDMSLPEKPASTSEAVSAGEPAAAVPNSVGAQGQQGQGQQSVPSSSRQ</t>
  </si>
  <si>
    <t>GC_00003437</t>
  </si>
  <si>
    <t>--------------------MELRYLESFEAVVRCGGFTKAAEDLHLAQPAISSHIKKLEQELGVTLLHRSRTVTLSAAGERFLPYVRQALADLDEGKRLMRAFRSVSAGHVRVAVTPLTGKFDLVSALSRFRTRYPGVTVSLRTGLIAELIHALGEGQVDVVIGPADADAAHSKHLQHQEIAPEHLVLITPLAGPRRVTSLKDVATEPFICLQPDSGLRQLLDQAFATFNAQPRVEFETHSPASIRELVTAGMG</t>
  </si>
  <si>
    <t>MELYVQDKVFIVSITIYYDPMELRYLESFEAVVRCGGFTKAAEDLHLAQPAISSHIKKLEQELGVTLLHRSRTVTLSAAGERFLPYVRQALADLDEGKRLMRSFRSVSAGHVRVAVTPLTGKFDLVSALSRFRTRYPGVTVSLRTGLIAELIHALEEGQVDVVIGPADVDAANTKHLQHQEIAPEHLVLITPLAGPRRVTSLKDVATEPFICLQPDSGLRHLLNQAFATFNAQPRVEFETHGPASIRELVAAGMGCALIAHSVAEVPGPAVQVHTLPGLPSHPPISALWKPNADPPIVRCVEELAC</t>
  </si>
  <si>
    <t>GC_00003438</t>
  </si>
  <si>
    <t>MTPTSRPDPHLENVLRRMPDAPAARKKVTSRPGWYRANVEVTRRVYVDRGWFNGLRNFERRKVRAWAVARSVKTAVLCGLSAAEIYGLPILNRNQYEDVELCLPERRRPPSRRKWRDHTVYRDKYLAQADIAMVNGVYVTTIPRTYVDILLYHGELEALVFIDGALHERRTTRTELHRYLASRRGQWGIRRARNLLDDATGLAESPYETVARWLLRGVEKQLGITEIVPQAWFSTRSRQGKLQRRRVDLLVNGFLVIEIDGLIKYDERFLQERGVTYRQVMEDERYRERQIQNQGYQVLRLAPGEVWRDLIAKVTEIMKQNPQRVSPKKHFLPWAA</t>
  </si>
  <si>
    <t>MTPTSRPDPHLENVLRRMPDAPAARKKVTSRPGWYRANVEVTRRVYVDRGWFNGLRNFERRKVRAWAVARSVKTAVLCGMSAAEIYGLPILNRNQYENVELCLPERRRPPSRRKWRDHTVYRDKYLAQADIAMVNGVYVTTIPRTYVDILLYHGELEALVFIDGALHERRTTRTELHRYLASRRGQWGIRRARNLLDDATGLAESPYETVARWLLRGVEKQLGITEIVPQAWFSTRSRQGKLQRRRVDLLVNGFLVIEIDGLIKYDERFLQERGVTYRQVMEDERYRERQIQNQGYQVLRLAPGEVWRDLIAKVTEIMKQNPQRVSPKKHFLPWAA</t>
  </si>
  <si>
    <t>GC_00003439</t>
  </si>
  <si>
    <t>MIAYRLTALQYGRVILEPSHPTRRPGVVETSVNVYDPAFTSYTEGSALTQPLQHLKKHMPQETIIELSSLIFSKYAGEVVDESYPGGRRQAVDDFNAWMIDDEFAGSSMIEHSWTTLQFGPVAVVSTLRSTTTMAAHGNGLYLDWDSKSSEPPVEVNMPLDLLRITVEPNQIGTIVQWLLRKERRLLDQDYSGGYVQAVRDFTDWMRR</t>
  </si>
  <si>
    <t>MIAYRLTALQYGRVILEPSHPTRRLGVVETSVNVYDPAFTSYTEGSALTQPLQHLKKHMPQETIIELSSLIFSKYAGEVVDESYPGGRRQAVDDFNAWMIDDEFAGSSMIEHSWTTLQFGPVAVVSTLRSTTIMAAHGNGLYLEWDNKSSEPPVEVNMPLDLLRATVAPNQIDTIVQWLLRKERRLLDQDYSGGYVQAVRDFTDWMRH</t>
  </si>
  <si>
    <t>GC_00003440</t>
  </si>
  <si>
    <t>MIPLIAPARDVHDRWYGRHTSLTKTQWVATKEYDCLPYFEKLLLHAEALRRSTRAAVICGKAAAAIRGIPILNLQHDTRVTLTLPGKPHTPSHNQWPIIAHYRRASLPDSDWEEVCGYRITTPERTFTDICAIDGELEGLAFIEAALRAGYRKDTFQKYLDDRRGEWGITKARKVLALARYGIDSPSETLAYYLAAQVYPRTSIEAQAQMSIKKPSGLYSRIRVDLLLFGWLVVEIDGRIKYGGADSARVLFEERARETAILSMGYHILRFHPSELIDKLIPTIAVVLNQNPHRHSPEKHTVPDLNNPPLWASFT</t>
  </si>
  <si>
    <t>MIPLIAPARDVHDRWYGRHTSLTKTQWVATKEYDCLPYFEKLLLHAEAIRRSTRAAVICGKAAAAIRGIPILNLQHDTRVTLTLPGKPHTPSHNQWPIIAHYRRASLPDSDWEEVCGYRITTPERTFTDICAIDGELEGLAFIEAALRAGYRKDTFQKYLDDRRGEWGITKARKVLALARYGIDSPSETLAYYLAAQVYPRTSIEAQAQMSIKKPSGLYSRIRVDLLLFGWLVVEIDGRIKYGGADSARVLFEERARETAILSMGYHILRFHPSELIDKLIPTIAVVLNQNPHRHSPEKHTVPDLNNPPLWASFT</t>
  </si>
  <si>
    <t>GC_00003441</t>
  </si>
  <si>
    <t>MNRKELIQFLHEYPSIVAVTDHPKHDNLTVEFADGTVTKFNPNMLGGPDDIDILLIKRILHAMDIAIANQELPGKVLLPEAQPLVRSADYFLECGPTTPVAVAWLTDFIGMGLGALRDDTLRIIDETQLPENHDEFDDLQLRSRALENLHAASEYLAVAEFGLGPNIVGVTRPMDNESAWFADVQEMEMAMRQLSEDTNSMWVAIPAHASRFLLVNGMASPAEWHAVLDLLEETMQFDNSIYPVPHIIVDGQWEERPPPPDTDWGQRFRRLQLYARQHIYHFLDPRLFEDDTIAEIGQYSIYAINDELFSLTVVPEHVPCTSVPLTDLIFFDRGDTDAGALVRREELAEKFPHLIQPHEEVRPPRYRVFQPTPAEFAQLPRWE</t>
  </si>
  <si>
    <t>MNRKELIQFLHEYPSIVAVTDHPKHDNLTVEFADGTVTKFNPNMLGGPDDIDILLIKRILHAMDIAIANQELPGKVLLPEAQPLVRSADYFLECGPTTPVAVAWLTDFIGMGLGALRDDTLRIIDETQLPENHDEFDDLQLRSRALENLHVASEYLAVAEFGLGPNIVGVTRPMDNESAWFADVQEMEMAMRQLSEDTNSMWVAIPAHASRFLLVNGMASPAEWHAVLDLLEETMQFDNSIYPVPHIIVDGQWEERPPPPDTDWGQRFRRLQLYARQHIYHFLDPRLFEDDTIAEIGQYSIYAINDELFSLTVVPEHVPCTSVPLTDLIFFDRGDTDAGALVRREELVENFPHLIQPHEEVRPPRFRVLQPTPAEFAQLPRWE</t>
  </si>
  <si>
    <t>GC_00003442</t>
  </si>
  <si>
    <t>MVARLTTPRPRNKAIHRQHHQRSTHSAGPRAEIKEPLVEVHIEKHRAEVAANHRADNAQQHGENDPTALFPRHHHLCNRTRQKTKQHPSGDTHAPTINTEATSAPSTVTTMKHHLTDDTMLNDLGVLLHRVRAAYDIPAHGVRAGDIGGWVDSPDRLTLNGWITDDAQAYDDATITGAALVSENARIYESATIDETARVSGNAAICGHACVGYGAHVHGDITIDGRAWIEDADLSHPSHFLIVTPLGRAGENAQLTRCPDGFYTVTHGDWIGSLDDFAAAFDGAEHALFADLARAHINGA</t>
  </si>
  <si>
    <t>GC_00003443</t>
  </si>
  <si>
    <t>MRYDALIIGGGYCGLSAGITLARANRKVVIVDSQNPRNVVSKHAHGILGMDNVPPAEILAKGTEEYLSFGGLLLHELVSQLSKGADGDWLATLSNEAHIKARSCLVATGLSDKLPDIAGLEKLWGKTVFHCPYCHGFELNGKRIAVIGGANRNFSLHQAFLLKLWSDEIDLIVNGMYLSKEERARLISWGVCVVDDLVIGMESADDIEKGSVSLQCIETKSRQYGSVFVGPVFSPNDFLLREAGCLIENSWVKTEIDGKTSEEGLWAGGNCVSSPDQIPNAMSAGVNSAISMNHYLLYNDVDLAESRVT</t>
  </si>
  <si>
    <t>MRYDALIIGGGYCGLSAGITLARANRKVVIVDSQNPRNVVSKHAHGILGMDNVPPAEILAKGTEEYLSFGGLLLHELVSQLSKGADGDWLATLSDEAHIKAKSCLVATGLSDKLPDIAGLEKLWGKTVFHCPYCHGFELNGKRIAVIGGANRNFSLHQAFLLKLWSDEIDLIVNGMYLSKEERARLISWGVCVVDDLVIGMESADDIEKGSVSLQCIETKSRQYGSVFVGPVFSPNDFLLREAGCLIENSWVKTEIDGKTSEEGLWAGGNCVSSPDQIPNAMSAGVNSAISMNHYLLYNDVDLAESRVT</t>
  </si>
  <si>
    <t>GC_00003444</t>
  </si>
  <si>
    <t>MILPLSRFTMTVAVSVALVVMLPYFAWLTYTLQLVEPDISGAVMSAARRSTAESSPTTSRMVTPLADGSLAEISYDDPNAQRLADATASQGGVPICECLPDWGSGATLMCDGTLLYTAHCVDSVSNPGGDATPVLSNPDHPELMAPQIEQRVEQRGEGSSEPQQ</t>
  </si>
  <si>
    <t>MILPLSRFTMTVAVSVALVVMLPYFAWLTYTLQLVEPDISGAVMSAARRSTAESSPTTSRMVTPLADGSLAEISYDDPNAQRLADATASQGGVPICECLPDWGSGATLMCDGTLLYTAHCVDSVSNPGDDATPALSNPDHPELMAPQIEQRVEQRGEGSSEPQQ</t>
  </si>
  <si>
    <t>GC_00003445</t>
  </si>
  <si>
    <t>MTKNATTFDLDTIGAGLPVHAQLAAIRDAGSVVVQAPPGTGKTTLIPPLISNEVSETVGKVVVTAPRRVAVRAAASRLASLDGSVVGDRVGYTIRGDAQPGRLVEFVTPKVLIRRLLRDPELAGVGAIIIDEVHERQLDGDLLLGMVAELAVLRPELRVVAMSATADAERFAALLGVPVISTPAEMFPVAERYEPLPGRAGCGPEFVAGVARIAAENTNTYSTLVFLPGVRDITACCAELGRITDVPVFPLHGGQSPAEQDRALRHAGPRIIVATNVAESSVTVPGVRTVVDAGLARVPKRDTLRGMNGLVTVSCSQSSAVQRAGRAGREGPGMVIRCYSRSDYAHFTQHTEPEIRSADLTEFALLLSCWGAAPAEFPLLDQPPAAAFAQATAALAAIGAADPQVAARLAQLPVDPRLGKALLDFGPAAAPTVALLSLGESGNIALRRPDQREVRRLQRLAGPSTSRRVAPGEVIGHAFPHLVARRVADGEYLLAQGTRAVVPAEFGLMGEEWLAVADVRLERSGRARVQAAAPIAESVALDVIGVSEETECVFEDGRVRATRVVTAGAIVLSRTPMRPDPGVARAAVATAVRERGVGLFPMSGRAARLWDRLRFLAHRVGDPWPDVAALPADEWLAPEIDLVASGTKVEDIDLYSALQRVLPWPAVSRLDELAPAELVVPSGRGVVVDYGGDRPRVRVKLQECFGLADSPVFGGERVVFELLSPAGRPVAITDDLASFWAGPYQNVRSEMRGRYPKHPWPVDPLTAVATARTKRGAQNHNKST</t>
  </si>
  <si>
    <t>MTKNATKFDLDTIGAGLPVHAQLATIQAAGSVVVQAPPGTGKTTLIPPLISNEVSETVGKVVVTAPRRVAVRAAASRLALLDGSVVGDRVGYTIRGDAQPGRLVEFVTPKVLIRRLLRDPELAGVGAVIIDEVHERQLDGDLLLGMVAELAVLRPELRVVAMSATADAERFAALLGVPVISTPAEMFPVAERYEPLPGRAGCGPEFVAGVARIAAENTNTYSTLVFLPGVRDITACCAELGRITDVPVFPLHGGQSPAEQDRALRHAGPRIIVATNVAESSVTVPGVRTVVDAGLARVPKRDTLRGMNGLVTVSCSQSSAVQRAGRAGREGPGMVIRCYSRSDYAHFAPHTEPEIRSADLTEFALLLSCWGAAPAEFPLLDQPPAAAFAQATAALAAIGAADPQVAARLAQLPVDPRLGKALLDFGPAAAPTVALLSLGETGNIALRRPDQREVRRLQRLAGPGGSRQVAPGEVIGHAFPHLVARRVADGEYLLAQGTRVVVPAEFGLMGEEWLAVADVRLERSGRARVAAVAPITESVALDVIGVSEETECVFEDGRVRATRVVTAGAIVLSRTPVRPDPGVARAAVAAVVRERGVGLFPMSGRAAQLWNRLRFLAHRVGDPWPDVAALPADEWLAPEIDLVASGTKVEDIDLYSALQRVLPWPAASRLDELAPAELVVPSGRGVLVDYGGDRPRVRVKLQECFGLADSPVFGGERVVFELLSPAGRPVAITDDLASFWVGPYQNVRSEMRGKYPKHPWPVDPLTAVATARTKRGEQNHNKST</t>
  </si>
  <si>
    <t>GC_00003446</t>
  </si>
  <si>
    <t>MLHVLFSRDVLTPKPRCGLVVSKAVGNAVTRHAVSRKLRAIIRPLFDDLPPGTLIVIRALPAAAHANSEELSHDVQRALAKIRER</t>
  </si>
  <si>
    <t>MLHVLFSRDVLTTKPRCGLVVSKAVGNAVTRHAVSRKLRAIIRLLFDDLPPGTLIVIRALPAAAHANSEELSHDVQRALAKIRER</t>
  </si>
  <si>
    <t>GC_00003447</t>
  </si>
  <si>
    <t>MKHFATTIRIAQQLKADKRTIALILIVPVVLLSLLYYEFHEVPASPFDRIGPTMLAILPLTMMFLITSVAMLRERTTGTLERILTTPINTINLMVSYAIVFGVLGLIQAGILCFMVLGPFNVDIAGPWPMLLVLALLDAFLGVSLGLFASALARSEFQAVQFMPVFIAPQLLLCGLFIPLEAMPNILETIARILPMTWAVEVVRTITTTDTLDTSVWRHIGGLIILIIVALYASSLTMRRTTK</t>
  </si>
  <si>
    <t>MKHFATTIRIAQQLKADKRTIALILIVPVVLLSLLYYEFHEVPASPFDRIGPTMLAILPLTMMFLITSVAMLRERTTGTLERILTTPINTINLMVSYAIVFGVLGLIQAGILCFMVLGPFNVDITGPWPMLLVIALLDAFLGVSLGLFASALARSEFQAVQFMPVFIAPQLLLCGLFIPLEAMPNILETIARILPMTWAVEVVRTITTTDTLDTSVWRYIGGLIILIIVALYASSLTMRRTTK</t>
  </si>
  <si>
    <t>GC_00003448</t>
  </si>
  <si>
    <t>K02168</t>
  </si>
  <si>
    <t>choline/glycine/proline betaine transport protein</t>
  </si>
  <si>
    <t>MANSKKSHEKRNTSTDAEADTQPTSDSSHSTDSPTPENKSKRKNTTETIVGSFRAAPAPDEAPETGIPRPTTNWPVFIISALGILSVTIWAAVAGDSAERTLVGVTTWIATNLGWFYILTATIIVVFVLFIGLSQSGKIRLGPDHSRPQFRLFSWAAMLFAAGIGVDLMFFAVAEPVTQYYTPPVGPGETREAAEQAVVWALFHYGITGWAMYALMGLAFGYYAYRLNMPLAIRSALYPLIGKRAQGPVGDAVDVAAMLGTVFGIAASLGIGVVQLNYGMKVMFGLEEGFASQCALVVLSVGVATVSAVSGVDRGIKMLSEFNVLLAVGLMVYVVITGRTAFLLDGLVMNIGDYVSSFPSMTMDTYAFSETPEQTQAWLGSWTLFFWAWWVAWAPFVGLFLARISRGRTLRQFVIGTLSIPFIFVLLWMSFFGNSALDLVRHGNDAFGKAAVSTPQQGFYDLLATYPGATFLTGLATMIGLLLYITSADSGALVMSNFTSRTNHSSQDGPVWSRIFWSVVVGVLTIVLLQIDGVVTVQSATVVMGLPFTVVMYLIMLSLVRSFRLEQTQAEARGISLHSAMSGRTEHSTAVGHPVAWRRRLSRASTWPNAAKTEKYMENVAIPAMEQVATELKNRGIEATLVSTDVSDSPIRTLDLTVNLDEEQNFRYQLYPLEYAVPSFTRDTGENDEVYYRIEVFDNTGSLGYDVYGYTVEQLIDNILDLYERHLEFLHMQRDLPGSSDMSGGAEPIRDWSETS</t>
  </si>
  <si>
    <t>MANSKKSHEKRNTSTDAEADTQPTSDSSHSTDSPTPENKSKRKNTTETIVGSFRAAPAPDETPETGIPRPTTNWPVFIISALGILSVTIWAAVAGDSAERTLVGVTTWIATNLGWFYILTATIIVVFVLFIGLSQSGKIRLGPDHSRPQFRLFSWAAMLFAAGIGVDLMFFAVAEPVTQYYTPPVGPGETREAAEQAVVWALFHYGITGWAMYALMGLAFGYYAYRLNMPLAIRSALYPLIGKRAQGPVGDAVDVAAMLGTVFGIAASLGIGVVQLNYGMKVMFGLEEGFASQCALVVLSVGVATVSAVSGVDRGIKMLSEFNVLLAVGLMVYVVITGRTAFLLDGLVMNIGDYVSSFPSMTMDTYAFSETPEQTQAWLGSWTLFFWAWWVAWAPFVGLFLARISRGRTLRQFVIGTLSIPFIFVLLWMSFFGNSALDLVRHGNDAFGKAAVSTPQQGFYDLLATYPGATFLTGLATMIGLLLYITSADSGALVMSNFTSRTNHSSQDGPVWSRIFWSVVVGVLTIVLLQIDGVVTVQSATVVMGLPFTVVMYLIMLSLVRSFRLEQTQAEARGISLHSAMSGRTEHSTAVGHPVAWRRRLSRASTWPNAAKTEKYMENVAIPAMEQVATELKNRGIEATLVSTDVSDSPIRTLDLTVNLDEEQNFRYQLYPLEYAVPSFTRDTGENDEVYYRIEVFDNTGSLGYDVYGYTVEQLIDNILDLYERHLEFLHMQRDLPGSSDMSGGAEPIRDWSETS</t>
  </si>
  <si>
    <t>GC_00003449</t>
  </si>
  <si>
    <t>MARHLSTPNTTVLSSRLPTGLPSRLSPNAKVLKSIRSRMIAWIMLVVFTALSSVLYLTDAVRRGEIHDSANNAVEQEISEFNSFVKDSPTTYTNARQLIEAYLTQELPQGDQILLGVYKGRIIQQSIDKEKLTNLPKEQRDQLLKDMFTGSNSSGITNNMHWARVEITTPGQDKPDYFATVVFTDDLYRNLTTQTQLLTTLGLVVMLIAVIIAWLIANQIINPIRTLRNIANQITDSDLTSRVPVDGEDEIADLAGTFNRMLDRIDTAYKAQRQFVDDAGHELRTPITVIRGHLELLDTATHEQRERSVKLCMDELDRMTRMVNDLLTLAIADADGPSFLHMQPIDLTELTIDIEDKADMVSGGRAKVTEIAEGFVLADAQRITEAILELTRNAVKYTNDDSPIIIGSTNKDGQVGFSVRDFGPGIDSATQEILFHRFNRGEQSPSSDQVPKKGAGLGLSIVKVIAEAHGGHAWVDSTPGLGSTFGITFPATIPPIQSEIIDIYKEY</t>
  </si>
  <si>
    <t>MARHLSTPNTTVLSSRLPTGLPSRLSPNAKVLKSIRSRMIAWIMLVVFTALSSVLYLTDAVRRGEIHDSANNAVEQEISEFNSFVKDSPTSYTNARQLIEAYLTQELPQGDQILLGVYKGRIVQQSVDKEKLTNLPKEQRDQLLKDMFTGPNNSGITNNMHWARVEITTPGQDKPDYFATVVFTDDLYRNLTTQTQLLTTLGLVVMLIAVIIAWLIANQIINPIRTLRNIANQITDSDLTSRVPVDGEDEIADLAGTFNRMLDRIDTAYKAQRQFVDDAGHELRTPITVIRGHLELLDTATHDQRERSVKLCMDELDRMTRMVNDLLTLAIADADGPSFLHMQPIDLTELTIDIEDKADMVSGGRAKVTEIAEGFVLADAQRITEAILELTRNAVKYTNDDSPIIIGSTNKDGQVGFSVRDFGPGIDSATQEILFHRFNRGEQSPSSDQVPKKGAGLGLSIVKVIAEAHGGHAWVDSTPGLGSTFGITFPATIPPIQSEIIDIYKEY</t>
  </si>
  <si>
    <t>GC_00003450</t>
  </si>
  <si>
    <t>MSTAELEKLLDTAEYLFYERGYQAVGMDEIRSTSGLSLKRIYALVGNKEQLAVSMLRRRDDKWHADLKAYVDKASEDRHLVAIFDWLYDWLSEAGHRGCAWINVAGEMGAISPPILNEAQRHKKRFLDFMRDAAKNSGLSEDAATTIFLLAEGCMTTVGINGDISVVRDAQRHVEQMVQRA</t>
  </si>
  <si>
    <t>MSTAELEKLLDTAEYLFYERGYQAVGMDEIRSTSGLSLKRIYALVGNKEQLAVSMLRRRDDKWHADLKAYVDKASEDRHLVAIFDWLYDWLSGAGHRGCAWINVAGEMGAISPTILNEAQRHKKRFLGFMRDAAKNSGLSEDAATTIFLLAEGCMTTVGINGDISVVRDAQRHVEQMVQRA</t>
  </si>
  <si>
    <t>GC_00003451</t>
  </si>
  <si>
    <t>MGSDTSDKATADAAARAEATSTTAALGVDKKRKARRRVPRATVVTIMSAIIAFIIAQNVPELVISTIKPLPINTTRTIQTEPAPTIFYDPSLTCSESDGNDCYITEATTQWTTVLNSTKGQVIDTKGKPMKNVAQLDVTQKLIRTDSQSPLVNITDKLHLLRGSAHPILLPTSQMEVTTGGFGVNFNTGTFARDGLQYFLPFNTERRSYSYFDVFAQAAFPLDYVRTERRGHNDLVPDSDVFVFHQQLPVMNLASAAARSFNHPDDISDAPGETIIESDLPQQQREQIGNMLLTGPESKFYPGGSDNSVTLAPFYTATRTLWVEASSGVIVDEQEEMHLFFAMDSADAEKTAQEGVNMYRTILHTSTTWNQETKDSAKAWAEPVVSIMYWLRFGAFVLKYLAGTLLIYGFWRYTQIVRRAENTSLTTPTAPPEPPASPKA</t>
  </si>
  <si>
    <t>MGSDTSDKATADAAARAEATSTTAALGVDKKRKAKRRVPRATVVTIMSAIIAFIIAQNVPELVISTIKPLPINTTRTIQTEPAPTIFYDPSLTCSESDGNDCYITEATTQWTTVLNSTKGQVIDTKGKPMKNVAQLDVTQKLIRTDSQSPLVNITDKLHLLRGSAHPILLPTSQMEVTTGGFGVNFNTGTFARDGLQYFLPFNTERRSYSYFDVFAQAAFPLDYVRTERRGHNDLVPDSDVFVFHQQLPVMNLASAAARSFNHPDDISDAPGETIIESDLPQQQREQIGNMLLTGPESKFYPGGSDNSVTLAPFYTATRTLWVEASSGVIVDEQEEMHLFFAMDSADAEKTAQEGVNMYRTILHTSTTWNQETKDSAKAWAEPVVSIMYWLRFGAFVLKYLAGTLLIYGFWRYTQIVRRAENTSLTTPTAPPEPPASPKA</t>
  </si>
  <si>
    <t>GC_00003452</t>
  </si>
  <si>
    <t>PF02661.23</t>
  </si>
  <si>
    <t>Fic/DOC family</t>
  </si>
  <si>
    <t>K04095</t>
  </si>
  <si>
    <t>cell filamentation protein, protein adenylyltransferase [EC:2.7.7.108]</t>
  </si>
  <si>
    <t>COG2184</t>
  </si>
  <si>
    <t>Fido, protein-threonine AMPylation domain (FIDO) (PDB:2F6S) (PUBMED:19503829)</t>
  </si>
  <si>
    <t>ko01000|ko03036</t>
  </si>
  <si>
    <t>Enzymes&gt;&gt;&gt;2. Transferases&gt;&gt;&gt;2.7  Transferring phosphorus-containing groups&gt;&gt;&gt;2.7.7  Nucleotidyltransferases&gt;&gt;&gt;2.7.7.108  protein adenylyltransferase|Chromosome and associated proteins&gt;&gt;&gt;Prokaryotic type&gt;&gt;&gt;Chromosome partitioning proteins&gt;&gt;&gt;Other chromosome partitioning proteins</t>
  </si>
  <si>
    <t>MADNRTVEQRLAAVAASMTMAGYTMTETDREESRRILRGEVSADESVRRVLADAGRDAADLVGKTAFRRLSELESSRPLTVFTRETLLKTHAYLCGDVYPWAGTIRTSEVGAMGLAMCRAAYVDQELDRLFWRIEQSPPSATDREAALNTVAEHWGELTIIHPFLDGNSRTQRYFFDHMLCHAGWSLDWRRIVAAEVHAARYVAAATLDSSLLVDALRPGLSTGKDCPQLPTEPAAVLFHRMMGFRRAHPHESFHKLFFADKQSDKLRQPARDNQNG</t>
  </si>
  <si>
    <t>MADNRTVEQRLAAVAASMTMAGYTMTEADREESRRILRGEVSADESVHQVLADASRDATDLVEKTAFRRLSKLESSRPLTVFTRETLLKTHAYLCGDVYPWAGTIRTGEVGAMGLAMCRAAYVDQELDRLFRRIEQSPPSATDREAALRTVAGHWGELTIIHPFLDGNSRTQRYFFDHMLRHAGWSLDWRRIVAAEVHAARYVAAATLDSSLLVDALQPGLSVGKDCPQLPTEPAAVLFHRMMGFRRAHPHESFHKLFFADK---------------</t>
  </si>
  <si>
    <t>GC_00003453</t>
  </si>
  <si>
    <t>MSAITLDNVSKRYGDVHALRPLSVEFPAGKLSTIFGKSGSGKTTLLSVIAGLLKPTTGAIWYQDKDIATLTKDECAALRRTDIGVVFQDHNIINELTVLENVRLPLEANGMSRTAAITASEQALAKVGIGHLGRRFPAEISGGERQRVGIARAIAGTRTVLLADEPSGALDSENSTRLFELLHQLTQEGSTVLCVTHDPLAIQYSDQVFSMDAGVLSPISYHDISQTYDFLR</t>
  </si>
  <si>
    <t>MSAITLDNVSKRYGDVHALRPLSVEFPAGKLSTIFGKSGSGKTTLLSVIAGLLKPTTGAIWYQDKDIAALTKDECAALRRTDIGVVFQDHNIINELTVLENVRLPLEANGMSRTAAITASEQALAKVSIGHLGRRFPAEISGGERQRVGIARAIAGTRTVLLADEPSGALDSENSTKLFELLHQLTQEGSTVLCVTHDPLAIQYSDQVFSMDAGVLSLISHHDISQTYDFLR</t>
  </si>
  <si>
    <t>GC_00003454</t>
  </si>
  <si>
    <t>MTPPRIVPYCTIPGLFHDATARGEDGELHIYVPSGAVPVDGLPVLAFIHGGRFEEGSPADIDGTALAREGFVVVSIGYRLGLAGFAQFHDDNPAHYRGIADVQLALEWLQHNIEGHGGDPTNITLIGQSAGAAIALWLARRDHYRGAFRRLVALSPSFPTGGFPSRKRTLRLLLGAPITRDSLS----RFGDCGRGAGRGNRSAARLRRAYRRFRSVYFAGPALGPWPWDTSELADVPILVTSTHDEFHNEPITSALDRWKLGGVAAWALRVCGVGRGVSGASGARQFIADTIIHCWVRDITAHHAGQVWRGELVGMGDEPAVHCDDLRLLFEGGSESVFRSDVLGFARSGRVDWPEKTCKQWTVDG</t>
  </si>
  <si>
    <t>MTPPRIVPYCTIPGLFHDATAGGEDGELHIYVPSGAVPVDGLPVLAFIHGGRFEEGSPTDIDGTALAREGFVVVSIGYRLGLAGFAQFHDDNPAHYRGIADVQLALEWLQHNIEGHGGDPTNITLIGQSAGAAIALWLARRDHYRGAFRRLVALSPSFPTGGFPSRKRTLRLLLGAPITRDSLSRFGGRFGDCGRGAGRGNRSAARLRRAYRRFRSVYFAGPALGPWPWDTSELADVPILVTSTHDEFHNEPITSALDRWKLGGVAAWALRVCGVGRGVSSASGARQFIADTIIHRWVRDITAHHAGQVWRGELVGKGDEPAVHCDDLRLLFEGGSESVFRSDVLGFARSGRVDWPEKTCKQWTVDG</t>
  </si>
  <si>
    <t>GC_00003455</t>
  </si>
  <si>
    <t>MKSMNMRDWILSLPSSPLPTQAATAAGIDISTISRQLKRNHISAENVIKLCKAFGKSPIDGLIETGYLSPTDAQEISISSALRDATNRQLAAEVTRRMDIGLNASEKLSEE</t>
  </si>
  <si>
    <t>MKSMNMRDWILSLPGSPLPTQAATAAGIDISTISRQLKRNHISAENVIKLCKTFGKSPIDGLIETGYLSPTDAQEISISSALRDATNRQLAAEVTRRMDIGLEASEKLSEE</t>
  </si>
  <si>
    <t>GC_00003456</t>
  </si>
  <si>
    <t>MLLAQISGNCRKDKDYVMDVDKKDRNEILVAMIIYTLMLVLLGRRLLDLVIWHRIPHSFGVLLAERADEGMIPLSLADSVAKSLLISGFLLSLLGIVVVATTLILLARQLLKGQFFTAYNVKCFTIGSLSLGVYFLGVFVQNMGANEMAAKLNLRSWFDYSEAQSLDYIAMFLFVETLVLLAVVIRRGISMQEDQEGLI</t>
  </si>
  <si>
    <t>GC_00003457</t>
  </si>
  <si>
    <t>PF04230.19</t>
  </si>
  <si>
    <t>Polysaccharide pyruvyl transferase</t>
  </si>
  <si>
    <t>K16710</t>
  </si>
  <si>
    <t>colanic acid/amylovoran biosynthesis protein WcaK/AmsJ</t>
  </si>
  <si>
    <t>COG2327</t>
  </si>
  <si>
    <t>Polysaccharide pyruvyl transferase family protein WcaK (colanic acid biosynthesis) (WcaK)</t>
  </si>
  <si>
    <t>MRILLLHAYSAHNRGDGLLVDESVALIRSVFDDVELEVVASDPDSFSYVGVPVYNAKPGRRGWSREYLRVLRNLDSYDLLVGVGGGYLRAGKPVEMLKCLLVMGPQIFAAGRSSTRSVYLPQSIGPFRFGSVHLFRALVKRIGVYMLRDDRSMQEIALANCVRLPDLAISSPEFTDSLSSSDSSVDDTVIFTTRAVGGELPPRVKELGRLLRAANIPVVGYVQSAIGGNNDTEVQRELTGDNPISSEEYLRQGDYPRRVVVAVRLHAALMALKAGHYVIHLAYERKGFSAFEDVGLPEWVHNVNTFTPTEVRAQVEALLHDESVRAEYRRRLAEQREALEQKYARMSEILREQ</t>
  </si>
  <si>
    <t>MRILLLHAYSAHNRGDGLLVDESVALIRSVFDDVELEVVASDPDSFSYVGVPVYNAKPGRRGWSREYLRVLRNLDSYDLLVGVGGGYLRAGKPVEMLKCLLVMGPQIFAAGCSSTRSVYLPQSIGPFRFGSVHLFRALVKRIGVYMLRDDRSMQEIALANCVRLPDLAISSPEFTDSLSSSDSSVDDTVIFTTRAVGGELPPRVKELGRLLHAANIPVVGYVQSAIGGNNDTEVQRELTGDNPISSEEYLRQGDYPRRVVVAVRLHAALMALKAGHYVIHLAYERKGFSAFEDVGLPEWVHNVNTFTPTEVRAQVEALLHDESVRAEYRRRLAEQREALEQKYARMSEILREQ</t>
  </si>
  <si>
    <t>GC_00003458</t>
  </si>
  <si>
    <t>PF01266.30</t>
  </si>
  <si>
    <t>FAD dependent oxidoreductase</t>
  </si>
  <si>
    <t>K00111</t>
  </si>
  <si>
    <t>glycerol-3-phosphate dehydrogenase [EC:1.1.5.3]</t>
  </si>
  <si>
    <t>COG0578</t>
  </si>
  <si>
    <t>Glycerol-3-phosphate dehydrogenase (GlpA) (PDB:2RGH)</t>
  </si>
  <si>
    <t>KEGG Orthology (KO)&gt;&gt;&gt;09100 Metabolism&gt;&gt;&gt;09103 Lipid metabolism&gt;&gt;&gt;00564 Glycerophospholipid metabolism [PATH:ko00564]|Enzymes&gt;&gt;&gt;1. Oxidoreductases&gt;&gt;&gt;1.1  Acting on the CH-OH group of donors&gt;&gt;&gt;1.1.5  With a quinone or similar compound as acceptor&gt;&gt;&gt;1.1.5.3  glycerol-3-phosphate dehydrogenase</t>
  </si>
  <si>
    <t>MVSWNPAYFSQAWAEFGAQHFDVCVIGGGSVGAGAALDAASRGLKVAVVEARDFASGTSSRSSKMFHGGLRYLAMLDFRLVAESLRERELSMSTLAPHLVKPLRFIFPLTHRVWERPYMASGFALYDLMGGAKSVPMQKHLSRAGTLRLAPGLKDDVVVGGVRYFDTLVDDARHTLTVLRTAAELGAVVRPSTQVVGLTKVGSRVVGARLLDTDTGSETTLSADVFINATGVWTEEIHKLAGVTGPFTVRASKGVHIVVPRDCLDADAALCFVTEKSVLFVIPWGEYWIIGTTDTDWDKNLAYPAATRADIDYILAHVNEKVRHPITVADIVGVYSGLRPLVSGTSESTTNLSRNHAVARVTPGLVSVAGGKYTTYRVIGRDAVAAAVQDIRGRMVPESVTDATPLLGAERYQAVANHTPALAHQYGLTTAQVEHLLGRYGSLVREVLALGVSDPALLAPIPGAPRYLLVEAVYAVTHEGALHVADIIERRLRIAMEYGHRGVECAAPIAQVVAPYLGWSATEVTAEVDGYAATVAALLSAEQEATDAGANEMVARVSDPRSRIDVSQDR</t>
  </si>
  <si>
    <t>PF16901.10</t>
  </si>
  <si>
    <t>C-terminal domain of alpha-glycerophosphate oxidase</t>
  </si>
  <si>
    <t>--------------------------------------------------------------------------MLDFRLVAESLRERELSMSTLAPHLVKPLRFIFPLTHRVWERPYMASGFALYDLMGGAKSVPMQKHLSRAGTLRLAPGLKDDVVVGGVRYFDTLVDDARHTLTVLRTAAELGAVVRPSTQVVGLTKVGSRVVGARLLDTDTGSETTLSADVFINATGVWTEEIHKLAGVTGPFTVRASKGV</t>
  </si>
  <si>
    <t>GC_00003459</t>
  </si>
  <si>
    <t>MADTADASANPDASTATPAMAAETVTAVPTTPTTEPVAVDAPEQAPAQVDKEPADTPTMVMPAVVQPTPPQSSLESENQKPESGTQVPESEPKTSGADDDPKLKPEPEPTVEAETKTEVEKSGNDETNDEPEKAAHGGGSGTAAGSGNELPAEPHQEATRPAEAELADQDRSKLAFLESEYLMMEIPPLDLDSTTGIDFLADNDDYSDPVFAAVKKDLERKEREQAAAAAAAAAMAAASDPSSSGDNAADNVNNPAPVDTNSKPQQQPAAAKKVPLPDYPTVEMHFPADPGSNQLDETAKMQFVMPPYDPAPRNPSPRNLPNRQQPPQAPPQANNQSDARSNGHRGLWKRLFRRH</t>
  </si>
  <si>
    <t>MADTADASANPDTSTATPAMAAETVTAVPTTPTTEPVAVDAPEQAPAQVDKEPADTPTMVMPAVVQPTPPQSSLESENQKPESGTQVPEPEPKTSGADDDPKLKPEPEPTVEAETKTEVEKSGNDETNDEPEKAAHGGGSGTATGSGNELPAEPHQEATRPAEAELADQDRSKLAFLESEYLMMEIPPLDLDSTTGIDFLADNDDYSDPVFAAVKKDLERKEREQAAAAAAAAAMAAASDPSSSGDNAADNVNNPAPVDTNSKPQQQPAAAKKVPLPDYPTVEMHFPADPGSNQLDETAKMQFVMPPYDPAPRNPSPRNLPNRQQPPQAPPQANNQSDARSNGHRGLWKRLFRRH</t>
  </si>
  <si>
    <t>GC_00003460</t>
  </si>
  <si>
    <t>MKEINCFLEAWAKIAIFYKCYTQVILNFSTFPAIIWLKT</t>
  </si>
  <si>
    <t>MKEINCFLEAWAKIAIFYKCYTQVILNFSIFPAIIWLKT</t>
  </si>
  <si>
    <t>GC_00003461</t>
  </si>
  <si>
    <t>MPSRPHARACAAATLLVAALPVAGCLSTPHPTPATSTSTPTSTDDTKSDTGINPDLIAARNTNLNRHVSPDFPNHPIVLPDRDLTGVDASQHFFTTSETLVVTSNDPASQLRAASIAVISHAPMLTLTTTNRAAILNEIARLKTHTILIVGDIPHLPAQPGIDYITDPETPDALGKLTALQFVTRAVTNPRHIPHAIADLDGDTAVELVPAWANTTTSTTSTTAETSTSTAAAPTTQPTQAPTDLKAFPAQSRRDADTAPIVIATAASTIAGIATAKAFGATIRILDDPDPRYSLTTMKQVAGLADQPLIALGAQFGTASILADRIRRGERTHQYQPGQYHRGTVYPHRIIVAHPINLTTARPDNPVDIDGEFEHLHERVMRYITPDPETQVTPALILTVDGLRPEQLQLWLTEATRNNTYLILHGDFHHLTTFETILTNPNVGMAPTGDHTQAATWLATLTHDHNLPQKLLLTLDVTTAEKAQNTATHHDDLAPVALIAAETPDDYHKIATQLPSGVTPGISISAHNPLNAWDMTQLTPRPLMINRG</t>
  </si>
  <si>
    <t>MPSRPHARACAAATLLVAALPVAGCLSTPHPTPATSTSTPTSTDDTKADTGINPDLIAARNTNLNRHVSPDFPNHPIVLPDRDLTGVDASQHFFTTSETLVVTSNDPASQLRAASIAVISHAPMLTLTTTNRAAILNEIARLKTHTILIVGDIPHLPAQPGIDYITDPETPDALGKLTALQFVTRAVTNPRHIPHAIADLDGDTAVELVPAWANTTTSTTSTTAETSTSTAAAPTTRPTQAPTDLKAFPAQSRRDADTAPIVIATAASTIAGIATAKAFGATIRILDDPDPRYSLTTMKQVAGLADQPLIALGAQFGTASILADRIRRGERTHQYQPGQYHRGTVYPHRIIVAHPINLTTARPDNPVDIDGEFEHLHERVMRYITPDPETQVTPALILTVDGLRPEQLQLWLTEATRNNTYLILHGDFHHLTTFETILTNPNVGMAPTGDHTQAATWLATLTHDHNLPQKLLLTLDATTAEKAQNTATHHDDLAPVALIAAETPDDYHKIATQLPSGVTPGISISAHNPLNAWDMTQLTPRPLMINRG</t>
  </si>
  <si>
    <t>GC_00003462</t>
  </si>
  <si>
    <t>K03189</t>
  </si>
  <si>
    <t>MSEQHTDPVIVGIGGPVGSGKTQLIERITRAMSSEISMAAITNDIYTIEDAKILARNSVLPTDRIIGIETGGCPHTAIREDTSMNDAAITELKERFPDLQLIFVESGGDNLSATFSPELVDFSIYVIDVAQGEKIPRKAGMGMIKSDLFIINKTDLAPHVHADLAVMTEDSKAFRKDKPFALTNLMTDEGLDKVLEWIRRDVLLMDLA</t>
  </si>
  <si>
    <t>MSEQHTDPVIVGIGGPVGSGKTQLIERITRAMSSEISMAAITNDIYTIEDAKILARNSVLPIDRIIGIETGGCPHTAIREDTSMNDAAITELKERFPDLQLIFVESGGDNLSATFSPELVDFSIYVIDVAQGEKIPRKAGMGMIKSDLFIINKTDLAPHVHADLAVMTEDSKAFRKDKPFALTNLMTDEGLDKVLEWIRRDVLLMDLA</t>
  </si>
  <si>
    <t>GC_00003463</t>
  </si>
  <si>
    <t>MYHARPEVAAERFDQLVKFLEEHGETGIARQAQVVKESGGIREALHFITDKAAEGFSTKACQEAAPLILLTAIGIMHALPPY</t>
  </si>
  <si>
    <t>MYHARPEVAEERFDQLVKFLEEHGETGIARQAQNVKESGGIREALHFITDKAAEGFSTTSCQEATPLILLTAIGIMQTLPPH</t>
  </si>
  <si>
    <t>GC_00003464</t>
  </si>
  <si>
    <t>---------------------MNIPPVSRRHSPKFTSDSHRLTSARAFTSGSDTYHDVRPDYPPDILRLLRSARRVLDVGAGTGKFTQLLCESPRFDQVYALDPSMDMLRTLVRFAPVPAWQATAEHTGCAAQLFDAVTCAQAWHWVDTKQASAELDRITTRDAQVLLVWNTLDVTVPWVHRLSRIMHSGDMLTQGFLPSVYKPWIITDQVHDRWEQELLPAQVHELTHTRSYWLRSNERIRARVTANLSWYLGE</t>
  </si>
  <si>
    <t>MGVEKLETHNKHEKDRKPRIIVNIPPVSRRHSPKFASDSHRLTSARAFTSGSNTYHDVRPSYPPDILRLLRPARRVLDVGAGTGKFTQLLCESPRFDQVYALDPSMDMLRTLVRFAPVPAWQATAEHTGCAAQLFDAVTCAQAWHWVDTKQASAELDRITTRDAQVLLVWNTLDVSVPWVHRLSRIMHSGDMLTQGFLPSVYKPWIITDQVHDRWEQELLPAQVHELTHTRSYWLRSNERIRARVTANLSWYLGEHLGYGPNDIVTLPYRLDGFVLSKIAQKLP</t>
  </si>
  <si>
    <t>GC_00003465</t>
  </si>
  <si>
    <t>MTTDPRRRSRRRRSGGAAHKPQSQSQPQPQSPTATPKPREVSQERAEELARTPFVAVTVKTTGIHPSTAQLVVIDAVVLTASGEPDSDFHAVLSVPDDPGPKHMHGLSREEIADGKSFSSILKALGKTIDGRTMITHNVPLVWGFIHKEARRAMTAAARANRRRGSRGKPRRRQRVGHVPRPVGIVDMLATARRRGVDLPDTRIRTVARMLGVECEPATATVERARQPEFDVTRAETLLVADMFFRDPDHVVVVKPDELQPDRFGLQRSSIRVAAANATPKFHNPGVFAGTLVQGMQIVVAPEITADPDDIIRAITTHDLSYSEKVTRQTSLVVCNKHNNLSGKAMHAARKGVPLMTDDEFLTLITTTQITPGEPTPPPETSPVLRSITGRSTRQPRKKGSRRVSRR</t>
  </si>
  <si>
    <t>MTTDPRRRSRRRRSGGAAHKPQSQSQPQPQSPAATPKPREVSQERAEELARTPFVAVTVKTTGIHPSTAQLVVIDAVVLTASGEPDSDFHAVLSVPDDPGPKHMHGLSREEIADGKSFSSILKALGKTIDGRTMITHNVPLVWGFIHKEARRAMTAAARANRRRGSRGKPRRRQRVGHVPRPVGIVDMLATARRRGVDLPDTRIRTVARMLGVECEPATATVERARQPEFDVTRAETLLVADMFFRDPDHVVVVKPDELQPDRFGLQRSSIRVAAANATPKFHNPGVFTGTLVQGMQIVVAPEITADPDDIIRAITTHDLSYSEKVTRQTSLVVCNKRNNLSGKAMHAARKGVPLMTDDEFLTLITTTQITPGEPTPPPETSPVLRSITGRSTRQPRKKGSRRVSRR</t>
  </si>
  <si>
    <t>GC_00003466</t>
  </si>
  <si>
    <t>MPTMKPGSITVLISVYSRSDPNELDETLNSLWGQTLAAESVLIIKDGPTPNKINQVISYHQSHHPELTTIQLEENQGLGPALQQGLAEINTEFFARIDSDDIALPHRLEHQIIFLQDHPDIAVVGTAVIEFDDHIYQKTKNLNLATTEIRSLPEKHDDIVRYCRINSPLNHPSIMARTAIIRQAGGYRQLHFMEDYDLWARLISIGARLHNLPEPLTYFRTSTAQIQRRTGMGMLKPEWQMQRNLISYGIISKPQAIFNLIVRTFYRTIPGPILKKINSILFSKR</t>
  </si>
  <si>
    <t>MPTMKPGSITVLISVYSRSDPNELDETLNSLWGQTLAAESVLIIKDGPTPNKINQVISYHQSHHPELTTIQLEENQGLGPALQQGLAEINTEFFARIDSDDIALPHRLEHQIIFLQDHPDIAVVGTAVIEFDDHIYQKTKNLNLATTKIRSLPEKHDDIVRYCRINSPLNHPSIMARTAIIRQAGGYRQLHFMEDYDLWARLISIGARLHNLPEPLTYFRTSTAQIQRRTGMGMLKPEWQMQRNLISYGIISKPQAIFNLIVRTFYRTIPGPILKKINSILFSKR</t>
  </si>
  <si>
    <t>GC_00003467</t>
  </si>
  <si>
    <t>MTMTLPEPLVLSTTEHNITVLTLNRPAKRNALTAKMCRLLTQEIQAVTDTANELNGMPTTRIIVIRAQGPAFCAGADLGAASEHTIGGTISAGVYSDDFHEALFSMLRAIVSAPVPVIADIHGPVIGAGTQLALACDLRVAGDKAWFRVPVASLGFALDGWTIHRAQNLLGGALARNMLIANQRVTASQAAAVGFIIPVKNPAQAEEFAYEVSRLAPLAMQQLKTALNAQDATYQLSADAQALFDACWSSTDIKEAKQARAERRAPIFHGR</t>
  </si>
  <si>
    <t>MTMTLPEPLVLSTTEHNITVLTLNRPAKRNALTAEMCRLLTQEIQAVTDTANELNGMPTTRIIVIRAQGPAFCAGADLGAASEHTIGGTISAGVYSDDFHEALFSMLRAIVSAPVPVIADIHGPVIGAGTQLALACDLRVAGDKAWFRVPVASLGFALDGWTIHRAQNLLGGALARNMLIANQRVTASQAAAVGFIIPVKNPTQAEEFAYEVSRLAPLAMQQLKTALNAQDATYQLSADAQALFDACWSSTDIKEAKQARAERRAPIFHGR</t>
  </si>
  <si>
    <t>GC_00003468</t>
  </si>
  <si>
    <t>MDAHIRYQSIYSSSKEYAEKLAELLTMQDISAQAFDADRPVPVDDKPVVIFSYVHGPVIPAAKLATRISTESPLGRNIAAVAVGMTPIESAKAKDQMCSMVPDTCTRFYVPGRLNYSTVQPGHKAILTSIVTALKLKPGKSPAEQALVAGYNKDIDGIDFTYLDPIVSWVTAG</t>
  </si>
  <si>
    <t>MDAHIRYQSIYSSSKEYAEKLAELLTMQDISAQAFDADRPVPVDDKPVVIFSYVHGPVIPAAKLATRISTESPLGRNIAAVAVGMTPIESAKAKDQMCSMVPDTCTRFYVPGRLNYSTVQPGHKAILTSIVTALKLKPGKSPAEQALVAGYNKDIDGIDFSYLDPIVSWVTAG</t>
  </si>
  <si>
    <t>GC_00003469</t>
  </si>
  <si>
    <t>MTYLSRIAITIVLGATMALTACALPVGGNMNAQIATPTLPTDYPTELPTNYPTELPTELSTSIAATPTTTSAEPKPVEIPLTNIIFDDPETQDHIEVLSIIRHFPSEAHGTSRETVLLQVKVIPGEVYTNIISRGDFRLSSKEDKRGSSPTSYPEEAMKKAGHTPIGDVKSGDGERVGWYGVIAGKNVDSYTLTYTRQAAEILMPSASDKKEIPKFEKSFELPAAPSSK</t>
  </si>
  <si>
    <t>GC_00003470</t>
  </si>
  <si>
    <t>MVSFLITCAYTSRVNSPNSTSSTITFGVQDVLRLIAFVGTAAGLIMTKIQIRATDFHVDMIIYRAGAQAFLENRPLYFQAFSAGDLGLPFIYPPFGALILGPLAKPEWITDEDAAAFVVMLSSLGVLLCLYLVASALLNHDASALKEAATNGTSISMNSDRLVPFTIAAVLWPLALLSEPVWLNSQFAQINVVVMTLVVLDLMPRQRRIPQGWLIGVAAAIKLTPLVMLLYFVVRKEWRGIASAGASAVVMTAIGAAFSWSRTQEFYTRVLFQMGSGGDFGVNSSYTSNSSIHAFLERWWSSKDRMLAHQHTITLWWLALSLITIAIVFFLMRALVRRGYNVEAVMLNSALMLLVSPVSWSHHWVWIPLWIAVLLWHWRTATTAYARRAFAVASLALSALVLFEPPKWWFGDGVNVWELEVWKKIVVNDYTIAAYLLFVFVFVALRFRQARVHDAHPH</t>
  </si>
  <si>
    <t>MVSFLITCAYTSRVNSPNSTSSTVTFGVQDVLRLIAFVGTAAGLIMTKIQIRATDFHVDMIIYRAGAQAFLENRPLYFQAFSAGDLGLPFIYPPFGALILGPLAKPEWITDEDAAAFVVMLSSLGVLLCLYLVASALLNRDASGLKEAATNGASISMNSDRLAPFTVAAVLWPLALLSEPVWLNSQFAQINVVVMTLVVLDLMPRHRRIPQGWLIGVAAAIKLTPLVMLLYFVVRKEWRGIASAGVSAVVMTAIGAAFSWSRTQEFYTQVLFQMGSGGDFGVNSSYTSNSSIHAFLERWWSSKDRMMAHQHAISLWWLVLSLITIAIVFFLMRELVRRGYGVEAVMLNSALMLLVSPVSWSHHWVWIPLWIAVLLWHWRAATTVYARRAFAVASLALSALVLFEPPKWWFGDGVNVWELEVWKKIVVNDYTIAAYLLFVFVFVALRFRQARAHDAHPH</t>
  </si>
  <si>
    <t>GC_00003471</t>
  </si>
  <si>
    <t>MTVIRIAAVVIENPHGKILSVRKCGTTALMLPGGKIEPGEEPIQTAAREIFEEIGLDLPLSELTYLDTLTAPAANEPGATVCCDVFIWSGTLDHLPSVQAEIDEACWCDISSTSPKLAPLSRDVVFPRLRGKRG</t>
  </si>
  <si>
    <t>MTVIRIAAVVIENPHGKILSVRKRGTTALMLPGGKIEPGEEPIQTAAREIFEEIGLDLPLSELTYLDTLTAPAANEPGATVCCDVFIWSETLDHLPSVQAEIDEACWCDVSSTSLELAPLSRDVVFPRLRGKRG</t>
  </si>
  <si>
    <t>GC_00003472</t>
  </si>
  <si>
    <t>K06123</t>
  </si>
  <si>
    <t>1-acylglycerone phosphate reductase [EC:1.1.1.101]</t>
  </si>
  <si>
    <t>M00088</t>
  </si>
  <si>
    <t>Ketone body biosynthesis, acetyl-CoA =&gt; acetoacetate/3-hydroxybutyrate/acetone</t>
  </si>
  <si>
    <t>KEGG Orthology (KO)&gt;&gt;&gt;09100 Metabolism&gt;&gt;&gt;09101 Carbohydrate metabolism&gt;&gt;&gt;00650 Butanoate metabolism [PATH:ko00650]|Enzymes&gt;&gt;&gt;1. Oxidoreductases&gt;&gt;&gt;1.1  Acting on the CH-OH group of donors&gt;&gt;&gt;1.1.1  With NAD+ or NADP+ as acceptor&gt;&gt;&gt;1.1.1.30  3-hydroxybutyrate dehydrogenase</t>
  </si>
  <si>
    <t>MPKTALVTGASSGMGEEIARTLHKLGYTVYAAARRTDRLEQLATTGIHALTMDVTDDESITSGIEKIITETGHIDVLINNAGYGSYGAIEDIPMDEARHQFEVNVFGLARLIQLVLPYMRAQRSGTIINISSVGGRLTNPLGGWYHASKHAVEALSDALRMETAPFGIDVVVIQPGGIRTEWPGITADHLEGTAEGSAYAAQVEAVAGWMRSESTAKRLSPPSVIADTVKKIVTARKPRTRYVVGFGGKPLVILRRILPDRAFDYVVSIVFGVRR</t>
  </si>
  <si>
    <t>MPKTALVTGASSGMGEEIARTLHKLGYTVYAAARRTNRLEQLATTGIHALTMDVTDNESMTSGIEKIITETGHIDVLINNAGYGSYGAIEDIPMDEARHQFEVNVFGLARLIQLVLPYMRAQRSGTIINISSVGGRLTNPLGGWYHASKHAVEALSDALRMETAPFGIDVVVIQPGGIRTEWPGITADHLEETAEGSAYAAQVEAVAGWMRSESTAKRLSPPSVIADTVKKIVTARKPHTRYVVGFGGKPLLILRRILPDRAFDYVVSIVFGVRR</t>
  </si>
  <si>
    <t>GC_00003473</t>
  </si>
  <si>
    <t>COG3910</t>
  </si>
  <si>
    <t>Predicted ATPase</t>
  </si>
  <si>
    <t>MFITGIKLDEIGTTSYINELPVVRHLLAVPRMNLTTPVTFVVGENGSGKSTLVEAIAVGSGFNAEGGTRQVTFSTMNTESELHHWLTVVRAKNPTWGFFLRAESYYNVATAYYEFDATLPPEDRLNLHHRSHGESVMHIMDERFTKKGLYILDEPEAGLSPFRLMELLVRITRMAEEGSQFIIATHSPILLAVPDATILEITADGLAPVTYDQATIVQATREFLDNPRAVVDFLLDPED</t>
  </si>
  <si>
    <t>MFITGIKLDEIGTTSYINELPVVRHLLAVPRMNLTTPVTFVVGENGSGKSTLVEAIAVGSGFNAEGGTRQVTFSTMNTESELHHWLTVVRAKNPTWGFFLRAESYYNVATAYYEFDATLPPEDRLNLHHRSHGESVMHIMDERFTKKGLYILDEPEAGLSPLRLMELLVRITRMAEEGSQFIIATHSPILLAVPDATILEITADGLAPVTYDQATIVQATREFLDNPRAVVDFLLDPED</t>
  </si>
  <si>
    <t>GC_00003474</t>
  </si>
  <si>
    <t>MQATLAGLTLLADPDRGADLVHQAGASPAQVADLLENSASAAATPGVATLIVDMLLGVGGRGFYSQFGTTQSASSRLLAEAAGTTVADTVFDPACGIGGTLLALAQTHDVAIVGADIAPTVVDVAKLQAQLSGVSADFQCRDSLAHAASSSRQRYRTVVVEAPLDQQADAEHCQNLARSFDENIMVPARAHEAFLLCALRHLASDGYGYVLTSFSPGVSHQSAELRRLLLRRRQVEAIIQLPEKFLAYSHVNTLLWVLRGSPTAATAVIDASDIPKSKLHVADWLTTLRAGRPLKVPHAVLTPATLLSDHDVLLPRVVMQTLRMMKPDSVITTPQAAEHELAIPTAKVHTTIGRLISEGGLTYSDHKPLTGEYLAVLNDRHAIYPPDVFGQAKYLRIVDPHRFNPQFLAMCINNSRELRRHDFRQATVPLCGLAEQRRIIRSVHSMTRRLLGAGE</t>
  </si>
  <si>
    <t>MQATLAGLTLLADPDQGADLVRQAGASPAQVADLLDNSVTAAATPGVATLIVDMLLGVGGRGFYSQFGTTQSASSRLLAEAAGTTVTDTVFDPACGIGGTLLALARAHDVAIVGADIAPTAVDVAKLQARLLGVTADFRCRDSLAHAASSSRRQYRTVVVEAPLNQQADTGHCQNLARSFDENIMVPARAHEAFLLCTLRHLTSDGYGYVLTSFSPGVSHQSAELRRLLLRRRQVEAIIQLPEKFLAYSHVNTLLWVLRGSPTAATAVIDASNIPKSKLHVADWLTTLRAGQPLRVPHAVLTPATLLSDHDVLLPRVVMQTLRMMKPDSVITTPQAAEHELTIPAAKVHTTIGRLISEGGLTYSDHKPLTGEYLAVLNDRHAIYPPDVFGQAKYLRIVDPYRFNPQFLAMCINNSRELRRHDFRQATVPLCGLAEQRRIIRSVHSMTRRLLGAGE</t>
  </si>
  <si>
    <t>GC_00003475</t>
  </si>
  <si>
    <t>PF08327.17</t>
  </si>
  <si>
    <t>Activator of Hsp90 ATPase homolog 1-like protein</t>
  </si>
  <si>
    <t>COG3832</t>
  </si>
  <si>
    <t>Chalcone/flavanone-binding protein YndB, AHSA1/START/SRPBCC domain (YndB) (PDB:2KTE) (PUBMED:20818668)</t>
  </si>
  <si>
    <t>MAEFQDFIDIAAPPETVFDYLTTNDGMTAWMGQYADLDPTPGGQFAVDITGHPVRGEYLVVEPYRRVVFTWGFTGSDHLPAGASTVEFLLTPINGGTRVELRHFNLPETEVAGHKHGWTHFLPRLKTAGAGHDAGPDHWEPLPD</t>
  </si>
  <si>
    <t>MAEFRDFIDIAAPPETVFDYLTTNEGMTAWMGQYADLNPTPGGQFAVDIAGYPVRGEYLVVEPYRRVVFTWGFTGSHHLPAGASTVEFLLTPINGGTRVELRHFNLPETEVAGHKHGWTHFLPRLKAAGTGHDAGPDHWEPLPD</t>
  </si>
  <si>
    <t>GC_00003476</t>
  </si>
  <si>
    <t>MTKIILDLDTGIDDALALAYALGSPELELIGITATYGNVLVQDGVRNDLALLELFGRPDIPVFVGESHALAKDGFEVLPISEFIHGSNGIGDVTVPDAAACCQKQSAVDFLIDSVAKYGDDLVIVPTGAMTNIATAMRRSPEFAERAHIVFMGGALAVPGNVNACVEANISQDPEAADIMVRHGKDVTMIGLDVTLQTLLTYEETRKWREYGTPAGQLLADATDYYIKAYETTAPELGGCGLHDPLAVGVAIDPTLVTLLPINLKVDLEGPTRGRTIGDENRMGESATTRVAVAVDASRFLTEFMTRVGKVAAGL</t>
  </si>
  <si>
    <t>MTKIILDLDMGIDDALALAYALGSPELELIGITATYGNVLVQDGVRNDLALLELFGRPDIPVFVGESHALAKDGFEVLPISEFIHGSNGIGDVTVPDAAACCQKQSAVDFLIDSVAKYGDDLVIVPTGAMTNIATAMRRSPEFAERAHIVFMGGALAVPGNVNACVEANISQDPEAADIMVRHGKDVTMIGLDVTLQTLLTYEETRKWREYGTPAGQLLADATDYYIKAYETTAPELGGCGLHDPLAVGVAIDPTLVTLLPINLKVDLEGPTRGRTIGDENRMGESATTRVAVAVDAPRFLTEFMARVGKVAAGL</t>
  </si>
  <si>
    <t>GC_00003477</t>
  </si>
  <si>
    <t>COG4152</t>
  </si>
  <si>
    <t>ABC-type uncharacterized transport system, ATPase component (YhaQ)</t>
  </si>
  <si>
    <t>MTTLEVRNLRKNFGDVAALTDVSLTVKPGEIYGFVGSNGAGKSTTMRIILGVLAADAGEVLWDGKPITADNRRDIGYMPEERGLYAKEKILDQLVFLARLHGLGIQEATTNAQRLLEQLGLAERATSQLTDLSLGNQQRVQLAASLVHNPDVLVLDEPFSGLDPIAVQVMSDMLISRAQQGTPVIFSSHQLDLVQRLCDRVGIISGGKMRAQGTVMELRTQGPARYEVGSPVPAQEWCPVGCRIVAEEPGQTIIEKPEHVSDQDILTAALAVGPVHSFTRRVPDLVDLFKEFVS</t>
  </si>
  <si>
    <t>MTTLEVRNLRKNFGDVAALTDVSLTVKPGEIYGFVGSNGAGKSTTMRIILGVLAADAGEVLWDGKPITADNRRNIGYMPEERGLYAKEKILDQLVFLARLHGLGIQEATTNAQGLLEQLGLAERTTSQLTDLSLGNQQRVQLAASLVHNPDVLVLDEPFSGLDPIAVQVMSDMLISRAQQGTPVIFSSHQLDLVQRLCDRVGIISGGEMRAQGTVMELRTQGPARYEVGSPVPAQEWCPTGCRIVAEEPGQTIIEKPEHVSDQDILAAALAVGPVHSFTRRVPDLVDLFKEFVS</t>
  </si>
  <si>
    <t>GC_00003478</t>
  </si>
  <si>
    <t>MTVKILIADDQVLLSRALATILGSQPDLEVVATVHDGQAAVDTVAHTPVDLVLMDVRMPKLDGVAALKKIQAKPNPPKIVMLTTFNVPDTVKAALTAGANGFLLKDADPETLIESVRTVAAGQTVLAADVVGHILPGALTVAADTLPSHVQQGLSLLTPREMEVLHAIGEGKTNAEIAAELVISATTVKTHVSNLLAKVHARDRVALAIIARKVGL</t>
  </si>
  <si>
    <t>MTVKILIADDQVLLSRALATILGSQPDLEVVATVHDGQAAVDTVAHTPVDLILMDVRMPKLDGVAALKKIRAKPNPPKIVMLTTFNVPDTVKAALTAGANGFLLKDADPETLIESVRTVAAGQTVLAADVVGHILPGALTVAADTLPSHVQQGLSLLTPREMEVLHAIGEGKTNAEIAAELVISATTVKTHVSNLLAKVHARDRVALAIIARKVGL</t>
  </si>
  <si>
    <t>GC_00003479</t>
  </si>
  <si>
    <t>MTEESCTWCYITKFLCRYDSLSEAKKRYQERVDVVREKYEVVLASEQAYSMGHSQPILDLLLPQAFGYGKTLTEAELEEYAVFIFTTIVTVPEDEEGDNVREAAILLELSDSYDECPELFPSRTRGIIVTPSGRETPECIDQ</t>
  </si>
  <si>
    <t>MTEESYTWCYITKFLCRYDSLNEAKKRYQERVDAVREKYEVVLASEQAYSMGHSQPILDLLLPQAFGYGKTLTEEELEEYAVFIFTTIVTVPEDEEGDNVREAAILLELSDSYDECPELFPSRTRGIIVTPSGRESSQCIYQ</t>
  </si>
  <si>
    <t>GC_00003480</t>
  </si>
  <si>
    <t>MSLLHIGTELRRFGRGKLPPIALSVVMLLPLLFGGLFVWSYWDPIGHLNKLPVALVNSDKGAMIKGKHTVAGDQIVDKLIESKAVDFYQVTPDDAREGIANGTYYFAIELPTDFSEAVASANTPTPHQATLNAVFNNTNGLLGTALGNQVVTRVLATINENLGSQMVNQLLVGFGTIDQGLHKAGDGAAKLKEGSGKARDASGKLADGSKQLGDNLKTAKDGAAELDQGAQTLATNLGTADDAASQLADGLTKLTDATDKLGAGAGQISNGVNQVVGPAQTLAQTQQQLLTLLINLSGQVRGLNLPQTNQFADQIDATITTIQTNGIPATPNPDGTDPLSQLTKLANGASELHRQLTDPNAEYRGGINKAADGAGQLSEGLHKLADGSQRLVLGTKKLADGTSKLAEGSEQLTSGARQLADGLVTLDDGMGELALKLNESAQKVPAFADGAAKNFSTPVAENTPKDSLGIFGMGLTPMFISIGLFLGATVTFMLLHPRNRRAIDSGAIPLRAVLAAYLPAAIVGITQATIMFLVQRFALGLHAINELGLWASMCLIAVTFITITQGLNNIFGVTVGRVLCLALMTLQIVSSGGLYPPETQPAPLRWFHTIDPMTYSVNLLRRMIFGTEALYDHRAPQALLALIIIFTLFLTASILSAYRDRRWQMKDFRPEVSL</t>
  </si>
  <si>
    <t>MSLLHIGTELRRFGRGKLPPIALSVVMLLPLLFGGLFVWSYWDPIGHLNKLPVALVNSDKGAMIKGKHTVAGDQIVDKLIESKAVDFYQVTPDDAREGIANGTYYFAIELPTDFSEAVASANTPTPHQATLNAVFNNTNGLLGTALGNQVVTRVLATINENLGSQMVNQLLVGFGTIDQGLHKAGDGAAKLKEGSGKARDASGKLADGSKQLGDNLKTAKDGAAELDQGAQTLATNLGTADDAASQLADGLTKLTDATDKLGAGAGQISNGVNQVVGPAQTLAQTQQQLLTLLINLSGQVRGLNLPQTNQFADQIDATITTIQTNGIPATPNPDGTDPLSQLTKLANGASELHRQLTDPNAEYRGGINKAADGAGQLSEGLHKLSDGSQRLVLGTKKLADGTSKLAEGSEQLTSGARQLADGLVTLDDGMGELALKLNESAQKVPAFADGAAKNFSTPVAENTPKDSLGIFGMGLTPMFISIGLFLGATVTFMLLHPRNRRAIDSGAIPLRAVLAAYLPAAIVGITQATIMFLVQRFALGLHAINELGLWASMCLIAVTFITITQGLNNIFGVTVGRVLCLALMTLQIVSSGGLYPPETQPAPLRWFHTIDPMTYSVNLLRRMIFGTEALYDHRAPQALLALIIIFTLFLTASILSAYRDRRWQMKDFRPEVSL</t>
  </si>
  <si>
    <t>GC_00003481</t>
  </si>
  <si>
    <t>PF00547.23</t>
  </si>
  <si>
    <t>Urease, gamma subunit</t>
  </si>
  <si>
    <t>K01430</t>
  </si>
  <si>
    <t>urease subunit gamma [EC:3.5.1.5]</t>
  </si>
  <si>
    <t>COG0831</t>
  </si>
  <si>
    <t>Urease gamma subunit (UreA) (PDB:1A5K)</t>
  </si>
  <si>
    <t>MVVVAADVARRRQARGLKLNYPEAVAILTYELLEGARDGRSVAELMNWGSTILSTDDVMEGVAEMIPDVQVEATFPDGTKLVTVHNPIR</t>
  </si>
  <si>
    <t>MVVVAADVARRRQARGLKLNYPEAVAILTYELLEGARDGRSVAELMNWGSTILSTDDVMEGVADMIPDVQVEATFPDGTKLVTVHNPIR</t>
  </si>
  <si>
    <t>GC_00003482</t>
  </si>
  <si>
    <t>PF16157.10</t>
  </si>
  <si>
    <t>Domain of unknown function (DUF4865)</t>
  </si>
  <si>
    <t>MYAMQYQVGLPADYNMQIIRDRVKKTGHLMDGFAGLEFKAYLIREKSKGAGRNVYAPFYVWRNIDGMRSFCWGELGYSAIVRDFGRQPIQDWTIHRIVRGPIPYVDAHSLTLTTVPLPVDVAPSLCLDSVTQDFLNSIADSTVTLVTAVDITNWNAIFVELSNRESDQSVTGSLSYEVLHMSYGS</t>
  </si>
  <si>
    <t>MYAMQYQVGLPADYNMQIIRDRVKKTGHLMDGFAGLEFKAYLIREKSKGAGRNVYAPFYVWRNIDGMRSFCWGEPGYSAIVRDFGRQPIQDWTIHRIVRGPISYADARSLTLTTVSLPVDIAPSLCLDSVTQDFLNSVADSTVTLVTAVDVTNWNAIFVELSNRESDQSVTSSLSYEVLHVSYGS</t>
  </si>
  <si>
    <t>GC_00003483</t>
  </si>
  <si>
    <t>MKIIQYSDFGGPEVLELVESEKPLPAIVSLDRGMHVTVHAVGLNPVDYKTFNGSLRFLEKLQRIINPKKWFQRRSSTFPRGVARDFAGVDDAGDAVLGTLYQPVTSIMRQGALATEILVAPEDMTLKPEGISFETAAALGVPGQTACGAFRALDLRAGDVIVISAAAGGVGSLATQLAVHRGATVIGIASDANADYVRSLGAIPVAYGEGLVDRVRAAAPTPVTKLLDCYGSEYITLGLSLGLSRKAIGTLVPGPKAAFRGVHITGMRHAHPASDLAEIASLVADGTITIDIAHEYPFDIDSVRAAYTQLMGGHVRGKLVVKLQ</t>
  </si>
  <si>
    <t>MKIIQYSDFGGPEVLELVESEKPLPATVSLDRGMNVTVHAVGLNPVDYKTFNGSLRFLEKLQRIINPKKWFQRRSSTFPRGVARDFAGVDDAGNAVLGTLYQPVTSIMRQGALATEILIAPEDMTLKPEGISFETAAALGVPGQTACGAFRALDLRAGDVIVISAAAGGVGSLATQLAVHRGATVIGIASDANADYVRSLGAIPVAYGEGLVDRVRAAAPTPVTKLLDCYGSEYITLGFSLGLSRKAIGTLVPGPKAAFRGVHITGMRHAHPASDLAEIASLVADGTITIDIAHEYPFDIDSVRAAYTQLMGGHVRGKLVVKLQ</t>
  </si>
  <si>
    <t>GC_00003484</t>
  </si>
  <si>
    <t>MWGASVVFFGVWASLLVGWDVCFSRLPNVLTYTGFAVAIVVAVAAGDPLAILGGVAWSALYIASGYISGGVGGGDVKLAASLGILAAMCGWRGWLVAVGGASLSTVILLLITKRHAMPHGPGMIGATALVVLWHHYAGVM</t>
  </si>
  <si>
    <t>GC_00003485</t>
  </si>
  <si>
    <t>MGELSFDKQTYKPGDVVTMTGTGFAARPSDGFLGMKLNSNKSEWPADQSAGDNLEYNEGNATTLEIPAATVGNGNFTVRVVLPAFDAKFQAGKQVITLLGGNDGGPVASRSAVIWVNETGDDSDACGATPSVKPQPDPQPQPEPSQPEKTSEAPAPKPDPQPQPKPSQPEKTSEAPAPKPSKTSEPEKTSEPAKTSEKPKPSQEPQNNLNKGVENLLNYFKDGTNVRKVVIAVASVLGIAGLATAVLGSLVKLNLIPRDWFPPQFRF</t>
  </si>
  <si>
    <t>MGELSFDKQTYKPGDVVTMTGTGFAARPSDGFLGMKLNSNKSEWPADQSAGDNLEYNEGNATTLEIPAATVGNGNFTVRVVLPAFDAKFQAGKQVITLLGGNDGGPVASRSAVIWVNETGDDSDACGATPSVKPQPDPQPQPEPSQPEKTSEAPAPKPDPQPQPKPSQPETTSEAPAPKPSKTSEPEKTSEPAKTSEKPKPSQEPQNNLNKGVENLLNYFKDGTNVRKVVIAVASVLGIAGLATAVLGSLVKLNLIPRDWFPPQFRF</t>
  </si>
  <si>
    <t>GC_00003486</t>
  </si>
  <si>
    <t>MQGKSTDKLENGLFSYLVVDLYNKHEKCAYAQAQKQLFFVLRDKHTAHPTTP-</t>
  </si>
  <si>
    <t>MQGKSTDKLKNGLFSYLVVDLYNKHEKCAYAQAQKQLFFVLRDKHTSRPKTLN</t>
  </si>
  <si>
    <t>GC_00003487</t>
  </si>
  <si>
    <t>K23185</t>
  </si>
  <si>
    <t>ferric enterobactin transport system substrate-binding protein</t>
  </si>
  <si>
    <t>COG4592</t>
  </si>
  <si>
    <t>ABC-type Fe2+-enterobactin transport system, periplasmic component (FepB) (PDB:2M6K)</t>
  </si>
  <si>
    <t>MQRRKTAVKKIAAIVAGAMLIFSAACSQQSKDSEGTSSSESSTSAAQSAEFPRTIETLNGAKQPTTITIEQQPKRIVSASVSLTGSLLSIDAPIVASGGGNGESPMFTKDEGFGIQWADKAKEKGVESMWQLQPNVEAILAQNPDLVIMSSVGGDQALDLYDQLASDVPVMVIDYSDKSWEDVTTMMGKATGLEKNADEVIKKYEDRVTEVKNSINLPPQPVNIVSMTPESMNFFTPESAQGRIFTSVGFEVATPPQELIGETSIGRQRSDAVGVVPENFGPALTGETVFAQTLKAEGKTSDKIRQNPQLAQAPAVTAGRLYDLNPDAFRIDYYSAMNVLNNLEGWFKK</t>
  </si>
  <si>
    <t>MQRRKTAVKKIAAIVAGAMLIFSAACSQQSKDSEGTSSSESSNSAAQSAEFPRTIETLNGAKQPTTITIEQQPKRIVSASVSLTGSLLSIDAPIVASGGGNGESPMFTKDEGFGIQWADKAKEKGVESMWQLQPNVEAILAQDPDLVIMSSVGGDQALDLYDQLASDVPVMVIDYSDKSWEDVTTMMGKATGLEKNADEVIKKYEDRVTEVKNSINLPPQPVNIVSMTPESMNFFTPESAQGRIFTSVGFEVATPPQELIGETSIGRQRSDAVGVVPENFGPALTGETVFAQTLKAEGKTSDKIRQNPQLAQAPAVTAGRLYDLNPDAFRIDYYSAMNVLNTLEGWFKK</t>
  </si>
  <si>
    <t>GC_00003488</t>
  </si>
  <si>
    <t>MTILDFQPKKLSLRWGQLFTTFLQTPQERTGESKRAETGETEPSQSLHAFMQQTLNEHRGSKLDDALPTSRILFVSDDNAARTQIASAYTRWLGGEQVFVRSVGLTPAYHVDPLVIEVLNERGVPTDDLKPKNFNPHTLGNIDEIIIFDDDAHVSDDVKTWNITKNISTKADIHAMCDEVEARVRKLLNTLGITPTPHKNIIPEFLAA</t>
  </si>
  <si>
    <t>MTILDFQPKKLSLRWGQLFTTFLQTPQERTGESKRAETGETEPSQSLHAFMQQTLNEHRGSKLDDALPTSRILFVSDDNAARTQIASAYTRWLGGEQVFVRSVGLTPAYHVDPLVIEVLNERGVPTDDLKPKNFNPHTLGNIDEIIIFDDDAHVSDDVKTWNITKNISTKADIHAMCDEVEARVRKLLNALGITPTPHKNIIPEFLAA</t>
  </si>
  <si>
    <t>GC_00003489</t>
  </si>
  <si>
    <t>MNPQALPPYPRDPVSNSKFASWDYPIGNIERWHAKTSLDQHYAAGKLQPTEYETRMVGIMGATMWSHLVAIFADLPAPGPAYDGKQLLKACHAAQKAQSMSPLVIILLPILLGVIFLISLGVAGPPGFVFSMPILIAPLIVISMATVDKYKRVYQNFSNQLNLQQRALLDEAANEEYAQYYWRQQQQQQIQNMFNNINRQY</t>
  </si>
  <si>
    <t>MNPQALPPYPRDPVSNSKFASWDYPIGNIERWHAKTSLDQHYAAGKLQPTEYETRMVGIMGATMWSHLVAIFADLPAPGPAYDGKQLLKACHAAQKAQSMSPLVIILLPILLGVIFLISLGVAGPPGFVFSMPILIAPLIVISMATVDKYKRVYQNFSNQLNLQQRALLDEAANEEYAQYRWRQQQQQQIQNMFNNINRQY</t>
  </si>
  <si>
    <t>GC_00003490</t>
  </si>
  <si>
    <t>MSTTHSA----SRTATRSIRRSSVHPAAHPMPNPSRPAHASAFAATQPPLLRALRGEWSQLRFDAAGFYILLFTTVITVAWSAASSNLVIRYGGEDAAPSARAAISGVFQFAMYGLFIWIARYLLREERTGFAKLKLLSLPNRFAIWVAKWVWLTIIAIASMMVMAVLSTAVTLGSLALTDQPWQRFVGASAAEYLKLGVMITIIAVGTVAFGVAVAIFTNNLSSALTMLFMWVLVIEGMLNGADESTRILYSLLPFKNGTRVFENPPMEWFMWNSTVSVGYFLVVTIGLATLAIALNKSKMTRDE</t>
  </si>
  <si>
    <t>MSTTHSASRITSRTATRSIRRSSVHPAAHPMPHPSKPAHASAFAATQPPLLRALRGEWSQLRFDAAGFYILLFTTVITVAWSAASSNLVIRYGGEDAAPSARAAISGVFQFAMYGLFIWIARYLLREERTGFAKLKLLSLPNRFAIWVAKWVWLTIIAIASMMVMAVLSTAVTLGSLALTDQPWQRFVGASAAEYLKLGVMITIIAVGTVAFGVAVAIFTNNLSSALTMLFMWVLVIEGMLNGADESTRILYSLLPFKNGTRVFENPPMEWFMWNSTVSVGYFLVVTIGLAALAIAFNKSKMTRDE</t>
  </si>
  <si>
    <t>GC_00003491</t>
  </si>
  <si>
    <t>MSSARSGGVPGRRARRRVERPSTAPFVDRSWDQAGAEDLFSLGERSPDERRERDADSVELNEEFWISEKPPHWG</t>
  </si>
  <si>
    <t>MSSARSGDLPGRRARRRVERPSTATFVDRSWDQPGAEDLFSLGERSPDERRERDADSVELNEEFWISEKPPHWG</t>
  </si>
  <si>
    <t>GC_00003492</t>
  </si>
  <si>
    <t>MTSEHNFADTAVRHLGGLKTSALGFGCMGLSQGYGPVDDAESVAAIHAALDSGITMLDTAMSYGQGHNEELVGRAVASSGVPREQIQIATKFGIMRRDDGVGLDAHPDRIATYCDDSLRRLGTDTIDLYYLHRVDPQVPIEDSVDAMSDLVAQGKVRHLGVSEVTPDELRRAVGVHPIAAVQLEWSLMWREPERSIIPVARELGVGVVPYSPLGRGLLGGRLDASAVSESPFRANDPRFVDANLSANMQQVDALTTFSESRGMTVSQVALAWLLAQGDDVVPIPGTRKPERVRENAGAMRYGFSADDLVALEKAVPESEWVGDRKSFAVPVTKRG--</t>
  </si>
  <si>
    <t>MTSEHNFADTAVRHLGGLKTSALGFGCMGLSQGYGPVDDAESVAAIHAAFDSGITMLDTAMSYGQGHNEELVGRAVASSGVPREQIQIATKFGIMRRDDGVGLDAHPDRIATYCDDSLRRLGTDVIDLYYLHRVDPQVPIEDSIGAMSDLVKQGKVRHLGVSEVTPDELRRAVGVHPIAAVQLEWSLMWREPEHSIIPVARELGVGVVPYSPLGRGLLGGRLDANAVSESPFRANDPRFVDANLSANMQQVDALTTFSESRGMTVSQVALAWLLAQGDDVVPIPGTRKPERVRENAEAIRCQLNADDLVALEKAVPESEWVGDRRSFAVPVTKRGVK</t>
  </si>
  <si>
    <t>GC_00003493</t>
  </si>
  <si>
    <t>MTVQPNAPLGGKPDNNLIMAIITTVLCCVPVGGYAIYLAIQSDQAWKNGDAAAAAEFGAKARQFSIYAVIAGLVVDVLWGIFSFVLGGAGSS</t>
  </si>
  <si>
    <t>MTVQPNAPLGGKPDNNLIMAIITTVLCCVPVGGYAIYLAIQSDQAWKNGDAAAAAEFGAKARQFSIYAVIAGLVVGVLWGIFSFVLGGAGSS</t>
  </si>
  <si>
    <t>GC_00003494</t>
  </si>
  <si>
    <t>K07032</t>
  </si>
  <si>
    <t>COG0346</t>
  </si>
  <si>
    <t>Catechol 2,3-dioxygenase or related enzyme, vicinal oxygen chelate (VOC) family (GloA) (PDB:3R4Q) (PUBMED:11830595)</t>
  </si>
  <si>
    <t>MAVYVHDLEAMREFYQTYFGAKANDQYHNPTTGLRTYFLTFGSGARLEIMNRPGVDVSQQPQQVGWAHVAFSLGSREAVDKLAQTLADAGFTVSPPRVTGDGYYEAVVQDPEGNAIEITV</t>
  </si>
  <si>
    <t>MAVYVHDLEAMREFYQTYFGAKANDQYHNPTTGLRTYFLTFGSGARLEIMNRSGVDVPQQPQQVGWAHVAFSLGSREAVDKLAQTLADAGFIVSPPRVTGDGYYEAVVQDPEGNAVEITA</t>
  </si>
  <si>
    <t>GC_00003495</t>
  </si>
  <si>
    <t>PF01087.27</t>
  </si>
  <si>
    <t>Galactose-1-phosphate uridyl transferase, N-terminal domain</t>
  </si>
  <si>
    <t>K00965</t>
  </si>
  <si>
    <t>UDPglucose--hexose-1-phosphate uridylyltransferase [EC:2.7.7.12]</t>
  </si>
  <si>
    <t>KEGG Orthology (KO)&gt;&gt;&gt;09100 Metabolism&gt;&gt;&gt;09101 Carbohydrate metabolism&gt;&gt;&gt;00052 Galactose metabolism [PATH:ko00052]|KEGG Orthology (KO)&gt;&gt;&gt;09100 Metabolism&gt;&gt;&gt;09101 Carbohydrate metabolism&gt;&gt;&gt;00520 Amino sugar and nucleotide sugar metabolism [PATH:ko00520]|Enzymes&gt;&gt;&gt;2. Transferases&gt;&gt;&gt;2.7  Transferring phosphorus-containing groups&gt;&gt;&gt;2.7.7  Nucleotidyltransferases&gt;&gt;&gt;2.7.7.12  UDP-glucose---hexose-1-phosphate uridylyltransferase</t>
  </si>
  <si>
    <t>MPEHSFRVTRTKLSDGRELLYFDDSPEYVSGERTRELHDSRDLPQSRTNSEVRIDPLTGEPVVFAAHRMDRTFLPPAHENPLAPTRSEDNPTEIPADDYDVVVFENRFPSFSLTSDHGPDFDHHVDGEELFERSPAVARCEVVCFTSDPDSSFSALSPQRARTVIEAWAHRTAELSQLKDIRLVYPFENRGEEIGVTLGHPHGQIYSYPYLPTRARAIVNRAKAHKEATGRDLFDDILAAERRSGNRIVHEGKFFTAFVPAAAKWPVEIMIMPHRAVRDFTELTNAEKDELAVMYLDVLQRMDRFFDGVDKTPYLASWNQAPVGEDRDYGRLHLQLFSTMRSPHRMKFLASSESGAGAWISDTTPERIAQRFREIA</t>
  </si>
  <si>
    <t>MTEHSFRVTRTTLSDGRELLYFDDSPEYVSGEWARELHDSRDLPQSRTNSEVRIDPLTGEPVVFAAHRMDRTFLPPAHENPLAPTRSEDNPTEIPADDYDVVVFENRFPSFSLTSDHGPDFDHHVDGEELFERSPAVARCEVVCFTSDPDSSFSALSPQRARTVIEAWAHRTAELSQLKDIRLVYPFENRGEEIGVTLGHPHGQIYSYPYLPTRARAIVNRAKAHKEATGRDLFDDVLAAERRSGNRIVHEGKFFTAFVPAAAKWPVEIMIMPHRAVRDFTELTDAEKDELAVMYLDVLQRMDRFFDGVDKTPYLASWNQAPVGEDRDYGRLHLQLFSTMRSPHRMKFLASSESGAGAWISDTTPERIAQRFREIA</t>
  </si>
  <si>
    <t>GC_00003496</t>
  </si>
  <si>
    <t>MTPTYRTTITQPPRPAVYGDWPAWAYPPLITQLADEYGITRPYQHQSLTATTAHDGRHVIVATGTSSGKSLGYQLPTLTDLARNPAACALYLTPTKALGNDQLTAILRLCRADPALASINPAPYDGDTPTEARRTIRATSRYLVTNPDMLHGGILAYPDLWRRLLANLRYVIVDEAHQYRGVFGAHVSLVLRRLLRLARRAQQPRGNMREGRRGGGVGAGGHGGTKAGGPVVILASATSNNPAQHAARLIGDPDVVAVTEDGSPRGRRTIILTETGPADSPGGALGEDLSEDSGGAAGENLAA---DTGRQADIHPGDRRRSITTEAALLMADFLVEGARTLVFTKSRAGAELVALRAQTELARVGRPDLGARVAAYRAGYLAADRRRIELALDDGELLGVAATNALELGIDIGGLDAVITAGFPGTLASFWQQAGRAGRRNQAATVVLIASADPLDAYLVHHPDALISRPVEAAVFDPTNPHILAGHVLCAALEAPLTDREVAWFRAGPVVDRLVADGWLRRRPRGYYAAVPPGQPDPHRVVSVRGSGREVTIVESATGRVVGTVDAGQAASQVHPGAVYLHQGRSYVVDELSLAEGVALVHREVPDYFTQALSSTTIQVVSAPDAACDEVAPGLRVANMLVEVTRQVTGYAVRDPGGATLAAVPLGMPPESLVTRAVAITIDPVVLAELGIQDVPGTLHAMEHALIGLLPLVATCDRWDIGGVSTALHQDTGLPTVFVYDGYPGGAGFADCGFSRFGEWVSATAVTVAGCGCESGCPSCVQSPKCGNGNQPLDKRGAIALLQKICSMLDG</t>
  </si>
  <si>
    <t>MTPTYRTTITQPPRPAVYGDWPTWAYPPLITQLADEYSITRPYQHQSLTATTAHDGRHVIVATGTSSGKSLGYQLPALTDLARDPAACALYLTPTKALGNDQLTAILRLCRADPALASINPAPYDGDTPTEARRTIRATSRYLVTNPDMLHGGILAYPDLWRRLFANLRYVIVDEAHQYRGVFGAHVSLVLRRLLRLARRAQQPRGNMREGRRGGGVGAGGHGGPKTGGPVVILASATSNNPAQHAARLIGDPDVVAVTEDGSPRGRRTIILTEAGPADSSGGALGEDSGEASGGGTGEGLAADAGDAGRQADVRPGDRRRSVTTEAALLMADFLVEGARTLVFTKSRAGAELVALRAQTELARVGRPDLSARVAAYRAGYLAADRRRIEQALDDGELLGVAATNALELGIDIGGLDAVITAGFPGTLASFWQQAGRAGRRNQAATVALIASADPLDAYLVHHPDALISRPVEAAVFDPTNPHILAGHVLCAALEAPLTDREVAWFRAGPVVDRLVADGWLRRRPRGYYAAVPPGQPDPHRVVSVRGSGREVTIVESATGRVVGTVDAGQAASQVHPGAVYLHQGRSYVVDELSLAEGVALVHGEMPDYFTQALSSTTIRVVSAPDAACDEVAPGLLVANMLVEVTRQVTGYAVRDPGGATLAAVPLGMPPESLVTRAVAITIDPVVLAELGIQDVPGTLHAMEHALIGLLPLVATCDRWDIGGVSTALHQDTGLPTVFVYDGYPGGAGFADCGFSRFSEWVSATAVTVAGCECESGCPSCVQSPKCGNGNQPLDKRGAITLLQKICSMLDG</t>
  </si>
  <si>
    <t>GC_00003497</t>
  </si>
  <si>
    <t>MRLVARLVKRGCLSVLALVVCLIVMVVSAEKYASNRHSFPENTASWGQSGNYIMGYGPVREPYLDTIKNTYQVFSPDGKWLDETTQQGSYYPIAIPTRQGSYLYFADAIKQAGEHTHEISINAYDPIEYSSNSETGTFGVAAVNASSTEFAYDILTLKSDGKSTKFSTDIVPISLAVGKDYALVAGYLSSEKRLLLVDDQGHVTETSFPDEYRLDSPYFPYSYVNYLGNDRFEILQADRVVEGERGHTVDFTSFEVELKKNHASTKRVLSVSHFTKSLPEDFVSTYALRHGDSGYVTEDGRVYVHERLNNKPTFTGQLEGFSKENHVTNNNFIPVNSRFGEPSFGIQSKDAVSIRSWFEPNKVIVTIPLSKNACFLDVDEVCNLASINRIP</t>
  </si>
  <si>
    <t>MRPVTCLVKRGCLSVLTLVVCLIVMVVSAGKYAANRHSFPENTASWGQSGNYIMGYGPVREPYLDTIKNTYQVFSPDGKWLDETTQQGSYYPIAIPTRQGSYLYFADAIKQAGEYTHEISINAHDPIEYSSNSETGTFGVAAVNASSTEFAYDILTLKSDGKSTKFSTDIVPISLAVGKDYALVAGYLSSEKRLLLVDDQGHVTETSFPDEYRLDSPYFPYSYVNYLGNDRFEILQADRVVEGERGHTVDFTSFEVELKKNHASTKHVLSVSHFTKSLPEDFVSTYALRHGDSGYVTEDGRVYVHERLNNKPTFTGQLEGFSKENHVTNNNFIPVNSRFGEPSFGIQSKDAVSIRSWFEPNKVIVTIPLSKNACFLDVDEVCNLASINRVP</t>
  </si>
  <si>
    <t>GC_00003498</t>
  </si>
  <si>
    <t>MSLRRQPNANRNFPEYCPYCAGTQLFPDVENDFAWSCGECRRVFSVMFHGQDDPDQTPAPAASTAQALRTSLRTHGHNHVAS</t>
  </si>
  <si>
    <t>MSLRRQPNANRNFPEYCPYCAGTQLFPDVENDFAWSCGECRRVFSVMFHGQDDPDQTPAPAASTAQALRTSLRTHGHDHVAS</t>
  </si>
  <si>
    <t>GC_00003499</t>
  </si>
  <si>
    <t>MTSPSTFLTSDAHREAVIADLSTFVDNTVGEQGGVSGTVIKGALSAAKKVDSNIVNKAVARLLPDLAEALDPYWATFKEGGHGDSFEAYLQENSSALSNSVLETADKQAEKAPAALAKVYSPIRGKIASVVEANIAKVGPIVEKYAG</t>
  </si>
  <si>
    <t>MTSPSTFLTSDAHREAVIADLSTFVDNTVSEQGGVSGTVIKGALSAAKKVDSNIVNKAVARLLPDLAEALDPYWATFKEGGHGDSFEAYLQENSSALSNSVLETADKQAEKAPAALAKVYSPIRGKIASVVEANIAKVGPIVEKYAG</t>
  </si>
  <si>
    <t>GC_00003500</t>
  </si>
  <si>
    <t>MRESVPSRHIRTVLGLVMALCLVGGIAACEFPTEKQLAKPLGSSDGSGSSGGTTPGSAFSEADSAIAVLQSLPVKGRAPKTGYNRDQFGQRWSDNVSVESGHNGCDTRNDILRRDLTNVELKPGSRDCVVVSGLLHDPYTGKDIPFTRGQGTSEAVQIDHVVAMSNAWQTGAQQLTAEERTNFANDPLNLLAVDGPANQKKGDGDAATWLPPQKNYRCAYVARQIEVKARYRLWVTQPEKDAMLSILDTCDTDTS</t>
  </si>
  <si>
    <t>MRESVPSRHIRTVLGLVMALCLVGGIAACEFPTEKQLAKPLGSSDGSGSSGGTTPGSAFSEADSAIAVLQSLPVKGRAPKTGYNRDQFGQRWSDNVSVESGHNGCDTRNDILRRDLTNVELKPGSRDCVVVSGLLHDPYTGKDIPFTRGQGTSEAVQIDHVVAMSNAWQTGAQQLTAEERTNFANDPLNLLAVDGPANQKKGDGDAATWLPPQKSYRCAYVARQIEVKARYRLWVTQPEKDAMLSILDTCDTGTS</t>
  </si>
  <si>
    <t>GC_00003501</t>
  </si>
  <si>
    <t>MRPISRSEVMAELADVWEGNPRLTLYELFDVLRRAGLAPDSTNYEALSLCSYLTGLRPARVPLTPQGQAATSALVIMGTGRMRCALYPDYFIFYGDGRQLFARRYRRIGSARLHQPLRLVDDGGTEWCDSDEPIIAIEMIDTIPDPTAPYVFMFEDENVLGFWYQGRLRVEQRGRRSIDISEYQFPLVRAPQVGDDTPAGIIRACFKAGNGVGAHD</t>
  </si>
  <si>
    <t>GC_00003502</t>
  </si>
  <si>
    <t>MKKSVLASLMLAGGAVLLWVSSRLAWLTVTADDDKAGTKTVTIHGASWSTELIAAAIMLAAAAIAGLILRRVGRRIVGGLAAVVAAAGGWFILQVLVGGTPDAQRALAILSTNNTTSATKGAQLTSWAQITAIDVNTPPVVLALIGVAIGLVGGVILAAYPGVDGPKRTQYERKQRRTAHIAAELAAEPDSGRVLWDAIDADIDPTDDAATADPNNDSGDDSADESANKSQMHHKPQ</t>
  </si>
  <si>
    <t>MKKSVLASLMLAGGAVVLWVSSRLAWLTVTADDDKAGTKTVTIHGASWSTELIAAAIMLAAAAIAGLILRKAGRRIVGGLAAVVAAAGGWFILQVLVGGTPDAQRALAILSTNNTTSATKGAQLTSWAQITAIDVNTPPVVLALIGAAIGLVGGIILAAYPGVDGPKRTQYERKQRRTAHIAAELAAEPDSGRVLWDAIDADIDPTDDAATADPNNDPGDDPTDESANKSQMHHKPQ</t>
  </si>
  <si>
    <t>GC_00003503</t>
  </si>
  <si>
    <t>MSIKLALLSLLADHPRGVGQLRHDFEDITKHTWPVNVGQVFQTIQRLERDGLIAHHGSEIGETGRSAEIYAITQAGRDVVHDWLTTASMRPRDDRDELVIKIAIAAQLAVSHTTMVNLRELIQTQRRATMNELREITRLKAQTPAEQSAERLLYERRIFDLEAEARWLDHVETLATPRKHDDNSI</t>
  </si>
  <si>
    <t>MSIKLALLSLLADHPRGVGQLRHDFEDITKHTWPVNVGQVFQTIQRLERDGLIAHHGSEIGETGRSADIYAITQAGRDVVHDWLTTASMRPRDDRDELVIKIAIAAQLAVSHTTMVNLRELIQTQRRATMSELREITRLKAQTPAEQSAERLLYERRIFDLEAEARWLDHVETLATPRKHDDNSI</t>
  </si>
  <si>
    <t>GC_00003504</t>
  </si>
  <si>
    <t>PF19777.4</t>
  </si>
  <si>
    <t>Family of unknown function (DUF6263)</t>
  </si>
  <si>
    <t>MRRTMSVVCCVVAASLLVASCGSNSSSEDPAAAQQTISLPVDAPRITLTNPGSGEQQVLAFSGAPEQSVPVTVTSGFRQQTLSGDDAATLSESPESPSGAVDSTFSSTVSVAAGQGEEEDVVLTFNDLNAGKEDMSSASGFTMAWDRAKSGQVSMVRFGAPTGATDEARAVVERQAMRMLSLPVVFPTDAVGVGAQWTVDSRVAGESAMLQTLTYTLTSVKDSTVELDVSVEQRPTVGAIPIDGGGELKVLSSRTASAGHLRLDLSQALPPAGNVEFTTRVIHGQDDSPTRVTQDSSTALTFGNP</t>
  </si>
  <si>
    <t>MRRTMSVVCCVVAASLLVASCGSNSSSEDPAAAQQTISLPVDAPRVTLTNPGSGEQQVLAFSGAPEQSVPVTVTSGFRQQTLSGDDAATLSESPESPSGAVDSTFSSTVSVAAGQGEEEDVVLTFNDLNAGKEDMSSASGFTMAWDRAKSGQVSMVRFGAPTGATDEARAVVERQAMRMLSLPVVFPADAVGVGAQWTVDSRVAGESAMLQTLTYTLTSVKDLTVELDVSVEQRPTVGAIPIDGGGELKVLSSRTASAGHLRLDLSQALPPAGNVEFTTRVIHGQDDSPTRVTQDSSTALTFGNP</t>
  </si>
  <si>
    <t>GC_00003505</t>
  </si>
  <si>
    <t>MQQSPSLTRVALDTVLDRTRLSAMCGMPVRASRLRIKPDTSIVMALVSVDAGTPVGWARLLWPDSRGKADKAEHWAGRHALRLSSTETDNGLIFQHGELLTDAKLGAYLVGDSAAITKAQHDDAILRYNPARRLVYRSDEDTTVTRIATQADPMDMSIHKAIADIVATPTRLDDGRNLHRSVHTLVGDGDLTVFGDISSTYDAGEMLAELHRGVDTLPPLVAAELQQRGNVFAQTEPGATHARVLDYLSPDLAAGVRDVAGKITDDRAAHCSTPRHTALLHGDASPDQVLFRHNDGALWLTDFDRTHLGDPVTDLGTYLSVVDQPIGEAFLAGYAAAGGALPSETDIRRATAHAMLMRLAEPLRAAEPDWEQRINEELDRIKEVLP</t>
  </si>
  <si>
    <t>MQQSPSLTRVALDTVLDRTRLSAMCGMPVRASRLRIKPDTSIVMALVSVDAGTPVGWARLLWPDSRGKADKAEHWAGRHALRLSSTETDNGLIFQHGELLTDAKLGAYLVGDSAAITKAQHDDAILRYNPARRLVYRSDEDTTVTRIAAQADPMDMSIHKAIADIVATPTRLDDGRNLHRSVHTLVGDGDLTVFGDISSTYDAGEMLAELHRGVDTLPPLVAAELQQRGNVFAQTEPGATHARVLDYLSPDLAAGVRDVAGKITDDRAAHCSTPRHTALLHGDASPDQVLFRHNDGALWLTDFDRTHLGDPVTDLGTYLSVVDQPIGEAFLAGYAAAGGALPSETDIRRATAHAMLMRLAEPLRAAEPDWEQRINEELDRIKEVLP</t>
  </si>
  <si>
    <t>GC_00003506</t>
  </si>
  <si>
    <t>PF10004.14</t>
  </si>
  <si>
    <t>Uncharacterized protein conserved in bacteria (DUF2247)</t>
  </si>
  <si>
    <t>COG4304</t>
  </si>
  <si>
    <t>Uncharacterized conserved protein, DUF2247 domain</t>
  </si>
  <si>
    <t>MESHYIGFAGIRDSIMTWRDLQWGLEQGLINHEDVVRFSDSTLDASGVLADQLHLNLSTCYREDAWAIEDALNALVNAHNASVDISLWQYLVLRHVYINRDSYQDPLDEVASIYADFGFDEEVEKFVYYMPPSDYNPSRHTYEENIARLYANWELYLRTNRDKYVHH</t>
  </si>
  <si>
    <t>MESHYIGFAGIRDSIMTWRDLQWGLGQGLINHEDVVRFSDSTLDASDALADQLHLNLSTCYSEDTWAIEDALNALVNSHNASVDISLWQYLVLRHVYINRDSYQDPLGEVASIYADFGFDEEVEKFVYYMPPSDYNPSRHTCEENIARLYANWELYLRTNRDKYVHH</t>
  </si>
  <si>
    <t>GC_00003507</t>
  </si>
  <si>
    <t>MDFDLETEWPELMKLLTPPQYFAIRRAIAAAWHEGWDPNLMDVELLVRYIRDEGELPLPAPIDGPETEYVFDTWDSYFQLGDLGLPVFINYYNETNPRLLQHKEFLAVCARSIELDLGLATIDPTFDAAHLQTIHYYLFGDVYPWAGRFRTVNMSKPGGVAFADCQNGEVERYLDDVHRIAVETPWYQLSGLQFVEKSAELFAYLNQAHPFREGNGRAAKTFMCAVAAGSPYDFDFMRVNPMVWNQASAGSSPEPFEYHPHPEALVPVFDAVTISR</t>
  </si>
  <si>
    <t>MDFDLETEWPELMKLLTPPQYFAIRRAIAAAWHEGWDPNLMDVELLVRYIRNEGELPLPAPIDGPETEYVFDTWDSYFQLGDLGLPVFINYYNETNPRLLQHKEFLAVCARSIELDLGLATIDPTFDAAHLQTIHYYLFGDVYPWAGRFRTVNMSKPGGVAFADCQNGEVERYLDDVHRIAVETPWYQLSGLQFVEKSAELFAYLNQAHPFREGNGRAAKTFMCAVAAGSPYDFDFMRVNPMVWNQASAGSSPEPFEYHPHPEALVPVFDAVTISR</t>
  </si>
  <si>
    <t>GC_00003508</t>
  </si>
  <si>
    <t>MACNTSIMTDVTSRILRLLTLLQSHRHWSGPELATTLNVTERTIRRDVDRLRELGYRIDSLAGSDGGYRLESGTGMPPLLLTDDEAVAMAIGLRITASQQLITEVDATITALTKLERMLPARLRRRVSALNAAINKATSFQQDTGVSAETLGLLAVACRTHERVRFRYTSASGEVTHRLADPYVLVPKVQRWYVLCWDEGRDDWRTFRVDRLSGLELTGVRCEPRELDARDVEKRLMFPARKQRRRHEVQVTVALSAEEAQAKFGRWVPEIEKVGENQSRWCVQVVDTYELVHALWWMPTGVDYTVEVAEPLRSAFQDALERMTQAAGGGQLSA</t>
  </si>
  <si>
    <t>MACNTSIMTDVTSRILRLLTLLQSHRHWSGPELATTLNVTERTIRRDVDRLRELGYRIDSLAGSDGGYRLESGTGMPPLLLTDEEAVAMAIGLRITASQQLITEVDATITALTKLERMLPARLRRRVSALNAAINKATSFQQDTGVSAETLGLLAVACRTHERVRFRYTSASGEVTHRLADPYVLVPKVQRWYVLCWDEGRDDWRTFRVDRLSGLELTGVRCEPRELDARDVEKRLMFPARKQRRRHEVQVTVALSAEEAQARFGRWVPEIEKVGENQSRWCVQVVDTYELVHALWWMPTGVDYTVEVAEPLRSAFQDALERMTQAAGGGQLSA</t>
  </si>
  <si>
    <t>GC_00003509</t>
  </si>
  <si>
    <t>MDETPNTTPHEPSRENPHEHEAPKAETPKGEPPKAKPHKTEAPKTEAPKTENAETTAEEPTPLSRLEHVRQSLGAEHPDTLAAWRDYTTSLMADKRYAEARPQLGKLVAACEKVFGDKDPVTVNNRADWARCFAETTLYEPALEQYTAVAVRREELLGKQNPATLDARYSVVECLLALQRDADATELLGPVVADCRAGLGDTDERTLLAWGKWVQLLEDQGRYEEALHQYKELSAHRQAATSAGGGHGSGSVGERVDELIEETQRVCGPYVARTRRTLEEADDRYQVSKKLRTFGSLMQDKWRSRRQGE</t>
  </si>
  <si>
    <t>MDETPNTTPHEPSRENPHEHEAPKAETPKGEPPKAKPH-----KTEDPKTENAETTAEEPTPLSRLEHMRQSLGAEHPDTLAAWRDYTTSLMADKKYAEARPQLGKLVAACEKVFGDKDPVTVNNRADWARCFAETTLYEPALEQYTAVAVRREELLGKQDPATLDARYSVVECLLALQRDADATELLGPVVADCRAGLGDTDERTLLAWGKWVQLLEDQGRYEEALRQYKELSTHRQAAAGTSGGHGSGSVGERVDELIAETQRVCGPYVARTRRTLEEADDRYQVSKKLRTFGSLMQDKWRSRRQGE</t>
  </si>
  <si>
    <t>GC_00003510</t>
  </si>
  <si>
    <t>K05835</t>
  </si>
  <si>
    <t>threonine efflux protein</t>
  </si>
  <si>
    <t>COG1280</t>
  </si>
  <si>
    <t>Threonine/homoserine/homoserine lactone efflux protein (RhtB)</t>
  </si>
  <si>
    <t>MPLAQLGTLVLLNVAGMATPGPDLLLLTRMATRSRRHALASVTGISTGLVLWVSLTVFGAAALLIAYPVLESVIKLVGGVWLVWMGRGMILAAHAQFRDRMNADIDVNTIFGTPWKSYQQGLFTNLSNPKVVLYFAAIIAPLMPAHPTMGDAVLIVLSIVASTFLGFSTLAFLLSTKAMRKRFVSAGPYIDMGSGIFFVIAGASLAINGIATLLMGK</t>
  </si>
  <si>
    <t>GC_00003511</t>
  </si>
  <si>
    <t>MGTPQFILNLRKKIGHDELWLPGVTGVILRSGDGGGGEGTAQEVLLVQRSDNHHWTPVTGICEPSEQPDTAIMREALEETGLQIQVDRLLWVQAIDALTYINGDVASYMDTAFACSVVPGTSSIPHVADDESVAVGWFHVDELPAMKPRFEHLITIASTGTSRSPAGWGPAST</t>
  </si>
  <si>
    <t>MGTPQFILNLRKKIGHDELWLPGVTGVILRSGDGGGGEGTAQEVLLVQRSDNHHWTPVTGICEPSEQPDTAIMREALEETGLQIQVDRLLWVQAIDALTYINGDVASYMDTAFACSVVPGTSSIPHVADEESVAVGWFHVDELPAMKPRFEHLITIASTGTSRSPAGWGPAST</t>
  </si>
  <si>
    <t>GC_00003512</t>
  </si>
  <si>
    <t>MPNVFTTEWLSAQAYLMGWKIVGRLPLPLTAALCTRVADYASDDGKGMNQLRKNLSRVVGPENVTRTLVRDAMRSYARYWLEAFRLPQIAGDPGVVKRIDDRLVGKTHLDAAVAAPTGTILVLPHSGNWDMAGMYFAATYGTFTTVAERLKPEILFDAFVDFRTTLGFRVIPHIPAPGSPPVMEQLADVLTAGGTICLLGDRDLKGTGVPVTFFGEETTMPTGAARLAQETGASLHVVHSWFEGTIAHPEWGLSVSAPLPTGDIAATVCAQAAIMEQNIAAHPADWHLLQPFWLADRKSA</t>
  </si>
  <si>
    <t>MPNVFTTEWLSAQAYLMGWKIVGRLPLPLTAALCTRVADYASDDGKGMNQLRKNLSRVVGPENVTRTLVRDAMRSYARYWLEAFRLPQIAGDPGVVKRIDDRLVGKTHLDAAVAAPTGTILVLPHSGNWDMAGMYFAATYGTFTTVAERLKPEILFDAFVDFRTTLGFRVIPHIPAPGSPPVMEQLADVLTAGGTICLLGDRDLKGTGVPVTFFGEETTMPTGAARLAQETGASLHVVHSWFEGTTAHPEWGLSVSAPLPTGDIVATVRAQAAIMERNIAAHPADWHLLQPFWSADRKPA</t>
  </si>
  <si>
    <t>GC_00003513</t>
  </si>
  <si>
    <t>MSVFSSTVWFMSTETHDTYAGNNALLDDTLLNDTLPSRITQAVGAGLFMAVPDYVDSRPLRWLVRGGIAAGTVGLVAYFNSIDDDPNNDPAIIMDRVKQRVGDLGFGDGPESDDVIGDFDSPLKTWGILGAGAIGVATVLKVNGAVNKVLAGGLRKVGVGRPHTALGVLTGSAVFALSGRER</t>
  </si>
  <si>
    <t>MSVFSSTVWFMSTETHDTYAGNNALLDDTLLNDTLPSRITQAVGAGLFMAVPDYVDSRPLRWLVRGGIAAGTVGLVAYFNSIDDDPNNDPAIIMDRVKQRVGDLGFGDGPESDDVIGDFDSPLKTWGILGAGAVGVATVLKVNGAVNKVLAGGLCKVGVGRPHTALGVLTGSAVFALSGRER</t>
  </si>
  <si>
    <t>GC_00003514</t>
  </si>
  <si>
    <t>MQKKIRFAIAAASIGIAAFGLTACNNNDSTGSSKESSTMEKMEKSSESMMTSESMKPSDSMMPSDSMAPSDSMMMSDEMKPDTMMSESNH</t>
  </si>
  <si>
    <t>MQKKIRFAIAAASIGIAAFGLTACNNNDSTGSSKESTTMEKMEKSSESMMTSESMKPSDSMMPSDSMAPSDSMMMSDEMKPDTMMSESNH</t>
  </si>
  <si>
    <t>GC_00003515</t>
  </si>
  <si>
    <t>MAQKRLRLTPPRVVRLVIIFAIIVAVIAVIGYYAGYYKASTGQHNQADLRAPATSETTKRKDLAPAGTGSVKPVSDPAQLDAFIVGPGGDIKSEADVLNVHRRNAKDPFAVGAVDAPVVISEFSDFECPFCALYVNGARKQILSEYVDQGLVRLEWNDFPINGPNAVAAAKAGRAAAAQGKFHEFHDALYQASAGVKGHPENKTADFVRFAKEAGVPDLAKFEEQATDSTYDEVIKKAQGYGSSLGIDGVPAALVGTQFVSGAQPIEVFRQVIEAELVKAKAKTKSA</t>
  </si>
  <si>
    <t>MAQKLLRLTPPKVVRLVIIFAIIVAGIFVIGYYAGYYKVSTAQHNQADLRTTATSEAAKRKDFAPAGTGSVKPVSDPAQLDAFIVGPGGDIKSENDVLNVHRRNAKDPFAVGAVDAPVVISEFSDFECPFCALYVNGARKQILSEYVDQGLVRLEWNDFPINGPNAVAAAKAGRAAAAQGKFHEFHDALYQASAGVKGHPENKTADFVRFAKEAGVPDLAKFEEQATDSTYDEVIKKAQGYGSSLGIDGVPAALVGTQFVSGAQPIEVFRQVIETELVKAKAKTKSA</t>
  </si>
  <si>
    <t>GC_00003516</t>
  </si>
  <si>
    <t>PF18050.6</t>
  </si>
  <si>
    <t>Cyclophilin-like family</t>
  </si>
  <si>
    <t>COG4925</t>
  </si>
  <si>
    <t>MIVSLAPARPRGALSLIFIVAGILALASCSSTPSQQSPSPSTSSASGNDSAASTPIRVTINGQVLHARLWDNAPARDLLDRLPLTVRLQDVDNQEKVGYLPKPPLSADGMPEGDDPQPGDIGWFRPWNTLAFYYGDVGYSGGIARIGRFDDPIDLVKAQTGFFHATIERAS</t>
  </si>
  <si>
    <t>MIVSLAPARPRGALSLIFIVAGILALASCSSTPSQQSPSPSTSSASGNDSAASTPIRVTINGQVLHARLWDNAPARDLLDRLPLTVRLQDVDNQEKVGYLPKPPLSADGMPEGDDPQPGDIGWFRPWNTLAFYYGDVSYSGGIARIGRFDDPIDLVKAQTGFFHATIERAS</t>
  </si>
  <si>
    <t>GC_00003517</t>
  </si>
  <si>
    <t>MFVTRKEKTLRKPVKSAVIAGATTVAVTLSFIPSAVASEDCGPSKSNDSSNNTSTTSDDSSDKGSDASTTNSGSDTTSDDSSKTLSGMSGIDATTNVGVTDVVTGHYQSDASAHADASSRASASGNGDASADASADASAKASGNGDASANANADASAKASGNGDASADANADASAKASGNGDASTDASASGDSSVRVSGGDDSDSFDPNDCPPGGWVTGGHDISADANADANANASVTGNGDASADASADASAKASGNGDASANANADASAKASGNGDASADANADASAKASGNGDASTDASASGDSSVRVSGGDDSDSFDPNDCPPGGWVTGGHDISADANADASTKVSVSNHRNISADANADANANASVTGNGDASADANADASAKASGNGDASANANADASANISGNGGGNHNGNGGGNYDSDRDSDHDSGSGGGSSDNGGGNSGSGGGSSDNGGGNSGSGGGSSDNGGGNSGSGGGSSDNGGGNSGSGGGSSDNGGGNSGAGGGSSDSSGSGSSILDFFGSSGSSNGGGNSGSGGGSSDSSGSGSSILDFFGSSGSSNGGGNSGSG--------------------------------------------------------GGSSELSSLGSSGGSSELSSLGSSGGSSELSSLGSSGGSSELSSLGSSGGSSELSSLGSSAGSSEILGSSSGSSMGSSALSALGSSAGGSSAVGSSGLLVGAALLGGAALLGNLILNGGGSSAPAAPVAPNAGGAEGGGAPAAPAPAAPAAPAPAAPAAPAPAAPAAPQAPQGGGNYNTTNEAPQGGGNTTNEKGIAPVAHEGVGGPVAPLGPNEKGVAPKPAGAEKGVAPKPGGNGNAYNAPAAPAPAAPAPAPAAPQFDTTGLLSGAAILGGAALLGSSVAPALSSGLGSSGLLGSSELSSGGSSGLL--------GSSELSSGGSSELSSGGSSVGSSELSSGGSSRAFNFGSSRNFLGSIDFLFDSFFSLLTGSSIARAVTSSFSGS</t>
  </si>
  <si>
    <t>MFVTRKEKTLRKPVKSAVIAGATTVAVTLSFIPSAVASEDCGPSKSNDSSNNTSTTSDDSSDKGSDASTTNSGSDTTSDDSSKTLSGMSGIDATTNVGVTDVVTGHYQSDASAHADASSRASASGNGDASADASADASAKASGNGDASANANADASAKASGNGDASADANADASAKASGNGDASTDASASGDSSVRVSGGDDSDSFDPNDCPPGGWVTGGHDISADANADANANASVTGNGDASADASADASAKASGNGDASANANADASAKASGNGDASADANADASAKASGNGDASTDASASGDSSVRVSGGDDSDSFDPNDCPPGGWVTGGHDISADANADASTKVSVSNHRNISADANADANANASVTGNGDASADANADASAKASGNGDASANANADASANISGNGGGNHNGNGGGNYDSDRDSDHDSGSGGGSSDNGGGNSGSGGGSSDNGGGNSGSGGGSSDNGGGNSGSGGGSSDNGGGNSGSGGGSSDNGGGNSGSGGGSSDSSGSGSSILDFFGSSGSSNGGGNSGSGGGSSDSSGSGSSILDFFGSSGSSNGGGNSGSGGGSSDSSGSGSSILDFFGSSGSSNGGGNSGSGGGSSELSSLGSSGGSSELSSLGSSGGSSELSSLGSSGGSSELSSLGSSGGSSELSSLGSSGGSSELSSLGSSGGSSELSSLGSSAGSSEILGSSSGSSMGSSALSALGSSAGGSSAVGSSGLLVGAALLGGAALLGNLILNGGGSSAPAAPVAPNAGGAEGGG----------------APAAPAPAAPAAPQAPQGGGNYNTTNEAPQGGGNTTNEKGIAPVAHEGVGGPVAPLGPNEKGVAPKPAGAEKGVAPKPGGNGNAYNAPAAPAPAAPAPAPAAPQFDTTGLLSGAAILGGAALLGSSVAPALSSGLGSSGLLGSSELSSGGSSGLLGSSELSSGGSSELSSGGSSELSSGGSSVGSSELSSGGSSRAFNFGSSRNFLGSIDFLFDSFFSLLTGSSIARAVTSSFSGS</t>
  </si>
  <si>
    <t>GC_00003518</t>
  </si>
  <si>
    <t>MLSSLVRVHTPTGYCSGVLIDPYFILTARHFLRHRTAGDMFVFGDHWNRKVSGWIDLATTDISVLRLARPIMEADHPAITPTPLPTAASLPPLTRGTPTISYGMGGGKPQQRPGTIWFQFPQVIGKNYHTRVRHALVIRQPNNPAIPGDSGGPVMVNNQLVGLQSLILDPYGKNLGVATISLISPHLGEIRAAMHRLPPHPGE</t>
  </si>
  <si>
    <t>GC_00003519</t>
  </si>
  <si>
    <t>MDNFRIPPAAIALGAAIVQLSFGRKAKGTLLSRGAALSLASASTLMGASAVAKFRAETTTVDPMNVSAAATVVQSGPFRLTRNPMYVGTAGMLFAHALWRKSLLAVVPAMMYIAMIDRFQIPAEEAVLKEKFGATYEDYARRVPRWVLR</t>
  </si>
  <si>
    <t>MDNFRIPPAAIALGAAIVQLSFGRKAKGTLLSRGAALSLASASTLMGASAVAKFRAETTTVDPMNVSAAATVVQSGPFRLTRNPMYVGTAGMLFAHALWRKSLLAVVPAMMYIAMIDRFQIPAEEAVLKEKFGATYEDYARRVPRWLLR</t>
  </si>
  <si>
    <t>GC_00003520</t>
  </si>
  <si>
    <t>MHRISCPIKDVSAADLGVRWNGPLPEVLAEDTVIHNSYRLHLGVIGASHVVTVTSVSAPDQPLFREEISCTARSKGQPLPMYAELPGYRLQSAISTLDNAAFRSHAEHIAALDTLVVQFPGEGDFHITALGGAPTEDGLEWASYHVYPSENTIVTTWSRFNLA</t>
  </si>
  <si>
    <t>MHRISCPIKDVSAADLGVRWNGPLPEVLAEDTVIHNSYRLHLGVIGASHVVTVTSVSAPDQPLFREEISCTARSKGQPLPMYAELPGYRLQSAISTLDDAAFRSQAEHIAALDTLVVQFPGEGDFHITALGGAPTEDGLEWASYHVYPSENTIVTTWSRFNLA</t>
  </si>
  <si>
    <t>GC_00003521</t>
  </si>
  <si>
    <t>PF04304.18</t>
  </si>
  <si>
    <t>Protein of unknown function (DUF454)</t>
  </si>
  <si>
    <t>K09790</t>
  </si>
  <si>
    <t>COG2832</t>
  </si>
  <si>
    <t>Uncharacterized membrane protein YbaN, DUF454 family (YbaN)</t>
  </si>
  <si>
    <t>MAREARLPYSGGVTVFKGILIGLGTVFLVLGAIGAVVPLLPTTPFLLAAGACFARSSDRMHAYLYNHRIFGEYLRNYEKREMTTPHKVRTLTVMWLGIGLSMFLSGKPIVIVILGCIATLVTIHIVRLKPVLTAEQVEERAPSSL</t>
  </si>
  <si>
    <t>MALEARLPYSEGVTVFKGILIGLGTVFLVLGAIGAVVPLLPTTPFLLAAGACFARSSDRMHAYLYNHRIFGEYLRNYEKREMTTPHKVRTLTVMWLGIGLSMFLSGKPIVIVILGCIATLVTIHIIRLKPVLTAEQVEERAPSSL</t>
  </si>
  <si>
    <t>GC_00003522</t>
  </si>
  <si>
    <t>PF03553.21</t>
  </si>
  <si>
    <t>Na+/H+ antiporter family</t>
  </si>
  <si>
    <t>K07084</t>
  </si>
  <si>
    <t>putative amino acid transporter</t>
  </si>
  <si>
    <t>COG2056</t>
  </si>
  <si>
    <t>Predicted histidine transporter YuiF, NhaC family (YuiF) (PUBMED:15135544)</t>
  </si>
  <si>
    <t>MNAVLIAVLVMLILSVARVHVVISLFIGALVGGLISGIGLGPTMVAFQDGLAGGAKIALSYALLGAFAMAVASSGLPTLLARWIMSKIGNTEESANRRAVLVTKWLMVAGVLAMAIMSQNLIPVHIAFIPLIIPPLLGVMNKLRIDRRLIACVLTFGLVTTYMWIPVGFGSIFLNEILLGNIRKAGLDTTGINIMQVMSIPALGMIAGLIIAVGFSYRKPRDYENRPLEAAHSVEEVTRYKVIVAIIAILATFIVQVVMQLADSEADSLLIGALTGLAVFLVTGAVNWKEADDVFTSGMKMMALIGFIMITAQGFAAVMTATGQVETLVDASAALFGSNKAMGALVMLIVGLVVTMGIGSSFSTLPIIATIYVPLCLALGFSPAATVAIVGAAGALGDAGSPASDSTLGPTAGLNADGQHDHIRDSVIPTFLHYNLPLIVSGWVAAMVL</t>
  </si>
  <si>
    <t>MNAVLIAVLVMLILSVARVHVVISLFIGALVGGLISGIGLGPTMVAFQDGLAGGAKIALSYALLGAFAMAVASSGLPTLLARWIMSKIGNTEESANRRAVLVTKWLMVAGVLAMAIMSQNLIPVHIAFIPLIIPPLLGVMNKLRIDRRLIACVLTFGLVTTYMWIPVGFGSIFLNEILLGNIRKAGLDTTGINIMQVMSIPALGMIAGLIIAVGFSYRKPRDYENRPLEAAHSVEEVTRYKVIVAIIAILATFIVQVVMQLADSEADSLLIGALTGLAVFLVTGAVNWKEADDVFTSGMKMMALIGFIMITAQGFAAVMTATGQVETLVDASAALFGSNKAMGALVMLIVGLIVTMGIGSSFSTLPIIATIYVPLCLALGFSPAATVAIVGAAGALGDAGSPASDSTLGPTAGLNADGQHDHIRDSVIPTFLHYNLPLIVSGWVAAMVL</t>
  </si>
  <si>
    <t>GC_00003523</t>
  </si>
  <si>
    <t>PF13437.12</t>
  </si>
  <si>
    <t>MKIRNLSKRQWVITSIVALVLIAALGAYFLLLRGSATVIPTSDYQVLKPKEFSSRVAVNGSVAPVKTANLYTHLTGPVSALDVRVGDHVNQDQLVAQIDVSSNQRELNKQLAEQNSGAVNTRNQIEQAQNQYNQYKDALDQGLNSQINQAEAALRNADGQFNDAVINFQIKDHDRATGRDPMIRDQANAVNAARTQALTASINAVRAGVDLLYAAGNGAAAAGGGAGGAGGQAGGANGDQGQGQQGGGIAGLPGQGIANGILNGADAINNLDSANRQLREAEATYLDNLAKVDQEVAAAQRNVAGTFAAKREAATGLESAKLAADQQLSTYNQGVQQAIRAAEAGQLVSEQANSQLRYDISSSEIRAPFSGVVTNVAAEQGKAANGALLAVGDDSKLLVRADVKEVDVSKITPGLPVTFTTVGTGAKEFHGRVTSVSSVSGSSQEPSGGAQGGGGASAAAGAGGAGGGGASGSGTQKVTFPIEIEVTGERQGLLIGGTAKAQVITEKKANVLTVPRDAVFTNDKGEQCVLVVAEDSGLKVVAERKVKVGSANDVDTIISGGDLKSGDTVLSNPDSYRSLVGQQVKLDG</t>
  </si>
  <si>
    <t>MKIRNLSKRQWVITSIVALVLIAALGAYFLLLRGSATVIPTSDYQVLKPKEFSSRVAVNGSVAPVKTANLYTHLTGPVSALDVRVGDHVNQDQLVAQIDVSNNQRELNKQLAEQNSGAVNTRNQIEQAQNQYNQYKDALDQGLNSQINQAEAALRNADGQFNDAVINFQIKDHDRATGRDPMIRDQANAVNAARTQALTASINAVRAGVDLLYAAGNGAAAAGGGAGGAGGQAGGANGDQGQGQQGGGIAGLPGQGIANGILNGADAINNLDSANRQLREAEATYLDNLAKVDQEVAAAQRNVAGTFAAKREAATGLESAKLAADQQLSTYNQGVQQAIRAAEAGQLVSEQANSQLRYDISSSEIRAPFSGVVTNVAAEQGKAANGALLAVGDDSKLLVRADVKEVDVSKITPGLPVTFTTVGTGAKEFHGRVTSVSSVSGSSQEPSGGAQGGGGASAAAGAGGAGGGGASGSGTQKVTFPIEIEVTGERQGLLIGGTAKAQVITEKKANVLTVPRDAVFTNDKGEQCVLVVAEDSGLKVVAERKVKVGSANDVDTIISGGDLKSGDTVLSNPDSYRSLVGQQVKLDG</t>
  </si>
  <si>
    <t>GC_00003524</t>
  </si>
  <si>
    <t>MSPRRRRMAKLRESLGTLERMSAENKVQQDRSNILQIVLVALAVFASVAMLFTDSTAVMKVAVLAALWAAFFGLLLVSRYRRQYEKQKTLLEEQYDRHEAELELEKAAHREQELRLEQTLRKTLMKEEDNRLDDIRDQLTVVREQLEELNGRSFDYEPTALRASAMRMDDMAELSGPVHGPSEATEDDFSGLSSYGASSYSDTSYGDTSSYGDSYSTSAYDTGYGNDSYSGDDSVTEVEYTEAEYTSTQYATNAFSSSYAASNYSMQGSGGTASSVRSYATTKDSYDDYDDSSDFSYDSDFSSEDYLAEPSPAPEPSKRFDTTAFAAVQWKPANTEPKVEPTPAPMNDSRRGRRRRDENSEAPSVADLLKNFNRNS</t>
  </si>
  <si>
    <t>MSPRRRRMAKLRESLGTLERMSAENKVQQNRSNILQIVLVALAVFASVAIVFASSTAVMKVAVLAALWAVFFGLLLVSRYRRQYEKQKTLLEEQYDRHEAELELEKAAHREQELRLEQTLRKTLMKEEDNRLDDIRDQLTVVREQLEELNGRSFDYEPTALRASAMRMDDMAELSGPVHGPSEATEDDFSGLSSYGASSYSDTSYGDTSSYGDSYSTSAYDTGYGNDSYSGDDSVTEVEYTEAEYTSTQYATNAFSSSYAASNYSMQGSGGTASSVRSYATTKDSYDDYDDSSDFSYDSDFSSEDYLAEPSPAPEPSKRFDTTAFAAVQWKPANTEPKVEPTPAPMNDSRRGRRRRDENSEAPSVADLLKNFNRNS</t>
  </si>
  <si>
    <t>GC_00003525</t>
  </si>
  <si>
    <t>MLNQSYLDHPENDLITDADFTNMMRPVPRDFDELADAPDPLVVAQANRRSTRQAILWAVLTPVVTLLIAGFLAVVARMQGGEYCEAGTATWFCSRQAEIWWPFATSMIPIASMFGTAIMMYRKLVSYTRWRPWMGTFWFVIPFAMMWMTTTFQMALTHH</t>
  </si>
  <si>
    <t>MLNQSYLDHPENDLITDADFTNMMRPVPRDFDELADAPDPLVVAQANRRSTRQAILWAVLTPVVTLLVAGFLAVVARMQGGEYCEAGTATWFCSRQAEIWWPFATSMIPIASMFGTAIMMYRKLVSYTRWRPWMGTFWFVIPFAMLWMTTTFQMALMHH</t>
  </si>
  <si>
    <t>GC_00003526</t>
  </si>
  <si>
    <t>MRASEAVTNQESSAANRSWWDYDANNYHQEHPNYLGSTSPTGEFYWCPEMLHERDIRLLGDARTSRVLEIGCGSAPCSRWLAADGAGFVTGFDISANMIAHAGETTVPLVQADAVDMPYRDSSFDIAFSTFGAIPFVADSAGLMREVARVLRPGGRFVFSITHPMRWIFPDNPGEGGLTVFTSYFNRSPYVERNPDTGTATYVEHHRTLGDRIRELIAAGFIIDDVIEPEWPDHLTEEWGQWSPLRGKLFPGTAIFVSHLEENS</t>
  </si>
  <si>
    <t>MRASEAVTNQESSAANRSWWDYDANNYHQEHPNYLGSTSPTGEFYWCPEMLHERDIRLLGDARTSRVLEIGCGSAPCSRWLAADGAGFVTGFDISANMIAHAGETTVPLVQADAVDMPYRDSSFDIAFSAFGAIPFVADSAGLMREVARVLRPGGRFVFSITHPMRWIFPDNPGEGGLTVFTSYFNRSPYVERNPDTGTATYVEHHRTLGDRIRELIAAGFIIDDVIEPEWPDYLTEEWGQWSPLRGKLFPGTAIFVSHLEENS</t>
  </si>
  <si>
    <t>GC_00003527</t>
  </si>
  <si>
    <t>MDATDYPPREFLFEQRFAKIEIIVGIILLLVGVYQAVSLYRKDMVFALASLVAGCAAAGIFLMTFFRQPRRLTLDEQGLRVSYPAKKVDIIPWDTIGELVVVDDGGVPCIGLSAEARPEECLCVPPGYQMNEFAVLLNSYREFYAPRQ</t>
  </si>
  <si>
    <t>MDATDYPPREFLFEQRFAKIEIIVGIILLLVGVYQAVSLYRKDMVFALASLVAGCAAAGIFLMTFFRQPRRLTLDEQGLRVSYPAKKVDIIPWDTIGELVVVDDGGVPCIGLSAEARPEECLCVPPGYQTNEFAILLNSYREFYAPRQ</t>
  </si>
  <si>
    <t>GC_00003528</t>
  </si>
  <si>
    <t>MQRFENKTILITGSSSGIGLAGARRLVEEGARVIITGRTEERLQAAAAELGDNAIAVLDNVSDGKTLERLIPVVEKVGSLDGLWLNAAYAVGAPLEETDKATIEDMFQVNVVAPMLQMGALSPFLNTGASVLVTSSSAVYEGQPGVALYSASKAAILAAARSWASELAPRNIRVNTLVPGPITSNLRSVLPDELRSQFEEKLADVVLLKRVGDAKEAAAVALFLLSDDASYVTGSSYVVDGGLLMS</t>
  </si>
  <si>
    <t>MQRFENKTILITGGSSGIGLAGARRLVEEGARVIITGRTEERLQAAAAELGDNAIAVLDNVSDGKTLERLIPVVEKVGSLDGLWLNAAYAVGAPLEETDKATIEDMFQVNVVAPMLQMGALSPFLNTGASVLVTSSSAVYEGQPGVALYSASKAAILAAARSWASELAPRNIRVNTLVPGPITSNLRSVLPDELRSQFEEKLADVVLLKRVGDAKEAAAVALFLLSDDASYVTGSSYVVDGGLLMS</t>
  </si>
  <si>
    <t>GC_00003529</t>
  </si>
  <si>
    <t>MQKTSTTLVAFGIAISTLATLGLSACTSSAASSQRCIIHANGDEPGEALLPGTSQSGANLRVAKMIYSGLVYVDSSNKIRNDLAQEIKQIKPTLYRVTLRPNLVFSDGSPMTATSFVDAWNKVVAEKNANSYLLSPIVGYHDDAEAVTPLRGLKVENPTTFTIELENPLSDFVMRLSHSAFSPLPAVALEKKPPKNYAKQPVSSGPYVLESWVTQHSLTLVKNPHYQGPRAAVNDGVQLSMYSRGTKPYEDLLAGDLDMVDAFSPTGFQNYRKDLGDRAIVQPSASVIELSIHAQTPHFTGEEGVLRRRALSMAIDRESIARTELGGSYAPATGFVPPKVPGSNTSAKQREVLSLNVKKAKELWAQADATYGVFTDQVPVHFSFDISDNQRWATAVADQLRRNLGIQSFPVAGADFARFRYDFRTVRFDGAYRTGWKADYPSVRSYLEPNFATDGASNDTEYSNDQVDELLKQADKATNPAVAVKDYEKAHGVLLEELPAIPLFFPLEAVGWKADVSNVSVDFDTYPNYSAIRKRC</t>
  </si>
  <si>
    <t>MQKTSTTLVALGIAISTLATLGLSACTSSAASSQRCIIHANGDEPGEALLPGTSQSGANLRVAKMIYSGLVYVDSSNKIRNDLAQEIKQIKPTLYRVTLRPNLVFSDGSPMTATSFVDAWNKVVAEKNANSYLLSPIVGYHDDAEAVTPLRGLKVENPTTFTIELENPLSDFVMRLSHPAFSPLPAVALEKKPPKNYAKQPVSSGPYVLESWVTQHSLTLVKNPHYQGPRAAVNDGVQLSMYSRGTKPYEDLLAGDLDMVDAFSPTGFQNYRKDLGDRAIVQPSASVIELSIHAQTPHFTGEEGVLRRRALSMAIDRESIARTELGGSYAPATGFVPPKVPGSNTSAKQREVLSLNVKKAKELWAQADATYGVFTDQVPVHFSFDISDNQRWATAVADQLRRNLGIQSFPVAGADFARFRYDFRTVRFDGAYRTGWKADYPSVRSYLEPNFATDGASNDTEYSNDQVDELLKQADKATNPAAAVKDYEKAHGVLLEELPAIPLFFPLEAVGWKADVSNVSVDFDTYPNYSAITKRC</t>
  </si>
  <si>
    <t>GC_00003530</t>
  </si>
  <si>
    <t>MSSLKAAIRPTLRDVKHHPLRSLAAILLIALPATYAAFLIGDTTSESQFYGITFQQNSAQFFGSECQQSVDASAYRCTNGTRSGVADQGGKSNEDSTAERPIATISQDRIAEAVGNNFTVSMFIDLPVALHSDATTDSLSSTITQLPGAHLLPGSPNLQPGDVVLSESAAKQLKVGIGDKVRATDVGKPNDPATSNREDDRITLNAADTTLTVKEIIPNNIHSSSYVIAPTFLPATDVPNNAHVTWVFSGKDDLSWDDVKALNKVGLVVSTQKFRNHPETVPVADRYPEFQSAQDPMQTPGTDNSMIAQLTSYIVELTFYLLLACLMLATISPVFAVATSRQTKVYALMRSQGASRRHIRWAVMAYGTVSGAIGATIGIVFGTILGWGHWKIAHPGWPFITDAGMLAIGFLIAVVGSTVAAFIPAIIAAKGEIMAGVAGMQPDRIRRWRRWMWTGPTLVLMMLVVLLVEWLGHPITRFVNHDTFSGATYDLIWSVLALLLLVVMTGGVFTSVIALVFLAGAIRKPLGAKLAGRQVRRQALRSGAIVAAIIGSVFFLTVMELGSLNTINKDRQFSSEIYSPFAVEISGARSASAFKTPAMNTTSYADVVAHAASDQSREVFDVVAARLGKTTEFPVVMPGSHMRLTLADECQVSPTTKAYTYHGKDANTDPEAAKHCRYLRMDDAHLFLPFAMQDSDIVVGGPEVLQIFNLTDEQRASATQVLHDGGVVGTTAIVAEPGRRKISVEKDTPNQMTDESQPVKTKTQEVPFTAALPEQLHGWVVSPQAAEKLGIDLVFDRYVVMTERPGTVTDQVEMTEQIDTFNHYYHAHVLAVENSTYESIYVWVLFVGILLIVGLVLIVAAPQLRAQNEQLYALGASTSLVRQIGGYHGAITAILGTWPAIILGHIVALLQTDFSERDINGEVLSLGSVENFSPHWYLIVVLGLLVPAISATLGYVTTRSNRMLSYRQD</t>
  </si>
  <si>
    <t>MSSLKAAIRPTLRDVKHHPLRSLAAILLIALPATYAAFLIGDTTSESQFYGITFQQNSAQFFGSECQQSVDASAYRCTNGTRSGVADQGEKSNKDSTAERPIATISQDRIAEAVGNNFTVSMFVDLPVALHSDATTDSLSSTITQLPGAHLLPGSPNLQPGDVVLSESAAKQLKVGIGDKVRATDVGKPNDPATSNREDDRITLNAADTTLTVKEIIPNNIHSSSYVIAPTFLPATDVPNNAHVTWVFSGKDDLSWDDVKALNKVGLVVSTQKFRNHPETVPVADRYPEFQSAQDPMRTPGTDNSMIAQLTSYIVELTFYLLLACLMLATISPVFAVATSRQTKVYALMRSQGASRRHIRWAVMAYGTVSGAIGATIGIVFGTILGWGHWKIAHPGWPFITDAGMLAIGFSIAVVGSTVAAFIPAIIAAKGEIMAGVAGMQPDRIRRWRRWMWTGPALVLMMLVVLLVEWLGHPITRFVNHDTFSGATYDLIWSVLALLLLVVITGGVFTSVIALVFLAGAIRKPLGAKLAGRQVRRQALRSGAIVAAIIGSVFFLTVMELGSLNTINKDRQFSSEIYSPFAVGISGARSASAFKTPTMNTTSYADVVAHAASDQSREVFDVVAARLGKTTEFPVVMPGSHMRLTLADECQVSPTTKAYTYHGKDANTDPEAAKHCRYLRMDDAHLFLPFAMQDSDIVVGGPEVLQIFNLTDEQRASATQVLHDGGVVGTTAIVAEPGRRKISVEKDTPNQVTAESRPVKTKTQEVPFTAALPEQLHGWVVSPQAAEKLGIDLVFDRYVVMTERPGTVTDQVEMTEQIDAFNHYYHAHVLAVENSTYESIYVWVLFVGILLIVGLVLIVAAPQLRAQNEQLYALGASTSLVRQIGGYHGAITAILGTWPAIILGHIVALLQTDFSERDINGEVLSLGSVENFSLHWYLIVVLGLLVPAISATLGYVTTRSNRMLSYRQD</t>
  </si>
  <si>
    <t>GC_00003531</t>
  </si>
  <si>
    <t>MCRKACHLRPRNRLFRESTGGCIARELPVFHNKLAVASQLRHSEQGNNVGMNNNDDRKFEHISDPYRRLDPQQPPHDNQYAQPPVQGPTPGPQQPPAGYSQAPNQGFDQAQQPVNHQTSEMPGMGAQTSAASTAGPTAPGPTAAGSAAGPTAPEATAAGAGVGAAAGAASISGPQGTAVAEAPKEKRTVSLGTALALMLVGALGAGAITGVAVGQPWKNSSGSVVNALSEPAVHRTATDKEGSVEQVAENVLPAVVSIRVSNGYSVEEGSGSIISDDGNILTNNHVVSSAQQGGEITVLLNDGKEYKADFVAGDGSTDIAVIKLRNASNLPVMSFGNSDELQVGQQVVAIGSPLGLSATVTSGIISALNRPVRASGGEGGESSLIDAVQTDAAINPGNSGGPLVDMQGRLIGMNSVIATNSGDSGQSGSIGLGFAIPVNQARRIAQQLMDEGKVTQPMIGIRLSNNSRERGALVGDVEPDGPAQKAGITQGDLIVGVNDRVIDSADALITAIRARDFGETVTLKVTRPDSGDVRDVKVTLTEKK</t>
  </si>
  <si>
    <t>MCRKACHLRPRNRLFRESTGGCIARELPVFHNKLAVASQLRHSEQGNNVGMNNNDDRKFEHISDPYRRLDPQQPPHDNQYAQPPVQGPTPGPQQPPAGYSQASNQGFDQAQHPVNHQTSEMPGMGAQTSAASTAGPTAPGPTAAGSAAGPTAPEATAAGAGVGAAAGAASISGPQGTAVAEAPKEKRTVSLGTALALMLVGALGAGAITGVAVGQPWKNSSGSVVNALSEPAVHRTATDKEGSVEQVAENVLPAVVSIRVSNGYSVEEGSGSIISDDGNILTNNHVVSSAQQGGEITVLLNDGKEYKADFIAGDGSTDIAVIKLRNASNLPVMSFGNSDELQVGQQVVAIGSPLGLSATVTSGIISALNRPVRASGGEGGESSLIDAVQTDAAINPGNSGGPLVDMQGRLIGMNSVIATNSGDSGQSGSIGLGFAIPVNQARRIAQQLMDEGKVTQPMIGIRLSNNSRERGALVGDVEPDGPAQKAGITQGDLIVGVNDRVIDSADALITAIRARDFGETVTLKVTRPDSGDVRDVKVTLTEKK</t>
  </si>
  <si>
    <t>GC_00003532</t>
  </si>
  <si>
    <t>MVASTPPPQQPSSPQLPPERLHQWTTHGFSVGLARRWIGKGFRIAAADQWRNHGVYAPEEAVAWQEAGISPYEVADLLQAGMTPKDIVHWRELGYSPPEALARHIKGEKPQPRIWWKELFGRHEAAPSQLPAAAAASMQVLLQAGVPAAAARMFIDTGWQGVDAVPWAKASINPTQAAVYRELGIQPGEATRLAKAGYDALSILRTWWDGGIPRTEVAAWLGAGFTPAEAAQARTTGTSVEQAAVLRALGGGVGKLGGKNRRGTNAADNPNKPKS</t>
  </si>
  <si>
    <t>MVASTPPPQQPSSPQLPPERLHQWTTHGFSVGLARRWIGKGFRIAAADQWRNHGVYAPEEAVAWQEAGISPYEVADLLQAGMTPKDIVHWRELGYSPPEALARHIKGEKPQPRIWWKELFGRHEAAPSQLPPAAAASMQVLLQAGVPAAAARMFIDTGWQGVDAVPWAKASINPTQAAVYRELGIQPGEATRLAKAGYDALSILRTWWDGGIPRTEVAAWLGAGFTPAEAAQARTTGTSVEQAAVLRAL-GGVGKLGGKNRRGTNVSDNPNKPKS</t>
  </si>
  <si>
    <t>GC_00003533</t>
  </si>
  <si>
    <t>MAARKRRRKRNQDWDPSLFAMSPERLEEHLKLRTRARRIPDKKKQANKMACRRSASGHWPFMGLVTHHSFFAGHKWH</t>
  </si>
  <si>
    <t>MAARKRRRKRNQDWDPSLFAMSPERLEEHLKLRTRARRIPDKKKQANKMACRRSASGHWPFIGLVTHHSFFAGHKWH</t>
  </si>
  <si>
    <t>GC_00003534</t>
  </si>
  <si>
    <t>PF00390.24</t>
  </si>
  <si>
    <t>Malic enzyme, N-terminal domain</t>
  </si>
  <si>
    <t>K00027</t>
  </si>
  <si>
    <t>malate dehydrogenase (oxaloacetate-decarboxylating) [EC:1.1.1.38]</t>
  </si>
  <si>
    <t>COG0281</t>
  </si>
  <si>
    <t>Malic enzyme (SfcA) (PDB:1DO8)</t>
  </si>
  <si>
    <t>KEGG Orthology (KO)&gt;&gt;&gt;09100 Metabolism&gt;&gt;&gt;09101 Carbohydrate metabolism&gt;&gt;&gt;00620 Pyruvate metabolism [PATH:ko00620]|KEGG Orthology (KO)&gt;&gt;&gt;09130 Environmental Information Processing&gt;&gt;&gt;09132 Signal transduction&gt;&gt;&gt;02020 Two-component system [PATH:ko02020]|Enzymes&gt;&gt;&gt;1. Oxidoreductases&gt;&gt;&gt;1.1  Acting on the CH-OH group of donors&gt;&gt;&gt;1.1.1  With NAD+ or NADP+ as acceptor&gt;&gt;&gt;1.1.1.38  malate dehydrogenase (oxaloacetate-decarboxylating)</t>
  </si>
  <si>
    <t>MSDSSSTDHISADVPGIHGTSHEFADLTDAEIFNAHQGGKIATTSRLNLETIRDLSIAYTPGVARVCEAIHEDPSLAHHYTWAGRNVAIITDGTAVLGLGDIGPQAALPVMEGKAQLFQRFVGLNGVPIVLDTTNVDEMFDTICRIAPSFGAINLEDISAPRCFELEKRLKNHLNIPVMHDDQHGTAMVATAALRNACTLLGRRLKNLRVVISGAGAAGVACAKMLIAAGVKDVVVLDSRGIIHPERTPLNSVKSELAEITNPRRIRGGISEALDGADTFIGLSRGHVGERELQRMAPDPILFSLANPDPEIRPELAYKYGAVVATGRSDMPNQINNVLAYPGVFHGALAAGAPKITSAMKLAASRAIADIVGDELDAEHIVPSPLDTRVAPAVSAAVQAAAVTGQ</t>
  </si>
  <si>
    <t>MSDSSSTDHISADFPGIHGTSHEFADLTDAEIFNAHQGGKIATTSRLNLETIRDLSIAYTPGVARVCEAIHEDPSLAHHYTWAGRNVAIITDGTAVLGLGDIGPQAALPVMEGKAQLFQRFVGLNGVPIVLDTTNVDEMFDTICRIAPSFGAINLEDISAPRCFELEKRLKNHLNIPVMHDDQHGTAMVATAALRNACTLLGRRLKNLRVVISGAGAAGVACAKMLIAAGVKDVVVLDSRGIIHPERTPLNSVKSELAEITNPRRIRGGISEALDGADTFIGLSRGHVGERELQRMAPDPILFSLANPDPEIRPELAYKYGAVVATGRSDMPNQINNVLAYPGVFHGALAAGAPKITSAMKLAASRAIADIVGDELDAEHIVPSPLDTRVAPAVSAAVQAAAVTGQ</t>
  </si>
  <si>
    <t>GC_00003535</t>
  </si>
  <si>
    <t>MDTRRKPIIIGGVVIIVLLAIFALGTVVMSLLSTPGVHTPELNADNAKPASTDVGGEWQVVTGDAPNISSVGFTFDEILPSDKRTTSGSTQAVRGTITVDDVTLQPGGRIEVDMTSINTDTQRRDVNVRTKLFDTDNYPDAAFEVTEPVDLSALPDDGSVGMVTVPGKLTIKGETREVQPEFQAVRDGDKLTVSTVLRFNRLDYGVKTPEFIAAKVSEEGDLNVLLTFKKS</t>
  </si>
  <si>
    <t>MDTRRKPIIIGGVVIIVLLAIFALGTVVMSLLSTPGVHTPELNADNAKPASTDVGGEWQVVTGDAPNISSVGFTFDEILPSDKRTTSGSTQAVRGTITVDDVTLQPGGRIEVDMTSINTDTQRRDVNVRTKLFDTDNYPDAAFEVTEPVDLSALPDDGSVGMVTVPGKLTIKGETREVKPEFQAVRDGDKLTVSTVLRFNRLDYGVKTPEFIAAKVSEEGDLNVLLTFKKS</t>
  </si>
  <si>
    <t>GC_00003536</t>
  </si>
  <si>
    <t>MELSVLAQHGLMVAIAALILPGMIVNWVSGLRIPWAAAAGIPTTMGIVGFTGWVLSCRDIPFNLANVTHAYWYFLTAAVIWRLPFLAGQFWRWRKTWQPNGGKPLDWVGSWWKNQRVHDPKPVPTPTATNPLVGWLRSRIPWWKSPQGKPSTSDEEHWYDLPVFSNGGIFDPRWILPLAGVIVGAGTYTSRLLEIYQGLKYDFSSIVQGWDVHWHASEVRFILERGIADSTRMGEAHNIDGHQELFYPSGWHAATALLARYEGFTPIQAINWMTIVLPSVTIPLSVGLIAWRLVGNRGLTAQIAAGFSAAIVIATPVLYWIPVYVGMWPYLGAISMTGIVAVLITSIPTVPVRMFAGVMGFMGVAIAHPAPITVVVFLVGFWWLFGQLWHPVRQWWTPADSIPAEDSTTPDTTTAKPDQDSESESAQPKLEEQKHPARKPRQAGARIWSGWRTNKWAAGTMARLRDFGLLAATGGIAVLLLWPQLKSGFGQSEDVQSVTAFEDLSRKETFIKTFLMRTRHVGEFGLTDWTYLLWFAVIGMVVALVWRRNVWGILFLIFSALITMNALTMFPEPWGGLLNIIGGLHYGTAHRLVIPVAMFLFAYCGVGVAVVIRFVFAGFVRNKIWRVASVCLSTIAAVWITSLIVPWASYSVREGSRWAIESMYESRMVTKDDRDAFNWLAKQPHAYDGIIFGNSADGYGWMYAYNKLPSLARHYDGVSAKPGAPSHVLRDSAYLIGAGNHGDPDQRNKADIAAENLGVNFIVLSPPNFWWFQQSNLEMSVKLDKAPGLTLVYQKNSIRIYAVNAKFKDTELTRMRESGPASNQLPVPQCPKDSADGKAAAAAGETTQVEYDPETGEQTTVTKPKPCYHRPSKPDVAPRANDAKGKSPVTPKSGGIDDNSNKYSEKSSLDLTEKEARRRRLDNGYAHNEKATLRF</t>
  </si>
  <si>
    <t>MELSVLAQHGLMVAIAALILPGMIVNWVSGLRIPWAAAAGIPTTMGIVGFTGWVLSCRDIPFNLANVTHAYWYFLTAAVIWRLPFLAGQFWRWRKTWQPNGGKPLDWVGSWWKNQRVHDPKPAPAPTAANPLVGWLRSRIPWWKSPQGKPSTSDEEHWYDLPVFSNGGIFDPRWILPLAGVIVGAGTYTSRLLEIYQGLKYDFSSIVQGWDVHWHASEVRFILERGIADSTRMGEAHNIDGHQELFYPSGWHAATALLARYEGFTPIQAINWMTIVLPSVTIPLSVGLIAWRLVGNRGLTAQIAAGFSAAIVIATPVLYWIPVYVGMWPYLGAISMTGIVAVLITSIPAVPVRMFAGVMGFMGVAIAHPAPITVVVFLVGFWWLFGQLWHPVRQWWTPADSIPAEDSTTPDTTTAKPDQDSESESTQPKLEEQKHPARKPRQVGARIWSDWRTNKWAAGTMARLRDFGLLAATGGIAVLLLWPQLKSGFGQSEDVQSVTAFEDLSRKETFIKTFLMRTRHVGEFGLTDWTYLLWFAVIGMVVALVWRRNVWGILFLIFSALITMNALTMFPEPWGGLLNIIGGLHYGTAHRLVIPVAMFLFAYCGVGVAVVIRFVFAGFVRNKIWRVASVCLSTIAAVWITSLIVPWASYSVREGSRWAIESMYESRMVTKDDRDAFNWLAKQPHAYDGIIFGNSADGYGWMYAYNKLPSLARHYDGVSAKPGAPSHVLRDSAYLIGAGNHGDPDQRNKADIAAENLGVNFIVLSPPNFWWFQQSNLEMSVKLDKAPGLTLVYQKNSIRIYAVNAKFKDTELTRMRESGPASNQLPVPQCPKDSADGKAAAAAGETTQVEYDPETGEQTTVTKPKPCYHRPSKPDVAPRANDAKGKSPVTPKSGGIDDNSNKYSEKSSLDLTEKEARRRRLDNGYAHNEKATLRF</t>
  </si>
  <si>
    <t>GC_00003537</t>
  </si>
  <si>
    <t>K04787</t>
  </si>
  <si>
    <t>mycobactin salicyl-AMP ligase [EC:6.3.2.-]</t>
  </si>
  <si>
    <t>MHKETTSPAPMSSTDNNLRTGFVGSPMLPFLNDDPSLDAGQPLDQLVWDQLEQSPNKVAIIDGPRTLTYAQLRAHAEGVARGLVARGRQPGDRVLLHLENGLAFAEALMGTLLAGCVPVLTLPGHRFAELSHLAQLSGAAELVGTDKALLDEVAASCDVSVVHVGGLPITEGTDRGDAGADAAEWHPGFVPDNPAVLLVSGGTTGLPKLIARTHQDYRYNIACAAAACTITGDDVYLAALPLAHNFPLASPGLFGVLAAGGTVVCAPIPSPDMIFDLIEQHRVTIVSAVPSLALLWAEATEWETQDLSSLRLVQVGGARFSPEQAVIVDEAFNNTLQQVFGMAEGLLCFTTPGDSDRDRVRTTQGYPMSPLDKLRIGADGGLETSGPYTILGYYRAPAANEASFTDDGWYRSGDNVHIHDDGSVVVMGRIKDVVIKAGENVDCVELEEVLSQVPGVANVVVVGAPDEYLGEAVVAGIVAQPGSQIDLELLRAAVHDAGMADFKQPDRLLMMNRVPLTAVGKPDRKVVAEWAREA</t>
  </si>
  <si>
    <t>MHKETTSPAPMSSTDNNLRTGFVGSPMLPFLNDDPSLDAGQPLDQLVWDQLEQSPNKAAIIDGARTLTYAQLRAQAEGVARGLLARGRQPGDRVLLHLENGLAFTEALLGTLLAGCVPVLTLPGHRFAELSHLAQLSGAAELVGTDKALLDEVAASCDVSVVHVGGLPVVEGADRGDADTDAVGWHPGFVPDNPAVLLVSGGTTGLPKLIARTHQDYRYDIACAAAACTITADDVYLAALPLAHNFPLASPGLFGVLAAGGTVVCAPIPSPDMVFDLIEQHRVTVVSAVPSLALLWAEATEWETQDLSSLRLVQVGGARFSPEQATLVDEAFNNTLQQVFGMAEGLLCFTTPGDPDRDRVRTTQGYPMSPLDKLRIGADGGLETSGPYTILGYYRAPAANEASFTDDGWYRSGDNVHIHDDGSVVVMGRIKDVVIKAGENVDCVELEEVLSQVPGVANVVVVGAPDEYLGEAVVAGIVAQPGSQIDLELLRAAVHDAGMADFKQPDRLLIMDRVPLTAVGKPDRKVVAEWAREA</t>
  </si>
  <si>
    <t>GC_00003538</t>
  </si>
  <si>
    <t>MNRLRLVAVSALIACAPLAAGPWIAEPVAVAQAPATYTDVVTDNAGVLSEAEKGKLVEAIQDVQRKEQRKIYVVFTEDFGGLSGEEWAKQAKQRNDGRNVLVYGVAVKSRDYGLAYGADWDSDADDMKKAAYNKLVESDYYGSAMALVDASSTSSGSNAAWLGGGAAAVVATGAGLAAYSRRKRTRQTASMTADARAINPKDTGSLTALPIDVLEKLSQEELVSTDESIRKARAELDLATAEFGAERTRSFVRALNHSTTTLQRAFGIRAQLDDTIPESEEERRAMLVDIVSSCGQADDALDAEAENFATLRDVLINADSNLAKLTQTMVDLRGRLPQAEQTLDRLRGEHPASMLTSIADNTQLASEHLEHADTALNDARALTAQPAGQQGGLVEALQAAEKSTHEADKLLAGIEHAEENIRMAQSNLSALVTEVEQEIAEAGSLRARGQEHGTQADWASLDDAVTAAQAALSTARDKGGDDPLGAYTALADADAVLDVELDKVRESSADQERRLQILDNAMAAAQSRITAAEDLISTRGRVIGSAARTQLAEAQRRFASAQNQRTRDTGAAVADAQAASQAAQNALNYAENDIRDYQNRQRGNGSGSGGTGSFIAGMVVNEILNGGHRGYGGGFGGGFGGFGGGFGGGFGGGGGFGGGGGFGGGGGFGGSGGSGGGFTGGKF</t>
  </si>
  <si>
    <t>MNRLRLVAVSALIACAPLAAGPWIAEPVAVAQAPTTYTDVVTDNAGVLSEAEKGKLIEAIQDVQRKEQRKIYVVFTEDFGGLSGEEWAKQAKQLNDGRNVLVYGVAVKSRDYGLAYGADWDSDADDMKKAAYNKLVESDYYGSAMALVDASSTSSGSNAAWLGGGAAAVVATGAGLAAYSRRKRTKQTASMTADARAINPKDTGSLMALPIDVLEKLSQEELVSTDESIRKARAELDMATAEFGAERTRSFVRALNHSTTTLQRAFGIRAQLDDTIPESEDERRTMLVDIVSSCGQADDALDAEAENFATLRDVLINADSNLAKLTQTMVDLRGRLPQAEQTLDRLRGEHPASMLTSIADNTQLASEHLEHADTALNDARALAAQPAGQQGGLVEALQAAEKSTHEADKLLAGIEHAEENIRMAQSNLSALVTEVEQEISEAESLRAHGQQQGTQADWTSLDDAVTAAQAALSTARDKGGDDPLGAYTALADADAVLDVQLDNVRESSASQERRLQILDNAMAAAQSRLTAAEDLISTRGRVIGSAARTQLAEAQRRFASAQNQRTRNTGAAVADAQAASQAAQNALNYAENDIRDYQNRQRGSGSGSGGTGSFIAGMVVNEILNGGHRGYGGGFGGGFGGFGGGFGGGF-------GGGGFSGGGGFGGSSGSGGGFTGGKF</t>
  </si>
  <si>
    <t>GC_00003539</t>
  </si>
  <si>
    <t>MTDQEKIAYLEQALREKDHELMRARQEFSGQIAANNLGDASLRHRIALTEQELGFMRQQLADKDAEIDRLTKVVDTLQGAIATLKGSGAGA</t>
  </si>
  <si>
    <t>MTDQEKIAYLEQALREKDHELMRARQEFSSQIAANDLGDASLRHRIALTEQELGFMRQQLADKDAEIDRLTKVVDTLQGAIATLNGSGAGA</t>
  </si>
  <si>
    <t>GC_00003540</t>
  </si>
  <si>
    <t>PF12028.13</t>
  </si>
  <si>
    <t>Protein of unknown function (DUF3515)</t>
  </si>
  <si>
    <t>MTGDRTSTMDTDVSTDQFLPLNRAPLVLALILALTMVIAVLVGARVFYDRVARQPVAMSAIDSPDASSPECSTLIDRLPSSLLGHRRTDIAEPAPAGAAAWSSNSTESITLRCGVSLPLQYTTLSHTTDAAGSTWLRVVDATPGTNLETWYSVNRHPAVAVTTTRAALGSHANPVDDLGGSMSDLSTVAVNPHPAPLATLESAGTEDRCDALLSALPNTLGDFTRLEAASVTASGLPAASAAWTAEGQEPVVLRCGVAPAPGYAPGAQLQQVNDIPWFEDTTLANGTTSSTWFALDREAEVAVSMPQSAGNAVIVGISSAISEHLPRA</t>
  </si>
  <si>
    <t>MTGDRTSTMDTDVSTDQFLPLNRAPLVLALILALTMVIAVLVGARMFYDKVARQPVAMSAIDSPDASSPECSTLIDRLPSSLLGHRRTDIAEPAPAGAAAWSSNSTESITLRCGVSLPLQYTTLSHTTDAAGSTWLRVVDATPGANLETWYSVNRHPAVAVTTTRAALGSHANPVDDLGESMSDLSTVAVNPHPAPLATLKSAGTEDRCDALLSALPNTLGDFTRLDAASVTASGLPAASAAWTAEGQEPVVLRCGVAPAPGYAPGAQLQQVNDIPWFEDTTLANGTTSSTWFALDREAEVAVSMPQSAGNAVIVGISSAISEHLPRA</t>
  </si>
  <si>
    <t>GC_00003541</t>
  </si>
  <si>
    <t>MIFKLFALIVAAVTGLLGLLGLHQPVPKPLPTPSMPTSTPTSTASSDSTGVPAPSTSVTAVPEPLRPVAMDMPAGTHPATKADMSKFLSHNWTSTANKYAVIYMGKSQPFNGTEEIKKEFNGNVPEGLRMLTYDPTCNAVQTAVWFDGNTMRTTAWSMQTLRGCQIDVEKQSEEFQTFMKQSDIYFNAAGDRAYLKRADGKVSEWIVATN</t>
  </si>
  <si>
    <t>MIFKLFALIVAAVTGLLGLLGMHQPVPKPLPTPSTPTSTPTSTASSDSTGVPAPSTSVTAVPEPLRPVAMDMPAGTHPATKADMSKFLSHNWASTANKYAVIYMGKSQPFDGTEEIKKEFNGNVPEGLRMLTYDPTCNAVQTAVWFDGNTMRTTAWGMQTLRGCQIDVEKQSEEFQTFMKQSDIYFNAAGDRAYLKRTDGKVSEWIIATN</t>
  </si>
  <si>
    <t>GC_00003542</t>
  </si>
  <si>
    <t>MTHPTTGHSRMTVLAMGSPAGLSHRPLYRTALMMLAFVASIVLVAGLSACSSSGSGASGETITVSHVYGESQLPTKPKKVVTLVPGYTDAMLALGESPAAIAGYAGFPKSVMPWEEGKLQVEPEGSTHVLKLMNPSDVPLEQIAQQEPDLILAGALASNEEIYKKLQDVAPTLPALADGKLDSWQDQTKIVGQLFKKESEADNIVASTEQTLSAVSQEFPAAAGKTFAVAFFGGADNIQVVTDPNDITVQMLTKMGLKLPDSLIGLGGGEGGVQGRLSLETIDKMNSDIIIMGSTGDLSAMESSPLWPGLTAVRENHVLKLDPAAVTSFRVPTVLSVPWSIEQIKPTLATF</t>
  </si>
  <si>
    <t>MTHPTTGRSRMPMLAMGSPAGLSHRPLYRTALMMLAFVASIMLVAGLSACSSSGSGASGETITVSHVYGESQLPTKPKKVVTLVPGYTDAMLALGESPAAIAGYAGFPKSVMPWEEGKLQVEPEGSTHVLKLMNPSDVPLEQIAQQEPDLILAGALASNEEIYKKLQDVAPTLPALADGKLDSWQDQTKIVGQLFKKESEADNIVASTEQTLSAVSQEFPAAAGKTFAVAFFGGADNIQVVTDPNDITVQMLTKMGLKLPDSLIGLGGGEGGVQGRLSLETIDKMNSDIIIMGSTGDLSAMESSPLWPGLTAVRENHVLKLDPAAVTSFRVPTVLSVPWSIEQIKPTLATF</t>
  </si>
  <si>
    <t>GC_00003543</t>
  </si>
  <si>
    <t>MKLRRPAVIISSALALTFGIGWLVDSIVAARVEMRIAQEIEAVTPVESNPRIYVGGFPYLLALSTHKVPAITSESLDVRIPGLGLVNLRTEADRVTLSNEQLLNGNIEGAKAKALSHYMRLDGVALGSFLNITDLDISHPSDISPTSTSASEAQLTGTPPNFTEPVVAEVKLRIKGSTISIEPTSVRGAPPGREEEALNAFSWTVDSTELPLGGRATNINCNGGSIYISSEISNVTLSYKDFAPLLRENQEES</t>
  </si>
  <si>
    <t>MKLRRPAVIISSALALTFGIGWLVDSIVAARVEMRIAQEIEAVTPVESNPRIYVGGFPYLLALSTHKVPAITSESLDVRIPGLGLVNLRTEADRVTLSNEQLLNGNIEGAKAKALSHYMRLDGVALGSFLNITDLDISHPSDISPTSTSASEAQLTGTPPNFTEPVVTEVKLRIKGSTISIEPTSVRGAPPGREEEALNAFSWTVDSTELPLGGRATSINCNGGSIYISSEISNVTLSYKDFAPLLRENQEES</t>
  </si>
  <si>
    <t>GC_00003544</t>
  </si>
  <si>
    <t>MTDHNHYGGDPESLLSVSYPNAQLSDLVLTIENRRRLWNVVMEQRQWDKITFHGLQPVRRLLFTGPPGTGKTSTAQALAGELGVPLYTVRLDLLTTHPKDEGEAEFRQVLDTLMQTYGVFVFDGVAEFTEENRWILVMLQQFLMQDTSKSVIIVASNRPRLLDGVIFEQCDRIVNFGLPTSDEARAIIEGQLAMFDLRNISWASVLTAADGLSHAEISTVAGSVAEHVMLTNAPVSWARHLTAELGRARQ</t>
  </si>
  <si>
    <t>MTDHNHYGGDPESLLSVSYPNAQLSDLVLTIENRRRLWNVVMEQRQWDKITFHGLQPVRRLLFTGPPGTGKTSTAQALAGELGVPLYTVRLDLLTTHPKDEGEAEFRQVLDTLMQTYGVFVFDGVAEFTEDNRWILVMLQQFLMQDTSKSVIIVASNRPRLLDGVIFEQCDRIVNFGLPTSDEARAIIEGQLAMFDLRNISWASVLTAADGLSHAEISTVAGSVAEHVMLTNAPVSWARHLTAELGRARQ</t>
  </si>
  <si>
    <t>GC_00003545</t>
  </si>
  <si>
    <t>PF13787.11</t>
  </si>
  <si>
    <t>Protein of unknown function with HXXEE motif</t>
  </si>
  <si>
    <t>MVASSPHSAIYRDMFALGTLAFIGISLFMVHEFEEIICVRPYIKRHREDEKFAAEMFVAGGDKNYPSTESIALMIGEEFVLSVIIMLVGIAIGSIEIVLAPFIAFTLHLIPHALEALRFPGWAPGSRTATLLFVPSVAIIVAAIMTQPIQPLWLAVWTVVIGVLLLANLRLMHMAAGGFAQKLR</t>
  </si>
  <si>
    <t>MVASSPHSAIYRNMFALGTLAFIGISLFMVHEFEEIICVRPYIKRHREDEKFAAEMFVTGGDKNYPSTESIALMISEEFVLSVIIMLVGIAVGSIEIVLAPFIAFTLHLIPHAFEALRFPGWAPGSRTAVLLFVPSVAIIVAAIMTQPIQPLWLAVWTVVIGVFLLANLRLMHMAAGGFAQKLR</t>
  </si>
  <si>
    <t>GC_00003546</t>
  </si>
  <si>
    <t>MTTTVVGILIVVLWLFVLMPFLLRKHKPISKVGEGFDDTRVIHEGGHKPQRPPALRPKVAAADAQQRKLIADQPEFGVEDTPTVPFKKITSPLISDKPKSANDTVAMAAASNRQPVAKDSTKGSKTGAQAQTHVPAKSKTGTDASRTSATSGTSSAGQPARTATTQAKTEHTVADQAKADHDKVAAARAKAAARSKAAAGADTTAKAKAAKAKAESDANADATTETMRAAAAVSAPAVSVPVASVHAANTSAKVGSKPVDPDTPYEIDDSYLDPEDLLYPTGARGANLSVVPDVPTKKEKKEKKSAAKRSVAKRTAADIDDNISDSDELTPEEIEFAKSRRGRGGYDPEADKKHSADRYQRRRSTVLGLVVAVVVTIVPAGLIGGWMWAAPAIALGMTIIYLIALRAQVRDEERLRHKRVHQLRRTRAGVRNSMDRELGIPHRLRRPGAVVLETDDDSPDFIGLELVETNRSAGESEPEPEPAVQYDNVIKLRVG</t>
  </si>
  <si>
    <t>MTTTVVGILIVVLWLFVLMPFLLRKHKPISKVGEGFDDTRVIHEGGHKPQRPPALRPKVAAADAQQRKLIADQPEFGVEDTPTVPFKKITSPLISDKPKSANDTVAMAAASNRQPVAKDSTKGSKTGAQAQTHVPAKSKTGTDASRTSATSGTSSAGQPARTATTQAKSEHTVADQAKADHDKVAAARAKAAARSKAAAGADAAAQAKAAKAKAESDANADATTETMRAAAAVSAPAVSVPVASVHAANTSAKVGSKPVDPDTPYEIDDSYLDPEDLLYPTGARGANLSVVPDVPTKKEKKEKKSAAKRSVAKRTAADIDDNISDSDELTPEEIEFAKSRRGRGGYDPEADKKHSADRYQRRRSTVLGLVVAVVVTIVPAGLIGGWMWAAPAIALGMTIIYLIALRAQVRDEERLRHKRVHQLRRTRAGVRNSMDRELGIPHRLRRPGAVVLETDDDSPDFIGLELVETNRSAGESEPEPEPAVQYDNVIKLRVG</t>
  </si>
  <si>
    <t>GC_00003547</t>
  </si>
  <si>
    <t>MSRRLVTALGTSIVLAVPIIAAAPVAGANEEPYFTVAISEGKCLLSLNQANPQAKQNQQFLASPTKNRIQYFNSRIPGLEALVNELADAHTSEKTALAGGDNVGMTKSGDALTATKSKITELVTRSGMNEKDAEEIVKLANDYRKEGGPTQVSYEVEQKKIAAALTAATTALSTENQFANNNKSLPDNSPKFNQINAEWDAAFRNAVEGQHSGRLTAIKACQENRTVTA---GGTGATSAPATTSGAAKTSEALQQPSSPLYKLLHTLSSVSGVAGTIITVFQNLLKTGAIKF</t>
  </si>
  <si>
    <t>MSRRLVTALGTSIVLAVPIIAAAPVAGANEEPYFTVAISEGKCLLSLNQANPQAKQNQQFLASPTKNRIQYFNSRIPGLEALVNELADAHTSEKTALAGGDNVGMTKSGDALTATKSKITELVTRSGMNEKDAEEIVKLANDYRKEGGPTQVSYEVEQKKIAAALTAATTALSTENQFANNNKSLPDNSPKFNQINAEWDAAFRNAVEGQHSGRLTAIKACQENRTVTAGGTGGTGATSAPATTSGAAKTSEALQQPSSPLYKLLHTLSSVSGVAGTIITVFQNLLKTGAIKF</t>
  </si>
  <si>
    <t>GC_00003548</t>
  </si>
  <si>
    <t>MNALKRRVKVTAVTVCAVMAAATVTPVAAQTTQPQQPSHQSSVEDKLASISSQVFGVLGTGFMAILFLLTCFRPNKGPECSI</t>
  </si>
  <si>
    <t>MNALKRRMKVTAVTVCAVMAAATVTPVAAQTTQPQQPSHQSSVEDKLASISSQVFGVLGTGFMAILFLLTCFRPNKGPECSI</t>
  </si>
  <si>
    <t>GC_00003549</t>
  </si>
  <si>
    <t>MTVPDAVSNLFVESLKLSAKQRTVLDVIHEHPRGITAARIATIMGTTVNTLRGHLDELLAQEAIRAEAPNVGSRGRPALVYYSRVPDNRAIALEYITLVRVFAQYLLETTDDPRAVAYDIGRTWAREISTEPCDESELLVRLAQMGFDPVPVEEPHNLADTQLAAPPVEQSNVPHSEAPGTAEASDGTTTSRPDHAGRPIIELRSCPFLHPDKDTPATVCDIHMGMLAARKGPDGRGFTLTPHHGDVLCHVTVINEHVTATDIGDSPPYGDKTQ</t>
  </si>
  <si>
    <t>MTVPDAVSNLFVESLKLSAKQRTVLDVIHEHPRGITAARIATIMGTTVNTLRGHLDELLAQEAIRAEAPNVGSRGRPALVYYSRVPDNRAIALEYITLVRVFAQYLLETTDDPRAVAYDIGRTWAREISTEPCDESELLVRLAQMGFDPVPVEEPHNLADTQLAAPPVEQSNVPHSEAPGTAEASDGTATSHPDHACRPIIELRSCPFLHPDKDTPATVCDIHMGMLAARKGPDGRGFTLTPHHGDVLCHVTVINEHVTATDIGDSPPYGDKTQ</t>
  </si>
  <si>
    <t>GC_00003550</t>
  </si>
  <si>
    <t>MNKPPVATVDIESFAHGGEGIAHVDGRVVFVRGAIPGDTVEITFTQEKKNFARATVARVLTPSPQRTHQRCPAAAVGAGCCDLGELVPDHELTVKAATVVEQLRRLGQLNDVPEPELVDFDTPTGWRTRMRLGVDPHGRAGLRAGRSRDVVADAQCTQAVPGLLDGIVGPGARTFRPGAELVVAIDSTGHRHVVETRKVGRGQRVEQVTSVLEGTGTVQETVRNTTFEFPATGFWQAHRRAPEVYADTVEEWVRRECAAGESVDKQPGRVVAWDLYGGVGLFVPSLLRACGDAAEVYSVEVSPYAHDSGVAALSGDARVSFVTGKVERRLAQLPDPAVVVLDPPRQGAGDQVIADVAARHPGVVVHIGCDAATFARDTRSWVEHGYRLRRLRVFNAFPGTHHCETFGLFTPTSPAGRG</t>
  </si>
  <si>
    <t>MNKPPVATVDIESFAHGGEGIAHVDGRVVFVRGAIPGDTVEITFTQEKKNFARATVTRVLTPSPQRTHQRCPAAAVGAGCCDLGELVPDHELTVKAATVVEQLRRLGQLNDVPEPELVDFDTPTGWRTRMRLGVDPHGRAGLRAGRSRDVVADAQCTQAVPGLLDGIVGPGARTFRPGAELVVAIDSTGHRHVVETRKVGRGQRVEQVTSVLEGTGTVQETVRNTTFEFPATGFWQAHRRAPEVYADTVEEWVRRECAAGEGVDKQPGRVVAWDLYGGVGLFVPSLLRACGDAAEVYSVEVSPYAHDSGVAALSGDARVSFVTGKVERRLAQLPDPAVVVLDPPRQGAGDQVIADVAARHPGVVVHIGCDAATFARDTRSWVEHGYRLRRLRVFNAFPGTHHCETFGLFTPTSPAGRG</t>
  </si>
  <si>
    <t>GC_00003551</t>
  </si>
  <si>
    <t>MRDHNHHNQGKGCLRNTRQTCRRVLSSVSALIAAATLVVGTTTHPVVADASPAEKAPYDASAPQVPTSPDSKKEPISPASNPEAAKVASLVAETATDFDGANTSKQADPHAKEADNSIAKTIRAIPRCGLRTALVFDVSQSIGQQGLAASKEAGKTVVDILSGTSTTLSIMNFATEAPGDVNAEVINAKMDSNQDVNNAKQTLDRLTLPGDRDYRRGGTNWSDALKRLSEAADNGEKYDVVYFITDGRPTAPFGWGVVTNDYDVIWAQYYAEQLRSKGTYVVGVGVGFRADSSDRVEIHPNPEYGQSIEGAAWETTYKYRHRESYAATVDFPGVEREYYNDYVLYVASQLKLLETISQDRIILPNGFEHLREELRKSFAGCGAKLVIKKELVDANGKVLHNSKDITTPGLSGAGFEFTSQLYKTRRGGVEKVLGPQATTDDDGIATLTMPTLRGREGFEPGTIEVSENLQNKPGWSLFLNGKQRKAAVCTAKDVHGTSKTVVDGVPPARMDSNTIYVEQNPSANGLTVRNANHLDTVECTFKNVVPAADFVVNKEKISEPIALTGEKDQRITAEYRVKVRNNASHQAQPGDILEAPQAFPGMNIAEVHVSGELVTEQNMRLAQEGNSWLIPHDKMQPIGAHTERSMTVAVTYVATDPDATVRNEKALTCRSSSNHEGVGLVNTVALRSDKDHRDKWKNACVDLKAPHNAAFTLSKKAVYSPVVVTGVANQELTATYEVAVKNDSAFTATPQDIVEEPTTLSGMNVIGMVVSGDLVTNPAGLRKEKTGSWRLAKADMKKIQPQQTATMRVEVRYRVADPKATRDVRDHHQCVDGSMDKGLVNQVKFASGDARKDVKGAKVATEEKTASACVSVAMPELTVDKEVYTQKAYTKEQAYPLAPTAKEVQFTYRFGTGSYPLDTIDISDVVMDVNTGAHTDQHLTLGTLQCTGATVIPGSGTRNDAPRLAVDKNHHGEIVCHTTVTDPKAIPATGAYTHTQINAQAYYTVPAYQATAPEQAQPLTGSASAWVFKFPAMVGEMPRSGGFGHGGYIGAGMFTVLLAAGLAGIVFRRQRTTE</t>
  </si>
  <si>
    <t>MRDHNHHNQGKGCLRNTRQTCRRVLSSVSALIAAATLVVGTTTHPVVADASPAEKAPYDASAPQVPTSPDSKKEPISPAINPEAAKVASLVAETATDFDGANTSKQADPHAKEADNSIAKTIRAIPRCGLRTALVFDVSQSIGQQGLAASKEAGKTVVDILSGTSTTLSIMNFATEAPGDVNAEVINAKMESNQDVNNAKQTLDRLTLPGDRDYRRGGTNWSDALKRLSEAADNGEKYDVVYFITDGRPTAPFGWGVVTNDYDVIWAQYYAEQLRSKGTYVVGVGVGFRADSSDRVEIHPNPEYGQSIEGAAWETTYKYRHRESYAATVDFPGVEREYYNDYVLYVASQLKLLETISQDRIILPNGFEHLREELRKSFAGCGAKLVIKKELVDASGKVLHNSKDITTPGLSGAGFEFTSQLYKTRRGGVEKVLGPQATTDDDGIATLTMPTLRGREGFEPGTIEVSENLQNKPGWSLFLNGKQRKAAVCTAKDVHGTSKTVVDGAPPARMDSNTIYVEQNPSANGLTVRNANHLDTVECTFKNVVPAADFVVNKEKISEPIALTGEKNQRITAEYRVKVRNNASHQAQPGDILEAPQAFPGMNIAEVHVSGELVTEQNMRLAQEGNSWLIPHDKIQSIGAHTERSMTVAVTYVVTDPDATVRNEKALTCRSSSNHEGVGLVNTVALRSDKDHRDKWKNACVDLKAPHNAAFTLSKKAVYSPVVVTGAANQELTATYEVAVKNDSAFTATPQDIIEEPTTLSGMNVIGMVISGDLVTNPAGLRKEKTGSWRLAKADMKKIQPQQTATMRVEVRYRVADPKATRDVRDHHQCVDGSMDKGLVNQVKFASGDARKDVKGAKVATEEKTASACVSVAMPELTVDKEVYTQKAYTKEQAYPLAPTAKEVQFTYRFGTGSYPLDTIDISDVVMDVNTGAHTDQHLTLGTLQCTGATVIPGSGTRNDAPRLAVDKNHHGEIVCHTTVTDPKAIPATGAYTHTQINAQAHYTVPAYQATAPEQEQPLTGSASAWVFKFPAMVGEMPRSGGFGPGGYIGAGMFTVLLAAGLAGIVFRRQRTTE</t>
  </si>
  <si>
    <t>GC_00003552</t>
  </si>
  <si>
    <t>PF04860.17</t>
  </si>
  <si>
    <t>Phage portal protein</t>
  </si>
  <si>
    <t>COG4695</t>
  </si>
  <si>
    <t>Phage portal protein BeeE (BeeE)</t>
  </si>
  <si>
    <t>MGFFEKLGFKAPVMEAPSADVLAAPLFAKLASDVDSMPVEQLWKEQPHLRTVTEFIARNISSVALHVYRRGDDGGRIRDRDSDAARVLFKANPGQLMQDVLHASLLDLCLFDEFIWFVAVDDDGSPAVYPISPLWVYRKNFSDRWTLRSIIVADDDGNHVELPASNIVYCHGYQPGTYRYGVSPVDSLRDVLKEQLEAAAYRGQLWKNGPRLSGVITRPKDAPWTGADRNRFKASWSSQYTGRGSGAGGTPVLEDGMDFKPMHLKAQDEQFVDVAKLALATVASVYHINPTMVGLLDNANYSNVREFRKSLYGDSLGPIIKKLEGVINAFLLPLLGV-PDGVYAEFNLDEKLRASFEEKASITTAAVGGPWMTRNEAREQNNLTRLDDGDSLLVPLNTTDADRLGESLAGEGEQ----</t>
  </si>
  <si>
    <t>MGLLSRLGILPKVTSAPDAYVLAAPLMEAISDEIGAYSVEKLWKEQPHLRAVTTFIARNIANISIHAYERDDDGGRVRARGGALPLLLKRANASQLMQTVIYNSIMDLCLYDEFIWIIG-DDNGEWEIYPISPAWVINRKFKNPWTLKSITFS-YEGEQIEIDADNVIRVCGYRPGSFKKGSSPINALKDTLREQLEAAAYRGQLWRRGPRISGVIERPMGAKWENSDRRRFKASWQAQYSGRGSGTGGTPILEDGMKFVPHHLSAHDEQLVDVAKLSLATVASVYHVNPTMVGLLDNANYSNVREFRKSLYGDSLGPIIKQIEGTLNVFLLPKMGIDTDRFYVEFNLEEKLRASFEEKAAVTSTAVGAPWMTVNEARELNNLKNINGGDELIMPLNMTKVEQGGDEGVGDGVDQGGD</t>
  </si>
  <si>
    <t>GC_00003553</t>
  </si>
  <si>
    <t>MNKRSVMVSAILAAVAVVTPTATAEPTNPDGLVAAYHLTTKDGWSNDLQSIVWNEKAKHYDLYFLHSADGAENPLGPRGQDWYHTTTTDFVHFTDQKQAIPASGGHTTDGWKSAWTGSVINRGGTPTAYISGLKKTDGSQNIWAVASTDGGATFTKPLNDGKPVLDITAPSASVNRTDERDPYVFTYDGKTLMYVAEGDHIGVYRSTDGIRWTKADAAAEAKIQPATFFRGRTWSENAPIECPVLKTMKTPAGDKQVLFFGAKDASRGETTGTYYTVGHLDANGMFVADTDTQRLDHGPDYYGANFTGSTDISTAEDTITSLGWVGNWNYTADGVHAADNGSGPYLRRLGSYSLARELTLGADNRITQKLKTSDLKYRNVKTHTGVTKDKPISATGKTWVDRKDTNGDVYGLYDVPDQDAAQKHTLRFHNTAGNYTGRIYIDLWQGGDWVRFNYDPTDGWYNVKARAGELDNSKKGQDSTHYYFDGLLGNGNGYSAQSLVQDQRDITLEVYTDTTSVEFVFPNGHTFTIARFSQSDKQDFKVFTEDPTGKNTVDIEVGDVGR</t>
  </si>
  <si>
    <t>MNKRSVMVSVILAAVAVVTPTATAEPANPDGLVAAYHLTTKDGWSNDLQSIVWNEKAKHYDLYFLHSADGAENPLGPRGQDWYHTTTTDFVHFTDQKQAIPASGGHATDGWKSAWTGSVINRGGTPTAYISGLKKTDGSQNIWAVASTDGGATFTKPLNDGKPVLDITAPSASVNRTDERDPYVFTYNGKTLMYVAEGDHIGVYRSTDGIRWTKADAAAEAKIQPATFFRGHTWADNAPIECPVLKTMKTPAGDKQVLFFGAKDASRGETTGTYYTVGHLDANGMFVADTDTQRLDHGPDYYGANFTGSTDISTAEDTITSLGWVGNWNYTADGVHAADNGSGPYLRRLGSYSLARELTLGADNRITQKLKTSDLKYRNVKTHTGVTKDKPVSASGKPWVDRKDTNGDVYGLYDVPNQDAAQKHTLRFRNMAGNYTGRIYIDLWQGGDWVRFNYDPTDGWYNVKARAGELDNSKKGQDSTHYYFDGLLGNGNGYSAQSLVQDQRDITLEVYTDTTSVEFVFPNGHTFTIARFSQSDKQDFKVFTEDPTGKNTVDIEVGDVGR</t>
  </si>
  <si>
    <t>GC_00003554</t>
  </si>
  <si>
    <t>MGDNGSVHELGLLSGVVDVVVQAADQRTIRRVALRVGTRSGVVPEALHAAWPIASLGTACADAELTVEHIEATVWCPTCAAEQQIDEFFALTCPVCDTPTADLRHGREFEVAYIDVE</t>
  </si>
  <si>
    <t>MGDNGSVHELGLLSGVVDVVVQAADQRTIRRVALRVGTRSGVVPEALYAAWPIASLGTACADAELTVEHIEATVWCPTCAAEQQIDEFFALTCPVCDTPTADLRHGREFEVAYIDVE</t>
  </si>
  <si>
    <t>GC_00003555</t>
  </si>
  <si>
    <t>MPQPPTTPALSLNNINISIAGKEICHDINLTINPGECHILIGPNGSGKSTLLCAIMGIKPFTITSGTILLNGVDITTYGITDRARAGLGLAFQRPIGLEGVSVRRLAHALGATHRLETAAHRLGVDYLIDRDVNTGFSGGELKRWEVAKLELQDPQVCLFDEPESGVDLQQVGVVSTAINHLMSTPTASGKHRAALAITHTGFLLDGVDATTGHLMVDGRIIETANPRDLFERIRRTGYVPTA</t>
  </si>
  <si>
    <t>MPQPPTTPALSLNNINISIAGKEICHDINLTINPGECHILIGPNGSGKSTLLCAIMGIKPFTITSGTILLNGVDITTYGITDRARAGLGLAFQRPIGLEGVSVRRLAHALGATHRLETAAHRLGVDYLIDRDVNTGFSGGELKRWEVAKLELQDPQVCLFDEPESGVDLQQVGVVSTAINHLMSTPTASGKHRAALAITHTGFLLDGVDATAGHLMVDGRIIETANPRDLFERIRRTGYVPTA</t>
  </si>
  <si>
    <t>GC_00003556</t>
  </si>
  <si>
    <t>MINFAVAATSDTGSQATTNTSRFRTIAGIRLERNAVLLGAILVAIVFAAMIGALSLGDYPMTAWETIANLFGFSDDYLGQFFVQSQRLPRVMATIAVGAALGVSGCIFQQLSGNTLGSPDIIGFTTGSATGAVVTIIVLDGSPIATAVGALLGGAGSALAVYALTLSNGKLSAARLVLVGIGMASILSAVNALLMVKASINAAQTAAQWLAGSFNATTWGEVGFALSAILVLVPAALLLARPLSVMITGDDLAIGLGVDVERRRRELMIVGVALTAISVAVAGPIAFVALAAPQLARRISRASGIGMGNAALMGAALVAVSDIIAQRIFAPTQLPVGVVTGLLGGVYLVWLLGRQWRK</t>
  </si>
  <si>
    <t>MTNFAVATTSDTGLQATTNTSRFRTIAGIRLERNTVLLGAILVAIVFVAMIGALSLGDYPMTAWETIANLFGFSDDYLGQFFVQSQRLPRVMATIAVGAALGVSGCIFQQLSGNTLGSPDIIGFTTGSATGAVVTIIVLDGSPIATAVGALLGGAGSALAVYALTLSNGKLSAARLVLVGIGMASILSAVNALLMVKASINAAQTAAQWLAGSFNATTWGEVGFALSAILVLVPAALLLARPLSVMITGDDLAIGLGVDVERRRRELMVVGVALTAISVAVAGPIAFVALAAPQLARRISRAPGIGMGNAALMGAALVAVSDIIAQRIFAPTQLPVGVVTGLLGGVYLVWLLGRQWRK</t>
  </si>
  <si>
    <t>GC_00003557</t>
  </si>
  <si>
    <t>MSDCKQWYVALRIARRSMPALANPRTAVVTLVAAPLLEVVLLLVIALRLRVPETIIVTDASLVVTTITTMTGGITAAVVRDRAQGILAHIMATAPLHLRYWVSKFVPLAGIVTATNLIVATTVLVADPHHDLQLYALTLAGVSTAAVTSLGVSMVCAAGTIMLHDPFQLANIVTVVVPLSAGVLLPHAAYPAGIRELCEVLPGTWLVAALRENAPALMLVECGVSALWLVLGLALLMVAGQLRYRSGHTELL</t>
  </si>
  <si>
    <t>MSDCKQWYVALRIARQSMPALANPRTAVVTLVAAPLLEVVLLLVIALRLRVPETIIVTDASLVVTTITTMTGGITTAVVRDRAQGILAHIMATAPLHLRYWVSKFVPLAGIVTATNLIVTTMVLVADPHHDLQLYALTLAGISTAAVTSVGVGMVCAAGTIVLHDPFRLANIVTAVVPLSAGVLLPHATYPAGIREVCEVLPGTWLVAALRENAPALMLVECGVSALWLVLGLALLMVAGQLRYRSGRTDLL</t>
  </si>
  <si>
    <t>GC_00003558</t>
  </si>
  <si>
    <t>MTPTPDVPATSNPDPTDLTLSEEHRKELIGWAARCVARLLPIFHQHRPADQRLDEALAAVEKFQDNTFSVGQMRTLAFGCHAAARDCTNAQAKAVARACGQAIAIAHMGGHARNLARYTRQALADPSEELAWQREQLPSHLQDYVYRT</t>
  </si>
  <si>
    <t>GC_00003559</t>
  </si>
  <si>
    <t>PF13410.11</t>
  </si>
  <si>
    <t>Glutathione S-transferase, C-terminal domain</t>
  </si>
  <si>
    <t>K07393</t>
  </si>
  <si>
    <t>glutathionyl-hydroquinone reductase [EC:1.8.5.7]</t>
  </si>
  <si>
    <t>COG0435</t>
  </si>
  <si>
    <t>Glutathionyl-hydroquinone reductase (ECM4) (PDB:6GCA)</t>
  </si>
  <si>
    <t>KEGG Orthology (KO)&gt;&gt;&gt;09190 Not Included in Pathway or Brite&gt;&gt;&gt;09191 Unclassified: metabolism&gt;&gt;&gt;99980 Enzymes with EC numbers|Enzymes&gt;&gt;&gt;1. Oxidoreductases&gt;&gt;&gt;1.8  Acting on a sulfur group of donors&gt;&gt;&gt;1.8.5  With a quinone or similar compound as acceptor&gt;&gt;&gt;1.8.5.7  glutathionyl-hydroquinone reductase</t>
  </si>
  <si>
    <t>MTLISQDQGKYVATGGEFIRDTTYISDRIVASAHPGIPTAQLDGTFHWPVEPNRYRLIAARACPWAHRTVIVRSLLGLDKVISLGLAAPTHDVRSWNFDLDPDGVDPVLGISRLQDAYFKRFPNYPRGITVPAIVDVPTGTVVTNDYASMTLDFSTEWHQYHKPDAPDLYPEDLRPEIDELNAVMFTTINNGVYRCGFSGSQDAYNNAFDQLFGALDTLEERLADNRYLMGDRITEADVRLFPTLVRFDAVYHNHFKCNRNRISDMPHLWGYLRDLYQTPGFGDTTDFQQIKEHYYIVHRDINPTGIVPKGPDTSQFASPHHREQLSRRGH</t>
  </si>
  <si>
    <t>MTLISQDQGKYVATDGEFIRDTTYISDRIVASAHPGIPTAQLDGTFHWPVEPNRYRLIAARACPWAHRTVIVRSLLGLDKVISLGLAAPTHDVRSWNFDLDPAGVDPVLGISRLQDAYFKRFPNYPRGITVPTIVDVPTGTVVTNDYASMTLDFSTEWHQYHKPDAPDLYPEDLRPEIDELNAMMFTTINNGVYRCGFSGSQDAYNNAFDQLFGALDTLEERLADNRYLMGDRITEADVRLFPTLVRFDAVYHNHFKCNRNRISDMPHLWGYLRDLYQTPGFGDTTDFQQIKEHYYIVHRDINPTGIVPKGPDTSQFASPHHRERLSRRGH</t>
  </si>
  <si>
    <t>GC_00003560</t>
  </si>
  <si>
    <t>PF09617.15</t>
  </si>
  <si>
    <t>CRISPR-associated protein GSU0053 (Cas_GSU0053)</t>
  </si>
  <si>
    <t>K19131</t>
  </si>
  <si>
    <t>CRISPR-associated protein Csb1</t>
  </si>
  <si>
    <t>COG5945</t>
  </si>
  <si>
    <t>CRISPR-Cas system type I-G effector complex subunit Csb1, RAMP superfamily Cas7 group (Csb1gr7)</t>
  </si>
  <si>
    <t>MTIMIFEDLLKACTSGGASTLVSVTELEPAAGAHASVAPAKFVDGRSSVFAFETRFIDGLAARAVLLDSKQSQLNRAEGAIMQDIRAEHPLLGKIPRILVTYSDGQEFSDMELPHRFADGHVRAGTIDGEPTTANEAYRAVRNATPADMSAILNTAPAAAVFGGWDSTRKKNQVRLRSALVGEIIGVLADQDSSGQDQQSRRGGARVDTVAMSVQLDPKEMEKLIDAQEAELSDKLIDKLRGEIKKAKKDKKLSASPLGLGGIPPKLDALGGVACGKIIRSWVLSFASLRQLRFGGNEEANVAGRALLAAFGLVAIARAERELYLRANCDLVEAGAPVVTLDERYGNKRILDPITVELADQLLEQAINHARSTGVADWNGQILHVDGNQVILQGASDESESED</t>
  </si>
  <si>
    <t>MTIMIFDDLLKACTSGGASTLVSVTELEPAAGAHASVAPAKFVDGRSSVFAFETRFIDGLAARAVLLDSKQSQLNRAEDAIMQDIRAEHPLLGKIPRILVTYSDGQEFSDMELPHRFADGHVRAGTIDGEPTTANEAYRAVRNATPADMSAILNTAPAAAVFGGWDSTRKKNQVRLRSALVGEIIGVLADQDSNGQDQQSRRGGARVDTVAMSVQLDPKEMEKLIDAQEAELSDKLIDKLRGEIKKAKKDKKLSASPLGLGGIPPQLDALGGVACGKIIRSWVLSFASLRQLRFGGNEEANVAGRALLAAFGLVAIARAERELYLRANCDLVEAGAPVVTLDERYGNKRILDPITVELADQLLEQAINHARSTGVADWNGQILHVDGNQVILQGASDESESED</t>
  </si>
  <si>
    <t>GC_00003561</t>
  </si>
  <si>
    <t>MAISRSKSPFRVVSVVAAVVILGAGSFLLVSQRDGGDDFYVNPVASKAEKPQGISVGYRSAVLVGDQDNTVSMSVEDLDPAAVHAAKEYLGEGIFTTPMEVSTQSPLTGKVKMTRTYPEPLPAEASASFVYYDEKTHHWKPVNSILSSDRRVLTTEVDHLSLWSDFVTAPTQVLESITSSWEADDISVKGIGDFAVSADNTLEETNYTAAIPPTSNAAPSQLATPSTVPDQRSSESASPTPGAVPSEKRSDAPSEVQKPQKQSTVTVTEFEYFRPIDYNGQMKPGFAGTHTNSTGGGAINANSCVDSPYSDKEGIMQCGSNADNFPVCYQGPATQETPSVYCSRDPKDTTMIVLPYTGEFRQFAQEPTRPWRIDLEDGKSCVAISGGARGNSPDGPVATYRCDNGTATGAGSMFVIASQAEPFDNGIDVRGDVWFAQIGDMGTNDTPTTSPTPVGVKRVYYASYAQ</t>
  </si>
  <si>
    <t>MAISRSKSPFRVVSVVAAVVILGAGSFLLVSQRDGGDDFYVNPVASKAEKPQGISVGYRSAVLVGDQDNTVSMSVEDLDPAAVHAAKEYLGEGIFTTPMEVSTQSPLTGKVKMTRTYPEPLPAEASASFVYYDEKTHHWKPVNSILSSDRRVLTTEVDHLSLWSDFVTAPTQVLESITSSWEADDISVKGIGDFAVSADNTLEETNYTAAIPPTSNAAPSQLATPSTVPDQRSSESASPTPGAVPSEKRSDAPSEVQKPQKQSTVTVTEFEYFRPIDYNGQMKPGFAGTHTNSTGGGAINANSCVDSPYSDKEGIMQCGSNADNFPVCYQGPATQETPSVYCSRDPKDTTMIVLPYTGEFRQFAQEPTRPWRIDLEDGKSCVAISGGARGNSPDGPVATYRCDNGAATGAGSMFVIASQAEPFDNGIDARGDVWFAQIGDMGTNDTPTTSPTPVGVKRVYYASYAQ</t>
  </si>
  <si>
    <t>GC_00003562</t>
  </si>
  <si>
    <t>PF25135.1</t>
  </si>
  <si>
    <t>Domain of unknown function (DUF7822)</t>
  </si>
  <si>
    <t>MGLLHQLGGVRQLVLVGKRNGDGAAEAETLVAGVAVQGHIGGHGGLVVSDVNTRVLHDELKRTVEAGRPGGGKQQLGVGGTTCTTEFLRRANIKGEVASFGFDAAVAAPTGGGDGCGVQGFCHGQCPFICETVHTIVDHDVPAVSASQGSMHTVPILLPPMEQAMSNTVELYAVTPTGDKLEHRCIAVNPYEIPLLFQLLCSHNPQLVPSRTFKDEDALAIIGDYAEGKQKVLAFLDRCMELNNQHSLVETEELENMIQQVTTVITQPTLEGCTHVLLESVDVAQMLTGNLKQQLGRDHAEVTRVDAAAEERLIRIFTESSKQAPTDEEDDFFFPDFDAMSDEEYAAYLHNDIEKTELTSTPQENLHRLGFAAFGEFGDYYNFTQ</t>
  </si>
  <si>
    <t>GC_00003563</t>
  </si>
  <si>
    <t>MVAVQESLQGVEGIRMWEIVIACMVKTMKWVVSRQVILFLGFLLVVVMLFVASLLAEDHMQEKQQAVVAGTTIVPESISPETDRAVGRAIEKYEAVLDAQWTDRDCTLSSCPHSSRAIPGVPTGRGLFTTHERNNIEERGNLLAYPSSSRIQVRSDIELYSVKVKNNDELEAIVYVTIIKTSEDNEKNSNSSDIHIMTLAPSSLNNGEYVVMEDIIDSSNMQVPHIQPLYTNG</t>
  </si>
  <si>
    <t>GC_00003564</t>
  </si>
  <si>
    <t>PF04480.18</t>
  </si>
  <si>
    <t>Protein of unknown function (DUF559)</t>
  </si>
  <si>
    <t>MMLQLVRRPYRLTKEFERAHIQLTRTWWTPLLEYQQARSFEQFALHIRAVNRSIKTAVIVGFAAAYIHGIPTLNKEKCLVVCLNLPGDRHPPSSRQCTEIMHYRDAALPESDITEVSGKRVTTIERTFVDFCVMYDELESLAFVEAAMRNGNSHGQFQEYLHEHAGQRGVAKAQRILDRAYDIIDSVQETSMRYQMEAQFPTHKISPQVMIGNYRVDHLVDDYIIVELDGRVKYTEEFAWENGTTVTEIFRKQVSRERYLLSLGYHVLRFYPDELDDLLIPTIRRILAQNPHRISPNEHYDPHSDGPPPWTSRWAS</t>
  </si>
  <si>
    <t>MMLQLVRRPYRLTKEFERAHIQLTRTWWTPLLEYQQARSFEQFALHIRAVNRSIKTAVIVGFAAAYIHGIPTLNKEKCLVVCLNLPGDRHPPSSRQCTEIMHYRDAALPESDITEVSGKRVTTIERTFVDFCVMYDELESLAFVEAAMRNGNSHEQFQEYLHEHAGQRGVAKAQRILDRAYDIIDSVQETGMRYQMEAQFPTHKISPQVMIGNYRVDHLMDDYIIVELDGRVKYTEEFAWENGTTVTEIFRKQVSRERYLLSLGYHVLRFYPDELDDLLIPTIRRILAQNPHRISPNEHYDPHSDGPPPWTSRWAS</t>
  </si>
  <si>
    <t>GC_00003565</t>
  </si>
  <si>
    <t>MTNNDILPLKRSKQVWIFASVVMFIMVISTITTCVYEDYRYEKQQAFIGPTLPQESAGTSVDMAVGTAITTYLQTLDAEWSDQDCSLKHCPNSSKSLPGVPQERAMFTKYERSNVELRGKIISDTTGVPVSSFSLYSTKREQNGAITAIVNIMVVKCYSSKQPDSYSSATDTHKITLSPSTTQPDDYVVMEDQILDPVRFPLTASPRSLYKYNPDREPQCPTAI</t>
  </si>
  <si>
    <t>MKN-----LRLSKQMLISIGLITMIMMIAFISTYIYEDYRYEKQQALIGPTLPQESAGTSVDESVGTAITTYLQTLDAEWSDQDCSLKHCPNSSKSLPGVPQERAMFTKYERSNVELRGKIISDTTGVPVSSFSLYSTKQEQNGAITAIVNIMIMKCYSSKQPDSYSNATDTHKITLSPSTTHPDDYVVMEDQILDPIKFPLANSSRSLYTYDPDREPQCPTAI</t>
  </si>
  <si>
    <t>GC_00003566</t>
  </si>
  <si>
    <t>K00851</t>
  </si>
  <si>
    <t>gluconokinase [EC:2.7.1.12]</t>
  </si>
  <si>
    <t>COG3265</t>
  </si>
  <si>
    <t>Gluconate kinase (GntK) (PDB:1KO4)</t>
  </si>
  <si>
    <t>KEGG Orthology (KO)&gt;&gt;&gt;09100 Metabolism&gt;&gt;&gt;09101 Carbohydrate metabolism&gt;&gt;&gt;00030 Pentose phosphate pathway [PATH:ko00030]|Enzymes&gt;&gt;&gt;2. Transferases&gt;&gt;&gt;2.7  Transferring phosphorus-containing groups&gt;&gt;&gt;2.7.1  Phosphotransferases with an alcohol group as acceptor&gt;&gt;&gt;2.7.1.12  gluconokinase</t>
  </si>
  <si>
    <t>MKPVHYVVMGVSGSGKSAVAARLGAHLDLAAVDADDLHPETNITKMAACVPLTDADRVPWLESLARWMDAAGSSVVACSALKRSYRDILRRAQGDVVFIHLVAPRALIASRMEARIGHFMPPLLLDSQLDALEPLEADERGIVVENTAVIQHVVDAVLAWIGKNPAYADKPG</t>
  </si>
  <si>
    <t>MKPVHYVVMGVSGSGKSAVAARLGAHLDLAAVDADDLHPETNITKMAACVPLTDADRVPWLESLVRWMDAAGSSVVACSALKRSYRDILRRAQGDVVFIHLVAPRALIASRMEARIGHFMPPLLLDSQLNALEPLEADEWGIVVENTAAIQHVVDAILAWIGKNPAYADKPG</t>
  </si>
  <si>
    <t>GC_00003567</t>
  </si>
  <si>
    <t>K00216</t>
  </si>
  <si>
    <t>2,3-dihydro-2,3-dihydroxybenzoate dehydrogenase [EC:1.3.1.28]</t>
  </si>
  <si>
    <t>KEGG Orthology (KO)&gt;&gt;&gt;09100 Metabolism&gt;&gt;&gt;09109 Metabolism of terpenoids and polyketides&gt;&gt;&gt;01053 Biosynthesis of siderophore group nonribosomal peptides [PATH:ko01053]|Enzymes&gt;&gt;&gt;1. Oxidoreductases&gt;&gt;&gt;1.3  Acting on the CH-CH group of donors&gt;&gt;&gt;1.3.1  With NAD+ or NADP+ as acceptor&gt;&gt;&gt;1.3.1.28  2,3-dihydro-2,3-dihydroxybenzoate dehydrogenase</t>
  </si>
  <si>
    <t>MTNRHITMKNPPQHIIITGATGGIGAACTKLFRSHDHVVSTWDIPEVDVTDIHQVTEQFRQDVDKHGPVAALVHCAGVMEPDSATNPQNTRNMTINYGGVVNVCSVVAKHMQEQRAGAIVVVSSNAATTPRVGMASYGASKAAVTAWVRTLALESAQFGVRCNVVSPGSTDTPMLRGMWQPDTDQSEQVIAGTPQEYRLGIPLQKLAQPADIAEACAFLISPAAGHITMHDLRVDGGATLDS</t>
  </si>
  <si>
    <t>GC_00003568</t>
  </si>
  <si>
    <t>MNLLLDALAWLTDTAHWSGTSGIPTRMAQHMVITLMAVLCASCVAIPLGIAIGHSKRGSGIVVGLTGAARAIPTLGLLTLFGLAFGIGVKAPLLALIVLAIPSLLAGTYAGIQAVDSVTVDAAQAIGMSPGQVIRGVELPLALPVIIGGIRAATLQVVSTTTLAAYTSDYGLGRYLFIGLKTRDYAVLLGGAILVIALALLFEACLAAVQRAATRAVTHVK</t>
  </si>
  <si>
    <t>MNLLLDALAWLTDAAHWSGTSGIPTRMAQHVVITLMAVLCASCVAIPLGIAIGHSKRGSGIVVGLTGAARAIPTLGLLTLFGLAFGIGVKAPLLALIVLAIPSLLAGTYAGIQAVDSVTVDAAQAIGMSTGQVIRGVELPLALPVIIGGIRAATLQVVSTTTLAAYTSDYGLGRYLFIGLKTRDYAVLLGGAILVIVLALLFEACLAAVQRAATRAVTHVK</t>
  </si>
  <si>
    <t>GC_00003569</t>
  </si>
  <si>
    <t>MRTAIIVMDVQESFRQLPVWAEVSNPEIVRDVDTLVQQARAEGHAVVWVMHAAPGSGTAFDPELGHVRLMEGLTPDPGEPTFVKTTRNAFTSTELARYLTQEHITHLVIVGIQTEQCCETTARLAADMGYDVTFVTDATATFPIVRPDTGEVLPAHEVIERTEYALAGRFAHIESKDAVSWRR</t>
  </si>
  <si>
    <t>GC_00003570</t>
  </si>
  <si>
    <t>MSQRKIAILSICAAWFAVLCVILLGFIIGKHLVVLIIFSAISAFFVTLTWTIRLRDSSVS</t>
  </si>
  <si>
    <t>MSQRKIAILSICAAWFAVLCVILLGFIIGKHLVVLIIFSAINAFFVTLTWAIRLRNSSVH</t>
  </si>
  <si>
    <t>GC_00003571</t>
  </si>
  <si>
    <t>MSDTSTATASTTLRDMWATRPVRLPSDQGGKGKIAGVCEGIGVRYNIDPIIVRVLFVIGVLFANSTGIALYLLAWAFMPRYSLPISPAEALFGNKNNNPQLRKERNLGIALLIGFLIFSGGSGGTFTTIFIAPAFIAYLVFFGAWYFLHTQHPTPPAGLLIEKDTEMDVNRPEDLKTYLSTLQPVEGFTAPYSPSTPPAWDPLGVAPFAWDLPEPTPVVQEKPKKKKRNPFVVIIAGIVAVCSLGTVGIIIAAGMSEGDGGSRSGVGDQHYVATRATDLQDHYSAGVGSFNLNLQRLEPLPEDKKITIDTGVGDTDVYLPSTMPVTLTCTNGIGDTNCIAGTYNNKAQGKTLTIDLKSGVGTTTIHYPEEQKPAGN</t>
  </si>
  <si>
    <t>MSDTSTATASTTLRDMWATRPVRLPSDQGGKGKIAGVCEGIGVRYNIDPIIVRVLFVIGVLFANSTGIALYLLAWAFMPRYSLPISPAEALFGNKNNNPQLRKERNLGIALLIGFLIFSGGSGGTFTTIFIAPVFIAYLVFFGAWYFLHTQHPTPPAGLLIEKDTEMDVNRPEDLKAYLSTLQPVDGFTAPYSPSTPPAWDPLGVAPFAWDLPEPTPVVQEKPKKKKRNPFVVIIAGIVAVCSLGTVGIIIAAGMSEGDGGSRSGVGDQHYVATRATDLQDHYSAGVGSFNLNLQRLEPLPEDKKITIDTGVGDTDVYLPSTMPVTLTCTNGIGDTNCIAGTYNNKAQGKTLTIDLKSGVGTTTIHYPEEQKPAGN</t>
  </si>
  <si>
    <t>GC_00003572</t>
  </si>
  <si>
    <t>MSVAPFTQPRKGAEFLHKAHQLLATAITYRNQQRHDLALEYAYQAGLRTAAARIAASPVAHKVRKPTSAWAQLRLVDADAAGWADALEQYSRLRSRVGSGIEATVSVETVDTMVDLVSKFLNSVEFDNDDTPAAA</t>
  </si>
  <si>
    <t>MSVAPFTQPRKGAEFLHKAHQLLATAITYRNQQRHDLALEYAYQAGLRTAAARIAASPVAHRVRKPTSAWAQLRLVGADAAGWADALEQYSRLRSRVGSGIEATVSVETVDTMVDLVSKFLNSVEFDNDDTPAAA</t>
  </si>
  <si>
    <t>GC_00003573</t>
  </si>
  <si>
    <t>MTTSIQTSLDLGTVLPRLERNDHNAAGMLLQQPPSISLSPQLVARFYSNGTQVTHEQLDEVGVGVLHLWDHAAENLVEQCGDGTTIKLKMRNAGVLVGLDVVGCQVSLGVDKHGKQVEPTTLVTHPHTFDALDRHMRGLLRAEPTYYAPTPQVLLAVHPRTDVAALQVWLAATEVTLTTTPFTCLYGYPRPVRLQ</t>
  </si>
  <si>
    <t>GC_00003574</t>
  </si>
  <si>
    <t>K11414</t>
  </si>
  <si>
    <t>NAD-dependent protein deacetylase/lipoamidase sirtuin 4 [EC:2.3.1.286 2.3.1.313]</t>
  </si>
  <si>
    <t>ko00001|ko01000|ko01000|ko03036</t>
  </si>
  <si>
    <t>KEGG Orthology (KO)&gt;&gt;&gt;09100 Metabolism&gt;&gt;&gt;09108 Metabolism of cofactors and vitamins&gt;&gt;&gt;00760 Nicotinate and nicotinamide metabolism [PATH:ko00760]|Enzymes&gt;&gt;&gt;2. Transferases&gt;&gt;&gt;2.3  Acyltransferases&gt;&gt;&gt;2.3.1  Transferring groups other than aminoacyl groups&gt;&gt;&gt;2.3.1.286  protein acetyllysine N-acetyltransferase|Enzymes&gt;&gt;&gt;2. Transferases&gt;&gt;&gt;2.3  Acyltransferases&gt;&gt;&gt;2.3.1  Transferring groups other than aminoacyl groups&gt;&gt;&gt;2.3.1.313  NAD-dependent lipoamidase|Chromosome and associated proteins&gt;&gt;&gt;Eukaryotic type&gt;&gt;&gt;Histone modification proteins&gt;&gt;&gt;HDACs (histone deacetylases)&gt;&gt;&gt;SIRTs (sirtuins, class III HDACs)</t>
  </si>
  <si>
    <t>MIYSVFDAHESALRSIRRVVTETAPPTPTPVAAAAVVKQLQAGNVLVVTGAGVSTDSGIPDYRGPGGSLRHHRPMTYQEFRGDDHARRRYWARSYLGWRHLAGAQPNYVHRCLSTLEAAGHLTGIVTQNVDGLHQAAGSRTVIPLHGDLATVICLSCGAREDRREYDARMTIANPGFAETITLDPATINPDGDVQLADSAIDGFHVVGCARCGSALMKPDVVYFGEPVPRPRKQQVADLIGQSDSVLVVGSSLAVMSGMRIILDAKKQHKQVSVINGGPGRADDRVDVLWRTDLATAFRQIMPQLV</t>
  </si>
  <si>
    <t>MIYSVLDAHESALRSIRRVVTETAPPTPTPVAAAALVKQLQAGNVLVVTGAGVSTDSGIPDYRGPGGSLRHHRPMTYQEFRGDDHARRRYWARSYLGWRHLAGAQPNYVHRCLSTLEATGHLTGIVTQNVDGLHQAAGSRTVIPLHGDLATVICLSCGAREDRREYDARMTIANPGFAEAITLDPATINPDGDVQLADSAIDGFHVVGCARCGSALMKPDVVYFGEPVPRPRKQQVANLIDQSDSVLVVGSSLAVMSGMRIILDAKKQHKQVSVMNGGPGRADDRVDVLWRTDLATAFRQIMPQLV</t>
  </si>
  <si>
    <t>GC_00003575</t>
  </si>
  <si>
    <t>MVMMDYQEFVDQFRQETARQMAEFERSLAMVTDEIQAQQRVSRPKPEVGTSKSGAVRRHRGRVKGILRR</t>
  </si>
  <si>
    <t>MVMMDYQEFVDQFRQETARQMAEFERSLAMVTDEIQAQQRVSLPKPEVGTSKSGAVRRHRGRVKGILRR</t>
  </si>
  <si>
    <t>GC_00003576</t>
  </si>
  <si>
    <t>MPPRIDAVRYPAAVRELTACIGGPRGRFAVIRARSWWSPPQMIFTTTLVFLACGFLTKAQCIQGVAGNGGVVQLNWSGHRQFVSACYTDIVPLYAGDGGLSHYLNMPALSALLLWGLSALTHSFYPAVSHLPGPLLPESGLFFILTAALLATMWVACVRLVMDIVAGMVGDGRREQVWVAGVMMAASPLVAVHAFTNVDTPAIAASIGMMWALQHRRLRLAGVLLGVGVALKLWPIILLFPLLILGLRCRERLHDFVVVASSMIVTWTVVNLPFIVMMPQDWLRFYELISTRTAEWTSIYAVIGRMQWLSGWDGYSSPLVLNIVSIALFLGGCLLLGKHVVSAESMPSIESLNFLVMGSFLLVNKVWSPQYSLWLLPCLVLAYAAIPRPPWRLVWVYGIVEVVLWLIAMWHMLGEDNLGVPHEMLDVVVVIRWFLVGVMMVTYPNGQTRGVRGEERATVSHV</t>
  </si>
  <si>
    <t>MPPRIDAVRYPAAVRELTVCIGGPRGRFAVIRARSWWSPPQMIFTTTLVFLACGFLTKAQCIQGVAGNGGVVQLNWSGHRQFVSACYTDIVPLYAGDGGLSHYLNMPALSALLLWGLSALTHSFYPAVSHLPGPLLPESGLFFILTAALLATMWVACVRLVMDIVAGMVGDGRREQVWVAGVMMAASPLVAVHAFTNVDTPAIAASIGMMWALQHRRLRLAGVLLGVGVALKLWPIILLFPLLILGLRCRERLHDFVVVAFSMIVTWTVVNLPFIVMMPQDWLRFYELISTRTAEWTSIYAVIGRMQWLSGWDGYSSPLVLNIVSIALFLGGCLLLGKHVVSAESMPSIESLNFLAMGSFLLVNKVWSPQYSLWLLPCLVLAYAAIPRPPWRLVWVYGIVEVVLWLIAMWHMLGEDNLGVPHEMLDVVVVIRWFLVGVMMVTYPNGQTRGVRGEERATVSHV</t>
  </si>
  <si>
    <t>GC_00003577</t>
  </si>
  <si>
    <t>MTQELQEAPQESQQPREPQPESSQSKKKSKKGGRVQRGQRMGIPLRVALLFVTVIVAGVGLLASAVAIQQAMYEVAFSRVDEDLEWGLKGWARNEQLYQYDDRYVSVLPSDFFVYRLYKEGEYRVQNGYKEVSLPAMREIQFDGKAHTVKSQDGQTDWRVLAGTYEDSIIVIGKQVRNEQILLNKLVAGQIRIGIAVLFLIGVLGYFVIRRTLGPLRKVEETAKAIANGDLDRRAPVLPENTEVGALSHSMNVMLEQLQASIVELQSKETQMRRFLGDASHELRTPLTSVKGYAELYRSGATTDATMVMKKIEEEAARMSLLVEDLLSLTRSEEARFDEAPVDMLALGLSVVGSLRAAYPERSIEVDAKATDMPMVMGDTARLHQVLTNLIVNSLKHGGEEAKARLSIDTDDNHVILEVSDDGVGVQEADLPHIFERFYRADTSRTRATGGSGLGLAIVKTIVEAHQGAISVESTVGEGTSFRIVLPKLAS</t>
  </si>
  <si>
    <t>MTQELQETPQESQQPREPQPESSQSKKKAKKGGRAQRGQRMGIPLRVSLLFVTVIVAGVGLLASAVAIQQAMYEVAFSRVDEDLEWGLKGWARNEQLYQYDDRYVSVLPSDFFVYRLYKEGEYRVQNGYKEVSLPAMREIQFDGKAHTVKSQDGQTDWRVLAGTYEDSIIVIGKQVRNEQILLNKLVAGQIRIGIAVLFLIGVLGYFVIRRTLGPLRKVEETAKAIANGDLDRRAPVLPENTEVGALSHSMNVMLEQLQASIVELQSKETQMRRFLGDASHELRTPLTSVKGYAELYRSGATTDATMVMKKIEEEAARMSLLVEDLLSLTRSEEARFDEAPVDMLALGLSVVGSLRAAYPERSIEVDAKATDMPMVMGDTARLHQVLTNLIVNSLKHGGEEAKARLSIDTDDNHVILEVSDDGVGVQEADLPHIFERFYRADTSRTRATGGSGLGLAIVKTIVEAHQGAISVESTVGEGTSFRIVLPKLAS</t>
  </si>
  <si>
    <t>GC_00003578</t>
  </si>
  <si>
    <t>PF16259.10</t>
  </si>
  <si>
    <t>Domain of unknown function (DUF4913)</t>
  </si>
  <si>
    <t>MKNIEETIFESLKNDLLDHVNKEIIGQTRQICEELTGEPPFLDALYELVDAAEESIRAELYPKPVKPVKPSKPAPKKSPRFASMFQFAEEFLLPTYGTTKSQSMRVAWSPEWWSHPEALTRIEALWKRFEQLRLKDPETYVETFLRTHCDYHMKRLMDPNGVFSQCVKGDYPTVPLRSKPRESDSK</t>
  </si>
  <si>
    <t>GC_00003579</t>
  </si>
  <si>
    <t>MGGMTKHNEHQEHEHLEQLIDKVKTTLDSHVQQAGPHDHEVLKQQLQDINAAFDEHVKHHHAGDDDQSHADHVAIETKLKNVLDKFEEHVKHDVEAGHDQLKSQLDELVTKFKAHTKHS</t>
  </si>
  <si>
    <t>MGGMTEHNEHQEHEHLEQLIDKVKTTLDSHVQQTGPHDHEVLKQQLQDVNAAFDEHVKHHHAGDDDQSHADHVAIETKLKNVLDKFEEHVKHDVEAGHDQLKSQLDELVTKFKAHTKHS</t>
  </si>
  <si>
    <t>GC_00003580</t>
  </si>
  <si>
    <t>MNNFTFDVDIEHNKKNNELFKDTKRLQTSAGVYGLLQLILAAAALWWSNQAIWGWILAIVLGIMAIISFAMINIIPKKVGTPENIYRQYPLVPAIIAQVNPRDLVLLALVNKNIDPDLSPQWALAARNITRINGHERVEGEEVPSVGVSGRRSLNTKDQWDEITPMPIAWATPSSKVIADAHAAIPQEQWELLKQNKGRLDEVFSSPHNLIDL</t>
  </si>
  <si>
    <t>MNNFTFDVNIEHNKKNNELFKDTKRLQTSAGVYGLLQLILAAAALWWSNQAIWGWILAIVLGIMAIISFAMINIIPKKVGTPENIYRQYPLVPAIIAQVNPRDLVLLALVNKNIDPDLSPQWALAARNITRINGHERVEGEEVPSVGVSGRRSLNTKDQWDEITPMPIAWATPSSKVIADAHAAIPQEQWELLKQNKGRLDEVFSSPHNLIDL</t>
  </si>
  <si>
    <t>GC_00003581</t>
  </si>
  <si>
    <t>MSDFLAQWDEFYSTVDDVAVSLRLYPISGDEEEVQVGMPLFKEITQPAGMFSAPALFGLADVAGTWLAMQQVPKGVFPLAVGSNINVVSNTRQGDAVAKAHVVRAGKMVIVTDTEIFSKETGAILAKVVTTYTVPPLKK</t>
  </si>
  <si>
    <t>GC_00003582</t>
  </si>
  <si>
    <t>MAGKINLNDYEPVEERLIRFREKYPHYRIQTELVEHMGNIGATRWVMKATIWKHKDDEKPAATGWAFEVDGKGMTQATAALETCETSAIGRALANLGYVGNKRVTRSEMRKVKVKELDDRIKNAQNPDELREIWNDAQQNNVLDNVREQLMNRNKQLQQPVEENGNAAA</t>
  </si>
  <si>
    <t>GC_00003583</t>
  </si>
  <si>
    <t>MSGGFACALEVLLIDLGVGVDVTQLGCGDGEDGLVTIGAGCTSNLGDQLGYGVTAAGNVCGPARVYVGLLLNISAFTHVLIVADAGTNCNDFTPTVG</t>
  </si>
  <si>
    <t>GC_00003584</t>
  </si>
  <si>
    <t>MFMRIIPQASYRRGAMVVSLALVLLFMLPFTLNLTGDMSEHLLKYHIDIDVYREGARSLLAGENIYTRDFQVGGIMLPFTYPPLAAMLFTPLVLLPVNIGSVILNGLTLLALWWCMVVVLGAATRLPLSDCRLLALMVLPVAIVCDPVRETLGFAQVNVLLMALVIADTLRPRSRVPRGLFIGLAAAIKLTPAVFGLFFLLKRDWRSAIQTAVFGVGFTALAWLIRPDVSKEYWFNTLRDPSRIGGLAYSTNQSFRGLFARLFPGDEDLQQTLWKVAVVLTICAASFGMVRLLRAGNAVGALLVNSFVAALCSPVSWTHHWTWLIPLVLLLVVSAFQPGSERVRGLAGGFAVIIFSTMIVVPFFVLPHANDREIYWPLSSQFIGSAYVFIAIALVIVACTCPTVFGRGADVPARPELFFTNDVASRVASRAFAVCTWLLVVCLLRLVLIKSDSADSSFTLAYQTWFQQFLGASQRVFAGLPVYGGYIEHDFVHYVYTVTPAGTFVLGVLALLGETAATVVWTAVSVASLVLAAYALQRGVINSSEPVINTSVGFITAMMLTLIPVLNAVNDGHIVLLVLAAAISDIYLLRTSRFGGIATGVVAAMAAWPAVLIIVLPTWASKMRAAMVAGFATIIALAIDPQLTRDWIRALALPMDNANTLIGAGAMVVFVLLAVLLRNNATLRPLVLLGLPMALFGGFAAWPALLTLWAPLAIVGVLMLVRFLIEASTTPAATEALTQPSDLIQ</t>
  </si>
  <si>
    <t>GC_00003585</t>
  </si>
  <si>
    <t>MLGVAGAAVDDGVDVVVLAGGGVSSRWIEHAVSPMKHRAVAATIVGTAGVGGNFMGLRVSIVANTLGPYGSLH</t>
  </si>
  <si>
    <t>GC_00003586</t>
  </si>
  <si>
    <t>MKTRKLIAIAAAVTTMLSVAACSSNGDKAADTTRSSTTAQSTTATQQDLPTAAELNEVLARVVDPAVPNEEKAQAIQGGEQAPELFDTMVRAKEESGAEFRVEDPVMEGYSPNSALALVTFTLPDRPEQNVKDVEFVYEDGTWKLSTKWACMLITNVVPPEQVPAMCTDGNDAAPAAPAEGMEAPAVGEAQQ</t>
  </si>
  <si>
    <t>GC_00003587</t>
  </si>
  <si>
    <t>MPAGQKFPWILDWRGLPGRAPGAAEVLSLVFCWRPPVCAGGVLAEKGKPSLAEVLSLGLSLFGTSRGSGELELQLSTRAAGVNVPMACAAKVLSLVSGLWPPVLNETKLRENATNNPGQRCTCSKHGLSLAGMSAPGDLGWQILKTMLRRYEALDGAVVLPLSKRVAHLLSMVFYAKAANPQELVAIEMGNQA</t>
  </si>
  <si>
    <t>GC_00003588</t>
  </si>
  <si>
    <t>MAFPQADTLAPIVEKIAEQHHLDVETLAVKPAGAKTRVLIAVDGDTRPDLDLLEIVSKQISEAFDAAEDRGELRFGNQEYALEVSTPGVDLPLTLARHWRRNQGRIAVVVVEGKKQRFRIGALNDAEDAVMAIETKGKTLTSSPRPLVEVSGATVDVEFKQPPAAELELAQAPFED</t>
  </si>
  <si>
    <t>GC_00003589</t>
  </si>
  <si>
    <t>MRSEEFTRLYPDIDPTTLPPARWGEAVSLAMAAAVVTYGFAAGQLYVCLIGAGLMILAVIGLSANGLRRIRNEARARFPREDWAEYSATRNLKVQWILPLGWLTVMAISAACLWYVPADYSTISAAICGVLAFLVILILPGVSPMWATTSGDEGLDEYSEPHTPTTLSATAGARASKSTINDVADTTVFEAWGEGK</t>
  </si>
  <si>
    <t>GC_00003590</t>
  </si>
  <si>
    <t>MSRTPAYRRPPPHDAPREVAVSAVLGRLLPEHTRSDQRTQPLDVDLLVQQNYPIVTQSHVSDVILNAALPA</t>
  </si>
  <si>
    <t>GC_00003591</t>
  </si>
  <si>
    <t>MTATASTPLNSPRESIFKGAYLPTTFGLLSAILTCAFEQTAVTAVMPQITAELGGTSAYSLTFVIPLAFGIVGMVAAGLVTDTRGVRTSMLLGAFIFGLGLVMTVVIPSMGWFVVARAIQGLGIGAVMVVVYAVIAQAYPSHLKPKVFAAFAAAWVVPSLVGPGIAGILTEAFSWHSVFLLALGVLIGAVTLLTKSLANVDTNTKADQAALKERIELEQAGAVATSEIRPARVRSTGKSLTAAALLTAAVVCLNLVSQLPVGWSLILFVAAIAAVLYCVRPLVPANTLRGQAGLPRLILSRGLLDMFFAVEIYLPLMLAQAYHLGPTLTGMGLTAGGLTWFFGSTAQSRMGSRFSTPAVIRIGIALMATGGLIVLAAAGIELNWIVAAAGWGLSAAGMGFVHPRLAAKPMELCSKEETGFIGSALQVAGTTGMTLMISTAGMIQVIGAQYFPNYKFTALFAAILLAAIPIALLWKPGTKEP</t>
  </si>
  <si>
    <t>GC_00003592</t>
  </si>
  <si>
    <t>MLLCHYHHKRNDDSRKRGWFMCTAPDGRIGCADPHGRFITNGETLADHSNAAKLHREALEQGLINAAEVKGWNRNTNGVLPKDINDGPRMGDWFDFPPYEPDVGNPPF</t>
  </si>
  <si>
    <t>GC_00003593</t>
  </si>
  <si>
    <t>MSRKDKDALRRKLLATRAVLGDDAASHTVDAATRCARRVAEGIVPQWCSRVGASTDPVVTLAAYAPDVGEPGWCMDESGAAKPGVFVQALRSAFWEAGVKVTVVLPRVLPGRLMAWHVYERMEDLAPGAFGLLEPLECLPTVDVTDIDIFVVPALACTATGERLGRGAGFYDRALGAAGVGTGVQTPARRSARPLVAALVHDHEVVDTVFAEPHDAPVDLVLTSGLGGNHMAAR</t>
  </si>
  <si>
    <t>GC_00003594</t>
  </si>
  <si>
    <t>MASQTCTQKEKDMSNNTPKPQASQANRNDAPKVGGVDKLNIPPTLEQLQMQLSAARTLIDAASDTLKQVLKGCFHERTRAEVKSVVPRIYSALILLERDLCVQSGDLEEMETLFQEASDAVCVGWGEKATVTKEGHSVPGDRFHELLDEMFENERRVSWVN</t>
  </si>
  <si>
    <t>GC_00003595</t>
  </si>
  <si>
    <t>MNNVTKQPNKDYSYLRHHGDIDAAQADARIDLSVNVVDNTPPQWLRDVIAEHIPHLHSYPSKQLYQRVKEGIATHHGIDARCVLPLAGVAEGFSFLPQLFSTAGLRTAVIPHPGFTEPEWVLRRARIPVSTQTLQPPFELEAPREQDADSAPGPRQLWVIGNPTNPTGQLHDLAPLAEQLADLDSTLVADEAFIDTLPPQLQTQHSLVHRAATTTNTIVFRSATKTYGLAGLRCGYAVAHPDLIEQLTHLRPHWPMGTLQLVALDAIYNPSSPTHEQAKQHREQIQRDVIVHKEHLIGALTPLGFDTIEGHAPYILTRTPWGPHTAENIRQQLAAQHISIRRCDTFPGLDASWWRLAVRNPATTDAFIDVLTQALNNAHTQP</t>
  </si>
  <si>
    <t>GC_00003596</t>
  </si>
  <si>
    <t>PF02086.21</t>
  </si>
  <si>
    <t>D12 class N6 adenine-specific DNA methyltransferase</t>
  </si>
  <si>
    <t>K06223</t>
  </si>
  <si>
    <t>DNA adenine methylase [EC:2.1.1.72]</t>
  </si>
  <si>
    <t>COG0338</t>
  </si>
  <si>
    <t>DNA-adenine methylase (Dam) (PDB:4GOL)</t>
  </si>
  <si>
    <t>ko00001|ko01000|ko03032|ko03400|ko02048</t>
  </si>
  <si>
    <t>KEGG Orthology (KO)&gt;&gt;&gt;09120 Genetic Information Processing&gt;&gt;&gt;09124 Replication and repair&gt;&gt;&gt;03430 Mismatch repair [PATH:ko03430]|Enzymes&gt;&gt;&gt;2. Transferases&gt;&gt;&gt;2.1  Transferring one-carbon groups&gt;&gt;&gt;2.1.1  Methyltransferases&gt;&gt;&gt;2.1.1.72  site-specific DNA-methyltransferase (adenine-specific)|DNA replication proteins&gt;&gt;&gt;Prokaryotic type&gt;&gt;&gt;DNA Replication Termination Factors&gt;&gt;&gt;DNA methylation enzymes|DNA repair and recombination proteins&gt;&gt;&gt;Prokaryotic type&gt;&gt;&gt;SSBR (single strand breaks repair)&gt;&gt;&gt;MMR (mismatch excision repair)&gt;&gt;&gt;Other MMR factors|Prokaryotic defense system&gt;&gt;&gt;Restriction and modification system (R-M system)&gt;&gt;&gt;Type II R-M system&gt;&gt;&gt;DNA methyltransferases</t>
  </si>
  <si>
    <t>MASEIIRFFPDNYATYFEPFLGSGAVLGTLAPRKAIASDILAPLMGIWELVRDDPETLIAAYAHYRDRIEQGEDKRSVYAEALQAYNAHPNSKDFIFLSRACYGGVIRFRRKDGAMSTPCGAHMPISTASFRGRVMAWHAAVSNVDFRTSDFRPIFAEVTAGDLVYCDPPYVDSQKILYGAQSFCLADLIEQINEAKNRGAYVALSIDGSKRSGLHTILHDFPEGLFETEVDITVGRSMLKRFQRNGESLADEVVKDRLLLTYTPALQSTLDF</t>
  </si>
  <si>
    <t>GC_00003597</t>
  </si>
  <si>
    <t>MSEGLIIDTVGKFYAKVYDDSIVWLEKVKHRFPDMEDFEGRDDSAFARMIVHFTLCMVADELQENEESNASPSLRYYIYDDGNEVKAIDSEISPVSAWLGDIVPGEGLLGLFANQPLPSTSIFDISNADAFSREDPQPRE</t>
  </si>
  <si>
    <t>GC_00003598</t>
  </si>
  <si>
    <t>PF05065.19</t>
  </si>
  <si>
    <t xml:space="preserve">Phage capsid family </t>
  </si>
  <si>
    <t>COG4653</t>
  </si>
  <si>
    <t>Predicted phage phi-C31 gp36 major capsid-like protein (gp36)</t>
  </si>
  <si>
    <t>MTLKNERALALKAARELADKYRETMTEDQRAEIKAAVDKVHEIDEKLEQAAKSRELLKSVGALREVEEDAAPAEVKAATLGEHFVKAARDGLREQAAGARLNIVGTEFKAAGDPYKRPTGDGAAWGTTFDRAIVNAHREQLVAADLMGSATVSNATIKYLVEKANRIAEGAVGFVAEGGKKPYVNFTAFDVVTESLTKVAALTKLTDEMISDYGFIADWINNNLVYELSVAEEKQLLNGDGTSNGIKGLLNRDGVQAKTGTGVGTWSDTIFEAMGMVQQSTTLTADGLVINPADYQPLRLSKDKNGQYYAGGPFAGPYGNGGIQINPGPWGLRTVVTNAVPQGTALVGAFKQGATVLRKGGLRVDSTNTNADDFENNLVTVRAEERLGLMVPAPAAFVKLTLTA</t>
  </si>
  <si>
    <t>GC_00003599</t>
  </si>
  <si>
    <t>PF13338.12</t>
  </si>
  <si>
    <t>Transcriptional regulator, AbiEi antitoxin</t>
  </si>
  <si>
    <t>MFTATQAANDGIDANTLGRLSAENLIYRLRRGVYIHAAVAETPHTDLAAAWLAARPAISAPDRFVECDPVAASHESAAYVWGLGDVIPAKHTFTCSVRKQTSASDVSWVISSALVGSSRSRIFGS</t>
  </si>
  <si>
    <t>GC_00003600</t>
  </si>
  <si>
    <t>MTVPSQSSLPKLRQISLSIFVVLGLVILSGLRFPILHQVFQECPKLHAATATFVALCIGVIPFILLGSMASATVAIMMTPSRWARIIPAHPFAAILIAACCGMITPSCECASVPLARRMMLSGVPAGAAITFMVAAPSLNPVVIYATMTAFNSWQIAMARWTAGLMAVIGVGMIVTFFGHRAFNKLVPVDELVCHSVSRQRVSKKNQWLQAMSHDALSSLTFVIIGAGCAAIATTLLPRSFMSVVQNNILMAILVMMGLAMMLSLCSLGDAFVAASFSALPLASLLVFLVLGPIIDLKLAALMDGMLGVQATKVIALAGVCMALISTIIVAGIWGWLS</t>
  </si>
  <si>
    <t>GC_00003601</t>
  </si>
  <si>
    <t>MHTLHEKIDHLPAVRVAQTEPIAVYITNNPVAATIWSVIFAEIAAAGGFVLSLAPGLPVSVFVTGISFGIYLICRAIGFVRDAGVQTPTAQLQQQPKH</t>
  </si>
  <si>
    <t>GC_00003602</t>
  </si>
  <si>
    <t>MRIFKSEVKELNKENNTTTTNTETPTTPDNTTDTPKKDQA</t>
  </si>
  <si>
    <t>GC_00003603</t>
  </si>
  <si>
    <t>MTPARAGADAPGVILLAHGSRHRRAAAGIDQLAAAVHRHTGRHTVAAHLSFHDHTFDHACHQLRSRGHTRATVVPLLFTNAYHHTIDVPNTVAKEDQLDITITPGLGTGPAIAELLRQQIPAGAHPVLYAVGSSRPEANRSVEKLAHTIGGEPLFATRGTTTGRTLDDIRTTHHRVHILPLFVSHGLLLDQLRTHHPPTEHLSYSPPLMGKLATIVKRRLQCSSSSQAHSHN</t>
  </si>
  <si>
    <t>GC_00003604</t>
  </si>
  <si>
    <t>MNTPRRNYHLERLTNLTFAFLNAAQTSSGELTLDYIRTHITGYAKDNHGNPRSPEATYKLVYRDLGSLIRAGVPLEMYKSGDNTIWRLRADDYELPEISFTPEEATILGLAGKMGQGDQLATFSRSGWTKIAASGAGTHLTPTPIFTPINDWNTLGAHDLDLITKACATKQRISFYYQRTSASDYTERWMDPWGIVTNRDRLYLVGHDLDRDAPRSFRITRISELEILNPETTDLEPYGPFHEPPPDTNLQQLVINQLRQGMTLVDATLTIEPGKADVLRSRAHQQPDGTYKLIDVDADWLIRQAVALAPAAIVTEPQEIVTQIINLLHQGTHHGQA</t>
  </si>
  <si>
    <t>GC_00003605</t>
  </si>
  <si>
    <t>MGELIKDVSIACAPLGPFQTNCYLLFVEDSSGDKRCAIIDPGLGALAAIQEEIAAQDAEVTDVFLTHGHIDHTRGAAEVAQFYNVAVSIHPDDAFMLTKPAAGVSAQIAALFDAASMETPPQIVHVVDGQRISLAGVEFLIRHAPGHSPGCILAVGEDLVFSGDVLFKGSIGRTDLPYSDPEAMEHSLETVVKNLPTDLPVLPGHGPATSVIAELRSNPFLGAR</t>
  </si>
  <si>
    <t>GC_00003606</t>
  </si>
  <si>
    <t>MDVSLILPDPNSPQSKWDLYIASSSSTSLGGQWLSQGYPNFSRDTLVTTHSLVDYYINDPRGTFSLNGPPQSDEKFLAMAREHGLNGEIQKANGFNYLRTESSAITLVVIFVLLVVVSAIYAIMRSRHLAIAAMIGQRTLIFVAKEFLDAIARMWIIIIVLAIVGVWFLGWYNSFHRVGLFITGFLILLAAYVVAMFLSCLGMAKLLSITPLIAAIKGAVPGKQLAWSAYAVRFCVVLLTCGLSFTLVSFLVQYSARKNEAPLWQERSGVAALFISGSVRSDYYETLGPALRAAERENKLILAQIGWNLGLYNSPDDLPQLLVNSYYAQRELGLPAGESDVVRVLYPTDASEEDVNKAVTSIAQNDDYRGWRVEKIPQPADFSAFSYESGYSWFSADLMLHRPVVTVLPPGLTKVSDRNLAAWSTQRSVLLKDMATAQQFADDPALQGIIAGWRPVQDQWQAMTAKLGVETRAAVLNIGILLAVLISIVVACALTFSLQFRDRLRACFMVGVSFSRAYLAFIVVEIVFALVPFGYLLRQQADYHAQLAVGTPRAVELSKSWAVTPNIVASFAVLVAVSLVVAFWFAYRRYVRAWRAQ</t>
  </si>
  <si>
    <t>GC_00003607</t>
  </si>
  <si>
    <t>MIRMVVESASDLELHRKVAALYAHYNATVYRSLAEGEEKIYAFTLLFPDEAALETYLAEAPNGPADELLRHATIDCYIQSSYALIDGVWTPRDAIQDSRIMWPGNSPVRIVIETACENNPAMYAMTSEEISQTRAEPGCLQYAWYEDVDRPGDLLLLELWDNQVIYDAHWFGRMKTSDYRGDSGRKPSPRQRGEVSREFYRHQPFEYHYGRLLPADTAHYSHTVIWGAQ</t>
  </si>
  <si>
    <t>GC_00003608</t>
  </si>
  <si>
    <t>PF02133.21</t>
  </si>
  <si>
    <t>Permease for cytosine/purines, uracil, thiamine, allantoin</t>
  </si>
  <si>
    <t>K03457</t>
  </si>
  <si>
    <t>nucleobase:cation symporter-1, NCS1 family</t>
  </si>
  <si>
    <t>COG1457</t>
  </si>
  <si>
    <t>Purine-cytosine permease or related protein (CodB)</t>
  </si>
  <si>
    <t>MAQPTIERRSVGFVPLEERHGSAWNQFTLWVGANLQITALVTGALAFVFGGDVFWSLIGLFIGQIAGGVVMALHSAQGPHLGLPQMISSRAQFGIYGAALPLILIIFMYLGFSASGTVLAGQAVAELYDGPQWSGVIIFGAVSTVCAVFGYNVIHKLGRWVSLVSTVAFLYLIVRLFMVADVPALLVIKHFDLPQFLFAIALAASWQIAYGPYVADYSRYLPADIKTSHVFGATLAGTVISSTISMSLGVFTAAWAGESFRGHEVETFVGLGSAGVVAALIYLSIAVGKLTINVLNIYGGFMCMTTAYSGFRARAEVTPTQRLIAIFCMAAASMGLAVWGTAQFLNAFSSFLLFLLTFFIPWSAINLADYYWVSKERYDVPALSDPNGRYGKWNWAALVAFAVGVLIQMPFVATSFYTGPLVAHIGDTDISWIVGLVATTVLYMALRPLDKRVIPEQTILPEVDPIEAAAARAMKGAHPPTGA</t>
  </si>
  <si>
    <t>GC_00003609</t>
  </si>
  <si>
    <t>MACPARYRYRGAMSSWFGFGNRGGDDPNDDNNDDNTNGANKGNQGGQGGQGGGENPNTPPNFGFGNFDFSGTPEELMKQLGEMFKQSEGGFQVFSFGADGDGAFPFGGAGGGGGAAPSPEQRAQAAENAAVEAASSMGKQLLDSGNVRPQDAAAVTEAIRLAELWLDEATVFPASSGPATAWTPRTWFENTLPTWKRFIGPIAVGMDGASQATVPPELSGLFGGIGVFLAKAAGQGVGRNMGQQITDLAKQTIAGCDFGLPLVTSVVGILPANLNRLTSQLDVPAQEALVFVSAREAARQRLFQHVPWLVELVVSAVEEYAAGLEYDNSTFEEALRDIDPASMEDMASMQDFARKMSEQDLAPKIISKNPKALERLETILALIEGWVDHVVYTALKDRLPSADTMLTAWQVRRATGGSAETVFKNVFNVEMQTPNIKGAHNLWERVDAAVGLDARDAVWNHPDFLPVASDLESSASFIDGLLSSKDEQDFDPIAEISALEDMLKQQAEGSEDGSRTQDDEDDAAGNGDDDADGDADSAR</t>
  </si>
  <si>
    <t>GC_00003610</t>
  </si>
  <si>
    <t>MASSPMRTISLRTIAAHKVRLFLTLLSVVLGTAFIAGSSMFTATLQHSFESVVSTAFDDVDVVVQQDINPAGIDYAEAEKLRKDPRVESVSVSARNVTVVIGNDKGERLEGSGGAPSEALAFVPGAATNKQFELTEGNYPEAGQVAINDRTAELNGIKPGDTLTVITPKGRSKVPVSGIYHYPTSTGGSSSLLYPESDFVREFTDGTHVSSVSIELKDHDEAATKAFRDDVAKMFPDEKIADAKVLAEQLTDTIKKALSFVNYFLWAFAGIALIVGTFIISNTFAMIVAQRNREFALLRAIGISRKQITRSVVFEAVVVGLFGSLLGIVAGMGLVKALTALMEAKSLGLPDAGLSLSPQGIIAPLVAGTLVTVVSAWAPARAAGRVHPVRAMRSQEQTSVRSLLLRSIIGGVLVVGGAVASVMAAYSDGEVKLRSITIGVAALAIIIGTWLILPLLSIPFVAGIGRVLGLPFRRVGHLASTNARRNPRRTAATAFALTLGLMMVSSIGMLGATMRSSLSDMLDTGLKAELLLTTPQGSNLSIPGDAIDKVREVDGVRDVVTGALISGSAEDMSLASPFGPPTLPIIDGDVTQAIEVDKVSGQLTSDLVVNTTVKDALTAAGISDVKLAHLNNSLTRSVGGVFKDNPILGQGYISPAVAREIAPGEDLPVNSVFLTLDEGANASAVRAEVEAVTKPYMTINVQDKEEYKGESVKTVSTMLSVLYGLLGLSVIIAVLGIINTLALSVIERRQEIGMLRAVGMLRSQIRRMIYIESANIAVFGALVGAAIGLGVGWCFVTTLSGQGLDSIIVPWANMAWMIVASGVIGVLAAVIPGTRAARTKPLEAITD</t>
  </si>
  <si>
    <t>GC_00003611</t>
  </si>
  <si>
    <t>MGVDLSGRVAPAPGTDPVGDVVGNARKFFEKLGTNLWDVVLMPVKMMTDAITQGIEGLAKAWGFLPEQFRDAQLDLINRVDLLSSPMNYCTAFMDHAHLGVGWMDFNKQIGPARNVEVHDGGLRLKKEGLWDIRALVSPSWVVIGFQDTRWELVVLTPDNKVFSKCQFSLHTTHGGSSVGIMSVVTPAPNYVVKVKVWQVQAGREIRGNPMYSRLTAQQVTQFTRGGVTGKTEESDFLGTGE</t>
  </si>
  <si>
    <t>GC_00003612</t>
  </si>
  <si>
    <t>MSPAQNSTVIAVGSLANTGVVLAFLAIVVALTLLATWMIFSAQRLNRLHVRTDAARIKLEVALDQRAAIVAAVEPALRTQAQALSQLRFANQGVEARANKERMFNQAIAQSAVADHPAVVDSQARVDLAFRFYNEAVSDTRSLRLRPLVRFLKLAGTAPLPEYCDLNAAS</t>
  </si>
  <si>
    <t>GC_00003613</t>
  </si>
  <si>
    <t>MAEQPHYVVLQVVLKEKLITSGSANLSVLEQTINAQAEKGYRLHTISTASSGSKGLLGGDRIQATLVFESIEQALG</t>
  </si>
  <si>
    <t>GC_00003614</t>
  </si>
  <si>
    <t>MNPNDHVLHEQHGHTAVVTINRPDAYNAMNRDVITQLSTTLDAIEDSDATAMILTGAGKSFVAGADIGELATRTPLEGLNPLLQRTLDRLAAFPIPTIAAINGYAFGGGAELALACDIRVGSTDAQFALPETGIGIIPAAGATQRMVNIVGLGLATDMILTGRRLDSEEALAAGLITYRVAPEELLPTAHKVAERIQRKGPIAIQLAREVLRHGHKSDHATGMLLERLAQSILYATEDKHEGTTAFTEKRNPEFNGR</t>
  </si>
  <si>
    <t>GC_00003615</t>
  </si>
  <si>
    <t>MTFLNILGYLFWPGAAGILITKVRETGIIAGLVRSVLPIVGLAISLVAIGALGGVLAGTARQFVDEQEAQPTSANLVNSPQEALNQMLSDVNSPEGYEGY</t>
  </si>
  <si>
    <t>GC_00003616</t>
  </si>
  <si>
    <t>MSKPDALEVLRSALTPEDDTLSERMQSLFQDRTALLARREALEESVIDGELDTSTFARVEKKIASQLAKIDEELQKITETLGADPLATELTEDVIFAEWWESASVEDRRRLTRLLMEIHILPGKQGARKFDPNRVKITWKT</t>
  </si>
  <si>
    <t>GC_00003617</t>
  </si>
  <si>
    <t>MGCSRVAGGWGELPPRARRIPMTSPINCSKYGTTSACAENTPPSRARRRSKRNYLRVRGEYCCKGDSLLPLWELPPRARRIPEPFEGAPCFAGTTSACAENTISSWVRGLNPWNYLRVRGEYTAGTPPMTAARELPPRARRIRIVHMGEWGFGGTTSACAENTRPRCGGRCRAWNYLRVRGEYFAILILPNQRTELPPRARRIPSDKTAYSADEGTTSACAENTWVQQPHYPCTRNYLRVRGEYHQR</t>
  </si>
  <si>
    <t>GC_00003618</t>
  </si>
  <si>
    <t>MNYGPPEEFLAVEEPVGAGTRNVDNPEQRKSQKKAERNGAAEHRDYLDPHGRGGELLPNKVKVAGDRRHHK</t>
  </si>
  <si>
    <t>GC_00003619</t>
  </si>
  <si>
    <t>MTDTALIVTMASVFAGFACFTGSFLSFRLGKSPWLTWGLMAVAIALITVIPTTIAIFWATLAV</t>
  </si>
  <si>
    <t>GC_00003620</t>
  </si>
  <si>
    <t>PF13539.11</t>
  </si>
  <si>
    <t>MRYQAQIGVPSENGWPMCSSASCVSEMVVPAAKRVPLRAGDVATILNAWLILYNREVEPITSQVWGWSADNDVWNSNHMSGTAVDIGAPKYPWGQRTMPPATKAKVRALLAKFEGVIFWGADWDYPDEMHYQIGLPPSDPRVHAFAERLNNGYLGAYADTPAPKGNSMNDDDLYLRDVKAQLTGAPGLGAYPGWPQLGGRTVVDALAAIGAALKIPGFADLKAQAK</t>
  </si>
  <si>
    <t>GC_00003621</t>
  </si>
  <si>
    <t>PF02386.22</t>
  </si>
  <si>
    <t>Cation transport protein</t>
  </si>
  <si>
    <t>K03498</t>
  </si>
  <si>
    <t>trk/ktr system potassium uptake protein</t>
  </si>
  <si>
    <t>COG0168</t>
  </si>
  <si>
    <t>Trk-type K+ transport system, membrane component (TrkG) (PDB:3PJZ)</t>
  </si>
  <si>
    <t>MKDSHSFSPAQLVAGSFALLVLVGTTLLLLPMSRADGSADFVTALFTATSAVCLTGLIVVDTATYWSHFGQAVIMMLIQLGGLGIMTLATIASWVIAGQIGVKSRLNASAEGRGGNQLGDVKTLLVATLSFTAAVEGVIATFLIAKFHFSYGYDWGSAIWQGTFHSISAFNNGGFSLESNNLVLFVNDIGLLFPIACAIMIGGVGYPVLLELTLRLRRRTQGFKHLPRLSLTTQFVVAGSLILWSVGALGVAVLEWNGALSGLSILGKISNAIFQSVSTRSAGFNAIDVGAFHPSTLILSDIMMFIGGGSGGTAGGVKITTVAVLLAVMVSEIRGDEYTLLSERRIPNRTMRQALAVFVLAGSIVVVAIGLVQLLAPEFSTHQLVFEVISAFATVGLSTGITGSLPVSAKLLITVLMYSGRIGPITLVAAMAARSQRRQYSYPVERPLIG</t>
  </si>
  <si>
    <t>GC_00003622</t>
  </si>
  <si>
    <t>PF14016.12</t>
  </si>
  <si>
    <t>Domain of unknown function (DUF4232)</t>
  </si>
  <si>
    <t>MSTTSSTPAPARVRSNRVHTPLTLCAATTAALAAVLTLSACSSNDGSADASSVADAAVTASPSSSSSTPAAAAAVAPCAAHNLVGTIEQVQGATGSTIIDVSLRNDGPSCTVAGFPGVSLIDVDGSQIGAAADREPASATPQSLTLATGDAASFSVRSTNALAFDPKECNTIDSTALKVYPPGDTEWVTLPLTVATCGNEQIHTLFTGMVR</t>
  </si>
  <si>
    <t>GC_00003623</t>
  </si>
  <si>
    <t>MEISIHVNDGTMNAIYHVRNEQEQRRVKSDLEAGRHPGITQCDVNYGAAYVNLSENVSYSVAITDTGENDVYAIGTTDENAAPYVRF</t>
  </si>
  <si>
    <t>GC_00003624</t>
  </si>
  <si>
    <t>MLLPVTPITDEEIQVIAQNSDLKPLDSERLDFLKNLGPVDVSACPGSGKTTLIIMKLLLLMEKWESTSQGICVLSHTNVAKNEVSTRLERTGINHNLNGKPHFVGTIHGFINQFITYQYLFSMGYPPQQINTNLAYEWRCKKISHQTRVYLEQHHIELKDIKIESINENSPFGDKLIDKKNAPGKHTLTYQEIAKVFWQSIRNGIITDDEILFFAKIALEICPEIIQSIRYRFPFVITDETQDCSSAQMELLNHLFDSGADKKSKSVIQRVGDPNQAIYSSSEKINFPNKDSITIANSHRLNGKIATIATSLAVSGIEGGLKGINDSNPQNPLHFILFDDQNIEKVLPTFADIVSSNIPPDVISNNKVAAIGDRIRGENEEKRPYSLRDYYPPFSADKQTRDFKHFYDYVVHAQLSIKESGMLSDGVEILADGFTRIISNDKFAIKTSARRKYQNLIQTLHDNKIDAGEIKNLFSRILLEKSTSKITYFDLLLNITKDIVLPGSNHDQEIEKIKNFYAIPKENIHRSPYPPTNVFQHNGVKIELSSIHAIKGETHAATLLLDTFNRMYFVKRIIPFLLGHKIPKRTTDKHKRAICGSFVAFTRPTHLLAVAAPESHLKENEISKLEERGWTIDTSLCEPWDEFGMESWLL</t>
  </si>
  <si>
    <t>GC_00003625</t>
  </si>
  <si>
    <t>MTPAPLTDILHVVGLIERALPVANVVLAPPTLPDLSAAEHLAQQLGGHATRYMRAHHELAAAAATISDVAAQAQPLIMAAQADIVGEAQRLLALAQQDIIGMLNPVPGAAAAALLSAQSRAGELISYAISRLTQLGDDLSPLTQRLHAIAASDGQTAPPPTHPTATSPDAPVAPLSSTIAHSSGGHAGARAVAAARSQLGVPYVWGGSTPGVGFDCSGLTQWAWRQAGVELPRLAQEQNIGSPVGSHELIEGDLLVWDGHVAMYAGDGTIIEAGNPVSISPLRTTNLGMAFKGYFRPTG</t>
  </si>
  <si>
    <t>GC_00003626</t>
  </si>
  <si>
    <t>MDLQVTPISGINSPMPIVVSGLAPGANLELKVKTVDAANRLFSSTTVFKANSDGVVDTSKHLPQDAGWVTPSSLGVLWKMMAQDGKDATFAVDGLNPMRVEVQARVEGEKGKGTHVTRTISRRAREITPLPVSCKGRAFCPDEPGPFPLVVLFGGAGGGVDSASAAVLAHHGVAVFSYDYFPRKKGGVVDVDAVRRMLRGIRLLPEIDSSLPVALCGTGRGAELALLIASLEPNLVGAVVAHSPTDVLSAWPDKDSQPDVFVGSGLPKVTIKAPGKQDVAADWHAFIQPKLKGQPWRLRAYYDSAREHTKDIEAAAIEVEKMSGPLLLTAGSEDAVWDSASMSLTLQLRASDVEVFRYVAKGAGHNVGYPFYFPGLPAQKTMNAYGYRIALGGHSVTNGQASVDSRVQVISFLRSAFGLED</t>
  </si>
  <si>
    <t>GC_00003627</t>
  </si>
  <si>
    <t>PF03374.19</t>
  </si>
  <si>
    <t>Phage antirepressor protein KilAC domain</t>
  </si>
  <si>
    <t>K07741</t>
  </si>
  <si>
    <t>anti-repressor protein</t>
  </si>
  <si>
    <t>COG3561|COG3645</t>
  </si>
  <si>
    <t>Phage anti-repressor protein Ant (PUBMED:27099293)|Phage antirepressor protein YoqD, KilAC domain (KilAC)</t>
  </si>
  <si>
    <t>MGELIPITRTDEGMHAVMGRDLHAFLEVKTRYNDWFPRMLEYGFEQGKEFYSFLSKTPEQAGRPREDHIISLDMAKEIAMIQRTEKGRQARRYFIEVEKQFKAQAPAPLQGHELIAAALIEANGIIDNLTRERNQVEAQNILLHAQVGVAQKQLEEQASELAPKAQAYDAFIEAEGTYSVGSVAKMFGLSQNKLFQMLRNAGILIPKGHMRNTPYQRYMKYFEVKAYAYQRGNGTDGVSYTTRVQPSGIDFIHTKLGLES</t>
  </si>
  <si>
    <t>GC_00003628</t>
  </si>
  <si>
    <t>MFENNWSNIILCTVINSLDVTTARIPSIFSMCIAFQLLETHSKLFTFSSSLSKSQRESNMA</t>
  </si>
  <si>
    <t>GC_00003629</t>
  </si>
  <si>
    <t>MLSVVAAVLFVAAAAAAVVTAIAVVRAPDALSKVNVMSVLSYVALPLAVIGVFVQDTAVGGFDWHNLVRVVLAVVGLLVVASVSNFYVGRSIYNTEQEQHTT</t>
  </si>
  <si>
    <t>GC_00003630</t>
  </si>
  <si>
    <t>MNAHTESAYAKVNLALSVGNARADGYHELVSIFHEVSLHDDLAFTLIDYDAHGSTHPEAGCFIEQGYVSYTELHVTGRQADEVPLGPSNLICAAIEHISRVAGVALNLRCEVHKRIPTQGGMAGGSADGAAAVRAAASYAASLGGQVLSEQQLLDICLKLGSDVPFMLRGGTQCGRGRGEVLSPIDCALPLHFVILPREGGLSTPAVFRALDAMRDEGLCPDPSPVDVEAFSRALSAEGIGGATGADAVAGLMVNDLQAPAVALAPDLAEALERGVAAGAVKGMVSGSGPTLFFLCADAQAANDLVEALGGIAVSSRH</t>
  </si>
  <si>
    <t>GC_00003631</t>
  </si>
  <si>
    <t>MPDHGITPDMVPTSSAITGDQIDAVVETVRRICGWHIWPVREETVKLDSSGDCLLFLPTKRLVELKSIEVGGKSVGLDAVQWSEDGYLQGHFPEGLRNVAVTMRHGYDSALDLVGVCLQMAKRTAEAHSSYQVGGISVGASNGITPQSTEWRIVDCYKLGPLP</t>
  </si>
  <si>
    <t>GC_00003632</t>
  </si>
  <si>
    <t>MTFALNASGIAAPAAGSNAVQAIQCPLKAIKAPVALAALAAVAELRVLKAMCPGEV</t>
  </si>
  <si>
    <t>GC_00003633</t>
  </si>
  <si>
    <t>COG5340</t>
  </si>
  <si>
    <t>Abortive phage infection protein AbiEi, antitoxin conponent of an AbiEi-AbiEii TA system (AbiEi) (PUBMED:24465005;29518409)</t>
  </si>
  <si>
    <t>MHTSEAQAILNTFGYLQYGLVTSAQAADSGIDSTTMTRLSQRDIIRRVRRGVYILAGVAEDALTEIRAAWLATSPQVLAEDRLKDEVPIVVSHVSAASVLDLGDITPAKHMFSSPLRKQSSAADIRHRIAALPDDDITVVEGIPVTTALRTVVDLARDYLDGDQLHHVIADAVHDHRVKVSSLSKRLASYAEEYGYDSGEELVAESLLRFPEDESSAEAAQFLAVAQALQGLNTSAFEGAIAEAVRGLMTSRLKNFDYTNLVKSISNLDLGYGSHFSQASWEGALRQNTDATARIIGTSA</t>
  </si>
  <si>
    <t>GC_00003634</t>
  </si>
  <si>
    <t>MLLNEAIGAKVNELLFLNRVTKKALGEELGITGPGVSRKIYGQTAWSVEELYAVADFFGVDVVDLLPKKVDAMQETPDSFSRTEGSNLVAGAGFEPTTSGL</t>
  </si>
  <si>
    <t>GC_00003635</t>
  </si>
  <si>
    <t>MVYQGSAGRHGRAWGTNNNVKKYQIALLSIAALGALGWLVDTGISTTFEHRLSTQLEDSFNLEVEPAVYIGGFPYLLAAATGDIPMMSSEVLDVDVPGFGMMNSRTELRTIEVTPEQVFSGDYTGADVEIAKRTLRLDGVALGAQLGITDLDITNPKDISPQASPQAQAQLKGTPVGFDQPVVVLVDLRIHNAEITMRPVSIIDSPDMEQAQDPESVRTKIMNSFTWSVDSRDLPLLKQASQVVCGGGSIFISSELRQVQFRPELLSPVGVR</t>
  </si>
  <si>
    <t>GC_00003636</t>
  </si>
  <si>
    <t>PF06790.16</t>
  </si>
  <si>
    <t>Uncharacterised protein family (UPF0259)</t>
  </si>
  <si>
    <t>MTNPFDPQNDHPGAGEQPQSMPPQGQQPQQPQQPAQPAYPQQPAQPVYPQQPTQPGYNQQPNPGAQQPGFGQQPNYGQAPQFGAQQPGYGAPAARTFGTFDAMESLSFGARMFGRDVVQWLIAGAIPAVVMIVAFIFGMVGITAMSDSATRGYSGGYYTYEEPSSAGVIFGGVGLGVFMLGMVVASALMIIYSLGVYRVSALVFNGQSFTWKDVYNLKGTGKLFGVIFLTALAVNVGMMLCILPGMVLAFLLVFAPAFAVLEPGRSLGDAFSRSLTLAKENVGPTLILVLLSAVIMWIASMIIIGSVLLAPVFAFAYGHAIRRAQNIPVPTV</t>
  </si>
  <si>
    <t>GC_00003637</t>
  </si>
  <si>
    <t>PF01610.23</t>
  </si>
  <si>
    <t>K07485</t>
  </si>
  <si>
    <t>COG3464</t>
  </si>
  <si>
    <t>MQPSGNLVADTICRTAEIGLTITAAADVGTFTIIDAAPVAVEGHCPDCTQPGKLRDHTVRRLVDLPVVGFPTRLHVRVPRFTCTNQQCRRKIFQACLNCANDGAKLTERVTGWILQLLAIDRMSVAATAKALGVGWELVNQVAVDACRQLVYDNPSHLDGVRILGVDEHVWKHARKPGKPSNLVTILVDLTPLADGRGPARLLDIRPGRSADVLRTWLQERDPGFRSQVQVVTMDGFTGYATAVDQVLPQARKVMDPFHVVHLAADKLTGCRQRLQRETTGRRGRKDDPLYKHRRTLLTRRNYLTERQNRRLDLLWATDDEYVALEVTWMALTGHDPGLRAPEEIGGQEVDGTDHQHPA</t>
  </si>
  <si>
    <t>GC_00003638</t>
  </si>
  <si>
    <t>MATAQSDYITHFNAAVDVVFELKNLWDPDGENRQLRKIAGECAEAPFETIGDMFGYAEQHGLNTPADLADRLKNIEPVDDDDSMYAVCIELAEQLAAPVE</t>
  </si>
  <si>
    <t>GC_00003639</t>
  </si>
  <si>
    <t>PF13632.12</t>
  </si>
  <si>
    <t>Glycosyl transferase family group 2</t>
  </si>
  <si>
    <t>MVVYSSRSGPCVVGLPPDVTMLGGMDNRLGIVIVSYGHEGLIPRLVESFVPQLRSGDRVVIVDNKKPWGFDAAVGARLRELTHAGSLEIIEHDNGGFAAGCNVGAKAAGDVDVLFFLNPDTYVEDGNLLDVVRKGAPELDAWMPYLVLPDETVNSAGNALHISGLSWVNGYGSHCEIREGFSDISIASGACLAVRRSWWERLGGMETLYFMYHEDTDFSARLLLAGGRIGLLHGARVHHEYDYEKGDYKWLYIERNRLAFIMGTWPASVIAVLAPQLVGVGLGLWLIAAKQGRLGLKVKSTRLLIKALPEIMVFRRRVEHNISPVEFLERMDYSVDNPFLGPISTSRLAAAGYAGYYRLARAILKAVTR</t>
  </si>
  <si>
    <t>GC_00003640</t>
  </si>
  <si>
    <t>MTQRILTRLAHTIAVLLAAFTLAFLLLSALPGDAVENRYANPELGLSPEQIQEIRDSLGADRPLIIQYLLSLKGFITGDFGVSVNSGTPVREMLAAALPGTLTLAASAFILALILAFAISSAAILSTRFGKKMRALPPLMASLPTFLVGIVLIQFVSFRLGLVPIIGASESQKLILPAVTLAIPIAAPIAQVLLRSLDDVAKQPFVDVVRARGASTWRLFAHNILPGAILPALTVAGLAFGELVGGAVVTEAVFGRAGVGNMTVGAVSNRDTPVLLAIVVLAATIYVLINAAVDALQPIVDPRLRKAAK</t>
  </si>
  <si>
    <t>GC_00003641</t>
  </si>
  <si>
    <t>MRHRQHPGLGKNNRSAHSHEAAPTCCHFVTFVARAPRIVTPNALAQWGAMPSFSLRPAITVLGACLLVSLPATSAFADEAPADAASPIIPNNTANTVVNTDAAVAAGTVVETALPSNFFTATPVDALFNDINRQVGQQVADANAQLKAATEQFNAQFGTQVVAPSIQAPVLPVAEPAKLNGPDYTWTTDPHAQLMAMKPGAVLHRVEGSMFHAPDIPQESLDAEAQGYSLYGPGTPIYVGEKGFCTLAFAGYDAAGNKVGVTAAHCGQVGEKVLSADSYNLGPSGQIVARVPEKDYALIRFDDNAKITGTYNGVHVSEVGGAPLAPGEVVAKHGVATGTTYGVSLSNAEGLNISQLCAMNGDSGAPLLQGSKVVGMVSGGLIPGAPCTTPWQGPLFSPTLSTRIDRVVADLDARQGIGAGFTPAA</t>
  </si>
  <si>
    <t>GC_00003642</t>
  </si>
  <si>
    <t>K19577</t>
  </si>
  <si>
    <t>MFS transporter, DHA1 family, inner membrane transport protein</t>
  </si>
  <si>
    <t>MYGWRVNTPARRPVPLQTQLSDARRTWVMVALALGGFAIGVTEFVSMGLLGLIADDFAITEDQAGRIIAAYALGVVVGAPLIATLTGKLPRRRLLLLLTAGLVIGNGLSAIATTYPMLIVARFIAGVPHGAYFSVAGLSAASMAAQGARGRAIAFLGFGFAFATVGGVPAVQALGAHFHWSLAYAIVTVLAAATLVSLWFLMPHMTQMPSTNARTELSAFTRPQVLLTLLTGAVGFGGMFAVYTYISWTMTQRAGLNIEWMWVVLMAYGLGMLAGNWLGGRLSDRSVEFTVTLALSAIAICLVAFYFTSANAIAGTINFGLIGMFGSVLVPALQVRLMDTAGEAQTLAAALNHSALNFANAGGAALGGAVIAHGFGYSAPALVGAALSVVALGIFIPTAKAAAK</t>
  </si>
  <si>
    <t>GC_00003643</t>
  </si>
  <si>
    <t>MTSRSTVGPQLFAVSVGLVPLGLAFGVLIAQSGFAWWWAPLFSVLIYAGSMEFLGVGLVLGGVSVAGAALTSLMVNFRHIFYGLTYPREVVRGRLARAYVTYSLTDETYAIVSAVRAVGPVADPARATDCSFNPADSHGLAEQSSTQGLLQLSGRELLVVHVVCQSVWVVSGIVGAVASYVVPESVHGVEFALTALFIVLALESLPPGRWWLPVGAAALVGVVASVVVPGRMLAAALSAYWLLLLGAYVLGGSSRVGR</t>
  </si>
  <si>
    <t>GC_00003644</t>
  </si>
  <si>
    <t>Q|Q</t>
  </si>
  <si>
    <t>Secondary metabolites biosynthesis, transport and catabolism|Secondary metabolites biosynthesis, transport and catabolism</t>
  </si>
  <si>
    <t>K00446</t>
  </si>
  <si>
    <t>catechol 2,3-dioxygenase [EC:1.13.11.2]</t>
  </si>
  <si>
    <t>COG0346|COG2514</t>
  </si>
  <si>
    <t>Catechol 2,3-dioxygenase or related enzyme, vicinal oxygen chelate (VOC) family (GloA) (PDB:3R4Q) (PUBMED:11830595)|Catechol-2,3-dioxygenase (CatE)</t>
  </si>
  <si>
    <t>M00569</t>
  </si>
  <si>
    <t>Catechol meta-cleavage, catechol =&gt; acetyl-CoA / 4-methylcatechol =&gt; propanoyl-CoA</t>
  </si>
  <si>
    <t>Pathway modules; Xenobiotics biodegradation; Aromatics degradation</t>
  </si>
  <si>
    <t>KEGG Orthology (KO)&gt;&gt;&gt;09100 Metabolism&gt;&gt;&gt;09111 Xenobiotics biodegradation and metabolism&gt;&gt;&gt;00362 Benzoate degradation [PATH:ko00362]|KEGG Orthology (KO)&gt;&gt;&gt;09100 Metabolism&gt;&gt;&gt;09111 Xenobiotics biodegradation and metabolism&gt;&gt;&gt;00361 Chlorocyclohexane and chlorobenzene degradation [PATH:ko00361]|KEGG Orthology (KO)&gt;&gt;&gt;09100 Metabolism&gt;&gt;&gt;09111 Xenobiotics biodegradation and metabolism&gt;&gt;&gt;00622 Xylene degradation [PATH:ko00622]|KEGG Orthology (KO)&gt;&gt;&gt;09100 Metabolism&gt;&gt;&gt;09111 Xenobiotics biodegradation and metabolism&gt;&gt;&gt;00643 Styrene degradation [PATH:ko00643]|Enzymes&gt;&gt;&gt;1. Oxidoreductases&gt;&gt;&gt;1.13  Acting on single donors with incorporation of molecular oxygen (oxygenases)&gt;&gt;&gt;1.13.11  With incorporation of two atoms of oxygen&gt;&gt;&gt;1.13.11.2  catechol 2,3-dioxygenase</t>
  </si>
  <si>
    <t>MTTAAPDILRCAYMELVVTDLEASRKFYVDVLDLVVTEEDDNTIYLRSMEEFIHHNLVLRKGDQAAVAAFSYRVRSPEDLDKAEAFYKERGCRVERNKEGFTKGIGDSVRVQDPFGFPYEFFHEVEHVERLCWAYDKYTPGALVRLDHFNQVTPDVPAAVNYMEDLGFRITEDIRDEEGTVYAAWMRRKPTVHDTAMTGGDGPRMHHVAFATHEKHNILAICDKLGALRLSDHIERGPGRHGVSNAFYLYLRDPDGHRVEIYTQDYYTGDPDNPTVTWDVHDNQRRDWWGTPVVPSWYTDASRVLDLDGNIVPLTERTDASEMEQTIGADGFSYTRKEDEEAMPEWKQGEYKLGHQL</t>
  </si>
  <si>
    <t>GC_00003645</t>
  </si>
  <si>
    <t>PF06808.19</t>
  </si>
  <si>
    <t>Tripartite ATP-independent periplasmic transporter, DctM component</t>
  </si>
  <si>
    <t>COG4666</t>
  </si>
  <si>
    <t>TRAP-type uncharacterized transport system, fused permease components</t>
  </si>
  <si>
    <t>MNRIIGALTLAGTLLVINQVFFLNLFGLALATNSFLYLVAACFLPIVFLRKSPGIIEYILAAITFGLSIWLAYHGNDISVFGWSMVAPTYATWISIIYWLLVGDMLRRTAGKIVAILAMAISAYPMIAGLIPVAFLQGIQYDPRVLAQVHVMGTESIFGLPFNTAASILVGFLLFGVTLQHTGGAEFFTQLANSLFGRYRGGAAKVSVASSAAMGMMSGSAVSNVLTTGPMTIPTMIKSGFSKKTAGAIEATASSGGSVTPPIMGAAAFLMVSFVGVPYTDILIAALIPAFLYYFGIFMQIDGYSARYHIHGQDRNSLPNFFATLRDGWPYILAIALLTVLLLTAPAEAQVPFWVIAALLLIAFVKPSIHFRAKELGDLIVDAGKTIAQIMGIIAGVGLILGGLTATGVALSLSRDLVALAGDNALLILISGAIACFILGTGLTISASYVFLAIVMVPALTALDVNPIAAHLFVIYWASVSYITPPVGLAAFAAAGISKATAMETCFEAMKFGAVKYLVPFAFVLNPALVAQADIIHIAVAALTSFIAVFALSAMFSGYLQGVETTLNWPLRIILGLAGAAVFLPQWSISAMGVAAIIAVLALTKIKRTLA</t>
  </si>
  <si>
    <t>GC_00003646</t>
  </si>
  <si>
    <t>MPSRSEDRSSMDFRDDVASAGVSTWVSAERDGFESSFPIGVFPQLKGVIELNTDPVSLSILNAARELVIENGLSKTRMTSIAKLAGVSRPTLYSRYSNVRDVTTTLLTHEVVNVLMLVDSLPRNVDEVASYLTECTDAVRTSDLMRSIVRNDSDLLNSYVFDRLGHSQRILQQYLALIIGHVQAVDEGGSVAMRSGDPRVIATVLMNIAQSFSFSYGVLHDSFGSVDTWREELNALVKGYLRA</t>
  </si>
  <si>
    <t>GC_00003647</t>
  </si>
  <si>
    <t>MTNRKFIAIACALGLAATGLVACDKTGAMSPASAPAMSPAMSMSNTPSDAMAPSSSEAMSPSDSMAPSGMDSQETTMMTEEKSGQ</t>
  </si>
  <si>
    <t>GC_00003648</t>
  </si>
  <si>
    <t>MTLPVFYSSTLDGLRGAEAHHVQVKRITVGEKIVLVDGQGRSATCTVTAVSKDAVEVDVEHIDTVERAQHITVVQALPKSERSELTVDLLTQAGADTIIPWQASRSIAKWAGKEAKAHAKWEKTVTAAAKQCRRAWWPEVAQLHRTRDVITLIEQHIEQGRGPVLVLHETADQPLRSMDLRGDIMLIVGPEGGISPEEYEAFTRAGGRAAKLGPEILRTATAGFAALAGIGALTRW</t>
  </si>
  <si>
    <t>GC_00003649</t>
  </si>
  <si>
    <t>MMDVAAHLVELLCERNQTVATCESLTAGLAAATIAGVPGASAVLRGGLVTYATDVKVHLAGVDPTTIETHGVISGYCALEMARGAQRRLDADWAVAFTGVAGPDRQDNHPVGEVWAAIVGPNDIEHYWQVTESSMGLEKAPRVLSGNRESIRRRTVELVLARLAEHVAKLPATPFRANRRN</t>
  </si>
  <si>
    <t>GC_00003650</t>
  </si>
  <si>
    <t>MILTVTPNPSIDQTLVLGERITRGTVQRLQSFHAVAGGKGVNVSGACALAGQATRALFISPTTDPFVHLVANTGIDTRFVPTEDQVRTNITIVEPGGETSKLNGAGPLITLEVAAALADTVLEEAERLPDNSWIVLAGSLPPGLPEWWYAEIIPLIRQAAPTTKIAVDTSDAPLRSLTAPIAPDRPSTTLRGEAKNRLPDLLKPNAFELAQLVQGQRDAASWATRFEQQAERGDFSDVVAAARTVVNKGIPHVLVTLGPSGAVLATADGAWIAQPPQTNVVSTVGAGDATLAGFLLGRLAKQNLEDCLTQAVAYGTAATTLQGTQMPSPHLVAKVRSKVIGTNITG</t>
  </si>
  <si>
    <t>GC_00003651</t>
  </si>
  <si>
    <t>MSESVLEQYAKLQDAMRKCLTLSLEKHPKIFGNLHQMDEDLMCWSNVMPEYLVGQFLTARREFTMATYCAASGMYQQAYSGIRFFLELSFASIYYSLYEFERRQWMMDRIDYSWSKGMDRNDGMLSSKFVEVFQPNLASHAKEFFEKATVTYRRCSQFIHGKASMYKTLPKAVMYSEEVLQDWAKYAHDAGDASLFLLLVRYADLLDENDQLVDVVEARFGRLLGVRKMIGLADG</t>
  </si>
  <si>
    <t>GC_00003652</t>
  </si>
  <si>
    <t>PF01144.29</t>
  </si>
  <si>
    <t>Coenzyme A transferase</t>
  </si>
  <si>
    <t>COG2057</t>
  </si>
  <si>
    <t>Acyl-CoA:acetate/3-ketoacid CoA transferase, beta subunit (AtoA) (PDB:5DBN)</t>
  </si>
  <si>
    <t>MGWSRQQMAQRVAADLRDGQYVNVGIGMPTLIPGALPAGRRIVLHSENGVLGVGPRPEPGLEDEDLIDAGKAPITAAKGASFFSSSVSFGMIRSQRIDVAVLGGLQVSAGGDLANWSVPGRAAKGIGGAMDLVHGAKRVIVMMTHCTVDGQPKLVEQCSLPLTGAGCVDMVVTDLGVFAIDGGLRLVELAPGETIESVAAVTGCEFSRL</t>
  </si>
  <si>
    <t>GC_00003653</t>
  </si>
  <si>
    <t>MTSVQRENDWPWHLAFGALLAVTVVTFGLWATGYVGQSAHYAVLSVTITFGLFMAFNIGGNDVANSFAAILDVLSTGEINAKAAVPASSCLPLGCGLSALR</t>
  </si>
  <si>
    <t>GC_00003654</t>
  </si>
  <si>
    <t>MARNSNLAVDFAAGWLNSQLTAQPWWKEYSNTVTTAAGFLATVAAWVGSQAFAADPRVQTALLIVGFLLTVVGVKNTPNGWTQSQAAQLNAARADFIDSNHSCGGGQCSEGRYED</t>
  </si>
  <si>
    <t>GC_00003655</t>
  </si>
  <si>
    <t>MTHSNDNTNQYNQPHTNPTEQDGTPIEHPAHIGHPTNLIGLIITRAQWQEKELAKVRTEAANKRRALRQLQEQHAALQKELKLFKKAVSYLLKQLENTP</t>
  </si>
  <si>
    <t>GC_00003656</t>
  </si>
  <si>
    <t>MDVPGWVMVGAATCVVVWAVVLSAYDIMRRRLPNIGTYTGAIVALVVSVGTGNPRWLLGGLVWAGLYALMRALSRLRRRVRRSARSARRAAAYSAAFGAGDIKLGFSTGTLAAAVSPEAVFVAIVVAQLLTVLVGVVTRRATVAHGPMMLLAALGVAAYGLGWGAPIDALAPGFVRQ</t>
  </si>
  <si>
    <t>GC_00003657</t>
  </si>
  <si>
    <t>MDVWVAGPEAKVRVRTGLDQAVGTGIVGLPLAFTGGGCTDLVFRAVEK</t>
  </si>
  <si>
    <t>GC_00003658</t>
  </si>
  <si>
    <t>PF06772.16</t>
  </si>
  <si>
    <t>Bacterial low temperature requirement A protein (LtrA)</t>
  </si>
  <si>
    <t>COG4292</t>
  </si>
  <si>
    <t>Low temperature requirement protein LtrA (function unknown) (LtrA) (PUBMED:8534098;24422886)</t>
  </si>
  <si>
    <t>MTDTSVTDAPRSATAVPPSATVGRFLHSLTPMRSRDPHEEHRVATTLELLYDLTLVIAFGVSGVQMAHALALGHVAAGLAAFSFVQFCTIWAWMSYSSFASSYDTDDWGVRSGVAVQMVGVIMMTTGIPALYEGFEHGWQLHSGTIVVGYVVMRVSLVVLWLRAARANPDQARACRIHALWIVLVQVLWVGTLFVHLNALSLFIVSVLLFTMELAVPMHLVRRYDHMAWHPHHLAERFGLLTIITLGEVLVGTAQSVTALYTEHGWSASAVVVLASGVSIALGLWWVYFEVPFGQVLHKHPTRTVTVAYVHFILFASLAAIGAGLHVAALREEGHAVISSTGAVLSVAVPVAVFVIILYALVVAVNLLALGRIYQLMLGLTIAALAGSVLLSLAGVPFEACLAVIVLAPWINVAGVETVGSWHMHKRLEVDA</t>
  </si>
  <si>
    <t>GC_00003659</t>
  </si>
  <si>
    <t>MGKKPNEQVGDTFSLSVQRPAHQGKGVGFAPSGVVVLVAGGVVGDTLQVEVTRVAKRHLEARILKVDIPSPHRTEPRCTAAAHGAGCCDFSHLDPDYELEVKRTILRSHLERMGKLETIAPIDIVELDREHWRCRFRLGIDSSGRLGQRAPRSHEVITEQCLQFPEVLSAEVARWQRAPQPHHAGKELLCAVDDQGNLHTELIEPRRRPPRSHQPQRAKRAASSRVNNRRPSSTQHYVVGGHTFDVTIDGFWQAHRDAAATYHEIIRQWLETINNDAAESSQLCAWDLYGGVGLFIPVLQQCGYGQIYSVESAPVIDSFNQPNVEFITSTVERWVSCEQALTARPQLVVADPPRSGAGASVIKGIAKHQPEVVIHIGCDPVAFSRDIGLWSTQGYVPTQITMVNAFPGTHHFETLALLRPRQNTHN</t>
  </si>
  <si>
    <t>GC_00003660</t>
  </si>
  <si>
    <t>MAHRLITKLMTPRGLLWSEIAVVLLVTFGMSGLRAVLKLVGALLDPAPLNEQSVAIGGAQASVRWLDVALQLSSVLSLLSWAALVLVLGIRVVRPRASDAGWGAVLAACIGLPGLVLYMVAVHMGWSVQVKPSMGLSLSGIVLALLWAEANALAEELVVVQWLATRLETLGVRVWVIIAASSLLRASYHLYQGVSAGFGNVVMGVVFAYVFLRWQRVWPLVWGHFLIDAVAFVGYPLLGSHLGL</t>
  </si>
  <si>
    <t>GC_00003661</t>
  </si>
  <si>
    <t>MNVLENNDLRALFDRYGLDYSVDSAPGYCTVATLDLNCMGAYDVNLEFHEDHVVIELWVDHDIEYVPQCLQTDYWLRIKAPIWMADHIAYVTARQQKEES</t>
  </si>
  <si>
    <t>GC_00003662</t>
  </si>
  <si>
    <t>MDTPTPQDLERLITEEWPLYHWTFNKENETFFTDTEIVFCLEHIGPHQYRESCTFFDGYESGPDGEPEIYEGDINSIRQKIINDYNSATTFMGYPMVWTHLSVEVEE</t>
  </si>
  <si>
    <t>GC_00003663</t>
  </si>
  <si>
    <t>MHANEQPESTFDDYQRPFRQALRLSLAGLAVVAVVCCLVFGLSVGGAGIWGALLGVAVGGAFALLTVASMLFTANQTPAVLGAIVLGGWLLKLVLLMIVLAVLRNYEFYDKWALFLTVCLVVVVSLGAEVWGVLKTSVTYVQLEQQ</t>
  </si>
  <si>
    <t>GC_00003664</t>
  </si>
  <si>
    <t>Q|I</t>
  </si>
  <si>
    <t>Secondary metabolites biosynthesis, transport and catabolism|Lipid transport and metabolism</t>
  </si>
  <si>
    <t>COG1233|COG1562</t>
  </si>
  <si>
    <t>Phytoene dehydrogenase-related protein (PDB:4REP)|Phytoene/squalene synthetase (ERG9) (PDB:3WEK)</t>
  </si>
  <si>
    <t>MSAGAASKVIGAYSTSFSLASRLLPRRIRSDIANLYAVVRIADEIVDGTAEAAGLDAAAIRAELDGFEAEIYRAIDSGFSTNPAVQAFAMTARRAGIKRDHIEAFFHSMRADIDTPGGDKTSGDTATSERQLHVYSPEQLRSYIYGSAEVIGLMCLDIFLSDNPLRPAHYAQAQRGARALGAAFQKVNFLRDYAHDRNTLGRVYFAQSEGGMTDAIRDEIIVDIAHDLDVARSTVDFLPRGPRAAVTAALLLFQELNQRLATADVETERVRVPDALKVRLLAQAVATTAFKRDPAGAAESAAGWKDDVAGDPAADSAQPAQKAVVIGGGIAGLASAAFLAREGFETTVYEKNDTIGGRAGLLEDQGFTWDTGPSWYLMPEAFEHFFEQFGTSAQELLDLRQLSPAYRVFSSGFEPVDVHSGVEQVTELFESIEPGAGAKIREYLKVATQTYHFAIDRFLYTTFSSFSDFVNKATMAHVVLLAKLLSTPLSTWVGRDFSDIRLRHILEYPAVFLSCEPTRTPAMYHLLSHTDLVEGVRYPMGGFSKIIDAVADVATAQGARIVTGRAVEGIEVVDGRARGVRLAASTPGGEPKRVDADVVVGAADVNHLAGLLGRKDKEVDPGIGVVLGFVGVRGALPELSHHQLFLEREWERDFEAIFPKDGATVQPGVSQSIYVCKPSETDPSVAPEGCENLFILIPTLADEGLLGDDAAVARQAAEALVDKTIEAIGQRAGVPDLGQRVIVRHAMGPKDFASRFNAYKGNALGYAHTLGQSAFLRGTQQDPEVSGLLYAGATTTPGVGLPMCLISAENLLECLD</t>
  </si>
  <si>
    <t>GC_00003665</t>
  </si>
  <si>
    <t>MIYPLIAAPIEVLVATPVVYSATACHDQVNTAQRLGCAL</t>
  </si>
  <si>
    <t>GC_00003666</t>
  </si>
  <si>
    <t>MMSVDFSQIMNIILAIFAFGTLITAILTFRQTKEFEKQRIRPMMQAHLRMAEDPFSCAELVISNPGQTIAHNVKFEFIPDLPKPPPQQKPQHGTKTHSTSSDNDSSANQSKPGSQATK</t>
  </si>
  <si>
    <t>GC_00003667</t>
  </si>
  <si>
    <t>MSCNCDTSYERLRELLDRECDPERREQLLADIQRCPGCVERLRIETDVRQLVRSCCCVQAPTVLRERISITIQTIAIESDS</t>
  </si>
  <si>
    <t>GC_00003668</t>
  </si>
  <si>
    <t>MGWLEGVKVLRECGMSIADVRAYVQQCLRGDETLSERMGLIEKYAHIADARLLEAQARADYLRKKLAYYAQIRDGLVPDTTDISRWGRR</t>
  </si>
  <si>
    <t>GC_00003669</t>
  </si>
  <si>
    <t>PF01541.30</t>
  </si>
  <si>
    <t>GIY-YIG catalytic domain</t>
  </si>
  <si>
    <t>MSSTSAVVRTTSSVSSFTTSLKVLLAELLPKMTTVTDTPRRSPRRHFTRWVVEPGDTLAAILAELPTRSGVYIIEFANGERYVGETENIQTRFATHVLRSGQHAPWKDAVALQFWPLPKFSRAERQVEERKLIEELRAQGHTLRNRTWNLYSTQPGTLDGTLDADTFEHWAAGTIDHAIRRDWHEPDAVLERCIRDGSKLMRNTAAVPGLYGAIIDDVASVLHRTIPMPVTLEAKRWTLSDFPSTSGGRFVTLNVGRLEVYFAPREWDDPWVVLNAALGTVQKIKRERQLKELDAVANSGAYKGHPVDQFAFGAGEVAEAFDRSPALLEGVRRLTMQLMRRETSGLFARHHSEVLATEVFRYMHVSYFDGDTSG</t>
  </si>
  <si>
    <t>GC_00003670</t>
  </si>
  <si>
    <t>MPSNITRKLIQLLGKSIYDNRRKIRKKMLSSLSFLTYRD</t>
  </si>
  <si>
    <t>GC_00003671</t>
  </si>
  <si>
    <t>MTEAAAPHPIADLSDSLLGWASRTEVELQTRLSAPWFFEANIPSDELDLLERFYGIFLNRQITAGADPRELLLMTPRLASATLCSRGARTVDGGAFVAEYIAGLGIHGTAAEALGDCLSTEGFIRSLLDAAELEAGAPESDTSDAALCALHAGLNNPEVVSILAALDAHDADVDAALGALTQGAEEDEAHAAPEYDFSSPLTLRAAATHRDVITQLITAVATVRAFTIDEPRWSDQIPDLVNQGVPVAVVESTTAELKERPAGTTYRHVAVGTATRERTPRLILDTRRRKVCLRLPEQPLEHPDAEIAWRIRVGDNTRVYRTSKPWGEVNALSEALDVAIEHQAREITVTASMTDTQWIVPCVDAADPVLIFTPKGQNITDKRSVHYGHVWVVCPTDSSIHDVVSGQELSIEDTFEPAGWDGWSAYLVSTEQADSLTITQAGDTPSITTHIRAVDPRQRVIFRDPSDPVPCLRSTTRLPVFGASLVAEFPPTVSGDTETWYMTISSFAGADNSGEEVSPPEPLEIPAEGGEFEVFDSTLYDAPWVGEYHVRIRGPRNESFRHEFAIIEGIDSTFDVSGACSSFRIPSIEGLSAAQLSVRAGEKPFDISPSRIISVEPTAPGAEFVVSTEEGDAMPVWFKPPRLRFDIPMITQPSMWRTTRMVAQPRSFDPDGVLRVRVTKLPGVLVDPKASVRNQHGTPLRTVKLTAEDEVTYCVPMRALARAMSGMVSGRLDLEWTDKRSDRRVSVNLAEISTVPDAKGAELSDGSIIFDDVAERALGAWVWPLTAPWCPGVTIEVRDGKAPLPESFVDAGPLAVQLFSADKFNTLRAPLTPGVDSFEVTQPGFFKAQPEDFAQLSAFFAGESESVPSSERIVPLLWEYVSELGSAPVMARTAEAAREALAAHPRQALGGLSQSLVPAELKPRQLISATLVNKLFDAEQAADGVHRAPWIAALEKLADLNTVLVGAQGAEGPVDPDPVLVRSLRSELEQEFGHRLVETLATGRDATLEAACIDASTVAIAHMAPAQQQALLDMFFSQAQIVPGPIMEDSARLLAVFEAFNRREELGSLLEDREAIKSAVALLKGLKGAQRALYGAARVRFDKLDGVDTENSDNLWALVPVISIVFALAARMQAHGLMGKSKVLASAAPAWAAMAELVPDLVTGDLVAAEAMVIATKFPGLAG</t>
  </si>
  <si>
    <t>GC_00003672</t>
  </si>
  <si>
    <t>MAAIDYDTYELPKDIITMIKTTVAQIGPVEFVKHMLFFYLSDNGAHDSSVWDLVAEASEGSLQSEDYINRVDARTREYANLAYSGDGFSPEELAEINAYVDTRDSLLAALSFPLEEVPYITCENLYCLRWGFDKIREGITCMGVVK</t>
  </si>
  <si>
    <t>GC_00003673</t>
  </si>
  <si>
    <t>MTSPPDSAAHRDAVLRQCAHLCADYPRFAPALHPQDESRTLTNDELQQHIPRAIADCQQRFNLEQPKHAAQVWWFSACNTFVGPAVTAAVEYAAILDMHLDDGQLFLRDDEDYWLGFMPGRVHRLEDTTDESTCELLAEQAAAFARSITPIVEQLAEQASMRPKPLFAIAYDALIQAAINAGNDSFDPAEGIRVAHALGRGFGSVTGIDNLIVEVVDGQWEDADVAGALAGEICEGHHVARRVSCCMIFHSASSGKCANCPRQTPQDRHAAVASIVDSDF</t>
  </si>
  <si>
    <t>GC_00003674</t>
  </si>
  <si>
    <t>MRGNDEGRIEAAGATVECMSAIDGFGQFLTTAPLWLQVPLVFIGVIAVCAPLAYAMVWGVDNLNAKLRVLRLEPMSQPTQPNKPKKPFGTSRVKQVLILLIIIVIVAWLLGM</t>
  </si>
  <si>
    <t>GC_00003675</t>
  </si>
  <si>
    <t>MKFYTIVVPRDACGMYFQDESNLTYERAVKKANFEGLTREAFEDRVDDDGSALKQYGIGLYYDALYVEAGKEKIIEDELSRTGTDYAVSTVETQLGEYIAFRSFNFCDEIEGASMCRLRKDGNPAEPKVSECFSEEFIDFLSKNFDFSAFIPIPVKC</t>
  </si>
  <si>
    <t>GC_00003676</t>
  </si>
  <si>
    <t>MMPPWSTVELISADHQCDSFTSGVESGIDDWFKKAALNEQLNHRTSTWVCRDDSGKIIAFFSLCTVVCDLSNASKRHQKSLCGQGTTVAPATLLAKMGVHREFQGKGLGRALVLEAFRQATTAADQVACRLLVVDALTDDLVPFYERMFFTRIGQQRRLMMKMSKAREIITAVDGSN</t>
  </si>
  <si>
    <t>GC_00003677</t>
  </si>
  <si>
    <t>MEEYDISADAPLNEVLTALWDSKLFISEAKSGDVTHFRADSGSFVLVLEEEGVTWLNVCEKEDDGLQFIVFDELKKHLRAWILRDSRDVTDPGEQYMPETNLDDEQRSSNLVDYPKKEARLTIGNGKPGYIPSTE</t>
  </si>
  <si>
    <t>GC_00003678</t>
  </si>
  <si>
    <t>MGVDANVKILENFATHVAPAWAWQPNREELVIGYPID</t>
  </si>
  <si>
    <t>GC_00003679</t>
  </si>
  <si>
    <t>MRNHASTEEILGIVTQYIDVTDDSQVLTHHGLDSITAVRLQTAIAAALGVRLPLVDFLGEATVQSLADSLNASEIPVAPEPARPEESDISVAEEVLSGPLTPTQAMYWVGRQSDYPLGGYSTRFYAEYEIPFGGDASLANSKEALVASFQEAWNRAVNRHGMLRATVDRNGIQHIHPEVVVHAVPVNETSVEQVRKRLVRRVPDLDQWPVHDVEITCDPETESSPGVLTVHFGFEVVLIDFPGIMRVLDDIARFLRGGNPENEQDTPDDAGVIEQNFPRMVSMLEKNTSKDLEFWQRKAPNLPAGPLPASWVTTAMELAQAGTVEFVRHQKILSQAHWQAFCANAFRFGASPSGALMAVAAHALRAVGCPAEFGVATTFFDGTTLDHSPVGDYTRTGIVAVPRGSRSFSEQAVEATEGLWAALDHASVTSAEIVKMRSPEQQRDFPVEYPVVFTSAVGHRAAKGGWDIPMSFGVSQTPQVVMDLLHWEEAGKLVLAWDCIDAALPADFADSAITIAEAAIIELSEESAWADPARCSDPWMRKTTPSAASEKLPQPGEHMDSTIDAPLRSQAEADRDATAIIAVDGKYSRGDLQKRAEAYSAAVGELAGDEPVLVIMRKSCEQIAAIVGVVRAGGAYIPVDPSWPIERMEAIVRRSQAQLCIADEGVGFPEDLTRVVPRPVCTSHPADDPSRQVPAPEVDPSDLAYVIFTSGSTGEPKGVAIEHRQARTTIDDVNERFSLNSHDVALGVSALSFDLSVWDVFGVLGAGGTLVLPDESRLRDPSYWLELIESRGVTVWNSAPPLLEMLVDYAEIDPVRAQRSLKSLRLVMLSGDWIPVTLPRRLRQLAPNAVVYSLGGATEASIWSIHHRITPDDEFEPSIPYGKALGNQWFRILDESGNPAPVRTPGYLYIGGEGVARGYLGDPQKTAERFAIHDVLGERLYNTGDMGMWLPNGDIRFLGRVDRQVKINGYRIELGEIDAALARCADVKSAVCAAPTDQNGRRRLVAHVVPANAESFDDQLLREHLHSLLPSYMVPSRFVIHSQLPMNGNGKVDHKALPNPWQADDSVTPSDTESEESPAATTHAGMSAETQALPAASGSALTPTELGISSLDIVRTINRIEDATGSRPLLSDVLSDPWEKTLALATKHEHTEQKESDTPVEAPVTMPTPQTDVASSHDLLLSGIELGMSFRASLPETEEPLEEQFLKAGQWLRTLRQNLPESARLEATASGVNLCDLTIDSPQSVEGSIESTRNADQPLTHRAALTPLQVGYLVGRADTWLGQSVAPHYFTEVDIVDLDIQRLQRALDAVCDIHPEMELTVLKDGIQGTDPNCRPGIVCHRTTTTEEFETELRRVRERMRTGAADPSGQPWLSIEVVAPSQGAKRLFLAIDMLFCDVIGAQVLVEDLLSAYHGKALSTPEGSFLEFANRIAENGATKVIQQKQKTQDSAPVVLPLSRSTSGRFKRHRTTIEGHIARGIEQRAAELGATVDSVIAAAISTSVGAITGSEPQPIVATVLARPRGHERTIGEYTTTAIVDGGSASYPDRAVAAMHVLINAADDAMRGRHHAPAATMIPPIVYSSGLGSGGDQSELLGAFGTTVDAISSTPQVLIDVQFFRHQDGYAIVIDHAVDALQEGTAHGLMTALSSLLRYIADPTHDLSDSRALGDATVAELAEMLTPVSVSWHAFSPHNPQESSERGPSSVGGSLTSEARTRKVASGAGKTTADAMKQHIARALGQAAGTHVSPADYDRGFFDLGANSVDLIAMRNQLVSEGNALTLLDVFTHPSISALAAYLSSGVGGEELVEGNAASSIKLAKNNEENSTRAHSSARARGRNRRRTALATMGEI</t>
  </si>
  <si>
    <t>GC_00003680</t>
  </si>
  <si>
    <t>MGQRSDLPEVPQWLSPLAEATHSGRFYEAISARSRYTTHPVSSAVLMLFAGNHLDDATVLLTHRNPSMRAHSGQVAFPGGRIDPEDETVVDAALREAQEETGIDPRGVDIVGVLDGVAVRSAAQAVAPVVGFWRQRSPYGVVSPAEADDVFEAPIAELVAPENRLRVGHKGWQGPAFRHRGYVIWGFTGGLLDAALRSSGWLEPLPPGEPEPLFEVLRASRNGERTDLD</t>
  </si>
  <si>
    <t>GC_00003681</t>
  </si>
  <si>
    <t>MGVALVLFGGFGGPMVRSTTKAQVSGHKFMQRRAEHGLVLGDIRMIDDPLARRRKAVIGGSVVCAVVGLGAVALAFFRPQHDPGDAMVFAHGGTTYVRVESVVHPVVNLTSAQLIAGEPVEPARASAQYISAASKGAPVGIADAPQRIFPGDDAAGLAWSACVSPDGTMGVEYGVAPQRMAEGWALLGVVPDGTQYVIDADGRVELPAPDSTEGRALRRVLDTRGATLARLSPEFVATIPEKPPVVLPPGPWEIIEEQGSFWLDNPSGVQALTQTQVDVLVLLGAKVRQGRAPDSVRIADAEDRLVLPSQRYQWVDPDTTEVCATEGSFVSVRSDPQPAAAAVVGKAHADSFRAQIAGAVAVWTEAGLYAVTESGRVHLIEPEAAEALGVEGAQAQAPWPVLSLLPRGSTLSRQAALEFAS</t>
  </si>
  <si>
    <t>GC_00003682</t>
  </si>
  <si>
    <t>MTSRRVAAAIFLAVAGVVVWVASRMTWIVVESVDDKSGDKTSVVVGSLWSSELVAVALLLFVCAVAAMALRPMGRRVAGVIGALAGAGASWQALGLLTGEPDASRVRSLLTVGDSAVGGAAQSADQVNHISQWADIVSVEPQVWGPVVALLGCALAVVSGVVVALRPGVVASGDRYERAAYRSTDAAEAEDDDASRALWDALDADIDPTRDN</t>
  </si>
  <si>
    <t>GC_00003683</t>
  </si>
  <si>
    <t>MAENKPRIFQGSKDITISLVVIIAFMAFAVGFTGMCSFNPGAPENGPVHEVDAPAVISMESRAMAFPLRYPDVPEGWIPNSARRMGLNNQPAVVVGWVTPNATYVQLTQTSADLKYALEHIDRHVRTLGEPVNIDGQTFTTYTSDDPTAGEAWGTDLGDVRIIISGGGTKEDYRTMAKAILKTTPIDNTENPESSESAATPASN</t>
  </si>
  <si>
    <t>GC_00003684</t>
  </si>
  <si>
    <t>MAGSAVLGSVDSAPEARTLIDILCATATDFPEAAALDDGDAEGRCCDAPRSRRVRGC</t>
  </si>
  <si>
    <t>GC_00003685</t>
  </si>
  <si>
    <t>MWWASKSTKTHVPILKGLTITQVRDVGGFDIGVMWQSQFKQASVLLEGPFDTVSNYELLELWRTHMAEKSIVGSISTIAQPICTGMPMYALITFLTPGMPKDEAETLVAKEISDCYAPYTVDITWNPLSLLDVAEYSSTIWAPNTENVEFPPLAEQVQESLTSITCDDVTRIVYDVLEDNAINQEINSLVSTGILRDFEEVYRIEVNRLTTDAFRESEKTARLFRRSGILVIETADENSCEQLASEIIGALSPKARLRISRMIGRQHLGALLAAGIPAYGWQYNEHVAS</t>
  </si>
  <si>
    <t>GC_00003686</t>
  </si>
  <si>
    <t>PF23931.1</t>
  </si>
  <si>
    <t>Terminase small subunit</t>
  </si>
  <si>
    <t>MATKHVGEVEAAVLKAVDASGLMDDPRNSGAVAVALSYARQIDDSERASSEDRTKALYLGPHLLKTLMTLGLTPGAPSDDAPKTRGRPKRNKAVMDGLRAINGGLESSG</t>
  </si>
  <si>
    <t>GC_00003687</t>
  </si>
  <si>
    <t>MRSPIIFSNDATPAARRSYGSTSHPHVTPLFEGAFEPDMLGEGYERCTIDLGVDPDGETDIVATVVRHLHQGGNDSDTSASSDVQPSPHSAVLYVHGMTDYFFQTHVAEFFGNHGYDFYAVDLRKCGRSWRAGQRWHHITDLSFYDVELDAVADYLLSHDGGAYDRVIVMAHSTGGLIAPLWLHRRAQRQGLDGIEGMILNSPWLDMMVPKPIARALDPAIGLIAKLRPDMPMPPDNLTAYGESIHKDFNGVWDFDRRFKPVKSPEKSMSWLSAIFVGHRAIRAGRGEVNIPILVLHSSASHINKPYSEATNHADSVLDVRDIARWAPALAGPEGSVTTRVIEGARHDVFLSEPTPRAQAFSDTAEWLTQLPATTP</t>
  </si>
  <si>
    <t>GC_00003688</t>
  </si>
  <si>
    <t>MGSVGIVELLIIVAAWIVPTLLVIGVIVLIGRRGSNKPQQMMQQPIMQ</t>
  </si>
  <si>
    <t>GC_00003689</t>
  </si>
  <si>
    <t>MDRVVCVGSSHRCAPVDILERLSMAPEQQDAFTADLLSLPTISEAMVVSTCNRFEVYAVLAQENDADQMDDDAAMVAAHTDILDVIAQHSAIPVSDVRAVTYTFAGTPAAEHLIRVAAGLESMVVGEQQIIGQVRQAYRGAGAGPVLHSIAQSALRAGKRVHSETEIDDAGASMVSLAFEVAGITSLRGRRVLVLGAGVMASLAATHAGRLEASELVIANRTRSRAEALAEHARQAGVPARVVDFDARAHALDDADVVISATGARSYTIRGEDVAASKTRVGQRTPLFIDLSMPRDIQDSVEDHGATLVNIPRLGEHHHQVSATGEQMAEQIVAEELSQVAGQLRARRISGDIAAVRRRGDAVVAEELSRITARLGLSEQQAEEMHSALRRVADKLLHEPIVQAKRLVEADETVESSDVLQRMFALDER</t>
  </si>
  <si>
    <t>GC_00003690</t>
  </si>
  <si>
    <t>MYPPQSPPPTGGGNTFDAPHNTGMQQSVFVPPSQPEPEPDKQGLSKGAKIAFIVLGLLLTLVVMFAVGFAAGQLSKRNDAAGESTPDAASATHMAEANPDTQWPTRDTTAPLRPLEPDESEIYTQPGFDVWDPCDMPEAMQEKLGLEKFGNSFPVDGPEVKICGFVHYPTPDHQQQILLRMLPSTIDIPLAHSLSEPLPLPESKGSAWQIFPENANDSCISVTRTDKGQLMMISDTDSSTPSNIPTACATAFTVHNALLGIT</t>
  </si>
  <si>
    <t>GC_00003691</t>
  </si>
  <si>
    <t>MGRISSYPEGYKPRKSSGIHCDRCDIVFAVPAPAPDAHGKRICHYCREQETLYGPPINEPPTLFLVEES</t>
  </si>
  <si>
    <t>GC_00003692</t>
  </si>
  <si>
    <t>MTTTTVPERTGTHRAQRAQRPGRITGLDLARALAILGMMFAHILYYSTIDPLKFLTNGYPSTLFAVLSGISLSLMLAHGNEHGGPTLSRARHSVLIRAAIIFGIGIVLDYVQHQIAVVLMAIATNLILLTPITRLRTRWVAATTALTLFIAPFISIGGQYPIGAWLTYGLIGILTYRTITTARLRTTATVAASTIIIAALTGWIRIQQHYDWIRTAASLGWERPGYFTLDGAYLTTWAHTGGIGDIIATGSASAALILLCVLICRLRWASILTYPLRALGMMALTTYTIHVILTGAIAPAIGYIDMHHSQFGYDTYFPNDMGPIYGIEEAGAMGIAAELGIEPQDLADPNVDISGYYLGDWQPWRDRIANTTTWSEAEDIWNEAHLAPFKEDGTFNSSPADPGPQPYGEDYYDPSADRAEEQRGWSPRELLGFAPQSALIILLASTWMFFFRRGPLEWLIHLACSRGSRTDLPPLTRD</t>
  </si>
  <si>
    <t>GC_00003693</t>
  </si>
  <si>
    <t>MKYYRRYSSSILLVLLGVGLCRAVWLEKYQAWVSLPPLVLILSGIGLFALGIFLLLSPTESCCGDNHSIPWYTPWMIGGLCTVVMVISPPMLSTTMVPTANYAVATMGNPNTWEALGTGTPELPLFEVIARSLKPADLRLQGRQVRIKGQISTTSQNVRLLSRVTVTCCAADARVYRVELDDPLKHLQDIHDGQWLMSTVRLQPGTTTEKREWIPLVTVIKVKPVEIQPYDKNKL</t>
  </si>
  <si>
    <t>GC_00003694</t>
  </si>
  <si>
    <t>MERIINTLRKGVPKGLEELAQLGRTLWRRREDVLVYFDIGASNGPVEAINGRLEHLRGIALGFGNLDYYILRCLIHSGQLHARINAL</t>
  </si>
  <si>
    <t>GC_00003695</t>
  </si>
  <si>
    <t>MSRLFPKKQNNLRRKRNRWHGEIIMDYLKRFRLVILITSMVIIAVLGITVAFLLGKEHNTTDTSQEHVGASDPAVDEFDPLNDPAVGAQSLAASILSYSPATDKSPSDGAKRVKDRLTGKYLKAAGDDSAPKPKQWNTWAHDKSKIHTVVKLLDNVDIPADATQAVIPIQAKTSVWHADGDQTPIRKSKINVHMVKEGNMWKLSDMEYLSVSE</t>
  </si>
  <si>
    <t>GC_00003696</t>
  </si>
  <si>
    <t>MPIEKIEGILATAMSRLLITVHEIMFDQLFSNLIFPMAK</t>
  </si>
  <si>
    <t>GC_00003697</t>
  </si>
  <si>
    <t>MPSARTLSRHRIIDAALDILDSYGLADLTMRRLGKSLSVGPGALYWHFESKQALIAALAERIVAPVCAHTDTPVEQPLNREARCLAVDNAASSLRSALLEHRDGAEIVSAALTHEPLATMLRATLRSATGDDVAANTLLYFVLGATAHEQSALALAQAVAPDATESQVHSVHDAATEQFNQGVELIKVGIVATQAQ</t>
  </si>
  <si>
    <t>GC_00003698</t>
  </si>
  <si>
    <t>COG3547</t>
  </si>
  <si>
    <t>MPSSSPTRDDSSPMPYAPLTAPIVIFQQLKVLNGIDDDLTRAYTRLINQIRSTLVGTYPECEHLLRGSMIHRRWILELLAHYGGPTKLRRLGRSRAITCAKKHTARNPAPIVDALCDAITSQKLTLPGAGEAELGISTGRHRRPGEIGPP</t>
  </si>
  <si>
    <t>GC_00003699</t>
  </si>
  <si>
    <t>MSNYLMGQSSLLATPLSRNEIGDLGYVVGSAGSISAVAEVWKNTFAEINPVAKIVSDMVASHSFLPKYVPDFSGILKITECVPDFSGIVKMPELMSGFSEILKVSDFVSESMISVMKCSGIMAYQQGLLKEQLSILTANNVLPDMSKLMDRIYQTNKIITRDLQTKIEELQLVDDGSIASQDEYHEESNLEEISVPEEISIGDDDDGCLDQHSLPEIGDLLQMCQVSIDLQRRILSELQKKRTDWNLITSVMNLLLMVIQTVKAFF</t>
  </si>
  <si>
    <t>GC_00003700</t>
  </si>
  <si>
    <t>MTIPIPHTAAGLHGAGTDVKLSPSAAAHVRSHTNGQSGRQEFFIQFGSDATKTAMVRIGDNGTVARKVAAALNGFDSPVAIETAARRLHRCGLSTAATHLLLSELLTYDIVLSHHPAPSVALMGNNRLALQIRQLLSAHGISVRIPLKNESAPAFLAGTSASRPIVSTASMPVHRQAELARAVRSFGGVFIPVRVADGRGVVGPISINHFGPCPVCVDMHHAAADPHCSLASRQAFTPPDPDVLTMEEGFVASFVAALLARHYGAAGPPPGMRHHQPQRLPQLQAGAMFELSPFLVDINTTVVQAHPGCPVCW</t>
  </si>
  <si>
    <t>GC_00003701</t>
  </si>
  <si>
    <t>COG0476</t>
  </si>
  <si>
    <t>Molybdopterin or thiamine biosynthesis adenylyltransferase (ThiF) (PDB:1ZUD) (PUBMED:32239579)</t>
  </si>
  <si>
    <t>MTDASSPTSGLSEAEYARTERNRVLIGDEAQRRLHASKVLMIGAGGLGSPCLLALTAAGIGAIDICETDTVDVSNLQRQTLYRVHDIGRPKAELAVERLSGLAPECTLRSVGRFSADRAADLCAGVDLVIDGSDNFDTRFLAGDITAELGIPLVLGAVLGHEGQVAVFNWIDPDGRVGPCLRDLYPEPPSTPADPAQRGVLSSTTGVIGSLMAAEAIKVVSGTSPAPGLLRYDGSRGSFKRFSISSR</t>
  </si>
  <si>
    <t>GC_00003702</t>
  </si>
  <si>
    <t>MGHDSPATWGDKNLVAAPAMRTQADGSAWISGCGAWYIDKRTNTLTALWPGYAYEFRAEMADIDQADFHTDR</t>
  </si>
  <si>
    <t>GC_00003703</t>
  </si>
  <si>
    <t>PF00486.34</t>
  </si>
  <si>
    <t>Transcriptional regulatory protein, C terminal</t>
  </si>
  <si>
    <t>MNAPQKILIVEDDVALAHAISINLKARSYEVHTANTASLALRIAGEWSPDLIRNHGSLVSKTGPTACGVGENYNRETNYLRVYLFQLRQKLEADPKNPRHFITLPSVGYRFEQ</t>
  </si>
  <si>
    <t>GC_00003704</t>
  </si>
  <si>
    <t>MNNFSNPTNDPRVDPLIEQLGIAERELADAQALVNSAHNTLGHIRLQLSAQYARQAQQPQASVAQQPAQQEAAAAQPIAPQPAPWPTPAVNAAAPNTTEANPQPAAAHTGEGSTPGGLVPTLPPTRRPAVTPQAPWYSNETTVIRLVAIAGAILTIFGIGFLVALAIQRGLLGPVGRTVLAYTISALLVLAAFGLNHKAQDAAARSEGKKSSDSHGFAIARSAFAFTGFITAIITTHTITGLLEWMPSVLGQAIAIALAIAWLVVAKIFRSDILMILSGVSSFVALTAFYATQGIVLVPAIFIGLLMMLLTRKSGNSMLRNWSTGLALVGTWVVPTNSPPPFIYVADSVMRPITVLWYVPLSVAFALGLTLVVMRDPRPTVARTEQWSAAFVPALILIHQAAYTTAHAPLNSISVAKWWLLWPAIAAALLVVIAFNKAWMPKPTDSPSPAAFVAPTLANSAIAAWLVVSVIAMTAFYPWVTFVACITVVMVLWKREGFTVAPWLMVAVAAVLASLPLGGIALGLTPSDAQDLDSPFNALTALVLVALVLAARSAMKGFSQKSLFILALCGLWLFMVAVVTLCGSLGYFLAGESGAKSTIKLWFMVGHACVSVTWLLLAAYLMLGRRFLNSTAALVAALVLAGAGATKLIFFDLGNLSGVPRVLAFILGGLALLGVSALRSSKKKESAPAQHQIS</t>
  </si>
  <si>
    <t>GC_00003705</t>
  </si>
  <si>
    <t>MKITVYSTPNCVACRQTKRLLTRQGTPYMEAHISEAPYTIPELKELGYQTSPFVQVLDSTGGLIDEWAGFKPDRIKAIAAH</t>
  </si>
  <si>
    <t>GC_00003706</t>
  </si>
  <si>
    <t>PF16868.10</t>
  </si>
  <si>
    <t>K07080</t>
  </si>
  <si>
    <t>COG2358</t>
  </si>
  <si>
    <t>TRAP-type uncharacterized transport system, periplasmic component (Imp) (PDB:1US4)</t>
  </si>
  <si>
    <t>MNTAIISRRSFLTAVVALGASALLGSCSRTPTDQLVFSTYKAGTGTYNDLASFANIFTTHHGTQVRLMTSDTSIGRIAPLINGTAQLSRAADETHYAFEGDDEYASAAWGPQAIRQIWTPPGNYGVLTLKDSGIETAADLKGRRVPRILAAVSTNRKIEALLNFGGLTPDDVTFVDIAYSEQAAAIKAGHIDVMYQNVVGAAISELASTHPIRWINVGGGSKEQYSTWESLAPMMRPGPTHDAAGLAEGEEAWTFQYSIVLATLATFPEDRVYTMLKTLHDNFDSFVGTTPDAQRFALDNILLTPLVIPFHPGTVRFLKEHGRWNDSLQARNDALLEREKLMHAAWPDFLEEHKHIKNPAAEWKKYKKDNLPRLPEVVEP</t>
  </si>
  <si>
    <t>GC_00003707</t>
  </si>
  <si>
    <t>MKENKADKGSENLSEMLGVLARCAAPGAKPATVAELDVLNAGFAGPEQWLGLRYTSISSERVEASMVVQQCHMQPWGDVHGGVYAMCAESVASILATMGAIAASKTHAVGVTNSTEFLTPVRSGVLDVVATPVRQGYVSSLIDVAMFQRDKLVAVSRVRTIQKPTQQAHGR</t>
  </si>
  <si>
    <t>GC_00003708</t>
  </si>
  <si>
    <t>MNTALGSAESTLLPALACAAALLIVHGAPAGRIQSQQRAIDQRLIVIPMAALGVASPLPISVVAALCITGLSIHACATALWAAQRRATQAREASTILGLLRADVDAGATFGEALKVAAEQTGNAACATAAAHAHHPAKAAAALAASEQPDIARLGRVWSSTHTHGVSLHAVLTQQQHQVDAWLNRRSSTQAGAQGALATALTLSVLPVAGIALGHALGADPIGFLSGGGVGALVLLLGVTCDAIGIYWSTRIILKATTKKGH</t>
  </si>
  <si>
    <t>GC_00003709</t>
  </si>
  <si>
    <t>K00529</t>
  </si>
  <si>
    <t>3-phenylpropionate/trans-cinnamate dioxygenase ferredoxin reductase component [EC:1.18.1.3]</t>
  </si>
  <si>
    <t>COG1251</t>
  </si>
  <si>
    <t>NAD(P)H-nitrite reductase, large subunit (NirB)</t>
  </si>
  <si>
    <t>M00545</t>
  </si>
  <si>
    <t>Trans-cinnamate degradation, trans-cinnamate =&gt; acetyl-CoA</t>
  </si>
  <si>
    <t>KEGG Orthology (KO)&gt;&gt;&gt;09100 Metabolism&gt;&gt;&gt;09103 Lipid metabolism&gt;&gt;&gt;00071 Fatty acid degradation [PATH:ko00071]|KEGG Orthology (KO)&gt;&gt;&gt;09100 Metabolism&gt;&gt;&gt;09105 Amino acid metabolism&gt;&gt;&gt;00360 Phenylalanine metabolism [PATH:ko00360]|KEGG Orthology (KO)&gt;&gt;&gt;09100 Metabolism&gt;&gt;&gt;09111 Xenobiotics biodegradation and metabolism&gt;&gt;&gt;00362 Benzoate degradation [PATH:ko00362]|Enzymes&gt;&gt;&gt;1. Oxidoreductases&gt;&gt;&gt;1.18  Acting on iron-sulfur proteins as donors&gt;&gt;&gt;1.18.1  With NAD+ or NADP+ as acceptor&gt;&gt;&gt;1.18.1.3  ferredoxin---NAD+ reductase</t>
  </si>
  <si>
    <t>MSTTIVGGGIGGFTVASELRARGYDAEITIIDPHGLPYDRPPLSKEILSGEKNAEQLLLAPRSWYEENNVHVKKAHVARICGVERQLHFDDGTAEGFDNLVIATGGVPRALPTPGFDDPGLFVLRTTEDAAALKNVLGEGVHLAIIGAGLIGAEVGSSAQDLGAKVTLVDPAPVSLVPAVGEEIAARLHDMHADHGVEHICGLTTKLEKTDDGYRLHIDGERTLDADHVLLAVGIVAEEELAQSAELECDGGVLVDHEQRTSMEKVWAVGDCARLRNADGSLERRHEHWESAVHEAQTAAASIMGDELPQHGASWFWTDRYGTHVEGIGSMTAPGTTVIRPDAEGKPCVAFRMHHDGRMAGCASVNDGMAVRAARRIIDRGLTPDQEALADPAVPLKKLAK</t>
  </si>
  <si>
    <t>GC_00003710</t>
  </si>
  <si>
    <t>MVAMDGWSAYDVRASKNLRRLRKARGMSAQGVADEAKKLGGMISQPQIAQTENGRRRLSLDNVVVLARVFDVSPLEFLYPIEEDGFTEREIRSHLVGLYNLPDRDTTPPIIYAQIGPLVAELYERWLGREVPNPEAFYPEAEMPEEEFLRQLETGEIKEPEHPELTPEQLQKMFDEYAASPEYVEALKDELMTVKEEYQEVLQRVERLEKGDGGR</t>
  </si>
  <si>
    <t>GC_00003711</t>
  </si>
  <si>
    <t>MSLSDREQQALREIEMSLMADDPNFGRIDEGPALPGVALRSIALFALGLCMLVGGIAFVKTSQLFLILSAVGFLVMFVAGIWFVRGSSANNQGGATPTSKRRLNSASKPAKSKKASSLEEDFYKRFNRD</t>
  </si>
  <si>
    <t>GC_00003712</t>
  </si>
  <si>
    <t>PF00441.29</t>
  </si>
  <si>
    <t>Acyl-CoA dehydrogenase, C-terminal domain</t>
  </si>
  <si>
    <t>MNDDHAPFPGPHAAAPLADSPINTELLANVPFPNADILEVERLLSEEERAHLHKVRNFLQTEIRPVVGPYWDREEFPFELLPKLAEYGLGEIELSGFSRLLKGLLYAEVTRADVSLSALVGIHNELVVGAIDQLGSEEHKNTWLDGLRNFTKVGCFALTEPDHGSDIAGGLATTAKRTEDGWVITGSKRWIGGGTFADFAVVFARDVDDNHVKGFIVELDRDGVSKTKISRKMGLRIMQNADLGFDNVLVPHAALLPGATTFAGTNVMLRNSRAWVGWQAAGVQLAIFERARDYVLTRDQFGKKLAKFQLVQEQLARMVGNAAASISMLAQVAWLQENSGFDMPHAALAKATATRFARESASLARAMGGGNGILTDFELSKLFNDVEILYTYEGTYEINSLIVGRAVTGVSAFV</t>
  </si>
  <si>
    <t>GC_00003713</t>
  </si>
  <si>
    <t>K01533</t>
  </si>
  <si>
    <t>P-type Cu2+ transporter [EC:7.2.2.9]</t>
  </si>
  <si>
    <t>KEGG Orthology (KO)&gt;&gt;&gt;09190 Not Included in Pathway or Brite&gt;&gt;&gt;09191 Unclassified: metabolism&gt;&gt;&gt;99980 Enzymes with EC numbers|Enzymes&gt;&gt;&gt;7. Translocases&gt;&gt;&gt;7.2  Catalysing the translocation of inorganic cations&gt;&gt;&gt;7.2.2  Linked to the hydrolysis of a nucleoside triphosphate&gt;&gt;&gt;7.2.2.9  P-type Cu2+ transporter</t>
  </si>
  <si>
    <t>MRTPHHSGDHHGDHPAQETDHTHHPDHASHEHHADADTHGHAMPHGHPHSVLDDDHHVHGHGEHAGHSTAMFRERFWWSLILSIPVVIFSPMVAHLLGYHLPAFPGSTWIPPVLGTIIFVYGGTPFLKGGWNELKSRQPGMMLLIAMAITVAFVASWVTTLGLGGFDLDFWWELSLLVTIMLLGHWLEMRALGAASSALDALAALLPDEAEKVIDGTTRTVAISELVVDDVVLVRAGARVPADGTIVEGAAEFDEAMITGESRPVFRDTGDKVVAGTVATDNTVRIRVEATGGDTALAGIQRMVADAQESSSRAQALADRAAALLFWFALISALITAVVWTIIGSPDDAVVRTVTVLVIACPHALGLAIPLVIAISSERAAKSGVLIKDRMALERMRTIDVVLFDKTGTLTEGAHAVTGVAAAVGVTEGELLALAAAAEADSEHPVARAIVAAAAAHPEASRRQIRATGFSAASGRGVRATVDGAEILVGGPNMLREFNLTTPAELTDTTSAWTGRGAGVLHIVRDGQIIGAVAVEDKIRPESRAAVKALQDRGVKVAMITGDAQQVAHAVGQDLGIDEVFAEVLPQDKDTKVTQLQERGLSVAMVGDGVNDAPALTRAEVGIAIGAGTDVAMESAGVVLASDDPRAVLSMIELSQASYRKMIQNLIWASGYNILAVPLAAGVLASIGFVLSPAVGAILMSASTIVVALNAQLLRRIDLDPARLAPTSPKEEHTTPTPPSTAVH</t>
  </si>
  <si>
    <t>GC_00003714</t>
  </si>
  <si>
    <t>MRQAAHQHTRAHARALLITCAAALPLATACTQLDPDHVEQLRAEVITRYPFDADSFTQGLEFDNTGNLLVSTGWWGEGRVYRTTIEGTETATSEVLDPELFGEGITVAQPSGPLWQLTWKAGTAYKRDPHTLRTQDTVTYRGQGWGLCAYEDYLVMSDGSATLTLRDPHTFDVIGTRDVINPDTGEKIDKLNELDCTYDRHGHNAPRVLANRFLTTDVYEINPDDGHVTAHIDASGLPNNATPDPNNVLNGIATANPHERNSDAGTAGRLFMTGKRWPDLYEVALVNVE</t>
  </si>
  <si>
    <t>GC_00003715</t>
  </si>
  <si>
    <t>MRFRSVNSAWCSWFSIMGAVQSTGGGWAARNNVPAQSTSGRSKSMSIGAVLKLIKPDYPQITHSKIRYLESEGLLEPQRTATGYRSYTMDDVERLRFILDMQRDRYLPLKVIRSQLEAIDRGEVSALPASQADEAAHRGSDRMKLSELAAQTAMSEDDLMGLINAGLITPDAAGLFSSSDVSVIAVISQLVEYGLDVRHLKSLKNHAQRQVDLVTQVAGPVARAKDDAARGRAEEIARQMMSLIVSLNEDVFHRELLKEFGS</t>
  </si>
  <si>
    <t>GC_00003716</t>
  </si>
  <si>
    <t>MERSDDTAHTPPPEAGDSGYASVTTAGLLAALVAVMLTIAAAIGHVAERHIHQVAADLAAVAAAQALWSPTQRDPCTSAHQVADAHGISIDTCTIDGLDVIVRTSRAQSRAGPIEDATQK</t>
  </si>
  <si>
    <t>GC_00003717</t>
  </si>
  <si>
    <t>MSHDFECLDSELLIDAPIIAVRRDRVSMPQGRIVSREVVEHFGAVAVVALDGDLHDPSVVLIRQFRTAVGRRLLELPAGLLDIYGEDPWVCAQRELYEEAGLKADTWDLLLDAAASPGFSDEAVRIFLARGVHFVGRPEAHDEEADLEIVTMPLREAVQAVFDGRVDNAFASLGLLAAWQAVNARADVQLRDVSTPFVLRPTALAARRHAEGFDADMKKIPAEDPHGEG</t>
  </si>
  <si>
    <t>GC_00003718</t>
  </si>
  <si>
    <t>MGGFVIDKKDLTQALKEVTPCASKDEKLAPINQVQIAIIEGVPLLLATNRIICIAKRLDAVATRTGEMPNAALSLADCKSLKTWLAKKRGMVTLVFDKEHVQATQGTDRIEFNNAALAKPLDIIGMIKLTVGNATDTINTNELLPVNPHLLRHLKGIAVRPVAAGATAWVFHSLYDESVIGVVMPMCLAEEKQSIDYLRHMAGIGGAK</t>
  </si>
  <si>
    <t>GC_00003719</t>
  </si>
  <si>
    <t>PF02447.22</t>
  </si>
  <si>
    <t>GntP family permease</t>
  </si>
  <si>
    <t>COG2610</t>
  </si>
  <si>
    <t>H+/gluconate symporter GntT or related permease, GntP/DsdX family (GntT)</t>
  </si>
  <si>
    <t>MLIPVLGIITSLAVLLVLAYRGHSVVAVAPIAALVATVMSGAPLLATYTQIFMPALGKFIVSFFPLFIAGAIFGKLMSSSGLAADLAQGISRLFGPKHAMLSVVLATALLTYGGVSAWVVAFTIVPIAMELFHEAGIPKRLMPAALAFGTITFALAALPGSPQVHNVIPTRYFGTDTYAAPIIGLIGTAMMFTMGMAWLQYRIRQLKAAGETYLPEGETDLGPDESKEPFVDPSVDQEPHLPAGHVVTHTNTTSHFDSPSPLPTDTTSHDAAVATHAAPAAGSAAVATSTPDNWKIRGLLGLLPIAVVIGMNYVFVHWIASHMNFDYLADDKFGATKLSSVIGVWSVVVAIVTAIILIFIMRPKMVRNMFNELSDGAKNAILPCFTTASEVGYGAVIASLAVFAAIKSSMFSIDGDALLVGIAATGVISGITGSSSGGLSITLEAFADQLSTMAVEQGISHETLHRLIAMASVCFDSLPHNGAVLTILLVCNMTHKKSYKDIAAVTVVIPLISLAVLVTGVYLLGLGG</t>
  </si>
  <si>
    <t>GC_00003720</t>
  </si>
  <si>
    <t>MKLKSAHDACSTTWGEELLLDLDGGDHDRLNRTVVAIRSGRRNCLNDLLGILSGDLTEDGVAVVQVRGRSNRDEELGTVGARARIRHSQQEGAVKLELRVELVSELVAGAATAGTCGVAALNHETIDDTVEGGAIVEGARVGSVSVFDILLGALRQANKVSDGLGCVIAEKFDLDVTNIGVHDRCCSLQSHERHATNAKQVMVVMFAHGLRTIPPGPPSFLQVFRSTGTLVCMNSDLLKLGMKAVKTYKKSSKDTYKDLKKRYGDVFEQALDSAREQAEQAMNSDLMKNAANAASNVSDKASEKAQELSNKAAEFGAGIGELAQVRTEEAKKLSRREAKKARKAAAKAKKQATKNVKKRGCCSKRKAKKLQKRAEKALKAQGKDKGGFGKVLSWLILLAGVGAAVYYFFFREDISIEKEPPTVNDLKKKASDVADKAADKAEEVKEAAAEKAEELKDKASDAADAAKDKAEEVKDAAKDAADKAGAKVEQAKNQAQNKAQQPKKNTK</t>
  </si>
  <si>
    <t>GC_00003721</t>
  </si>
  <si>
    <t>MNNPLVQLNCVSYRNIIHDATLDIHPGDRLGIIGPSGSGKTTLMRLMMGALTPTTGTVCSRGRFSYIPQDIDASLNPHLSVRDVIIEPARINRIEPPSVDNLLRTLDLDPALADRSPRELSGGQRQRVAIARTLITNPDIIYADEALSALDAHTKHLALDTFTNTTLVLVTHDLSAINTLCNRWIVMDQGHIAQQSTGPLTDDAAAAELIHAARTLGEFP</t>
  </si>
  <si>
    <t>GC_00003722</t>
  </si>
  <si>
    <t>MCSQATKKPPLPLEGMNPQVTQPYPQNPVSKLASWDYAAGGLHPVDYNNRLSAIMVATMWSHLVAVFADLPAPGPAYDGGQLFKACRRTQKTSYTPFMVGIIFLFIVCLPFTSFVFMSGDPTLIMILPALSWIMAIGAEVASRIARCNFIKQLNPQQREFLHAAEQVRAIRLCSQ</t>
  </si>
  <si>
    <t>GC_00003723</t>
  </si>
  <si>
    <t>MTSRHSRPVGACGSARGWRTQGPFLSCSLLVSTTVTCRRPSMFPGVAKTAGTHKELEVIHLTFIHGIEKFTLLDHYFFICLAEYLDRNSDPLDITYGFYTVALLVASGVFAFISSDKLKLPEKKHHRIVRGGFMIIHYALSNCPRRRSVSGSPQTANHGHAPHNPSHSPPRTHWEYRTPNQTAQP</t>
  </si>
  <si>
    <t>GC_00003724</t>
  </si>
  <si>
    <t>MASGTQTLKNYINNEYVAAQGEGTLELQSPVTEEVIAISPISNEADVNAAVAAAKEAFKTWRRTTPSERQACLLKLADALEGHGREIAEIQSRETGQLIAMVESEECGVGADQLRFFAGAARVLNGLSQGEYMEGHTSSIRREPIGVIGQVTPWNYPLMMAIWKLGPALAAGNTVVIKPSDTTPSSTLKFVELIGEIFPKGVVNVVLGDASTGATLVAHPDVAMVAITGSVPAGRAVGKSAGENLKRSHLELGGKAPVVVFEDADLQAAAEGIAAAGFFNGGQDCTAATRVLVQDSVQEEFTKLLVAEAEKLRPGAPDDEDAFYGALNNARHFAKVIEILENLPDYATIATGGKRVGDKGFFLAPTIITGLKQSDRPIQEESFGPILTVQPFADADQALEYSNDVSYGLASSVWTNNHKIAERFSRELEFGCVWINCHIPLVGEMPHGGFKDSGYGKDLSMFGFEEYTRIKHVMSAH</t>
  </si>
  <si>
    <t>GC_00003725</t>
  </si>
  <si>
    <t>MRRLLRWGGVDEALRWAPMSYYSTPSSPYADFFRTRKVTTALSVLIIACYFVLKPSWAGFSAYALDSGHWWVLVTNFFTHFSLDHLLFNVMMIVLVGGEIERVFGPGAMLLTFFLGGFGGTLAVWAFDPYSLTAGASSAGYAVMGVLLMMSRDKRGPAVLLGINILYSFFPGVSMWGHIGGLVGGFVAAGIIKAMFRRQQAGSRGAPWSMG</t>
  </si>
  <si>
    <t>GC_00003726</t>
  </si>
  <si>
    <t>K01692</t>
  </si>
  <si>
    <t>enoyl-CoA hydratase [EC:4.2.1.17]</t>
  </si>
  <si>
    <t>M00087|M00957|M00878</t>
  </si>
  <si>
    <t>beta-Oxidation|Lysine degradation, bacteria, L-lysine =&gt; glutarate =&gt; succinate/acetyl-CoA|Phenylacetate degradation, phenylaxetate =&gt; acetyl-CoA/succinyl-CoA</t>
  </si>
  <si>
    <t>Pathway modules; Lipid metabolism; Fatty acid metabolism|Pathway modules; Amino acid metabolism; Lysine metabolism|Pathway modules; Xenobiotics biodegradation; Aromatics degradation</t>
  </si>
  <si>
    <t>ko00001|ko00001|ko00001|ko00001|ko00001|ko00001|ko00001|ko00001|ko00001|ko00001|ko00001|ko00001|ko01000</t>
  </si>
  <si>
    <t>KEGG Orthology (KO)&gt;&gt;&gt;09100 Metabolism&gt;&gt;&gt;09101 Carbohydrate metabolism&gt;&gt;&gt;00640 Propanoate metabolism [PATH:ko00640]|KEGG Orthology (KO)&gt;&gt;&gt;09100 Metabolism&gt;&gt;&gt;09101 Carbohydrate metabolism&gt;&gt;&gt;00650 Butanoate metabolism [PATH:ko00650]|KEGG Orthology (KO)&gt;&gt;&gt;09100 Metabolism&gt;&gt;&gt;09103 Lipid metabolism&gt;&gt;&gt;00071 Fatty acid degradation [PATH:ko00071]|KEGG Orthology (KO)&gt;&gt;&gt;09100 Metabolism&gt;&gt;&gt;09105 Amino acid metabolism&gt;&gt;&gt;00280 Valine, leucine and isoleucine degradation [PATH:ko00280]|KEGG Orthology (KO)&gt;&gt;&gt;09100 Metabolism&gt;&gt;&gt;09105 Amino acid metabolism&gt;&gt;&gt;00310 Lysine degradation [PATH:ko00310]|KEGG Orthology (KO)&gt;&gt;&gt;09100 Metabolism&gt;&gt;&gt;09105 Amino acid metabolism&gt;&gt;&gt;00360 Phenylalanine metabolism [PATH:ko00360]|KEGG Orthology (KO)&gt;&gt;&gt;09100 Metabolism&gt;&gt;&gt;09105 Amino acid metabolism&gt;&gt;&gt;00380 Tryptophan metabolism [PATH:ko00380]|KEGG Orthology (KO)&gt;&gt;&gt;09100 Metabolism&gt;&gt;&gt;09106 Metabolism of other amino acids&gt;&gt;&gt;00410 beta-Alanine metabolism [PATH:ko00410]|KEGG Orthology (KO)&gt;&gt;&gt;09100 Metabolism&gt;&gt;&gt;09109 Metabolism of terpenoids and polyketides&gt;&gt;&gt;00907 Pinene, camphor and geraniol degradation [PATH:ko00907]|KEGG Orthology (KO)&gt;&gt;&gt;09100 Metabolism&gt;&gt;&gt;09111 Xenobiotics biodegradation and metabolism&gt;&gt;&gt;00362 Benzoate degradation [PATH:ko00362]|KEGG Orthology (KO)&gt;&gt;&gt;09100 Metabolism&gt;&gt;&gt;09111 Xenobiotics biodegradation and metabolism&gt;&gt;&gt;00627 Aminobenzoate degradation [PATH:ko00627]|KEGG Orthology (KO)&gt;&gt;&gt;09100 Metabolism&gt;&gt;&gt;09111 Xenobiotics biodegradation and metabolism&gt;&gt;&gt;00930 Caprolactam degradation [PATH:ko00930]|Enzymes&gt;&gt;&gt;4. Lyases&gt;&gt;&gt;4.2  Carbon-oxygen lyases&gt;&gt;&gt;4.2.1  Hydro-lyases&gt;&gt;&gt;4.2.1.17  enoyl-CoA hydratase</t>
  </si>
  <si>
    <t>MSTFENILIERRGRVALITLNRPKALNALNSQTMEELVQATGELDGDTGVGCIVLTGSEKAFAAGADIKEMSSQSATEMYMSNFFAHWENFTRVKTPIIAAVSGYALGGGCELAMMCDIIIASESAKFGQPEINLGVIPGMGGSQRLTRAIGKSKAMEMCLTGRMMGAEEAERSGLVSRVVANDELLDEALKTAETIASKSKVAGVMVKEVVNAAYEMPLAQGINFERRVFHSVFASEDQKEGMSAFVDKREAEFKHR</t>
  </si>
  <si>
    <t>GC_00003727</t>
  </si>
  <si>
    <t>MHGLIQLAVRIDLPHASKRTRLPQVAIEVPARSCLAEVLDDIIDAVGAPELSISWQARTPLGQPVDAGMPLGELGLVSGDCIVLMPHNGAQGTILKDAAESLVDVASVPAPSPLGVPTLVAACLAAAALLSGGARRVASTVADSDVAVTSTSSALLAGGCLLFALVTWLLSVRATQKDRQHYAPAMVLAGATVAYAAAAAWVMVGGYTTFSEAASCSFGAGGLGPCRAPESTVGYSVIAACAATCGASILVVVAHPPALSAVRLGPFVSDHQRQAERSIARRIVMWVAAASSAASVGLLSSWAWFLPHTSVTSVAAVCEAVSLVVLVVLAHVSIRFAGLKLPTLPGPGTDIEHCEDIQPDADEHAERAAAIHSGAIAGVCAVAIWGCVRIGLDSAGGFPQALVVCVGAAIGLHSVRHSDRLSQWLLWCWATSTIVASALVAAHSPQSLNLWAWVPPILMCFSALTHTRWAGVLDRLSPTTIAWLERLETLALVACIPLALHLAGVFEMLRSM</t>
  </si>
  <si>
    <t>GC_00003728</t>
  </si>
  <si>
    <t>MATTMLVAFDGSDEARHAVEYAARLLTPRHVFILTAWEPLHRQAAKAAGATGLHQVSWNAVDEMEDPARAEALSVCREGVELAESLGLTAEAHLVESTTAIWSAIVDAADQLRPDVIVSGTRAVTGLKSLWQSSTADNVINNAGLPVFIVPPLD</t>
  </si>
  <si>
    <t>GC_00003729</t>
  </si>
  <si>
    <t>MTFSIHRRRLSAAASIVSIAAAAASLSACGDDAPGHHSASGDVHCDYSTTPSQAKPGTTVPSGGPATEDVTLTLETNRGEIPIELHADKAPCTVATITHLAQEGYYDNTICHRLTTSGLFVLQCGDPTGTGSGNPGFKFADEWPVGESSKGNLYHAGTVAMANSGPNTNGSQFFINYEDSPLQPDYTIFGEATGNGLDVVRAIAEKGTVDDIPSGPPAESVEIIKARVN</t>
  </si>
  <si>
    <t>GC_00003730</t>
  </si>
  <si>
    <t>MSQPVKSVDLAGSTDVVERVRKVLDAEAESLVALRRELHQIPELALDLPQTASRVRAEFEALGCEITDAREVSGFVAVLRGGGYEPGDKHPTVLLRADMDALPVVEETGVEWASTNGAMHACGHDMHMAGIVGAARALHAVRDRLVGDVLFFLQPGEEGWDGAQHLIDEGLLEASGAQPDHAYGLHVWSGRFPSGIITTRPGALMASTDSMHIEVKGRGGHGSAPFLALDPVPVIAEIITQSHVAVTREFDISDPVVATCGAVLAGTTSNVIPDSARASFTLRTFSEANRQRLPDVLERLARGIAAAHGMDVVVEREILYPPTINDAAEAAFVEQVTDAVFPGRFAELPAPLGAGEDFSKILQRIPGCYVFVSAVPEGVDAESAPFNHSPRAFYDDSYLTDCSLLLASLAVARLCP</t>
  </si>
  <si>
    <t>GC_00003731</t>
  </si>
  <si>
    <t>PF00108.29</t>
  </si>
  <si>
    <t>Thiolase, N-terminal domain</t>
  </si>
  <si>
    <t>COG0183</t>
  </si>
  <si>
    <t>Acetyl-CoA acetyltransferase (PaaJ) (PDB:1AFW)</t>
  </si>
  <si>
    <t>MTTYIITGLRTPTGRYGGALAHIRPDDLVAEVIRGVINETHIDPHTVDEVLIGNANGAGEDNRNVARMAWLAAGLPDTVPAMTVNRLCASGMSAITTGTALIESGQAHLVVAGGVESMSRAPWVMEKPKKAFSRPGEIADTSIGWRFTNPKFLARDKMTYEMPETAEEVARVCNISREESDLFAYDSHMKAAAATDAGHFTREIHSIAIDSDETIRRTTTIEKLETLRPVVAGGSVVTAGNASSLNDGASVVLLASEEAVQRYGLTPRARIVGSATAGLAPEIMGLGPVPATRNLLERIGGSIDQFDAVELNEAFAAQSLACIKEMGVDPQVVNQWGGAIALGHPLGSSGCRIVITLLNRLEKNQGTRGLATMCIGIGQGQSLAIETV</t>
  </si>
  <si>
    <t>GC_00003732</t>
  </si>
  <si>
    <t>MGDRIVARGLGFRHSTRKQFAFRGVNIDIPAGQRVLLVGASGVGKSTLLAAVAGVLGPDEGEFEGQLTVGDQPPAPGRVGMVLQDPDSQVMYARVGDDVAFGCENMGVAREEIWRRVPEALSMVGLDLPLDHPTSELSGGQKQRLALAGVIAMQPDVIVLDEPTANVDPEGTRDLLAAVQRCVDATGATLLVVEHRVDIWAPQVDRVIVLGRSDDDAAESNGAGAVVADGSPEDVLVGSSEFLRRIGIWVPEAYDENRGDDAGMPVVHEQSAGDMKEQPVLQARGLVTGWAIDAPMGTVVQCSTARCSSDTSGLDLEVFAGSSTVITGVNGVGKTTLALTLAGLLEPLAGTIQVKEYKRPPQQWSSRALARRIGFVFQDPEHQFMAPTVREELLLAAASQTLPPDGLARFFGQFGGVKSYLKRLDGQHRVAAEAEAASLLERLRLEQLQHANPFTLSGGQKRRLSVATALMAKPSIVILDEPTFGQDRRTFFELVELLRDLTRAGSAVISITHDPLFIELMGDQRWNLEAAR</t>
  </si>
  <si>
    <t>GC_00003733</t>
  </si>
  <si>
    <t>MLRKIARPMVASAYIADGVSTVKNAQQEVDTTATLIQRVRKMLPRQYRLAVPNNPVVLTQGIGAARIVAALALALGKAPRTSAAVLAAIEVPSLVGRNAFWEAQDPEVKRLRRSGFISDVALLGGLLIASADTAGKPGLKWRANKLVEDVTDDALRATKKARKATMNVIEH</t>
  </si>
  <si>
    <t>GC_00003734</t>
  </si>
  <si>
    <t>MKKLGTPSPRHIGRPAGSTPQLDAVPEDRFKGTDAATVKALSDLVGADNVLHRISDLVRYASDASAYRLIPQVVVRPRDARDIAAVVQWANDNGRHIVFRSAGTSLNGQSITDDILMDLKTHFGGMRVLDGGERLWSRPGVILGDAQAVLSRHGYMIGADPGSTSVCTIGGVLADNSGGMRCSVDRDSYHTLEDATFVLPSGTIVDTTSPTADADLKAAEPQLYQGLVDIAERIRSDAELSAFLRKKFTIRNTNGLRLDAFLDEDSPTRMLMRLLVSSEGIFGAITESVIRTVKLPRHKAVAWVMLPSLRDAASYVHALVQAGAEACELLVAPVLRDAVGNFPAAKQHWSDLGDDAAALLLEVGGATDEELDEAIARTQSVLADAELLEPTVFDKTEKGMRGAWQIRSGLFGLFGAGRPDGSTYITEDVCFAPEDIGDASADLLNLLTEYDYPPLVMGHAAFGNLHFSMFPRLTEPEEVEHYANFIDDLAELVIDKYHGSLKAEHGTGVNMAPYVRREWGDVAWNIMWELKNLIDPHGILAPEVKLTRTEDIHLKNFKSFPKVEKEINACVECGFCEPVCPSRHVTVTPRQRIVLRREMARQPEGSKVLHQLQEEFQYDAVDMCAADGTCAIPCPVSINTGKVMKDMRAHEHSDSAQKAGINAAKNYATLEKAARGAVKAAYAVQQLTGSKTLATVANAARSLINNDLLPTVPGDLPAAASRLPDTDRSGATAVYFPACINRIFGISAHAPADRVEVPEAIVALGRRSGRPVWIPGDVAGSCCGTPWSSKGYTEGFKEKAQEIAQDLISWTDNGTLPVVVDAASCTHGLLAEVPKALDGDLKQQFAAVRILDTIEWLDQEVMDYLPLTQPVQRVAVHPNCSVEHMGLTETMVSILDKVANEVVVPEGATCCGTAGDRGLLHPELVESATREQARSLEGVEFDAYVSDNRTCEMGLEMTLDLPYESIATVLERASRPVVSP</t>
  </si>
  <si>
    <t>GC_00003735</t>
  </si>
  <si>
    <t>MTYPSAPQPQQPDNGMMKPNNFLIPNILATIFCCLPGGIVGIIMSLKVDKLYNAGDIVGAQQASKTAKTWMIVSIVLGLVASIAYFIAMSMGLMATTATGY</t>
  </si>
  <si>
    <t>GC_00003736</t>
  </si>
  <si>
    <t>MHARDTDEKQTRTSRQQTHILSLNPEEIAQTYLHTRAAKDTQLETPLVISCTINELDQLAPHTRFKTNTGQLLGPLGILSPHLPTLSLLTLVP</t>
  </si>
  <si>
    <t>GC_00003737</t>
  </si>
  <si>
    <t>MAATAPQRILVGLGTFLFVLSILIPTVLVPRLRVIPLDAGGRTVTEETTATLFDARAFATNTALDQYKNDPDCTAEGDLPTKCFIGNTPVQGVRNISTVEPSDKKLVTLRAGNVLMRLDKNEAEALISATVDTVTLDRRSAYPKEDSTFYAVAPDLGLDDSTGAFQREGLQYQFPFHSERKSYPYFDTTAQTAHPIDYLDDETRHDVNTYTYTQKLDAVNMFDAIQGVFTRDGNVTDKEKAALAGLRMRSTAGRWYSPSELQERGLKPDDNIVMTRYYTVERTLNVEPTTGVIVMGQEKLHYFFASTPEEADTVVRTGEVSPYRTALRVDAQWNSDTQDAQTSKATEGRTKLKALATARYISLLLGVAMLLWAAYSIYRSRRTTS</t>
  </si>
  <si>
    <t>GC_00003738</t>
  </si>
  <si>
    <t>MFGKELTRTHTPIEGLDVFTLPVHGDKRGWFKENWQREKMLDFGPVQNNMSFNAKAGVTRGLHAEPWDKLVSVATGEVFGAWCDLREGSPTYGQTYTHTIDPSVAVFVPRGVANGFQAQVDGTVYSYLVNDHWYPDAKYYFVNLDMIDWPISLDQAEISDKDRNHPQLADATPVPPTTTLVIGAGGQLGHALRDLLGDSAEYWDRSTLDMGAIDYDTLKGMRNWHQVGTIINAAAYTKVDAAEDEGRADAWATNARGVATLARLATEHHIRLVHVSSDYVFDGTQDIHDEEEAFTPLGVYGQTKAAGDIAAATCPNHLIIRTSWVIGHGRNFVGIMRDLAARGVNPRVVDDQIGRLTTADEIARAIVHLNTLGATGTFNVSCAGDPVSWADIAAEIFKKEGRDPQDITRVSTEEFGAAAPRPQHSTLNLAKLQATGYEPSDWRVVI</t>
  </si>
  <si>
    <t>GC_00003739</t>
  </si>
  <si>
    <t>MGHDMDVDIDAAIDLLNELVREARTQLAAHNADLPFLPAQALGRDFRDHAIALHGMMMRVHRNNYRQMRWMTGVSEKGISLVKQLKEQDLSAQRWFDTGGNDD</t>
  </si>
  <si>
    <t>GC_00003740</t>
  </si>
  <si>
    <t>MSTQKSSTGPTFDPIEQMSYEQARSELAEVVGILELGQMSLDESLAYWERGEALAKACKGFLDGAKQRITAALAVQVAEAEEDDPEADEEFGED</t>
  </si>
  <si>
    <t>GC_00003741</t>
  </si>
  <si>
    <t>MQHDHDHRLSTTQLVACALLGFSCLILAISGRAAAYVQGFWLPFVGLASALIVISSLWALWTRLGGDGAHRWGASRRHDLLAACVLLSPAVLLVLAAPGALGAGSLGHNGVLAAGDAAAGSVGGGPHRSFVRSTPHSFPPLGDGLNEVTLEDIQDRYVFGDAHSLDGHQVRFEGFVSYPHERGSRGAGGQDTSEQPTDGAMEVLVSRYKIYCCAADAVPYTVAVRIPSTAGNARGGSAALPQEDQWVQVTGVVLPPDAPPGTPTPLFPTIDASTVRAIDTPKDPYL</t>
  </si>
  <si>
    <t>GC_00003742</t>
  </si>
  <si>
    <t>MAISHGLKVKPVTGGGSVRRAECRLSTSGLDLADVSQFRRCSRPGCGKPAVATLTYAYAESTAVVGPLAATSEPHSWDLCEHHAEKITAPLGWELLRVDDITIDDDDDDLTALAKAVREAVRHPSGLVADSPATEYRSSHPAHNAKQGTDRNATKDASQRSGKGERGHLRLVSSDED</t>
  </si>
  <si>
    <t>GC_00003743</t>
  </si>
  <si>
    <t>MLNVLVLPGARATSWRALWPRMGVLEAWAVHQVGPLGAALAGQLGATSPAVVVTRMDSSWAYLMCGWVRLLLRAGLGSGGWMCAFHGACGCGFDGIDLGQNGLLGDDAFVQGA</t>
  </si>
  <si>
    <t>GC_00003744</t>
  </si>
  <si>
    <t>MPLSSVECAYLLAEQRRLRRPDLPPAVGPVPDPSSNEQLTVLEVDNRVDMAEALDCLYRKYLEQSRRAGLIPPANAPDGDPSPDGADGGSAEKS</t>
  </si>
  <si>
    <t>GC_00003745</t>
  </si>
  <si>
    <t>K05710</t>
  </si>
  <si>
    <t>3-phenylpropionate/trans-cinnamate dioxygenase ferredoxin component</t>
  </si>
  <si>
    <t>KEGG Orthology (KO)&gt;&gt;&gt;09100 Metabolism&gt;&gt;&gt;09105 Amino acid metabolism&gt;&gt;&gt;00360 Phenylalanine metabolism [PATH:ko00360]</t>
  </si>
  <si>
    <t>MSEPIKVATINDIDEEEAIVIDDDVTGYGAPIAIFHTEDDEFYALDDTCTHAVASLADGWMEGNEVECPMHAGKFCLKTGKVLCMPAVEDVKTHKLEIRGEDIYLYPGTPAEVEA</t>
  </si>
  <si>
    <t>GC_00003746</t>
  </si>
  <si>
    <t>MPTPDFLLHGTVAADGVLYLWIEQTQGHRVVTVQDVPGDTFPPVIHGLLSSSRVRVAKNIRVHTPKGREVRLDMQAVGLIPEQAVRFLSSAAFVLSDSPAATRRQRSAIAPDLMWLLSAYVGIERFVRSGGFLPSVRWEDGSWYGCWILASGVRERAWQIDMSRAQPGVLEANFGPGLIEWLCGRYAHWVVVSLVDDTALDDPHPLVRSLVGYEPVRRTRESFVQELNAWVKSANTVPMQVVVMVEEPVDSLWPVSVQVRVGVDAPVPAATLSADFQVEAQQLIEEVADAAPGVSWWPRWSDDCVELGVEDMATLIDRDIAELSRAGVKVMMPQSWSKGSATATLKVRSSQQPGAIVRHFGMDQIVEYDWKVAVDGQELDAQAMNELIHSSHNLVKIRGKWISVDQRMLGKIRQYIERAAQADRRLRGEGTAAASGVMSAADVRALALEQAAEDVLDRDVEIASNDPWVEALWGAEMPAPQPREVPDSVQATLRQYQQRGLDWLAWMSDNNVGCILADDMGLGKTLQILALVAYERSGASAAGRAAKPSIVVCPTSLVHNWVAEAAKFVPSLNVVAYHGPRRDIEAVRHADLVVTTYTTVTRDVETLKDIEFDHVIADEAQAIKNTATKAARAIRLLPARHRIALTGTPVENRLMELRAIMDFCNPGILGTQSFFRNYFANSIERDDNLDLADTLKKLCAPFMLRRMKTDPSIIDDLPDKSEHIVEVSMTAEQAALYQALVDEITAVLNSTDVNERSRRKGLVLSSITQIKQICNHPAHYLKDGSPMILKGRHRSGKVEALMNIVDAALRAGKQILVFTQYREFGTMLRTYLSNYTGSDIDFLHGGTTPQGRQQMVERFQQGDAPMLIVSLKAGGTGLNLTAASVVVHMDRWWNPAVENQATDRAYRIGQRDNVAVYKMVTLSTLEESIHDVLAGKLTLASSVVGAGEGWLTELSPEEFTMLLQADSISERTTT</t>
  </si>
  <si>
    <t>GC_00003747</t>
  </si>
  <si>
    <t>MKVRPMYIAAIVTYSAAVATTLCSKNIPIITPVLLAIDTVILGYLTCTGRWRC</t>
  </si>
  <si>
    <t>GC_00003748</t>
  </si>
  <si>
    <t>MTLHSSVLVGIVGTQPEYKELGQNKTKLTTFRFCASNRRQNHSGEWETVNECWVTVECWGDLATRVHANLKQKDRAIVVGQIITETYETKDKHKAVKVVCKAMTVGHDLRNVRDTEADTQAQQPSRSPTPNGPDAHAMADPRA</t>
  </si>
  <si>
    <t>GC_00003749</t>
  </si>
  <si>
    <t>MPDGDVPRLSIGTIAILTVGSYIAGYMRDAGLSAWGIKEVERHILLQVVTREIEGVETPVLHCVEAYRAACCGYIYVLEQLLLDGWELAVVDSPEQWRKAIGEAR</t>
  </si>
  <si>
    <t>GC_00003750</t>
  </si>
  <si>
    <t>MGKWPYLGGRQRDHGHAASYALLVFHTTLVRLAGIGLPVMAGTPFRCAVVFQAARLARLTTVLLKCEDLSNVFDIAAPSLPPLSRLTSNFKLLHRCVRVSKVVHMDHKEWLKVATDGASFREVGRKIGVSDSVISQQLRRGRLLSETVIAICRAYDQSPIQGLVSTGYLTLDEVDLERSTGETKWLTGRELVQELAARLDLDTARFKEATLQESNKNISEIHANRKKNSYDEGIPVFDYAPHEYAADSSPEETWPDELRTTGGRS</t>
  </si>
  <si>
    <t>GC_00003751</t>
  </si>
  <si>
    <t>MTAHTMNPTNPTTQKFKEVRDKLIELREDYDAARDYFEWPRFEEFNFALDWFDHLGTDPETKDNEALVISEMDGSETRRTFAELSARSGQLANWLASVGVKRGDRVMLMLNNQVELWETMLACIKGGFVLNPATAMLGPADLADRTERANISWVVANPEDAEKFGAVPGDFTVIQVGQEPPAQDGHPTLAYDDSFNAPVEFTPSQPTKADEMLLLYFTSGTTSKAKLVEHTHTSYPVGHLSTMYWIGLEPGDVHLNVAAPGWAKHAWSNFFAPWIAGATIFLYNYARFDAAALMAKMDEEGVSSFCAPPTVWRMLVQADLSRLKTPPKKVVAAGEPLNPELISVVEKSWKTTIRDGFGQTESSVQIANSPSQPLKPGSMGRPLPGMDVVLIDPATDEIGDHGEICLRLDPRPVGLTPGYYGDEAKNAETFRDGFYHTGDIAERDEDGYLTYIGRSDDVFKASDYRLSPFELESVVIEHPAVAEVAVVPSPDPLRLAVPKAYVALAPGHEPTAEVAESILKHCREGLAPYKRIRRLEFFDLPKTVSGKIRRVELRKREDVIHAEDQGANKAGTEFADSDFPSLRG</t>
  </si>
  <si>
    <t>GC_00003752</t>
  </si>
  <si>
    <t>MAKLPDGGMGLRLLRGLGLRWDLLGLGWDLR</t>
  </si>
  <si>
    <t>GC_00003753</t>
  </si>
  <si>
    <t>MAPLRGLLRSSIALCSAAACLCATACSEPEPEWPDQFGYATSAQFLTVNAGSELGATTGADAIASRLFPGVFVHGPEGQFIPSRDFATASVVDVPGVAGPAPFYSGEGSVPDAPAGSVIDYVIAQGARYSDDVEVTCDDFLLAFTAGVMKETFHSAVPLMHQVDHVDCAPGAKQFRLFFKPGLGSRWRELFSPGTVMPSHVVAQAVGWDSQQLVDALDRRDPDELASVAEAYGAAFRLDAPEGVSIPSSGPFMIESRTPEGALILVRNEAYPGDPAELDKIYMWPAGADVAELAANNDLEIADLVGSGFPAWVDRDDPKNRFDVQSVEGDLNEVLALGNAGVFASNAARRAFASCVDPVAVAAASSKVAGVEVAPMGLRLTTADDPINDNLSDIAQAHITADVAGAEVLRDATVRIGYVGPDPRKAAMVQAIAASCAQAGVTVVDVSDQASYPSDVIRTSDASDYGFGAAQSEDPAAQWSQSWSVSEVIDGAADALLVAIDPYYSYPTSNATVSDVESLRAEEQRLWSTVPTVPLSVQPRTLVFDRRVANVVAHTALAGIGWNMDRWAQAQEGEKK</t>
  </si>
  <si>
    <t>GC_00003754</t>
  </si>
  <si>
    <t>MYKHSLAVLCVATVALSGVVAPAATAAEDNGCKPGMISGDFNWGVSKEFTDYLGRYRTLDGFTLKYNERDVCPPLKPAPPAPPVDPGDPGQPGDPGDTTPPPADQNPDNGSSGSSAGLGIFGALAGLGIIGAIIAFFLNNHQGANPIQQLLADLPFGRR</t>
  </si>
  <si>
    <t>GC_00003755</t>
  </si>
  <si>
    <t>MEQRKYQETHPWISFRFNLMTLGPGTLIKLGEALSKCDHVCGAPLPPAEADLLNKVSLTKGIHATTSIEGNTLTEEEVEKRIDGKLTLPDSIEYQGAEIDNLLEILNEIANLSISQELPPLSIELIKSWNKRILKDQPLGEDVTPGEFRNHSVVVGNAYHGAPAEDCPYLMDRFISFITEELQTDDATWHKPLWIIRPIIAHLYFAWIHPFGDGNGRTARLIELYLLLNAGIPIPSAHILSDYYNRSRGRYYQALKQASKADNYEHGLASFIDYAITGFVEGLQEQVARIENVQIHIAWESFIHEIIAAHGHNETWSRRRILARNLPYITNDDGFIRNADIRYANTELAKLYEGKSQKTVTRDLNALVECELARQQEKRKNYYASNIKRMAAFLHHSGNR</t>
  </si>
  <si>
    <t>GC_00003756</t>
  </si>
  <si>
    <t>MSTREQLYPGDLLDDRYRIEAPIAAGGMSTVYRCVDLRLGRHVAAKVMHADYADNPVFRSRFRREARSMARLSHPNLVNVYDSVMGEQDSGEPVFLVMELITGGTLRELLDERGPMPPHAAMSVMRSVLTGLAVAHEAGMVHRDIKPDNILINGDHTVKLADFGLVRAADHAATEIIGTVSYLSPEQVEGADIGPASDVYSAGIVLYELLTGGIPFDEGDPTDRAFARLSEDVPAPSGQIAGVPTLIDALVATATARDVSNRFSDAGEFLAAINDVAEELQLPAFNVPIPEHAAAHRSFEQAENTDLLTGVLNNTGVLPAVLAAPVHASKPTDTQVWEGPLVAPPPPAHYEQDHQDAPVDTYDEQYEQQNYAPGKPVSNRSGWKIALWSGLITALIAAVALGGWWFGSGRYGEVPQIIGMGQAQAVTTIEQAGFTATTSQEYSDDIPAEQIIGTQPPGGERIPKGSNVAIRQSLGQPAVPEIPASGSVQDFRGLASERTLGLRVGEEEYSDSVPAGQISSTQPSPGTVVATHSTVTVHLSKGPAPIKVPKLAGLSQDKARDALEKAGLRVRKVIPEFDQKIKKDHVIRTSPDSNAELRRGDEVDLYVSTALEVPDLKDKTLDEARRILGDAGLTVGTVTTDEEATSRNGQAVVKTAPAAGKLIDPEFNTVDLVMNGKVIVPSLMGKKVSEAESTLLDMGLNVDIDGKDNAVVYSQSPKAGSKVAVGTTVTIKSIG</t>
  </si>
  <si>
    <t>GC_00003757</t>
  </si>
  <si>
    <t>PF07553.16</t>
  </si>
  <si>
    <t>Host cell surface-exposed lipoprotein</t>
  </si>
  <si>
    <t>MIHQSTWHKATLGGIAGFVLVMNLAGCGDISSTTSAARSSANAMATHIDSGLSGGTQDDAAQIGTVGDSEEGSGDTGSGAENVSREYKNALRSAESYLKYSDFSKAKLYDQLTSEYGSKYPADAAQYAIDNVKADWKAEALDAAKAYQKYTPMSDSELYDQLTSEYGSGFTPEEAQYAIDNLDK</t>
  </si>
  <si>
    <t>GC_00003758</t>
  </si>
  <si>
    <t>MNSELLAPIKGRLIAVILLSVLTAIATIIPLAGIVYIAKIFPDGNHQHIWTIVAVIIIAAIIRMVANGMSGMLSHSADNDLQLALRRQLVGHIRRLPLGWLDSHRSAGIIGSVEKDVADVHQLIGHTINEVIVALLVPLFSLILLFTIDWRIALVALIPMIIIIVLMGIMLSTGQTLQKEYGDANQAMTSAVIEFVRGIAVMKSFGNTHAGSSRYTDRVNGFVDAWSRWSQQSTNYLGLIDVIASPVTVLLFMCNIGLAWRTHDVPLGLIAGLALGLGLSATIVRVAMNSESIATGIAALTSIAHVLHTPTIPEPKNPQHPGIGPLVADNITFSYDDSTPALSNVTARFDPGTITALVGPSGSGKSTLAKLLARFYDVAEGTISIAGVDVRDIATDELYRTIGMVFQDPQLLNVSIRENIRMCRLDATDDQIMAAARRARIDTDITQLPRGLDSIIGVDTNLSGGQEQRIAIARAFLADTPILILDEATAYADPDSEAAIKAAIDELAQHRTVIMIAHRLSTIIAADQILVLESGRIVERGTHQELLEQGELYPELWHTFAGAEAQ</t>
  </si>
  <si>
    <t>GC_00003759</t>
  </si>
  <si>
    <t>MCVLVEPRRSIVSLATLVHLTLWSAAYTIITVLICILAAVVAMKLLGADPSPLIGTPRETITVITQMIGLSVGASWFAAANALSPAPTEGSPQRQPPISVHPLKSVSRVIS</t>
  </si>
  <si>
    <t>GC_00003760</t>
  </si>
  <si>
    <t>MRKISKGNQRFTRSIPRKLLSFSIALGLLTPLPQITNASADEWHGQLVMGRILETYKRLGGHHTFGNATTPERDAARGGKFQVFEKNSSIYWHPQVSAGVAHQVGGRIRDKWRDYGWERGHLGYPTTDENPTLNRYGRYNHFENGSIYWSPATDAHLIQGKIRDRWAIDGWERSELGYPVTDEGTTPDKIGRYNHFQNGSIYWSPSTGSQKIKGNIREYWKAIGWEKSSFGYPISEESFVSGDAVQQNFQNGSIQWVWKNNRSLPKSPGDSWGNYEQFHRVFEQQGGMWTPQAANREITHNFNKYFTFSGCPDVLAVGARCNLQTQVGLDAPIRVSEISDDGFSFISLPGHPEGAGRTITFTFEDHKDDGNRDLWLHVRAWGPVGGASYLGPFNEYTIAASAWKTFSSNINRKISSSSTIYLTEDNFSIKKDRTSGKIRSRRETDQEQLGKQKPVELKKMSAEELEAAYAYERNLETAGGSPKTSNTPNIENPTTGEVSTPPSGDSTLTSDAILTSEPDEVEPATQTTAPGTAQDNVILEPRNRREDLGTLQ</t>
  </si>
  <si>
    <t>GC_00003761</t>
  </si>
  <si>
    <t>MLRDPLRNYKRLLIIATIVTIAHSLHPGHPTEGFTYDPPLAHTLPHIPRGQRSDRPATAPYHREQFGGWATADVNTHPCTTRQRELSRALGPQSLDGCTLIRGEAADPYGNGRMGPNVNQAIEIDHIFPLSAAWDMGAYTWDHTTMRAFANDPLNLVAVSRTHNQDKGDKLPAEWMPPDRTVHCWYARRIALIAATYQLNLSNDDVSTMKRACIVQDALHATLG</t>
  </si>
  <si>
    <t>GC_00003762</t>
  </si>
  <si>
    <t>PF02667.20</t>
  </si>
  <si>
    <t>Short chain fatty acid transporter</t>
  </si>
  <si>
    <t>K02106</t>
  </si>
  <si>
    <t>short-chain fatty acids transporter</t>
  </si>
  <si>
    <t>COG2031</t>
  </si>
  <si>
    <t>Short chain fatty acids transporter (AtoE)</t>
  </si>
  <si>
    <t>MCNLGNMYLIGGIGLGMVITHFFTSLSTASTWPMIAFAYSGLLNIAVPSGGSKFVIEAPYVVPTTLDLGADLGLVLQAYQMGDGVTSLIIAFFCLPYLANYRLKFSEVIGYTLPAVISIFVLSCAYFLIRA</t>
  </si>
  <si>
    <t>GC_00003763</t>
  </si>
  <si>
    <t>PF00487.30</t>
  </si>
  <si>
    <t>Fatty acid desaturase</t>
  </si>
  <si>
    <t>K22769</t>
  </si>
  <si>
    <t>NADPH-dependent stearoyl-CoA 9-desaturase [EC:1.14.19.-]</t>
  </si>
  <si>
    <t>COG3239</t>
  </si>
  <si>
    <t>Fatty acid desaturase (DesA)</t>
  </si>
  <si>
    <t>KEGG Orthology (KO)&gt;&gt;&gt;09100 Metabolism&gt;&gt;&gt;09103 Lipid metabolism&gt;&gt;&gt;01040 Biosynthesis of unsaturated fatty acids [PATH:ko01040]|Lipid biosynthesis proteins&gt;&gt;&gt;Desaturase&gt;&gt;&gt;First</t>
  </si>
  <si>
    <t>MAISNIKAYSHLTDEDIEEIGRRLDAIQKEVEDSLGDNDVAYIKGLIRFQRGLEVGGRAALLFSHKKPLFWLGTGMLGLSKILENMEIGHNVIHGQWDWMNDPEIHSTTWEWDMTCPSSQWMHSHNFVHHKYTNILGMDNDVGYGILRVTRDRKWSPFFLAQPLTNAVLASLFQWAVAFYDVELGRYFAGKQSWEETAPRFWDVVHKSKRQVIKDYILFPALSGTHFATTAKANMYANLARNLWSYAVIFCGHFPDETETFTKEQFANETQGEWYLRQMLGSANFHGGKILTILSGNLNYQIEHHLFPDMPSNRLADVGKKVRALAEEYDLPYNVDSFPVQFLKVQRTLLKLTLPNRFLAAHPHNAPEVRSEKAITEEMEAKLHTGVDAHGLRRGLRPALKMLKQLRPSVAEGTAHLIRAALGKDTNRARPTVKASGSRRQL</t>
  </si>
  <si>
    <t>GC_00003764</t>
  </si>
  <si>
    <t>MSEKCSTSLLVEKIGAKTALILCRVYHCSWNWALHFFQPGYKYCASAVPKSRAGAAVVIAEINNKIGNTLGTALLEPLPTVVSQYSYSANETGVAKVINKYDTSYSHRIKYPHSL</t>
  </si>
  <si>
    <t>GC_00003765</t>
  </si>
  <si>
    <t>K01160</t>
  </si>
  <si>
    <t>crossover junction endodeoxyribonuclease RusA [EC:3.1.21.10]</t>
  </si>
  <si>
    <t>Enzymes&gt;&gt;&gt;3. Hydrolases&gt;&gt;&gt;3.1  Acting on ester bonds&gt;&gt;&gt;3.1.21  Endodeoxyribonucleases producing 5'-phosphomonoesters&gt;&gt;&gt;3.1.21.10  crossover junction endodeoxyribonuclease|DNA repair and recombination proteins&gt;&gt;&gt;Prokaryotic type&gt;&gt;&gt;DSBR (double strand breaks repair)&gt;&gt;&gt;HR (homologous recombination)&gt;&gt;&gt;RecBC pathway proteins</t>
  </si>
  <si>
    <t>MRPFDDPHAPRALMVLPWDKPPLSLNVRKHHHAHATDVKAVRGLTALNAQQGGLHMMGWERYGRLSVRLHYLPRDKRRRDTDNLVATLKAVCDGLVDAGLAPDDTPAYMSKPEPIIHPAVKGLAPLMWLELATVPPGNYQLAGGLSSELNRS</t>
  </si>
  <si>
    <t>GC_00003766</t>
  </si>
  <si>
    <t>MATNNPGGNPGATPHHGRNPKGDGQKSFMETLREVGGKELDPRRHESDLVVSVAGVVTGLMIAAIAVYKWFPVVSVVFLVCALIALWGRWVIRRQVLRDVADLATAKEGFAATGQEEYREFVRLRSQQMLTDNKALTAYGRSVVQDYAQWAG</t>
  </si>
  <si>
    <t>GC_00003767</t>
  </si>
  <si>
    <t>MEIVASAPATFNVIGEHTDAVGGVVLMGVALPRVRVAVTRTTSGVVEVSSSIDGIEDCSARWAELPITAAGAVSEHAGPQTNLAARFGSIANMLINKQLITREHNGYVVEVSSEFPLGVGLGVVEALECAFALAIVRPHVDDDDAPLRAKLAEALVDTATLLRKQCDDAALVAASSDPREHASVQRVRYEVALRSPGGVSVLDYRDKSLTTAPPLGDVVPVVVNASKPPQPSAELSQMCRFLFDAAHAYGVSEIRHVPDASPRVIEWLTAVHSVKPDSSAPAVPVAQRWLDFLDGETQRAQQTVALLRSRRQREAADVLQQSHCAVAEEFSFPTAADAVGLLAAERGAVAYRAAHGGHSCAVIAYVPSASVDRFIADAEAGLSVLALDPGSRAEVEHCAVC</t>
  </si>
  <si>
    <t>GC_00003768</t>
  </si>
  <si>
    <t>PF08139.17</t>
  </si>
  <si>
    <t>Prokaryotic membrane lipoprotein lipid attachment site</t>
  </si>
  <si>
    <t>MKKLLLAIPLAATLAACSSTATDPAAESSTMKDEGTTMTTVTKMVMG</t>
  </si>
  <si>
    <t>GC_00003769</t>
  </si>
  <si>
    <t>MIHLCVVSAATPVTSANTADHCHANDVDTWFIAVDQFCGCIASANGWPDTSDKYIGTINKAMRPKHNAATAPVFDATVPSALSMAKRRVGWVLWVLWLLWLLWLLWGVVGVRGVVARGAVGVRSSRGEHRKPANKNDPTDNAANIHAAARKNGKPAVVNGPGSGIPNAANDSPKKPADTTAPTTPAVTQNNTNNGQVTRALLDDAAARSVSVGVEVAPIEFDVGVTEEDDVMH</t>
  </si>
  <si>
    <t>GC_00003770</t>
  </si>
  <si>
    <t>MSAPLDSPSRSAASPRRSSVGIVLWAAFLAITVSQFHSPLFALPGRLQAWGSLWVAICVQALPFLVLGVLVSASIATFVPASFLGRMTPRNPFWAVPAAGAAGVALPGCECSSVPVAASLMRRGVSPAAALSFLLASPSLNPVVIVSTAVAFYGLPQMAWARFAAAVVAVLCAGWLWLIVGDNSTLAEHDERLGEYAPSKHCAANAVTRGEVFRDAALADFFPAASYLVVGAALAAAVKVIVPAQWFLGLADTPWLLIAVMVVLAIVLSLCSEADAFVAASFTAVSPTAQLAFLVVGPMVDFKLIAMQLGAFGRGFVLRFVPAVLLSAIASACVVGVVFFGGL</t>
  </si>
  <si>
    <t>GC_00003771</t>
  </si>
  <si>
    <t>MGMLLSFTVENYRSFAHETTLDMQSPKFQTLRPRENESWNDLVLKRAAIFGANASGKTNIIKPLGILRKAITSSIRDEDLVKSLYNPHKLYKDDPTTFITEYEYKGIRYRWTLVLDKAGIVEESLYANAKRIWRPIFERERDTIVFGKGAQISIAAQENINQFLKPTALCFSAWSTIKNPGRFIGAVYWWKKKMRPPIHVSDPDRRARHYWVMKLASQNINWLNLLKLIMTAADVGITDVSVKKEEALPESFQEFLIYLKKTQTEVSGNQPQGMSVAEYLQQYIEFHHEGDSDGFILKEEDESRGTQVWIDSIVPALYALYHGALLIVDELDSSLHPTLLREFIHYFQDEEINTKGAQLIFTTHDLTLLGNHPTEALDRNEVWFVEKQQSISELIALSEYSPRDNHNIEKRYLQGVFGAVPITSSRGIAEALDALRSATTETKA</t>
  </si>
  <si>
    <t>GC_00003772</t>
  </si>
  <si>
    <t>MKDTEEENESDIYATLGITFGVIGFAANGMGVLGLVFSILSLNKDDDRKLPIIAFIISTITTALPFLI</t>
  </si>
  <si>
    <t>GC_00003773</t>
  </si>
  <si>
    <t>MDKLLLIILIILGLSAPTVAGAPPQQLPQQLQSRINGAVAAFTHHPLVQRLLPGIEQRVPNSSSEVSTPEPLVAQTGSDIFVNNIYIGQTFFEIRNAHPDFPAAGVIEPSPTGENNNVIDYKGARYFFERNALVGISVPRTPELLHTGMPLETARIRYGEPVRGFGLGDGRTFAVFPALPDRDLAWVMQYNDMTITQIHLRPGLASYIADGK</t>
  </si>
  <si>
    <t>GC_00003774</t>
  </si>
  <si>
    <t>MILTGLLSFGAGLLTVLAPCVLPFLPIIVGGSLRGHRSRPYIVAASLIASLLAFTLLLKASTALIGIDPRWWSIISGVIVVLLGIAMLFPDLWTRVSLAIGFDQKSHNILDRAVSHEKRVTSAVLTGAALGPVFSSCSPTYAWVIATVLPASPVAGLIYLGLYCVGVGGALLAFSLLGRKLVDRVQWAANPRGWFQRSIAVLFIIIGLAVSTGVDKKFETWAVSWAPSFTEIENKLLPSDNDDSSADAAAPTQSSGAAAPDFQGIDTWINSDPLSIDELRGKVVLVDFWTYSCINCVRTQPYLNEWYNKYHDDGLVIVGVHAPEFTFEKDPKNVERAVEEAGIKYPVALDNDFATWNAYKNKYWPAKYLIDAQGNVQYTHFGEGEYEDTEKAIQQLLDVRQPVSTVDNGLAAGVGQSPETYLGTQRARNFQGDHPLRSGTGEYDAAGELDSDEWTLGGNWDVQDEKITADKSGATLTYVFDGAEMYLVMSGRTGATVHVSVEGEPDAFGDDVTDGRITLDGSRLYHLVHLPQPRTKTTVKLTFDEGVSAHAFTFGG</t>
  </si>
  <si>
    <t>GC_00003775</t>
  </si>
  <si>
    <t>PF09015.16</t>
  </si>
  <si>
    <t>NgoMIV restriction enzyme</t>
  </si>
  <si>
    <t>MSAQSALLTQARQAFHKMLVDQKVLTIVTTGKTPDIASNADSSQDYSRQLAMHIANNLEAHTVDRKLPAQTAGTLFEKFVAEFLITTLPIISLGHPTGWHVENVGNSRKRDHLAQYWPYRHLAELQTKVQADRTLEAVLGNLYSVNPDVLVLRSALEDSVFNQHEKLVDDTTGQRSHIRANKEQQHSDNNKSTSTIVHAVVSCKWTMRSDRAQNSRSEALSLIRNRKGRTPHIVAVTAEPTPSRIASLALGTGDLDMIYHFALDELITAVEAGHNDEGKAQLETLLNGDRLRDISDLPLDLVT</t>
  </si>
  <si>
    <t>GC_00003776</t>
  </si>
  <si>
    <t>MPNNNLHPNSCPPSGHVFSMTAQGVVRVDAALTDRRALAQALMGCAGNLDALADWLRDALAAGVRCVYSPAWQGTLKETVLVAEVFKDSGVAWRLR</t>
  </si>
  <si>
    <t>GC_00003777</t>
  </si>
  <si>
    <t>MLSERDAELLAFEQQAGVRNPGAKEELIVRRFGISPVRYYQRLNQLVDCPDAWEAHPLLMGRLARIRDRRARDRYDSAHE</t>
  </si>
  <si>
    <t>GC_00003778</t>
  </si>
  <si>
    <t>MDPSEAAPTLDQGQDNLSSANVDNRRSQLTIGIDPVDSGFNPHLAANDYSFVQSLAALVFPSAFVQGQLNTDLLVSAEEIPPAEGAAQTIRYVINPEAQWNDGTPISYADFYYLWDSMRDNPDVINGAGYRAIKAMRTSDGGKKIEVDFDQRIRDWNELFDNILPAHLLKDATGGFDGALKTSIPASGGRYAVKDIDFARGIYTIVRNDRFWGNSPAATEVLQFREIRSVTQGVEMLRSGQINFVDASPTETAELSYDLIPDAQVRAWDRNSTLTIDFNTASTRMPTPELRKQLAGLIDTEQLAILATGRRTNIAAIPKTINNDAAGNDSTADELRALSNDTPLVIAADPADATSTSAATALVDMLAGKGVKAEVKLVELADIARNLAPQGRIDATISWHRTPNTSLLLASAYGCSTAPTSTKETEDQSDSTTTATTTSTTPNTPSTQPGRYTPQAANLTQFCNPEINDALDHVIAGESDFEETKALVQRYNQEQTLTLPILNDRRLDVLGRNIQGPKPELGQWPIIQPAGVLPTAATWKSTR</t>
  </si>
  <si>
    <t>GC_00003779</t>
  </si>
  <si>
    <t>MSFFEDIALALDAEGIESRATEAPDPTLFVPISADVEIQFVETDPVLPAANVYVAAADVDEDDEDFDAVLTSVVFSVEDAVAAVAQHIATDQLVSILRELLEGSDSRLQDLQFFQDPVVPSLVTAEVGDSSTLEVSVSTVDAAPVARVRFICPAPVDADNLAQQCEECDTDAVAEEVLELGTFKEINRLFDIVAFAAEQADSWEEQLVPVADYEAYGDLYDHPAEALDDIDGVDDVEQF</t>
  </si>
  <si>
    <t>GC_00003780</t>
  </si>
  <si>
    <t>MNPEFSRILDSYRQQAEERLRQFDAAVEKAIEQANAVGEKADHAPSGSTADASNSLSEHEPNESVDYTPQVPGLRPRKQRRPAVEHSGASLYGLG</t>
  </si>
  <si>
    <t>GC_00003781</t>
  </si>
  <si>
    <t>MSEVKLGRIGVVVYDVKSAMEHYTKVYGITDWSVETIEENNAVSYGRKGIKASWTSAIGSTSNITFELVQPLSGESPFMEHLRTKREGICFLRVITDPTRPSYVKRCYVGGGRSFYDTREYLGGFLLEMSTDMDERPEAVEGILPTQGIYHFGVLVHDVLKTLPFYRDIFGIERFECKTWETGFGRLDDSMYRGEKVDHGYFTAQGHCADFGFEIIQCNHGPSHYNREFFDILGPGIHHIFPWMVATQDYSTPAEAEAAWTRVIELMSDEGMSLCMGSPLRGGAAEFGYFDTFDNLGGYLIEGVIRREAPAEEFASPDWVIEY</t>
  </si>
  <si>
    <t>GC_00003782</t>
  </si>
  <si>
    <t>MLSSSGRGPAAVVVEPIACGLLKVGLTPNAVTVIGSLVTVASAVMTIPQGKFFLGVVLIAIFAAFDMLDGTMARMRGGGTAFGATLDATCDRLTDGALFAAIAWWLFYTDGAPRIVLGSTLAVIIFSEMISYVKARAEAGGMKVNGGLIERPERIIIAFIGLLAASVGFVSVLHWAMVILAVASAITVVQRLVLASRDPQAAAGVAAPHGAKSAEELRGPSER</t>
  </si>
  <si>
    <t>GC_00003783</t>
  </si>
  <si>
    <t>K04063</t>
  </si>
  <si>
    <t>lipoyl-dependent peroxiredoxin [EC:1.11.1.28]</t>
  </si>
  <si>
    <t>COG1764</t>
  </si>
  <si>
    <t>Organic hydroperoxide reductase OsmC/OhrA (OsmC) (PDB:1QWI)</t>
  </si>
  <si>
    <t>MIYNSVDCLTDERTLTMAETLYTATVTSTGGGRDGRVESKAGDLALDVRPPKELGGAGGAANPELLFAATWASCFNGALQLIMKNAGVDVAHHQPTVTADVSLNRDPSDEGFRLSGTITVAFANQDELPNAAELVEKAHAFCPYSKAVRGEFDADVALG</t>
  </si>
  <si>
    <t>GC_00003784</t>
  </si>
  <si>
    <t>MLLFVARFIHWKAAGFGPVEPLKHLLIYRYHRSFVVLVAV</t>
  </si>
  <si>
    <t>GC_00003785</t>
  </si>
  <si>
    <t>PF09588.16</t>
  </si>
  <si>
    <t>YqaJ-like viral recombinase domain</t>
  </si>
  <si>
    <t>COG5377</t>
  </si>
  <si>
    <t>Phage-related protein, predicted endonuclease</t>
  </si>
  <si>
    <t>MKILLNTSREEWLEQRRNVVTATDVARLHLGGPGTWRTVRAEKNGKTRDLSNNPAIKWGVAREPFISDYVTLFADQTLTHNDKLILSDEDERFAATPDMIGPNSIGEIKTTKHDWDEIPQNYLLQVQWQLFVTGMRWCVFAWEVHDNYTPVEIKHQVIHADPQIQQELKATALRFLAGDENIPTADQVEWSILIEEYKRAFFAQQEAKHRLDAAKEKMRERAGGKDMKFSSDCGAITIFTPKPAARFDAKRFKEDHPDLHAEYMRQGASTTQQVKVTLPKKDGE</t>
  </si>
  <si>
    <t>GC_00003786</t>
  </si>
  <si>
    <t>MKDTLTAAPNLRLPQNLVGEENQGIRITRTVAPLTLIVGIVPLVPLRLVGLMVIIPPRVAVPQVGGTLLAVVEVILPAVMMTTMMTRTNLPPPVVEVAVLRVGLPAPAVVAAHPPVAVLVVAPVPVAPVMVPAVAPQVAVVAVVAEAAVDPALVAKTRRQAKTAAAAAPRKHPAPKPPDQPKTQPVIRPRPAVSPIKSRRKNPPTATGHPTAASSTRLHKMKKSPQPRTRYHTLGSLSGAQSCLLA</t>
  </si>
  <si>
    <t>GC_00003787</t>
  </si>
  <si>
    <t>MNWEETAYWVDGLLPGTPSIEVRSGFHIGITTTAAQDNDAATAAASPASGQQSPAGDTIAVTLDFSNIDTGLEHEGRDVRCELLAVAHQPDIRTHLVTVASRLRDTAPHEPAQPGTLLPHALPATSTPHVLLVVPWVWNGPVPQLDEPERLTLMLQVLPLTQAEYDYAITYGVPALQESIAQQGIDILDLARGNG</t>
  </si>
  <si>
    <t>GC_00003788</t>
  </si>
  <si>
    <t>MRRALIIGYGRSGTKTVACMMDQLKVSLSERMPAEALAEAPAQPAAN</t>
  </si>
  <si>
    <t>GC_00003789</t>
  </si>
  <si>
    <t>MDAAGAQPVVLVIPSHEVGAEEPDFGFYTPAPGANAFWYLDSGAPASNEGTVEMPYKQLDKEQVAELVHKAKADALRIVLAATTF</t>
  </si>
  <si>
    <t>GC_00003790</t>
  </si>
  <si>
    <t>MHSTFGHSPKNTRRKMVSLIAATGIAFGSVIAPQSAVAVETCAATTTEIPRAITNVHILADGKETDTFTKGQFVDIKFDWNSPGTTLKAGSFFTIQVPQEYFGSGQKPSRTSPFTRKAAPRLSAAVATDPTAPSPWCSMKRLKAYKTRAVGSALAQSSAVRKTRLARLPR</t>
  </si>
  <si>
    <t>GC_00003791</t>
  </si>
  <si>
    <t>MHLALQLAGIALIMVAAGHVIRPERGRDGVWLIAKVMGSLALTAVECIVTFVLFLVGAGALVYLIAALAPSVDESAIYTSFSVSTEHLMVPVLIVLCMTGISAAWAHRKLARRIPWLRRSAAHSQLEEYFIQWSTIYLSVYQLVFNELTHAADKVHEIDGIKVVFDGVLNPDNLNLTMLPLLFSVWVAIVMGNMAAKHDAARAAAAH</t>
  </si>
  <si>
    <t>GC_00003792</t>
  </si>
  <si>
    <t>MTAISDMIKVTVKAPGYYDFTFDNFLTLDEIRITWGRERLFDEPSNRRLQLRYMAIPEVITAISSAWIGGQIGVGAKFDYRPHQTLFQGRIDRISIQPIDIPGKPPWLISLTATEAPTWSNVLNGEQSGAKSLTSYSARLNRALEAIPQLEVFDGHDVDLREPGSSFLTTRQIAESLVCRPGAFPVWSPNWETIAPSTYDLGRPAVVTNLSAAEVIDSGGEVSFDAPGWPTTIIYQEGGVFGGDKASSGTAVIRNTFDQWDRGYVTTITNKYCPTSGTTVSRARPHTELVKAQLTSPRRFTLDSGVVPRLITSAALWVTWENPNRRLQITGDKYSAALKNAIGAVQDYIPIGGTLSIYYDHVEHDLTCLWGKTDTSIWAAQVGTWAAQKHTWKGN</t>
  </si>
  <si>
    <t>GC_00003793</t>
  </si>
  <si>
    <t>MSLIVHDNMTASEIEQANALINRLSRGLLMSITYLTMMEEYGALASLGEYVDPRDLKLCETNKNTGE</t>
  </si>
  <si>
    <t>GC_00003794</t>
  </si>
  <si>
    <t>PF02737.24</t>
  </si>
  <si>
    <t>3-hydroxyacyl-CoA dehydrogenase, NAD binding domain</t>
  </si>
  <si>
    <t>COG1250</t>
  </si>
  <si>
    <t>3-hydroxyacyl-CoA dehydrogenase (FadB) (PDB:5ZQZ)</t>
  </si>
  <si>
    <t>MDNTINHVTVIGAGTMGSQIAMVAALAGITTTLTDISQDALDRAREQLYARMERKGTVDALENLTFTTDRDNAVAHTDIVIEAAIEDIDIKRTLFAELDAIAPPHTILVTNSSNIVSSRIADATTRADKVCNMHFFNPALVMECVEIVCHPGTSEDTRATVTELAERMGKKPIQVRKEIPGFVANRLLNALRKEALELYADGVASFEDIDAAATTALRHPMGPFQLMDLVGIDVVYLIRQAEYEQTGDAASLPHPEITKLYQAGRYGRKTGHGWYAYEG</t>
  </si>
  <si>
    <t>GC_00003795</t>
  </si>
  <si>
    <t>MLIAILIALAAHILGIIVGMATIMAMLEKELGK</t>
  </si>
  <si>
    <t>GC_00003796</t>
  </si>
  <si>
    <t>MIAPPSLLRNASPGRLWITRFIHRQALTADAQPLDQVAE</t>
  </si>
  <si>
    <t>GC_00003797</t>
  </si>
  <si>
    <t>COG5421</t>
  </si>
  <si>
    <t>MSPYLRQVKTASGATAVQVVAKDHGVRRIVEHLGSAHDEAELAALMRLGRQRLLAGQQVLDLGPGNANHEARISGLISLWVHSRTWT</t>
  </si>
  <si>
    <t>GC_00003798</t>
  </si>
  <si>
    <t>MSTTAIVTGATGGMGTHIVAALSEVYDCVLAIGRNQDTLNQLESTFSNVTGVRLDLGEPDIDYLKALAVERVDCLVHAAAIAPKGPLEGTEEQQWREALQLNVIAPAQLTRALLPGLRATGGTVVFISSGAGDHGHANMTLYCATKHALNGLAEALRQEEPDIRVSTVAPGPTDTPMLQGLRGQYDAATVIAPEEVSAAVRAVVTAGPSTQLTRVNVRPRRP</t>
  </si>
  <si>
    <t>GC_00003799</t>
  </si>
  <si>
    <t>MLSSVGWSEIIFILVLALILVGPERLPGLIEDIRAGLIAARRAIDNVKAEMRDEVGDLGEFAKPLGDIAAFSRMGPKAAITRTLLDGDSSLFDSLEETSNLARRGLTRPVKKPESPLSQPVQPTRTPPGVEQPPTSPETNAPASRPKADGSNPGKPTWEDIT</t>
  </si>
  <si>
    <t>GC_00003800</t>
  </si>
  <si>
    <t>MNELFLGGCTFKAAQQARFPEVPPTPQSADWASRGDAARIDVHSLLQRPWNCLDDPFETLEAIAAEVPVITNANFSITVKGLLRKYDISVDILVKTVSGYFPVAISNHWVAREKRGAQRRGFFTRNLGTSDGWVGEYSVRHHPQDSYRLALAALGLRDAGVHVPFGGVIGQDRERCFVEDIDYCLGVLGRRVALVAPELNAIDSATPAELAAHNSLSETSARAPRPLPPTGTLIRRVAGIPREFPTATLEAVGPRRIKDCANCRYWFDCERQLVAADDISLFRSGDKAQDLRNRGVITVEALINDAADTRAATLARAWREGIAACRTTPTVTAPRFDVEIDIDMEAYLHHGAYLWGTFDGQTYRPFATWEPLGGPEEAANFAAFWQWLSNTRTQAHEDNKTFAAFCYANHGENHWLKESARRFHGQYPGIDVPSEKEVQAFISSTEWIDVFQLVKSQLVGPGGLGLKKLAPMAGFHWQEEDLDGEASIRAYEEGKKEELLSYNGDDCRATRAIRRWLADSAPGTMLLQ</t>
  </si>
  <si>
    <t>GC_00003801</t>
  </si>
  <si>
    <t>COG3451</t>
  </si>
  <si>
    <t>Type IV secretory pathway, VirB4 component (VirB4)</t>
  </si>
  <si>
    <t>MVRKKKQKIDYFELHEQIMHGDATPPPIFSIKGFGYARWLSHNKKHVEDSKHQFNMAGGTEPVRGEKSFSRSTMRGFSGPWSGQAAVVSGPQEWQTTTNLGAGFNPNVAGAPAPAIGTPLGVHPITGAEICCDPLSWFREGIISNPSCFVLSVPGKGKSTLVRKMLMGDVAQGHIPIIAGDIKGEYVGFVQQVGGQVITIGHGAGTLNPLDVGALGRVIPQIRNKLTEMDKTKDKEEYKRIEDTLHRALEQVHGRQVTMVATLVGLGRKTPMKDWEAMLVSIALREIYTHTNIDWEHPPVLEDLINHLEQGSDELFKKGRARTQEEWDNRIDNLLLSLNSLLDGPTGQIFAGETSSPIHIGANAVCIDVSAIDRGDEAMKAAVMMACWSAAFGAIEAAHMLADVGLAKQQYFSATLDELWQVLAAAPGMVQHVDALTRLNRTDATVLNMITHTFRDLEALSNEEDRQTAMGFIERAGMVICGGLPASELDILQSRLTFTAAEAAMVVSWSRGVHPGRTRSRNARSGALGRGQFMIKPAKDGTPGIPVQTILTPTEVKHRLHDTNVRFDEYFSKGIL</t>
  </si>
  <si>
    <t>GC_00003802</t>
  </si>
  <si>
    <t>MTTLQGKTALVTGGTLGIGAGIARALAAHGANVIVTGLTQEECDAAEFPAHVLDVRDRDACQKLIASLDTLDILASNAGIYPQATIADMTDEDIDLIFDVNVKGTIHMVQAAAPLLEASGSGRVIVTSSITGNYTGYPQWSHYGATKAAQMGFVRSAAIELASKGITVNAVLPGNVLTPGLEAMGKDYLDAMTSSVPLGFLGTPEDIGEAVAFLASDGARYITGQGIVIDGGQILPESQDF</t>
  </si>
  <si>
    <t>GC_00003803</t>
  </si>
  <si>
    <t>M|N|M</t>
  </si>
  <si>
    <t>Cell wall/membrane/envelope biogenesis|Cell motility|Cell wall/membrane/envelope biogenesis</t>
  </si>
  <si>
    <t>COG1705|COG5479</t>
  </si>
  <si>
    <t>Flagellum-specific peptidoglycan hydrolase FlgJ (FlgJ) (PDB:2ZYC)|LGFP repeat-containing protein, may be involved in cell wall binding (Psp3) (PUBMED:18629042)</t>
  </si>
  <si>
    <t>MNTRLVAAAAVVALSLGAVACSSDDATKVKDSATSAAEAATSAAKDGADGAADKAKEGADKAKEAGEAAGDKAADALEGMAEVTDAQGATVKIPAQAKALWEKMGGAKGHLGAITSVTDRNEGKEAIVETEGGQKIVYSKDTGAHIVQGMIAETWMSEGGLDAPVGLPTSDEQRVDNGWTQEFSNGSISWLSDHQGTFSATVS</t>
  </si>
  <si>
    <t>GC_00003804</t>
  </si>
  <si>
    <t>PF03222.19</t>
  </si>
  <si>
    <t>Tryptophan/tyrosine permease family</t>
  </si>
  <si>
    <t>K03834</t>
  </si>
  <si>
    <t>tyrosine-specific transport protein</t>
  </si>
  <si>
    <t>COG0814</t>
  </si>
  <si>
    <t>Amino acid permease (SdaC)</t>
  </si>
  <si>
    <t>MNTTTKNLEHELLGSSHKLTVAQGVALIFGTNIGAGILSLPYAGKNGGFLALVIALLIAGTLTTISMLYVAEVSLRTKQPLQLSGLAEKYLGQWGRWLVFIAVIVNGVGALIAYAAGSGNLLNKLLGLNPVVGTLLFFTFGTYVMWKGLHATGVVEGAITTGMALIILVLCGWTFIGPGIEAANLIILRPFYIVPIMNLAVFTFLAQYVVPELTRGLEEDNPRAIPKAIIAGMCITGFTLALVPFAALGLLGDNVTEVVTIAWGESLGNTAFIMANLFALLAMLTSFLAIGFTTMRNILDILHWGDQGRLRLIAVLLTVIPPLAISLAGWGGFVDALGYAGGFAGAVMSVIPVMLLRAARNNGDRQPAWNVTWQGNPVIQVTIIVVYGIAFIYSLLSIVGLLPHGW</t>
  </si>
  <si>
    <t>GC_00003805</t>
  </si>
  <si>
    <t>MNRVGIVAALTATALTLSTTQALAEPSPITGIETNTSQRNGYIEHLENLGLSSSNTSFYDFIVNSWAGSEERGIIAAHNGHRAQGGGHYFVLIHPKRTAFSFDSFGDFGSSSGGGIMGILAGLVSLISLLGFIAQFAVKFLPRLPR</t>
  </si>
  <si>
    <t>GC_00003806</t>
  </si>
  <si>
    <t>PF03315.21</t>
  </si>
  <si>
    <t>Serine dehydratase beta chain</t>
  </si>
  <si>
    <t>MTVSAFDLFKVGVGPSSSHTVGPMLAGYEFADSLLRFPNGPELAAAHEIVGGAVTIGEDIPADVAGSITIILYGSLADTGPTTA</t>
  </si>
  <si>
    <t>GC_00003807</t>
  </si>
  <si>
    <t>MTTADCYHGCDYTEAALLAPVDHSWLDAGLQPEALRDVINHLAQDTRTIHPNPENVLRALSMPVAEVRVLILGQDPYPTPGHAVGLSFASDAPRLPRSLANIYKELHDDTATTRTTGNLDDWVDQGVLLLNTTLTVASGQAGSHSRIGWKKFTDTIIGIVDRPGVVALAWGAHAAHALADCQHMEVIASAHPSPLSARRGFFGSRPFSRANEALIAAGRQPINW</t>
  </si>
  <si>
    <t>GC_00003808</t>
  </si>
  <si>
    <t>MPKPPQTPAQLWLDELTGGDSQLQAATRAKISQTTLNRRLASGRLTADQVIQLCRAYGRPPAQGLYETGLLHAAELDAPSPGLILPNIHTRELLNELTKRVLGDQLLAHSNAANQQDTGATVEHMDDYRPLAVHNDPYSVEYDEKRHVALSGDELEPNELQEP</t>
  </si>
  <si>
    <t>GC_00003809</t>
  </si>
  <si>
    <t>MMRSRAVAAVVCSGSLLAGCAERAHVDTVTWQITDVYVSSDTPSGVPDDIAGKAVLVFGRSTLAGNTGCAPLHGKVSYDGASPQDATSLTISSLRVDDPSPECSGQAMYVHQELVSMLEGGFYLRHEDHELVLQKQPSGLDSPAIRLVY</t>
  </si>
  <si>
    <t>GC_00003810</t>
  </si>
  <si>
    <t>MNAPLKTANGTSDTFPGRSAASEGPTLTMVTPHARCRGQSSSSVASASVRGSGRLSDAELFAWKAHTLLSQGKKEHGLGNYEMSVELAYQAALRCVGAMVAASSLSRKKRLPTNAWDQLRLLGECEAQQADEFQRFSVLRKRATLGVGPELTESAVAEMLAAVDSFVDDVDNAVGWAVAA</t>
  </si>
  <si>
    <t>GC_00003811</t>
  </si>
  <si>
    <t>MLPVKKFALLTGLSLALTTGAPLLAPTVIMPAAYADQTETIGITPTDGAKQEYDADHLALEWGIRSSFNNYVGGSTHIFDGAKASGKSYLWPYLGTDKNEDGSVSINYGGTVNFMKYCADPEDPQRGACQLDLTLSNPTIKTVPGTGKGMLSVVVHTIDYATKQWSGPERIDFAVVDFDAGRFNQGKTADAELGEVTSWRGVAGALTAAGNQAFSNFYAEHGFVNSLSFSYPGKDALEGTPDGYTVSTVADTTIDFNGAKKILQLKDGNLFVVTSDWGTTKGVVASPDLRTISEGFDVPFDSSNNVVVDTSSGDVIWIKDGTVYAAPVSSAGVGAARELASYPGTATAFASTPAGTYGILSLDGSDAKFTTVTSSGEATTVDLPKSTDVYAKYKLNGNYWDQVYGTTFGGSNIGMQGLNDGTFIFVYDHNLTYGDGEAKRGATPLHISPAKESVAERVSPIEAFEPAFEENNSIRSVVVDDNRIVMYNQYGTAYEKNNSRIVFGHYADGKFTLDAGPGPFGDIAQVAGVGFLEDGNAVIAAQEKSTLYTVDPSTGTVVAKAALGDRMKDTAKHESNTVLVGKDASVYVLDTFVPPNSYDDLTGIKRLVVTKPGEQKDASVPVVTMGDIVEWDNPPAEPPADPKPPADPKPPVDKEPPTGGSSSATPGSIWEKLLGVVAIAGGLATIFGLISTVLKTFAPDLHTKVAAMIAAATKR</t>
  </si>
  <si>
    <t>GC_00003812</t>
  </si>
  <si>
    <t>K21757</t>
  </si>
  <si>
    <t>LysR family transcriptional regulator, benzoate and cis,cis-muconate-responsive activator of ben and cat genes</t>
  </si>
  <si>
    <t>Transcription factors&gt;&gt;&gt;Prokaryotic type&gt;&gt;&gt;Helix-turn-helix&gt;&gt;&gt;LysR family</t>
  </si>
  <si>
    <t>MDVEQARAFIAVAEELHFGHAADRLNMTQPPLSRMIKQLERTYKTQLFERSTRHVSLTPTGAALLGPARALIDAARAADAAVLDAGRGVTGHVRLGFAGASTHTAVGDIVRRCAGRFPDIRVDLHSSQFSQQGLENVHGGSLDTAIGRWDFLPADIERKVITREELFVALPSSHRLADRASVSMSELAEESWMVLPGGFSSALINRFNVLAKQGGFVPTIRTIALDSWTMLVLVGAGMGVAVTLDSVVDNVTEPNVTFVPLAESNRFIDLQIIWRTGDNNPALRSVLEVVDEVYPS</t>
  </si>
  <si>
    <t>GC_00003813</t>
  </si>
  <si>
    <t>MQKPPVIVLVEPFGGSMRLHNPTMPHIFFDDASVTRGDGIFETLRVKNNEACEFDAHAKRFARSAQALDLPHPDAQLWKKAADLALSQWGEEEGRMVWTLSRGRASTGVATAWCVIYPIDQGTLHQREHGVRCMLLPKGQASALGAKTLAYVDTMAAVRYAQSQGYDDVIFTHKGLLLEGSTSSLITVKGKKLRTPKAKGILESTTQRRVFDYAEKHGWKVKQRPMELEHILGADSVWLVSSSRGPVLVTAVEEHPTSTHKAANKQALALLNAALGF</t>
  </si>
  <si>
    <t>GC_00003814</t>
  </si>
  <si>
    <t>MGKVSPTQALSAAGYLLAWKIVGWLPHKLARSLFDIGARVAWRRAQRGSGLSGLSSNLEAILGKQRVNDALLLAAVRSYARYWCEAFRLPKLVASPSRKRTLLQTLDASVRGQQHLDASVAEGRGVILVLTHSGNWDMAGLWLANYAGEFTTVAERLKPEILYQRFLSFRQGLGFRVLPLSGGQPAYPQLQNVLRAGGIVCLLGERDLKHNGMPVEFGSMKATMPTGAATLAAETGAALHVAHCFFQGQQGWGFDISPELDRQLIQRGTGATLQAVADLMVEQLRAHPEDWHVLQPLSRPKIDDEAGEQP</t>
  </si>
  <si>
    <t>GC_00003815</t>
  </si>
  <si>
    <t>MTHTRRIMGIENRIRHHRTTPRHRQPPPQPRRNRPRPLPPHHHQWGSSNIFTHNASRLYLDVGSHPEIATAECDNLTHHHLLRPGRRRNHQQPRHPSRTNPQNRRHQHQRLPFQKQPRLRRQLLRLPRKLPHRPENRPQNPRTHPPPIPHHPPTHLRRRQHQPRRHLPILPTRRPRMGRRLLRRHHPIPTHHHTRDEAHADTHRYRRLHIIVGDSNLAEPTLALKIGSTTLILEMIEAGFPNLPHLEFANNMAAIRTISRDLTGQTPIPTTTGTTTTALELQQRYLDAATEWLTHREETGGTTNTELTHTLNLWHTTLNAIKTGDITTIDHDIDWAIKLNLLTTYHPHSASNPTTTTTPNSTNSTSPTTTSAPGRGLHRLLETKNRINRITTPKPSPPTPPPTHHNHPPPSAAPSSTTPPTTTPPSPSTGSDSKSTKPNPKSSNSPTPSPTPTPSRRPHQIPRNPQPLLSRTMNTPRRNYHLERLTNLTFAFLNAAQNLQRRTHPRLHTHPHHRLHQRQPRQPPIPEATYKLVYRDLGSLIRAGVPLEM</t>
  </si>
  <si>
    <t>GC_00003816</t>
  </si>
  <si>
    <t>MGIITSGENKPGVYQPDIEIVTPRDMLAWSVLYHISNPIDVETSDWTTVRSAVLPHMDNATWVDEGKEIPEANAELAEITFHTRKIAMIQTVSTEMYGQHKQNAEGSRLREDLLEGFRLGLIHKVDNAIITDNDERSKGLANIDGKTKIEATPGNYDCVIDAVAELESLGAYKPDMRLTLSPKTWATMLKMKRAQGSAETLINPTAYTIPGSTGENRAQIHGIPIATSRFIPDGKAYLTDVRNIVSVATPIEFEESMHEAFSYDAVKIRAKTRIGWGVADPKRIAEITIN</t>
  </si>
  <si>
    <t>GC_00003817</t>
  </si>
  <si>
    <t>PF02583.22</t>
  </si>
  <si>
    <t>Metal-sensitive transcriptional repressor</t>
  </si>
  <si>
    <t>COG1937</t>
  </si>
  <si>
    <t>DNA-binding transcriptional regulator, FrmR family (FrmR) (PDB:2HH7)</t>
  </si>
  <si>
    <t>MHLQPDEVKKSVTRLKRAHGQLAGVIRMLEEGNECDQAIMQLAAVSKALDKAGYSIIVTGMKKCFAEGEGASSIDEEKLEKLFLSLS</t>
  </si>
  <si>
    <t>GC_00003818</t>
  </si>
  <si>
    <t>MPFTSTIWNYLRVRGEYSTTPRSWTAVPELPPRARRIHKELNTGLNRLGTTSACAENTAAGCMTTLDTTNYLRVRGEYSTRSTPTPARPELPPRARRIPLQLGFNTGCGGTTSACAENTFQGLPQLYQTWNYLRVRGEYTIVLIGCWSAMELPPRARRIPPGVVMDGIEGGTTSACAENTTILPRTNVRNRNYLRVRGEYSRGFTAFTQSGELPPRARRIRAFRNLNLLQGGTTSACAENTRIRHHHVHGAWNYLRVRGEYR</t>
  </si>
  <si>
    <t>GC_00003819</t>
  </si>
  <si>
    <t>MTFSTNPCARRATRAVTRAVTIATVALSTLALSACGSGTDKDAERALAEQIDSGKYAGTGVENMSAAEYFGDDVAEYHIICRGTPREEAASAAGIDAGKLKMVAKDGADNKQQFLVGIDAEGKAIGVVEVPTATFNLCPHPMEYNLPADKDLPIERSSDSDPWVLMESTGDPALYGLPPSQWDRTLTPEGELLPEGQQPEGEPAPAEGEPAPQPSNG</t>
  </si>
  <si>
    <t>GC_00003820</t>
  </si>
  <si>
    <t>MNTKPGHTETPFQFVLGNDIENGKIVPNRFRRAKDYVADREWHAHSDSPITDYRALAAAAIEGVQRATAYTNTENTPFTLQHIVDTGKLVLRAGHMFFLLEAQKEEQSGLPTVLMQWVAKAPTVNMNYQPAETQSQIDVDADVLLTWVFPEFTRGNATDMFTRLLEAMLYCKNRPMTYIIPHLESRFNPYGTVKKYNHKEQYMKLMEHILQHNDYWRVESRERECGYVDDDSSSYSTEIRVSSKDDCYSFIVILHKRYQDSGIFMKATPDAHPREATPLELIEAFNRWYKYQVQGY</t>
  </si>
  <si>
    <t>GC_00003821</t>
  </si>
  <si>
    <t>PF03596.19</t>
  </si>
  <si>
    <t>Cadmium resistance transporter</t>
  </si>
  <si>
    <t>COG4300</t>
  </si>
  <si>
    <t>Cadmium resistance protein CadD, predicted permease (CadD)</t>
  </si>
  <si>
    <t>MVTDLLGAVGLFIATNIDDIIVLSLFFARGAGQAGTTLRILAGQYLGFAGILAATILVILGADAFLPTEAIPYFGLIPLALGLWAAWQAWQGDDDDDDDAKVSGKNVSALIIAGVTFANGGDNIGVYVPVFLNVGTATVIIYCVVFLILVAGLVLLAKFVATRPPIAEVLERWEHVLFPIVLIGLGIFILVSGGAFGL</t>
  </si>
  <si>
    <t>GC_00003822</t>
  </si>
  <si>
    <t>MALALTVGLVVALGAGLQRVAGMGLGLIAATILSIVIGPVEGVMIVNVLAVITAFGTAWAARADIDWRHFALIAPVLVLGSIPAALLITRIDKSGLQVLVGVTLLIALTTVMFGQRHIPRVHSPVWAVIAGIIGGFTNTLAAIAGPVITVYAQASRWDHHKFAATLQPLFIVTGAVSVATKTRFGAGSVAHTAPSVWVAGVIGLTAGLVVGGKVARRVPRKRARQLALSVAFLGAIAALVRGLVG</t>
  </si>
  <si>
    <t>GC_00003823</t>
  </si>
  <si>
    <t>MYRNDLACKNHTGGCGLLRVSTGLWLGLALAWWVMSLRGSARGARFSHVQFVDAEDWPEIVGVPSGWRMRRRALKAEAAFAAACSDAGLLLDDDGSRPADLVVEHDALFARIAARGWLGLAEGFMAGEFVAPDLVFVLKRLIAGGYRPLGRREGRGFAVGPAVVDIPRELAVLSSPRGVEVPQLHGGMFASGVSTTSRVDVAGVAVDRTVMGAPVGVCREDLVDAQARTLEFLLDAGRVGRGSRVVHMPATHAGVAAYAVDRGFSVDALCASDESADDVANYRLSLPPASRRRVSVEDISGAYPGPSVWQPGWRGGFDAAVSVDVFDKLGADRAKYVASIDSMVARGGRAVLSTLVSRAAAAHGASRSAVHPALSVIAQYLWPGFQPPTIEQIHEVVSEHSSLSVVAEAHYGAHVELSVRLQREFFEGCLREAAAAGYDAVFRRLWFFYLCVLEACLSAGELDAAVLTLARRSRQS</t>
  </si>
  <si>
    <t>GC_00003824</t>
  </si>
  <si>
    <t>MTQLRPGEIATLQHDITDHHDQLTALHASAPGQAVVRLVPAKLTQAESLMLSVVGITPGESKAVGVVRERAAGFPAWPIITDPDNAHHALNLVGELEWARRHVHKAHVIKQRIDEVTAHLTAAAPHFAPTLLEEVGRIFIGIGEVARAKQFFSKARDVERSHALDLDPERHAAAFAEFAAAGAINDKDLSREASAVLTRLDPEAAFDYFLGLLTAMGRAGVPLYANAGRDLRRIGKAADYNDERIDAALFGTLLELPGMGVGGAAFLRQESQALRRYLEPQPELLERLTRRPNECGFELRQLRREWAEEPVEETVPVAVPATVTPEPIDIEKGARRFLEILLGNKQTTVTTRSLLKLIASFNADPNTTVYEVQDPRLFTVLKYVGNERALLAIVASPLLPGLFADRMEYLGMLGYLRELVDSGILCGPWHLGVIELGDEAVVRDTVLPQGTVMDDCFILAVHLEWRDGVRIVSRYVWVPDQRGTLGGYSIVRDQQSPMIAEDFLRCLDILEQHAGTSDGFTPESVAAASAGTGLSTQAITYLFGGGYNHKRGYQRSFLTNDERTHYGFSAAQATGARSCISAIPNKRHLLAAGINPDNITTYVKGTLDADAITNYWLSTYGEPAVPISSETYAELETLFRENEIAYVTLPTIATTAEVLPWSGGDILTILLRAAEQLTVENPARHLIAQKLEQLRTDTANCMDDPEFADALGGIELGGDYKQPGLDRFVGDIVVIRVLLDGYVDALIADLRTQHATPGYGTDPNVSAPDIVAEVARELSLSENAARYYLQLLALAHPTDKNIRLWNSWKKNDITAAASELLANNLIIEAKRTRAGRSYFLPGAWLEGVSGSAPIEQWKTPYYLYWKDTKARPVIAGSPMIMPYRQLFTDAWEHYRSGDTPGYADLDTAQYRKPPRRR</t>
  </si>
  <si>
    <t>GC_00003825</t>
  </si>
  <si>
    <t>K16301</t>
  </si>
  <si>
    <t>deferrochelatase/peroxidase EfeB [EC:1.11.1.-]</t>
  </si>
  <si>
    <t>MNEKSLSRRGFLTGAGLGVAGVAGFAAMPADSSEPKAHAGNSSQIVPFNGAHQAGIVTPAQDRMHFVAFDVLEGTTREDLIELLKKWTVMARRMSAGKEAVEDGATGLGDVAVPQDTGEALDLPPSNLTITVGFGPSLFDDRFGLASKKPEQLRDLPHFPGDQLVAEQSRGDLCIQACADDPQVAVHAVRVLAKAGVGMVVIRWSQLGFGRTSSTSSAQKTPRNLFGFKDGTNNLKSEYTKLIDEHVWVKQPSWMDGGTFLITRRIRMLIENWDRQILAEQEATFGRDKRSGAPLGREDEFDELPLDEYVGTEGPIIPNDAHARLAHFSQNDGGRMLRRGYNFVDGSDGFGHLNAGLFFIAFVADPDRDFITIQNNLSKNDKMNEYVRYESSAIFACPPGTRNNSQWWGQTLFT</t>
  </si>
  <si>
    <t>GC_00003826</t>
  </si>
  <si>
    <t>MQPQLRAIWAQSIDGVIGDGREMPWHVPEDLAHFKSTTLGCPVVMGRGTWESLPERFRPLPGRPNYVLSSRESGRWSEGSTVFSSVDAALDHAAQSAAGGQQDGPVLWVIGGGKLYSSTLDQAQEVVVTSIDVDLSALGADCSSLVHAPDVRQDFSLVEASDWRQSARGRLTAAFLRGIGVDEAHSEVPLRLRFERWARS</t>
  </si>
  <si>
    <t>GC_00003827</t>
  </si>
  <si>
    <t>MDSLISALDTFDSFVWGPFLLIPLLLGCGAFLTIRLKGLQFRALGRAFRHGLIDGSDEGSGDITNYQALTMALAATVGVGNIVGVATAISIGGPGALFWMWITGLLGMASKYAEAFLGVRFRTTDSRGEQIGGPQVYLSRAIKGPLGKTLATTFALFAVFASFGIGNMTQSNAIAAGLQDTFGIDPWITGVIAFILVGTVLLGGVQSIARVTSAFVPMMIIIYIVGAIIVLIAHAHAIPSALHLIFTDAFTGTAATGGFVGSGILLVIQMGVARGLFSNESGLGSAPIAAAAAQTTHPVRQGLVSMTQTFIDTIIVVSFTGLVIICTGTWNADVSAGNMTAAAFSAGLPGQWGGTIVSISVVFFAFSTILGWSYYGERCLTRLIGPRTSIIYRMIFTMVVFVGATTSLTVVWTIADILNGLMALPNLIGLLVLSGLIARETAAYLKFDPKLKATPEEVRNYVKAEGTGWT</t>
  </si>
  <si>
    <t>GC_00003828</t>
  </si>
  <si>
    <t>MSTKPQVDPVTLSQWLGQEHPPTPQQAAIIGAPPGPMLVVAGAGAGKTETMAARVVWLVANGYCAPEQVLGLTFTKKAAQQLSQRIRLRLQALARVPQLAEIDPDGSIRDSLKAITPTVATYDSYAATLIQEYGLLLPVEPGARTITQAETYHIALEVVRQHQGTLDTTVLPGSLVNRVLRLASEMDNHVVSSQEVIDESRLLVEMVDTLPNKDPDGPTPGKPNQALLKVRDRQLDRNALLPIVEEFRAELKRRAVVTFGEQMSMAARLVMSHPRVGASQRERYRVVMLDEYQDTSHSQRLLLRSLFGGIDPELSVTAVGDPMQAIYGWRGATAANLPRFTRDFPDITAGTPAPKKELTTSWRNPPAVLDWANIVADAVFGTGAPRPVQPLQARPGSAPGHTDLRWFATPEEEVQWVADHMAQRYADGVGAGGFTGAVLVRKRAHMRSVADALRARGVPVEIVGDAGLLKIPEVADMLAVATMLIRPEDTEAALRVVCGPSVGLSLADLQALAARAKNLSARVSADDDAAGKAQAPDLDAAGRIVSHLREQIDGAVSQEPEARVGLADAVADLGEPERFSVEGYARLQDLAAALRYMRTHTLSQSLPDIFNDIERVMGIRTEVLSRANPHEDGAAGTAHLDAFATVVADFSRIPGASLESFLDYVQLATEHEDGLAPGEVQVRADRVQILTVHKSKGLEWDHVAVLHADNSTYFADGSRPGAKHSNWTTSVDQLPVSLRGDCEEPGDTPGTGIPELDLSDVTTLNELSAAIEQHKKDYHAELREADRRLFYVALTRAADSLTISGNWQMGAPIDLVARLAKLNPAEDEQWTVPDKPKLPMGLRDALSILGEDDTPEETPLNPKLIPIAVQRRLAQRDVIIPSRPLEDLDESIGSYPRDHLGQRREHVEHGAGLVAEALDNLPEATAEAELDQLWEQEATALIDEHTRLNQPVTHVDIGTRLTASDMVSLKDDPERFARRLRRPVPFKPNSYAKRGTALHQWLEDRFGGSGLIDEDDLPGMGELYEDPHADNLQELKDKFLASKWAARTPMYVEHPFEVKIGTHLVRGRIDAIFKDEDGWLVLDWKTGKPPRARSTKEMEAAIIQLAVYRQAWAQLLSERSGQPVSPLGIRAAFHYIAWDETFTPNELPDAEALAAMLEA</t>
  </si>
  <si>
    <t>GC_00003829</t>
  </si>
  <si>
    <t>PF06114.19</t>
  </si>
  <si>
    <t>IrrE N-terminal-like domain</t>
  </si>
  <si>
    <t>MQLDRLAILADNMGLTITYHREGPKGFYDDQTHRVSIRADVSKNYREHVWTLAHELGHAANQHRPTTDPALNARQELQANRYAAALLIKAADYAVAEALTGGHPGAIANELDLPRHAIEFYQRHSPHTQKAGKAWLA</t>
  </si>
  <si>
    <t>GC_00003830</t>
  </si>
  <si>
    <t>MQVFFSWLTSQSGVSLLVALVALVGVLVTTWWNNKAADQRRKDDQAAENARRKADDDRRERERLEQLQREDWARQRKAVAECIGAIFTAAQGVRDAIIQLQRDKPMVPLDKVLVEKAMALGRFYREAAAHLNQCDLEVTQPHVREQIAKVWACIEHDQKELDGNGEVRSSDIWLATAKDLQPLSEQTLKGLRELTIVARLSLLEYPEHMAKQPVVPLDDNGN</t>
  </si>
  <si>
    <t>GC_00003831</t>
  </si>
  <si>
    <t>MWPGQVLENLGNYHIVELPPHTQENTKRGRRSISLLRNYLRARGEYKSSLKSSAPSQELPPRTRRIRCRPATKWIMAGTTSACAENTLSGAGMYRWIRNYLRVRGEYWMRRMKHIYGWELPPRARRILMDFFMYARELGTTSACAENTPCYWANPLARWNYLRVRGEYKKPPAPRSRSTELPPRARRIPKFGIGLIGTVGTTSACAENTPCYWANPLARWNYLRVRGEYKKPPAPRSRSTELPPRARRIPKFGIGLIGTVGTTSACAENTYAELGRRSRWWNYLRVRGEYLNELGLL</t>
  </si>
  <si>
    <t>GC_00003832</t>
  </si>
  <si>
    <t>MKLKERRVSLLNEVKEMHAAYGDSMTDDQFAEIKSKFDEVDALDVEIKAADERNGTLRRLKAMGGDDDPRTDTHEVKAASVGEHFVMHAKGALAGWEKGTPLSVSAPEYKAADDAFKRTDTLNNFEAERIRPIVNQKRERLVVADLMGDHPMSGAIIQYLVEKNKRIADGGADTVAEDGKKPYIKYDDYDLVTEAPSKIAVLTRITDEMMQDHAYVVGKINSDLVYDLSVKEEQQLLFGDGSGSNLRGVANRSGIQTLASSAFTNWSDDFYRAINMVGNATDFEADGIVINTADYEKLRLMKDSNGQYLGGGIFQGQYGQGGILIKPPLWGLNTVVTNAVPKGTAFVGAWRMGATILRKGGIRVDAANTNVDDFEHNRVTLRAEERLGLMIQIPASFVKMTLTE</t>
  </si>
  <si>
    <t>GC_00003833</t>
  </si>
  <si>
    <t>MKHQSSLPKSTCFGRSQTRSGSTSATTPRAVGVHSRRLAALGLAGILSLGLVACSEESGSSSSGKAATNTSSSSAAAGADEMRTVTDARGTVEIPAKPKRIVSTSVVLTGTLLSLDAPVIGTSGSKPNTPGFDEHGWFDQWANIADERGVEPLFDSGNLDVEKIIAEDPDLIVVSATGGDSFAEQYDQLAAVAPTVVVDYNSHGWEEVTTTLGDLLNLQDKAAQVIKDFDSKVADAKKSITPPAEPVDIAVYSGNKGLNVGLPTAPQAKILEEVGVKVADTGVTAEKGRTDFAFTSEEQANQALTAEQILLVGNDQSDVDALLADQRFQNIPAVKNKQVYALGDPSFKLDYYAALDMLNHVVDIYKK</t>
  </si>
  <si>
    <t>GC_00003834</t>
  </si>
  <si>
    <t>MRILKRTVIVLLAVVVILALGIVAARLYNNHKYPATHSAEYFKDPTNLDAYPQELDGVEITQVNDGTLHGFHLKPKDKKHPGVIVSYGGSEGAAGFDDAAMLAAEGYETLAVFMFGMEGQPAALAEVPLEQFDDVLGYIDSHTDGGPISVIGASKGAEYALNLATKYDEISALVLRAPSAYNFAGLDFSQDSKSSWTWKGQPLPFIDVRTSNGAEFVSNVLLPMITGAPIEYLPTYVSAVEEDKDRTSKLIPVQDTSPAILLIAGGDDKIWDSAGAAELIHSERPENTLVKVYPDAGHIFSGNGVLSTPKLRMRVGGTEESNAAAAKDSQEAILDFLSQHLS</t>
  </si>
  <si>
    <t>GC_00003835</t>
  </si>
  <si>
    <t>COG0739|COG2951</t>
  </si>
  <si>
    <t>Murein DD-endopeptidase MepM and murein hydrolase activator NlpD, contains LysM domain (NlpD) (PDB:2GU1)|Membrane-bound lytic murein transglycosylase B (MltB) (PDB:1D0K)</t>
  </si>
  <si>
    <t>MKIVVGILACIAVVFFLIVVIFSDDDYDELTKNGFSSCVGSKRSGTMDSSVPEGSYSYPEAHALDHLTSGWRTPDRPDHRGLDIAQGPSTPILAFADGTVAQAGPATGFGQWIVIDHEFGGKKYSTVYGHIFPEDILVETGDEVKAGQHIANQGYNGEVVPPGPQGSHLHFEVWEGGRLSGGHDVDPQPWLNKAVEPSTGKPKTGGNSKIFLIGDSLTEGAKSDLEKVLPDASINAKVGRQFSEGLDILKHTSTRYEVVILALGTNGEFSQDQLDEAIEATHGARVVLTTVAGAKVSSAASVNKLVRKNADKATIADWEKRVKDNSGLIGNDGVHPTTQGRKEFASVLAEAAKNATKTNSTSKEIELPPTSKLKSEEHMQKDAIRVARAAAVKFPKIQSMGGWRPGDSHQDHPEGRAVDLMIPRWDTDEGKKFGDEVLDYFRSNAKQFNIEYFIWRQQFIPAEGDDGYTMNDRGSPTQNHYDHVHITVKGGGYPKEGEKYSLNGEKDSSPTGSTHRTSDCDNDDAPVHVDDDLDATDIPPEYAKWFERSAAQCKQLRAPILAALYHQESGFKQGLVSSTGAQGPGQFMPETWAAWGRKVDDKGNAIGPPGSGDVNDIGDATMASGRFLCSIAEQNEEWKAEGKIHGDDTELMLAGYNAGPGAVLNNGGVPPFEETQHYVKIIPEKAKQFEKKKK</t>
  </si>
  <si>
    <t>GC_00003836</t>
  </si>
  <si>
    <t>MWPAANDVEEGVVMVTGPGRSPQLQELFDKAHMLPFGPACSAAWAQAVTAAQDEADDPSTVEALLQLVLAYTMGGRTDRSLAPFVQLDALYRSKPEVFNDEQLSSFGWDFKYALSAVRGLPSVSCEQWEMLLESMREFYVAQGVSLRPYYYRRASYAWDMGDEEGYKEFHARWKAAARGELSDCAGCEPAFDMMYALRMDDVDAAVVAGELSLANADNACDRNPEETLSLMMEPWFMQGHDGRAWAAHCRSYRRFQQSSADFDQLALHYRYLGLSGLLRPERLERGVGILLRHLPWWSEVDSADSLMDAAADAAVLLACIPEAEQDQVLNVTLPGSSLPWCVRPDVPQPTVRVAGQWFKDLALDLADLFDARPGHPNPGVHRRRVLEALTLPTPDELPEIRDVASSDGVIDVSGVFDPQARGLGMSGALIVDDSPESVEDDAAVDDEPAKVPLRFRGPWDDLSLAELKVRDAAINAVHKCDEYTVFGVLAEQREAAELIEARQVDVDVAASALPPEFAQVDPAFELLARSDKHLEAGELVEAATLADQATRMDSIDPIGVRLSACGTLAIAASSAGYPEEAVEAHREAINVAAALGAPLIQAQIAARLADDLLGLRRFWEAAEVANNGLDALERLFGASYPAVAMPVAAALNVCVAAASASVDQHGTAARSLEKAAVLAFEHVALADASDEVRQEARAAAARHFDDAASGYNQAMMYEDAVRCRHRCVQMSVERLREVLKQHGTAGGPDASEQSRSPEVRDAVRTLASVRSRYGNDLAEAVRAGHAEHASTLDEVMEQQRVHLLTYVDVFERSPQWLEADWLRDRAVQFFVMNQHISAADAQRAAITAFTELGDRAEVIDSWMGLSHMYRARGELRQAHTAAEEAAALGSQEASRLAAQIGQEME</t>
  </si>
  <si>
    <t>GC_00003837</t>
  </si>
  <si>
    <t>MNDVRPVAGLSLLCVPQPPRKQNFQDDDVAVRPSMQGLAPVVKALNFIFGMDSLSHSTAAVFSPNVRAYVRRRSKTVPHGPVAIRSIRMQKMTPTAIEFNGTAVAVEHDMSYAMCGRLDRPTLAHPGAKPGTTQWKLTSFTVL</t>
  </si>
  <si>
    <t>GC_00003838</t>
  </si>
  <si>
    <t>MTDDLHPARLMRSAGMWGVILALSVLFGLVLQRLHVPAAWILAAIIASALVAAVTHREIEQNRHYFTFVRSIIAVIAAQPIVESAPGDLLQFILPGIFATVVTLSIGVVGGLALHRTQPEISQESGILSMLAGGASLMPPLAKELGADVNFVLLTQYLRLLTVSISLPLLAPLMGLTHDVAGRTHPAPTVAGLVVLAVVLLVGEPLGKLLRLPAPAILGPMFLTVAIAWTVTALNVGDTATFSVTIPQPIRILAFMSIGWMAGGGLNMQALRRITRLLPAIFLFITVLMAGCAATAWVLSQWLSISFLDAYLATSPGGLETVLALSDEAQSGAVVAATQVIRVIGVLGIAGWLPQIIRAITRTRN</t>
  </si>
  <si>
    <t>GC_00003839</t>
  </si>
  <si>
    <t>MDDLDNKWYFNPQTGEVAQGLEFDATHRMGPYDSEQAAREALETAQARTEAADEYDEQGDNWGKPASWEK</t>
  </si>
  <si>
    <t>GC_00003840</t>
  </si>
  <si>
    <t>MAVASVKPEAYRYRHEALGDISFRTSNLQQVLANQDATGKLILRLDGTLIDIDDGAIRKVTGHDRGINGCDDPATLR</t>
  </si>
  <si>
    <t>GC_00003841</t>
  </si>
  <si>
    <t>PF13238.12</t>
  </si>
  <si>
    <t>MGTHNGLNSAQQELFHIIIMGVSGCGKTTVAEALAARMGVGVADADSFHLKSNKDKMAAGIALNDHDRLPWLKQLRDWMGREDVAGNHSVMSCSALKRSYRDILRDALGNVVHIQLDVDRDTTLERMTNRKGHFMPPSLLDSQLETLEPLGDDELGFIVDNTRPLDEVLDVIQEKLEDMGALATIWLN</t>
  </si>
  <si>
    <t>GC_00003842</t>
  </si>
  <si>
    <t>MASVDKYTIKAGTRWRVRYTTPDGKRHAKRGFKTKASAQAWVAQNFQEIENGKLHTTTTAPTISELWGQYKRLELKYLAPTSQQSLETCYRVHVKPRWGEFPADTITRPDLTEWVYTLASKRSASLVQRAVSLVHKLLNYAKEGGHIDVNHAARLPLPPKRAKAATPLTGEQLIRLADNAGRYRSLLLFMGTTGARLGECAALTPSDIDEKHARATISKSISYIGAKPVLGTTKTGRVRRVAIPAPTLAAVLESIGDKGSNEFIWERPQGGPVTNPGKRGWWSKAIKESQKQDPTFPRLSMHDLRHTAASLMIQAGCSVLVVQRQLGHSSAKMTLDVYSHLFDSDLDAVADLLS</t>
  </si>
  <si>
    <t>GC_00003843</t>
  </si>
  <si>
    <t>MTAYTTINDVKDYVHKVLATSEGYPQDFDIEAIASEISTYDAETQGFIITADDGEFWDIVRKHDSSQN</t>
  </si>
  <si>
    <t>GC_00003844</t>
  </si>
  <si>
    <t>METTFPYYALTRTNLATLRDYLANPGDDTYQTACANAAAVLDTFVDILPEPNIGHHVILDGDNPAMQLCDTEKDHQLRHLIAVEQKNGNSYTHAPIVMCSECIDTKRNNYWQDIKGTYGPELTRLENNLGTSKNTLAMLEVRKAAAEAYLEAHPDNTAAQDYAFEAQRDHGEEAAHLSKLRIKIEKLKKPMEEADRYTRPTAQFTLKKEPKPYTLETIRKAAQRAANRKAAEKGKPRHA</t>
  </si>
  <si>
    <t>GC_00003845</t>
  </si>
  <si>
    <t>MISVTCSTTTWELPPRARRIRTTTLVRRVTRGTISACAENTPPGCSSGSGVRNYLRVRGEYTPSTPTPQANEELPPRARRILSYDSPRCLYIGTTSACAENTGRGGASSPQYQNYLRVRGEYKQVRSSGRWKMELPPRARRIPQRASSCQALRGTTSACAENTTGGPGRTKFRRNYLRVRGEYPWLNHGQTTAQELPPRARRIHSGGVEAA</t>
  </si>
  <si>
    <t>GC_00003846</t>
  </si>
  <si>
    <t>PF05866.16</t>
  </si>
  <si>
    <t>Endodeoxyribonuclease RusA</t>
  </si>
  <si>
    <t>COG4570</t>
  </si>
  <si>
    <t>Holliday junction resolvase RusA (prophage-encoded endonuclease) (RusA) (PDB:1Q8R)</t>
  </si>
  <si>
    <t>MNSPRSNRVFIPGVPAPQGSKRHVGGGRLVESSKKVKPWRRAVNAVARQAFPQPLTGPVELHLVFRMPRTKAHGKKTAPPMVQRPDLDKLIRSTLDGLTGAVFVDDSQVVAVHASKRRAEAWEITGVEVQATEIEG</t>
  </si>
  <si>
    <t>GC_00003847</t>
  </si>
  <si>
    <t>MLPRENYEVVVIGAGPAGLEAALVLGRQRRKVLVLDSSAYRNAASDAAHMLLGQEGTAPALLRSRTLESLKDLPYVDYALDTAKTAEVTCHDQREHVTIHTAAGHTIVARRLIIATGQRDVCEQVDGLAEAFGRYAFHCPYCHGFEASGKDILVLAIPGVPIAKAIFQALYLKNRFSSSVRLLAPERDITGDFAKLLATSSIDVLDGEAKTVTGSLGEVSVITKDETTLRCELAFATPPTESAAKELIESLDLNTRGACIMTDDHGRTSCHLVFAAGDVAVSPEEQEPMTFVSQAVAEGQRTAVWVDQDLFMESLGMTDPPQIAPSDES</t>
  </si>
  <si>
    <t>GC_00003848</t>
  </si>
  <si>
    <t>PF01758.21</t>
  </si>
  <si>
    <t>Sodium Bile acid symporter family</t>
  </si>
  <si>
    <t>K03453</t>
  </si>
  <si>
    <t>bile acid:Na+ symporter, BASS family</t>
  </si>
  <si>
    <t>MPLGAIVVAKLLGLNPQLAVGLLMLGSVPGGTASNVIAYLAKGDVALSVAMTSVSTVLSPIVTPMLMLYLASAETDVDAQGMAMMLVKTVLLPVFGGLVIRLVADSVVDKILPILPWMSIVAIGGVVFGAVAKNAEQLASVGLVVFAAVILHNVLGYFLGYMSARALKQPEAACRTTAIEVSTQSAGLSSGMAAKFFSPEAALPGAVAAVIHNVTGAIYASMVRRKPLN</t>
  </si>
  <si>
    <t>GC_00003849</t>
  </si>
  <si>
    <t>MNLLGLPVPGLLIGIAIVLVLTVVRRLFSTKNTLLGTGLFVTLFLIVVHASLGFSGLPIEWGLSTNIAALLLPVFFFYIASLIRIRNERRASRYQNPDATCTNPRTSDT</t>
  </si>
  <si>
    <t>GC_00003850</t>
  </si>
  <si>
    <t>MSSSRSRLSWKRPAVVTLISLRGQLVSRAYPLFYVEKIHPQLRVYAMIGGWEQCWSKPTTLFTHEQSE</t>
  </si>
  <si>
    <t>GC_00003851</t>
  </si>
  <si>
    <t>K00140</t>
  </si>
  <si>
    <t>malonate-semialdehyde dehydrogenase (acetylating) / methylmalonate-semialdehyde dehydrogenase [EC:1.2.1.18 1.2.1.27]</t>
  </si>
  <si>
    <t>M00013|M00991|M00992</t>
  </si>
  <si>
    <t>Malonate semialdehyde pathway, propanoyl-CoA =&gt; acetyl-CoA|Dimethylsulfoniopropionate (DMSP) degradation, cleavage pathway, DMSP =&gt; acetyl-CoA|Dimethylsulfoniopropionate (DMSP) degradation, cleavage pathway, DMSP =&gt; acrylate =&gt; acetyl-CoA</t>
  </si>
  <si>
    <t>Pathway modules; Carbohydrate metabolism; Other carbohydrate metabolism|Pathway modules; Energy metabolism; Sulfur metabolism|Pathway modules; Energy metabolism; Sulfur metabolism</t>
  </si>
  <si>
    <t>KEGG Orthology (KO)&gt;&gt;&gt;09100 Metabolism&gt;&gt;&gt;09101 Carbohydrate metabolism&gt;&gt;&gt;00640 Propanoate metabolism [PATH:ko00640]|KEGG Orthology (KO)&gt;&gt;&gt;09100 Metabolism&gt;&gt;&gt;09101 Carbohydrate metabolism&gt;&gt;&gt;00562 Inositol phosphate metabolism [PATH:ko00562]|KEGG Orthology (KO)&gt;&gt;&gt;09100 Metabolism&gt;&gt;&gt;09105 Amino acid metabolism&gt;&gt;&gt;00280 Valine, leucine and isoleucine degradation [PATH:ko00280]|KEGG Orthology (KO)&gt;&gt;&gt;09100 Metabolism&gt;&gt;&gt;09106 Metabolism of other amino acids&gt;&gt;&gt;00410 beta-Alanine metabolism [PATH:ko00410]|Enzymes&gt;&gt;&gt;1. Oxidoreductases&gt;&gt;&gt;1.2  Acting on the aldehyde or oxo group of donors&gt;&gt;&gt;1.2.1  With NAD+ or NADP+ as acceptor&gt;&gt;&gt;1.2.1.18  malonate-semialdehyde dehydrogenase (acetylating)|Enzymes&gt;&gt;&gt;1. Oxidoreductases&gt;&gt;&gt;1.2  Acting on the aldehyde or oxo group of donors&gt;&gt;&gt;1.2.1  With NAD+ or NADP+ as acceptor&gt;&gt;&gt;1.2.1.27  methylmalonate-semialdehyde dehydrogenase (CoA-acylating)</t>
  </si>
  <si>
    <t>MSNLIGHFINGERTPGNPNHTADVLCPSTGKVQAQVSLASTEEVNEVIELAASVQPKWAATNPQKRIRILMKWISLINANMDELATMLSLEHGKTFEDAKGDVIRGVDVLEFALSAPHMLKGEYSESVGTGIDTYSMRQPLGVVSGITPFNFPAMIPLWKAGPALASGNAFILKPSERDPSVPLRLAELFIEAGGPKGVFNVINGDKEAVDAILDSPTIKAVGFVGSTPIAQYIYERCAATGKRAQCFGGAKNHMLILPDADLDLVADALIGAAYGSAGERCMAISVAVPVGKETADNLRAKLEERIPSLKVGHSLDPDAAYGPLVCKPALDRVHKLIGEGVEAGADLVIDGREHGATDAEFNGESLTEGFFIGPSLFDNVTTDMSIYTEEIFGPVLCIVRANSFEEALALPNEHVYGNGVSIFTASGEAAREFASRVQVGMVGINVPIPVPVAYHTFGGWKASGFGDLNQHGPDSFRFYTKTKTVTSRWPRMTTGADFSMPVMD</t>
  </si>
  <si>
    <t>GC_00003852</t>
  </si>
  <si>
    <t>MSSILTIAPCTSITPAAALDVNTDPATAHHTCLIEPGPQDITLAGQYRVAMRSASAEATKNLRGMFPEQQDIFDRADSEPDSREELAFELFPHIEALDFTIEDATAFLDSEFLYREALPGFERLTSTSNTTGRYTKQEALDKTALVLEGLDVEEPFNNPEHSDMLRTIIESVYSTPQWRDISGNMAKAHGSAAYLDCVDQLNTAEDADEQAAKKAAAKLADLDQQLKRAQEAKDEAEKKAQVAEEAKVAAEQEAARAKKDTEAAKSAQTESHSRLGAVIC</t>
  </si>
  <si>
    <t>GC_00003853</t>
  </si>
  <si>
    <t>MSENTPDRANPADSLDVPTYQQPNIHERVGRAAPQQIPAQGAAPAESEAEAQPKDEHSAPLASDAPTTAFDEVSVDQPAAAPAQDTTVAEPATTPAAVAEPAVDPAPTTVAPAVVPAATPVAEPEEPMVLDEKNVTVVSDRRGTLNFGLFLIRATVAAVLIAHSVVVFFGLGSSAGLSGLQADYAAYNQPSILSVLIPSLELTAGAFLLLGLITPVAASLGLVATGFAMLHDLSTNGLRDTAAGHDSYTAIMLFLLVLGLLFTGPGRWSLDFSRSWVRRPLASSWIFALVGIGGLVAIWWFLAGTF</t>
  </si>
  <si>
    <t>GC_00003854</t>
  </si>
  <si>
    <t>MKKLFSLARLLAPLALPLIYRGLTSGRQLLSANEESEQALRARITAARTAIDESDKPKGFQRDAHDRLDQLENAIADARSLPAKQRAKKFLAISRDIKHTV</t>
  </si>
  <si>
    <t>GC_00003855</t>
  </si>
  <si>
    <t>MPHTSITRTATGATPPALSDSDPADVFNTESGSLELKAAGLSKTEAAYRLIKEKITTGEFAPGHRIVLASLAELLNSSVVPVREALRQLEAEGLIEYERNVGARVAMVDRSDYLDCMYTIGVLEGAATAQAAPYLSAADLSEAREINAQMAALLDRFDAAAFTHLNYQFHRTLFSRCPNQRLVELVAADWERLSYLRESTFAFVPNRAADSVAEHNKILTLIDIGAEATFIEKTARDHRHGTLNSYLASLKQHPSQGIQGETL</t>
  </si>
  <si>
    <t>GC_00003856</t>
  </si>
  <si>
    <t>MALNIIDQDAVAKQLGLIDADKQRFKSICDAVHALVATWVPPAQHDSAAVKLGAEMLAARLWRRRQSSTGVETLGDIGTIYVARYDPDIAQLLGIGSYAPPSVG</t>
  </si>
  <si>
    <t>GC_00003857</t>
  </si>
  <si>
    <t>MENKRDKAHELVRRAQDSGYDTLMVTVDTAVAGSRHRDMRNGMTFPPKLTWKSFADASYKFEWWSNFLTTEPLAVTNFGEGSQSFQEIGTMFDPTLNFADLATYITHWNTVRRQVKLKGLTPAQYRDQALQEAA</t>
  </si>
  <si>
    <t>GC_00003858</t>
  </si>
  <si>
    <t>PF11238.13</t>
  </si>
  <si>
    <t>Protein of unknown function (DUF3039)</t>
  </si>
  <si>
    <t>MRHYGHVSTGTQTIERPDVREELEQDSDTPKFFHYVKRNQIVDSAISGNMVQALCGETFPVTKQARPGSPVCPECEEIYKSLRK</t>
  </si>
  <si>
    <t>GC_00003859</t>
  </si>
  <si>
    <t>PF00866.24</t>
  </si>
  <si>
    <t>Ring hydroxylating beta subunit</t>
  </si>
  <si>
    <t>K14749</t>
  </si>
  <si>
    <t>ethylbenzene dioxygenase subunit beta [EC:1.14.12.-]</t>
  </si>
  <si>
    <t>COG5517</t>
  </si>
  <si>
    <t>3-phenylpropionate/cinnamic acid dioxygenase, small subunit (HcaF)</t>
  </si>
  <si>
    <t>KEGG Orthology (KO)&gt;&gt;&gt;09100 Metabolism&gt;&gt;&gt;09111 Xenobiotics biodegradation and metabolism&gt;&gt;&gt;00642 Ethylbenzene degradation [PATH:ko00642]</t>
  </si>
  <si>
    <t>MTDYLCKEDVTVGELVDINVYYQLQQFYFEEADLLDEGRYADWLERFDDDLYYWAPTRTNRTRRQQALAIAAPDEAAFYDETKDSLAWRIRRFDSGMAWAEDPPSRTRHLITNLSVRHAKDGESNELLEARTNFLVWRTRLERERDLFAGTRTDLLRPVGDGYKIFDRRILLDINVLPSKNISTFF</t>
  </si>
  <si>
    <t>GC_00003860</t>
  </si>
  <si>
    <t>MRFLGVPSTAAVNRLPLTLAVPLLGVLCFLQSPGLTVADTKHDLVADPWHFLKHAFDVFPVQNQAYGYVFPQGLFFALADPLPDWVAQRLWWWLVLSVGYVGFFRLTGSSVASVAYVLSPHTVATLGAISSETWPMMVAPWVLLAFIRRGDGWAVPLWGSVVAAGCLGAVNAAASVAALVPAALVAVWGVVRGWVPWRRVVLWGGEVVLVSLWWLVPLFRFAKVAPPFMDYIESASVTTAPMSVLNVLRGATSWVPFVSWERAAAHEMAVQSEWVFITTAVAVVGLIGLVRARSPWLLMLVVGVVLLVGSRFVPSVLDGPLVAFRNVHKFDLLVRIPLCVGVGIGLSRWAHSAVRSGVLLLVVLAVSPAWTGRLAPLGAYERVPGYYQEAADYINANAVGTTLITPAAQFARQDWGWTRDDPFQPLLRVPWVLRDAIPIVESEDIRQLDGVMAVLGDESVEPVDAVRALRALGFGMVVVRHDLDMSAVAQPSLWVADSDSLSRRLVRAGVPVKHFGRVDVAVLGDPVDLPACSMRGAGEAVALVAALYGQRCVPGASGDVVTDTPALVGRDFGDLGRPSEFLTGGSPRDYASVADPVPAVVRGEVRASQPGYTAAVDGDVESAWEPVGPAWIELRNAAPVVAPWVEFVASGRGVVWFESDAGRVSRLVSDGERVRVRVPGPSDRVRVGVDGVGVADVRFADVDRSVRVDVPVQTRAVLLQRVMVPEASLERTLVIHAPMRVRITSDVGSWVEDVQPGELRISSRAHWMLLEVSTSM</t>
  </si>
  <si>
    <t>GC_00003861</t>
  </si>
  <si>
    <t>MPTPARQRLVWPDVARGVAILGLVILYVSIDVPGGKDTFLAALNYYLGPIRLPLFFVISGYFGVKLLRFNLRDLIFRRLWFFAVPYAFFSLFEARLKRNEILMKYPGLDPKDLETLPHMAIAGDSVYWFLYCLVICTCILWITRRLPAWLAMVVSFAPLGLLMVHEQSTPIVYNTMLFLPMFVAGARIKPAFTWLSEHTFRWTAIVPTVGLGALGFWMLTHGVWHTDSGLPYHDWAVWNYAADPLASGLIGRLFSQLLIIPLAIAVARILSLVPAVARPLQFVGSHTLVIYLGHPLAMTFVFNTLFYRYDIYVLNRDNPDNPLLWSCICFVLCAAGSYFVWLWSKVPVLGWVVVPPQLLDEVAGLRERLGGRGSGGRFDKEAHEHQHADDSQRSPQG</t>
  </si>
  <si>
    <t>GC_00003862</t>
  </si>
  <si>
    <t>MTTSPKHNPHEEKLAQLARAIEEYESGEYSPTIIDPVAEERKSAVRHRALLLLNSRRRSRKELFDRLSTPTQSQHKRQQTAESGDDDVATDAASSLVDPTVINEVLDDLERVGLIDDDLFAEQWVRERHQRRGKTRRVLDQELIHKGVAEEVRLRALSQLSDEDELHVARALVEKEVAKVGELADRRHYDKALRSLVGKLARRGFGTSLALNLCREALEPLRRF</t>
  </si>
  <si>
    <t>GC_00003863</t>
  </si>
  <si>
    <t>K00151</t>
  </si>
  <si>
    <t>5-carboxymethyl-2-hydroxymuconic-semialdehyde dehydrogenase [EC:1.2.1.60]</t>
  </si>
  <si>
    <t>KEGG Orthology (KO)&gt;&gt;&gt;09100 Metabolism&gt;&gt;&gt;09105 Amino acid metabolism&gt;&gt;&gt;00350 Tyrosine metabolism [PATH:ko00350]|Enzymes&gt;&gt;&gt;1. Oxidoreductases&gt;&gt;&gt;1.2  Acting on the aldehyde or oxo group of donors&gt;&gt;&gt;1.2.1  With NAD+ or NADP+ as acceptor&gt;&gt;&gt;1.2.1.60  5-carboxymethyl-2-hydroxymuconic-semialdehyde dehydrogenase</t>
  </si>
  <si>
    <t>MSATNTTNTTLPSGMPEKIQHYVGGKFVDSIDGDTFDVINPVDNTPYIKAASGKKEDIDAAVAAATHAFEHGPWPKMLPRERARVLHRIADIVESRDKILAEMESFDSGLPITQALGQARRAAENFRFFADLIVAQADDTFKVPGRQVNYVNRKPIGVAGLITPWNTPFMLESWKLAPAIATGNCVVLKPAEFTPLSASLWAGIFEEAGLPEGVFNLVNGFGETAGDALVKHPNVPLISFTGESRTGQIIFGNAAPFLKGLSMELGGKSPAVIFDDADLDEAVNATIFGVFSLNGERCTAGSRILVQRGIYDEFVERYAAQARRVKVGLPSDPSTEVGALVHPEHFDKVMSYIEIGKEEGRLLAGGGRPEGFPKGNFVAPTVFADVSPDARIFQEEIFGPVVAITPFDTDEEAVALANNTRYGLAAYVWTSDLKRAHNVAHDIEAGMVWLNSNNVRDLRTPFGGVKASGLGHEGGYRSIDFYTDQQAVHITLGEVHNPVFGKQ</t>
  </si>
  <si>
    <t>GC_00003864</t>
  </si>
  <si>
    <t>MLDFWRRRLRGLRFLATSLGLMMLVTVVVTVGILAAGVSMANTSDARRHDMGVLISTTEPTAFSAHRLYSSLSVADMSATTAFVGEDAADYDVALRHAVEAATDVAGGLDTQDPDDAKTMALVQEVQQQLPVYSAMVARAQALGDTAEMSDATALMRTTILPTAEALFVRTNRKVSDDQAALTHPQWVPISGLVVAVGMLLLAQVFLAWRTNRRLNKGFAAATVMMTTALLWVGVSNWMTFNAGVKGFEEASDPLKALTNARVYAQQARTDETLGLVVDKRTTVDTFTYDMQRISYALDVYARSDLAETPANAERLEAARSAVEQWKQAHPLKLSGTAAQGAAYQSVDDNVAELMRNARQELRSYFNVGFSASRVVSAVVFVLSLASVLALWLGIRPRLQEYL</t>
  </si>
  <si>
    <t>GC_00003865</t>
  </si>
  <si>
    <t>MVGTSVRSIPKGEVHADKQAVISQLRSRLPGVPQWSAPVPAVTTLCEGVELKRRSMSIINDCPALVVELAARISAGGGWVVLIACPDLNLANVAERGRLDHIVWIPNPGSITTAVQLFVESADLIVCGGFDAHPAAIRALRSKINSKDSSAAVMFIDSHVSHTAHGMRKASAFGTGSMDLEIDAHVQHLHGLGQGMGRIRGVDIAISAQTRSGHKHRGVITVGEQDRRAIINMHSARHTQEEDYAYGSAVVS</t>
  </si>
  <si>
    <t>GC_00003866</t>
  </si>
  <si>
    <t>MQINKYVEALGKSYSELLSNKIIGRLSMPAEKLAEVTRMQNNKNMEVLFGPYGELLSTKVNGQFPEKLILSTPPFLGSRAIHDSFLSQTQVFDLEPLRKAIIGNCGEAVKNLQEVLHQLLEDFDDSNIAQLPSNLQECTDKIKTSDFREFIEQEGIPLYAIPRDRDAVLKLLEAKDRQGRRQILGEFCQSLVVDCAAILKQARNTVINDLRGFIEDGIATMHAGHYYAAQALFTVILDTLISYFYPDQENRRKIIGHQRSASVPDEIKAMEIRDALVWLPIWHAHEQFWASRGDSIPNDRYSRHASVHAVSVDQYNKENCIQVMMLVASLIAYAEQIDW</t>
  </si>
  <si>
    <t>GC_00003867</t>
  </si>
  <si>
    <t>K01958</t>
  </si>
  <si>
    <t>pyruvate carboxylase [EC:6.4.1.1]</t>
  </si>
  <si>
    <t>COG1038</t>
  </si>
  <si>
    <t>Pyruvate carboxylase (PycA) (PDB:5VYW)</t>
  </si>
  <si>
    <t>M00173|M00614</t>
  </si>
  <si>
    <t>Reductive citrate cycle (Arnon-Buchanan cycle)|Anoxygenic photosynthesis in green sulfur bacteria</t>
  </si>
  <si>
    <t>KEGG Orthology (KO)&gt;&gt;&gt;09100 Metabolism&gt;&gt;&gt;09101 Carbohydrate metabolism&gt;&gt;&gt;00020 Citrate cycle (TCA cycle) [PATH:ko00020]|KEGG Orthology (KO)&gt;&gt;&gt;09100 Metabolism&gt;&gt;&gt;09101 Carbohydrate metabolism&gt;&gt;&gt;00620 Pyruvate metabolism [PATH:ko00620]|KEGG Orthology (KO)&gt;&gt;&gt;09100 Metabolism&gt;&gt;&gt;09102 Energy metabolism&gt;&gt;&gt;00720 Other carbon fixation pathways [PATH:ko00720]|Enzymes&gt;&gt;&gt;6. Ligases&gt;&gt;&gt;6.4  Forming carbon-carbon bonds&gt;&gt;&gt;6.4.1  Ligases that form carbon-carbon bonds (only sub-subclass identified to date)&gt;&gt;&gt;6.4.1.1  pyruvate carboxylase</t>
  </si>
  <si>
    <t>MKKQPTSFKKILVANRGEIAVRAFRAAYEIGAETVAVYPREDRNSFHRSHASEAYRIGTEGSPVKAYLDIDEILRAAKESHADAVYPGYGFLSENAQLARECAENGLVFIGPTPEVLDLTGDKSRAVTAAREAGLPTLDESTPSDDIDVLVEQAKGQQYPLFVKAVAGGGGRGMRFIPNEKELRHLAAEASREALSAFGDARVYIERAVVNPQHIEVQILGDASGDVIHLFERDCSVQRRHQKVVEIAPAQHITQEQREKICAEAVKFCKHIGYIGAGTVEFLVDEQGNHVFIEMNPRIQVEHTVTEEVTQVDLVKAQMQIAAGVTLKELGLTQDAVQLHGAALQCRITTEDPSNGFRPDTGTITSYRSPGGAGVRLDGAIQLGGEITAHFDSMLVKMTCRGSDFATAVARAQRALAEFHVSGVATNIGFLRALLREPDFTEKRVATSFIAEHPWLLSAPPADDEPGRILDYLADVTVNRPHGQPPASSTPADKLPKLPHSPRPRGSRDLLRDVGPVEFAKQLRAQDRLAVTDTTFRDAHQSLLATRVRSSALVDAARHVSYLTPELLSVEAWGGATYDVALRFLHEDPWARLDELREAMPNINIQMLLRGRNAVGYTPYPDHVCNKFVDEAARSGVDIFRIFDALNDVSQMRPAIEAVLSTDTCVAEVAMAYSGNLADPNEKLYTLDYYLKLAEQIVESGAHILAIKDMAGLMRPAAATKLVTALRREFDLPVHVHTHDTAGGQLATYLAAANAGADAVDGASAPLSGTTSQPSLSAIVAAFADTYRDTGLSLKNVSDMEPYWEAVRTMYAPFESGTPGPTGRVYRHEIPGGQLSNLRAQAVALGLADRFELIEDNYAAVNEMLGRPTKVTPSSKVVGDLALHLVGANVDPADFVADPHKYDIPDSVIAFLRGELGTPPGGWPEPFRSRILEGRAETSAALVDVPEEEADNLESKDQATRRAALDRLMFAKPAAEFVEHRRRFGNTSILEDREFFYGLVEGEETVIDLGDSVQLVVRLDAISEPDDKGMRTVVFNVNGQIRPLRVRDHSVESTTQAAEKADPSKAGDVAAPFAGVVTVTAVEGDEVKAGDPVAIIEAMKMEATITAPTGGTISRVVLSQAAKVEGGDLLLVIE</t>
  </si>
  <si>
    <t>GC_00003868</t>
  </si>
  <si>
    <t>PF24623.2</t>
  </si>
  <si>
    <t>Putative DNA-binding phage zinc finger domain</t>
  </si>
  <si>
    <t>MSLVDWKRVATQLLTLVAEFDHRYQGLDVDAMRKRRDAWTQVLASAGVAPEYLAKAVSVVYGTGDRGPYNPLGAVLDEARNVRQRASQGAVVRELTATPRNTGGPSKAVYEATGTLGVGCPRCGARPGLPCVGAYGPRQAPHMERYDLAHPKNGGFKPSKPPDPHKPPRGAKKSATRQAGADSGPFNTEERSQQWQKLLKTRELPH</t>
  </si>
  <si>
    <t>GC_00003869</t>
  </si>
  <si>
    <t>MTPMDSSSRVVVNGSIVSLVLAVGLVAGVIGVGRHLALSDAQAPVALSIIDAPEASSQQCSDLLERLPSKVGSFRAVDLVDPAPEGAAAWAKSSQQRVTLRCGVDAPAQFSALSVVDDGWMRVGDETPGSTLSTWYRVGSTPVVAVTADQDADSAVSELLEQVGSGDGPAADPHPVALSTLDPSGDGAEVLSRQCRGLMAALPQVHGYTLRVLDASEVGPGVADRTMAAWVAEGREPVVVRCGVALPQAYEPGAALQQVNDVAWLEDSTLGNGTTASTLYGLGYQEVVAVNLPQALGTEVLTPLSNAIAKNLPEQPQP</t>
  </si>
  <si>
    <t>GC_00003870</t>
  </si>
  <si>
    <t>MVVMPAQHARAGMTSGGRAETAAEGLCGTPVYTPQQVRRAEQPLLAAQGLVLMQSAAFAVAVEAADMLRSCSTTRRVYGSRVLVLVGAGNNGGDALFAAAELARRGAQVRVVASSDSVHVQGAEAARRAGVRWLDSPGAVGAFCPDLIVDGLLGIGAEGPLRGSVREVIDDVAGCAAAGTPVLAVDLPSGADPMGGAVDPATLVAQRTVTFGGVKPVHVLRRSVCGRVVCRGLGIDEQLRRELPWGLSVDGGCWPVPGEESNKYTGGVVSVYAGSSAYPGAAVLAVAGAVRATSSMVRYVGQCAQQVLSAFPSVVVGAGRSDCVVVGPGNSTAVGDLLDVLQRDVSVVVDADALTAIASGGDPVREVLRERYRAGLLTVLTPHDGEFERIMGSSPSHYVSRVDAARALAQEFGACVLLKGHTTVVVSPGDHQPALIIPSQSSWAATPGSGDVLSGVLAAVVAAQPRVESVAVAAYAHALAASSFDAPCDARQLADAISPAVAEIVARWRRGGS</t>
  </si>
  <si>
    <t>GC_00003871</t>
  </si>
  <si>
    <t>MLPVEHRLSTQAQFKTVMKKGRRVKSRNLMIHFLSARATLPGENSGSSVELSTPRAPRCGLVISKAVGNSVVRHNTARKLRAAFFNLVKAEHPALGVDAAEEPRGYIDVVVRAFPGAASLTTVELQRELELALDKAFDKSFGAKTHTNTRQARQGVGR</t>
  </si>
  <si>
    <t>GC_00003872</t>
  </si>
  <si>
    <t>MRSIVHGIGDAVGGDPSGIGAADQRGTVFGGRCCINVCCGASVG</t>
  </si>
  <si>
    <t>GC_00003873</t>
  </si>
  <si>
    <t>MTGAKQFKTYTEQVELLRTRGMRIDNQDGAEHLLAQLNYYRLSGYWYPMRRFTPDTGVALDEFIKGASFDLVVSLYEFDEQLRHNVFIELDRIEMAIRAMLGYELGSVDPLVYLDSTRLGALARQRRKDGRSVHDVWLEKYKTSVESSKEDFVQHHNTKYGGEMPIWAAVEIMDWGMLSYLYGMSPTIVRDHISRQCALSAPQLESWLKSLNIVRNYAAHHARMFNHVYDIKPKLNDDPRLTPVARKMNRTFGQLTLIQYLHRQLGLSPAERLPTLLNTYPDNDIVPLSRTGATEGWQNLELWAF</t>
  </si>
  <si>
    <t>GC_00003874</t>
  </si>
  <si>
    <t>MLVALLKGLPADNALARARGREYAWTPLEDLAWAQVQYLRRLETMVATSLDHKQRELPKSVPYPWSEPDDGVNRLGRVDSGDETAAVEYLMGMLSAGE</t>
  </si>
  <si>
    <t>GC_00003875</t>
  </si>
  <si>
    <t>MRVLNVGAARRLSAVASLCTVRLVVSSCGMVTITPKNAGEPTAGTLTGLPSPAETAATDQPSTANESAQTSAKEQGANEQASKQTPLQQGARLPREVRERRGARVHRGFIAGGWPIDWCVRVVVVFVRC</t>
  </si>
  <si>
    <t>GC_00003876</t>
  </si>
  <si>
    <t>MFFEEQVEDFFAIDRGFTSFIAVPYSSRRFEGPGDFFPGIATSVSTECHNDGIIKVITSNMLIVFSHGRDDFFYWNIINKHPIIRGNVLIWNVGNTKILIRIGH</t>
  </si>
  <si>
    <t>GC_00003877</t>
  </si>
  <si>
    <t>K03827</t>
  </si>
  <si>
    <t>putative acetyltransferase [EC:2.3.1.-]</t>
  </si>
  <si>
    <t>MGIERLRAATASLRSARAPEDYPALLDVWARSVAGTHDFLKPEHFDVLRAQLVTSFFPHVTLTVAVVDGKLVGFSGVAGDGLEMLFVDPDWMGCGVGTLLLDDAVGRQGARRVDVNEQNESAWRFLRVEGFSRGRPQRPGRPGMGLSNCAPRKVASDSTTAGVAPAVRR</t>
  </si>
  <si>
    <t>GC_00003878</t>
  </si>
  <si>
    <t>MSINKHSTLAGVGLGFSLVYLGMLVNMAYNGFQMDLQVFQDAGFAIVRDEPLFDGFHTRSGFAFIYPPFAALLMAPMSVIGAVPLQLAWAAVEAFSVAVTIYGGLRLARVDKDHAWCWAACLLGIGLWIEPIRNGLFFGQVDIVLVALVVADLAGMTPRRFRGVLIGIAAGIKITPLAFLLILALRKDVASILRAIVTLAATIVIGFAARPSDSRLFWTEVVLDTNRAGDKSFFRNQALTGLLSRHGLTPDTALFVGVWAVLVAIVLIIALYALVVLTKRGDQLGVLFVFALLVCTAQPYAVTHHWAIMSVLVPLVAVQFARGFEYKWWCVLLLVIQGAGPNWLADPDRGFSSNPVLSALGDIQGVTAIIALVCCALLVRRGMVLTPPPQQPVAATV</t>
  </si>
  <si>
    <t>GC_00003879</t>
  </si>
  <si>
    <t>MEQAVLSVKDLSVGYREGDPVVQSMNLELAPGSYTVLSGASGCGKTTLLYALCGLLTSSFEGWQQGDIFVDGIDPQQSAEGELACHIACVWQQPDAQMCARTLFHEPGLPRDYQCKEMSQTDALTEELLEWVGLSHLNSGSDPLQLSGGEQQRLALAAALAQGAKVLVLDEPAAALDQQALEQFLQALSRIRDRTGVTVLAVDHRPEKHRGLAERFILLDQEGTIVYDGDYEEVLDAGGDLLRRHDVRASSGGSISGVINNVADSSASPVVAAAIADGSEVVNAKGVFYQSSDGEMLLAPTDLCVRRGDVVALIGRNGSGKSTLLRCLVGMLTCGGVIVPGKKDRVESGIGWVAQRSSSVQLYGSVEATLVAAISRGRSESTAELSEQERNAVLEIAKEFRLQDLLHRHPMRLSGGQRQRLNIGAALLSQPVLLLLDEPTSAQDASGIASVVRALHEGRGSRGTIVVSHDREFLHQLHPTQTIELKLQEGSGLSESQAKKSSGREKDCLPLVHSLVLLLVAIAVWIAAARRTSLQELALLAVVLFVFGLLGSIRRQGIAKFLLRCVLIAAFCILSWVGFLPWVSDVQAQPWLNQQRMVGALLPAVQLSTLVLASVAVLPLVRGPELVDTLIGMLKVPYRFVDIALFGNRFMARIRRDMSFVQHQYRLTTRNAKRRIGLLRLVPVVTVASLRDSEQLADALDSRGFGASSTRTLRHYRPLTALDIAAGLGFFAFLLFLPSIAEFFWRLL</t>
  </si>
  <si>
    <t>GC_00003880</t>
  </si>
  <si>
    <t>MHYLEWSGRTELHRGTTRLDQTPEHLASFTDTSATIGEQVYTLDASTGSFSGDDAAFSAVADKGSLKKAKQVTTTLSGGEYQLLNERKKEWVILHEGNFVAQFTGDDVRNMLIQFGQADEQGQPLETPEALAEQAALPTITPLEEIYLAWLARTVVEQRLVGTTTILMWSLIALTPFIILVFLM</t>
  </si>
  <si>
    <t>GC_00003881</t>
  </si>
  <si>
    <t>MWGFAWRDWVVVPHPALSPDNFGTGDLPARNAPQDGVLALWGILAPAPWLCLILMTVALLAGARAAWRGPNPALALLVFICNPLVIERLLQGHWSLVICIWLLPAIAHSALKQHPSLWAYLWLASITPTGCILAALTAWICQGQLRNWRTPLAALALSAPWLIPTLINHPTSPPTDAFILRSQIHAPAGELLTALGMRGIWNTDAVAAGLPIASALLTIIILAHLRPRDVITRKLLLLAAIGIAAALIPGPWILRDSTKMLALATPLLIHGAHTITKHTMKIAAAALALAGTWGAPAQLTALAPIDYPQSWQQLATQAHGREVLIKGPNGIVTYQQRVVVDPRSKILNTVQSGELSVDGRTIDPPTPRYQWAQQADDQHLRDAGIGVVIERDGTIRDLGPTPTPTPTLGIALTCWWILLGASSALYWRYATRRAAHPQPTSPHHS</t>
  </si>
  <si>
    <t>GC_00003882</t>
  </si>
  <si>
    <t>MKFRVMDLVSRANQPRDIVLCVGQPPTGAPRTALDAACEAMGSLPLGYTAIEGIPQLRQRIAEDYPGSTADDVVVTTGASGGLTALFMALKALKAREVRNNDVVGEASADGQVAVAMARPGYPAYRNLLRSIGCGVVEMPCGMDTRFQPTAPMVEGMLAEHPEVAAVIVTSPANPTGTIIESDELEAIARVCQQRGVILISDEIYHGLEYTDHTCTSAWGMRGDVVEHNVVVVGSFSKFYSMTGWRVGWLLLPPSLRDMVVDIQGNLALCAPAVSQYAALGAFDSEEPQAHVAHYARNRELLSTALEGALPHAPIEGAFYAWVDVSSLTDDSEAWCNELLDRFRIAIAPGIDFDEVDGHRYVRISFCCDTTELGAAMDILAANYLKSTSIKPRLFNTEEHS</t>
  </si>
  <si>
    <t>GC_00003883</t>
  </si>
  <si>
    <t>COG4232</t>
  </si>
  <si>
    <t>Thiol:disulfide interchange protein DsbD (DsbD) (PDB:1JPE)</t>
  </si>
  <si>
    <t>MGIMRIHKSYLTVLLLPALALAGCSSSSDADKKDDAMMSTSATSSAMSTSSEAPETSAAMDKDAKDGMKKDSMEKDGMKKDSMEKDSMNKDSMNKGGEFVTYEQYMEHSDAAMHHDGRTVLFFDASWCPDCQKLKNALSSEHDVIPADVTVVDVDYDSHNDLRKQYGVTMQHTFVEVDAQGNKVSSWSITDPSALNEKLAG</t>
  </si>
  <si>
    <t>GC_00003884</t>
  </si>
  <si>
    <t>MLYLIFAIVSIVCFAVLALAAWRFFVLRPHGISVVMRTMNGPWRHGVISYSDELLKFYKLRSLSPRVDIQLVRNRTELVGRRQRRDDECSTLEDGLRILAIKSNAKEYEIAFDLRGETAFTSWLESAPTARAQRLDVRTAMKHLNQSH</t>
  </si>
  <si>
    <t>GC_00003885</t>
  </si>
  <si>
    <t>MRKVARVTPLIEAWQLFVALAFFAITQGRRGIVDAAVAVQSSSLVGSHQVAMAAVAVVAAIVVACVAWLLSGIWWRARGYSLDGEEIVLKFGVLSKEQRVARYDRIQAIDIVEPLLARLFGLAAVHVETAGGEDSRLEIKYLTRADADALKREILGVTADTHVDVATAAATTDVAVDASTADPAPTADAAVIPMKRSLIAAACTVSTVVGAVWLIVSFAVGQWVSAFAAVSMVAGAGWKIVNGSWLYRYRVARVDGRPALAVEYGLSTRTSKNVRLDKIRGVQITQPVLWRLLGWWRVEVSVAGYGVLDDAPVVLPVGQWDDVVDVLGLVAPGVRVEPTPPPRVADEDYLGSGDGGAEQAGGFMRRGAVGVYQCPPVARRLWPVHARVLRLVFGGQDAASVLYKGWLRRKISIVKPADVQEVSVTRGPVSRVLGIGTVRFDLVKGPTSFEVDDLLWEDAVGIATVMRGRRLDQLASP</t>
  </si>
  <si>
    <t>GC_00003886</t>
  </si>
  <si>
    <t>Q|J</t>
  </si>
  <si>
    <t>Secondary metabolites biosynthesis, transport and catabolism|Translation, ribosomal structure and biogenesis</t>
  </si>
  <si>
    <t>COG0179|COG0684</t>
  </si>
  <si>
    <t>2-keto-4-pentenoate hydratase/2-oxohepta-3-ene-1,7-dioic acid hydratase (catechol pathway) (YcgM) (PDB:1GTT)|RNA degradosome component RraA (regulator of RNase E activity) (RraA) (PDB:1J3L) (PUBMED:20471400)</t>
  </si>
  <si>
    <t>MSDIPKSPVTPGKIIAVHVAYNSRAAQRGRWPKQPSYFLKASSSVSASGSNVERPQGCELLAFEGEIALIIGRPAHRVQPEDAWSYVGGVTAANDLGIYDYRAQDKGSNTRSKSRDGYTPLGPDVIDASLVDPHNLRIRTWVNGHIAQEAITDEEEMIFPLSQFVADLSQHMTLEPGDVILTGTPAGSTVIFPGDTVEVEVDCPTVEGCPTSGKLSTTIVEGPGNFNASVGMLPSIDDKQREDAYGDRASAGLPEEDDLSSMDPELRALLEKVPTAGLSAQLRNKGLNQVHIEGVKSNKPGTHMVGVATTLRFLPCREDLFPALGGGYNAQKKAFDGLKEGQILVIEARNDPGSGTLGDVLALRAANLKAAGIVTDGGIRDFTPVTEVDIPVFGRTAHPAVLGRKHLPYDTDIAIGCGNTTVFPGDILVGDDDGVIVIPRALAWEVAIAAAKKEIQDEWVAERVKEGHPVDGLFPPTGEWKKAYADYLDNHPELMAALPTPPEAK</t>
  </si>
  <si>
    <t>GC_00003887</t>
  </si>
  <si>
    <t>MSALIPALERLPACEFLLVVSDFDGTLAGFSPNPDDVAVHAPSMDALRALSALPNTSVALLSGRSVESLRAVSGVGRDSAIALVGSHGAQREEGACVSPEVQRCLDEVAQAWERLIASSGCSGAFVEHKPYHRVFHVRGVADAAVAEALLRRAAGVGCSRGGFSEGKCVVEYSPIAVTKGDWLREQVEGLPAGAGVVFIGDDVTDEHGFSALRALESAGHNGVLRGVKVGDGVTEAHATMAGIREVGEMLSELAKARQIFIKEHPRFQ</t>
  </si>
  <si>
    <t>GC_00003888</t>
  </si>
  <si>
    <t>MGSPTNYAPHDRPQQQGSAHPTAKRSPIAHKEKTTPRGVRSVVFVLYPVRDSNPCYRRERPAS</t>
  </si>
  <si>
    <t>GC_00003889</t>
  </si>
  <si>
    <t>MRVRACGESAFIVDVASSCPAGSEVLDCVLDLTAQIGAAVDSGRVAGVVDVVPAAETLLVVCDPARVRNVVAFVSGLSPRAATQAPATSSIKEIGVTYDGPDLHDVADSFGISVDAVVRWHQDQVWQVAFGGFAPGFFYLVGQGERREVARRETPRPKIPAGSVGLAGRFSGVYPNASPGGWQLIGRTDAVLFDVDRTPPALLAPGMGVRFVDSEGRV</t>
  </si>
  <si>
    <t>GC_00003890</t>
  </si>
  <si>
    <t>MSRFFDPDRDPLYEGRIRLLKTDPERYFELFPPPKLRFGFCFDDEREED</t>
  </si>
  <si>
    <t>GC_00003891</t>
  </si>
  <si>
    <t>MAVMPDIAYMASGEAANVDVILSMMWIAIAALASPLLSFLTGKRVPGVVFMLVLGVIIGPEVLGLASSDGSNALLRELGLGMLFLLAGWEIDPDSIHGKQGRRAAVTWIVSLLAAFGAALIVFGNRDVLTSVVMAIAVSSTAMGTLLPVIKTAGVADSPVGRGVLVHGAVGELGPVFAMALLLSTRATWLTLVILVLFMGGAIVVALVPRSVSLLVPWVGRAVRDGASHTSQTIMRAVIVLLTLLMAMAAVFELDVVLGAFAAGIILRALVPVRARKTVEARLDVLGYGLLIPVFFISSGMAIDVSSVFSSLWIVVLAVVVILGARGVPIFLAERFTDTGSGIVGLRDQLQLSLYSATGLPIIVAVTEIALQRDLIAERLASVLVSAGAVTVLLFPLMAVWVANFVPGPQSDDAGDDGDDAASGTDAAQVSGDADDAPVEAHRQAGADNEETAAPKRRTSSTVDDEEITLDDDHPSSLKNSAD</t>
  </si>
  <si>
    <t>GC_00003892</t>
  </si>
  <si>
    <t>MSLPQHPTPAQNTNDTTNPSPNEVPRALMHAGVVAIIEGIIGGVLAIAAAVHQALAGTDGSLLVSDPSRGSMIGYGTAVFLLCVFGAVGVAGVYLRRGNRWGRGPVLMMQLLLVMITIYMWKGGMPWLAITVGAVALYCLSRLFAKESVAWAARMYG</t>
  </si>
  <si>
    <t>GC_00003893</t>
  </si>
  <si>
    <t>MVTLEAALSLSGLVAVFVLMIGGIAMGASYIAAIDAAGIAARAHAIGEPLPTSLGDKDIRINDDGAWIHATATIGRMHYTAHYPKED</t>
  </si>
  <si>
    <t>GC_00003894</t>
  </si>
  <si>
    <t>MVACLQKFRTKSPKATDFQPLFAYIFSNNVSVFDFTSVSIEPFGTKIFFEIKEANMSAANESQSLYQSLNLIISLALHRDRHSKYTRT</t>
  </si>
  <si>
    <t>GC_00003895</t>
  </si>
  <si>
    <t>MAAMPVNYILYSIWTWFLTTALIPLIFIIVVMLIPRIGRMVVRGLSSRMDQQEEEFKTRRALLETFVYIGEIILYFLAAVLLLKYLGVSLAGVAIPATVISAAVGLGAQSIIADFLAGFFILQEKQFGVGDWVLFKGSGVDVEGDVIGITMRATTVRTLNGETVIVPNSAARICINQSNYWARAVAVVPVPLLGSATIQDAIDRSTAATLRALNDPEIRRDIRGELDVHPAVGIEKPTVVGMPWMVNMRFVVQVNPAKQWIVERTIRTYILEEFWEEYGSATTTSGVVLDQLATITPASELSPEQLPGLKIDDDVASNPALSTRRLADYVSKDPAQRVTRTTSHHTTAVESDAASPKERGRADLSAPTNDYAAAKNIPTTAETDSTHSTPHTSGQPPFKSNIARVLSINGRCRPSTTVLLVLLIIFLTLKGLSLDGSQHDERFRRGILAPSVKTTAPADPTDSPTTPTEPTQETSTTTPATSSTEEKTTTTTSTTNTEDKDKEEANDKNTNSTGTPTGPDSNSDADSQNDTTGGNEPASPAQPPADGAEQPQAPAPTVNPDQPTPSNQQN</t>
  </si>
  <si>
    <t>GC_00003896</t>
  </si>
  <si>
    <t>MTSFRMVDGRVRGLDLHLERLRTYSALESVPWTTEVEQAILGRLRSFGPGPCNPKISLEGTQWVVTHRPDRVVEDAAIVRVHPVPDERYNPTVKGPDIYMLSVLMHRAHEKGATEGILGCPEAPRDRIVECFYSTPLAFDADGVVHVSTHPRALASVTAGLVLPLVERWGFRVIRHELGLRPPHLMRSHVWLLNSFSGVRSVSHWLEYAAMVPASCPEIPEHITRAAGIDDAAGPAAWEQLRGVVNDYLWAQAQSVHDV</t>
  </si>
  <si>
    <t>GC_00003897</t>
  </si>
  <si>
    <t>MTRFIHTSDWQLGKTWARLRPEAAARLAEARLEAIRTLGKLATEHGAEFIVVAGDVFEHNSLSRETLGRALEQLKALPVPVYLLPGNHDPLVADSIFYETQDIPGVHIVTDHTPIRVEGTSTPVEIVGAPLLTRHPDTDLVALALDALPDDPEHPARILLAHGQVLNRDTIDNPATIDLGLIEDALQRGVINYVAMGDTHSAQTIGHSGAVWYSGAPEPTDFFDTATGGGENNSGHALLVTLRDEGVDVEELSTGTWTMEAIEADVNSIDDVEDFLARLDAYPNKSKTVIKYTLRGTVDLTAMNHLDAGLDARTPIFAAFYPRERLMDLTLAPGTEELDTLQLGGYADGALRELLEASADGDTTAEDALRLLFRLQH</t>
  </si>
  <si>
    <t>GC_00003898</t>
  </si>
  <si>
    <t>MLAAMDANHYSDLNSKIKGILKRDSYCTYLQHMGYFVVIFLGHCAPVT</t>
  </si>
  <si>
    <t>GC_00003899</t>
  </si>
  <si>
    <t>MKKGALEGAPESVVLTAENGHEISNANASR</t>
  </si>
  <si>
    <t>GC_00003900</t>
  </si>
  <si>
    <t>MDKANNTPDHKPNLESPSSPPLVHSFALRLLLVVAGSAMIAWIFLRVLHNDAFVPIGIAGLCFFALTAPIDLVLLLCWWTPAQRVPAVMSWVGGAAAIAGVGCVIAYEAIAWAIILFACGIWLLTVGFFTWVSRVYLQARGYID</t>
  </si>
  <si>
    <t>GC_00003901</t>
  </si>
  <si>
    <t>MHVYPDRLHRIQHTRSTQPLIIAGGPELEYLGIGLSTHERFSALVIPDSNHPHRKPLLIVPTVDLGSATTIDPALSEVADVRSWKDGEDPYAIAIGHLVAGAHAQAAETDTPLDIAVSSSLTADHIVALTTGIQQLTGYSAPQWVLATHTLAEMFMVKDASELGALRAAGQAIDAVHAHVPALLIAGRTEAEVAAELEKLILAEHDSVDFIIVGSGPNGGNPHHSFSDRVLQAGDPVVIDIGGTFAGGYHSDCTRTYYVAGDSGVDSCVDPEFLAAYAVLERAQAAARAIVRPGVTAAQVDAAARQVLTEAGLGEYFTHRTGHGIGLSTHEEPFIIAGNDLVLREGMTFSIEPGFYTDRWGARIEDIACVTADGCDTFNNQPRSLVPGNDKHSGGDSSTKATIVPNAHTEASAASASWAIVGVHDGRDLDAAHIRTLLGQATVVLGGQRQLDMLSHVADELSDAVVTQPWPSPLVPALPELIDRYRGQQVVVLASGDPNYHGIASTLRRHGVDAHVHPAPSSASLACSELGWALDSTPVVSLMSADINSIGLAIEQSPRVLVLGRDSSTPATVASYLHHLSSDSIDPANITITALSNLGTPQRAITRGDATAPPVADNLHILAIDTTTARPATSTLTPGLPDEAFESDGQLTKQDIRAITLGALAPQPGETLWDVGGGSGSIAIEWQRAQSRNPGALRGLKQRAWCFESNAERRARIERNAAHLGVPLSILGTAPDCFCDAPDPDVIFIGGGLEASFEQAWLRLKPGGRIVINAVTVQSEQHLFALQARYGGSMHRFEVSNEKQIGSFTALKPALPITQWRATKNISS</t>
  </si>
  <si>
    <t>GC_00003902</t>
  </si>
  <si>
    <t>MRRYIMEWDPEKRQVPLQKIMDIFHELGQEEVKCYVLIKPQHKNVIEELKSREDLTFYWEEDLGLRGSIFYSHELMPAWIGVFSIDKLDSIEEFDEILFWDDYYPVGTVVLSKNIMLPYNEAYSSVFK</t>
  </si>
  <si>
    <t>GC_00003903</t>
  </si>
  <si>
    <t>MPLISVVFLCKSFTMSIPNSNPDTTDQTNDWILVSEFINRFPGTISGASVRRWCQKGIIKGAIKLPTGRWRIPTSAIDQLYAESQTW</t>
  </si>
  <si>
    <t>GC_00003904</t>
  </si>
  <si>
    <t>MISKKLTVTVLAGATLTLSACGAGQISQTANQVAAVDGASATDEHIAVRDVTVLVDDEGEAALKFTAINLNPVGSDAHTLKKVTVGDQTVKFDDEDLTIEPNCSLVADSEAGLDKLAQDKEACITYVANTVDNPGFALGGNKEVTFEFNDLSVTTDATIAAPVLDAGSDHPRENTPEHAGHSH</t>
  </si>
  <si>
    <t>GC_00003905</t>
  </si>
  <si>
    <t>MLTDLLTRIADALKRAATMGSRMLRKNTATNSQAELAEAWGLPGKKLKHTQKHEYLSHHVYTTQDPPLVAVKRTVSSPQTLSFFRKQDGWTCDNPYMDADPRTHPALQELPDKFTKFWCISDWLVAAGDTEPHPGLITLANIAHILPSKHTPWDELIRVDTDDNNAQNITPPLPQPPAIKLPTRYQHEQRGSITPTGLGADEVDAIAEKLEQPNVSDFAGTRIIRNLPNTSVIFEDATEKADSATTMKETND</t>
  </si>
  <si>
    <t>GC_00003906</t>
  </si>
  <si>
    <t>MTDTRSAIDKAFSLLRSFSAEDASGVGVSELARRADLSKSTAHRILAALVENDAVERSGNVYRLGTLCYDLVSNPENEYHNTFSELLTPYLAALFEQTRHTVHLAYLYGNQVAYINKLFTTRRISSPSRIGGRAPAYCTGVGKAMLAWDQPRAKSVVESGLHPWTPYTITDPNEFWEELQRIRAEGFAYDNQEITLGLSCVAAPILGQNNVPVAALSVSGASGVFRSSDFIGPLKRVSAAASKAVLAVQRSQSNG</t>
  </si>
  <si>
    <t>GC_00003907</t>
  </si>
  <si>
    <t>K03499</t>
  </si>
  <si>
    <t>MFSSRGSKTPPVIILGLGRFGLALGEELVHSGVEVLGVDADENIVSAAAQVLTHVVTADTTNIEALKQLSVHEAQRVVIAIGSDMGASVLTASAVIDLGVSSVWAKADNDSHAKILNKIGVHHVVRPERDTGRRVAHLMSGRLEEYIEFDRNFAMVKLAPPVSMIGKPIEQCPVSIVAIKPAEGVFSLPEPGTVLQPGDLVIAAGPVRELEKFGESD</t>
  </si>
  <si>
    <t>GC_00003908</t>
  </si>
  <si>
    <t>MKQLVLAIGPLVIGFAGTGVLPVLAIDHGASHVIVALLAWLVMFFIGSGLALLLLTPMRRWLPRASLVSWVCALLLIAVGLYRYSTEIDAYWAAPIINLGLGFVFAPLFSSALER</t>
  </si>
  <si>
    <t>GC_00003909</t>
  </si>
  <si>
    <t>MSTPVLELQQVTRMIGPYASPIEPETWHTILWVGVGLPMILAAAGYIVELVASTMVKHEHRARLER</t>
  </si>
  <si>
    <t>GC_00003910</t>
  </si>
  <si>
    <t>MDGTPRPEPHRAHPDADAPTRATGKHRAPHPQAATMGTRATSMRDTTTHPATTHPTTKHSSPLSLSVSLSSAWLSALILAGFAGVGGWQRRWMSDDGLIVLRTVRNLLAGNGPVFNAGERVEANTSTLWQYLIYVGALLTPARLEIIALWLALGFTVAAMVAASLGSAKLYRVKGSAHRSRLLFVPLGGLVYLALPPARDFATSGLEWGLSIFWVAVLWWVLVTWVRNDSPGVLGFASLWCGLSWLVRPELVLYGAIAGLVLLLGAGSCRRRGLIMVAALPLPAGYQLFRMAYYGLLVPQTAVAKSASDAEWSTGWAYVTDLFEPYSLLFGVVAAAVAGVLVAVWFGADPRLLASRASGAGVSVAAADGEDSGVMTSRGLRVRRPVTVVVVMLLCGVLHGLYVVRVGGDFMHGRMLLIPLFALLCPLMVVPVWLLAAGGAEASGRGDVITHSAPSPGSARTTSVKGGARGRAVFPALAVVAAAAAGGWAIATAHAGTDWQPPDKDPNKELGVIDEREFWMWFSGHTAQDPPLVASDFLDIDRMWGYEEAIERAYEQPTGMILSIQSQEPGHPFNWMTVPGMEPGTPDPDGLVTLRPTVAYINLGMTGMNAPLDIRVVDTVGLANPVAARQPRIEGGRIGHDKMLPLEWALADSSTRMDMVPGYISTPGTIEARRAIHTDDFVRIYRSYRQPWSPRVALSNIKFALTRGRTIELEKDPEDYRDQPEVPGAVLAWPTEIHLDDREG</t>
  </si>
  <si>
    <t>GC_00003911</t>
  </si>
  <si>
    <t>MNAHASDPIHIVGSGPNALTAAALTFGTDGTLPASVLALTAFTNDAAQALLRGCALHAIRPPNLLVTAGISLLFAAVGQSTGWPITHRGSGEMTHRLATIIKTTAATSTPTTP</t>
  </si>
  <si>
    <t>GC_00003912</t>
  </si>
  <si>
    <t>COG2856</t>
  </si>
  <si>
    <t>Zn-dependent peptidase ImmA, M78 family (ImmA) (PDB:3DTE)</t>
  </si>
  <si>
    <t>MPQTARVPINEKTLQWAREQSRMERDELAKHLHVQPHRIDEFETGKAQPTFRQLTRIAKKLDRPLGFFLAPPPEHSDLPEAADFRGGTYNDLPADLAREMRRAERYRKTMLELSGRPDQQLSFTHITWDNIPEQASNLRQQLGLSESFAPKYSQPQQVFTFWRNLLESWGFLVFQTTKISLSTFRGLSIYHKELPIILVNGADSPYGKVFTLFHELAHVANRTSGLCVLQENSHEEIIANRFAANFLMPEASVQKLTEYIDAANPYEQAEQLAKDLKVSPLAAGVRLRTFNIISDADLAKIRGQSDKNWNQQRKSRKHNGSHVPHWRLRYRDLGTTYIGAVAQALEDQRVDMMDATYLLHAKIPTIEKMLDEYYGTGGTE</t>
  </si>
  <si>
    <t>GC_00003913</t>
  </si>
  <si>
    <t>MSRFTRASLALAAMTVAGTMATAPAQAASASVTTYLMGNGTISTVTCPDLKSFLTDNEIDTKDKKYDTRAELYKALDKKSTTLGINLGVANVTANQIDGLSDRAVQCKFVHDDSNDFPTLSSKDSVQGKIFGPLLEILKVIKPLLDQITRLINATNLLAG</t>
  </si>
  <si>
    <t>GC_00003914</t>
  </si>
  <si>
    <t>MRLSPTTAPVLKGTAWASLSGAMLCVTLATGSGIAVAEGDDAVVVTDHQAGQCVVQASDQASPLTKFWSTLESDAKQKRLDQLDEADPGLGTAIRNFTMNGPAGEDFAELQRRMDAVGAKEGIGQLIDVTAEDAGVDSSPLSDQLGGGTDKTQRYSREEALSATAGIGDNPAEDIAKALDSQAASGTELDKLRAQLFHDRAGDFNSLEHDIAEGLQRCAKELDPPSPVVTALKFVIPGLIGVGIIAMIVRAVSNSRKPSRHSA</t>
  </si>
  <si>
    <t>GC_00003915</t>
  </si>
  <si>
    <t>K07344</t>
  </si>
  <si>
    <t>type IV secretion system protein TrbL</t>
  </si>
  <si>
    <t>KEGG Orthology (KO)&gt;&gt;&gt;09140 Cellular Processes&gt;&gt;&gt;09145 Cellular community - prokaryotes&gt;&gt;&gt;02024 Quorum sensing [PATH:ko02024]|Secretion system&gt;&gt;&gt;Type IV secretion system&gt;&gt;&gt;Trb secretion system protein</t>
  </si>
  <si>
    <t>MGQDLGKWFIFSTCFPGAIAPALAVSDKLSKSILDSFGATSSDTFIKMTSFSDSGAGPILMAILAIVAMAGSIMQLLALIIRALILPIAVGLTPLFAALSFSEVGRSGLHHLVSYTIAALAFKPVCALLYAVVLWNVTRPSPATDPNSMLPLIDDVVNVVMIALTGLIAPTLVRMLVPAVSQAGGAGGGQLLAGAASAAGAAVGAIGAIAGTAVGGGMGSLVSGASNNGGANKTGAGGGGDIASAGASTGGSGGSGGSSSGGSSGGDSGAVATGASGGSGGSSSGGSSGGDSGAVATGASGGSGGSSSGGSSGAGQKKKGRLSRIKGKLGKFSQRPFDRSWTGRIEGAERGATRGRRWVSPVSDAARRSGGAISSFESMLEASAGHPGQVRR</t>
  </si>
  <si>
    <t>GC_00003916</t>
  </si>
  <si>
    <t>MPLRKPSILRTLQWNNRFAHAQRTPPHATDNATIVAVASMDDRLLTSPAAALISLVINAEAEVPVVAIDADGLNQPLRGPLRAGNGGDLVGLSDHPKESLDRSEIELFVDQEGAMPLLACWKEGPGLIPPEVLESAVRRVQHRWPTVVMNLPYTCPPETISSGVAMANHVFLIADRHHAGHEWLYQPGHQLSTLARDNRVTVLTLGGQSKITTPDTIHLPHTGQGSDGRDPIDIPTDPESLTIFHRILSRVYKS</t>
  </si>
  <si>
    <t>GC_00003917</t>
  </si>
  <si>
    <t>MIARVAGDYDEVTQGALFREVGDLWSASDAALVDELAELIGGFSGLMRGLVMGGVVRWRMRRGVGCVEFVGEFGFG</t>
  </si>
  <si>
    <t>GC_00003918</t>
  </si>
  <si>
    <t>MGRHSTGLSPKKKVAPQLILALIATVVVVAVFSTSFYLWNGARSRAADERAVSDCIQGQLKVPVEVSPDAPHSVDDILDGFVKANPVVKDYCIELTRSTPGALLITTGNTSTINYDLDQRGMSPAQTEWAVVAASRVGVGVRQGAKVPKTWADVAPDSTAYNGSFSLGPRLAAVLVRESTDTIDAALGAVADGSMPLMFPEEPSSDTSYILADEDDKLPDGFDFHQVADTVVPFYSVALNAGGGISEEQARVASAIQGYVLSQVPVQLSAGEKQSIVDLDSGTALSRALALGGGQQQDGSSADASESSDTGASAPAHQDTLLLLDTSTAMAEFLPAQVEALKKRAAEVVSNGHKVALWNYSSPLNPGVTQGWRNNVAFTDDLSLIDATLDGFQTGGLPQTRPALINAMQATADHGGGQVYLVTTGSVGFYDDDSFSQMLDAFNDAAVTVAAQHVGPGAHDKVLDSFIRSQDSR</t>
  </si>
  <si>
    <t>GC_00003919</t>
  </si>
  <si>
    <t>MTFPTLTELAARGTEKWRAYSPDVLPMFVAESDFATCPEVKQAIADAVEREMFGYAYPDERLGQAVSEFYAQSYGWRPNPEWIRAVPDVVRGVCLSISHLTREDSAVIVPVPSYMPFFQIPGVTGRDIVHVPVEDLTGDLRETEAALKAGAGSIILVNPYNPLGMVFEQETLQQICDLARDYDARVIVDEIHAPLVLNPQCRHHVAAAVAPDVCITITAGSKAWNVAGLKCAQIIFSNDNDVVTWDALPSVTRGGVSILGQEAAIACYSACQSFIQDQAAYLWETVNWLREELPARIPGIRIAGACDATYLMWLDFSGTSIAKVTNRPAEYLLEHAKVALNEGTAFSPEDQCLGDHHARLNFACSRDILAAAIDRIAAALPQ</t>
  </si>
  <si>
    <t>GC_00003920</t>
  </si>
  <si>
    <t>PF00145.23</t>
  </si>
  <si>
    <t>C-5 cytosine-specific DNA methylase</t>
  </si>
  <si>
    <t>K00558</t>
  </si>
  <si>
    <t>DNA (cytosine-5)-methyltransferase 1 [EC:2.1.1.37]</t>
  </si>
  <si>
    <t>COG0270</t>
  </si>
  <si>
    <t>DNA-cytosine methylase (Dcm) (PDB:3LX6)</t>
  </si>
  <si>
    <t>ko00001|ko01000|ko03000|ko03032|ko03036|ko02048</t>
  </si>
  <si>
    <t>KEGG Orthology (KO)&gt;&gt;&gt;09100 Metabolism&gt;&gt;&gt;09105 Amino acid metabolism&gt;&gt;&gt;00270 Cysteine and methionine metabolism [PATH:ko00270]|Enzymes&gt;&gt;&gt;2. Transferases&gt;&gt;&gt;2.1  Transferring one-carbon groups&gt;&gt;&gt;2.1.1  Methyltransferases&gt;&gt;&gt;2.1.1.37  DNA (cytosine-5-)-methyltransferase|Transcription factors&gt;&gt;&gt;Eukaryotic type&gt;&gt;&gt;Zinc finger&gt;&gt;&gt;CXXC CpG-binding proteins|DNA replication proteins&gt;&gt;&gt;Eukaryotic type&gt;&gt;&gt;DNA Replication Termination Factors&gt;&gt;&gt;DNA methylation enzymes|Chromosome and associated proteins&gt;&gt;&gt;Eukaryotic type&gt;&gt;&gt;Heterochromatin formation proteins&gt;&gt;&gt;Other heterochromatin formation proteins|Prokaryotic defense system&gt;&gt;&gt;Restriction and modification system (R-M system)&gt;&gt;&gt;Type II R-M system&gt;&gt;&gt;DNA methyltransferases</t>
  </si>
  <si>
    <t>MNSLRIGSLFSGYGGIDVAVQVVFPAARPAWFVERDAAPATILAHHWPDTPNFGDITAIDWSAVPPVDILTGGYPCQPFSHAGRRKGEADERHLWPYVREAIRHLRPRYIFLENVAGHRSLGFDQVLGDMAKDGLHAWWTSLRASDIGAPHHRERLFILAAFPDSESLRRDHGQAPHAGPPDREIHAPHHDRNLATDPEGGGPSGHDGIGGGAQARGERQRLASGNRGGEAAAHAHGVGFTAGGQCDRQGAEYPIFDGGERVFSRFDWGDYEPAIRRWEALTRPAPNPVEMNRNARPRLSAAFSEWMMGLPLGHVTGVPGLSRTAQLKAIGNGVCPQQAAVALQQLLAMKGE</t>
  </si>
  <si>
    <t>GC_00003921</t>
  </si>
  <si>
    <t>MTQPPESHLPEQSNQSPARINPYAAPPSVPAPMPQAGPPATQQPAETPGQVLPAIRRERRRPRFTTPPPPENQRPGETTVLDRMSLLGELHDDNSQPAFGRNRNIAGSLPDWSPQPPGEILINRRRP</t>
  </si>
  <si>
    <t>GC_00003922</t>
  </si>
  <si>
    <t>MAVSSALSPQVLSLQGPFEHVFVHTRGVRIHCVSAGQQSDPCVLLIHDGGGCWADFRRVLQPLAQAGFHAVAVDVRGAGMSDKPPSEYGLRFLAGDMSGVIRQMGHDAAIVCGAGTGAAVAWALAVGYPQCVKALVSVAGGYPADVRSAALRSPVFAVAPAFRAAAIAFPSVLKWWAKRNPVACSRWWLRAATGPDCDVSALACGVSDAQVREWVLRIDAVDNTVAALARYLRVSWAPAPSKWANVRVGVPVSMVVPDECGGFWRLLARKATARCAGGVGVRVVSFPQCGRSPHMEQPDNFVQLIAQALSTD</t>
  </si>
  <si>
    <t>GC_00003923</t>
  </si>
  <si>
    <t>MHPTPTPEKLNRLHLELDWWERELNTPDEETKGRGFEEFNAGIYHAIVEFKTILDRLGL</t>
  </si>
  <si>
    <t>GC_00003924</t>
  </si>
  <si>
    <t>MNLHDINKAAAEQLEHLDKVQARLVSMFTDLNAVMAYHERKEANLELAEATAKVGAERREWLEFVARVNGILD</t>
  </si>
  <si>
    <t>GC_00003925</t>
  </si>
  <si>
    <t>MEDMVSVTLLGQNFTTSEKYIVGSDYVARPMAGNFPLIGVDAFITVNKSGLATLRFVPKETGIPNVDPAIFEVMCDAEALAALSAVAQTLIDHARARWGQ</t>
  </si>
  <si>
    <t>GC_00003926</t>
  </si>
  <si>
    <t>MTSKQSPLTEHLSIMNSSFLDAMPCFDPMPRPQVAPPDSTGLGFCEHLGSLEAFRSAASDLVSACEHSTSLMDQAVAQLRASVAEFIASVWQQDDVLTEVLDGGHTR</t>
  </si>
  <si>
    <t>GC_00003927</t>
  </si>
  <si>
    <t>MGLDRCEGVDTFEVIATGPQTLIQDGGRAGFASVGVCASGSFDRLSAARANHAVGNDPDCAVLEVLMGGLELRALRSAMLIVTGVACSVTVFPSSGQPARRLFSNRVVDVAEGDCINIGMFSAGMRGYVGVRGGVRAAKVLGSCSTDVMSGLGPAPLTQGDVLAVGVAESGWHPALRELTPLWRAGQRVVELEVIMGPRDGWFRDPAALCSQTFTVGSDSNRVGVRLTAAHPLERVVDQELASEGTVRGAIQVPPNGHPVIFGPDHPVTGGYPVIGVLSGRSSDRCAQLAPGDLVRFRRRQVQNFTK</t>
  </si>
  <si>
    <t>GC_00003928</t>
  </si>
  <si>
    <t>MNGAAAALHSSPWPELYNPGSSVAATWVLGMWQRHISTTVPMRKLGARLHSGLELIHAIVLPFVNAQARLV</t>
  </si>
  <si>
    <t>GC_00003929</t>
  </si>
  <si>
    <t>MHNVNGTWGQTQDNTTAQSTRVPVHNFASMLDPKVTEQLSLTANMPFVAPHVALMPDAHYGLGSSVGTVFGTKGAVIPTAVGVDIGCGMIGVLTDLTRTDIDAAAADPQRQGNIAEHPVAVRVWVGAYQLLEPPPPEKPGVE</t>
  </si>
  <si>
    <t>GC_00003930</t>
  </si>
  <si>
    <t>PF10145.14</t>
  </si>
  <si>
    <t>Phage-related minor tail protein</t>
  </si>
  <si>
    <t>M|X</t>
  </si>
  <si>
    <t>Cell wall/membrane/envelope biogenesis|Mobilome: prophages, transposons</t>
  </si>
  <si>
    <t>COG3064|COG5412</t>
  </si>
  <si>
    <t>Membrane protein TolA involved in colicin uptake (TolA) (PDB:1S62)|Phage-related protein</t>
  </si>
  <si>
    <t>MSATDGTMFVPVLPDFSKFFSGVEKASKESGDKAGKDFSEAMQDGMDRAERARNKAADAYQRAMDRAQASAEKATVQQLKLVEAVEKYGDESVQAIDAANKYAQAMREVERNESSAASASKQLEKAEQALAKAAGEADNAISLQTKNFGKFGTAMDATEGKANKWRSVLSGMGADADGFGGKLSGIIGTVGKFGGLIAGGLGIAGGVSFFGDAIGKGRELSQVMGSLQAVTGSTSDVMAQVSQRARDLGNDETLAGTSAASATDAMLALAKGGMSVSDAMEAAKGSIQLAGAAQVDAGTAADIQIAALNGFHLAASDASLVADVLTNAANNSATGLVELGDSIKYAAPTASTLGISLQDTSTYLGLFANLGIKGSEAGTAMRSALLSLTNPSKEGAKALAEMGVNAFDAQGKFVGMREITGQLAAAQDRMGASAFTAAAATAFGREAVSFATTAANSGVEGFDNLRASLDRQGSAGETAGAKLSGLNGVMDRIGNAVDDLQLRLYELAEPKLSEWGDKLGNAIGWITDKIPTVIGFLKEHKDLLVVTGGAVAGVASGMVALKAAQTGLWAVSAISSYAKMLSAFPALLAAQRAGTLQATAAQMGLNAAMLINPIGLIVAGIAAVVGALVLFFTKTETGKRIWGEFTSFMGQALQPVFTLFDNLKAAWGEITEAFNGGDAGFGALMDIFGADKAQAIVDFAERMGVVFQNVKASIGELFAAFQGDDAGIGGLTALFGADAAQGIADAFTTVGNAMEWIRGIITDSLSGTFTSLWNTVTTLATTMNGLGQTIAGGVWNALQGLWALLLQLWNLLEPVLMPVLKTVGIVVGGVIIGAILGAVKAVEGFAWILSQATNALSWIVTNGFNPLISIIGVVIQWVGTNLADATRAGIQFLGDVWNAISVGISWAWNTLIKPAWDALEYAAKVGLAVIGTVVLTPLLLAWEALSWGIKAAWENLIKPAWDLLQGAANFMWTSVLMPIFGFIKFEWNGLSLAIRLAWDTIIKPTWDLLMAGITWLANNVFTPMVGLIKAAWDGLGSGIKWVFDFVITPTWNLMQTGLQALGDFFSNIWNNYVKPTWEALGNGIRWVADNVVHPVFEGLKDGLTRVRDWFSQTVDNIGRIWDGIKDKTKKPVEFVVNTVYNGGIRKAWNTVAKLVGLDELPEHHFATGGVMPGYSPGRDIHHFFSPTGGLLSLSGNEAIMRPEVTTAMGGEPAVNALNDAAIRGGVSRVRKLLGEGAAFAKGGVFRTLAFAKGGVFRTLAFAKGGVFPNGGTEQRDKLTERIASLFDAIKSEHGKPYQYGGTGNPSWDCSGLWSGIVQFLNGGNLRGGRIFNTESNFGNFGFVPGLSGRVTIGVLSGKGGGENGHMAGTIDGVNLESAGDHGVQIGGAARGSDNGMFNHVYTLQEFLGEFISGGNGGGGGFNLGAMVKGLWDAAISKIGDFPGKDKNGDFGKLPGAVAKTLADKAWDFVKSKIGVFAGSAGVAGSAESWREMAMAAMRRQGFNADDPRQVNAMLAQIMSESGGNPGIAQQIVDVNGTGDSAGVGLLQIIPGTFAAYRDPELADDRRDPWANMNAALRYYRAKYGGDLTSVWGHGHGYDSGGWLKPTPNGFGTYYNHSGEPEAVLTGPQWRGVEKLADGVYRLSKPLGDMVAGFPAAVRQIGDALQHTATTGDYPGAPLIDEDSPLVDAALAVHRETDLLATARGELGTAFAGGDDGYGALADLLGNDELARNLVNFTGNVGVAGQELSTAFAGGDDGYGALADLLGNDELARAIVTGIGDVGTAVRETSAAIDRAHKGFNEWAAENENHGRIGSPEEWALHYGSAAGASMLDDALGLFGLDGIVGGTLKDSFVELVNQSANYTNGALDYYGVPSARFGHISKDSLKPLSVLDNDGRVPKVEVAQPATVEVNDTVTESKPAATGDPSGGKQTIIVQLEGDKTYTGEQVKKMFNQLDEKYDSLKFEVEDLKDKNTAPVTSGVGGIV</t>
  </si>
  <si>
    <t>GC_00003931</t>
  </si>
  <si>
    <t>MAELVVLLDSDNNPIGHADKQHVHTTDTQLHLAFSCYLYNDKGELLITRRALEKKTWPGVWTNSFCGHPAPGESFDAAIARRAQVELGTRVADVITILPSFSYRAVDASGIVEYEFCPVHAARIDGSLEPNPAEVMDYAWVDPAALAHSARSMPQLLSPWMVEQIEQITQQLPQDHSGVAIPSALRALAGM</t>
  </si>
  <si>
    <t>GC_00003932</t>
  </si>
  <si>
    <t>MFEVAVGELYIPHLDPRSDVVDAVFRGRPARFHWVEGPVPQAAIEQDGRVVPFVLTELPFF</t>
  </si>
  <si>
    <t>GC_00003933</t>
  </si>
  <si>
    <t>K00156</t>
  </si>
  <si>
    <t>pyruvate dehydrogenase (quinone) [EC:1.2.5.1]</t>
  </si>
  <si>
    <t>KEGG Orthology (KO)&gt;&gt;&gt;09100 Metabolism&gt;&gt;&gt;09101 Carbohydrate metabolism&gt;&gt;&gt;00620 Pyruvate metabolism [PATH:ko00620]|Enzymes&gt;&gt;&gt;1. Oxidoreductases&gt;&gt;&gt;1.2  Acting on the aldehyde or oxo group of donors&gt;&gt;&gt;1.2.5  With a quinone or similar compound as acceptor&gt;&gt;&gt;1.2.5.1  pyruvate dehydrogenase (quinone)</t>
  </si>
  <si>
    <t>MAKNFAKQIVETLERQGVKRIYGLVGDSLNPIVDAIRTSSIEWIHVRNEEAAAFAAGADSLAADELAVCAGSCGPGNTHLIQGLFNAHRDHAKVLAIASHIPSNQIGSTFFQETHPEILFKECSGYCEMVNSAEQGATILHHAIQSTMAGKGVSVVVIPGDITTQEADEDTTLNSVISTKRPVVFPHPEEAAALVEAINKAKTVTLFCGAGCKEAHAEVMALADKIKAPVGHSLGGKMYIQYDNPFEVGMSGLLGYGACYDAMHEADLLILLGTDFPYNAFLPKKNVAQVDIDAAALGRRTTVTYPVAGDVKATISNILPSIEEKTDRAFLDKMLKLHHKKLSDVVEVYTKDVENHTPIHPEYAARVLDELAAEDAIFTVDTGMCNVWAARYVSPNGKRELLGSFRHGSMANAMPMAIGAQAAQPDRQVISMSGDGGLSMLMGDLLTIASEKLPVKTVVFNNSTLGMVRLEMLVDGLPFFGTDVNDVNYADIATACGIHSVRITDPAQLRQQMTEALAHPGPVLIDVVTDPDALSIPPHITFDMLLGFSKAATKTVFDGGVGAMLSLAESNLRNIPKP</t>
  </si>
  <si>
    <t>GC_00003934</t>
  </si>
  <si>
    <t>MGSAPGAVHAANFGAPDGCFAREYWVPPASIVAGRVESSPLHFDVSSPSAAGSSDRGIGDRFAEPAGSAASASENVVITSGMECDCSASPSAVTATTLSRSVVYHVCSVEPGVVSATCNHFVPATSSSCDRSVSCAGAATPHRTVICRLAVFCHTATPAGAGSAITARRSPITVVGMAAMKSPHSDESAAGESTSAIATGV</t>
  </si>
  <si>
    <t>GC_00003935</t>
  </si>
  <si>
    <t>MGGLAEGTAGFGWGFSLLWLLGRVGFGVGGGGDAGGAEELGEHVDASGGCRPHHFNRKCFRFWWLEAGVGAGFYGAAAYFVEHGFEEEDEALGAGVDYSGVAEDGELGGGVGQGDGGGSGGGGEHVDKRVGGGLVRGDGGSPQDGDDGAFDWFDNGVVDEFIGRGECLLHGASGDAVGDCGLGEPAEDLAQHHAGVAAGAFHRTNGNGRGEFGDIALVGCREVIHLGEGGFHGVGHV</t>
  </si>
  <si>
    <t>GC_00003936</t>
  </si>
  <si>
    <t>MDVLAAIVEKLQGVNDWPVYAELPHDFELEGLPVVDVWQVGPAERRAAMNALGADIVEFDVDIYTTPAMWNSGEAWKLANAARMELWRWWGASIHVVDASRPESRPDRNENIRRVGFTVSVMVAA</t>
  </si>
  <si>
    <t>GC_00003937</t>
  </si>
  <si>
    <t>MKESKAMGPRLQQPLPIRDGLNPSRVKVTEPGWTAQAFIQHLIDTQRWQAPNDDVAQRFRAGEVRDDHGREVTPNEELPVGKDIWFYRTPAPETPVPYIIDHIYEDNNILVVNKPPFLATFPRAAHITETVLVRLRRQTGNNELSPAHRLDRLTSGVLLLTKRREVRGAYQMMFADRTPRKIYHAIAPHKPELNITPGTTWRSRLEKTHGELQTRVIPNGEPNAITEIQHIQPLPTTPNQQPLARYTLKPHTGKTHQLRVHMWQAGIPIIGDPVYPTLHPYTDSFDTPLALLAKELYFQDPLTGQSRHFTSPIDVERLIRT</t>
  </si>
  <si>
    <t>GC_00003938</t>
  </si>
  <si>
    <t>MLDCARMQAALSARLDGEPSGIDDDVLDAHVSMCEQCHAFVEGAARLNRHLAVSMVPEVPVDSERLQQVVLSGVDVAGVGRRGAVLLAFARVALVVVAVGYVAWALRLLGDSATSVAVEQGIARFVSDAAAVRLALAFGLVWCAWRPRAVGSVLPVFGALFMFSSGFAARDVMVGQASSGQLWGLVMLCASVVVMVVVWLSDRGWAEIVRTWKSLQSSPA</t>
  </si>
  <si>
    <t>GC_00003939</t>
  </si>
  <si>
    <t>MNTARNGNPDQPGNRGQSSSRTTRHFASVEHLSAEAVAAYVDGELGRGARHRAQVHLVHCEECRADVAAQRQAADRLRQATVASDNDLCVPNALLDKLRGLEESCPQGPGPDAVFLEQPRSLGDKVELFYRAVVRSRKL</t>
  </si>
  <si>
    <t>GC_00003940</t>
  </si>
  <si>
    <t>MIHNPNTTTDTPNRGTPPRLVASDIDGTFIRSDERVSPRLRDVINKMTAQGTVLCLATGRPPRWIAPVLQQIDVRPVCVCANGAITYDARSDSIINSHVLNPDALNTLVDAATTHLPNPTFAVERVNLDDIQGCGYATGTGGPRDKQFVVDPRYDHAWDSDEHGIEEHPQLLEKPAVKLLIRCENMHSADMYALLEDHIDPALAHATYSIPEGLIECAAPGVNKAAAVAEVAEAIGIDAHETIAFGDMPNDIEMLRWAGTGVAMGNAQDNVKQAANKVTATNDQDGVAAVLETWF</t>
  </si>
  <si>
    <t>GC_00003941</t>
  </si>
  <si>
    <t>MKGRTETTMTKATQVALIVRKRTQLLAKLRAEAKRQGVTALNAQHQFAFDMFLTRMFSHPECPWVLKGGTSLLLRLGSGRRSEDIDLARNTHLRPAEALQELKHPALIPYP</t>
  </si>
  <si>
    <t>GC_00003942</t>
  </si>
  <si>
    <t>MSSSGVIARSCSATLVGVEAHLVEVEVSVGPGLPGIHIVGLGDAAIAESKERVKTASQNSGLEWPRTKIIVSLSPASLRKHGAQCDVAICLAIQSALDKDNDYMAWILADSLVMGEVSLDGTLRPVKGILPALVAAREAGLTRAVVPHTCATQATLIDGIDVLCASTLMDVYLWARGIAKLPSVHESAAELCASVDTAERIPDFADIAGNSAVKHAAEVAAAGGHHMMMLGPPGAGKSLLAQALPGIMPPLTPGARLEATMVHSSINAEQQPLMVPPFVAPHYSVTQAGLIGGGSGNPRPGAVSLAHRGVLFIDEVSEVPAKVLDCLRQPLESGHIRLMRSQSTYELPARFQLLMAANPCACGAEEPHSCRCSVRQRAKYLSNLTGPLRDRVDIVVLVSAQAGVLLADREESSASIRERVSEARRRAMQRWTQVPEGYKPFETNAEAPGTLLRKHYPATKEAMQIIAHLLRSGTLSQRGVDRTLRLAWTLFDLRCATEGMSGNPSCPDVEEVMRALDLHSEEVLDDE</t>
  </si>
  <si>
    <t>GC_00003943</t>
  </si>
  <si>
    <t>PF18470.6</t>
  </si>
  <si>
    <t>Cas9 alpha-helical lobe domain</t>
  </si>
  <si>
    <t>K09952</t>
  </si>
  <si>
    <t>CRISPR-associated endonuclease Csn1 [EC:3.1.-.-]</t>
  </si>
  <si>
    <t>Prokaryotic defense system&gt;&gt;&gt;CRISPR-Cas system&gt;&gt;&gt;Type II CRISPR-Cas system&gt;&gt;&gt;Type II signiture cas proteins</t>
  </si>
  <si>
    <t>MNSANVNYRVGIDVGSYSLGMAAIAIDDDGKPTEILSAISLIHDSGVDPDSAKSAATRLATSGIARRTRRLYRRKRKRLAKLDKFISSQGWPLKEFEKYEDPFYPWRVRAELATTAITDQQELGEKLSIALRHIARHRGWRNPYSKVTALYTVTEPSDAFLAMQEECAKQLGRTIPETITVGQLVTGMNLGKTRLRGENSLLAARPRQSDNANEIHTIAKVQGLSNELVRQIIDHVFAAESPKGSAAEQVGKDPLQPTKKRALKASDAFQQYRIAALIGNLRIRGGKGNRRLTTEETRLVFDYLRSLPAKQEPTWQLVAEQLKIDRGNLVGTAIMTDDGERAGAKPPVHDTNRIMENTKIKPLATWWKSADADARAAMVKALSNAEVDDFDSQAGAQVQEFFFGISDEDQEKLDGLHLPIGRAAYSEDTLDRLTKRMIGEGMDLYEARQAEFKISNDWAPPAPEIGERVGNPAVDRVLKATARWLNAAERQWGAPKSVNIEHVRAAFMSESSARELDRDNQQRAKRNVKVVAEMQEKLGIEGRPSRADVWRFQSIQRQNGKCAYCGAEISFKNSEMDHIIPQAGEGSTNTRDNLVAVCRECNSSKSNIAFAVWAENTSRPGVSVQKAIERTHHWVTDSGLRKPEFDKFRKQVCDRLRRKATDEPIDARSLESVAWMANELRSRIAQKFKDGDTKVRVYKGALTAEARRASGISGKLEFVDGKGKSRLDRRHHAVDAAVVAFTSNYVAETLALRSNMKFDQELRRKAPQWREFTGSDHVHQVEWTKWKYRMQALAELLNNALVQDRIVVMHNLRLRLGNGAAHEDTIGKLTRLKVGDAISTTDIDRASSEALWCALTRDPDYDPKTGLPENPNRTIRIHGTHLTASDEITVFPVAAASIPIRDGFAKLGSNYHHVRLFRVPSGKKYKYCLMQVYTVDLLKFRKEDLFTVELKPQTISVRTCEALLRKALANGTAEYLGWLVSDDELLIDTSSFDTPGIVKLREEYGPVNRWRLAGLTSVTRLNLRPLYLSKEGLKPNVNPEIKKIIDNRSWIITVNKLFSSGHVKIIRRDALGRPRLHSAAHLPICWEVK</t>
  </si>
  <si>
    <t>GC_00003944</t>
  </si>
  <si>
    <t>MVTLADTLRAEPKRLSHFGDLAHSALLRRAPGLISFFGPNPHTELTTAVLFILTHSTPGPQDSGTQTPLSPRIDAAGAGALRALATEHVAYMPPDPALYLAAADALCEALRDSCADQPFQQVLAAEKALREACSLMATHAKSLEPTTTTATVVDVEQRNADIVVVRMVAQRPIAYLAGQQVQACPDITPGQWRRLAPALPSNDQGHVEFHLSKPSPVPRAGDTWTLGLSSGNTAVTGDQELLLIAEETGLASARAIILDLLQRGVTTRTHLFFGGTSPGRLYDLLGLWQLAGTSPWLSITPVYQEERDPWWLSPTEHCSCPRGLHLPQVGSLADVVPRFGSWEDRDVLIFATDHTINDVASAMRAAGTPGSHIRSLRTASG</t>
  </si>
  <si>
    <t>GC_00003945</t>
  </si>
  <si>
    <t>MIGGPATATIVPMSNEIPAAAQSVAQDEPDRAPIRGIVMILLAVAVLLGCWAFFAKFNSSHDDAAGTAAQSSQSASKDAGATSDEADKPQVESGAKPSSSDGAQPADKDKDKDKDKPGASAPAAVADKKVEVQVLNNSDVPGLAARVSEGLGEWNVANVGNFADEILPQSAVFYTPGNTTEEVNARALAQQLHVGVQEKTGPMLELPGVLVIVTQDLG</t>
  </si>
  <si>
    <t>GC_00003946</t>
  </si>
  <si>
    <t>MLPDKNDPRVGAIAAQLGVTRNYARQLFHEAGYSDGMLSTREVAHALGVSVPTVRNWLNAGRLQGTRLAGSQRWRVAPEEVERIKAL</t>
  </si>
  <si>
    <t>GC_00003947</t>
  </si>
  <si>
    <t>MTVAHIVKRNGETFRDFYGRRGDGVCTSTSRPVISVLRQFDGESATSEHGGVPHMRLDDEISVATTNNVTQAGLEGMAHTDGDDGGKENTTWVSTVSGVHDNSCLSKGIVVRLGRLELPRPKALEPKSSASANSATGASGGYLTVACGFVKVPARARLTHTTTQVRYADTQDTDLPLNKITPLR</t>
  </si>
  <si>
    <t>GC_00003948</t>
  </si>
  <si>
    <t>MATKDDVGVWYLNADGSDAIKDFPTIQRANAEKLTATRAPSIAGFSLDKSLKNANASQYMIGKVGTLTVEFKTPQFTTAPEIFRDRILYGYRPRYAVPFILTGINDLLEPVVTAFIIDPDGYIKRNPKTPLAADAYYVGTVVWLAS</t>
  </si>
  <si>
    <t>GC_00003949</t>
  </si>
  <si>
    <t>MGVNLSGQIPGNPSQVGSVFDLLHNGAGPIGTAIGQGFTALVDGIASALAGGIAKGNPFYQISEATKPFRDGQRDIQDRIDLLSPLLDYGAVTLAERGNRGNGKLGFYDQVGPLRGMEVLSGGGFKLLDKGLWDIDVQLEPSTVLLDFGIFVTTKVEIRVLRPNGSTYAVRDIVTGYGNRHTMNGRMSVVVPEAGYRIEVWCTEIRTLRTFDSGERSSILAVQHISRKTS</t>
  </si>
  <si>
    <t>GC_00003950</t>
  </si>
  <si>
    <t>PF13455.12</t>
  </si>
  <si>
    <t>Meiotically up-regulated gene 113</t>
  </si>
  <si>
    <t>MFGSAAKRENAELKNRIAQLEQLLANLGGGDIMRMQSYRMQLSQELTQLEQTRQRAAQEFEQMRDTAITRLENLKSEITQLDAEIINARDELQLQDFGWFEFENPAEASVQLEQALKDTRDRARQLVRDGQATTATMAFTFNNSAREGKNFIKRMSKLALRSYNAEVENAIVKLKAGSLETAEKRLVKAKEQVERMGTMIALRISNEYHALRIRELQLAAQHLEAKKAAKEAEREERARLREEKKAQAELEAERKRLEKEKSHYENAIAKLRESGRDDEIADLENKLVEINKGIDNVDYRHGNIRAGYVYVISNIGSFGERMVKIGMTRRLDPMDRVRELGDASVPFNFDVHALHFSDDAVGIETALHQRFAQAKVNRINNRREFFYVTPAEVKQALLEIGGNVLEYRDDAEAEQFRLSQAIIADEKNAAEAAHRDAVDHK</t>
  </si>
  <si>
    <t>GC_00003951</t>
  </si>
  <si>
    <t>MGETCSSLSQPGASHQRPCVVRFVVRSCLQAHPGFGATASGRKTACGNRYRWCRNMLLVRLWRGPVDNFTVGYEGVRRRGVVKLNIAGGTHLFSWGEKTTMTRWWCVIRGRGTPGATPTHVPRKIRAITNPRPHLPSGELRWGLQVPKSSKHGPYHCGVSGGAGR</t>
  </si>
  <si>
    <t>GC_00003952</t>
  </si>
  <si>
    <t>MLQYIPDSITNAAHDFASAATTTTFLGKNVLGSDLATATQVSGLRELAQGHANVLSGQEGSAYQVLKNYADQLQWVADNLNATTQALTTTDTTLRNQLDTVANTISTTPGDTHAGATVADSTQHFPTRPDTTITPFIFPPPIAHAEISLTWLANALGSTNTAAFSSAEHTWRNLANTLSTVVNDVRQAASDLASNNQGDTFTAAGEQINAIITSGQHFIDTAHTMATNVSLMNAIHAEATTTIAQAQAMIAALPNPFAQQAAEHAFLHAFASVLSTQTTGAIPPFNTLMDILGQAGEREAGHTGKRSVSGAGPTSVEPIAFEQTITQANTIGTGGSLEAVGATSDALQQVGTQHAVATPTAPTPTPGMSNAHTTGLGHAQGMHPSQVFATNPSAGSHGAFTPALEQLKATAAQHTTTGTTPTTGSGARPLITGLTGEKLSQQLSDKLTQRGTGGIGGRGGGGGTSLRSIGGIGGAGAALGTGSRGLSAGSIGGIGGRSITGPGTPGGGAGRSMIGSGGTPQSPTTTATGSNSASSRPMGPMMGAAPMAGAAGTTTGSGKTKPSISRSRRQGSVADFEREHNLRALLGPQRGLPSHSFGAWSLLPEHMQKQFPQTEFNKAMSHARRELRAGTFVADSPVKHAIAEHFFRKEGWDV</t>
  </si>
  <si>
    <t>GC_00003953</t>
  </si>
  <si>
    <t>MRNLTYYVATSLDGKIASPQGDWADFLSEGDHMNVILTEFGDAIPTHVHAQIGTSPSNTLFDTVIMGWNTYTPALDVGITSPYQHLRQIVVSHKSHDLPADLELTHDPVTTVKDLKDQPGKDIWLAGGGLLASSLLPLIDRLILKINPVVFAAGIPLFAGADYMPTQFALTELRTFSSGVVIAEYSRQN</t>
  </si>
  <si>
    <t>GC_00003954</t>
  </si>
  <si>
    <t>PF01928.26</t>
  </si>
  <si>
    <t>CYTH domain</t>
  </si>
  <si>
    <t>MSVESNLEVELKFSPGDAEVPDFSAAAAIDAVSGPVIRHLSALYFDTADAVLSRNKITLRRRTGGKDDGWHVKLPGNGGRVELHSPASQGEQSPPAQLLAHVADLVGDSELVEVARIDNERHEYVLISGDCPVVEFVDDHVTGYHQGRSRSWREWECERIGNSPAAITAFDQACSVVRSAGVPESSNPSKLAQALAI</t>
  </si>
  <si>
    <t>GC_00003955</t>
  </si>
  <si>
    <t>MSSYPAFVRSADDRIIGGVAAGIAAQFGVNAFLMRLCVAVISGVMPLFVLLYAALWVLRPVGKVQGVRSKVPQPVQLLFGVAVWAVLLFVVFPSTYFAVSLLPLGAIAVGAVLVWRAWDKNLDAAGGLQERGFVVPVGAGMALVFAGLLLILANWENRAAFVGSMVAAALTFAGMVALSLPLGVRLWQERTARAAQDERAAIASQLHDSVLQTLALIQKRSDDAAEVARLARGQERQLRAWLFDSPVEQESVFLAIDQAVAEVEDLFGVRIDTVKVGEDVVADAAGSAAVGAAREAMMNAAKHSDAESINVFVEHRGSRLEIFVRDRGKGFDVASVAADRHGVAESIVGRVEGVGGKALVKSGAGYGTEVSLSVPVVG</t>
  </si>
  <si>
    <t>GC_00003956</t>
  </si>
  <si>
    <t>MMNSTPSLTEPTDVNKSEDRQYAWAYLSRVLEGPSEALQIALAERDGDVESIARDIKNRDARIGEDLLLRSQARSDAGLHHIDRDLKQAEKVGARLITPDSPEWPDGVGGAESIRGDGQHHYVPPHALWVRGQLLKPLFIQAVGIVGTRTHSRYGKEATELISGGLATHCYTVVSGGALGIDTVAHTQAIERGGRTVAVLATGIDKAYPARNTALFDRIAEHGALISEYPPGVHPARHRFLTRNRLVAGLTQGIVVVEAAWRSGALNTLAWANCLGKVAMAVPGPITSRGSVGCNVKIREHQAHMVVGADDVRSLLAPIGAVDADENYMLDFGQDQTPKLSRLQLQVFDALNAPGVEGVSTSVAAQRSGLGTVLCVQGLMELKDRGLAALIGGLWVRIEHERDG</t>
  </si>
  <si>
    <t>GC_00003957</t>
  </si>
  <si>
    <t>MTTQTTLFDPECTSPADEHRKTAAQALQKAREEGRIDALDDLLAGLALANAQALDLALWQRKPYAVAQLTGPYLDVLRELRLTPASREVAADDKILAALADFGTPAVRNT</t>
  </si>
  <si>
    <t>GC_00003958</t>
  </si>
  <si>
    <t>K03761</t>
  </si>
  <si>
    <t>MFS transporter, MHS family, alpha-ketoglutarate permease</t>
  </si>
  <si>
    <t>Transporters&gt;&gt;&gt;Major facilitator superfamily (MFS)&gt;&gt;&gt;Organic acid transporters&gt;&gt;&gt;Metabolite:H+ symporter (MHS) family [TC:2.A.1.6]</t>
  </si>
  <si>
    <t>MSATNSAVVQIDIAKQSHAKTLFGTGVGNALEWYDWMVYGSFAVYFSTQIFNGEDTKSAFLKTMAVFAVGFVARPFGGLVFGWVGDRFGRKHSLSFAVLSASLGSLIIALCPTYEQVGWVASAILLLGRLIQGLAHGGELPAAQTYLAEHAPREHRGLWASSIYITGTFGLLFGLALGLILQNVLTDGQMNSFGWRIPFIVGAVLGLFALFMRSRMEESAVFEDYQEATAEDSREAVLRSVVKNWRTGLKVILMTSGLTVAYYIWSVTMPSIASTSFGYSANHAFTASLMGNIVFIIALPIWGWLSDKVGRKPTIIVGLLGCAVLYIPLIKLVEGGQLWQLTAAICIQLILLSGFLSHAPATYAEMFPTQQRTAGFGIPYALAIAAFGGTAGYVLTWVGDPYKFAWYSIALLVVSVITVATLPETKGKDLSVH</t>
  </si>
  <si>
    <t>GC_00003959</t>
  </si>
  <si>
    <t>MSFLSHLDDLSTPRLTVYNEVDGSRLDFSGATLDNWASKVANMLRDEYDLEPGDSVGMLLPNGWAYAVIALGALKAGMHIVDQPQALTFISAQQVDTFSSDDAEMVAVISDHPLGLGVTETGGSLPQWAEDFFPLVRTYPDHYPHACQPLPDLVGTTNDCPGRRVLSCGWSDAATFRDVIILPIAAGGSAVTVLSDGEVSEQRLRHIREAEKC</t>
  </si>
  <si>
    <t>GC_00003960</t>
  </si>
  <si>
    <t>MFLSVTWIGADGSVWPLEGELTDLAGVVLAKPSGLTSKLDRSTMVRPNGVGVDVADYAIPAIQGSLDVRVHPDKAAGLSLGDVWRAWCASWSMINPGELVVSDSSGYRWRLQALLESPIDAPAVSPEARGVPFIDSTVNLLATGGVWHGESVASGGNTVQVFNPGDLPTFPRVGWIGQGKHVTPPTGGKIQLPTSSDWVWLSTNPGLGYRVENEAGETKTAVWASMRGRPVPGILQPGATASWSMHSDVRIEVVPACTNPWR</t>
  </si>
  <si>
    <t>GC_00003961</t>
  </si>
  <si>
    <t>MVHETNLQHLIEAPHLAPTLLLGAALGGLIRYLLHTWLGPYKGTLTANITASLILGTQTTPPETYTTFLTNEQFYQQLTTHFFIATGLCVALSTWSTLARETGDLIRNHQAKQATTYLATTITLSLLAYHLATTITLSLLAYHLGSILSLNS</t>
  </si>
  <si>
    <t>GC_00003962</t>
  </si>
  <si>
    <t>MPSGLVGAAAEDVGFAGFDGEGGVDEGHALSELVDDELLEVGVWWWFVEGSVGFEVGGFGVEDFEFADSGDAEAAGGVAVEVVADEVEAVAVGDDSPGVHPAFGVVAGGGALVVEADALFGGAGFGDEVEVVGAEGVQSLMGVNIGVGVRWVPAPLAAILVQPERENVASWSPCPILPASPRMVASSGVKDFLGVRSRRRGVARLCCRRILHFEGDAGADEAA</t>
  </si>
  <si>
    <t>GC_00003963</t>
  </si>
  <si>
    <t>MMSIGGVAVGASFSIRSTIPVFLGGLVLFAIGLGLALAAAERKKRQRSIEDEIWKQERDEERRRYVKLIDELGTSTFMVAQALHDVTPAKMRQELGIAKKSILMLVRHILGPQGGVRANLFEVRSAEFPFEMAASKWGHDGRTSRSSDRIFKAGDTTFDLAMKGRSRFVDDVDKLPQTEDKGNGYKAFATHPIAVEDDCYGILTVDVAQAHDLDSLSIKLLKYYAGLLTICFVADGDRPTIKREETLLGRVEGETQPGDDEL</t>
  </si>
  <si>
    <t>GC_00003964</t>
  </si>
  <si>
    <t>MRRSLGFGPAAPAAGPAESLAAHPPNPSSTSRTLGGRRGIVHPDYVAPRLYSSAMNLCWVGNRSQRIPQTLLHLSNLRWA</t>
  </si>
  <si>
    <t>GC_00003965</t>
  </si>
  <si>
    <t>MNSPNLTLRESKRRATKAAIEEHATRLVLDRGFDGVTVEDICQAAEISKRTFFNYVDSKETAVLGPLPTPLSEDEVHAFARDVHTPLLASIVDLIVDGFIEGYGYTCPEVRKRRKQILTQRPQLGVARMSQLIEAHKSYKQALGVYFNAHPDQRQLDALSVEAEADTWMSLARTCIELGFHRWAEGDDASDNSLRRSCHFALAHLHTLITNEHQGDAH</t>
  </si>
  <si>
    <t>GC_00003966</t>
  </si>
  <si>
    <t>MSNKHVTLLGSTSSKKPPALTRTRDGRPMTRFTITTSDRIKDKTGTWTDGPLQFYSCLAFDSLAENIVNTCSSPVELLVEGVETREEWQSSEGPRKSVSIKVSSAGVSLRRQYANVTKQQGGGGQQVTQQSPVNDPWGGAPTGGFGGGDDEPPF</t>
  </si>
  <si>
    <t>GC_00003967</t>
  </si>
  <si>
    <t>MRRRLSLGALCVALSVCTAACSQPAQRLLRDIGDRDTLLVTFNPVDTENWILAELYQTSLDSAGHQAYSHDNNDSVRQGYAALIRSIREGDADVAVVCTGTALELLDPAKAKELSEKFAAKGGQTADVNSGETRDEVYAAMVASLPETVAAANPSTTEGCENSAGETMLELPQNIVPIFRKHLLDHHDRQSLNKVSGMINRADLDELDDKAIELQSVSSAIKPYFIDNDI</t>
  </si>
  <si>
    <t>GC_00003968</t>
  </si>
  <si>
    <t>PF02771.21</t>
  </si>
  <si>
    <t>Acyl-CoA dehydrogenase, N-terminal domain</t>
  </si>
  <si>
    <t>MRVATFRDTALNITYCFHPRRFPCQHQRLPTDLINFEGLLSEDERAVAERVRAFVQREIKPNVGRWFENAELPTEIFSKLASEGLFGMHLKGYGCAGLSAPQYGLAMQELEAGDSGIRLVLLLSAVRL</t>
  </si>
  <si>
    <t>GC_00003969</t>
  </si>
  <si>
    <t>MPRDVAEAVHARAGGVCEVLIPWAGCTGRAEHIHHRQLRSQGGAHDLDNCLAICRLCHAFIHAYPARSYEYGWLVRSVDNPADVVVVVAPRD</t>
  </si>
  <si>
    <t>GC_00003970</t>
  </si>
  <si>
    <t>MMRERRMPPITRQVRVDRCHACCVLGDPTRPYTVAPQQAVDRAGLGPRLGLDDHHLWGIQARALCVAGADGAVGVGAKPNPEQSAVDGCSTIVSEQAAATVSTVQRWADRGVNTDTL</t>
  </si>
  <si>
    <t>GC_00003971</t>
  </si>
  <si>
    <t>MSDNEVFTQLSTEAALELMGTEQLGRVVVRRSDDMDIFPVNFVVDGGAIYFRTSEGNKLFSLSLNNDVLFEADHVDLDNHDAWSVIVKGTAEVLQDAAAIHHADSLDLTPWLPTLKYNYVKVTPNSVSGRKFHLGEEPQRY</t>
  </si>
  <si>
    <t>GC_00003972</t>
  </si>
  <si>
    <t>MSFSPATVRWLADHRDDVAAVEQILSHRPDNYVHDAAMVARDVQRWGGEGDSRAVMELLSARKALGKKWGDGAASDKLVCSESAQQATPMPVAEVRMELIKQTCGANTLVHDVTCSIGTEGIAARRAGLDYIGADIDPARVAMAQHNLAGLSAHLYVGDALTPAVRPPQGCGYVVIADPARRSQGRRIHTPEDLIPPLPDVIDTYRGAELAIKCAPALDYSFWEGLVSVVSLDGQVRETTLYTPGIAQGRTRQAVVISTRGPQPSRDVIDDTYPLPDAESPEHPNALNPEESTTPGRFLVEPDGAIVRAGLVEHFAAREQLAFIDPRIAFLTGTRIPEGYSGCEIIETTTMKKLPAVLKGLDAGAVEILVRGVNITPENLRKKLKLKGTQPYVIALMRIGKGVASSTLAIVANKRQWG</t>
  </si>
  <si>
    <t>GC_00003973</t>
  </si>
  <si>
    <t>K07229</t>
  </si>
  <si>
    <t>ferric-chelate reductase (NADPH) [EC:1.16.1.9]</t>
  </si>
  <si>
    <t>KEGG Orthology (KO)&gt;&gt;&gt;09190 Not Included in Pathway or Brite&gt;&gt;&gt;09191 Unclassified: metabolism&gt;&gt;&gt;99980 Enzymes with EC numbers|Enzymes&gt;&gt;&gt;1. Oxidoreductases&gt;&gt;&gt;1.16  Oxidizing metal ions&gt;&gt;&gt;1.16.1  With NAD+ or NADP+ as acceptor&gt;&gt;&gt;1.16.1.9  ferric-chelate reductase (NADPH)</t>
  </si>
  <si>
    <t>MPRNSRSREIYPVTLRDVEVMRVEDVTPNLRRITLGGEELGAGTRRGADSPEFVSTGFDDDVRIIFPHPTTGERPFPRPLGNGNLEWTEEIKNLFRAYTVRKYDAASGEVVIDFARHGAGLAEDFCQRVTVGDRVYIAGPKMCGELPVHADWLLLCGDHTALPAIARCLEELPAGQKVTAVIEVADRADVLDIETRADADVHWVVAAEGGRFSQVVQRLFDCAPAGEGYVWAAGEAGQLKAVRALAKRLDVPRENVEFTGYWRQQDVVLGDDGVPINTRLAAFEQLHDMLEVGPAYAVRTAHAAGVLSDLFEADAPVSPAHAGCLDPAVTVRLLRYLEAIGLVEQPEVGLFRLSRLGVDLADPEGLGARLLTPRALAWAHIDQAMEGNSLGRAARLEDPAAGWTAPAVAAALVRLYDCVIAVDGPGCSIYADELVRKGAPQVVMPEGAGVEDVHPVRRAQVSVGEGAAGEDAGVVLLIDPCIASSDEQLVQRLRELRVDRCAIVTELLSESGADEHAVEEDLLRLIESGGSVPTQRGLGRVVADAGWRVESSTPVGWGNTLLQLER</t>
  </si>
  <si>
    <t>GC_00003974</t>
  </si>
  <si>
    <t>MAHEALSRDQLEQIDNMWKSPGLIGTLIAVATAFGSWTMLLPTLPLAVIESGGSKTLAGATTGIFMLFTVITQMFTPRALRTIGYTPVMVFSAAILGVPALAYMVSIAPVPVLAVSAIRGIGFGALTVAQAALIAELVPLKFLGKASGALGLVIGLVEMLVLPLGLNLAKHFGFNVVYGITAAIAVVGAVVCSRLPRLKAAPKVQRKGGDTLLEGVPAVATWKLITVPAIAMCGIAMGFGALNSFLPAAVRDLDPAKGVLIGGVVLAIVGGAQMVSRYAAGMYADRKGQAGLLMIPSLLLGVLGLLLVALVVFADWNAWLMLVAALSFGLGFGAAQNEALLMMFARLPRERVSDASAMWNISFDSGTGLGSVVLGFVAARLAYDGAFFVAASLVGIGLSLVIADSIAGKHRIVEYHNTRAHLRRVPMARATYHGAKKVGRVSKVAGKAAARATVKPIKPIVKPLRTNLNAKQRGASDSPSDT</t>
  </si>
  <si>
    <t>GC_00003975</t>
  </si>
  <si>
    <t>MRALKITITTACLALVTTSLTPATAHEVEPTEPDPAGTQLVLSLEPVMMSMPSTLRPVINGLICTSYAPPDRPGMCENPNENMFALSQY</t>
  </si>
  <si>
    <t>GC_00003976</t>
  </si>
  <si>
    <t>MPRTPLLDVRDLSVAYNGRAATHDVSFSVVPGQVTAIVGESGSGKTTSAHAALGLLPDNAEVIGGAVLFRGEQGPSLELTRLDDTQWRSIRGRHIGLIPQDPNNSLNPVKTIGQSISEVLEIHTDLDAAGRKARIIDLLEQVGIDDPSRRARQYPHELSGGMKQRVLIAAAIAVEPELIIADEPTSALDVTVQKKVLDLLDNLRRERNIAMVIITHDLAVAGDRADQLVVMNQGKVVEHGVAASILQDPQDPYTRTLLSDAPALSAPGTVRPAASTPEPLLRVEGLVQKFGDFTAVDNVSFTVARGTTHALVGESGSGKTTTGRAIAQLSTPTSGCISINGKKLDGLDPTVVQLVYQNPLGSLNPRRSVGQSVAEPLHNLSGLSKRAIEEKTAEFFNLVSLDPALMKRRPRELSGGQRQRVAIARALIVEPELVVLDEAVSALDVTVQAQILRLLERLQQELGVTYIFISHDLAVVQQISDTVSVMQHGKQVDYGPTHQVYGNPTSPFTRALLDAIPGANYRSGALNIGL</t>
  </si>
  <si>
    <t>GC_00003977</t>
  </si>
  <si>
    <t>MTINLDAMLAKRREAVGDAKGFPVEFGGKTFYFTAPELASSDFNDRFDELQRDVQDGLMTAKDVRAEFLDMFLGEQAEEFAALCEKENVDPTPIILYAVQEHNEAVAENPTQMRSRNSRKPVKRR</t>
  </si>
  <si>
    <t>GC_00003978</t>
  </si>
  <si>
    <t>MAETAQNAGTTPLETTGFWEAYTAFSETLRELRGLADRAMEDMVDMDDGLCNACAYMENAPMSEEMRQKTTQAMEGHKKQLGALGQRVNDVWVAISLALTGLEDCSLLIDDMGEYGVNAKAYERLKRVKWDLEVAERSGRGASVIEKIDEAIKQLKHNASIAFLHT</t>
  </si>
  <si>
    <t>GC_00003979</t>
  </si>
  <si>
    <t>MDRAGGLRWYSKQLKQLMRGWAADAADLVLPRDCVGCAAPIEGQRGAFTQVCDSCLLELRRPPERVSARIPIGCPTFAFAPYGGAHRRVVLGVKEHLRDDAALVAGSMFAAGVEHLQARGELPWVGQWLAVPAPSRRASARARGGDHVRAMCAHAACIEPLWQVVPLLSHTDDVRDSVGLGVQARQENLSGKVQLDVVVVERHREVIRQRGSHVVLFDDVITTGATLAESLKVLQSAGFTVDAAVVICVA</t>
  </si>
  <si>
    <t>GC_00003980</t>
  </si>
  <si>
    <t>MAKKSRTSRSGLVAAAACGVAVGTAFGTFVLSPNLPGGALQESHDAVVALEQSEQEARIAKAQASTADSYIEASSTKFVADALKDIPVVVMTTDDADADDVASVDTLLQASGASVVGRIGLTEKFFQQDSAEALKSIVANTLPAGAQLSVDNLDPGTHAGEALGAALLTDAEGKPMADEQERALLLNALQQAGFMNIEGAKDAARVAIIITGEQQHEDNSDVISPYAETNLGRLALGMNERGSGVVLAGRINTAADGGAIDVVRTAQERDSGSAQGAIRGVSTIDSVNMVYGQIGVILSARDQLLGKFGAYGAAESAEAAGP</t>
  </si>
  <si>
    <t>GC_00003981</t>
  </si>
  <si>
    <t>MDCSAVVTAWFVTAADVAAVINSHPRADRGFGRKLLAQLNPSWPITPIGQFSMNRSVPTSTGEFYIAGFPGVGIIQTVVEDARSVAHLPDFLLTALPAADVYISTVNESSGLGGFAHFSGGVLRRSFVAIPDRIFEDEGVPEPFELPFWSQERADGGILLPFDPVELAVASQQGWLGVDVSVEGPPINIVAFAVDGRPEPKQVPLVTRPVAPVDTGSEALEPDYEDLSIDAEAEMTARMRDTAARASDVGRTLLSGMSDAAKSAAHSARERLRRIDRC</t>
  </si>
  <si>
    <t>GC_00003982</t>
  </si>
  <si>
    <t>MNDLLNNFVNIFTHLGNGVLNALKDLISNIGAVFTSSK</t>
  </si>
  <si>
    <t>GC_00003983</t>
  </si>
  <si>
    <t>MGTVLGMAKKFEYATVPLLTHATKQILDTWGEDGWELVSVVPGPNPENVVAYMKREVEA</t>
  </si>
  <si>
    <t>GC_00003984</t>
  </si>
  <si>
    <t>MTARVVVPQWWAEALAQPSMEVARHLYALEPWGGAPPPSVRSFSDGIAYATLSVLAWRPGAQQVLLHVSNATDAHREDFRPWLMQRLPGTPLFALTVEVPADAIVSYRIADVTGLPYDIGGTRAGWKKVHELGVPDEHNSHRIRTPLGGDASVWYGPDAPWNGWAATEAEQAVVDPAAEAHCPWVVVERGGLRFDVLPGDERVVVLYDGQFLRSHRLDRAMAAEGLGHTVVLVDCGTFDQRRDILTVPDRAAQVTREALAAAREVNRSWQVHDYACEQTCEQAYVIAGQSYGALAVATLCAHYPGLTRAGLAQSGSYWFDPAEDPSARGSTQGHPGSCEGLLLRQLRQGLGEVDTPMIIQVGSEEGGMRSLSQAYFEVLQSRRAPHVIYREVRGGHDYAWWRHGIIDALKQFDAFFADQH</t>
  </si>
  <si>
    <t>GC_00003985</t>
  </si>
  <si>
    <t>PF05690.20</t>
  </si>
  <si>
    <t>Thiazole biosynthesis protein ThiG</t>
  </si>
  <si>
    <t>K03149</t>
  </si>
  <si>
    <t>thiazole synthase [EC:2.8.1.10]</t>
  </si>
  <si>
    <t>COG2022</t>
  </si>
  <si>
    <t>Thiazole synthase ThiGH, ThiG subunit (thiamin biosynthesis) (ThiG) (PDB:1TYG)</t>
  </si>
  <si>
    <t>M00127|M00895</t>
  </si>
  <si>
    <t>Thiamine biosynthesis, prokaryotes, AIR (+ DXP/tyrosine) =&gt; TMP/TPP|Thiamine biosynthesis, prokaryotes, AIR (+ DXP/glycine) =&gt; TMP/TPP</t>
  </si>
  <si>
    <t>KEGG Orthology (KO)&gt;&gt;&gt;09100 Metabolism&gt;&gt;&gt;09108 Metabolism of cofactors and vitamins&gt;&gt;&gt;00730 Thiamine metabolism [PATH:ko00730]|Enzymes&gt;&gt;&gt;2. Transferases&gt;&gt;&gt;2.8  Transferring sulfur-containing groups&gt;&gt;&gt;2.8.1  Sulfurtransferases&gt;&gt;&gt;2.8.1.10  thiazole synthase</t>
  </si>
  <si>
    <t>MNSPSTGPAADTWMLAGREYHSRLLLGTGGMTSMDIMEDALVASGAQIATVALRRYQPSQAESLFSMLSRLGVDVLPNTAGCHTSRDAVLTAKLAREALGTDWVKLEVIADDDTLLPDVLELVDACERLSMDGFKVLAYTNDDPIVARRLASAGAAAIMPAGAPIGTGLGVLNPHNIELIASEHPELPVILDAGLGTASDAALAMELGCDAVLLASAVTRCAHPVDMARAMRKSVEAGLLARSAGRIPKRVHAVASSPMEGRAWADEVLS</t>
  </si>
  <si>
    <t>GC_00003986</t>
  </si>
  <si>
    <t>K01666</t>
  </si>
  <si>
    <t>4-hydroxy 2-oxovalerate aldolase [EC:4.1.3.39]</t>
  </si>
  <si>
    <t>M00569|M00545</t>
  </si>
  <si>
    <t>Catechol meta-cleavage, catechol =&gt; acetyl-CoA / 4-methylcatechol =&gt; propanoyl-CoA|Trans-cinnamate degradation, trans-cinnamate =&gt; acetyl-CoA</t>
  </si>
  <si>
    <t>Pathway modules; Xenobiotics biodegradation; Aromatics degradation|Pathway modules; Xenobiotics biodegradation; Aromatics degradation</t>
  </si>
  <si>
    <t>KEGG Orthology (KO)&gt;&gt;&gt;09100 Metabolism&gt;&gt;&gt;09105 Amino acid metabolism&gt;&gt;&gt;00360 Phenylalanine metabolism [PATH:ko00360]|KEGG Orthology (KO)&gt;&gt;&gt;09100 Metabolism&gt;&gt;&gt;09111 Xenobiotics biodegradation and metabolism&gt;&gt;&gt;00362 Benzoate degradation [PATH:ko00362]|KEGG Orthology (KO)&gt;&gt;&gt;09100 Metabolism&gt;&gt;&gt;09111 Xenobiotics biodegradation and metabolism&gt;&gt;&gt;00622 Xylene degradation [PATH:ko00622]|KEGG Orthology (KO)&gt;&gt;&gt;09100 Metabolism&gt;&gt;&gt;09111 Xenobiotics biodegradation and metabolism&gt;&gt;&gt;00621 Dioxin degradation [PATH:ko00621]|Enzymes&gt;&gt;&gt;4. Lyases&gt;&gt;&gt;4.1  Carbon-carbon lyases&gt;&gt;&gt;4.1.3  Oxo-acid-lyases&gt;&gt;&gt;4.1.3.39  4-hydroxy-2-oxovalerate aldolase</t>
  </si>
  <si>
    <t>MVRINDTTLRDGSHAIRHQYTEEQVRKVVRALDDAGVEMIEVTHGDGLGGSSFNYGFSKQSDLELIAAAVDEVKQAKIACLLLPGLGTVADLKEARDRGASIVRVATHCTEADVSIKHFEAAREMGMETGGFLMLSHRIGPAELAKQARIMVDAGCQCVFVVDSAGALIMEEASERVKALADEIGGDAQVGFHGHQNMSFGVANSVLAVRAGASQIDGSLAGLGAGAGNSPTEVLSVAFERLGIEHSVDTKKILSAAEDVLKPMVPRLPAMDRGSIIQGQMGVYNSFLLHAERAAERYGVPADELLREVGRRGYVGGQEDMIVDVAVHLVEQNS</t>
  </si>
  <si>
    <t>GC_00003987</t>
  </si>
  <si>
    <t>MKPTFGTRQKIFSAVLLLLLVWGGYRHWDALKQSFARALSAEVGPLLVAVAAALLAMVCMAEVLRSLLTAGGTHTGHGSTLRLTFIANSWSSTLPAGQAFAALYSFRTMKSWGATNLVCSWQIVLSGLMSTMWLLTLGVIGVLFLGASIPPASIIVPLLAAGSVFWLIQHPDVLLPAARWVCAIVGKPAWAELAELQLDRLKSVKLTAPRFVWVSALSLGNWVFDIVVLWACMWAVTGYAVVHAVEGPTTGPAVTGVILAFVTAKIAGAVQATPGGLGPVETAMTGTLVAVGMTGMDALGTVLIYRLITFFMVTGIGWIVYAATKDKLADSVREQLAEG</t>
  </si>
  <si>
    <t>GC_00003988</t>
  </si>
  <si>
    <t>MTDGLDRGEHAGGVAGGECVDHVERVTSAAPSHFPGTDMSVACDIVGSESAAACTIPLLPERGAHAELVARTAVLLPEVYCEVGARSWVLTDRPQLTTRRAVDTWRWDLDACEQQWGQRDVIVSVMGPWSLATALELPNGHRAVTDPGARRDLNQALEAGVAEAVAGLSARFGGAVQVVLEEPWVPALLQGSVPDTSDFDELAAVPQYEISKALDALAVGPAWLDCASLATLLQWEGPVTFDPLGLKGTAGFDAAAELLSVDKGVRLTLSVDELMGAGDDAARGVAVRVARFVDMLGVGREMLQRIAVCAKDGGDALGLAGAIAVAREATDMLHRDAGDL</t>
  </si>
  <si>
    <t>GC_00003989</t>
  </si>
  <si>
    <t>MSTPIAYTGHAPVKAHATDAGYDLVATAAKTLAPGQRALIPTGLHINLPAGTVGYVCPRSGLAAKHGITVLNAPGVIDPGYIGEIFVNLINLDECPYVILEGDRIAQLIIHNTVDVDWQRVSEFEETQRGDNGHGSTGA</t>
  </si>
  <si>
    <t>GC_00003990</t>
  </si>
  <si>
    <t>MSVSTEQLHYLAHLLWQHAALSWPPVLVSALVAVPLGWLGARNAWLRKVAAASSGVLYAIPSLALFVVLPLIVGTSVLSPYNVMIALSLYGVALMLRTAVDAFAGLARQPVEAAIAVGYPLWKRVLMVELPLAGPVLLAGLRVVSASTISLVSVGALIGVTSLGTLFTDGFARDYPAEIIVGVVLTAVLAAVFDAVLIAVGKVCLPWA</t>
  </si>
  <si>
    <t>GC_00003991</t>
  </si>
  <si>
    <t>MVAVVLVEVELVVVAVCVMVDVVTSAVVVFAVVVFAVVVFAAVVVSESPLPQIKEQPVRKSPATAITDSVRSVVIAKSSDKEILFILIISNCNSRINTFIQVAD</t>
  </si>
  <si>
    <t>GC_00003992</t>
  </si>
  <si>
    <t>MCVTDRVSTDSSVQVSNVNGAVIDPVSFGG</t>
  </si>
  <si>
    <t>GC_00003993</t>
  </si>
  <si>
    <t>PF00239.26</t>
  </si>
  <si>
    <t>Resolvase, N terminal domain</t>
  </si>
  <si>
    <t>K14060</t>
  </si>
  <si>
    <t>putative DNA-invertase from lambdoid prophage Rac</t>
  </si>
  <si>
    <t>MLIGYCRVSTARQTESLDTQRDALVDAGCDPNRIYQDVISGTKWSRPGLDDALNYMRPNDTLVVTRLDRLGRSLVEVVTTIADLAERDINVRVLEPALDTGRPADKVIINVMAALAEWERDLLIQRTKEGVAHARANGRVGGRKPKLTPDQESKAVKLVESGDTISSVAKAFGVSRATISRVLSRHRGAS</t>
  </si>
  <si>
    <t>GC_00003994</t>
  </si>
  <si>
    <t>MILSTERLSLIPVNEFRDVNALTDALWEIHSDTRTYSHRPDLVMKQRSEAIQLRDQWTEDWQQKGRGYYAVSYQGEIVGFAGVRHYILAGDAVLNTYYRFRPGAQGKGLAYEAVKAALDASAQLGKECIAIISPDNLPSVTLARRLGFRRSPDRDVSPEDQVYVLQNPQNEATANQL</t>
  </si>
  <si>
    <t>GC_00003995</t>
  </si>
  <si>
    <t>MSASPVHSRWPGLIAAYRDRMPFAKDWTPVTLHEGNTPLVRANYLSELTGCDVYLKVEGANPTGSFKDRGMTVAVTDAVESGKKVLMCASTGNTSASAAAFAARAGIKSCVLIPEGKIAQGKLAQAVMHGAEIIQVRGNFDDCLELVQKTTTEYPEIALVNSVNPMRIEGQKTAAFEIVDALGDAPDIHALPVGNAGNITAYWKGYTEYFADGVSSQRPRMLGVQAAGAAPLVSGEPVLNPETIATAIRIGNPASWASAVAAKEESEGKFRAADDDHILEAYRMIAAKEGVFVEPASASSYAGVLAEFREGTLGKGQRIVCTVTGHGLKDPQTALLQMPEPTPIDVDPAAVVDALGLKG</t>
  </si>
  <si>
    <t>GC_00003996</t>
  </si>
  <si>
    <t>MIIFVDWVVLMTEIGWLSFSTGGFVRENNTVFVCY</t>
  </si>
  <si>
    <t>GC_00003997</t>
  </si>
  <si>
    <t>PF10979.13</t>
  </si>
  <si>
    <t>Protein of unknown function (DUF2786)</t>
  </si>
  <si>
    <t>MTFVRRGGWTAGDFSHVFGAKGQFIALVWFDDVASACGSAAVVADWRRGLQWSRVLDKSGQRAVLKGGEKAWWALADRLRRTWPLHEWEVQDQLAADPSVSKVRDRVLSLLRKAESTTFAAEAEALVAKAQQLQQQYVLDGLVAEGSSAETIRTHRVCISGPYIKHRFRLLGGVARANGCRAILVHPLGLVSVVGEPESCAHTAQMYESLQVQCDYYMSKDPRAEQARMDKQLAPFKRSFLLAYAARISTLLSEVNEHALPEDEVARASAEKALALRGTAVDQKVEDLYSNLRSSSLAVNNWSGYSAGVDAAERSRLGGAEIDVQKSLESST</t>
  </si>
  <si>
    <t>GC_00003998</t>
  </si>
  <si>
    <t>MYTYRDVKSGEAYRGLLESLGWKKPRKKEATFTKTYPTGLLFEAYFGYATFNHYPGNFSGIPVFRVISPQWRKLARKLGLNSTEGLLYFLDVTNPIYTDFVNQKTRMSYLTSFDDLDVDSFTRFNTAADTFMGSFQVENYITLPLREFRITWNNTSIPAMVGYLAMMGDMSSSKKLYDHTMANGGIDYAPSQEDLQTIANHYHLDTASSTGP</t>
  </si>
  <si>
    <t>GC_00003999</t>
  </si>
  <si>
    <t>MKMTASEQHLLLELADLELAARIDPAELPERAALENLRAQSTELRDGAAASSMSVQDIQRRIHTIDEDLKKLSKRQQADADELARHPEDPGLRRELHRDLEQTQRRIDNKLAEKDELLKRCDAQRLNAQHNGAHHSELDDKIAAATRALEAAQRAQEEHAEQRLQQINALRSTLSNTHPDVLAAYDQQREDTGIGAARLQGRSCHGCNLILPPATISALRHAPADELPTCPECGTYLVRT</t>
  </si>
  <si>
    <t>GC_00004000</t>
  </si>
  <si>
    <t>MTIISPEYRSALLDPEVARRIPGVKLPVDNQDTPRGVAWHYGDPLVEQRAPFVVDRSDRVVAKVSGSDRLSFLNNLLSQKLDDLVSSDNSDDAAWVQRREALNLDAQGRVLQHMTVWAVGDEVYVECARAGSQELFDYLQKMIFWSDVQIEITDLAIVTTVSDSPAEPLDCCVASASYPLGVASGPLVTDLLVERSALLDAASLLVEQGYRLAGLMAWEAERVMAVMPEVGVDTDTTTIPHETYAFVKDQRAVHFDKGCYRGQETVARVHFLGRSPRTLVQVYLDGSVPKLPAPGTPITAGGTRSVGVLGTVVDHADFGPIGLALLKRSAVGKQLAAGECALSVETDTADLEETKGAGREAIERLRGGK</t>
  </si>
  <si>
    <t>GC_00004001</t>
  </si>
  <si>
    <t>MTPLDMRLTKTLRALQLDCVEECVPDGGDQSHPLGNLISDQHRGIFQIYRGRPVESTLWRTFGGQVVAQALTSALRSVHESFAPQSLHAYFLAPGNPTIDTTYEVEKLRDGRGFCFRSVRAYQDRLDADGQPTGLRRLIFTLQCSFKKPGDIGPDHGVRPPEVFFAGPESVESDFSRLTPEFVQLLLHEWTDWDIRILPKQQPDDDNLQAWIRYKGPRPAGDFHYFDEMALAYCSDMTVLQSGFVRAVEAAEHPEALNVDKASLDHAVWFQRPINVGEWLFLDKRSPTGFGARVFTEGRFYDAGGNMVAVVTQEGLGRYT</t>
  </si>
  <si>
    <t>GC_00004002</t>
  </si>
  <si>
    <t>MNYCTPECSGLRACSVYDGVVIATPPSLAQRVSFDRPAWGLKSARILATVAGGLIVLPGCSFAPEPVPDPTLMLLAHTALADADAFSGTDPDFSALRQQQGSELVDEVRRLCGYELHGDGDDAQKVVPPSCDVTVDSVREQGENTPGVKVEGSAGEVARDRASELTRVVAALPESSMGLIAADYTELVTVAAGGGVEVPRVHLSATAEPAQPIDVEGIELSTDIRPDSVPGAGSSESDDAASALAWQYSALFALESLQSVVDGDASREVAESIAAHQDMVAMLSALLSDASLAPMAYDVPSVSDAASAVDVAASIEKDAEQLWLHTASLAGTPGWRAACMKFAGAAAVRHMELVSSV</t>
  </si>
  <si>
    <t>GC_00004003</t>
  </si>
  <si>
    <t>MTVINIDAMLEKRREVLGEGDRFQIVVNEKEFWLKAPELADQEWNDEFSAFREDAEAGRLTNADAREWLVSLFVDDKEVEALKEACAALKIDIAAVIQYAIAEHAEEVAENPTPKSSRRFRRQSKRR</t>
  </si>
  <si>
    <t>GC_00004004</t>
  </si>
  <si>
    <t>MFTPRGGGRGADRLTLTRVYTNPPISNLVPLCHHHHANNDDSRRRGRFITNGGTLADQSKAAKHYREAQASGLLDPDSTPPWARNNGGVSPRETVNKINTDQWWHKHTQTQQHSSHQHRGHTDDAADPADGNSAYAGHYQHYMPPSMRQSTAENPLTMEQFDTPPGYRKDLPYESYVDNWGHLFRRMRLVLRWRSVTTPRSLNMPDTPTTTIFSMPATCDFLTFLKFFKKYPCAPRRYALVWSLTSINNR</t>
  </si>
  <si>
    <t>GC_00004005</t>
  </si>
  <si>
    <t>MSSRNNNDKTDREYRADRWVSIFTIVLIAGIAFSFIFWPDRNFVQLTTSLITALGVVLTLRATQIRSIEQQEREDRRHHERLRAEAQKDSAQRSITQRINLAEKLASAIEHISSDNELQQAAGVQEILFQIDDWHALIKSEIAGLVADEKGVEIKKEALKQESLRRRQELFDIAYKFDTKNIHVLKFRAIGLKQRLRKEGPGSLADVDFSEMVINNIDFDDNAYWPDLRGIHAAAFKMVNCKMKRVDLIGANLSYADLQHTDFEGAVLFDADLESVNLLNANLVFSKLNNANLSCADLHVANLEIAQLCNTDLTYANLGGANLKRAIFRNVMLDLTDLGGVILAGVFYDNKTSFPKGFVPQDHGMILLDEMET</t>
  </si>
  <si>
    <t>GC_00004006</t>
  </si>
  <si>
    <t>MTSAYTPEQWRQLEDIIFDGSSAQLEAIRDYARANQLPPIALLVMCALRVLASLPAGTPLKTGFMPPGVPNMIVMLIGYPGAGKDRTQQAASEIVTVTIGDNIVAPKELTPGSGEGIETALAAIQDDSGLPGLSTPVLFGDSEGTGLAAKMKRESSTLRSNLLKLYSGNAMGTANKKDTVTVPARSYTACLWSCAQWDTAHVFLQGDDDGLKHRIMWIEVLDPDATLGNSSTPPTLHPVALPASIGHAGIAYCGDALADVAQQGIDGLKGRATTGSGHALYTRCKLAAGLALLSSRTDVTQTDWEKAGALIDFSTAIEKKISKLADEAEIMKETEALERKESAKTQLHINRQYRAERLVLSLLKDSESFGHRTLHDKGRRYRRQASDVICEFADAGIITIDLDSTGKPYSYHRGPAWDTERAGERIAYLSQQLPH</t>
  </si>
  <si>
    <t>GC_00004007</t>
  </si>
  <si>
    <t>PF12686.12</t>
  </si>
  <si>
    <t>Protein of unknown function (DUF3800)</t>
  </si>
  <si>
    <t>MEAINIYCDESTHLLADKMPFLVLGGISCPQSKTREIAKRLFEIKEKHQMDHNFEIKWTKVSNGKLEFYKDLVDYFFDDDDLGFRVVVASKDNLQHEKFNQTHDDWYYKMMFYLIRGLLKPSAHTNIYLDKKDTRGGAKIQKLHDVIANSCHDFDKKIIQKIQIVESHHVIQLQLADLILGAVNYANRMNYTDKAKITLTNKAKLALVDRIKDRSGYVLTKSTLPSEEKFNVFVWQPQPR</t>
  </si>
  <si>
    <t>GC_00004008</t>
  </si>
  <si>
    <t>MARFPFEFMQSFIDEFTEQLEAFGSGSYLSEDDRDFWDQPFDPAVVPELKAILLDFADALPEEDAPGEAWDAWIAPFAAAVDAFNAKHDYAVVELEEEADLRQWIARMGQARGVELDVDAIEFRP</t>
  </si>
  <si>
    <t>GC_00004009</t>
  </si>
  <si>
    <t>MLLTGGAVQDCVEIRVIDHGPGIPEEKIDDIFVPFQRLNDTGASGLGLGIPVAKGFVEEMGGRLEHEPTPTGGATFVLTLKAAKHQPVIPQE</t>
  </si>
  <si>
    <t>GC_00004010</t>
  </si>
  <si>
    <t>MTRTLLPRNVAAARGARVAALPVLVVSALSVFALAGCSSDSSSTQGSQGDDVAGSTAASEPADAAAGAASSLGAQLPVDALPEVEQGQEACPYLDTQWFADANGQRVTASAVDGRFDPPACVWWSYPPEPQAQVIVRHMGEGNEGVKAAIEVVNAAAPIDSTEPADKPDGWDGGRGATTPEVAGGVYGDQGSVYAVQKGSTAVVVFSNQQQTVKPQMIAEKVIENLGL</t>
  </si>
  <si>
    <t>GC_00004011</t>
  </si>
  <si>
    <t>MSAVAAQEPQPFNTATWLKDSIAAIAAAAVSALGAGSEGFAPWGFVLVAIAGKASA</t>
  </si>
  <si>
    <t>GC_00004012</t>
  </si>
  <si>
    <t>METLNKLLVPKTKNRKKPRTLELPPRTRRILVAVFFQPVGFGTTSAHAENTFSPSTSRTPPKNYLRMRGEYPSPIERVRAAPELPPHARRIRCLACRSTLQIGTTSACAENTHHRSWRKPQPRNYLRARGEYFTWSDRLVMRWELPPRARRILGGLCRCLCCRGTTSACAENTHRGCGVYYHQGNYLRVRGEYVMPKPVISPRLELPPRARRIPGST</t>
  </si>
  <si>
    <t>GC_00004013</t>
  </si>
  <si>
    <t>MKIDIGLDVTDPEPLPDEHPLWSMSNVIITPHTANTMNSMDRLLAPVVAANYRALVARETMPTEVDPSKGY</t>
  </si>
  <si>
    <t>GC_00004014</t>
  </si>
  <si>
    <t>MMHYRLNRVIGHGGMSTVWLADTEQGPVAVKILRPEFSAAPEFVDRFRTEAESSLKIDNPHVVRTYDYQDSSLVMEYVPGQSLADLLSNLGSGQPLAEDDALNILEQAASGLAAIHNAGLVHRDIKPGNLLLRDSSGTAVGDPARGAIVKITDFGIVKAAQSVALTRTGMVVGTAQYVSPEQAQGFDVTPASDVYSLGVVGFEMLSGSRPFSGDSSVSVALAHISQAPPHIDAPISDAARELISIALRKDPASRYADGAEFAQAIAAVRCGQWPPAPRMINDAPTTVLPSQAPVAGGFVDPHATTHLQQVIGAGAGATVGAGAAAQSGAGATAAQRRPQTLNQGQATSAPQVTQAKPRKKQSKAIPILVGVLVTALIGATAFILANAFGLIGTTPKPTPTVVTETQITTVPAKPTQAPTPAPAPRPVEPTTPREEPTSTTKSTTTTSTPVDKPDDGRDADTPPSPSVGTTTTPRTPADSDQPGGDTGTTPPAGTVDDTNETSPQP</t>
  </si>
  <si>
    <t>GC_00004015</t>
  </si>
  <si>
    <t>MASPPGVTSWGVPEDSLHYEWGSGGATGVIMFDISCFVETVLYAAVSRAW</t>
  </si>
  <si>
    <t>GC_00004016</t>
  </si>
  <si>
    <t>PF00376.29</t>
  </si>
  <si>
    <t>MerR family regulatory protein</t>
  </si>
  <si>
    <t>MGRTCTRRHHVIVKTGLDLDATSTQKVETVSEYSISEAAAKLDVTTRTLRYWDSIGLLSPQWRTYSDYRIYTEADIRRALKVLVHVAAAR</t>
  </si>
  <si>
    <t>GC_00004017</t>
  </si>
  <si>
    <t>PF20466.3</t>
  </si>
  <si>
    <t>MmeI, target recognition domain</t>
  </si>
  <si>
    <t>COG1002</t>
  </si>
  <si>
    <t>Type II restriction/modification system, endonuclease and methylase domains (YeeA) (PDB:5HR4)</t>
  </si>
  <si>
    <t>MERAINAYLVDGPNVLVSKRSVPLSASLPEVNYGSKASDGGYLVVRESEYAEVLKDPIAAKYVRPYIGSDELINGKDRWCLWLVDVEPRDLSKSALLRERIAGVRAERAKSKAKTTREYPHHHLFRQIGLISDQPIVGLPEVSSSNRRYLPVAELDPGVVISNKVYGAVDPDGFLFAVASSSMFITWMKTVGGRLKSDVSFSSTITWNNFALPELDQPVRQRIIDAGKKVLAARDLHPERSLAEHYNPFAMDPALINAYDALDKEVDKAMGARRKLTTERQRQELLFENYARMTQNA</t>
  </si>
  <si>
    <t>GC_00004018</t>
  </si>
  <si>
    <t>MLMRSTSPRLGLRQSLQGSSRSAGTSRRRSLQILWSVITFVAIVFGALPQAQAHDAVVASTPADGAVVASFPREFELEFSGIPQQSFNTVAVSDAQSGEVLFTVEPTLDQQFVRFETPADVQPEAGEYIIGFQITSSDGHATRGKLRFTVSGSDAAVSSSSGSQQQTASSPDQADAGNNSGVPLPLIIIVAIALGATAVAAIAIRAKKR</t>
  </si>
  <si>
    <t>GC_00004019</t>
  </si>
  <si>
    <t>PF06736.16</t>
  </si>
  <si>
    <t>Endosomal/lysosomal potassium channel TMEM175</t>
  </si>
  <si>
    <t>K24915</t>
  </si>
  <si>
    <t>TMEM175 potassium channel family protein</t>
  </si>
  <si>
    <t>COG3548</t>
  </si>
  <si>
    <t>Uncharacterized membrane protein (PDB:5VRE)</t>
  </si>
  <si>
    <t>MGKERLTAFFDAVLAIIITILVLELPKPAEPTWGAFTGLYREYFAFTLSFFWLGSLWIHQHDMWHHIKHIDAAVVRLSMLTLFFAAWFPYTTSWVNEEFYATVPQALYGLVAILVTISTIALNRSLVKANPDNLEFEHLTNSRNGWLAADLLIKAAGFALSFIYPPAAMLGILIAAAFINVAPRVRRQR</t>
  </si>
  <si>
    <t>GC_00004020</t>
  </si>
  <si>
    <t>MDNNDVAGPAVAFDAMGAVGQQLRPVSDSLIKARLLARMPVYVVAFVAAVAAAVLHSPWWWIAVALAGVNVGWQLWLIPHQVRCIGWAEGEDDLFISRGKLWHTTTIVPYGRIQYIDIDSGPIDSRYGLANVSLNTASTKSITKIPGLPAQEAEELRRRVSQKAKTRMSGM</t>
  </si>
  <si>
    <t>GC_00004021</t>
  </si>
  <si>
    <t>MTPTKNTWSFPKAPNTTKYTHHDAAMVALGAPLGVLAYLIISSLIPTTAALFLCNTAGSFLMGWLQPKNPLISMGMLGGFTTYSGYAQAIHAPLPSHPTTATLILILIPTLAITGYLTGTKLHHATRSNGGARN</t>
  </si>
  <si>
    <t>GC_00004022</t>
  </si>
  <si>
    <t>MRDDAAIDSALDRVFHAMDGYAKRGVNTTGVLPGGLGVRRRAHGWHEQRAAEDPQKTAEFSERYKETAGGGLAITVAVNTPEC</t>
  </si>
  <si>
    <t>GC_00004023</t>
  </si>
  <si>
    <t>MRSLKVAIATACLALAATISPAQATEVQPTASTRGSLATGSSSIEAGFDAYMRCIKGLSHGKVLPPGLCFGVAVAASY</t>
  </si>
  <si>
    <t>GC_00004024</t>
  </si>
  <si>
    <t>MDFSALMMRIEKEAQPPVAVGRLPSQDYVMETLLDDLTQSHAWLARELKEPLLELWVNDGDVFIYPDLGDPIVAIDYANLLAFASRNPVVDLESLRGFHTVS</t>
  </si>
  <si>
    <t>GC_00004025</t>
  </si>
  <si>
    <t>MISFGSTVSHRWRRAQYIKQIREGRVSRAEACEGDFLLQTAAKFHGRAVAGVCPVCERDGVLREVWWVFGDAVGSRANSARSEAELEALVAQTGSAEVHTVEVCTACGWNFLLMVQEATCS</t>
  </si>
  <si>
    <t>GC_00004026</t>
  </si>
  <si>
    <t>K11927</t>
  </si>
  <si>
    <t>ATP-dependent RNA helicase RhlE [EC:5.6.2.7]</t>
  </si>
  <si>
    <t>KEGG Orthology (KO)&gt;&gt;&gt;09120 Genetic Information Processing&gt;&gt;&gt;09123 Folding, sorting and degradation&gt;&gt;&gt;03018 RNA degradation [PATH:ko03018]|Enzymes&gt;&gt;&gt;5. Isomerases&gt;&gt;&gt;5.6  Isomerases altering macromolecular conformation&gt;&gt;&gt;5.6.2  Enzymes altering nucleic acid conformation&gt;&gt;&gt;5.6.2.7  DEAD-box RNA helicase|Messenger RNA biogenesis&gt;&gt;&gt;Prokaryotic type&gt;&gt;&gt;Bacterial mRNA degradation factors&gt;&gt;&gt;RNA degradosome components&gt;&gt;&gt;Helicases</t>
  </si>
  <si>
    <t>MTTFSELGLPVAVCHSLSALGIKDAFDIQAAAIPDALEGRDVLGRGPTGSGKTFTFGLPMIARLAGSGVSRPGAPRGLIVVPTRELAAQVKQRLDDPAAAMGLRVLEVVGGVNIKRHITALASPVDILVATPGRAQDLIDQKILRLDQVSIVALDEADQMADMGFLPQVRKLLRLTPSQGQRLLFSATLDGDVGKLVKEFMHNPVEHSTAAVEASVDTMEHVTIRVGDRPSRNAAVEQLAIDASARGAKVIMFMRTKHAVDRQLKKITRNGVNAVALHGDKGQNTRTRAIEDFSSGRATVLVATDVAARGIDISDVSLVVHIDPPAEKKSYLHRAGRTARAGTAGIVATLVMDDQVEAVTALLRSAGVNAADIDAASLNKLIDKLGPQPTSSTGRPQRSIAADQPKEQQQRRRGGTRDRNSQRSTSRRRSKKPR</t>
  </si>
  <si>
    <t>GC_00004027</t>
  </si>
  <si>
    <t>MGKYWRIVPLAQGCFRVYYVPRIVLIDNQDSFSHLLADAIFRAVGILPQVVAHDGELPANADVFVLSPGPGRPEDARLSIEAVRSGVPCVGVCLGHQVIAMEAGATVGPAQFPMHGRVSQVSHCGTGMFAGLPQSMEVVRYHSLEITDFNDAALEVLARADDGSIMACRRMDAPQWGVQFHPESIATVQGVDLVRNALLCALEPWKWAQRYPYFAWFEFDGYTRIAAGNERWEGPLDTDVALYGALSYEATGGVDGSSAAQLHTRDNSGADSAQSIWFHPEHELHWEGAVPEELLGDVPPAPQASAISFRDSREDYREAISRCRQAIARGDSYELCLTTAASSILLEDVSALELYVRLRSLVPAPMRGMLTSPEVSIISASPERFVRVRPGQAATGGGRTISAHPIKGTRPAGCDPAELLSSEKDRAENLMIVDLMRNDLARVCTPGSVTVEELFGIYELPQVTQMISTISGHVRPEVSAIDAALAAFPGGSMTGAPKQKTMDLLREYEGHPRGYYSGVMGYIDCDDIDLSMLIRCVVLRQRRLHYGVGGAITWLSDPDDEYDEVLVKARPLFALLGQQYVP</t>
  </si>
  <si>
    <t>GC_00004028</t>
  </si>
  <si>
    <t>MQVQRITLPFANSYLVSHKQGYVLVDTGKPGDKPLIAQALDEIEASFDDITHIIHTHGHSDHCGSTAEILKLHPHIKTVIHAADEHMCATGVSDPVQNTRLFSRLLRLVINPSFPPFKNDIIIKSNHSDLLRKLGIAADIIHTPGHTPGSISIVGDDGQAIIGDVLMGGILGGKLLPSRPQYHYYVTNSSELQSSIRTLLSTGSHTFYVGHGGPLQHRMVTKWFEKSATE</t>
  </si>
  <si>
    <t>GC_00004029</t>
  </si>
  <si>
    <t>PF20465.4</t>
  </si>
  <si>
    <t>MmeI, helicase spacer domain</t>
  </si>
  <si>
    <t>MSREEEEAASLKASKVMANLFTAVAGDEVDGGVADEAPINPEDEDEEVQRTSMFLTRLLFLLFGDDAGLWEQDLFYRFVLDHTTSENLGSQIDALFDVLNTPENKRRRVPDSMAAFPYVNGSLFDRAGETRTTTFFSPEMRHALIDACRFRWTDISSAIFGSLFQLVKSKEARRSDGEHYTSEANIMKTLGPLFLDELRAKADQLIARTTGSRKKLRRSGSGTLLLVLKKLMILSRR</t>
  </si>
  <si>
    <t>GC_00004030</t>
  </si>
  <si>
    <t>MIIIIAEALFWVLVVAGMVVRYWLRMPTLSKFLLLAVPLVDIALVIAVIAELRAGRPVGLEHQLAGLYLGISLILGPGIIRWCDEKARSLSSREKSSPKPYATFSEKMRHELVFLAKWSVAVGIAFLINQGLMYAAVHESQREALSQASSMPLGSILVVAFFGPGWLLLFGDNDKQQTTNR</t>
  </si>
  <si>
    <t>GC_00004031</t>
  </si>
  <si>
    <t>MFLIELLYIADVDDVSTIMVCSNQILQGVCMIGVSEKRHGASFQQSLITQAVGNRPGSDGATYYATSAAPVGGTKTHTTQNETAPK</t>
  </si>
  <si>
    <t>GC_00004032</t>
  </si>
  <si>
    <t>PF07905.16</t>
  </si>
  <si>
    <t>Purine catabolism regulatory protein-like family</t>
  </si>
  <si>
    <t>K09684</t>
  </si>
  <si>
    <t>PucR family transcriptional regulator, purine catabolism regulatory protein</t>
  </si>
  <si>
    <t>COG2508</t>
  </si>
  <si>
    <t>DNA-binding transcriptional regulator, PucR/PutR family (PucR) (PUBMED:14990804)</t>
  </si>
  <si>
    <t>MTRPAAPVAATDIAFSWLYDQKSLGLVPVHSQQGSFEYVQVSEMAEPEFITAGTLVLTLGLSFEDDVAGLKAYASKLAAAGATGIGFGIGVEFDDVPAPLIKGAKAAGLEVFAVPRAVSFQSIVHAVHAEQNRRLQQDYRALTRQQDQLNRAAIDGGIAQLLDVLAKDLRADVALADNDGRVVYQGEGLAKRLIITDLSQLPAGKGPSASSARWRALDDGDLVCEMTHVLGSQGERYHVLKLVREQGFSRSELSAITHCMGLADIVLQRPRTLRKARSELNSLALALLLGIEGGQRTLSQLISNATDAYGRVRPAVLYADDPEALAPALRVVDERLEQQSRALFSVPLDDNTVVVLFRGNRTHTNVRSYCSGPTFQRIRLAIGEPTLWSKLSMADIDLLRTAAQSAELGRSVAGEDVALQWLHNDTVRKLLTARADQTLGALREYDRINATELARTAEVYARSGFQLSDAADVLGVHRHTLRSRIDRINKVCGIDLSSPATQAELLIITLALGEG</t>
  </si>
  <si>
    <t>GC_00004033</t>
  </si>
  <si>
    <t>MTDEEKQAYKAILKQLHDALPPGPFSAGLVSNASIVRDVDGVPVVAVKKLAGMDIANVKAFTDLIIWASNELEGQANE</t>
  </si>
  <si>
    <t>GC_00004034</t>
  </si>
  <si>
    <t>MHRSTYDSGISQATAYRYLYKALNVVAHRARSLQQVLADQEAAGELILCLDGTFIHTDVVAIGKVTGRDTTDDGGNDLRNSWLVFW</t>
  </si>
  <si>
    <t>GC_00004035</t>
  </si>
  <si>
    <t>MQGEFFVQPDPQRKLPGRGAWITPAQEAVEIAIARRQFARAFKVSAPVDAERLCSYIKEHTSKTKNVETEH</t>
  </si>
  <si>
    <t>GC_00004036</t>
  </si>
  <si>
    <t>MLLSLTLLAATGPFAIDMYLPTFPAIADDLRTTAVPYTLSGFMMAMGFGQLFIGPLSDRLGRRTLLLSGAALSVFASILCALAPTITVLIGGRILLGIGSGACVVIARSVIADITHGSEAARAFSIMMTIQGLAPVIAPVAGGLLATHGGWRGVFIALTFINALQLLAAILFVPETLTPERREQEPITTTITRMVGLLKIPAFTTVTLSFAFGLGTLFSYISASPFVFQDQLGMSQLAYSLLFGVNSFGLVIGSGLNARLLRAHSPQQLLLRASLVLVAASVLLLCCALAQPSLWTLAPTVFIVVTTLGFILGNSAALGQSAAAPRTGAGAALMGFAQFMVAGLVSPLTTVGSSAAVAMGACASACACIVACGSWLGCRRSTA</t>
  </si>
  <si>
    <t>GC_00004037</t>
  </si>
  <si>
    <t>MGFVSARRSSSQRQATGEIAATSRAHALGRCGEDAAAALYESDGARIVARNVRYPVGEIDIIVDDDGLLIFVEVKTRSSHNYGTSEHIDARKLRCLRHAAAQWLRDAQWAGRECRFDVVVAAPDGLTVHQGVDVYEL</t>
  </si>
  <si>
    <t>GC_00004038</t>
  </si>
  <si>
    <t>MYALHATYRGHATRRAELVKRSAVALSQLPGVPEVEVVGIEEIAATLTTPESVTDITMALLAAGEWAIGIGVSPLDTVAQTQAHKILGKSPKAAKVYVSLIDSAEGLSEDLAATFELLAFVLSKRTPEGREATSLIRRGLTQTEAAAELGVSKQAVSQRLQAAGWVAETQGWRLAVRLLSRATEDLPSESPAQ</t>
  </si>
  <si>
    <t>GC_00004039</t>
  </si>
  <si>
    <t>MHADFTVTGMSCTSCSARVERKLNKLPGVRAEVNYATETASVDFDESVDPKTITDTITKLGYGSKRQPEIMPRLIVAAVSTVVLMALMFAPHRWMAIAQLPFALLVYFYSGWLFHRNTLKGQLTMDTLVTLGTTAALVYSLMHMHWGWPPVAHGHVYFDAVGMITTSLLLGKLLEHRAKNRSSAAFRELLNLGAKQAVLVDGRTVPVADLRVGDVFVVGPGEKVATDGRVVRGSSEVDESMLTGESLPRAVAVGDDVAGATLNTVGSLEVEATRVGEDTVLAQISALVAGAQQKAPVQRLVDQISRFFVPTVIAIALVVAFFDVPSAVAVLVVACPCALGLATPTALLVGTGRAAQLGLLIKGPQVLEQSRKVDTVVFDKTGTVTSGELTASLDCEDAAVVGGVALQHCDVVELVAAAESGSEHPVARALVRYAQQNCGNQWREWEVSDFTALPGLGVRARVAHPALGVVCVEVIRGVISVNGVLVARVSARDSLKPTSKQAIDLLKADGVEPVLLTGDSAAVAQAVAAEVGIDRVWSEVMPDEKLDVVRTLQDQGRVVAMVGDGINDAAALAQADVGIAMGSGTDVAIEASDITVLNSDLRGVDTALRLSRATVRTIRGNLFWAFAYNVLLIPVAAAGLMEPMWAGAAMALSSVFVVTNSLRLRRF</t>
  </si>
  <si>
    <t>GC_00004040</t>
  </si>
  <si>
    <t>MHSHPENDPHLKVELPEELQKELDFDASRLSQLTEDGEDHPLYQLERHRQSLQQAVFFAASTIFLTLLAGLMLALTSHALGGPLCDAGVATWICSHTFELLFPLLPGAIALAGLIGCALGCYKKYKNHDRWQPWLAALWVLLPFTLMWLTGTGTMAIVGH</t>
  </si>
  <si>
    <t>GC_00004041</t>
  </si>
  <si>
    <t>MHPTQETINNTKRLLLAELRYITQAIDNNDLTKLEAITKQTKEHGKGGLIATYATELNQQAITIYTGKAATK</t>
  </si>
  <si>
    <t>GC_00004042</t>
  </si>
  <si>
    <t>K08683</t>
  </si>
  <si>
    <t>3-hydroxyacyl-CoA dehydrogenase / 3-hydroxy-2-methylbutyryl-CoA dehydrogenase [EC:1.1.1.35 1.1.1.178]</t>
  </si>
  <si>
    <t>ko00001|ko01000|ko01000|ko03029|ko04147</t>
  </si>
  <si>
    <t>KEGG Orthology (KO)&gt;&gt;&gt;09100 Metabolism&gt;&gt;&gt;09105 Amino acid metabolism&gt;&gt;&gt;00280 Valine, leucine and isoleucine degradation [PATH:ko00280]|Enzymes&gt;&gt;&gt;1. Oxidoreductases&gt;&gt;&gt;1.1  Acting on the CH-OH group of donors&gt;&gt;&gt;1.1.1  With NAD+ or NADP+ as acceptor&gt;&gt;&gt;1.1.1.35  3-hydroxyacyl-CoA dehydrogenase|Enzymes&gt;&gt;&gt;1. Oxidoreductases&gt;&gt;&gt;1.1  Acting on the CH-OH group of donors&gt;&gt;&gt;1.1.1  With NAD+ or NADP+ as acceptor&gt;&gt;&gt;1.1.1.178  3-hydroxy-2-methylbutyryl-CoA dehydrogenase|Mitochondrial biogenesis&gt;&gt;&gt;Mitochondrial DNA transcription, translation, and replication factors&gt;&gt;&gt;Mitochondrial transcription and translation factors&gt;&gt;&gt;Mitochondrial ribonuclease P|Exosome&gt;&gt;&gt;Exosomal proteins&gt;&gt;&gt;Exosomal proteins of breast cancer cells</t>
  </si>
  <si>
    <t>MSVRSLLDDAAGVSAVVTGAASGLGAATSAMLADAGVQVFGLDLEAGIDKVCDTAPEGIRFIATDVTDHAAVQEAVATAAAAAPLRLAVTCAGICPSKRILGHSSELFSTTLAVNLTGTFNVMQAAAAVMAEQEPVDADGQRGLIVTTASVAAFEGQMGQAAYAASKGGVHALTISAARDLASKGIRVNSIAPGIVTTPMMAGITEEFREALEALVPFPKRMAQPEEYAQLVKSLADNPYLNGETIRMDGALRMPPR</t>
  </si>
  <si>
    <t>GC_00004043</t>
  </si>
  <si>
    <t>MYATSIYTPESHVVYPLSEARKQPAPPMPEGSISVDAVPAAPRQQPMPLMRLAVPIIMVVAIGAVIGLMLMSGRGIHPMMMIFPLMMLVSMAAMFSPPTGDDVDDVRRGYVRHLRTVRTVAIDHGRIQRVALAHKHPDPQALWSMVGSRRMWEANTADVDDLAVRLGVGSVALCTPLEVAEPTYSEDADPVCAISLRHVQRSVGIVEDAPITMEFAHFTRVGVGGPHAAQHIRALISSLAFSYGPEMLSVEVIGEGFEWVKWLPHTVGQPDRGVAAVRVLILSELDAGMISSEEIDDLIHDGGPQHQGYNIVFDVVTAPDAPTIGRMRQSDIYFDVRDGDIRVPSANGMDTLCRADLLSEQLATITARKMSGYRRPVEITGKRSTRLLPLLGYDNLHQWKTTMWSARRQGRDRLRVPIGLDRQGRPLVIDLKESAQGGDGPHGLLIGATGSGKSELLRTLVVALAATHSPSELNMVLVDFKGGATFLGLEQLPHTAAVITNLAEESVLVERMHAAISGEMNRRQEQLRKAGNFANVDAYNEAAHRAGTEPMPALFIVIDEFSELLAQHPDFAELFVAVGRLGRSLHIHLLLASQRLEEGKLRGLESHLSYRIGLKTFSSAESRQVLGVTDAYTLPSRPGAGYLKRDSEGVLGFHTSYVSGTLEAKELAQPTTTQTPGHNENSAVQPFTLRTLQAQAQGQSADAASSPNDSQHNAQPATRTTLLAAIAEGAQQQAGRRGLRAHCMWLPPLPPRISLGQLIGSAQPNHGGHTDTAEDANTLACTIGIIDRPYHQRQDPFVLDMGSSGGHMALCGGPQSGKTTALRTLVLSIAATHNTSHVRFYIIDFGGGLHDLNSLPHVAGIAGKKDKQRVERIIDEVTGLIDNTQTKTTDPHHTILIVDGWHVLGHDHEHLLDRCARIAADGPSNGIHLVMSTQRWTTVRPVIRDLIHHRIELKLAEPMDSLIDRKAQIALVGAPGRGLTPAGEHMLIAHTSPQDTAHVSSMTQGMPPVPALRVLPTHLSLQEVQAELDAMAARGQGATPQDGTHWIPLGIGGSDLAPVGWTPHTSPHLLVIGARACGKSTTLRTIMQGISAIGREQARMIVIDHRRRHLGMLEQDMLAAYCPATSTSTEAIKNLCVTLKSRLPGPDISPEQLRERNWWSGPELYLCIDDADLLEEQLLLPLKEFLPLSADIGLHVVLARKAGGFNRSLFGPLMSELKDQVPDVIVMDADREDGPIFGVKTTTQQPGRAILVTHGHNAGTIHIAQPDTPPNQTEQQS</t>
  </si>
  <si>
    <t>GC_00004044</t>
  </si>
  <si>
    <t>MMNKQTQATALKTVLPAEHWGETPKPVREVRTLYHATGRSDMAETPQSSRAMLTTPGSFVQRLVDRSSLLLSAIGFGGAVYYMLAGVLV</t>
  </si>
  <si>
    <t>GC_00004045</t>
  </si>
  <si>
    <t>MCAFAWNRLGDPSRQPHAQHPGWPENTPAVVVRSRPGALAISGGQAQGITVCLRPLRTSDGSAWRTMRVRNEHRLRPVEPTVVGSWESVHSRVGWWRFFLQNHESAQMGASIPFVIDVDGCFAGQLMIGGISRGAQSECWLGYWVDESFAGRSVATAAVALAVDHATTRLQLRRVTATCLPDNEASQAVLRANGFVQEGLLRKYLHIDGAPEDHLLFSRLAEDFADSAVEFLARHGRVVADYGVG</t>
  </si>
  <si>
    <t>GC_00004046</t>
  </si>
  <si>
    <t>METMQISLDELLRIFRGQPETLEQIMARNYGADGLVGVHIETIDREHLMIVDPWPNEDQEVRAVTHAPDGDMQIRHVDLARVKEFTPSNGMHATCQEQQLKAARKTLGESPIEEARKGEPQF</t>
  </si>
  <si>
    <t>GC_00004047</t>
  </si>
  <si>
    <t>MSRSSDQQPFQVIGGAFQPHGQFHGASTQLGAPWDGGWLMGDVVIAPVADASCAAWSARTREAIAELPSSCGFEVARPVRSADGRFVVSGCKATFAGPWVDACWEARPDQLLFVAFQWERLMADCLERSVVEVPPGVPGRVGCAEQLAWGDVSVLRDGGVVQAVEEFLPGGGSDADASWASEALLRACDGACALVERCDDGEGQGDAPQVVAHVDLSRCVLFSPSERRGGAVAGVADALVTDAVCALRPAGYSAAVVVADLLVASADPDTPEGDVVGVLERFSLVDDAAFYALLSRALLQRIGVYALSVAGGAEPSAAVEDAFVRAVEDLSLMVDGLDAS</t>
  </si>
  <si>
    <t>GC_00004048</t>
  </si>
  <si>
    <t>MRASGLENEVDRDWDGWVTSYESVHFLRVAIGLTSVILAIRRR</t>
  </si>
  <si>
    <t>GC_00004049</t>
  </si>
  <si>
    <t>MRGEYIWFWKTCTLSRELPPRARRIRVKRPDGDVYSGTTSACAENTAGSAFEGEQVNYLRVRGEYGTPGVGATPDMELPPRARRILMHPDIARTDIGTTSACAENTRRNVARFSEARNYLRVRGEYRNALSSQHSHKELPPRARRIHKKQFGDHVVYGTTSACAENTICSNMMAFPFWNYLRVRGEYNKCACDAVAVVELPPRARRIP</t>
  </si>
  <si>
    <t>GC_00004050</t>
  </si>
  <si>
    <t>MSEEGKLSVADLLARQGGEQTTSRPRRRRRSLEEGGVSVAELTGNLPVVDSVPEQPRHTSVPLDVEPEEALQAQPEDADKAGNAEKADKAEKADKPAKTEKADEAAAKPDKPTPAADETKVIPKVKDQPEAKSAAEPADPAVPAVSALFAPSERTETAQAAEEHPPFDAGDTSSEERDTEALDTEDGARVSILAVILMSAIAVVLGAALFKGFEYLWANMGLPVAPILALLATAGIVGIVHVMRTERDRLSMLLAALAGAVLTFGPALITGIH</t>
  </si>
  <si>
    <t>GC_00004051</t>
  </si>
  <si>
    <t>MGIAVDRIAIEQALMFAEDARLAELVRPILDRMLGDGKSSIDPSYTIWTTETAEDLRARIEDNLQEGAERNFFSKNEATNPRCPGRPNSRCTRHRFGP</t>
  </si>
  <si>
    <t>GC_00004052</t>
  </si>
  <si>
    <t>MSQVSKTYTVAEVAKQLQVSKATVYNLINQDKFPTPTIHLGTQYRILAEPFDTYMKGTTK</t>
  </si>
  <si>
    <t>GC_00004053</t>
  </si>
  <si>
    <t>MSTFNRAELQQIREQAQTILSNRAEATAVVGELQRNPLPAALQQRRRVGNDSASIEVIAPWEVTWPDSLYARVELEQGSVAGSGANVEVAVNILKAFIEQTAGVPRLVDDLSAADTVGMKIPQVLRGFIPDDVLDANDFKGAATRGLSWLTGSSSSKKRSRTIRSSGSRSGVAVAQAAASQLTYLMGNPSFRSTDDAAVRVLELVRRSKEMQRRVPPTPIPSADSLGPTFQAAAAQSLGTAVDNPDVAIEALPLDSAGQVVQQLAELAASPDSEARLKSEAEAVLKQLYEQNAMILMEQLPLDALKAVTNERLRFDGLDAISVRTVADVLRTPTPTLMNAHGVGEQTAKRMRAAATTLFKEASSTGSQATSLSNLADHTSQVSPSAEATALLRILARFEQVNSLDPVQRERRMRLQRYFFGLRPDQLLASGSSHLWVLSHGHGALEQFYDDLLWARSNTGLLAARSAVDPGIGVWHDYRTNPARFQHLLALLLDEPGRAEEDGTVLHDAAIVDRIRSLELDTRLLKDLFLRGYQSYGARFALVQKKTVLGDEMGLGKTVQAIAFAAHVCATEAVPELSSPVAGASGAPDWSGVVLPRVLVVCPASVIINWVREVAKFSYMPVFKAHGDTKDAAVAAWLSQGGVLVCSFTGSRTLPLEGVRCVIVDEAHYVKNPEVKRSLRVAELVEDAEYALLMTGTPLENRVEEFVTLVRYVQPELLKRGMGSMGAEDFRAAVAPAYLRRNQADVLDELPDREDSIDWVELSDSDDAAYRQAVAAGHWMQMRQAAYLGDGACAKVERIAEICSQAGEHGRKVLVFSFFLEPLNRIAQELESASGVEVIGRISGSQSPAARQELVDAFTQFDGPCVLLSQVQAGGVGLNIQAASVVVIAEPQIKPSAEAQAIARAYRMGQVMSVQVHRIAAADTVDERIMEILKVKSQAFDEFARESVSADIDDAVDVSEGKLAREIIAAERERLGLQP</t>
  </si>
  <si>
    <t>GC_00004054</t>
  </si>
  <si>
    <t>MNDVPLKPAMTTAEHIILLQERGMHVDEELAQQWLRNVFYYRLSAYWYPCREWGEASDGNMKRLNKFMPDTNFADAVALYEADRKLRTLIYDGIERVEVGFRTRICELLLAKNPDDPLLYRDENIFRAKFDHQKWLKTADNRVERAIYNRNKAVQHYSEKYEKRYPLWVLMEVLDFSDISRLYSGLKSSDQHKIATELGIEIDWNNLSPNMRKKARKKHPLTQWLHQLSIIRNTCAHHARLWNRSFLPASTKALRTMSEFSSLPDGQSERIYGALVFIKFLLKDISPGSTWGAKMQKLISEEFLSNPIVTRKSMGLPDSWPDESWGLQKDIY</t>
  </si>
  <si>
    <t>GC_00004055</t>
  </si>
  <si>
    <t>MSTPSHPATGRRTLRFDVLDLTDNTLAIAELLRSAGHIECTPLDDPQLPAELQIVATTTTTTSTPIVIAPHDVALGDIDADVPILCTPVGDALVVTALDSVGYTIAELLLSSVRPGHIALDPSRRAQFADALYNYQQARTALLLAMAPGDAADHPHADPRTIDPFAGGHL</t>
  </si>
  <si>
    <t>GC_00004056</t>
  </si>
  <si>
    <t>MYGRVINISSQLDRFEDVFDEGSYDDAMPGVYEGPVGLAEGLVLCSDGRVRPSWAAASGLLCDYYDTEWGRPLPDDPILAEKDLFERLSLEGLQAGLSWSLILQKREIFRLALADFDPEVLSLWDERDLEFVLECPGIIRNPSKIGAVLSNARATIALRDEPGGLVGLVRSFTPEAQPLPLSSADIPTWTEESKQLAKALRKRGFKYVGPKTMYALMQAIGLVDDRILGASPLIEPMY</t>
  </si>
  <si>
    <t>GC_00004057</t>
  </si>
  <si>
    <t>MAKTLVIDVTNVVGKTHPDDSVALYAPRVRGSADRAGGVVSTAARVVHLVDGQARVENVEPGPMVVEFHCANYLGGEPVEVVVPDGSGTVTLRALIESKFKYSPAVQTAVEKAADRAADSERATITAQRKAEDAASKANAKVDGALSDAVGALRKQVQADLSQVGAEVAKAAKAAEDAEKFKKAAEGALDSKADKTDPRFTDARPPRPHRMVEHSDWPGNIKPPMFLPVGLSTACRLPDGQLQVKETPTNKDHAASKKYVDDVAASIAPVVKQVGKWRFAKIGGVVTATLIYSATPSIIDTGKSGTSAEQIPAGFEPVEQDLSAFAAPHRETGKSAINIRARNRQEILLETFHANAGTVQPGVSITWIKG</t>
  </si>
  <si>
    <t>GC_00004058</t>
  </si>
  <si>
    <t>MSYPRIAAAVCACLLLVGCADGDYSGTDGQDQALDNAVGATIDQPRVTLKEPGQDPKVVRFDVANVDTSRVLVTATAFAQEVGGDPSLPAPDSGERELKVSREGQVLRFVMPDGFRATWMDVDDTGRYSAVAFRAPEDASDEQRVADEKAMKLLMAVPVILPTDAVGVGGSWSVDSRVAGDSTLLQTTTYTVTAMDDEGMDVDVAVVQRPAVTSVGDELDVLDSSSESSGSMRIDFAQPVPRWMSVDVSTRVVYGKRGADDALNVVQDMTTHVGLK</t>
  </si>
  <si>
    <t>GC_00004059</t>
  </si>
  <si>
    <t>MTMDSLNMSSSRSLSAEQLLLIADEVCRSERVSVVDYGFVAAAAAVTGAQFDGVPVFQSVRAARKSLEQAIVLLEPLSGANRVFARVAGEVFARINDEV</t>
  </si>
  <si>
    <t>GC_00004060</t>
  </si>
  <si>
    <t>MNALSRLLGRITGRIQGITGDDLDEGLRRIGSQLGIDVADGHCTMRKQRTTADAAADSTRPVNIMRHPTAQLKRSIYYAPDMDGRADPGEIVWANMMDKRTKKPYERALVVIGRSREQLLGLMISPNDAHAEEDNWLDIGAGAWDRGGRRCWVRLDSVVAVPELWTKRQGAIIPRRRFDRIANRLRNEYGWY</t>
  </si>
  <si>
    <t>GC_00004061</t>
  </si>
  <si>
    <t>MVAMKSVQSVVGVVVGAVLSLGVLAGCVSHDPFDSEGAGGGAPGGPVVIGTANFPESEIIGQVWAAALENAGYEVQVKSGIGSREVYMAALQEGSVDIVPEYSGNLAQFFGAELDPGASEEQVLGTLRGVLPEGIVAGETAAAQSKDAFWVTEDFAQRHNVASLADLADVPVRLRLAGNPELSKRPYGPSGLKELYGVGVDLVPISDGGGPLTIAALNEGTADVADIYTTTPTQGLVQLDDPKGMVLPQNVLPVMRARSVSVGAASVIRDVNTHVTTEALTQMNHRNVGEGKQSAASVAREFVDSVEVAP</t>
  </si>
  <si>
    <t>GC_00004062</t>
  </si>
  <si>
    <t>MTPRRLLSARARIVPGRGWWLELAEGVFSGAHVAQAIGADNRESEMPPQRDRVTMTRRVRGYVMSKQPLVWGVRR</t>
  </si>
  <si>
    <t>GC_00004063</t>
  </si>
  <si>
    <t>MVRRLFPQLINGDVGGAFHQGQLAVVHAEDRMAPRIATSIARLRIMANSSNNNGQTPGIDPALISAQRLQPYVARCKGDVTVALDLYLRDRSLSSSLFHDLAIIEVALRNSIDKALVSKYGPSWHRLSASIFNQRTFNAISRGWSGLDEIHRSHHNNLDATRGRLLGI</t>
  </si>
  <si>
    <t>GC_00004064</t>
  </si>
  <si>
    <t>MMVGIARVLYDQFYNEIEAVNEFVQKKIELVSDGVPGSSEHLVAGKLRRGLVITTFNSLENLIKDITRNLIISINELNISHKNVSPETMQKIDKLLVESMTSGIRRIEPSKRSPLYLTSANLIVEKQRNRVVKLSERGFHVRSNVERDSINEFFSLVAKIIKEYSKLGGKGITSYQDFSSWSECGTLISSSLGDLPGPIEKKSSRISLDDFFQYFSDERNKAAHSSKAPDLNVLRDIISGALIFGFSISVYAEISNSVLRLIDEVSSSYGSIKSLKTGFRVSSSKHPKYSCILNLSGKLFQNEYSDDDLIKVYM</t>
  </si>
  <si>
    <t>GC_00004065</t>
  </si>
  <si>
    <t>METAFMIMGIIFATIVLVRELQDKSSTLRCVVLSFLVLMTGVLGFIGWLAFRYWELRTGRHID</t>
  </si>
  <si>
    <t>GC_00004066</t>
  </si>
  <si>
    <t>MAAHTLRGHLHALTVLVVAALWPLYLMTPTHAEEPEEDDATALPRVPAVDRICPDVIPFDPAPDAAPEPWLAAVHDFATGRGVTVAVIDTGVAQHPMLNVVDGRDVIGERLGESAADITVGPFDDCDRHGTIVAGRIASIAPDVEIISIKQTTAITNNQHQDPGGNLATMIDAISIALDMKADVINLSVVACAPDEHTAAVARQQLAAVIDRAEAQGTVVVAASGNNSPNCQPGDTIFPGADPRVVSVSALDSPRLPAQYALPPHNVEQLIAAQGHVPYGLDPRGEGFIEAFAPAGPREEAKPIIGTSFAAPIITGIVAALKQRHPNASTEEFRQHLFHNSDPATGYISPVHAVTSPLSSTAKEEKTTQAIELSTTHRPRSWESALSPGSTALAALIAGGCLGVSLLAMATASPRQKLHKDNDAAGKT</t>
  </si>
  <si>
    <t>GC_00004067</t>
  </si>
  <si>
    <t>MLLTMVDADGTAYRRFSNFSNYSSELRILYANDGGSAGIESDNYDLRVSGCGGKAQQDVYMSALQKERKV</t>
  </si>
  <si>
    <t>GC_00004068</t>
  </si>
  <si>
    <t>MSYARLEAEARRLNVEITCHKHGPKGAWIPHLKRVSIREDLIGGGAVSTLAHELGHAHFRHPAGHSPCNELAADRWAARALIDADEYRELERLFPGEDFLISQELGVTRHLLGVWRRHEAWRCAPQLLDVF</t>
  </si>
  <si>
    <t>GC_00004069</t>
  </si>
  <si>
    <t>MTLTFSFLCTAAGLAVFPHAHSAHRMSNRARDGPTPPSLDEAADIELFAACLDSGLAIVTAAAIVATAITPAGSAPEVTNRWHTLARLLSLGVPADKAWASFEGPGAHELVQLARMHERRGVRIAEGCRRISARLRQDDNDAAVATAERAGVLIAAPLALCFLPAFMLLGLVPVVVGLGRTMFGL</t>
  </si>
  <si>
    <t>GC_00004070</t>
  </si>
  <si>
    <t>MALPRFLQRIAQIFSSRDHDAASASGGSVHPDAAHSPDAVPEWLIIGLGNPGAKYQLTPHNVGYFAIDHALDHADDYAPGQGPQPSGTQLSLQPVPGCTAHAAVTTWGENTVALVRSDTYMNESGVAVAALAQRWSIPPERVIVIHDELDLPPGTVKLKAGGSDNGHNGLKSITAQLGSGAYARVRMGIGRPAGVPIIEHVIGPMTQEILDTLPAQSADAIVAAQLIITEGVDRAQNIVHTRKR</t>
  </si>
  <si>
    <t>GC_00004071</t>
  </si>
  <si>
    <t>MIVLDDVAVSYGAQRVLTVQHLSIARGQRVAVMGPSGSGKSTLAALIGGFLPDAARVEATRIHVDGRVGFVSQDAFGALNPLMRVDKQIALIGDPHTLGDVGLDPTLWHRYPLELSGGQRQRAAIAFALATNPDILIADEITSALDPIAIVDIINCLRNIDKTLLFLTHHQGAANALCDTHLQLP</t>
  </si>
  <si>
    <t>GC_00004072</t>
  </si>
  <si>
    <t>MVDMQQITVPSPLVSPEWLLELLSDESILDARLPDGTRAVALLCASMAGNNLDAEAIAGSIHADLEGDFSDPEDPLPHTQPADVQRVFERCGVGPDTAVICYDTQGVVTSARVWWLGRAAGLDNIAVLDGGTRHLPEHGVVSWVALRDLPAPGDDDVAGDLSSVTARPHLIVGDRAVEQALARNGVVVDARSQGRFAGVDSEPRPHLVSGHIPGSVNVPFTELFRGGRMKPQEEVAEIFRSAIEAENTTGPDAADWTQQPIIFSCGSGVTACVDALGATVAGCSNASVFDGSWSQWGDPAYGKPIA</t>
  </si>
  <si>
    <t>GC_00004073</t>
  </si>
  <si>
    <t>MHIPVDAAHNKIHNEFNRDAGRLKLSGYILTAVFIAAAIIVYFISGLTPTGLLFAASLLVVAALMLGSMIAVSRRIGDSQDLYDTYPLAPAIVAAKGDHDLTLMALVRINDAADRYALAVRPMKSLGHPCALGDRVATVAVPGRRSRQGTLEEVSPMPIDWATPDTTVWKEAIKNIPGREWNLLEANKNRFEEVRSTRFNLLPL</t>
  </si>
  <si>
    <t>GC_00004074</t>
  </si>
  <si>
    <t>MGANAHSMDDFPLITVPIGNECVLSPINSDLIAPDIKRRLAELGLRPGVHVSVVQKTSGGGRVIRIHNTRYALDRRTASSIKVHSVKTGGEQ</t>
  </si>
  <si>
    <t>GC_00004075</t>
  </si>
  <si>
    <t>MDQPAATAQRIIKLLEEAELLYSVDDDGEIRVAFDAFSSWFNVRDTIVRAYAYLSGEVPRELLDDALMFAMECNSDHVWVKSIVLNFEDAGLADADAPTPEGLPIALEFASPVAEGLSTEQLRSLIQATFAGFTQCAERWAERFPEHISAAE</t>
  </si>
  <si>
    <t>GC_00004076</t>
  </si>
  <si>
    <t>MLMVSVSSVVFSAHAEVVPYPVPGSLSSTRILRARGGSSSKKLLPNIPRSKPSIRAKIIISSCNEFTFHFVPFCSFGNTKFIA</t>
  </si>
  <si>
    <t>GC_00004077</t>
  </si>
  <si>
    <t>MPSHVGVWELPRRSPCLLTVRRAVRAWWEGADAAGVAGGRGSVAVGVSGGADSLALLLGVLAEVGPDAGGVPVDAVVVDHGLQPGSGGVARRVAGVCEQLGARAVVLRAVIDDAAVARVGVEAAARAGRFGAFADAGFGRVLVGHTADDQAETFVLSASRGFCSPMRPVSVVGGVEVVRPLLSVRRSDTRGACVEVGVPVWEDPHNSDERFERVRVRRRVMPFVEVGAVALAADDVAEDAALLDELADAVFDAVVCDVLRDDVAVVAGGAASLSVKVLEGQPVPIVRRVVARWLRLVGANPTGGSIRAVVQLIVAWSGQGAVAVRRADGGVGGGRLEVRRRGGKLEVDRTGLNLG</t>
  </si>
  <si>
    <t>GC_00004078</t>
  </si>
  <si>
    <t>MNKLTARRLGAFIASAACVVMVPVVGTGTAHAAGCGEFDWGFRQSFRNYLRGPIANGKWELDGVGFKGSEKGADGAFIFEPSSIEKDSATSGTINLGGSVHFLGHKHGEWLLDMDMSDFKIKVDGNTAKIQLDYKSYTSDMDFSNLVKGTPISGDDVTIANIALNNTPNFDGEIDLSGNVTLTSEGNDLFLGQYGSGGQMDPASGKVNAKGQCTGSSSGGGSGSGSGGGSNNDAKEMKINDNDHPLIKSIKEMNNSMFATNQTMLTGGALIDNSEKFASKAFPNSGGNSNGGSGNSNGGNSGGTTSGASGRGASGASGNGASGDANGGASGAAGGGSGAAAGAASGRGAAGTSRSAGAAQAGQAATCDAEGSKGVEQATAAWGVKKSFQTYISGSIAKGKWDLDSVGFGDGAFQWSGSQGAVDTDAKSGTVYFPGSIHFTGHHGILDMTIANLEIQFEGNSGSLIADVNSNDMEGNNTDYGRVTLANLQFSNLTVGNTSVSGSTSSVALSAAGASAFADFYEPGIELDPLSFNATLGGSADCATGQGGSGAGGGSGAKSGAAASSAKNAAAKMGKDGASSNEGGSEFSNNGGGNFKIKSTSEEGSKQPLGFTETLLLMIAAFVVAGGALGSFVFRNPAGR</t>
  </si>
  <si>
    <t>GC_00004079</t>
  </si>
  <si>
    <t>MRKRVTGAGGAGSHEHARSVITRFVSPCQLYMELNPVSKISREGAQQRH</t>
  </si>
  <si>
    <t>GC_00004080</t>
  </si>
  <si>
    <t>MINGFVPAAMASEFDIDGNVNLDRLTIVLSDSAPEGAVNHSTDSRVVARESEYLCAQMASHFTAMSKEGIVDFESVVVFDVHVTPGGSDALLRRTAVAYVTVTFYCRYF</t>
  </si>
  <si>
    <t>GC_00004081</t>
  </si>
  <si>
    <t>MKPSIQSDPKGLRYKVMIGDDHLHFIFTYDSDTDAWNCFSLTAAPILLRIPDNEISKANLITAYDLLTKDKTLRRTLNLHPENFIVSYKKILDRTPDTEKQSFRNIATGTVIELITGADLNPLRRRELLSMAKELNEWLLSYEPENSIFLINQWQILHRNGLLTPELEKKVRALKRSLSNKDIHREIACAILLGQVEETQYLMEQLPQEGHEIKSWPIYYLFEHQETYKIPDLNKNPAWPAFLDSALREEKQ</t>
  </si>
  <si>
    <t>GC_00004082</t>
  </si>
  <si>
    <t>PF01934.22</t>
  </si>
  <si>
    <t>Ribonuclease HepT-like</t>
  </si>
  <si>
    <t>COG2361</t>
  </si>
  <si>
    <t>HEPN domain protein, predicted toxin of MNT-HEPN system (HEPN) (PUBMED:26112399)</t>
  </si>
  <si>
    <t>MKSPVPYIEMAVEAGKRVLQYTPETEDEFQRSLIMQDAICMRLQEMGENLSKIRQQFPDFYQAHHSDDWHRLIGMRNAISHGYGEIDMHIVWRIVSTELQQVVDALARLNHSEHA</t>
  </si>
  <si>
    <t>GC_00004083</t>
  </si>
  <si>
    <t>MAYQTLVLHLLVSAPCDVPAEDLAVVRKAISQWNLNVGKIFGLTVLPVSWSEHAVAEFGERPQAILNDQIVEESDMAVALFYDRLGTPTGEAESGTAEEIDVLEQKGKAVGVLVNVSPRPPLSGAALAERQRLDSYIDELRKRALIFEYGEASGLMGHVNSFLSRAASKFQQNVEQSKQEDIQQASNSIEKDPDPSEGVWPRAEVREEIKTDGKGRTRRERKWTLVLENTSHGPVSDVDFTFEKIEEGALFRVLHHDGPISSMSPGGKVNFPLLLGWGSPKSVECVVTWTDIKGVRRTTHATVRT</t>
  </si>
  <si>
    <t>GC_00004084</t>
  </si>
  <si>
    <t>MGDPHGFSRMARGRGGGVGVLTLMFGHAAGNLFTRAAPTKCDVLHPLGLLQVALVVVREFRPVRVALLQEGIATFDGFVGHVGKAGGLAGEHLLSHQAIIGEVEGELQHALRCGGLAEDLLGSLDRLVFQIGMIGHNIDRTHALHGLRIIGAPQEEDLAGKFLTHHLCQVCGTIAGVETSDIRISLLKARVLAGCDRHVAHHVQGVPAAGSPTTNYGDDHLRHGADQTLYLKDVQAAAFGLLARDVNSVGSVAVGVAVAAAASDALVAAGAEGPAAVLR</t>
  </si>
  <si>
    <t>GC_00004085</t>
  </si>
  <si>
    <t>MLIAYIDEFGHQDPYISHSHPKFNTHPVFGYGGYIVPDHGVRKLGGYFEHIKETLLKWEIEQAGAHPRRWEKKGSTLLTSKNISKYGSEIQPALHRIFRKLGELDGQVFFFGRQKPIGPVSLTQETSQAREDHCLIETIKRLGRVASQANERLLVVMDATDTPNRERAVATLGRTIYSRKNHDTNNIIEIPIQADSHLYGTIQLADWTCALLGRLSDYHFAESSEFSWSIDLGRKLLKAKGLNFTRNSAIWSNSQARNSSCGPDQLLKTTPFWQIESKRAAKLERQQTRNQQMQQKIIEACSPELRAKLDEIRGSSH</t>
  </si>
  <si>
    <t>GC_00004086</t>
  </si>
  <si>
    <t>MGRDGEKKTVRQRFLGWGHRRSVFILEWLLPVLAVIFIVGAAWCLYLAGHRDYERIAFVLMPTAGGMLTIWVAQGRFIEQQEREDKRQNERLESEAKMHDERLKSESEREHERLTAEAQKDRVQRSITQRIDLAEKLASAIEHLSSENELKQAAGVQEILFQIDDWYALIESEITGIGGDKAKKDSLEQEGLRHRQELFDIAYKFDTENMHVLKSRARGLKQRLREEGPYSLIKLDFSGMVIGCSIPVVGGDVYLDLRGIFANGFVMSNAKMSYVDLSDAHLELVVLESANLESAILHRAHLRSSNLNRANLESADLEGADLRLADLELANLRSADVRNADFKNTLLNAISIKDAKNWNQAKNLDIEM</t>
  </si>
  <si>
    <t>GC_00004087</t>
  </si>
  <si>
    <t>MSRDGTVGGCAASNTVVRGHTTRKGDPLDIQLDLRSIDSVITTITQAYRTPTPPPGLNSYTGLSGLSDLAQLHSAALTSAHGAQEQLGERVTWLAQALGASIEALSGQNLLNAYGLDLDSVPGPNQSVVFPPKPAIHPAHTAFHTPTCSCGGGTIAGIRILIATSRRELAQQASEHWTRIQQQCAEAASQLDKAAQELAGSNHGDVITQACESLAETTQIAQHLSDNAGAMSAWSRKLNDALDKADAVLSGYEEDIAKIAAQEGTGSDNAAAAAAAAQAAESEAVDKFYTVDLPAILAGVTPPKGDMLGVIDGLGKARGGANNLELYSLGGIGGLQSHAAATHAAAAAPTPEQLGVKTSSTATPPSGLSGAGRTMAMSAAGLIVGGVGSVRGGASSRSRTIANPTVLEQLRATGTISTPHNPQNTASGSKAASAAAAPLVAGISGVRGVAQRKRD</t>
  </si>
  <si>
    <t>GC_00004088</t>
  </si>
  <si>
    <t>MSDVEIASKGLSEGKVGMFSAAIIGISCIAPAYTLSGALGPTASAVGDHLPAILLVGFVPMLLVAIGYKELNASMPDSGTTFTWATRAFGPVLGWLGGWGLLAATILVLSNLAGIAVDFFYLMLSQIMHKPEIAELTRNVPINVATCFVFVVIAALISYRGLDTTKSVQYALVGFQFAVLILFSCMALWKAHNGQAWDVMEFSWEWFNPLGVGSFSAFAAGVALSVFIYWGWDVVLTMSEETEGSSSTPGKAATLTILIIVVLYQLIAVATLSYAGVGDGQYGLGNQAIQENIFGELATPIMGGLAILMSLAVLGSSAASLQSTFIGPARTMLAMGFYGALPKKFANISPKFQTPGFATFVAAVVAFAFYAVMRVISEAVLWDTITALGMMVCFYYGMTAFACVWYFRKEWFSSVGSFFAKFLSPLVGGALLLTFFFQTSYDAMDPSYGSGSEIFGVGLVFMLGVTLFALGAISMALTWWKNPAFFRGQTLTRGLPSDKMITVDEVLKLD</t>
  </si>
  <si>
    <t>GC_00004089</t>
  </si>
  <si>
    <t>MEDKQKRKWTYLSLAAEQLETTPGLLMEKADFLGLEIRNQIKGFKGPWVPVNAVRALKLSGGLSTAASEQIYRPCVHSCCNSVGSGPWGLAMCFRHSAKFQSLTRVKARRRRMEFIHDYGFLAVRLMEAFCRGEKLKPNEFARLQARGLLTQSERLTDEGNAIMRVFNILREELVA</t>
  </si>
  <si>
    <t>GC_00004090</t>
  </si>
  <si>
    <t>MNIVTANRRIVATIFAAGILLGAFLDWSAWTQVACGLAALVVVLLPNSERLTRP</t>
  </si>
  <si>
    <t>GC_00004091</t>
  </si>
  <si>
    <t>MALSLGLDPDYEGVAMTNTLDTVRSSRWGPRLTRWVAVGHVGVAGARAPVGGRIYHSNHCCVVCFTYVRCFP</t>
  </si>
  <si>
    <t>GC_00004092</t>
  </si>
  <si>
    <t>MLQRGCVWGLCGVVDVSDEFVLVINNHCSSCALSLCGLDAVDLFGYVSEFCGRSDTWLILIPAVGVLMVDAMTIDVADPATLGSAVDTMIVVSLVLMVTGIVIVVAGVTMIAVIGMIVDGMTGGTGMMTAVSPAMIVILVMIAVIVIIGRVTIGIRVVSVGIPMVMRVGARRVIGIVVIVMGNAEMAIGSAAIHSVQVVAVMRGNVVLVLRGLISVRNAQLNV</t>
  </si>
  <si>
    <t>GC_00004093</t>
  </si>
  <si>
    <t>COG2947</t>
  </si>
  <si>
    <t>Predicted RNA-binding protein, contains EVE domain (EVE) (PDB:1ZCE) (PUBMED:32652237)</t>
  </si>
  <si>
    <t>MVMSSKSEKSVAEEAVKQFHEKRAEVEITSSDVSVDTVARWVEKDIIDISPGFQRRDRWDDERRSRLIESFLINVPVPPVYLINSEPDKPYEVIDGKQRITAIFEFVSNEMPLTGLNVLTKLEGYKFSELNDDLCRTLSVEPAVRVVVVKPRDIPLLKQYDDESERESTVKFEVFHRLNTGGVMLDYQEIRNAIYRGPLNDLLIELAENKYMQTQLKVRENTAGFKVMKDHEYVLRFLYVTSEWKDAKFSEFLRAEELNKFMERYRLATSEDIAEFRSRYNLMQSRAEKLLGETAFRRWNPDTNIWRDQQNIALYDAESVALTELTEGEFQRALDHKDDVIKAIKDLFSNADFNRSISQSTAQIKAVRKRINFILEALRSA</t>
  </si>
  <si>
    <t>GC_00004094</t>
  </si>
  <si>
    <t>MSACGDGGVARALEDGVCSRGARLAVEAFGEFIGGRPMAATGLSFNAVTDGTPVGGTPVGGRLSGLLVAVKDLTAVAGMPLGLGNSGRAFVPAEHSPVVQRLLDAGCVVVGKSATSELGMTAYCEPVVDGVQLREDAPQLLRGRTTGGSSGGAAVAVARGVVPVAHATDGGGSIRVPAAACGLVGFKPEHDTTGGALTADGFITRSVSDQALMHGYQEHPSYVSPPRLRVGLLTAPAHAPGAPVDDAWGAAACEAASRLSAVGHRVVEIEPYGPEFFEAFCAVLTVRARKIPRVVGETAIVSWLRDRGVDAAADWSRTGPLLEVAGSADARVRALVDVDVLLSPSLAHDPPQLGYFSSMAPADDFAAQTAWTPWASTQNLTGRCGISVPCGVLPSPGVSTGTSVLLGSVRVDEPTLLGVAREVFDGEVGLWPID</t>
  </si>
  <si>
    <t>GC_00004095</t>
  </si>
  <si>
    <t>MREPISDAMKNLRNAVNLVRAAFNVVAERLRRVYREIAPIIKQVVNMKHRGITHVGRPSPIDDKYILRHVHIGDLPIRKTPHQYRRGA</t>
  </si>
  <si>
    <t>GC_00004096</t>
  </si>
  <si>
    <t>MFNQMIIGGEKLAGSATTIPTYNPATGEEIAAVGSATLADVDRAVAAARAALNDPDWSGLLPAQRADVLFKIADLIEANADELARLETLDQGQPLGIAQGVSVGGAASHFRYYAGWVTKIEGTVNSISFPETLNYTVREPVGVNALITPWNFPLMILAWKLAPALATGNTVVIKPSEVTPLTSLRLVELCHEAGVPAGVVNIVTGGGDVGAMLSSHMGVDHLSYTGSTAVGKTITKASAESNLKRLTLELGGKAPSIITKHADIDAAVAGNLGGALLNSGQVCAAYTRFFVDKSVEDEFVSKMADAMQSMTIGAGDDPNAQITPLVSEKHAGHVLDIIGRGKGEGAELVTGGNRVDRDGFFVEPTLFRGVTDDMSLAREEIFGPVLSVMAFDGEDDLMSTLARANNTDYGLAASVWTKDIGESQRIARGLRSGAVFINMLPIPDMAAPWGGYKASGWGREMGKWALDCYTEQKTVWMHYG</t>
  </si>
  <si>
    <t>GC_00004097</t>
  </si>
  <si>
    <t>MAQLSTKVARRLDDSKPALLDTVGDRAAAVDKGELSAYYIFEELAARHGFASSSLAARAQLLFDLATRDLSVAFSTWAQLMTLEYLRHGNASAYIQQRISELESGRPGVTGMAAAFKYASGCGDIPLIAEPQPDGAWRVKGRLAWASNLYPNAVIITAAAVRTGIEHEWEGCEHARQGERPQVLIFAVDANAQGVTIGDELSLLGLNSTASSWVDIDIRVRKEQVLSFDFCDFVAAVRPTFLLLQVAECLGVAQAALDGAAPRFVGVNQSLGCEYRTVVESLTRARRHHSELISEVELGASVSKVDLLTLRLEAAELATQASRLETRVAGGAGYARFSPASRRMREAAFLPVQSPSEAQLRWELARAEAAEVSELFSQLLLSSGDHSRGSR</t>
  </si>
  <si>
    <t>GC_00004098</t>
  </si>
  <si>
    <t>MKFRVPFTTTITHTEIIEADNWEDAYDKATAINLPDALKIEFEQDDSWEIDHENIEEVEE</t>
  </si>
  <si>
    <t>GC_00004099</t>
  </si>
  <si>
    <t>MWLIVLWPLAGWLLEVFLMARIPGNHPWFGGATPEGYFPIDWWKTSWQWWQPEMFSRKLDPDTRKRAVEALKNTDPV</t>
  </si>
  <si>
    <t>GC_00004100</t>
  </si>
  <si>
    <t>MLDRWQGSAGWGLILSAPHGSTATIVKRMAIDHTTEVPHSSAGRNARTVVVCPDSFKGSLNSDDVAHAIAAGWRQVCPEDTLILSPMADGGEGTRRAFNTARPEAKVVELAELCGIELYEELDPWHAGTAPFGDALREAILATHQEFQASVAGRKRDQHEQDATENAQQKLGPSEGSRPIVYVGIGSSASTDCGAGMLQALGVSIKDAKGQPIAAGLEGVASAASIDLSPAADVLGALRDVDIHVITDVTAPLLGPRGAVQAFGSQKGLKPVDFDHAEAAIERFADLLLEAFTKHPPACPNVHRHARPDAGAKACDVDLSITTPGVGAAGGVGFALKALGAGLLPGAGHVAEAIGLEEQIARADLVITGEGAFDATSLQGKVPAAVKQIADGHGVPCALVAGAIRDDDAAGVFRAVMNLSELAGSAQESMADTARWCEEAGSRLARCCEVTIYV</t>
  </si>
  <si>
    <t>GC_00004101</t>
  </si>
  <si>
    <t>MEQDNLLREAQKVRAIIQQRGVSVYDSPTNVESDDFFTVVQLEALLKKQLIGRTDLAGLAVRTRSRIAKTLVCEALGYQAPRSFKRVSPRLPHPLIDVYAQQSTNLQIWNEEIDTARRYVILILDDKSITNVRVITGADLAHYDYTGTLTSKYQASRRSENYDSLLVSTSDTAYFTETLKPSDEAILGLPTNQPEVGKVLTIEEVYRRVLPIVGRDFEDPGVVQERNRGAVIHQEVCKQLGMVEFADNGQFPDILSQLIEVKLQLARTVDLGLELPNSNTPLASTNGMFSGRDVRYVIFYADRHNSSFTITHVVVVTGADFFQEHRQFGGLTTNKKLQLRLPTSWFSG</t>
  </si>
  <si>
    <t>GC_00004102</t>
  </si>
  <si>
    <t>MPQTHDLTVKCHGGSLYFDGAVVEFKPRSPLKKASITDVRQWLDELHAGMSDSLRVESDLPTARDGGHVALRAGDQYLSWDFSPNQEHDARAFAAALTRLCPSTTIPGLNFVALDVETANSNYGSVCQIGVVRIVDGAVADSSSWLCTPPEKVNYFDEVNVGIHGITPEAVADAAPFSEVIDEVRTFIGADSVVAHFAQFDTAALREACLYEDVAPLEFSFGCSYVLSTMTDLGQQRNGLKFVAEAVGYDLVNHHDALADAEACAAIIVEVARREDLLHPFDNTNGTTVADMFHRRGVLLGTSASSIQPVLTDRNGTGVVLQRRSLSLSPLPEGARLARTRAPRSRRQHTSSPTSASSSDDSYDPGWGEGPIARRRELTGENPRWAKGAITQQAEFCATHPLQKT</t>
  </si>
  <si>
    <t>GC_00004103</t>
  </si>
  <si>
    <t>MLYPVSLIMKGWHLLFHHVVGLDTSLAWILSIFGLIVTVRSIIVPLSWIQYRSSRQQVNLRPVLKEIDDRYKHREDAEAGQAREDERRAAYKDNKVNMYAGCFPALVQMPFFIGLYQVLIKMARPQDGLDSATHMPIGFLNSNDVETFLNTRIFGVPMPAYVVMSPEQMEHLGTSRDAVFHFVLPMVIAAAIFTTINMLFSLYRNTLTMDYESPSGIGIFRFAVVLSLIAPLFPLIFGLTGPAPAAIVMYWFANNFWTMAQQLLIARRIDRLMPLSDGFVAMREKAKADYKKRRRAKRHVKWTRRRNRLSILGAAATLRFHRIGELRSHNQQVVEEWKRAKQERKQERKEQAKRFRAASKAASEAKRKKKEEEKAAKQSESEESGS</t>
  </si>
  <si>
    <t>GC_00004104</t>
  </si>
  <si>
    <t>MIFLATVFIQKRHPYTKGLLSIEQNCGILTSNTCKKRIFHAYHL</t>
  </si>
  <si>
    <t>GC_00004105</t>
  </si>
  <si>
    <t>MNELLQIGETSITDTTARVVIIAVLTLCVMFTARALYHRKHAKIRHRTLAALAVSVAFTFVVWLVMDVWWHPFPEEVPWFIYVSGGLAAFVLFSAIVQTRRRKTGVIIAVIAVAFAWGLSNTVYKQFPTVRSLVPEPKTVAMDYAQFKQQKDVPTLHGREVGALVTVDIEAPVSGFHHRDAVAYFPPAYFAEPDKDLPVVVLMAGNPGTPMQWFRAGGAEQTLDDYQTEHKGVAPIVISVDATGSLSANPICVDGPEAKVQTYLAVDVPAQIKSKFRVNPDQSRWTIGGLSYGGTCALQVITNAPEAYGTFLDFSGQAEPTIGDHTKTVEQFFGGDEAAFQAVNPEHLLQHAAQLVAQGQPSPYAHIDGRFIAGSEDKDSVEALKHLNELAQAAGMHTTFATVGGGHSYQTWREAFREVMNFLAQRENLQ</t>
  </si>
  <si>
    <t>GC_00004106</t>
  </si>
  <si>
    <t>MAGVLCTLDQVNVAIVLALALVQLFMLLLLVRIVIEMAESFSRQFRPPRWFVMIAEPIFKITDPPMRFVRRIIPPIRLGGVGLDLSVMVIFFVCSLVLMLLPAAIH</t>
  </si>
  <si>
    <t>GC_00004107</t>
  </si>
  <si>
    <t>MVMDAVKAMLIDGWSFIFTYSLDCVINFQSKVFLIIGDVKFAYGRARKSAIFELEHRKIFMQAFALAPYPDAQQKDPNHIWLGSLLRRIGDLNP</t>
  </si>
  <si>
    <t>GC_00004108</t>
  </si>
  <si>
    <t>MAEKLYEPIHPGEVLMEDFIKGFGITQHKLAVDIEVPPRRINEIVHGKRAITADTALRLGRYFGIESQFWLNLQSRYDLEKAQSAAAEQLDKIVPIVAA</t>
  </si>
  <si>
    <t>GC_00004109</t>
  </si>
  <si>
    <t>MLIRTEEYEISVNDTFAMLVMLLLHCVSPLERKATFEAIAKAFHPVLGGNPDLAVEIAKAFFDALNENEIAHRVGKRYMESAVKHGICKRR</t>
  </si>
  <si>
    <t>GC_00004110</t>
  </si>
  <si>
    <t>MAEQKTNLQLTPDRGPLLLSIIVGLSVICTVVMLFSGSTGAMKIAVILALWAAILGLILVASYRRRFEFERERLRSEKARFVAELEKEQIAHREQELLLEQRYLDNLRASQDETLAAIRAQLDAVRGQIEALTGTVMSFETPAISALWAPPQELEATRNAEQAEDSQEPVEAEPVTGEFEATGTKSDSDQGGSHFDTSSFAKVSWVSPKDDSADHTTAVRTEPKPEPKPEPKTEPKPEPKPEPEAPVQARTEVKAEAQSAPHAQEDKARGGRRRRDEHQGGLSVAELLKRSQGNS</t>
  </si>
  <si>
    <t>GC_00004111</t>
  </si>
  <si>
    <t>MKDSNNPDRASVSSMTVREVAQFFIKEGSEEDFKQGWERGIVHILESEGVHRAELTQGVETPTWFVLLIEWESLDAHQKFRDSEKLGKWRGEITEYFAKPPHVEHVVQVATRTP</t>
  </si>
  <si>
    <t>GC_00004112</t>
  </si>
  <si>
    <t>MTGGRFRCLKQRRQVVTGRTWGGCFEVLDQIAMAGRLPELESLRGHIILLEAAESLTPPDQIMRRVRALGEWGIYDVASAVVVASPPVSSLEVVPSEPQQDADWQAQCDVIFEQLEYYNPALPAVFGVPFGHTRPQWVLPYGGQLTVDSEKRKIWADYSR</t>
  </si>
  <si>
    <t>GC_00004113</t>
  </si>
  <si>
    <t>MSDMWEFTLQALEKYAGGKKITQTQTQLLLDRGLIDHGGTITDTGHKALARAWGMVEA</t>
  </si>
  <si>
    <t>GC_00004114</t>
  </si>
  <si>
    <t>MKLGEAFLMALGSLKRNGLRSLLTLLGVIIGIAAVITILTLGAAASQKMINSINSIGGSDFQVAVEARPKEGQGDNEGNPNTNFYMDSATIPDSSRITPEMVDKLRLRFGDDLYGVTVAGFGGFSGQAVDPNAFDALSADPIDLSVTGVGPDYFKMNDKHVEFGREITQEDIDSEANVTVISHEVFTKMYDSDPQRALGSSIQFDGPFGTELFTVVGVTAGSSGGMFSFDFDELFAPYTVVNKYKNEANAWPSIGVRPAPGVDSEEFGKKLQRFFDAMYEDDAAAQVKVRDSKSELQTLQKILTMISVVISSIAGISLLVGGIGIMNIMLVTVTERTSEIGIRKAVGATTRDIRVQFVVEAMIICLMGGIIGIIIGTVFGVGGAMVMKEFVLPPVWGIIASLLISLLIGVFFGFYPANKAAKLNPIDALRHE</t>
  </si>
  <si>
    <t>GC_00004115</t>
  </si>
  <si>
    <t>K00626</t>
  </si>
  <si>
    <t>acetyl-CoA C-acetyltransferase [EC:2.3.1.9]</t>
  </si>
  <si>
    <t>M00373|M00375|M00374|M00088|M00957|M00095|M00849</t>
  </si>
  <si>
    <t>Ethylmalonyl pathway|Hydroxypropionate-hydroxybutylate cycle|Dicarboxylate-hydroxybutyrate cycle|Ketone body biosynthesis, acetyl-CoA =&gt; acetoacetate/3-hydroxybutyrate/acetone|Lysine degradation, bacteria, L-lysine =&gt; glutarate =&gt; succinate/acetyl-CoA|C5 isoprenoid biosynthesis, mevalonate pathway|C5 isoprenoid biosynthesis, mevalonate pathway, archaea</t>
  </si>
  <si>
    <t>Pathway modules; Carbohydrate metabolism; Other carbohydrate metabolism|Pathway modules; Energy metabolism; Carbon fixation|Pathway modules; Energy metabolism; Carbon fixation|Pathway modules; Lipid metabolism; Lipid metabolism|Pathway modules; Amino acid metabolism; Lysine metabolism|Pathway modules; Biosynthesis of terpenoids and polyketides; Terpenoid backbone biosynthesis|Pathway modules; Biosynthesis of terpenoids and polyketides; Terpenoid backbone biosynthesis</t>
  </si>
  <si>
    <t>KEGG Orthology (KO)&gt;&gt;&gt;09100 Metabolism&gt;&gt;&gt;09101 Carbohydrate metabolism&gt;&gt;&gt;00620 Pyruvate metabolism [PATH:ko00620]|KEGG Orthology (KO)&gt;&gt;&gt;09100 Metabolism&gt;&gt;&gt;09101 Carbohydrate metabolism&gt;&gt;&gt;00630 Glyoxylate and dicarboxylate metabolism [PATH:ko00630]|KEGG Orthology (KO)&gt;&gt;&gt;09100 Metabolism&gt;&gt;&gt;09101 Carbohydrate metabolism&gt;&gt;&gt;00650 Butanoate metabolism [PATH:ko00650]|KEGG Orthology (KO)&gt;&gt;&gt;09100 Metabolism&gt;&gt;&gt;09102 Energy metabolism&gt;&gt;&gt;00720 Other carbon fixation pathways [PATH:ko00720]|KEGG Orthology (KO)&gt;&gt;&gt;09100 Metabolism&gt;&gt;&gt;09103 Lipid metabolism&gt;&gt;&gt;00071 Fatty acid degradation [PATH:ko00071]|KEGG Orthology (KO)&gt;&gt;&gt;09100 Metabolism&gt;&gt;&gt;09105 Amino acid metabolism&gt;&gt;&gt;00280 Valine, leucine and isoleucine degradation [PATH:ko00280]|KEGG Orthology (KO)&gt;&gt;&gt;09100 Metabolism&gt;&gt;&gt;09105 Amino acid metabolism&gt;&gt;&gt;00310 Lysine degradation [PATH:ko00310]|KEGG Orthology (KO)&gt;&gt;&gt;09100 Metabolism&gt;&gt;&gt;09105 Amino acid metabolism&gt;&gt;&gt;00380 Tryptophan metabolism [PATH:ko00380]|KEGG Orthology (KO)&gt;&gt;&gt;09100 Metabolism&gt;&gt;&gt;09109 Metabolism of terpenoids and polyketides&gt;&gt;&gt;00900 Terpenoid backbone biosynthesis [PATH:ko00900]|KEGG Orthology (KO)&gt;&gt;&gt;09100 Metabolism&gt;&gt;&gt;09111 Xenobiotics biodegradation and metabolism&gt;&gt;&gt;00362 Benzoate degradation [PATH:ko00362]|KEGG Orthology (KO)&gt;&gt;&gt;09130 Environmental Information Processing&gt;&gt;&gt;09132 Signal transduction&gt;&gt;&gt;02020 Two-component system [PATH:ko02020]|Enzymes&gt;&gt;&gt;2. Transferases&gt;&gt;&gt;2.3  Acyltransferases&gt;&gt;&gt;2.3.1  Transferring groups other than aminoacyl groups&gt;&gt;&gt;2.3.1.9  acetyl-CoA C-acetyltransferase|Exosome&gt;&gt;&gt;Exosomal proteins&gt;&gt;&gt;Exosomal proteins of other body fluids (saliva and urine)</t>
  </si>
  <si>
    <t>MTPPQEHNSTPRDVIIVGAARTPRDVIIVGAARTPIGRLLGALSSVPATELGSTAIARALEQAHVDPTEVNAVIMGQVLQAGAGQNPTKQAALGAGIPRKAHTVTVNKVCLSGLTAIIDAARMLRLGDAEVVVAGGMESMSQAPHLLKGSRSGTKYGATQLADHMEVDGLSDAGTGISMGVLTEEYLDTYPVDASERDSCVVDSHNNAASGWERGVFDQEIAPVTVRGRKGDTIVERDEGIREGMTVEALQKLRPAFNPDGVLTAAHASQISDGAAAVVMCTRAYADEHGLQPLAVLRAHGQVAGPDASLQAQPGNAINQALSRQGWLAEDLDMIEINEAFADVVVHSGRMLGALGRGGVINPDGGAIAMGHPIGASGARLAVHAAHALNSGRATRAGIGLCGGGGQGEALLLEAP</t>
  </si>
  <si>
    <t>GC_00004116</t>
  </si>
  <si>
    <t>MLYLLAGPLRREILNYRMHADEGKIPEIDEHTQPIHPTEAPNAVATDKVHD</t>
  </si>
  <si>
    <t>GC_00004117</t>
  </si>
  <si>
    <t>MSALVTMPKPKRDLREVFDALDNEGRAIGAKVAAPDRPVICLLGDGALMFAIQKIMTAVENNLDLPIICVDSGGYGEICNNEIERGIEPIAVNLCQPDWVKLAEAFGARGFSAKH</t>
  </si>
  <si>
    <t>GC_00004118</t>
  </si>
  <si>
    <t>MPAPLNKPANEPTHKAAYSPLRSLCDHPQLQAPIDAVLTKTAATQRRPIILRRSAEISAEALIRSALTAHRLYPTTATQQTCLSAYSLLTPSHILSTTTTFSRAPLQILLSADTLLGGTGTPHVDATERIHALSSLITHCHNSPADHAPVLAAIAHAEITNSNAFGPRSPLIGLLASRLVATTFGLDPHALFVPELYWVRHRDELHQQIKDFNANPRGVITWVESSLQSWTVGAEEASGIIQQF</t>
  </si>
  <si>
    <t>GC_00004119</t>
  </si>
  <si>
    <t>MLVALIEGLPEDSYLQRVMNDGKPWTTMHAIMWQILHQEAVNNVNWAAKLSGKKQDYPDWPEDPWDKTNKTKQKHHGLVERGDEEAAVNYLMGLSVRG</t>
  </si>
  <si>
    <t>GC_00004120</t>
  </si>
  <si>
    <t>MGVVGRGPRVGAMLDRIRPYVQPTGEEDLLFLQRPVRRRLRVGWRAAVGAALLLLVLVGWTWWRVHAWGEPVEVGSTESVAFVEGSGGGAEGEPGGELVVSVAGAVVHPGVIRVPAGSRVADVVEQAGLLPEADAVGLNLARKVADEEHIIVPTAGGQGAADGPPDSTSVGGAVVDSRISINTASVEELTGLPGVGIKTAEVIVSHRSEHGSFQSLEALMDVKGIGPSKFEALKDSIRL</t>
  </si>
  <si>
    <t>GC_00004121</t>
  </si>
  <si>
    <t>MTRATVSGVSVPTQILLAGKGVDSSDEATFDVHDPATEEVIATIADATVDDGVRALDKAVEAQEQWAEFTPRQKAEVLRAIFDEVTKRTDDFARVMTTEMGKPFAEAQGEVAYGTEYFRWFSEEAVRFPGRFGGAPAGVGTIAVTRRPVGPVLAITPWNFPLAMATRKIAPALAAGCPIVVKPAHETPLTMLLLGEVIAEVFDRFNAPQGLVSIVPTTHASDMSSTLMADSRLRKVTFTGSTPVGKVLVKQSADNLLRTSMELGGNAPFVIAADADLDLVLTCAMQAKMRNGGEACIAANRFLVDSSIAEEFTRRLTEAMEGVVMGHGLEEGTTLGPVITAKQRDRIAELVKDALDRGAVATVGGEVPEGPGYFYPATVLKDVPADAKILTEEIFGPVATVSVFDDLDEGIRRANDTPFGLAAYGFSSNTDTARKLAQGLRAGMIGINRGAISDPAAPFGGIKQSGFGREGGTEGIEEYLDTVYLALQ</t>
  </si>
  <si>
    <t>GC_00004122</t>
  </si>
  <si>
    <t>MTGKTSLKPIYSHAVIITNLGIDSPVAASKLQAEILKESAVGAVKNMSWVKAPVLIGRGTPVLGLH</t>
  </si>
  <si>
    <t>GC_00004123</t>
  </si>
  <si>
    <t>MSKQHEEHVAHDTVADDATDTTQRPKGYTPPKGKPTPKRDRPHRGNTTPPMTRAEAKQRKKELKASMSKEEYKALQRKEREEASAERRRVQEAMARGDERYLLERDKGPVRAYLRDWVDARRFLANFLMPAALALLVLMLIANSNPNVAGPISMFTMALMLAFLIEGVILGRRAVKAARAKFGDLDAGGFTLGYYAYSRANQPRRWRTPMPRVEIGDKV</t>
  </si>
  <si>
    <t>GC_00004124</t>
  </si>
  <si>
    <t>MVDWLGVRASRVGLVALLSAGTVGLVPPAPPATAATPAPRSTAPDTSGCPHRERPEAAADTSEVVAPGSSTPTPPPAPSKPAGGQKMAECGIVAEDGFVVPDILASAWIVYDLDSGEVFATKDPHGRYRPASVIKGLLALEVAERLKLDDPAPVSLDSAEAEGSAVGIHPEGTYTVRDLLNGLLLASGNDAAHALAQLLGGDADTLKAINARARSLGTQDTYAATYSGLDAPGMQTSAYDLALIYQQVFSNEVLLPIFATDHVDFPGWGDRPGYELWNDNGLLYNTEGGFAGKTGYTDDARHTFAGAVERDGRRIAAIVLDTTVDKGRAWEQAEALIDAAYATPEGSEPVGSVRNSLKPADGQDSVREVTSPTRDADAHSTGLGSGVVTGTLALSLTALAVLVVAGVAFAVRRR</t>
  </si>
  <si>
    <t>GC_00004125</t>
  </si>
  <si>
    <t>MSIWTGRSDGPRWHHIVTDSGDSTVGIVGFASDEGVRRNHGRPGASEGPTALRQALAPLAVHGQLSVVDHGDVTVGGTDLEQGHQELAAAVAASVSSHPVTFVLGGGHETAYGSHCGLRHGLNDDAARDSRTNESSRSPRVGVINLDAHFDLRRAEEATSGTPFLQICEQFDCGPDYLVVGVSRPNNTQELFDEAGRLGATYVEDWQIDQADSVVANFLESHDVIHLSIDLDVLPAGVAPGVSAPAGLGVDLATIRALACQVAASGKLRLVDVVELNPGFDVDGRTAKVAARLLWDIAAIVAG</t>
  </si>
  <si>
    <t>GC_00004126</t>
  </si>
  <si>
    <t>MYATYIDLFKDIDKLTDALHTARANITAPTTPPEVHTRAPYGPKPPCNLHWLNTTIEAEGSLKELTTALAELLDAPPPRHRHTTWLYHKAGDIVDNKEANQLAHEDLSTITHSLQPPTPTTDTTPPTTWEAEHSILHKLKRLGYTTTSKELHTLATRGHIEQAWTHKGKHYKLAQVVDYLTQTT</t>
  </si>
  <si>
    <t>GC_00004127</t>
  </si>
  <si>
    <t>MIKHRNGGVEYVAEGFIIHDVAGCAEDGDLAVVHGADVVGVGGGEVDVVEDGDGEAGDEVVFLPQDGDDFG</t>
  </si>
  <si>
    <t>GC_00004128</t>
  </si>
  <si>
    <t>MRFSAASALLVTPLVLLGAVTACSNDTAEDSPAASDSSSSTAADSPAKASNKSEDSQHPKLSATGLGDIALGDKARDVIKKHDLKEPKPAKEPVCADELCPPEGTLTSTTFGGFTLFFVDDALVRIEADSDDAATDSGIHIGSPLSEVDAALPDPSWTLMLDQPTRLYANDNSTLLVQTNEDSVTGIALIPAILKAEGNNNPPTLFQPEALGGGSYVNVSDMPVAQPGAVSKLAQQADGQEEGHRTFFYTVTPFNRAGQVSTDWTLTSAMESAPVVCSRNTGISGVPADMLVCGQKNNPASNMACVDNAPNAVTCIKNAATGELQQLPFSGEFIDSTAPNPGPFDPYQLASKVDGRWVGVNSASGGKLKWLDSRGYPAVNKVDATWTLPVEGGADLPIDRAVWVEWAD</t>
  </si>
  <si>
    <t>GC_00004129</t>
  </si>
  <si>
    <t>MQSNKRTDLTPGWCGDLPVRYYHSQGSGPVTVVFIHGFTLTAQSYFQQVDFLHYRYPEVSCLLLDLRGHGDSGEIEPELCTLDATADDVASAIRTAAPTGPLVIVGHSLGGMTALNFLRRYRDLAARVRGVILISTAVESLSSQGVPQVLALPAAEKIHNAVEASLKEAQAFRTEVAALLAPALAATVFYRDGVAYDLVQFHAAMIQNTPLKTMVGFFDDLQHHEELEAIDKLNEVPGVVIVGEEDHFTPPSQSEVIADAWGKSTLYRLADVGHMVILEAPEIVNGALEQMIRRATPQQQTQN</t>
  </si>
  <si>
    <t>GC_00004130</t>
  </si>
  <si>
    <t>MVFQIRHPKPPGAGAPAKGKPCLSNPLPHPPRPSGAEGAHHTRAAKVLSMVFIFTAPNPLGIHPAKNQKPCLSELLPHRDATATPGRPQQPHTAHLLSLDFREMLHNNPPTRPETMLRTFTAQPGKASATLLSHTTGAANLISMVFQIRHPKPPGAGAPAKGKPCLAFLLPT</t>
  </si>
  <si>
    <t>GC_00004131</t>
  </si>
  <si>
    <t>K24986</t>
  </si>
  <si>
    <t>putative riboflavin transport system permease protein</t>
  </si>
  <si>
    <t>Transporters&gt;&gt;&gt;ABC transporters, prokaryotic type&gt;&gt;&gt;Mineral and organic ion transporters&gt;&gt;&gt;Riboflavin transporter</t>
  </si>
  <si>
    <t>MLSTGINQVSRRNDPARAFAVVGGVTVLLVAWFLTAAALHNPALLPSPVSVAARLVRDSHNPLFWHAFGSTVTEASLGCLLGVVAALPLAYVIYKSWVLDAAFGPIIAVSQAIPSVAVAPLLVIWIGYGTFAIAVLCSLIVFFPILVTAVLGLKSLPRDVIEAARLDGAHGVSLLRHIEAPLALPALLAGLRTGVTLSVIGAVVGEFVMGGSGLGSRLSLQSAAADMTGLFATVTVLCLMAALAFQTIALVERTNPIMRALAQGK</t>
  </si>
  <si>
    <t>GC_00004132</t>
  </si>
  <si>
    <t>MLRPLLAMLAAGLATFNSLYATQAILPVLADYFSLTPSQASWTVSAATGALALAIVPASVLSEQFGRGRVIIVSAVCSTVVGLLLPWAPSAWWLIIGRGIQGVFLAGVPAVAMTWLSEELSARQLSRAMGVYVAGTSIGGLSGRLIPSGILELFTMNPSWGSGVAPWRVAMAASAAFAFVCALLIAMILPPQKNFHPKRLTLGGEFRAMASHWANRQLALLFFLGFVLMGSFVSMYNFIGFRLTQEFGLSEGVVGAIFLLYLAGTFTSARAGRWPPARALLLSSMAYVLSTVVIQSHHLALVVAGLLGFTAAFFAAHAIASSWVGKLATHDRAEASSTYLLCYYAGSSLLGWSHWSTWLVVASVVIAAALFPGLSRLASVE</t>
  </si>
  <si>
    <t>GC_00004133</t>
  </si>
  <si>
    <t>MPPRKTEPELIGVKDAAALVSVHPATIRRWISQGVLKSYWRGRTVRLRREEVLGIFREGL</t>
  </si>
  <si>
    <t>GC_00004134</t>
  </si>
  <si>
    <t>MTVSPADTHEAFKTTLLEMTSEILRIELDGFVAVSTMTRPDKRNALNEAACNALADLLEAIGQHDEQHPVDPPVRAVLIRGEGPAFCAGADLSGSVYGDTFHAALHRMLRAVVHCPYPVIADVQGPAVGAGTQLSLACDLRVVGERGWFMVPPAKLGFALDNWTLRRSEHLLGGAWTRSVMLSGARVDQQQARISGFASEVGDADQALSFAHDVASAAPLSVKHLKSVLNRTDYGFEFADPEHQQGYEECWASQDAADARRARAEKRPAVFRGM</t>
  </si>
  <si>
    <t>GC_00004135</t>
  </si>
  <si>
    <t>MTSHSYSTMQEIDQTLARILRRVRQMEARVANDQIAVRVYPRTRIPGPLSYARMSTGRLAMSAFAGAAVYHWSCQEQNTFKQELQSRGFKKSLDTWHGEEVAGEGGLATPRFDFLAEHIVWLTNNTLDNLAGAIDEVIVSGDSHVLMAMSPSELIDDMRLAGMDTEAIMAFEEGVGTSTVSPTEQIDIQIATYATKQEDSTLAYEESNEHGMIFQ</t>
  </si>
  <si>
    <t>GC_00004136</t>
  </si>
  <si>
    <t>MVYGGVVRVAPGRFPRVAPNGECPWEVVAVSVWSRLFHSKDVELITDARRSPYDNWLHRKRVYNILQGLRIPFLLLSALTYLVLHSVWLSAVLFVVSVPLPWIAVVIANGAGEPQDSRAPKVYKPQVAREACQGGLAVDSGSRAMGVLGTSVQAGGTQDASASVCNGDDAAGDDEAIIIDHDDDGGLEAGS</t>
  </si>
  <si>
    <t>GC_00004137</t>
  </si>
  <si>
    <t>PF06414.18</t>
  </si>
  <si>
    <t>Zeta toxin</t>
  </si>
  <si>
    <t>K16214</t>
  </si>
  <si>
    <t>UDP-N-acetylglucosamine kinase [EC:2.7.1.176]</t>
  </si>
  <si>
    <t>Enzymes&gt;&gt;&gt;2. Transferases&gt;&gt;&gt;2.7  Transferring phosphorus-containing groups&gt;&gt;&gt;2.7.1  Phosphotransferases with an alcohol group as acceptor&gt;&gt;&gt;2.7.1.176  UDP-N-acetylglucosamine kinase|Prokaryotic defense system&gt;&gt;&gt;Toxin-antitoxin system (TA system)&gt;&gt;&gt;Type II TA system&gt;&gt;&gt;PezT-PezA</t>
  </si>
  <si>
    <t>MTNLTAQDFPVSIEQQKHILQRYLQIAIRGKKLQPHDVPQVAFIGGQPGSGKSRTINNVLKSMGDGLAIDSDELRLLHPDIARISQLDPLRMDVLSNGPVGEWTKALITYIREQRFNVIIESTFARSEIMAAEAKNFERAGYQCSFIALAVPESVSRLGIVNRYRAAVQGGNIPRWTSEVSHTNAYAGIKTTVQELLSLGTTPEVTIASRFGDQNILVESPDQAADAITHIREDFFTKENISWWRDTYAQAVDFVLQNGLVTDYSHTLLTNLAKDAEELLGKDMPANHEAFHVALKDVNKT</t>
  </si>
  <si>
    <t>GC_00004138</t>
  </si>
  <si>
    <t>MVLLSKLNNLFPKFYSCGLPCGLVNENCLITKKPPSLI</t>
  </si>
  <si>
    <t>GC_00004139</t>
  </si>
  <si>
    <t>MGDAARAHDSDLDQAPRTPLEVVKQDTEREMSYLDAFDEVYERYKDVFKRLA</t>
  </si>
  <si>
    <t>GC_00004140</t>
  </si>
  <si>
    <t>MKLQEISLPNSPYKLVIAEHSKKGLMVDAYLACTAMGLRWRQQAPKLNLVFDPEPNFDAEWVTREEFSRWLDGIKVGQVKEENRATVELYRDWHGIAIDKFLADKTPAPMEGTLDFSPAPRELTRLEILQMALQAEEERLQLEEQQATTTDIGTVAEQLINLAKELKGGGDVTG</t>
  </si>
  <si>
    <t>GC_00004141</t>
  </si>
  <si>
    <t>K00571</t>
  </si>
  <si>
    <t>site-specific DNA-methyltransferase (adenine-specific) [EC:2.1.1.72]</t>
  </si>
  <si>
    <t>MIKVIHGDTLKVLPTLDTDSVDAVITDPPYSSGGLHSTNRKQSTGQKYMRVQENYVDFSGDNRDQRSFLLWFNLWLTEALRITKPGGIIAVFTDWRQLPSVTDALQVGGVVWRGIVPWHKPNGRRCKGRYANMCEYVVWGTNGARPLEGGALGGFWQQSTPAKAKRFHMTEKPVELMEFLLGLVPEGGTVLDPFAGSGSTLVAAQNLGLNAIGVEALAHNVQITKDRLAANEQTLWAKHAEVVKEGEDNEDHSV</t>
  </si>
  <si>
    <t>GC_00004142</t>
  </si>
  <si>
    <t>MKPIVKCPCAYASNAGHDRDNLTAAHDRGIEASRLVPPCVRVVFALVAQWIEHGSPKAGVGGSIPLWGTFL</t>
  </si>
  <si>
    <t>GC_00004143</t>
  </si>
  <si>
    <t>MKIHVPLELRWSDQDANNHVNNVTIVTLLEEVRVRAPKDITDGLRVVRTLEVRYDGELTYGQPVDGYAWISKVDNTSYEVSHELVQNQEVKVFATTIIVALDPDTRRPTPVKGLTDGLP</t>
  </si>
  <si>
    <t>GC_00004144</t>
  </si>
  <si>
    <t>MLCRQLLGRRLIVGEVVNQRCGPHCWVIVAVGGVVQLDEQRLDVVVLGLSWQVCGYIAERQRGGNTAKPTDVRRLDKGAVVVVPGFDGFEAHVGKDFIEVNYEGESARITDGKVDFS</t>
  </si>
  <si>
    <t>GC_00004145</t>
  </si>
  <si>
    <t>MASIDRLARSLVDLRGLIDEITGKGAAVEFLSEGLTFSPGVSDPRSTLLLGVLGSFAEFERAIFRERQAEGIALAKKAGKYKGRQRVLTREQADSIRERARAGARPTKLAKEYGVSRSTVYRALAREENS</t>
  </si>
  <si>
    <t>GC_00004146</t>
  </si>
  <si>
    <t>MSIIADGRVTLRPMEASDVALRQRAMDSNNDLRDRSFSEEEVAGFTSFVPQRGDYGVVALSGDDVAGVAWVTFGLAHGRSASAQRMPDLVTYVDEAFSDRGIGSELAGVIVQHAREVGLPGVRIAIEETNPARRYYARKGFESTEAETMVLYVRAPISRVAVYCGSARGARGDYWDMAETLGQQLADRGIELVYGGGGVGLMGAVGTAVVDAGGVAYGVMPRELVDREMAHPRLTRLEVVESMAERKTRMEELADAFIALPGGVGTLEEFFQAFTGQTLGQHQKPLALINASGFYQPLVDALQRMVDEGFIQQKYLDSLIVESTIDAVFERLEAWRAPGTKWD</t>
  </si>
  <si>
    <t>GC_00004147</t>
  </si>
  <si>
    <t>MTLVLGSGGTAAAAETSGVEVKAAADGKVAGGSAAGGTGGSSNDRVDSAVTHIATGGMIGIITAWALHRSIISITGASVPDGLPVLGVTGDGFPTCDAARRAGLTTPIHQGQPGYSPALDHDKDGIACERGE</t>
  </si>
  <si>
    <t>GC_00004148</t>
  </si>
  <si>
    <t>MSTTRQMEEIVEDYLEHLEMVEGKSPATIRSYRSDLKTMVEIVPDLDHFTLERLRSWLGYAYDAGKARSTLARYTASVKGLSTWLARRSMIPQDVGARLASPKTSNHLPKVLARQGAQALVEAPAAEEEVAQQVGKGRIKEEAKRGRDAAILELLYATGMRVEELCSIDTSDLDELHQQVRVTGKGNKQRVVPYGEVAGRALEQWLGAYRAILADREEKALFVGARGKRINQRQVRALVDRYAHQVGLGHVKPHELRHSAATHLLDGGADLRAVQELLGHACLQTTQIYTHVSVERLRDAFNQAHPRA</t>
  </si>
  <si>
    <t>GC_00004149</t>
  </si>
  <si>
    <t>MKSNIGILLSCAAAGSAVAGGIAFSSMNNDAAPSAEDYHIDVAVRSGFTITSKESSPSSDPLMPPNASAQSSTTSPSRAFSANQEFQPPLLRESAARVAPSVGAGRASTARERTTTKESTTETASHRRPPRSTPGTDTPAAPSRWQEFMNILNSNAALETNVYYGGVQIVRVTDTGLWMLMRTNEYGEPIEIMQSGYNSENPVSLLNFDALDPWEDVDMTPDDTGALPDAVDTLADADTLDTAEVEDTASAEDTDTDAEAVDTVDTVDTEESDSADADTELDTVDTADAVDVDDEVVVELSFTDDDSTTEDSTGTASDDA</t>
  </si>
  <si>
    <t>GC_00004150</t>
  </si>
  <si>
    <t>MSREFEPTEADLAATDAYLDALSRGIDPSDGSDALAAMLLDLRQEVHGDVAAAPVAAVARDHGNGGAQVVDLRSRRVRRAAHSVDDSRRRGRHVGPFVSGLMGAAAATLLIAGGGAAVYNSEPGDALFGMNQALFGDHAAVIELATTLEEANTRNANGDVEGALQLLEQAKAMVADINTKNVEPKKPAEEPRPRATVTETITTTVAPEPAPGEPKSSEAPTPAPTSAAPTVTVTVVPAPGNPAFPVDGNGIEVDEGGSPLPTTNIPVPLNPDAEPGVIVNPKTP</t>
  </si>
  <si>
    <t>GC_00004151</t>
  </si>
  <si>
    <t>MKLKDQVVLQAAILKRLRAEHDACRHALLEEMVPGERLVAATSEGEKLGTVSLTDPKPTAFVADMGTVRALAPAEALVDVFSPGMFVKAMEVVKEHAPELLEHTVANWYVEKLKADTVAAARTGGDVPPGMGVRRGEPNVMVRPSESANREAEAICFNNHLTRELEA</t>
  </si>
  <si>
    <t>GC_00004152</t>
  </si>
  <si>
    <t>MNPCPASFSSGVLDTLAPAEGQLASYEQWLATCPREVICAIVAHQPERTVSQVSTFTQLARCVDRAYPPTLSSLSAAIVEATEQQRLDGLERSGANTPRTFQLDDVAALIVSRADAASLGDNYRPSMAELRSAFVDLIVAGIAWGNPQAFVLSPHVRHSNLNRLSALCVLADVSIPAAGIPQLLEGLSPEERRVVTTLATSGGYGFSRSLDLDAHTPVPSLLRRGVLELAPPVEGRVRLPNTVRAYANGGHLAPLVYPGYTPHAGGPTLKQVDDACVAAALEVVRVAYDVVTIIEQQPVELVASEQVGVRAANALAKTLGLDFEQLADIIGVLQGADLLTVGVPHPEPDYGRFSFLAVTESSQQWIDSDQAARWSLLARGWLASVLSTASLMKTAEEQHQKPKLFAPEHSDPIVVTTKKLLIRVFRHCHQHAETVVTLSLDDIVDVASVLAPGDVPKHPRDAFGNVLREASWLGLVSRHTIDGVEIYAAGSLLLEGVERAAQLFPAPVDYLIAQADHTILAPGPLAPNVQRMLLAFADTESAGVATVFRISPESIARGLERGVSVPEMKTLLETYVVGELPQPLVYALADAERAHGVLRVGAASCFLRCEDPEMLAHAAQAVPSAELRLLAPTVAISTVAPTMLLDLLRNAGFSPAAESLDGEVVDLSVRRFEISDRHTARPAGQFSPPATIDGQHAPLDPAMVDAVVRRIGVEDTPQWQAVCDAEGQQLSGRDVITVVAAASQAKVPVRVEFEHSRGGLQVLQLDTCRILSGALTGVDSQGLPRRVSIDRVAGILVPADSDLKF</t>
  </si>
  <si>
    <t>GC_00004153</t>
  </si>
  <si>
    <t>COG3654</t>
  </si>
  <si>
    <t>Prophage maintenance system killer protein (Doc)</t>
  </si>
  <si>
    <t>MHSADEQFLISLKEVEQLHDSALARDGGMPGLADRPGLLSALGGAFQTFGGHELYPTIQDKAAKVSFEIIKQHPFNDGNKRTAAALPLVVPRRNGVYVLLGRDYLYKTVLDLAADDIEYADLIRPLRGCVRAQK</t>
  </si>
  <si>
    <t>GC_00004154</t>
  </si>
  <si>
    <t>MYLSKLTLKNFRQFSEEDPLEVDFQPGVVALAGPNDSGKTAIIDGIRYLLRTRDQDYQLFQDDDYYISPNNEQANYFTISVIFEDLSCEDRARYLEYLTYPIDSSGTRKTDEDVILQLTLRVEKKKNGNRFWNDAKLYCGSEALVGKIVDSETRNLLACTYLRPLRDAEHEMSSGRNSRLSQVLKQFPSINDGEKIINGYIPTSDNELRELSLSGLSDLLKILINDNNSIKEATDELNQKHLTNLILRNESITGEFTFTTGATDDAKLQQVLEQLDLTLKGSEGQSDRGRFGLGSNNLLFIACELLLIAKGDIGFPLLLVEEPEAHLHPQRQLQLLEYLLEQAEGTSKIQVIISTHSPILTSKVKVENIILVNHGKAHSLAKGKTQLSNNDYSFLSRFLDVTKSNLFFAENLIIVEGDAEELLIPVIAKLIGYDLTKHGISIINVGGVGLRRYSRIFQRKDENAQPVGIRVSNITDRDLIPEAALPILGYEHPKSEEEDKKSTRRWRSESDPKLGKIWGNEESIEEGRENYIRRKKEGDSNFVKTFVSDHWTFEYDLAYAGLAKEVFAAAKLALKDESLHKEDNYCKKREEIRKEAINEFYKLSDARSVPPAVQAYRLFIEGSKASKSIAAQYLGDILYERFTNPDSEKLRDYLPSYIIEAIEFAAGTNTNMHNYKVIE</t>
  </si>
  <si>
    <t>GC_00004155</t>
  </si>
  <si>
    <t>MVCSGRMMNLRGISCLLLMYFSSKCSIVIMLFTDAPIDAPWDVIVQSYMDVMGWSREYAEEYVDVLAGIGMWEPCDRKEKYKDATPPPLSCPLW</t>
  </si>
  <si>
    <t>GC_00004156</t>
  </si>
  <si>
    <t>MRRIKLAIVATCTAVAAAATVTPAYAAEYSLSDDSSLETLSTTINRYGVIEYAKMSVVSIFTLPLTLSLTPFIKPPTPRG</t>
  </si>
  <si>
    <t>GC_00004157</t>
  </si>
  <si>
    <t>K14267</t>
  </si>
  <si>
    <t>N-succinyldiaminopimelate aminotransferase [EC:2.6.1.17]</t>
  </si>
  <si>
    <t>KEGG Orthology (KO)&gt;&gt;&gt;09100 Metabolism&gt;&gt;&gt;09105 Amino acid metabolism&gt;&gt;&gt;00300 Lysine biosynthesis [PATH:ko00300]|Enzymes&gt;&gt;&gt;2. Transferases&gt;&gt;&gt;2.6  Transferring nitrogenous groups&gt;&gt;&gt;2.6.1  Transaminases&gt;&gt;&gt;2.6.1.17  succinyldiaminopimelate transaminase|Amino acid related enzymes&gt;&gt;&gt;Aminotransferase (transaminase)&gt;&gt;&gt;Class I</t>
  </si>
  <si>
    <t>MVVQRLSHLGETIFSTMTQLAIKHQAINLGQGFPDADGPAAMLERAQKEIASGNNQYAPGRGFPELRQAIADDRFRSYGAEYDPDTEVLVTVGATEGLTASILGLVEPGAEVIALEPYFDSYPAAVALAGASFVPVALEAHGTRFGVDEDALRAAITDKTAMIIINSPHNPTGTMLGARDLDAIARVAIEHDLLVLSDEVYEKLAFDEAHIPIASLSGMRERTITVSSAAKCFNVTGWKTGWALAPKDLIDGVLAAKQFMSFVGVSPVQLAVAYALDNESDWTEDLANSLQVRRDRLRSALEQAGMSTWDTLGGYYIVADVSALMDKYDVASAEDFCLGPLLDAGVVAIPVSAFASSKDASRFSHLVRFAFCKKDDVLEEAIRRLATL</t>
  </si>
  <si>
    <t>GC_00004158</t>
  </si>
  <si>
    <t>MFSIMKRRTKVAVITVCTALAVTSVSPASAASAQDLENQAFFGSLAVAALSAFAPIALSEYVGCTLVRPVMDAASGPYMCQQF</t>
  </si>
  <si>
    <t>GC_00004159</t>
  </si>
  <si>
    <t>MASDDDGVMASDGVFDMDIAGDMAGADAGDIAPVLSHATRPVAASPNAQVMAINLRLVMTVSYRMW</t>
  </si>
  <si>
    <t>GC_00004160</t>
  </si>
  <si>
    <t>COG1223</t>
  </si>
  <si>
    <t>MARADLLLDLVTAEKQGDRERFKVLVESVIAEERAKQHHLLADRLSEIITTTGQSSQGMSDDRTATVHDLVYKVTPERRLNDMELAPIPRRVVTELIEEQQRGDLLRSYGIEPRNRLLLSGPPGNGKTTIAEVIAAELMLPLYVIRYENIISSFLGETAARLDDAFEFVRTRRCVLFFDELDTIAKERSDEHETGEIKRVVSTFLLQIDRLPAHVIFIGATNHSELLDRAAWRRFQIKVKLATPTRAQAVRFLEKLASRFGGDLGYTPRTLADKLAGASFAELEEFALDVRRRAILESPDANMRRIARERIEHRREQVTQ</t>
  </si>
  <si>
    <t>GC_00004161</t>
  </si>
  <si>
    <t>MDLQQRPTTGRTHTSSKRRSNRSSVPVARREVTGVQPKIRAPRPAFKIGPKEIFVVAAVLILMLLATALPLRNYFQQRHAIVTAQQAIESKQEEKQQLIAEIERYQSEDYIREEARNRLGVIQPGESAYRIIDPEMKREHTTQGRDPSSEKHDPWFEQLWGQVAGADDAVADRGSALGQ</t>
  </si>
  <si>
    <t>GC_00004162</t>
  </si>
  <si>
    <t>MPSSTSLASPARLIAEIPAILGFHPANSAIFLLLRQVETNTMSLGPVLRMDAGDAESLPQFTKCINSFAADIVFAVVSSEKSHHAFVSDIVQSGIDNLDIVWHVRGVSEDEPYTALWTDQHDFSALSLLLAGEFGSLTEHSHGIQKRRVKLQYIASLWDLTDSIVHVHDFGTTPTSRATPLKFRWNGQ</t>
  </si>
  <si>
    <t>GC_00004163</t>
  </si>
  <si>
    <t>MPDFDETVPETLSAPHGNAHPSSFHPGPQSAYKFIALFKAKSKQLNSSHAFSDPTLPSGYFPGAASVILTMCHSGLQHLTLQEVETRLKTIDARNRPTSNDEHEALRLYYFYGDGRTWDECVRDKTLLLKHEQQVLDLLDNPDLLEELKSPHMPGSSLAPLNLQEFIEHLNELDDPDTYVRQLFSNGPVSFKRPDGFPSDLGDLFDRE</t>
  </si>
  <si>
    <t>GC_00004164</t>
  </si>
  <si>
    <t>MTCVVLGAASAVFVWLAIALNTLLVGSAPWLAYPAPTPMFWGTIAAVLLIRRDGMATLTGFIAALIGFGATALAAGLFVELTFFLGRRLLIVKDRAIFNSSTLTWAMCAGGSAGLCIGLTILMMSAARDALPFHLIVLGIVVKIVLGVLYGAISHFIARKIFEAGVNPQGLRVSALLDPARG</t>
  </si>
  <si>
    <t>GC_00004165</t>
  </si>
  <si>
    <t>P|V</t>
  </si>
  <si>
    <t>Inorganic ion transport and metabolism|Defense mechanisms</t>
  </si>
  <si>
    <t>COG0783</t>
  </si>
  <si>
    <t>DNA-binding ferritin-like protein (oxidative damage protectant) (Dps) (PDB:1DPS)</t>
  </si>
  <si>
    <t>MGPNFRAVHFNIEKAVAIAVDGTDEVAECTHAIHSIPDGRPATVTSATVVTTSPEGEIFTSDNITYIVSAIKATVPILRGVHDDVGEEDTTSADILEDLIGRLEQQARFLSFEIRQPLQ</t>
  </si>
  <si>
    <t>GC_00004166</t>
  </si>
  <si>
    <t>MRTRRMLTSLLVSTTVFGAALSPAPVHAQDHGLDPEGADNPGNTDTRRAPSGFSEQGWLNALMPSVNPQFDNPMFPNGREGMPKAQIDMHPEEIERLKHWMGVNGDTVRQINAYSPSMGRWIPLVWLPAPDTSTPRPVVYALGGADGGYTDQHWLNRSDLPELAREGNYHVVIPALGRHSAYTDWVEELPEQGGKQMWETFLTYELPEALEAEIGGDGQRSLIGMSMSGGTALNYAAHQPGFYSSVASLSGCAANNTWWGRYGLNRTIEGGGGNADMMWGPMNSPLSRYNDAVLNAERLKDQENLYVYSATGLMGALDFFGDWAPANSNQKKDRWSLGFSIEAASNLCAHQLKVRTDSLGITDIAYDFPMAGTHSWDAWNTALHTFWPRLQRGFGEEVVVPDVPSLGSSDRGSSDPATGVSTSSELAEGSSALGSSDGSSDDHAASGSAALGFLAGSSMALGNFSNSLLQMIFTLFNLLFGWISRATFSG</t>
  </si>
  <si>
    <t>GC_00004167</t>
  </si>
  <si>
    <t>MIPDFVNVDDLAQQLESGNVAVDLDPSLASGIDPVEIKNEISPLAEGSPVGDIGVVYLDQTPGMTADLRDIAQELSTKAPQDIIIVRAPGSGAVVSDAYSRADLETAQRALLSHPELSTGLQAFIDTLSHQSTPWPLINACIAVAAALVTSAAFTWERLRDSTN</t>
  </si>
  <si>
    <t>GC_00004168</t>
  </si>
  <si>
    <t>MTRYILRSLLSQWKSWSGTVLVLAFAATLVNVCLAHRFSVIRPEVVATARASGVSPAELEMSGLSIYIYSALVAIPVVAVVGQSCVQALRTNWARWRLAGAVPRQVFLSVIMTIATLGLVSCIPGILVGILVDQTFSSILTRIASEKMGAIEVIQTPTTILFTAVSVVGIAVLGAFGPARTAVKVPATEAIREMSLSIRRMSLTRWGLGALWSLICAGQLFLAFTSQPRKIDDGLPAGGGQAMLAAILISILSVIIAPALVPGLLKVWSSPLAHLGGPWLVARRSTSWRASLSGSAVALLGLGFSFTAALMTNLYTTESVVVSAHLPNKINQLDTLVMIAILGLMALLGAIAVVAMTSRSRQREFAILRCGGSTIKQIRSQAVIESLLYTCTALLLSSVPLIVTAVGEALFFYKAGLGFLPDPAIGPLMVVASVSFISLSIVLLAPVKKAYSAPIGHTLANE</t>
  </si>
  <si>
    <t>GC_00004169</t>
  </si>
  <si>
    <t>PF03831.20</t>
  </si>
  <si>
    <t>PhnA domain</t>
  </si>
  <si>
    <t>K06193</t>
  </si>
  <si>
    <t>protein PhnA</t>
  </si>
  <si>
    <t>COG2824</t>
  </si>
  <si>
    <t>Uncharacterized Zn-ribbon-containing protein (PhnA) (PDB:2AKK)</t>
  </si>
  <si>
    <t>MSIPSCPECSSDYTYELDALIICPECAHEFTADSANNDAETDTQRDVIVDAVGNPLQDGDTVTITTTMKVKGAQQPLKAGMKVRNIRLNPDGGEHNIDCKIDGFGAMKLKSSIVKKA</t>
  </si>
  <si>
    <t>GC_00004170</t>
  </si>
  <si>
    <t>MLRTCAMGWSPAHLIAAYVLSLDFYWWQFNLEESVHPRNGNHAYLICCHQGVACIMSDKHGFRFYQPISPGAAFHHAQTPCLEKPIPHQGLEVIPGIIIMSCTCFKLGFCPSTVQVVASYLISMVFEIRHPKSPGNNMPPERKPCLKHLQQSGAQIGHHQHMF</t>
  </si>
  <si>
    <t>GC_00004171</t>
  </si>
  <si>
    <t>MDADPQETYPRIDPAIIVAVRNKDTLLMARNAQRPGFFSLIAGYVSVEETIEDTVARELMEETGLRCHNVQYWGSQPWRNNTLMLGFFADSDGVVVGEPDGELEEIRWMTRHDIEALGKEQLPNPASIARRMINEWIHDQPRRP</t>
  </si>
  <si>
    <t>GC_00004172</t>
  </si>
  <si>
    <t>MISMGDSRKRWRVVFPNGFETTLLMTDEFAARFYPGAVPEGVALDGVTAEDEEAAGDAVEAPPARRGSKPKNG</t>
  </si>
  <si>
    <t>GC_00004173</t>
  </si>
  <si>
    <t>MNPAQIFDNIIIAINAFLGQILHAGSSATSFVTNALGSI</t>
  </si>
  <si>
    <t>GC_00004174</t>
  </si>
  <si>
    <t>MVGELEQFVIDSVAARGSAIGDSDAAAVALARSYAAQIDAVPFDAGQDRTKVLYLGPHLLKVLSALGCTPDSRGEASAEGNAPAGGMSILERMKAAGGGQGG</t>
  </si>
  <si>
    <t>GC_00004175</t>
  </si>
  <si>
    <t>MDTAIYEWFVHHRNDHATTIFTALHHLLQPRNVWLAALFSGFVMAYIHSRRITHTADQTRTTNMENAAGIASTEPRWTEAAWLVIAVSTAQLLSPLLKALFGRERPPLATQLVVETNGSMPSGHVVGVAAIVTAWIFAVMRARQATISFVGYAINCTLGVTAVVLAMVDRLYLGVHWFSDTLAGAVVGTGTVLTVYGVRALLRRARRRSKPAARFAIKNRA</t>
  </si>
  <si>
    <t>GC_00004176</t>
  </si>
  <si>
    <t>MFHHLDVGYCMIIGIISGVISGIIVALMVELFRVLRRGSLELAAVIDGKGKLRNNLWLPVVIGGTWALEKGPVVHRADGFRGGHSGIVLDPLEQIIVDTPQFQPGQSMTVTRRIVMWWPLLSLPKRRRSRLERLECDPWELIGKEKTKQNGWAIRQISYKV</t>
  </si>
  <si>
    <t>GC_00004177</t>
  </si>
  <si>
    <t>MGDEKFEFDPREYRVMVEHDGEFKPLGYIDELPEFEGHPSKLALVARIVPYLISTVCLIGGICYGNWLITIAAAALIAVRAFYEAKGRI</t>
  </si>
  <si>
    <t>GC_00004178</t>
  </si>
  <si>
    <t>PF18766.7</t>
  </si>
  <si>
    <t>SWI2/SNF2 ATPase</t>
  </si>
  <si>
    <t>K01153</t>
  </si>
  <si>
    <t>type I restriction enzyme, R subunit [EC:3.1.21.3]</t>
  </si>
  <si>
    <t>COG0610</t>
  </si>
  <si>
    <t>Type I site-specific restriction-modification system, R (restriction) subunit and related helicases ... (PDB:2W00)</t>
  </si>
  <si>
    <t>Enzymes&gt;&gt;&gt;3. Hydrolases&gt;&gt;&gt;3.1  Acting on ester bonds&gt;&gt;&gt;3.1.21  Endodeoxyribonucleases producing 5'-phosphomonoesters&gt;&gt;&gt;3.1.21.3  type I site-specific deoxyribonuclease|Prokaryotic defense system&gt;&gt;&gt;Restriction and modification system (R-M system)&gt;&gt;&gt;Type I R-M system</t>
  </si>
  <si>
    <t>MTTPFRCEAEFEAALIDLLTRHGWSDELLRYPTEQQLIDNWANILFANNRGRDLLGDVPLTEGEMAQIIEQINVLRTPLALNEFINGRTVTITRDAPQAHNFGVEISLKIYDRLEIAGGQSRYQIAVQPRFKTADELLPKRRGDLMLLINGMPVFHIELKRTGVPVSQGANQVAKYAHEGVYQGIFSLVQIFVAMTPEETLYFANPGSAKFNPDYFFHWADFNNEPVNQWGDVARALLSIPMAHQLIGFYTVADRASGNLLAMRSYQYYAASRIADRVDRHDWDSGDQLGGYVWHTTGSGKTITSFKTAQLIADSHNADKVVFLLDRVELGTQSLENYESYGGDSIAVEDTSSAATLITLLKNKRSTLIVTSLHKMSRVNADSVKKADLDIIRSKRVVFIVDEAHRTTFGDMLATIKRTLPNALFFGFTGTPIHDENQKKHSTTTTLFGNELHRYSIADGIRDGNVLGFDPEMVETFREHDVRTVVALREAKAKSVNEALADPKKAAVYYKFMDKDQVPMASVYETDTDSGTKRVAKGIEDYLPITQYRHDNHRQAVASDINKHWAQLSRGSMFHAILATSSIPEAVEYYRIFKAQYPHIKVTALFDPNIDNTGDSQLFKEDGLLEILRDYNAAYGQHFTMPTHDEFKKDVSKRLAHKAPYNTKAFLDDRSQHIDLLIVVDQMLTGFDSKWLNTLYMDKVIEYESIIQAFSRTNRIFGPEKPFGSIRYYRKPHTMKNNIDRAVKLYSGDKPFGLFVDHLDEHLKAINECFDIITALFTDPATGQTDFSKLPDSEADQGEFAKTFNRMYRELQAAQVQGFTWEKDTYYFDALPEPIVVTLTEDVFTTLLTRYKELGKEGGDPTDPPGGTDDAPFDIDVHITHIDTDRIDAEYLNSKFEKYLKALQDGVAEHMLDDLLEQLHDSFARLSQDDQRYANRWLHDLQAGDVALQPGKTVQDYINEYRITERDRQLARLHERLGLDTGLLRRILDSRVTAATINEYGRFDDLKASIDLDLATAYFTEVTGAPVSKFKVRAMLDKLLRTYIIDGVLPAYLTVAEEELAGE</t>
  </si>
  <si>
    <t>GC_00004179</t>
  </si>
  <si>
    <t>MSKISFWSLWITLAIGTIVGIGVMQSWSAVMLGVALSVVEVSLFVLLLRLLPQWPQGKSWWLLPALLWGGFASMVIIFATGTSASTLMIMYGLDMFEASMGGAYPEEAVKALGVFLVLTAYRNFNRPWHGLVVGIVVGIGFEVVENTLYGGTGAVLDPVSDVAGTLSMWGMRTIFGPGIHGMLSGIAGWGIGLALFSAQRGVIWRLSQVCGWLFLAFACHFTWNIQWPSEDTSVMVMVCVGVVMYSTVIGIVAYSWKKAKKPDFAMVHY</t>
  </si>
  <si>
    <t>GC_00004180</t>
  </si>
  <si>
    <t>MSATAVLSIGANIGDADTCVRRLRGVINNFRDSGAEVRCSGVYVTPPWGGVEQEDFYNATLRVTWPQQTTSAQWAEGLLRQCQQLEAEADRVREVRWGPRTLDVDIVDIEGYASDDPRLSVPHPRAHLRAFVLVPWLEIEPTATLGGHSITELLEVLPPAELNAITRMEGVTL</t>
  </si>
  <si>
    <t>GC_00004181</t>
  </si>
  <si>
    <t>PF05016.21</t>
  </si>
  <si>
    <t>ParE toxin of type II toxin-antitoxin system, parDE</t>
  </si>
  <si>
    <t>K06218</t>
  </si>
  <si>
    <t>mRNA interferase RelE/StbE</t>
  </si>
  <si>
    <t>COG2026</t>
  </si>
  <si>
    <t>mRNA-degrading endonuclease RelE, toxin component of the RelBE toxin-antitoxin system (RelE) (PDB:1WMI)</t>
  </si>
  <si>
    <t>Prokaryotic defense system&gt;&gt;&gt;Toxin-antitoxin system (TA system)&gt;&gt;&gt;Type II TA system&gt;&gt;&gt;RelE/StbE-RelB/StbD</t>
  </si>
  <si>
    <t>MSYAISYVPSAAKAIRKLDKSVARRLLEAIDGLATDPRPPGFIQLAGGRGEFRIRVGDYRVVYDVQDGELIILVLRVGHRREVYR</t>
  </si>
  <si>
    <t>GC_00004182</t>
  </si>
  <si>
    <t>MMYFTSNADIIPSKSLGGITLLEPVSKYWSSIVQCQPTREKILYEMAGYHTVIYELTDYFIEFRVNMSSGLIYRISALPGYTGKFHNNITIGMPMAEVHDMNLGFEYSDLTEDFSSPLFPGLLLEPDLDDPWPEELPHVKVERIVVFDREYINKVNGSTGLSYMPW</t>
  </si>
  <si>
    <t>GC_00004183</t>
  </si>
  <si>
    <t>MADMAQDIPDDAQEPTQAHGQGETLQHGLHESEQPSMQDELELTIATGAAAPLLIGEDEADAQQAADKVSTQGLKFIISGALSAIPDLGLTMLSQFAFGTSTNVARTIGFIAGTITAYMINRRWTFKAEPSMRRFLAVALLYTLTYFVNVRGYTLGYHALDDMMPDVIASGVAFILAQGTATVINFVVQRLFIFRR</t>
  </si>
  <si>
    <t>GC_00004184</t>
  </si>
  <si>
    <t>MSTPEKVTTRALVVWAAAVAVYIAAVTGRTSMGVAGTAAIDHFGIDASRLAVFTSVQVGVYALAQIPTGVAIDRFGPRKLLFVGSVIMATGQIILGLKSSYGVAIAARVLIGAGDATAFLSVMRILPAWFPLRKTPVFTQLTAALGQLGQFLSAVPFMAVLHAQGWMPAFVSLGTSIAVLAVVTGLLIANAPHAPLHTPGADLPLRSKLGLVVRSPVCWEGFFSHWIGLMPNLMFLLLWGVPLITLGLGLSPAYAGAALVANSVVQVFVSPIHGFISSRLGPQRVWAVVTGAFIVAGTAGWFFTHKSSVMVLSLVLGVMSLLSNYGFDMVRENIDRRVLATGTGLANMGGFVSGMITAQAFGVLLDVSARKASHPGIYRWEDFQVASWSIAVMLGLGLVGLVTSRVLSRYR</t>
  </si>
  <si>
    <t>GC_00004185</t>
  </si>
  <si>
    <t>MKPLRSTRNDWIAVATLSTITALAVTTVWATSEHRSSSLDTSLSAEQPAEIKAPIPQLPDTLSERYELSDNAIAAAYKPTIIDGVLLTSTNDDSSSEVTAVNPDNAEQLWTYTRALPLCSLSTAFQNAYPTYLNNSGCGDTVGIRARSGTYAATRSALASRDVIPISSNSAVGTVSTQRVELWRSDLVRTVEYGQVDAPAEPNLQPHPGCTIDSALTRTDLLAVVERCDGRTQLTFQKSVPEEFRTPELNEDATVELPEGSHLVAVAQHGAAIWSPKDHSVHAYDDSGALLSSIPVAEKSPSSAAGKDLPFAPMVADLPYHIAWFDGSALHLLKPEDLSLGHTFDDAIGTPVAIGEDVAYPTASGIRIVDWRSGETKQNIEVDRKGYAGPVGLGLAANTLIEKRGDVVVGLSG</t>
  </si>
  <si>
    <t>GC_00004186</t>
  </si>
  <si>
    <t>MSKRHVVFCYIVLPIAAVLLPLVGGRLWESIMLLTVVALNIIVDTLLKEK</t>
  </si>
  <si>
    <t>GC_00004187</t>
  </si>
  <si>
    <t>MSEHSTGPAANATDTADAVNAHTADATNASDAAAFGSLNCAARIQCLLQELGHIEHIEVAPTGTATPQGLANGPAHAPVSNTSPDASADSSSDASSGTTHDPSVSPFASDDSISIRFTLRGQAPRTFAAVTVPGESWSDLAAASAHLMGRPGISLPKTDGTRTLAIIDWLPHQDPHQQLFAAAWSPHVSVRACEGFASLHELGIRTSQPEEGRTLVEFSNGSVMHLRTPGYLNGVGDVTGQDIAAKGLQPTAEFQHYLNSLLAPPADGRSPLQCTAPSPYGAPLSLMTSRGLASVTAYHVATVKGDTWRWSWADATRSAEWFGAQAFGPTRPSPAHDIRLLGYRHGVGALLRPELSRQEVEQSHVLAMCTSATGLWHHAWVPQPNDSWALLLFPGNAI</t>
  </si>
  <si>
    <t>GC_00004188</t>
  </si>
  <si>
    <t>MIKSSLHSPTSAPPRFATPRPTGPTYGPAICRILEMMGTPPMPWQEWAADVIGEIDPATGLRRHSLVVISVPRQSGKTHLIGAVCLQRIMQHRKAFADYTAQTGQYARKNWLKFTDEITDPAFPLESLFSRNKSQGAEALIVGPLRSVWTPHPPGKKAGHGDQSDLSVVDEAWVFDEVEGAAIIQGITPTHATRPGAQTIILSTRGDADSSWFHGYVDDLRSGKRQGALLDWGIGPEVDATDIAAVAACHPAVGYTQSLESLIAAYNDMGNPEEFARAYGNRETTSHRRHISEAVWEAARAIDPIPLDAEPAWGVAVSADRDSAAIVAGGLVGTTPTFEVVDTRPGYRWVIPRLSDLIIRHGGVAVYDAVGASDVLNEGMKKATFPVTKIRTRELSAACGNLFNRLTSPVPEVRFWPDQAFDAAAEVAVPRDLGDSWVWDRKRAHGSIAALEAATLALHGLDSHIEDQPPEIFIP</t>
  </si>
  <si>
    <t>GC_00004189</t>
  </si>
  <si>
    <t>MNATPGDILDLIALATLGTALYTLAIMIGA</t>
  </si>
  <si>
    <t>GC_00004190</t>
  </si>
  <si>
    <t>MRPLYTGGTYRWLALKGCSWVRRELIDQRLENVTPKQSLIDQAVSALAFYEQENSLLFRDTFTVLKSPVHKRTRSDGSPIEVSGETPV</t>
  </si>
  <si>
    <t>GC_00004191</t>
  </si>
  <si>
    <t>MQAGPLLVRVISVKVEPAPLPLGVATISSCSASQGPTGVLSGVDGGALWVVVVLVVEVEVSGVAAFICEVFCVPQALSPTARQKAAAAIPMVVVVRRGVVILPSLCIVMATPRVPGA</t>
  </si>
  <si>
    <t>GC_00004192</t>
  </si>
  <si>
    <t>MPRRRSFGTISELPSGRYRARYVGPDGVKHSGPHPFYDYGEARAWLNTEERLLEKGEWASPKQRAAQKELEEMADITVGQWLQQWLEIQSRALKPSTMQNYRAALDRRVFKAPGAAKNFQHLPLASLTRGQVMRWWDALEATYGRQQENHSALRRLSTALKAAVERELLPINPAARLGIKRPKSERKELPTYETMRAIVDELEPRHRIIGVLTFFHGLRIGEVLALRRMDIDVTGDQAVVHVRGSAYRDNAGGGMVRLETPKTDAGVRDVPVFPEFVPMIKEHLEKFAPKPADAQICVTALGKVVMDTSYRCRLATAKKRAGVEGKISPHYGRVWLITTLAEAGMPIPAIGRMLGQVDLKTITEIYLRATEQRTEEVLDRVNASFRAG</t>
  </si>
  <si>
    <t>GC_00004193</t>
  </si>
  <si>
    <t>MTAGVDIDVDRLSISTVAGPGQAGCAVVSDINLQVAEGESIAVTGASGAGKTTLVKALIGEVGTGLRVTGGSVSVAGQHPLLLRGPGLRAFRRACAFVDQDPGAALPPRWSVRRIIRQRAKAGRIAGRISDEVILNLLDDFGLGGIEDILERTPRQLSGGQRRRLGIAAGIAGHPKLLLIDEPTAGVDRATARLMLDSLKVARDRSGATCVVITHDPSVAAELADRVLSVGDTPSVLPTATDKAASTPAGEPAGAQDAPARPAQRSHEADTILRVDGLTLSHGAHDVLTGFDLSVDRGAIVGISGPSGRGKTTLLRAIAGLHAPVRGKIDGPHPSSVGWIPQESELSLNPAVPVATILRRAAGRHADDSAIAEVLDLLDLPDFLRSPRTRGRLHHSKRTRPDELSGGQRQRVSVARALLSQPTLLLADEPTSALDGANAQRVINAIRAGKSARATIIVSHDPAVLAACDRVVCL</t>
  </si>
  <si>
    <t>GC_00004194</t>
  </si>
  <si>
    <t>MIITGVNHSAENMDVNPCAQIHRHAQYHPDTVAIIYEDEPITYAQLEEGIKKWAAHFDASGVRQGSRVAYLGMNSASFIYAMLASWWVGATFMPFNFRLSAPEISQLLMQGTPHTVVVEGPFVEIARHIYGIEQHHVLVVDDDQHAPAEVDIPLYWSKTSKNVTGFEDFHHVAKPRPMVMSDLALLLFTSGTTGLPKGAQLTFGNLWWNSINVDTMVDTRPGDVTLAVAPLFHVGALNSFAIRSLFRGNTLLVHRHFDPGQVLSDLENYRISSAFLVPAMLEALYVHPNFADAKMDTLRATICAGAPVPPVLIRRYMDKGVNVQQAWGLTETSPFATYLPARMTEAKIGSCGIPMPHTEIKLVDPETGEDVTEPGVTGELWVRGPNVATGYWNNPEATEKAYTAGWFHSGDLGHRDEDGYYYIVDRLKDLIITGGENVYPAEVERVLAELDGVLGNAVVGLPDEKWGEIVVAVLQPENGAADKLTLDAVREHCERHLARYKLPKKVIIVDEIERNSAGKVNKIAIRQQVRELAGSAHV</t>
  </si>
  <si>
    <t>GC_00004195</t>
  </si>
  <si>
    <t>MSMIKDQLEQLCDRLTAAGVEADYDPQFLNPDCAWVSPRSIEGQYLDGTLKISFDIYLITPEADITVAVGRLDDLLQRAISVVGGMITDTDLATSITMPSGAVCPAMKLTIQPPRN</t>
  </si>
  <si>
    <t>GC_00004196</t>
  </si>
  <si>
    <t>PF20464.3</t>
  </si>
  <si>
    <t>MmeI, N-terminal domain</t>
  </si>
  <si>
    <t>MISSTPIRLDRNEIKHNLDEFRVHWRQRLDTWKEHNEGAIEKKYAQSFWADFLACFGISATRMDLFEQDARRGSTGNTGYIDLFWPSVVIGEAKSPGVNLDEAVGQARDYLQGGSVSATEQPRYILASDFENFRLLRLGSPDQRFDVLSA</t>
  </si>
  <si>
    <t>GC_00004197</t>
  </si>
  <si>
    <t>PF11611.13</t>
  </si>
  <si>
    <t>Domain of unknown function (DUF4352)</t>
  </si>
  <si>
    <t>MTQMQPGQPGGDGQRIVYVQAPKPPWYKRAGCVVPLVLVVLMILGLGGCMSLFAKSVNDAATTPSVTKNESSESNGKAGSSSGGTDGSATAQLGDTVHLKKADVVASNLRDQGANVFGDNHLCADVSVTNTSSKDTVRLNGLTDWKLEDANGVVIDQTIVSEATDYDAVELKPGGSKTGVVCFKHAADPGSYKITFEEGLSLLSDQATWVAQLP</t>
  </si>
  <si>
    <t>GC_00004198</t>
  </si>
  <si>
    <t>MRPFLLLSTRPETLAAEAEYASFVDCLHIAPSQLEQRRVDQAPLGDVCLEDYAGVILGGGPFNNTDTDKSDLQRRVEADLAQLAAQLIEKDFPTFGACYGVGIIGTAIGADLDRAYAEEPAAVPISLTPEGLADPLCEGLPPEFHALVGHKENCSSLPQMATVLATGQQCPIQMFKTGDNVYVTQFHPELDHDSFAQRLDIYEDEGYFDPTEKRRINSQAARYAVDTSARLLHNFATRYMPWR</t>
  </si>
  <si>
    <t>GC_00004199</t>
  </si>
  <si>
    <t>MNNVEPNSTSPQLPNDPFDSAPPVRDEVVAPAPAETPAKKQPAKAPSTKVKGSIAGGTWVALIFGFLFLIALLIFILQNDEQVAIEFLTWKSTLPVGVGFLFAAIGGALVMALVGGWRMLELRRQLKRSKKALADAI</t>
  </si>
  <si>
    <t>GC_00004200</t>
  </si>
  <si>
    <t>MWFGAVSGAAAGLHLGNFRATQLGFSLLLVLPTADRNSSSGNLILYGAAGLVGWDLQKNQLHGMNTPTNPSPPSLQPRQTHHRSHASQVLSYSFKPAAPIRPGTQSAQNQNSSSAKPLPPNLQGFKFGGLGFVGAIRTHKVTSYSNPSPPHAQPTPTADFSKLCPLPSPA</t>
  </si>
  <si>
    <t>GC_00004201</t>
  </si>
  <si>
    <t>MLRSSHVRRCLKSIGKPLDKITRQDVMKWMSTQEWGRAARASARASLRTFWAWAVATGATASNPMAGVPPVRQLPGVPKPMPDAVIAEALSHAPAEIALAIEVMATCGLRREECAKLRSYDIEAVAGGWTLRVVGKGGRVRIIPCPPLLARKLKARGGWVFPGNQQGHISPGWLGKLISRYLPPGWTPHKLRHRYASVAYARGHDIRAVQRLLGHASVATTQMYVALDDVAVRETAAGAWYLAS</t>
  </si>
  <si>
    <t>GC_00004202</t>
  </si>
  <si>
    <t>MNTPRKFAIASAVGALIIAALMVLMLVGLFGLPSSDSNDGAQSQGGVSQQDYDAADVPARPDCPVGDVAGVQLPCLGGQVQPDSQAPAATVVTLWAWWCQPCRQELPVFDEFAAAHPEMRVLGVHADTDAAAGASLLDELGVQLPSLQDSSNSFAGTLGLPGVVPIMVVVRPDGSFVPVAKVFDSVEQLEAVVQEAMHGAT</t>
  </si>
  <si>
    <t>GC_00004203</t>
  </si>
  <si>
    <t>MAIRTRAVSALAVFALTVPTLAAVPAAHAEEAPQVTCNKVDSGSVDWGLRASFLSYLKMKNFKASYSFNGQENPEKLIWEVKDAPIEVDSASKAVIPLKGEFKGQSHPAGDQFILDMALSDGKLHVDGKKGFLTFDVKYRPLEGEMVQGAPAQPFKTKNDVKLVEFDLNEAANFKEGEVALHADKTVVTAAGNEVFGGNYGADNNTFAPLDGTFTVSKSADCKPPAGNDPGSSAGNGALIGILAGLGVIGAIIAALMNFAGGAGFALPFLPR</t>
  </si>
  <si>
    <t>GC_00004204</t>
  </si>
  <si>
    <t>MMSVMGRLLLLLLFVAAVVLLWKAYGPYIHRALGLGSNGGNGFVGVGRGNRRGAARPVMKGPDDDEEFLWRLERDRFKQRRAEEDARKREEEQARRRAEREQRGVIGDRNDADQGALDDGGSDAEEGQ</t>
  </si>
  <si>
    <t>GC_00004205</t>
  </si>
  <si>
    <t>MSDINDDLSIPVQYALGMPSRRTGLGGLSVQVTIVGFIGALLLFIFIANQQIILGIIVAAIFGLLMAVMSFRRANRSLAQYGQMIFQDWQRRRNKANVYVSGEFSRVPGGHRRLPGLLARTEAISGIDSNGREFVVILDRPRREATVLLDVTFTGQIAVTQTERNLMTAEWARWLQTLSLAGDILQMAVVIATRPGTGALVAREVSQIVSDDAPEIAKQIMYEAAQTISMTLPEVVGHIAITVKLSAGVMADNDFMSQLATRVPSWAATLEYAGMVALPMSYEQAVARIHSFYNPAAEADFEALDLINQPHEMKWEDAGPSMATTQPKFYEHNGVRSLTWEMSQAPRSTFEDNLLQNLIVPHSRVNRKRVMICYRPFSAGAGAKKVEDEHRDAMVAANSSKKIRSANAEIRLEHTEAARRAQARGAQLGKYSLFVTATIDESADMRQITHDIEQLGAGSSIQLQLMRRQQDVGFQVTCGVGLIPWSKTSTSSWLSSN</t>
  </si>
  <si>
    <t>GC_00004206</t>
  </si>
  <si>
    <t>MRSFRDQALVTRTYDFGEADRIVTLLTRNHGVVRAVAKGIRRTNSRFGARVQQFNLIDVNLYPGRNLATLTQADTIRHYGKLIDDYDHYTAGAIILEAAQKLTLHTPPGDPYTFDQATRALECIPVHPTIAIDAFILTTMRHNGWEPTLYNCANCEKPGPHHHFHPASGGAVCEDCRPPAATPAPGESLRILWWILAGHTELAAAANSVDIHTAHNLTLDYFHWHTEQRLRSLRTVEQ</t>
  </si>
  <si>
    <t>GC_00004207</t>
  </si>
  <si>
    <t>MKKNENNTDRIVRGVVAVAAAIGAVLTSGALSIVLWVVAAIMAVTAVAGFCPLYTLFGINTCKR</t>
  </si>
  <si>
    <t>GC_00004208</t>
  </si>
  <si>
    <t>MTPSKIKTTKLFAAALGGGLALGAFVAPMVHAEESSTGVVTSFSSEGSSDPAENPDFDRRTRTVLKYGVTTEADIAKCQADWAGKELPALDRGYDFPCPTSPITQEDVDAAKAKAGVGDFLSQVREFF</t>
  </si>
  <si>
    <t>GC_00004209</t>
  </si>
  <si>
    <t>MFIPAGNLETMSDTPSHHKRRAATDYTSTNYCIAWAGAWWAVLLAVIVVSFTTGSFADSPSNYLHLGVSLMVYVIQTLAVFGPRAKSPAAKLYQDNVLYYALGLMFALAMLPQNGLVATIRLVFSLVVLVVAVRYFRAARRLRAEQR</t>
  </si>
  <si>
    <t>GC_00004210</t>
  </si>
  <si>
    <t>MCIRRVAAVIVAAGSGTRLGANKPKALVELGGRCLLDRALAGVRAAGVDHVVVTVSADMRDDAAVVALGSQPGVCVIEGGAERADSAWRGVQLAYELLGCPGEGEATIVVHDAARCLTPPAMIERVIDAVAAGARGVIPALPVVDTIKVVDGAEQVVGAPQRAMLRAAQTPQGFDAATLVRANRQWQQSQGAGDAAVVTDDASLLELIGVPVQVVEGAAEALKITNPIDMVVAEFYLSRG</t>
  </si>
  <si>
    <t>GC_00004211</t>
  </si>
  <si>
    <t>MRNTTQHNALRAAIGIAAAALVATPITLSLSTQDNQPATTPITHTTAAPPAPPAADISTYEAAGVLMVGVNNYDDALNVLNQGAAGIFIGFWTDPALIQQLPQLKEAIGRPFKVSIDAEGGRVVRQPALFGNLPSPRVMAATMTPQQVQNTAYDLGTRLHNAGINVDFAPVLDLDAGDPNGAIGDRSFSDNPTIAATYGAAFVQGLADAGVQPVLKHFPGHGHASGDSHTGDVTTPPLDALLREDLTPYATILQHCQPAIMFGHLDVPGLGDQPATINPAAYELLRRGNYGGPPFTGTIYTDDLSGMRAISERLPLPEAAAQAIIAGADVALWIDSSQLPAAAQALTDAVDRGEITAQQLRDKATRAQADVGLNSCSSLR</t>
  </si>
  <si>
    <t>GC_00004212</t>
  </si>
  <si>
    <t>K08369</t>
  </si>
  <si>
    <t>MFS transporter, putative metabolite:H+ symporter</t>
  </si>
  <si>
    <t>Transporters&gt;&gt;&gt;Major facilitator superfamily (MFS)&gt;&gt;&gt;Unknown transporters&gt;&gt;&gt;Others</t>
  </si>
  <si>
    <t>MDYNQRLDTLRFGKPHQKLLFRSGIGWALDAMDVGLISYIMAALAAEWGLTKGQLSGLASAGFIGMMIGATLGGLLADKIGRRSVFALTLLIYGIATGASAFAGGLAVLIVLRFIVGVGLGAELPVASTLVSEFSPRHIRGRMVVALESFWALGWIGAALLGYFVVPHTFANWPGWRWALLVGIVPAAYALVVRRGLPESVRYLVDKGRLTEAEAAVAHFEDSNAVHTSDARDVTTPTAPAATTAEEQATSIFAPALRARTAGLWSIWFFLNLAYYGAFIWLPTLLVLQGHGLVKSFEYTLIITLAQLPGYAVAAWLIEVWGRKATLATFLAGSAVAAAFFGMQHSPTGIIVAGCLLSFFNLGAWGALYAIGPELYPTHIRGTGTGSAAAVGRVAGILAPFMVPLVPGTGALFAVFGLAFAIAAASTFALPEQRNQTLLG</t>
  </si>
  <si>
    <t>GC_00004213</t>
  </si>
  <si>
    <t>MSEYDDWKQENDRWEAYLYPNGVLRNKLGITKAAKWHKMERDFVTARNTDLRPNTGLTTGNVGEELFAGTTSACAENTARGHGDHRVVRNYLRVRGEYSLTAATPASPWELPPRARRIPIAGHMVGSTLGTTSACAENTANSRPARSPAWNYLRVRGEYIFYRVFEGFFPELPPRARRILKSF</t>
  </si>
  <si>
    <t>GC_00004214</t>
  </si>
  <si>
    <t>MKLNIRKTLTVATAVVALTAGTVHAAPAFADEPVAAAPSNAAPAPAAQDDQSGKDKNKDQDKDKDNSTSSKISGALGSSETPKDGDNDGKSKVTTWADKIGEIVKLIGIIASLFTAVVSMQTAIEKLTKNFAPRF</t>
  </si>
  <si>
    <t>GC_00004215</t>
  </si>
  <si>
    <t>K07250</t>
  </si>
  <si>
    <t>4-aminobutyrate aminotransferase / (S)-3-amino-2-methylpropionate transaminase / 5-aminovalerate transaminase [EC:2.6.1.19 2.6.1.22 2.6.1.48]</t>
  </si>
  <si>
    <t>COG0160</t>
  </si>
  <si>
    <t>Acetylornithine aminotransferase/4-aminobutyrate aminotransferase (ArgD) (PDB:1SF2)</t>
  </si>
  <si>
    <t>ko00001|ko00001|ko00001|ko00001|ko00001|ko00001|ko01000|ko01000|ko01000|ko01007</t>
  </si>
  <si>
    <t>KEGG Orthology (KO)&gt;&gt;&gt;09100 Metabolism&gt;&gt;&gt;09101 Carbohydrate metabolism&gt;&gt;&gt;00640 Propanoate metabolism [PATH:ko00640]|KEGG Orthology (KO)&gt;&gt;&gt;09100 Metabolism&gt;&gt;&gt;09101 Carbohydrate metabolism&gt;&gt;&gt;00650 Butanoate metabolism [PATH:ko00650]|KEGG Orthology (KO)&gt;&gt;&gt;09100 Metabolism&gt;&gt;&gt;09105 Amino acid metabolism&gt;&gt;&gt;00250 Alanine, aspartate and glutamate metabolism [PATH:ko00250]|KEGG Orthology (KO)&gt;&gt;&gt;09100 Metabolism&gt;&gt;&gt;09105 Amino acid metabolism&gt;&gt;&gt;00280 Valine, leucine and isoleucine degradation [PATH:ko00280]|KEGG Orthology (KO)&gt;&gt;&gt;09100 Metabolism&gt;&gt;&gt;09105 Amino acid metabolism&gt;&gt;&gt;00310 Lysine degradation [PATH:ko00310]|KEGG Orthology (KO)&gt;&gt;&gt;09100 Metabolism&gt;&gt;&gt;09106 Metabolism of other amino acids&gt;&gt;&gt;00410 beta-Alanine metabolism [PATH:ko00410]|Enzymes&gt;&gt;&gt;2. Transferases&gt;&gt;&gt;2.6  Transferring nitrogenous groups&gt;&gt;&gt;2.6.1  Transaminases&gt;&gt;&gt;2.6.1.19  4-aminobutyrate---2-oxoglutarate transaminase|Enzymes&gt;&gt;&gt;2. Transferases&gt;&gt;&gt;2.6  Transferring nitrogenous groups&gt;&gt;&gt;2.6.1  Transaminases&gt;&gt;&gt;2.6.1.22  (S)-3-amino-2-methylpropionate transaminase|Enzymes&gt;&gt;&gt;2. Transferases&gt;&gt;&gt;2.6  Transferring nitrogenous groups&gt;&gt;&gt;2.6.1  Transaminases&gt;&gt;&gt;2.6.1.48  5-aminovalerate transaminase|Amino acid related enzymes&gt;&gt;&gt;Aminotransferase (transaminase)&gt;&gt;&gt;Class III</t>
  </si>
  <si>
    <t>MKDFTYRIPQQRNLVTELPGPKSAALDARRENSCARALAPGLPGYVADADGGILLDIDGNSFIDFASGIAVTSVGGSNPEVAKATAEAASHNTHTCFMVSPYESYVAVAEKLAEVTPGDHAKKSVLLNSGAEAVENAVKIARAHTGRNAVAVFDYAYHGRTNLTMAMTAKNMPYKTGFGPFAAEIYRVPMSYPVRDGLSGQEAADRAIHVMEKEIGVENLACVVIEPIQGEGGFIVPAEGFLPAISKWCTDNGVVFVADEIQAGFCRTGDWFAVNNEGVVPDLVTLAKGIAGGLPLSAVTGRADIMDAPVVGGLGGTYGGNPVACAAALAAIGEMETHDLAGRAKEIEAIIREEFASIADEPYVAEIRGRGAMIAIELLKDGKPAGNETKAVAAACKEEGVLILTCGMDYNVIRLLPSLVISEEVLRDGMRVLVNNIKKVFA</t>
  </si>
  <si>
    <t>GC_00004216</t>
  </si>
  <si>
    <t>MSNNRERRAQAMDALNKELKARDRSEKTQPLGVVFAALAVLVIICGGIWFAATRDSSGNNEQDTAAAESTAPDAATVLDGKPSQALPETVSCEYTPSGDAGSADLPNGTDVPATGTVSIDFATNQGDIPVTLNRAAAPCAANAIEHLAKTGFYDGKTCHRLTTNGIYVLQCGSPNGDGVGGPGFSYSDEYPVGDAGITSPQVTYPRGSIALANSGPNTNGSQFFLNYKDSPLAPNYTYVGTISDEGLKVIDKVAEAGVQPGSGNGQGATDGTPVESVTINSASVK</t>
  </si>
  <si>
    <t>GC_00004217</t>
  </si>
  <si>
    <t>MRQRLTAPAVMIASGLSLYAGAALAVGLFERFPPTIVAWFRVAAAGVVLLVVVRPARWEFTRRVGLVAGVFGCVTMGMNMVFYEAIAELPLGTAVAIEFMGPIVVAAWGSRSIRDWLALLLAGGGVLLMSGARWSASPRGVIFALLAATLWAIYIVLGARIATAGSSNGRLTVGFCYATVVGLPLVAVLWPHGAGVPLPTVVGLGILGAAIPYSLDQVVLRMAGPSYFAILLALLPLTAALLGAVALGQSLSIAEMVGIVAVVGAVVARDHR</t>
  </si>
  <si>
    <t>GC_00004218</t>
  </si>
  <si>
    <t>MPVFRRVNEAVLKHAGQVADNSAKNGGENSHNSHTIGHDSTFVGRWIPHQPVVDCAAVGRV</t>
  </si>
  <si>
    <t>GC_00004219</t>
  </si>
  <si>
    <t>MTKRSSLASLALAATLPVALTACAHADDGAPLDASSTAAIAAHNTATTSTVTNEQSSSPSAENIVESEVKTPKLVEDSPDVASATVYDGGTITKAGTYRISGEQGDVIVDAGDANVVLILDNATIAGQINVVSADKVQVHAVGSSTVTATAPDSAAIYSHADLVLSGDGTVTVHSEGEGADGIASSDDLALYSGTWKVTAADDAFRGKDSASVLGGHLDATAGDDGVRSDVAVHLSGGTVDVNAGGDGVHSDVALLIDGGDVTVASSTEGLEAGLLSISDGTVDLTSSDDGINGSGATSVDATTEQEQQEQSEEAAGPQPPEGMPEPPQGMQEPPQGMQQPQEGMQPPQQGGASGGQPGAGMEQSTGEQIVISGGTVKVNAAGDGIDSNGDLRINGGTVLVFGPSDGANGTFDYAGSFSIDGGTVIGLGSAGMPADPTGGTQSFISAHLDSSVTGGAITIEDSSGTVIATIEAGERPFALVQYSSDKISAGQSYTVKAGASSVSVVAGSRAESSAPTRR</t>
  </si>
  <si>
    <t>GC_00004220</t>
  </si>
  <si>
    <t>MPVPSGSNPLVAGTSTPTAVAALWEPDDDPPDALALALAPEEPEPLELLELLLSEVDIELEAMALLEDPDPPEELPPPPHAANSSAAEAMTPAPRIFLVTDLFLSEANVAPMTGDVVPP</t>
  </si>
  <si>
    <t>GC_00004221</t>
  </si>
  <si>
    <t>MGLKLIPPLEDFQQNSKPETNQQVIPYKFGKEGGYSFEVTPKSEDELKLNLTGATAELLAALKEGGKEKQKVTDINCTAEGTLATVKVEKGDDVTPPPADPGSSDLGDNTFVKVLLGIGGAIAVLGGLFALLNNAGLLPPQPTNLIPGLKAPAPAPAPAAAPAEEHGKGLPKN</t>
  </si>
  <si>
    <t>GC_00004222</t>
  </si>
  <si>
    <t>MPARHGFLNIHPLHWNNPQGKGTRAMAHQPSRVDTRTIIQSTLDEYEDQIRLGLVTAFQVASIAEARLYAKAVECKANRAGRRNAI</t>
  </si>
  <si>
    <t>GC_00004223</t>
  </si>
  <si>
    <t>MRNANTPPLWEQLAMSVVMLAGLWLFIIFFVAVADLIAG</t>
  </si>
  <si>
    <t>GC_00004224</t>
  </si>
  <si>
    <t>MTASTSPQGLPQRREPTAAEFRAMQTSPEFIDLKKTFRRFTFPVSVAFFVWYLTYVLLAIYGGDVFAKPVFGNINVGVLFGLLQFVTTYLITALYIRYANREIEPRAARIREEMEG</t>
  </si>
  <si>
    <t>GC_00004225</t>
  </si>
  <si>
    <t>MGNDVVGLAATLELPLAGRDAYAQRFPGLPPGRLGTWEALELLNC</t>
  </si>
  <si>
    <t>GC_00004226</t>
  </si>
  <si>
    <t>MCRPIPCSKCGKTTWAGCGQHIDQVKAQVPAGQWCTCPRENNAGGFLSKIFGKN</t>
  </si>
  <si>
    <t>GC_00004227</t>
  </si>
  <si>
    <t>MVYTGPQPHYLLGETFVSEEDATESGSSSKKVIAVIAAVVLLLLGATGAAAYFMINKSNSQADAPKVLTVTTQDIENTIPVSGTIDAAKSVKVYTKITGPVQQVNVEAGQRVNEGQLLAVLDVSQQERELRTQKAQEANALIEAMTAVENAQEDYNDYAQLLDQGMSPELTSAQAAARSADNAYDVAQREFDLVRSRTDAGRNPDLVSREQAIESARSGLFSASLGLARTGVNLSNNAPIGETPDQSISDEAAQAANGIIGALDQVNSWNDAHRALNEQQQAYNDALARVDLDLYKQQKAVAEAFEVKREANTNLEVARFNVNKTLKDKQRALNQAERQANATRTVQGNGTEALELDINDKDVYAPFSGLVTTVEAEQGKPAAGALLTVVDDSKLLIRAVLKEADIPKIKPGQEVTFTTPATGYERYTGKVKSVSSVAQAAVQTTGDKNASVAQPNPGDSKPDFPVVIEVTGKKDGLLIGGNAKMQIVAQKETGVISVPRDVIFDGDEKEQRSVLVAVPKGEGSDEYTIEKRDVKVSKKMDFDVVISSGLKEGDKVLTDPGSYRDKVGETVTLKEDNE</t>
  </si>
  <si>
    <t>GC_00004228</t>
  </si>
  <si>
    <t>MNSSFRARSVRSSTLLANVRHPGWRRTSLLRKAAALMLFAVAIASLVHARTTQVQPVVVFARQVDAGAVITAEDLTTAPIPERFLPEDARPEPENIADIEGMIATSTMSRGEVLSFSKVLSDPQNSPVVITNTENNKDSLLNLVPLHLAHPELAELLHPGDIVDVVIATDEGQAAQIIAAGGRVVLVDRSSDKGGSHSSPKVLLSLPADQARDVATASLGTPLAVVITGARAQG</t>
  </si>
  <si>
    <t>GC_00004229</t>
  </si>
  <si>
    <t>MTTPASGSSSRRSSSAGTPDSAVNQAVAAISEDIASGFYQPGDQLVEQECAQDYQVSRNTLREAFRILQRQQLLVHQPHKGVFLRSFDSEATAELYVYRRFVQLAAIDAFAYASEDKQQQCIDTMIAACDAAYNAQAEGDWRAVGTRNSEVHLALVDVAGIPKLSEDMRIIMVQSRLAFLSAAHRGDLAATHGPFIDGNRELANVLTAVQQAANTSEEARDAARRQARAFLHDYLDRAERTVIDLIEGGSSALGFLR</t>
  </si>
  <si>
    <t>GC_00004230</t>
  </si>
  <si>
    <t>PF24346.1</t>
  </si>
  <si>
    <t>Domain of unknown function (DUF7507)</t>
  </si>
  <si>
    <t>MSIRVLSRRALALAASILMVGSMGLNAPLPAAHAQVAAGENTAPPAAPAVAPSGSVQYEQGDGVIQFSLALLEAGVGQDKDGSCVINSSMGYAIGDDSVEDNVACAGSGAKYQFSMSVNSGSEDRVVTIRPRWVGQKAREGFPEPTRTPVYKSEVLNLTGAALTDNKDGTYTIRFLPTQGNTQVLGWFGSAMTENPNRVMETQAGDFSLGADIYEGPSANGKLIGVLKADRDLRIVEANRMDQTINQTYEDTSPTYLGGTPANLGPGADTSVLCEADGNNDIDPGKPYRGISAWSNLTNSWNIMDANAYPRKNANGKSYKPELGLYNAPSSDSLTRYTLQLPEKFKGRAGEIIGYYNGTKTTVKLDDQGNPYIQERYTTSPGTRGERAPFKFFIPEDMFQEGKNEFITRMDTVDKETGKLGPVKSYNGVPAEFPEVAPKWLDQDPGNTLTCTDSTTDPKSNTGPGKGMANNNCAKQVVEKVTYDCSAEPGSSGCVPFTKNDTVASSSLKLPDNPRAPLNDSWVNLSLSPANASSNAAVCVGWKRGEQRISLYYGIGANNRPLGEVFANAKVYITDQPVDGNNCGEIKDWTLVADYANGVNNFRDMSEEWNKKATGLYIVLPGEKAVTSPTTLRYRVEGADPAVIATAIKDDHTNPGPNEAGVINLEGAKYVTTPNFASVKTACGPASPVASSRIYFSTPSAGVNNSYLSRTDPAIKSLGRQKYEYRGVPSLGFNNGSAYLSSKTMKESLGEEGYADYLKKREEQNLPPEQVIHRVYISKCLDVVPAELPPNARFIQDTPKSNNPQDCGFDAGRYIEQTWALSADPSDDPFMQPFLMQKTVDAQQEKSSWFYSYFGMITHGDFKGDSRSFHVYTPVWAGPGQRFNVLSEWRLTGTPAITDPSGGQTLTVNQGLVNSRSPKVDANATNNPTWDMKPQPVPGNYTPLRSATKYDTIVIPQATVAQLSKSVIDPLVPTRTDFTHAVNIVNYSTGQFGASEFIDVLPYNGDGRNLDGQSESTGAEGEGTDFHGQYWLDELPKYVGDDQNLPVQFTTDDPKKVSMCPSTANASDIELCRAMFKRPGVGDLDSKPNTTAWRDLTQEELEKYKESAKAGGEKITALRFRSKTFLPESNRTYYLHFDAKDNRAGDRYRNQIGVYVVTETEMYSRANAGPQPAAVQTEVYAGRISGNIYQDVDKDASRGSEEEPSPNGRIVELLKCTTNKAGEVENCDEVYQTITLGEGKLNQNGHYEFDNLPAGTYKVRVKPLDDQEINTEAGKNPENNGTWESGTQVIQGISPAQNGGQEEQIRDINFGYWVASPSVTVAKSVNDPEDKRTVDGEATFTIEGENDGDVPLTEVKLDDQWVKDTESEKLKNQLTCVITNSEGTAYVGEDLKAKGDLLSEQGANLAVGDKYSCTVTWSKVTQEDIDLEAILKNTASITGKYKSKVVTPDPSSVIVPIVEPGPALELTKQVRPADQGTDALSDRVVRDNKEAAAFVITGRNTGNVTLHNVTLEDSKLSNEAPVTLDNCVALDAEAGAEEAPKLNVTDGKLTLAPGAGFQCTVEYTVNQKDVDNRKDIDNTAVLRAKTRPDNAEKNRDVVTEKKTATIEVPVYKPSIALTKTAEVKQDDQAIEGKALAGETVEYSFDVHNTSKVTLRNVTLADEKVSDLKCPKTELAPDEHMTCTATHVLTPQDAEADTYDNTATVTGENVQGEKAEATSEAKVVVGTPKVDLAKSIKDKKDSYNRGDQIVYEITVTNTGTTDLNDVVITDVFTHERPGADIVCPDGFDPAAGILAQGTKVTCTVTTEVTQEDLDTLTKIDNRADVSAKYRTADNVVETEEQKKANNEASAPLNVKTSIKLEKSIVEPKALYAQGEPVTYKFVITNTGTQTLDNPKVLDSKLGADEISCGEGPIAPNASVECTVDYKVSAEDAATNGKIENVATANATKPGQNADTPLAERVKSEESKATFNTGTPKLEIAKAVTSEKQVDLVKGNKVTWKVTVTNPADAITPVDNVVVNDPMFADAEDVYCMVDGRRIDGLEIGTLAIGQKAECFGTTTVTQDEVDAGEQIVNTASTAGNFGENKVEGPQAEAKVSVSSKAGIKLTKTVVDPKPIYVEGDEVEYSFVVENTGDVTLHDVKVTDPMFENGVTCEQTELAPGAKTTCTADKHVVTAEEADSPTLVNKATVVGLKPNNKVHNNDPVKDEDDATVDIGKPSLAIDKAIANPGPYKAGEKATFTIKVTNDGPTDLTDVKITDDMDGHDVDLNCPEGADKIAKGDSVTCEATITVTQDDVNAEKPLTNTATAEGKTNKAKAPKKSDSATITVANAKKLELEKTITNKPEGEQFVEGDTVEYGFVVRNAGDVTLKDIKVSDPMFGEAFDCGGGELAPGDERTCVAKTHKVTPEEAEMGLVPNTATASGKTTGGSTPGGQDVKSNPSTANFRTGIPALTIDKVADNPDAEREAGDTVNYTITAKNAGNTRIDNVIITDDVIAGMLEDPEREATITCDDDAAWGGAGASLPAGGSIVCKASFKVLQSDVDSYDWSVNIAGVSGKYGNKKVTPVQAEAKVPFKEQTPLLKLTKTIDNLQEPYVAGDKIRYTFKVENVGETSISKLVIKDKMLEDNGITVTCEATDLAAGAETMCHSDSDYTVTEADVAAGTVNNVATVAGTTPIRAISNIVPLNPIEPKPKKPSTVESEESSTTARTGKSALTLTKDASQVLVKAGDTITYTLTVANTGSTELNNVGINDPMAAKGQLKCADPAVAEGTATLQPDETVTCTFTKPIDQADVDAGEGIVNTATATGSYHEQPPLKATATKTVEVSKVTGLNITKEIADKQDSYTPGDKVKYVFTVTNTGDITLSDVAVYDEKLVDAGVEVSCEAKTLAPNESTECAAADYIVTDKDADAGRVVNTAMATGNTPAGEKVTSDEDTAEFNSHKGSRVPWWPLLGLIPFLGHHIGSSDPQPAPEAPAATEAPAVEGKGIAKNDEGIKGIAKNPTALAQTGADVIGFGVAGIALAAAGAGLIGSRRKSKGKHCK</t>
  </si>
  <si>
    <t>GC_00004231</t>
  </si>
  <si>
    <t>K06872</t>
  </si>
  <si>
    <t>MSKFSRRARVAVFAVVSSACVAGVGVLAPTGALAAPSPVLLAQSGGGAVQLTGSVTDTSGVFSSDEVSRLRDQINDVAKSTGVNMRVVFVPTFEGQTAKEFATNLYDAYGGQRGVIFAVATQQRDYTTVYGPGVDPEVSKQITKAATSLLSDEKWFDAASAAISAVKDTEGGSSVSSADGGGIDAGGAALAGGGALAVAGGAVAYARRRRKKDDEQRLEAARSMDPADTRGLQQQDLATLRTLAAEELVSTDESIRRASEELERAREEFGPARVAQFTQALESSKVTLARAFALKQAMTPQDEHATLVQIVSMCGMADDVLDAQAEEFAQMRSVLLTAPETLDSLTRKIVDGRSRVPAAAAALDKLIEAYGRESVASVVDNVELASSHLNDADRVLEHARTVAAKPAGQQQGLVDDIRAVETTLQQVDMLLSGVEHADDTIRRAHADLPQLTASVRANVADARALKQSSPEVDLSDIDAAVDQATQALAVADGGADPLASYTGLLEASTQLASALAQARSTAADYSVQRQVFDQTMANAHTQLQAATDIINTRGSMVGSAARTSLATAKQHWSEAEHLTDSNSIDAGITHARSAAMWGKQALDEATRDVRRYQNQNMSGFGGGGNGLVTGLILGNILSSSFRGGFGGGFGGDFGGGFGGDVGGGDWGFDSGSF</t>
  </si>
  <si>
    <t>GC_00004232</t>
  </si>
  <si>
    <t>PF13730.12</t>
  </si>
  <si>
    <t>MSLKAMIWVMEDAPVENHAELAILYALADRANDDGTAAWPTQAWLAERARCSGRTVRRHLAALEERGVIRRGDQRLVMWERSDRRPIVWDLNMSLARQRSDKSPSAAGQNDPPPTAGQNGRADKSGTNGRTNQVERPDTAVSYKPSTTIHRTVLTPSSPPATPAVAANNVDVAHATSSETIKDGYPPEFETWWMIYPRKTGKRAAYKAWQQALKRVSADVLSVKTDAFAQLVRSERRETRFIPHGATWLNRDGWLDDLDAERHAGTGNAFLDMLSAPQTADLSGLKQLPLHR</t>
  </si>
  <si>
    <t>GC_00004233</t>
  </si>
  <si>
    <t>MSTVAGRTEFLRALVGLSTVESGTVSLNGETYTPSRPAAAASRGLVYVTEERKTDGIVAQMSGLDNVALPVLKRYTRFGWLRRGAMDEAALEILGKLQIRGDVMSPVESLSGGNQQKVLLARAIAQRPTVLLLDEPTKGVDIGVKNQIHDLLKHMAEEQGLTLIVASSEEEEILNLADRVVVFAKGSAITEPISTGALDVARLHELAWS</t>
  </si>
  <si>
    <t>GC_00004234</t>
  </si>
  <si>
    <t>MSTKQIHGGGLPNGDDAEATAGQVQANFSTQGVDDILDDIDDLLETNAEEFVRSFVQKGGQ</t>
  </si>
  <si>
    <t>GC_00004235</t>
  </si>
  <si>
    <t>MDFRSQVYSPAQNIAVWIAAWHLHHTSTDNFTDAMLALGGPTDLTLLARIRALLDAAHAQAPMEQPLVRLALSGPGDPGPHGVIISKGAHPHEALLLREVDTPPALAELDPHRSAEWDLVDPGVLPPSDYLMPGDADRLLAQATAVAADMIEAKGFSTDALHNPRLTVGALSDFYDTPGLPDATPGRAAQLFARADRVAAIIETVGDRMGEHSVDTELIPLWRHIRRARITGVEYAARDMRRYARP</t>
  </si>
  <si>
    <t>GC_00004236</t>
  </si>
  <si>
    <t>MSHGPETMAPPPGEHFADSKETTAQAILETPTAASLSKHADAETERALTRFLFDEADLVDNMDWDAWLECMHPDIYYWAPVRENRVYRERKHEFYEKGTSVYFEENWEYLRQRVFRLQTQKAWAEEPASRSRHLVSNVRVDARGDGNFDVRSNVLVYRSRGERYQDHITYERRDIIVKDETAPLGFLVLEREIRFDMATILIKNLSLFY</t>
  </si>
  <si>
    <t>GC_00004237</t>
  </si>
  <si>
    <t>MIGTDVLVLENPGPALDGAVAEALFQSVESPVRPIEVLDELVDAHWVLVLQEVDHVAVTHGMFLSVEQRTRGSPSTMLYEDPAVGNASVLLSPEEVQMYRFAQRVLYLNPTELRLCA</t>
  </si>
  <si>
    <t>GC_00004238</t>
  </si>
  <si>
    <t>MEEQAHLAGIDLSDYIGSEVEVLGELTNSVYSSRMVSVVEATQLIADAIGGYSQVLFKIKTGAMNAFT</t>
  </si>
  <si>
    <t>GC_00004239</t>
  </si>
  <si>
    <t>MSWDLSAFRTKRPVTSIDDLTEDDLLPLQRQQIVTELSLIATACDAQLDTNDPTWLIMQTDAWIVEFGLGKREPLITMGLHVRGDKEPKEVFAYLVHECGMRLLEWSTGEFLDLSKQSSFREWQQWCERALPKD</t>
  </si>
  <si>
    <t>GC_00004240</t>
  </si>
  <si>
    <t>MTIVQQLMRLVPRRGTLPEPLALEGHDRAVVFLHGSFGSSGNFEAAARAVQAAGIPTVGVDYARRGLADLGHGEQQLAEAVRDVLRHVPVVDLVGHSLGGYMAFRLAARPEFAGRIRSIVGLGAAFKGMPVTGTRLQRRMIRWLVGPSFDQLIFEVPPSPDKHIHPDLMVVSVVSDADTVVPRSSSNVEDIGRVVHVDGVEHGKMTDLVAHILEALDIPSAHTA</t>
  </si>
  <si>
    <t>GC_00004241</t>
  </si>
  <si>
    <t>MVGADRLDLVSVAGSGVGVSTVYQLVSCTDHVAENDVAICGNGGHLDGDLFLLAFKGPRDVFNLGTTKTFGHLQVCLGGITVEVPLGIGGIVGDDQVVQLFVVGRHVQAPRQHLLQAEELVVRGQGQPAILTEDPVCGTDARLNVDINGLDVLEVHLGSLASLVFLTADDCANADPTARVL</t>
  </si>
  <si>
    <t>GC_00004242</t>
  </si>
  <si>
    <t>MTGMLIRLVELGCHVYKFDVVETICPESLLKLLPEWPPFIELNIELSELTITLTNAVMLSANNATVDGCAPTAFVSAFQIEGNVDLDNLLAGVNEILPEVAVNNNFDSRVVSLLGKLSMRVHK</t>
  </si>
  <si>
    <t>GC_00004243</t>
  </si>
  <si>
    <t>MTKQESNQAQSRPDYASAPRLLWAHLNGRGPLLALAIGCGIVAGIAEVTPAWAMWKAVTSIAEGARTSGEGAARTVLLMALVCLAAVVVKSTFFAVSTGLAHLVAFDVIAEIRLRLGRTWNAMSVGSVARIHSARAKTVALDHCEKLELFIAHAVPEAAAALTVWLSVTVWLFIVDWRLATATIVLVPIAFATIVHAMRSNGHRMGQWVAAKDDMGAAILDFLTAMPVIRVFNRTGQEHQRTSDAVRRNAELQSSWGRAFVAWGAPFSTLVASAIAIIAPVATWLLAIDAVDVPTVLLFLILGPTYPVPLVTMFYRLVALPLLSNGAVEIERQLSAIPDTGLARDRGSSDAYRGAEALEASASEVRIEHVSFSYGPGNLALDDVSFTAEAGKVTALVGPSGAGKSTVGELIAGFYTPDTGRVSIGGVDISELSDAELYGQVAAVFQKPHLMAGTIRENVALARPDASDEELREALRAAAADAFVDELPEGVDTVLGEGGSGLSGGQRQRLAIARAFVADRPILILDEATAATDPENEELIQQGLARLTQGRTVIVIAHRLGTIRHADCINVMEAGRIVECGTHEELLALNGYYWRLWNGTAAAESNETVEDETR</t>
  </si>
  <si>
    <t>GC_00004244</t>
  </si>
  <si>
    <t>MENSNPWLEIALEIIVDAWSQEWEQFAIPQVCGFIAQAGRWANDGGCTMEDFEDALRLFMEDAAVEENPWLRPYLERAAQRAREKAKAQAEYMKQVLNGLDFDADGGTKGGGNHGAN</t>
  </si>
  <si>
    <t>GC_00004245</t>
  </si>
  <si>
    <t>MPITPHLPGFLPMPGASRRRINRRSSLRPSLALTSITGIALATAATFGIAHSPSGLFASGDDAAVLVVDDNGSGPITAAIESTSFDAGDNIVVDDPAIVTQGEAPGPKAVKEFYREEPFDMFALNWSGDKEIAAFFRSERPDGTWTEWFDAEPVDQGPRGVNNGRNGTEPVFVEKTNRIQVSTAGVDMTEAPADLEATFIDGKAAQDSGPAIELTADSDGITRVVSRAGWGADESLRCSSPTYNDEVNAITIHHTAGSNNYTRAEAAGVVRGTYQYHAQRLGWCDIGYHALVDKFGTIYEGRYGGLNRAVEGAHAGGFNENTMGISMMGDYSTVRPSDATIRSVGELAGWKARVSGFDPLGYDTHYSEGTSYSKYPYGAAVTLPNIFAHRDVGNTVCPGDAGYARMDDIRGIAKQKYDSLSGTTVTDTNPNPDTGVRRPSPGTGGIGGGSGRNPGGTGGYDGDASGSSMLGSSKGAGDVDRIINHANDLIDAIKTIDNATKELRN</t>
  </si>
  <si>
    <t>GC_00004246</t>
  </si>
  <si>
    <t>MLFASHRADSTPRARHADRFVNKHTKNSRRMLTAITLSVALSATSLPAYAQPTNPNDAHIAQAHNDVDSRSSDVASLATSLSQTEADIARLENEMGGLREAVNKALVDLHDAQATAERARQESKAARAELDDTQAKMTKAQATLDEISRTAYRGGGTGAPIGEISGSRNSEDSLDRQTFLRVQTEKQRAAIAELDRLRTEKANNESALREARKVAEQREQEAADAEAHARQAIETNGAALQEKQAHRQQLVERRDSAQSQLDSARGTVSTLEGQRQEYLDYERSKQQRAEAEQQAREAAAATDQAQQQAQQAQQEATAAARAAEEATQAAQQATAPQAPATGNEQGPSAQELEQQRRAQEAARKAAEEAAAKKAEAERAEAEAAQRAEAEAQAQQAREAAAAAASAAAAAVIAATAPNHTALDNPYPTDEEAADAVVAAQQQPTAGNDAATGDTVSQTTEGTTDGDNDVIGGLINLLDQITEGTNKAPQTARDITAATTQVVSGSRDEKIEAVINRAMSQLGTPYAWGGGDANGPTLGIRDGGVADAHGDYNKYGFDCSGLVLYAFAAAGISLPHYTGYQYQRGTKVSPSDMQRGDLIFYGPNAENHVAIYLGDGQMIEAPQSGSTVKISPVRWGGMSPYVVRMI</t>
  </si>
  <si>
    <t>GC_00004247</t>
  </si>
  <si>
    <t>MSMNAIQKTGRSAGLARTARSAGTALRSSWATEPVCLVALVAIWVLYVLGLNTSIGVPLGQWNPLRIVLSGAAASNGVTTVLNTVSILLFGVMAERTLGTWKFIGVAVLTQLWAGVVGLELAYLVAQASPVWGEELDREVLLTPSVWLFGTAAVASAWLPALWRRRMRAVLVGITLTLFMYTGVLADFSRLVAVIVGVAAGQWLAHGGVKAFSFPRITLRESRILVAMLLLAIAVGPLLVGLNHDAAGPLAKAAIIAITWDNVAVFANLAPFAVVFVVLSALSRGRRVAWWLALGVQLVTTVLLLVGFVAVGGEYGWSPALIVSGIGVLLPWLVGSIVLIVRRNLFRIPMHRPVLITMLWREFVVLVLSVGLWLLMQLFFGPAGASFIDVVDVVLPPAVTDNADALVLPCVLFWAASSIVLYMALVAHPNPTDQALRERMRTILQSGGGDHLSWMTLWDGNDYWCADDADGYVAYRLSANVAVTLGEPVCGAQGDRDELARQFEAFAQNNGWTVAWYSVRPEFRDALEQQGWHSVQVAQESVVDCHEVKFTGKKFQDVRTARNRAEKEGIRAEWLTWDSAGPALRERIVALSEEWVSDKALPEMGFTLGGIDELQDPQVRLLVALDQHECVHGVTSWLPAYRDGEIDGWVLDFMRRDPSGFRPVVEFLIAEAIVAANEAGVPWVSLSGAPLAHGGPDSQDDKEDVLLNVLDRVGQYLEPLYGFRSLAFFKKKFHPEHVAWSLCYQDELSLASIGVAVSKAYVPRIGAGQAVHVARVWAQG</t>
  </si>
  <si>
    <t>GC_00004248</t>
  </si>
  <si>
    <t>MVPGNLLMNSETRIQSLVWSVVSGLELGMLIVKLLHRKTTDIKGMFKPKWNEMCFGRI</t>
  </si>
  <si>
    <t>GC_00004249</t>
  </si>
  <si>
    <t>MLRPPGHGGLRVLWWVLLMRITVRCCGLTTARIIWDLWHGWRRHLGCGGGRFIIQRNAGAHDRDRHSWGYHHGYHGYGRHLHPKFDLGCGGSGCGKQGATS</t>
  </si>
  <si>
    <t>GC_00004250</t>
  </si>
  <si>
    <t>MHFIRPEGFDALVPPALPPNQRFYTLASGAAEVGTAALLVNPSTRRVGGWATLALMAGVWPGNIYMAYDWRDHPLWQRAIAYGRIPLQLPLLRAGWNIAHRQD</t>
  </si>
  <si>
    <t>GC_00004251</t>
  </si>
  <si>
    <t>MQIFRVRTGLVAAATCASLAVAGLPGVPVAVAAPAAAASAADYWDKHDSASVDLKADQSIDDVALGSTITFDVAAPESAPEGGSLSLFVDGQQVDELPAKTLQAEYTFNSFGPHIVLARFTDTAGANPVRDAVLTVNVVGPQTRTNSKSPLTATVVGTVNDATSSLESPVEVAPGDTVTYEVSSTVAEKVRRVETGIEPPVGFTYVEESADFNDGAAFHLTTRGMTFTNPEPGWFSSFTDPGWTRSPAPNDNYIGVHPGGRSYGLAEGATEKLKAQFVVPADAQPGLYEAAIGYMDGYGPATGTRALVPLPGTIVKVAAKEVPAPVAPGESSAPGTGDSSAIGPENTRPSKFNARCMSNGAPFGQDAESPKSMELSSTSPRWVREGEEFDVTLTPAPIETEGKAESATILRVDRVKIDMALPSPEVAEVVSYELVGEGQNLDGDAPTVTRINAAGEPAEDGGFLRLSGANKTVGNGPDTGLSQGGLGAEVNGKPVTYTLPAVKVRFKAVGKPGEFVRTYLRSEGAAGQFNKPENFLSMAVTAKHSLAGTFTLGVNCVPSEKAQKSYLSSTTIVATPKPGEEPAPPVIDDEEPPVEEPPAEQPPSDWFSNFIANPAKLSLAAIIIGIANLLGIGAILVTLWGNGMFATFGANGSSGAGVPFWGPHGRN</t>
  </si>
  <si>
    <t>GC_00004252</t>
  </si>
  <si>
    <t>MPGYIDIHHHGGGRVAYDDGPEAAAATSHLARAIGVDDNFGTLAAGYPGDVIVLDPETLLPKGIFFV</t>
  </si>
  <si>
    <t>GC_00004253</t>
  </si>
  <si>
    <t>MPHTAAPKPVVKPANPILSAPPVTPLKPAGTAATPTNATSSSTPNDDAAATTVAAAELSATTEPQGSWLRGLLIGIGGMCLLIAAVVFGASIRKP</t>
  </si>
  <si>
    <t>GC_00004254</t>
  </si>
  <si>
    <t>MTHSGAIIYSGVLSPSRRAALFSAYSEGEFSLVYTAAYMKTELWLSLTPQEQLIAKAVAATARRKRAAARGLAAVACHGLPIPGGLWSPQFLTFSDATKRARRYSVDLLPTRFGEARALSLLDSIVDVGSVHSIEAALIAAEHHVRTHPKDLARVRSALAEAQDVRNAAGIRALASVLSATSESPRESELKYAMWQERLPTPLAQARVVTSGGRFVARPDFFFEEQAVVVEYDGIEKHTGAFGTAVDESLRRERERERQLINLGIRVVRFDRRTFSDGSAMLALRQALSSQYAPLVAPRYRIEGGQPAWRS</t>
  </si>
  <si>
    <t>GC_00004255</t>
  </si>
  <si>
    <t>MACDYVLNNGVSLSTPSHGLFLGCRDDILRLFPATNQRRTGVIHWGAKQGDGGWCGRHVT</t>
  </si>
  <si>
    <t>GC_00004256</t>
  </si>
  <si>
    <t>MRGEYFSTSTGSCIMGELPPRARRIHPPTNQAGGLFGTTSACAENTKPMGHMGPRYRNYLRVRGEYPPNPKVTNSTLELPPRARRIFVIKSRKPGGLGTTSACAENTTHPRARRQSTRNYLRVRGEYTSGIISVVSSMELPPRARRILPAFTDSIPDNGTTSACAENTRPKNL</t>
  </si>
  <si>
    <t>GC_00004257</t>
  </si>
  <si>
    <t>PF13454.12</t>
  </si>
  <si>
    <t>FAD-NAD(P)-binding</t>
  </si>
  <si>
    <t>K25562</t>
  </si>
  <si>
    <t>L-aspartate N-monooxygenase (nitrosuccinate-forming) [EC:1.14.13.248]</t>
  </si>
  <si>
    <t>COG4529</t>
  </si>
  <si>
    <t>Uncharacterized NAD(P)/FAD-binding protein YdhS (YdhS)</t>
  </si>
  <si>
    <t>M00951</t>
  </si>
  <si>
    <t>Cremeomycin biosynthesis, aspartate/3,4-AHBA =&gt; cremeomycin</t>
  </si>
  <si>
    <t>Pathway modules; Biosynthesis of other secondary metabolites; Biosynthesis of other antibiotics</t>
  </si>
  <si>
    <t>KEGG Orthology (KO)&gt;&gt;&gt;09100 Metabolism&gt;&gt;&gt;09110 Biosynthesis of other secondary metabolites&gt;&gt;&gt;00998 Biosynthesis of various antibiotics [PATH:ko00998]|Enzymes&gt;&gt;&gt;1. Oxidoreductases&gt;&gt;&gt;1.14  Acting on paired donors, with incorporation or reduction of molecular oxygen&gt;&gt;&gt;1.14.13  With NADH or NADPH as one donor, and incorporation of one atom of oxygen into the other donor&gt;&gt;&gt;1.14.13.248  L-aspartate N-monooxygenase (nitrosuccinate-forming)</t>
  </si>
  <si>
    <t>MAHTPPHADAPAIALIGMGPRGVSTLERIIATHEATNAHSPLHIHVIDPWEVGAGEIWRPDQTPLVCMNTLAGAVTLYTEPDATITGPVRPGPTMYQWIVGVRTGLYQAELPPHLREELHHTRPESHPSRALYGAYIRWVYQHIPLPDGVTITEHHARATSITAAGDTRDVITLDDGSTITADATVYAPGWIPNTHQAPAGARRWIGPGNPIDQDLDAINPGDNLLIRGLGMGFFDAVTLLTQGRGGRFDHGRYIPSGKEPHIRVTSRRGYPFLPKSEYEALPPQAPLRRMKAAIADHADAERVDFSTTLFPAIIKDAYEAYYRALERITPGALAIPIEQIIARIDAAGVRSIAGVTDTATPDSAFLPWALDGVTVDPADQWNHLVEIDPLAEFDGDTEQLQAFIHERLATDVLDAARGTMSARKAALWTISACRKPAAVFGEQGRYTLESSRGDFATLMDFGQMVGSGPPAFRTRELLALTEAGVVSFVLPQNAAVAIEQADVVLDAFLPSPDIHRSADPLIAGLRADGRLQPFAYDGVSTASPDVDPRTRLLAGDPRVHLIGIPTHAQYADTTISPMPGTDPTMLRETDAAARSALAVAYGHDWQA</t>
  </si>
  <si>
    <t>GC_00004258</t>
  </si>
  <si>
    <t>MITLTSLIEEVGTWDPAVLASACRDELRDVIISRMAVIFDVDAISKMSSEEEEKIQADFAEAFDAMDLVQAYIFSVNLPSLISGLNGGNRNLEEWQFDVFQKLWYILLKCDSPLVAFSLENIKPWTRHSSLLKLMKKQDIAIEYLKFEGDRLKLSDPALWVVIQESVIPKLLNEVADQEKVPHIQSALDAILKVYEKYDWTFPSERVVWHILDGVVECNPGLPLFELCWSLYQEHLDWIKKVCDHVAVSGEDREGLVGLWNAAQATF</t>
  </si>
  <si>
    <t>GC_00004259</t>
  </si>
  <si>
    <t>MDNITISADLDPMLVAAYFIAIDELREDADVTQLKLHKLLYFAQANYLASTGYRLFASDIEAFEHGPVVEEIRPHFKQYGRQIIVSADDAVAHNATQDAKELPLDVIEFLDAVWQRFGQLSASELRQISHDDAPWEEHYDPGQLHSVIPDKEIQQWYRNDTTADRQVYHPRIFRVTDTDLDNLDAPLSEEDLAQWITSA</t>
  </si>
  <si>
    <t>GC_00004260</t>
  </si>
  <si>
    <t>MNIRRHQAHHSRSIRRATITAIAGVAALSALAACSPTEEEPSVQETKITNTTPAPKSTAAASPKPGESKVTIDANPTEDLKAGDDITIELSGLDPAHGYYAAICSPVKVPGNPVPICSGGQGDATAQAWIKTDGGTAPINEDGTATTTIVATPTGTDINCLEQDCVLKIFGDHSEGFVDVVDLPVTFAK</t>
  </si>
  <si>
    <t>GC_00004261</t>
  </si>
  <si>
    <t>PF18862.6</t>
  </si>
  <si>
    <t>ApeA N-terminal domain 1</t>
  </si>
  <si>
    <t>MNIYEHHEVLGWFFLPEKPDNRVPVVLEWDPAKGAEIELMGGLCPGFSDKDVPADQMRRFTSLEGTSNADFGIITLAEEISSIPVIFLKTREGKKYSIWDAQRGNYSVGLSSVRTKEEHWHSVQVYVDGHILPEEKIFTKATFYIDELYYLVNECQIWQPKWCPMEKVGRPGEKPENGTSLMPYMLLVTGGFQPGIFEGSTEDTHYSINLSTTRPWGREATEDTPWLNLNSILKRQRHGLTLTISAEASVSITLRKNTEEPKDLVGTASDLIDKFVPIYDLMRLAMFQPCGVANIQLQQHDNEHGSLLVNLGEVARPNEHHEQLDVVFTLNDISLENFLKERERLTNNYGAFDSWNILISFCGYSSNYMEEYISQILAAIESFHKRCLLGKKGNLKERLEDLYSLLPQKIRNQIKFDDDIEIWAELAANVRHRAAHAGPQDGRNNNTISDEIKRYVGTLSISDRNAIAVSAHLVTYLVLLNELGVSSEAICNALNIHPKISTMVYYCSKVRPLLESIKNLPTS</t>
  </si>
  <si>
    <t>GC_00004262</t>
  </si>
  <si>
    <t>MNVVDSMNTPDLGAAYDAASSSDSVSAAGSAGGSKHRRAASKDKQGGGFMGKFLPLFLIFCERGRAHLIPREWRKVCAAAAGACQVDEPFQGAAAEEEHPGAGKEDDQRALGCEP</t>
  </si>
  <si>
    <t>GC_00004263</t>
  </si>
  <si>
    <t>COG3950</t>
  </si>
  <si>
    <t>Predicted ATP-binding protein involved in virulence</t>
  </si>
  <si>
    <t>MYFSKLLMHNDGPIEHIEVEFPIVDGVPHPVIIVGENGVGKTNLLSVLADAIIESAAQGHNDIVNNSSNGRSWFRYVGGNIKRRGASGYLNVVQFIDADEDIRYSVKSGDVNYLSLDELPPDDRYEKINIDEIPADKNISISRELSTKIHESGVYGFSPTTRNEIPHWFNAKSIDNLNPYVFSKIHGNLGRKIIWEQMLPRVSQWITEIILDSRIDVSIQDDDSTMLNERSFKYQSGLIKRALRYRLAINQILQIILDDKEMQIFWRDRLISDLIISNEEKEFPLSSLSTGQSTLFSLFGTIIMYADQCYINNPFEVSGSVVIDEIDSHLHIDLVNRALPQLIKLFPKVQFILSSHSPFFISGMCEVFGADGVKILKLPEGKWINAEDFSEFGKALNIFRELTSFKKEVEQEIKNTTKPIVYCEGATDVKHIEAAGKVLGYSDVLDLIELCANGDEKGGGEKNLNKLYETARKNVNLTSRKIFTIFDSDVSYDCVLEGNLRRYIFPPNKSNKIMSKGIENIYPEEVFCSEFIYEENFSDGGGFSCTRRKFDKGQFADYISANYGNICKSYFGGFEDLFSELRKWLDA</t>
  </si>
  <si>
    <t>GC_00004264</t>
  </si>
  <si>
    <t>PF02515.22</t>
  </si>
  <si>
    <t>CoA-transferase family III</t>
  </si>
  <si>
    <t>COG1804</t>
  </si>
  <si>
    <t>Crotonobetainyl-CoA:carnitine CoA-transferase CaiB and related acyl-CoA transferases (CaiB) (PDB:1P5H)</t>
  </si>
  <si>
    <t>MKTLTTRGHDHALTVPFSTYDAADGPVVIAVSNDKLFAALAAALDRPQWIEDSRFATYDARFDHRAEMRAEINGALSGFTVEQAVDRLQQHGIPTAPVVGVRTVLRNEYATHRGLIAREEDGFETLASPLRLRGTVAPQRAPEPNEHMDYVLNTVLKEPPR</t>
  </si>
  <si>
    <t>GC_00004265</t>
  </si>
  <si>
    <t>MGGGGEWESCSVVQNSPVADELLIGEISSFFALRRLTLTPPAGSILSKLGTFRGGDFLLGKFLYWTRRSTGP</t>
  </si>
  <si>
    <t>GC_00004266</t>
  </si>
  <si>
    <t>MPPAVSPSTQESVDPKERRRAVWSSFLGATVEYYDFLLYAAAAGLVFPKLFFNNLDETTGTTLSFLILLIGYIARPIGSVAFGHFGDRYGRKNVLVITLLTMGLVSVAIGFMPSSAAFPLAPWLLVLLRAIQGVAVGGEWAGATLMAMEHSKQGNKGFGASLAIAGGPAGAVLATLVLSIFAKASGANFANPEQYFVTDWGWRVPFLLSACIVIFGLYLRSRVTESPEFEEARRRGDVHTGVPLVKMLRDSPKDLLLGTLAGMSGLFVQGLQASYMVPFIVRSTKDSDQPIERADALMMLTIGSIIAIFVMPFLAWLSDKYGRRTVMISGGIVSIAGIWIVFHMIQTGDPSMVWAGMILMVCVVQPAQYGPIGAFLSEKFDAAHRYTGAGMTFQMASILGAGTAPLIANRIAPPGSSLDPIAWWVSGLFVISSAAIYFSRETAHRESHEERFEETAVFKA</t>
  </si>
  <si>
    <t>GC_00004267</t>
  </si>
  <si>
    <t>MITSPPRLLPMASHGCSCCGPASRADTVSIPAASDSSAGGSSPSYQVTGLTCGHCAKSVTQALQALPQVDDVQVDLAAGGVSTVTVTGDVPPEMVRRAIEATGYTVLS</t>
  </si>
  <si>
    <t>GC_00004268</t>
  </si>
  <si>
    <t>MAIQNKIGVTGPGTLVIGETASGLDIAPQVTNCILNSSVKAGKTLNFLDGGVGQSQPVYSYKLTATVIQNLTLKGAVGYLYAHQGETAKITFVPNKIDGAKFEGTVRLDPPDVGGDAGEGDTTKLTLEFVSKPTFTPATKVNGMEP</t>
  </si>
  <si>
    <t>GC_00004269</t>
  </si>
  <si>
    <t>MQALFALHSFGMNNGDFRVGDADRTAALDSLSTLASRGYITLPEFDERSRSAAAAVTRNELNALFTDVPASAFEGSPGNAYTPNLPATYGAPSAPQLWTQGMSYPVPDAIESPREGRHIRDGFMAITTICVVAAADLSDIEALTLIIPVLAILIYGMKLGPKSWFAPTKKQLQKQELWRQKQIAAMQTQQIRQQLAIESAQRRAEILGNFEESARIASEATKRFADKANDTTRKFFG</t>
  </si>
  <si>
    <t>GC_00004270</t>
  </si>
  <si>
    <t>K02554</t>
  </si>
  <si>
    <t>2-keto-4-pentenoate hydratase [EC:4.2.1.80]</t>
  </si>
  <si>
    <t>COG3971</t>
  </si>
  <si>
    <t>2-keto-4-pentenoate hydratase (MhpD) (PDB:1SV6)</t>
  </si>
  <si>
    <t>KEGG Orthology (KO)&gt;&gt;&gt;09100 Metabolism&gt;&gt;&gt;09105 Amino acid metabolism&gt;&gt;&gt;00360 Phenylalanine metabolism [PATH:ko00360]|KEGG Orthology (KO)&gt;&gt;&gt;09100 Metabolism&gt;&gt;&gt;09111 Xenobiotics biodegradation and metabolism&gt;&gt;&gt;00362 Benzoate degradation [PATH:ko00362]|KEGG Orthology (KO)&gt;&gt;&gt;09100 Metabolism&gt;&gt;&gt;09111 Xenobiotics biodegradation and metabolism&gt;&gt;&gt;00622 Xylene degradation [PATH:ko00622]|KEGG Orthology (KO)&gt;&gt;&gt;09100 Metabolism&gt;&gt;&gt;09111 Xenobiotics biodegradation and metabolism&gt;&gt;&gt;00621 Dioxin degradation [PATH:ko00621]|Enzymes&gt;&gt;&gt;4. Lyases&gt;&gt;&gt;4.2  Carbon-oxygen lyases&gt;&gt;&gt;4.2.1  Hydro-lyases&gt;&gt;&gt;4.2.1.80  2-oxopent-4-enoate hydratase</t>
  </si>
  <si>
    <t>MTAEGCRDEIFTEVAAGLLAAYSSRTPVEPPRDVIEDLDVAGAYKIQQLQEATLRAGGHKIVGRKVGLTSKAMQKQLGVDSPDFGFFTESMVLKGPVEADRFIAPKIEPELGFRLANDLPAHATVDQVAETVDAVFLAVEIIDSRVRDWDIRLVDTIADNASCGAVFLSDEPIQVRMDELNGVSAVMCVDGRETGRGSGIDVMGNPLAPIAWLTSVGVELNAGDIVLSGSFCGAAEVSAGSTVDIDYGKYGTLNVEFV</t>
  </si>
  <si>
    <t>GC_00004271</t>
  </si>
  <si>
    <t>MSLLWAVLIATAAFMLPGLVLSWLSGLKLPAATAASVPVTFGVYGLAAWLYGVMNIRYDVASVAVFFAVSVLVAGLWRWAVDPKKLRSLRAGELEWKQQWKLKLRATWEDTFWVLPAVGTLAGAGLLGWRSLWLLDQRGVESIFQGWDVHWHASVLRFISNTGVAAPQRMGELQNVETHGMAYYPTGWHAGAWIAGDLAHLSPIAATNVAGILIPALALPMSMAVLAWRIMASRGLTAQIAAGFAPIIVVAIPAMYWVGIFIGAWPYLAALCMVGSTLWLITSCAAAPRRILAAAVAFAGCFQTHPAAVTVVVVGVALWWLLWALPAPQTQLSTEGRAPWLLRRLADVGALAAAGALGTVLVLPQIIAGNTQTEEVQAFNNYEAITRQEAWEMVLTLQTRHAGDFGVNEPLLWAAAAGGVITLLWRRNVWAPLMYVLMVGATVNSLVPFEGTIHNILWAYGSMHYNVNSRLVMPVAMLTAASAAIAIASVGRLIVWVLLRRWQRVCAIVSVLAALGGGAVLANKAYADTVDASVFGIVAARDNRLTSEADLHAFDWLAKQPKAFEGRILINPAEGSGWMYAYNNLPALFRHYVWPDAKPGSDTLAAYWATDKLGRGNFDDPDEANAVDIAVDNLDINYIMVSPPSFWWFQFPMESLEYGLWTTPGTTLVYHDGDVRIFAVNKHFTDAQINAMRDSGDSPTPLPHHPTMGELGIAKDPADANKPYYHRWKTNNNPVKEYPYDWSDMYSARQFEATNAAIEANQQAVLDALKEREQ</t>
  </si>
  <si>
    <t>GC_00004272</t>
  </si>
  <si>
    <t>MDDKNAAELLWQEFESAKQALKDVLVERFLPLFPDLEQLFDMLPLEDIASLLLKRKEEELLYFMQFGNFVPDALPPALHELGVSFKHYQSIQEKVISDQLAAFELTEEPKQMPKIKLKPNWEPLNKYPREYPFPGEI</t>
  </si>
  <si>
    <t>GC_00004273</t>
  </si>
  <si>
    <t>MHPVDVEIRDTTIKLGQLIKLANLVETGGEAKALLAEGAVSVNGEVDSRRGRTVRVGDVVEVAVEPSPVAVRVLAAGSAAASDDVAGVAAEWAPGFDPSVLGNLDEIPIAGGEDA</t>
  </si>
  <si>
    <t>GC_00004274</t>
  </si>
  <si>
    <t>MRVILASAVVGAAAAVALVFGVASVASDNSLPDDRPIANEDALLGSAEYGSRQ</t>
  </si>
  <si>
    <t>GC_00004275</t>
  </si>
  <si>
    <t>MTGIAVSAHNLRKSFPVPDATSVEVLHGISCSIEQGRMTSMVGPSGSGKSTALLCLAGLESATSGQVTLMGRDLNALSPAKIAKLYRDKVGFVFQSYNLVPYLSVRENIAISDTLAGRRSDQRRLEEVLSRLRLESRTNSLTSTLSGGEQQRVALGRILYRRPAIVFADEPTGALDTRSASVVLYELRRLADDGVTVVLVTHDLNAASLADSVMILRDGHIISRLDSGISSEILLSIMNNAVEEE</t>
  </si>
  <si>
    <t>GC_00004276</t>
  </si>
  <si>
    <t>MTNNSPDTLFEIADVTARLVTNRADMPEFIPVGIGEYHKQVIAPEGIIYQGDSLAWLKSLDDGSVDLIFADPPYNIKKADWDNFESQEAYITWSMEWIAQASRILSPKGSLYVCGFSEILADLKHPASQYFAASRWLIWHYKNKANLGNDWGRSHESILHLRKSRRQKLTNVDYVRIPYNAHTLRYPNHPQAETSAYGNGKKRDQWAPHPMGAKPKDVIEVPTTCNGMNEKTPHPTQKPEELVRKFVFASSQAGDMVLDPFSGSGTTAVVAAQLGRRFLACELDPRYNGWAAERLRMIPHKTEKEWFEYDKAAVQRRESIR</t>
  </si>
  <si>
    <t>GC_00004277</t>
  </si>
  <si>
    <t>K00252</t>
  </si>
  <si>
    <t>glutaryl-CoA dehydrogenase [EC:1.3.8.6]</t>
  </si>
  <si>
    <t>M00032|M00957</t>
  </si>
  <si>
    <t>Lysine degradation, lysine =&gt; saccharopine =&gt; acetoacetyl-CoA|Lysine degradation, bacteria, L-lysine =&gt; glutarate =&gt; succinate/acetyl-CoA</t>
  </si>
  <si>
    <t>Pathway modules; Amino acid metabolism; Lysine metabolism|Pathway modules; Amino acid metabolism; Lysine metabolism</t>
  </si>
  <si>
    <t>KEGG Orthology (KO)&gt;&gt;&gt;09100 Metabolism&gt;&gt;&gt;09103 Lipid metabolism&gt;&gt;&gt;00071 Fatty acid degradation [PATH:ko00071]|KEGG Orthology (KO)&gt;&gt;&gt;09100 Metabolism&gt;&gt;&gt;09105 Amino acid metabolism&gt;&gt;&gt;00310 Lysine degradation [PATH:ko00310]|KEGG Orthology (KO)&gt;&gt;&gt;09100 Metabolism&gt;&gt;&gt;09105 Amino acid metabolism&gt;&gt;&gt;00380 Tryptophan metabolism [PATH:ko00380]|KEGG Orthology (KO)&gt;&gt;&gt;09100 Metabolism&gt;&gt;&gt;09111 Xenobiotics biodegradation and metabolism&gt;&gt;&gt;00362 Benzoate degradation [PATH:ko00362]|Enzymes&gt;&gt;&gt;1. Oxidoreductases&gt;&gt;&gt;1.3  Acting on the CH-CH group of donors&gt;&gt;&gt;1.3.8  With a flavin as acceptor&gt;&gt;&gt;1.3.8.6  glutaryl-CoA dehydrogenase (ETF)</t>
  </si>
  <si>
    <t>MDFLKLDEQLTEHEIHLRDTIRQFGEQRILPIINDYWERAEFPYELLDGLRELGIIGTFIKGYGCPGLSRREAGIVSREMGRIDGSINTFLGVHSNLAMGSIYMLGSEEQRSRWLPAMALLEKTGAFALTEPDHGSDSVSLETSAQLEDGHWVINGHKRWIGNGHAADIVVLFARDTADGQVKGFIIEKDTPGYNATVITGKVGKRAILQGDIILDNVRIPESNKLANCNSFKDVNKVLAATRGGASWESLGHGIACFNLARDYVMQREQFGAPLASYQLIQEKLATMLADVTHMQLLCLRMAELQEAGEFTGPMAALTKMTCCRKGLAIAREARDMLGGNGLLLDNHIARHMTDMEVVSTYEGPDSVHALLVGREITGISAFSRKAHS</t>
  </si>
  <si>
    <t>GC_00004278</t>
  </si>
  <si>
    <t>K03154</t>
  </si>
  <si>
    <t>sulfur carrier protein</t>
  </si>
  <si>
    <t>COG2104</t>
  </si>
  <si>
    <t>Sulfur carrier protein ThiS (thiamine biosynthesis) (ThiS) (PDB:1F0Z)</t>
  </si>
  <si>
    <t>MRAVKVSIMSEARTATIAITVNGEAVELPASTTVGALVRAYVNSEHPEGVAVAVGDDVVSRTDWDRALSNGDEVEILSAVQGG</t>
  </si>
  <si>
    <t>GC_00004279</t>
  </si>
  <si>
    <t>MSNTISILVSPLRHTYPFGVGDRVAEYGTVEQMRSDIASCFAEHPDCRRVIVAAAEDNLEEIAACEQAGLRYVVDVQTRDHEAYSLMVAEPDWVVNQPCEIDEMELK</t>
  </si>
  <si>
    <t>GC_00004280</t>
  </si>
  <si>
    <t>MPVLFENSIVVSFDETNYCLNMNANVGTK</t>
  </si>
  <si>
    <t>GC_00004281</t>
  </si>
  <si>
    <t>MLDFSVAEIAQIVGGRLNEQAEAIAEARVTAPAEFDSRKLQPGSLFIALPGENVDGHDFAASAIEAGAVCVLAAHDVDAPAVLCPPATGETTGLGLEHPDAQAVIQGLSRLARGLVDRCEQLTVVGVTGSAGKTSTKDIIASVLEQAGPTVAPPGSFNNELGMPYTVLRCDAQTQFLVAEMSARGIGHIAKLTQIAPPRISVVLNVGSAHLGEFGSRENIAIAKGELVEALPDDGVAVLNFDDDAVRAMAERTNARCVFYSTQSSQADVYATDIVLDEVARPSFVLHAGGVKVPVRLQVFGEHQVSNALAAAAAGLQAGLTLEQVATGLNAHVARSGRRMEVTTRPDGVTIINDSYNSNPHSVRAGLAALAYTASAREDARSWAVLGQMGELGDDAEAEHADIVATLQQLHIDRVVAVGDNPNMRALVDAATAAGVWVRAVPDAQAAAQTVSADIEPRDVILVKASRSEALWSVADIVAAG</t>
  </si>
  <si>
    <t>GC_00004282</t>
  </si>
  <si>
    <t>MYSSTDVANNVLSRAFAEKISVSPMKLQKILYFVASEYQKTTKARLFEEPFSTWAYGPVLYSVFNEFRAFSKEKISRYARNAKNQTLIVDESEDVALRDALDRIWNATQSMGAKELSELTHAEDSAWDKAFQADKETLQPEDILLDETYKQPLGL</t>
  </si>
  <si>
    <t>GC_00004283</t>
  </si>
  <si>
    <t>MPPTPNDLKNLADRNRETPEGILKRLINTITTTKPLHSNSQNPIELKNRATKQVLSRHLAIQLTNHARGKIMISGGTSLMLRAPDARITEDLDILTLFNPTTKAMDALCELMSEDKNDPFTYECFHADDIKSRKGNSFEIDVYLHGRFQSTIKMDAIKARGRELNQQGMFNGVTKLRVRDPLLSTHNDKKELTTLQLISPEKYLAGKIAGLFRIQSGKLQKVLRWKDLRDITTLATSLPIDSDKFQKALNDLVIDSHGSFTIPTRQNMTEFFTQAQKNRDYIDSGNDNFYQINRFSVETMVKILSELLKCPKGSLWELDVHDPQLQNLENQQKSSQFTIQDLQNFDMKIWEVKDTTTDKDTRSLHGAFDCECNKHVKLTDAKSTYYMTDPRELIEAGIPAQLMLDEGLEREEEVMSIQEEQWDTEEDEEWFAAREDNDEDDENELGL</t>
  </si>
  <si>
    <t>GC_00004284</t>
  </si>
  <si>
    <t>MTSESRPLLAFGPAIVGERKRKKGFPNLVTPNSSRQVSRIEPQFRKLVATFEAQRAKMGVGIPDEVDPNLVIVFDLAGSVKDFCNAINKIEGLEFLSEFVGDDTEPDDDFYLKDEEGNKTDKLVSHSLYLVMSNMAAIEELLQLFEKWKSDPKVTLDRGLYKFKEMFQQLVAIRHWGPQDRIQETGLYEEWKERLEVIGNSQSFVQVEVELWYRQDKIKQIKAEEIVRNNVSNVAGKVISRALIPEINYHALLVELPIQQVELFLAEGAESVQLLTVDEIMFVSPYRPMALGWQDNDSIADDDLIKGIALNEGERIQGKPRVALLDGLPVSNHGALRGRLIIDDPDDLENHYPVIKRQHGTEMASLIIHGDLNKPDSPLDRPLYVRPIMESVEGIGCTEQVISNVLFPDLLIRAVRRIMEGDGDSEAVAPSVRIINLSIGDPARVLTRRMSPGGRVLDWLAVNYNLLFIVSAGNHNEIPITIPVEALSNIESARTAAVQATFNNSLLLGILSPGDAINVLTIGATHNDKADAIKVPDTVLDVNRANFPAHYSGRGPGINRSIKPDLYYMGGRVVYKRPVITPEQQGNIVLEIADSSVVGPGVRAAVPSRGGAINGTKFCIGTSNAAALVTHEASKLFDILEEGNSENNLPDALYHPLLVRALLVHASSWGEWKKDLGKDLDLPKGQIRKQLTALLGYGCLDPSRLGFSARNRAVVIAGGSITKDQRHTYSLPLPLSLRSKAEWHRFTVTLAFAAPTVGTLNQYRGSKVYFEYKEDGTKTAKRSEAEPNMVKKGSLQHEIIEGTRAMTFAEGDAFSIHVECMDDAQHLRKKEEIKYALVASVETAEQTSTTIYDEVRMALRMRARDHVRGRVQG</t>
  </si>
  <si>
    <t>GC_00004285</t>
  </si>
  <si>
    <t>PF00665.32</t>
  </si>
  <si>
    <t>MMKPSRKLPSVPKRLLKEKRPVTVTAAKPGQIVCWDVTFLPHIFTGSRFAACVFVDLYSRQIIGFEVDYRESAAGASALCHTVIDRVAAAVGRVCVLHSDNGSVMTSTQVAWVCEDHRVVQSFIRPRVSNDNAHVESLFGTVKTRLDYPVVFEDVEHARRWVAGFVAAYNDTGHSGLAGYTPNQVADGRWGEVYQRRVAAKQAYEQAYPSRVPARPAVVGMVPEQVELLVR</t>
  </si>
  <si>
    <t>GC_00004286</t>
  </si>
  <si>
    <t>MVVPLPRDPRAALVDPVVVREQFDACVEAGDLDQAHAVLSAALQGERYDAQG</t>
  </si>
  <si>
    <t>GC_00004287</t>
  </si>
  <si>
    <t>MLIAMDTVTGQQLRASVGSFPSGVTVVTGVDSSGRDHGLTVSAFCSLSLEPAMVLVSIDSRSQTLGKLEPGQAVGVSVLSEDQLQIATQFARHVPDRFAGVEVERHGGVAFIAGAAAWFLGTVESWLPGGDHTIITIRVNDCGHDDAVFPLRYMRGKLETWGGGSGSRP</t>
  </si>
  <si>
    <t>GC_00004288</t>
  </si>
  <si>
    <t>MADLVYKAKQFFGLTPPVDGSDYYLEEAEFEPHYRDRNEVLARRREPRTVTVDVTSYDQAAEVGEPFRDGDIVVFDVNAMPKAEAKRIVDFAAGLCFALHGELDKVAPRVFAMVPEGVHVAPYELQDVYEGQARYGI</t>
  </si>
  <si>
    <t>GC_00004289</t>
  </si>
  <si>
    <t>MLTVIRNYLRGRGEYELFVLDLIQEYLRYFRVKEARSFAGEMWFGFSKH</t>
  </si>
  <si>
    <t>GC_00004290</t>
  </si>
  <si>
    <t>MVRPWANDGKVRGRGSVDPEPPGKANGKGRDGETPNNTLANAHPSDAPNRGNNAAGRPETNPPGATWVISGYPDSDPAAASPAWPGPWSWCSC</t>
  </si>
  <si>
    <t>GC_00004291</t>
  </si>
  <si>
    <t>MFVGYGFERDFADKACTLEHVISQVGAGMGVYVFLQLSEVSEFVEMAQQYKGHVVWVEDVASGPLGFLVDNPVVGLIEFRGSVPDSDPAGAFFSIDFPHGGVVMVSAVADFPARVRPVLVEECRPVDGVGEESGDVVARLMQAGAFLVYRLDFAGAAGFLQEEVFIDTNNRGLVSGLL</t>
  </si>
  <si>
    <t>GC_00004292</t>
  </si>
  <si>
    <t>PF04404.17</t>
  </si>
  <si>
    <t>ERF superfamily</t>
  </si>
  <si>
    <t>MVKHENTAEALLAAMADVRAVHKREKNPHQGFFFRGVDAVVNATAPAFREHGVVVTPRLESVDYVQHAGSKNAITDARVVVTYRFQHVGCEPLEARVAAEARDYADKATAKAMSVAFRIALLQSLCLPTEDVDPDADYVTVPGDQATRGPVDQAQQARDALLQECNRLGLSPVKVKDFGVTPVGGSFDLSVVEGSKGAALIRGLMEKITGDPDLVEKLRG</t>
  </si>
  <si>
    <t>GC_00004293</t>
  </si>
  <si>
    <t>PF01019.26</t>
  </si>
  <si>
    <t>Gamma-glutamyltranspeptidase</t>
  </si>
  <si>
    <t>K00681</t>
  </si>
  <si>
    <t>gamma-glutamyltranspeptidase / glutathione hydrolase [EC:2.3.2.2 3.4.19.13]</t>
  </si>
  <si>
    <t>COG0405</t>
  </si>
  <si>
    <t>Gamma-glutamyltranspeptidase (Ggt) (PDB:2Z8I) (PUBMED:16618936)</t>
  </si>
  <si>
    <t>ko00001|ko00001|ko00001|ko01000|ko01000|ko01002</t>
  </si>
  <si>
    <t>KEGG Orthology (KO)&gt;&gt;&gt;09100 Metabolism&gt;&gt;&gt;09106 Metabolism of other amino acids&gt;&gt;&gt;00430 Taurine and hypotaurine metabolism [PATH:ko00430]|KEGG Orthology (KO)&gt;&gt;&gt;09100 Metabolism&gt;&gt;&gt;09106 Metabolism of other amino acids&gt;&gt;&gt;00460 Cyanoamino acid metabolism [PATH:ko00460]|KEGG Orthology (KO)&gt;&gt;&gt;09100 Metabolism&gt;&gt;&gt;09106 Metabolism of other amino acids&gt;&gt;&gt;00480 Glutathione metabolism [PATH:ko00480]|Enzymes&gt;&gt;&gt;2. Transferases&gt;&gt;&gt;2.3  Acyltransferases&gt;&gt;&gt;2.3.2  Aminoacyltransferases&gt;&gt;&gt;2.3.2.2  gamma-glutamyltransferase|Enzymes&gt;&gt;&gt;3. Hydrolases&gt;&gt;&gt;3.4  Acting on peptide bonds (peptidases)&gt;&gt;&gt;3.4.19  Omega peptidases&gt;&gt;&gt;3.4.19.13  glutathione gamma-glutamate hydrolase|Peptidases and inhibitors&gt;&gt;&gt;Threonine peptidases&gt;&gt;&gt;Family T3: gamma-glutamyltransferase family</t>
  </si>
  <si>
    <t>MSNQALASNLEGMNQPHLDLHTSPEIYTGYRAGLQDVQVPRGHGVVMTANQYATDAAARILELGGSAADAAISAQLVLGLVEPQSSGLGGGLYATVHNSTGPTVLNYAIDGREIGPLALNDPAVMLELCTGDPRGRMVSAGVPGVVSALALLHAREGVLAWHVLFEDPIRLAEEGFKVSDRLARSVAHFAEGLKSNDAAYAYLFPGGKPVAEGDVLRNPDYAQTLRELAGLESMNAVQTFYSGHLACKIALETGGHISLASLQSYGATAGETLAYEYQPGGGDGVTYRMLSPGRSAAGASTIFATLETLRGHVPSLPIDADGVHSIAEAERLAYADCDAIMGGWLWLSEQEKLFDSGYIARRRQLISDRPAGLALPGDPLGTGAAQATPHQDEHGTTHFQIVDAAGRAVAVTSSVEAAFGNFHMVGGFFLNNQLSDFTRTLTPELRQRLQDAVDAQNVQLATDIAEAHPNYPAAGRRPRSSMAPMMVLGEDKRPVAVLGSPGGGVIIQYMVKALLALFEWGLSPQQACNMGNFGAFNNGQTWFGKDTIHPASDAASLVEEMETRRAELARELEQRGHIVADYPLASGLAILQRTDDGGWMAGIDPRREGAIRVVP</t>
  </si>
  <si>
    <t>GC_00004294</t>
  </si>
  <si>
    <t>MYWTPLIPREPEHRSLWSYAPENLIYFGSFSKVFSPGVRVGWMVAPKDVRGYAQIESEFVTICASVLSQRIVAEFMGGDLWMKYTSQTSKLCKQRRDAVIEAIRSYLPEGTIATVPDGGFFTWVTLPSKEGEVVDVEELLHKAIDRGVVFVPGSAFFSDPHDGAGTLRIAFSYGELETLAEGVRRLRQALKD</t>
  </si>
  <si>
    <t>GC_00004295</t>
  </si>
  <si>
    <t>MRHALTRGMSDQHPLGDKVCSRRLFLLGTAATLAGALAACGGGAEALEVDPSEIPVGSAKVFGKFIIAQPTEGKFVAYSSRCPHQGARVADVEGDRLVCPSHGSEFSIADGSVLVGPARDPLEPANLKAADNKLEVS</t>
  </si>
  <si>
    <t>GC_00004296</t>
  </si>
  <si>
    <t>MNSHTENNTDNERTDNEHTDKKRWFALYTLALGLAMIVVDGAIVGVALPDIITKLNLNLTDAQWVNSLYSVVFAALVPSTGRLADRIGRRRMFLVGAAVGAAVSGAVRPADLGAL</t>
  </si>
  <si>
    <t>GC_00004297</t>
  </si>
  <si>
    <t>MPPDPFEGDPNDPASFISDEDDAAEMLPLTPEEEQQVREDYDLLCTFKAHLEPEGYLGICMTCPDCDAMHYYDWEIMRTNMLASLRGELAPVHEPSPNPDPMRYVTWDFCHGWLACAETAERKQHMEALKAVKDVFFTDQELYDEETDEYIGPSPEESEAEMFENMSAEEYSYWFLETDVDDGPVTDSDGPTDGEEPERGA</t>
  </si>
  <si>
    <t>GC_00004298</t>
  </si>
  <si>
    <t>MTDSHAKPSAASSPGNVEVTMQGLCDVMGNFGVTLHTHEVEQPDAPEAMHAQVATANLNGYNMCFALMGGAFLVVRADRQLDIPSQEGDPVPYLACNQANAMEFGAKCCIFDRADNLLLRVERETIIGAGMNDQQLTQALRSSVDCTLLIQQRLEQAMQALRAAD</t>
  </si>
  <si>
    <t>GC_00004299</t>
  </si>
  <si>
    <t>MVEVIGKNIQARSCLKILMAAFAMSMMVMVFAPMQAEAWTLHKSFSGVRNGFESGRWWDGSSGLTWVNTSRCSTDSGAAAHRTLMMEVRMDNSFRPDASFGVRDARGCYWSVAHNSFPVVAGNHYYKVGGLQGWQRISGATTLDF</t>
  </si>
  <si>
    <t>GC_00004300</t>
  </si>
  <si>
    <t>COG4637</t>
  </si>
  <si>
    <t>MAPGEQYPHQPVITELRLTAFKSFRDAVLRFQPTTILIGKNGAGKSNVLDGLEVLSRLALGETLPDALDSRRREGGPIRGGSRGCAPHGSDYFALGCTVDFDGVLYLYDIEVQIKPTLEVRSEIFSIQRGEKRDVLYHSAEHEERDPRRPYLTKLTDVVDDDLELALDFIAPISALRDIFHLDPYPSDMRNYVAETDHKLRRGADNISPVLFALRERDEKRFGKIQDQVQAIAASKVIGLDFLKAEGGEVMLALLEKGCGDPGDIEKTPASQMSDGMLRYAAIVTSLLADRAGLDAVTNSNKLETIEGVQLVIEELENGLHPSQAKKLLELVRTSNETNAVRVLLTTHSPALLDAVEGTLNSSVIVCYYDEDAGYSKLIPLMEMSDYPTVMAQGSLGSVVTEGKFSAARSDDSDYSEFYEFLGL</t>
  </si>
  <si>
    <t>GC_00004301</t>
  </si>
  <si>
    <t>MNASKFRGAVHNNPLGKLHDLGGDTLLGQEHLTHLHDLLVMGDHHLGKHDVRVVVIGGDLPIASVVAMVVSIVSAVVVAVLVAQVVASVLPDPVALPQAASARVEPFRVIWGQWREVVDQWTAVDGGVGVVCSSFGLVGARRAGSRSIRRSS</t>
  </si>
  <si>
    <t>GC_00004302</t>
  </si>
  <si>
    <t>MRLKSRTPQILLALAAVATVACGATYTATTDTGIASTWTGPEEPEGAPSAQIDATTAQALTEARRAAGEAAAQAGFLDTGVQELKGGIGQLSSRSGEIIDGAAQLHDGAEQLNQGLIQLQAGTGQLGNGATQVADGVAQAVEQVQAVAVIQSQVLGAMDQADKELARSQDPDIVNLRGQLKELRTQAEQFGIDGELADKLDQLRSGSREVANQLAVPGYGYHDGIYKAAQGAKQLSEATGELDSVAKQATDGIGQLDRGATKIADMSTKNQDAVAGVRRALPRTSATPAASTSGNNTDDAAPAERGSLPPLYAVLIAAATLLGATLTRINAKKDWWQVLAISTTATVTYAILAGTATAAGVVQAWVLLTVAAYGATAGTQWARRALGPAVGMPLIFATVAVQIGVVTWAWKQSTAVELSRGWEIVNALMPVNYPALGLSTLGNDGPVAPMLLSLAVVGVLAVCTVVGNGLSQRAALRDTRVALPKSELESEEA</t>
  </si>
  <si>
    <t>GC_00004303</t>
  </si>
  <si>
    <t>MTFLNNVSKLNPKLSLLSHQGDPYGEQALDRLDAVISHPRSLARASAAWRPPVVSLPPTAGVPGLKVALRRYRVGPDMRAEFQQHGTERTPAYVIEARFSNAEGKHVRTRDCEWWIGRLLDCPFEFTVHQLVGESSPTYCWVVDAHYRPMFSAADVLRKTQPAA</t>
  </si>
  <si>
    <t>GC_00004304</t>
  </si>
  <si>
    <t>MRNPNAYSPPTHLLLVQSSKVSRKTPIPGTTDRYTWIDFNLGFHVRHYDLELDYRVVNNRLAGTATLTIDNYRPLKTLTRDMFDDRVYKWGAIAVHVLRRHMGDEAFFAALRAYVADGRHGVVEPIDLRNHLSAQSDALIDELLKQWIYSRELPQL</t>
  </si>
  <si>
    <t>GC_00004305</t>
  </si>
  <si>
    <t>K00020</t>
  </si>
  <si>
    <t>3-hydroxyisobutyrate dehydrogenase [EC:1.1.1.31]</t>
  </si>
  <si>
    <t>KEGG Orthology (KO)&gt;&gt;&gt;09100 Metabolism&gt;&gt;&gt;09105 Amino acid metabolism&gt;&gt;&gt;00280 Valine, leucine and isoleucine degradation [PATH:ko00280]|Enzymes&gt;&gt;&gt;1. Oxidoreductases&gt;&gt;&gt;1.1  Acting on the CH-OH group of donors&gt;&gt;&gt;1.1.1  With NAD+ or NADP+ as acceptor&gt;&gt;&gt;1.1.1.31  3-hydroxyisobutyrate dehydrogenase</t>
  </si>
  <si>
    <t>MTRPNVAVIGLGNMGGPMAANLVKAGVTVNGFDVVDAAKTKAAEAGVTVHDTAVDAAQASDVIITMLPNGGLVAQVLIDIIDAVGDNAKTFVDCSTISVGEAQSNAEFVGARGHRYLDAPVSGGVAGAAAGTLAFMVGGNEEDLESIRPLLDIMGRSITLCGPVGTGEAAKLCNNMILGVQQIAVAEGLVMGQRLGLTSQAFFDVVSNSTGSCWALTTNCPAPGVLGNAPADNDYTPGFATDLIVKDLNLAMDSVEATGTDAQLGRLAAQIYSQLQADGLGAKDCSVIFDELKDRN</t>
  </si>
  <si>
    <t>GC_00004306</t>
  </si>
  <si>
    <t>K07110</t>
  </si>
  <si>
    <t>XRE family transcriptional regulator, fatty acid utilization regulator</t>
  </si>
  <si>
    <t>MGKTYVGSRLRQLRRERDLSQATLAATLGLSASYVNQIEHDTRPLTVPVLLKITEAFGVDATFFSCDDDSRLLAEVRDVVLDKEICTSDIELQELSELVHDHPDVARAMVDMHRRYRNVRDKLSAATDNRHQDPNEPRVLAMPHEEVRDFFYARQNYLGDIDLAAEDLSRQLGITPLNIRATEDAIAARLSDTHGVIIKHNTNVGESLHHYDAQTRELTISAHLTPGQRAFRLAGELSHLEAGTLLKEAVDSGYFSSDDSRTLALKGVASYFAASVILPYEMFHHSCETSRYDIEFLCQEYGVGYEPICHRLSTLQRPNLRGIPFTFVRVDRAGNMSKRQSATGFHFTHAGGTCPLWNVYETFTNPGTIMRQVAQMPDGRNYLWIARTVRHHRTRFNGTGKLFAIGLGCEARHAQRTVYADGLDIDSRSATPIGAGCRVCTREHCAQRAFPPVHRPINVNAHESTVAPY</t>
  </si>
  <si>
    <t>GC_00004307</t>
  </si>
  <si>
    <t>K06896</t>
  </si>
  <si>
    <t>maltose 6'-phosphate phosphatase [EC:3.1.3.90]</t>
  </si>
  <si>
    <t>COG3568</t>
  </si>
  <si>
    <t>Metal-dependent hydrolase, endonuclease/exonuclease/phosphatase family (ElsH) (PUBMED:15178340)</t>
  </si>
  <si>
    <t>KEGG Orthology (KO)&gt;&gt;&gt;09100 Metabolism&gt;&gt;&gt;09101 Carbohydrate metabolism&gt;&gt;&gt;00500 Starch and sucrose metabolism [PATH:ko00500]|Enzymes&gt;&gt;&gt;3. Hydrolases&gt;&gt;&gt;3.1  Acting on ester bonds&gt;&gt;&gt;3.1.3  Phosphoric-monoester hydrolases&gt;&gt;&gt;3.1.3.90  maltose 6'-phosphate phosphatase</t>
  </si>
  <si>
    <t>MMKLLTLNVHAWLEVAQIPKIYALAHEIVQRDVDVVCLQEVNQFIESPIVDDVAGVADGGLFVGDPQRPVRVDNYARILVEALAHYGAKQFYWTWDSAHLGFGHFDEGIAVLSRVPIAEVRRIDHCSAFADEYDNVRRRASIAVRLDGGEPVWVVSSHFSWWADPAANPDEDQGFPIGMLPEGSDGLLFPHEWRQVSAACARLREESELPVVIAGDFNNAADVVGQGYELVMANGCWSDSFLTAESVSGEATVHKKIHGWSDNTKALRIDYVFTSAGITACKHEVVFADDSSSAVSDHSGIIVTLNSLPS</t>
  </si>
  <si>
    <t>GC_00004308</t>
  </si>
  <si>
    <t>MSRGRKHTFPTADTPGIDDPGRGRRVGIDVGSVRIGVAYSDRDCLMANPLETVQAGSQAADRVAELICTYEAVEVIIGLPCTLKGRGSDSVTKAVEFADALSTALEQRGARPIPFRFADERLTTVIAKQALRTSGRNQKKGRAVIDQIAATAILQHWLDSRSRYLAQQSTTERSIDTHE</t>
  </si>
  <si>
    <t>GC_00004309</t>
  </si>
  <si>
    <t>MSPRQNSDNTNPLVFNIAKLAQASATSDVRHVHGPAAQRIGLPMIAIEQGSELDIDATLTPLGGGILVDASVESDVHGQCSRCLAPIDARELFRIEEVFALSNDFIEDNTGDDDEDADVVTVIEGDEIDLTQALIDVAGLTLPFNPVCEDFDAECSDEEVPAPDGVSGETVGLDPRWAALEKFKGES</t>
  </si>
  <si>
    <t>GC_00004310</t>
  </si>
  <si>
    <t>MARFALVRHGETPSNIDHLLDTAHPGADLTELGRTQAQEAGRNLSERGYTRIYSSRIARAIQTAQHTGIDYHGQLPGLEEISAGELEMRGDDDALRIYQGAFNSWVYDATPVAFDRAYTDFDHAILVPGGESYATFIDRFYPTITQLLDSGLDKFAIVSHGAAIRTFVANACDVDRQLIANSIYPNCGIVEITTDGPIGTWPVNLPTLTPR</t>
  </si>
  <si>
    <t>GC_00004311</t>
  </si>
  <si>
    <t>MDTLTTDDLFNTAVADIIFTAAALSRVRKSYTENPALTPQQIATMLNTITDYLKHDRKQVKELRDYIQGA</t>
  </si>
  <si>
    <t>GC_00004312</t>
  </si>
  <si>
    <t>MLLAEALDVGSVIVALLAALASIVGARYVFSAELAKAKQSKDAVAWQQYSGYAEALSQRVESLEAELSRLMAEVHELRAARVVDDHVRLYAVALLEAWPRPPGPPPAPAPVLEALGLLDDETRHSPKSGGGGIREQP</t>
  </si>
  <si>
    <t>GC_00004313</t>
  </si>
  <si>
    <t>MRISTIGTLKAALIAATVTAAALSPATLATNAQAQPAVPTSSDTGSVDPSTYVDHLGRPTQPVLDHLRGVINNPALPQPLRDKLTTAVGFIEGTGTPGVDIPEGAPRIAQFAWPTIAGNCINGQKATGTAIAVPGPADLPLPGVDDGHTAFIFTALGTDPIAQPDASTMRVDWINLSTGTRGSTPLSFGGINPNGPATINATANTGRGTIAAWLSGGVATETATCNFLPTAAVFEVN</t>
  </si>
  <si>
    <t>GC_00004314</t>
  </si>
  <si>
    <t>MRVALAQLTTGPSPSDNARQVCQLISEASGKGAQLVAFPEATSQAFGTGRLDHNAECIEDFLAPIRQAAQEHSIAVVVGGFTPADNQEGRNRVHNTLFVVLPDGTEHRYNKRHCYDAFGFKESDNVKSGEANLTFTYEGVCWGVATCYDIRFPQQFKQLARAGAQAIIVSASWQSGPGKVRQWNTLGSARAMDSTCVVFAVDQADPETQGITREGPCGVGNSGVFLADGTPSESLGAEPGLLIHDLDVEGVDAVRKTLPVLADD</t>
  </si>
  <si>
    <t>GC_00004315</t>
  </si>
  <si>
    <t>MNTLKFHSSNLTYPGAGSNVAVTGLDLELAPGRALALIGPNGAGKTTFLKAILGQVHASGTAEVLGREPGNAPSGSIGYVPQLADLDATFPVRARDVVTMGLIHKQGLFGRLKSADAQRVDSALAQVDLLDKAQQRFGTMSGGQKQRVLLARAIAAQPKLILLDEPFNGLDQPNRDALLRIIEVVKAEGVSVVVSTHDISLAEAVAEQLLLLAGRQVACGSLKEVMTDANMAAAYGGRAREVATEIACA</t>
  </si>
  <si>
    <t>GC_00004316</t>
  </si>
  <si>
    <t>MSIPRQAWARILASLLASLSLVLGILGAPTPAAADESELTEITDGTVVWGFKKSWRNYTGPTAVTLSGGVKVGETGEYVWPIKQGTFNKTTNATHLDLDGTLHYQWYKEGDIYLLDITFSDVSIDISSEQQVITANYKGSSRENPGKIEDYGRITVSTLDLSKSTFSSLDDETNWSNIETLIAEVPLYSPGTQADPVAISYKGPGGKPALEEINKPSAPHYELAESFALNTEPNSGSHQLISLQPNNNIAIVSPVDIRTDNAAVNIQLIDPASMQETSTSSVKLLKSDKYSYTSDGQSKLFVLHRNPDERNTYTIDVVSVEGNKLSAPATLTNITDKNIRGLFWDHVRQRLIVISSIATPGQSASIGLRFIDIAQPEEQPQLQVHPNVGEIPGSNAFTAQDNRWKWGSLCSLNSCALWDVPTVLSDGSYVFGTSSGFRVEDFSFIPARPLLIKVDLAANTANSHFLADMTPSTIDDSNAALQARTYAGVLEGNNSELIGSAGSFPEIGRYYTISGSETTPITEPIFGDQDIYASSTIDRNRNYLVSYASSPSSVFISNKDGILSSFTDPRLVIPSITFLGQIITLPNSDIVLVGRDQNSSLEEVHKFAYKGTYASITGQPTDQTVDLGTGESGTATFTVGLGEHTGDATIKWQSKAPGTTRFADIDGATSDTLDVTANKEANGTVYRAVITDDLGSVASDSATLTVNSAPDIIQHPRSLKAEAGTQPVFHATATGSPEPEFTWQRYDRTSGLWIDIPASDDNFTINNGEGNATLTVASVNGDMNGTQLRIKAHNSNGTTYSRVATIGVNNDDAAEPGATATVTDVTLQWGVGNEIQHRPPAGGSNYLSAGTSDGSESTYSTEDGNVSVAIVDPAIAQDPGTAPTHDKRNAFLKDGKQQVVRFKQGKGTLGADGSAHIDWEGAFSVNFYGGMVPFTITNPTLDVDNNGIGTLTADLSGYGSQMDDPTHKHEVAPRERQTIATFSGIKITPEGVITIDPDYSGVEVEVTGDATPQNRTALGWGAWPQNMVDFQLDTGLSSYWYTSNPDEPAGKKAPLALGLDFTEATVEGGTTTPGGGDDTNPGGTTPSGASEWGIWQWIPAVFGILGLFGGILGALVGLLNNPDGPIFNLLPAALAAALKNFTEK</t>
  </si>
  <si>
    <t>GC_00004317</t>
  </si>
  <si>
    <t>MGALITAAGLRLGVYGNYNVIDWCIADGLGEYFWQHDWGSQGRIHPRITIHQKAGLQTHVGGILVDINNVYAHDWGQWTPGSTINELPVVPGEAPEIPIPDLSQLDLSKLAAGSSDAANGSSTLLQQFTPR</t>
  </si>
  <si>
    <t>GC_00004318</t>
  </si>
  <si>
    <t>MKRISITGVALVAGTLALAACTPPNENPSDVRVDTATAVEAPSTTAKAAESTDEAQPAAAAKDGKDAATPTYRGLCAADKGERKPKTLSLACADNNDELVNIKWNSWTDTEATGTATRRINECIPNCADGKFVESQVEVALVNPANLGTSPDVEFTTLMVDGQPFAS</t>
  </si>
  <si>
    <t>GC_00004319</t>
  </si>
  <si>
    <t>MSTTALVMMLVYLAVVWGLLAVAAYHLGKTKDDSCGTLGSQDLDALPQYQP</t>
  </si>
  <si>
    <t>GC_00004320</t>
  </si>
  <si>
    <t>MILQHRSVSAVLTVAAFALWTAVILAALAGPALSAALGLPDPTAPMSRSFDPPSRAHLLGTDHLGRDVAARMLVGNAALVVPPALVAAAASTVGVLLAVWSVTSRRACAIIRFIGDTILVVPPILIILATVTAVPEGYVAAAVAAFALSVPMSIRYFYPTVAQALGSGYVEYARVTGASWRTIAVWDIFPAVRRSLIADFSIRFVAVVFLIATASFLTGTSSGADSTWAAMVGAELGGVDLNPWAVVSPTLAIIILTACPALLLELRMGGKR</t>
  </si>
  <si>
    <t>GC_00004321</t>
  </si>
  <si>
    <t>MASYLRFKVLLRLLSRFLSLALQETAPIEMLITILGVVAFFGTPARLGLCCGHAWHGGLVNSKQPSRGGHIDRGGQPASAGAERPARSQRPPRTAPGQRRPRSSSPRASRNSGVSKVRRGVGLSVVSAQKAALIDRSTWKGKFKAFLPTLVLPHVTIIAVAIIGAISVLLATGSSFVALPATIAQLWLLAHAAPVASSSTVLSVVPVVPAFLVARAMARWIRVLIKDRVSISDLVLLQALTVVFPLALTGVACGMLYDAASVLPVAVPPVGTAMLRAVVVHEFGLIAAMGVRLWRLLVVRWKMSPVVVDAALYARDFLLRLGAVGVLAVLVSLIVHGSTTVSMAGMFGDEVHGGGPVAIVAMIALSLLYLLNAAVWSAAVLSGSEMHVGDGVVSVFGVAPSPLPPLPLFAAMPVQAWVVAPVLLLAPVAVSSAMAYRRVAHSERALSEFAFAGLFAALGCAVAVFMSSGDAGAFGFVGSTFWLTVALVALWCSVPGILIALIHGFMAVKAPLSKRDIEPADDEVAETDVEDTDAAELEEIDVEESETEEEAESEAPEGAEPADPESAENLEAAETTEEEAEAEDPEDAETTEEEAEAEDPEDAEAVEDAEAEDIEAEELDAKEIDAEELDVEDGESEQPGRG</t>
  </si>
  <si>
    <t>GC_00004322</t>
  </si>
  <si>
    <t>MFLGVRLVWGVNSPGAWGLPQGVTPVYALSVLLAVGGVTVLLRWLPFVAARMVARSGFARVLRLFMPVGVMVVLVVYCVRGVLDDAVAAGGGRGYVAVVAAVMVTVGVHWWRRSAASSILVGTVCYVLLASLWL</t>
  </si>
  <si>
    <t>GC_00004323</t>
  </si>
  <si>
    <t>MHTRRLPRAFSSFRLHPTALSLASVALTSVSLVACTQMPGGLEEPGELGHATPVANPSDSTPAGEVVDGALSGMNILDDVAVLRAGGDAASTVLTVLPTTELASGGALGSDSPQAKEITIDAHCGEPSVGYTPAGGSNDENGGAKASTLVIACDDGIHLIDAAAGTDTRLDTGDKTYTTAALTTDGVLAAGNNQSLEVDVYRDFTADRGGELGQASTFKIDRAPDQLVATSSYPGNIAAINRSETAIQQLNLEKDTRGAALRVGTGVGQAVGATGVARDVIFATDTEGDHLNVYTMSPIVMLHQVAPVDDSPYALAWDTKRQLVWVASTGTNAVQGFDISSGVPEEVARLDSISDVAQLGVDTQGNLFAASATQLQKISAQAVDAAKKS</t>
  </si>
  <si>
    <t>GC_00004324</t>
  </si>
  <si>
    <t>MNTVVKRVLSISMAFVGLSVGAGFASGQEVLQFFVKFGMKGVLGALAVGVAMAFIGMIILQLGSYYQADGHNVVLDEMAHPITAKFLDFCVMLTIFSIGMVMFAGAGANFDQQFGWPSWTGSVLLLVLTLVLGRFDVDKVSQIIGAITPGIIILVLVAAVYSIMHAPSDLSALEPMAAEIQSTLPNYWISSLNYIGLSLMVVVSMSIVIGGYYLNPRIAGIGGLVGGAVFGALLFLSALILFLQVGDLGDADLPMLTLVSNIHPTLGLLMSIAIYGMIFNSALGMFFALTSRLTTGHPERFNKVFVITVLIGFAASFMGFKTLVSYVYPALGYVGVLLMALLCINWIRDHATISAESRRRARIRDLVRLKLDPAQHFTAKDEKELAKRVSKSNIADADLIETVHEKVTEELVADDDIEFTEEDAAVVMEELSTSEEGTVAEVKGAKGDK</t>
  </si>
  <si>
    <t>GC_00004325</t>
  </si>
  <si>
    <t>MPNLDHRFARRLRILRRVVSKVTVVDLHQRTFVAGPALLERFTLGVLAAEGVRAIVENNHLSRELVGEELKRRGLSESVNALMADAQSLETVSDMSSEQKLEQLAAQIEGKGITNSTLGHIGRVIDSIEPETGYMINPTMMSSQEHLDDLYATNADDRAIDAYVAGVEITSESPSTNLLAVDTDNKAADAETLEQEADSTQHLTL</t>
  </si>
  <si>
    <t>GC_00004326</t>
  </si>
  <si>
    <t>MKKVTAVFAALLVLAVVLFAGGEFATRSNITNELKKDNPQATISFGAYPVLLGALQKNIHHVEIDNPSTLEVVTGDNPQVVGDPEAHITIDGLNLENEDAPIATTLHVTTVLPDNFILAQAQLAMKEQMSQPKNATSLEDLAGALFSQLVKITSITSEPAEGTLAVQFTDGAAELHLKPVLEGGHVAFEATNAQLFGVDLPAEATAAITEGLRNSADSFSQGLKVDSFDVTDGGLQVALSGTNVNLAELGQ</t>
  </si>
  <si>
    <t>GC_00004327</t>
  </si>
  <si>
    <t>MNNKPEDFRGVNNPYGQAVPAPQPHAYPGQPTQQFGQAQPAGQQPYTQPQPEAHYHPQSQPEAQYNPQGQHSAYGSNTAEPTRQYEQFEPQMGGNTGSGGMQTDNQGGGFGDQGMPQGPATAAAPEPKKRRTLGMPAVLSLMLVSAVGAGSAVGLGLSAANQHNDNSHVVNALNEPAVQRTGTTEPGDVEQVAANVLPSVVSIRVSSRNAVEEGSGSIISSDGYVLTNNHVVGSAAQGSNIQVTLNDGSTMDADFVAGDAEADIAVIKIRGANDLPVISFGDSSQVRVGQQVVAIGSPLGLSATVTTGIVSALNRPVRASGGDGGESSLIDAIQTDAAINPGNSGGPLVDMNGNLIGMNSVIASMSNGQGQAGSIGLGFAIPVNQVRRLAQQLIDNGRVSQPKIGVSLNPNDRYRGALIADVAKGSPADEAGLRPGELVVGVNDRVIDSNDALIAAIRGFEFGDTITLKVRTSDDQKPREVQVTLPAE</t>
  </si>
  <si>
    <t>GC_00004328</t>
  </si>
  <si>
    <t>PF02581.23</t>
  </si>
  <si>
    <t>Thiamine monophosphate synthase</t>
  </si>
  <si>
    <t>COG0352</t>
  </si>
  <si>
    <t>Thiamine monophosphate synthase (ThiE) (PDB:1G4T) (PUBMED:19060138)</t>
  </si>
  <si>
    <t>MTSFSTPRFDPSALSVYLVTSGDDAHTVDTAAACARGGAGMIQVRLKNCDARAYTDLVVRVADAVHEANPSARVLVDDRVDVAYAARFRGAEVHGVHIGQSDIDPLAARALLGPDAIIGLTTGTLELVQQAQAFHSQHPGVLDYVGAGPFRPTPTKDSGRSPLGLEGYGPLVAATDLPIVAIGDVTPNDVEALAGMGVAGCAMVRSLMQAEDPEAITRQAVHDFRVGHLRHQLAAIKKKINDAAGPRASQVRVLPVSKTYPSDVLVAAMDAGMECFGENRPQELRDKAQDCAEQDRHPHWVAIGQLQRNKAKYVAQWADEFQALDSLELAAELNKQLERFGRTLKVMIQVNSSGETQKSGVFPADVAPLLDALREFDRLEVIGMMTVAANRALAGDAATAACFQRMQSLQQSLLDQGYSEVQELSMGMSDDFDLALAHGATCVRIGSAIFGSRPTPRPS</t>
  </si>
  <si>
    <t>GC_00004329</t>
  </si>
  <si>
    <t>MGLNRHAATATCALALLSACTTTPTGTPATSTSTVTHTTTVAPSPTTTQSPGHAALEGLPIQPTDHTAPYRRDAFGQRWSDDVTVEFGHNGCDTRNDILRRDLRDVIVKPNTHDCVALSGTLDDPYTGATIAFQRGQDTSPMIQIDHIVALANAWATGAQQWDDQTRRNFANDPRNLLAVDGPTNISKSAGDATQWLPPNEAFICDFAHAQINIKRTYGLWVTQAEHDALAHAIDTHCR</t>
  </si>
  <si>
    <t>GC_00004330</t>
  </si>
  <si>
    <t>MFTSLHRALGISSTNEFTTEMIDQLVDRQVAEAPDLDFKAAIPPVKALAASDVKKDLCAMANIGGGVIVYGVAEDDNNKEHAGYRTDVGKFDESQEQAYLSVAFGQIVPPLFGVKLHRVEDDLHNALVVVVPKSRQVPHMYFAEKSDKRTIAVPVRHGAHSVWLTEAEISRLYRERFIAEHDAKEALNSAYQRVTALRSEDGFWMAAVARPTYPTVASKPESQEIFQIGLKAREDQLRCKYYGGRATLIATNNLPKRGFRSWRFLDAKDDDFMYVEFHDDGAISMLMRIDEVSRDALVYSYSLPIVVGDLLAAMRQYSEWTGVREYDVRFGVEWDMKQPLVIKQEQNVMYSPESVVPIRRFVPVEATIDVSDPEVLLQHAHDLALDCLNQAGINRLAIFLIV</t>
  </si>
  <si>
    <t>GC_00004331</t>
  </si>
  <si>
    <t>MKRFTRAAIAPVVVASVLAGAVVAPQAQAAEDAGACKGLITDGTFDWAIKESFQNYLVGKIAKGKMELDEGVKRSDSTKVFTFPVNAAKSKLEGKSSATIALDGKVHFTGHDHGTGPMLDMTLYDLKVEVIGDTLTLYTDYDSRAFVNMSTKGDMLHGDDEPMVRVKLDKAPDFSKSGAFSATAKKVFLTKTGVDVWGGFYDTETELAPLTINLTTDGTCDGGDNGGVQGGNGSGSSAGSSADSGSSAVENLWDRMFEVLGVLGLFAGFFGAFYAFAKTRGFIR</t>
  </si>
  <si>
    <t>GC_00004332</t>
  </si>
  <si>
    <t>MNILVIVHIIAAILFLGPVAVASSLYPAFALQATGGDQSSLGSARILHRITNTYALLSLLVPLAGLGMFIFDSAYMKQGKFHAAILISVIAWAVLFFLVLPRQKALLALATDPAAHAAEPDKAPALKKQLAMFSGIFNALWIIAAVLMFI</t>
  </si>
  <si>
    <t>GC_00004333</t>
  </si>
  <si>
    <t>MVDDWFKYSQLLKGDERQHLVDFCREVGIDVS</t>
  </si>
  <si>
    <t>GC_00004334</t>
  </si>
  <si>
    <t>MNTNNPQLPPPPPQEPAQSSLSAAWSTRPFRANKKVVGGVCEGIGIRYQIDPILIRIIFILTTLVGIGLGLYVLCWLLMPREGLTVSPAGALINWNKDPRVSRDRDLAIVLIVLSALFGFFPFRFFAGDTPLFSIGAMVALVGVALVAWLLYMKQPQPPAGFPPTTGPRANPNPQAYGPQTATEQSFYQPSYETSPLMSTPPSNDPGPQDPNLNDPDQQAQMPEQSDAPEFDSAAQDPVTGETSDTSSEPYGEMSEGLPGTESMPTATPYAPITAPVTETNTTAPTSVFLRVLGWFFFVFGVGIALLVLATTMLLGGGAAETFTAVIFAISIVAFFAIFTFAAYARGWAALGAFVLATLTGIAGMVIGIGSIDRDTTIVAQSQEIYVPDTESLADYYDLGNGEAVLDLSDLKPLDEPRRITVDGGVGSFTVILPHHVPVTVECSVRVGTTFCQDNRYLNDMLSGERLTIDLHARIGEVNTNNSIDGPPLQPGETGEFDEEGNPIMDSDDADAATGGSATPIPTVTVTKTVAPEPASANN</t>
  </si>
  <si>
    <t>GC_00004335</t>
  </si>
  <si>
    <t>MTTMPVEQGFYITSPFGWRDGFIHYGTDFGCDGGSGGHPVYAIRSGTVVHAGPASGFGQWVTVDHPAEVGGGFSVYGHTIPEVTPGQHVEEGQRIARINPDPNTNGGFPPHLHLEFHRYVWSPPGPDRLDPEPILAGAGWPNQQRKEEKPMSETIFGVDVSEWQDGISLRRAADEGIRFAIIRTTDGTYRDRCYQSHMRDAEAAGLVTAAYHFLRNPSEGTSVRAQVDASLDVMGDLRRPVWIDCETEAGLSINDIWECKRLYEANGVRVIGMYSYIPWWEGRVFEGEPDLKDSGLGALWMAYYGQNPGGPPAAIYPGDAHPKWDYPLGNVKPVIWQFGSQGHVAGFTEVDVNAFRGSVEELRALFYGGNPETDELEEILSTVRPSLISPDKQFDGFDFLRFSDAAAWEIRVLLIYLMHALKLDPEKVLADAKATINK</t>
  </si>
  <si>
    <t>GC_00004336</t>
  </si>
  <si>
    <t>MHSPLGADEPSRSTVLVVDDDSTVRSVVVDYLKASEYDVTEVGDGLQALQLAQSQRWDLLILDLMLPSMDGLEILRRVRHSDPDTPVILLTAKGTESERILGLETGADDYMTKPFSPRELVLRANTIIRRTKAKAELEPDRDVISDGDLHVDLTARKASNGDEELSLTVREFDLLAHFMSHPNQVFSRDQLMGAVWGWEIGDPSTVTVHVRRLRSKIESDSTAPQRLVTVWGTGYRWEPQEG</t>
  </si>
  <si>
    <t>GC_00004337</t>
  </si>
  <si>
    <t>MAHIAFSGNLGKDPELRYTNDGRPWVSLSVAWSERHKTNGNWEDGPTEWVNVTVNGPMAENIASSLHKGMTVDVAGRISPREWNGQQGPQRYLHVMADTVSPSLRFQQAQVQRIQSNNPPQGPGNQYQPQGAGDVWGSQQGNQSWGGDVTAVQDEQPPF</t>
  </si>
  <si>
    <t>GC_00004338</t>
  </si>
  <si>
    <t>MGLWPFSKKDDVADNDVRGAVDAAGQEDAQDADRSAADNVIAGPDPVHDAINGARGPFDGDTVTPEEFDFTDFADGILDLGSVQLAMPRGCEVQVEMGESGPVALHVTTPYGRLTPVAFSAPKSPGQWREAAEDIVADMANNGLDARMEAGPWGREPRGIVNDTTFRMIGVDGPRWMLRVSCVGPSGLADQLRELAHNVVARSFVVRGEEPMAPGISLPVVLPDNLAKQVRYAMENREEIAANIRREQAERLAQKNEQAAQVTSEDSALDQMRAPENNES</t>
  </si>
  <si>
    <t>GC_00004339</t>
  </si>
  <si>
    <t>MNEYRVKLPNGFETTLLLDEEHKERDYPDAVPMSDVDAGDDLKASSTVKTE</t>
  </si>
  <si>
    <t>GC_00004340</t>
  </si>
  <si>
    <t>MAKKANDVFYHLVIHLVKGVFKAQGLKFNVTGAENIPDTGAVVVANHTGYMDFTYVGLPFYTPHSPRTALNRKRLVRFMAKQEVWDNPIGGPVMSGMKHIPVDRIDTVPSYNKAVEDLKAGELVGVFPEGTLSRSFEIKKLRTGAVRMAREAGVPIVPVILVGSQRVWPKDGPKHLGRSNTPIEINVLPAWYPPEGPADEVTKQLRHIMADGLAELWQRYDELHGPLPEGAPWVPARYDGGALTLEEAQKLDDAVQNERRRVRTLRDDLDALADKLNALLAGLGETSKELVVQSKDAANHTAQTVATAKTAIEQLAEDAVEGVKEGVSKVASAGSRLRQLSAQIPTNVPLAAVDALNQLVSDAKQIRDRLPHRVRARLTEFPEALVTDVDGTIFYQPEGSTTRVVTESTRNAFLDMRTRGKCTFLATGRTPRELPEVFQALGFAPIVVAANGTLVVDGAKLPAELSESTDISDAILHTDGFTADDAATVREAINATRSANAGGPIADLVMDEERVNGHIIKYTARADVASADIAAAITEHLGDVATVNYSAPWGYAEISPAGVTKASGLKWLLSKEGIDPARVVAFGDMPNDIDMLAYVGTGVAMGNADPAVIAQAQWVTSPVAKDGVSEFLAPVFQREETPGQV</t>
  </si>
  <si>
    <t>GC_00004341</t>
  </si>
  <si>
    <t>MSRTPAYRRPHARRPSISCGVRWSPWRVSPANLPPSTHMAISMSSRRTSTCLPTLILIFPARVHSSSSPVKSSIEPAFSDDHMLIAEYGSEYTSTFLPPQPLCVTNNQALRSKNRRITEGCVCGDWLLASDHQVKDILWDLDLLLEMPGCYRC</t>
  </si>
  <si>
    <t>GC_00004342</t>
  </si>
  <si>
    <t>MNNAPARGPGAEAVVDSGAPTERSAKASDKDVVRAGGSMAIATLLSRMTGFLRNVAIGATMGPAISSAFNTANTLPNLITEIVLGAVLTSLVVPVLVRAEKEDPDGGAEFIRRMFTLSATLLVGVTLLAILGAPLLTRLMLDTDGKVNLIQSTSFAYLLLPQILFYGMFSLFMAVLNTKSVFRPGAWAPVANNVVVLCVLGLYWTLPGGLTPDAPAGVTDPHILLLGVGTTLGVVVQALILLPSLKRLKIDLRPLWGIDHRLKQFGGMALAIVVYVAISQLGYVVTTRIASMSSAGAPIIYQQAWLLLQVPYGIIGVTLLTAIMPRLSRNAADGDHRAVVHDLTQATKITLLSMIPVIVFFTVFGLQLATALFAYGAFDATSAGILGLTLSFSSFTLIPYAIVLLHLRVFYAREEAWTPTYIIAGITATKVLLSLLAPMVANSDRDVVILLGAANGFGFISGAVIGSFLLRRKLGPLNGRSIARTTAWSLGASIAGVIVAVPLVRFAVQPLLDRLLPDQGMGRSLSYLLYCAVAGTVFLATVALVLSRSKLEELAVLDGVKNRLRRGRAQEAPELVELPPLSVGEVRIPRLLPGAPIANGAFRLLSNHGEIAGEHGPGEGAKLWAASEGDKRVAIAFAHGIHVEATRALAKHCGVRVRIFPYRDGHLVVSPWREGVDLVDAEERELISHAELAQALQPFDALPLASAQQLRLTPDGVVLAFPLVFTEDLLSLGVDVAGFAAATNAADCGDPASGEESDCFELPVSAGFAHRAFNELTDLDMDEVAEVEQWEKPGSGLLGAGETQPVPVPPLSAGFGSRGYSTGGKLVLASAVMIVVFSGAALVWLMLGRLGGPYGPVASDPIASVAPKVVQDSGRVATVVSARHWPGSEQLAVSKEDPWVALDAEGVALTLETPIRPTKLSLEAQGVSTKVSVFGVQGNTPPVLLGEGMVGGPDSANPGAVTEIGLSADEEYSEIIVWVSPEPVLYPDGSVAEMPGEGVRVSQLTVVGK</t>
  </si>
  <si>
    <t>GC_00004343</t>
  </si>
  <si>
    <t>PF09084.16</t>
  </si>
  <si>
    <t>NMT1/THI5 like</t>
  </si>
  <si>
    <t>K24985</t>
  </si>
  <si>
    <t>putative riboflavin transport system substrate-binding protein</t>
  </si>
  <si>
    <t>MHFFKRRRTVAASALVALAGSVVACSSNDAAPAGSPATSSGEQVAATIGLTYIPNVQFAPAYVADADGALGDGVSLRHHGQNEGLFTALLSGREQFVIAGADEAATAASDELLVVSPYYETFPVTVSVKADSDIHSMADLKGKKVGIAGHYGEGWYGLLVGLHNAGLTPEDIDVQEVGYTQQAALAGDKVDAVVGFINNDAVQMELRGMNVHNLDVNADDSLRSASVITTKKFASEHPETVKQVVAGFYSAYAKLKADPSVGVEAAQKLIPELSEPEQLKAAEATMDATAKLLPGPDTCGELTEESARKMVEALKDVGIEGIQVDGSDLYSTQYCP</t>
  </si>
  <si>
    <t>GC_00004344</t>
  </si>
  <si>
    <t>MNNFEIADHDAATAQHLTHNSTVVRVLGLIAFLLATAAVVVSGVHNARNPFEEFPAFDTPGQKLIATYSYFTLWSNIVGAGLGLAYFLGNHESHWAAAARIDAAMMLLVTGLVYNFVLADGSPSVGTYRFTNPVEHMIMPVLMPVIWILSMPRRKRADITPINIGLALILPIIWCVWTFVRGAETGWYPYFFLDVNDLGYAAALKNTAGVFLLFFVLIALLAGVEQMLRRLGMRRY</t>
  </si>
  <si>
    <t>GC_00004345</t>
  </si>
  <si>
    <t>MNCRTFCVLMSLPLMRKTFIEASSKKSTQNSTHPSLPLMRKTFIEAMLVKATLTAMAGSLPLMRKTFIEVGNIPACTANSVVSSIVMEAFIEGRVSVNLSQALVFFCLYSRLSFVMK</t>
  </si>
  <si>
    <t>GC_00004346</t>
  </si>
  <si>
    <t>PF13607.11</t>
  </si>
  <si>
    <t>Succinyl-CoA ligase like flavodoxin domain</t>
  </si>
  <si>
    <t>C|J|O</t>
  </si>
  <si>
    <t>Energy production and conversion|Translation, ribosomal structure and biogenesis|Posttranslational modification, protein turnover, chaperones</t>
  </si>
  <si>
    <t>COG1042|COG1670</t>
  </si>
  <si>
    <t>Acyl-CoA synthetase (NDP forming) (PatZN) (PDB:4YAK) (PUBMED:26251518)|Protein N-acetyltransferase, RimJ/RimL family (RimL) (PDB:1S7F)</t>
  </si>
  <si>
    <t>MTPNDEHSNEHTVPHRWEADVVLYDGSVAVVRPVHPDDVDALKAFYGRVSPESKYLRFFGAHPELEDSDIDAWVNVDMHDAVTLVLLDKEDIVGTARYELVQAFLPERVGDVSFLVQDDHHGNGVANILLEHLAQAGRECGITRFFAEMLPNNRTMVQVFVRAGYELKPQFADGVIEVNFPIAPTDRSWEVMLQREHRSEAAAIRRLLNPRSIAIAGEQSRMQTSADSLTAGGFRGQVHVLTTPGAQASEMLRQLADHGTSVDVAVVSYPEPPDTLDAIMQAAAACQAKGVVVLARGHNPTLTPQEASEFVSHARAHGLRAFGPASLGVINTDAQVQLNTTPAPMPRTGAVSMFTQTAGISTLVLSHAVARGCGVRSFIASGSFADVTANDVMHFWIDDEDTRICLLSLDAIGNPRKFFRVLQRLALDKPVVIFAPSRALNSAKGHGYQLENSPSAHPAIIDDIIGHAGVMVVSRRDAMFDIAQILARQPLPTGPEVVLISNSVGLNAQMVQAAYRFGLVPESRPVTDINPAGGVVRAAQHAVEEGKTVLAAVVEISEPLFEEVQAGLSELAAHSTAPVVGVFIGFRTPEQLQPQLSPAGLHPEQQGQLPVFPAYAEALEALGAIVRNQSNRATHHASDSEPVVTAHTKQAKKLIEQLIEGTPTATPAQLLDCYGINAHTVVDDIADTYPQPVIIIRTVEDPVLGPMTGLIPREVTFDLTKEETWRVPSRQKTEALSMIADICGQHIHPDAADALADTIVRASVMNDEHAALVDMNLVCDLNQGDVIEASLVCSAEPAYREQLVRNL</t>
  </si>
  <si>
    <t>GC_00004347</t>
  </si>
  <si>
    <t>MGQPAQVQQSTPRIGSRIRRVSGIDGLRGVAVAAVVIYHFFGDVFPGGYLGVDVFFVLSGFLITSLLVREKVANGTVSLKQFWIRRARRILPAALTVLAIVTVLSAIIGGDAGVGLTAQFLGTLVFANNWVQIEGSHSYFVDTGVQVFAHYWSLAVEEQFYLLWPPLFAAITGGLFGGRALRGAALRTRLTAAAVLATILGAGSFALMVALYNPEADPTRVYYGTDTHSFGLLIGVVLAIVMTSDSSDATDSWPQRRNPLRIPVVAALLGTLAAAGLVALFFTLPDTSPVTYRGGLLAGSILTAIVLANVVMETGPVSYLMRVRPLRWLGERSFSLYLWHWPVIVLLRELLFGYSWGRNPWLLGVLALAISVPLSHWSYARVETPIRRKGYRGAIRGWIREAVSPGPQSRRIAVGYAVVTIFATGSIAAFALSPNQTTLERDLAEISAGSGNDAPEKAQSVQEVKEVPAMPTGDQITAIGDSVMLASAPALEERYPGIYIDAEVSRAMLSIGPTIDQLEATDSLDPFVVLGFGTNSAIEPEVIDEVMDKLGPDRIVVVTLPYGDRYWIPISQQTIIDAAERHPNLYVADWCHAAQSDPLALRQDLIHPTEEGAVLYVDAVTAAFEQWTLQDEDAKVIPEVCS</t>
  </si>
  <si>
    <t>GC_00004348</t>
  </si>
  <si>
    <t>PF09375.15</t>
  </si>
  <si>
    <t>Imelysin</t>
  </si>
  <si>
    <t>K07224</t>
  </si>
  <si>
    <t>iron uptake system component EfeO</t>
  </si>
  <si>
    <t>COG2822</t>
  </si>
  <si>
    <t>Iron uptake system EfeUOB, periplasmic (or lipoprotein) component EfeO/EfeM (EfeO) (PDB:3AT7)</t>
  </si>
  <si>
    <t>MRKSISLLALATMPLALAACADKADEASTTTFTVKANDSACEVSGDSAETGTSVFEVTNDGSKTTEFYVYTSGGRVVGEVENIGPGSTRKLTVQITDPGDYTLTCKPGMVGEGISQQLKVTGESKSATEGDAVLTEAVDGYVAYVRSQVGSLKEQTSEFVGAIEKGDVEAAKALFPIARTPYERIEPVAESFPDDLDPRIDRREADLEDGQTVDDWSGFHKIEKDLWVGGAITEETKQTARQLYKDVEELDEGVNSPDYKITPAQIAGGAQELLDEITTSKITGEEDIFSGTDLYDFQANLDGSKAAIASLEKAINERDADLLKEINKRFDNVQKLLDRYREGDGFVDYNKVTEPERKELATAIDALTEKVAKVQQVVAN</t>
  </si>
  <si>
    <t>GC_00004349</t>
  </si>
  <si>
    <t>MFSQQLNKLQETLIRFQEDFAKHVVGQSGVKGEVLISLYPLTRSERTKPMVMMFYGPSGVGKTETAKLINTILGGELLRKQFSMFQDGNFSSYLFGGAHSEASFAHDLLDRESGVILIDEFDKANPVFHSAFYEFFDEGIFEDKNYKVRLGSAVIICTSNYKNEDEIRSALGDALYSRFDRFIEFEYLSKEEIEQVVDRLTEKYYAQLDVEEKKQLSLSDVKRETSKIPARIHQANVRRIGKLIEGIISYMLVDLLLKDA</t>
  </si>
  <si>
    <t>GC_00004350</t>
  </si>
  <si>
    <t>MTRTRTTSAAETPLAARLWDVLFPEEGREKWWNTPALVDAHEQLTYGQFHDEVLTVAAGIIDRLDQMHGQAEPTGSHNSLGGTVVGIELLNGCGFAIAFHAVLAAGCIAMPVPQVPDTSYFYARSGAALALNEEELARLRQHPRCLETPARRSGTDVAALPFSSGTTSLPKPVRLSHASLAANVAQFVAVAPWQPGTTVLSVLPLSHIYGLTVLLNVPLAMKCRVVTKPFTPKEFLDDHARFRPAVSFIAPPLARLLATAKADFSSLTVMISGAAPLDPTIAKQAETNTGAKIYQGYGLTEASPVTHLCRHDDPLASIGHPLPHTTHSIRAPQDGTPLPNGQTGELWVQGPQIMLGYEGEADTGDWLRTGDLASIGERGEVYIHGRVKELIKYNGFSINPYRVEQAITAAGLCDDCAVYPATSSSGEEIPAAALVSPKPANLTLEQLQRALEPHLGRYELPRALRIVDAIPRSAAGKTLRREL</t>
  </si>
  <si>
    <t>GC_00004351</t>
  </si>
  <si>
    <t>MALYRKYRPASFGEVVGQEHVTTPLSAALDSGRINHAYLFSGPRGCGKTSSARIMARSLNCVDGPTSTPCGKCPSCVSLAPGGPGNLDVTELDAASHRGVDDMRDLRDRAFYAPADSRYRVFIIDEAHMITNEGFNALLKIVEEPPEHLIFIFATTEPDKVIPTIRSRTHHYPFRLLTPPDMRGLLQRTCEAEGVRVDDAVFPLIIRAGGGSPRDSLSILDQLLAGAGDEGLSYEMAVPLLGVTDFSLIDAAVAALSARDYAGMFGAINDVINAGHDPRRFATDLLDRLRDLMVLQVVPDAVAAGLIDVPEDYVPTLQQQAQAFAPGALSWLAGELNSGIDDLKGATSPRLLLEVLFAKMLAGKSAAVAAVGNAAGAARATAQAATAPASGASAPGGSAIGAAGAGPGAIPDNMPGAAILRRRMGLAEPAQQEQPAQKQPPAKPAPERMPAEKPAVAPKPAQADAPKPAQPGQEGQPTQTAPAAQKPAEHTPAEQVQQPEQPQPEQKQAEQVQPEQSQPAEDLLQTLNTKWAHIRSLISNKNAVAGILLAEAKIVGINGDTVLIGNNTGALVQRLNASSNNDVIAEVVSAELGQQVSVECVVGTHPRQAGGDSAPQPAAQPARTQQSPQAEEPAEKPAEKSEEKPEEKPSEGQTTAAQWAAPAAKPSKAEQPEAQDNLPRWKQAAARGNAKLRNQQTFGDGVPLPPEPDDPYGYPPDESMPGGFNTPAQPKAAASNPQVEAQPNPRDVNTPQPDAPPNTAPPQQHTNPADTRDSEEEELIREAQDAGSYDRRDAKAVAMDLLAKELGARPL</t>
  </si>
  <si>
    <t>GC_00004352</t>
  </si>
  <si>
    <t>MDISPYKYDPPYIYMKQEKYPSIRPLELIAETVNSSDVHCFIFILNIKSNFLELLRENDVVDIYWMKSLDSWIDKKMMIYYPSLKGGISAVVKMKKPFSMDSLKEVYYQPLGKNYPLGEIIVASSGEIPNSVLDAFFESAIGESDVPSRYLDIIFATVGLWSYACEYADDPSVSPSDVVIIGRKSDLTKGALDWGEKFDPMTGESIS</t>
  </si>
  <si>
    <t>GC_00004353</t>
  </si>
  <si>
    <t>MLNFESVPTWFGWVSCAGIAAFALCIAVGLVIVVRTRSAAVRIVMSDLIFYGMVGVFLVWSVFADVSIVFEVAVLAALLGGLSTVSLARMLSRGRR</t>
  </si>
  <si>
    <t>GC_00004354</t>
  </si>
  <si>
    <t>MIRDLYAIVDKPAQRMLIMLLIASTLAAAAQGIAFVGLFPFLTSFISDDDAVSLWLMFILIATIITWMMVLFTGFIGRASSAAILRSLLSMLGERISRLPLSYFRQGVDGSLADMASSGIGFAAAVPHVVVRPVITGIVTPAVIALATCVIDWRIGIIMIGAAPLLWLAYRRIGAASGESDHHHTEAVAEVTTRLIEFTRSQSAIRAAGPNSIGDQVVDDALQRQHDAFAQAIATQGAAIGRLGSLVQAVFSTIVIVAVIIALRGGMDYATLVALLIVVSCFTEPIVNAGALSGGFSSGMNTLAELRKLREIPVLSEPNEPVTPTSYDVEFAGVDFNYGESRILSQISFIVPEHSLVAIVGPSGAGKTTIMRLLSRFMDPDAGTISIGGVPLPSIGTEQVNQLVTPVFQDTFLIEGTIRDNLLLARPTATDVELRAAVTAAALDGLIDKNGWNMDVGEGGSLLSGGERQRVAIARALLKDSPIITLDEPTSSLDAVTERVITDTMHALRTDHTVIVVAHQLNTIRDADHIVVLNEAGQIVEQGTHDELMKLGGQYHHHWQIRTTS</t>
  </si>
  <si>
    <t>GC_00004355</t>
  </si>
  <si>
    <t>MHRRGFLKFIAAATTVAAASPIISACSSSSDSEGASESKASGKALDTLRIAAIGSPGENLNISEALSTATWAALYAVYESLVIAGSAKPALQLASSAKPNDDASVWTITLREGATFSDGTPVTANDVLASVKHIAGNPMHGMSYADVDVAASKAVNDTTVDIVLSRPRADFVDSVLALNSLVYKGGDPANGIGSGPYVIDSGDSGQGWKLTANEHYPTDMRVSKSLEIQVIADAQARLRAVESGAVDLAMDLPATARRSLHSAEVWSPGAVDSKGLLFILNTKVAPFNDVEVRRAMKIALDRSALVDAALDGTGTSGTDVPGLGFADYPSDLSEPKMDKDAARKIFEDKGVKKLTLVTADFTPGMNDGADVLARQLKDLGVEVEVEKRDPATYYSDMEALKKLPFFASYFVNRPLLSALPFMTGSKAMFNLSGFGTEGDWDKRLEKLQAETDADARAKQLAELARTMQEDGGELLWAYANEIHGRAAGVPDLPVSQSVPIATRLPAAKN</t>
  </si>
  <si>
    <t>GC_00004356</t>
  </si>
  <si>
    <t>PF00960.24</t>
  </si>
  <si>
    <t>Neocarzinostatin family</t>
  </si>
  <si>
    <t>MKKIATVAITGTLFTIGAFAGTPAAQAYEGNDLNNASIVDAQTEYNDGDTITVVTDGLKPNTKYLLGQCTADAYDFMFGIKIPACAADTKVSATTDNKGHLEADIRVVQYAPNAHQNLPGQKNRPDINFDQTRAEILIVQDHGKGFRGQQAADTDGYFIVLP</t>
  </si>
  <si>
    <t>GC_00004357</t>
  </si>
  <si>
    <t>MVSCQGRQVFKKQTRRYAFDMSKRHPNSATVAAWVDGLIYPDSRRQACFRAGIQQPTLTRQINEIGKLAPEVVIQLCRSYGRSPAQGLCETGYLERSEAKQPDLDSILAGIPFSRLLEELQARGERAGLI</t>
  </si>
  <si>
    <t>GC_00004358</t>
  </si>
  <si>
    <t>MVSALNTFKTDALRRFASGRRVSRALTKTLLHEGFIARDEYGSLILTTKGSEALQNA</t>
  </si>
  <si>
    <t>GC_00004359</t>
  </si>
  <si>
    <t>MHDANEGINKVPIIIALVLAILLVVGVIVGARVVAERAHQTPVAIAEVDAPAADSSECGDFIAAMPTTVIGLRRAVIADPAPVGVAVWQKTASRQITVRCGVAAPAQLTDLSQLEEVAGTKWLQVVDTTPGSTLQTWYTTDRDKVVAITADGEALQSHSMPEVITTFSDALAALPAGSANRSPIPLSELPAAEGEDTSKCDGLLSVLPETINAGGTQYSRAKQPSGAPELAAWTAPGAEPIVVRCGVKFPTTYEAGARLSQVNDTPWFEDTTLGNGTTASVWYAVDAHPVVVLSAPQAAAQSALVQVSAAIRSKL</t>
  </si>
  <si>
    <t>GC_00004360</t>
  </si>
  <si>
    <t>MTTAHPRRHLHRPNSSMAALTTASATSTTSAPTATTAALSAASTAALKATFTAALSIFAIATFILATSLPATALPTTSSQSLPHPSTQHAPATALPASHPALSAQATLSTQSTPSADHVTVTVWSDSPELTDEDEAFLTAETEKLDFPDQVTTVDYLLLAHNSEDFNEGMLNFAKEQRPDLLNDGATKWAPGHLIVAVGLEPRRNGIYCGDDACAALTLNRGPRLHNSLEAMKPSLRGGNLAGGLFAGAQATIDPETLIGNTPDDDRQQSWFSKITALPIGILVPIGVVWLIFKNSRKNRKRDRKLYETVTTGHAEIAPKLDEYDIRANSLRSDLADSELRHQWEEVRKQFLSIDSTLAKIPDNPSDKQLTKHGRDLYSANNSLSLMRNAMSNIDTLYDIENGDKATRIREAMRLREDFKEAALGTSNERFAEELTQLQARAKVLMDDPQQEGFVDAFTLLIADAAVVMKAIGAEELDGVTESAKHPKPTISADDWRPGVGYHGYTPYVVMSTWHSHDTASDNSWDTGDSSGVSVGYSTPGFSGGGGSSSW</t>
  </si>
  <si>
    <t>GC_00004361</t>
  </si>
  <si>
    <t>MSLLRFSVGNFCSIKDIVTLDLAPKLGEATALTDPVKEITEPVTAIFGPNGSGKSNLLEALQFAHDVIIRSATSWRVLDDYPTQPHFPFKLSKETVSQPSFFEFDFTIDETRYLYGFTYGRDGVVEEWLSYVPKQRWSKGFIRNRTETPEIDWNNSYITKTLQKELGKVDKRELILSVALRDEHPLLQKIAYALVSSLSFLPLGDFAQNERIQQATSLIRKKHFDLDEISLLMKAADTGIESVSLNEEKIPPEILERLYKFLKAMKELDDESNEEILSNDEAEKVIYNLVFTHGGKINSTLDLSEESAGTLAWLSTAPTLLQTLREGSILIADELDSSLHQKLLEMIIKGFTDPSINQHGAQLIFTIHNTNIIEHMDDLSLDTKSIWFMEKNQNGESSLFSLVDFPNHADANYERRYLSGRYGALPFLSPSTLRGLVSTQGSETAHESNSESPSPA</t>
  </si>
  <si>
    <t>GC_00004362</t>
  </si>
  <si>
    <t>MAEFFPWVRKLSLSDQRLCAQEIMAAARMSADELVIFELRSWSETASAIAAGLGDVRSGWLAVPKPVERP</t>
  </si>
  <si>
    <t>GC_00004363</t>
  </si>
  <si>
    <t>K22770</t>
  </si>
  <si>
    <t>stearoyl-CoA 9-desaturase NADPH oxidoreductase</t>
  </si>
  <si>
    <t>COG0633|COG1018</t>
  </si>
  <si>
    <t>Ferredoxin (Fdx) (PDB:1KRH)|Flavodoxin/ferredoxin--NADP reductase (Fpr) (PDB:3OZU)</t>
  </si>
  <si>
    <t>KEGG Orthology (KO)&gt;&gt;&gt;09100 Metabolism&gt;&gt;&gt;09103 Lipid metabolism&gt;&gt;&gt;01040 Biosynthesis of unsaturated fatty acids [PATH:ko01040]</t>
  </si>
  <si>
    <t>MAPTTDGLKRLRGVLKRFSTPLLPDDYTQLVNPLWSARELRGKIISVTKHTPHTADGEVGAADTVSLVIEPGWGVPTDFEAGQYIGIGVQIGGRYTWRSYSLTCPPNPAGGRLEITVRAVERGKLSNHLVGSARPGMHVRLAAPAGEFHLTNPLPEKLLFVTAGTGITPVISMLRTMEIRGHFNTDNAAGVPDVIHVHSYRTDDDLLFGDDLRDLDAHPNYTLILRRTSTDGRITTEELAQLVGDHDQRVAYACGPSEMLDQLESWSDNLKELKTERFTLDRTSDAQGGTVSFGDRATVTIDGATTLLEAGEDAGIQLPFGCRMGICQTCVRELDDGYVTDLRTGETKGPGERIRTCVSVAAGDCRVNC</t>
  </si>
  <si>
    <t>GC_00004364</t>
  </si>
  <si>
    <t>COG1788</t>
  </si>
  <si>
    <t>Acyl CoA:acetate/3-ketoacid CoA transferase, alpha subunit (AtoD) (PDB:1K6D)</t>
  </si>
  <si>
    <t>MKLCSRADALEGINDGATIAVGGFGLCGNPTELIEDLIARGCTRLTIISNNLGAQGVGLGRLLTLGRVERSIGSYIGSNKEYEQMYLDGRLCVEFTPQGTLAERMRAAGAGIPAFFTKAGVGTVLETGGLPYRYGPDGAVLEASEPKEVREFDGQRYLLETALHADFALVQGHMADSFGNVHFRYTAQNFNPEAAMCAKVSIVQARCVVDELPPELIDLPGIYVDRVVEVPDGVE</t>
  </si>
  <si>
    <t>GC_00004365</t>
  </si>
  <si>
    <t>MVPFIDVDLTPTETREALRDVLQGARPVGAPDP</t>
  </si>
  <si>
    <t>GC_00004366</t>
  </si>
  <si>
    <t>MVLVASRVQTRAFGMQRVVDVRGVTVLWHPRAVFACLVLGAVIVGCALLLLTQGSMKLSVTEVGQALAHPGADSRDRLVVWGIRLPMIVTGLATGMALGAAGMLFQTLSRNALGSPEIIGLVSGAAFGAVVGITFLQTTGWRTSLAAVAGCALAAGLAYALAPRGSGFINRLVLIGLGLSACYGAATTLLLTRIDPDIAIAGQVWLVGTLNARQWTHAVPAVAAVVVCLPVAWVLVRHLRVMELGDALCAGLGVRIPRVTAAVTVVGVVLTGAAIASTGPISFISLAAPQIARRLTGQQVVPVTTAALTGAVLLLVPQCIVHLAPAGYQAPVGVATSVVGGLYLIFFILRSKR</t>
  </si>
  <si>
    <t>GC_00004367</t>
  </si>
  <si>
    <t>MKALTWQASNTVSVEEVRDPQIQEPTDAVIRVTSTAICGSDLHLYGVLAPFMDEGDIIDHGSMGIVEGVGSAVTHIKPGIGWSSPSTFPASIASCVARACSRSVKPPRSAKTAPARSSSVTRGFTARPYVPSWLALCAHGRSRRL</t>
  </si>
  <si>
    <t>GC_00004368</t>
  </si>
  <si>
    <t>MLIKYRVVTARPSPWSVTSVGIGIIAEDPSTQQIRSRFLNGHAYRRLEVLGIQPYVHSIAQELSQALNKAQPLATQLGFSEPELSAPGYLAVIEKHWNGTVRISPPSVMDADSVDACLDILFEDLIGLSSKPRKQSPREKLRGEVRRAYRGIPAVLAKRPRLNIAGIDRSFDFAVQSEYGVEEISQTQIFGTDEDLVRTADALTQRIQELRTNGATYIHNGEHHTIGNDVEIAVFFTIPHADRNKAMELADSYSTRWADERTRVIPALAIPEHAHRLAERIGA</t>
  </si>
  <si>
    <t>GC_00004369</t>
  </si>
  <si>
    <t>MGAMLSRPQRSFNPPVSPEVRLRFSADGKRCDAAAGGFERSAQRAGEILDAGGSWRLTGPAGSGVSTVLVECVAESLRRGVRADEVCFLTPSKEAAARVQAAVGARIASGVGADVQVAVGVQSVHSFAFSIVRAAAVRAAHADGSDGGMLPRLITGAEQDAVIRELLLGHHEQGGAYWPEEQRPALELVGFARALRDFLLRALERGVGPEELKALGQRWGIELWSAAGLFLEEYERTMELSGARRLNASELVTAALQALNADPVLLDQLRAQSRLFVLDDAQNVDPQTARLCALFVDSADCAVIAGDPEQAVFGFRGASEDFLLHHPVAHECRLDASLRVMTSREIVVADSVAAQSSAVADVVRREHLLGGRPWEDIAVIVRGAGEVEPMRRVLLGAGVPVSLDPTAVVLSEEHIVQAVLLAVRAARAGAVVPLGGQGAAVLEPLSRSEVVQLASGPVGGADPVVLRRVLRGVRKAELMRARAAGQGIGRRAVDCLAELLNCGQEAVLGLDALRDVLSERELAVLQRIVDVVSAGREAVQRGESVEMVLWEVWRTTGLSDHLAAVSLRGGAAGSQADRDLDAMLALFDAAGDWVERRPSASIDSFVSHIMEQQLPTGMRDRRGQVPQAVNVLTAHACAGREWGAVVVAGVQEGSWPAAAEAGTLFLQERLVDLLDEGIEPDTFISRAAERLVSERRLLGVALSRAVDRVWLTCVDAPDAAEAAEPSRFVDDVASAWGVTPVRVSMRDGDAQAQAVGGLRVLSVPGFVAELRRAVCDQSTPMGLRRQAARQLARLATAGVYGAHPGQWWGVHGPSSQSQLEAPGRPVMVNPSRFEQALGCPLRSVVSRWDPDDEPGFYQQRGIILHAFSEAVAAFEAVRAEQEADPDASAQPVDVAAGLAEAREMVVEAIDAITPTVSAQANRVRAQWRAAVERTQQWTVSRSANLDLVATELPVRHVVGRVAERDVIIKGRVDRIDATREQPRRLVIADLKTSNTAANKVDAAQNPQLMAYQMAVREQLGEDIAEAQLVYPVVENKQAAVREQPPLDESMRRGLRLVFDDVAESLLGPDAEAFAIDQSLCDTCAAKVMCPVNPEGKAVTDVH</t>
  </si>
  <si>
    <t>GC_00004370</t>
  </si>
  <si>
    <t>MAIASLLVSFDRLDCLDVGSGKVSIWACMRLWVWSLQPMDSMVTLVACEGGAMPWLDL</t>
  </si>
  <si>
    <t>GC_00004371</t>
  </si>
  <si>
    <t>MPFLFGTTSACAENTKRSGCRLWPWRNYLRVRGEYPVMRFRYRAWLELPPRARRILGDPAMTSFGRGTTSACAENTATTYNRSAWRRNYLRVRGEYRQVLQCNLQRAELPPRARRIPRFRQAINKLIGTTSACAENTGLFIARQPQFGNYLRVRGEYLHNKGRGAMRSELPPRARRILHLDCG</t>
  </si>
  <si>
    <t>GC_00004372</t>
  </si>
  <si>
    <t>MSITYSKGMHTTEPLSGTSILLVHAHPDDEAIWTGGLIAKAAKLGAYVHILTCTLGEEGEVIGNQWAELTSDKADQLGGYRIHELNRSIAALSEAATNSSGSVTHSFLGGAGHWRDSGMAGSSTNNHPRAFIHAEHEATQALRDVIEERNPDYIITYGPDGGYGHPDHIQAHTIVTNAARLTDTIAWAVTDRETFNHHHQQLTAPEGWTLAPQDIATIDTTTSEHPVQKIPLSDHIRGIKANAMRQHATQLIVPTNTMFALSNMITQPLTPAEHYIIAQGQPLPEALSAH</t>
  </si>
  <si>
    <t>GC_00004373</t>
  </si>
  <si>
    <t>MLFALLMQSPTLWVVEPPGGCEAGFVGDFLCLPVVGAVLPWFRAAFALDVQNVIDFVGGWDCVSDAAYVDVCGQFPCPWFRQAVGFGFLDDRPNRVIWSAGVSVGSQDAL</t>
  </si>
  <si>
    <t>GC_00004374</t>
  </si>
  <si>
    <t>MSSENSPSVDSSRNPQEGSGRSSRSRRRRSRSRRGRSSQAHGNNQGANHSAEQASQQNPAPSRPQFQAAPQSADDSGASQRPNARGDVTNTGSDGTSNTANSGNSRGGSNQRRGRRHSSRRRGPADSAGTQPRTTGSGGPKPSKSNAPREQRHQHQQSKRHVPEPGSYPQYTQYVQQLQESATYRRKDVTPPRFDRPAPPEEAPYAVVSIQSSGIHPSTSRLVSLDIQTRTEAGDVVNEFHCVFDPGTDIGPKHLHGLTKDDIAQAPRYSSLTRTIGRFLDGRTVIMHNAPRTWGFIVSETRAVMRLERRHSKGSKGRGRKGQQRRNFTRLPRPTRIVDTLSTLRRQGVYLEDTRIRGCARTLGFDVDPAASISRAMMPEAAVSRESTELVWEMFNKLRKGELAERTPKEIQGDRFGLQRSIVRIDAANAPRPFINPGVLRDQLVQGMEIVVSPQIEMDPNVIIEAVARTGLAYSEKLTRQTSAVVCNQRDNLTGKAMHGDRKGIPLVSDAEFMSLVEDVAPGTTL</t>
  </si>
  <si>
    <t>GC_00004375</t>
  </si>
  <si>
    <t>MSQPDLYDNRGFAVVDVETSGLSQWDRVIEIGLVLLDPQFQVQGEWQTLVWSKRVGSTEHHGLTREDLEDAPAFAEIADEFASLLHGRVFVAHNVSFDARMLRSEFERVGVDAGEFFNNSVCTMLVGRERFGCTGKLSDCLRMAGIAQSGAHHAMNDARHTAELLQFFASDKAAQKILLRREYTLEDMVGVRQLGLVRGTRLARGEQLPEGAQRGWVARVASRVPASGDARVDKYRSVLAKALADGYVSRAEVRELGDVARSVGLDAAGVQAEHLRFFSQVALAAWEDGVLDADERARLLTVAQCLEVPARVRDRLLAEPVDVVSVARGGVWSPGEGSRVSFVGRLSQPAAAWDGRLEELGLTRGALAKSTAVLVAADPAAPLATVAKARAAGIPVVDEVNFVELLDVLEERLHSPADEVDATDPVVDPAPVEPAAVEPAAAPAPEAQEPEPAPEAQKPEPQQPPAQQPAAQIATPVQAVATPQQPAPYGVESKKSVSPALGCGCATIALFVVVVVVLVLLMV</t>
  </si>
  <si>
    <t>GC_00004376</t>
  </si>
  <si>
    <t>MSTSDQPTVTTQVSAHSDQNLFRVDRMNLISAIVMAMMLTLTVGHKPLLLGWFYIIPIGLIVWVLRSSTRVDEEGIHARYVFKKPVDLTWENIDGIGFGRSFAKVTTTDGSQHSLPGVSFNDVSKLAEASRGRIPDVIAQAEQASHDKVTIIHRDGRQVLVDADKAATEQSEN</t>
  </si>
  <si>
    <t>GC_00004377</t>
  </si>
  <si>
    <t>MSSGAARTVTEPRLLRAIGKAYRAKGQPVVLVPVWSQWHAGHTAVVDAAARMSGGVVVVAYDGEIPQGLDVDFVVPLAPAPEVSVLPGNDFLAARVASRGEEALLARLFAVTALVGATDVFLGDKDYPLLVALQGCLRGLGMDARVHTVPTVRMPDGVPVSNRNARLSASSRDAAVVVAAIMTAAHSVAERGPAAVKDTVHRLLADNGVEPLYVDVTTPDYSPIPGHGAEGPEGAVPQEGRLSVGLIDPASDTLISDTVALQFVAASSPTGELAPGITVEDVRAHTECDIKVAPGVA</t>
  </si>
  <si>
    <t>GC_00004378</t>
  </si>
  <si>
    <t>PF20613.4</t>
  </si>
  <si>
    <t>HipA-like kinase</t>
  </si>
  <si>
    <t>MSDSNVTDLNQWREDRTSSTRFFTTVYEVAPTGSRPLLVRADNGSKYWCKQLNNSQGPEVVVNELVTSIIGDAIGAPIPKWTILRPSPTLIGKRFRNSRNPNEMTCVFEEPVFGSLVVDFPGIPMHSSVFQFVDDNSNQRRIARLIALILICNGQDVQFSYEKENDNTIWCFDFGFWFDSHESPWGLTPHDAAFGRPDLPSLHTCISERYWHEAIDTLNQLNATALIEDITHHLPEEWKIPEARVVQLVRYAIERRDYAKQELSRLQQAYF</t>
  </si>
  <si>
    <t>GC_00004379</t>
  </si>
  <si>
    <t>K00652</t>
  </si>
  <si>
    <t>8-amino-7-oxononanoate synthase [EC:2.3.1.47]</t>
  </si>
  <si>
    <t>COG0156</t>
  </si>
  <si>
    <t>7-keto-8-aminopelargonate synthetase or related enzyme (BioF) (PDB:1BS0)</t>
  </si>
  <si>
    <t>KEGG Orthology (KO)&gt;&gt;&gt;09100 Metabolism&gt;&gt;&gt;09108 Metabolism of cofactors and vitamins&gt;&gt;&gt;00780 Biotin metabolism [PATH:ko00780]|Enzymes&gt;&gt;&gt;2. Transferases&gt;&gt;&gt;2.3  Acyltransferases&gt;&gt;&gt;2.3.1  Transferring groups other than aminoacyl groups&gt;&gt;&gt;2.3.1.47  8-amino-7-oxononanoate synthase|Amino acid related enzymes&gt;&gt;&gt;Aminotransferase (transaminase)&gt;&gt;&gt;Class II</t>
  </si>
  <si>
    <t>MKAAPSPHSHTSLEADAATRNTDWATQGLARFERHFSTGQTPTAEVDGAQRLLFSSSNYLGLAEDPIVIDAAINAARTLGAGSGGSRLTTGTLDAHRQLEAHLAGFFNYPAAVFFATGYQANLSTISAIVGKRGDDFEIFSDQYNHASIIDGARIARARVRVFKHCDYDDLEAQLATRTRPHALVISDGLFSMHGTCADVPHIVELARSYGAWSYIDDAHGVGTLGPTGRGTCELQGAWPDVLVGTASKALGGEGGYACCGPEVATLLRNQARSYVFSTSNSPMVIAAVDAALSRVDAALVSRLQSRARLLRELLRAAGVGVAGLEQSAIIPVHVGDELLAVEAAAALQDRGIQAPAIRYPTVPRGQAILRLTVMATHSDEQVKECARVLAEIFENLGLTRPVE</t>
  </si>
  <si>
    <t>GC_00004380</t>
  </si>
  <si>
    <t>MPFTDSPAARRLRKRLQAQYKEQNKPCAICGQPIDYQAPRTTYHPNSLDLDHIQPTKTHPHLELVEDNIQPVHASCNRHKSDGVAIHPIGNTSRIW</t>
  </si>
  <si>
    <t>GC_00004381</t>
  </si>
  <si>
    <t>MSTKVKNPNEKSYGFIIALLVIIVLGLGVISYIVISGNKAQTEQREASMVAVDNLEVSYKDNAITLKSPAATADTPQVDLYEDYSCPHCAELAEAADADMLKAIEEGKLIVNVRSLNFIDQGTEANSTRAGAAALAIAKSGDAQGYWNYRAMLMRDQTMLRTSNWDNAKYGDAAVDYNVPDDVVKDIKDGADVDAMKDFANASADSLKAAIGKVSSPHILYDGKDLDLRDGTSWIKEVTN</t>
  </si>
  <si>
    <t>GC_00004382</t>
  </si>
  <si>
    <t>MTNVMQRTSPQYPCEYPRKGAIDDPTCGGSKITRMPVLLLDPRCPNQIPIEALAFITGTTSTVAYTDEVPIRVRWAIADLGATTVCDVSDAQLLVTTDDSSALFAEATAADSHVIVCPSRAITAASSIQQTPIEQAQETISRALDIGEWEQKQTHASLIPYLEEETQEFAQAVRAAETRRSYFDDSDMCDELGDILLQVLFHAEIARRREAFTFNDVAESFNNKMRARAPYLFDGTTEIVPEAEQQRLWNKAKSV</t>
  </si>
  <si>
    <t>GC_00004383</t>
  </si>
  <si>
    <t>MFQSVDIKIGFKDSPRELTVSLSGDRDAVVGQIRGALEGSEQLLNLEDSLGRVYVVRVADISFVEIGTDSSRPVGFSV</t>
  </si>
  <si>
    <t>GC_00004384</t>
  </si>
  <si>
    <t>MITRFITQTHNAHKDSAAAHVNACGNTFPFISIAQIDADYSEIFCDMTNLPLDLADASTKVKRFFDAYSEFFLLPGFVTASYSDNALPYPTCFPVRQEHAELLAAQLFDYICALKDL</t>
  </si>
  <si>
    <t>GC_00004385</t>
  </si>
  <si>
    <t>PF00848.25</t>
  </si>
  <si>
    <t>Ring hydroxylating alpha subunit (catalytic domain)</t>
  </si>
  <si>
    <t>K05708</t>
  </si>
  <si>
    <t>3-phenylpropionate/trans-cinnamate dioxygenase subunit alpha [EC:1.14.12.19]</t>
  </si>
  <si>
    <t>COG4638</t>
  </si>
  <si>
    <t>Phenylpropionate dioxygenase or related ring-hydroxylating dioxygenase, large terminal subunit (HcaE) (PDB:4QDC)</t>
  </si>
  <si>
    <t>KEGG Orthology (KO)&gt;&gt;&gt;09100 Metabolism&gt;&gt;&gt;09105 Amino acid metabolism&gt;&gt;&gt;00360 Phenylalanine metabolism [PATH:ko00360]|Enzymes&gt;&gt;&gt;1. Oxidoreductases&gt;&gt;&gt;1.14  Acting on paired donors, with incorporation or reduction of molecular oxygen&gt;&gt;&gt;1.14.12  With NADH or NADPH as one donor, and incorporation of two atoms of oxygen into the other donor&gt;&gt;&gt;1.14.12.19  3-phenylpropanoate dioxygenase</t>
  </si>
  <si>
    <t>MPRGGLTRPEGIDPVIDVSGMVDPDGGLVDRRIFSDPTVYSQEMRRIFARSWLFIAHEDQFKKPGDFFQTYMGEDPVIACMNKKKEIRVLLNNCRHRGARVCRADMGQTKNFSCTYHGWTFDLDGKLINVPAQESYASDFNPADWGLVTAPRVESYKGLIFANWDAGAEPLEDALGDMKWYIDAFMDRDPEGTCVVGGVTKWVLDGNWKLAAEQFATDWYHVNMSHASALMVLSPTGKGPKKEIAQRTGRQYNDDHGNGAGFPVHPRNRFDAQPVHEYYDYEFLRERLSPEQVMGPLTNGHATIFPNFSYLPVNGSIRVWHPKGPNKMEVWSWTVLDKGMPEDVRHAQRLYNLRTFGPSGIFEQDDGENWSECQANAHAFMVGNTALNYQMGLGTEKHEEGFPGTTSELYSDAAGRAVYRRWRELMSTPAWHENKE</t>
  </si>
  <si>
    <t>GC_00004386</t>
  </si>
  <si>
    <t>MSLRLPTGPPSASHGLSTLEAALRVWAQQLSDHRELVSDSWYAHLGRSVSGAAFDEAFTAHLRLTSPAEQVISVLQQAEGVTSAIATARRDLEQRVAEAIDHLAAVGIYLRSGNMLYAADHAVELLPDARALFDAFGQIAWAIDQHGADELRRIAQFTNPSLMPVLTATADGLDQLDAPWPPHPHDVELWVSQHPEVELLDSPGEGFAYAVGDPGASSHIIIVGGVGSSSDSSWERNLQRALTTAAATDSRVVMWTGYDAPGVLPFGISDRRAHDAAGDVHSFIEHYANQLRDNDSSSGSDRTLTLVGYSYGSLVAGLAARQGLPVDSMVFVGSPGTGAHDVEDLRIKPGGKVYAVMGTSDPIRVATSNHQGLFGPDPGGDSFGAIGVEVPADHSGYWESSDFLDVLRRASAP</t>
  </si>
  <si>
    <t>GC_00004387</t>
  </si>
  <si>
    <t>MRFILSHSHYAPGTRGVAITIHRLGSMTTPRLTTTTIGIAAAAFCLAVGLSACGTQNTSQMNAATPLTSTSTTKTTTTHKAPPSTPESTPVGPCEAEQLEMVATPSGNGAGSTFTEITLTNKGPACILKGFPGLSLLDGAKNQIGAAATREGEGQSDNSGSDGLIQTGSNAHFGLRSSNPHIHNCDSVAESVFVQVYPPNDTGSITAPLTLETCTDESVETLSVTHMS</t>
  </si>
  <si>
    <t>GC_00004388</t>
  </si>
  <si>
    <t>MSGKAGHGHNSAARCAATPRSDEAPSRGPALVEGVGTAISWLSIIPCRGAHFFDRTTGGRAMATMPVVGLILAAPTAALVALAAAYPDLRLLAAVAVVSTWQLLTRGMHVDGLADVGDALGSYAPPQRAQEILADRYTGALGAATMVLTLAVQTAAVYVLSGCGAAGVALISALPFGARIAATWGATHSHRPQKTTGFGGLIVGTIARWIPLLWAAVATCALWAILFPIAGSMSPIIAVATLVGFALPAGFLWPVFDRRFGGLNGDCFGAVIELSTAAAATVLSIVCVVAGV</t>
  </si>
  <si>
    <t>GC_00004389</t>
  </si>
  <si>
    <t>MTDLHVCIVGAGAVGVSFAAPLVRAGVRVTFVARGETLEHLRSGQAEFVDARSGQDESLRFSADAGPLEQVLAARPDVVLIATKAFSFEGEFDGFGGDIPIVVTHNSVESAIRAAEVVGEQVVIPGVVRGFMHHEGPAAVRLLPGPWGLNVGSFAPGQPVPEAVGRMIGLLASQGVDAAVLDNIWVDVWEKAMFVATFGALGALADKPLGYALSELRGDLQEMMEETARIGRECGVPLSDDVVVRTMAFADRMDATSTSSMQRDIAAGRRNELDVQLGSIVRMGRDRGVRAPVCGVVYDVLKARSAAM</t>
  </si>
  <si>
    <t>GC_00004390</t>
  </si>
  <si>
    <t>MSLVGKLTTLTLAVTLTLATLTTGTLTHAQTNPTSAHCGEKLLLLVRGSSEEPQGPQPNQLTYQQQRDDLFANSPTITTNPTNDLTTLTGGGLLARSLNTPGAHTSLNGAKVATLVYPAHRIEYKGGILPTLDNFHTSASIGQQQLTQTLHTIYNPCPTNPPQLILAGYSQGADVINLTQAAAVQNNNTHNIDNVTKYILIADPSRRPQGPENTNAHIQMAATNTIGGISRAVTDSIGYQLVLPTLDNYRNNAGNRISSYCMPGDLVCDTRTTEGSRGTSLHTSYDVTTARCNATTYTNYMDCAWADATTTWNTPTHPNPHDVTTPADQQTPPATVHLQNGWVELSISRFLRNEHEAQTVTLHGYANGIEVLRSQRSIRGGGSGSVALYITQIAPIPNLDLTIELDGHTIAQLPATFTPTAPNKNATIYIQSENEDVTQAGPPLIAQIADWEIPLEQRMGLIYTMFGNEGVRWARWWISFIYEYDLDPDHNQQLQQFIDAQNLPGHDPAATVANPILDRIVNGLMDEHRRLRIYDIDLLTFLSIATAVV</t>
  </si>
  <si>
    <t>GC_00004391</t>
  </si>
  <si>
    <t>PF01909.29</t>
  </si>
  <si>
    <t>Nucleotidyltransferase domain</t>
  </si>
  <si>
    <t>K07075</t>
  </si>
  <si>
    <t>COG1669</t>
  </si>
  <si>
    <t>Predicted nucleotidyltransferase MJ0435 (MJ0435) (PDB:1WOT)</t>
  </si>
  <si>
    <t>MSGITSAKPDYTLPYEQTVLSILRDFGIVRAQLFGSAARGELTPASDIDLLVKPDGPVDYGQLFLLQEALEAATGRSFDILTSIKEPFRPYIEPELIELPL</t>
  </si>
  <si>
    <t>GC_00004392</t>
  </si>
  <si>
    <t>MKLLVRLWWTLIVVELAHQVVFGWIQISNPQLFDEVFSAVGADGPAGEEGAAQVEAMRPLLMWSSVAFAGFIKFAMTCSGLVAAYVYQRRPESIAASRILMVWSVFLGSRILSAFFPLAVDIPTPLLIANGWANILTGVLACMSAYIVFKDRSPEKNKNNNSN</t>
  </si>
  <si>
    <t>GC_00004393</t>
  </si>
  <si>
    <t>MPDSTTPLCGDAARDVARAALLELDEGPVGRHLGVRRLGENLALHRFSASVPGYPGWEWTAVVACAPGSEHVTINEVALLPGNEALKAPEWVPYEDRVRPGDLGPNDQMPPRPDDPRLERGDDGYALSEQGLSAAKDRWRKGETGPNSDFARAAKLFCKTCAFCVPAGEVIGEGFGVCTNEYSADGRVVQLGFGCGAHSDTPPAEILGQAEHTAFDDEKPIPLV</t>
  </si>
  <si>
    <t>GC_00004394</t>
  </si>
  <si>
    <t>MSIIKLRDWAADKRKFVKVRDYLDFAEAFVEFREKAGNIQAELVARNTPQYRFFQYNSEADYLISRPINTQLFYEADQFLTSRELFLATLDCIAHDGCEFTPAHRETLIRMIYTAQQSIGAVLDALGNGNRAKKINGDLFERFIQLAVRECGVECRSGVLRIPVKDDQGVEQFKMNYQHDLMIEVEGDLKAIGSVKTSSKDRIDKVFIDKFLYNRLTGALTPHFAIFLHDVQRKGKEPNFLTSKTFLPGHFKGYTIKLNPLDGVYYCDLLPEMKTDPLLSTQINAIDRFFIEDLPRFIKK</t>
  </si>
  <si>
    <t>GC_00004395</t>
  </si>
  <si>
    <t>MRTSFFSFPVTPKTFFLVSWSRLFTGGFGVFFGCGFELADDPLLVLVEPPELLEPVELGEPAELPDVVRVALLELAVTGLAPPATVPPLRVVAAVRTPPVVVARPTVALPPDALVVVVVFFFDFFFLDDSPAVALFVLLPASGLLLGGVVVGVVDFLALFDPPEPAAPSPMDFSIPSNAVSTFFICELTSLRDLSISCGELPED</t>
  </si>
  <si>
    <t>GC_00004396</t>
  </si>
  <si>
    <t>MLMLKLENGVFFGLKISTFSPLLAKAPNNLPRRYSKQIRNQHALDFGDGAGEAGVVKLFISDGVVEQRADGVHQNPGELAAENIGGAGGEGLHHAGNEVEHFLLGRGGGGAGRRGGLHGVPDGAAGGVITPESCEVVDEFVEEVGPLQRRHSGGEVLKLGDNLGGVLPVEFADEHVFVGKELIQSANGYFGAPGDFVEGKGFEPDVDKDRAGAGEDAVEAFAASLLRGASAR</t>
  </si>
  <si>
    <t>GC_00004397</t>
  </si>
  <si>
    <t>MVAEVVAETLSGSEIEPVMMEVTQKLSADDVAPYGFFVVLTPTYNARPSQLLLDFIDGLPLARYEKAAYVIATYGLYPINCQRIVGQRLLSRGIRPVGYGGVRGPASDGSLLFPSWLSFMFHYEKHVPRKIRAMVEEIEALAQDWRSRPTTLPQFKWYAPLDFPVNTVFTRWYFRRFYRPNIRVLPDRWDGKPIDDAYPEAWQKNGNGVPVYHPESDHDFALRAVHRTPHKAVIFHDRMKDKPRLTPEFYAERKREILERMR</t>
  </si>
  <si>
    <t>GC_00004398</t>
  </si>
  <si>
    <t>MSTPTIPPTALDYAALTAELPPRWIDGGRQRSSEINALSLRLVTRGTTPPRLTDADFATHPVRLALSEHLSAEIIYNSKQARSVAVGTLRKLGLNATRAWDLAADNILDRARCNHSYGVQVQHRPLTLDYIGPPPAVEINSPTDDTTAWLCHPHLFSMLHQRLTQLLASEDLRYEVGSESRIRVFSPAAQNYPAIDTTRAMLLYRAGYPFQLGA</t>
  </si>
  <si>
    <t>GC_00004399</t>
  </si>
  <si>
    <t>MPSDAATNPTPSILFAVEAIAGLSATQAAAITSAVMESAFPATHCTVAPYDLNALAAAMVDAGEAQVVTLPTVTADGQLTEASYTLISDGTQAIIDCAPLCASQGGDTYGVGVLVADAISRGVQIIALLIDDVATCDAGTGLLTALGAQFHDAAHTTVAPGALDEIASVDTAQFDVKALGVEFVLVTRDGRRNSPAKPCCTQVCDALGVDPSIAGLAVGGGIGIVLEWMRPGTSPVPAARFIASMLGHDRPSSGSGTDSGDDVADVIVAITDAVTATTVNDVATVAGAFSSTGRPVAFIGTEVELPEAIPHAVIPCGDYADASEAASALQDALVQLMPRLGAR</t>
  </si>
  <si>
    <t>GC_00004400</t>
  </si>
  <si>
    <t>MVGTRVHYRRRAISGFIEHDWTVIMVLRPGYGRTCSALVGHNGDSEAALCRLLDELTAEWPKNSLGDSRCNLRWWSRSHEICRTLSRARQYIVAGQLSQLSFMAQYANAYCSAHSIQSTGQTSHKATNTRATAPLPRSKLDAADRTPHYIAS</t>
  </si>
  <si>
    <t>GC_00004401</t>
  </si>
  <si>
    <t>MTRYAVAGGDFYQPLEPTRAVEEHRLLWPAIVAWASAGAVIWFCGGGLAVHAGLATGLIAAVAVLWWAYGAGQSGLSAAVGSAAGAVAWLRCRQMANHPLSVELGRRIDVVGRVEGSPRMLEHSMMLQLGIDGVPGTVPCFAPGLGLDEVHRGDFLTAAAVTQPSTRPGLVSVTCRLSEVQVVQASDPWAWIRGRLAQAAGRVLSSEHAGLFGGMAIGDTSGQSAQQRQVFIDTGLSHLSAVSGANVAIVLGTVVALLGTQAPKVRAVAAAISLAVFIAVVGTEASVIRAGIVGSVAVVTMVSDRRTQPAHTLFLAVIAMVILDPGMALNYGFALSVVATGGIILLTPVLLRSIFRILPRIPMPWAQLLAVTLAADLSTMPIIALMAGRTSLVSLIANLLAGPAVPPVTILGLVATLTACVNTTAASLIIELTRPFLWWINTVADILGKQPWATTHIPAQWLGLGLAWMLYALLWHDRSRERTSDSGRRTLPGRTSTRRHHHPGQTTTTPRHRPAHHPAARRRSNVERNV</t>
  </si>
  <si>
    <t>GC_00004402</t>
  </si>
  <si>
    <t>MDAELKQLPLSEAVYYWKKTLEKANYKQPGRNFVLASIGGVLAYRSDKLDGLATPMFAPAGVRLSDEEARALTAVLSLPRLM</t>
  </si>
  <si>
    <t>GC_00004403</t>
  </si>
  <si>
    <t>MTKESHFRIAARIEDLPQDALYDLLLHCPLLQDFRRYGTVFPFRTYASVNGHTDVEVMCEPFWTGDIQLVSIQGRLEQFFGVPDEQYEGAVERFITDIHQLYQWLCEKSPYAWGLMSYEMDGIPSRFRPSVKYPTPWWDFFYDDEPLLIDPNKPNIEAA</t>
  </si>
  <si>
    <t>GC_00004404</t>
  </si>
  <si>
    <t>MMSHRFSVCLASEGWVNVVLVFPEGVGLPPEAVDLKNPPTVQGGYATFGIPECYVKRWRGKVKEAISSGSKNVKLEVLQWRFELDLHPGRLSLTSNTTDFESITLESPNFSLEWLLGELERAFNSASV</t>
  </si>
  <si>
    <t>GC_00004405</t>
  </si>
  <si>
    <t>MSHQGISLLLGGVGGGVGSDGFVGGVDGSDGLDGFVGGVDGSDGLDGFVGGVDGSDGFVGGVDGSDGFVGGVDGSDGFVGGVDGSDGLDGFVGGVDGSDGFVGGVDGSDGFVGGVDGSDGFVGGVDGSDGFVGGVDGSDGFVGGVDGSDGFVGGVVGVSASAAPAARTSTESWLVLIVLISSASPVAVLV</t>
  </si>
  <si>
    <t>GC_00004406</t>
  </si>
  <si>
    <t>PF03605.20</t>
  </si>
  <si>
    <t>Anaerobic c4-dicarboxylate membrane transporter</t>
  </si>
  <si>
    <t>K07791</t>
  </si>
  <si>
    <t>anaerobic C4-dicarboxylate transporter DcuA</t>
  </si>
  <si>
    <t>COG2704</t>
  </si>
  <si>
    <t>Anaerobic C4-dicarboxylate transporter (DcuA)</t>
  </si>
  <si>
    <t>MLTALHIAIVLAAIVIGARLGSIAIGFAGGLGVLLLGLTGVPVSREDIPFDVIGIIMSVIAAIAAMQKAGGMDYLVAVAEKLLRKNPKHVTYLAPVVTYLMTVLAGTGHTAFSTLPVIAEVAKEGNVRPSRPLSVAVVASQMAITASPISAAVVFLASILEPHGVGYLQLLAVVIPATFLAIFPTAFVANHLGKNLEDDPIYQQRLVAGRVKEPTSASNYTPTREAKLSVGLFLGAIVIVMAYATAISEQVGLISDPTLPRNEAIMSLMLATATAIVVSCKLHAADILDTQVFKAGMSACVCVMGVAWLGTTIINAHIDWIKESAGSVMQTQPWMLAVVVFAAAALLYSQAATAKALMPAALALGVSPLTVVASFAAVSSLFVLPTYPTLLAAVEMDDTGSTRIGKYVFNHSFIIPGTMCIALAVVFGFAIGSVVL</t>
  </si>
  <si>
    <t>GC_00004407</t>
  </si>
  <si>
    <t>MIKNRIIDARGFQRQIKRVAGLFAELDDAKTQKQQHSEGGGSKAFGPRDPGNAWAIGLSIELTENLFEVVRDAANHITPTRILSKDPIELCDWLVFNADGVLRLEFAHDLKGEINNIDKRLTGALHPEDLEAQRKEEKWESSESIIVKLRRRGHHVTRDNLHTWAKRGHIQRRKDGPRNTYRMGDVLAHLSGDSTRLGN</t>
  </si>
  <si>
    <t>GC_00004408</t>
  </si>
  <si>
    <t>PF02900.23</t>
  </si>
  <si>
    <t>Catalytic LigB subunit of aromatic ring-opening dioxygenase</t>
  </si>
  <si>
    <t>K05713</t>
  </si>
  <si>
    <t>2,3-dihydroxyphenylpropionate 1,2-dioxygenase [EC:1.13.11.16]</t>
  </si>
  <si>
    <t>COG3384</t>
  </si>
  <si>
    <t>Aromatic ring-opening dioxygenase, catalytic subunit, LigB family (LigB) (PDB:2PW6) (PUBMED:23258706)</t>
  </si>
  <si>
    <t>KEGG Orthology (KO)&gt;&gt;&gt;09100 Metabolism&gt;&gt;&gt;09105 Amino acid metabolism&gt;&gt;&gt;00360 Phenylalanine metabolism [PATH:ko00360]|Enzymes&gt;&gt;&gt;1. Oxidoreductases&gt;&gt;&gt;1.13  Acting on single donors with incorporation of molecular oxygen (oxygenases)&gt;&gt;&gt;1.13.11  With incorporation of two atoms of oxygen&gt;&gt;&gt;1.13.11.16  3-carboxyethylcatechol 2,3-dioxygenase</t>
  </si>
  <si>
    <t>MAEFALLAMSHSPLLGINDPGQEATDSLNEAFEIVRCFADDFNPDLIVNFAPDHYNGFFYDLMPPFCIGYEAIGVGDYNSQAGPLNVPTQISEEMAQYVINAGVDMAISRRMEIDHGAVQPMEVIYGDITAKPCVPIYVNGVARPFQPMERVRKMGQAIGAYLKGRDERVLFIASGGLSHDPPVPQWATATEDQRKLLLNGRNPTEEARNARQERVITTAQAFARGEADILDLNPEWDRGFMDACAASDPTRFDSYTADEMDAQAGHSSHEVRSWVAAFSAMHEATGGYKVEYEYYRPIREFIAGFGVMAVK</t>
  </si>
  <si>
    <t>GC_00004409</t>
  </si>
  <si>
    <t>MSSFVGSSAADSLEAVPVRGHRAEVKIVEASSVAQLGADAVMVPLFAHSEGSDSNYANGADSFSIGALPSELSIDDAALLQALNAVNASGRRGSTTVVPAPQGAAVARVVTVGLGSEDLKPAQVSDVIAEAVRNLRGVSTLAVATGDLDLEAALLGAGLGSYFYDGLKNTPSNPSPVQQIAAIVEVSDDSTDAALKRASILIDSICLARDLVNSPSNALYPEKYALFAAEQAREAGCEVEVLDYEQLVEQGFGGIVGVGRGSARKPRLVRISWKPEAAKKYVALVGKGITFDTGGISIKPSANMQAMISDMGGSAAMIASVIAAARLGVHTRVTATIPMAENMPSGDAYRPGDTLVQYGGKTVEIVNTDAEGRLILADAIARACEDNPDYLIETATLTGAALVALGRRTGGVMGEDSFRDRIAEIGREVGEPAWAMPIPDEVAEGMKSKVADLVNAGARWGGMLAAGFFLGEFVSEGTPWAHIDVAGPAWNEASPYGVNPARATGAPVRTVVAAIEELGSAT</t>
  </si>
  <si>
    <t>GC_00004410</t>
  </si>
  <si>
    <t>MKQLVTMFRLLGTARRAVLGGVLMRLVQSLALGIAFGSAMRLVARIINGEQVDHDTALRTALACAASLLIQLAAGWVAARLSWLASYRAVANMRLALLQHLRVIPVNALGRRSRGDIAALLSTDLQLIEDFLAEGMPRLGQALGIPLLVIVAVGLNDLTLAGALALPILAMVPVMSWSSKKLAALADRRQAAQAGASARMIDLVTAMPALRVYSTRERTEKWYNQAVEEFRAISVEMVHRLIVPSSLAGLILMLGIPLVAATGGWSVSESAASAALVGVVLVIVLSVYQPVQGLLSTNESWQMAQAALRRVQDISDIPALPEPENPVQPPRQFDVELSNVNYVYPSQAQASGKARGTEALSGVSLHARAGEMTAIVGPSGSGKSTVLSLISRFDDPTSGSIRIGGVNLKDIAAGDRSDLVTVVFQDVHLFPGTIADNIAAARPGASRGDIERAARIACADEFIAVLPNGYDTVLGEDGAGLSGGQRQRLSIARAALKDAPIVLLDEATSALDPVNEAAVHRGIQSLCQGRTTIVVAHKLATIQAADRIVVLDAGRIAETGTHRELLDRGGVYARLWKTTAELEEWAL</t>
  </si>
  <si>
    <t>GC_00004411</t>
  </si>
  <si>
    <t>MDARLKLNFFYVTGTAPGKWMERFSERTDYRLDAHESADPLAVLLDPRDVVNDGAVTVGLVRLPDERITDDMHVVRLYEEAPGVAVPKDHELSLLSTITPEDLDELGDAAGVLFEGHGPVPVGEVKAQLDVVAANVGQVIAPRPLLRRLNVSGTVHADYAGSVATPVALVWFKDDDCDMVQDFVGIARGRKQSSSRMAKDAGNKGASRSAQGRGASGAKKRKAQGSKAKNMRKGKASLKGKGGARRRKNSPNQR</t>
  </si>
  <si>
    <t>GC_00004412</t>
  </si>
  <si>
    <t>MANSVVRAPRPTDVQSHTMTVHDIIHNSLIDRAVEHLPQIALTIVIAIVVSTILRRLIGRATNRAIKKNPTETRRDARLKTLASVGKSTVSIVVWAWATLTVLGTIGIDVRPLIASAGVAGVALGFGAQSLVKDFLTGIFMLVEDQYGVGDWIDVGDASGTVEHVSLRTTTIRDSDGTLWFVRNGEITRVGNFSREYAIARVEIPLSLSTDISAASQTILDAATAAAGDQLKGKIIGSPTLDGVSTVSTDHLTIRVKATTKPGAQWEVQRGLMGAIMPALEAAELKTPYPHGIGITGVY</t>
  </si>
  <si>
    <t>GC_00004413</t>
  </si>
  <si>
    <t>MREPFRLVCAAIIGSAMAFFGLAGVAIATPANTLDSNVAESDLYLTFRGTVKVKCPVVNLRNEATGESR</t>
  </si>
  <si>
    <t>GC_00004414</t>
  </si>
  <si>
    <t>MSRKIGRKRKLLVFLGVLCVIIAMVFGLRAYNIHTYGSMSSDDAASLADPATYNTTVEGVTVSRYDRTYVRGFHLVPTHRTKAGSVIVFGGSEGSSDFGDAAELARSGVEVYSLFFFGQDGQQSALMEVPLEFIEEVLPEAPHPITVRGASKGAELALNLAARYPEIDNVIAVAPSAYSFNGLDNTSSSDRSPHSSWRWRGEPVPYVPFAADATIMMRTIGGSLLGFPTSFRAMYDASLNKASESDRETARIKVENFKGNILLLAGEDDRMWDSAGAASIIADHASRRPDGSGTVESFTYPGAGHALGGPRYIAGLDLGGNEDANKHAHQDSDKVIMRHIVDWHEAQSEAQ</t>
  </si>
  <si>
    <t>GC_00004415</t>
  </si>
  <si>
    <t>MVSIPRITSRGNNSAHPGKDLKAPPSQLIERCMVFIDGLPQPGPYDQHSALVAVREHNATIGPGEPKAFMWLSLGQPTEQQMTDIADGYGVHELIVEDAVSAHQRPKLERYDDQLFMVIRSVFYKEHESVVDAKEIIQTGELQMIISPEFIITVRHGPSPMKTIKQRIEHEVSTDPETFIVGPMAIAWFIADSLVDEYLRISTELSGDVDELESEVFSPDKRFDIEQIYMLKREILEMRHAIDPLAIALRLLIQNNKDVVDKEIRSYYRDVLDHELIAADQIASYDERLSSLLDAGVAMISLQQNADMRQISALVGMAAVPTMIAGIYGMNFDNMPELHTQYGYFVVLFVMAAITVGVYWAFKRNHWL</t>
  </si>
  <si>
    <t>GC_00004416</t>
  </si>
  <si>
    <t>MSIEHALSDEEQLSQLQWYFGEHHPQPDAAAPWSRQQDGEELEHAGGELEQWAARLPDRLTHTAMMLLGSALDHTMPGHAWIDGITATTSPYGTVFTPTGSGTIAATPTGRWGIALHGGSFWRGDGASRDHAWHPEVAALAQLTGITILDVDYPLYPTPLNDAVEQVREAAAWAREQSTNSGQDSSEVPASSKNQNSTPLAWYGASAGAALALIAAQPQDRLVATRPLLTLNGLPDAYRRDVTLPQPGAWPTTLIQQGSHDTRVQPYAELHPNTDNTNITVETYVADHMIIVPTEARRRHRDAATYLRA</t>
  </si>
  <si>
    <t>GC_00004417</t>
  </si>
  <si>
    <t>MIAGMSARPRRTAATATTIFLGAGLAVGSLVYPTIAPNPTGIDASSGPWTITITDDAAGLTEQQHVEFPGPNGDFGPQGQQVLTARLGITTIAAPNAGSAGSADSEGSAGNAGSAGSGGSAGGDDGLEGLIDATVMAAEFTPATGELTSPVTVSRTLGMPTQQITPPQGAVWLTFPERAQADSYTVFDPISMKTSEATRLEPSPNNGTTDNDAAGLEARAGSYGRDVITYRQNLGKDANGRDFYVDYVVDEASGVVLDRAERRPMSDGRDGVFQGQATQESVDAMIAYVDALPNPAVRTWAVRVAGVVGGLLLLVGVGLALTQTRRGRAARTTPKK</t>
  </si>
  <si>
    <t>GC_00004418</t>
  </si>
  <si>
    <t>MSISDQIKKLNERATQPSGGTPGGTTRYEGDPIESIRQHSKHLEFFTKKSELEQVMADNTQYTTELVELMLENKKLEKQILDQKINAEALKTQLKKAELEAEQVKAQYMEQQLEQLNEDADKLPELEQDVGNDTEVASQDTDVEHTHTESTDTPTEQ</t>
  </si>
  <si>
    <t>GC_00004419</t>
  </si>
  <si>
    <t>MAKKWWLASAGVTGAAVVGVVSVAVLRAHAGDSLIVDDVAVVSAPPLPAAVVSASPLSASEVEVLRAKLDVLGRDRRLGQLVGSVRDVSSGDVVWEKDASVGVRPASTTKVLTAAAALLTFGLDDRVSTDVFVVDGGRTVVLVGGGDVGLSGEQLDDLAGQVRATGVQPERVVVDASVWSQQSWLEKWGQENIAEGFIAPIEPAMLYGARVGAPTGDVPRSDSPSMDVAREFASRLGVGEIDVDWDGAVLSAAQGDTVAAETGQTSKDSKTSKTSKGDKGDAQQVDVARKVASVQSARLVDRVREMMLHSDNVLAESLGRQVAAARGVEAPDAAAAGAAVLATLSEAGFDVQGVHLDDCSGMSDDDRIPASVLSSVLAGAGSDARVRLLPDLLPVAHGSGTLASRFDGLDGAGWVRAKTGTLTTTSGLAGVVTADSGRVYSFGFVSNESEVLPARAALDELASVLREG</t>
  </si>
  <si>
    <t>GC_00004420</t>
  </si>
  <si>
    <t>MDAHNNPTPHPACGERLELDVGLSLSLVTELLKGLESFRPGHGPESTAISEGMLDSYAEFLTAAGSAIEHTTNRARALTDTMQHLGEFSGRTIRAIDELDRATAETLERLLNS</t>
  </si>
  <si>
    <t>GC_00004421</t>
  </si>
  <si>
    <t>MGDEEGEYVDSVVGGTDVVEGAAGGGAPGGEEGFAADGVGELFDAPVGFGP</t>
  </si>
  <si>
    <t>GC_00004422</t>
  </si>
  <si>
    <t>MRKVRDVICLSAKGQSKRFFRASKSKLIKFRSAKVRKRSGSSKLNFGSSSILMYGMLLGLSICALGFFLLPYVSGESSSYTIENNAWMYMRIVAFSLLVVSSLAGFFAELMIKSFSERLRDKIFDLECGSATSVPTLGVISIIMGFFDPIYPYADWTSTIGISGLISLLVLPAMKLFVAVFRLWKRYQYGTKKSKSTVTLRFSQ</t>
  </si>
  <si>
    <t>GC_00004423</t>
  </si>
  <si>
    <t>MEKLTSLEICAGAGGQALGLEQAGFTHVGVVELDTDACETLRLNRGEQQPGVVEPWPIFEQDVMSFDGSPFQGVDLLSGGVPCPPFSVAGKQLGKADERDLFPAALDLVEIIRPRAVLLENVRGLSTNKFSGYRREIIRRLEDYGYFAHWQVIQASEHGVPQLRPRFVLVALQRRYDGFFQWPRPVGTPPTVGETLLDLMAEGGWLGAERWADNAAGIGPTLVGGSKKHGGPDLGPTRAREAWSRLGVKGTSIADAPLTVDDPIDEVPRLTVRMAARLQGFPDSWKIFGRKTTAYRQVGNAFPPPVARALGTAIASALREESSKEEAEYSASTLRGVQTELPFM</t>
  </si>
  <si>
    <t>GC_00004424</t>
  </si>
  <si>
    <t>MNTAHTDKATRWTVNVALGRAATVFSIIDGNTGQQHGTKTYRFDLPYEGLQDGWAVAGIIQQMSDLIDAAERDAGDPQAASPQDIAINITEEPSRSDSEASQETEQTSAGVQHLITALQQRGYDVDSQAQPDPTEDTPRTPQPTHTTQAEHTPPQSTPQRSHIERPTRRHHPKKHRMRPQGRGKTRIQTTTIAAAATLVVALSAFFILTSNGSSQEHAQSRTQPTSRAAAPTQRTPSTTTLTSAPATSSSQAQQPATIRELHGLSFHTPHGYEAQELPDGRLQLSGQHPELRIYLARDDLHGTDADLILEQMRQEIAQSPGTELATDSAFGAEARDTGLFYTEDPGDGSATYWAAWIEQGQLISVGCHAQHSLEISHRALCRAVEHTVKLSG</t>
  </si>
  <si>
    <t>GC_00004425</t>
  </si>
  <si>
    <t>PF02604.26</t>
  </si>
  <si>
    <t>Antitoxin Phd_YefM, type II toxin-antitoxin system</t>
  </si>
  <si>
    <t>MTSVTLSRFRSRQSDYIAAAQREPVEITSRGAGRRAVVVSPEFFDRALQALEDQADVRGAAEARNEEGRVSHAELMRELGL</t>
  </si>
  <si>
    <t>GC_00004426</t>
  </si>
  <si>
    <t>MKQHIPSSTRTVGASAAGASSAPIIVWVDDQALAAEAMNAAAATGRQAVRIDDPERARALWRRAHAVIVDATAGHIVRGQGWERHPRVILLGAEHGEPEWKLAALLHTEAVFRVPAETPDLLRLLGHSSGEALGNQRSEGSRITVVTGAGGGVGASTFACALGFRCSGFVVDAAYPLGRLDLICGLEEHPGMRWDDLSGNTQGLDAAELAAAAITHDGCSFLTGEHPPAARVFRDVIDSVENYPGHCIIDMPWHSPWRDKVLAAADDVVVVAPAELRSSLLLKQQVEALNALSVEHVVVATHRGWSGLSGADIEKIAGAEVIAEYPHSQSLAKRIELGGARSWPRPMLRAVEAVL</t>
  </si>
  <si>
    <t>GC_00004427</t>
  </si>
  <si>
    <t>MYFHRAFTVAGLSVNGMNMHTACYVTETFARSRQAMLRGSASAYCDGWVDAATDLRRRVDEFYDPYINLDHEQCDAHALAA</t>
  </si>
  <si>
    <t>GC_00004428</t>
  </si>
  <si>
    <t>MGEHTEQPAVTSATAPSAVASFAVSFVREKVVTVIDSTQPSEKGQGLYPPCEVLAYSWRSASMGLSLAALFAG</t>
  </si>
  <si>
    <t>GC_00004429</t>
  </si>
  <si>
    <t>PF03609.19</t>
  </si>
  <si>
    <t>PTS system sorbose-specific iic component</t>
  </si>
  <si>
    <t>K02795</t>
  </si>
  <si>
    <t>mannose PTS system EIIC component</t>
  </si>
  <si>
    <t>COG3715</t>
  </si>
  <si>
    <t>Phosphotransferase system, mannose/fructose/N-acetylgalactosamine-specific IIC component (ManY) (PDB:6K1H)</t>
  </si>
  <si>
    <t>MSTISFIMVVLVALIAGMASVCDERQFHRPIVACTLMGLAMGDLKTGIILGGSLELIALGWMNVGAAMAPDAALASTVATVLVIASGMSIAEGIAIAVPLAAAGQVLTIFVRTIAVFFQHQADNYAQKGSFRGVEMMHFSALLLQGLRVAIPTAIIAAAAKTTAVASFLDSIPEVITVGLQISGGFIVVVGYAMVINMMKARILMPFFFLGFVLAAFIPDLNLVGLGIIGACLALVYVQLNPMFHDRIAMPARARVGANYDNELE</t>
  </si>
  <si>
    <t>GC_00004430</t>
  </si>
  <si>
    <t>MSVKHTADFNPDTPGAMVWALVRSAQVLERAAGSVWLDAVERRELLRAVASLRRKQLLVLERTRDGGNWLDEKGNSGPGEADGGGKAKAEKTADGHVFGCDGGQAKTKVDLPVFSG</t>
  </si>
  <si>
    <t>GC_00004431</t>
  </si>
  <si>
    <t>K24206</t>
  </si>
  <si>
    <t>uric acid transporter</t>
  </si>
  <si>
    <t>MKRLVPLAFQHVLAMYAGAVAVPLVLGGAMIQAGQMKPSDLPYLITADLLVAGIATFLQCVGFLCLGARLPIVQGCTFTAVPPMIIIGTNYGPAAIYGSVLACGLFMFLMAPIFARILWMFPPLVTGSFITCVGLSLIPVAATNIAGGHAEDAGSITNVSLGIFTLIVVLLVERFAHVAIARASVLIGLAVGTIAAAFFGKVDLSGVSDERWIGVATPFHFGTPEFPISAVIALILVGLVTLVEATGDFLAAGEIVGKNATPRQIADGLRADGLSTMLGGVFNTFPYTAFAQNIGLLAMSRVRSRYVVAGAGVILIVLGLIPKLGAIIAAIPTPVLGGATGALFGMIAASGIRTLTKVHMNEKSVLIIAVSLTMGLLPVMDNSLFSQFPTWFGTVFNSGITTAAFTAITLNLLFFGTKRVPENGGTAEETPTTDANIYKTGTDTSISAQEH</t>
  </si>
  <si>
    <t>GC_00004432</t>
  </si>
  <si>
    <t>MRRIKLAIVATCTAVTAATITPAHAAEEQSYLAALSTAIEKDGLVETISSELVGLSLFPLGVILLLSSKPGMI</t>
  </si>
  <si>
    <t>GC_00004433</t>
  </si>
  <si>
    <t>MSATLVIGLIVVMWLFVLAPLLLRSQRPMSRTNDSFEQTRVVFEGGRDAPPQRARLARARRGVETNLLDDYVDNYDDIYDAAKVQAAGERDVIDNADDVVLEDYEEGLARPNFGFFTGLSSKLGWGSRRAEQVEASVDEADVEQTEADDLDTDFAPVDEPLELEEQADADADAQVEADSDADAEACEDGDVVEPEIFDERDLDLRDDSEAMADTIVIEAQDIYEMDDSFVGPADILDRRAELDDFEADAQAAAAQETGADAAAEYDAVDSDAYAADEVYDDELTHLDPEDLEFAARRRGRGGFDPERDAQIRQSHYQRRQRTVMGLVAFIAVATIAAVVAGGWMWVAPAVGVVVLFCYMSGLRRQVKVEDQLRARRIAHMKRARLGVRTVSDEQYGVPAHLRRRGGVVLQIDDDSPDFVDLEVVDYTFDSGDDITGGQYREQQHAG</t>
  </si>
  <si>
    <t>GC_00004434</t>
  </si>
  <si>
    <t>COG5529</t>
  </si>
  <si>
    <t>Phage-encoded DNA-binding protein ECs1768, contains HTH and DnaT DNA-binding domains (ECs1768)</t>
  </si>
  <si>
    <t>MSLQAILWVMHKAPVEPNAKFRTLLELANFADDEGRTAFPSWRRLIEQTGLSRGSISRHLKELEADGLIRRGDQALVAHYRHDRRPVVWDLALELDRSKAPARVDSEATEDDLGADFGHLDDGLEAHAPVDNPVDNFRAGSKFETPLAGFESERGLATDGTGSRYGRNGVSPVRPNPINNPINKPINNPITPCDGGHSDGSHVDGTGLAPSTSPADADSATKQKPYSEAFQKFYEAYPRKIGKRKAFNAWTRAVKRAPANVIHDGAVALAEHHERAGTDPRFIPHPTTWLNRDGWEDELTLPAHNPVASRGRNGFWDLLQEGGGHEPGGLEAGSNPAINPGR</t>
  </si>
  <si>
    <t>GC_00004435</t>
  </si>
  <si>
    <t>PF13784.11</t>
  </si>
  <si>
    <t>Fic/DOC family N-terminal</t>
  </si>
  <si>
    <t>MSILGGKIDIFGGYVYSLDMSDHSPFDPNIPYNNLPPLPPRDEVETVAVLKAVIAANKELGALDSACRLISNPAIITSTIPLREAQASSEIENIVTTNDELFRAAYAVDAEPTPATKEALRYNKALHLGVESLATRPLSIHTAQQVCSALHDAPAVVRSMPGTYIGDPVKKIKFYTPPEGKEIIEQHLSQWERFIYSDHGLDPLVLLALLHYQFEAIHPFYDGNGRTGRILNILLLVQEGLLRLPVLYLSGYIVNNKADYYGLLRAVTTEGAWEEWIIFLVKGIEESARTASTLIEKLWRLQDQTASELREKAGISPAKELAELLFTHPYIRIKNIEEAGLAKRQTAAHWLSTLADLGILVEVKHGRQKVFINQRALDVLPAP</t>
  </si>
  <si>
    <t>GC_00004436</t>
  </si>
  <si>
    <t>MVSGPEQSHNLPPWLQVQRPQSEPHDVHKSAAQPAEKQAPRPAEKQAQRMADHGIGFYKGQGVASPTKIPWSGTFDSMKNL</t>
  </si>
  <si>
    <t>GC_00004437</t>
  </si>
  <si>
    <t>MTSQPARTSRPTPPPRRAGGFGIPLWSALSILVATLATGVLLSVLGSHLGWQYLACFAVGALLTSLLVEVRGLSIFAACVPIFFAFATPVASWFVSDSMAPDASKGSLGRADMVAAVYPLTVFFPALLIVTLLVCFIGLLRYLAARNRARARAAALARARRKEQSADRANVAATTRVRTRRARGERPQQVTVDELLRTRGATHSSRRRASASGERRVVVDRQQTTRLGGDTPRTRPPRTQSSTAYREFRPREGHRDAPRYRDSRRDSR</t>
  </si>
  <si>
    <t>GC_00004438</t>
  </si>
  <si>
    <t>MANELLLAVAAAIVTGMLGALVTVRIARKSLRWASILSPLAVVGSIAAGLTVGIHFMVIEGQSVVLLILAATMPVALVLGVGMSMKAQQVAAQSLAEIEKERRQREVEEGRRELITWLSHDLRTPLAGIKAMGEALEDGVAPDPGRYYRMIVAEAERTNEMVSSVMSLAGLQTSSEEVNHELVSLSDLASDLVGQLTPLAQARRSRLLLECDSNVDVHGDPHLLSRAMQNIVANAIQYSGEESTITVSVRSTQEGAAFEVLDQCGGLSADALSNMFHVGWRGSVARTPSAHGGGSGLGLPIVQMVAEAHQGTVSVRNDGDGCRVTVELPERR</t>
  </si>
  <si>
    <t>GC_00004439</t>
  </si>
  <si>
    <t>MPPAQEQGHPGRWVGNTDTSKRVITDMSTKNIEIPTRDVNTQPNDVNTPQHPANGVTASTPTPQQAQGSDFATTIANATHTWLLDEPTSVPGAQDLGPNPFHMVLAGLAGCTHMTMGMYARRKGYNIGNTEVHVDVTSEGDTTTFHRDITFDPALDAQQRAKLLEIANKCPVHRLLERDIHIETRETP</t>
  </si>
  <si>
    <t>GC_00004440</t>
  </si>
  <si>
    <t>MSHRGGYGLRFRGYNSHSLVRTVTNRRHKPGLPRPILVLRYLAQPRFCHELYDVRPSGVVVFASEHSPRREKAPGCGNEPGDDVHSGVAAEDRHGRVGINLWLEVGGVGYVGRVGDYRRRFPVQVFE</t>
  </si>
  <si>
    <t>GC_00004441</t>
  </si>
  <si>
    <t>MMVNVLVASVTGIAAAAQLVAGGLAWSGKLPGNGVVGLNIPEVRTSRERWDAAHRIAGPLWTLSGVALVFATLIAVVASGWMWLAFAFALLCAVVAQGVAGYMAARSAAVWAMRDEIEASRNDAGCGDGGGCGCCGDGAAEASEEPYDPSKDCGVAGGCGSCALNGSCEQSAAAPLAGGGHVNVDAVLRAASQSDNSQR</t>
  </si>
  <si>
    <t>GC_00004442</t>
  </si>
  <si>
    <t>MQRRSTVDLAPYAGHVVLVTAPGRDVSALVDDYSMRGFFALDDAALADGSAEVFGKDGELLAQFGAGVDLDADELLDLIEDNLPL</t>
  </si>
  <si>
    <t>GC_00004443</t>
  </si>
  <si>
    <t>MKRKNNPGFFVLATFLVFVGFYICYICFILDPFSASFYYSIFFGGSIILQSLVMLETRTSVSVLRWKKTSPHFDTRGNEIIIYNPSLAYFIRNSGVFFINLSLGLAPWFFPGVFFRGSTFLSPWHLISLFFLLPSCVYVFVLATASQTFTVSRDRKFFKFEQRGICWSSELISSDPQLDIDVNPYDYTVDFIVRNADYMRKSIFGNRKSHVKEKKIPIPDTRNVSQEEFLPQLFPEQVHLMPLMFDLTSMPRYGMSRTKKAEKIRKELTRRQQEFRRDSGRK</t>
  </si>
  <si>
    <t>GC_00004444</t>
  </si>
  <si>
    <t>MPPIIPTLRSFRHYALSGLGIVSLLLSAIIAIMSSIFGGGSEPIDPNANIVFTVVDQYGHGRRCLYQEKDAIQTDVAKYTSPKGILAFTMPPGYPLTIIFMCGNGSEDQDVEATLVAPETGRAETTVVIPDPDASPSSGSVIH</t>
  </si>
  <si>
    <t>GC_00004445</t>
  </si>
  <si>
    <t>MHFFTALRSQQGFIKELHRETRTRNPQAITCPTLIIHSRFDGSVPLDPAMHNTRDILAAELLIIDAETHQGAQ</t>
  </si>
  <si>
    <t>GC_00004446</t>
  </si>
  <si>
    <t>MRKDATGTDPATGQPQAAADAQQATAVTAHATVGASRALGDALFELRCGAEDILTAIEDGADTDELTVLAKELIRLAHSAEHHAQR</t>
  </si>
  <si>
    <t>GC_00004447</t>
  </si>
  <si>
    <t>K02768</t>
  </si>
  <si>
    <t>fructose PTS system EIIA component [EC:2.7.1.202]</t>
  </si>
  <si>
    <t>MNIREFFTTATVQKIFARSNRPARTNTPPNEEPTDRSPYATEDLVVFDVDVDDHPYAVLAFLSELLHEQQRCTDPQQLLSELWDRELKMDTGIPLGIAIPHCRSTAITEPTVAMLRLAQGVDFSGPDGPSDLIFCIACPATSGREHLKILSRLSRHLVDQAFVASLRSASSPDAVAARINQAVTHG</t>
  </si>
  <si>
    <t>GC_00004448</t>
  </si>
  <si>
    <t>MAIVEAKTERGILNTDTELRSTTNLADATNPCASAAGSSSVVEKRLETARLVEALGRLLNRFIKLTSSS</t>
  </si>
  <si>
    <t>GC_00004449</t>
  </si>
  <si>
    <t>MGGCVWGVGGCVWGVDGMRVGRGRDACTGLGKFAPLKRSDLGKSEREVQICPKSASFTRPPVRPPRHRHRPRTGRQLQTADCALPAHLLPQYCTLLGKTRPRHRHHPGTAGTASSPFCGCVGGEPLLVGHAWRACGFFAGVPLDGTCAGLMGGTFLSCGAAHCPSFL</t>
  </si>
  <si>
    <t>GC_00004450</t>
  </si>
  <si>
    <t>MAQLVAHHTGSVGVTGSSPVSSTDKNPVTVEML</t>
  </si>
  <si>
    <t>GC_00004451</t>
  </si>
  <si>
    <t>PF12696.13</t>
  </si>
  <si>
    <t>TraM recognition site of TraD and TraG</t>
  </si>
  <si>
    <t>K03205</t>
  </si>
  <si>
    <t>type IV secretion system protein VirD4 [EC:7.4.2.8]</t>
  </si>
  <si>
    <t>COG3505</t>
  </si>
  <si>
    <t>Type IV secretory pathway, VirD4 component, TraG/TraD family ATPase (VirD4) (PDB:1GL6)</t>
  </si>
  <si>
    <t>ko00001|ko01000|ko02044</t>
  </si>
  <si>
    <t>KEGG Orthology (KO)&gt;&gt;&gt;09130 Environmental Information Processing&gt;&gt;&gt;09131 Membrane transport&gt;&gt;&gt;03070 Bacterial secretion system [PATH:ko03070]|Enzymes&gt;&gt;&gt;7. Translocases&gt;&gt;&gt;7.4  Catalysing the translocation of amino acids and peptides&gt;&gt;&gt;7.4.2  Linked to the hydrolysis of a nucleoside triphosphate&gt;&gt;&gt;7.4.2.8  protein-secreting ATPase|Secretion system&gt;&gt;&gt;Type IV secretion system&gt;&gt;&gt;Conjugal DNA-protein transfer (VirB/D) protein</t>
  </si>
  <si>
    <t>MKRMGRDNARNAGNIGADPRTIMGIALLSMFIVVIGLINFGLWVSVSMTGKPSAATKNPIRNTIDTLTGKIEWTAAATWSVIGLISIIVLLVIVGIRIFKPGKKTARIDHASKHLAAKRDIESLSKKAATAKARKWMPEKDALAHPGLRLGKLPGTKTGLYSTWEDLYLVIFGPRMGKTTSQVIPAIVDAPGVVLTTSNKRDIIDDTIKITAARGEVFVFDPQGIAHGFEQEPWFFDPLDMVRQDPEKMDASAMALADIFKTAEMGASSGSDDAFFSTGGRDIFAHLLLAAAISNRPISDVFLWVSDDNDRTPIEILAENGEWPLVTDALEARYNTVDVTRSGLFAQAQQMAASLGRQAASKWVNPRSDARRFNPDEFVRSKNSTLYVLSKEGADNAAALTTALTAAVMKAAERYGEENGGRLPIPLVAPLDEAANVVRWPELPKLYSHYGSRSIILMTILQSYAQGVSVWGEEGMEALWSATAILLYGGGVRDEKMLGKMEALIGDYEEWVKSVSISQGQRSVSSQKQEKKILTVSELAALGSNRAVVFAAKRRPLIAEMEPFWTRDYWPEKIRDALPKEN</t>
  </si>
  <si>
    <t>GC_00004452</t>
  </si>
  <si>
    <t>MSQSASPDSKSETRKNHMGANAHSMDDFPLITVPHRQRMRLVSY</t>
  </si>
  <si>
    <t>GC_00004453</t>
  </si>
  <si>
    <t>MGIEWGNELQVLGQHVGYSALAVGFAVLIGLPLGVAIGHSGRGRNVMLAVFGVLRALPTLGLLTWLTLALPLGVRMPLVPSTIVLVVLAVPPVLAAAQSGVVSIPRPIVDAAVAMGLNTRQVVWSVELPLALPTILGGIRSCALQVIATATIAAYVGLGGLGRYLLDGMALRDYPLMLKGAVMVTVLALVVDGLFALVLKGRKV</t>
  </si>
  <si>
    <t>GC_00004454</t>
  </si>
  <si>
    <t>K03153</t>
  </si>
  <si>
    <t>glycine oxidase [EC:1.4.3.19]</t>
  </si>
  <si>
    <t>COG0665</t>
  </si>
  <si>
    <t>Glycine/D-amino acid oxidase (deaminating) (DadA) (PDB:3AWI)</t>
  </si>
  <si>
    <t>M00895</t>
  </si>
  <si>
    <t>Thiamine biosynthesis, prokaryotes, AIR (+ DXP/glycine) =&gt; TMP/TPP</t>
  </si>
  <si>
    <t>KEGG Orthology (KO)&gt;&gt;&gt;09100 Metabolism&gt;&gt;&gt;09108 Metabolism of cofactors and vitamins&gt;&gt;&gt;00730 Thiamine metabolism [PATH:ko00730]|Enzymes&gt;&gt;&gt;1. Oxidoreductases&gt;&gt;&gt;1.4  Acting on the CH-NH2 group of donors&gt;&gt;&gt;1.4.3  With oxygen as acceptor&gt;&gt;&gt;1.4.3.19  glycine oxidase</t>
  </si>
  <si>
    <t>MPSTAPAYKVIGAGIIGLSTAWMLHRAQPTARISIIDPAPISGASHWAAGMLAPTAEMQFEQDELVELMVRSMELYPKLVDSVQKNTNVDTGYNTEGTFVAAADAADRQHLHDLLNYQHSFTRRADMLTLSEARRLEPALSPNISGVVSIPDDFQINPRQWCSALIDALKSSGVVDFESRPATDEDLGPSSIVCAGLGASSILSSLGLELPLRPVFGEIMRLDVPAIHRPILQRVVRGFVNDRPVYVVPRTSGELVIGATSREDGRDLPQAGGVLDLLRDAARIVPSVRDCDITEVGCGARPGTPHDMPYIFRHAPSGTVVSTGYFRHGILLSALGAQLGSALLLGTDSELDAADVRALELCGQLK</t>
  </si>
  <si>
    <t>GC_00004455</t>
  </si>
  <si>
    <t>MLVDVLSELLCDLVDIGDIYFGYIPCAYYMVVRPKQFSAGSANSASSTGDDNVLGWVFHGDMSIGHVVCCQNKDELTCSFLGARDLSKGWIPK</t>
  </si>
  <si>
    <t>GC_00004456</t>
  </si>
  <si>
    <t>MPTLNTITDLHNKLEQLEQQAHEVRIARDSAICEAVSAQTASQYRIAKTLGISTAAINLIVKKQRADKP</t>
  </si>
  <si>
    <t>GC_00004457</t>
  </si>
  <si>
    <t>MARQSIIQYIDDLDNTPISESELSEVHFSYQGVDYVIDLGPKNASALYDALKPYIANARREQKSGRKSAPVAQRQAENRAIRRWALDNGHRVSTRGKIPQDVIDAYHAAKARGQA</t>
  </si>
  <si>
    <t>GC_00004458</t>
  </si>
  <si>
    <t>MSYHIYDAKPSSLWCDQEVVGVQHYITALNDIRRAIPINHGGARIFDATLVLEMDNPHARSGHAISIRWKDRVIGYIPDVETSGYFPEMARLAASGFDVGVRARLWTNIDEPYFDPSEQVFFKLNVGVLNLHENTPLNDPPVEGWALIPRGTSIQVTKENEHFEVLQDYVPPSGHACLLVTLHKVVCGVRSKWEGVEVRLDGERIGELTKLSSSKLLPIVDHYDNLGLTTVCYAALKGSALAAEVVLNVTPAHEIEDRYLENPEVSPFSRLVRYEDDPWNYSIAGRYVADLEDEQPQKFGFQSVKRIETIDYDDDAPSLDVQGELLLNEYWKTVGAASSPTASDPNQMRQYLAPPQPPFQRSVNMYAVQNHSFIARREKSFEVYVVSALLGGWFGLHHYYMGSIGKGILYTLTGGLFMIGWFVDVVNARRSFDRKMAP</t>
  </si>
  <si>
    <t>GC_00004459</t>
  </si>
  <si>
    <t>MESVDLPAVPGRRDLRVVDDYCAQALPEDPTPSLDEMFRSPEAPHQGEPGPAPQAEYVQGDPRIVVVGSDAALSAVLTRLMRRDSLWMPVAWVPDDVRSPAAVNFGIVDPWSVAFEGTVRPAPCIRDDAGVVVAGQAEIAVPVGEVVVDSQVLVSKVRKRRFFDAPAVARLVPLMGAPGIAATAVGRRGNAASSIKTGRAVQAGGSGLLVSVDGVPRAREVDKVTFYRHVRDLQIVRPGDCG</t>
  </si>
  <si>
    <t>GC_00004460</t>
  </si>
  <si>
    <t>MRTLRAEWTKLHTTASLWWTTSLFLFFSFVFPLIQITMTDKDAPGAALGFTPSNMLLGMTAVAIVVIIIQAVMVVTTEYRYGVHTVTYTATPQRWKVLAAKLFLYATYAAVLSFLATVVVFAVGRLMLGSEYGAALEFGLDAVQEQLWKVPLTAVMMVVLAMGVGMLVRQSAGAISIVLVWYLMLEGLLSMLPKIGKFFTRFGPITNFNAFINDSPIPDAPWETTGSLVYSVVVFFVILLLGMLLINKRDV</t>
  </si>
  <si>
    <t>GC_00004461</t>
  </si>
  <si>
    <t>MKELAELLDSPQGWLVALGIFLKGVATILKEIRKAQPERPKKRRKK</t>
  </si>
  <si>
    <t>GC_00004462</t>
  </si>
  <si>
    <t>G|H|R</t>
  </si>
  <si>
    <t>Carbohydrate transport and metabolism|Coenzyme transport and metabolism|General function prediction only</t>
  </si>
  <si>
    <t>COG3961</t>
  </si>
  <si>
    <t>TPP-dependent 2-oxoacid decarboxylase, includes indolepyruvate decarboxylase (PDC1) (PDB:1PYD)</t>
  </si>
  <si>
    <t>MSTPTPYTVADYLFDRIAQTGVSDIFGVPGDFNLTFLDNILDNPALRWVGNNNELNAGYAADGYARLRGFAAMVTTFGVGELSAINATGGSYAENVPVLHIVGAPVRFSQDNHLKVHHTLADGNYRHFYEMASHVTCSQAWLTPDNAASEIDRVIRTMLIESRPGYLVLSPDVAAARIGQPVGNIREDVSEFTARNQLAAFEEAATEFLKGKKTTIVADRLIERYHAKQATGEFIASCDLPYATLPWSIGVVDNDSPRYVGAYWASVSPERTRAAVEDAERLITIGVLFTDTATAGFTADIEEADILAVDPHSARVGHTIYGPIAMADALPALTRAVAAAQPQPQPLKQAEPAEAAESNPDEQLRQDDLWEIITTWLPTDATLVADLGTSMFGLAGKPLPKGTESMGQPVWASIGFALPASLGASLAAPERRSVLVSGDGAAQLTVQEISTMLREKTNPIMVIINNEGYTVERAIHGPEAPYNDITTYHWDLVPAAMGGTEETTLVLKARTPNELKQALATAEATRDKLVMVEVIMDRDDIPTTLKNFAASVAKKPQPKN</t>
  </si>
  <si>
    <t>GC_00004463</t>
  </si>
  <si>
    <t>MAEELLANTHAERPTHMKLAFSAVKARLERKPIRMFYSPCPIKLSPLHRQLPMSGDEIMVNKAFAEAHPKHASKMAIARASLGHRTIRPARMKALRRWQWRWRKRPQRLDEFRGATIS</t>
  </si>
  <si>
    <t>GC_00004464</t>
  </si>
  <si>
    <t>MGESSSDAAQKLMDTELVQAHLRGEPWAMPEIVRRYRPMMGFVARRFCRTSEEVDDIVQEALLKAVNNMPSFRFEAQLSTWLRRLTYNVAYDHAFRRPSRVETVCHQGDLGDVRGEEPAHSEEISHGKIFIQDLLDRLPPEQRAALQLVDLQGYSLNDVAEGLGIKEGTLKSRRARARAALKEVLAQVWE</t>
  </si>
  <si>
    <t>GC_00004465</t>
  </si>
  <si>
    <t>MTSVASTHSSKCSFAMPLSGRAACPAAPAHYPAGVDHLKKRCKLPTTHYWKHSPDGNMHRITWQPYVLGALVTVISTGMLLYGWDNIPDTYATHFTTGGEANGFTNKGPEVFFGQYMAVGILTLGLALALPDTLPLPKKTTLEPWRSSSSSPHLESRSGAWPMPSVQRIKQRPRPKMPQPKGPRMQNLIHPSTGREGFLLRPG</t>
  </si>
  <si>
    <t>GC_00004466</t>
  </si>
  <si>
    <t>MVADNFLPNTVDVSLIYLGFAVWPGFVSVKEGAGFAVLVWSDVFEAEDDFGVSEERFLFLVEGPVVEGPFFGDESFEVLWGWCVHEFCILATVLYVVVP</t>
  </si>
  <si>
    <t>GC_00004467</t>
  </si>
  <si>
    <t>MVEGAVELVDGVGAEGVAHFGAVEGDADDAGVCVPVVGDVGEVVEAVDCGPLGGVEGVAAAHGYSAYRRRWVVVRRDGWCVGQDGRMDSNVTFDPAVVDAIASIDLDRIGQPGGLDVRVVGVPLAVRFRGVDVREAVLIKGPAGWGEFAPFKEYEPQEAAAWLAAGIEQSHVGLPAVKRDSVEVNATVPAVAPGQVAEVLDRFPGCRTVKVKVADRPWEEGSLDDDVARVAAVREYCAARDVVVQIRVDANRAWSVEQATQAVRRFGPLQYVEQPCATVDELAQLRATFPRMGVFVQVAADESIRRAEDPFEVARRRACDVAVLKVAPLGGVRRTLAIADFLAEQGIAVTIASALDTGVGMYGGLVAAANLQGFVDDDLMEAPRLAAGLATGGLFEPGADVVPDSLFAVVDGAIAVPRQAPVVDDQRLAAAEARVSDEVRQWWLAHLRASLVELRKAVGLESC</t>
  </si>
  <si>
    <t>GC_00004468</t>
  </si>
  <si>
    <t>MWLAMLETLLLAAPDTGSFGLSDILYYFKHVDEMLIALGPYVLGITCLIVFIESGVLFPFLPGDSLIFTAGLLHDKLGLNLWVLMFSVFLCALAGDHVGYFLGRRFGRKLFKDNARVLKTEHLRSAEAFFEKYGGAALVMGRFVPIVRTYTPLAAGIAKFHYPRYLRWDLLGVSLWGLGLTFLGSRLGGIDWITNNIEVLAMVIIFVSLLPVMIKGLQGYMKKRRGVAAAAATAEVPEQQ</t>
  </si>
  <si>
    <t>GC_00004469</t>
  </si>
  <si>
    <t>MFHVSSAFSTLRVRAFSGLCIAGLFVGLSACGQAPSTTDSTTLDSSTAASSPQAGLLPLGEANEAKKTQSAGAPAQLVVTTMRTGTHEGFDRVVFELQGQGTPGWFADYVDAPTQQASGHPIEVEGDTFLNINIDGTTYPFELGIEDPVLAPVPGHGPVVQQVVNGGTFEGHSQFIIGMKGKHPHSIELLDNPTRVVVDIRG</t>
  </si>
  <si>
    <t>GC_00004470</t>
  </si>
  <si>
    <t>MMSDRTVPSAPIGNQAVQKKEPLSSGAPENVMPVQKQDIAELISLIRGESADDHSELSAPDAPGRYYGNHKFLAIKVERIEQRTPALTRIWFRPEPSSFDGQWHTPNIAMRLEIPVTPEEYVGVEGAPPTASRAYTVAEYDNTSGTIAIDFVVHGTTSPVMQWMQSVESGDVIYSWEPGQHRVPQNAGRVLFAADSTALPAALSIIRDRSTFESAVLFAAASDEELALAKDLLADIEVHVVGVEPGELAAAVTCFSGECDWLWACGESGEMRPIRKFGRETLGLDRARVQVFGYWKRNQSHTLSDLSRLQRVRQAMINGEDLEAVEAQLEEEL</t>
  </si>
  <si>
    <t>GC_00004471</t>
  </si>
  <si>
    <t>MSDREHHPEETAGAAKTLAVVAGVVLLMVAVPAEKATAGSRSWGWSRSRCEAMRKVASGLFCGVECSG</t>
  </si>
  <si>
    <t>GC_00004472</t>
  </si>
  <si>
    <t>PF13384.12</t>
  </si>
  <si>
    <t>Homeodomain-like domain</t>
  </si>
  <si>
    <t>MLQELTDAASRVASIAQQQHVAAQERDRLIKNAVDNGIPITRIAKATGLSRNHIYRIINSAQA</t>
  </si>
  <si>
    <t>GC_00004473</t>
  </si>
  <si>
    <t>MQHIHDQVYSIAEPFGIAVAADDSNNTSPAAAGSQTLSIVGPRLRPGADAPVRVVVGNSPAAPSDEDLLVRVHYRGGFEGFLRFHTDEPHRFRGVDDCVLALEWVQKNIERFGGDPTQVTLVASGVDAAVALWLCRRDHYRGAFRRVDLREPRFARATLDKRKWLLRGFVGPVLPARIAWVQREHPRRLERARRAYRLLYRVPFGPGPHDEQMVSTMIGGL</t>
  </si>
  <si>
    <t>GC_00004474</t>
  </si>
  <si>
    <t>MDQQSSRVPRQRRRGSRYRARAHAVEIVYEAELRDIDPVAIVQDRETLSSLPIPETAPVRPYTREIVTGVATQLDAVDDAISTHLSAEWTLERIPAMDRAILRVCAWELLYNDEVDAAVSLTEAVELATQYSTVVAPDYVNAVLDAMAKRSDEVLDARALNTVTELPGEFEADDVELVESAAESEPVVDSGHFEAEVQPSAE</t>
  </si>
  <si>
    <t>GC_00004475</t>
  </si>
  <si>
    <t>MPGGDMPKASLFKMPKIVRINTDALEWVIAIQEEHRKLIYELLANIYEKENKMSRELAQSASLGLAALHLRDAGIMTEEGTHVEAYRRLNAAYERLTEVPHGLEKQYRAATVGLDGIVYRGWVDSLETARAEADTEGGFVQMRFVTEPQKVASVEVGGRHA</t>
  </si>
  <si>
    <t>GC_00004476</t>
  </si>
  <si>
    <t>MSSRRLAIFSIIAAWAAVVLSLVLGVALDENVTILVVFTGIVAISTTSYWAIRARRN</t>
  </si>
  <si>
    <t>GC_00004477</t>
  </si>
  <si>
    <t>MPSMVWNYLRVRGEYSFRGKNVVSGLELPPRARRIRRGPREENRNAGTTSAYAENTWCGILVPGRCGNYLRVRGEYEHDGDFFVNHPELPPRTRRILQLDNIPTVPLGTTSAYAENTAVSSVAAMTARNYLRVRGEYEHDGDFFVNHPELPPRTRRILQLDNIPTVPLGTTSAYAENTAVSSVAAMTARNYLRVRGEYSPNPDPVWLSAELPPRTRRIRQFQQLSGLRLGTTSAYAENTQARGSTSGVVRNYLRVRGEYTIVNTHECKVLELPPRTRRIHDPGFAVGASPGTTSAYAENTLISKKAQVSVRNYLRVRGEYPTTRFRRRGRKELPPRTRRILSFATTAASGGGTTSAYAENTVPNAADVKNAGNYLRVRGEYAISSGLVKPLMELPPRTRRIP</t>
  </si>
  <si>
    <t>GC_00004478</t>
  </si>
  <si>
    <t>MDSKVTGASADSPYPTALDGAGVYRWACVAAAALGEHRAEINAMNVFPVPDSDTGSNMAHTMAAAVEEVHRRFGPDPDVESLTLDDVAGALAAGSVRGARGNSGVVLSQVWRGIAEATAGGRVDGNTISRALTLARAMVDRAIADPVEGTVITVLRSAAVAAEDAVNHQAPLYDVVQQATTAAKTALQNTPSQLSALREAGVVDAGGAGFVVLLSSLLSYLEGTPVETHPTIVDDLANQPEMEVMAYLESTGERQIDLDALRTALEGMGNSLIIAPEGHAAQTHIHTTQPGEVVELLYTSAPIVSGLRLEVLPPAPATSQPERVLVAVVPEGPLVNLFEDAGVRVLSPSNNTSPTATFNEDAVNAFAASLRAEAATEVVLIPNGVLSRRDLISAELACTAAGKTLSIVHSDCPVRGIAALAVHDPASPFAVDCFSMGDAASSMRVARIVDNTTPNTYASYADWQYGAFNARVFDDAPLATATTVQQCLLDTCTHMLQRGGELVTLLQGEPFLDDNDVAELQQQLNHARDGLDVGDISVVSVHAEGIRPLVEIGVE</t>
  </si>
  <si>
    <t>GC_00004479</t>
  </si>
  <si>
    <t>MAQQRRTTISERRQQGVTVLERGAVRRAHRRELDEALLQRRADALREVGYTEPHPGRALRPQPKKRGRRLQKELGSKQVIVERGRRVAQVKNDPHFVRFVVFVIALLSASVGAVMFLSAHATSQTFSLQDLKSQETQLDNELESLHRDLESVRSSAEIARRASEMGFVVPDRPGVLEVSHGAEAPVAEVLASDAAKTRPLVDVNGNKVRASSATSNPAETRAVTDSLDQLPRVEQVPGVAPYSSRGADVASVPAVGQPAQDAAAPAQPVREQSAPAQPAPAQTAPVDDGASTVAPVGGE</t>
  </si>
  <si>
    <t>GC_00004480</t>
  </si>
  <si>
    <t>MDELINKKITICYGPLSWFSELVEKEKKKLQEEDVAHLLSIVRLLDSKRKNLLEDDYNISEEFKIVIAESGSYASLHEHVITNFVGLLDSFVAEHVYLHNPPNDVHEQLDRYYDLQVEYYSYPSVKQGSLFKRF</t>
  </si>
  <si>
    <t>GC_00004481</t>
  </si>
  <si>
    <t>MFAYLAMDLYNQGEKQGIVVLEDKHTVHYPTINAIQQVAVA</t>
  </si>
  <si>
    <t>GC_00004482</t>
  </si>
  <si>
    <t>MNLPQLFLDALSIGVLVFAVRPPGPDRENPGVHRVSHRCAGRTAAGGLGGRTATACRC</t>
  </si>
  <si>
    <t>GC_00004483</t>
  </si>
  <si>
    <t>MRTAVLWFPDWPVVAVRRAHGEAHSTPVIIAQQHAVYACCGAARAHGIRRTMRLRHARALAPEALVFDRDDNLAARMFEPIVQSLSHIAATCEVLRPGLLALNMDAVQRYYKKPEDTLAQMLIDASASAGVDCFIGIADTMHTALIAARQQHIVPPGGCVDFLAQQPVGALHACDEEGTELPGLLTEMGIRTLGQFVELGRTGISDIASRFGAAGIEAYEIATARAQRDVITQEKQEELAVFVEPESPITRVDEAAFIARTLASQLHEKLAAAGVVCDRVKIRAYSNHDDMHERVWRTRDALTEAATAERVRWQLAGWVSGPLRAIELIPLSMHTPSTRSVLDDDAADDSAIARAIATAQAQWGAEQVMIAHAAGGRCPTQRVEFLPYGDRPLENESTTTPWAGAIPGPHPSRILSKHVDVVDYAGQAVIVNAEAELNTPVAALIVEGTTHAVTAWAGPWAEDTGWWTATPTRRAFLHVATSEQALLLTWSDGRWILSGAY</t>
  </si>
  <si>
    <t>GC_00004484</t>
  </si>
  <si>
    <t>MDVYKALVAFLGDKGFGPVYTELPHDAEADGLPFVDLQPVAKPFTTHGLNVLGFDEIDIDIDLYVSADDWATGKAARLAQVLRLRLHAFRDPAIRVKAISAPARRPDRNNKIRRLGITVTVMVPAHIGDDS</t>
  </si>
  <si>
    <t>GC_00004485</t>
  </si>
  <si>
    <t>MSQRRHSADHPQQQHVPSNGSSANVPMTLRIGGAFITLAVMLLLLLFVQIFTQGWMAPLVITPGFVLIVVAALLLGAFGGVRSGDAASRSRVIALGLAVVMVLLSRLLQSPVLMVMDQYWIIMYAGIALLAGLWLRRSVIPQD</t>
  </si>
  <si>
    <t>GC_00004486</t>
  </si>
  <si>
    <t>MTLPLLTASNNAEPLIFNPQTTLTASHNADTDTPSRTVSGIIVPWGTPGYTSVGLITAQRGSIQVPADVKHLKIFRDHSDAGGTPVGYATKVEDTEKGLVASFHIADTPDGDIALKDIKEGVRDALSMEIIGQEISGDLLTAGQLTAVAIVAVPAFSASRITQVTASHQTPAGGKAGRLTMPPTVTATPRTTPLTAGAIYDALCRLDDPTADQTLLTAALKQMKVAESPLLTSPQWIDQLWDGQPYKRLFVDKMTHQDLTGLKLEANRWKTRPTVDEWNGSGTDVPSNEASFEVVEVQATRLAGANKLPVEWVHFKKVNLIEQYFLGMAEDYAVKSDNKALADAIAQATEKDLTAQGLGLLEAIPYANHAVYKAARVYADAIAVNDEDWLALSKIKQLELPALMETLKIDPDIIIPTDQVAKGKIFAWPTPGIIHGELPGSPIRAEALDIAKGQVDDGVFGYRAVVVARPDALGYVKFKA</t>
  </si>
  <si>
    <t>GC_00004487</t>
  </si>
  <si>
    <t>PF06319.18</t>
  </si>
  <si>
    <t>DNA repair protein MmcB-like</t>
  </si>
  <si>
    <t>MGVLDNVDAYRYWTSPETEEQCFQAIHSSYTRRNEAVCPHAPLGLTPVQGAKPGSSKSIRRIDALILFRNGERWAVEIKVSKQDLAQELRRPEKIALWKEHAHAFYYAVPVGLLGYALESVPKGVGVMVCGRHSTEIARRARKNKTPTEIPYSTWRRIAGRLGDAHIKKIEQEKK</t>
  </si>
  <si>
    <t>GC_00004488</t>
  </si>
  <si>
    <t>MASVRNVLVTNAMLGTYIDGDTVLHRMRPGVKMLLLVAFIVVVSVVVTDPWVAAGTTVVALLGYAVARIPVRVAWAQVLPPLPVLVVLSAATCWMDGVSRGVTIFFSVYASIVAATLFTLTTRVSAMLDALERGLGPLGRVGVPVRAVTLTLMLTIRLIPVQLQAVGQAIEAARARGSRMSLVSVGVPVIIRSVRRAQTLGDALIARGAGD</t>
  </si>
  <si>
    <t>GC_00004489</t>
  </si>
  <si>
    <t>MWDAARLLGVFLTIDTSTPVLVVGLVRASDMPGGRGPVVEVLATREIEDCRQHNELLVPTVLAVVAEAGVQLDDVAGVVVGCGPGPFTGLRVGMASAMALADALGVECVGVRSLDAIAVDALRGVPDVVDARSVLVVTDARRREGYWARYECGGGVPRLVEGPEVSPPAEIVGDVDVLCVPDGAWEQKVGARGRVVVGRPSASALAELAVGGVTVDVVPLYLRRPDAQVPKAMR</t>
  </si>
  <si>
    <t>GC_00004490</t>
  </si>
  <si>
    <t>MSQAPKESKFVGADDSRPKSSAGGTRVRSRMTVEEHIAAHGGDVAAAEKSAARELTFKGEQVPLGIAMIGFVLSLFFPHSGEVLGIDVLFDSETARFYLTTLPERIYVWAGVVGVVALTVAAIVTRLALVGYLAWFFSGVSLFYSIFAMWMRQSRPPTDPGVGPSFGLIMGAVCVLVAAVSWSFVIVHKSSLQKALDAVRRRGNPRAEDKVAQTQMSILDQEARRINEGQDNPLLVDDRRHRAAQRRKREQG</t>
  </si>
  <si>
    <t>GC_00004491</t>
  </si>
  <si>
    <t>MNRTFATRTLSLATALCIPFGLVACGGDKEDEASSQTTSTTTTTTSTTSTSTTPTSTEVPKEEEKKPEEKAPAEQPPAEQSPAPAPAGQINQLAPIQAKPVNTGRPGTPEERQQITDMLNNIAQGRTPREVLERTADSTCQSLIDANGGRGAFFPSDPQIAMALDAPLAALPDFRPAHVSAVDNLQVDGDIASATVTTVSEGQEPVTAVMRFHNEGGWKMCGNDM</t>
  </si>
  <si>
    <t>GC_00004492</t>
  </si>
  <si>
    <t>MAPGRVAAFLPLALGRSLAPSNSPVSCRLECFRGRHAGPVEKGQQSGGPQPGDARVWVDPHVEVAQAATADGSLFSSGGGVGRAAVAVDEACAAGVDEARHDGWGALLIVSAHGDIDGVPDGVEVR</t>
  </si>
  <si>
    <t>GC_00004493</t>
  </si>
  <si>
    <t>MRIAMQGQEVIFIDTSILCNIVPVPGFNQDQEEVRAEMKELVEKKAKFILPITAVIETGNHIAQLPGGNDRRESAERFSEILRLVVEHKAPWSLVDVEWREDFLSDLLEGADTEESLVDLATRGVGLGDLCILTERMRYEQRTQLRATIWTFDQALAAHNPSR</t>
  </si>
  <si>
    <t>GC_00004494</t>
  </si>
  <si>
    <t>MSIPAWMLLGFLSGAIAKMVMPGEQRGGIILTMLLGIIGSMVGGYLGSMFFNVDLNQGFFDLSTWASAVGGALVVLTVYGFITGSRRR</t>
  </si>
  <si>
    <t>GC_00004495</t>
  </si>
  <si>
    <t>MRIHSLSFDNLRGVEHFQLSNIPDTGVVIVSGSNEAGKSTILDALDMVLTQKHTTGKAQYKLMRPVGRDVPTTITLDATIGPHHINVTKTYFKQKRCELRILTPTVENLTGGEAEQRLEDILAEHIDPTLLSALFVRQGTIDERINAAGIPSLSAALSAAGAANDLDNGNPTEVTGDNTALMDAVAKEYGRYFSEKTAKPTGEYKQAEADLAAAEQRYAQAQIDVDSVKNYVDRVGEAEAIRDDAAQRIPGVREELEQARADLAEAQEATKHAHAATEKKNSAQIVLEAAEQRLDQRTALKTRVAALSKHVETLLQQQPELEQAHQEEQQRAAELHERVTQAQQLRDTAAAAVRDAKQQLTRASQLRDWAHHTQLLDQVAGINDQIVELENMLPSNPISAELVQKITEAERDTREARIRASAVAAKITTQAVGEGAPTEILLDGEPTPVGETHTLTHATTVRIADVDIHITPGLGNEDVFADLTRCEQQLTALLDDVAASSAEEALSRAQAERQLAEEITSLTRERTAIIGTRDVDDMRRHTQRIEQLLGDFDPITVDEAEQALVKASAAHEEAEEHHTQADSDARVHESRVMALRTPAETALNIHRSNLEAAQATLAEAADELATAELEHTQEQLDAAHAQALSNFEQATAAEQQALDALAQADPELRRSLYEGAQAQLDSLRERIDDARTTIATCTGYIEQAQGAAERLENSHAEVDNARRHHASIQRRAEAAKRLRDVLIGHRDAARAAYAKPFADKLNDLARAIFGPDQRFDLDAELGIDSRVNIGSDGSALTSVPVGQLSGGAQEQLGMLQRFAVSELAGCNLPVIIDDALGHTDTHRLSRMATVLSRAGRQQQIIVLTSTPARFEKVVGKKEYSVTDLQM</t>
  </si>
  <si>
    <t>GC_00004496</t>
  </si>
  <si>
    <t>MSLPLMRKTFIEAPAVLTWGFGGGPSLPLMRKTFIEASKEHTLMITFNVSSAYAEDFH</t>
  </si>
  <si>
    <t>GC_00004497</t>
  </si>
  <si>
    <t>MNRFKHLTPAVIAAYVVIIIVLAWALAPGVFTQFSPTQGHSQALLPPSREHIFGTDAIGRDLFARVVYGTRHSLAGALIAVAVGLTVGTLIGLIAGTQGGVIDTLLMRGVDVLLAIPALLLSLSVIIVLGFGTINSAIAVGVTSVAFFSRLVRTEVQRVTRTDYVEAAYGSGASKLAVLTRHILPNSLTPVLAMAALQFGNAILQISVLGFLGYGTPPPTPEWGLLIADSRNYIATSWWLTILPGAVIVAVVLSANQLSSAYRKAL</t>
  </si>
  <si>
    <t>GC_00004498</t>
  </si>
  <si>
    <t>MRKTDDIQPPAFALTLGVVEVLSVTAYWLFYLYLAQRLTKKTGTIVCIGWAVVPLVLMSCAYALGPPLYTPAVLSASGIVWIACALSYTQVLKAF</t>
  </si>
  <si>
    <t>GC_00004499</t>
  </si>
  <si>
    <t>MQALAERLANQEKVKAATQRAFIAQTELEAVRARFAAALQELDQLGEAHTWLRESFGLTASELRQLLALDTDSIHDEDDAEDQLDGDEDTTTSDINENAEGEGNRDDQELDGENSPAPGNDERRDKHDKN</t>
  </si>
  <si>
    <t>GC_00004500</t>
  </si>
  <si>
    <t>MVTPSVKLLVLSLKANRGWSGVLDVPEVILEGADIVKQLRRQQLHMLPPNWKTRGVGESVIAIRRRDKPRQQEELTVSIEKPLDLYRCVGKIKRQVRHIAEDFAIVRVNLGDRNERKHIPTGVGVGGGTIFVGVVCLSNEACNHT</t>
  </si>
  <si>
    <t>GC_00004501</t>
  </si>
  <si>
    <t>MNVSDTPPARSVKDNVIYAKFGASQQHDEPAQPATPTTVAPTITPHVQLRLLLATICERGRYTRGVNYHRDGHVTSTDVRAGLVTGLVRGSQLDPFEVALHFASNPLDRDSITGIPHALTLMSKGTYPQQIATQLFDIQRCECTCPDPAPVCKHAVAVGLAFADMLHSNPEKALALRHMSLATIADAIDAPPAADFWNGGQLPPLPDIEPDSALERGDRTLLTQAIRAASLNSVEALRGMYQLEEIYEHIMPTNPR</t>
  </si>
  <si>
    <t>GC_00004502</t>
  </si>
  <si>
    <t>MGVGECFWGEFYRVNVGVGAGVGEVAGDGAGAGAEVDDERVGGVAKVGGDPVGELFGFGSGDEYSGSDGEGEGAEGAVPRMCWRGSRWARRLMSSA</t>
  </si>
  <si>
    <t>GC_00004503</t>
  </si>
  <si>
    <t>MHNTTGTTNSITRNQQKTQDAAKSFICGLFNTPADRIPHYIDGLCEHDLTPQFWPLVQIIHTEAINLIDAGEGDKLVNPTVVMNQLPEVPTQLRSDLINATTTNPPAAYHLGSLARQLKQLRTRRAINTQGEELKAASHADPATIREQRGRLLYLIRLIDSNFPEEHPLTAYGAA</t>
  </si>
  <si>
    <t>GC_00004504</t>
  </si>
  <si>
    <t>K00941</t>
  </si>
  <si>
    <t>hydroxymethylpyrimidine/phosphomethylpyrimidine kinase [EC:2.7.1.49 2.7.4.7]</t>
  </si>
  <si>
    <t>COG0351|COG0819</t>
  </si>
  <si>
    <t>Hydroxymethylpyrimidine/phosphomethylpyrimidine kinase (ThiD) (PDB:1Y9X) (PUBMED:17351295)|Aminopyrimidine aminohydrolase TenA (thiamine salvage pathway) (TenA) (PDB:2QCX) (PUBMED:17618314)</t>
  </si>
  <si>
    <t>MNPVQPQTPQTGAPIARVLSIAGTDPSGGAGIHADIKSISAAGGYAMAATTALVAQNTCGVRQVYAPPVSFLIEQLDAVFDDVAVDGVKIGMLGDCETIDAVRGYLQAHPVPVVVLDPVMVATSGDRLLSPDAEQALSEFAATVDVITPNIPELAVLTGNSPAATLDEAIEQAQAFANAHGTTVIVKGGHLDSADAGNVVVSRAKDPVIVHSPRVDTTCTHGTGCSLSSALATRLASGEDAEAALRWSTAWLREAIVGGSALKVGQGHGPVDHSARARRLAEAAECTPWPHLDYSLDLSTIDVDDERFGSSAGQSVPNSIAAAGPHTQRLWDLSKAVWEAIISDPFVTALGEGTLSEESFSFYLAQDALYLNQYSRALAMVASSARRPDDQAAWAQDAHNCLVAEAELHRQWLATRPTTQGPSHVTLGYTNFLVATAATCDYAVAAAATLPCYWLYAEVGTHLSSRNHPQHPYAAWLDMYSGDDFTQDVRMAIERVEYALEQASPEQRHEATSAYLTACIYEREFFDQSLRVFHRGV</t>
  </si>
  <si>
    <t>GC_00004505</t>
  </si>
  <si>
    <t>MTAGGWDRYPLLNTTGSATLSASLLTVAAPSACSVLPINPFHGAFSKGASSDAPTTATTHVQELKDRGANQVELLALQLENGELGSVAVTVPATASSPRTWSQWHLDDSDGSQFSDEPLDDVLGAITTFSPTEAPIADLVAAMHKRATEDPRGSAPDMLTHVSYRVTPSGKASVETFCAPSDDIVNRNGELTITDDVAGLSDPSSAAAGDGAVTIDRPLNLLQADDMRTLLHYAGAFFGDTLTAIEVQPPANLSDGVPGYVFRGTVAPSVGGSPECTPRCGSTCPPI</t>
  </si>
  <si>
    <t>GC_00004506</t>
  </si>
  <si>
    <t>MRIFLPATPEMLRSLAADKSIKAPGGWGYAVTADLERDLSDLDEDGISQYAFDEAALASLRMLATIDPEYVDADHPAGVYRRVVISCDVADRHVSPRPDLGPAIVELADAGIDAADVAAIHVDDPAALRAAGEPEGTALIKAAALAIDQADLGDEGAEIAVWNAMDVFMAWYDPSELAEVADQIYVI</t>
  </si>
  <si>
    <t>GC_00004507</t>
  </si>
  <si>
    <t>MSTPQTINDLSTLSVPATEAAALIGVSPRTLSNWRTQGVGPVFVRVGTPHSRTLYRLDDLRTWLDANRVETSASKAVAR</t>
  </si>
  <si>
    <t>GC_00004508</t>
  </si>
  <si>
    <t>MRVNRRITAAIVATGLATSLATAPSYVAQAADTGSSDISTSSEGLFDSGNKGEHSELMQTLITIGLVLEGIGILIGPAPAFIKHILGIR</t>
  </si>
  <si>
    <t>GC_00004509</t>
  </si>
  <si>
    <t>MFFPLLVDDEGPGGVDHFDEDGEFPGGGVGAGFDYFVGFAESDLDAGHQVVWVDEGGDCEAHEAAGGEYFGGFPVGAGFEVGAVGGGGCGEFF</t>
  </si>
  <si>
    <t>GC_00004510</t>
  </si>
  <si>
    <t>MYKPPYNPSLDGLRAVASMGVLLTHTSFQTGHRLPERFDLFVAVFFVLSAFVLSRGGFGPYGEYAIKRVRRIMPAYLLCVLVAFAIYPQPWSVVVSTLTLTQIYVGLAPGITHLWSLCVEVAWYVVLPFASRVPSWLLIALACVSLGWDWVPFGPNPQIMPPAFTSWFMAGIILARLEASPPRWLVAVARRRWPLLGLALAALVTATIVGPHGLVHPSHTQFVARIVLGTVFGWCIVAPFALAPGGLLASRPMRWVGLRSYSLFLWHLPVLALVFPVLGIAPFTGHFFVVTLATIVLSLWVSDISYRLVEQPFSRGAFPTVPRFFPN</t>
  </si>
  <si>
    <t>GC_00004511</t>
  </si>
  <si>
    <t>PF13580.11</t>
  </si>
  <si>
    <t>COG4821</t>
  </si>
  <si>
    <t>Uncharacterized conserved protein, contains SIS (Sugar ISomerase) phosphosugar binding domain (PDB:3CVJ) (PUBMED:17855421)</t>
  </si>
  <si>
    <t>MALECVEHRRHQNFVAALLEGAGGRIFAFGASHSSLPVQDIVYRAGGLMLINPLYGPGIEALITRPSTLGSQMEQMPGCGEVLFNNSPLKEGDVLIDVSVSGHNAVPVELARAARENGVFVVGLTSHKYTDAVTSRVPDGTKLKDHADIGIDNRVDAGDVVLSLDGVPQKFTPASGVTSIAILHSLPAGIIEKLLEKGLSAPVFLAANLDGGAEWNAKYLAENADRIFYLN</t>
  </si>
  <si>
    <t>GC_00004512</t>
  </si>
  <si>
    <t>MTTKHYCTVIPIALVALCLSACANFGALIMPQSAPSEAAVVAKSTAAAASPSSGDSGGAQETESDAKGAESCANPQLDLAETAFGYWLTPKMIPTSLRSSFYKFDVVDNQFDPCAKLSWVTLDGKSGVMDQGSLSEDISSQTVMFFSKDKFLTDAPFLYAKEVNDVTVQGDKITIKYTPQKADEEWKAEYKLEGKRMVLSSPQRQGDTSAKFDFTKNYPPTDSISLMPYGNANHQVNIEDYSGTQLAEVAMGDGTVLCTFIRESQVTCENRRESTWPVQAPTALPGDSKAGPNGTTNHASIDFGMPYDFYTTYMPSGNIKAQANIPNDTVATVGRILLDTRGDTLKVSNNKYTVTLGDGVASAESKPLFQFDTSRYPDASSLRQWDSA</t>
  </si>
  <si>
    <t>GC_00004513</t>
  </si>
  <si>
    <t>MGVGKYKAATGYHWRVMWRDATGQQRTKRGFKTKRDAQTYERQVMAELAAGITKPRDTKRTLDTFVPDWKVTHTNKKPATVAKANSTLNNYVLPTWGAYPVTKITEIGIQRWVDQLSQDLSASTIGNILTPLRDLLELAKKAGYIDHNPALGVKAPKRHKADVEPLTAEQVLALVNHTPDTYKLVVMLLATTGLRWGELIALRPKDVIGDNRLRITRSYSSQTGTFGATKTHENRTVTTTPEVYHWLREHMAGIDREELIWEAPQAGGPLKPPNGATHWFMAAVRRCQADDETFPRRFTVHGLRHTAASLMIRSGVNVKLVQRQLGHSSATITLDTYGHLYPDGLEEVSTLMSQILPWRDINLTSLHG</t>
  </si>
  <si>
    <t>GC_00004514</t>
  </si>
  <si>
    <t>MSIIVFDALVPADVQPALHQRFIALADSLVEQGYAKRLEVECSAVKLEDDADQQLRAVYEEQHGGDTTDAPAHRFTIKVGENAKSLNETAMTFARLLTPQAELPAETYALECHDLYEVPDTYPWMVNVHPGGA</t>
  </si>
  <si>
    <t>GC_00004515</t>
  </si>
  <si>
    <t>MATLAQLVRGAEATLATAGVASPRSDAQVLAEHCCGVPALQTGFSDLVPSESQQQCFDAALRRRAAREPLQHIVGSAPFGPLDLAVGPGVFVPRPETEVLADWAVRHLASNPSPRPVVVDLCSGSGALAAYIATQSDLQPTVYAVELSRDALEYTRRNTCDYGVEVVQSDVCAPIQQLEHLAGRVDLIVANPPYVPVGSEVDVETGWDPASAVFSGEDGMTVIRGMLPQVVRLLKPGGWVGIEHDDTTSELVCQACADAGLVDIAALEDFTGRRRFVVAQKVA</t>
  </si>
  <si>
    <t>GC_00004516</t>
  </si>
  <si>
    <t>MDSAPQAIPQQQPVPDLTKPYDLVIIGLGPAGCMLGSRATHAGLRVLGIDPIPQWNNTYGIWDYQVPPWLPTDGASSTPARVHANGTSRKLPGRYLILNNQCTRSRLITFDTIAVQATILSPTSVRVAGHNITAPIVDCTGATHEQPSGGETTVVQQAYGRVFTYLPKHEDNTRWMDFHTPWAHTPHDEPPHSTETFGYVVLTPQGLLIEETLLLGAPTTWKQLEQRLHARIIDVLDIPHPTPDGPVEKVFIPLHTPLTDRTPNGVLAFGARAGFIDPMSGYSLATSAHYADAYVRWLMDHRDVITQGHKPAAPVPWLVASARATRALRRSCAWVMGILGTYGHQLELVQASLLLPGRQFKAFMTPWVSPWRFASLLPLVLLKLVTTRIKARRGTTR</t>
  </si>
  <si>
    <t>GC_00004517</t>
  </si>
  <si>
    <t>MNVSLLGEALPFGLDLNVIFQSVLTAALGFFTAIATMRGDARRANNDVLGRLMERVDQLEDDKDRLSGEVADLHEDRVSDAYVRAYARILYDAWRRPPDPPEPSPIAARALGLESS</t>
  </si>
  <si>
    <t>GC_00004518</t>
  </si>
  <si>
    <t>MGMIVIMIRWVCSIAHAFRPATPPAHDTADAPGRRQANKEAATATTVAGQLAGYRWAKNRPPT</t>
  </si>
  <si>
    <t>GC_00004519</t>
  </si>
  <si>
    <t>MCAQMKSQFTAVRNEEIVDFESVTVLDLYIRPERLDVLLQRTVVASRNSNTLLPRFNQARKQ</t>
  </si>
  <si>
    <t>GC_00004520</t>
  </si>
  <si>
    <t>MRELRFESTESDGNSLVFTSDSSADGAQEQFFLALDTLSPQDIEALASALESSRGRADVSTVKASAETATAGDDVASSPAKPAAEPVESPRSQPLKLRPKEIQERIRAGATVEEVAELAGVSVERIDDYAYPVLLERSRMAEIAKKAYPVRDDGPAKLTLWEILATAFAARGIDLESAEWDSYRDASNQWVVSVSWKAGLSENTAEWSLHTKNFGQSTAVARNAIAADVIDPEFIQPVRKVSVHRPRPSAEDTQEMDLLSELTGVVETPAAGQSDAADASAHDGDAAAEQSDSRGAQREGQEPSSKRRRKAVTPHWEDVLLGVRANTKRPRN</t>
  </si>
  <si>
    <t>GC_00004521</t>
  </si>
  <si>
    <t>MGTGRDLASEQFGDGGPGAEPRGNGDVELVFFRHCVRNINGVVVGVGEQEGNHGGPGVAAAAQLVAGMVEGVIVETQVGGHGVPAGVAVNGRGKLVDAGRGAAMPGAVGQEDHTRDAGTGARGGHATRPAASVLPVWLSTSRNDPTAPRAAYESMGRSCCSSTAVCTISLTATGSVTLALTRLVP</t>
  </si>
  <si>
    <t>GC_00004522</t>
  </si>
  <si>
    <t>MSNTAAQPQPPTQRSSRTRRVVIATSLTTALALVALANMTHIPGTSIDLTTGVGAEGPGPTFNTLGEFEGKEIVSVDGAATHPTTGQLNMTTVAVRSNMTLAQTLNRWLVEGDTLISLKDLYPEGMSEQEVNELNQHAFAQSENSATFAALNYLNYPLQVEVADVVKDAPAAGEMQAGDIIDSINNNPVRTPVEVVHAVRDHKPGDTLNVGFTRDGQQRDVNIKLESNPQDPDVAWLGVLLSPKTLDNISVDYNLENIGGPSAGMMFALAVVDKLTAEEITGGKYIAGTGTIEADGSVGPIGGITHKMKTVSEDGAEVFLAPADNCDEVARASKKDKGGMAIIKVNTLKDAVDGLKAYNEGKPYATCEAS</t>
  </si>
  <si>
    <t>GC_00004523</t>
  </si>
  <si>
    <t>PF16127.10</t>
  </si>
  <si>
    <t>Domain of unknown function (DUF4839)</t>
  </si>
  <si>
    <t>MKRIAALIVACVLAATITGCDDTTSDKIHAPLNASDVSNSKYQDVVSQFKKSGFTNVTTKEIDDLIIGFLTEDGEVEEVSIGGDTSFSTSDAFAADVPVVVSFHTFPKQDSEAANPSSPAAEGPSNSPAPNTQNITVDNNEEFRALIENPQPDNATIEQFVSKYKGRTIEFDGNVAYVAPYKSYKTRFDFLIYAGDYNPNSAHGPNFKFADVAYYDLHLTGANIPDSIGTGQNLHIVAEILEYNSTKELFYLKPVTTSVR</t>
  </si>
  <si>
    <t>GC_00004524</t>
  </si>
  <si>
    <t>MFVPYEDENTFVDLTSPMTSLFYPLMEAIAATGLAWMAIGYIDAHNIDPRAHNALVALWAFVILWRLILPAITTRRRRIIVTDYRVYHRSAGWFAEELDISLDDIDHVERGRGALILHRIDHGRPYIIHKVPKNRAVVRRINELLGIYTG</t>
  </si>
  <si>
    <t>GC_00004525</t>
  </si>
  <si>
    <t>MCFIKRHPELVTTLALCFLFQPPLWVWAPGLIAIPIALYNEMRRAN</t>
  </si>
  <si>
    <t>GC_00004526</t>
  </si>
  <si>
    <t>MRCSPRGLGLLLAWYHVRRLRQHCAPLVNQHDRSCVTGLTCGPAQKASVFIFHRFFGDNPQAIPFELPYPVRGTVRYIGGLKCQTICREVAARSVCGENNPPRPIQGHRGIIFALVHVSYAQVLQTLAIVVHLKFLWGGPQAHGINFVVVLEFDVGLNQVFCEHVAVGEEVVVLFQRSEGGFQ</t>
  </si>
  <si>
    <t>GC_00004527</t>
  </si>
  <si>
    <t>MARASQHPTNLPALHKLITQLAIIRETSGLTIDDAAKAMGVDKAAVSKLERGLTNPTLLTVARYADAVGATLAPIAVPRAQGQQWTGLADEVLLALDNETELPTTPTPHNVSHAHA</t>
  </si>
  <si>
    <t>GC_00004528</t>
  </si>
  <si>
    <t>MRLEAHHISTPRKIAIVLIVVAVFVVFGFAAVRRPSVPEALYSVSAAPAEIKASTDGRAGLSDSDIATLKGFVSNSTGSQLSYTRLPDGYHVGTATERFARPALSLIKLYIADYVLEHGTVKQRAQAIEMIKASDDETAEKLYEAYPEAIDDVADKYGLLSTRSNESWGYSVTSTYDVVLFIIEKLKTDPDSPLLDAMRHPDAVAADGYPQDFGTSVLPGVRGSKWGWSNDLELHSSVSFGDNYVVAAAVTGSADDLTRLVVNQMVPVFGQSLRQLAPPGASESTSTRPRPTPTATSKRKS</t>
  </si>
  <si>
    <t>GC_00004529</t>
  </si>
  <si>
    <t>MKSRAAVAAVIVSSLVSSTLLGQVSPIAHAADLHYPNPPAPRAQAEDPLAQAAAYLELGDPGHMQQCAGALVAPQWVITAQHCYEQQWWKDGESYSLIRFGIDDSAEPSEPAVSEPVVTQPLPVPPKQDPPKQEIPKKPAPDAGSSSAWWIPLLVLLAPLVAVFGWLLDHGGHPAGLIAPWGRRG</t>
  </si>
  <si>
    <t>GC_00004530</t>
  </si>
  <si>
    <t>MVNSCNSLKGFFIRTSRTFRRTIALGGMSLLLAGSLVACGDKDADKPADKPADKPADKPADKPAEGGDAGQGEGDKKPVEGDSPAEGKPEVPAEGAKPAE</t>
  </si>
  <si>
    <t>GC_00004531</t>
  </si>
  <si>
    <t>MNTSTITRTHTTHTTFTSTLGTTTQPTHSPQPCTRSEESDPFFERFGQQLPRGLREEAQGMSWQEFIGTYGRIDTHHIRHLSQEKIGLGTFRFEADIDGTHREIVATGPINACTNLLSDMGRRIEILNFHQYRVFEGTVTFIRATNNRETCWAVGFGPSQELSAASVMSAASCRLYG</t>
  </si>
  <si>
    <t>GC_00004532</t>
  </si>
  <si>
    <t>METVLITGAASGLGAALAFRFNELGQNVVLLDRDLERAQETASALPHSDNTLALGADVRDSAQLHAAVDKAIDTFGQLDTVIPNAGIWDYNRSVTRLNGEEMGELFDELFAINVKGYLLTVEATWRHLVESEGNIIMTLSNAAFYAAGGGPVYTASKFADRGLMLEFAHELAPKVRVNGVAVGGMRTDLRGPVALGLESRKFSDSIDRWEESNPYIPLHDISTEPLAFTGPYVMLSNRQEAGNITGAIINCDGGIAARGFHQAAGGDHL</t>
  </si>
  <si>
    <t>GC_00004533</t>
  </si>
  <si>
    <t>MNGMDNSSIEEMAVHYFKGLFFKVGLLKTIFTEGDKTPLVDGSISIYQDGNKKNEDLVGTIPVQIKGTTRAISTRTPTFPLTKNDLEGLKSHGVLLLVAALKPDEENHKGYYAHLFRFQIEDLFKDMKPGQKQKSIPLKELPHDPEELLRVCYQAKDIQEKSTRPITISPEEFSNPQKISFTFYESPVSDIFTRPTRIGPRLGKDDINAVIELTNVNRTKIPTNANILLSPKEYVYQPTGHFINSGEITFQDSQHRLLSENQLEIAVSPGLKLIINRGNPECEVKLRIQDTLKLIQLLGK</t>
  </si>
  <si>
    <t>GC_00004534</t>
  </si>
  <si>
    <t>K02509</t>
  </si>
  <si>
    <t>2-oxo-hept-3-ene-1,7-dioate hydratase [EC:4.2.1.-]</t>
  </si>
  <si>
    <t>KEGG Orthology (KO)&gt;&gt;&gt;09100 Metabolism&gt;&gt;&gt;09105 Amino acid metabolism&gt;&gt;&gt;00350 Tyrosine metabolism [PATH:ko00350]</t>
  </si>
  <si>
    <t>MLDKDTITTIADDLAAAEDSRSMIPLLTARYPEMTVEDSYAVQNVWRDRVIASGRRMVGRKIGLTSKVMQVATGITEPDYGIIFDDMVYESGSVIEHAQYTGVRIEVELAFVLKEDLKGPHINQFDVLRATDYVVPALEILSSRIEMEGRTIVDTIADNAAMGAMVVGGRPIRPDDVDLRWISACLYRNETIEESGVSAAVLGHPAMGVAWLANKLHPHGDHLAAGDIILAGSFTRPMWVYPGDSVYADFNDLGVISCNFR</t>
  </si>
  <si>
    <t>GC_00004535</t>
  </si>
  <si>
    <t>MVVISGTIAATCLVACGDDSQDTSDTLVVTAQPTNPDNPDPAPFVAQQVEPIVAPTLYEPIHDPGLNVDWTLRGVSAAPIGGIVVHVDVKNLNESALPTDVVKATLKTTGYNGQSTNIEPLGEGQSGVQSGLDLPLGSGATTNLDFAFNTTVGNVNAAELQVGNVIFKGSLNI</t>
  </si>
  <si>
    <t>GC_00004536</t>
  </si>
  <si>
    <t>MSTASDDLFHLMTPRRAAVLGSPIAHSLSPLLHNAGYAAAGIDSQWSYGRVEHTGEGLSGFLEGLGQGVRGLSVTMPAKFAALECADCVSDVARTVGAANTLVRDGSGWFATNTDVAGVRGAIEELWSGAEGEASRDMEGSRVVVIGGGGTVRPVLYSLGNDFGVAEVDVINRSDKSDDLRDVVEAAGLRMRFHTFDELWSDAPGPSQDQQGLTELVRGAALVVSTVPSVALQGMEQALAQAPVFDVIYDPWPTPLVLAARAAGWAAVGGHAMLAHQAFEQFELFTGVDAPRVEMRAALDHHLGTAE</t>
  </si>
  <si>
    <t>GC_00004537</t>
  </si>
  <si>
    <t>MRRAQLLLSKVQVPSGCALAITGSLARGEMSLHSDIDVSLIIPEEQGSDFDQGQLEQLWYPLWDGSFRVDHSVRTPSQCLALATEDPLVALSLLDVRTVAGDAAVVARTRESVLNRWRVDVARNLAAIVDVAISRWRRSGSVVAMTRPDIKNGRGGLRDIEMLRALSLGHVCDMPDVEHQRALLLDVRTWLHEAARRRRDILDPEFAVDVAEHLGFADRYELTAAVADAGRTIDDALNTALGIARAAHSRNSPRSSLRTPLDVDVVDDRGVVTLARNPRLSDPALVLRVAAAAARTRQPIAEPSLRNLARHHMPLPQPWPRAVATDFFSVLSNPSTIEALDKHGLWEPLVPEWAGIRGLMPREPSHAHTIDHHTIVTLQAAAQRSVHVARPDLLLLAALFHDIGKGQGRPHEVVGAEAVGRMARRLALAPRDVSIVQTLVAEHTLLARLANRADPTAESTVDAVCSAVHYDRLTLDLLEALAEADARSTGPGVWSRSLANSVRTVCSLARARLSDLHPTKPFVAAPSTSADFPKVTWRGAYLRESVRMLALLAAHGHNIESAKLINDAAGARAEFMVRPTTTSPPAEQEFLQAYKSGVFSMLPELKPALVSTTWYGNTVEVRTLDQKAAFGALLGVLPDVSWATMERTGATMIARFHLGNCDRARVEKDVQRAFGGVA</t>
  </si>
  <si>
    <t>GC_00004538</t>
  </si>
  <si>
    <t>MSPLLLPGAPRLSATAATVAFDVAVLLFFFFQGLLNAIVGGLWRRFEQLLAEGAPLVGVCLFHVEGFDDEVHEPFAVLAVRFLLAEEVGDDATEGCLAVE</t>
  </si>
  <si>
    <t>GC_00004539</t>
  </si>
  <si>
    <t>K03783</t>
  </si>
  <si>
    <t>COG0005</t>
  </si>
  <si>
    <t>Purine nucleoside phosphorylase (XapA) (PDB:1YQQ)</t>
  </si>
  <si>
    <t>MNTMVAKVDPNPYELADTAAEFLLHTARTQCPTHAINGVDAAIVLGSGWRDAADSFARSGAEHLTTIPMAEIPGCVAPTAQGHGGQVRLYSVPRDADAQAPQIVAVCLGRIHAYEGYRDNELWRTTHMVRTMAACGARAVVLTNAAGGLAEGMRVGEPVLISDHINFTARTPLVGARFVDLTDAYSPRLRVLANDVASRAGSTASTGTAALREAVYAMMPGPQYETPAEIAMLRTLGVGLVGMSTVYETIAAREAGMEVLGISLVTNLAAGISGQPLNHEEVLEAGAQAAEMMGSLLAQVVRKL</t>
  </si>
  <si>
    <t>GC_00004540</t>
  </si>
  <si>
    <t>MNKTKTHQRRRVATAILATLGVAASALTAPQAHALTIDPGTVPGRTTVAIHNDNGTEYDTPGAHAQGPAESLAKLLLAHWVLRHGVPADKALVDPMIRLSDDGIATHLDHTYPNAIRDVVNDYHLTETTPGAYWGATSTSMHDIARFAQELRRDPGAAPIINAMAGAAPVASDGYAQNYGTATIPGVWATKFGWADDGSINTTVSIGPDYVIAARTYGPAHQLTDDLAGVRAAAAGGAVTAAPGAVGGAPSINVGSSSVPGIYGSELKARLAPSDPLGLRNAIPDAAILPRF</t>
  </si>
  <si>
    <t>GC_00004541</t>
  </si>
  <si>
    <t>MFKTFAGKRFTWGRFSMKVYLGLLVASMVVFLCIAFVAFESRGVVYTDQNRLWIWLRLFAASLLLLSSLFGLAGEYLSRSFSDKEREKMLLAPKSASLGGVVGLVLLSYIGSTLRTVYPEAGWSAVLSVGALASLLLFPSLNLFIIVLQLRAQDKREQRKLKSKITRIRHKQKLS</t>
  </si>
  <si>
    <t>GC_00004542</t>
  </si>
  <si>
    <t>MRKQLSESKLSRLLHSGLANCNQYGANADLWTDLNLAHYTGNRVVRIRRAQALGKSLCADCPMLRLCAEMAIEPQAAAWQGVILAGVPVLGEDRTQQYRVAMESIRMVAAGESVDAAHRYQELYYLDQLAKAQLTIKKNGKPRRRSSRPTPSRPPTRSKERTRPHAPRPAAHPRG</t>
  </si>
  <si>
    <t>GC_00004543</t>
  </si>
  <si>
    <t>MAWYFFNRHPGEADLVALMNELRKVELAINVAESGDKEVGNLAAQLVGTDDLDELLTKRDAIRKQLN</t>
  </si>
  <si>
    <t>GC_00004544</t>
  </si>
  <si>
    <t>PF24389.1</t>
  </si>
  <si>
    <t>ORC-CDC6-like</t>
  </si>
  <si>
    <t>MLNEILESYVETSTDRRIVDKLKSRSPIVLRGSRGVGKSFLLRLAEAELKSDFDDKRILPVYITFSRSPLVHASRQEFTPWMIAKITKGIRRQVVGYGLELPQENSLRQLTELSNHEIDTTVIEEHEQFWKQGKPVEESSNLPDADELREALEELCEDLKLARIILFIDEAAHVFVPEQQREFFTLMRDLRSPRVAIKAAVYPGVTSYGEIFEPSHDATFVDIERSVMDEGYADAMRGIVMKQDPKAEKQIKQRSEDFDVLAYASMGNPRVLLKTYSESNPFNRTNVQNTIRTYFRERIWSEHSGLADRYPGHRELIDWGRAFLEDHVLPVLHSRNKEASETSSSAIWIHRDAPRVVYEALNLLCYSGILLRHSSGIRATRGATGTRFIVNFGCNFAQDADSVTYGQQVRSSFSISKVQEFGANHKLYSAIQDISLTFNQSGANPALESRLNESFRVLDLTEFQKEKLNNMGLRTIRDVLDASEEEFQSIPYIGVVRSRQIHNAAVMAVIEYLSG</t>
  </si>
  <si>
    <t>GC_00004545</t>
  </si>
  <si>
    <t>MGTGIDFNYAHWPAKVFLVFVVALVVVPILLAALS</t>
  </si>
  <si>
    <t>GC_00004546</t>
  </si>
  <si>
    <t>MIINRKLLLNLITAFTTILFSALIPVSVAHAESTKNISIEPVGYDIINGHLDTKNPIENPNLMEDPGYSRTDSNPGSLPDSDIATEEKIIKEDNRALITNTTDTPYRWLGMIDYTTSANNEGICTGALISKDTVLTAGHCVARGNRNFTFTPGRNGNNRPFGTIQVTQVWYDKNFDYINNDWGILKLATPIGDKIGWFGMHVANKTTLFNQYATIAGYPSDKPENTLWKDKSTIIKMTDKQVYYNTDTYRGQSGAPVLDDKASIYAIHTNGNSQHNWGTLLTNELFSVVANISHMTQSSED</t>
  </si>
  <si>
    <t>GC_00004547</t>
  </si>
  <si>
    <t>PF03806.19</t>
  </si>
  <si>
    <t>AbgT putative transporter family</t>
  </si>
  <si>
    <t>COG2978</t>
  </si>
  <si>
    <t>p-Aminobenzoyl-glutamate transporter AbgT (AbgT) (PDB:4R0C) (PUBMED:17307853)</t>
  </si>
  <si>
    <t>MADSATPTAARTAGAKQSEQQAGRAGGFLGAVERAGNVLPDPCWLYVILIPLGATAFKAVGRSPVVGAMVAFAASSAGSCFSLPGTD</t>
  </si>
  <si>
    <t>GC_00004548</t>
  </si>
  <si>
    <t>MTNITVTYLEGASAHRTQTTDIISADRVRYDIHSNRMGWPGATQAPFLALHFCAWAALKREKKTDQDFETWLETVEDVDSDTTDTEDTAPAPF</t>
  </si>
  <si>
    <t>GC_00004549</t>
  </si>
  <si>
    <t>MFHVKHGGMAELWGRQFEKYHFSPTRYRGVGVSRETWVRDVLGLGRCVYGKLGCFVLFGFMVMWWFHVKRRVGGCFFSASGLGLDGSFNGVFHVERGSLFGMICWDWLLWFWGGVGSRCLSGWMSGLVVFEDGWCFTWNIGNACNEIPRVYGRACRRCWIVSRIFLKFIQFVLADGCVVFVWVSVELLGACHSDLCFPGSFSMFHVKRKFGGCGMWE</t>
  </si>
  <si>
    <t>GC_00004550</t>
  </si>
  <si>
    <t>MNIAKVRSTSADSTTPVAVRVVKRTARWAAVLLCAAVGSFIVMDLLPGDAATVIARTSDQARIDAIRADLGLDRPLSVRLWEWFSGLFFFGDGGTLFASQRSVWEASAFAARNSAYLIAIALPLLLVIGVGTGVFAGLAPSSWRDRLTCLGAQSTLATPDFAVTALLLAVLAGALKLAPAVSLVPPGGTPADNPGALIIPSLAIALVGGAWLQRLVRAAVVDAQALPHVRAAHLSGMHPLSVLRLHTLPAAFGQIAQASAATIPYVVAGTVVVENVVGYPGIGTTVTHFVVFRETVAVATLTTVFAAVTVASFALADVIGRHR</t>
  </si>
  <si>
    <t>GC_00004551</t>
  </si>
  <si>
    <t>MCDSTPVVAVKTAQPPGFLLSAIPYYPLVIPNGADAGFSRTLHSAPAADQLLVARQNLVGGPYAHPQRLFRGRLHDPNFDQCWRHPMGVLPYVVPVVEVIARRGLVTRPLLQLVNDVMHKWAEGCHAIADCCARGGEVDDHGGAGHTGDTAGGAGVDSSTRQT</t>
  </si>
  <si>
    <t>GC_00004552</t>
  </si>
  <si>
    <t>MTELIQDIAKVFTSLFAHSSGIATQFVADVTKFLTTFSK</t>
  </si>
  <si>
    <t>GC_00004553</t>
  </si>
  <si>
    <t>MMSTITRYLDLVGQQLTSAPMWIQVIAVLGGTVPLCLFLAFALLRVIDIAGARTYRFFNGQELLRRPVVHRGREVSEGAAQRDRPAGVRPGGSRIVINEEPR</t>
  </si>
  <si>
    <t>GC_00004554</t>
  </si>
  <si>
    <t>MSGGLLRRVACACVCGVVALWGVGVGVAQPLPNPADPSDPVMRSWWADPSARVQDSDARVTVRLVEFGGLGAKARLRVHNGLDRTVSDVVVRVQHSDPLADVEQGRVLLAGDQSLFSFIEPFQRVGSVAAGEDVDVVVDVPRVEDAGVYPFLFNINGVVEGQESYLDSERLLVPHKMASVGDVSVVVPLAAPVRVLPGETGEAPEQQPLILEEDFDVAPLTETLRAYRDFVLGERTGAAGCLALDPQVLLAVDRMSRGYRIADRRTSPVDETIRLRDSWWLDKPRFEEGDPAPAVEFMSELHNLIEVTFKDNQPSAVPAGIPGEDGAPQANNGGEDAGPNNDGQGTAGPIPSAASGPGCIISLPFAGADINAASRSGLDPFQGADAIEHILGVTPLSYEYAQTNFALAATLDAMGPDPITTPTSDPTTRYDYTIDSEEARRLTAKAAIQLQASQGNTLIMPTRVTPQDAHAILDAATEAIDRGATPIPAPRNRPESVDSPASLTDTEIVRARQQSGYIGDLTTLMVNDPQITLTNTEFTQPLRYDILRALSLYDRQSMHTHTQAVRRSDNILSANRDTLQQLRNSVSLLPPGNVYTRTSDSSPLLIVGRNGLPLPIDARVLYDAPGATIHVPDTVRIPAQGSITIQMTADLPGDSGIKLWLATESGNTISEPVDIRVQTAHISWRFIIAVGIALVVIRALVVFGKRKR</t>
  </si>
  <si>
    <t>GC_00004555</t>
  </si>
  <si>
    <t>K02510</t>
  </si>
  <si>
    <t>4-hydroxy-2-oxoheptanedioate aldolase [EC:4.1.2.52]</t>
  </si>
  <si>
    <t>COG3836</t>
  </si>
  <si>
    <t>2-keto-3-deoxy-L-rhamnonate aldolase RhmA (HpcH) (PDB:1DXE)</t>
  </si>
  <si>
    <t>KEGG Orthology (KO)&gt;&gt;&gt;09100 Metabolism&gt;&gt;&gt;09105 Amino acid metabolism&gt;&gt;&gt;00350 Tyrosine metabolism [PATH:ko00350]|Enzymes&gt;&gt;&gt;4. Lyases&gt;&gt;&gt;4.1  Carbon-carbon lyases&gt;&gt;&gt;4.1.2  Aldehyde-lyases&gt;&gt;&gt;4.1.2.52  4-hydroxy-2-oxoheptanedioate aldolase</t>
  </si>
  <si>
    <t>MQLPLTFAERLSQASDPQVGLWVCSGSATCAELIVGAQPDWVLIDGEHSPIGLESTLGLLHTVAAYGATPVVRVPECDTARIKQFLDLGAQNIMVPMVHDASIAASAVSAMHYPPKGVRGVGSALARSSRWNRVPDYLAIASETVSLTVQIESTEGVRNAEAIAAIEGVDAVFIGPADLAADMGYLGQQDHPEVISSVLDTIDAVRAAGTRVGVNAFAFAQQQMYLDAGADFIAVGADVQLLAKASSDLVRNTRALSKKD</t>
  </si>
  <si>
    <t>GC_00004556</t>
  </si>
  <si>
    <t>MSSTPSNTAEQTYDVIVVGFGKAGKTIAMKRAKAGDRVALIERDPNMYGGTCINIGCVPTKKLLTQAHAHELVVEATGESNHADALKSAEDARDAFIAKLNAANLKMAETAGVTVITGQARFTSPKQVEVTGGDDRLELSAETIIINTGAATFLPPIPGIDGPRVHTSTSIQHIDRPDNLVIVGGGPIGMEFATLFSAYGTKVTVLDGAERAFIRNDEDVAEVAAQIMNDRGVIITANAQVEKLEDTGNGVAVTYRDVTNDANKTINADVVLVAVGRKPATEGLGLEDSGIELTERGAVKVDEHCRTNIDGVYAAGDVNGGPQFTYISFDDHRVIMHDRWGVGPARTTEGRIIPTTTFMEPPLATVGMSLKEAKDSGRELSVRTKMIAGIPILPRPKIVGQPAGIARLIVDANSDEILGASLLCIDAQELINTVAVAMRAGMTATEFVEGIYTHPATSEVFNALG</t>
  </si>
  <si>
    <t>GC_00004557</t>
  </si>
  <si>
    <t>MTPIITDEVTGVRLLTSMECAAKAGIAIGTWRAYVALRNAPKPVAKLDGRTPLWSEGEVLQWVKSRAIVQ</t>
  </si>
  <si>
    <t>GC_00004558</t>
  </si>
  <si>
    <t>MVGPAYPVAMDLTIKDVADRTGLSAHTIRYYCDQGLGPFGSEGQQQSETV</t>
  </si>
  <si>
    <t>GC_00004559</t>
  </si>
  <si>
    <t>MSHTLVRMSECATGEQGVGSTRERIVECARQLFSQNSFSAVSIRDIADAAGVSPSLVVKHCTSKERLFELTLDFSDSARALFAGPFDQLGRTAARETLLAPVDSPYSMVRILTVAGGSDSTLQAMGRRVEEDILSVVAERISAEAPGASPSPRLRAQQVVALLTGLSFMRRVGDPGFDAYEREELVDHYGSALQRLLDGC</t>
  </si>
  <si>
    <t>GC_00004560</t>
  </si>
  <si>
    <t>MNTIEYTPGQFHRVNFRNLVADKKTANFTCDAIRRGQFTHRVSYQNGTVYIKDLTTGDRVATYTWDSYIPSRDEILGIADILIAKDLGLE</t>
  </si>
  <si>
    <t>GC_00004561</t>
  </si>
  <si>
    <t>MRSPMLHRQTPAQHSCSLIPEVELRPYATLPALGHPRNSISAELEFAFPPGGAPGVSNLRYPKLKLSTNEAQPVTLYLSSKTRPTHPRNPRFLGKWGLAHLLSTPSTKFALLLSLTSVKTAMFTWARRGIREGNQAEQPRYFPGSSAAHVLSLGFGTMKLRNTPEGFRTQAIAQLLSSLFHSE</t>
  </si>
  <si>
    <t>GC_00004562</t>
  </si>
  <si>
    <t>MVDHPPVHPEEPPEDSPSTLFAADKITPAVIVLCAITLVVLLKTPGIILSILLVGLGAFIMLSRPNTA</t>
  </si>
  <si>
    <t>GC_00004563</t>
  </si>
  <si>
    <t>MSTATRPARPRKRKNTGWVPDQHGAWAMVITPYVLGVALAHPVWAHLPLGVAWLSGYFAFFAAGLWLKAPPRRRGTYVRPLTIYGAVAVLGCCGVLAMTHSSVAQLLVAGACFVPLVAVAVYEAYRKRPRSVLSGVATTIASAGVLPVCLLVADKPVLWGPTIILGLYFSSTIFYVKTLIRNRGQRQWLNYSIAVHLGCAIIALVLTLADVVHWSAIVFFLAATARAWWMPVSGEQRPKPWSPKQVGIQEIFWIIAASAVAVFSA</t>
  </si>
  <si>
    <t>GC_00004564</t>
  </si>
  <si>
    <t>PF13707.11</t>
  </si>
  <si>
    <t>RloB-like protein</t>
  </si>
  <si>
    <t>MAKKNRDKETNSRRRRGPGTRPISEPILLFVQGECTEKDYFKLLKRCLRLQSLTIITESQSPENLIKQTKTTISRENDAPFSAIYYVVDVDDTSDEQFRQAFKAAKDATNRKTEYHFVVSHESFEAWLLAHFEDIRNKNIPRKTMGEKLQGGERLNGKRVSDKFPVEDYEQAVERVTHCAFDEVNRETTSTAMPHLITELIKLKPKPK</t>
  </si>
  <si>
    <t>GC_00004565</t>
  </si>
  <si>
    <t>MNPRVRKRLNQLIMGLWAFAIVGCLGLSVGCYIDDRTIAADPGRALARVTNTSGARTTVDFRDEQGVYRSPPNGLLYPTGLSENQLVYVTYAKSNPNLVKVENRAWTLSLIPAASLMLASTLIAAALFAAVAWANTALRRRAEAAATARHPKH</t>
  </si>
  <si>
    <t>GC_00004566</t>
  </si>
  <si>
    <t>MSDSFTPRVVNIISDATGLDAPMITPESTIDGLGIDSLSLIDICVRCEDEFGVRITDEDALGWRTIADMVDFVDGHSSR</t>
  </si>
  <si>
    <t>GC_00004567</t>
  </si>
  <si>
    <t>MGIPLDHSTSAMESRFGYFDCKSLLTVYGITLA</t>
  </si>
  <si>
    <t>GC_00004568</t>
  </si>
  <si>
    <t>MSTQHPLNLEGDDGRDARGELWARITAAGLAVHKALDEGLPGGISSADYSILSVLRAAPHVPLDHQHCHAFELRLKEICDLLQWDRSRASHQVIRMEKRNLVAKHPCSRDARGVVIRLTEQGQEIIGKLHPQYLDAIDEVFFSKLDAEEICMISSVVDRVLGPQKQKLQELA</t>
  </si>
  <si>
    <t>GC_00004569</t>
  </si>
  <si>
    <t>MEHIAELSPTDDPTLCQMLRIVEVRDGRPVGYAQQGESKNMNVPEPFVPHPDTYGDFPDVSFEYVGAEHFNALWAQALATL</t>
  </si>
  <si>
    <t>GC_00004570</t>
  </si>
  <si>
    <t>MKLSERQGTGGLPGLLADLMAIGAFSLLAHMAHHSLSFEEWLHTVSQFGTGVLLGWLVVHGLQRSRGRLPLFTQGVWVWALAVVVGLVEWALYNGRVPHWSFVIVATVMSALLLFGWRLLLTLTSKD</t>
  </si>
  <si>
    <t>GC_00004571</t>
  </si>
  <si>
    <t>MPTRPTSGRRTALLLLSIFAAATALSASANLGTTNTTTLLATYALNAWWIHVLTRTAHLWNNHPATTTLPALIYTTTAALTILALHHRWDSLGSAWTMQSATRSIIFELSSIAGIPWAYTAIYLRQKKNQQKARKPKQ</t>
  </si>
  <si>
    <t>GC_00004572</t>
  </si>
  <si>
    <t>MGRGWDACTGLGKFAPLKRATWGNGSARCKSARTSASYTRPPVRPPRAPASTPHRSPTADCRLCAPGASAAPVLHPAWQNPAPASPPHRSPTADCATPDSAAPAPPVRTACPPHPAPLVRTACPPHPVLPDHPQTLTPPANSETPRPPNGRRGVNTQRGVSARRLTRQLRKSPRPQRRHLRCRLLARPLRERQRPQEQQR</t>
  </si>
  <si>
    <t>GC_00004573</t>
  </si>
  <si>
    <t>MSLTFTRSRLFRLSAALCCAVAALVALAVVSLFVGSGDVAPSAVFEVLRGRSSGSADETIVLGLRAPRIWVALLAGAALGMAGALTQTLTRNPLAEPGILGINSGAALAVVAAMSLVPDLPPVPLVVAAMLGSLVAGSVVLLLGGVWRGRHDVVRLVLSGAAFTAVTAALTNYVLVTNPQVFTQFRYWDAGAVQARPGALLVVTGVLSACAVVVLVLIGKQVNALSLGEEMAGSLGINPRRVYIAAGLCAVVLAACATSLVGPVGFLGLMAPLMVRWLTGPRIVPLMVGCALTGALVLLAADVWGRVVLPPREVQASIMCALLGGPVFVAIARKVRGIGG</t>
  </si>
  <si>
    <t>GC_00004574</t>
  </si>
  <si>
    <t>PF14243.11</t>
  </si>
  <si>
    <t>ATP-grasp domain, R2K clade family 3</t>
  </si>
  <si>
    <t>MDAQDFLNRCSDYPQNRKHDFIVRDLINVVEECRHWIIGGRLKAFTVYVTGTWVCSGGPSPAADAQHHQIALEAAEELGHGVCVIDTARISDGRYVVVEANPPWCSSFYSAPPAVIREAVLGSQGLRAKDRFVPDQAVRDAFAEHPWVRRRPLA</t>
  </si>
  <si>
    <t>GC_00004575</t>
  </si>
  <si>
    <t>MSSWKQWVSAGCLVAMLGAVVAASYSDRTAKPMAINGDSLGPDTGESLDEYANRVSDSWKDLPDGQRTFALITFTHPLVDRDAGELLERHGIRRVNAMLIDGQPAIPLPEPTGDDRRRDVFERYLSAARARGMDARALRGVIVYEDKDHLESLASDPSVAVVDSAPIDASWGRLGVRMLESTK</t>
  </si>
  <si>
    <t>GC_00004576</t>
  </si>
  <si>
    <t>K11733</t>
  </si>
  <si>
    <t>lysine-specific permease</t>
  </si>
  <si>
    <t>COG0833</t>
  </si>
  <si>
    <t>Amino acid permease (LysP)</t>
  </si>
  <si>
    <t>MSSSRPEAQQLRRSLKARHMYMIAIGGSIGTGLFVASGATVANAGPGGALLAYALIGFMVFLLMQSLGEMATYIPLAGSFGEYARRFVSPSFGFAIGWNYWYNWAITVAAELAAAALVMKYWAPNTPGWIWSAIFLAILFGLNALSARAYGEGEFWFALIKVAVVIFFLILGVLMIFGILGGPSPGFSNWTLSNGKQSAPFVNGAAGVLGVFMIAGFSFQGTELVAVAAGEAEDPDRNVPKAIRTVFIRILLFYIGAIAVIGFLIPFTDPRLLDSAEDNIAVAPFTLVFDNAGVLAAAAIMNAVILTSILSAGNSGLYASTRMLYALAESGQAPKLFSKLNSRGVPIPALIATTAIGALCFISSLIGDGAAYTWLINASGLAGFITWMGIAWCHYKFRRAFLAQGHSVDELPFKAIFFPLGPIVALLMCAFIVAGQNLEVYTGNIDLGTLISAYVGLPLFLALWWGHKLVTKAPKVDPMEADLSRL</t>
  </si>
  <si>
    <t>GC_00004577</t>
  </si>
  <si>
    <t>MYPAATPHTMTPRWHHPNHHTAAILHPHGAATQLPHETPNSAGTLMRVDTAKAQANNTPQPDNGSNPVKGVATSGGKDGGSGGVRSFPFDLKHIGNGLPVADCVDEFLRATATNPTIVVEAPPGTGKSTLIPPLLANILAARTENPANSHEAQKVVVVAPRRVAVRSAAGRLQQLHRSVIKENHPGQKQDSAAKTQATGSGSARDVGYAIRGETQAGRRVEFVTPGVLLRRLLADPELDGVGAVVLDEVHERQLDVDVLLAMLRELALLREDFLLVAMSATIDASRFASFLEAPVMSVAAATYPVEVEYAPHPGRVSGDRREFWAHVAKVAARELMADPQHSVLVFAPGVREVESVCALVDAELQNGGARAGGHGGAASLQQSGPRVVPLHGRQSSREQDAALRPGGQDGAVGRVIVATSIAESSVTVPGVRTVVDSGLARVPRQDAGRGMSGLVTLSAARSSMDQRAGRAGREAPGRVVRCMSEAEYAQAAAFNSPEISTRDLTDARLQVACWGPVEWFEAPPQVAWQQAEALLVSLGALAAKNDAGVGGGSGGDSDGSGVGGGSDADLVVTSRGRRMAAIPADPRIAEALLSLGTDAARWAAVLTAQPSGDVARWVPASAAERKRIDKTQQRFEALVRKQQISRRDQANVPAGAQTVVGKQDEQGIEVSAGLACGFAYPGQLARLIEGSDGTEYLLASGTRVRLPTGDRGFSNLVDREWLAVVEVSLSNAHNPSGRGGGSVTSVATVRSAASLSEKEALWVAEQTGMLSEEVVAEYNSTAGRLQGIRERRVGAIILNETRVQLQPDEAAQAVAAAIRTHGLALFEPLSDAAQNLRERMAFIQANQEALPGHHHGAWPDVSELNDGVGEIGGVGTVEEWLAPELQKIADGTPVKKIDLLDAFRRLLPWPQATELDTLAPERWRAPSGNTHRVDYSDPTQPKVSCKLQECFGLAESPVLCGQTVLFELLSPAGRPLAITGDLRSFWDGPYSQVRSEMRGRYPKHPWPEDPWAATATSLTKKRLEGRT</t>
  </si>
  <si>
    <t>GC_00004578</t>
  </si>
  <si>
    <t>MHTGRKIARDFDAARGSTIIPNCLFINHTLALNTFITARNITVINLHVHGFTCGKAAHLVAHRAALFYGIG</t>
  </si>
  <si>
    <t>GC_00004579</t>
  </si>
  <si>
    <t>MPTNSTNDSAHPDACTPVDAERIRAFTYKLGVTATLNGSTVAYAYPEATFGFSVLDIPQQPQQLVSEAVWSSAVPTQDAPLVLAACNEWNLHNITPALHFIEPGGDHAGYLALRMHRSAIVDAGLSDNQLGAFITTTIELGRRCCAWLETQLPNAINAADVKGQ</t>
  </si>
  <si>
    <t>GC_00004580</t>
  </si>
  <si>
    <t>PF01420.25</t>
  </si>
  <si>
    <t>Type I restriction modification DNA specificity domain</t>
  </si>
  <si>
    <t>K01154</t>
  </si>
  <si>
    <t>type I restriction enzyme, S subunit [EC:3.1.21.3]</t>
  </si>
  <si>
    <t>COG0732</t>
  </si>
  <si>
    <t>Restriction endonuclease S subunit (HsdS) (PDB:1YDX)</t>
  </si>
  <si>
    <t>MVVMPKQNVPALRLEGFSGEWELKAIGELFAERNESFPEGELLSVTLRNGIKRFQEIGRHNTSNEDKSKYKLVEVGDIAYNSMRMWQGASGVSPWKGIVSPAYTVLKPVGSQDTPFFAYYFKTPFMIQVFQLNSQGLTSDTWNLKYPALSAIDICRPQDIEEQQAIGAIFTNLDAAINQHTLKHKALQQSKTALMQRMFPQEGQTVPELRLEGFDGEWEEKRLVDEVSFFSGLTYTPSDVVEHDGTLVLRSSNVQDGVIATKDCVYVRTDAVNVQNVRKNDIIMVVRNGSRSLIGKHAVVQKPMPSTVIGAFMTGIRSDQPWFINALFDTGLFKYEVDKSMGATINQITGGMFAGMSFFFPPTLEEQQAIGAIFTKLDALIAAEAQYIKSLSQAKTALLQRMFI</t>
  </si>
  <si>
    <t>GC_00004581</t>
  </si>
  <si>
    <t>MELAFRIGLLVVLWVFVFAVLRELRRDLSGVGGAPAAPVMTARGSASALPSPSAGGVQDAATAASPSVPGSSGADVLEVIGGPAYDLSGFDQVVIGRHPECDIVISDDFASSRHARLFRRPGSRDWFVEDLNSRNGTFVGQWRVEQPERVSDVITVGQTALRMV</t>
  </si>
  <si>
    <t>GC_00004582</t>
  </si>
  <si>
    <t>MDGPAAIHDAQYASMPYVIPLNPAGPQATMVRWVDGWGVNPDHAADGTMYVLGHAWGQQRLVFNPFSEVVTAAVDLSAPAQRVPAVGGGTVGRYASDILNGSLITMTGTDGAIRRWEVDNSWLVDKYEAIDDSELVDEHAPGRIVLIACSVDGSDDLGFNVIVSGHLVDEQLPKAKTEAQPQPGGENA</t>
  </si>
  <si>
    <t>GC_00004583</t>
  </si>
  <si>
    <t>MVTVRVAVVVTVTVTGFAVGAGVLCALWQPAKNTQPNVKIAACLRMNITCFFA</t>
  </si>
  <si>
    <t>GC_00004584</t>
  </si>
  <si>
    <t>MSNDTVGTKGVIHNPIAARMVFTGSQYEHSTELHYVLMTEINEACQAISRIPLLTRQDWRALARQLAAFLSVAVLLITIPTAHAYVSPATGTSYPGQVTRPYEHPEHRYAPGHRGVDINLPALAPVVAAEDGVVAFAGVAVGVPTVSIQHADGIRTTYQPVLASVSEGQFVSSGESIGFLVTHPRHEGLHWGARIGKKDYINPLSLLKRADIRLKPIGNMPEVKHADVLD</t>
  </si>
  <si>
    <t>GC_00004585</t>
  </si>
  <si>
    <t>MGHEHELLQYYSGYYRDAWNKYSKNVNRFDLRFLEDPTTGILSFVDASSYCFQPGDIVHTLQRYDFRGAVEANYAKTAYGQNGTCAAPRTSKVAGVTVKTPTTCRWIG</t>
  </si>
  <si>
    <t>GC_00004586</t>
  </si>
  <si>
    <t>MHPPSDTHDAASTQPTHVTITYARPDDSGLRALATRAYAHDFAGALRLRRHNENTVEAFASTKLDTLVSRRFAATMDCEDTVIRAQAATQHPDEHGVFTAVTCPAAWNGPLPPQEGFTLVEDLPVDTFLQLSRDNKQQTTSDKMPTSLLNQDVITVNNDATGTQAIVANRMVLTLDAFGLLPKTTGTEGSKHYPPVVRVSVRGRWVRLDTVFASVYYNRGGHLLVL</t>
  </si>
  <si>
    <t>GC_00004587</t>
  </si>
  <si>
    <t>MEPTDTLRTLSNKALNTLSNRRTHLVPIERRLPDPQMLKDFLQLDLPLGDPRTRRLEHAAYI</t>
  </si>
  <si>
    <t>GC_00004588</t>
  </si>
  <si>
    <t>MTNSQDPQQPQQPQGPQGGSAPQPSEPAGGFDSTPSYPAYPGDAAQQSGSNNSAPYPQPGQPASVTPPTAPQQSGAGAYGEIPAYGAPVYPNYNTAPAGARVFDSVGYGFNSFFANFGPWILFSLIMFAVQIPNGVYGFVESFTRSYPEPGAEVTVADTMSVGGTIVQVITVLATFVITAIAALGAIKQVNGRKITIGEMFSGVPFGRVIGLQLLVAVVQGLAMIPLAFGLIPLAFTADDDPNGALAGIAIFFGAAAVSAILYLLISPLFSLMVYALVDENLSVGQAFKRGFNVAKNNYLKTLGFTVIIGLLNSAGALLCGFGLLLTMPAAVLASAHFWRSLIGGTTVVPEQIQ</t>
  </si>
  <si>
    <t>GC_00004589</t>
  </si>
  <si>
    <t>MGEKARNGGTLGKAPLGYLNVRARDENGREIRTIALDEERAPLIRLAFTEYATGQWTTKRLAAHLHDRGLTTVPTARKPAKAVTGAQLHRMLRHPYYKGVISFQGVEYPGAHEPLVDEETWSQVQAVLDSHRFGERDANTTTTSKRRCTAACAVPAYWCRTHATAKATCTPTSSVLGGSELTTAPSAPS</t>
  </si>
  <si>
    <t>GC_00004590</t>
  </si>
  <si>
    <t>MLIAASRGCLSCCAPKLAGMTNFDEEAPQWDTPIRLERTRALAAQMLSQMSPLPGGPDGVTVVDLGCGTGVLGSSFARGLVDARGGDCSVTVVGVDPSAQMRERASERGLLVVDSLEVAQQFAPVDVIVSSMAFHHIDDVAGALASCTALLRPGGWLFVADLDEGQEFFHAHLDTPIDGFNRDGFVEALESAGLSGVTIDDGFVGSKPDHADSTISHAYTVFLASARALAGQ</t>
  </si>
  <si>
    <t>GC_00004591</t>
  </si>
  <si>
    <t>MAKGARKPRSPKRQPRQERHIKVLICTEGAVTEPQYFEGISKPIQEIYHVTLDVIPGQHSDPVKVVEKCMEKREERENSKKNQDFPYVRCFAVVDVDHWDNPIKGKLSRLRQAILLAKENDINVLVSNIKFEVWLLWHKNTYDKSLDSKSLDRHCKNKDNKILKEGKNIVPDFPFQNWEEACKRANQHGRVKANSIGRNPSSALPRLFEALKALADQQQQQ</t>
  </si>
  <si>
    <t>GC_00004592</t>
  </si>
  <si>
    <t>PF05305.19</t>
  </si>
  <si>
    <t>Protein of unknown function (DUF732)</t>
  </si>
  <si>
    <t>MRAPKQLVRKSAGLALAGVLLAGGLVACGSATSSSDDADPAAASSSSLARADKDASEQKSGDKSQDSKAGDSAKKDHNGGAAKPAQGGAAVNDQPAEEISEVPSFKDDYSDKDHAYLDDLKDKGIDPKGIEAQLIGTASEVCRAKDAGEESFLVEPIAGQLVELGHTDLSLEDARTVITQAAQRAYC</t>
  </si>
  <si>
    <t>GC_00004593</t>
  </si>
  <si>
    <t>MCSYATRMLIVLPPSETKAFGGDASLGPLDMDRLSFPSLNAPRQGIAEALVAASADIDEALAMLKVKNPAEVEANRALFVSPTMPAITRYTGVLYDALDAASLHEQCLSRLAIGSALFGVVGAADHIPHYRLSGGTKLGGKTMKAWWGKAITQALEPVHEQGLLLDMRSGAYQSLGPVKGAATVRVETTEGKVVSHFNKHYKGELARALALHQQEAETLDDVAGVAAAAGFEVRVDGQLLTMVVDR</t>
  </si>
  <si>
    <t>GC_00004594</t>
  </si>
  <si>
    <t>MTQVSDRDSTVNLEDNPHDRALPPSTLTPLQQRLALVLFVIGFVLSGVFSLTEHWRRATFMLGLSLAWLAVVRARCDSRILGVLSVRSRKFDVLFCSGLGAVMMFLAASVDALGS</t>
  </si>
  <si>
    <t>GC_00004595</t>
  </si>
  <si>
    <t>MLTKRLFRRAGIPYEERALAAHGDVAERFIAKGATQAPIVQVMRGNHVEDEWAGFQPAKIKRWCGNG</t>
  </si>
  <si>
    <t>GC_00004596</t>
  </si>
  <si>
    <t>MQSARRKPTVVPRGVINRNTKNLPLTSEIFTDLGSGSINNGVAARPAINRAEINGTHAPLRRMHTQRPDRSIHNRAVKRPSIAAQHGF</t>
  </si>
  <si>
    <t>GC_00004597</t>
  </si>
  <si>
    <t>MSSELPFTPAFTTMATPDPVPDGANPDLYVEDRRLASTVLLLRDRVSGPGVEVYVHERANTMSRFPEATVFPGGGVDAMDLVQPHPEMWEGPGAAWWAQQLGCSQLHARALVLSAVREVFEESGFLLAVDRDGQMISDATKYAQQRAAMERHELGLADFLLSEGLRIRSTMLRPFARWQGPPPSTRQFDTFSFAVAWPQDHDVVDPSGEATSAGWFRPELLLDGWEAGLVRLVVPTWNQLRRLCEFDSVSEAMALLDNVRLQPETGLPVQDPRYLHFHAVTSAKRPKRF</t>
  </si>
  <si>
    <t>GC_00004598</t>
  </si>
  <si>
    <t>MGRIEKPSSFITVDMLKQLDPKGAEFISQEHINAAIASVRNICGWHVFPSLSDSITLTEQSGDTIILPTKSDTVVNSIEVYASLSQSEGGQIWTTRAGGEFMAFPGGIVKLVGIQLKPGYSVNVDFEHGFGTLGDSADSYPQDLISVILSMASRAAQPSGAITVGGISMGATTGITPQSHEYRILDTYKLRALP</t>
  </si>
  <si>
    <t>GC_00004599</t>
  </si>
  <si>
    <t>MKHAAGQPVFYSAAGKNVCVNVQPRDLPDNVDVVVTFEGQTRLTTGSFPQQSAPASEQQQQAWPAHNIDDDAAMANAPADSNAEQPVWEKPEQILPRRAPRIHSDPEGNKGISVAELLAREGRTPRRRTTDEALSQPEPRSEETPTAHFARVHGVSAYAAAVATETKAEEESALRAMLRHSDEEDSAHTPNTVDTIDRIEPADSADTADTADTVVATQAAGQLGATEPAGLFFGEEFLERPRVSTLPAGFEPHLMWPSALANLNRWRWAMAASFVEACAGTAMMGMHALGLGESAVYSNGMGLAGIALVAGSITQACAAELLFRPVVPDELPYPIDHTAEHPHGDVFADQDAHFGEEQWN</t>
  </si>
  <si>
    <t>GC_00004600</t>
  </si>
  <si>
    <t>K24033</t>
  </si>
  <si>
    <t>proteasome accessory factor BC</t>
  </si>
  <si>
    <t>MAEQDRFAERLTNLTFALLGANGQYVSADWVRRNVAGYQGKSDEAFQKMFKRDRNVLLKIGVPIDSRSSAQGTLYSVHKDSYELPPLELSPEEARVLALAGGMGVAGELSAFARSGWTKLASAGAARADAQPGVGAMGDAGKLSPTTLDRFLQATRSANSISFDHRGSRRRLDPWGLVSHRQRLYMVGFDLDRDAPRSFRATRVTDVTIEGPITHTLDAAEGFTPPGVAIDPSAKLAWIVDSTLRTHMSIVDATLVVRDGTAADLTRWAQRSNKADDHSPEGFSTWTVRGADRVWLCEQALAYCTSVEIIDPPELREHMRTMLQAVADAHAEPLDAPCTNAASSLEARAPQQSKVGERLSDIVRMLSLLPYFDAHPQATAFEAARDLGMTPQQVVTGLERLWCCGPGPVELIDMEQPTFRRVTITDDQGMNRPLRLTRTEAAALLLALDQLSELSGDTAAIRSAATKIRAVADWEQPLATILDRRGSSTNDADDARDLATLNIVRDALDTGYDLECDYYSASKDTTTARRLAPLHLFAVDGAAYVRAWDYDVADTRTFRISRMSHAQVGANPIDRGVIGATTAFDPARPFGFEHSEQLWPTIAHCLIEDSYTWIADFVPMNLTGQTTSAPDGSTLHCARINYTEQQWLTRFILRSGGQARVYAPDTARRQVLEHAHTALKAYTRGFEGNVNLT</t>
  </si>
  <si>
    <t>GC_00004601</t>
  </si>
  <si>
    <t>MSTSNPWIRYRDVLEVIERSTNQAMSEKLSAQSQSDWVYWDGIKENCRVMGVNVAGLAVTTPQPPTAEMIEARTLARVIDCIDAITEKALSSREEQAQAAMLLGLKNLRAELRSKQDKLLGE</t>
  </si>
  <si>
    <t>GC_00004602</t>
  </si>
  <si>
    <t>PF10825.13</t>
  </si>
  <si>
    <t>Protein of unknown function (DUF2752)</t>
  </si>
  <si>
    <t>MANPTVPGGAIPTCPSKALFGVCCPGCGTSRMIYSLTNGDIAAAIHYNAVALTFLVVLAWTWVAWVARDNGKQWAGIGQWKHAASVTLAIVVVWGVIRNLPFEPFASLWV</t>
  </si>
  <si>
    <t>GC_00004603</t>
  </si>
  <si>
    <t>MPYDVAFTRGLYSSLSDGWIYLNGQSAPQIPEKVSSAVATAFRTSAQIVDPEPVSGSHSRALQQGLLAGSHHVVSARKAIADLVGARPDCVFLGPNRESMVASFIRAMRRRVMRPGAGAVLTSSLSSSVYDVALDAVGVQGGIGAQGVQGPVDVRVALADLGSGYVDEHQFTDLVDGSTRLVVIPAAHSLVGTVTDVPAIAEIVRSKSRAWTLVDASMLAPYRPISFETLGVDALVVDCAAFGGPQVAALVLRDTSMLQRLEPVGGSLEHGALSSGLLGGVSAMVDHLASLGGELVGTRRRRLAGALEATATYVDELNEQLLFALQNLSHVHVVGVSGDAVDSPPPAGRIGRVSFVVPGVDADTVHRRLLNNGVVTEVNPPDRLLEAMGAQEAGGSVSVGLAPYNTAADITALARALASLG</t>
  </si>
  <si>
    <t>GC_00004604</t>
  </si>
  <si>
    <t>MSYAPLRPELHVTPEIGVLNAPAGVLTDGHVWHMFHQFQPQLGGPSRWAHQVSSGSPYAWDICDDVLAPSGSQSRLRAGSVVAVGDKVLLFYTAVEPNGDGENCFIDLAEISDLEETTVDVSDEASQVDQHVSFVSRLFEDQPEMAFRSPCVVEDPHGGWNMLAVSGPVDHPQLMIACSDNAYDWQLSGPLRFEGDTGTDADLVAPRIIRLKDEVVGGIWEVLVATIEHNGVDVSGYMVGKLDGTVFKVSKPFRRIDYGHDFTRPRNTNTIGSQLFETAVLFGSMNGVGRYDNPTTQLSMQSEGWANCLSLPRRTTLQDGTLYQTPMPGLAQAIEQSYRAHGWMGLIDLDATAEHTEVFRSPAASVTVDLVDAAGATAARISHTATEVMVDRSMNPKHEGDDPAVAPLDGSSPDSLTIIVDGSTVEVFADGGVATLASRVYFNGGFQSFAVKTFGSAAVERCYEVSPTQDT</t>
  </si>
  <si>
    <t>GC_00004605</t>
  </si>
  <si>
    <t>MRCIVGYEATPQGLDSLNLGIEMAKTFGYDLEIVLVLRRHDVFSAEYPPIGGVADILVTQAFKWLEGALARVPEGINARGHVFSGTSTADGLLRAREELGARIIVVGGASSSPLKRHKLGTVAHDLLFGCPVPVALAPRGYTPHPVARINCAVGTRPGSGSLVSEGLLLAGAADLPLRLVALVGEEDNGDVLARTQSVLDEARAGLNDVAEAAAASDMDAAEARRQQVEVDIAIGKSSDVNHAIENVGWDDGDILFVGSSRIEQKSSVFAGSVAMRILRFLTVPLVVVPRGYDARKRWLK</t>
  </si>
  <si>
    <t>GC_00004606</t>
  </si>
  <si>
    <t>MQRRIFGAVYVMAMGIFARWKALKAMVNDVSSPFTTGVLTEVDSTALAALSSDISREQAMAIPAICRARNLLCTTAARAILIAQKDGTPIDPQPQWINRTDGLLPPYHRMLWTIDDLLFYGASLWRVTRDFDGHILTADRVIREAWAISADDTITVGDRPASADQYVLIPGIHQGILWHGTNAMPEANALARAVTTATNTPAATLEIHYTGDRPLSQDEKQNLTAGWVAARKGKNGGVAFTSKNTEIKEHGSFAEHLLIEGRNANAIDLARLCGIPASMIDASIQGSSINYSNAGLRMAELLAFGVLPLLACVTARMGMDDVVPRGTSIGVDASEMVEFLSKLNVQDDNTSSPMPAPAQLPTEQKAQE</t>
  </si>
  <si>
    <t>GC_00004607</t>
  </si>
  <si>
    <t>MFYSDLFNDAPEPRQGARPAVARLATLPGANIIVFRFAPGQCLNDHTAAHPITVQCVRGELDFTVYTSAPGSTATTTQAFRLRPGRVIHLDAYELHRVDAVDGCDDALLLLTMLTTD</t>
  </si>
  <si>
    <t>GC_00004608</t>
  </si>
  <si>
    <t>K07101</t>
  </si>
  <si>
    <t>COG2236</t>
  </si>
  <si>
    <t>Hypoxanthine phosphoribosyltransferase (Hpt1) (PDB:2JKZ)</t>
  </si>
  <si>
    <t>MAYHADSSDLEVKEILTWEGFGVASRELAQQIVNSGFEPDIIIAVARGGLLPAGALSYAMGVKLSDAINVEFYTDVEETLPDPVLLEPLLDVDSIRNKKLLVVDDVADSGRTLALVLDLLAKEGADCRSAVLYGKSRSEISPDYVWKRTDDWIVFPWSAEKPVQAQ</t>
  </si>
  <si>
    <t>GC_00004609</t>
  </si>
  <si>
    <t>MHGAPRIFGRALGDVYDGRMSAPARLRRSPLWAWFAPPEPPEDRPLRATSTRAMLLTYPKIVLAIVILQGVINASNAVQSAIIGHATDAVFGRYDQGIGSGWQGVMDALWAAAPPMAVFLALIAVAYVAELVFDGLEGISRARTVHDLRLSLTKALIGGDTRHLKPGDVLNTTDEDTNAVGEIKEVFGFPAGMLFYLGTTVAIIFPISPAVGGVVVAGALATTVAARLTATPLTHAATQRREAETASASLATDLAQGSRVVKGLGAVDESLGRFQRTTAEVDSALLKEARINAWMSLWRQTLPAAVGAAVFGYSGWLVLQDAMSVGDFVTITLLARPAMTILGRSYGYLIFVWSRGAAATQRVRELEHAIDHPPEFGAEPSMREGVSDAHATELARGLTVLSPRSADGLLAAQQYAQAIADSSVDAIYSPHAPGVFEGSLFDNIDAGRGLTACAIDAALDVACCEDIIVRLGGRQPDGRLPDGPIGEAGLNLSGGQRQRVALARALAGSPEVLVLDEPTTGLDAVTLDRVASATALLRRNKTTIVITSSRPWEVCADNVEEF</t>
  </si>
  <si>
    <t>GC_00004610</t>
  </si>
  <si>
    <t>K10947</t>
  </si>
  <si>
    <t>PadR family transcriptional regulator</t>
  </si>
  <si>
    <t>Transcription factors&gt;&gt;&gt;Prokaryotic type&gt;&gt;&gt;Helix-turn-helix&gt;&gt;&gt;PadR family</t>
  </si>
  <si>
    <t>MASTQATSFPAEWLRGLTPLAVISVLASAPMHGYAIGQALEEASIGKVKGGTLYPILAKLEAQNIVNSEWEHADSGPGRKIFTLTEHGKQHATAMKQQWASFANSINQITNNIEG</t>
  </si>
  <si>
    <t>GC_00004611</t>
  </si>
  <si>
    <t>MLLVHAGCTFDNGAMENAQFYKSSAQGDPSAATMPLISDSFDPYEFISSVPSLLGFYPAESVVLAGFVESSPTGHSDGYGGTASTAVLGPVGRVDIDDAAGLREIAEAFSSQPCILVLAVVVSEFGDSEGARAVEALEGLYGVPIALAWTIERIEPGQTYRLLHMNRNLAVRQTPAQWRGGCLGGTLHTKALHRYAAAGVVPELSREDLYASFEPEAAAIVPPVLEHEQRLDRLEADFATGRDLDAVLSASSPRELVPDVAREFHEAVNGLDGLAQTEARLSGTHCQAYWNSWERLWKLCASDHSRDLVFYELFCEWGDDVADPVSDAPYRDALLALSRIARGSARSNALCVFAVVCIHDGLVPLATAALRVAYDNHPEHTLSRLMLAALNQGKSKELMDTLRRGVASYVEAPE</t>
  </si>
  <si>
    <t>GC_00004612</t>
  </si>
  <si>
    <t>MSEPTHDATTSTVEPAPERNTKTTLIQIGVMLATVVVVTIAFLGFRTWWKPADPEPQDVHITVATGDTTEEVAPYSVCEQGVECQEQPLTELSFGDDVTLTLPEAIYDHDWALLKIYDNPAKNDQSYYGSHEKQEITLPTHEDDAQLMVIEVSSLMIGHDDQGEETPYVVTWSISSDKA</t>
  </si>
  <si>
    <t>GC_00004613</t>
  </si>
  <si>
    <t>MVFRIVYNQVFYHFNRYLMMLSTGCDFGKIADLINVVQIMQLPPCRFWAA</t>
  </si>
  <si>
    <t>GC_00004614</t>
  </si>
  <si>
    <t>MTGIYPETSAVGAAFDIPDSYADAPWPHGVDWACAEIHGVIYALQELATAGCVMERPTMRVVNHYYSLALKISAALPDRPRCALPGHAYGYRDTLLRLVNSAPARMKELNNWLAWKATELDEMEGTR</t>
  </si>
  <si>
    <t>GC_00004615</t>
  </si>
  <si>
    <t>K05714</t>
  </si>
  <si>
    <t>2-hydroxy-6-oxonona-2,4-dienedioate hydrolase [EC:3.7.1.14]</t>
  </si>
  <si>
    <t>KEGG Orthology (KO)&gt;&gt;&gt;09100 Metabolism&gt;&gt;&gt;09105 Amino acid metabolism&gt;&gt;&gt;00360 Phenylalanine metabolism [PATH:ko00360]|Enzymes&gt;&gt;&gt;3. Hydrolases&gt;&gt;&gt;3.7  Acting on carbon-carbon bonds&gt;&gt;&gt;3.7.1  In ketonic substances&gt;&gt;&gt;3.7.1.14  2-hydroxy-6-oxonona-2,4-dienedioate hydrolase</t>
  </si>
  <si>
    <t>MNYTSTWDDLAEVAFDQGYIEAGGYRTRYLHAGTSDKPTLFMLHGITGHAEAYARNLAAHSEHFNVYAIDFIGHGYSSKPEHPLEIKHYIEQVLAIMDELGVEKAYFSGESLGGWTTARLAQLHPERVERIVLNTMGGTMANPQVMERLYTLSMQAAEDPSWERVKARLEWLMADPSMVTPDLIRTRQRIFEQPNWKMACEMNMALQDMEIRKRNMLSDDDLRQIEVPALVLWTTKDPSGPVDEGRRIADLIPNGQLAVMEECGHWPQYEDTETFNKIQLDFLLGRND</t>
  </si>
  <si>
    <t>GC_00004616</t>
  </si>
  <si>
    <t>MHEILRVAEATLAAAGVASPRHDAHTLAAHLIGTDPLTVRLMSPTDLPATFHHDYAELISRRAHREPLQHILGTAPFGPLTLTVGPGVFIPRPETEQLADWVATHLGNTPNPLIIDLCTGSGAIADYLAHARPDANIYAVELSPEALTYTHTNLDPLGVTIIAGDATNPTLLEHLNGKATAVVTNPPYVPHTTDLQPEVYADPPMAVFGGDTGMDVITRLIPTARRLLAPGGVFACEHDDTTGPDVVKLVAEAGLRQVTQHQDWAGQPRFVTAICDSTD</t>
  </si>
  <si>
    <t>GC_00004617</t>
  </si>
  <si>
    <t>MSDLYRTIQLSSQDRQLVEQYVREELRHLERDKDRTIRSLTTRRTNIEDKRRRLMHAHYEGAVPLELLKEEQTQLTAELDHIERQLTAYQADITEVRQRLTQALDLLEDCHRLYTAAPAHLKKLLNQVFFERVLVNPLVDDDGRVILPKDGTNDDGGRNATDAAAGDCPIGESDDGPLQQAAAPRLLADASSDANLAADLRRPFDWLTSRRMHNVARHRSATLLQDNTRENRDNQVDCPVTNTVCNNEALTSGGERFASSSTNPDRVTHDLGLGKAIVVPRTGFEPVLPA</t>
  </si>
  <si>
    <t>GC_00004618</t>
  </si>
  <si>
    <t>MTAPLTEIMLPGGGVLWSVTKISEYTGIPPHSFTSYVARGQAPAPTHHVERTRLWDAEAVKTWWANRPGRTGRPRKASR</t>
  </si>
  <si>
    <t>GC_00004619</t>
  </si>
  <si>
    <t>MPKVTASPESPELPRKPGLPRLSVRRLAVWGGAVLAVVVLAAALVLLVPIFKVSGFKVEGNSHTDSQAIEQATLIVPGQNLARIDASAAADRVVELPWVRQASVVRQWPSTVRVEVAEREALMYAKRSDGDHLIDSRGVAFIIDSPPTGCVEVTGTKDDDVALFRDVATVLEALSPPVREQIAQVQAPSEYALSLVTVDGRVVEWGSSANAGDKALATAAVLTQEGQQWNVSNPELVTKR</t>
  </si>
  <si>
    <t>GC_00004620</t>
  </si>
  <si>
    <t>MTSYPAVRDYAASVDALHAGSRGLYRGPAVGAAEISERFASTAGLDTNALRASGRSTRGSADMSTTKYLWPLLRPIVQIAGRELIAQGVGGIVGMVLKGLSDADEVEKDSNDAGNTIDAIEADMDAQTAFIARQLKNLIDGVVAKLSVIDPVKHPAVVAQVVEIGAGLIDQAASILLGAASDRDTALHELLEALTAKVEAIASCEQRCPAVLETDDPAVQEVTTQPAGACNTPQPVGGGSASGGGVAGGSGGGTGGGGSTPVGGAPVAPAAAGAQQAPPAQSAGQATMDSAPSGQCACAGAQHSPPCACGDMAEEQRKQSERTGLRTPVQTSAAHCDTDDTCDPKPGTPTVDAHDEDQDSARDTDEGADEGANDGQSDDSGDGDSTGAQGGLLARIFGVDFKLGDLLHKVVGTGGIGMLIAGIGQLVQYAIAHGGELVSHIQQGIGHVVNQVNQTLEAWGIGPHAAPAVAAAEPIQAPAAEHSGVDICPSAPADSAPQPVAQNVTAQATQEPVYDYPKEKTAAAQAAPAVKGIVRTGGQWT</t>
  </si>
  <si>
    <t>GC_00004621</t>
  </si>
  <si>
    <t>MFEVKSLNEKGKELGFVESENRRTYTFMRHASGRAVIVEGGGSDPAYADTVELLERTAGRTSRGDCYIDRLESLIEDIDKQLRVVCREKSRRAAMDARRLLKRRRGLCDDLKAAGGFPWEFNMNVGSVLVGAA</t>
  </si>
  <si>
    <t>GC_00004622</t>
  </si>
  <si>
    <t>PF04883.17</t>
  </si>
  <si>
    <t>Bacteriophage HK97-gp10, putative tail-component</t>
  </si>
  <si>
    <t>MASGGAAVEIHGAKELRRSLRKAGADMKQMREVNKAAGEIVARAARGKAPVSTLNKRTHLRDTIRVFATQTRARIRLGAKPVPYSAPIHWGWPKRSIKANPFVSHAAQETEPAWLRLYEHHVNKILDQIEGTSRH</t>
  </si>
  <si>
    <t>GC_00004623</t>
  </si>
  <si>
    <t>PF25310.1</t>
  </si>
  <si>
    <t>VG15 protein</t>
  </si>
  <si>
    <t>MAEDKYSLQRENEVMPRWIRAHVESILDEHGLDGVSSLWPIAVDLHRVISDNRKFSREVHIRQMEKNLSADIAANYTIQLARPRKYRLKATVDMLLDALGVKHINAWTPEEIENLDDKAAKTYLEKLSIHTVDISNPEQRKAVVDKITAGAVTHAKAAGRQVVHDTANLNMVRDRQTGKIVSQPDFDSAPGLTNEQTRRMYKVTEEDFDSFAGQDGGVVLGWARVLVGEDNCAFCAMLASRGPVYKRETVVKSKDGRRYHRHCDCKAVLVVKGKPWEGEQEYKRLKELWDRSNKEQPGTYVDGRNGEEKTEDQIKHFMRLVSEENREQRRQELWEAASKDLKKEIKRLNDTSKREYDDWVKEKLEEAEESIAAATTDEERAAARFIPRAFVPPWDIDIPEERPAGTQHWGGDYAIRYRLDVMPEENIRFEQSTVKQLEQLGYVDEVLSGLEALDDYSQRLAERKKEKQITKQAFDKWKTYEEPLVAELFRQGAREIKVLTESSNLSPEQKQRVAREIGSEVSPDLIVDAVVVELKFTTSARGRKVANLVQELTQQSAVGFVYAPNLTSSGYYELIKELRNLSGRTPRKLLRAQILTSFGILNIY</t>
  </si>
  <si>
    <t>GC_00004624</t>
  </si>
  <si>
    <t>PF04073.20</t>
  </si>
  <si>
    <t>Aminoacyl-tRNA editing domain</t>
  </si>
  <si>
    <t>K03976</t>
  </si>
  <si>
    <t>Cys-tRNA(Pro)/Cys-tRNA(Cys) deacylase [EC:3.1.1.-]</t>
  </si>
  <si>
    <t>COG2606</t>
  </si>
  <si>
    <t>Cys-tRNA(Pro) deacylase, prolyl-tRNA editing enzyme YbaK/EbsC (EbsC) (PDB:1DBU)</t>
  </si>
  <si>
    <t>Transfer RNA biogenesis&gt;&gt;&gt;Prokaryotic type&gt;&gt;&gt;Aminoacyl-tRNA synthetases (AARSs)&gt;&gt;&gt;Trans-editing factors</t>
  </si>
  <si>
    <t>MAKKRSKQSSASRAGGTAALRVLHDAAVDFEVHEFDAGKDHFGAHAAEALGELQVDPGQVFKTLVVDLTAGRGPKRSLGVACVPVECTLSLKKAAAAFQVPKVSMADPKDASRSSGYVPGGISPLGQKTPLPTVIDHSAQQWDRVYVSGGRRGLDVGLDPAVLVQLTEGSFADVSATS</t>
  </si>
  <si>
    <t>GC_00004625</t>
  </si>
  <si>
    <t>MNHSLLRPRLRRSVSRRVTGALAVLVACSGILAPAAQAEESTTAAPGGAVKGIPRSTARGAIETNGVEGPIAYSLAQAKWNEYYAGYQPLIPQGTNNPECKVTPEHPEAIIMVHGTVSSFYGDYSNMGARLAQEGWCVFGIDYGAGPRSEDGFGWTSLTESVKQLDAAIAAARATSGAQKVSLVGYSQGSALARYWANKVDKGQHTATVVGIGTPTRGATVRGLTNLIPYLPPQVRDFALSPSLLDLVAGSEFVTMLNEGGETVPGVDYVTINSNFDEVVADLELKAVQGERARNLILQDLCPNTFTDHLYITYDPLTIDTVSRVLVDPDSGAAPDRPQCQPVPLGYGIPDIAYVAYLRKLGFLPGMQAAVTYGPGQGELL</t>
  </si>
  <si>
    <t>GC_00004626</t>
  </si>
  <si>
    <t>K03380</t>
  </si>
  <si>
    <t>phenol 2-monooxygenase (NADPH) [EC:1.14.13.7]</t>
  </si>
  <si>
    <t>COG0654</t>
  </si>
  <si>
    <t>2-polyprenyl-6-methoxyphenol hydroxylase and related FAD-dependent oxidoreductases (UbiH) (PDB:1BF3)</t>
  </si>
  <si>
    <t>KEGG Orthology (KO)&gt;&gt;&gt;09100 Metabolism&gt;&gt;&gt;09111 Xenobiotics biodegradation and metabolism&gt;&gt;&gt;00627 Aminobenzoate degradation [PATH:ko00627]|KEGG Orthology (KO)&gt;&gt;&gt;09100 Metabolism&gt;&gt;&gt;09111 Xenobiotics biodegradation and metabolism&gt;&gt;&gt;00623 Toluene degradation [PATH:ko00623]|Enzymes&gt;&gt;&gt;1. Oxidoreductases&gt;&gt;&gt;1.14  Acting on paired donors, with incorporation or reduction of molecular oxygen&gt;&gt;&gt;1.14.13  With NADH or NADPH as one donor, and incorporation of one atom of oxygen into the other donor&gt;&gt;&gt;1.14.13.7  phenol 2-monooxygenase (NADPH)</t>
  </si>
  <si>
    <t>MEFHHHGYVSENPRLLPASGIGLDRPEQLPEYMDVLIVGSGPAGMIAAAQLSMYPNVHTRIIERRPHRLILGQADGIQARSVETFQAFGFADEITNEAYQITEMAFWKPAADGSDAIERTARTIDDPEGISEFPHLIVNQARVLDYFAEFMANSPSRMLPDYGWDFEDLTIHDAGEYPVEVTLRRTCDGVGEGEAEGTVKVVRAKYVVGCDGARSKVRKSIGRTLKGDAANHAWGVMDVVASTDFPDIRLKCAIQSRSGGNILHIPREGGHLFRMYVDLGIVDTADGGAIRQTRIEEIISKAQEIMKPYTLEIKDVAWHSVYEVGHRLTDKFDNCRAEDDQARVFITGDACHTHSAKAGQGMNVSMQDGFNIGWKLGQVLSGRGGDALLRTYCEERRVVAHDLITFDKEWSTLMATPSEEFEDPNFLEDFYVKTAEFPAGFMTCYTPSLVTAGDKDQTLATGFPIGKRFHSYPVDRVCDATIHELGHLHVADGRWRVYIFADGSTPADSPKVEQWSQWWMNDAASPQVTITPADGDTDAVFDTKVVYQGDHTAIEHPDVPEAFRPLVGPLKLVNYNKAFGAKVRQRSGEITDFFEARGISREGCVVVVRPDQYVAGVFALEDTTALSEFLHPIFEAS</t>
  </si>
  <si>
    <t>GC_00004627</t>
  </si>
  <si>
    <t>MFDSALRLAKVVVAQRRLSVVTAVCTLMVVAAEVYTPLLTKDVIDRAIGGSPVAPLIAALVAIAVVRFCFQFGRRYTAGRLSLSTQHLLRIDALRSVHRLDGPAARQVDSGQLMSRTISDLSTVQAILAMLPLALGSSIKMAGVIVVMLWLSPPLAAMALVSIPIIVVGAWRSRKRLFEASAAAQQQEGVVAGEVEEAVRGIRVVMAFNQQGRECERVEASSRTLYELRMVVARVMARFQPLLDQLPKLLVVANVALGGWLVHTGSITLGTFVAFASYLTTLTAISRMLSAMSLRIITSMSSVKRVFDVIDLDALLRWDDPVAPAAEGPLGVRFENVVVPTGDPSAAMSCVLPAGHWLALTGPPGSGKSALVDVLGGFQQLASGRIMLTSDSGGDVELSPAVRGDVVCVFDDPYLFSASIRDNITVGRDVTDADVERALRTASADRFVRATPDGVDTVVGESGMTLSGGQRQRLALARALVCPPRVLVLDDAVSAVDAATEQAVFSALRENYPDMTVIMVAHRESTVRWADQVIEVTQCSVGAGPSTSMSGVAAAPKTSAPTGSASDQSGGMPRRGHPAGIPKGGAPRPVVSADAADSSDIPTAADATLRALLSTVAWPLAGVVALFVLSVLGDLAFPALVRVAIDHGVAAPTEQAKSTLLWVAVGGSALVIASWAVAVASTVLSARTGEQLLLALRTRSFKHLMSLSLDYFESTRVGKVLTRMTTDIDSLSSFLRTSVAQAIVAVGTLAGVVLMLLVTDTSLALVALAIVPVMGVATIVFRRISARLYTQSREQVSGVNADFRELVANLLVTQMYRREDATLERFASESDRYRRLRLQSQTAVSVYFPGMNALSEVARAAVLGFGAVQISRGEVSAGVVISFVMYMGMLFGPIQELSQVFDSYQQSRVGLQRIQQLLSTKASVRDEGSNPNAAQCARGPLVYDDVAFSYGGARSAEAALDAINVSIKPGSTVAIVGPTGAGKSTLTKLLARFYDPVSGRVCASGAPIDGFPIDQWRQQLGYVPQEGHLFRGSIADNIAYGYPHVPQGMKAENNTPLTDTPSDDLHNRVVAAAEAVGARSTIEALPGGFDYQISNGSRLSSGQRQLIALARAEFVRPSILILDEATASLDPNTEATVVESLHTTLDNAAEGTQRTSVIIAHRLATSARADRILVVDSGRIIEDGSHSELLAQAGHYARLWQYSGTDMPQ</t>
  </si>
  <si>
    <t>GC_00004628</t>
  </si>
  <si>
    <t>MSIGWPEVIGILFLVILLFGSTKLPEAARSVGRSMRIFKSEIKEMSEDNNPNQLPASHPAQLQQPVQQPQPMQQGQPVQQAQPVEQPVQPTTNPVNPQPPQGQA</t>
  </si>
  <si>
    <t>GC_00004629</t>
  </si>
  <si>
    <t>MIQLSPARLLASDLDGTILFQRTMSNNDVASLKRWHSQEPAGSHQLVCCTGKSLAATRYCIDQFGVPWDFYVMYTGAVVCDSDYRILHASTLGNDVMLEVWEFLSRVPGIAVYATTLDTEDVSLGESLPQGVATDMIQTFVPLDLARIPEHQFVGVPIWVPAEAAQVGTDIDDLQAQILARFGDVLDCHRNQDFLDIVPKGATKGSGLRWLLDYLSTGECPGAGEGAVQGVQESAACDGGRVELLTAGDSFNDLDMHRIADISASFPHSPAEVQAATTHVVGSMAEFIDLNLKH</t>
  </si>
  <si>
    <t>GC_00004630</t>
  </si>
  <si>
    <t>Q|I|Q|Q</t>
  </si>
  <si>
    <t>Secondary metabolites biosynthesis, transport and catabolism|Lipid transport and metabolism|Secondary metabolites biosynthesis, transport and catabolism|Secondary metabolites biosynthesis, transport and catabolism</t>
  </si>
  <si>
    <t>COG1020|COG1028|COG3319|COG3321</t>
  </si>
  <si>
    <t>EntF, seryl-AMP synthase component  of non-ribosomal peptide synthetase (EntF) (PDB:5ES5)|NAD(P)-dependent dehydrogenase, short-chain alcohol dehydrogenase family (FabG) (PDB:6L1H)|Thioesterase domain of type I polyketide synthase or non-ribosomal peptide synthetase (EntF2) (PDB:5JA1)|Acyl transferase domain in polyketide synthase (PKS) enzymes (PksD) (PDB:6IYO)</t>
  </si>
  <si>
    <t>MTIATQEARNGLAPTDIAVVAAECRFPGINNIDQLHERLCAGEPVTHHDLAHTANAADKDPDFVPVGSKLDDIEMFDPDVFGMSTREAELLDPQARVLHELCLQALDSAGHGFGRGIDNVGVILGGTHSAFLHALFPDFAPLGGANPVETMEVSLGTYLDYLANSVAHRLSLTGPAFTVQTACSTSLVAVHLGISQLLAQESDMVLVGGATVHTPQESGYTYVPDGPFSEDGLTCPYSESASGAVFTQGAGVVALRRAHDAVADGDPILAIIRGSAVNNDGGRSAGLVAPSAAAHAEVIHQAQAMADVEPQDISYLEGHGTGTKVGDPLEISAMVEVFGHSATPWCTVGSCKSVLGHTEAAAGIASLMAVIGSLRHRRIPGTVGSRKPSSAIDLHGSSLQLAHETMAWQGINGRRIAGISSLGFGGTNCHVIVEEAPQMSLPNSHRRATPAVLNLSAATKKSALAMTKAMSAWARENSEFLDDAAWTLTHGRKQMPWRAALAVSADGETIEVAPPRTATKPAGLIFAFPGGGAQRAGMLQALVERNETCRQLLDDIAEEFGKHVSGDIRSICAPEFYGLDSVAADDPELGLPALVAAEIVCARVLIAAGVRPDAMLGHSTGEYAAAVISGSLGLENVAPIIAARSRALAHAVPGAMIRIRGNQERVSAVLSRHRNAEISAYNSPRSTVVSADHQTVNHIAQELGDDATIVPVAVAAHSSFVDEVVPIVSQAAESLAAREPETPVFSPSLGRQVSRNDLSSQDFWAKHVRRPVQFHQTLTSAVEYCSDSVVVVNVGPGASMSALAREAGLPAITATVTVADDRGNISESSMLAAVAEVSASGVPCQSPEPDSPRRVALPPYPFDRRHFWPKQSPRQATRQEMELTHRLHELRLAPSTTAAVEELTVVELSCSSSTEAAIHRAARNAVHEMISWLSSNTEPKGIVAVHCPNWDIAKVCGAAIYSVTAETGIRAVAYCGDVSHHDIVSAAAQSATAVRGDATGAYVEQPFPVSLAGSSSWPDPDTVVILGGSGRVGQALSRHFEKKGIKVVVGTRQEGPGHVTPTSAIDIERLLRESGCGRRGAVIVATGVVGEKAFAESQLTDFDTVTSHFEAKTDVVAAVSEACTRMEGDAPGRVLVMSSMAAHVGGVGLAAYAASNRAAECVTPPKTHTAWMTVASDGWQTGRVNSFGNRLLDNALEEHEAVECVSKLLSAPVEGTTLLTRKDIASLRRATRPDSSSAESSMASEQNSDLSARLRSLWKQTLGIEDIDVDTADFFSLGGSSLQATRLLAEVRRECGIDMRLRDLLADPSFSGMLSRVVPEAKYAPPSEDKTADSLDIKTPAEPEQWPLTPVQRAYLIGRQHSFGANSNPCHSFVETLIDAVDVDRLGQAMTTVISRHPMLRAIVTEDGHRAINPDPYVVPVVDCRNHADPEQALGRWRARYSTRTAPASQWPLVTVAAAIAPDGVHLGFSIDVLVCDASSFGLFFDELSKAYAGIPLPAAPTRNFAEHCRAVADGQRVSPTDRQFWEERAQMLPLAPNLGALPVNNETFDRVTWRLDEELDSQIHSRARALKVTPTVLFLTAYARTLAEHVGAEDMTVMLTVFDRPQGFEQVIGDFTTLVPCALHVGEHPDEDIRGIGESLFEVLDHTTVAGPEIVSKRSAYDGEPFRLPVVFTSTLGTQVDGGESEYRLGDLVWGASQTPQVSLDHQVYQWRGRLVAQFDGANSIFGVEGMNAFVSSYKKHLRALLPEQEMEADAGVDSMPSITDVSQSTAEEICSVWRGILGDVDIEPNSTWSALGGDSLDAIRVVAALRREGIASDIDEILGGITPAALAGRTISKRSFELVRHAEGEPFPLTPLQQAYLVGSQGGWSFSHDSAHFYVDYYDPDATGESLTRAVAALIRHQPMLRAVITDDGQQVILHEDDLALANLPISVEDLSQHSEEAVEEAIEDIRRTWPHEPIDPHQWPNFRILAQMLPHGGARVHVQASLLFVDGWSFYLFFDQLFAFADNPNMVIPAPSLTFADYQVSVAQEEQEKREHDAAWWRERLDLLPPPVQLPLQGTEGRGMRRDCARVSAKRAEEFFQRCREEETTPTAVIGGAWAQAVCELSGCEELLMTVLYFNRRPLAEDIDRVLGPFATTSLVHCNPRSWGDALYEGFAEQLAITLAHSAITGVEVARMLSRHRGSQEVVSPVVYTSTLGFGDGAKDATTARIDESDVYERVVTPQVLLDLQASMENGSIAINLDSPMGAFAEDATASLLAFVVEHVDAFIDNRSPQVVLDSSLAAPAKTERNDALDALPWSKKVCSPVSLDAVTQEFSRALSHDVDDTAHFYEAGGDSLSMVRVIAGLRSRHGLSITPEEFLAQPTPSGVAAVARPQLDPDVHVLPLSDGTGEPLYLLHPSGGDVLCYMALARAIAPRPVYALADPGLDGTPMPVDLESVARCYGDVIVAHRAKLGHEGRHGLHGFGYGLFLGGWSMGGTVAQLLARTLIERGIDVRGLLLVDSNSPDRIRELTGLAETEVDAEFARRYVRSLQAFSRLAIEDSAIAAGDPVEAVSEVLTRQGLDMGDIDNRLGVFTRHLAGLARLTAQPLANVPTLLAVAGQRSPANSGVGMGVDDAVDDEFLGWGSNLPEETTVVVVPGHHYTVLSEPGLSGISERLVEMLDTIESTMGDRK</t>
  </si>
  <si>
    <t>GC_00004631</t>
  </si>
  <si>
    <t>PF12869.13</t>
  </si>
  <si>
    <t>tRNA_anti-like</t>
  </si>
  <si>
    <t>MSQENPPTQPNPEQQVVYVQAPKAPWYKRPGCLIPLVLGILLLLGIGGCMAAIGNSVSDSVASSSSSSSSAEAVADDSPAIAISAVDYVAAYDTNEIAADKEYKGKKLEVTGTVDSVNETFGSYHLTLDGPSDGIASVSCRLEDSELDRAGSLTPGGTATVTGIGDGFDGFNAFVKNCTIQ</t>
  </si>
  <si>
    <t>GC_00004632</t>
  </si>
  <si>
    <t>MNRFLWGLLGFAVVATICAIGAFGFVVFQNKPGSTADKASATMTTTVTSTASSIAQKPTPQQTTSTTTAPKKDSGRPSNLSDHGWSGYPGASCNSNDTWVFAAEGHGNYMTICRVGQSGGLYYRGYFDGGSWEADVSYSDLGSSTFEVPAYPAVFHISPNGLAVSGPDPLYYEFEASFTA</t>
  </si>
  <si>
    <t>GC_00004633</t>
  </si>
  <si>
    <t>COG4430</t>
  </si>
  <si>
    <t>Uncharacterized conserved protein YdeI, YjbR/CyaY-like superfamily, DUF1801 family (YdeI)</t>
  </si>
  <si>
    <t>MKLNGSHENLNVISFETRNDLHEWLLENEKTSDGIWVRIFKTKSKVKSVTFHEVLEEGLCFGWSESSRHSYDDLSYLQKFTPRKGKKTQSERNLKLVKKLEGEKRMRPSGYLALGLENKSGKDDS</t>
  </si>
  <si>
    <t>GC_00004634</t>
  </si>
  <si>
    <t>MEQHTQAPVVGIIGAGLAGLVAAYETHKLLPQATIKIYEAEDRIGGKLRTVAFEHGPVDMGAEAYLAKAQHATDFFTELGLADRLREPSGMPSMLYLPDGNGELKPLPRGTLMGIPAAAESVAHLVDEATARRIDGDHPVTWQAPTGLTQADASVADLVREVHGDQVLQRIVEPLLGGVYASSPELIGVRAALPRLAEQFDAMVAAGQTPRLTSAVKTVLTNNQSTYVADTDQPGAPKKPVFSTFVGGYADLYETLAEQSGAEIYSDAFISDINPAQNAQQGSGQWTIRGQGINDTVDALILAVPAPTAAALCSRSGVEALHQAATHLRTIPVASSTVVGLRLPEGGLPDYSGILVSRADNPTVQAKAFTFSSKKWPHIGSRPGDLVRVSYGRLDNTNPLAALTDIARADEDTLVDAALDDLHAVCGLDARTAGVEEIFVQRWYGGLPCYQVGHAERIATIDTSLQPLGTIALTGAWKHGVGVPAIIEDAQHAAHHTTRALTKS</t>
  </si>
  <si>
    <t>GC_00004635</t>
  </si>
  <si>
    <t>MKLALNFTAASDRGLVRQNNEDSAYASPRLLVLADGMGGHAAGEVASQLMVTEFRDLDASVVAGDAGVVSPELLADTAAAGNQAIAEEVRVRPETEGMGTTLTAVSFDGVQLHWCHVGDSRGYVLRDGVLQQVTVDDTFVQSLVDKGELDPEDVSTHPQRSLILKACTGRPVEPTVWSSEARSGDRVLLCSDGLSDPVSFSTIEEALGVGDPAQAARKLIDLALRSGGPDNVTVVVADVVGLDSDDAAGGVEAAALPVDPVVAGALNAGVEDPRPDTAAGRAALIRTIEPAEQPSGRAKTGFFKRLRVWPLIVSLLVVIALVVAAGWVNHASKNNFFVSVDGDRVIVEQGFKSSVVGIDLHKPFQKACLSEQKRVSVVSLEEDSRACVPFTVNALPESVRSSIEGLPESGYDDVLGQLQRLGSEALPVCVKRDSAASGSGDLNSPGKNCREVG</t>
  </si>
  <si>
    <t>GC_00004636</t>
  </si>
  <si>
    <t>MPTHNTMIHITMMPIRAPLSSNLRKADDQNEALPRIGQKQDKNKPSQPPRLQPETYRELLEQEYSVAAAQRDGLIDLHGELRNLQESGAPIDWSIFHPAALARISEMAAQFPDATGHSVMTMPASSPEEAERAGAMFREVVDAPRMGPEEPWIANEHGVIAVIHTRKTMDDALQS</t>
  </si>
  <si>
    <t>GC_00004637</t>
  </si>
  <si>
    <t>MGLGYGIGAGYGLSNSNGENQCQPLKQTKPLGLTSKTQRLRCGAQGARVELIPAQDHLLLVALSA</t>
  </si>
  <si>
    <t>GC_00004638</t>
  </si>
  <si>
    <t>MQRTRRRNIPCAVGWLAVVGAKMCATWSVGAAFSQVVFLGGGKMHTFWVGGHLTIYFPRSPRKGGRPTQYLCIPTSSGSPITPAKGSVPPKRPAASLIKARARAKTPQALAATSPDVLRLPVGLVCPAHMPNLNVNSYFVVGPSPNGVRPLLLAASLTATERLKR</t>
  </si>
  <si>
    <t>GC_00004639</t>
  </si>
  <si>
    <t>MGACTTTCTGAGATDESEVWEKIVKKTAPIPTTKTKRGTLNTETELLPSTDFARVTDTRTPAASSSSVVEKRLETAPLVEALGGLLNILIEIAFCS</t>
  </si>
  <si>
    <t>GC_00004640</t>
  </si>
  <si>
    <t>PF04555.19</t>
  </si>
  <si>
    <t>Restriction endonuclease XhoI</t>
  </si>
  <si>
    <t>MSIELGDLDQNIKKAVRIFWRSRMLAAEKQKQTGAIDQGERAGVTAGKNMDGFVKLLVDLVAANGLPEAEIYVSAGVSTLPGYFRPTKNWDLLVIHQGVLIAAVELKSQVGPSFGNNFNNRSEEAIGSAIDFWTALRDGAITGQQRPFLGWLILVEDTEKSRKPVAVKEPHFPVPAELKNTSYLERYDYLCHKLMSENLYTKAAVVTSRREDGVNGEYGEMSQLTSMKEFAAAFAEHIAHIAAEATAL</t>
  </si>
  <si>
    <t>GC_00004641</t>
  </si>
  <si>
    <t>PF01964.24</t>
  </si>
  <si>
    <t>Radical SAM ThiC family</t>
  </si>
  <si>
    <t>K03147</t>
  </si>
  <si>
    <t>phosphomethylpyrimidine synthase [EC:4.1.99.17]</t>
  </si>
  <si>
    <t>COG0422</t>
  </si>
  <si>
    <t>4-amino-2-methyl-5-hydroxymethylpyrimidine (HMP) synthase ThiC (ThiC) (PDB:3EPN) (PUBMED:15326535)</t>
  </si>
  <si>
    <t>M00127|M00895|M00896|M00897</t>
  </si>
  <si>
    <t>Thiamine biosynthesis, prokaryotes, AIR (+ DXP/tyrosine) =&gt; TMP/TPP|Thiamine biosynthesis, prokaryotes, AIR (+ DXP/glycine) =&gt; TMP/TPP|Thiamine biosynthesis, archaea, AIR (+ NAD+) =&gt; TMP/TPP|Thiamine biosynthesis, plants, AIR (+ NAD+) =&gt; TMP/thiamine/TPP</t>
  </si>
  <si>
    <t>KEGG Orthology (KO)&gt;&gt;&gt;09100 Metabolism&gt;&gt;&gt;09108 Metabolism of cofactors and vitamins&gt;&gt;&gt;00730 Thiamine metabolism [PATH:ko00730]|Enzymes&gt;&gt;&gt;4. Lyases&gt;&gt;&gt;4.1  Carbon-carbon lyases&gt;&gt;&gt;4.1.99  Other carbon-carbon lyases&gt;&gt;&gt;4.1.99.17  phosphomethylpyrimidine synthase</t>
  </si>
  <si>
    <t>MSSRTPKTKQSTKSAPPAPGQLTTGPIYRSHKIYNQVDFEGLTLNILARRIDLTNGEHFDVYDTSGPYTLENPQLDLHTGLEKVRDSWPKPAPAPASNEHPELKVPTQLAWARAGIITPEMAFCAAREGFTPEEVREEVAAGRAVICANHKHPEIEPMIIGKKFAVKINANIGNSVVTSSIAEEVEKMVWATRWGADTIMDLSTGADIHETREWILRNSPVPVGTVPIYQALEKVNGDPTKLTWEIYKDTIIEQCEQGVDYMTVHAGVLLRYIPLAAHRVTGIVSRGGSIMAAWCLKEHRESFLYTEFAELCDILASYDVTFSLGDGLRPGSIADANDEAQLAELRTLGELTLIARSRGCQVMIEGPGHVPMHKIAVNVEWEEEWCHDAPFYTLGPLATDIAPGYDHITSAIGAAIIGQAGTAMLCYVTPKEHLGLPNRDDVKTGVITYKIAAHAADLGKGHPRAQERDDALSKARFEFRWHDQFALALDPDTAIEFHDETLPAEPAKTAHFCSMCGPKFCSMRISQDVRDYAAEHGLDSVEAIEAGMREKSEEFEAKGGTVYVPLTSLKTQTTPPVGN</t>
  </si>
  <si>
    <t>GC_00004642</t>
  </si>
  <si>
    <t>MLTLPAMTLPSMLMFILVTVPYTVAFWGAAIAGIAGAFTAATTRDDAFPAADRQPKWIWVGLLSVASILCWAGSTFLAVVGAVIICIYWCDVRPQIRLLIG</t>
  </si>
  <si>
    <t>GC_00004643</t>
  </si>
  <si>
    <t>PF09348.15</t>
  </si>
  <si>
    <t>Domain of unknown function (DUF1990)</t>
  </si>
  <si>
    <t>MAPLPPSLSYPESLRGSALSLLKKALGIEAKSVSSSTSRTQLPSGFLTLKHSKMLGYGPQRWEEAVRNIFSWRMHNSLPLLRADATELSEDSSGRIVDLHIGPVHAECIILDVERIEHRWACFSYGTTNKHPEQGEECFAVSMDKRGAVRGYVYAVSKPKRLIGYLGVPAQHLAAKLYLQGM</t>
  </si>
  <si>
    <t>GC_00004644</t>
  </si>
  <si>
    <t>MDYRELAAKQHGFLLHNQLTEEEYNEAVETGFIITPPLDDDQALMEYVHYTELTMLPEYGGIADKYYQEWLITFPTIPPEERQPTPYFAGRRALDMHRFLTGWSTAPLLMITPPELMPHINKKFGYTYVMNENISPDDWVLVNDIPLENIIPAMRKYYEYADMDDFEGCVDIAFGAYHRGYSWDEIAWAVEPAAGVWYSPKTGKQPTNGKELLEVFFEEYTPAPRSTDNEPKE</t>
  </si>
  <si>
    <t>GC_00004645</t>
  </si>
  <si>
    <t>MRTLTIDVKDVGGTASIGDSVVIRSPAVRASETSGRLVSPTPIVVALNNGVGEAQVEPGPLLVQFRCRNVSNTEPIEATVPAGTGRITLRELIEQHIKYEPAVIRGAQKAERDAKESADRASGSASSAGSNATRAEKAARSAEGSASTASGAASTASQHASAVESARQHIDQQLKNADAARSDMNAAATVFKSWDAKYQWLRDNFSTLSNTVNSIMTSAASTLRSEVQGLKEAAERYKNEAGTHAQRAQVAANSAANAATAAVTNEINKLKGNAPAAFDTLEEIANRVKAGGSLEGELLNKLATKASQADFQNLLDRMNKLNIGSISGLSQAISGFISNQDVSITGTPYKIARRNGNGNLLVNPTTFYDNDNVAVSKGYVDQGGITALYSHGSIQVRRAGRMVTITTNSSNSNSGASLSDITNLTLPEWARPHSIIHVAPVNMSGELFINPSGEITEYSMRSSGIRFSVTYIA</t>
  </si>
  <si>
    <t>GC_00004646</t>
  </si>
  <si>
    <t>MNILECITITDFSRVLAGPDCSMWLADLGATVLKIESPQGDDTRHWKPPTFNDTSTYYLSVNRNKQSILPDLNNPDDLKHAHRIVEQSDVLIENFKPGGLKKFGLHHSQTLARHPQLIHAQISGFDSEEGAHLPGYDLLVQALSGFMHVTGDPDGPPQRGGVAIFDVVAGLNMATAICAALYERERSGQGQHIEVDLLTSELSALVNQTSGAITCGNDPTRSHPHRARRRATRPSTRARSRDNHRRHPPDAQPRTFSRTPVSYRNAPPTLGQHNP</t>
  </si>
  <si>
    <t>GC_00004647</t>
  </si>
  <si>
    <t>MTTPSANPFDPNYIGGSNQNGPQGLGEGATCPTGSQQNYPVQQSYQQQSYQQRSYPQPAFQQQAPMLAQYNQPAMYTGGVMPGLQPKSYAVAALLCFFLGEFGGHDFYLGYNGRAVFKLLLFFSWLIPFVDFLTIPLLLIWVLVDFICILARAGAYHVDARGMRLN</t>
  </si>
  <si>
    <t>GC_00004648</t>
  </si>
  <si>
    <t>PF00850.24</t>
  </si>
  <si>
    <t>Histone deacetylase domain</t>
  </si>
  <si>
    <t>K04768</t>
  </si>
  <si>
    <t>acetoin utilization protein AcuC</t>
  </si>
  <si>
    <t>COG0123</t>
  </si>
  <si>
    <t>Acetoin utilization deacetylase AcuC or a related deacetylase (AcuC) (PDB:1C3P)</t>
  </si>
  <si>
    <t>MNTRPLVLHDDTLERYSFGPEHPMGPDRVRLAMKLSEHFDLLDRVDIAPAPAASEDLLLRIHTPEYLEALKEGRPRPEFGIGDDDHPLAPNLHTIARHVVSGTVEATRAVWEGEVKRAVNLSGGLHHAGPSKQSGFCTFNDAAVAISWLLDHGATRIAYVDLDAHHGDGVEQAFWDDPRVLTISVHESGLYLFPGTGFANDIGGPHAAGTAVNVAMPKGTSDIDWLYAVHGIVPPLLQKFRPEIVITQHGADAHRRDPLTDLDVSVDALAKAYRSMSRWADRFCGGKWVAIGGGGYQRDSVARTWTHLVAAILGEKLDPEAPMPGWWADEARCETSDTIGDIGARNVLKEYHPERVLSDNPCGPIVATSRAIFPYWGLVPYH</t>
  </si>
  <si>
    <t>GC_00004649</t>
  </si>
  <si>
    <t>MVIVVLCIYGTKRLQLRSLQLSSDDELYRVPYGVKFLPDILNYGAKVIYNKQIYEVSSVVVMVIDCKRWLFYRLRSCDDGGKAALSVTTRDGKLRLCWWWGDENKQRRAMNDSKKRSALIKKFGGGRYARETWGDKRFISLGSTECPPYAVCRHELLERVPLLSKVADSPRWLLSLSWDRPGKNFKEMFISECMGMDDVVIRPSAVQRPGIEPGKLSKAIICLEKINFASKVLVFTAMVALLYYLELIPEWLIEDLIWFVEEILSEE</t>
  </si>
  <si>
    <t>GC_00004650</t>
  </si>
  <si>
    <t>MGHNIGVVGVVLLLRRGFIAFATVNQVSDESEVQQEEQEWWQAPGMPWKDKPGKADIWCLSLFGIVFVISLLLLPIRAWALADQARYPWGVALLGSNTLVTALGVVNGVGAALPFVWPILLGGIARIKFHALYWWAGSLWGRGYLDMYAEQSKRAARNVTKVERIAKKIGPWGFALSYLPIPLPIGLVVFILAGAEGMKLRTFLILDFIAATLWMVPFYYLGHSLGEPAQEVLEVYAKFANYVVIALMVFVFVGIFRKQSKQKAA</t>
  </si>
  <si>
    <t>GC_00004651</t>
  </si>
  <si>
    <t>MLDPSRIPRVLEELRDTWEGQPRLSLPALFGALELRGIGWTSTDEELIQALQDLRATYPSRISQIEPGTCVRVQTDGSVVYIDHRDVITLPGGEVRPSVWHYASIDVCEVGRPLRLTTADGVNARLGVVEALNPMTIPRAGLSLNSTEGAAQPQPWFAADIDPHGVRLLIDIESEDSHPHAAPSAAETTSDRSIGDARDQARECRCMLGHDIHTWVQGRRETQHASRGWDRIGPVALNRLVIVDGRSLGRARAVWVLPQFSDLIW</t>
  </si>
  <si>
    <t>GC_00004652</t>
  </si>
  <si>
    <t>MQATHSTDSLAPLNVIPAHPAQLFTKPVFAAGAVLFRQGRVAVVHRPRYDDWSLPKGKVDPGESLPETAVREIKEETGFDVTLGGLLGHVSYPLGKRTKVVYYFTADAPEGEFEPNNECDQLLWLSPEEATARVSYPMDKDIIERAVKRTAHPVDARVLLVRHAHAHPRRTWTGDDSMRPLDKKGRRQADALVRVLDVYNPTGLYTASPDRCMTTIRPFAMATMMDLTIEPAFDDDTYATDPRAATKALSTIVSSGGTTVVCSQGLVIPELLGSLDESLRGASAKKASVWVLDFHKGSLVAADYIESPLPVK</t>
  </si>
  <si>
    <t>GC_00004653</t>
  </si>
  <si>
    <t>MPEALSPDVFSSGDATVPVEQIHEVLRRVELTDGVASFSEQFVRELDERRGNATVYVLSTQGRVIAAAVVMEDGNTEVVLDPQFSDDAATLTEALIAPHSGGLKLWAHGDIGPVRALAQEKGLEPSRTLLVMSLPGAAAVELPSPEFPEGGYELLNLEQSVQRYGRDVIMKQWLDVNNQAFSWHPEQGGWDEQQLEQAMDTEWFNPDDVLMLWQDATLVGFHWLKRHSDHRAEVYVVGLADAARGKGLGTPLLTAGIAHMVGGDPMVETILYVEQDNKAAVKAYENLGFEVIERHVVYPYQSV</t>
  </si>
  <si>
    <t>GC_00004654</t>
  </si>
  <si>
    <t>MELALLGASGLVCLLLLIRCVQVFHLHSSALVEVDAGHGGVITRVANPVEYAARARRWRGAAYGWVVVTALAVVLGVVGSHGWFIPALVGLVAATYCVQISRRLSEFTF</t>
  </si>
  <si>
    <t>GC_00004655</t>
  </si>
  <si>
    <t>MTHVEPPPPGDSLYPVPTAPPTYHLEQQRRPKSHGRLYSLLDGAFVAVGLILTFYFAFALLTSGLSFSWHGITLLVAFWGVLAYVALPRLHQLLTTFYLPDYFLARTKTGDGLLGDPVNLAIMGSEEDVHYAMRAAGWIQADPITLRSSLGIIKSSLMKTSYPEAPVSNLYLFERTQNFAYQQEVDGNAAQRHHVRFWKAPEGWELPGGQSVDWMAAGTYDVRVGLSSWTLQITHKIDANIDAERDYIIDTVRYCDPATRVDILPRFTPAFHDKNGGGDAVHTDGNMPILDLRGAAQRSNQAQVREHTAMPSVVLPQTEQQLDKELPPKGLAMAGLLIAIKSVLALGAIGVAAFGTHSLTAIDNVPVFAATAFTLEVAFTALMLLAWWSTVRKSKVARLLLLVVVLFTAAVEFSGISLSTHPSLLTFSNTGLTLLILLSLTAPEVRQWVSSQHQSASN</t>
  </si>
  <si>
    <t>GC_00004656</t>
  </si>
  <si>
    <t>MNLSAKRTSWLVIAVFVLGVGALFSLVSGSESVGAARRRIVRAKALFGRGKVKAKLREHFLERHVSAENIDVALAKVRKLSKASAVPPLQIVLEVVERSLHENLTHAAFGALVAERVNEINKALGVRPARPRRHLQLCAQDAHGGKAPTGIMDRT</t>
  </si>
  <si>
    <t>GC_00004657</t>
  </si>
  <si>
    <t>PF03239.20</t>
  </si>
  <si>
    <t>Iron permease FTR1 family</t>
  </si>
  <si>
    <t>K07243</t>
  </si>
  <si>
    <t>high-affinity iron transporter</t>
  </si>
  <si>
    <t>COG0672</t>
  </si>
  <si>
    <t>High-affinity Fe2+/Pb2+ permease (FTR1)</t>
  </si>
  <si>
    <t>MFVANALIGLREGLEASMIVMILVAFLVKGDRRQQLKWVWLGVAAALATTTAVFVIIQFGTKTLTSTGQELVGGIASLIAVGLVTWLLLWMRTASATISAELQGKLDKAVAIGPFAVVLVAFTAVVREGIETALLVFDSFTGGTLATPFLGLMTGIVASVVLAMLMYRGAIRINLSVFFRVTGILLIVVAAGILRYGITDLQEAGVVPGLGNLAFDISHVLVPGTPVATLVEGIFNLVPAPTTASMIGWVIYLIVALALFLRPVAPPKAVSTSAPHAGEHHRVT</t>
  </si>
  <si>
    <t>GC_00004658</t>
  </si>
  <si>
    <t>MVDKNPFFGEEIGKILADSLPDSRVTHMHTIPPRAASYAPWPEWADDAPWLKDIVDGNQLYTHQAQFAEAAFNGRDVIISTGTSSGKSLAYLLPVLCTLSVDKHACAIYLSPTKSLGADQLRKLNRINAPGVVVALYDGDTPAHTRSTIRNEARFILSNPDMLHMILGNHEKWARLLRNLRFVIIDEAHVYRGLFGANVSWLIRRLLRVCRRYGSSPVLLFASATINGPAEHAERLGGRDVLAIEEDHSPQGPRTIMLWEPGLKDDQAGTPGVGELVSQRISASADAARLMATAVDEGARTLCFTRSRRQAEQVALHVQELTDAPVASYRAGYLPEERRALERALDEGQLMGVAATNALELGIDLGGLDIVVCAGYPGTVASFWQQAGRAGRRGQGSLVVLVARDDPMDMFMVHHPDRLLGTPVERSVFNPLNPFILKGHLWCAAGEVPLSLEEAAEFPDVIDELAAEGLLVRRSRGVFAREPGAHGHVQMRGQSSQVLIVEDTGRVLGTVDSGRAPAQVHPGAVYVHRGETFVVDSLDLDEGLAMVHAQCPEWTTFARSTTDIRIIDPPEQVAVSTPAPGVELACVNVEVTDRVVGYVRKLRDGSGVIPAPNGSQMIALDMPPSTVSTRAVVYTIDPGLLAALPDIPGALHAAEHAAIGLLPLIATCDRWDIGGVSTAVHADTGMPTVFVYDGHAGGAGFSDAGHERFREWISATLERVEHCDCSAGCPSCIQSPKCGNGNQPLHKAGAIFVLRLLLGLPATVPAKS</t>
  </si>
  <si>
    <t>GC_00004659</t>
  </si>
  <si>
    <t>MSRSKSSFGNVRKIGKLWYAKYFHQGRSHTPGHSFRAKAAAQAWLSSEWRLIELDEWTPPAHRAQQAEYGNVTVGEWLEQFHAALAARVRASTLQNYTRVARLRILDADGKAGKLKGIPLAALTSADVHAWWDAVCAAFPGAETTNQAAYKRLRAACAEAVERGLIPTNPVNVRAARRRPATKVKKMPDDAELRAIYDEMGDRCKLVTALCLFHGVRVGEALALKRRHVVVKGGKIVIKIRGNVQRITKDGHVEMVLQPPKSSAGRRDVPILAEFAPLVIDHLKRFTGPKADDWVTPTSNGGVMFDTSYRSIFIRARARAGVRDDITPHHGRNWLITRLLEQGATVKEVGALLGQDDVATILGVYARVSDGRPAALMEGVGKALTG</t>
  </si>
  <si>
    <t>GC_00004660</t>
  </si>
  <si>
    <t>PF14525.12</t>
  </si>
  <si>
    <t>AraC-binding-like domain</t>
  </si>
  <si>
    <t>K14063</t>
  </si>
  <si>
    <t>AraC family transcriptional regulator, positive regulator of tynA and feaB</t>
  </si>
  <si>
    <t>MAAEALQRQVDTYRSAVLRGFLPMEFEAAHPESFVGAIDGATVGKISFHHITAGPHVVTRTARHVRSDDPRCLKVSVQLAGSTSVEQGGLRSVSVPGDIVVYDTSREYEVVFEEESEILVMQVERGHVGVGDDLLEGVLSRTIDGAAGHAAPASAFLSSLAGSLHALTQPTGQHYAIAGARMIGPLLAAAAAEDGAILSEQARVLAKIDAYIDDNLHEDTLGPNTIAAANFISVRHLHGLFRSRGVTVCQLIKEKRLRAALHMLNDPALDHVSIGAIGSRVGIHSPAQFSRAFKGRYGYTPKVARAGRIGHA</t>
  </si>
  <si>
    <t>GC_00004661</t>
  </si>
  <si>
    <t>V|O</t>
  </si>
  <si>
    <t>Defense mechanisms|Posttranslational modification, protein turnover, chaperones</t>
  </si>
  <si>
    <t>K03427</t>
  </si>
  <si>
    <t>type I restriction enzyme M protein [EC:2.1.1.72]</t>
  </si>
  <si>
    <t>COG0286|COG1382</t>
  </si>
  <si>
    <t>Type I restriction-modification system, DNA methylase subunit (HsdM) (PDB:2AR0) (PUBMED:26872910)|Prefoldin, chaperonin cofactor (GimC) (PDB:1FXK)</t>
  </si>
  <si>
    <t>Enzymes&gt;&gt;&gt;2. Transferases&gt;&gt;&gt;2.1  Transferring one-carbon groups&gt;&gt;&gt;2.1.1  Methyltransferases&gt;&gt;&gt;2.1.1.72  site-specific DNA-methyltransferase (adenine-specific)|Prokaryotic defense system&gt;&gt;&gt;Restriction and modification system (R-M system)&gt;&gt;&gt;Type I R-M system</t>
  </si>
  <si>
    <t>MNKQELASRIWESANNMRSKIEANEYKDYILGFIFYKFLSDQVEQFLLRNDAEPEDLPDALVETDTDTVSLVRNNLGYFLTYENLYSTWRDMGNDFSIAHVREGLATFKRNIAPERKHVFEDIFNTLETGLSKLGTTDTARTAAIKKLLELIDDIPTDGKQGYDVLGYIYEYLIEKFAANAGKKAGEFYTPHEVSLIMSNIVADHLKGREEIQIYDPTSGSGSLLLNIGQAVAKRMGDPSRIKYFAQELRENTYNLTRMNLVMRGVKADNIVARNGDSLAHDWPMFDESDPVQTYQPLYVDAVVSNPPYSQKWEPEGNEADPRFSRFGLAPKNKADYAFLLHELFHVKPDGILTIVLPHGVLFRGGSEAEIRRNLIEANHIDAVIGLPSNIFYGTGIATIILVLKQDRDRDDVLFIDASQGFVKQGKYNHLRARDIQRIVDTVHNREDVPHFAKVVTRDEIRANDHNLNIPRYVSATLPPEAVDLYATMHGGIPVSEIDTLEHYWTALPGLREALFTEHANGYAELNTTNLREAVDQHPAAQALRDQVNAALSDLPEKLHALLVDSSATVPLNTTEDQLKTDLFDRLDPVPLVDAYEGYQVLHDSWINTAADLEVIQTEGLDAVRVNDPVMEMKTRKGKKEEVQVGWEGRIAPNELVQELYLPQLKDQVTQLSRELDTAVSELTQLIEGLSEDDKTDLAEVLNEKQDAFATAALKKAIKELPKLPKGQAWPEGSVETVMLSAKALIEQRDTLKKDLKVAQQQLEADTYATIEALTDVQVDEVLTAKWITALMDDLRDIPGHVLAGLAGRVQALHDKYAVALTDLDVQIRETEQELASLLSGLTGNAADMQAVTALQELLGGGRNA</t>
  </si>
  <si>
    <t>GC_00004662</t>
  </si>
  <si>
    <t>MTHAQHDVNVTGIENLIDPVGGYVSGKIFHDADIYEQELQTVWQKTWVFLAHDSMLPKKGNYIQTYIGEDPVIVCRQKDGSVKAFLNQCRHRGMRICRADRGLAKGFMCSFHGWAYGLDGTLLDIPHEDTAYPQGMDKTKLSAIQVPRIENYNGFIFGSWDENIPPLEEYLGNAKYYLDGYLDRYAGGMEAIAVHKWVLPANWKFNVEQPTSDMQHSEISHVSAVEALASGSDTFDRKTGREKIPTGRQWFSPYGHGGAFFGKRGKEIPNTAPALIDWENTVRDKIEERLGEFREVRGHMNVFPNFMLLGNYTFRVTHPRGPHEMEIWSWTFVPKDAPEEVKESIRLDVMRTFSPAGMFEQDDAENWEEMQHILKGAVSRKTGFTYNMRGVPVTRDDDGYPGGSTAHVYSDNAALNMYGFYRDMMMGYDWPQLKEIRHGEVEVEQADFTAVMPDGADYKATHNTMAKLDIDTENAKA</t>
  </si>
  <si>
    <t>GC_00004663</t>
  </si>
  <si>
    <t>MLHESLVELSREATACRTHSHARGILSEAHHLLRNALDHSGDPTLLMSWYCDVVRNVFHSPATALPRINGRAVLPSAVELGGDFSRGEGLPTSPIVLVLPTNTPHPSTLRTQALEQDPAALTAHDPGLASIPATDRLARIEGYLQEIHSLARSINADGAHHGRSQTVSFVTRPSLADANHAGNGSQRALYADSPTNQPIDPALEHLLLADASAARPRAVTFVGGMPDKDATADVRRDVINPCVALARWAAVRAATASGYTPDRLHSPALSVDESEYVLDAWRTGIKIDLEQWKNRSHADFIDDLSHIHRSAYGASARMISEVIASVVTRSEEAPHGR</t>
  </si>
  <si>
    <t>GC_00004664</t>
  </si>
  <si>
    <t>MNSTQVKYPWRAVARTTIAATVGILPLLPVVAHELGIETIPWVATTLAVTAAVTRVLANASVVAWLDKYLPALSPEPPTDTTSTDNHPPKHLKEYPNDASASDSQ</t>
  </si>
  <si>
    <t>GC_00004665</t>
  </si>
  <si>
    <t>MKNKILAAMLAGILPISFSLSTQAMAVEKNTEKTTATATTAVKADQKPQNQQAKNTTMYFGDKGNVRTVKAVDEANGTGALQFELDDSDSITLKGKDVVVTNESGKEIVKVSPDLEFGEKVHLDQKTKKVSVVNESTNEGCTNNKWVHWGMQGAWDGLVCLPGTLAATPGSPLVQGAVAAGCHTAGNALVTAVKC</t>
  </si>
  <si>
    <t>GC_00004666</t>
  </si>
  <si>
    <t>MAGTTGFRLLLPLLPRLLLRLRGWWVFRLRHRFGQGFWLGRRFRLRLWLLLPPCGLRLFRLGLLLLLLLLWGFRLRVRLWLLLRLGLRLGLRLLWLGGYRVLLLCGCGVILAGNA</t>
  </si>
  <si>
    <t>GC_00004667</t>
  </si>
  <si>
    <t>MMDTMSISKKAATFFVGATLALGLAGGIGSPAFANTTSPSSTQERTQAKDDRGSKDLNNKKKLDQVSKVQKNIKKVDDSNLAFRLSDGDRLADDGSALISSDGTKQELPSEATDKNGNAVNLKYAEEDGVVTINVIDAAASTNSGRQTPGEPVTDELDDNAKCALGTGGGAGTGAIAGGAAGATIGSAFPGVGTVAGWTIGTAIGGAVSGGAVGAATFC</t>
  </si>
  <si>
    <t>GC_00004668</t>
  </si>
  <si>
    <t>MSRDFMGFMLVAAKLFVKKPENDKAKAPLSITDPLYWISTHRSGAFTPGESGEPSGELGPSKPGEAQWSMKKRAKEVTSESST</t>
  </si>
  <si>
    <t>GC_00004669</t>
  </si>
  <si>
    <t>MKGVKVSEVDIAFLGHRLEGARTVRFFVSFLIDTAPAVSRREFNQAPLGLGASTHMVVTPRTKDGEISEDSPAGRSAAHTTTVKSYWVQPLASDSRNWLSEITEWASRQHFNEGRVVHYAVYVGSAADDRDTRVESTIDAPDLLLLHQSAC</t>
  </si>
  <si>
    <t>GC_00004670</t>
  </si>
  <si>
    <t>MCSHNMPLVSSKCWLIRKAGELILGLNGTLVDTNSVTTGSKDTDDDGPVYKTID</t>
  </si>
  <si>
    <t>GC_00004671</t>
  </si>
  <si>
    <t>MVPVRQFRSYSLDLSEGAAPKHVQLRRIIEHYVENNLSPGDMLPGERMFEEHFRISRITVRRAAGDLVASGKLVRVRGRGTFVASTPMTSSTGLLSFSEQMRAEGLRPGSIIVLASRSVPPPETVRFFAGGDQDSEVALQPAGDEPVDLNTQMHHAHVRRVRLANGVPVSIDDGWYNSRLMPSLLENDVYNSMYDIMSTHYDCPVTETVQTSSAVCADSEQAGLLEVSVGAPLLRVLRQSYSRGRPVEWCVSFYRTDRFALCSRVTRASADSSDRGNM</t>
  </si>
  <si>
    <t>GC_00004672</t>
  </si>
  <si>
    <t>PF19952.5</t>
  </si>
  <si>
    <t>Domain of unknown function (DUF6414)</t>
  </si>
  <si>
    <t>MNKKNKKKIEVEDCKEIRDRKMAKVVYFDEDSATDYLIITEGGRLESSSKNEQQYSAKGEVGVDVKATLKKPWILSLLGSFFDASVDAKLNVSGSAMGQKLLNKTISNTVLSDYLANAKEDPSIEKLRNLKVSAIEGSMAHAKMFTPYLAMINSEDTPLKIAQLDEVLMKAKGYYELIGANDDVEYILRFNIGSFKNNYGLIDICRMKLVFHGVLVGEAPKTSLSMKAEMSSSAGYNESSLSPKDIINDVKPEDNSLKVYDIIFAGVEH</t>
  </si>
  <si>
    <t>GC_00004673</t>
  </si>
  <si>
    <t>MGFGDQIRNVTDGLKGKVEEVADKVIDSKLDGEMANKAKSAVEAGLNKADELLDSKLGDKAVDTAGEQPEAK</t>
  </si>
  <si>
    <t>GC_00004674</t>
  </si>
  <si>
    <t>MKTTRTIAALATIALLGLSACSNSETASDTKVDTATSVESTSPSAESSSEAKDEHKHSHAPVTMTDGYVKAKGADKKMTAIFGTLVNESDTPQHVTGFSTNLGDYSYEIHEVVDGKMQQKADGIVIPANGTYVLEPGHDHLMIMGISEEVPAGSNVDLTLNFEDGSHAHIDNLPVRTLGAGEESYGDQAGHEGHEGHGDHAEHAGHNH</t>
  </si>
  <si>
    <t>GC_00004675</t>
  </si>
  <si>
    <t>MWRWRSGCRCIACCWGFWGWRWPGYGLGRWCFRWCLWLWSGCGRLCRLGGSRGCGWGGVRWVAVAGCGECGGSGVGEWGCCCGGVLCGCCCFATPGAAGCGLVGVVVLLAVGASVSLGSADVGSVRVAAIQGNVPRLGLEFNAQRRAVLANHVAETKKLAGSEPVDMVVWPENSADVSPFYDAQAADMVSEAVAAAGAPVLVGTITRDEVGLRNTMSVFNPGRGLGIFTISGICSRLGSICRCGVFFGCFPRRWIGLGILSLV</t>
  </si>
  <si>
    <t>GC_00004676</t>
  </si>
  <si>
    <t>MRRSFAAVAAASAFALSVHAAPAFAEEAEQPVPAEAAPAPAEAAPAPAEAAPAPAAAAPAPAEAAPASAEAAPGKEAEGEKEGEKPALNIGDNGYVQPENGFTRGEVVKTEEKFTNDKGCNNCTRTTETISNKVNLEGAAVFNMGLKDYSNNGFTKKVWNPNNHPNLNPEGDKNPEGAGPGNVEMQHYLLGKSIIAWRPVFATDYPMSTAEITIDLPDEGYVASDATSWYVDRYLPAVAGKQQPYKNKLVPSEVTVVGKKATVKFASPIDAYSGWAGVFTKDYGVEGFDKIKNANKEATMKVTGEWDVEKIKKMKEEAEKDGKTLYGNPIAFKDGSLEKVTETCDCPPEDEPGNPGHKPSNPSGSSDVPGWLIPIAAIPLIPALVGSSTGSSTPAPQAPAAPVAQAPAAEAPVKGIEKGVAKQQAPAASEKRVLANTGADVAGLAGFGAALMAAGAFVAGRRRK</t>
  </si>
  <si>
    <t>GC_00004677</t>
  </si>
  <si>
    <t>PF09290.16</t>
  </si>
  <si>
    <t>Prokaryotic acetaldehyde dehydrogenase, dimerisation</t>
  </si>
  <si>
    <t>K04073</t>
  </si>
  <si>
    <t>acetaldehyde dehydrogenase [EC:1.2.1.10]</t>
  </si>
  <si>
    <t>COG4569</t>
  </si>
  <si>
    <t>Acetaldehyde dehydrogenase (acetylating) (MhpF) (PDB:4JN6)</t>
  </si>
  <si>
    <t>KEGG Orthology (KO)&gt;&gt;&gt;09100 Metabolism&gt;&gt;&gt;09101 Carbohydrate metabolism&gt;&gt;&gt;00620 Pyruvate metabolism [PATH:ko00620]|KEGG Orthology (KO)&gt;&gt;&gt;09100 Metabolism&gt;&gt;&gt;09101 Carbohydrate metabolism&gt;&gt;&gt;00650 Butanoate metabolism [PATH:ko00650]|KEGG Orthology (KO)&gt;&gt;&gt;09100 Metabolism&gt;&gt;&gt;09105 Amino acid metabolism&gt;&gt;&gt;00360 Phenylalanine metabolism [PATH:ko00360]|KEGG Orthology (KO)&gt;&gt;&gt;09100 Metabolism&gt;&gt;&gt;09111 Xenobiotics biodegradation and metabolism&gt;&gt;&gt;00362 Benzoate degradation [PATH:ko00362]|KEGG Orthology (KO)&gt;&gt;&gt;09100 Metabolism&gt;&gt;&gt;09111 Xenobiotics biodegradation and metabolism&gt;&gt;&gt;00622 Xylene degradation [PATH:ko00622]|KEGG Orthology (KO)&gt;&gt;&gt;09100 Metabolism&gt;&gt;&gt;09111 Xenobiotics biodegradation and metabolism&gt;&gt;&gt;00621 Dioxin degradation [PATH:ko00621]|Enzymes&gt;&gt;&gt;1. Oxidoreductases&gt;&gt;&gt;1.2  Acting on the aldehyde or oxo group of donors&gt;&gt;&gt;1.2.1  With NAD+ or NADP+ as acceptor&gt;&gt;&gt;1.2.1.10  acetaldehyde dehydrogenase (acetylating)</t>
  </si>
  <si>
    <t>MTKKYTAAVVGPGNIGTDLLMKLLKNSKYVEPVYMIGVDPESDGLARAEKMGIQASAGGVDWLLEQRERPDLVFEATSAYAHLANAPRYREAGIRAIDLTPAAVGPYFCPSVNLDALKTVDNVNMITCGGQATTPIVAAISRVVDVQYAEIVASISSRSAGPGTRANIDEFMETTSRALEKVGGAKKGKAILILNPVEPPMLMRNTVYCALPPEAAEPGELQDRIRQSISEMVERVQSYVPGYRLTAEPQFDRGREDWNGWGRVMVLIEVRGAADYLPDFAGNLDIITAAAVATADTYVELLEGQE</t>
  </si>
  <si>
    <t>GC_00004678</t>
  </si>
  <si>
    <t>MKRFQHTVHRVQSVRQVFQRLVQQLVRALASLSLGKKVTLAVIAAVGVYAVFFVDTPPLSQVRAYADQADSWLLPVFFILYIVITQFPIPRTFLTLSSGILFGPVVGCVVALSATTISGGLALWGIRKFFVNDAARARINGRTIDAINARLKARGWLAIASLRMIGAVPFFVLNLTASFTQVSLKHFVIATFVGSAPATIATVFIGDALTGTANPALIGVTGVLLTLGLIGLALDYKLPVA</t>
  </si>
  <si>
    <t>GC_00004679</t>
  </si>
  <si>
    <t>MAWFKNAASDTPTPVTLTRLAGALDRIDFTYDLSKDQIGTGFNGFPMKLSLVGDGAFILAEAFAVDKYLPKDRFPEVVRWANSWNAEAVFGTALPILTEDDIVALQVDVSVLTAGGATNEQLDTNLAAILSGLDQTIDSFSEAFGFPRAVFGEEQSESEG</t>
  </si>
  <si>
    <t>GC_00004680</t>
  </si>
  <si>
    <t>MPCWDAQGGEDFFGFGGQGVGGGEVVAVEVDGDVLEGLEGADDAFDADPGGLLEVSGDGQGGHDHGQVRLDVPPAGLQRIEDLIAALVGLAIVVG</t>
  </si>
  <si>
    <t>GC_00004681</t>
  </si>
  <si>
    <t>MAQCVVEVDGEEYSFEWSEGTLLQAMLDAGVPAPYSCQAGQCGACQCYVEGAATTMLNNNVLFDDEIAEGQRLACQTVRDGDDAAVEVSYYF</t>
  </si>
  <si>
    <t>GC_00004682</t>
  </si>
  <si>
    <t>MKPNHNWRGDPVFLKELLEFWGVQVKELDGYKDRGHGDFGPIKGAVCHHTGSDNTGPWFIAQHPSLGLCAQIHLDRAGVATLCGVGLAWHAGAGSGYGYPPNGANQYTIGIEAVSSGSSPWPEVQMKAYARICAALCWFLGWNVDRIIGHKEWAGAAQGKWDPSFDMAAFRQRVAHELANPPSGANTAPAVGAIDKENTMEFDNIKRRYRSRVAGSTVDMTPLDMLLNADAHAYLAKTDAAALRKEVEVMKATLEAIAKKVGA</t>
  </si>
  <si>
    <t>GC_00004683</t>
  </si>
  <si>
    <t>MRYPLWSAVIGIFIVVMALPAVLVLSHENPTTYSEVEVGAGFYDLPAIPIVKPDGKPLRCEDGPMDIGKSWLCEGTFLTGYIVEEIEDNDAAKELAIRRLTRGLRDEAAAASNGPDVPVGGVYTQQGPALILDNEDNEELTAMIPYTHINPDVLTPEQKEEIDKPDSDLAKAWLVAYVQGDAPYRELVAQTFAGAGILPDDADLPAIPDTEVKA</t>
  </si>
  <si>
    <t>GC_00004684</t>
  </si>
  <si>
    <t>MSAHNTPSINQQVASWARGAAETPSRSLLASAVRETVAYAASLRPGKSVELRVPPFAAAQLIDGPAHKRGTPPNVVEISPKDWILCVLGEQTINDAASASLSGTRAGEVQSVLDHMAG</t>
  </si>
  <si>
    <t>GC_00004685</t>
  </si>
  <si>
    <t>MAHTTQRIPRLTRAIIAALGAATLATSLVACAHADGREHGTVTYLEQAFFTNLYPPTAGYYPNGGVVNNITDRLLYQDPDTLELSPWIAEELPEVNADSTQYTFRIRRGVTYSDGTPLDADNVKRNFDLFGLGDKNRTLTVSEQINNYDHAEVLEPYTVRFYFHAPSPGFAQATSTMNSGLLANATLDGTADTFSPGHATEVIGSGPFVITHENLGKELTLTRREDYNWAPKVSEHQGPANIDAVTITLAGEDAVREGALVSGQADIARTIAAPSEKHLKAAKVDIVAHGTNGVNNSLNLRFRTPILQDDTVREALSLAVDRQEINTTLYSDSYPIATGVLAHTTAGYIDQSDKLRYDPDHARELLDNAGWIPGPDGIRVKDGQRLSFTTNHANVQPRSKELIEKIQEQFRRIGADLQLYPGDQAAQNAAVKDPTLIQIHHTMVGRADYDVIKSQYFSTNRNSLLNYDPTDGSLGDPELEQLLQQVASSPTQQQRAEASAQAQRLLIDKHYTIPLFEEPQVFGVAPGISGFHTEAVGRPTFYDLTID</t>
  </si>
  <si>
    <t>GC_00004686</t>
  </si>
  <si>
    <t>MRNILVSYRLEPSRCQRLVIAFPPNLPGAEIFCVAGPCKKRVSEFIPGNMEVQSGYPVS</t>
  </si>
  <si>
    <t>GC_00004687</t>
  </si>
  <si>
    <t>MATDTQYIAAIDQGTTSTRCILFTHEGELAAVSQFEHEQIFPRRVGSSTIRWKFGKTLAVQWAK</t>
  </si>
  <si>
    <t>GC_00004688</t>
  </si>
  <si>
    <t>MTEHNRLPKVIYVRRRVAAVVVLLAVVALLLGVMQLFSNRSADQPDQSAAAVTSDAPYPAKGTDGASAGKDSDDKAASSDKKDADKADKDSKDAGDKADKADKAGKDSKDDKDSKDGKDSAEKPKKQSCELSDLQISATSDKPSYEEGQLPEFYMTVKNPTAADCTIDLRDNPLRFEVYNLSTNRRVWSDLDCNQPVDGTSRIFPAGSERYYRAVWSRTDSEPGQCGQRNPVPAGSYFLHTVIGNNPSEAHPFNLL</t>
  </si>
  <si>
    <t>GC_00004689</t>
  </si>
  <si>
    <t>MVKDLYTVTWTSHAGRRWILEGDLRARRGVIFTGLDGMVGKVNRSSVDRSTGVGVVDTATTFGAMSGTLSVAVYPDGDAPLGRVWTEFVRGFDLTRHGVLEVVTAGREVWRAECVLSEPVGAPSVSPYAAGLWEAGLSIPLYCSTGVWCSPWEVEVSDSAGVRVTNTGDLPLFPYIEWAGAGKSFTVNGVRISLPTATQPRFLSCDPGEGFVVRSEGPEGAKDVETWSAMRGLAVPFRVDPGEQMHAATDSGLKVHTRQRALSPWR</t>
  </si>
  <si>
    <t>GC_00004690</t>
  </si>
  <si>
    <t>MSRVVIPKKHLHFSAVCVFSLWYWDFDVVLSVLNCVLLVLVMISSVCSYGIKRLQLKPLQLSLNDELCHVPYGVKFLPNILNCGAKVIYSEENYEVFSVVVMVINEERWLFYTLRSCDDGGKVALSVTTRDGQLCLCWWRKCNSAIDDLEDRSSIVNKFGSDRYAPVADGYKNFISLGSVEYPAHAFCRYELLKRVSEVGDDSRWLLSWNYPENLRETFFGEDIRMEDVDIYPSTVQRSGIEPEEFSKAVKRLEEIKLHCEILALISALVLVFYLEVISE</t>
  </si>
  <si>
    <t>GC_00004691</t>
  </si>
  <si>
    <t>MPKHLKVDGAVFPAQVRKGLYSVATLVGLVLVWFGVVPNDVVVTEWVDKLEPVFGAVVALVSMVAARHVPAPAATPEAPKPVEVKPKAKPTVSLDTLRELLAK</t>
  </si>
  <si>
    <t>GC_00004692</t>
  </si>
  <si>
    <t>K03343</t>
  </si>
  <si>
    <t>putrescine oxidase [EC:1.4.3.10]</t>
  </si>
  <si>
    <t>COG1231</t>
  </si>
  <si>
    <t>Monoamine oxidase (YobN) (PDB:1B37)</t>
  </si>
  <si>
    <t>M00135</t>
  </si>
  <si>
    <t>GABA biosynthesis, eukaryotes, putrescine =&gt; GABA</t>
  </si>
  <si>
    <t>Pathway modules; Amino acid metabolism; Polyamine biosynthesis</t>
  </si>
  <si>
    <t>KEGG Orthology (KO)&gt;&gt;&gt;09100 Metabolism&gt;&gt;&gt;09105 Amino acid metabolism&gt;&gt;&gt;00330 Arginine and proline metabolism [PATH:ko00330]|Enzymes&gt;&gt;&gt;1. Oxidoreductases&gt;&gt;&gt;1.4  Acting on the CH-NH2 group of donors&gt;&gt;&gt;1.4.3  With oxygen as acceptor&gt;&gt;&gt;1.4.3.10  putrescine oxidase</t>
  </si>
  <si>
    <t>MSVERTVDVAIIGAGPCGLSAARKLKAAGKSFVVVEARDRVGGRTRSDVMDGAWYEIGGQWVSPDQTELIALIKELGLETFQRYREGDSIYLGMDGEVKRYTGEIFPCAPETQAEMERLIEVMDGIVAELDPAAPWEHPRAKEWDSISFKQWLKEQSDDEEARKNIGLFIAGGMLTKPDHAFSALQAFHMAASAGSFTNLVDEDFILDARVVGGMQSVSLKMAEEIGEDNIILSSPVRTLEYTDEGVTLHADNDVVVRAQYCILAVPPNLYNRISYVPELPRTQHIMHQHQSMGLVIKVHATYATPFWRDKGLSGTCFSSNHLVQEIYDNTNHGDERGTLVGFVVDEKAEEMFALPEEERKRTILDAMAKMLGEETLNPESFYLSDWGAEEWTRGAYACSYDLGGLARWGKFNTVPVGPIHFACSDIAGEGYQHVDGAVRMGHKVSGELIERLGG</t>
  </si>
  <si>
    <t>GC_00004693</t>
  </si>
  <si>
    <t>PF07669.17</t>
  </si>
  <si>
    <t>Eco57I restriction-modification methylase</t>
  </si>
  <si>
    <t>MDNKMTAQHHGVVFTRVPVVEFMLDLVGYHPDEQLHTLRLLEPSFGDGRFVIQAAGRLLQSWRAAGGQDPHDLIDAIRAVEIDPQSVTQFSQRLVDYLVTQRIAPDMAQKLAEAWLMSGDYLTTKFDHPFDFVVGNPPYVRHEAIPKDLLKKYRARYRTMVGRADLYIPFMEKSLDLLSSTGKLSFITPNAWMKNDYGKALRAKIDHEFHLSHYVDMCGADAFETVVGAYPAITVIERGRRKAETTRIATGMGGQWRKRRLVRGGLPWLTGDSGPVKLIDELERRFPTLVTAGCRVGIGVATGADKIFIDDFATIDVEAGRCLPLVTNSCVRRGQLAWTGKGVLNPWADHGGLVDLADYPKLAARLHPHRDRLARRYTARSDPRKWYKTIDRITPELRHEPKLLIPDIKANGDAITYDAGNFYPHHNLYYITSQQWNLRALQALLRSGIAHLFVAVYSVKIGGGYLRFQAQNLKRIRIPHWHDISPDDQQHMIHLGEAGEKLPVSLLARIYGVKEEQLAILETI</t>
  </si>
  <si>
    <t>GC_00004694</t>
  </si>
  <si>
    <t>MFYWWGSADFIVLNHSATGPMVLKAPLVTYGCAAISALWLCRWEVELSNSMIGYERRGMCKLSALHGRECPPTFLPHASACHCRPNSTTAGNGIGCAELYFLDSVPLVGVACHHNSSSAHLIPSHPCGSATGRLKAAQGFRVFSVYYRGFHSPRHTRSSFTELGLW</t>
  </si>
  <si>
    <t>GC_00004695</t>
  </si>
  <si>
    <t>MSAANWCENAVFYEVLVRTFQDSNGDGVGDFEGLESRLDYLQWLGVDCLWLPPFFASPLDDGGYDVADFLSTHPDFGSVEQLSHLLDAAHARGMRVIADLPLNHTSIAHQWWREELEALRAIDAGTLDAADFTPCYVWSTTGEEYADARVIFEDTETSNWTFEPSVGRFYWHRFFSHQPDLNYDNPAVQEDMLDVLRFWLSKGLDGFRLDAVPYLYERHGTNGENLPETHDYLARVRAMVDEEFPGCVLIAEANQWPRDVVDYFGSDEAPECHMCFHFPLMPRIFLSFARGEASSIDRILADTPQLPAGAVWGTFLRNHDELTLEMVDDVERADLYARYAPEPRMRANVGIRRRLLPLLGSAEAVECAVAMLLSMPGAPFLYYGDEIGMADDIWLVDRDGVRTPMQWDGSTNAGFSPQSSYPPVLSTVPNVQAALADPTSLLYAHRRLIAQRKAVFDASDDWRVVASTKVFAFERAGVLCAFNVTAEPQSVTVAGIEVYLPGYGYAWVPLVDRVLPHLVGQRFYGGSADSSAVRIVRAEPWQFGGVWLTVESAGALYRTLVDATGRDLLAQYAAEGDDAAGAGVGVDVVGYVRALLAERGHTLVGDVQAQRVGGEQSNTSFVVGSWVVKFQRRLAEGVNPEVLVAEALADCPHAAHVVAHDEGACVATVVPLVDGARDGWELALERGLVGDDSGEGIDVAGLGVAIARVHTALDEGHVQRRENLLDSLRERMIRTGTQAGLGDALSSGLIEVLSNTGAGSDQVPVQHVHGDLHLGQVLWDSSRWVLIDFEGEPAATPAERAAEHSPMKDLAGMIRSFDYATQVRARENAASSSTAADAGASAGAGVVEQATQALLDGYRQAGGTVDEALLQAYLLDKVLYEYDYELHYRPDFRYIPARALRALGIATPE</t>
  </si>
  <si>
    <t>GC_00004696</t>
  </si>
  <si>
    <t>MKLRTLLVLLVLSISGAGLAASSTVVESIMKDYIYSKVDEDLDQALNGWAGRQELLTGSAVSTLRPPSAMYVMKIRDDGTYILNDSDSSPDLTQLHSSPQTVPAASNSPNKSPWRVMLGKQGSTTTIVGRSLEKENWILGRLARVQLVIGLLVLLVVAVVGLYAVRRALRPLREVEATASAIASGDLDRRVPNDAAMAVEVASLATSFNVMLGQLQESIVSAQEKEQQMRRFVGDASHELRTPLTSVRGYAELYRSGATQDADMVIDKIEAEAGRMSLLVEDLLALTRSESTLVRKPVDVLDEAMSVAGSLRVAYGGQLDVENTCETCPVVSTDPAQIHRILTNLVSNAFIHGGDHVLIQVSCDDTIVRVTVADNGGGVPDKDLDHVFERFYRSDESRTRASGGSGLGLAIVQSLAVAHGGEVTVHNDTDGCYLGGAVFELRLPTSY</t>
  </si>
  <si>
    <t>GC_00004697</t>
  </si>
  <si>
    <t>MPLVVVIPYLLIEALAFYGVSKLIGTGWALVALIAFFFGGLMLAAVEMRSIARKLQAGREKPGAAAGDLGLVATGAFGVALPGFVTTIAGLLLIIAPTRVLVRQLLARQLRRRLEEFGGRAFETVSMRASGGAPVSYGTFVINEDGSPADGSAPSDEDISQWSRTITPEDFGTDTGSNDK</t>
  </si>
  <si>
    <t>GC_00004698</t>
  </si>
  <si>
    <t>MVAPSEHTHISSTSSPCPGPGYQPPHDLGPLVTHARVLSEALIAEGYSTAGLADFLDSRIPGAYSAVMAGNPGVAIAACDGESALDILVRSLLLHVPDPRLRGWMDGNCGPHVYEDLLHGGLIIEPSQGAWSWDGANSSSDQGAVPSYCAFDARPLAEGPLVFSDVDASFVAHVPGSDHVLGIGAASLSLAQAVPDSSVSSILDVGTGGGIQLLVQAVRHAASADGKPPRLVGTDIHPRALDFARATLAAAGLDEDVDLRQGSWLEPVAAGERFERIIANPPFVVGLPEVGHVYRDSGMNLDQATEMLVRTVPEFLELGGIAVLMGAWVGDAARVSAWVPEGCSAWVIERDHVSAAEYVATWTADEGVDPRSPEAIERTRRWLKHFKDHDVASIGFGYIAVRRNGPDQQDYVVAERISQPHTDPIGVEVEGFFALNDWALNVSEEEVLASRFAVSPAAALDVVSQVAPDAQGGFEHTVTRLSRLDGVLFSHDIDPALATIIAGLRPDGLCLGEVIDLYVLSTALQSGEQPALGEDEQQFRRFVAGSIVELVRHGLVIPEQLVADTTHGCR</t>
  </si>
  <si>
    <t>GC_00004699</t>
  </si>
  <si>
    <t>MVGVFDGLFRVCLASTLYRSDMHSRDTLGWRQRHKALTQLVHPDLAQANLDTPQGFAKASCSTMDLQM</t>
  </si>
  <si>
    <t>GC_00004700</t>
  </si>
  <si>
    <t>MGFCTRPKQQLELPPRARRIRGLLHQAKTAVGTTSACAENTLSGFWRFHEPWNYLRVRGEYDEEHVRDLMNKELPPRARRILTGDLNLRYHIGTTSACAENTSDSTPTSKWKRNYLRVRGEYSAGVRGSAGRLELPPRARRIRLRGRGCSGVLGTTSACAENTSSHARR</t>
  </si>
  <si>
    <t>GC_00004701</t>
  </si>
  <si>
    <t>MSANMILSSGQGPLTDNITSQQVGLQCLPTRPDDPFFTDTVDVTNLYPAAFASVFDLITEHGVQTVGTPFAFEFLPDLEDPTAVRAELYQHREPVFDVMVTPSGSRVEDPKEKTGEEAAEDPAN</t>
  </si>
  <si>
    <t>GC_00004702</t>
  </si>
  <si>
    <t>MLELGPEAPTSLEGWSVQDLAVHLYLREHRPDAALGMFLTPFARHTERTARRVSADLGFEGVVEAWAAGPPKLLKPVDARMNTAENFIHHEDVRRAQHGWQPRALPEDAQQALLTPLKTIGAMLVSPSTAPVIAYPSGLPRVVLHDQRGVARAGDDVVRIRGNVGEILLHLFGRQSQGLDLEGNVHGLRLRKL</t>
  </si>
  <si>
    <t>GC_00004703</t>
  </si>
  <si>
    <t>MVAAIGMLAACGLSAYTINVERNEQGSGTPTATETTVVPPKSSELPVPRDAGVSDIQHTISLAVEHAVADFGGQASIAGARFKGGWGADESGGYMARQMGCVPQAGVDGCVGVAVLARPADGTYGTAQQMLNSMVRDISGVLEGGDTAAG</t>
  </si>
  <si>
    <t>GC_00004704</t>
  </si>
  <si>
    <t>COG5412</t>
  </si>
  <si>
    <t>Phage-related protein</t>
  </si>
  <si>
    <t>MSKTAFLSIKILADAKNASQELDETHGKLGKLESGAQKAAAGLSVASAGVVAMGKQAFDSASALQQSTGAVEAIFKGQGDQIKALADKAHQAVGLSKNSYQELASIMGAQLKNMGVSQTELIGTTDGLIKKGADLAATFGGTTSDAVNALSSLLKGETDPIERYGISIKEANIKAELAAMGLDKLEGEAAKTARTQAIMNLLTQQSADATGAFAREADTAAGQQERAKAAWENAKATLGEALLPVVSDAAQRFAGLAQWIGDHPRLFQAAAVAIISLTGAAHGIIGAVKAWQAAQILLNVAMKANPIGLVVTAVGALTAGFILAYEKVDWFREGVNKCVRFCVDGFKSVGKGIQWVIDKIKEAWDWVTSFGDKVNPISMLTASAPPPTLKGVPPAAAKLFGTPTPGITAQLRSPFAQVNAFGRLSATVQPVITNNYYITVNDAVDPISTGRYLEKLLRDYQERRGW</t>
  </si>
  <si>
    <t>GC_00004705</t>
  </si>
  <si>
    <t>MHSPQRHLIDGTDYYWRFLHPSEFAAHCDALISIYSQAMGLPAEKSRRAFWQRCTTHPGFLSVAAFSEQHTIGVAFGYLAAPTDNWYRQVHYGLVERSEARLDTQLRFPQLSHYFELSEIHVHPKYQGHGVGRAMLVGLSQRTQAEAIMLSTPEVEGENNNAFGLYRHLGFYDVLRDFHFPGDPRAFAILRAQLPLKSAAPDSC</t>
  </si>
  <si>
    <t>GC_00004706</t>
  </si>
  <si>
    <t>MAVVEVAIVNVVDVVTVGNGDVAAALPVDVVVTFVNVVHGDLQKVVGLLSSRHLIENLIKTQL</t>
  </si>
  <si>
    <t>GC_00004707</t>
  </si>
  <si>
    <t>PF01464.25</t>
  </si>
  <si>
    <t>COG5280</t>
  </si>
  <si>
    <t>Phage-related minor tail protein (YqbO)</t>
  </si>
  <si>
    <t>MGMDSVFIPILPAFDKFFDETNKNLKKAGDDGGKVMAQSLADGIRRAESDVKRASEAIGRAKDRAAEKADKLKVAELQYQEVLDKGDAKASQIAAAEAKVAKARRDVESADKSVEKAVKNLANSEENLIKVNNQTADSFQATEKRAGLLDGKLGGLAKSAGAFIGGFAAFSTIKTLVVDVGGAFDGAFDAIRIGTGATGSDLEALKDSMRNVAGVTPDVADGIEGIGTTLADLNTRLGLTGKPLETITSQLAELKNMGMETDVNTLSAAFKAFGVEAEAMPGALDDLFRASQATGLSIDELAGAALKGAPQLKEFGFNLGDATALVGRLDKAGVNSQQVIGAMAKAMGAFAKEGRAPKEALAETVAQMQEFIDTGDRAGAIDLASRLFGVKGAGQVIQALQDGALAIDDLAGSIGATGDTILDVAAETADFPEQWALFKQQAMLAVEPIASQIFGLLAPALELVAGQLGPLVSKIQEAVDWGKQHRDLMTVLSGAALGVASAFVAVQTAQAGLFVVGKLKAVVALYKAWRAGTLLQTVAQMGLNTALLANPIGLIVLAIGAVVGALAIFFTKTETGRKLLDSLKGQIGAFWETLKGWGSGIAGWAKGIWGGISDSFGKAWEFIKDFGGAVADVFSIFTKGDYTGGLAAFGFEEDSGLVNYLLTIRDAFLNTWEIAKGVFGFLWGAFKGVLQVVQPFGEALVWIIRQGLLFQKFLVSGMFDIAKLAIDGFVSAFVSIRDFIMPIWDWFSGVLVAGWNAAVEGMRVVFEPVANAIVTAWNWIRDGATAVWDWIREGVLWAWNREVEGWSIAFNIAKDFILGVWETLKNALLAGWQWIDANVFTSLRVGLDVIKNAFGVAVDGITAMWDNIRAAAAKPIKFVIQSVFNDGIVSAWNKVADWVGLDKVQPYEPAWLGAFADGGVLPGYTPGRDPYTFVEPRSGLKIGLSGGEAIMRPEWVKAVGGVAAVDAMNKTAASSGVSGVRKQLGEGAAFANGGVVGDLDKRVASLFGKLKGEHGKPYQYGGVGNPSWDCSGLWSGIVQDLNGGNLRGGRIFNTESNFGNFGFVPGLGGRVTIGVLSGKGGGANGHMAGTIDGVNIESSGDNGVQIGGRARGSDHPLFNHAYTLKEFLGKFISGGAGGGGGFFDIRAHVRNIAEAVLRPIMDAIPQFNGTLGYVPKAFAGKLKDAVLNFISDHAGSFNGGAGVSGNAETWREMAMAAMRRNGFNADDPRQVDTMIRQIQSESGGIPNRNQEIVDVNGTGAAAGQGLLQIIPSTFAAYRDPSLPNDRTDPWANMNAALRYYRARYGDDLTTMWGHGHGYDSGGWLKPTPGGFGSYFNHTGKPEAVLTDGQWARVSGLVSSVDALVAELPRILQGGPRAWNETAAHLQYLVDTGDYLGNEWFSESSPLAKAALAAHNYFKSFGNPGQFGRPDQWAAHFGGMAAAGVANDVLGLFGLDGIIGGSLKQSFVDLVNAGADTASAQTGYPVGHIHTGSLQPVAVLDDNGLVVGEASRAVGVEASSGSNTTVTDKDGVEKTPVVDSSSSTTKLEISLDPDGSYTGKQVEELLKGLNEKVRGLDVEVKGLKKGQEATVTSGLSILV</t>
  </si>
  <si>
    <t>GC_00004708</t>
  </si>
  <si>
    <t>PF03595.22</t>
  </si>
  <si>
    <t>Voltage-dependent anion channel</t>
  </si>
  <si>
    <t>COG1275</t>
  </si>
  <si>
    <t>Tellurite resistance protein TehA and related permeases (TehA) (PDB:3M71)</t>
  </si>
  <si>
    <t>MFAPRVEHTVRVKENLTPNWFASVMGTGIVANAAAALPTDNAALRAFSVVVWLAASMWLVVLCVLTALHWIQHRDVARTHHLNPLMAHFYGAPAMAFLTVGAGTLTVGEPFLGHTAVIIDVVLWSVGTAFGVFTAVLIPFLTFTRYEMNADSAFAGWLMPVVPPMVSSATGALLVPHVGSAATILLFACYAMFGLSLFASIVIITIVWNKLAHHKVGAAGAIPTLWIILGPLGQSITATNNLANQVHFTYLSDTVAKAFEAFALVYGLPTLGFALLWACIAASVTIKTALEGLPFSLTWWSFTFPVGTCVTGITGLAIHTGSATLLVMAYASYVGLVSAWLLVAVRTFRFTYAQRSSQL</t>
  </si>
  <si>
    <t>GC_00004709</t>
  </si>
  <si>
    <t>MRYLTIATALAGISGFVVVIVAAWALGADAELTADFSAYWGLFFTGTGVLTGFMQETTRSVSAARISQVMTPRDTAHPVRLAWMVGAVLAAGIALSSPVWMGQIVSHSVGLGAGLLAVGLGSYAVQAAVAGVLSAHQLWPQYALLIGADSAVRMVAAVGAWLAGYELVAFMIITVMGAASWMFLAALSAPVREAMKSTADCATGVFMRRSLTAMAAAGATAVLIVGFPTLVKFTNPDTTGQAITAAGVVYAVMLTRAPLLVPLQQFQSALIVRFVDNRHRLGQALKGPLAIVWAVGSAGALTAWLLGPWLIMVVLRRDTFAVPGWALAAYTIGAACTATMMVVGTACIAAEKHGLYLLGWVVATLIAIGALMLPYSLAINAILALTVGPLVGTIVQSIGLRR</t>
  </si>
  <si>
    <t>bin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</si>
</sst>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33" borderId="0" xfId="0" applyFill="1"/>
    <xf numFmtId="0" fontId="18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898FB-0823-4875-B790-792771C8253C}">
  <sheetPr filterMode="1"/>
  <dimension ref="A1:AF11976"/>
  <sheetViews>
    <sheetView tabSelected="1" topLeftCell="U1" workbookViewId="0">
      <pane ySplit="1" topLeftCell="A5077" activePane="bottomLeft" state="frozen"/>
      <selection pane="bottomLeft" activeCell="V3207" sqref="V3207"/>
    </sheetView>
  </sheetViews>
  <sheetFormatPr defaultRowHeight="14.5" x14ac:dyDescent="0.35"/>
  <cols>
    <col min="1" max="1" width="12.7265625" customWidth="1"/>
    <col min="2" max="2" width="13.36328125" customWidth="1"/>
    <col min="3" max="3" width="27.7265625" customWidth="1"/>
    <col min="4" max="4" width="28.26953125" customWidth="1"/>
    <col min="5" max="5" width="14.453125" customWidth="1"/>
    <col min="6" max="6" width="34.1796875" customWidth="1"/>
    <col min="7" max="7" width="24.36328125" customWidth="1"/>
    <col min="8" max="8" width="17.26953125" customWidth="1"/>
    <col min="10" max="10" width="25.54296875" bestFit="1" customWidth="1"/>
    <col min="11" max="11" width="25.6328125" customWidth="1"/>
    <col min="12" max="12" width="24.90625" customWidth="1"/>
    <col min="16" max="16" width="10.36328125" customWidth="1"/>
    <col min="17" max="17" width="23.36328125" customWidth="1"/>
    <col min="18" max="18" width="22.453125" customWidth="1"/>
    <col min="19" max="19" width="37.36328125" customWidth="1"/>
    <col min="20" max="20" width="11.90625" customWidth="1"/>
    <col min="21" max="21" width="46.1796875" customWidth="1"/>
    <col min="22" max="22" width="21.26953125" customWidth="1"/>
    <col min="23" max="23" width="17.36328125" customWidth="1"/>
    <col min="24" max="24" width="20.7265625" customWidth="1"/>
    <col min="25" max="25" width="16.36328125" customWidth="1"/>
    <col min="26" max="26" width="16.90625" customWidth="1"/>
    <col min="27" max="27" width="12.54296875" customWidth="1"/>
    <col min="28" max="28" width="15.6328125" customWidth="1"/>
    <col min="29" max="29" width="11.08984375" customWidth="1"/>
    <col min="30" max="30" width="15.453125" customWidth="1"/>
    <col min="31" max="31" width="11.6328125" customWidth="1"/>
    <col min="32" max="32" width="85" customWidth="1"/>
  </cols>
  <sheetData>
    <row r="1" spans="1:32" x14ac:dyDescent="0.35">
      <c r="A1" t="s">
        <v>0</v>
      </c>
      <c r="B1" t="s">
        <v>1</v>
      </c>
      <c r="C1" t="s">
        <v>24732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hidden="1" x14ac:dyDescent="0.35">
      <c r="A2">
        <v>604</v>
      </c>
      <c r="B2" t="s">
        <v>1222</v>
      </c>
      <c r="C2" t="s">
        <v>72</v>
      </c>
      <c r="D2" t="s">
        <v>58</v>
      </c>
      <c r="E2">
        <v>191</v>
      </c>
      <c r="F2">
        <v>5</v>
      </c>
      <c r="G2">
        <v>5</v>
      </c>
      <c r="H2">
        <v>1</v>
      </c>
      <c r="I2">
        <v>1</v>
      </c>
      <c r="J2">
        <v>0.80015054572826505</v>
      </c>
      <c r="K2">
        <v>0.84823569749216099</v>
      </c>
      <c r="L2">
        <v>0.82349177451099198</v>
      </c>
      <c r="M2">
        <v>0.55312499999999998</v>
      </c>
      <c r="N2">
        <v>1</v>
      </c>
      <c r="O2">
        <v>0.6640625</v>
      </c>
      <c r="P2" t="s">
        <v>1223</v>
      </c>
      <c r="Q2" t="s">
        <v>1224</v>
      </c>
      <c r="R2" t="s">
        <v>869</v>
      </c>
      <c r="S2" t="s">
        <v>870</v>
      </c>
      <c r="T2" t="s">
        <v>1225</v>
      </c>
      <c r="U2" t="s">
        <v>1226</v>
      </c>
      <c r="V2" t="s">
        <v>1227</v>
      </c>
      <c r="W2" t="s">
        <v>1228</v>
      </c>
      <c r="X2" t="s">
        <v>1227</v>
      </c>
      <c r="Y2" t="s">
        <v>875</v>
      </c>
      <c r="Z2" t="s">
        <v>1229</v>
      </c>
      <c r="AA2" t="s">
        <v>1230</v>
      </c>
      <c r="AB2" t="s">
        <v>1229</v>
      </c>
      <c r="AC2" t="s">
        <v>1094</v>
      </c>
      <c r="AD2" t="s">
        <v>1231</v>
      </c>
      <c r="AE2" t="s">
        <v>1232</v>
      </c>
      <c r="AF2" t="s">
        <v>1233</v>
      </c>
    </row>
    <row r="3" spans="1:32" hidden="1" x14ac:dyDescent="0.35">
      <c r="A3">
        <v>135</v>
      </c>
      <c r="B3" t="s">
        <v>232</v>
      </c>
      <c r="C3" t="s">
        <v>72</v>
      </c>
      <c r="D3" t="s">
        <v>60</v>
      </c>
      <c r="E3">
        <v>2526</v>
      </c>
      <c r="F3">
        <v>5</v>
      </c>
      <c r="G3">
        <v>9</v>
      </c>
      <c r="H3">
        <v>2</v>
      </c>
      <c r="I3">
        <v>0</v>
      </c>
      <c r="J3">
        <v>0.81656619781201201</v>
      </c>
      <c r="K3">
        <v>0.87107768318304402</v>
      </c>
      <c r="L3">
        <v>0.84294157051224206</v>
      </c>
      <c r="M3">
        <v>0.56107660455486497</v>
      </c>
      <c r="N3">
        <v>0.99792960662525898</v>
      </c>
      <c r="O3">
        <v>0.72406257188865897</v>
      </c>
      <c r="P3" t="s">
        <v>233</v>
      </c>
      <c r="Q3" t="s">
        <v>234</v>
      </c>
      <c r="R3" t="s">
        <v>235</v>
      </c>
      <c r="S3" t="s">
        <v>236</v>
      </c>
      <c r="T3" t="s">
        <v>237</v>
      </c>
      <c r="U3" t="s">
        <v>238</v>
      </c>
      <c r="V3" t="s">
        <v>239</v>
      </c>
      <c r="W3" t="s">
        <v>240</v>
      </c>
      <c r="X3" t="s">
        <v>239</v>
      </c>
      <c r="Y3" t="s">
        <v>241</v>
      </c>
      <c r="Z3" t="s">
        <v>242</v>
      </c>
      <c r="AA3" t="s">
        <v>243</v>
      </c>
      <c r="AB3" t="s">
        <v>242</v>
      </c>
      <c r="AC3" t="s">
        <v>244</v>
      </c>
      <c r="AD3" t="s">
        <v>245</v>
      </c>
      <c r="AE3" t="s">
        <v>246</v>
      </c>
      <c r="AF3" t="s">
        <v>248</v>
      </c>
    </row>
    <row r="4" spans="1:32" hidden="1" x14ac:dyDescent="0.35">
      <c r="A4">
        <v>136</v>
      </c>
      <c r="B4" t="s">
        <v>232</v>
      </c>
      <c r="C4" t="s">
        <v>72</v>
      </c>
      <c r="D4" t="s">
        <v>60</v>
      </c>
      <c r="E4">
        <v>2531</v>
      </c>
      <c r="F4">
        <v>5</v>
      </c>
      <c r="G4">
        <v>9</v>
      </c>
      <c r="H4">
        <v>2</v>
      </c>
      <c r="I4">
        <v>0</v>
      </c>
      <c r="J4">
        <v>0.81656619781201201</v>
      </c>
      <c r="K4">
        <v>0.87107768318304402</v>
      </c>
      <c r="L4">
        <v>0.84294157051224206</v>
      </c>
      <c r="M4">
        <v>0.56107660455486497</v>
      </c>
      <c r="N4">
        <v>0.99792960662525898</v>
      </c>
      <c r="O4">
        <v>0.72406257188865897</v>
      </c>
      <c r="P4" t="s">
        <v>233</v>
      </c>
      <c r="Q4" t="s">
        <v>234</v>
      </c>
      <c r="R4" t="s">
        <v>235</v>
      </c>
      <c r="S4" t="s">
        <v>236</v>
      </c>
      <c r="T4" t="s">
        <v>237</v>
      </c>
      <c r="U4" t="s">
        <v>238</v>
      </c>
      <c r="V4" t="s">
        <v>239</v>
      </c>
      <c r="W4" t="s">
        <v>240</v>
      </c>
      <c r="X4" t="s">
        <v>239</v>
      </c>
      <c r="Y4" t="s">
        <v>241</v>
      </c>
      <c r="Z4" t="s">
        <v>242</v>
      </c>
      <c r="AA4" t="s">
        <v>243</v>
      </c>
      <c r="AB4" t="s">
        <v>242</v>
      </c>
      <c r="AC4" t="s">
        <v>244</v>
      </c>
      <c r="AD4" t="s">
        <v>245</v>
      </c>
      <c r="AE4" t="s">
        <v>246</v>
      </c>
      <c r="AF4" t="s">
        <v>249</v>
      </c>
    </row>
    <row r="5" spans="1:32" hidden="1" x14ac:dyDescent="0.35">
      <c r="A5">
        <v>137</v>
      </c>
      <c r="B5" t="s">
        <v>232</v>
      </c>
      <c r="C5" t="s">
        <v>72</v>
      </c>
      <c r="D5" t="s">
        <v>62</v>
      </c>
      <c r="E5">
        <v>51</v>
      </c>
      <c r="F5">
        <v>5</v>
      </c>
      <c r="G5">
        <v>9</v>
      </c>
      <c r="H5">
        <v>2</v>
      </c>
      <c r="I5">
        <v>0</v>
      </c>
      <c r="J5">
        <v>0.81656619781201201</v>
      </c>
      <c r="K5">
        <v>0.87107768318304402</v>
      </c>
      <c r="L5">
        <v>0.84294157051224206</v>
      </c>
      <c r="M5">
        <v>0.56107660455486497</v>
      </c>
      <c r="N5">
        <v>0.99792960662525898</v>
      </c>
      <c r="O5">
        <v>0.72406257188865897</v>
      </c>
      <c r="P5" t="s">
        <v>233</v>
      </c>
      <c r="Q5" t="s">
        <v>234</v>
      </c>
      <c r="R5" t="s">
        <v>235</v>
      </c>
      <c r="S5" t="s">
        <v>236</v>
      </c>
      <c r="T5" t="s">
        <v>237</v>
      </c>
      <c r="U5" t="s">
        <v>238</v>
      </c>
      <c r="V5" t="s">
        <v>239</v>
      </c>
      <c r="W5" t="s">
        <v>240</v>
      </c>
      <c r="X5" t="s">
        <v>239</v>
      </c>
      <c r="Y5" t="s">
        <v>241</v>
      </c>
      <c r="Z5" t="s">
        <v>242</v>
      </c>
      <c r="AA5" t="s">
        <v>243</v>
      </c>
      <c r="AB5" t="s">
        <v>242</v>
      </c>
      <c r="AC5" t="s">
        <v>244</v>
      </c>
      <c r="AD5" t="s">
        <v>245</v>
      </c>
      <c r="AE5" t="s">
        <v>246</v>
      </c>
      <c r="AF5" t="s">
        <v>248</v>
      </c>
    </row>
    <row r="6" spans="1:32" hidden="1" x14ac:dyDescent="0.35">
      <c r="A6">
        <v>138</v>
      </c>
      <c r="B6" t="s">
        <v>232</v>
      </c>
      <c r="C6" t="s">
        <v>72</v>
      </c>
      <c r="D6" t="s">
        <v>62</v>
      </c>
      <c r="E6">
        <v>56</v>
      </c>
      <c r="F6">
        <v>5</v>
      </c>
      <c r="G6">
        <v>9</v>
      </c>
      <c r="H6">
        <v>2</v>
      </c>
      <c r="I6">
        <v>0</v>
      </c>
      <c r="J6">
        <v>0.81656619781201201</v>
      </c>
      <c r="K6">
        <v>0.87107768318304402</v>
      </c>
      <c r="L6">
        <v>0.84294157051224206</v>
      </c>
      <c r="M6">
        <v>0.56107660455486497</v>
      </c>
      <c r="N6">
        <v>0.99792960662525898</v>
      </c>
      <c r="O6">
        <v>0.72406257188865897</v>
      </c>
      <c r="P6" t="s">
        <v>233</v>
      </c>
      <c r="Q6" t="s">
        <v>234</v>
      </c>
      <c r="R6" t="s">
        <v>235</v>
      </c>
      <c r="S6" t="s">
        <v>236</v>
      </c>
      <c r="T6" t="s">
        <v>237</v>
      </c>
      <c r="U6" t="s">
        <v>238</v>
      </c>
      <c r="V6" t="s">
        <v>239</v>
      </c>
      <c r="W6" t="s">
        <v>240</v>
      </c>
      <c r="X6" t="s">
        <v>239</v>
      </c>
      <c r="Y6" t="s">
        <v>241</v>
      </c>
      <c r="Z6" t="s">
        <v>242</v>
      </c>
      <c r="AA6" t="s">
        <v>243</v>
      </c>
      <c r="AB6" t="s">
        <v>242</v>
      </c>
      <c r="AC6" t="s">
        <v>244</v>
      </c>
      <c r="AD6" t="s">
        <v>245</v>
      </c>
      <c r="AE6" t="s">
        <v>246</v>
      </c>
      <c r="AF6" t="s">
        <v>250</v>
      </c>
    </row>
    <row r="7" spans="1:32" hidden="1" x14ac:dyDescent="0.35">
      <c r="A7">
        <v>139</v>
      </c>
      <c r="B7" t="s">
        <v>232</v>
      </c>
      <c r="C7" t="s">
        <v>72</v>
      </c>
      <c r="D7" t="s">
        <v>34</v>
      </c>
      <c r="E7">
        <v>1119</v>
      </c>
      <c r="F7">
        <v>5</v>
      </c>
      <c r="G7">
        <v>9</v>
      </c>
      <c r="H7">
        <v>2</v>
      </c>
      <c r="I7">
        <v>0</v>
      </c>
      <c r="J7">
        <v>0.81656619781201201</v>
      </c>
      <c r="K7">
        <v>0.87107768318304402</v>
      </c>
      <c r="L7">
        <v>0.84294157051224206</v>
      </c>
      <c r="M7">
        <v>0.56107660455486497</v>
      </c>
      <c r="N7">
        <v>0.99792960662525898</v>
      </c>
      <c r="O7">
        <v>0.72406257188865897</v>
      </c>
      <c r="P7" t="s">
        <v>233</v>
      </c>
      <c r="Q7" t="s">
        <v>234</v>
      </c>
      <c r="R7" t="s">
        <v>235</v>
      </c>
      <c r="S7" t="s">
        <v>236</v>
      </c>
      <c r="T7" t="s">
        <v>237</v>
      </c>
      <c r="U7" t="s">
        <v>238</v>
      </c>
      <c r="V7" t="s">
        <v>239</v>
      </c>
      <c r="W7" t="s">
        <v>240</v>
      </c>
      <c r="X7" t="s">
        <v>239</v>
      </c>
      <c r="Y7" t="s">
        <v>241</v>
      </c>
      <c r="Z7" t="s">
        <v>242</v>
      </c>
      <c r="AA7" t="s">
        <v>243</v>
      </c>
      <c r="AB7" t="s">
        <v>242</v>
      </c>
      <c r="AC7" t="s">
        <v>244</v>
      </c>
      <c r="AD7" t="s">
        <v>245</v>
      </c>
      <c r="AE7" t="s">
        <v>246</v>
      </c>
      <c r="AF7" t="e">
        <f>-------MTHPR-PT-LIDAYFGEYGGQYVPEVLYPSLDQLEKAYVDALNDPEFLRELDDLRRNYLGRPTPITECANLPLS------------------------GNARIFLKREDLLHGGAHKGNQVLAQALLAKRMGKTRLIAETGAGQHGMATAMVAALMGMECTIYMGARDVARQQPNVYRMRLMGAKVVPVSNEHGEALSDAIDVALADWVESLGTTHYLLGTAAGPHPFPKLVKQFQKVISEESRQQMLERTGRLPDAVVACVGGGSNAIGAFAEYLPDE----GVRLIGVEPAGEGLDSGKHGAPLNRGKVGVLHGSKSYVMLGSDGEVMHSHSVSAGLDYPGVGPEHAYLLDSGRAEYVGITDAEALQAFRMLSWYEGIIPALESSHALAYALKLAEHADPQGEPLNILVNLSGRGDKDVDYVRHILGDLAAEDPATTKVTDPHVAEVLEKMTDESNAREGVGRYAHHDDEQVGE</f>
        <v>#NAME?</v>
      </c>
    </row>
    <row r="8" spans="1:32" hidden="1" x14ac:dyDescent="0.35">
      <c r="A8">
        <v>140</v>
      </c>
      <c r="B8" t="s">
        <v>232</v>
      </c>
      <c r="C8" t="s">
        <v>72</v>
      </c>
      <c r="D8" t="s">
        <v>34</v>
      </c>
      <c r="E8">
        <v>1114</v>
      </c>
      <c r="F8">
        <v>5</v>
      </c>
      <c r="G8">
        <v>9</v>
      </c>
      <c r="H8">
        <v>2</v>
      </c>
      <c r="I8">
        <v>0</v>
      </c>
      <c r="J8">
        <v>0.81656619781201201</v>
      </c>
      <c r="K8">
        <v>0.87107768318304402</v>
      </c>
      <c r="L8">
        <v>0.84294157051224206</v>
      </c>
      <c r="M8">
        <v>0.56107660455486497</v>
      </c>
      <c r="N8">
        <v>0.99792960662525898</v>
      </c>
      <c r="O8">
        <v>0.72406257188865897</v>
      </c>
      <c r="P8" t="s">
        <v>233</v>
      </c>
      <c r="Q8" t="s">
        <v>234</v>
      </c>
      <c r="R8" t="s">
        <v>235</v>
      </c>
      <c r="S8" t="s">
        <v>236</v>
      </c>
      <c r="T8" t="s">
        <v>237</v>
      </c>
      <c r="U8" t="s">
        <v>238</v>
      </c>
      <c r="V8" t="s">
        <v>239</v>
      </c>
      <c r="W8" t="s">
        <v>240</v>
      </c>
      <c r="X8" t="s">
        <v>239</v>
      </c>
      <c r="Y8" t="s">
        <v>241</v>
      </c>
      <c r="Z8" t="s">
        <v>242</v>
      </c>
      <c r="AA8" t="s">
        <v>243</v>
      </c>
      <c r="AB8" t="s">
        <v>242</v>
      </c>
      <c r="AC8" t="s">
        <v>244</v>
      </c>
      <c r="AD8" t="s">
        <v>245</v>
      </c>
      <c r="AE8" t="s">
        <v>246</v>
      </c>
      <c r="AF8" t="s">
        <v>251</v>
      </c>
    </row>
    <row r="9" spans="1:32" hidden="1" x14ac:dyDescent="0.35">
      <c r="A9">
        <v>141</v>
      </c>
      <c r="B9" t="s">
        <v>232</v>
      </c>
      <c r="C9" t="s">
        <v>72</v>
      </c>
      <c r="D9" t="s">
        <v>45</v>
      </c>
      <c r="E9">
        <v>2372</v>
      </c>
      <c r="F9">
        <v>5</v>
      </c>
      <c r="G9">
        <v>9</v>
      </c>
      <c r="H9">
        <v>2</v>
      </c>
      <c r="I9">
        <v>0</v>
      </c>
      <c r="J9">
        <v>0.81656619781201201</v>
      </c>
      <c r="K9">
        <v>0.87107768318304402</v>
      </c>
      <c r="L9">
        <v>0.84294157051224206</v>
      </c>
      <c r="M9">
        <v>0.56107660455486497</v>
      </c>
      <c r="N9">
        <v>0.99792960662525898</v>
      </c>
      <c r="O9">
        <v>0.72406257188865897</v>
      </c>
      <c r="P9" t="s">
        <v>233</v>
      </c>
      <c r="Q9" t="s">
        <v>234</v>
      </c>
      <c r="R9" t="s">
        <v>235</v>
      </c>
      <c r="S9" t="s">
        <v>236</v>
      </c>
      <c r="T9" t="s">
        <v>237</v>
      </c>
      <c r="U9" t="s">
        <v>238</v>
      </c>
      <c r="V9" t="s">
        <v>239</v>
      </c>
      <c r="W9" t="s">
        <v>240</v>
      </c>
      <c r="X9" t="s">
        <v>239</v>
      </c>
      <c r="Y9" t="s">
        <v>241</v>
      </c>
      <c r="Z9" t="s">
        <v>242</v>
      </c>
      <c r="AA9" t="s">
        <v>243</v>
      </c>
      <c r="AB9" t="s">
        <v>242</v>
      </c>
      <c r="AC9" t="s">
        <v>244</v>
      </c>
      <c r="AD9" t="s">
        <v>245</v>
      </c>
      <c r="AE9" t="s">
        <v>246</v>
      </c>
      <c r="AF9" t="e">
        <f>-------MTHPH-PT-LIDAYFGEYGGQYVPEVLYPSLDQLEQAYVDALNDPEFLRELDDLRRNYLGRPTPITECANLPLS------------------------GNARIFLKREDLLHGGAHKGNQVLAQALLAKRMGKTRLIAETGAGQHGMATAMVAALMGMECTIYMGARDVARQQPNVYRMRLMGAKVVPVSNEHGEALSDAIDVALADWVESLGTTHYLLGTAAGPHPFPKLVKQFQKVISEESRQQMLERTGRLPDAVVACVGGGSNAIGAFAEYLPDE----EVRLIGVEPAGEGLDSGKHGAPLNRGKVGVLHGSKSYVMLGSDGEVMHSHSVSAGLDYPGVGPEHAYLLDSGRAEYVGITDAEALQAFRMLSWYEGIIPALESSHALAYALKLAEHADPQGEPLNILVNLSGRGDKDVDYVRHILGDLAAEDPATTKVTDPHVAEVLEKMTDESNAREGVGRYAHHDDEQVGE</f>
        <v>#NAME?</v>
      </c>
    </row>
    <row r="10" spans="1:32" hidden="1" x14ac:dyDescent="0.35">
      <c r="A10">
        <v>142</v>
      </c>
      <c r="B10" t="s">
        <v>232</v>
      </c>
      <c r="C10" t="s">
        <v>72</v>
      </c>
      <c r="D10" t="s">
        <v>45</v>
      </c>
      <c r="E10">
        <v>2367</v>
      </c>
      <c r="F10">
        <v>5</v>
      </c>
      <c r="G10">
        <v>9</v>
      </c>
      <c r="H10">
        <v>2</v>
      </c>
      <c r="I10">
        <v>0</v>
      </c>
      <c r="J10">
        <v>0.81656619781201201</v>
      </c>
      <c r="K10">
        <v>0.87107768318304402</v>
      </c>
      <c r="L10">
        <v>0.84294157051224206</v>
      </c>
      <c r="M10">
        <v>0.56107660455486497</v>
      </c>
      <c r="N10">
        <v>0.99792960662525898</v>
      </c>
      <c r="O10">
        <v>0.72406257188865897</v>
      </c>
      <c r="P10" t="s">
        <v>233</v>
      </c>
      <c r="Q10" t="s">
        <v>234</v>
      </c>
      <c r="R10" t="s">
        <v>235</v>
      </c>
      <c r="S10" t="s">
        <v>236</v>
      </c>
      <c r="T10" t="s">
        <v>237</v>
      </c>
      <c r="U10" t="s">
        <v>238</v>
      </c>
      <c r="V10" t="s">
        <v>239</v>
      </c>
      <c r="W10" t="s">
        <v>240</v>
      </c>
      <c r="X10" t="s">
        <v>239</v>
      </c>
      <c r="Y10" t="s">
        <v>241</v>
      </c>
      <c r="Z10" t="s">
        <v>242</v>
      </c>
      <c r="AA10" t="s">
        <v>243</v>
      </c>
      <c r="AB10" t="s">
        <v>242</v>
      </c>
      <c r="AC10" t="s">
        <v>244</v>
      </c>
      <c r="AD10" t="s">
        <v>245</v>
      </c>
      <c r="AE10" t="s">
        <v>246</v>
      </c>
      <c r="AF10" t="s">
        <v>251</v>
      </c>
    </row>
    <row r="11" spans="1:32" hidden="1" x14ac:dyDescent="0.35">
      <c r="A11">
        <v>253</v>
      </c>
      <c r="B11" t="s">
        <v>432</v>
      </c>
      <c r="C11" t="s">
        <v>72</v>
      </c>
      <c r="D11" t="s">
        <v>34</v>
      </c>
      <c r="E11">
        <v>741</v>
      </c>
      <c r="F11">
        <v>2</v>
      </c>
      <c r="G11">
        <v>7</v>
      </c>
      <c r="H11">
        <v>4</v>
      </c>
      <c r="I11">
        <v>0</v>
      </c>
      <c r="J11">
        <v>0.81041861519712</v>
      </c>
      <c r="K11">
        <v>0.99653054363123195</v>
      </c>
      <c r="L11">
        <v>0.89389001259439804</v>
      </c>
      <c r="M11">
        <v>0.68861209964412795</v>
      </c>
      <c r="N11">
        <v>0.99822064056939497</v>
      </c>
      <c r="O11">
        <v>0.75521098118962904</v>
      </c>
      <c r="P11" t="s">
        <v>433</v>
      </c>
      <c r="Q11" t="s">
        <v>434</v>
      </c>
      <c r="R11" t="s">
        <v>235</v>
      </c>
      <c r="S11" t="s">
        <v>236</v>
      </c>
      <c r="T11" t="s">
        <v>435</v>
      </c>
      <c r="U11" t="s">
        <v>436</v>
      </c>
      <c r="V11" t="s">
        <v>437</v>
      </c>
      <c r="W11" t="s">
        <v>438</v>
      </c>
      <c r="AD11" t="s">
        <v>439</v>
      </c>
      <c r="AE11" t="s">
        <v>440</v>
      </c>
      <c r="AF11" t="s">
        <v>441</v>
      </c>
    </row>
    <row r="12" spans="1:32" hidden="1" x14ac:dyDescent="0.35">
      <c r="A12">
        <v>254</v>
      </c>
      <c r="B12" t="s">
        <v>432</v>
      </c>
      <c r="C12" t="s">
        <v>72</v>
      </c>
      <c r="D12" t="s">
        <v>34</v>
      </c>
      <c r="E12">
        <v>740</v>
      </c>
      <c r="F12">
        <v>2</v>
      </c>
      <c r="G12">
        <v>7</v>
      </c>
      <c r="H12">
        <v>4</v>
      </c>
      <c r="I12">
        <v>0</v>
      </c>
      <c r="J12">
        <v>0.81041861519712</v>
      </c>
      <c r="K12">
        <v>0.99653054363123195</v>
      </c>
      <c r="L12">
        <v>0.89389001259439804</v>
      </c>
      <c r="M12">
        <v>0.68861209964412795</v>
      </c>
      <c r="N12">
        <v>0.99822064056939497</v>
      </c>
      <c r="O12">
        <v>0.75521098118962904</v>
      </c>
      <c r="P12" t="s">
        <v>433</v>
      </c>
      <c r="Q12" t="s">
        <v>434</v>
      </c>
      <c r="R12" t="s">
        <v>235</v>
      </c>
      <c r="S12" t="s">
        <v>236</v>
      </c>
      <c r="T12" t="s">
        <v>435</v>
      </c>
      <c r="U12" t="s">
        <v>436</v>
      </c>
      <c r="V12" t="s">
        <v>437</v>
      </c>
      <c r="W12" t="s">
        <v>438</v>
      </c>
      <c r="AD12" t="s">
        <v>439</v>
      </c>
      <c r="AE12" t="s">
        <v>440</v>
      </c>
      <c r="AF12" t="s">
        <v>442</v>
      </c>
    </row>
    <row r="13" spans="1:32" hidden="1" x14ac:dyDescent="0.35">
      <c r="A13">
        <v>255</v>
      </c>
      <c r="B13" t="s">
        <v>432</v>
      </c>
      <c r="C13" t="s">
        <v>72</v>
      </c>
      <c r="D13" t="s">
        <v>34</v>
      </c>
      <c r="E13">
        <v>739</v>
      </c>
      <c r="F13">
        <v>2</v>
      </c>
      <c r="G13">
        <v>7</v>
      </c>
      <c r="H13">
        <v>4</v>
      </c>
      <c r="I13">
        <v>0</v>
      </c>
      <c r="J13">
        <v>0.81041861519712</v>
      </c>
      <c r="K13">
        <v>0.99653054363123195</v>
      </c>
      <c r="L13">
        <v>0.89389001259439804</v>
      </c>
      <c r="M13">
        <v>0.68861209964412795</v>
      </c>
      <c r="N13">
        <v>0.99822064056939497</v>
      </c>
      <c r="O13">
        <v>0.75521098118962904</v>
      </c>
      <c r="P13" t="s">
        <v>433</v>
      </c>
      <c r="Q13" t="s">
        <v>434</v>
      </c>
      <c r="R13" t="s">
        <v>235</v>
      </c>
      <c r="S13" t="s">
        <v>236</v>
      </c>
      <c r="T13" t="s">
        <v>435</v>
      </c>
      <c r="U13" t="s">
        <v>436</v>
      </c>
      <c r="V13" t="s">
        <v>437</v>
      </c>
      <c r="W13" t="s">
        <v>438</v>
      </c>
      <c r="AD13" t="s">
        <v>439</v>
      </c>
      <c r="AE13" t="s">
        <v>440</v>
      </c>
      <c r="AF13" t="s">
        <v>443</v>
      </c>
    </row>
    <row r="14" spans="1:32" hidden="1" x14ac:dyDescent="0.35">
      <c r="A14">
        <v>256</v>
      </c>
      <c r="B14" t="s">
        <v>432</v>
      </c>
      <c r="C14" t="s">
        <v>72</v>
      </c>
      <c r="D14" t="s">
        <v>45</v>
      </c>
      <c r="E14">
        <v>2008</v>
      </c>
      <c r="F14">
        <v>2</v>
      </c>
      <c r="G14">
        <v>7</v>
      </c>
      <c r="H14">
        <v>4</v>
      </c>
      <c r="I14">
        <v>0</v>
      </c>
      <c r="J14">
        <v>0.81041861519712</v>
      </c>
      <c r="K14">
        <v>0.99653054363123195</v>
      </c>
      <c r="L14">
        <v>0.89389001259439804</v>
      </c>
      <c r="M14">
        <v>0.68861209964412795</v>
      </c>
      <c r="N14">
        <v>0.99822064056939497</v>
      </c>
      <c r="O14">
        <v>0.75521098118962904</v>
      </c>
      <c r="P14" t="s">
        <v>433</v>
      </c>
      <c r="Q14" t="s">
        <v>434</v>
      </c>
      <c r="R14" t="s">
        <v>235</v>
      </c>
      <c r="S14" t="s">
        <v>236</v>
      </c>
      <c r="T14" t="s">
        <v>435</v>
      </c>
      <c r="U14" t="s">
        <v>436</v>
      </c>
      <c r="V14" t="s">
        <v>437</v>
      </c>
      <c r="W14" t="s">
        <v>438</v>
      </c>
      <c r="AD14" t="s">
        <v>439</v>
      </c>
      <c r="AE14" t="s">
        <v>440</v>
      </c>
      <c r="AF14" t="s">
        <v>444</v>
      </c>
    </row>
    <row r="15" spans="1:32" hidden="1" x14ac:dyDescent="0.35">
      <c r="A15">
        <v>257</v>
      </c>
      <c r="B15" t="s">
        <v>432</v>
      </c>
      <c r="C15" t="s">
        <v>72</v>
      </c>
      <c r="D15" t="s">
        <v>45</v>
      </c>
      <c r="E15">
        <v>2006</v>
      </c>
      <c r="F15">
        <v>2</v>
      </c>
      <c r="G15">
        <v>7</v>
      </c>
      <c r="H15">
        <v>4</v>
      </c>
      <c r="I15">
        <v>0</v>
      </c>
      <c r="J15">
        <v>0.81041861519712</v>
      </c>
      <c r="K15">
        <v>0.99653054363123195</v>
      </c>
      <c r="L15">
        <v>0.89389001259439804</v>
      </c>
      <c r="M15">
        <v>0.68861209964412795</v>
      </c>
      <c r="N15">
        <v>0.99822064056939497</v>
      </c>
      <c r="O15">
        <v>0.75521098118962904</v>
      </c>
      <c r="P15" t="s">
        <v>433</v>
      </c>
      <c r="Q15" t="s">
        <v>434</v>
      </c>
      <c r="R15" t="s">
        <v>235</v>
      </c>
      <c r="S15" t="s">
        <v>236</v>
      </c>
      <c r="T15" t="s">
        <v>435</v>
      </c>
      <c r="U15" t="s">
        <v>436</v>
      </c>
      <c r="V15" t="s">
        <v>437</v>
      </c>
      <c r="W15" t="s">
        <v>438</v>
      </c>
      <c r="AD15" t="s">
        <v>439</v>
      </c>
      <c r="AE15" t="s">
        <v>440</v>
      </c>
      <c r="AF15" t="s">
        <v>442</v>
      </c>
    </row>
    <row r="16" spans="1:32" hidden="1" x14ac:dyDescent="0.35">
      <c r="A16">
        <v>258</v>
      </c>
      <c r="B16" t="s">
        <v>432</v>
      </c>
      <c r="C16" t="s">
        <v>72</v>
      </c>
      <c r="D16" t="s">
        <v>45</v>
      </c>
      <c r="E16">
        <v>2007</v>
      </c>
      <c r="F16">
        <v>2</v>
      </c>
      <c r="G16">
        <v>7</v>
      </c>
      <c r="H16">
        <v>4</v>
      </c>
      <c r="I16">
        <v>0</v>
      </c>
      <c r="J16">
        <v>0.81041861519712</v>
      </c>
      <c r="K16">
        <v>0.99653054363123195</v>
      </c>
      <c r="L16">
        <v>0.89389001259439804</v>
      </c>
      <c r="M16">
        <v>0.68861209964412795</v>
      </c>
      <c r="N16">
        <v>0.99822064056939497</v>
      </c>
      <c r="O16">
        <v>0.75521098118962904</v>
      </c>
      <c r="P16" t="s">
        <v>433</v>
      </c>
      <c r="Q16" t="s">
        <v>434</v>
      </c>
      <c r="R16" t="s">
        <v>235</v>
      </c>
      <c r="S16" t="s">
        <v>236</v>
      </c>
      <c r="T16" t="s">
        <v>435</v>
      </c>
      <c r="U16" t="s">
        <v>436</v>
      </c>
      <c r="V16" t="s">
        <v>437</v>
      </c>
      <c r="W16" t="s">
        <v>438</v>
      </c>
      <c r="AD16" t="s">
        <v>439</v>
      </c>
      <c r="AE16" t="s">
        <v>440</v>
      </c>
      <c r="AF16" t="s">
        <v>445</v>
      </c>
    </row>
    <row r="17" spans="1:32" hidden="1" x14ac:dyDescent="0.35">
      <c r="A17">
        <v>259</v>
      </c>
      <c r="B17" t="s">
        <v>432</v>
      </c>
      <c r="C17" t="s">
        <v>72</v>
      </c>
      <c r="D17" t="s">
        <v>45</v>
      </c>
      <c r="E17">
        <v>2005</v>
      </c>
      <c r="F17">
        <v>2</v>
      </c>
      <c r="G17">
        <v>7</v>
      </c>
      <c r="H17">
        <v>4</v>
      </c>
      <c r="I17">
        <v>0</v>
      </c>
      <c r="J17">
        <v>0.81041861519712</v>
      </c>
      <c r="K17">
        <v>0.99653054363123195</v>
      </c>
      <c r="L17">
        <v>0.89389001259439804</v>
      </c>
      <c r="M17">
        <v>0.68861209964412795</v>
      </c>
      <c r="N17">
        <v>0.99822064056939497</v>
      </c>
      <c r="O17">
        <v>0.75521098118962904</v>
      </c>
      <c r="P17" t="s">
        <v>433</v>
      </c>
      <c r="Q17" t="s">
        <v>434</v>
      </c>
      <c r="R17" t="s">
        <v>235</v>
      </c>
      <c r="S17" t="s">
        <v>236</v>
      </c>
      <c r="T17" t="s">
        <v>435</v>
      </c>
      <c r="U17" t="s">
        <v>436</v>
      </c>
      <c r="V17" t="s">
        <v>437</v>
      </c>
      <c r="W17" t="s">
        <v>438</v>
      </c>
      <c r="AD17" t="s">
        <v>439</v>
      </c>
      <c r="AE17" t="s">
        <v>440</v>
      </c>
      <c r="AF17" t="s">
        <v>446</v>
      </c>
    </row>
    <row r="18" spans="1:32" hidden="1" x14ac:dyDescent="0.35">
      <c r="A18">
        <v>4079</v>
      </c>
      <c r="B18" t="s">
        <v>8428</v>
      </c>
      <c r="C18" t="s">
        <v>72</v>
      </c>
      <c r="D18" t="s">
        <v>58</v>
      </c>
      <c r="E18">
        <v>569</v>
      </c>
      <c r="F18">
        <v>5</v>
      </c>
      <c r="G18">
        <v>5</v>
      </c>
      <c r="H18">
        <v>1</v>
      </c>
      <c r="I18">
        <v>1</v>
      </c>
      <c r="J18">
        <v>0.81477957500792897</v>
      </c>
      <c r="K18">
        <v>0.66325335512306405</v>
      </c>
      <c r="L18">
        <v>0.73124931900111201</v>
      </c>
      <c r="M18">
        <v>0.31761006289308202</v>
      </c>
      <c r="N18">
        <v>0.98899371069182396</v>
      </c>
      <c r="O18">
        <v>0.56446540880503104</v>
      </c>
      <c r="P18" t="s">
        <v>8429</v>
      </c>
      <c r="Q18" t="s">
        <v>8430</v>
      </c>
      <c r="R18" t="s">
        <v>224</v>
      </c>
      <c r="S18" t="s">
        <v>225</v>
      </c>
      <c r="T18" t="s">
        <v>8431</v>
      </c>
      <c r="U18" t="s">
        <v>8432</v>
      </c>
      <c r="V18" t="s">
        <v>8433</v>
      </c>
      <c r="W18" t="s">
        <v>8434</v>
      </c>
      <c r="X18" t="s">
        <v>8433</v>
      </c>
      <c r="Y18" t="s">
        <v>2715</v>
      </c>
      <c r="AD18" t="s">
        <v>1170</v>
      </c>
      <c r="AE18" t="s">
        <v>8435</v>
      </c>
      <c r="AF18" t="s">
        <v>8436</v>
      </c>
    </row>
    <row r="19" spans="1:32" hidden="1" x14ac:dyDescent="0.35">
      <c r="A19">
        <v>4559</v>
      </c>
      <c r="B19" t="s">
        <v>9527</v>
      </c>
      <c r="C19" t="s">
        <v>72</v>
      </c>
      <c r="D19" t="s">
        <v>58</v>
      </c>
      <c r="E19">
        <v>564</v>
      </c>
      <c r="F19">
        <v>5</v>
      </c>
      <c r="G19">
        <v>5</v>
      </c>
      <c r="H19">
        <v>1</v>
      </c>
      <c r="I19">
        <v>1</v>
      </c>
      <c r="J19">
        <v>0.80974505599237501</v>
      </c>
      <c r="K19">
        <v>0.93019515522210505</v>
      </c>
      <c r="L19">
        <v>0.86580093177271999</v>
      </c>
      <c r="M19">
        <v>0.58278145695364203</v>
      </c>
      <c r="N19">
        <v>0.99668874172185395</v>
      </c>
      <c r="O19">
        <v>0.72947019867549701</v>
      </c>
      <c r="P19" t="s">
        <v>3920</v>
      </c>
      <c r="Q19" t="s">
        <v>3921</v>
      </c>
      <c r="R19" t="s">
        <v>224</v>
      </c>
      <c r="S19" t="s">
        <v>225</v>
      </c>
      <c r="T19" t="s">
        <v>9528</v>
      </c>
      <c r="U19" t="s">
        <v>9529</v>
      </c>
      <c r="V19" t="s">
        <v>9530</v>
      </c>
      <c r="W19" t="s">
        <v>9531</v>
      </c>
      <c r="X19" t="s">
        <v>9530</v>
      </c>
      <c r="Y19" t="s">
        <v>2715</v>
      </c>
      <c r="AD19" t="s">
        <v>1170</v>
      </c>
      <c r="AE19" t="s">
        <v>9532</v>
      </c>
      <c r="AF19" t="s">
        <v>9533</v>
      </c>
    </row>
    <row r="20" spans="1:32" hidden="1" x14ac:dyDescent="0.35">
      <c r="A20">
        <v>2104</v>
      </c>
      <c r="B20" t="s">
        <v>4377</v>
      </c>
      <c r="C20" t="s">
        <v>72</v>
      </c>
      <c r="D20" t="s">
        <v>58</v>
      </c>
      <c r="E20">
        <v>1303</v>
      </c>
      <c r="F20">
        <v>5</v>
      </c>
      <c r="G20">
        <v>5</v>
      </c>
      <c r="H20">
        <v>1</v>
      </c>
      <c r="I20">
        <v>1</v>
      </c>
      <c r="J20">
        <v>0.788406682966585</v>
      </c>
      <c r="K20">
        <v>0.94747759068442505</v>
      </c>
      <c r="L20">
        <v>0.86065376107769098</v>
      </c>
      <c r="M20">
        <v>0.59537572254335303</v>
      </c>
      <c r="N20">
        <v>1</v>
      </c>
      <c r="O20">
        <v>0.70491329479768805</v>
      </c>
      <c r="P20" t="s">
        <v>4378</v>
      </c>
      <c r="Q20" t="s">
        <v>4379</v>
      </c>
      <c r="R20" t="s">
        <v>224</v>
      </c>
      <c r="S20" t="s">
        <v>225</v>
      </c>
      <c r="T20" t="s">
        <v>4380</v>
      </c>
      <c r="U20" t="s">
        <v>4381</v>
      </c>
      <c r="V20" t="s">
        <v>4382</v>
      </c>
      <c r="W20" t="s">
        <v>4383</v>
      </c>
      <c r="X20" t="s">
        <v>4382</v>
      </c>
      <c r="Y20" t="s">
        <v>2715</v>
      </c>
      <c r="AD20" t="s">
        <v>1170</v>
      </c>
      <c r="AE20" t="s">
        <v>4384</v>
      </c>
      <c r="AF20" t="e">
        <f>--MEGEYGHIPVLRDRMAQLIAPGV-SALGSNAVIVDATLGAGGHSEHFLETFEKACVLGVDRDPHALAGARERLSRFGDRFVAIQARFDDFADVAD---ESEGPIFDTLREQGVAGALFDLGVSSMQLDQVERGFAYRMDAPLDMRMDPSQTKTAADILNTYSHGEIARILSTYGDERFAGKIASAIVREREKQPFTTSARLVELLYDTIPAATRKTGGHPAKRTFQALRVEVNAELDSLAAVIPVITDRLAVGGRAVFMSYQSLEDKIVKKALVDMSTSKTPPGLPMDLPGTAPQFRLITRGAEKASEAEIAENPRSAPVRVRAVERIALPDSSSFSSSSRGVL</f>
        <v>#NAME?</v>
      </c>
    </row>
    <row r="21" spans="1:32" hidden="1" x14ac:dyDescent="0.35">
      <c r="A21">
        <v>270</v>
      </c>
      <c r="B21" t="s">
        <v>462</v>
      </c>
      <c r="C21" t="s">
        <v>72</v>
      </c>
      <c r="D21" t="s">
        <v>60</v>
      </c>
      <c r="E21">
        <v>915</v>
      </c>
      <c r="F21">
        <v>5</v>
      </c>
      <c r="G21">
        <v>7</v>
      </c>
      <c r="H21">
        <v>3</v>
      </c>
      <c r="I21">
        <v>0</v>
      </c>
      <c r="J21">
        <v>0.65003030303030296</v>
      </c>
      <c r="K21">
        <v>0.96361928749400605</v>
      </c>
      <c r="L21">
        <v>0.77635409959364099</v>
      </c>
      <c r="M21">
        <v>0.43933823529411797</v>
      </c>
      <c r="N21">
        <v>0.99080882352941202</v>
      </c>
      <c r="O21">
        <v>0.56241246498599395</v>
      </c>
      <c r="P21" t="s">
        <v>433</v>
      </c>
      <c r="Q21" t="s">
        <v>434</v>
      </c>
      <c r="R21" t="s">
        <v>235</v>
      </c>
      <c r="S21" t="s">
        <v>236</v>
      </c>
      <c r="T21" t="s">
        <v>463</v>
      </c>
      <c r="U21" t="s">
        <v>464</v>
      </c>
      <c r="V21" t="s">
        <v>465</v>
      </c>
      <c r="W21" t="s">
        <v>466</v>
      </c>
      <c r="AD21" t="s">
        <v>326</v>
      </c>
      <c r="AE21" t="s">
        <v>467</v>
      </c>
      <c r="AF21" t="e">
        <f>-------------MTLKKTIAVLTAAALAVGMAACSSGSGGSGGDG---NYIVVNGSEPQHPLLPGDTNENGGGRIIEMINSGLMYYDAEGKAKNDLAESVELEGEKTYRITLKDDMSFSDGTPIKADNFVKAWNYVVEHDQLGSSYFESIQGY--ESGKPIEGLKVVDDKTFTVELNQPEADFPNRLGYQAFFPLPDSAFDDMDAYGEKPVSSGPYKLQEWSHNESATIVPNDSYKGDRKAQNEGVKFVFYPQLDPAYADLLAGQLDVLDTVPDSAMTSFQQELGDRAVNKSVAYFQSFTIPQKLEHFSG-EEGKLRRQAISLAINREEVTEKIFNKTRVPAKDFTAPVAEGYSADIAGNDVLAYNPEKAKELWAKADEMSPFTGEFSIAYNADGGHQGWVDAVTNSIKNTLGIEAVGYPYPDFKSLRDDITNRTISGAFRSGWQGDYPGLGNFLAPLYGTGGSSNDGDYSNPDFDAKLKEAASAKTSEESNALYNQSQETLFKDLPAVPLWYSNVTGGYSENVSNVEFGWNTTPLYYKITRK</f>
        <v>#NAME?</v>
      </c>
    </row>
    <row r="22" spans="1:32" hidden="1" x14ac:dyDescent="0.35">
      <c r="A22">
        <v>271</v>
      </c>
      <c r="B22" t="s">
        <v>462</v>
      </c>
      <c r="C22" t="s">
        <v>72</v>
      </c>
      <c r="D22" t="s">
        <v>62</v>
      </c>
      <c r="E22">
        <v>951</v>
      </c>
      <c r="F22">
        <v>5</v>
      </c>
      <c r="G22">
        <v>7</v>
      </c>
      <c r="H22">
        <v>3</v>
      </c>
      <c r="I22">
        <v>0</v>
      </c>
      <c r="J22">
        <v>0.65003030303030296</v>
      </c>
      <c r="K22">
        <v>0.96361928749400605</v>
      </c>
      <c r="L22">
        <v>0.77635409959364099</v>
      </c>
      <c r="M22">
        <v>0.43933823529411797</v>
      </c>
      <c r="N22">
        <v>0.99080882352941202</v>
      </c>
      <c r="O22">
        <v>0.56241246498599395</v>
      </c>
      <c r="P22" t="s">
        <v>433</v>
      </c>
      <c r="Q22" t="s">
        <v>434</v>
      </c>
      <c r="R22" t="s">
        <v>235</v>
      </c>
      <c r="S22" t="s">
        <v>236</v>
      </c>
      <c r="T22" t="s">
        <v>463</v>
      </c>
      <c r="U22" t="s">
        <v>464</v>
      </c>
      <c r="V22" t="s">
        <v>465</v>
      </c>
      <c r="W22" t="s">
        <v>466</v>
      </c>
      <c r="AD22" t="s">
        <v>326</v>
      </c>
      <c r="AE22" t="s">
        <v>467</v>
      </c>
      <c r="AF22" t="e">
        <f>-------------MTLKKTIAVLTAAALAVGMAACSSGSGGSGGDG---NYIVVNGSEPQHPLLPGDTNENGGGRIIDMINSGLMYYDAEGKAKKDLAESIELEGEKTYRITLKDGMSFSDGTPIKADNFVKAWNYVVEHDQLGSSYFESIQGY--ESGKPMEGLKVVDDKTFTVELNQPEADFPNRLGYTAFFPLPDSAFDDMDAYGEKPVSSGPYKLQEWSHNESATIVPNDSYKGDRKAQNEGVKFVFYPQLDPAYADLLAGQLDVLDTVPDSAMTSFQQELGDRAVNKSVAYFQSFTIPQKLEHFSG-EEGKLRRQAISLAINREEVTEKIFNKTRVPAKDFTAPVVEGYSADIAGNDVLAYNPEKAKKLWAKADEMSPFTGEFSIAYNADGGHQGWVDAVTNSIKNTLGIEAVGYPYPDFKSLRDDITNRTISGAFRSGWQGDYPGLGNFLVPLYGTGGSSNDGDYSNPDFDAKLKEAAGAKTSEESNTLYNQSQETLFKDLPAIPLWYSNATGGYSENVSNVEFGWNSTPLYYKITRK</f>
        <v>#NAME?</v>
      </c>
    </row>
    <row r="23" spans="1:32" hidden="1" x14ac:dyDescent="0.35">
      <c r="A23">
        <v>272</v>
      </c>
      <c r="B23" t="s">
        <v>462</v>
      </c>
      <c r="C23" t="s">
        <v>72</v>
      </c>
      <c r="D23" t="s">
        <v>34</v>
      </c>
      <c r="E23">
        <v>244</v>
      </c>
      <c r="F23">
        <v>5</v>
      </c>
      <c r="G23">
        <v>7</v>
      </c>
      <c r="H23">
        <v>3</v>
      </c>
      <c r="I23">
        <v>0</v>
      </c>
      <c r="J23">
        <v>0.65003030303030296</v>
      </c>
      <c r="K23">
        <v>0.96361928749400605</v>
      </c>
      <c r="L23">
        <v>0.77635409959364099</v>
      </c>
      <c r="M23">
        <v>0.43933823529411797</v>
      </c>
      <c r="N23">
        <v>0.99080882352941202</v>
      </c>
      <c r="O23">
        <v>0.56241246498599395</v>
      </c>
      <c r="P23" t="s">
        <v>433</v>
      </c>
      <c r="Q23" t="s">
        <v>434</v>
      </c>
      <c r="R23" t="s">
        <v>235</v>
      </c>
      <c r="S23" t="s">
        <v>236</v>
      </c>
      <c r="V23" t="s">
        <v>465</v>
      </c>
      <c r="W23" t="s">
        <v>466</v>
      </c>
      <c r="AF23" t="e">
        <f>------MPIHHQIRTVATILATITIAALV--LTGCNTAVRRNGEDEVSRKLITVWGAEPQNPLLPADTNETGGTKVITALFAGLVYYDADGKTHNDVAKSIDFDGDRTYTVTLRKTR-FADGTEVKAHNFVKAWNYAVTHEQSLSNYFKPIKGYTADGSGSLTGVKIVNDTTFTIELAEPLADFPDRLGHVAFYPLPDVAFENMAAFGEHPIGNGPYMLADWTHDKEIRVLTNDHYDGPRKSRNDGLRFMIYPTAEQAYQDLLTNKLDVLETMPPNAFSTFEAVLGDRAINQPTAVNQFITIPQKLEYFSG-EEGNLRRQAISMAINRKAITTTIYNNVYTPAVDFTAPIVKGYSASIPGHQVLRYNPTKAKELWDQANAISPYIGEFAIAYNADSGHRAWVDAVVEQLKDNLGIEAVGKPYPNYKALRNDITRHTIGCSFRAGWQADYPLISNFLVTSFATGGSANNGDYTSEEFDNLVAAGDKAKTSAAAISYYHQAEEVLFRDLPSIPLWNNNAVGGYSTQVSQVKFGWDSTPLYHRIIKN</f>
        <v>#NAME?</v>
      </c>
    </row>
    <row r="24" spans="1:32" hidden="1" x14ac:dyDescent="0.35">
      <c r="A24">
        <v>273</v>
      </c>
      <c r="B24" t="s">
        <v>462</v>
      </c>
      <c r="C24" t="s">
        <v>72</v>
      </c>
      <c r="D24" t="s">
        <v>45</v>
      </c>
      <c r="E24">
        <v>1507</v>
      </c>
      <c r="F24">
        <v>5</v>
      </c>
      <c r="G24">
        <v>7</v>
      </c>
      <c r="H24">
        <v>3</v>
      </c>
      <c r="I24">
        <v>0</v>
      </c>
      <c r="J24">
        <v>0.65003030303030296</v>
      </c>
      <c r="K24">
        <v>0.96361928749400605</v>
      </c>
      <c r="L24">
        <v>0.77635409959364099</v>
      </c>
      <c r="M24">
        <v>0.43933823529411797</v>
      </c>
      <c r="N24">
        <v>0.99080882352941202</v>
      </c>
      <c r="O24">
        <v>0.56241246498599395</v>
      </c>
      <c r="P24" t="s">
        <v>433</v>
      </c>
      <c r="Q24" t="s">
        <v>434</v>
      </c>
      <c r="R24" t="s">
        <v>235</v>
      </c>
      <c r="S24" t="s">
        <v>236</v>
      </c>
      <c r="V24" t="s">
        <v>465</v>
      </c>
      <c r="W24" t="s">
        <v>466</v>
      </c>
      <c r="AF24" t="e">
        <f>------MPIHHQIRTVATILATITIAALV--LTGCNTAVRRNGEDEVSRKLITVWGAEPQNPLLPADTNETGGTKVITALFAGLVYYDADGKTHNDVAKSIDFDGDRTYTVTLRKTR-FADGTEVKAHNFVKAWNYAVTHEQSLSNYFKPIKGYTADGSGSLTGVKIVNDTTFTIELAEPLADFPDRLGHVAFYPLPDVAFENMAAFGEHPVGNGPYTLADWTHDKEIRVLTNDHYDGPRKSRNDGLRFMIYPTAEQAYQDLLTNKLDILETMPPNAFSTFEAVLGDRAINQPTAVNQFITIPQKLEYFSG-EEGNLRRQAISMAINRKAITTTIYNNVYTPAVDFTAPIVKGYSASIPGHQVLRYNPTKAKELWDQANAISPYIGEFAIAYNADSGHRAWVDAVVEQLKDNLGIDAVGKPYPNYKALRNDITRHTIGCSFRAGWQADYPLISNFLVTSFATGGSANNGDYTSEEFDNLVAAGDKAKTSAAAISYYHQAEEVLFRDLPSIPLWNNNAVGGYSTQVSQVKFGWDSTPLYYRIIKN</f>
        <v>#NAME?</v>
      </c>
    </row>
    <row r="25" spans="1:32" hidden="1" x14ac:dyDescent="0.35">
      <c r="A25">
        <v>4269</v>
      </c>
      <c r="B25" t="s">
        <v>8868</v>
      </c>
      <c r="C25" t="s">
        <v>72</v>
      </c>
      <c r="D25" t="s">
        <v>58</v>
      </c>
      <c r="E25">
        <v>1002</v>
      </c>
      <c r="F25">
        <v>5</v>
      </c>
      <c r="G25">
        <v>5</v>
      </c>
      <c r="H25">
        <v>1</v>
      </c>
      <c r="I25">
        <v>1</v>
      </c>
      <c r="J25">
        <v>0.76362640372500701</v>
      </c>
      <c r="K25">
        <v>0.95008071393762505</v>
      </c>
      <c r="L25">
        <v>0.846710282469052</v>
      </c>
      <c r="M25">
        <v>0.55360623781676399</v>
      </c>
      <c r="N25">
        <v>0.99610136452241704</v>
      </c>
      <c r="O25">
        <v>0.67680311890838196</v>
      </c>
      <c r="P25" t="s">
        <v>8869</v>
      </c>
      <c r="Q25" t="s">
        <v>8870</v>
      </c>
      <c r="R25" t="s">
        <v>224</v>
      </c>
      <c r="S25" t="s">
        <v>225</v>
      </c>
      <c r="T25" t="s">
        <v>8871</v>
      </c>
      <c r="U25" t="s">
        <v>8872</v>
      </c>
      <c r="V25" t="s">
        <v>8873</v>
      </c>
      <c r="W25" t="s">
        <v>8874</v>
      </c>
      <c r="X25" t="s">
        <v>8873</v>
      </c>
      <c r="Y25" t="s">
        <v>2715</v>
      </c>
      <c r="AD25" t="s">
        <v>1170</v>
      </c>
      <c r="AE25" t="s">
        <v>8875</v>
      </c>
      <c r="AF25" t="s">
        <v>8876</v>
      </c>
    </row>
    <row r="26" spans="1:32" hidden="1" x14ac:dyDescent="0.35">
      <c r="A26">
        <v>460</v>
      </c>
      <c r="B26" t="s">
        <v>850</v>
      </c>
      <c r="C26" t="s">
        <v>72</v>
      </c>
      <c r="D26" t="s">
        <v>60</v>
      </c>
      <c r="E26">
        <v>1672</v>
      </c>
      <c r="F26">
        <v>5</v>
      </c>
      <c r="G26">
        <v>5</v>
      </c>
      <c r="H26">
        <v>1</v>
      </c>
      <c r="I26">
        <v>1</v>
      </c>
      <c r="J26">
        <v>0.79612973562278599</v>
      </c>
      <c r="K26">
        <v>0.91811805633486598</v>
      </c>
      <c r="L26">
        <v>0.85278346443212405</v>
      </c>
      <c r="M26">
        <v>0.537313432835821</v>
      </c>
      <c r="N26">
        <v>1</v>
      </c>
      <c r="O26">
        <v>0.71492537313432802</v>
      </c>
      <c r="P26" t="s">
        <v>851</v>
      </c>
      <c r="Q26" t="s">
        <v>852</v>
      </c>
      <c r="R26" t="s">
        <v>235</v>
      </c>
      <c r="S26" t="s">
        <v>236</v>
      </c>
      <c r="T26" t="s">
        <v>853</v>
      </c>
      <c r="U26" t="s">
        <v>854</v>
      </c>
      <c r="V26" t="s">
        <v>855</v>
      </c>
      <c r="W26" t="s">
        <v>856</v>
      </c>
      <c r="X26" t="s">
        <v>855</v>
      </c>
      <c r="Y26" t="s">
        <v>857</v>
      </c>
      <c r="Z26" t="s">
        <v>858</v>
      </c>
      <c r="AA26" t="s">
        <v>859</v>
      </c>
      <c r="AB26" t="s">
        <v>858</v>
      </c>
      <c r="AC26" t="s">
        <v>860</v>
      </c>
      <c r="AD26" t="s">
        <v>219</v>
      </c>
      <c r="AE26" t="s">
        <v>861</v>
      </c>
      <c r="AF26" t="s">
        <v>863</v>
      </c>
    </row>
    <row r="27" spans="1:32" hidden="1" x14ac:dyDescent="0.35">
      <c r="A27">
        <v>461</v>
      </c>
      <c r="B27" t="s">
        <v>850</v>
      </c>
      <c r="C27" t="s">
        <v>72</v>
      </c>
      <c r="D27" t="s">
        <v>62</v>
      </c>
      <c r="E27">
        <v>1707</v>
      </c>
      <c r="F27">
        <v>5</v>
      </c>
      <c r="G27">
        <v>5</v>
      </c>
      <c r="H27">
        <v>1</v>
      </c>
      <c r="I27">
        <v>1</v>
      </c>
      <c r="J27">
        <v>0.79612973562278599</v>
      </c>
      <c r="K27">
        <v>0.91811805633486598</v>
      </c>
      <c r="L27">
        <v>0.85278346443212405</v>
      </c>
      <c r="M27">
        <v>0.537313432835821</v>
      </c>
      <c r="N27">
        <v>1</v>
      </c>
      <c r="O27">
        <v>0.71492537313432802</v>
      </c>
      <c r="P27" t="s">
        <v>851</v>
      </c>
      <c r="Q27" t="s">
        <v>852</v>
      </c>
      <c r="R27" t="s">
        <v>235</v>
      </c>
      <c r="S27" t="s">
        <v>236</v>
      </c>
      <c r="T27" t="s">
        <v>853</v>
      </c>
      <c r="U27" t="s">
        <v>854</v>
      </c>
      <c r="V27" t="s">
        <v>855</v>
      </c>
      <c r="W27" t="s">
        <v>856</v>
      </c>
      <c r="X27" t="s">
        <v>855</v>
      </c>
      <c r="Y27" t="s">
        <v>857</v>
      </c>
      <c r="Z27" t="s">
        <v>858</v>
      </c>
      <c r="AA27" t="s">
        <v>859</v>
      </c>
      <c r="AB27" t="s">
        <v>858</v>
      </c>
      <c r="AC27" t="s">
        <v>860</v>
      </c>
      <c r="AD27" t="s">
        <v>219</v>
      </c>
      <c r="AE27" t="s">
        <v>861</v>
      </c>
      <c r="AF27" t="s">
        <v>863</v>
      </c>
    </row>
    <row r="28" spans="1:32" hidden="1" x14ac:dyDescent="0.35">
      <c r="A28">
        <v>462</v>
      </c>
      <c r="B28" t="s">
        <v>850</v>
      </c>
      <c r="C28" t="s">
        <v>72</v>
      </c>
      <c r="D28" t="s">
        <v>34</v>
      </c>
      <c r="E28">
        <v>2067</v>
      </c>
      <c r="F28">
        <v>5</v>
      </c>
      <c r="G28">
        <v>5</v>
      </c>
      <c r="H28">
        <v>1</v>
      </c>
      <c r="I28">
        <v>1</v>
      </c>
      <c r="J28">
        <v>0.79612973562278599</v>
      </c>
      <c r="K28">
        <v>0.91811805633486598</v>
      </c>
      <c r="L28">
        <v>0.85278346443212405</v>
      </c>
      <c r="M28">
        <v>0.537313432835821</v>
      </c>
      <c r="N28">
        <v>1</v>
      </c>
      <c r="O28">
        <v>0.71492537313432802</v>
      </c>
      <c r="P28" t="s">
        <v>851</v>
      </c>
      <c r="Q28" t="s">
        <v>852</v>
      </c>
      <c r="R28" t="s">
        <v>235</v>
      </c>
      <c r="S28" t="s">
        <v>236</v>
      </c>
      <c r="T28" t="s">
        <v>853</v>
      </c>
      <c r="U28" t="s">
        <v>854</v>
      </c>
      <c r="V28" t="s">
        <v>855</v>
      </c>
      <c r="W28" t="s">
        <v>856</v>
      </c>
      <c r="X28" t="s">
        <v>855</v>
      </c>
      <c r="Y28" t="s">
        <v>857</v>
      </c>
      <c r="Z28" t="s">
        <v>858</v>
      </c>
      <c r="AA28" t="s">
        <v>859</v>
      </c>
      <c r="AB28" t="s">
        <v>858</v>
      </c>
      <c r="AC28" t="s">
        <v>860</v>
      </c>
      <c r="AD28" t="s">
        <v>219</v>
      </c>
      <c r="AE28" t="s">
        <v>861</v>
      </c>
      <c r="AF28" t="s">
        <v>864</v>
      </c>
    </row>
    <row r="29" spans="1:32" hidden="1" x14ac:dyDescent="0.35">
      <c r="A29">
        <v>463</v>
      </c>
      <c r="B29" t="s">
        <v>850</v>
      </c>
      <c r="C29" t="s">
        <v>72</v>
      </c>
      <c r="D29" t="s">
        <v>45</v>
      </c>
      <c r="E29">
        <v>805</v>
      </c>
      <c r="F29">
        <v>5</v>
      </c>
      <c r="G29">
        <v>5</v>
      </c>
      <c r="H29">
        <v>1</v>
      </c>
      <c r="I29">
        <v>1</v>
      </c>
      <c r="J29">
        <v>0.79612973562278599</v>
      </c>
      <c r="K29">
        <v>0.91811805633486598</v>
      </c>
      <c r="L29">
        <v>0.85278346443212405</v>
      </c>
      <c r="M29">
        <v>0.537313432835821</v>
      </c>
      <c r="N29">
        <v>1</v>
      </c>
      <c r="O29">
        <v>0.71492537313432802</v>
      </c>
      <c r="P29" t="s">
        <v>851</v>
      </c>
      <c r="Q29" t="s">
        <v>852</v>
      </c>
      <c r="R29" t="s">
        <v>235</v>
      </c>
      <c r="S29" t="s">
        <v>236</v>
      </c>
      <c r="T29" t="s">
        <v>853</v>
      </c>
      <c r="U29" t="s">
        <v>854</v>
      </c>
      <c r="V29" t="s">
        <v>855</v>
      </c>
      <c r="W29" t="s">
        <v>856</v>
      </c>
      <c r="X29" t="s">
        <v>855</v>
      </c>
      <c r="Y29" t="s">
        <v>857</v>
      </c>
      <c r="Z29" t="s">
        <v>858</v>
      </c>
      <c r="AA29" t="s">
        <v>859</v>
      </c>
      <c r="AB29" t="s">
        <v>858</v>
      </c>
      <c r="AC29" t="s">
        <v>860</v>
      </c>
      <c r="AD29" t="s">
        <v>219</v>
      </c>
      <c r="AE29" t="s">
        <v>861</v>
      </c>
      <c r="AF29" t="s">
        <v>865</v>
      </c>
    </row>
    <row r="30" spans="1:32" hidden="1" x14ac:dyDescent="0.35">
      <c r="A30">
        <v>4819</v>
      </c>
      <c r="B30" t="s">
        <v>10115</v>
      </c>
      <c r="C30" t="s">
        <v>10127</v>
      </c>
      <c r="D30" t="s">
        <v>58</v>
      </c>
      <c r="E30">
        <v>1884</v>
      </c>
      <c r="F30">
        <v>5</v>
      </c>
      <c r="G30">
        <v>5</v>
      </c>
      <c r="H30">
        <v>1</v>
      </c>
      <c r="I30">
        <v>1</v>
      </c>
      <c r="J30">
        <v>0.81032818532818496</v>
      </c>
      <c r="K30">
        <v>0.96455553140621797</v>
      </c>
      <c r="L30">
        <v>0.88074111677663802</v>
      </c>
      <c r="M30">
        <v>0.65116279069767402</v>
      </c>
      <c r="N30">
        <v>0.99534883720930201</v>
      </c>
      <c r="O30">
        <v>0.72418604651162799</v>
      </c>
      <c r="P30" t="s">
        <v>10116</v>
      </c>
      <c r="Q30" t="s">
        <v>10117</v>
      </c>
      <c r="R30" t="s">
        <v>224</v>
      </c>
      <c r="S30" t="s">
        <v>225</v>
      </c>
      <c r="T30" t="s">
        <v>10118</v>
      </c>
      <c r="U30" t="s">
        <v>10119</v>
      </c>
      <c r="V30" t="s">
        <v>10120</v>
      </c>
      <c r="W30" t="s">
        <v>10121</v>
      </c>
      <c r="X30" t="s">
        <v>10120</v>
      </c>
      <c r="Y30" t="s">
        <v>2715</v>
      </c>
      <c r="AD30" t="s">
        <v>10122</v>
      </c>
      <c r="AE30" t="s">
        <v>10123</v>
      </c>
      <c r="AF30" t="e">
        <f>----MKQDVPAAAEEIFGDNLPKAIRYHESLATDGNIRGFMGPREIPKLWDRHILNCAVIGEAMRHGIKVTDIGSGAGLPGIPLAIARPDLDITLIEPLLKRSTYLAEIVDQLELPNVTVVRGRAEDKAIRKQVGLADVVTSRAVAPLGKLAHWSLPLAKVGGRMTAMKGESVAEELDRDAAIIAKAGAGASKIFVVGEALLPQPTTLISIERRR</f>
        <v>#NAME?</v>
      </c>
    </row>
    <row r="31" spans="1:32" hidden="1" x14ac:dyDescent="0.35">
      <c r="A31">
        <v>495</v>
      </c>
      <c r="B31" t="s">
        <v>944</v>
      </c>
      <c r="C31" t="s">
        <v>72</v>
      </c>
      <c r="D31" t="s">
        <v>60</v>
      </c>
      <c r="E31">
        <v>1650</v>
      </c>
      <c r="F31">
        <v>5</v>
      </c>
      <c r="G31">
        <v>5</v>
      </c>
      <c r="H31">
        <v>1</v>
      </c>
      <c r="I31">
        <v>1</v>
      </c>
      <c r="J31">
        <v>0.92153379228662402</v>
      </c>
      <c r="K31">
        <v>0.98547928903221305</v>
      </c>
      <c r="L31">
        <v>0.95243443827215701</v>
      </c>
      <c r="M31">
        <v>0.827133479212254</v>
      </c>
      <c r="N31">
        <v>1</v>
      </c>
      <c r="O31">
        <v>0.87789934354485799</v>
      </c>
      <c r="P31" t="s">
        <v>945</v>
      </c>
      <c r="Q31" t="s">
        <v>946</v>
      </c>
      <c r="R31" t="s">
        <v>235</v>
      </c>
      <c r="S31" t="s">
        <v>236</v>
      </c>
      <c r="T31" t="s">
        <v>947</v>
      </c>
      <c r="U31" t="s">
        <v>948</v>
      </c>
      <c r="V31" t="s">
        <v>949</v>
      </c>
      <c r="W31" t="s">
        <v>950</v>
      </c>
      <c r="X31" t="s">
        <v>949</v>
      </c>
      <c r="Y31" t="s">
        <v>190</v>
      </c>
      <c r="AD31" t="s">
        <v>951</v>
      </c>
      <c r="AE31" t="s">
        <v>952</v>
      </c>
      <c r="AF31" t="s">
        <v>954</v>
      </c>
    </row>
    <row r="32" spans="1:32" hidden="1" x14ac:dyDescent="0.35">
      <c r="A32">
        <v>496</v>
      </c>
      <c r="B32" t="s">
        <v>944</v>
      </c>
      <c r="C32" t="s">
        <v>72</v>
      </c>
      <c r="D32" t="s">
        <v>62</v>
      </c>
      <c r="E32">
        <v>1685</v>
      </c>
      <c r="F32">
        <v>5</v>
      </c>
      <c r="G32">
        <v>5</v>
      </c>
      <c r="H32">
        <v>1</v>
      </c>
      <c r="I32">
        <v>1</v>
      </c>
      <c r="J32">
        <v>0.92153379228662402</v>
      </c>
      <c r="K32">
        <v>0.98547928903221305</v>
      </c>
      <c r="L32">
        <v>0.95243443827215701</v>
      </c>
      <c r="M32">
        <v>0.827133479212254</v>
      </c>
      <c r="N32">
        <v>1</v>
      </c>
      <c r="O32">
        <v>0.87789934354485799</v>
      </c>
      <c r="P32" t="s">
        <v>945</v>
      </c>
      <c r="Q32" t="s">
        <v>946</v>
      </c>
      <c r="R32" t="s">
        <v>235</v>
      </c>
      <c r="S32" t="s">
        <v>236</v>
      </c>
      <c r="T32" t="s">
        <v>947</v>
      </c>
      <c r="U32" t="s">
        <v>948</v>
      </c>
      <c r="V32" t="s">
        <v>949</v>
      </c>
      <c r="W32" t="s">
        <v>950</v>
      </c>
      <c r="X32" t="s">
        <v>949</v>
      </c>
      <c r="Y32" t="s">
        <v>190</v>
      </c>
      <c r="AD32" t="s">
        <v>951</v>
      </c>
      <c r="AE32" t="s">
        <v>952</v>
      </c>
      <c r="AF32" t="s">
        <v>954</v>
      </c>
    </row>
    <row r="33" spans="1:32" hidden="1" x14ac:dyDescent="0.35">
      <c r="A33">
        <v>497</v>
      </c>
      <c r="B33" t="s">
        <v>944</v>
      </c>
      <c r="C33" t="s">
        <v>72</v>
      </c>
      <c r="D33" t="s">
        <v>34</v>
      </c>
      <c r="E33">
        <v>2055</v>
      </c>
      <c r="F33">
        <v>5</v>
      </c>
      <c r="G33">
        <v>5</v>
      </c>
      <c r="H33">
        <v>1</v>
      </c>
      <c r="I33">
        <v>1</v>
      </c>
      <c r="J33">
        <v>0.92153379228662402</v>
      </c>
      <c r="K33">
        <v>0.98547928903221305</v>
      </c>
      <c r="L33">
        <v>0.95243443827215701</v>
      </c>
      <c r="M33">
        <v>0.827133479212254</v>
      </c>
      <c r="N33">
        <v>1</v>
      </c>
      <c r="O33">
        <v>0.87789934354485799</v>
      </c>
      <c r="P33" t="s">
        <v>945</v>
      </c>
      <c r="Q33" t="s">
        <v>946</v>
      </c>
      <c r="R33" t="s">
        <v>235</v>
      </c>
      <c r="S33" t="s">
        <v>236</v>
      </c>
      <c r="T33" t="s">
        <v>947</v>
      </c>
      <c r="U33" t="s">
        <v>948</v>
      </c>
      <c r="V33" t="s">
        <v>949</v>
      </c>
      <c r="W33" t="s">
        <v>950</v>
      </c>
      <c r="X33" t="s">
        <v>949</v>
      </c>
      <c r="Y33" t="s">
        <v>190</v>
      </c>
      <c r="AD33" t="s">
        <v>951</v>
      </c>
      <c r="AE33" t="s">
        <v>952</v>
      </c>
      <c r="AF33" t="s">
        <v>955</v>
      </c>
    </row>
    <row r="34" spans="1:32" hidden="1" x14ac:dyDescent="0.35">
      <c r="A34">
        <v>498</v>
      </c>
      <c r="B34" t="s">
        <v>944</v>
      </c>
      <c r="C34" t="s">
        <v>72</v>
      </c>
      <c r="D34" t="s">
        <v>45</v>
      </c>
      <c r="E34">
        <v>817</v>
      </c>
      <c r="F34">
        <v>5</v>
      </c>
      <c r="G34">
        <v>5</v>
      </c>
      <c r="H34">
        <v>1</v>
      </c>
      <c r="I34">
        <v>1</v>
      </c>
      <c r="J34">
        <v>0.92153379228662402</v>
      </c>
      <c r="K34">
        <v>0.98547928903221305</v>
      </c>
      <c r="L34">
        <v>0.95243443827215701</v>
      </c>
      <c r="M34">
        <v>0.827133479212254</v>
      </c>
      <c r="N34">
        <v>1</v>
      </c>
      <c r="O34">
        <v>0.87789934354485799</v>
      </c>
      <c r="P34" t="s">
        <v>945</v>
      </c>
      <c r="Q34" t="s">
        <v>946</v>
      </c>
      <c r="R34" t="s">
        <v>235</v>
      </c>
      <c r="S34" t="s">
        <v>236</v>
      </c>
      <c r="T34" t="s">
        <v>947</v>
      </c>
      <c r="U34" t="s">
        <v>948</v>
      </c>
      <c r="V34" t="s">
        <v>949</v>
      </c>
      <c r="W34" t="s">
        <v>950</v>
      </c>
      <c r="X34" t="s">
        <v>949</v>
      </c>
      <c r="Y34" t="s">
        <v>190</v>
      </c>
      <c r="AD34" t="s">
        <v>951</v>
      </c>
      <c r="AE34" t="s">
        <v>952</v>
      </c>
      <c r="AF34" t="s">
        <v>955</v>
      </c>
    </row>
    <row r="35" spans="1:32" hidden="1" x14ac:dyDescent="0.35">
      <c r="A35">
        <v>3144</v>
      </c>
      <c r="B35" t="s">
        <v>6468</v>
      </c>
      <c r="C35" t="s">
        <v>72</v>
      </c>
      <c r="D35" t="s">
        <v>58</v>
      </c>
      <c r="E35">
        <v>816</v>
      </c>
      <c r="F35">
        <v>5</v>
      </c>
      <c r="G35">
        <v>5</v>
      </c>
      <c r="H35">
        <v>1</v>
      </c>
      <c r="I35">
        <v>1</v>
      </c>
      <c r="J35">
        <v>0.83478409284860899</v>
      </c>
      <c r="K35">
        <v>0.97682160804020202</v>
      </c>
      <c r="L35">
        <v>0.90023468080575197</v>
      </c>
      <c r="M35">
        <v>0.69499999999999995</v>
      </c>
      <c r="N35">
        <v>1</v>
      </c>
      <c r="O35">
        <v>0.79100000000000004</v>
      </c>
      <c r="P35" t="s">
        <v>6469</v>
      </c>
      <c r="Q35" t="s">
        <v>6470</v>
      </c>
      <c r="R35" t="s">
        <v>224</v>
      </c>
      <c r="S35" t="s">
        <v>225</v>
      </c>
      <c r="T35" t="s">
        <v>6471</v>
      </c>
      <c r="U35" t="s">
        <v>6472</v>
      </c>
      <c r="V35" t="s">
        <v>6473</v>
      </c>
      <c r="W35" t="s">
        <v>6474</v>
      </c>
      <c r="X35" t="s">
        <v>6473</v>
      </c>
      <c r="Y35" t="s">
        <v>2715</v>
      </c>
      <c r="AD35" t="s">
        <v>1170</v>
      </c>
      <c r="AE35" t="s">
        <v>6475</v>
      </c>
      <c r="AF35" t="s">
        <v>6476</v>
      </c>
    </row>
    <row r="36" spans="1:32" hidden="1" x14ac:dyDescent="0.35">
      <c r="A36">
        <v>500</v>
      </c>
      <c r="B36" t="s">
        <v>956</v>
      </c>
      <c r="C36" t="s">
        <v>72</v>
      </c>
      <c r="D36" t="s">
        <v>60</v>
      </c>
      <c r="E36">
        <v>746</v>
      </c>
      <c r="F36">
        <v>5</v>
      </c>
      <c r="G36">
        <v>5</v>
      </c>
      <c r="H36">
        <v>1</v>
      </c>
      <c r="I36">
        <v>1</v>
      </c>
      <c r="J36">
        <v>0.81947261663285997</v>
      </c>
      <c r="K36">
        <v>0.96721025043680697</v>
      </c>
      <c r="L36">
        <v>0.887233352228332</v>
      </c>
      <c r="M36">
        <v>0.63725490196078405</v>
      </c>
      <c r="N36">
        <v>1</v>
      </c>
      <c r="O36">
        <v>0.76274509803921597</v>
      </c>
      <c r="P36" t="s">
        <v>957</v>
      </c>
      <c r="Q36" t="s">
        <v>958</v>
      </c>
      <c r="R36" t="s">
        <v>235</v>
      </c>
      <c r="S36" t="s">
        <v>236</v>
      </c>
      <c r="T36" t="s">
        <v>959</v>
      </c>
      <c r="U36" t="s">
        <v>960</v>
      </c>
      <c r="V36" t="s">
        <v>961</v>
      </c>
      <c r="W36" t="s">
        <v>962</v>
      </c>
      <c r="X36" t="s">
        <v>961</v>
      </c>
      <c r="Y36" t="s">
        <v>241</v>
      </c>
      <c r="Z36" t="s">
        <v>963</v>
      </c>
      <c r="AA36" t="s">
        <v>964</v>
      </c>
      <c r="AB36" t="s">
        <v>963</v>
      </c>
      <c r="AC36" t="s">
        <v>965</v>
      </c>
      <c r="AD36" t="s">
        <v>219</v>
      </c>
      <c r="AE36" t="s">
        <v>966</v>
      </c>
      <c r="AF36" t="e">
        <f>----MPENFEIRMPSGTDDPLSDAEIQRYREEINRLDREILDAVKRRSDISKAIGKTRMGSGGTRLVYTRELAIINQFREELGEEGPALANILLRLGRGRLG</f>
        <v>#NAME?</v>
      </c>
    </row>
    <row r="37" spans="1:32" hidden="1" x14ac:dyDescent="0.35">
      <c r="A37">
        <v>501</v>
      </c>
      <c r="B37" t="s">
        <v>956</v>
      </c>
      <c r="C37" t="s">
        <v>72</v>
      </c>
      <c r="D37" t="s">
        <v>62</v>
      </c>
      <c r="E37">
        <v>778</v>
      </c>
      <c r="F37">
        <v>5</v>
      </c>
      <c r="G37">
        <v>5</v>
      </c>
      <c r="H37">
        <v>1</v>
      </c>
      <c r="I37">
        <v>1</v>
      </c>
      <c r="J37">
        <v>0.81947261663285997</v>
      </c>
      <c r="K37">
        <v>0.96721025043680697</v>
      </c>
      <c r="L37">
        <v>0.887233352228332</v>
      </c>
      <c r="M37">
        <v>0.63725490196078405</v>
      </c>
      <c r="N37">
        <v>1</v>
      </c>
      <c r="O37">
        <v>0.76274509803921597</v>
      </c>
      <c r="P37" t="s">
        <v>957</v>
      </c>
      <c r="Q37" t="s">
        <v>958</v>
      </c>
      <c r="R37" t="s">
        <v>235</v>
      </c>
      <c r="S37" t="s">
        <v>236</v>
      </c>
      <c r="T37" t="s">
        <v>959</v>
      </c>
      <c r="U37" t="s">
        <v>960</v>
      </c>
      <c r="V37" t="s">
        <v>961</v>
      </c>
      <c r="W37" t="s">
        <v>962</v>
      </c>
      <c r="X37" t="s">
        <v>961</v>
      </c>
      <c r="Y37" t="s">
        <v>241</v>
      </c>
      <c r="Z37" t="s">
        <v>963</v>
      </c>
      <c r="AA37" t="s">
        <v>964</v>
      </c>
      <c r="AB37" t="s">
        <v>963</v>
      </c>
      <c r="AC37" t="s">
        <v>965</v>
      </c>
      <c r="AD37" t="s">
        <v>219</v>
      </c>
      <c r="AE37" t="s">
        <v>966</v>
      </c>
      <c r="AF37" t="e">
        <f>----MPENFEIRMPSGTDDPLSDAEIQRYREEINRLDREILDAVKRRSDISKAIGKTRMGSGGTRLVYTRELAIINQFREELGEEGPALANILLRLGRGRLG</f>
        <v>#NAME?</v>
      </c>
    </row>
    <row r="38" spans="1:32" hidden="1" x14ac:dyDescent="0.35">
      <c r="A38">
        <v>502</v>
      </c>
      <c r="B38" t="s">
        <v>956</v>
      </c>
      <c r="C38" t="s">
        <v>72</v>
      </c>
      <c r="D38" t="s">
        <v>34</v>
      </c>
      <c r="E38">
        <v>387</v>
      </c>
      <c r="F38">
        <v>5</v>
      </c>
      <c r="G38">
        <v>5</v>
      </c>
      <c r="H38">
        <v>1</v>
      </c>
      <c r="I38">
        <v>1</v>
      </c>
      <c r="J38">
        <v>0.81947261663285997</v>
      </c>
      <c r="K38">
        <v>0.96721025043680697</v>
      </c>
      <c r="L38">
        <v>0.887233352228332</v>
      </c>
      <c r="M38">
        <v>0.63725490196078405</v>
      </c>
      <c r="N38">
        <v>1</v>
      </c>
      <c r="O38">
        <v>0.76274509803921597</v>
      </c>
      <c r="P38" t="s">
        <v>957</v>
      </c>
      <c r="Q38" t="s">
        <v>958</v>
      </c>
      <c r="R38" t="s">
        <v>235</v>
      </c>
      <c r="S38" t="s">
        <v>236</v>
      </c>
      <c r="T38" t="s">
        <v>959</v>
      </c>
      <c r="U38" t="s">
        <v>960</v>
      </c>
      <c r="V38" t="s">
        <v>961</v>
      </c>
      <c r="W38" t="s">
        <v>962</v>
      </c>
      <c r="X38" t="s">
        <v>961</v>
      </c>
      <c r="Y38" t="s">
        <v>241</v>
      </c>
      <c r="Z38" t="s">
        <v>963</v>
      </c>
      <c r="AA38" t="s">
        <v>964</v>
      </c>
      <c r="AB38" t="s">
        <v>963</v>
      </c>
      <c r="AC38" t="s">
        <v>965</v>
      </c>
      <c r="AD38" t="s">
        <v>219</v>
      </c>
      <c r="AE38" t="s">
        <v>966</v>
      </c>
      <c r="AF38" t="e">
        <f>--MTDASDVNIRFPSGTDDPLSDAEIQQYREEINRLDQVILDAIKQRTAISQAIGKIRTSAGGTKLVYTREVAIINQFREELGPEGPALAQILLRMGRGRLG</f>
        <v>#NAME?</v>
      </c>
    </row>
    <row r="39" spans="1:32" hidden="1" x14ac:dyDescent="0.35">
      <c r="A39">
        <v>503</v>
      </c>
      <c r="B39" t="s">
        <v>956</v>
      </c>
      <c r="C39" t="s">
        <v>72</v>
      </c>
      <c r="D39" t="s">
        <v>45</v>
      </c>
      <c r="E39">
        <v>1648</v>
      </c>
      <c r="F39">
        <v>5</v>
      </c>
      <c r="G39">
        <v>5</v>
      </c>
      <c r="H39">
        <v>1</v>
      </c>
      <c r="I39">
        <v>1</v>
      </c>
      <c r="J39">
        <v>0.81947261663285997</v>
      </c>
      <c r="K39">
        <v>0.96721025043680697</v>
      </c>
      <c r="L39">
        <v>0.887233352228332</v>
      </c>
      <c r="M39">
        <v>0.63725490196078405</v>
      </c>
      <c r="N39">
        <v>1</v>
      </c>
      <c r="O39">
        <v>0.76274509803921597</v>
      </c>
      <c r="P39" t="s">
        <v>957</v>
      </c>
      <c r="Q39" t="s">
        <v>958</v>
      </c>
      <c r="R39" t="s">
        <v>235</v>
      </c>
      <c r="S39" t="s">
        <v>236</v>
      </c>
      <c r="T39" t="s">
        <v>959</v>
      </c>
      <c r="U39" t="s">
        <v>960</v>
      </c>
      <c r="V39" t="s">
        <v>961</v>
      </c>
      <c r="W39" t="s">
        <v>962</v>
      </c>
      <c r="X39" t="s">
        <v>961</v>
      </c>
      <c r="Y39" t="s">
        <v>241</v>
      </c>
      <c r="Z39" t="s">
        <v>963</v>
      </c>
      <c r="AA39" t="s">
        <v>964</v>
      </c>
      <c r="AB39" t="s">
        <v>963</v>
      </c>
      <c r="AC39" t="s">
        <v>965</v>
      </c>
      <c r="AD39" t="s">
        <v>219</v>
      </c>
      <c r="AE39" t="s">
        <v>966</v>
      </c>
      <c r="AF39" t="e">
        <f>--MTDASDVNIRFPSGTDDPLSDAEIQQYREEINRLDQVILDAIKQRTAISQAIGKIRTSAGGTKLVYTREVAIINQFREELGPEGPALAQILLRMGRGRLG</f>
        <v>#NAME?</v>
      </c>
    </row>
    <row r="40" spans="1:32" hidden="1" x14ac:dyDescent="0.35">
      <c r="A40">
        <v>10914</v>
      </c>
      <c r="B40" t="s">
        <v>21986</v>
      </c>
      <c r="C40" t="s">
        <v>33</v>
      </c>
      <c r="D40" t="s">
        <v>58</v>
      </c>
      <c r="E40">
        <v>1396</v>
      </c>
      <c r="F40">
        <v>1</v>
      </c>
      <c r="G40">
        <v>1</v>
      </c>
      <c r="H40">
        <v>1</v>
      </c>
      <c r="I40">
        <v>0</v>
      </c>
      <c r="J40">
        <v>1</v>
      </c>
      <c r="K40">
        <v>1</v>
      </c>
      <c r="L40">
        <v>1</v>
      </c>
      <c r="M40">
        <v>0</v>
      </c>
      <c r="N40">
        <v>0</v>
      </c>
      <c r="O40">
        <v>0</v>
      </c>
      <c r="P40" t="s">
        <v>10474</v>
      </c>
      <c r="Q40" t="s">
        <v>10475</v>
      </c>
      <c r="R40" t="s">
        <v>224</v>
      </c>
      <c r="S40" t="s">
        <v>225</v>
      </c>
      <c r="T40" t="s">
        <v>10476</v>
      </c>
      <c r="U40" t="s">
        <v>10477</v>
      </c>
      <c r="V40" t="s">
        <v>10478</v>
      </c>
      <c r="W40" t="s">
        <v>10479</v>
      </c>
      <c r="X40" t="s">
        <v>10478</v>
      </c>
      <c r="Y40" t="s">
        <v>2715</v>
      </c>
      <c r="AD40" t="s">
        <v>1170</v>
      </c>
      <c r="AE40" t="s">
        <v>10480</v>
      </c>
      <c r="AF40" t="s">
        <v>21987</v>
      </c>
    </row>
    <row r="41" spans="1:32" hidden="1" x14ac:dyDescent="0.35">
      <c r="A41">
        <v>505</v>
      </c>
      <c r="B41" t="s">
        <v>968</v>
      </c>
      <c r="C41" t="s">
        <v>72</v>
      </c>
      <c r="D41" t="s">
        <v>60</v>
      </c>
      <c r="E41">
        <v>1673</v>
      </c>
      <c r="F41">
        <v>5</v>
      </c>
      <c r="G41">
        <v>5</v>
      </c>
      <c r="H41">
        <v>1</v>
      </c>
      <c r="I41">
        <v>1</v>
      </c>
      <c r="J41">
        <v>0.90285938112025099</v>
      </c>
      <c r="K41">
        <v>0.98583400676423705</v>
      </c>
      <c r="L41">
        <v>0.94252406128388799</v>
      </c>
      <c r="M41">
        <v>0.79150579150579103</v>
      </c>
      <c r="N41">
        <v>1</v>
      </c>
      <c r="O41">
        <v>0.85405405405405399</v>
      </c>
      <c r="P41" t="s">
        <v>969</v>
      </c>
      <c r="Q41" t="s">
        <v>970</v>
      </c>
      <c r="R41" t="s">
        <v>235</v>
      </c>
      <c r="S41" t="s">
        <v>236</v>
      </c>
      <c r="T41" t="s">
        <v>971</v>
      </c>
      <c r="U41" t="s">
        <v>972</v>
      </c>
      <c r="V41" t="s">
        <v>973</v>
      </c>
      <c r="W41" t="s">
        <v>974</v>
      </c>
      <c r="X41" t="s">
        <v>973</v>
      </c>
      <c r="Y41" t="s">
        <v>857</v>
      </c>
      <c r="Z41" t="s">
        <v>858</v>
      </c>
      <c r="AA41" t="s">
        <v>859</v>
      </c>
      <c r="AB41" t="s">
        <v>858</v>
      </c>
      <c r="AC41" t="s">
        <v>860</v>
      </c>
      <c r="AD41" t="s">
        <v>219</v>
      </c>
      <c r="AE41" t="s">
        <v>975</v>
      </c>
      <c r="AF41" t="s">
        <v>977</v>
      </c>
    </row>
    <row r="42" spans="1:32" hidden="1" x14ac:dyDescent="0.35">
      <c r="A42">
        <v>506</v>
      </c>
      <c r="B42" t="s">
        <v>968</v>
      </c>
      <c r="C42" t="s">
        <v>72</v>
      </c>
      <c r="D42" t="s">
        <v>62</v>
      </c>
      <c r="E42">
        <v>1708</v>
      </c>
      <c r="F42">
        <v>5</v>
      </c>
      <c r="G42">
        <v>5</v>
      </c>
      <c r="H42">
        <v>1</v>
      </c>
      <c r="I42">
        <v>1</v>
      </c>
      <c r="J42">
        <v>0.90285938112025099</v>
      </c>
      <c r="K42">
        <v>0.98583400676423705</v>
      </c>
      <c r="L42">
        <v>0.94252406128388799</v>
      </c>
      <c r="M42">
        <v>0.79150579150579103</v>
      </c>
      <c r="N42">
        <v>1</v>
      </c>
      <c r="O42">
        <v>0.85405405405405399</v>
      </c>
      <c r="P42" t="s">
        <v>969</v>
      </c>
      <c r="Q42" t="s">
        <v>970</v>
      </c>
      <c r="R42" t="s">
        <v>235</v>
      </c>
      <c r="S42" t="s">
        <v>236</v>
      </c>
      <c r="T42" t="s">
        <v>971</v>
      </c>
      <c r="U42" t="s">
        <v>972</v>
      </c>
      <c r="V42" t="s">
        <v>973</v>
      </c>
      <c r="W42" t="s">
        <v>974</v>
      </c>
      <c r="X42" t="s">
        <v>973</v>
      </c>
      <c r="Y42" t="s">
        <v>857</v>
      </c>
      <c r="Z42" t="s">
        <v>858</v>
      </c>
      <c r="AA42" t="s">
        <v>859</v>
      </c>
      <c r="AB42" t="s">
        <v>858</v>
      </c>
      <c r="AC42" t="s">
        <v>860</v>
      </c>
      <c r="AD42" t="s">
        <v>219</v>
      </c>
      <c r="AE42" t="s">
        <v>975</v>
      </c>
      <c r="AF42" t="s">
        <v>977</v>
      </c>
    </row>
    <row r="43" spans="1:32" hidden="1" x14ac:dyDescent="0.35">
      <c r="A43">
        <v>507</v>
      </c>
      <c r="B43" t="s">
        <v>968</v>
      </c>
      <c r="C43" t="s">
        <v>72</v>
      </c>
      <c r="D43" t="s">
        <v>34</v>
      </c>
      <c r="E43">
        <v>2068</v>
      </c>
      <c r="F43">
        <v>5</v>
      </c>
      <c r="G43">
        <v>5</v>
      </c>
      <c r="H43">
        <v>1</v>
      </c>
      <c r="I43">
        <v>1</v>
      </c>
      <c r="J43">
        <v>0.90285938112025099</v>
      </c>
      <c r="K43">
        <v>0.98583400676423705</v>
      </c>
      <c r="L43">
        <v>0.94252406128388799</v>
      </c>
      <c r="M43">
        <v>0.79150579150579103</v>
      </c>
      <c r="N43">
        <v>1</v>
      </c>
      <c r="O43">
        <v>0.85405405405405399</v>
      </c>
      <c r="P43" t="s">
        <v>969</v>
      </c>
      <c r="Q43" t="s">
        <v>970</v>
      </c>
      <c r="R43" t="s">
        <v>235</v>
      </c>
      <c r="S43" t="s">
        <v>236</v>
      </c>
      <c r="T43" t="s">
        <v>971</v>
      </c>
      <c r="U43" t="s">
        <v>972</v>
      </c>
      <c r="V43" t="s">
        <v>973</v>
      </c>
      <c r="W43" t="s">
        <v>974</v>
      </c>
      <c r="X43" t="s">
        <v>973</v>
      </c>
      <c r="Y43" t="s">
        <v>857</v>
      </c>
      <c r="Z43" t="s">
        <v>858</v>
      </c>
      <c r="AA43" t="s">
        <v>859</v>
      </c>
      <c r="AB43" t="s">
        <v>858</v>
      </c>
      <c r="AC43" t="s">
        <v>860</v>
      </c>
      <c r="AD43" t="s">
        <v>219</v>
      </c>
      <c r="AE43" t="s">
        <v>975</v>
      </c>
      <c r="AF43" t="s">
        <v>978</v>
      </c>
    </row>
    <row r="44" spans="1:32" hidden="1" x14ac:dyDescent="0.35">
      <c r="A44">
        <v>508</v>
      </c>
      <c r="B44" t="s">
        <v>968</v>
      </c>
      <c r="C44" t="s">
        <v>72</v>
      </c>
      <c r="D44" t="s">
        <v>45</v>
      </c>
      <c r="E44">
        <v>804</v>
      </c>
      <c r="F44">
        <v>5</v>
      </c>
      <c r="G44">
        <v>5</v>
      </c>
      <c r="H44">
        <v>1</v>
      </c>
      <c r="I44">
        <v>1</v>
      </c>
      <c r="J44">
        <v>0.90285938112025099</v>
      </c>
      <c r="K44">
        <v>0.98583400676423705</v>
      </c>
      <c r="L44">
        <v>0.94252406128388799</v>
      </c>
      <c r="M44">
        <v>0.79150579150579103</v>
      </c>
      <c r="N44">
        <v>1</v>
      </c>
      <c r="O44">
        <v>0.85405405405405399</v>
      </c>
      <c r="P44" t="s">
        <v>969</v>
      </c>
      <c r="Q44" t="s">
        <v>970</v>
      </c>
      <c r="R44" t="s">
        <v>235</v>
      </c>
      <c r="S44" t="s">
        <v>236</v>
      </c>
      <c r="T44" t="s">
        <v>971</v>
      </c>
      <c r="U44" t="s">
        <v>972</v>
      </c>
      <c r="V44" t="s">
        <v>973</v>
      </c>
      <c r="W44" t="s">
        <v>974</v>
      </c>
      <c r="X44" t="s">
        <v>973</v>
      </c>
      <c r="Y44" t="s">
        <v>857</v>
      </c>
      <c r="Z44" t="s">
        <v>858</v>
      </c>
      <c r="AA44" t="s">
        <v>859</v>
      </c>
      <c r="AB44" t="s">
        <v>858</v>
      </c>
      <c r="AC44" t="s">
        <v>860</v>
      </c>
      <c r="AD44" t="s">
        <v>219</v>
      </c>
      <c r="AE44" t="s">
        <v>975</v>
      </c>
      <c r="AF44" t="s">
        <v>979</v>
      </c>
    </row>
    <row r="45" spans="1:32" hidden="1" x14ac:dyDescent="0.35">
      <c r="A45">
        <v>1149</v>
      </c>
      <c r="B45" t="s">
        <v>2385</v>
      </c>
      <c r="C45" t="s">
        <v>72</v>
      </c>
      <c r="D45" t="s">
        <v>58</v>
      </c>
      <c r="E45">
        <v>1317</v>
      </c>
      <c r="F45">
        <v>5</v>
      </c>
      <c r="G45">
        <v>5</v>
      </c>
      <c r="H45">
        <v>1</v>
      </c>
      <c r="I45">
        <v>1</v>
      </c>
      <c r="J45">
        <v>0.78111528299263</v>
      </c>
      <c r="K45">
        <v>0.98252546717938105</v>
      </c>
      <c r="L45">
        <v>0.87031971592676804</v>
      </c>
      <c r="M45">
        <v>0.58606557377049195</v>
      </c>
      <c r="N45">
        <v>1</v>
      </c>
      <c r="O45">
        <v>0.69180327868852498</v>
      </c>
      <c r="P45" t="s">
        <v>2386</v>
      </c>
      <c r="Q45" t="s">
        <v>2387</v>
      </c>
      <c r="R45" t="s">
        <v>75</v>
      </c>
      <c r="S45" t="s">
        <v>76</v>
      </c>
      <c r="T45" t="s">
        <v>2388</v>
      </c>
      <c r="U45" t="s">
        <v>2389</v>
      </c>
      <c r="V45" t="s">
        <v>2390</v>
      </c>
      <c r="W45" t="s">
        <v>2391</v>
      </c>
      <c r="X45" t="s">
        <v>2390</v>
      </c>
      <c r="Y45" t="s">
        <v>2392</v>
      </c>
      <c r="Z45" t="s">
        <v>2393</v>
      </c>
      <c r="AA45" t="s">
        <v>2394</v>
      </c>
      <c r="AB45" t="s">
        <v>2393</v>
      </c>
      <c r="AC45" t="s">
        <v>2395</v>
      </c>
      <c r="AD45" t="s">
        <v>2396</v>
      </c>
      <c r="AE45" t="s">
        <v>2397</v>
      </c>
      <c r="AF45" t="s">
        <v>2398</v>
      </c>
    </row>
    <row r="46" spans="1:32" hidden="1" x14ac:dyDescent="0.35">
      <c r="A46">
        <v>520</v>
      </c>
      <c r="B46" t="s">
        <v>1003</v>
      </c>
      <c r="C46" t="s">
        <v>72</v>
      </c>
      <c r="D46" t="s">
        <v>60</v>
      </c>
      <c r="E46">
        <v>1670</v>
      </c>
      <c r="F46">
        <v>5</v>
      </c>
      <c r="G46">
        <v>5</v>
      </c>
      <c r="H46">
        <v>1</v>
      </c>
      <c r="I46">
        <v>1</v>
      </c>
      <c r="J46">
        <v>0.70530500683314701</v>
      </c>
      <c r="K46">
        <v>0.99739776951672998</v>
      </c>
      <c r="L46">
        <v>0.82629763739788697</v>
      </c>
      <c r="M46">
        <v>0.51301115241635697</v>
      </c>
      <c r="N46">
        <v>1</v>
      </c>
      <c r="O46">
        <v>0.61784386617100395</v>
      </c>
      <c r="P46" t="s">
        <v>1004</v>
      </c>
      <c r="Q46" t="s">
        <v>1005</v>
      </c>
      <c r="R46" t="s">
        <v>235</v>
      </c>
      <c r="S46" t="s">
        <v>236</v>
      </c>
      <c r="T46" t="s">
        <v>1006</v>
      </c>
      <c r="U46" t="s">
        <v>1007</v>
      </c>
      <c r="V46" t="s">
        <v>1008</v>
      </c>
      <c r="W46" t="s">
        <v>1009</v>
      </c>
      <c r="X46" t="s">
        <v>1008</v>
      </c>
      <c r="Y46" t="s">
        <v>241</v>
      </c>
      <c r="Z46" t="s">
        <v>242</v>
      </c>
      <c r="AA46" t="s">
        <v>243</v>
      </c>
      <c r="AB46" t="s">
        <v>242</v>
      </c>
      <c r="AC46" t="s">
        <v>244</v>
      </c>
      <c r="AD46" t="s">
        <v>219</v>
      </c>
      <c r="AE46" t="s">
        <v>1010</v>
      </c>
      <c r="AF46" t="s">
        <v>1012</v>
      </c>
    </row>
    <row r="47" spans="1:32" hidden="1" x14ac:dyDescent="0.35">
      <c r="A47">
        <v>521</v>
      </c>
      <c r="B47" t="s">
        <v>1003</v>
      </c>
      <c r="C47" t="s">
        <v>72</v>
      </c>
      <c r="D47" t="s">
        <v>62</v>
      </c>
      <c r="E47">
        <v>1705</v>
      </c>
      <c r="F47">
        <v>5</v>
      </c>
      <c r="G47">
        <v>5</v>
      </c>
      <c r="H47">
        <v>1</v>
      </c>
      <c r="I47">
        <v>1</v>
      </c>
      <c r="J47">
        <v>0.70530500683314701</v>
      </c>
      <c r="K47">
        <v>0.99739776951672998</v>
      </c>
      <c r="L47">
        <v>0.82629763739788697</v>
      </c>
      <c r="M47">
        <v>0.51301115241635697</v>
      </c>
      <c r="N47">
        <v>1</v>
      </c>
      <c r="O47">
        <v>0.61784386617100395</v>
      </c>
      <c r="P47" t="s">
        <v>1004</v>
      </c>
      <c r="Q47" t="s">
        <v>1005</v>
      </c>
      <c r="R47" t="s">
        <v>235</v>
      </c>
      <c r="S47" t="s">
        <v>236</v>
      </c>
      <c r="T47" t="s">
        <v>1006</v>
      </c>
      <c r="U47" t="s">
        <v>1007</v>
      </c>
      <c r="V47" t="s">
        <v>1008</v>
      </c>
      <c r="W47" t="s">
        <v>1009</v>
      </c>
      <c r="X47" t="s">
        <v>1008</v>
      </c>
      <c r="Y47" t="s">
        <v>241</v>
      </c>
      <c r="Z47" t="s">
        <v>242</v>
      </c>
      <c r="AA47" t="s">
        <v>243</v>
      </c>
      <c r="AB47" t="s">
        <v>242</v>
      </c>
      <c r="AC47" t="s">
        <v>244</v>
      </c>
      <c r="AD47" t="s">
        <v>219</v>
      </c>
      <c r="AE47" t="s">
        <v>1010</v>
      </c>
      <c r="AF47" t="s">
        <v>1013</v>
      </c>
    </row>
    <row r="48" spans="1:32" hidden="1" x14ac:dyDescent="0.35">
      <c r="A48">
        <v>522</v>
      </c>
      <c r="B48" t="s">
        <v>1003</v>
      </c>
      <c r="C48" t="s">
        <v>72</v>
      </c>
      <c r="D48" t="s">
        <v>34</v>
      </c>
      <c r="E48">
        <v>2065</v>
      </c>
      <c r="F48">
        <v>5</v>
      </c>
      <c r="G48">
        <v>5</v>
      </c>
      <c r="H48">
        <v>1</v>
      </c>
      <c r="I48">
        <v>1</v>
      </c>
      <c r="J48">
        <v>0.70530500683314701</v>
      </c>
      <c r="K48">
        <v>0.99739776951672998</v>
      </c>
      <c r="L48">
        <v>0.82629763739788697</v>
      </c>
      <c r="M48">
        <v>0.51301115241635697</v>
      </c>
      <c r="N48">
        <v>1</v>
      </c>
      <c r="O48">
        <v>0.61784386617100395</v>
      </c>
      <c r="P48" t="s">
        <v>1004</v>
      </c>
      <c r="Q48" t="s">
        <v>1005</v>
      </c>
      <c r="R48" t="s">
        <v>235</v>
      </c>
      <c r="S48" t="s">
        <v>236</v>
      </c>
      <c r="T48" t="s">
        <v>1006</v>
      </c>
      <c r="U48" t="s">
        <v>1007</v>
      </c>
      <c r="V48" t="s">
        <v>1008</v>
      </c>
      <c r="W48" t="s">
        <v>1009</v>
      </c>
      <c r="X48" t="s">
        <v>1008</v>
      </c>
      <c r="Y48" t="s">
        <v>241</v>
      </c>
      <c r="Z48" t="s">
        <v>242</v>
      </c>
      <c r="AA48" t="s">
        <v>243</v>
      </c>
      <c r="AB48" t="s">
        <v>242</v>
      </c>
      <c r="AC48" t="s">
        <v>244</v>
      </c>
      <c r="AD48" t="s">
        <v>219</v>
      </c>
      <c r="AE48" t="s">
        <v>1010</v>
      </c>
      <c r="AF48" t="s">
        <v>1014</v>
      </c>
    </row>
    <row r="49" spans="1:32" hidden="1" x14ac:dyDescent="0.35">
      <c r="A49">
        <v>523</v>
      </c>
      <c r="B49" t="s">
        <v>1003</v>
      </c>
      <c r="C49" t="s">
        <v>72</v>
      </c>
      <c r="D49" t="s">
        <v>45</v>
      </c>
      <c r="E49">
        <v>807</v>
      </c>
      <c r="F49">
        <v>5</v>
      </c>
      <c r="G49">
        <v>5</v>
      </c>
      <c r="H49">
        <v>1</v>
      </c>
      <c r="I49">
        <v>1</v>
      </c>
      <c r="J49">
        <v>0.70530500683314701</v>
      </c>
      <c r="K49">
        <v>0.99739776951672998</v>
      </c>
      <c r="L49">
        <v>0.82629763739788697</v>
      </c>
      <c r="M49">
        <v>0.51301115241635697</v>
      </c>
      <c r="N49">
        <v>1</v>
      </c>
      <c r="O49">
        <v>0.61784386617100395</v>
      </c>
      <c r="P49" t="s">
        <v>1004</v>
      </c>
      <c r="Q49" t="s">
        <v>1005</v>
      </c>
      <c r="R49" t="s">
        <v>235</v>
      </c>
      <c r="S49" t="s">
        <v>236</v>
      </c>
      <c r="T49" t="s">
        <v>1006</v>
      </c>
      <c r="U49" t="s">
        <v>1007</v>
      </c>
      <c r="V49" t="s">
        <v>1008</v>
      </c>
      <c r="W49" t="s">
        <v>1009</v>
      </c>
      <c r="X49" t="s">
        <v>1008</v>
      </c>
      <c r="Y49" t="s">
        <v>241</v>
      </c>
      <c r="Z49" t="s">
        <v>242</v>
      </c>
      <c r="AA49" t="s">
        <v>243</v>
      </c>
      <c r="AB49" t="s">
        <v>242</v>
      </c>
      <c r="AC49" t="s">
        <v>244</v>
      </c>
      <c r="AD49" t="s">
        <v>219</v>
      </c>
      <c r="AE49" t="s">
        <v>1010</v>
      </c>
      <c r="AF49" t="s">
        <v>1014</v>
      </c>
    </row>
    <row r="50" spans="1:32" hidden="1" x14ac:dyDescent="0.35">
      <c r="A50">
        <v>11606</v>
      </c>
      <c r="B50" t="s">
        <v>23753</v>
      </c>
      <c r="C50" t="s">
        <v>33</v>
      </c>
      <c r="D50" t="s">
        <v>58</v>
      </c>
      <c r="E50">
        <v>1805</v>
      </c>
      <c r="F50">
        <v>1</v>
      </c>
      <c r="G50">
        <v>1</v>
      </c>
      <c r="H50">
        <v>1</v>
      </c>
      <c r="I50">
        <v>0</v>
      </c>
      <c r="J50">
        <v>1</v>
      </c>
      <c r="K50">
        <v>1</v>
      </c>
      <c r="L50">
        <v>1</v>
      </c>
      <c r="M50">
        <v>0</v>
      </c>
      <c r="N50">
        <v>0</v>
      </c>
      <c r="O50">
        <v>0</v>
      </c>
      <c r="P50" t="s">
        <v>14058</v>
      </c>
      <c r="Q50" t="s">
        <v>3188</v>
      </c>
      <c r="R50" t="s">
        <v>75</v>
      </c>
      <c r="S50" t="s">
        <v>76</v>
      </c>
      <c r="T50" t="s">
        <v>2388</v>
      </c>
      <c r="U50" t="s">
        <v>2389</v>
      </c>
      <c r="V50" t="s">
        <v>2390</v>
      </c>
      <c r="W50" t="s">
        <v>2391</v>
      </c>
      <c r="X50" t="s">
        <v>2390</v>
      </c>
      <c r="Y50" t="s">
        <v>2392</v>
      </c>
      <c r="Z50" t="s">
        <v>2393</v>
      </c>
      <c r="AA50" t="s">
        <v>2394</v>
      </c>
      <c r="AB50" t="s">
        <v>2393</v>
      </c>
      <c r="AC50" t="s">
        <v>2395</v>
      </c>
      <c r="AD50" t="s">
        <v>2396</v>
      </c>
      <c r="AE50" t="s">
        <v>2397</v>
      </c>
      <c r="AF50" t="s">
        <v>23754</v>
      </c>
    </row>
    <row r="51" spans="1:32" hidden="1" x14ac:dyDescent="0.35">
      <c r="A51">
        <v>570</v>
      </c>
      <c r="B51" t="s">
        <v>1129</v>
      </c>
      <c r="C51" t="s">
        <v>72</v>
      </c>
      <c r="D51" t="s">
        <v>60</v>
      </c>
      <c r="E51">
        <v>179</v>
      </c>
      <c r="F51">
        <v>5</v>
      </c>
      <c r="G51">
        <v>5</v>
      </c>
      <c r="H51">
        <v>1</v>
      </c>
      <c r="I51">
        <v>1</v>
      </c>
      <c r="J51">
        <v>0.93800475059382404</v>
      </c>
      <c r="K51">
        <v>1</v>
      </c>
      <c r="L51">
        <v>0.96801078563549503</v>
      </c>
      <c r="M51">
        <v>0.86460807600950096</v>
      </c>
      <c r="N51">
        <v>1</v>
      </c>
      <c r="O51">
        <v>0.91187648456057002</v>
      </c>
      <c r="P51" t="s">
        <v>1130</v>
      </c>
      <c r="Q51" t="s">
        <v>1131</v>
      </c>
      <c r="R51" t="s">
        <v>235</v>
      </c>
      <c r="S51" t="s">
        <v>236</v>
      </c>
      <c r="T51" t="s">
        <v>1132</v>
      </c>
      <c r="U51" t="s">
        <v>1133</v>
      </c>
      <c r="V51" t="s">
        <v>1134</v>
      </c>
      <c r="W51" t="s">
        <v>1135</v>
      </c>
      <c r="X51" t="s">
        <v>1134</v>
      </c>
      <c r="Y51" t="s">
        <v>1136</v>
      </c>
      <c r="Z51" t="s">
        <v>1137</v>
      </c>
      <c r="AA51" t="s">
        <v>1138</v>
      </c>
      <c r="AB51" t="s">
        <v>1137</v>
      </c>
      <c r="AC51" t="s">
        <v>1139</v>
      </c>
      <c r="AD51" t="s">
        <v>1140</v>
      </c>
      <c r="AE51" t="s">
        <v>1141</v>
      </c>
      <c r="AF51" t="s">
        <v>1143</v>
      </c>
    </row>
    <row r="52" spans="1:32" hidden="1" x14ac:dyDescent="0.35">
      <c r="A52">
        <v>571</v>
      </c>
      <c r="B52" t="s">
        <v>1129</v>
      </c>
      <c r="C52" t="s">
        <v>72</v>
      </c>
      <c r="D52" t="s">
        <v>62</v>
      </c>
      <c r="E52">
        <v>255</v>
      </c>
      <c r="F52">
        <v>5</v>
      </c>
      <c r="G52">
        <v>5</v>
      </c>
      <c r="H52">
        <v>1</v>
      </c>
      <c r="I52">
        <v>1</v>
      </c>
      <c r="J52">
        <v>0.93800475059382404</v>
      </c>
      <c r="K52">
        <v>1</v>
      </c>
      <c r="L52">
        <v>0.96801078563549503</v>
      </c>
      <c r="M52">
        <v>0.86460807600950096</v>
      </c>
      <c r="N52">
        <v>1</v>
      </c>
      <c r="O52">
        <v>0.91187648456057002</v>
      </c>
      <c r="P52" t="s">
        <v>1130</v>
      </c>
      <c r="Q52" t="s">
        <v>1131</v>
      </c>
      <c r="R52" t="s">
        <v>235</v>
      </c>
      <c r="S52" t="s">
        <v>236</v>
      </c>
      <c r="T52" t="s">
        <v>1132</v>
      </c>
      <c r="U52" t="s">
        <v>1133</v>
      </c>
      <c r="V52" t="s">
        <v>1134</v>
      </c>
      <c r="W52" t="s">
        <v>1135</v>
      </c>
      <c r="X52" t="s">
        <v>1134</v>
      </c>
      <c r="Y52" t="s">
        <v>1136</v>
      </c>
      <c r="Z52" t="s">
        <v>1137</v>
      </c>
      <c r="AA52" t="s">
        <v>1138</v>
      </c>
      <c r="AB52" t="s">
        <v>1137</v>
      </c>
      <c r="AC52" t="s">
        <v>1139</v>
      </c>
      <c r="AD52" t="s">
        <v>1140</v>
      </c>
      <c r="AE52" t="s">
        <v>1141</v>
      </c>
      <c r="AF52" t="s">
        <v>1143</v>
      </c>
    </row>
    <row r="53" spans="1:32" hidden="1" x14ac:dyDescent="0.35">
      <c r="A53">
        <v>572</v>
      </c>
      <c r="B53" t="s">
        <v>1129</v>
      </c>
      <c r="C53" t="s">
        <v>72</v>
      </c>
      <c r="D53" t="s">
        <v>34</v>
      </c>
      <c r="E53">
        <v>912</v>
      </c>
      <c r="F53">
        <v>5</v>
      </c>
      <c r="G53">
        <v>5</v>
      </c>
      <c r="H53">
        <v>1</v>
      </c>
      <c r="I53">
        <v>1</v>
      </c>
      <c r="J53">
        <v>0.93800475059382404</v>
      </c>
      <c r="K53">
        <v>1</v>
      </c>
      <c r="L53">
        <v>0.96801078563549503</v>
      </c>
      <c r="M53">
        <v>0.86460807600950096</v>
      </c>
      <c r="N53">
        <v>1</v>
      </c>
      <c r="O53">
        <v>0.91187648456057002</v>
      </c>
      <c r="P53" t="s">
        <v>1130</v>
      </c>
      <c r="Q53" t="s">
        <v>1131</v>
      </c>
      <c r="R53" t="s">
        <v>235</v>
      </c>
      <c r="S53" t="s">
        <v>236</v>
      </c>
      <c r="T53" t="s">
        <v>1132</v>
      </c>
      <c r="U53" t="s">
        <v>1133</v>
      </c>
      <c r="V53" t="s">
        <v>1134</v>
      </c>
      <c r="W53" t="s">
        <v>1135</v>
      </c>
      <c r="X53" t="s">
        <v>1134</v>
      </c>
      <c r="Y53" t="s">
        <v>1136</v>
      </c>
      <c r="Z53" t="s">
        <v>1137</v>
      </c>
      <c r="AA53" t="s">
        <v>1138</v>
      </c>
      <c r="AB53" t="s">
        <v>1137</v>
      </c>
      <c r="AC53" t="s">
        <v>1139</v>
      </c>
      <c r="AD53" t="s">
        <v>1140</v>
      </c>
      <c r="AE53" t="s">
        <v>1141</v>
      </c>
      <c r="AF53" t="s">
        <v>1144</v>
      </c>
    </row>
    <row r="54" spans="1:32" hidden="1" x14ac:dyDescent="0.35">
      <c r="A54">
        <v>573</v>
      </c>
      <c r="B54" t="s">
        <v>1129</v>
      </c>
      <c r="C54" t="s">
        <v>72</v>
      </c>
      <c r="D54" t="s">
        <v>45</v>
      </c>
      <c r="E54">
        <v>2168</v>
      </c>
      <c r="F54">
        <v>5</v>
      </c>
      <c r="G54">
        <v>5</v>
      </c>
      <c r="H54">
        <v>1</v>
      </c>
      <c r="I54">
        <v>1</v>
      </c>
      <c r="J54">
        <v>0.93800475059382404</v>
      </c>
      <c r="K54">
        <v>1</v>
      </c>
      <c r="L54">
        <v>0.96801078563549503</v>
      </c>
      <c r="M54">
        <v>0.86460807600950096</v>
      </c>
      <c r="N54">
        <v>1</v>
      </c>
      <c r="O54">
        <v>0.91187648456057002</v>
      </c>
      <c r="P54" t="s">
        <v>1130</v>
      </c>
      <c r="Q54" t="s">
        <v>1131</v>
      </c>
      <c r="R54" t="s">
        <v>235</v>
      </c>
      <c r="S54" t="s">
        <v>236</v>
      </c>
      <c r="T54" t="s">
        <v>1132</v>
      </c>
      <c r="U54" t="s">
        <v>1133</v>
      </c>
      <c r="V54" t="s">
        <v>1134</v>
      </c>
      <c r="W54" t="s">
        <v>1135</v>
      </c>
      <c r="X54" t="s">
        <v>1134</v>
      </c>
      <c r="Y54" t="s">
        <v>1136</v>
      </c>
      <c r="Z54" t="s">
        <v>1137</v>
      </c>
      <c r="AA54" t="s">
        <v>1138</v>
      </c>
      <c r="AB54" t="s">
        <v>1137</v>
      </c>
      <c r="AC54" t="s">
        <v>1139</v>
      </c>
      <c r="AD54" t="s">
        <v>1140</v>
      </c>
      <c r="AE54" t="s">
        <v>1141</v>
      </c>
      <c r="AF54" t="s">
        <v>1145</v>
      </c>
    </row>
    <row r="55" spans="1:32" hidden="1" x14ac:dyDescent="0.35">
      <c r="A55">
        <v>1259</v>
      </c>
      <c r="B55" t="s">
        <v>2609</v>
      </c>
      <c r="C55" t="s">
        <v>72</v>
      </c>
      <c r="D55" t="s">
        <v>58</v>
      </c>
      <c r="E55">
        <v>1161</v>
      </c>
      <c r="F55">
        <v>5</v>
      </c>
      <c r="G55">
        <v>5</v>
      </c>
      <c r="H55">
        <v>1</v>
      </c>
      <c r="I55">
        <v>1</v>
      </c>
      <c r="J55">
        <v>0.77832855030872194</v>
      </c>
      <c r="K55">
        <v>0.91355551552949199</v>
      </c>
      <c r="L55">
        <v>0.840537900185651</v>
      </c>
      <c r="M55">
        <v>0.52606635071090002</v>
      </c>
      <c r="N55">
        <v>1</v>
      </c>
      <c r="O55">
        <v>0.69881516587677694</v>
      </c>
      <c r="P55" t="s">
        <v>2610</v>
      </c>
      <c r="Q55" t="s">
        <v>2611</v>
      </c>
      <c r="R55" t="s">
        <v>75</v>
      </c>
      <c r="S55" t="s">
        <v>76</v>
      </c>
      <c r="T55" t="s">
        <v>2612</v>
      </c>
      <c r="U55" t="s">
        <v>2613</v>
      </c>
      <c r="V55" t="s">
        <v>2614</v>
      </c>
      <c r="W55" t="s">
        <v>2615</v>
      </c>
      <c r="X55" t="s">
        <v>2614</v>
      </c>
      <c r="Y55" t="s">
        <v>619</v>
      </c>
      <c r="Z55" t="s">
        <v>891</v>
      </c>
      <c r="AA55" t="s">
        <v>892</v>
      </c>
      <c r="AB55" t="s">
        <v>891</v>
      </c>
      <c r="AC55" t="s">
        <v>893</v>
      </c>
      <c r="AD55" t="s">
        <v>219</v>
      </c>
      <c r="AE55" t="s">
        <v>2616</v>
      </c>
      <c r="AF55" t="s">
        <v>2617</v>
      </c>
    </row>
    <row r="56" spans="1:32" hidden="1" x14ac:dyDescent="0.35">
      <c r="A56">
        <v>615</v>
      </c>
      <c r="B56" t="s">
        <v>1246</v>
      </c>
      <c r="C56" t="s">
        <v>72</v>
      </c>
      <c r="D56" t="s">
        <v>60</v>
      </c>
      <c r="E56">
        <v>468</v>
      </c>
      <c r="F56">
        <v>5</v>
      </c>
      <c r="G56">
        <v>5</v>
      </c>
      <c r="H56">
        <v>1</v>
      </c>
      <c r="I56">
        <v>1</v>
      </c>
      <c r="J56">
        <v>0.830488170110812</v>
      </c>
      <c r="K56">
        <v>0.97242013330268895</v>
      </c>
      <c r="L56">
        <v>0.89586743325374896</v>
      </c>
      <c r="M56">
        <v>0.67248908296943199</v>
      </c>
      <c r="N56">
        <v>1</v>
      </c>
      <c r="O56">
        <v>0.74148471615720501</v>
      </c>
      <c r="P56" t="s">
        <v>1247</v>
      </c>
      <c r="Q56" t="s">
        <v>1248</v>
      </c>
      <c r="R56" t="s">
        <v>235</v>
      </c>
      <c r="S56" t="s">
        <v>236</v>
      </c>
      <c r="T56" t="s">
        <v>1249</v>
      </c>
      <c r="U56" t="s">
        <v>1250</v>
      </c>
      <c r="V56" t="s">
        <v>1251</v>
      </c>
      <c r="W56" t="s">
        <v>1252</v>
      </c>
      <c r="AD56" t="s">
        <v>439</v>
      </c>
      <c r="AE56" t="s">
        <v>699</v>
      </c>
      <c r="AF56" t="s">
        <v>1254</v>
      </c>
    </row>
    <row r="57" spans="1:32" hidden="1" x14ac:dyDescent="0.35">
      <c r="A57">
        <v>616</v>
      </c>
      <c r="B57" t="s">
        <v>1246</v>
      </c>
      <c r="C57" t="s">
        <v>72</v>
      </c>
      <c r="D57" t="s">
        <v>62</v>
      </c>
      <c r="E57">
        <v>550</v>
      </c>
      <c r="F57">
        <v>5</v>
      </c>
      <c r="G57">
        <v>5</v>
      </c>
      <c r="H57">
        <v>1</v>
      </c>
      <c r="I57">
        <v>1</v>
      </c>
      <c r="J57">
        <v>0.830488170110812</v>
      </c>
      <c r="K57">
        <v>0.97242013330268895</v>
      </c>
      <c r="L57">
        <v>0.89586743325374896</v>
      </c>
      <c r="M57">
        <v>0.67248908296943199</v>
      </c>
      <c r="N57">
        <v>1</v>
      </c>
      <c r="O57">
        <v>0.74148471615720501</v>
      </c>
      <c r="P57" t="s">
        <v>1247</v>
      </c>
      <c r="Q57" t="s">
        <v>1248</v>
      </c>
      <c r="R57" t="s">
        <v>235</v>
      </c>
      <c r="S57" t="s">
        <v>236</v>
      </c>
      <c r="T57" t="s">
        <v>1249</v>
      </c>
      <c r="U57" t="s">
        <v>1250</v>
      </c>
      <c r="V57" t="s">
        <v>1251</v>
      </c>
      <c r="W57" t="s">
        <v>1252</v>
      </c>
      <c r="AD57" t="s">
        <v>439</v>
      </c>
      <c r="AE57" t="s">
        <v>699</v>
      </c>
      <c r="AF57" t="s">
        <v>1254</v>
      </c>
    </row>
    <row r="58" spans="1:32" hidden="1" x14ac:dyDescent="0.35">
      <c r="A58">
        <v>617</v>
      </c>
      <c r="B58" t="s">
        <v>1246</v>
      </c>
      <c r="C58" t="s">
        <v>72</v>
      </c>
      <c r="D58" t="s">
        <v>34</v>
      </c>
      <c r="E58">
        <v>601</v>
      </c>
      <c r="F58">
        <v>5</v>
      </c>
      <c r="G58">
        <v>5</v>
      </c>
      <c r="H58">
        <v>1</v>
      </c>
      <c r="I58">
        <v>1</v>
      </c>
      <c r="J58">
        <v>0.830488170110812</v>
      </c>
      <c r="K58">
        <v>0.97242013330268895</v>
      </c>
      <c r="L58">
        <v>0.89586743325374896</v>
      </c>
      <c r="M58">
        <v>0.67248908296943199</v>
      </c>
      <c r="N58">
        <v>1</v>
      </c>
      <c r="O58">
        <v>0.74148471615720501</v>
      </c>
      <c r="P58" t="s">
        <v>1247</v>
      </c>
      <c r="Q58" t="s">
        <v>1248</v>
      </c>
      <c r="R58" t="s">
        <v>235</v>
      </c>
      <c r="S58" t="s">
        <v>236</v>
      </c>
      <c r="T58" t="s">
        <v>1249</v>
      </c>
      <c r="U58" t="s">
        <v>1250</v>
      </c>
      <c r="V58" t="s">
        <v>1251</v>
      </c>
      <c r="W58" t="s">
        <v>1252</v>
      </c>
      <c r="AD58" t="s">
        <v>439</v>
      </c>
      <c r="AE58" t="s">
        <v>699</v>
      </c>
      <c r="AF58" t="s">
        <v>1255</v>
      </c>
    </row>
    <row r="59" spans="1:32" hidden="1" x14ac:dyDescent="0.35">
      <c r="A59">
        <v>618</v>
      </c>
      <c r="B59" t="s">
        <v>1246</v>
      </c>
      <c r="C59" t="s">
        <v>72</v>
      </c>
      <c r="D59" t="s">
        <v>45</v>
      </c>
      <c r="E59">
        <v>1868</v>
      </c>
      <c r="F59">
        <v>5</v>
      </c>
      <c r="G59">
        <v>5</v>
      </c>
      <c r="H59">
        <v>1</v>
      </c>
      <c r="I59">
        <v>1</v>
      </c>
      <c r="J59">
        <v>0.830488170110812</v>
      </c>
      <c r="K59">
        <v>0.97242013330268895</v>
      </c>
      <c r="L59">
        <v>0.89586743325374896</v>
      </c>
      <c r="M59">
        <v>0.67248908296943199</v>
      </c>
      <c r="N59">
        <v>1</v>
      </c>
      <c r="O59">
        <v>0.74148471615720501</v>
      </c>
      <c r="P59" t="s">
        <v>1247</v>
      </c>
      <c r="Q59" t="s">
        <v>1248</v>
      </c>
      <c r="R59" t="s">
        <v>235</v>
      </c>
      <c r="S59" t="s">
        <v>236</v>
      </c>
      <c r="T59" t="s">
        <v>1249</v>
      </c>
      <c r="U59" t="s">
        <v>1250</v>
      </c>
      <c r="V59" t="s">
        <v>1251</v>
      </c>
      <c r="W59" t="s">
        <v>1252</v>
      </c>
      <c r="AD59" t="s">
        <v>439</v>
      </c>
      <c r="AE59" t="s">
        <v>699</v>
      </c>
      <c r="AF59" t="s">
        <v>1255</v>
      </c>
    </row>
    <row r="60" spans="1:32" hidden="1" x14ac:dyDescent="0.35">
      <c r="A60">
        <v>11575</v>
      </c>
      <c r="B60" t="s">
        <v>23687</v>
      </c>
      <c r="C60" t="s">
        <v>33</v>
      </c>
      <c r="D60" t="s">
        <v>58</v>
      </c>
      <c r="E60">
        <v>1195</v>
      </c>
      <c r="F60">
        <v>1</v>
      </c>
      <c r="G60">
        <v>1</v>
      </c>
      <c r="H60">
        <v>1</v>
      </c>
      <c r="I60">
        <v>0</v>
      </c>
      <c r="J60">
        <v>1</v>
      </c>
      <c r="K60">
        <v>1</v>
      </c>
      <c r="L60">
        <v>1</v>
      </c>
      <c r="M60">
        <v>0</v>
      </c>
      <c r="N60">
        <v>0</v>
      </c>
      <c r="O60">
        <v>0</v>
      </c>
      <c r="P60" t="s">
        <v>16480</v>
      </c>
      <c r="Q60" t="s">
        <v>16481</v>
      </c>
      <c r="R60" t="s">
        <v>224</v>
      </c>
      <c r="S60" t="s">
        <v>225</v>
      </c>
      <c r="T60" t="s">
        <v>16482</v>
      </c>
      <c r="U60" t="s">
        <v>16483</v>
      </c>
      <c r="V60" t="s">
        <v>16484</v>
      </c>
      <c r="W60" t="s">
        <v>16485</v>
      </c>
      <c r="AD60" t="s">
        <v>210</v>
      </c>
      <c r="AE60" t="s">
        <v>1520</v>
      </c>
      <c r="AF60" t="s">
        <v>23688</v>
      </c>
    </row>
    <row r="61" spans="1:32" hidden="1" x14ac:dyDescent="0.35">
      <c r="A61">
        <v>815</v>
      </c>
      <c r="B61" t="s">
        <v>1673</v>
      </c>
      <c r="C61" t="s">
        <v>72</v>
      </c>
      <c r="D61" t="s">
        <v>60</v>
      </c>
      <c r="E61">
        <v>1807</v>
      </c>
      <c r="F61">
        <v>5</v>
      </c>
      <c r="G61">
        <v>5</v>
      </c>
      <c r="H61">
        <v>1</v>
      </c>
      <c r="I61">
        <v>1</v>
      </c>
      <c r="J61">
        <v>0.88064808995041599</v>
      </c>
      <c r="K61">
        <v>0.99853556485355499</v>
      </c>
      <c r="L61">
        <v>0.93589408963603804</v>
      </c>
      <c r="M61">
        <v>0.77824267782426804</v>
      </c>
      <c r="N61">
        <v>1</v>
      </c>
      <c r="O61">
        <v>0.83828451882845201</v>
      </c>
      <c r="P61" t="s">
        <v>1674</v>
      </c>
      <c r="Q61" t="s">
        <v>1675</v>
      </c>
      <c r="R61" t="s">
        <v>235</v>
      </c>
      <c r="S61" t="s">
        <v>236</v>
      </c>
      <c r="T61" t="s">
        <v>1676</v>
      </c>
      <c r="U61" t="s">
        <v>1677</v>
      </c>
      <c r="V61" t="s">
        <v>1678</v>
      </c>
      <c r="W61" t="s">
        <v>1679</v>
      </c>
      <c r="X61" t="s">
        <v>1678</v>
      </c>
      <c r="Y61" t="s">
        <v>190</v>
      </c>
      <c r="Z61" t="s">
        <v>1680</v>
      </c>
      <c r="AA61" t="s">
        <v>1681</v>
      </c>
      <c r="AB61" t="s">
        <v>1680</v>
      </c>
      <c r="AC61" t="s">
        <v>1682</v>
      </c>
      <c r="AD61" t="s">
        <v>1683</v>
      </c>
      <c r="AE61" t="s">
        <v>1684</v>
      </c>
      <c r="AF61" t="s">
        <v>1686</v>
      </c>
    </row>
    <row r="62" spans="1:32" hidden="1" x14ac:dyDescent="0.35">
      <c r="A62">
        <v>816</v>
      </c>
      <c r="B62" t="s">
        <v>1673</v>
      </c>
      <c r="C62" t="s">
        <v>72</v>
      </c>
      <c r="D62" t="s">
        <v>62</v>
      </c>
      <c r="E62">
        <v>1843</v>
      </c>
      <c r="F62">
        <v>5</v>
      </c>
      <c r="G62">
        <v>5</v>
      </c>
      <c r="H62">
        <v>1</v>
      </c>
      <c r="I62">
        <v>1</v>
      </c>
      <c r="J62">
        <v>0.88064808995041599</v>
      </c>
      <c r="K62">
        <v>0.99853556485355499</v>
      </c>
      <c r="L62">
        <v>0.93589408963603804</v>
      </c>
      <c r="M62">
        <v>0.77824267782426804</v>
      </c>
      <c r="N62">
        <v>1</v>
      </c>
      <c r="O62">
        <v>0.83828451882845201</v>
      </c>
      <c r="P62" t="s">
        <v>1674</v>
      </c>
      <c r="Q62" t="s">
        <v>1675</v>
      </c>
      <c r="R62" t="s">
        <v>235</v>
      </c>
      <c r="S62" t="s">
        <v>236</v>
      </c>
      <c r="T62" t="s">
        <v>1676</v>
      </c>
      <c r="U62" t="s">
        <v>1677</v>
      </c>
      <c r="V62" t="s">
        <v>1678</v>
      </c>
      <c r="W62" t="s">
        <v>1679</v>
      </c>
      <c r="X62" t="s">
        <v>1678</v>
      </c>
      <c r="Y62" t="s">
        <v>190</v>
      </c>
      <c r="Z62" t="s">
        <v>1680</v>
      </c>
      <c r="AA62" t="s">
        <v>1681</v>
      </c>
      <c r="AB62" t="s">
        <v>1680</v>
      </c>
      <c r="AC62" t="s">
        <v>1682</v>
      </c>
      <c r="AD62" t="s">
        <v>1683</v>
      </c>
      <c r="AE62" t="s">
        <v>1684</v>
      </c>
      <c r="AF62" t="s">
        <v>1686</v>
      </c>
    </row>
    <row r="63" spans="1:32" hidden="1" x14ac:dyDescent="0.35">
      <c r="A63">
        <v>817</v>
      </c>
      <c r="B63" t="s">
        <v>1673</v>
      </c>
      <c r="C63" t="s">
        <v>72</v>
      </c>
      <c r="D63" t="s">
        <v>34</v>
      </c>
      <c r="E63">
        <v>2171</v>
      </c>
      <c r="F63">
        <v>5</v>
      </c>
      <c r="G63">
        <v>5</v>
      </c>
      <c r="H63">
        <v>1</v>
      </c>
      <c r="I63">
        <v>1</v>
      </c>
      <c r="J63">
        <v>0.88064808995041599</v>
      </c>
      <c r="K63">
        <v>0.99853556485355499</v>
      </c>
      <c r="L63">
        <v>0.93589408963603804</v>
      </c>
      <c r="M63">
        <v>0.77824267782426804</v>
      </c>
      <c r="N63">
        <v>1</v>
      </c>
      <c r="O63">
        <v>0.83828451882845201</v>
      </c>
      <c r="P63" t="s">
        <v>1674</v>
      </c>
      <c r="Q63" t="s">
        <v>1675</v>
      </c>
      <c r="R63" t="s">
        <v>235</v>
      </c>
      <c r="S63" t="s">
        <v>236</v>
      </c>
      <c r="T63" t="s">
        <v>1676</v>
      </c>
      <c r="U63" t="s">
        <v>1677</v>
      </c>
      <c r="V63" t="s">
        <v>1678</v>
      </c>
      <c r="W63" t="s">
        <v>1679</v>
      </c>
      <c r="X63" t="s">
        <v>1678</v>
      </c>
      <c r="Y63" t="s">
        <v>190</v>
      </c>
      <c r="Z63" t="s">
        <v>1680</v>
      </c>
      <c r="AA63" t="s">
        <v>1681</v>
      </c>
      <c r="AB63" t="s">
        <v>1680</v>
      </c>
      <c r="AC63" t="s">
        <v>1682</v>
      </c>
      <c r="AD63" t="s">
        <v>1683</v>
      </c>
      <c r="AE63" t="s">
        <v>1684</v>
      </c>
      <c r="AF63" t="s">
        <v>1687</v>
      </c>
    </row>
    <row r="64" spans="1:32" hidden="1" x14ac:dyDescent="0.35">
      <c r="A64">
        <v>818</v>
      </c>
      <c r="B64" t="s">
        <v>1673</v>
      </c>
      <c r="C64" t="s">
        <v>72</v>
      </c>
      <c r="D64" t="s">
        <v>45</v>
      </c>
      <c r="E64">
        <v>702</v>
      </c>
      <c r="F64">
        <v>5</v>
      </c>
      <c r="G64">
        <v>5</v>
      </c>
      <c r="H64">
        <v>1</v>
      </c>
      <c r="I64">
        <v>1</v>
      </c>
      <c r="J64">
        <v>0.88064808995041599</v>
      </c>
      <c r="K64">
        <v>0.99853556485355499</v>
      </c>
      <c r="L64">
        <v>0.93589408963603804</v>
      </c>
      <c r="M64">
        <v>0.77824267782426804</v>
      </c>
      <c r="N64">
        <v>1</v>
      </c>
      <c r="O64">
        <v>0.83828451882845201</v>
      </c>
      <c r="P64" t="s">
        <v>1674</v>
      </c>
      <c r="Q64" t="s">
        <v>1675</v>
      </c>
      <c r="R64" t="s">
        <v>235</v>
      </c>
      <c r="S64" t="s">
        <v>236</v>
      </c>
      <c r="T64" t="s">
        <v>1676</v>
      </c>
      <c r="U64" t="s">
        <v>1677</v>
      </c>
      <c r="V64" t="s">
        <v>1678</v>
      </c>
      <c r="W64" t="s">
        <v>1679</v>
      </c>
      <c r="X64" t="s">
        <v>1678</v>
      </c>
      <c r="Y64" t="s">
        <v>190</v>
      </c>
      <c r="Z64" t="s">
        <v>1680</v>
      </c>
      <c r="AA64" t="s">
        <v>1681</v>
      </c>
      <c r="AB64" t="s">
        <v>1680</v>
      </c>
      <c r="AC64" t="s">
        <v>1682</v>
      </c>
      <c r="AD64" t="s">
        <v>1683</v>
      </c>
      <c r="AE64" t="s">
        <v>1684</v>
      </c>
      <c r="AF64" t="s">
        <v>1688</v>
      </c>
    </row>
    <row r="65" spans="1:32" hidden="1" x14ac:dyDescent="0.35">
      <c r="A65">
        <v>469</v>
      </c>
      <c r="B65" t="s">
        <v>884</v>
      </c>
      <c r="C65" t="s">
        <v>72</v>
      </c>
      <c r="D65" t="s">
        <v>58</v>
      </c>
      <c r="E65">
        <v>1672</v>
      </c>
      <c r="F65">
        <v>5</v>
      </c>
      <c r="G65">
        <v>5</v>
      </c>
      <c r="H65">
        <v>1</v>
      </c>
      <c r="I65">
        <v>1</v>
      </c>
      <c r="J65">
        <v>0.84053367217280806</v>
      </c>
      <c r="K65">
        <v>0.96039952117312599</v>
      </c>
      <c r="L65">
        <v>0.89647760313071501</v>
      </c>
      <c r="M65">
        <v>0.65853658536585402</v>
      </c>
      <c r="N65">
        <v>1</v>
      </c>
      <c r="O65">
        <v>0.76158536585365899</v>
      </c>
      <c r="P65" t="s">
        <v>885</v>
      </c>
      <c r="Q65" t="s">
        <v>886</v>
      </c>
      <c r="R65" t="s">
        <v>75</v>
      </c>
      <c r="S65" t="s">
        <v>76</v>
      </c>
      <c r="T65" t="s">
        <v>887</v>
      </c>
      <c r="U65" t="s">
        <v>888</v>
      </c>
      <c r="V65" t="s">
        <v>889</v>
      </c>
      <c r="W65" t="s">
        <v>890</v>
      </c>
      <c r="X65" t="s">
        <v>889</v>
      </c>
      <c r="Y65" t="s">
        <v>619</v>
      </c>
      <c r="Z65" t="s">
        <v>891</v>
      </c>
      <c r="AA65" t="s">
        <v>892</v>
      </c>
      <c r="AB65" t="s">
        <v>891</v>
      </c>
      <c r="AC65" t="s">
        <v>893</v>
      </c>
      <c r="AD65" t="s">
        <v>219</v>
      </c>
      <c r="AE65" t="s">
        <v>894</v>
      </c>
      <c r="AF65" t="s">
        <v>895</v>
      </c>
    </row>
    <row r="66" spans="1:32" hidden="1" x14ac:dyDescent="0.35">
      <c r="A66">
        <v>1020</v>
      </c>
      <c r="B66" t="s">
        <v>2119</v>
      </c>
      <c r="C66" t="s">
        <v>72</v>
      </c>
      <c r="D66" t="s">
        <v>60</v>
      </c>
      <c r="E66">
        <v>1785</v>
      </c>
      <c r="F66">
        <v>5</v>
      </c>
      <c r="G66">
        <v>5</v>
      </c>
      <c r="H66">
        <v>1</v>
      </c>
      <c r="I66">
        <v>1</v>
      </c>
      <c r="J66">
        <v>0.88494791666666694</v>
      </c>
      <c r="K66">
        <v>1</v>
      </c>
      <c r="L66">
        <v>0.938962725539499</v>
      </c>
      <c r="M66">
        <v>0.80312499999999998</v>
      </c>
      <c r="N66">
        <v>1</v>
      </c>
      <c r="O66">
        <v>0.85203125000000002</v>
      </c>
      <c r="P66" t="s">
        <v>2120</v>
      </c>
      <c r="Q66" t="s">
        <v>2121</v>
      </c>
      <c r="R66" t="s">
        <v>235</v>
      </c>
      <c r="S66" t="s">
        <v>236</v>
      </c>
      <c r="T66" t="s">
        <v>2122</v>
      </c>
      <c r="U66" t="s">
        <v>2123</v>
      </c>
      <c r="V66" t="s">
        <v>2124</v>
      </c>
      <c r="W66" t="s">
        <v>2125</v>
      </c>
      <c r="X66" t="s">
        <v>2124</v>
      </c>
      <c r="Y66" t="s">
        <v>2126</v>
      </c>
      <c r="AD66" t="s">
        <v>546</v>
      </c>
      <c r="AE66" t="s">
        <v>2127</v>
      </c>
      <c r="AF66" t="s">
        <v>2129</v>
      </c>
    </row>
    <row r="67" spans="1:32" hidden="1" x14ac:dyDescent="0.35">
      <c r="A67">
        <v>1021</v>
      </c>
      <c r="B67" t="s">
        <v>2119</v>
      </c>
      <c r="C67" t="s">
        <v>72</v>
      </c>
      <c r="D67" t="s">
        <v>62</v>
      </c>
      <c r="E67">
        <v>1821</v>
      </c>
      <c r="F67">
        <v>5</v>
      </c>
      <c r="G67">
        <v>5</v>
      </c>
      <c r="H67">
        <v>1</v>
      </c>
      <c r="I67">
        <v>1</v>
      </c>
      <c r="J67">
        <v>0.88494791666666694</v>
      </c>
      <c r="K67">
        <v>1</v>
      </c>
      <c r="L67">
        <v>0.938962725539499</v>
      </c>
      <c r="M67">
        <v>0.80312499999999998</v>
      </c>
      <c r="N67">
        <v>1</v>
      </c>
      <c r="O67">
        <v>0.85203125000000002</v>
      </c>
      <c r="P67" t="s">
        <v>2120</v>
      </c>
      <c r="Q67" t="s">
        <v>2121</v>
      </c>
      <c r="R67" t="s">
        <v>235</v>
      </c>
      <c r="S67" t="s">
        <v>236</v>
      </c>
      <c r="T67" t="s">
        <v>2122</v>
      </c>
      <c r="U67" t="s">
        <v>2123</v>
      </c>
      <c r="V67" t="s">
        <v>2124</v>
      </c>
      <c r="W67" t="s">
        <v>2125</v>
      </c>
      <c r="X67" t="s">
        <v>2124</v>
      </c>
      <c r="Y67" t="s">
        <v>2126</v>
      </c>
      <c r="AD67" t="s">
        <v>546</v>
      </c>
      <c r="AE67" t="s">
        <v>2127</v>
      </c>
      <c r="AF67" t="s">
        <v>2129</v>
      </c>
    </row>
    <row r="68" spans="1:32" hidden="1" x14ac:dyDescent="0.35">
      <c r="A68">
        <v>1022</v>
      </c>
      <c r="B68" t="s">
        <v>2119</v>
      </c>
      <c r="C68" t="s">
        <v>72</v>
      </c>
      <c r="D68" t="s">
        <v>34</v>
      </c>
      <c r="E68">
        <v>2153</v>
      </c>
      <c r="F68">
        <v>5</v>
      </c>
      <c r="G68">
        <v>5</v>
      </c>
      <c r="H68">
        <v>1</v>
      </c>
      <c r="I68">
        <v>1</v>
      </c>
      <c r="J68">
        <v>0.88494791666666694</v>
      </c>
      <c r="K68">
        <v>1</v>
      </c>
      <c r="L68">
        <v>0.938962725539499</v>
      </c>
      <c r="M68">
        <v>0.80312499999999998</v>
      </c>
      <c r="N68">
        <v>1</v>
      </c>
      <c r="O68">
        <v>0.85203125000000002</v>
      </c>
      <c r="P68" t="s">
        <v>2120</v>
      </c>
      <c r="Q68" t="s">
        <v>2121</v>
      </c>
      <c r="R68" t="s">
        <v>235</v>
      </c>
      <c r="S68" t="s">
        <v>236</v>
      </c>
      <c r="T68" t="s">
        <v>2122</v>
      </c>
      <c r="U68" t="s">
        <v>2123</v>
      </c>
      <c r="V68" t="s">
        <v>2124</v>
      </c>
      <c r="W68" t="s">
        <v>2125</v>
      </c>
      <c r="X68" t="s">
        <v>2124</v>
      </c>
      <c r="Y68" t="s">
        <v>2126</v>
      </c>
      <c r="AD68" t="s">
        <v>546</v>
      </c>
      <c r="AE68" t="s">
        <v>2127</v>
      </c>
      <c r="AF68" t="s">
        <v>2130</v>
      </c>
    </row>
    <row r="69" spans="1:32" hidden="1" x14ac:dyDescent="0.35">
      <c r="A69">
        <v>1023</v>
      </c>
      <c r="B69" t="s">
        <v>2119</v>
      </c>
      <c r="C69" t="s">
        <v>72</v>
      </c>
      <c r="D69" t="s">
        <v>45</v>
      </c>
      <c r="E69">
        <v>720</v>
      </c>
      <c r="F69">
        <v>5</v>
      </c>
      <c r="G69">
        <v>5</v>
      </c>
      <c r="H69">
        <v>1</v>
      </c>
      <c r="I69">
        <v>1</v>
      </c>
      <c r="J69">
        <v>0.88494791666666694</v>
      </c>
      <c r="K69">
        <v>1</v>
      </c>
      <c r="L69">
        <v>0.938962725539499</v>
      </c>
      <c r="M69">
        <v>0.80312499999999998</v>
      </c>
      <c r="N69">
        <v>1</v>
      </c>
      <c r="O69">
        <v>0.85203125000000002</v>
      </c>
      <c r="P69" t="s">
        <v>2120</v>
      </c>
      <c r="Q69" t="s">
        <v>2121</v>
      </c>
      <c r="R69" t="s">
        <v>235</v>
      </c>
      <c r="S69" t="s">
        <v>236</v>
      </c>
      <c r="T69" t="s">
        <v>2122</v>
      </c>
      <c r="U69" t="s">
        <v>2123</v>
      </c>
      <c r="V69" t="s">
        <v>2124</v>
      </c>
      <c r="W69" t="s">
        <v>2125</v>
      </c>
      <c r="X69" t="s">
        <v>2124</v>
      </c>
      <c r="Y69" t="s">
        <v>2126</v>
      </c>
      <c r="AD69" t="s">
        <v>546</v>
      </c>
      <c r="AE69" t="s">
        <v>2127</v>
      </c>
      <c r="AF69" t="s">
        <v>2131</v>
      </c>
    </row>
    <row r="70" spans="1:32" hidden="1" x14ac:dyDescent="0.35">
      <c r="A70">
        <v>11476</v>
      </c>
      <c r="B70" t="s">
        <v>23421</v>
      </c>
      <c r="C70" t="s">
        <v>33</v>
      </c>
      <c r="D70" t="s">
        <v>58</v>
      </c>
      <c r="E70">
        <v>1673</v>
      </c>
      <c r="F70">
        <v>1</v>
      </c>
      <c r="G70">
        <v>1</v>
      </c>
      <c r="H70">
        <v>1</v>
      </c>
      <c r="I70">
        <v>0</v>
      </c>
      <c r="J70">
        <v>1</v>
      </c>
      <c r="K70">
        <v>1</v>
      </c>
      <c r="L70">
        <v>1</v>
      </c>
      <c r="M70">
        <v>0</v>
      </c>
      <c r="N70">
        <v>0</v>
      </c>
      <c r="O70">
        <v>0</v>
      </c>
      <c r="P70" t="s">
        <v>11840</v>
      </c>
      <c r="Q70" t="s">
        <v>11841</v>
      </c>
      <c r="R70" t="s">
        <v>75</v>
      </c>
      <c r="S70" t="s">
        <v>76</v>
      </c>
      <c r="T70" t="s">
        <v>11842</v>
      </c>
      <c r="U70" t="s">
        <v>11843</v>
      </c>
      <c r="V70" t="s">
        <v>11844</v>
      </c>
      <c r="W70" t="s">
        <v>11845</v>
      </c>
      <c r="X70" t="s">
        <v>11844</v>
      </c>
      <c r="Y70" t="s">
        <v>619</v>
      </c>
      <c r="Z70" t="s">
        <v>891</v>
      </c>
      <c r="AA70" t="s">
        <v>892</v>
      </c>
      <c r="AB70" t="s">
        <v>891</v>
      </c>
      <c r="AC70" t="s">
        <v>893</v>
      </c>
      <c r="AD70" t="s">
        <v>219</v>
      </c>
      <c r="AE70" t="s">
        <v>11846</v>
      </c>
      <c r="AF70" t="s">
        <v>23422</v>
      </c>
    </row>
    <row r="71" spans="1:32" hidden="1" x14ac:dyDescent="0.35">
      <c r="A71">
        <v>1025</v>
      </c>
      <c r="B71" t="s">
        <v>2132</v>
      </c>
      <c r="C71" t="s">
        <v>72</v>
      </c>
      <c r="D71" t="s">
        <v>60</v>
      </c>
      <c r="E71">
        <v>1395</v>
      </c>
      <c r="F71">
        <v>5</v>
      </c>
      <c r="G71">
        <v>5</v>
      </c>
      <c r="H71">
        <v>1</v>
      </c>
      <c r="I71">
        <v>1</v>
      </c>
      <c r="J71">
        <v>0.74863387978142104</v>
      </c>
      <c r="K71">
        <v>0.90921985815602802</v>
      </c>
      <c r="L71">
        <v>0.82114938659485304</v>
      </c>
      <c r="M71">
        <v>0.52910052910052896</v>
      </c>
      <c r="N71">
        <v>1</v>
      </c>
      <c r="O71">
        <v>0.64444444444444404</v>
      </c>
      <c r="P71" t="s">
        <v>2133</v>
      </c>
      <c r="Q71" t="s">
        <v>2134</v>
      </c>
      <c r="R71" t="s">
        <v>235</v>
      </c>
      <c r="S71" t="s">
        <v>236</v>
      </c>
      <c r="T71" t="s">
        <v>2135</v>
      </c>
      <c r="U71" t="s">
        <v>2136</v>
      </c>
      <c r="V71" t="s">
        <v>2137</v>
      </c>
      <c r="W71" t="s">
        <v>2138</v>
      </c>
      <c r="X71" t="s">
        <v>2137</v>
      </c>
      <c r="Y71" t="s">
        <v>241</v>
      </c>
      <c r="Z71" t="s">
        <v>2139</v>
      </c>
      <c r="AA71" t="s">
        <v>2140</v>
      </c>
      <c r="AB71" t="s">
        <v>2139</v>
      </c>
      <c r="AC71" t="s">
        <v>244</v>
      </c>
      <c r="AD71" t="s">
        <v>219</v>
      </c>
      <c r="AE71" t="s">
        <v>2141</v>
      </c>
      <c r="AF71" t="s">
        <v>2142</v>
      </c>
    </row>
    <row r="72" spans="1:32" hidden="1" x14ac:dyDescent="0.35">
      <c r="A72">
        <v>1026</v>
      </c>
      <c r="B72" t="s">
        <v>2132</v>
      </c>
      <c r="C72" t="s">
        <v>72</v>
      </c>
      <c r="D72" t="s">
        <v>62</v>
      </c>
      <c r="E72">
        <v>1430</v>
      </c>
      <c r="F72">
        <v>5</v>
      </c>
      <c r="G72">
        <v>5</v>
      </c>
      <c r="H72">
        <v>1</v>
      </c>
      <c r="I72">
        <v>1</v>
      </c>
      <c r="J72">
        <v>0.74863387978142104</v>
      </c>
      <c r="K72">
        <v>0.90921985815602802</v>
      </c>
      <c r="L72">
        <v>0.82114938659485304</v>
      </c>
      <c r="M72">
        <v>0.52910052910052896</v>
      </c>
      <c r="N72">
        <v>1</v>
      </c>
      <c r="O72">
        <v>0.64444444444444404</v>
      </c>
      <c r="P72" t="s">
        <v>2133</v>
      </c>
      <c r="Q72" t="s">
        <v>2134</v>
      </c>
      <c r="R72" t="s">
        <v>235</v>
      </c>
      <c r="S72" t="s">
        <v>236</v>
      </c>
      <c r="T72" t="s">
        <v>2135</v>
      </c>
      <c r="U72" t="s">
        <v>2136</v>
      </c>
      <c r="V72" t="s">
        <v>2137</v>
      </c>
      <c r="W72" t="s">
        <v>2138</v>
      </c>
      <c r="X72" t="s">
        <v>2137</v>
      </c>
      <c r="Y72" t="s">
        <v>241</v>
      </c>
      <c r="Z72" t="s">
        <v>2139</v>
      </c>
      <c r="AA72" t="s">
        <v>2140</v>
      </c>
      <c r="AB72" t="s">
        <v>2139</v>
      </c>
      <c r="AC72" t="s">
        <v>244</v>
      </c>
      <c r="AD72" t="s">
        <v>219</v>
      </c>
      <c r="AE72" t="s">
        <v>2141</v>
      </c>
      <c r="AF72" t="s">
        <v>2142</v>
      </c>
    </row>
    <row r="73" spans="1:32" hidden="1" x14ac:dyDescent="0.35">
      <c r="A73">
        <v>1027</v>
      </c>
      <c r="B73" t="s">
        <v>2132</v>
      </c>
      <c r="C73" t="s">
        <v>72</v>
      </c>
      <c r="D73" t="s">
        <v>34</v>
      </c>
      <c r="E73">
        <v>1817</v>
      </c>
      <c r="F73">
        <v>5</v>
      </c>
      <c r="G73">
        <v>5</v>
      </c>
      <c r="H73">
        <v>1</v>
      </c>
      <c r="I73">
        <v>1</v>
      </c>
      <c r="J73">
        <v>0.74863387978142104</v>
      </c>
      <c r="K73">
        <v>0.90921985815602802</v>
      </c>
      <c r="L73">
        <v>0.82114938659485304</v>
      </c>
      <c r="M73">
        <v>0.52910052910052896</v>
      </c>
      <c r="N73">
        <v>1</v>
      </c>
      <c r="O73">
        <v>0.64444444444444404</v>
      </c>
      <c r="P73" t="s">
        <v>2133</v>
      </c>
      <c r="Q73" t="s">
        <v>2134</v>
      </c>
      <c r="R73" t="s">
        <v>235</v>
      </c>
      <c r="S73" t="s">
        <v>236</v>
      </c>
      <c r="T73" t="s">
        <v>2135</v>
      </c>
      <c r="U73" t="s">
        <v>2136</v>
      </c>
      <c r="V73" t="s">
        <v>2137</v>
      </c>
      <c r="W73" t="s">
        <v>2138</v>
      </c>
      <c r="X73" t="s">
        <v>2137</v>
      </c>
      <c r="Y73" t="s">
        <v>241</v>
      </c>
      <c r="Z73" t="s">
        <v>2139</v>
      </c>
      <c r="AA73" t="s">
        <v>2140</v>
      </c>
      <c r="AB73" t="s">
        <v>2139</v>
      </c>
      <c r="AC73" t="s">
        <v>244</v>
      </c>
      <c r="AD73" t="s">
        <v>219</v>
      </c>
      <c r="AE73" t="s">
        <v>2141</v>
      </c>
      <c r="AF73" t="s">
        <v>2143</v>
      </c>
    </row>
    <row r="74" spans="1:32" hidden="1" x14ac:dyDescent="0.35">
      <c r="A74">
        <v>1028</v>
      </c>
      <c r="B74" t="s">
        <v>2132</v>
      </c>
      <c r="C74" t="s">
        <v>72</v>
      </c>
      <c r="D74" t="s">
        <v>45</v>
      </c>
      <c r="E74">
        <v>1056</v>
      </c>
      <c r="F74">
        <v>5</v>
      </c>
      <c r="G74">
        <v>5</v>
      </c>
      <c r="H74">
        <v>1</v>
      </c>
      <c r="I74">
        <v>1</v>
      </c>
      <c r="J74">
        <v>0.74863387978142104</v>
      </c>
      <c r="K74">
        <v>0.90921985815602802</v>
      </c>
      <c r="L74">
        <v>0.82114938659485304</v>
      </c>
      <c r="M74">
        <v>0.52910052910052896</v>
      </c>
      <c r="N74">
        <v>1</v>
      </c>
      <c r="O74">
        <v>0.64444444444444404</v>
      </c>
      <c r="P74" t="s">
        <v>2133</v>
      </c>
      <c r="Q74" t="s">
        <v>2134</v>
      </c>
      <c r="R74" t="s">
        <v>235</v>
      </c>
      <c r="S74" t="s">
        <v>236</v>
      </c>
      <c r="T74" t="s">
        <v>2135</v>
      </c>
      <c r="U74" t="s">
        <v>2136</v>
      </c>
      <c r="V74" t="s">
        <v>2137</v>
      </c>
      <c r="W74" t="s">
        <v>2138</v>
      </c>
      <c r="X74" t="s">
        <v>2137</v>
      </c>
      <c r="Y74" t="s">
        <v>241</v>
      </c>
      <c r="Z74" t="s">
        <v>2139</v>
      </c>
      <c r="AA74" t="s">
        <v>2140</v>
      </c>
      <c r="AB74" t="s">
        <v>2139</v>
      </c>
      <c r="AC74" t="s">
        <v>244</v>
      </c>
      <c r="AD74" t="s">
        <v>219</v>
      </c>
      <c r="AE74" t="s">
        <v>2141</v>
      </c>
      <c r="AF74" t="s">
        <v>2143</v>
      </c>
    </row>
    <row r="75" spans="1:32" hidden="1" x14ac:dyDescent="0.35">
      <c r="A75">
        <v>3914</v>
      </c>
      <c r="B75" t="s">
        <v>8067</v>
      </c>
      <c r="C75" t="s">
        <v>72</v>
      </c>
      <c r="D75" t="s">
        <v>58</v>
      </c>
      <c r="E75">
        <v>1429</v>
      </c>
      <c r="F75">
        <v>5</v>
      </c>
      <c r="G75">
        <v>5</v>
      </c>
      <c r="H75">
        <v>1</v>
      </c>
      <c r="I75">
        <v>1</v>
      </c>
      <c r="J75">
        <v>0.76111944027986</v>
      </c>
      <c r="K75">
        <v>0.94980365605958095</v>
      </c>
      <c r="L75">
        <v>0.84505730108211696</v>
      </c>
      <c r="M75">
        <v>0.52132701421800998</v>
      </c>
      <c r="N75">
        <v>0.98104265402843605</v>
      </c>
      <c r="O75">
        <v>0.67772511848341199</v>
      </c>
      <c r="P75" t="s">
        <v>8068</v>
      </c>
      <c r="Q75" t="s">
        <v>8069</v>
      </c>
      <c r="R75" t="s">
        <v>516</v>
      </c>
      <c r="S75" t="s">
        <v>517</v>
      </c>
      <c r="V75" t="s">
        <v>8070</v>
      </c>
      <c r="W75" t="s">
        <v>8071</v>
      </c>
      <c r="AF75" t="s">
        <v>8072</v>
      </c>
    </row>
    <row r="76" spans="1:32" hidden="1" x14ac:dyDescent="0.35">
      <c r="A76">
        <v>1165</v>
      </c>
      <c r="B76" t="s">
        <v>2424</v>
      </c>
      <c r="C76" t="s">
        <v>72</v>
      </c>
      <c r="D76" t="s">
        <v>60</v>
      </c>
      <c r="E76">
        <v>978</v>
      </c>
      <c r="F76">
        <v>5</v>
      </c>
      <c r="G76">
        <v>5</v>
      </c>
      <c r="H76">
        <v>1</v>
      </c>
      <c r="I76">
        <v>1</v>
      </c>
      <c r="J76">
        <v>0.84988610478359905</v>
      </c>
      <c r="K76">
        <v>0.98232160592289697</v>
      </c>
      <c r="L76">
        <v>0.91131750884364504</v>
      </c>
      <c r="M76">
        <v>0.711409395973154</v>
      </c>
      <c r="N76">
        <v>1</v>
      </c>
      <c r="O76">
        <v>0.79217002237136502</v>
      </c>
      <c r="P76" t="s">
        <v>2425</v>
      </c>
      <c r="Q76" t="s">
        <v>2426</v>
      </c>
      <c r="R76" t="s">
        <v>235</v>
      </c>
      <c r="S76" t="s">
        <v>236</v>
      </c>
      <c r="T76" t="s">
        <v>2427</v>
      </c>
      <c r="U76" t="s">
        <v>2428</v>
      </c>
      <c r="V76" t="s">
        <v>2429</v>
      </c>
      <c r="W76" t="s">
        <v>2430</v>
      </c>
      <c r="X76" t="s">
        <v>2429</v>
      </c>
      <c r="Y76" t="s">
        <v>2431</v>
      </c>
      <c r="Z76" t="s">
        <v>2432</v>
      </c>
      <c r="AA76" t="s">
        <v>2433</v>
      </c>
      <c r="AB76" t="s">
        <v>2432</v>
      </c>
      <c r="AC76" t="s">
        <v>2434</v>
      </c>
      <c r="AD76" t="s">
        <v>951</v>
      </c>
      <c r="AE76" t="s">
        <v>2435</v>
      </c>
      <c r="AF76" t="s">
        <v>2437</v>
      </c>
    </row>
    <row r="77" spans="1:32" hidden="1" x14ac:dyDescent="0.35">
      <c r="A77">
        <v>1166</v>
      </c>
      <c r="B77" t="s">
        <v>2424</v>
      </c>
      <c r="C77" t="s">
        <v>72</v>
      </c>
      <c r="D77" t="s">
        <v>62</v>
      </c>
      <c r="E77">
        <v>1014</v>
      </c>
      <c r="F77">
        <v>5</v>
      </c>
      <c r="G77">
        <v>5</v>
      </c>
      <c r="H77">
        <v>1</v>
      </c>
      <c r="I77">
        <v>1</v>
      </c>
      <c r="J77">
        <v>0.84988610478359905</v>
      </c>
      <c r="K77">
        <v>0.98232160592289697</v>
      </c>
      <c r="L77">
        <v>0.91131750884364504</v>
      </c>
      <c r="M77">
        <v>0.711409395973154</v>
      </c>
      <c r="N77">
        <v>1</v>
      </c>
      <c r="O77">
        <v>0.79217002237136502</v>
      </c>
      <c r="P77" t="s">
        <v>2425</v>
      </c>
      <c r="Q77" t="s">
        <v>2426</v>
      </c>
      <c r="R77" t="s">
        <v>235</v>
      </c>
      <c r="S77" t="s">
        <v>236</v>
      </c>
      <c r="T77" t="s">
        <v>2427</v>
      </c>
      <c r="U77" t="s">
        <v>2428</v>
      </c>
      <c r="V77" t="s">
        <v>2429</v>
      </c>
      <c r="W77" t="s">
        <v>2430</v>
      </c>
      <c r="X77" t="s">
        <v>2429</v>
      </c>
      <c r="Y77" t="s">
        <v>2431</v>
      </c>
      <c r="Z77" t="s">
        <v>2432</v>
      </c>
      <c r="AA77" t="s">
        <v>2433</v>
      </c>
      <c r="AB77" t="s">
        <v>2432</v>
      </c>
      <c r="AC77" t="s">
        <v>2434</v>
      </c>
      <c r="AD77" t="s">
        <v>951</v>
      </c>
      <c r="AE77" t="s">
        <v>2435</v>
      </c>
      <c r="AF77" t="s">
        <v>2437</v>
      </c>
    </row>
    <row r="78" spans="1:32" hidden="1" x14ac:dyDescent="0.35">
      <c r="A78">
        <v>1167</v>
      </c>
      <c r="B78" t="s">
        <v>2424</v>
      </c>
      <c r="C78" t="s">
        <v>72</v>
      </c>
      <c r="D78" t="s">
        <v>34</v>
      </c>
      <c r="E78">
        <v>170</v>
      </c>
      <c r="F78">
        <v>5</v>
      </c>
      <c r="G78">
        <v>5</v>
      </c>
      <c r="H78">
        <v>1</v>
      </c>
      <c r="I78">
        <v>1</v>
      </c>
      <c r="J78">
        <v>0.84988610478359905</v>
      </c>
      <c r="K78">
        <v>0.98232160592289697</v>
      </c>
      <c r="L78">
        <v>0.91131750884364504</v>
      </c>
      <c r="M78">
        <v>0.711409395973154</v>
      </c>
      <c r="N78">
        <v>1</v>
      </c>
      <c r="O78">
        <v>0.79217002237136502</v>
      </c>
      <c r="P78" t="s">
        <v>2425</v>
      </c>
      <c r="Q78" t="s">
        <v>2426</v>
      </c>
      <c r="R78" t="s">
        <v>235</v>
      </c>
      <c r="S78" t="s">
        <v>236</v>
      </c>
      <c r="T78" t="s">
        <v>2427</v>
      </c>
      <c r="U78" t="s">
        <v>2428</v>
      </c>
      <c r="V78" t="s">
        <v>2429</v>
      </c>
      <c r="W78" t="s">
        <v>2430</v>
      </c>
      <c r="X78" t="s">
        <v>2429</v>
      </c>
      <c r="Y78" t="s">
        <v>2431</v>
      </c>
      <c r="Z78" t="s">
        <v>2432</v>
      </c>
      <c r="AA78" t="s">
        <v>2433</v>
      </c>
      <c r="AB78" t="s">
        <v>2432</v>
      </c>
      <c r="AC78" t="s">
        <v>2434</v>
      </c>
      <c r="AD78" t="s">
        <v>951</v>
      </c>
      <c r="AE78" t="s">
        <v>2435</v>
      </c>
      <c r="AF78" t="s">
        <v>2438</v>
      </c>
    </row>
    <row r="79" spans="1:32" hidden="1" x14ac:dyDescent="0.35">
      <c r="A79">
        <v>1168</v>
      </c>
      <c r="B79" t="s">
        <v>2424</v>
      </c>
      <c r="C79" t="s">
        <v>72</v>
      </c>
      <c r="D79" t="s">
        <v>45</v>
      </c>
      <c r="E79">
        <v>1431</v>
      </c>
      <c r="F79">
        <v>5</v>
      </c>
      <c r="G79">
        <v>5</v>
      </c>
      <c r="H79">
        <v>1</v>
      </c>
      <c r="I79">
        <v>1</v>
      </c>
      <c r="J79">
        <v>0.84988610478359905</v>
      </c>
      <c r="K79">
        <v>0.98232160592289697</v>
      </c>
      <c r="L79">
        <v>0.91131750884364504</v>
      </c>
      <c r="M79">
        <v>0.711409395973154</v>
      </c>
      <c r="N79">
        <v>1</v>
      </c>
      <c r="O79">
        <v>0.79217002237136502</v>
      </c>
      <c r="P79" t="s">
        <v>2425</v>
      </c>
      <c r="Q79" t="s">
        <v>2426</v>
      </c>
      <c r="R79" t="s">
        <v>235</v>
      </c>
      <c r="S79" t="s">
        <v>236</v>
      </c>
      <c r="T79" t="s">
        <v>2427</v>
      </c>
      <c r="U79" t="s">
        <v>2428</v>
      </c>
      <c r="V79" t="s">
        <v>2429</v>
      </c>
      <c r="W79" t="s">
        <v>2430</v>
      </c>
      <c r="X79" t="s">
        <v>2429</v>
      </c>
      <c r="Y79" t="s">
        <v>2431</v>
      </c>
      <c r="Z79" t="s">
        <v>2432</v>
      </c>
      <c r="AA79" t="s">
        <v>2433</v>
      </c>
      <c r="AB79" t="s">
        <v>2432</v>
      </c>
      <c r="AC79" t="s">
        <v>2434</v>
      </c>
      <c r="AD79" t="s">
        <v>951</v>
      </c>
      <c r="AE79" t="s">
        <v>2435</v>
      </c>
      <c r="AF79" t="s">
        <v>2438</v>
      </c>
    </row>
    <row r="80" spans="1:32" hidden="1" x14ac:dyDescent="0.35">
      <c r="A80">
        <v>11536</v>
      </c>
      <c r="B80" t="s">
        <v>23572</v>
      </c>
      <c r="C80" t="s">
        <v>33</v>
      </c>
      <c r="D80" t="s">
        <v>58</v>
      </c>
      <c r="E80">
        <v>623</v>
      </c>
      <c r="F80">
        <v>1</v>
      </c>
      <c r="G80">
        <v>1</v>
      </c>
      <c r="H80">
        <v>1</v>
      </c>
      <c r="I80">
        <v>0</v>
      </c>
      <c r="J80">
        <v>1</v>
      </c>
      <c r="K80">
        <v>1</v>
      </c>
      <c r="L80">
        <v>1</v>
      </c>
      <c r="M80">
        <v>0</v>
      </c>
      <c r="N80">
        <v>0</v>
      </c>
      <c r="O80">
        <v>0</v>
      </c>
      <c r="P80" t="s">
        <v>8952</v>
      </c>
      <c r="Q80" t="s">
        <v>8953</v>
      </c>
      <c r="R80" t="s">
        <v>516</v>
      </c>
      <c r="S80" t="s">
        <v>517</v>
      </c>
      <c r="T80" t="s">
        <v>23573</v>
      </c>
      <c r="U80" t="s">
        <v>23574</v>
      </c>
      <c r="V80" t="s">
        <v>23575</v>
      </c>
      <c r="W80" t="s">
        <v>23576</v>
      </c>
      <c r="Z80" t="s">
        <v>22879</v>
      </c>
      <c r="AA80" t="s">
        <v>22880</v>
      </c>
      <c r="AB80" t="s">
        <v>22879</v>
      </c>
      <c r="AC80" t="s">
        <v>22881</v>
      </c>
      <c r="AD80" t="s">
        <v>1140</v>
      </c>
      <c r="AE80" t="s">
        <v>23577</v>
      </c>
      <c r="AF80" t="s">
        <v>23578</v>
      </c>
    </row>
    <row r="81" spans="1:32" hidden="1" x14ac:dyDescent="0.35">
      <c r="A81">
        <v>1175</v>
      </c>
      <c r="B81" t="s">
        <v>2447</v>
      </c>
      <c r="C81" t="s">
        <v>72</v>
      </c>
      <c r="D81" t="s">
        <v>60</v>
      </c>
      <c r="E81">
        <v>857</v>
      </c>
      <c r="F81">
        <v>5</v>
      </c>
      <c r="G81">
        <v>5</v>
      </c>
      <c r="H81">
        <v>1</v>
      </c>
      <c r="I81">
        <v>1</v>
      </c>
      <c r="J81">
        <v>0.89884145867350895</v>
      </c>
      <c r="K81">
        <v>0.99012060559404202</v>
      </c>
      <c r="L81">
        <v>0.94227561921941605</v>
      </c>
      <c r="M81">
        <v>0.79676674364896105</v>
      </c>
      <c r="N81">
        <v>1</v>
      </c>
      <c r="O81">
        <v>0.86212471131639701</v>
      </c>
      <c r="P81" t="s">
        <v>2448</v>
      </c>
      <c r="Q81" t="s">
        <v>2449</v>
      </c>
      <c r="R81" t="s">
        <v>235</v>
      </c>
      <c r="S81" t="s">
        <v>236</v>
      </c>
      <c r="T81" t="s">
        <v>2450</v>
      </c>
      <c r="U81" t="s">
        <v>2451</v>
      </c>
      <c r="V81" t="s">
        <v>2452</v>
      </c>
      <c r="W81" t="s">
        <v>2453</v>
      </c>
      <c r="X81" t="s">
        <v>2452</v>
      </c>
      <c r="Y81" t="s">
        <v>2454</v>
      </c>
      <c r="Z81" t="s">
        <v>2455</v>
      </c>
      <c r="AA81" t="s">
        <v>2456</v>
      </c>
      <c r="AB81" t="s">
        <v>2455</v>
      </c>
      <c r="AC81" t="s">
        <v>2457</v>
      </c>
      <c r="AD81" t="s">
        <v>590</v>
      </c>
      <c r="AE81" t="s">
        <v>2458</v>
      </c>
      <c r="AF81" t="s">
        <v>2460</v>
      </c>
    </row>
    <row r="82" spans="1:32" hidden="1" x14ac:dyDescent="0.35">
      <c r="A82">
        <v>1176</v>
      </c>
      <c r="B82" t="s">
        <v>2447</v>
      </c>
      <c r="C82" t="s">
        <v>72</v>
      </c>
      <c r="D82" t="s">
        <v>62</v>
      </c>
      <c r="E82">
        <v>891</v>
      </c>
      <c r="F82">
        <v>5</v>
      </c>
      <c r="G82">
        <v>5</v>
      </c>
      <c r="H82">
        <v>1</v>
      </c>
      <c r="I82">
        <v>1</v>
      </c>
      <c r="J82">
        <v>0.89884145867350895</v>
      </c>
      <c r="K82">
        <v>0.99012060559404202</v>
      </c>
      <c r="L82">
        <v>0.94227561921941605</v>
      </c>
      <c r="M82">
        <v>0.79676674364896105</v>
      </c>
      <c r="N82">
        <v>1</v>
      </c>
      <c r="O82">
        <v>0.86212471131639701</v>
      </c>
      <c r="P82" t="s">
        <v>2448</v>
      </c>
      <c r="Q82" t="s">
        <v>2449</v>
      </c>
      <c r="R82" t="s">
        <v>235</v>
      </c>
      <c r="S82" t="s">
        <v>236</v>
      </c>
      <c r="T82" t="s">
        <v>2450</v>
      </c>
      <c r="U82" t="s">
        <v>2451</v>
      </c>
      <c r="V82" t="s">
        <v>2452</v>
      </c>
      <c r="W82" t="s">
        <v>2453</v>
      </c>
      <c r="X82" t="s">
        <v>2452</v>
      </c>
      <c r="Y82" t="s">
        <v>2454</v>
      </c>
      <c r="Z82" t="s">
        <v>2455</v>
      </c>
      <c r="AA82" t="s">
        <v>2456</v>
      </c>
      <c r="AB82" t="s">
        <v>2455</v>
      </c>
      <c r="AC82" t="s">
        <v>2457</v>
      </c>
      <c r="AD82" t="s">
        <v>590</v>
      </c>
      <c r="AE82" t="s">
        <v>2458</v>
      </c>
      <c r="AF82" t="s">
        <v>2460</v>
      </c>
    </row>
    <row r="83" spans="1:32" hidden="1" x14ac:dyDescent="0.35">
      <c r="A83">
        <v>1177</v>
      </c>
      <c r="B83" t="s">
        <v>2447</v>
      </c>
      <c r="C83" t="s">
        <v>72</v>
      </c>
      <c r="D83" t="s">
        <v>34</v>
      </c>
      <c r="E83">
        <v>289</v>
      </c>
      <c r="F83">
        <v>5</v>
      </c>
      <c r="G83">
        <v>5</v>
      </c>
      <c r="H83">
        <v>1</v>
      </c>
      <c r="I83">
        <v>1</v>
      </c>
      <c r="J83">
        <v>0.89884145867350895</v>
      </c>
      <c r="K83">
        <v>0.99012060559404202</v>
      </c>
      <c r="L83">
        <v>0.94227561921941605</v>
      </c>
      <c r="M83">
        <v>0.79676674364896105</v>
      </c>
      <c r="N83">
        <v>1</v>
      </c>
      <c r="O83">
        <v>0.86212471131639701</v>
      </c>
      <c r="P83" t="s">
        <v>2448</v>
      </c>
      <c r="Q83" t="s">
        <v>2449</v>
      </c>
      <c r="R83" t="s">
        <v>235</v>
      </c>
      <c r="S83" t="s">
        <v>236</v>
      </c>
      <c r="T83" t="s">
        <v>2450</v>
      </c>
      <c r="U83" t="s">
        <v>2451</v>
      </c>
      <c r="V83" t="s">
        <v>2452</v>
      </c>
      <c r="W83" t="s">
        <v>2453</v>
      </c>
      <c r="X83" t="s">
        <v>2452</v>
      </c>
      <c r="Y83" t="s">
        <v>2454</v>
      </c>
      <c r="Z83" t="s">
        <v>2455</v>
      </c>
      <c r="AA83" t="s">
        <v>2456</v>
      </c>
      <c r="AB83" t="s">
        <v>2455</v>
      </c>
      <c r="AC83" t="s">
        <v>2457</v>
      </c>
      <c r="AD83" t="s">
        <v>590</v>
      </c>
      <c r="AE83" t="s">
        <v>2458</v>
      </c>
      <c r="AF83" t="s">
        <v>2461</v>
      </c>
    </row>
    <row r="84" spans="1:32" hidden="1" x14ac:dyDescent="0.35">
      <c r="A84">
        <v>1178</v>
      </c>
      <c r="B84" t="s">
        <v>2447</v>
      </c>
      <c r="C84" t="s">
        <v>72</v>
      </c>
      <c r="D84" t="s">
        <v>45</v>
      </c>
      <c r="E84">
        <v>1551</v>
      </c>
      <c r="F84">
        <v>5</v>
      </c>
      <c r="G84">
        <v>5</v>
      </c>
      <c r="H84">
        <v>1</v>
      </c>
      <c r="I84">
        <v>1</v>
      </c>
      <c r="J84">
        <v>0.89884145867350895</v>
      </c>
      <c r="K84">
        <v>0.99012060559404202</v>
      </c>
      <c r="L84">
        <v>0.94227561921941605</v>
      </c>
      <c r="M84">
        <v>0.79676674364896105</v>
      </c>
      <c r="N84">
        <v>1</v>
      </c>
      <c r="O84">
        <v>0.86212471131639701</v>
      </c>
      <c r="P84" t="s">
        <v>2448</v>
      </c>
      <c r="Q84" t="s">
        <v>2449</v>
      </c>
      <c r="R84" t="s">
        <v>235</v>
      </c>
      <c r="S84" t="s">
        <v>236</v>
      </c>
      <c r="T84" t="s">
        <v>2450</v>
      </c>
      <c r="U84" t="s">
        <v>2451</v>
      </c>
      <c r="V84" t="s">
        <v>2452</v>
      </c>
      <c r="W84" t="s">
        <v>2453</v>
      </c>
      <c r="X84" t="s">
        <v>2452</v>
      </c>
      <c r="Y84" t="s">
        <v>2454</v>
      </c>
      <c r="Z84" t="s">
        <v>2455</v>
      </c>
      <c r="AA84" t="s">
        <v>2456</v>
      </c>
      <c r="AB84" t="s">
        <v>2455</v>
      </c>
      <c r="AC84" t="s">
        <v>2457</v>
      </c>
      <c r="AD84" t="s">
        <v>590</v>
      </c>
      <c r="AE84" t="s">
        <v>2458</v>
      </c>
      <c r="AF84" t="s">
        <v>2462</v>
      </c>
    </row>
    <row r="85" spans="1:32" hidden="1" x14ac:dyDescent="0.35">
      <c r="A85">
        <v>11800</v>
      </c>
      <c r="B85" t="s">
        <v>24246</v>
      </c>
      <c r="C85" t="s">
        <v>33</v>
      </c>
      <c r="D85" t="s">
        <v>58</v>
      </c>
      <c r="E85">
        <v>573</v>
      </c>
      <c r="F85">
        <v>1</v>
      </c>
      <c r="G85">
        <v>1</v>
      </c>
      <c r="H85">
        <v>1</v>
      </c>
      <c r="I85">
        <v>0</v>
      </c>
      <c r="J85">
        <v>1</v>
      </c>
      <c r="K85">
        <v>1</v>
      </c>
      <c r="L85">
        <v>1</v>
      </c>
      <c r="M85">
        <v>0</v>
      </c>
      <c r="N85">
        <v>0</v>
      </c>
      <c r="O85">
        <v>0</v>
      </c>
      <c r="P85" t="s">
        <v>8952</v>
      </c>
      <c r="Q85" t="s">
        <v>8953</v>
      </c>
      <c r="R85" t="s">
        <v>516</v>
      </c>
      <c r="S85" t="s">
        <v>517</v>
      </c>
      <c r="T85" t="s">
        <v>24247</v>
      </c>
      <c r="U85" t="s">
        <v>24248</v>
      </c>
      <c r="V85" t="s">
        <v>23575</v>
      </c>
      <c r="W85" t="s">
        <v>23576</v>
      </c>
      <c r="AD85" t="s">
        <v>410</v>
      </c>
      <c r="AE85" t="s">
        <v>24249</v>
      </c>
      <c r="AF85" t="s">
        <v>24250</v>
      </c>
    </row>
    <row r="86" spans="1:32" hidden="1" x14ac:dyDescent="0.35">
      <c r="A86">
        <v>1295</v>
      </c>
      <c r="B86" t="s">
        <v>2680</v>
      </c>
      <c r="C86" t="s">
        <v>72</v>
      </c>
      <c r="D86" t="s">
        <v>60</v>
      </c>
      <c r="E86">
        <v>1323</v>
      </c>
      <c r="F86">
        <v>5</v>
      </c>
      <c r="G86">
        <v>5</v>
      </c>
      <c r="H86">
        <v>1</v>
      </c>
      <c r="I86">
        <v>1</v>
      </c>
      <c r="J86">
        <v>0.749123685528292</v>
      </c>
      <c r="K86">
        <v>0.93556983081267298</v>
      </c>
      <c r="L86">
        <v>0.832029699086969</v>
      </c>
      <c r="M86">
        <v>0.54205607476635498</v>
      </c>
      <c r="N86">
        <v>1</v>
      </c>
      <c r="O86">
        <v>0.64719626168224298</v>
      </c>
      <c r="P86" t="s">
        <v>2681</v>
      </c>
      <c r="Q86" t="s">
        <v>2682</v>
      </c>
      <c r="R86" t="s">
        <v>235</v>
      </c>
      <c r="S86" t="s">
        <v>236</v>
      </c>
      <c r="T86" t="s">
        <v>2683</v>
      </c>
      <c r="U86" t="s">
        <v>2684</v>
      </c>
      <c r="V86" t="s">
        <v>2685</v>
      </c>
      <c r="W86" t="s">
        <v>2686</v>
      </c>
      <c r="AD86" t="s">
        <v>2687</v>
      </c>
      <c r="AE86" t="s">
        <v>2688</v>
      </c>
      <c r="AF86" t="e">
        <f>---MRSFLDFIASSPSSFHAAHQVARRLDQAGFAQQDEAEPWDASPGGHYVVRGGAIMAWWVPENASP-ESGFRIVGSHTDSPGFKVKPGTDFTTVGWQQVAVEVYGGPILTSWFDRELVLAGRVILSDGSEKMVSTGPLLRIPNLAIHLSRDKAQDASTLSRQVHLQPVMG-VGDPE-ASVLDVVAASAGVDKHDIVAHDLITCDAQRGEMFGANMDLVAAGRLDNLSSVYASLEAFIAALQSGDAGN---DVLVLAAFDHEEVGSATISGAAGPLLENVLVRTAQTLEADTEDLHRMFARSWCVSADAAHSVHPNYVGKHDPVTQPLVNHGPVVKMNANQRYASDAVTWALWERACRDAGVPSQVFVGNNDSPCGSTIGPITATRLGIPTVDVGIPLLSMHSARELCGAHDMGWFAQALEAFFVGD</f>
        <v>#NAME?</v>
      </c>
    </row>
    <row r="87" spans="1:32" hidden="1" x14ac:dyDescent="0.35">
      <c r="A87">
        <v>1296</v>
      </c>
      <c r="B87" t="s">
        <v>2680</v>
      </c>
      <c r="C87" t="s">
        <v>72</v>
      </c>
      <c r="D87" t="s">
        <v>62</v>
      </c>
      <c r="E87">
        <v>1359</v>
      </c>
      <c r="F87">
        <v>5</v>
      </c>
      <c r="G87">
        <v>5</v>
      </c>
      <c r="H87">
        <v>1</v>
      </c>
      <c r="I87">
        <v>1</v>
      </c>
      <c r="J87">
        <v>0.749123685528292</v>
      </c>
      <c r="K87">
        <v>0.93556983081267298</v>
      </c>
      <c r="L87">
        <v>0.832029699086969</v>
      </c>
      <c r="M87">
        <v>0.54205607476635498</v>
      </c>
      <c r="N87">
        <v>1</v>
      </c>
      <c r="O87">
        <v>0.64719626168224298</v>
      </c>
      <c r="P87" t="s">
        <v>2681</v>
      </c>
      <c r="Q87" t="s">
        <v>2682</v>
      </c>
      <c r="R87" t="s">
        <v>235</v>
      </c>
      <c r="S87" t="s">
        <v>236</v>
      </c>
      <c r="T87" t="s">
        <v>2683</v>
      </c>
      <c r="U87" t="s">
        <v>2684</v>
      </c>
      <c r="V87" t="s">
        <v>2685</v>
      </c>
      <c r="W87" t="s">
        <v>2686</v>
      </c>
      <c r="AD87" t="s">
        <v>2687</v>
      </c>
      <c r="AE87" t="s">
        <v>2688</v>
      </c>
      <c r="AF87" t="e">
        <f>---MRSFLDFIASSPSSFHAAHQVARRLDQAGFAQQDEAEPWDASPGGHYVVRGGAIMAWWVPENASP-ESGFRIVGSHTDSPGFKVKPGTDFTTVGWQQVAVEVYGGPILTSWFDRELVLAGRVILSDGSEKMVSTGPLLRIPNLAIHLSRDKAQDASTLSRQVHLQPVMG-VGDPE-ASVLDVVAASAGVDKHDIVAHDLITCDAQRGEMFGANMDLVAAGRLDNLSSVYASLEAFIAALQSGDAGN---DVLVLAAFDHEEVGSATISGAAGPLLENVLVRTAQTLEADTEDLHRMFARSWCVSADAAHSVHPNYVGKHDPVTQPLVNHGPVVKMNANQRYASDAVTWALWERACRDAGVPSQVFVGNNDSPCGSTIGPITATRLGIPTVDVGIPLLSMHSARELCGAHDMGWFAQALEAFFVGD</f>
        <v>#NAME?</v>
      </c>
    </row>
    <row r="88" spans="1:32" hidden="1" x14ac:dyDescent="0.35">
      <c r="A88">
        <v>1297</v>
      </c>
      <c r="B88" t="s">
        <v>2680</v>
      </c>
      <c r="C88" t="s">
        <v>72</v>
      </c>
      <c r="D88" t="s">
        <v>34</v>
      </c>
      <c r="E88">
        <v>1718</v>
      </c>
      <c r="F88">
        <v>5</v>
      </c>
      <c r="G88">
        <v>5</v>
      </c>
      <c r="H88">
        <v>1</v>
      </c>
      <c r="I88">
        <v>1</v>
      </c>
      <c r="J88">
        <v>0.749123685528292</v>
      </c>
      <c r="K88">
        <v>0.93556983081267298</v>
      </c>
      <c r="L88">
        <v>0.832029699086969</v>
      </c>
      <c r="M88">
        <v>0.54205607476635498</v>
      </c>
      <c r="N88">
        <v>1</v>
      </c>
      <c r="O88">
        <v>0.64719626168224298</v>
      </c>
      <c r="P88" t="s">
        <v>2681</v>
      </c>
      <c r="Q88" t="s">
        <v>2682</v>
      </c>
      <c r="R88" t="s">
        <v>235</v>
      </c>
      <c r="S88" t="s">
        <v>236</v>
      </c>
      <c r="V88" t="s">
        <v>2685</v>
      </c>
      <c r="W88" t="s">
        <v>2686</v>
      </c>
      <c r="AF88" t="s">
        <v>2690</v>
      </c>
    </row>
    <row r="89" spans="1:32" hidden="1" x14ac:dyDescent="0.35">
      <c r="A89">
        <v>1298</v>
      </c>
      <c r="B89" t="s">
        <v>2680</v>
      </c>
      <c r="C89" t="s">
        <v>72</v>
      </c>
      <c r="D89" t="s">
        <v>45</v>
      </c>
      <c r="E89">
        <v>1156</v>
      </c>
      <c r="F89">
        <v>5</v>
      </c>
      <c r="G89">
        <v>5</v>
      </c>
      <c r="H89">
        <v>1</v>
      </c>
      <c r="I89">
        <v>1</v>
      </c>
      <c r="J89">
        <v>0.749123685528292</v>
      </c>
      <c r="K89">
        <v>0.93556983081267298</v>
      </c>
      <c r="L89">
        <v>0.832029699086969</v>
      </c>
      <c r="M89">
        <v>0.54205607476635498</v>
      </c>
      <c r="N89">
        <v>1</v>
      </c>
      <c r="O89">
        <v>0.64719626168224298</v>
      </c>
      <c r="P89" t="s">
        <v>2681</v>
      </c>
      <c r="Q89" t="s">
        <v>2682</v>
      </c>
      <c r="R89" t="s">
        <v>235</v>
      </c>
      <c r="S89" t="s">
        <v>236</v>
      </c>
      <c r="V89" t="s">
        <v>2685</v>
      </c>
      <c r="W89" t="s">
        <v>2686</v>
      </c>
      <c r="AF89" t="s">
        <v>2690</v>
      </c>
    </row>
    <row r="90" spans="1:32" hidden="1" x14ac:dyDescent="0.35">
      <c r="A90">
        <v>4304</v>
      </c>
      <c r="B90" t="s">
        <v>8951</v>
      </c>
      <c r="C90" t="s">
        <v>72</v>
      </c>
      <c r="D90" t="s">
        <v>58</v>
      </c>
      <c r="E90">
        <v>799</v>
      </c>
      <c r="F90">
        <v>5</v>
      </c>
      <c r="G90">
        <v>5</v>
      </c>
      <c r="H90">
        <v>1</v>
      </c>
      <c r="I90">
        <v>1</v>
      </c>
      <c r="J90">
        <v>0.86591194968553498</v>
      </c>
      <c r="K90">
        <v>1</v>
      </c>
      <c r="L90">
        <v>0.92813806121073195</v>
      </c>
      <c r="M90">
        <v>0.76603773584905699</v>
      </c>
      <c r="N90">
        <v>0.99245283018867902</v>
      </c>
      <c r="O90">
        <v>0.82037735849056603</v>
      </c>
      <c r="P90" t="s">
        <v>8952</v>
      </c>
      <c r="Q90" t="s">
        <v>8953</v>
      </c>
      <c r="R90" t="s">
        <v>516</v>
      </c>
      <c r="S90" t="s">
        <v>517</v>
      </c>
      <c r="T90" t="s">
        <v>8954</v>
      </c>
      <c r="U90" t="s">
        <v>8955</v>
      </c>
      <c r="V90" t="s">
        <v>8956</v>
      </c>
      <c r="W90" t="s">
        <v>8957</v>
      </c>
      <c r="Z90" t="s">
        <v>8958</v>
      </c>
      <c r="AA90" t="s">
        <v>8959</v>
      </c>
      <c r="AB90" t="s">
        <v>8958</v>
      </c>
      <c r="AC90" t="s">
        <v>244</v>
      </c>
      <c r="AD90" t="s">
        <v>219</v>
      </c>
      <c r="AE90" t="s">
        <v>8960</v>
      </c>
      <c r="AF90" t="s">
        <v>8961</v>
      </c>
    </row>
    <row r="91" spans="1:32" hidden="1" x14ac:dyDescent="0.35">
      <c r="A91">
        <v>1335</v>
      </c>
      <c r="B91" t="s">
        <v>2769</v>
      </c>
      <c r="C91" t="s">
        <v>72</v>
      </c>
      <c r="D91" t="s">
        <v>60</v>
      </c>
      <c r="E91">
        <v>1832</v>
      </c>
      <c r="F91">
        <v>5</v>
      </c>
      <c r="G91">
        <v>5</v>
      </c>
      <c r="H91">
        <v>1</v>
      </c>
      <c r="I91">
        <v>1</v>
      </c>
      <c r="J91">
        <v>0.84162313574078296</v>
      </c>
      <c r="K91">
        <v>0.97870378619153997</v>
      </c>
      <c r="L91">
        <v>0.905001996697959</v>
      </c>
      <c r="M91">
        <v>0.72222222222222199</v>
      </c>
      <c r="N91">
        <v>1</v>
      </c>
      <c r="O91">
        <v>0.78977777777777802</v>
      </c>
      <c r="P91" t="s">
        <v>1674</v>
      </c>
      <c r="Q91" t="s">
        <v>1675</v>
      </c>
      <c r="R91" t="s">
        <v>235</v>
      </c>
      <c r="S91" t="s">
        <v>236</v>
      </c>
      <c r="T91" t="s">
        <v>1676</v>
      </c>
      <c r="U91" t="s">
        <v>1677</v>
      </c>
      <c r="V91" t="s">
        <v>1678</v>
      </c>
      <c r="W91" t="s">
        <v>1679</v>
      </c>
      <c r="X91" t="s">
        <v>1678</v>
      </c>
      <c r="Y91" t="s">
        <v>190</v>
      </c>
      <c r="Z91" t="s">
        <v>1680</v>
      </c>
      <c r="AA91" t="s">
        <v>1681</v>
      </c>
      <c r="AB91" t="s">
        <v>1680</v>
      </c>
      <c r="AC91" t="s">
        <v>1682</v>
      </c>
      <c r="AD91" t="s">
        <v>1683</v>
      </c>
      <c r="AE91" t="s">
        <v>1684</v>
      </c>
      <c r="AF91" t="s">
        <v>2771</v>
      </c>
    </row>
    <row r="92" spans="1:32" hidden="1" x14ac:dyDescent="0.35">
      <c r="A92">
        <v>1336</v>
      </c>
      <c r="B92" t="s">
        <v>2769</v>
      </c>
      <c r="C92" t="s">
        <v>72</v>
      </c>
      <c r="D92" t="s">
        <v>62</v>
      </c>
      <c r="E92">
        <v>1870</v>
      </c>
      <c r="F92">
        <v>5</v>
      </c>
      <c r="G92">
        <v>5</v>
      </c>
      <c r="H92">
        <v>1</v>
      </c>
      <c r="I92">
        <v>1</v>
      </c>
      <c r="J92">
        <v>0.84162313574078296</v>
      </c>
      <c r="K92">
        <v>0.97870378619153997</v>
      </c>
      <c r="L92">
        <v>0.905001996697959</v>
      </c>
      <c r="M92">
        <v>0.72222222222222199</v>
      </c>
      <c r="N92">
        <v>1</v>
      </c>
      <c r="O92">
        <v>0.78977777777777802</v>
      </c>
      <c r="P92" t="s">
        <v>1674</v>
      </c>
      <c r="Q92" t="s">
        <v>1675</v>
      </c>
      <c r="R92" t="s">
        <v>235</v>
      </c>
      <c r="S92" t="s">
        <v>236</v>
      </c>
      <c r="T92" t="s">
        <v>1676</v>
      </c>
      <c r="U92" t="s">
        <v>1677</v>
      </c>
      <c r="V92" t="s">
        <v>1678</v>
      </c>
      <c r="W92" t="s">
        <v>1679</v>
      </c>
      <c r="X92" t="s">
        <v>1678</v>
      </c>
      <c r="Y92" t="s">
        <v>190</v>
      </c>
      <c r="Z92" t="s">
        <v>1680</v>
      </c>
      <c r="AA92" t="s">
        <v>1681</v>
      </c>
      <c r="AB92" t="s">
        <v>1680</v>
      </c>
      <c r="AC92" t="s">
        <v>1682</v>
      </c>
      <c r="AD92" t="s">
        <v>1683</v>
      </c>
      <c r="AE92" t="s">
        <v>1684</v>
      </c>
      <c r="AF92" t="s">
        <v>2771</v>
      </c>
    </row>
    <row r="93" spans="1:32" hidden="1" x14ac:dyDescent="0.35">
      <c r="A93">
        <v>1337</v>
      </c>
      <c r="B93" t="s">
        <v>2769</v>
      </c>
      <c r="C93" t="s">
        <v>72</v>
      </c>
      <c r="D93" t="s">
        <v>34</v>
      </c>
      <c r="E93">
        <v>2190</v>
      </c>
      <c r="F93">
        <v>5</v>
      </c>
      <c r="G93">
        <v>5</v>
      </c>
      <c r="H93">
        <v>1</v>
      </c>
      <c r="I93">
        <v>1</v>
      </c>
      <c r="J93">
        <v>0.84162313574078296</v>
      </c>
      <c r="K93">
        <v>0.97870378619153997</v>
      </c>
      <c r="L93">
        <v>0.905001996697959</v>
      </c>
      <c r="M93">
        <v>0.72222222222222199</v>
      </c>
      <c r="N93">
        <v>1</v>
      </c>
      <c r="O93">
        <v>0.78977777777777802</v>
      </c>
      <c r="P93" t="s">
        <v>1674</v>
      </c>
      <c r="Q93" t="s">
        <v>1675</v>
      </c>
      <c r="R93" t="s">
        <v>235</v>
      </c>
      <c r="S93" t="s">
        <v>236</v>
      </c>
      <c r="T93" t="s">
        <v>1676</v>
      </c>
      <c r="U93" t="s">
        <v>1677</v>
      </c>
      <c r="V93" t="s">
        <v>1678</v>
      </c>
      <c r="W93" t="s">
        <v>1679</v>
      </c>
      <c r="X93" t="s">
        <v>1678</v>
      </c>
      <c r="Y93" t="s">
        <v>190</v>
      </c>
      <c r="Z93" t="s">
        <v>1680</v>
      </c>
      <c r="AA93" t="s">
        <v>1681</v>
      </c>
      <c r="AB93" t="s">
        <v>1680</v>
      </c>
      <c r="AC93" t="s">
        <v>1682</v>
      </c>
      <c r="AD93" t="s">
        <v>1683</v>
      </c>
      <c r="AE93" t="s">
        <v>1684</v>
      </c>
      <c r="AF93" t="s">
        <v>2772</v>
      </c>
    </row>
    <row r="94" spans="1:32" hidden="1" x14ac:dyDescent="0.35">
      <c r="A94">
        <v>1338</v>
      </c>
      <c r="B94" t="s">
        <v>2769</v>
      </c>
      <c r="C94" t="s">
        <v>72</v>
      </c>
      <c r="D94" t="s">
        <v>45</v>
      </c>
      <c r="E94">
        <v>684</v>
      </c>
      <c r="F94">
        <v>5</v>
      </c>
      <c r="G94">
        <v>5</v>
      </c>
      <c r="H94">
        <v>1</v>
      </c>
      <c r="I94">
        <v>1</v>
      </c>
      <c r="J94">
        <v>0.84162313574078296</v>
      </c>
      <c r="K94">
        <v>0.97870378619153997</v>
      </c>
      <c r="L94">
        <v>0.905001996697959</v>
      </c>
      <c r="M94">
        <v>0.72222222222222199</v>
      </c>
      <c r="N94">
        <v>1</v>
      </c>
      <c r="O94">
        <v>0.78977777777777802</v>
      </c>
      <c r="P94" t="s">
        <v>1674</v>
      </c>
      <c r="Q94" t="s">
        <v>1675</v>
      </c>
      <c r="R94" t="s">
        <v>235</v>
      </c>
      <c r="S94" t="s">
        <v>236</v>
      </c>
      <c r="T94" t="s">
        <v>1676</v>
      </c>
      <c r="U94" t="s">
        <v>1677</v>
      </c>
      <c r="V94" t="s">
        <v>1678</v>
      </c>
      <c r="W94" t="s">
        <v>1679</v>
      </c>
      <c r="X94" t="s">
        <v>1678</v>
      </c>
      <c r="Y94" t="s">
        <v>190</v>
      </c>
      <c r="Z94" t="s">
        <v>1680</v>
      </c>
      <c r="AA94" t="s">
        <v>1681</v>
      </c>
      <c r="AB94" t="s">
        <v>1680</v>
      </c>
      <c r="AC94" t="s">
        <v>1682</v>
      </c>
      <c r="AD94" t="s">
        <v>1683</v>
      </c>
      <c r="AE94" t="s">
        <v>1684</v>
      </c>
      <c r="AF94" t="s">
        <v>2773</v>
      </c>
    </row>
    <row r="95" spans="1:32" hidden="1" x14ac:dyDescent="0.35">
      <c r="A95">
        <v>11126</v>
      </c>
      <c r="B95" t="s">
        <v>22555</v>
      </c>
      <c r="C95" t="s">
        <v>33</v>
      </c>
      <c r="D95" t="s">
        <v>58</v>
      </c>
      <c r="E95">
        <v>1776</v>
      </c>
      <c r="F95">
        <v>1</v>
      </c>
      <c r="G95">
        <v>1</v>
      </c>
      <c r="H95">
        <v>1</v>
      </c>
      <c r="I95">
        <v>0</v>
      </c>
      <c r="J95">
        <v>1</v>
      </c>
      <c r="K95">
        <v>1</v>
      </c>
      <c r="L95">
        <v>1</v>
      </c>
      <c r="M95">
        <v>0</v>
      </c>
      <c r="N95">
        <v>0</v>
      </c>
      <c r="O95">
        <v>0</v>
      </c>
      <c r="P95" t="s">
        <v>20660</v>
      </c>
      <c r="Q95" t="s">
        <v>20661</v>
      </c>
      <c r="R95" t="s">
        <v>869</v>
      </c>
      <c r="S95" t="s">
        <v>870</v>
      </c>
      <c r="T95" t="s">
        <v>20662</v>
      </c>
      <c r="U95" t="s">
        <v>20663</v>
      </c>
      <c r="V95" t="s">
        <v>7964</v>
      </c>
      <c r="W95" t="s">
        <v>7965</v>
      </c>
      <c r="X95" t="s">
        <v>7964</v>
      </c>
      <c r="Y95" t="s">
        <v>2190</v>
      </c>
      <c r="AD95" t="s">
        <v>14008</v>
      </c>
      <c r="AE95" t="s">
        <v>17808</v>
      </c>
      <c r="AF95" t="s">
        <v>22556</v>
      </c>
    </row>
    <row r="96" spans="1:32" hidden="1" x14ac:dyDescent="0.35">
      <c r="A96">
        <v>1375</v>
      </c>
      <c r="B96" t="s">
        <v>2861</v>
      </c>
      <c r="C96" t="s">
        <v>72</v>
      </c>
      <c r="D96" t="s">
        <v>60</v>
      </c>
      <c r="E96">
        <v>1116</v>
      </c>
      <c r="F96">
        <v>5</v>
      </c>
      <c r="G96">
        <v>5</v>
      </c>
      <c r="H96">
        <v>1</v>
      </c>
      <c r="I96">
        <v>1</v>
      </c>
      <c r="J96">
        <v>0.84127797710575802</v>
      </c>
      <c r="K96">
        <v>0.99540816326530801</v>
      </c>
      <c r="L96">
        <v>0.911875957007236</v>
      </c>
      <c r="M96">
        <v>0.73469387755102</v>
      </c>
      <c r="N96">
        <v>1</v>
      </c>
      <c r="O96">
        <v>0.79540816326530595</v>
      </c>
      <c r="P96" t="s">
        <v>2862</v>
      </c>
      <c r="Q96" t="s">
        <v>2863</v>
      </c>
      <c r="R96" t="s">
        <v>235</v>
      </c>
      <c r="S96" t="s">
        <v>236</v>
      </c>
      <c r="T96" t="s">
        <v>2864</v>
      </c>
      <c r="U96" t="s">
        <v>2865</v>
      </c>
      <c r="V96" t="s">
        <v>2866</v>
      </c>
      <c r="W96" t="s">
        <v>2867</v>
      </c>
      <c r="X96" t="s">
        <v>2866</v>
      </c>
      <c r="Y96" t="s">
        <v>1108</v>
      </c>
      <c r="Z96" t="s">
        <v>2868</v>
      </c>
      <c r="AA96" t="s">
        <v>2869</v>
      </c>
      <c r="AB96" t="s">
        <v>2868</v>
      </c>
      <c r="AC96" t="s">
        <v>1111</v>
      </c>
      <c r="AD96" t="s">
        <v>2870</v>
      </c>
      <c r="AE96" t="s">
        <v>2871</v>
      </c>
      <c r="AF96" t="s">
        <v>2873</v>
      </c>
    </row>
    <row r="97" spans="1:32" hidden="1" x14ac:dyDescent="0.35">
      <c r="A97">
        <v>1376</v>
      </c>
      <c r="B97" t="s">
        <v>2861</v>
      </c>
      <c r="C97" t="s">
        <v>72</v>
      </c>
      <c r="D97" t="s">
        <v>62</v>
      </c>
      <c r="E97">
        <v>1152</v>
      </c>
      <c r="F97">
        <v>5</v>
      </c>
      <c r="G97">
        <v>5</v>
      </c>
      <c r="H97">
        <v>1</v>
      </c>
      <c r="I97">
        <v>1</v>
      </c>
      <c r="J97">
        <v>0.84127797710575802</v>
      </c>
      <c r="K97">
        <v>0.99540816326530801</v>
      </c>
      <c r="L97">
        <v>0.911875957007236</v>
      </c>
      <c r="M97">
        <v>0.73469387755102</v>
      </c>
      <c r="N97">
        <v>1</v>
      </c>
      <c r="O97">
        <v>0.79540816326530595</v>
      </c>
      <c r="P97" t="s">
        <v>2862</v>
      </c>
      <c r="Q97" t="s">
        <v>2863</v>
      </c>
      <c r="R97" t="s">
        <v>235</v>
      </c>
      <c r="S97" t="s">
        <v>236</v>
      </c>
      <c r="T97" t="s">
        <v>2864</v>
      </c>
      <c r="U97" t="s">
        <v>2865</v>
      </c>
      <c r="V97" t="s">
        <v>2866</v>
      </c>
      <c r="W97" t="s">
        <v>2867</v>
      </c>
      <c r="X97" t="s">
        <v>2866</v>
      </c>
      <c r="Y97" t="s">
        <v>1108</v>
      </c>
      <c r="Z97" t="s">
        <v>2868</v>
      </c>
      <c r="AA97" t="s">
        <v>2869</v>
      </c>
      <c r="AB97" t="s">
        <v>2868</v>
      </c>
      <c r="AC97" t="s">
        <v>1111</v>
      </c>
      <c r="AD97" t="s">
        <v>2870</v>
      </c>
      <c r="AE97" t="s">
        <v>2871</v>
      </c>
      <c r="AF97" t="s">
        <v>2873</v>
      </c>
    </row>
    <row r="98" spans="1:32" hidden="1" x14ac:dyDescent="0.35">
      <c r="A98">
        <v>1377</v>
      </c>
      <c r="B98" t="s">
        <v>2861</v>
      </c>
      <c r="C98" t="s">
        <v>72</v>
      </c>
      <c r="D98" t="s">
        <v>34</v>
      </c>
      <c r="E98">
        <v>31</v>
      </c>
      <c r="F98">
        <v>5</v>
      </c>
      <c r="G98">
        <v>5</v>
      </c>
      <c r="H98">
        <v>1</v>
      </c>
      <c r="I98">
        <v>1</v>
      </c>
      <c r="J98">
        <v>0.84127797710575802</v>
      </c>
      <c r="K98">
        <v>0.99540816326530801</v>
      </c>
      <c r="L98">
        <v>0.911875957007236</v>
      </c>
      <c r="M98">
        <v>0.73469387755102</v>
      </c>
      <c r="N98">
        <v>1</v>
      </c>
      <c r="O98">
        <v>0.79540816326530595</v>
      </c>
      <c r="P98" t="s">
        <v>2862</v>
      </c>
      <c r="Q98" t="s">
        <v>2863</v>
      </c>
      <c r="R98" t="s">
        <v>235</v>
      </c>
      <c r="S98" t="s">
        <v>236</v>
      </c>
      <c r="T98" t="s">
        <v>2864</v>
      </c>
      <c r="U98" t="s">
        <v>2865</v>
      </c>
      <c r="V98" t="s">
        <v>2866</v>
      </c>
      <c r="W98" t="s">
        <v>2867</v>
      </c>
      <c r="X98" t="s">
        <v>2866</v>
      </c>
      <c r="Y98" t="s">
        <v>1108</v>
      </c>
      <c r="Z98" t="s">
        <v>2868</v>
      </c>
      <c r="AA98" t="s">
        <v>2869</v>
      </c>
      <c r="AB98" t="s">
        <v>2868</v>
      </c>
      <c r="AC98" t="s">
        <v>1111</v>
      </c>
      <c r="AD98" t="s">
        <v>2870</v>
      </c>
      <c r="AE98" t="s">
        <v>2871</v>
      </c>
      <c r="AF98" t="s">
        <v>2874</v>
      </c>
    </row>
    <row r="99" spans="1:32" hidden="1" x14ac:dyDescent="0.35">
      <c r="A99">
        <v>1378</v>
      </c>
      <c r="B99" t="s">
        <v>2861</v>
      </c>
      <c r="C99" t="s">
        <v>72</v>
      </c>
      <c r="D99" t="s">
        <v>45</v>
      </c>
      <c r="E99">
        <v>1288</v>
      </c>
      <c r="F99">
        <v>5</v>
      </c>
      <c r="G99">
        <v>5</v>
      </c>
      <c r="H99">
        <v>1</v>
      </c>
      <c r="I99">
        <v>1</v>
      </c>
      <c r="J99">
        <v>0.84127797710575802</v>
      </c>
      <c r="K99">
        <v>0.99540816326530801</v>
      </c>
      <c r="L99">
        <v>0.911875957007236</v>
      </c>
      <c r="M99">
        <v>0.73469387755102</v>
      </c>
      <c r="N99">
        <v>1</v>
      </c>
      <c r="O99">
        <v>0.79540816326530595</v>
      </c>
      <c r="P99" t="s">
        <v>2862</v>
      </c>
      <c r="Q99" t="s">
        <v>2863</v>
      </c>
      <c r="R99" t="s">
        <v>235</v>
      </c>
      <c r="S99" t="s">
        <v>236</v>
      </c>
      <c r="T99" t="s">
        <v>2864</v>
      </c>
      <c r="U99" t="s">
        <v>2865</v>
      </c>
      <c r="V99" t="s">
        <v>2866</v>
      </c>
      <c r="W99" t="s">
        <v>2867</v>
      </c>
      <c r="X99" t="s">
        <v>2866</v>
      </c>
      <c r="Y99" t="s">
        <v>1108</v>
      </c>
      <c r="Z99" t="s">
        <v>2868</v>
      </c>
      <c r="AA99" t="s">
        <v>2869</v>
      </c>
      <c r="AB99" t="s">
        <v>2868</v>
      </c>
      <c r="AC99" t="s">
        <v>1111</v>
      </c>
      <c r="AD99" t="s">
        <v>2870</v>
      </c>
      <c r="AE99" t="s">
        <v>2871</v>
      </c>
      <c r="AF99" t="s">
        <v>2875</v>
      </c>
    </row>
    <row r="100" spans="1:32" hidden="1" x14ac:dyDescent="0.35">
      <c r="A100">
        <v>464</v>
      </c>
      <c r="B100" t="s">
        <v>866</v>
      </c>
      <c r="C100" t="s">
        <v>72</v>
      </c>
      <c r="D100" t="s">
        <v>58</v>
      </c>
      <c r="E100">
        <v>204</v>
      </c>
      <c r="F100">
        <v>5</v>
      </c>
      <c r="G100">
        <v>5</v>
      </c>
      <c r="H100">
        <v>1</v>
      </c>
      <c r="I100">
        <v>1</v>
      </c>
      <c r="J100">
        <v>0.73917628085845399</v>
      </c>
      <c r="K100">
        <v>0.88691045430720095</v>
      </c>
      <c r="L100">
        <v>0.80633235225609601</v>
      </c>
      <c r="M100">
        <v>0.51960784313725505</v>
      </c>
      <c r="N100">
        <v>1</v>
      </c>
      <c r="O100">
        <v>0.625</v>
      </c>
      <c r="P100" t="s">
        <v>867</v>
      </c>
      <c r="Q100" t="s">
        <v>868</v>
      </c>
      <c r="R100" t="s">
        <v>869</v>
      </c>
      <c r="S100" t="s">
        <v>870</v>
      </c>
      <c r="T100" t="s">
        <v>871</v>
      </c>
      <c r="U100" t="s">
        <v>872</v>
      </c>
      <c r="V100" t="s">
        <v>873</v>
      </c>
      <c r="W100" t="s">
        <v>874</v>
      </c>
      <c r="X100" t="s">
        <v>873</v>
      </c>
      <c r="Y100" t="s">
        <v>875</v>
      </c>
      <c r="Z100" t="s">
        <v>876</v>
      </c>
      <c r="AA100" t="s">
        <v>877</v>
      </c>
      <c r="AB100" t="s">
        <v>876</v>
      </c>
      <c r="AC100" t="s">
        <v>878</v>
      </c>
      <c r="AD100" t="s">
        <v>219</v>
      </c>
      <c r="AE100" t="s">
        <v>879</v>
      </c>
      <c r="AF100" t="s">
        <v>880</v>
      </c>
    </row>
    <row r="101" spans="1:32" hidden="1" x14ac:dyDescent="0.35">
      <c r="A101">
        <v>1405</v>
      </c>
      <c r="B101" t="s">
        <v>2927</v>
      </c>
      <c r="C101" t="s">
        <v>72</v>
      </c>
      <c r="D101" t="s">
        <v>60</v>
      </c>
      <c r="E101">
        <v>933</v>
      </c>
      <c r="F101">
        <v>5</v>
      </c>
      <c r="G101">
        <v>5</v>
      </c>
      <c r="H101">
        <v>1</v>
      </c>
      <c r="I101">
        <v>1</v>
      </c>
      <c r="J101">
        <v>0.81168122270742404</v>
      </c>
      <c r="K101">
        <v>0.934634159007112</v>
      </c>
      <c r="L101">
        <v>0.86882931331933599</v>
      </c>
      <c r="M101">
        <v>0.60814249363867701</v>
      </c>
      <c r="N101">
        <v>1</v>
      </c>
      <c r="O101">
        <v>0.72417302798982197</v>
      </c>
      <c r="P101" t="s">
        <v>2795</v>
      </c>
      <c r="Q101" t="s">
        <v>2796</v>
      </c>
      <c r="R101" t="s">
        <v>235</v>
      </c>
      <c r="S101" t="s">
        <v>236</v>
      </c>
      <c r="T101" t="s">
        <v>2928</v>
      </c>
      <c r="U101" t="s">
        <v>2929</v>
      </c>
      <c r="V101" t="s">
        <v>2930</v>
      </c>
      <c r="W101" t="s">
        <v>2931</v>
      </c>
      <c r="X101" t="s">
        <v>2930</v>
      </c>
      <c r="Y101" t="s">
        <v>2932</v>
      </c>
      <c r="Z101" t="s">
        <v>2933</v>
      </c>
      <c r="AA101" t="s">
        <v>2934</v>
      </c>
      <c r="AB101" t="s">
        <v>2933</v>
      </c>
      <c r="AC101" t="s">
        <v>2804</v>
      </c>
      <c r="AD101" t="s">
        <v>546</v>
      </c>
      <c r="AE101" t="s">
        <v>2935</v>
      </c>
      <c r="AF101" t="s">
        <v>2937</v>
      </c>
    </row>
    <row r="102" spans="1:32" hidden="1" x14ac:dyDescent="0.35">
      <c r="A102">
        <v>1406</v>
      </c>
      <c r="B102" t="s">
        <v>2927</v>
      </c>
      <c r="C102" t="s">
        <v>72</v>
      </c>
      <c r="D102" t="s">
        <v>62</v>
      </c>
      <c r="E102">
        <v>969</v>
      </c>
      <c r="F102">
        <v>5</v>
      </c>
      <c r="G102">
        <v>5</v>
      </c>
      <c r="H102">
        <v>1</v>
      </c>
      <c r="I102">
        <v>1</v>
      </c>
      <c r="J102">
        <v>0.81168122270742404</v>
      </c>
      <c r="K102">
        <v>0.934634159007112</v>
      </c>
      <c r="L102">
        <v>0.86882931331933599</v>
      </c>
      <c r="M102">
        <v>0.60814249363867701</v>
      </c>
      <c r="N102">
        <v>1</v>
      </c>
      <c r="O102">
        <v>0.72417302798982197</v>
      </c>
      <c r="P102" t="s">
        <v>2795</v>
      </c>
      <c r="Q102" t="s">
        <v>2796</v>
      </c>
      <c r="R102" t="s">
        <v>235</v>
      </c>
      <c r="S102" t="s">
        <v>236</v>
      </c>
      <c r="T102" t="s">
        <v>2928</v>
      </c>
      <c r="U102" t="s">
        <v>2929</v>
      </c>
      <c r="V102" t="s">
        <v>2930</v>
      </c>
      <c r="W102" t="s">
        <v>2931</v>
      </c>
      <c r="X102" t="s">
        <v>2930</v>
      </c>
      <c r="Y102" t="s">
        <v>2932</v>
      </c>
      <c r="Z102" t="s">
        <v>2933</v>
      </c>
      <c r="AA102" t="s">
        <v>2934</v>
      </c>
      <c r="AB102" t="s">
        <v>2933</v>
      </c>
      <c r="AC102" t="s">
        <v>2804</v>
      </c>
      <c r="AD102" t="s">
        <v>546</v>
      </c>
      <c r="AE102" t="s">
        <v>2935</v>
      </c>
      <c r="AF102" t="s">
        <v>2937</v>
      </c>
    </row>
    <row r="103" spans="1:32" hidden="1" x14ac:dyDescent="0.35">
      <c r="A103">
        <v>1407</v>
      </c>
      <c r="B103" t="s">
        <v>2927</v>
      </c>
      <c r="C103" t="s">
        <v>72</v>
      </c>
      <c r="D103" t="s">
        <v>34</v>
      </c>
      <c r="E103">
        <v>228</v>
      </c>
      <c r="F103">
        <v>5</v>
      </c>
      <c r="G103">
        <v>5</v>
      </c>
      <c r="H103">
        <v>1</v>
      </c>
      <c r="I103">
        <v>1</v>
      </c>
      <c r="J103">
        <v>0.81168122270742404</v>
      </c>
      <c r="K103">
        <v>0.934634159007112</v>
      </c>
      <c r="L103">
        <v>0.86882931331933599</v>
      </c>
      <c r="M103">
        <v>0.60814249363867701</v>
      </c>
      <c r="N103">
        <v>1</v>
      </c>
      <c r="O103">
        <v>0.72417302798982197</v>
      </c>
      <c r="P103" t="s">
        <v>2795</v>
      </c>
      <c r="Q103" t="s">
        <v>2796</v>
      </c>
      <c r="R103" t="s">
        <v>235</v>
      </c>
      <c r="S103" t="s">
        <v>236</v>
      </c>
      <c r="T103" t="s">
        <v>2928</v>
      </c>
      <c r="U103" t="s">
        <v>2929</v>
      </c>
      <c r="V103" t="s">
        <v>2930</v>
      </c>
      <c r="W103" t="s">
        <v>2931</v>
      </c>
      <c r="X103" t="s">
        <v>2930</v>
      </c>
      <c r="Y103" t="s">
        <v>2932</v>
      </c>
      <c r="Z103" t="s">
        <v>2933</v>
      </c>
      <c r="AA103" t="s">
        <v>2934</v>
      </c>
      <c r="AB103" t="s">
        <v>2933</v>
      </c>
      <c r="AC103" t="s">
        <v>2804</v>
      </c>
      <c r="AD103" t="s">
        <v>546</v>
      </c>
      <c r="AE103" t="s">
        <v>2935</v>
      </c>
      <c r="AF103" t="s">
        <v>2938</v>
      </c>
    </row>
    <row r="104" spans="1:32" hidden="1" x14ac:dyDescent="0.35">
      <c r="A104">
        <v>1408</v>
      </c>
      <c r="B104" t="s">
        <v>2927</v>
      </c>
      <c r="C104" t="s">
        <v>72</v>
      </c>
      <c r="D104" t="s">
        <v>45</v>
      </c>
      <c r="E104">
        <v>1491</v>
      </c>
      <c r="F104">
        <v>5</v>
      </c>
      <c r="G104">
        <v>5</v>
      </c>
      <c r="H104">
        <v>1</v>
      </c>
      <c r="I104">
        <v>1</v>
      </c>
      <c r="J104">
        <v>0.81168122270742404</v>
      </c>
      <c r="K104">
        <v>0.934634159007112</v>
      </c>
      <c r="L104">
        <v>0.86882931331933599</v>
      </c>
      <c r="M104">
        <v>0.60814249363867701</v>
      </c>
      <c r="N104">
        <v>1</v>
      </c>
      <c r="O104">
        <v>0.72417302798982197</v>
      </c>
      <c r="P104" t="s">
        <v>2795</v>
      </c>
      <c r="Q104" t="s">
        <v>2796</v>
      </c>
      <c r="R104" t="s">
        <v>235</v>
      </c>
      <c r="S104" t="s">
        <v>236</v>
      </c>
      <c r="T104" t="s">
        <v>2928</v>
      </c>
      <c r="U104" t="s">
        <v>2929</v>
      </c>
      <c r="V104" t="s">
        <v>2930</v>
      </c>
      <c r="W104" t="s">
        <v>2931</v>
      </c>
      <c r="X104" t="s">
        <v>2930</v>
      </c>
      <c r="Y104" t="s">
        <v>2932</v>
      </c>
      <c r="Z104" t="s">
        <v>2933</v>
      </c>
      <c r="AA104" t="s">
        <v>2934</v>
      </c>
      <c r="AB104" t="s">
        <v>2933</v>
      </c>
      <c r="AC104" t="s">
        <v>2804</v>
      </c>
      <c r="AD104" t="s">
        <v>546</v>
      </c>
      <c r="AE104" t="s">
        <v>2935</v>
      </c>
      <c r="AF104" t="s">
        <v>2939</v>
      </c>
    </row>
    <row r="105" spans="1:32" hidden="1" x14ac:dyDescent="0.35">
      <c r="A105">
        <v>589</v>
      </c>
      <c r="B105" t="s">
        <v>1188</v>
      </c>
      <c r="C105" t="s">
        <v>72</v>
      </c>
      <c r="D105" t="s">
        <v>58</v>
      </c>
      <c r="E105">
        <v>1130</v>
      </c>
      <c r="F105">
        <v>5</v>
      </c>
      <c r="G105">
        <v>5</v>
      </c>
      <c r="H105">
        <v>1</v>
      </c>
      <c r="I105">
        <v>1</v>
      </c>
      <c r="J105">
        <v>0.81836327345309401</v>
      </c>
      <c r="K105">
        <v>0.94024709661478001</v>
      </c>
      <c r="L105">
        <v>0.87508149040510996</v>
      </c>
      <c r="M105">
        <v>0.63508771929824603</v>
      </c>
      <c r="N105">
        <v>1</v>
      </c>
      <c r="O105">
        <v>0.74877192982456098</v>
      </c>
      <c r="P105" t="s">
        <v>1189</v>
      </c>
      <c r="Q105" t="s">
        <v>1190</v>
      </c>
      <c r="R105" t="s">
        <v>1191</v>
      </c>
      <c r="S105" t="s">
        <v>1192</v>
      </c>
      <c r="V105" t="s">
        <v>1193</v>
      </c>
      <c r="W105" t="s">
        <v>1194</v>
      </c>
      <c r="AF105" t="s">
        <v>1195</v>
      </c>
    </row>
    <row r="106" spans="1:32" hidden="1" x14ac:dyDescent="0.35">
      <c r="A106">
        <v>1525</v>
      </c>
      <c r="B106" t="s">
        <v>3186</v>
      </c>
      <c r="C106" t="s">
        <v>72</v>
      </c>
      <c r="D106" t="s">
        <v>60</v>
      </c>
      <c r="E106">
        <v>306</v>
      </c>
      <c r="F106">
        <v>5</v>
      </c>
      <c r="G106">
        <v>5</v>
      </c>
      <c r="H106">
        <v>1</v>
      </c>
      <c r="I106">
        <v>1</v>
      </c>
      <c r="J106">
        <v>0.81276263070458299</v>
      </c>
      <c r="K106">
        <v>0.93651964473882299</v>
      </c>
      <c r="L106">
        <v>0.87026339985238499</v>
      </c>
      <c r="M106">
        <v>0.602739726027397</v>
      </c>
      <c r="N106">
        <v>1</v>
      </c>
      <c r="O106">
        <v>0.73315068493150704</v>
      </c>
      <c r="P106" t="s">
        <v>3187</v>
      </c>
      <c r="Q106" t="s">
        <v>3188</v>
      </c>
      <c r="R106" t="s">
        <v>235</v>
      </c>
      <c r="S106" t="s">
        <v>236</v>
      </c>
      <c r="T106" t="s">
        <v>3189</v>
      </c>
      <c r="U106" t="s">
        <v>3190</v>
      </c>
      <c r="V106" t="s">
        <v>3191</v>
      </c>
      <c r="W106" t="s">
        <v>3192</v>
      </c>
      <c r="X106" t="s">
        <v>3191</v>
      </c>
      <c r="Y106" t="s">
        <v>2454</v>
      </c>
      <c r="AD106" t="s">
        <v>219</v>
      </c>
      <c r="AE106" t="s">
        <v>3193</v>
      </c>
      <c r="AF106" t="s">
        <v>3195</v>
      </c>
    </row>
    <row r="107" spans="1:32" hidden="1" x14ac:dyDescent="0.35">
      <c r="A107">
        <v>1526</v>
      </c>
      <c r="B107" t="s">
        <v>3186</v>
      </c>
      <c r="C107" t="s">
        <v>72</v>
      </c>
      <c r="D107" t="s">
        <v>62</v>
      </c>
      <c r="E107">
        <v>386</v>
      </c>
      <c r="F107">
        <v>5</v>
      </c>
      <c r="G107">
        <v>5</v>
      </c>
      <c r="H107">
        <v>1</v>
      </c>
      <c r="I107">
        <v>1</v>
      </c>
      <c r="J107">
        <v>0.81276263070458299</v>
      </c>
      <c r="K107">
        <v>0.93651964473882299</v>
      </c>
      <c r="L107">
        <v>0.87026339985238499</v>
      </c>
      <c r="M107">
        <v>0.602739726027397</v>
      </c>
      <c r="N107">
        <v>1</v>
      </c>
      <c r="O107">
        <v>0.73315068493150704</v>
      </c>
      <c r="P107" t="s">
        <v>3187</v>
      </c>
      <c r="Q107" t="s">
        <v>3188</v>
      </c>
      <c r="R107" t="s">
        <v>235</v>
      </c>
      <c r="S107" t="s">
        <v>236</v>
      </c>
      <c r="T107" t="s">
        <v>3189</v>
      </c>
      <c r="U107" t="s">
        <v>3190</v>
      </c>
      <c r="V107" t="s">
        <v>3191</v>
      </c>
      <c r="W107" t="s">
        <v>3192</v>
      </c>
      <c r="X107" t="s">
        <v>3191</v>
      </c>
      <c r="Y107" t="s">
        <v>2454</v>
      </c>
      <c r="AD107" t="s">
        <v>219</v>
      </c>
      <c r="AE107" t="s">
        <v>3193</v>
      </c>
      <c r="AF107" t="s">
        <v>3196</v>
      </c>
    </row>
    <row r="108" spans="1:32" hidden="1" x14ac:dyDescent="0.35">
      <c r="A108">
        <v>1527</v>
      </c>
      <c r="B108" t="s">
        <v>3186</v>
      </c>
      <c r="C108" t="s">
        <v>72</v>
      </c>
      <c r="D108" t="s">
        <v>34</v>
      </c>
      <c r="E108">
        <v>852</v>
      </c>
      <c r="F108">
        <v>5</v>
      </c>
      <c r="G108">
        <v>5</v>
      </c>
      <c r="H108">
        <v>1</v>
      </c>
      <c r="I108">
        <v>1</v>
      </c>
      <c r="J108">
        <v>0.81276263070458299</v>
      </c>
      <c r="K108">
        <v>0.93651964473882299</v>
      </c>
      <c r="L108">
        <v>0.87026339985238499</v>
      </c>
      <c r="M108">
        <v>0.602739726027397</v>
      </c>
      <c r="N108">
        <v>1</v>
      </c>
      <c r="O108">
        <v>0.73315068493150704</v>
      </c>
      <c r="P108" t="s">
        <v>3187</v>
      </c>
      <c r="Q108" t="s">
        <v>3188</v>
      </c>
      <c r="R108" t="s">
        <v>235</v>
      </c>
      <c r="S108" t="s">
        <v>236</v>
      </c>
      <c r="T108" t="s">
        <v>3189</v>
      </c>
      <c r="U108" t="s">
        <v>3190</v>
      </c>
      <c r="V108" t="s">
        <v>3191</v>
      </c>
      <c r="W108" t="s">
        <v>3192</v>
      </c>
      <c r="X108" t="s">
        <v>3191</v>
      </c>
      <c r="Y108" t="s">
        <v>2454</v>
      </c>
      <c r="AD108" t="s">
        <v>219</v>
      </c>
      <c r="AE108" t="s">
        <v>3193</v>
      </c>
      <c r="AF108" t="s">
        <v>3197</v>
      </c>
    </row>
    <row r="109" spans="1:32" hidden="1" x14ac:dyDescent="0.35">
      <c r="A109">
        <v>1528</v>
      </c>
      <c r="B109" t="s">
        <v>3186</v>
      </c>
      <c r="C109" t="s">
        <v>72</v>
      </c>
      <c r="D109" t="s">
        <v>45</v>
      </c>
      <c r="E109">
        <v>2109</v>
      </c>
      <c r="F109">
        <v>5</v>
      </c>
      <c r="G109">
        <v>5</v>
      </c>
      <c r="H109">
        <v>1</v>
      </c>
      <c r="I109">
        <v>1</v>
      </c>
      <c r="J109">
        <v>0.81276263070458299</v>
      </c>
      <c r="K109">
        <v>0.93651964473882299</v>
      </c>
      <c r="L109">
        <v>0.87026339985238499</v>
      </c>
      <c r="M109">
        <v>0.602739726027397</v>
      </c>
      <c r="N109">
        <v>1</v>
      </c>
      <c r="O109">
        <v>0.73315068493150704</v>
      </c>
      <c r="P109" t="s">
        <v>3187</v>
      </c>
      <c r="Q109" t="s">
        <v>3188</v>
      </c>
      <c r="R109" t="s">
        <v>235</v>
      </c>
      <c r="S109" t="s">
        <v>236</v>
      </c>
      <c r="T109" t="s">
        <v>3189</v>
      </c>
      <c r="U109" t="s">
        <v>3190</v>
      </c>
      <c r="V109" t="s">
        <v>3191</v>
      </c>
      <c r="W109" t="s">
        <v>3192</v>
      </c>
      <c r="X109" t="s">
        <v>3191</v>
      </c>
      <c r="Y109" t="s">
        <v>2454</v>
      </c>
      <c r="AD109" t="s">
        <v>219</v>
      </c>
      <c r="AE109" t="s">
        <v>3193</v>
      </c>
      <c r="AF109" t="s">
        <v>3197</v>
      </c>
    </row>
    <row r="110" spans="1:32" hidden="1" x14ac:dyDescent="0.35">
      <c r="A110">
        <v>4149</v>
      </c>
      <c r="B110" t="s">
        <v>8583</v>
      </c>
      <c r="C110" t="s">
        <v>72</v>
      </c>
      <c r="D110" t="s">
        <v>58</v>
      </c>
      <c r="E110">
        <v>1024</v>
      </c>
      <c r="F110">
        <v>5</v>
      </c>
      <c r="G110">
        <v>5</v>
      </c>
      <c r="H110">
        <v>1</v>
      </c>
      <c r="I110">
        <v>1</v>
      </c>
      <c r="J110">
        <v>0.80734580734580697</v>
      </c>
      <c r="K110">
        <v>0.950962879051935</v>
      </c>
      <c r="L110">
        <v>0.87328908659034599</v>
      </c>
      <c r="M110">
        <v>0.64473684210526305</v>
      </c>
      <c r="N110">
        <v>0.98684210526315796</v>
      </c>
      <c r="O110">
        <v>0.73026315789473695</v>
      </c>
      <c r="P110" t="s">
        <v>8584</v>
      </c>
      <c r="Q110" t="s">
        <v>8585</v>
      </c>
      <c r="R110" t="s">
        <v>235</v>
      </c>
      <c r="S110" t="s">
        <v>236</v>
      </c>
      <c r="T110" t="s">
        <v>8586</v>
      </c>
      <c r="U110" t="s">
        <v>8587</v>
      </c>
      <c r="V110" t="s">
        <v>8588</v>
      </c>
      <c r="W110" t="s">
        <v>8589</v>
      </c>
      <c r="X110" t="s">
        <v>8588</v>
      </c>
      <c r="Y110" t="s">
        <v>241</v>
      </c>
      <c r="Z110" t="s">
        <v>2139</v>
      </c>
      <c r="AA110" t="s">
        <v>2140</v>
      </c>
      <c r="AB110" t="s">
        <v>2139</v>
      </c>
      <c r="AC110" t="s">
        <v>244</v>
      </c>
      <c r="AD110" t="s">
        <v>219</v>
      </c>
      <c r="AE110" t="s">
        <v>8590</v>
      </c>
      <c r="AF110" t="s">
        <v>8591</v>
      </c>
    </row>
    <row r="111" spans="1:32" hidden="1" x14ac:dyDescent="0.35">
      <c r="A111">
        <v>1705</v>
      </c>
      <c r="B111" t="s">
        <v>3563</v>
      </c>
      <c r="C111" t="s">
        <v>72</v>
      </c>
      <c r="D111" t="s">
        <v>60</v>
      </c>
      <c r="E111">
        <v>1962</v>
      </c>
      <c r="F111">
        <v>5</v>
      </c>
      <c r="G111">
        <v>5</v>
      </c>
      <c r="H111">
        <v>1</v>
      </c>
      <c r="I111">
        <v>1</v>
      </c>
      <c r="J111">
        <v>0.80636988780311303</v>
      </c>
      <c r="K111">
        <v>0.95774350649350504</v>
      </c>
      <c r="L111">
        <v>0.87556222448303</v>
      </c>
      <c r="M111">
        <v>0.65454545454545499</v>
      </c>
      <c r="N111">
        <v>1</v>
      </c>
      <c r="O111">
        <v>0.73194805194805201</v>
      </c>
      <c r="P111" t="s">
        <v>1130</v>
      </c>
      <c r="Q111" t="s">
        <v>1131</v>
      </c>
      <c r="R111" t="s">
        <v>235</v>
      </c>
      <c r="S111" t="s">
        <v>236</v>
      </c>
      <c r="T111" t="s">
        <v>3564</v>
      </c>
      <c r="U111" t="s">
        <v>3565</v>
      </c>
      <c r="V111" t="s">
        <v>3566</v>
      </c>
      <c r="W111" t="s">
        <v>3567</v>
      </c>
      <c r="X111" t="s">
        <v>3566</v>
      </c>
      <c r="Y111" t="s">
        <v>3568</v>
      </c>
      <c r="Z111" t="s">
        <v>3569</v>
      </c>
      <c r="AA111" t="s">
        <v>3570</v>
      </c>
      <c r="AB111" t="s">
        <v>3569</v>
      </c>
      <c r="AC111" t="s">
        <v>1682</v>
      </c>
      <c r="AD111" t="s">
        <v>245</v>
      </c>
      <c r="AE111" t="s">
        <v>3571</v>
      </c>
      <c r="AF111" t="s">
        <v>3572</v>
      </c>
    </row>
    <row r="112" spans="1:32" hidden="1" x14ac:dyDescent="0.35">
      <c r="A112">
        <v>1706</v>
      </c>
      <c r="B112" t="s">
        <v>3563</v>
      </c>
      <c r="C112" t="s">
        <v>72</v>
      </c>
      <c r="D112" t="s">
        <v>62</v>
      </c>
      <c r="E112">
        <v>2003</v>
      </c>
      <c r="F112">
        <v>5</v>
      </c>
      <c r="G112">
        <v>5</v>
      </c>
      <c r="H112">
        <v>1</v>
      </c>
      <c r="I112">
        <v>1</v>
      </c>
      <c r="J112">
        <v>0.80636988780311303</v>
      </c>
      <c r="K112">
        <v>0.95774350649350504</v>
      </c>
      <c r="L112">
        <v>0.87556222448303</v>
      </c>
      <c r="M112">
        <v>0.65454545454545499</v>
      </c>
      <c r="N112">
        <v>1</v>
      </c>
      <c r="O112">
        <v>0.73194805194805201</v>
      </c>
      <c r="P112" t="s">
        <v>1130</v>
      </c>
      <c r="Q112" t="s">
        <v>1131</v>
      </c>
      <c r="R112" t="s">
        <v>235</v>
      </c>
      <c r="S112" t="s">
        <v>236</v>
      </c>
      <c r="T112" t="s">
        <v>3564</v>
      </c>
      <c r="U112" t="s">
        <v>3565</v>
      </c>
      <c r="V112" t="s">
        <v>3566</v>
      </c>
      <c r="W112" t="s">
        <v>3567</v>
      </c>
      <c r="X112" t="s">
        <v>3566</v>
      </c>
      <c r="Y112" t="s">
        <v>3568</v>
      </c>
      <c r="Z112" t="s">
        <v>3569</v>
      </c>
      <c r="AA112" t="s">
        <v>3570</v>
      </c>
      <c r="AB112" t="s">
        <v>3569</v>
      </c>
      <c r="AC112" t="s">
        <v>1682</v>
      </c>
      <c r="AD112" t="s">
        <v>245</v>
      </c>
      <c r="AE112" t="s">
        <v>3571</v>
      </c>
      <c r="AF112" t="s">
        <v>3572</v>
      </c>
    </row>
    <row r="113" spans="1:32" hidden="1" x14ac:dyDescent="0.35">
      <c r="A113">
        <v>1707</v>
      </c>
      <c r="B113" t="s">
        <v>3563</v>
      </c>
      <c r="C113" t="s">
        <v>72</v>
      </c>
      <c r="D113" t="s">
        <v>34</v>
      </c>
      <c r="E113">
        <v>2320</v>
      </c>
      <c r="F113">
        <v>5</v>
      </c>
      <c r="G113">
        <v>5</v>
      </c>
      <c r="H113">
        <v>1</v>
      </c>
      <c r="I113">
        <v>1</v>
      </c>
      <c r="J113">
        <v>0.80636988780311303</v>
      </c>
      <c r="K113">
        <v>0.95774350649350504</v>
      </c>
      <c r="L113">
        <v>0.87556222448303</v>
      </c>
      <c r="M113">
        <v>0.65454545454545499</v>
      </c>
      <c r="N113">
        <v>1</v>
      </c>
      <c r="O113">
        <v>0.73194805194805201</v>
      </c>
      <c r="P113" t="s">
        <v>1130</v>
      </c>
      <c r="Q113" t="s">
        <v>1131</v>
      </c>
      <c r="R113" t="s">
        <v>235</v>
      </c>
      <c r="S113" t="s">
        <v>236</v>
      </c>
      <c r="T113" t="s">
        <v>3564</v>
      </c>
      <c r="U113" t="s">
        <v>3565</v>
      </c>
      <c r="V113" t="s">
        <v>3566</v>
      </c>
      <c r="W113" t="s">
        <v>3567</v>
      </c>
      <c r="X113" t="s">
        <v>3566</v>
      </c>
      <c r="Y113" t="s">
        <v>3568</v>
      </c>
      <c r="Z113" t="s">
        <v>3569</v>
      </c>
      <c r="AA113" t="s">
        <v>3570</v>
      </c>
      <c r="AB113" t="s">
        <v>3569</v>
      </c>
      <c r="AC113" t="s">
        <v>1682</v>
      </c>
      <c r="AD113" t="s">
        <v>245</v>
      </c>
      <c r="AE113" t="s">
        <v>3571</v>
      </c>
      <c r="AF113" t="e">
        <f>--------------MDVRANIAAAKRIIVKIGSSSLTNS-DHRVDVSKVDRLVDAIAARCARGSDVIVVSSGALAAGMGPMGLHSRPTDLATKQAVSAVGQQHLMQTWATSFRRYGKHVGQVLLTASDAGVRHRARNAQRTIDRLLHLGVVPIVNENDTVAHTEMRFGDNDRLAALVAHLSCVDALVLLSDVDGLYDRNPSDPAARFVPEVRDGNDLKSVVAGDGGEVGTGGMASKVTAARIASRGGVPVLLTSADNIAAALDDAQVGTAFHPKEN-RLSAWKFWALYAADTGGTLRIDAGAVAAVTIGGSSLLPVGITEVYGDFHAGEIVEIIGPEGAIIGRGEVAYDSSVLTEIIGKRTDVLPSDMQRPVVHADYLSQYASRA</f>
        <v>#NAME?</v>
      </c>
    </row>
    <row r="114" spans="1:32" hidden="1" x14ac:dyDescent="0.35">
      <c r="A114">
        <v>1708</v>
      </c>
      <c r="B114" t="s">
        <v>3563</v>
      </c>
      <c r="C114" t="s">
        <v>72</v>
      </c>
      <c r="D114" t="s">
        <v>45</v>
      </c>
      <c r="E114">
        <v>558</v>
      </c>
      <c r="F114">
        <v>5</v>
      </c>
      <c r="G114">
        <v>5</v>
      </c>
      <c r="H114">
        <v>1</v>
      </c>
      <c r="I114">
        <v>1</v>
      </c>
      <c r="J114">
        <v>0.80636988780311303</v>
      </c>
      <c r="K114">
        <v>0.95774350649350504</v>
      </c>
      <c r="L114">
        <v>0.87556222448303</v>
      </c>
      <c r="M114">
        <v>0.65454545454545499</v>
      </c>
      <c r="N114">
        <v>1</v>
      </c>
      <c r="O114">
        <v>0.73194805194805201</v>
      </c>
      <c r="P114" t="s">
        <v>1130</v>
      </c>
      <c r="Q114" t="s">
        <v>1131</v>
      </c>
      <c r="R114" t="s">
        <v>235</v>
      </c>
      <c r="S114" t="s">
        <v>236</v>
      </c>
      <c r="T114" t="s">
        <v>3564</v>
      </c>
      <c r="U114" t="s">
        <v>3565</v>
      </c>
      <c r="V114" t="s">
        <v>3566</v>
      </c>
      <c r="W114" t="s">
        <v>3567</v>
      </c>
      <c r="X114" t="s">
        <v>3566</v>
      </c>
      <c r="Y114" t="s">
        <v>3568</v>
      </c>
      <c r="Z114" t="s">
        <v>3569</v>
      </c>
      <c r="AA114" t="s">
        <v>3570</v>
      </c>
      <c r="AB114" t="s">
        <v>3569</v>
      </c>
      <c r="AC114" t="s">
        <v>1682</v>
      </c>
      <c r="AD114" t="s">
        <v>245</v>
      </c>
      <c r="AE114" t="s">
        <v>3571</v>
      </c>
      <c r="AF114" t="e">
        <f>--------------MDVRANIAAAKRIIVKIGSSSLTNS-DHRVDVSKVDRLVDAIAARCARGSDVIVVSSGALAAGMGPMGLHSRPTDLATKQAVSAVGQQHLMQTWATSFRRYGKHVGQVLLTASDAGVRHRARNAQRTIDRLLYLGVVPIVNENDTVAHTEMRFGDNDRLAALVAHLSCVDALVLLSDVDGLYDRNPSDPAARFVPEVRDGNDLKSVVAGDGGEVGTGGMASKVTAARIASRGGVPVLLTSADNIAAALDDAQVGTVFHPKEN-RLSAWKFWALYAADTGGTLRIDAGAVAAVTTGGSSLLPVGIMEVYGDFHAGEIVEIIGPEGAIIGRGEVAYDSSVLTEIIGKRTDVLPSDMQRPVVHADYLSQYASRA</f>
        <v>#NAME?</v>
      </c>
    </row>
    <row r="115" spans="1:32" hidden="1" x14ac:dyDescent="0.35">
      <c r="A115">
        <v>4094</v>
      </c>
      <c r="B115" t="s">
        <v>8470</v>
      </c>
      <c r="C115" t="s">
        <v>72</v>
      </c>
      <c r="D115" t="s">
        <v>58</v>
      </c>
      <c r="E115">
        <v>1025</v>
      </c>
      <c r="F115">
        <v>5</v>
      </c>
      <c r="G115">
        <v>5</v>
      </c>
      <c r="H115">
        <v>1</v>
      </c>
      <c r="I115">
        <v>1</v>
      </c>
      <c r="J115">
        <v>0.80969663130467195</v>
      </c>
      <c r="K115">
        <v>0.96370025794858105</v>
      </c>
      <c r="L115">
        <v>0.88001152723007503</v>
      </c>
      <c r="M115">
        <v>0.64516129032258096</v>
      </c>
      <c r="N115">
        <v>0.99462365591397806</v>
      </c>
      <c r="O115">
        <v>0.74543010752688199</v>
      </c>
      <c r="P115" t="s">
        <v>8471</v>
      </c>
      <c r="Q115" t="s">
        <v>8472</v>
      </c>
      <c r="R115" t="s">
        <v>235</v>
      </c>
      <c r="S115" t="s">
        <v>236</v>
      </c>
      <c r="T115" t="s">
        <v>8473</v>
      </c>
      <c r="U115" t="s">
        <v>8474</v>
      </c>
      <c r="V115" t="s">
        <v>8475</v>
      </c>
      <c r="W115" t="s">
        <v>8476</v>
      </c>
      <c r="X115" t="s">
        <v>8475</v>
      </c>
      <c r="Y115" t="s">
        <v>241</v>
      </c>
      <c r="Z115" t="s">
        <v>2139</v>
      </c>
      <c r="AA115" t="s">
        <v>2140</v>
      </c>
      <c r="AB115" t="s">
        <v>2139</v>
      </c>
      <c r="AC115" t="s">
        <v>244</v>
      </c>
      <c r="AD115" t="s">
        <v>219</v>
      </c>
      <c r="AE115" t="s">
        <v>8477</v>
      </c>
      <c r="AF115" t="s">
        <v>8478</v>
      </c>
    </row>
    <row r="116" spans="1:32" hidden="1" x14ac:dyDescent="0.35">
      <c r="A116">
        <v>1755</v>
      </c>
      <c r="B116" t="s">
        <v>3646</v>
      </c>
      <c r="C116" t="s">
        <v>72</v>
      </c>
      <c r="D116" t="s">
        <v>60</v>
      </c>
      <c r="E116">
        <v>124</v>
      </c>
      <c r="F116">
        <v>5</v>
      </c>
      <c r="G116">
        <v>5</v>
      </c>
      <c r="H116">
        <v>1</v>
      </c>
      <c r="I116">
        <v>1</v>
      </c>
      <c r="J116">
        <v>0.76589147286821702</v>
      </c>
      <c r="K116">
        <v>0.97748316498316401</v>
      </c>
      <c r="L116">
        <v>0.85884697950580402</v>
      </c>
      <c r="M116">
        <v>0.57954545454545503</v>
      </c>
      <c r="N116">
        <v>1</v>
      </c>
      <c r="O116">
        <v>0.68806818181818197</v>
      </c>
      <c r="P116" t="s">
        <v>3647</v>
      </c>
      <c r="Q116" t="s">
        <v>3648</v>
      </c>
      <c r="R116" t="s">
        <v>235</v>
      </c>
      <c r="S116" t="s">
        <v>236</v>
      </c>
      <c r="T116" t="s">
        <v>3649</v>
      </c>
      <c r="U116" t="s">
        <v>3650</v>
      </c>
      <c r="V116" t="s">
        <v>3651</v>
      </c>
      <c r="W116" t="s">
        <v>3652</v>
      </c>
      <c r="X116" t="s">
        <v>3651</v>
      </c>
      <c r="Y116" t="s">
        <v>1091</v>
      </c>
      <c r="Z116" t="s">
        <v>858</v>
      </c>
      <c r="AA116" t="s">
        <v>859</v>
      </c>
      <c r="AB116" t="s">
        <v>858</v>
      </c>
      <c r="AC116" t="s">
        <v>860</v>
      </c>
      <c r="AD116" t="s">
        <v>3653</v>
      </c>
      <c r="AE116" t="s">
        <v>3654</v>
      </c>
      <c r="AF116" t="s">
        <v>3656</v>
      </c>
    </row>
    <row r="117" spans="1:32" hidden="1" x14ac:dyDescent="0.35">
      <c r="A117">
        <v>1756</v>
      </c>
      <c r="B117" t="s">
        <v>3646</v>
      </c>
      <c r="C117" t="s">
        <v>72</v>
      </c>
      <c r="D117" t="s">
        <v>62</v>
      </c>
      <c r="E117">
        <v>196</v>
      </c>
      <c r="F117">
        <v>5</v>
      </c>
      <c r="G117">
        <v>5</v>
      </c>
      <c r="H117">
        <v>1</v>
      </c>
      <c r="I117">
        <v>1</v>
      </c>
      <c r="J117">
        <v>0.76589147286821702</v>
      </c>
      <c r="K117">
        <v>0.97748316498316401</v>
      </c>
      <c r="L117">
        <v>0.85884697950580402</v>
      </c>
      <c r="M117">
        <v>0.57954545454545503</v>
      </c>
      <c r="N117">
        <v>1</v>
      </c>
      <c r="O117">
        <v>0.68806818181818197</v>
      </c>
      <c r="P117" t="s">
        <v>3647</v>
      </c>
      <c r="Q117" t="s">
        <v>3648</v>
      </c>
      <c r="R117" t="s">
        <v>235</v>
      </c>
      <c r="S117" t="s">
        <v>236</v>
      </c>
      <c r="T117" t="s">
        <v>3649</v>
      </c>
      <c r="U117" t="s">
        <v>3650</v>
      </c>
      <c r="V117" t="s">
        <v>3651</v>
      </c>
      <c r="W117" t="s">
        <v>3652</v>
      </c>
      <c r="X117" t="s">
        <v>3651</v>
      </c>
      <c r="Y117" t="s">
        <v>1091</v>
      </c>
      <c r="Z117" t="s">
        <v>858</v>
      </c>
      <c r="AA117" t="s">
        <v>859</v>
      </c>
      <c r="AB117" t="s">
        <v>858</v>
      </c>
      <c r="AC117" t="s">
        <v>860</v>
      </c>
      <c r="AD117" t="s">
        <v>3653</v>
      </c>
      <c r="AE117" t="s">
        <v>3654</v>
      </c>
      <c r="AF117" t="s">
        <v>3656</v>
      </c>
    </row>
    <row r="118" spans="1:32" hidden="1" x14ac:dyDescent="0.35">
      <c r="A118">
        <v>1757</v>
      </c>
      <c r="B118" t="s">
        <v>3646</v>
      </c>
      <c r="C118" t="s">
        <v>72</v>
      </c>
      <c r="D118" t="s">
        <v>34</v>
      </c>
      <c r="E118">
        <v>944</v>
      </c>
      <c r="F118">
        <v>5</v>
      </c>
      <c r="G118">
        <v>5</v>
      </c>
      <c r="H118">
        <v>1</v>
      </c>
      <c r="I118">
        <v>1</v>
      </c>
      <c r="J118">
        <v>0.76589147286821702</v>
      </c>
      <c r="K118">
        <v>0.97748316498316401</v>
      </c>
      <c r="L118">
        <v>0.85884697950580402</v>
      </c>
      <c r="M118">
        <v>0.57954545454545503</v>
      </c>
      <c r="N118">
        <v>1</v>
      </c>
      <c r="O118">
        <v>0.68806818181818197</v>
      </c>
      <c r="P118" t="s">
        <v>3647</v>
      </c>
      <c r="Q118" t="s">
        <v>3648</v>
      </c>
      <c r="R118" t="s">
        <v>235</v>
      </c>
      <c r="S118" t="s">
        <v>236</v>
      </c>
      <c r="T118" t="s">
        <v>3649</v>
      </c>
      <c r="U118" t="s">
        <v>3650</v>
      </c>
      <c r="V118" t="s">
        <v>3651</v>
      </c>
      <c r="W118" t="s">
        <v>3652</v>
      </c>
      <c r="X118" t="s">
        <v>3651</v>
      </c>
      <c r="Y118" t="s">
        <v>1091</v>
      </c>
      <c r="Z118" t="s">
        <v>858</v>
      </c>
      <c r="AA118" t="s">
        <v>859</v>
      </c>
      <c r="AB118" t="s">
        <v>858</v>
      </c>
      <c r="AC118" t="s">
        <v>860</v>
      </c>
      <c r="AD118" t="s">
        <v>3653</v>
      </c>
      <c r="AE118" t="s">
        <v>3654</v>
      </c>
      <c r="AF118" t="e">
        <f>-MCCMIVRADISEIPSYVPGKRLADALKLSSNEVTHPPLPAAVAAMAEAATAANRYPDMGATNLVHAIAKHLKLR-PEQIAVGCGSSALCQQLVQITCTTGDEVVFPWRSFEAYPIFARVAGATPRPVPLTADHRVDLPALAAAITPATRLVFVCNPNNPTGTTITKQEFEEFMPVVPPTTLVALDEAYFEFVRTQDTPMGTEVVVKHENVVALRTFSKAYGLAGVRVGYAF-GNPAIIAALNKVAIPFGVSAVAQAGAIASLAGAAQLLERTNETVSERDRVARAIGAIPSEANFVWLPTKT--TETAATLAQQLANQGVIVRAFPEGVRITVTDHAEANRFLAAWNSITQ</f>
        <v>#NAME?</v>
      </c>
    </row>
    <row r="119" spans="1:32" hidden="1" x14ac:dyDescent="0.35">
      <c r="A119">
        <v>1758</v>
      </c>
      <c r="B119" t="s">
        <v>3646</v>
      </c>
      <c r="C119" t="s">
        <v>72</v>
      </c>
      <c r="D119" t="s">
        <v>45</v>
      </c>
      <c r="E119">
        <v>2201</v>
      </c>
      <c r="F119">
        <v>5</v>
      </c>
      <c r="G119">
        <v>5</v>
      </c>
      <c r="H119">
        <v>1</v>
      </c>
      <c r="I119">
        <v>1</v>
      </c>
      <c r="J119">
        <v>0.76589147286821702</v>
      </c>
      <c r="K119">
        <v>0.97748316498316401</v>
      </c>
      <c r="L119">
        <v>0.85884697950580402</v>
      </c>
      <c r="M119">
        <v>0.57954545454545503</v>
      </c>
      <c r="N119">
        <v>1</v>
      </c>
      <c r="O119">
        <v>0.68806818181818197</v>
      </c>
      <c r="P119" t="s">
        <v>3647</v>
      </c>
      <c r="Q119" t="s">
        <v>3648</v>
      </c>
      <c r="R119" t="s">
        <v>235</v>
      </c>
      <c r="S119" t="s">
        <v>236</v>
      </c>
      <c r="T119" t="s">
        <v>3649</v>
      </c>
      <c r="U119" t="s">
        <v>3650</v>
      </c>
      <c r="V119" t="s">
        <v>3651</v>
      </c>
      <c r="W119" t="s">
        <v>3652</v>
      </c>
      <c r="X119" t="s">
        <v>3651</v>
      </c>
      <c r="Y119" t="s">
        <v>1091</v>
      </c>
      <c r="Z119" t="s">
        <v>858</v>
      </c>
      <c r="AA119" t="s">
        <v>859</v>
      </c>
      <c r="AB119" t="s">
        <v>858</v>
      </c>
      <c r="AC119" t="s">
        <v>860</v>
      </c>
      <c r="AD119" t="s">
        <v>3653</v>
      </c>
      <c r="AE119" t="s">
        <v>3654</v>
      </c>
      <c r="AF119" t="e">
        <f>-MCCMIVRADISEIPSYVPGKRLADALKLSSNEVAHPPLPAAVAAMAEAAAAANRYPDMGATDLVHAIAKHLKLR-PEQVAVGCGSSALCQQLVQITCKTGDEVVFPWRSFEAYPIFARVAGATPRPVPLTADHRVDLPALAAAITPATRLVFVCNPNNPTGTTITKQGFEEFMAVVPPTTLVALDEAYFEFVRTQDTPMGTEVVVKHENVVALRTFSKAYGLAGVRVGYAF-GNPAIIAALNKVAIPFGVSAVAQAGAIASLAGAAQLLERTNETVSERDRVARAIGAIPSEANFVWLPTKT--TETAATLAQQLADQGVIVRAFPEGVRITVTDHAEADRFLAAWNSITQ</f>
        <v>#NAME?</v>
      </c>
    </row>
    <row r="120" spans="1:32" hidden="1" x14ac:dyDescent="0.35">
      <c r="A120">
        <v>2389</v>
      </c>
      <c r="B120" t="s">
        <v>4961</v>
      </c>
      <c r="C120" t="s">
        <v>72</v>
      </c>
      <c r="D120" t="s">
        <v>58</v>
      </c>
      <c r="E120">
        <v>1313</v>
      </c>
      <c r="F120">
        <v>5</v>
      </c>
      <c r="G120">
        <v>5</v>
      </c>
      <c r="H120">
        <v>1</v>
      </c>
      <c r="I120">
        <v>1</v>
      </c>
      <c r="J120">
        <v>0.89724849527085104</v>
      </c>
      <c r="K120">
        <v>0.97961359093937705</v>
      </c>
      <c r="L120">
        <v>0.93662376886948195</v>
      </c>
      <c r="M120">
        <v>0.80842105263157904</v>
      </c>
      <c r="N120">
        <v>1</v>
      </c>
      <c r="O120">
        <v>0.85978947368420999</v>
      </c>
      <c r="P120" t="s">
        <v>4962</v>
      </c>
      <c r="Q120" t="s">
        <v>4963</v>
      </c>
      <c r="R120" t="s">
        <v>235</v>
      </c>
      <c r="S120" t="s">
        <v>236</v>
      </c>
      <c r="T120" t="s">
        <v>4964</v>
      </c>
      <c r="U120" t="s">
        <v>4965</v>
      </c>
      <c r="V120" t="s">
        <v>4966</v>
      </c>
      <c r="W120" t="s">
        <v>4967</v>
      </c>
      <c r="X120" t="s">
        <v>4966</v>
      </c>
      <c r="Y120" t="s">
        <v>241</v>
      </c>
      <c r="Z120" t="s">
        <v>2139</v>
      </c>
      <c r="AA120" t="s">
        <v>2140</v>
      </c>
      <c r="AB120" t="s">
        <v>2139</v>
      </c>
      <c r="AC120" t="s">
        <v>244</v>
      </c>
      <c r="AD120" t="s">
        <v>245</v>
      </c>
      <c r="AE120" t="s">
        <v>4968</v>
      </c>
      <c r="AF120" t="s">
        <v>4969</v>
      </c>
    </row>
    <row r="121" spans="1:32" hidden="1" x14ac:dyDescent="0.35">
      <c r="A121">
        <v>1820</v>
      </c>
      <c r="B121" t="s">
        <v>3771</v>
      </c>
      <c r="C121" t="s">
        <v>72</v>
      </c>
      <c r="D121" t="s">
        <v>60</v>
      </c>
      <c r="E121">
        <v>1675</v>
      </c>
      <c r="F121">
        <v>5</v>
      </c>
      <c r="G121">
        <v>5</v>
      </c>
      <c r="H121">
        <v>1</v>
      </c>
      <c r="I121">
        <v>1</v>
      </c>
      <c r="J121">
        <v>0.84007628388502897</v>
      </c>
      <c r="K121">
        <v>0.94675107000688496</v>
      </c>
      <c r="L121">
        <v>0.89022939896594999</v>
      </c>
      <c r="M121">
        <v>0.67181467181467203</v>
      </c>
      <c r="N121">
        <v>1</v>
      </c>
      <c r="O121">
        <v>0.76988416988416997</v>
      </c>
      <c r="P121" t="s">
        <v>969</v>
      </c>
      <c r="Q121" t="s">
        <v>970</v>
      </c>
      <c r="R121" t="s">
        <v>235</v>
      </c>
      <c r="S121" t="s">
        <v>236</v>
      </c>
      <c r="T121" t="s">
        <v>3772</v>
      </c>
      <c r="U121" t="s">
        <v>3773</v>
      </c>
      <c r="V121" t="s">
        <v>3774</v>
      </c>
      <c r="W121" t="s">
        <v>3775</v>
      </c>
      <c r="X121" t="s">
        <v>3774</v>
      </c>
      <c r="Y121" t="s">
        <v>857</v>
      </c>
      <c r="Z121" t="s">
        <v>3776</v>
      </c>
      <c r="AA121" t="s">
        <v>3777</v>
      </c>
      <c r="AB121" t="s">
        <v>3776</v>
      </c>
      <c r="AC121" t="s">
        <v>3778</v>
      </c>
      <c r="AD121" t="s">
        <v>2870</v>
      </c>
      <c r="AE121" t="s">
        <v>3779</v>
      </c>
      <c r="AF121" t="s">
        <v>3781</v>
      </c>
    </row>
    <row r="122" spans="1:32" hidden="1" x14ac:dyDescent="0.35">
      <c r="A122">
        <v>1821</v>
      </c>
      <c r="B122" t="s">
        <v>3771</v>
      </c>
      <c r="C122" t="s">
        <v>72</v>
      </c>
      <c r="D122" t="s">
        <v>62</v>
      </c>
      <c r="E122">
        <v>1710</v>
      </c>
      <c r="F122">
        <v>5</v>
      </c>
      <c r="G122">
        <v>5</v>
      </c>
      <c r="H122">
        <v>1</v>
      </c>
      <c r="I122">
        <v>1</v>
      </c>
      <c r="J122">
        <v>0.84007628388502897</v>
      </c>
      <c r="K122">
        <v>0.94675107000688496</v>
      </c>
      <c r="L122">
        <v>0.89022939896594999</v>
      </c>
      <c r="M122">
        <v>0.67181467181467203</v>
      </c>
      <c r="N122">
        <v>1</v>
      </c>
      <c r="O122">
        <v>0.76988416988416997</v>
      </c>
      <c r="P122" t="s">
        <v>969</v>
      </c>
      <c r="Q122" t="s">
        <v>970</v>
      </c>
      <c r="R122" t="s">
        <v>235</v>
      </c>
      <c r="S122" t="s">
        <v>236</v>
      </c>
      <c r="T122" t="s">
        <v>3772</v>
      </c>
      <c r="U122" t="s">
        <v>3773</v>
      </c>
      <c r="V122" t="s">
        <v>3774</v>
      </c>
      <c r="W122" t="s">
        <v>3775</v>
      </c>
      <c r="X122" t="s">
        <v>3774</v>
      </c>
      <c r="Y122" t="s">
        <v>857</v>
      </c>
      <c r="Z122" t="s">
        <v>3776</v>
      </c>
      <c r="AA122" t="s">
        <v>3777</v>
      </c>
      <c r="AB122" t="s">
        <v>3776</v>
      </c>
      <c r="AC122" t="s">
        <v>3778</v>
      </c>
      <c r="AD122" t="s">
        <v>2870</v>
      </c>
      <c r="AE122" t="s">
        <v>3779</v>
      </c>
      <c r="AF122" t="s">
        <v>3781</v>
      </c>
    </row>
    <row r="123" spans="1:32" hidden="1" x14ac:dyDescent="0.35">
      <c r="A123">
        <v>1822</v>
      </c>
      <c r="B123" t="s">
        <v>3771</v>
      </c>
      <c r="C123" t="s">
        <v>72</v>
      </c>
      <c r="D123" t="s">
        <v>34</v>
      </c>
      <c r="E123">
        <v>2070</v>
      </c>
      <c r="F123">
        <v>5</v>
      </c>
      <c r="G123">
        <v>5</v>
      </c>
      <c r="H123">
        <v>1</v>
      </c>
      <c r="I123">
        <v>1</v>
      </c>
      <c r="J123">
        <v>0.84007628388502897</v>
      </c>
      <c r="K123">
        <v>0.94675107000688496</v>
      </c>
      <c r="L123">
        <v>0.89022939896594999</v>
      </c>
      <c r="M123">
        <v>0.67181467181467203</v>
      </c>
      <c r="N123">
        <v>1</v>
      </c>
      <c r="O123">
        <v>0.76988416988416997</v>
      </c>
      <c r="P123" t="s">
        <v>969</v>
      </c>
      <c r="Q123" t="s">
        <v>970</v>
      </c>
      <c r="R123" t="s">
        <v>235</v>
      </c>
      <c r="S123" t="s">
        <v>236</v>
      </c>
      <c r="T123" t="s">
        <v>3772</v>
      </c>
      <c r="U123" t="s">
        <v>3773</v>
      </c>
      <c r="V123" t="s">
        <v>3774</v>
      </c>
      <c r="W123" t="s">
        <v>3775</v>
      </c>
      <c r="X123" t="s">
        <v>3774</v>
      </c>
      <c r="Y123" t="s">
        <v>857</v>
      </c>
      <c r="Z123" t="s">
        <v>3776</v>
      </c>
      <c r="AA123" t="s">
        <v>3777</v>
      </c>
      <c r="AB123" t="s">
        <v>3776</v>
      </c>
      <c r="AC123" t="s">
        <v>3778</v>
      </c>
      <c r="AD123" t="s">
        <v>2870</v>
      </c>
      <c r="AE123" t="s">
        <v>3779</v>
      </c>
      <c r="AF123" t="s">
        <v>3782</v>
      </c>
    </row>
    <row r="124" spans="1:32" hidden="1" x14ac:dyDescent="0.35">
      <c r="A124">
        <v>1823</v>
      </c>
      <c r="B124" t="s">
        <v>3771</v>
      </c>
      <c r="C124" t="s">
        <v>72</v>
      </c>
      <c r="D124" t="s">
        <v>45</v>
      </c>
      <c r="E124">
        <v>802</v>
      </c>
      <c r="F124">
        <v>5</v>
      </c>
      <c r="G124">
        <v>5</v>
      </c>
      <c r="H124">
        <v>1</v>
      </c>
      <c r="I124">
        <v>1</v>
      </c>
      <c r="J124">
        <v>0.84007628388502897</v>
      </c>
      <c r="K124">
        <v>0.94675107000688496</v>
      </c>
      <c r="L124">
        <v>0.89022939896594999</v>
      </c>
      <c r="M124">
        <v>0.67181467181467203</v>
      </c>
      <c r="N124">
        <v>1</v>
      </c>
      <c r="O124">
        <v>0.76988416988416997</v>
      </c>
      <c r="P124" t="s">
        <v>969</v>
      </c>
      <c r="Q124" t="s">
        <v>970</v>
      </c>
      <c r="R124" t="s">
        <v>235</v>
      </c>
      <c r="S124" t="s">
        <v>236</v>
      </c>
      <c r="T124" t="s">
        <v>3772</v>
      </c>
      <c r="U124" t="s">
        <v>3773</v>
      </c>
      <c r="V124" t="s">
        <v>3774</v>
      </c>
      <c r="W124" t="s">
        <v>3775</v>
      </c>
      <c r="X124" t="s">
        <v>3774</v>
      </c>
      <c r="Y124" t="s">
        <v>857</v>
      </c>
      <c r="Z124" t="s">
        <v>3776</v>
      </c>
      <c r="AA124" t="s">
        <v>3777</v>
      </c>
      <c r="AB124" t="s">
        <v>3776</v>
      </c>
      <c r="AC124" t="s">
        <v>3778</v>
      </c>
      <c r="AD124" t="s">
        <v>2870</v>
      </c>
      <c r="AE124" t="s">
        <v>3779</v>
      </c>
      <c r="AF124" t="s">
        <v>3782</v>
      </c>
    </row>
    <row r="125" spans="1:32" hidden="1" x14ac:dyDescent="0.35">
      <c r="A125">
        <v>11060</v>
      </c>
      <c r="B125" t="s">
        <v>22363</v>
      </c>
      <c r="C125" t="s">
        <v>33</v>
      </c>
      <c r="D125" t="s">
        <v>58</v>
      </c>
      <c r="E125">
        <v>1265</v>
      </c>
      <c r="F125">
        <v>1</v>
      </c>
      <c r="G125">
        <v>1</v>
      </c>
      <c r="H125">
        <v>1</v>
      </c>
      <c r="I125">
        <v>0</v>
      </c>
      <c r="J125">
        <v>1</v>
      </c>
      <c r="K125">
        <v>1</v>
      </c>
      <c r="L125">
        <v>1</v>
      </c>
      <c r="M125">
        <v>0</v>
      </c>
      <c r="N125">
        <v>0</v>
      </c>
      <c r="O125">
        <v>0</v>
      </c>
      <c r="P125" t="s">
        <v>22364</v>
      </c>
      <c r="Q125" t="s">
        <v>22365</v>
      </c>
      <c r="R125" t="s">
        <v>75</v>
      </c>
      <c r="S125" t="s">
        <v>76</v>
      </c>
      <c r="V125" t="s">
        <v>22366</v>
      </c>
      <c r="W125" t="s">
        <v>22367</v>
      </c>
      <c r="X125" t="s">
        <v>22366</v>
      </c>
      <c r="Y125" t="s">
        <v>2750</v>
      </c>
      <c r="AF125" t="s">
        <v>22368</v>
      </c>
    </row>
    <row r="126" spans="1:32" hidden="1" x14ac:dyDescent="0.35">
      <c r="A126">
        <v>2035</v>
      </c>
      <c r="B126" t="s">
        <v>4228</v>
      </c>
      <c r="C126" t="s">
        <v>72</v>
      </c>
      <c r="D126" t="s">
        <v>60</v>
      </c>
      <c r="E126">
        <v>1468</v>
      </c>
      <c r="F126">
        <v>5</v>
      </c>
      <c r="G126">
        <v>5</v>
      </c>
      <c r="H126">
        <v>1</v>
      </c>
      <c r="I126">
        <v>1</v>
      </c>
      <c r="J126">
        <v>0.70794169731644196</v>
      </c>
      <c r="K126">
        <v>0.96964953638220697</v>
      </c>
      <c r="L126">
        <v>0.81838212408283295</v>
      </c>
      <c r="M126">
        <v>0.50099009900990099</v>
      </c>
      <c r="N126">
        <v>1</v>
      </c>
      <c r="O126">
        <v>0.62811881188118801</v>
      </c>
      <c r="P126" t="s">
        <v>433</v>
      </c>
      <c r="Q126" t="s">
        <v>434</v>
      </c>
      <c r="R126" t="s">
        <v>235</v>
      </c>
      <c r="S126" t="s">
        <v>236</v>
      </c>
      <c r="T126" t="s">
        <v>469</v>
      </c>
      <c r="U126" t="s">
        <v>470</v>
      </c>
      <c r="V126" t="s">
        <v>437</v>
      </c>
      <c r="W126" t="s">
        <v>438</v>
      </c>
      <c r="AD126" t="s">
        <v>439</v>
      </c>
      <c r="AE126" t="s">
        <v>471</v>
      </c>
      <c r="AF126" t="s">
        <v>4230</v>
      </c>
    </row>
    <row r="127" spans="1:32" hidden="1" x14ac:dyDescent="0.35">
      <c r="A127">
        <v>2036</v>
      </c>
      <c r="B127" t="s">
        <v>4228</v>
      </c>
      <c r="C127" t="s">
        <v>72</v>
      </c>
      <c r="D127" t="s">
        <v>62</v>
      </c>
      <c r="E127">
        <v>1503</v>
      </c>
      <c r="F127">
        <v>5</v>
      </c>
      <c r="G127">
        <v>5</v>
      </c>
      <c r="H127">
        <v>1</v>
      </c>
      <c r="I127">
        <v>1</v>
      </c>
      <c r="J127">
        <v>0.70794169731644196</v>
      </c>
      <c r="K127">
        <v>0.96964953638220697</v>
      </c>
      <c r="L127">
        <v>0.81838212408283295</v>
      </c>
      <c r="M127">
        <v>0.50099009900990099</v>
      </c>
      <c r="N127">
        <v>1</v>
      </c>
      <c r="O127">
        <v>0.62811881188118801</v>
      </c>
      <c r="P127" t="s">
        <v>433</v>
      </c>
      <c r="Q127" t="s">
        <v>434</v>
      </c>
      <c r="R127" t="s">
        <v>235</v>
      </c>
      <c r="S127" t="s">
        <v>236</v>
      </c>
      <c r="T127" t="s">
        <v>469</v>
      </c>
      <c r="U127" t="s">
        <v>470</v>
      </c>
      <c r="V127" t="s">
        <v>437</v>
      </c>
      <c r="W127" t="s">
        <v>438</v>
      </c>
      <c r="AD127" t="s">
        <v>439</v>
      </c>
      <c r="AE127" t="s">
        <v>471</v>
      </c>
      <c r="AF127" t="s">
        <v>4230</v>
      </c>
    </row>
    <row r="128" spans="1:32" hidden="1" x14ac:dyDescent="0.35">
      <c r="A128">
        <v>2037</v>
      </c>
      <c r="B128" t="s">
        <v>4228</v>
      </c>
      <c r="C128" t="s">
        <v>72</v>
      </c>
      <c r="D128" t="s">
        <v>34</v>
      </c>
      <c r="E128">
        <v>1988</v>
      </c>
      <c r="F128">
        <v>5</v>
      </c>
      <c r="G128">
        <v>5</v>
      </c>
      <c r="H128">
        <v>1</v>
      </c>
      <c r="I128">
        <v>1</v>
      </c>
      <c r="J128">
        <v>0.70794169731644196</v>
      </c>
      <c r="K128">
        <v>0.96964953638220697</v>
      </c>
      <c r="L128">
        <v>0.81838212408283295</v>
      </c>
      <c r="M128">
        <v>0.50099009900990099</v>
      </c>
      <c r="N128">
        <v>1</v>
      </c>
      <c r="O128">
        <v>0.62811881188118801</v>
      </c>
      <c r="P128" t="s">
        <v>433</v>
      </c>
      <c r="Q128" t="s">
        <v>434</v>
      </c>
      <c r="R128" t="s">
        <v>235</v>
      </c>
      <c r="S128" t="s">
        <v>236</v>
      </c>
      <c r="T128" t="s">
        <v>469</v>
      </c>
      <c r="U128" t="s">
        <v>470</v>
      </c>
      <c r="V128" t="s">
        <v>437</v>
      </c>
      <c r="W128" t="s">
        <v>438</v>
      </c>
      <c r="AD128" t="s">
        <v>439</v>
      </c>
      <c r="AE128" t="s">
        <v>471</v>
      </c>
      <c r="AF128" t="s">
        <v>4231</v>
      </c>
    </row>
    <row r="129" spans="1:32" hidden="1" x14ac:dyDescent="0.35">
      <c r="A129">
        <v>2038</v>
      </c>
      <c r="B129" t="s">
        <v>4228</v>
      </c>
      <c r="C129" t="s">
        <v>72</v>
      </c>
      <c r="D129" t="s">
        <v>45</v>
      </c>
      <c r="E129">
        <v>885</v>
      </c>
      <c r="F129">
        <v>5</v>
      </c>
      <c r="G129">
        <v>5</v>
      </c>
      <c r="H129">
        <v>1</v>
      </c>
      <c r="I129">
        <v>1</v>
      </c>
      <c r="J129">
        <v>0.70794169731644196</v>
      </c>
      <c r="K129">
        <v>0.96964953638220697</v>
      </c>
      <c r="L129">
        <v>0.81838212408283295</v>
      </c>
      <c r="M129">
        <v>0.50099009900990099</v>
      </c>
      <c r="N129">
        <v>1</v>
      </c>
      <c r="O129">
        <v>0.62811881188118801</v>
      </c>
      <c r="P129" t="s">
        <v>433</v>
      </c>
      <c r="Q129" t="s">
        <v>434</v>
      </c>
      <c r="R129" t="s">
        <v>235</v>
      </c>
      <c r="S129" t="s">
        <v>236</v>
      </c>
      <c r="T129" t="s">
        <v>469</v>
      </c>
      <c r="U129" t="s">
        <v>470</v>
      </c>
      <c r="V129" t="s">
        <v>437</v>
      </c>
      <c r="W129" t="s">
        <v>438</v>
      </c>
      <c r="AD129" t="s">
        <v>439</v>
      </c>
      <c r="AE129" t="s">
        <v>471</v>
      </c>
      <c r="AF129" t="s">
        <v>4232</v>
      </c>
    </row>
    <row r="130" spans="1:32" hidden="1" x14ac:dyDescent="0.35">
      <c r="A130">
        <v>11571</v>
      </c>
      <c r="B130" t="s">
        <v>23669</v>
      </c>
      <c r="C130" t="s">
        <v>33</v>
      </c>
      <c r="D130" t="s">
        <v>58</v>
      </c>
      <c r="E130">
        <v>40</v>
      </c>
      <c r="F130">
        <v>1</v>
      </c>
      <c r="G130">
        <v>1</v>
      </c>
      <c r="H130">
        <v>1</v>
      </c>
      <c r="I130">
        <v>0</v>
      </c>
      <c r="J130">
        <v>1</v>
      </c>
      <c r="K130">
        <v>1</v>
      </c>
      <c r="L130">
        <v>1</v>
      </c>
      <c r="M130">
        <v>0</v>
      </c>
      <c r="N130">
        <v>0</v>
      </c>
      <c r="O130">
        <v>0</v>
      </c>
      <c r="P130" t="s">
        <v>17870</v>
      </c>
      <c r="Q130" t="s">
        <v>17871</v>
      </c>
      <c r="R130" t="s">
        <v>75</v>
      </c>
      <c r="S130" t="s">
        <v>76</v>
      </c>
      <c r="T130" t="s">
        <v>23670</v>
      </c>
      <c r="U130" t="s">
        <v>23671</v>
      </c>
      <c r="V130" t="s">
        <v>17872</v>
      </c>
      <c r="W130" t="s">
        <v>17873</v>
      </c>
      <c r="AD130" t="s">
        <v>219</v>
      </c>
      <c r="AE130" t="s">
        <v>23672</v>
      </c>
      <c r="AF130" t="s">
        <v>23673</v>
      </c>
    </row>
    <row r="131" spans="1:32" hidden="1" x14ac:dyDescent="0.35">
      <c r="A131">
        <v>2075</v>
      </c>
      <c r="B131" t="s">
        <v>4314</v>
      </c>
      <c r="C131" t="s">
        <v>72</v>
      </c>
      <c r="D131" t="s">
        <v>60</v>
      </c>
      <c r="E131">
        <v>932</v>
      </c>
      <c r="F131">
        <v>5</v>
      </c>
      <c r="G131">
        <v>5</v>
      </c>
      <c r="H131">
        <v>1</v>
      </c>
      <c r="I131">
        <v>1</v>
      </c>
      <c r="J131">
        <v>0.75507653858169299</v>
      </c>
      <c r="K131">
        <v>0.85033969898705697</v>
      </c>
      <c r="L131">
        <v>0.79988172724863205</v>
      </c>
      <c r="M131">
        <v>0.51174934725848598</v>
      </c>
      <c r="N131">
        <v>1</v>
      </c>
      <c r="O131">
        <v>0.62454308093994804</v>
      </c>
      <c r="P131" t="s">
        <v>4315</v>
      </c>
      <c r="Q131" t="s">
        <v>4316</v>
      </c>
      <c r="R131" t="s">
        <v>235</v>
      </c>
      <c r="S131" t="s">
        <v>236</v>
      </c>
      <c r="T131" t="s">
        <v>4317</v>
      </c>
      <c r="U131" t="s">
        <v>4318</v>
      </c>
      <c r="V131" t="s">
        <v>4319</v>
      </c>
      <c r="W131" t="s">
        <v>4320</v>
      </c>
      <c r="X131" t="s">
        <v>4319</v>
      </c>
      <c r="Y131" t="s">
        <v>1136</v>
      </c>
      <c r="Z131" t="s">
        <v>2933</v>
      </c>
      <c r="AA131" t="s">
        <v>2934</v>
      </c>
      <c r="AB131" t="s">
        <v>2933</v>
      </c>
      <c r="AC131" t="s">
        <v>2804</v>
      </c>
      <c r="AD131" t="s">
        <v>219</v>
      </c>
      <c r="AE131" t="s">
        <v>4321</v>
      </c>
      <c r="AF131" t="s">
        <v>4323</v>
      </c>
    </row>
    <row r="132" spans="1:32" hidden="1" x14ac:dyDescent="0.35">
      <c r="A132">
        <v>2076</v>
      </c>
      <c r="B132" t="s">
        <v>4314</v>
      </c>
      <c r="C132" t="s">
        <v>72</v>
      </c>
      <c r="D132" t="s">
        <v>62</v>
      </c>
      <c r="E132">
        <v>968</v>
      </c>
      <c r="F132">
        <v>5</v>
      </c>
      <c r="G132">
        <v>5</v>
      </c>
      <c r="H132">
        <v>1</v>
      </c>
      <c r="I132">
        <v>1</v>
      </c>
      <c r="J132">
        <v>0.75507653858169299</v>
      </c>
      <c r="K132">
        <v>0.85033969898705697</v>
      </c>
      <c r="L132">
        <v>0.79988172724863205</v>
      </c>
      <c r="M132">
        <v>0.51174934725848598</v>
      </c>
      <c r="N132">
        <v>1</v>
      </c>
      <c r="O132">
        <v>0.62454308093994804</v>
      </c>
      <c r="P132" t="s">
        <v>4315</v>
      </c>
      <c r="Q132" t="s">
        <v>4316</v>
      </c>
      <c r="R132" t="s">
        <v>235</v>
      </c>
      <c r="S132" t="s">
        <v>236</v>
      </c>
      <c r="T132" t="s">
        <v>4317</v>
      </c>
      <c r="U132" t="s">
        <v>4318</v>
      </c>
      <c r="V132" t="s">
        <v>4319</v>
      </c>
      <c r="W132" t="s">
        <v>4320</v>
      </c>
      <c r="X132" t="s">
        <v>4319</v>
      </c>
      <c r="Y132" t="s">
        <v>1136</v>
      </c>
      <c r="Z132" t="s">
        <v>2933</v>
      </c>
      <c r="AA132" t="s">
        <v>2934</v>
      </c>
      <c r="AB132" t="s">
        <v>2933</v>
      </c>
      <c r="AC132" t="s">
        <v>2804</v>
      </c>
      <c r="AD132" t="s">
        <v>219</v>
      </c>
      <c r="AE132" t="s">
        <v>4321</v>
      </c>
      <c r="AF132" t="s">
        <v>4323</v>
      </c>
    </row>
    <row r="133" spans="1:32" hidden="1" x14ac:dyDescent="0.35">
      <c r="A133">
        <v>2077</v>
      </c>
      <c r="B133" t="s">
        <v>4314</v>
      </c>
      <c r="C133" t="s">
        <v>72</v>
      </c>
      <c r="D133" t="s">
        <v>34</v>
      </c>
      <c r="E133">
        <v>229</v>
      </c>
      <c r="F133">
        <v>5</v>
      </c>
      <c r="G133">
        <v>5</v>
      </c>
      <c r="H133">
        <v>1</v>
      </c>
      <c r="I133">
        <v>1</v>
      </c>
      <c r="J133">
        <v>0.75507653858169299</v>
      </c>
      <c r="K133">
        <v>0.85033969898705697</v>
      </c>
      <c r="L133">
        <v>0.79988172724863205</v>
      </c>
      <c r="M133">
        <v>0.51174934725848598</v>
      </c>
      <c r="N133">
        <v>1</v>
      </c>
      <c r="O133">
        <v>0.62454308093994804</v>
      </c>
      <c r="P133" t="s">
        <v>4315</v>
      </c>
      <c r="Q133" t="s">
        <v>4316</v>
      </c>
      <c r="R133" t="s">
        <v>235</v>
      </c>
      <c r="S133" t="s">
        <v>236</v>
      </c>
      <c r="T133" t="s">
        <v>4317</v>
      </c>
      <c r="U133" t="s">
        <v>4318</v>
      </c>
      <c r="V133" t="s">
        <v>4319</v>
      </c>
      <c r="W133" t="s">
        <v>4320</v>
      </c>
      <c r="X133" t="s">
        <v>4319</v>
      </c>
      <c r="Y133" t="s">
        <v>1136</v>
      </c>
      <c r="Z133" t="s">
        <v>2933</v>
      </c>
      <c r="AA133" t="s">
        <v>2934</v>
      </c>
      <c r="AB133" t="s">
        <v>2933</v>
      </c>
      <c r="AC133" t="s">
        <v>2804</v>
      </c>
      <c r="AD133" t="s">
        <v>219</v>
      </c>
      <c r="AE133" t="s">
        <v>4321</v>
      </c>
      <c r="AF133" t="s">
        <v>4324</v>
      </c>
    </row>
    <row r="134" spans="1:32" hidden="1" x14ac:dyDescent="0.35">
      <c r="A134">
        <v>2078</v>
      </c>
      <c r="B134" t="s">
        <v>4314</v>
      </c>
      <c r="C134" t="s">
        <v>72</v>
      </c>
      <c r="D134" t="s">
        <v>45</v>
      </c>
      <c r="E134">
        <v>1492</v>
      </c>
      <c r="F134">
        <v>5</v>
      </c>
      <c r="G134">
        <v>5</v>
      </c>
      <c r="H134">
        <v>1</v>
      </c>
      <c r="I134">
        <v>1</v>
      </c>
      <c r="J134">
        <v>0.75507653858169299</v>
      </c>
      <c r="K134">
        <v>0.85033969898705697</v>
      </c>
      <c r="L134">
        <v>0.79988172724863205</v>
      </c>
      <c r="M134">
        <v>0.51174934725848598</v>
      </c>
      <c r="N134">
        <v>1</v>
      </c>
      <c r="O134">
        <v>0.62454308093994804</v>
      </c>
      <c r="P134" t="s">
        <v>4315</v>
      </c>
      <c r="Q134" t="s">
        <v>4316</v>
      </c>
      <c r="R134" t="s">
        <v>235</v>
      </c>
      <c r="S134" t="s">
        <v>236</v>
      </c>
      <c r="T134" t="s">
        <v>4317</v>
      </c>
      <c r="U134" t="s">
        <v>4318</v>
      </c>
      <c r="V134" t="s">
        <v>4319</v>
      </c>
      <c r="W134" t="s">
        <v>4320</v>
      </c>
      <c r="X134" t="s">
        <v>4319</v>
      </c>
      <c r="Y134" t="s">
        <v>1136</v>
      </c>
      <c r="Z134" t="s">
        <v>2933</v>
      </c>
      <c r="AA134" t="s">
        <v>2934</v>
      </c>
      <c r="AB134" t="s">
        <v>2933</v>
      </c>
      <c r="AC134" t="s">
        <v>2804</v>
      </c>
      <c r="AD134" t="s">
        <v>219</v>
      </c>
      <c r="AE134" t="s">
        <v>4321</v>
      </c>
      <c r="AF134" t="s">
        <v>4325</v>
      </c>
    </row>
    <row r="135" spans="1:32" hidden="1" x14ac:dyDescent="0.35">
      <c r="A135">
        <v>1374</v>
      </c>
      <c r="B135" t="s">
        <v>2861</v>
      </c>
      <c r="C135" t="s">
        <v>72</v>
      </c>
      <c r="D135" t="s">
        <v>58</v>
      </c>
      <c r="E135">
        <v>806</v>
      </c>
      <c r="F135">
        <v>5</v>
      </c>
      <c r="G135">
        <v>5</v>
      </c>
      <c r="H135">
        <v>1</v>
      </c>
      <c r="I135">
        <v>1</v>
      </c>
      <c r="J135">
        <v>0.84127797710575802</v>
      </c>
      <c r="K135">
        <v>0.99540816326530801</v>
      </c>
      <c r="L135">
        <v>0.911875957007236</v>
      </c>
      <c r="M135">
        <v>0.73469387755102</v>
      </c>
      <c r="N135">
        <v>1</v>
      </c>
      <c r="O135">
        <v>0.79540816326530595</v>
      </c>
      <c r="P135" t="s">
        <v>2862</v>
      </c>
      <c r="Q135" t="s">
        <v>2863</v>
      </c>
      <c r="R135" t="s">
        <v>235</v>
      </c>
      <c r="S135" t="s">
        <v>236</v>
      </c>
      <c r="T135" t="s">
        <v>2864</v>
      </c>
      <c r="U135" t="s">
        <v>2865</v>
      </c>
      <c r="V135" t="s">
        <v>2866</v>
      </c>
      <c r="W135" t="s">
        <v>2867</v>
      </c>
      <c r="X135" t="s">
        <v>2866</v>
      </c>
      <c r="Y135" t="s">
        <v>1108</v>
      </c>
      <c r="Z135" t="s">
        <v>2868</v>
      </c>
      <c r="AA135" t="s">
        <v>2869</v>
      </c>
      <c r="AB135" t="s">
        <v>2868</v>
      </c>
      <c r="AC135" t="s">
        <v>1111</v>
      </c>
      <c r="AD135" t="s">
        <v>2870</v>
      </c>
      <c r="AE135" t="s">
        <v>2871</v>
      </c>
      <c r="AF135" t="s">
        <v>2872</v>
      </c>
    </row>
    <row r="136" spans="1:32" hidden="1" x14ac:dyDescent="0.35">
      <c r="A136">
        <v>2120</v>
      </c>
      <c r="B136" t="s">
        <v>4413</v>
      </c>
      <c r="C136" t="s">
        <v>72</v>
      </c>
      <c r="D136" t="s">
        <v>60</v>
      </c>
      <c r="E136">
        <v>2148</v>
      </c>
      <c r="F136">
        <v>5</v>
      </c>
      <c r="G136">
        <v>5</v>
      </c>
      <c r="H136">
        <v>1</v>
      </c>
      <c r="I136">
        <v>1</v>
      </c>
      <c r="J136">
        <v>0.88693553946914905</v>
      </c>
      <c r="K136">
        <v>0.93335655890003799</v>
      </c>
      <c r="L136">
        <v>0.90955413565408505</v>
      </c>
      <c r="M136">
        <v>0.70673076923076905</v>
      </c>
      <c r="N136">
        <v>1</v>
      </c>
      <c r="O136">
        <v>0.79038461538461502</v>
      </c>
      <c r="P136" t="s">
        <v>2233</v>
      </c>
      <c r="Q136" t="s">
        <v>2234</v>
      </c>
      <c r="R136" t="s">
        <v>235</v>
      </c>
      <c r="S136" t="s">
        <v>236</v>
      </c>
      <c r="T136" t="s">
        <v>4414</v>
      </c>
      <c r="U136" t="s">
        <v>4415</v>
      </c>
      <c r="V136" t="s">
        <v>4416</v>
      </c>
      <c r="W136" t="s">
        <v>4417</v>
      </c>
      <c r="X136" t="s">
        <v>4416</v>
      </c>
      <c r="Y136" t="s">
        <v>4418</v>
      </c>
      <c r="Z136" t="s">
        <v>4419</v>
      </c>
      <c r="AA136" t="s">
        <v>4420</v>
      </c>
      <c r="AB136" t="s">
        <v>4419</v>
      </c>
      <c r="AC136" t="s">
        <v>1800</v>
      </c>
      <c r="AD136" t="s">
        <v>1140</v>
      </c>
      <c r="AE136" t="s">
        <v>4421</v>
      </c>
      <c r="AF136" t="s">
        <v>4423</v>
      </c>
    </row>
    <row r="137" spans="1:32" hidden="1" x14ac:dyDescent="0.35">
      <c r="A137">
        <v>2121</v>
      </c>
      <c r="B137" t="s">
        <v>4413</v>
      </c>
      <c r="C137" t="s">
        <v>72</v>
      </c>
      <c r="D137" t="s">
        <v>62</v>
      </c>
      <c r="E137">
        <v>2182</v>
      </c>
      <c r="F137">
        <v>5</v>
      </c>
      <c r="G137">
        <v>5</v>
      </c>
      <c r="H137">
        <v>1</v>
      </c>
      <c r="I137">
        <v>1</v>
      </c>
      <c r="J137">
        <v>0.88693553946914905</v>
      </c>
      <c r="K137">
        <v>0.93335655890003799</v>
      </c>
      <c r="L137">
        <v>0.90955413565408505</v>
      </c>
      <c r="M137">
        <v>0.70673076923076905</v>
      </c>
      <c r="N137">
        <v>1</v>
      </c>
      <c r="O137">
        <v>0.79038461538461502</v>
      </c>
      <c r="P137" t="s">
        <v>2233</v>
      </c>
      <c r="Q137" t="s">
        <v>2234</v>
      </c>
      <c r="R137" t="s">
        <v>235</v>
      </c>
      <c r="S137" t="s">
        <v>236</v>
      </c>
      <c r="T137" t="s">
        <v>4414</v>
      </c>
      <c r="U137" t="s">
        <v>4415</v>
      </c>
      <c r="V137" t="s">
        <v>4416</v>
      </c>
      <c r="W137" t="s">
        <v>4417</v>
      </c>
      <c r="X137" t="s">
        <v>4416</v>
      </c>
      <c r="Y137" t="s">
        <v>4418</v>
      </c>
      <c r="Z137" t="s">
        <v>4419</v>
      </c>
      <c r="AA137" t="s">
        <v>4420</v>
      </c>
      <c r="AB137" t="s">
        <v>4419</v>
      </c>
      <c r="AC137" t="s">
        <v>1800</v>
      </c>
      <c r="AD137" t="s">
        <v>1140</v>
      </c>
      <c r="AE137" t="s">
        <v>4421</v>
      </c>
      <c r="AF137" t="s">
        <v>4423</v>
      </c>
    </row>
    <row r="138" spans="1:32" hidden="1" x14ac:dyDescent="0.35">
      <c r="A138">
        <v>2122</v>
      </c>
      <c r="B138" t="s">
        <v>4413</v>
      </c>
      <c r="C138" t="s">
        <v>72</v>
      </c>
      <c r="D138" t="s">
        <v>34</v>
      </c>
      <c r="E138">
        <v>1639</v>
      </c>
      <c r="F138">
        <v>5</v>
      </c>
      <c r="G138">
        <v>5</v>
      </c>
      <c r="H138">
        <v>1</v>
      </c>
      <c r="I138">
        <v>1</v>
      </c>
      <c r="J138">
        <v>0.88693553946914905</v>
      </c>
      <c r="K138">
        <v>0.93335655890003799</v>
      </c>
      <c r="L138">
        <v>0.90955413565408505</v>
      </c>
      <c r="M138">
        <v>0.70673076923076905</v>
      </c>
      <c r="N138">
        <v>1</v>
      </c>
      <c r="O138">
        <v>0.79038461538461502</v>
      </c>
      <c r="P138" t="s">
        <v>2233</v>
      </c>
      <c r="Q138" t="s">
        <v>2234</v>
      </c>
      <c r="R138" t="s">
        <v>235</v>
      </c>
      <c r="S138" t="s">
        <v>236</v>
      </c>
      <c r="T138" t="s">
        <v>4414</v>
      </c>
      <c r="U138" t="s">
        <v>4415</v>
      </c>
      <c r="V138" t="s">
        <v>4416</v>
      </c>
      <c r="W138" t="s">
        <v>4417</v>
      </c>
      <c r="X138" t="s">
        <v>4416</v>
      </c>
      <c r="Y138" t="s">
        <v>4418</v>
      </c>
      <c r="Z138" t="s">
        <v>4419</v>
      </c>
      <c r="AA138" t="s">
        <v>4420</v>
      </c>
      <c r="AB138" t="s">
        <v>4419</v>
      </c>
      <c r="AC138" t="s">
        <v>1800</v>
      </c>
      <c r="AD138" t="s">
        <v>1140</v>
      </c>
      <c r="AE138" t="s">
        <v>4421</v>
      </c>
      <c r="AF138" t="s">
        <v>4424</v>
      </c>
    </row>
    <row r="139" spans="1:32" hidden="1" x14ac:dyDescent="0.35">
      <c r="A139">
        <v>2123</v>
      </c>
      <c r="B139" t="s">
        <v>4413</v>
      </c>
      <c r="C139" t="s">
        <v>72</v>
      </c>
      <c r="D139" t="s">
        <v>45</v>
      </c>
      <c r="E139">
        <v>386</v>
      </c>
      <c r="F139">
        <v>5</v>
      </c>
      <c r="G139">
        <v>5</v>
      </c>
      <c r="H139">
        <v>1</v>
      </c>
      <c r="I139">
        <v>1</v>
      </c>
      <c r="J139">
        <v>0.88693553946914905</v>
      </c>
      <c r="K139">
        <v>0.93335655890003799</v>
      </c>
      <c r="L139">
        <v>0.90955413565408505</v>
      </c>
      <c r="M139">
        <v>0.70673076923076905</v>
      </c>
      <c r="N139">
        <v>1</v>
      </c>
      <c r="O139">
        <v>0.79038461538461502</v>
      </c>
      <c r="P139" t="s">
        <v>2233</v>
      </c>
      <c r="Q139" t="s">
        <v>2234</v>
      </c>
      <c r="R139" t="s">
        <v>235</v>
      </c>
      <c r="S139" t="s">
        <v>236</v>
      </c>
      <c r="T139" t="s">
        <v>4414</v>
      </c>
      <c r="U139" t="s">
        <v>4415</v>
      </c>
      <c r="V139" t="s">
        <v>4416</v>
      </c>
      <c r="W139" t="s">
        <v>4417</v>
      </c>
      <c r="X139" t="s">
        <v>4416</v>
      </c>
      <c r="Y139" t="s">
        <v>4418</v>
      </c>
      <c r="Z139" t="s">
        <v>4419</v>
      </c>
      <c r="AA139" t="s">
        <v>4420</v>
      </c>
      <c r="AB139" t="s">
        <v>4419</v>
      </c>
      <c r="AC139" t="s">
        <v>1800</v>
      </c>
      <c r="AD139" t="s">
        <v>1140</v>
      </c>
      <c r="AE139" t="s">
        <v>4421</v>
      </c>
      <c r="AF139" t="s">
        <v>4425</v>
      </c>
    </row>
    <row r="140" spans="1:32" hidden="1" x14ac:dyDescent="0.35">
      <c r="A140">
        <v>664</v>
      </c>
      <c r="B140" t="s">
        <v>1362</v>
      </c>
      <c r="C140" t="s">
        <v>72</v>
      </c>
      <c r="D140" t="s">
        <v>58</v>
      </c>
      <c r="E140">
        <v>1741</v>
      </c>
      <c r="F140">
        <v>5</v>
      </c>
      <c r="G140">
        <v>5</v>
      </c>
      <c r="H140">
        <v>1</v>
      </c>
      <c r="I140">
        <v>1</v>
      </c>
      <c r="J140">
        <v>0.72192061768608995</v>
      </c>
      <c r="K140">
        <v>0.99036899512647902</v>
      </c>
      <c r="L140">
        <v>0.83510148207284796</v>
      </c>
      <c r="M140">
        <v>0.51971326164874598</v>
      </c>
      <c r="N140">
        <v>1</v>
      </c>
      <c r="O140">
        <v>0.655555555555556</v>
      </c>
      <c r="P140" t="s">
        <v>1363</v>
      </c>
      <c r="Q140" t="s">
        <v>1364</v>
      </c>
      <c r="R140" t="s">
        <v>342</v>
      </c>
      <c r="S140" t="s">
        <v>343</v>
      </c>
      <c r="T140" t="s">
        <v>1365</v>
      </c>
      <c r="U140" t="s">
        <v>1366</v>
      </c>
      <c r="V140" t="s">
        <v>1367</v>
      </c>
      <c r="W140" t="s">
        <v>1368</v>
      </c>
      <c r="AD140" t="s">
        <v>147</v>
      </c>
      <c r="AE140" t="s">
        <v>1369</v>
      </c>
      <c r="AF140" t="e">
        <f>-MSIIVSVDELTDRLYHGSRTTLLACTWVAGEDATQKKFHSEHIPTALCCDPATQLAAVPSSKLGRNPLPDKAILQRAFNSWGLQDNHEVVVYDQGKGIYAARAWWILTWAGVSNVKILDGGLDAWEAAGGDTVGGPGNLHNNCTLTPEPGQLPVATIDDVKAGNKLLIDTREANRYQGRKEHLDLKAGHIPGAVNLPSRELLNEDNTYKTPEQIRITFESVGVTDPR--DVIIYSGSGIHSCQAVAAMHHAGLPGAAIYMGGWSQWCADPNNPVQHGA</f>
        <v>#NAME?</v>
      </c>
    </row>
    <row r="141" spans="1:32" hidden="1" x14ac:dyDescent="0.35">
      <c r="A141">
        <v>2190</v>
      </c>
      <c r="B141" t="s">
        <v>4550</v>
      </c>
      <c r="C141" t="s">
        <v>72</v>
      </c>
      <c r="D141" t="s">
        <v>60</v>
      </c>
      <c r="E141">
        <v>485</v>
      </c>
      <c r="F141">
        <v>5</v>
      </c>
      <c r="G141">
        <v>5</v>
      </c>
      <c r="H141">
        <v>1</v>
      </c>
      <c r="I141">
        <v>1</v>
      </c>
      <c r="J141">
        <v>0.81374474053295898</v>
      </c>
      <c r="K141">
        <v>0.95424940144227299</v>
      </c>
      <c r="L141">
        <v>0.87841403220130398</v>
      </c>
      <c r="M141">
        <v>0.65240641711229996</v>
      </c>
      <c r="N141">
        <v>1</v>
      </c>
      <c r="O141">
        <v>0.72994652406417104</v>
      </c>
      <c r="P141" t="s">
        <v>4551</v>
      </c>
      <c r="Q141" t="s">
        <v>4552</v>
      </c>
      <c r="R141" t="s">
        <v>235</v>
      </c>
      <c r="S141" t="s">
        <v>236</v>
      </c>
      <c r="T141" t="s">
        <v>4553</v>
      </c>
      <c r="U141" t="s">
        <v>4554</v>
      </c>
      <c r="V141" t="s">
        <v>4555</v>
      </c>
      <c r="W141" t="s">
        <v>4556</v>
      </c>
      <c r="X141" t="s">
        <v>4555</v>
      </c>
      <c r="Y141" t="s">
        <v>2431</v>
      </c>
      <c r="Z141" t="s">
        <v>4557</v>
      </c>
      <c r="AA141" t="s">
        <v>4558</v>
      </c>
      <c r="AB141" t="s">
        <v>4557</v>
      </c>
      <c r="AC141" t="s">
        <v>1800</v>
      </c>
      <c r="AD141" t="s">
        <v>2870</v>
      </c>
      <c r="AE141" t="s">
        <v>4559</v>
      </c>
      <c r="AF141" t="s">
        <v>4561</v>
      </c>
    </row>
    <row r="142" spans="1:32" hidden="1" x14ac:dyDescent="0.35">
      <c r="A142">
        <v>2191</v>
      </c>
      <c r="B142" t="s">
        <v>4550</v>
      </c>
      <c r="C142" t="s">
        <v>72</v>
      </c>
      <c r="D142" t="s">
        <v>62</v>
      </c>
      <c r="E142">
        <v>568</v>
      </c>
      <c r="F142">
        <v>5</v>
      </c>
      <c r="G142">
        <v>5</v>
      </c>
      <c r="H142">
        <v>1</v>
      </c>
      <c r="I142">
        <v>1</v>
      </c>
      <c r="J142">
        <v>0.81374474053295898</v>
      </c>
      <c r="K142">
        <v>0.95424940144227299</v>
      </c>
      <c r="L142">
        <v>0.87841403220130398</v>
      </c>
      <c r="M142">
        <v>0.65240641711229996</v>
      </c>
      <c r="N142">
        <v>1</v>
      </c>
      <c r="O142">
        <v>0.72994652406417104</v>
      </c>
      <c r="P142" t="s">
        <v>4551</v>
      </c>
      <c r="Q142" t="s">
        <v>4552</v>
      </c>
      <c r="R142" t="s">
        <v>235</v>
      </c>
      <c r="S142" t="s">
        <v>236</v>
      </c>
      <c r="T142" t="s">
        <v>4553</v>
      </c>
      <c r="U142" t="s">
        <v>4554</v>
      </c>
      <c r="V142" t="s">
        <v>4555</v>
      </c>
      <c r="W142" t="s">
        <v>4556</v>
      </c>
      <c r="X142" t="s">
        <v>4555</v>
      </c>
      <c r="Y142" t="s">
        <v>2431</v>
      </c>
      <c r="Z142" t="s">
        <v>4557</v>
      </c>
      <c r="AA142" t="s">
        <v>4558</v>
      </c>
      <c r="AB142" t="s">
        <v>4557</v>
      </c>
      <c r="AC142" t="s">
        <v>1800</v>
      </c>
      <c r="AD142" t="s">
        <v>2870</v>
      </c>
      <c r="AE142" t="s">
        <v>4559</v>
      </c>
      <c r="AF142" t="s">
        <v>4561</v>
      </c>
    </row>
    <row r="143" spans="1:32" hidden="1" x14ac:dyDescent="0.35">
      <c r="A143">
        <v>2192</v>
      </c>
      <c r="B143" t="s">
        <v>4550</v>
      </c>
      <c r="C143" t="s">
        <v>72</v>
      </c>
      <c r="D143" t="s">
        <v>34</v>
      </c>
      <c r="E143">
        <v>593</v>
      </c>
      <c r="F143">
        <v>5</v>
      </c>
      <c r="G143">
        <v>5</v>
      </c>
      <c r="H143">
        <v>1</v>
      </c>
      <c r="I143">
        <v>1</v>
      </c>
      <c r="J143">
        <v>0.81374474053295898</v>
      </c>
      <c r="K143">
        <v>0.95424940144227299</v>
      </c>
      <c r="L143">
        <v>0.87841403220130398</v>
      </c>
      <c r="M143">
        <v>0.65240641711229996</v>
      </c>
      <c r="N143">
        <v>1</v>
      </c>
      <c r="O143">
        <v>0.72994652406417104</v>
      </c>
      <c r="P143" t="s">
        <v>4551</v>
      </c>
      <c r="Q143" t="s">
        <v>4552</v>
      </c>
      <c r="R143" t="s">
        <v>235</v>
      </c>
      <c r="S143" t="s">
        <v>236</v>
      </c>
      <c r="T143" t="s">
        <v>4553</v>
      </c>
      <c r="U143" t="s">
        <v>4554</v>
      </c>
      <c r="V143" t="s">
        <v>4555</v>
      </c>
      <c r="W143" t="s">
        <v>4556</v>
      </c>
      <c r="X143" t="s">
        <v>4555</v>
      </c>
      <c r="Y143" t="s">
        <v>2431</v>
      </c>
      <c r="Z143" t="s">
        <v>4557</v>
      </c>
      <c r="AA143" t="s">
        <v>4558</v>
      </c>
      <c r="AB143" t="s">
        <v>4557</v>
      </c>
      <c r="AC143" t="s">
        <v>1800</v>
      </c>
      <c r="AD143" t="s">
        <v>2870</v>
      </c>
      <c r="AE143" t="s">
        <v>4559</v>
      </c>
      <c r="AF143" t="s">
        <v>4562</v>
      </c>
    </row>
    <row r="144" spans="1:32" hidden="1" x14ac:dyDescent="0.35">
      <c r="A144">
        <v>2193</v>
      </c>
      <c r="B144" t="s">
        <v>4550</v>
      </c>
      <c r="C144" t="s">
        <v>72</v>
      </c>
      <c r="D144" t="s">
        <v>45</v>
      </c>
      <c r="E144">
        <v>1860</v>
      </c>
      <c r="F144">
        <v>5</v>
      </c>
      <c r="G144">
        <v>5</v>
      </c>
      <c r="H144">
        <v>1</v>
      </c>
      <c r="I144">
        <v>1</v>
      </c>
      <c r="J144">
        <v>0.81374474053295898</v>
      </c>
      <c r="K144">
        <v>0.95424940144227299</v>
      </c>
      <c r="L144">
        <v>0.87841403220130398</v>
      </c>
      <c r="M144">
        <v>0.65240641711229996</v>
      </c>
      <c r="N144">
        <v>1</v>
      </c>
      <c r="O144">
        <v>0.72994652406417104</v>
      </c>
      <c r="P144" t="s">
        <v>4551</v>
      </c>
      <c r="Q144" t="s">
        <v>4552</v>
      </c>
      <c r="R144" t="s">
        <v>235</v>
      </c>
      <c r="S144" t="s">
        <v>236</v>
      </c>
      <c r="T144" t="s">
        <v>4553</v>
      </c>
      <c r="U144" t="s">
        <v>4554</v>
      </c>
      <c r="V144" t="s">
        <v>4555</v>
      </c>
      <c r="W144" t="s">
        <v>4556</v>
      </c>
      <c r="X144" t="s">
        <v>4555</v>
      </c>
      <c r="Y144" t="s">
        <v>2431</v>
      </c>
      <c r="Z144" t="s">
        <v>4557</v>
      </c>
      <c r="AA144" t="s">
        <v>4558</v>
      </c>
      <c r="AB144" t="s">
        <v>4557</v>
      </c>
      <c r="AC144" t="s">
        <v>1800</v>
      </c>
      <c r="AD144" t="s">
        <v>2870</v>
      </c>
      <c r="AE144" t="s">
        <v>4559</v>
      </c>
      <c r="AF144" t="s">
        <v>4563</v>
      </c>
    </row>
    <row r="145" spans="1:32" hidden="1" x14ac:dyDescent="0.35">
      <c r="A145">
        <v>4129</v>
      </c>
      <c r="B145" t="s">
        <v>8542</v>
      </c>
      <c r="C145" t="s">
        <v>72</v>
      </c>
      <c r="D145" t="s">
        <v>58</v>
      </c>
      <c r="E145">
        <v>1508</v>
      </c>
      <c r="F145">
        <v>5</v>
      </c>
      <c r="G145">
        <v>5</v>
      </c>
      <c r="H145">
        <v>1</v>
      </c>
      <c r="I145">
        <v>1</v>
      </c>
      <c r="J145">
        <v>0.76368245189537998</v>
      </c>
      <c r="K145">
        <v>0.90060765725054304</v>
      </c>
      <c r="L145">
        <v>0.82651246931678402</v>
      </c>
      <c r="M145">
        <v>0.50464396284829705</v>
      </c>
      <c r="N145">
        <v>0.99690402476780204</v>
      </c>
      <c r="O145">
        <v>0.662229102167183</v>
      </c>
      <c r="P145" t="s">
        <v>1363</v>
      </c>
      <c r="Q145" t="s">
        <v>1364</v>
      </c>
      <c r="R145" t="s">
        <v>342</v>
      </c>
      <c r="S145" t="s">
        <v>343</v>
      </c>
      <c r="T145" t="s">
        <v>1365</v>
      </c>
      <c r="U145" t="s">
        <v>1366</v>
      </c>
      <c r="V145" t="s">
        <v>1367</v>
      </c>
      <c r="W145" t="s">
        <v>1368</v>
      </c>
      <c r="AD145" t="s">
        <v>147</v>
      </c>
      <c r="AE145" t="s">
        <v>1369</v>
      </c>
      <c r="AF145" t="s">
        <v>8543</v>
      </c>
    </row>
    <row r="146" spans="1:32" hidden="1" x14ac:dyDescent="0.35">
      <c r="A146">
        <v>2390</v>
      </c>
      <c r="B146" t="s">
        <v>4961</v>
      </c>
      <c r="C146" t="s">
        <v>72</v>
      </c>
      <c r="D146" t="s">
        <v>60</v>
      </c>
      <c r="E146">
        <v>1768</v>
      </c>
      <c r="F146">
        <v>5</v>
      </c>
      <c r="G146">
        <v>5</v>
      </c>
      <c r="H146">
        <v>1</v>
      </c>
      <c r="I146">
        <v>1</v>
      </c>
      <c r="J146">
        <v>0.89724849527085104</v>
      </c>
      <c r="K146">
        <v>0.97961359093937705</v>
      </c>
      <c r="L146">
        <v>0.93662376886948195</v>
      </c>
      <c r="M146">
        <v>0.80842105263157904</v>
      </c>
      <c r="N146">
        <v>1</v>
      </c>
      <c r="O146">
        <v>0.85978947368420999</v>
      </c>
      <c r="P146" t="s">
        <v>4962</v>
      </c>
      <c r="Q146" t="s">
        <v>4963</v>
      </c>
      <c r="R146" t="s">
        <v>235</v>
      </c>
      <c r="S146" t="s">
        <v>236</v>
      </c>
      <c r="T146" t="s">
        <v>4964</v>
      </c>
      <c r="U146" t="s">
        <v>4965</v>
      </c>
      <c r="V146" t="s">
        <v>4966</v>
      </c>
      <c r="W146" t="s">
        <v>4967</v>
      </c>
      <c r="X146" t="s">
        <v>4966</v>
      </c>
      <c r="Y146" t="s">
        <v>241</v>
      </c>
      <c r="Z146" t="s">
        <v>2139</v>
      </c>
      <c r="AA146" t="s">
        <v>2140</v>
      </c>
      <c r="AB146" t="s">
        <v>2139</v>
      </c>
      <c r="AC146" t="s">
        <v>244</v>
      </c>
      <c r="AD146" t="s">
        <v>245</v>
      </c>
      <c r="AE146" t="s">
        <v>4968</v>
      </c>
      <c r="AF146" t="s">
        <v>4970</v>
      </c>
    </row>
    <row r="147" spans="1:32" hidden="1" x14ac:dyDescent="0.35">
      <c r="A147">
        <v>2391</v>
      </c>
      <c r="B147" t="s">
        <v>4961</v>
      </c>
      <c r="C147" t="s">
        <v>72</v>
      </c>
      <c r="D147" t="s">
        <v>62</v>
      </c>
      <c r="E147">
        <v>1804</v>
      </c>
      <c r="F147">
        <v>5</v>
      </c>
      <c r="G147">
        <v>5</v>
      </c>
      <c r="H147">
        <v>1</v>
      </c>
      <c r="I147">
        <v>1</v>
      </c>
      <c r="J147">
        <v>0.89724849527085104</v>
      </c>
      <c r="K147">
        <v>0.97961359093937705</v>
      </c>
      <c r="L147">
        <v>0.93662376886948195</v>
      </c>
      <c r="M147">
        <v>0.80842105263157904</v>
      </c>
      <c r="N147">
        <v>1</v>
      </c>
      <c r="O147">
        <v>0.85978947368420999</v>
      </c>
      <c r="P147" t="s">
        <v>4962</v>
      </c>
      <c r="Q147" t="s">
        <v>4963</v>
      </c>
      <c r="R147" t="s">
        <v>235</v>
      </c>
      <c r="S147" t="s">
        <v>236</v>
      </c>
      <c r="T147" t="s">
        <v>4964</v>
      </c>
      <c r="U147" t="s">
        <v>4965</v>
      </c>
      <c r="V147" t="s">
        <v>4966</v>
      </c>
      <c r="W147" t="s">
        <v>4967</v>
      </c>
      <c r="X147" t="s">
        <v>4966</v>
      </c>
      <c r="Y147" t="s">
        <v>241</v>
      </c>
      <c r="Z147" t="s">
        <v>2139</v>
      </c>
      <c r="AA147" t="s">
        <v>2140</v>
      </c>
      <c r="AB147" t="s">
        <v>2139</v>
      </c>
      <c r="AC147" t="s">
        <v>244</v>
      </c>
      <c r="AD147" t="s">
        <v>245</v>
      </c>
      <c r="AE147" t="s">
        <v>4968</v>
      </c>
      <c r="AF147" t="s">
        <v>4970</v>
      </c>
    </row>
    <row r="148" spans="1:32" hidden="1" x14ac:dyDescent="0.35">
      <c r="A148">
        <v>2392</v>
      </c>
      <c r="B148" t="s">
        <v>4961</v>
      </c>
      <c r="C148" t="s">
        <v>72</v>
      </c>
      <c r="D148" t="s">
        <v>34</v>
      </c>
      <c r="E148">
        <v>2138</v>
      </c>
      <c r="F148">
        <v>5</v>
      </c>
      <c r="G148">
        <v>5</v>
      </c>
      <c r="H148">
        <v>1</v>
      </c>
      <c r="I148">
        <v>1</v>
      </c>
      <c r="J148">
        <v>0.89724849527085104</v>
      </c>
      <c r="K148">
        <v>0.97961359093937705</v>
      </c>
      <c r="L148">
        <v>0.93662376886948195</v>
      </c>
      <c r="M148">
        <v>0.80842105263157904</v>
      </c>
      <c r="N148">
        <v>1</v>
      </c>
      <c r="O148">
        <v>0.85978947368420999</v>
      </c>
      <c r="P148" t="s">
        <v>4962</v>
      </c>
      <c r="Q148" t="s">
        <v>4963</v>
      </c>
      <c r="R148" t="s">
        <v>235</v>
      </c>
      <c r="S148" t="s">
        <v>236</v>
      </c>
      <c r="T148" t="s">
        <v>4964</v>
      </c>
      <c r="U148" t="s">
        <v>4965</v>
      </c>
      <c r="V148" t="s">
        <v>4966</v>
      </c>
      <c r="W148" t="s">
        <v>4967</v>
      </c>
      <c r="X148" t="s">
        <v>4966</v>
      </c>
      <c r="Y148" t="s">
        <v>241</v>
      </c>
      <c r="Z148" t="s">
        <v>2139</v>
      </c>
      <c r="AA148" t="s">
        <v>2140</v>
      </c>
      <c r="AB148" t="s">
        <v>2139</v>
      </c>
      <c r="AC148" t="s">
        <v>244</v>
      </c>
      <c r="AD148" t="s">
        <v>245</v>
      </c>
      <c r="AE148" t="s">
        <v>4968</v>
      </c>
      <c r="AF148" t="s">
        <v>4971</v>
      </c>
    </row>
    <row r="149" spans="1:32" hidden="1" x14ac:dyDescent="0.35">
      <c r="A149">
        <v>2393</v>
      </c>
      <c r="B149" t="s">
        <v>4961</v>
      </c>
      <c r="C149" t="s">
        <v>72</v>
      </c>
      <c r="D149" t="s">
        <v>45</v>
      </c>
      <c r="E149">
        <v>735</v>
      </c>
      <c r="F149">
        <v>5</v>
      </c>
      <c r="G149">
        <v>5</v>
      </c>
      <c r="H149">
        <v>1</v>
      </c>
      <c r="I149">
        <v>1</v>
      </c>
      <c r="J149">
        <v>0.89724849527085104</v>
      </c>
      <c r="K149">
        <v>0.97961359093937705</v>
      </c>
      <c r="L149">
        <v>0.93662376886948195</v>
      </c>
      <c r="M149">
        <v>0.80842105263157904</v>
      </c>
      <c r="N149">
        <v>1</v>
      </c>
      <c r="O149">
        <v>0.85978947368420999</v>
      </c>
      <c r="P149" t="s">
        <v>4962</v>
      </c>
      <c r="Q149" t="s">
        <v>4963</v>
      </c>
      <c r="R149" t="s">
        <v>235</v>
      </c>
      <c r="S149" t="s">
        <v>236</v>
      </c>
      <c r="T149" t="s">
        <v>4964</v>
      </c>
      <c r="U149" t="s">
        <v>4965</v>
      </c>
      <c r="V149" t="s">
        <v>4966</v>
      </c>
      <c r="W149" t="s">
        <v>4967</v>
      </c>
      <c r="X149" t="s">
        <v>4966</v>
      </c>
      <c r="Y149" t="s">
        <v>241</v>
      </c>
      <c r="Z149" t="s">
        <v>2139</v>
      </c>
      <c r="AA149" t="s">
        <v>2140</v>
      </c>
      <c r="AB149" t="s">
        <v>2139</v>
      </c>
      <c r="AC149" t="s">
        <v>244</v>
      </c>
      <c r="AD149" t="s">
        <v>245</v>
      </c>
      <c r="AE149" t="s">
        <v>4968</v>
      </c>
      <c r="AF149" t="s">
        <v>4971</v>
      </c>
    </row>
    <row r="150" spans="1:32" hidden="1" x14ac:dyDescent="0.35">
      <c r="A150">
        <v>11338</v>
      </c>
      <c r="B150" t="s">
        <v>23089</v>
      </c>
      <c r="C150" t="s">
        <v>33</v>
      </c>
      <c r="D150" t="s">
        <v>58</v>
      </c>
      <c r="E150">
        <v>872</v>
      </c>
      <c r="F150">
        <v>1</v>
      </c>
      <c r="G150">
        <v>1</v>
      </c>
      <c r="H150">
        <v>1</v>
      </c>
      <c r="I150">
        <v>0</v>
      </c>
      <c r="J150">
        <v>1</v>
      </c>
      <c r="K150">
        <v>1</v>
      </c>
      <c r="L150">
        <v>1</v>
      </c>
      <c r="M150">
        <v>0</v>
      </c>
      <c r="N150">
        <v>0</v>
      </c>
      <c r="O150">
        <v>0</v>
      </c>
      <c r="P150" t="s">
        <v>1363</v>
      </c>
      <c r="Q150" t="s">
        <v>1364</v>
      </c>
      <c r="R150" t="s">
        <v>342</v>
      </c>
      <c r="S150" t="s">
        <v>343</v>
      </c>
      <c r="T150" t="s">
        <v>1365</v>
      </c>
      <c r="U150" t="s">
        <v>1366</v>
      </c>
      <c r="V150" t="s">
        <v>1367</v>
      </c>
      <c r="W150" t="s">
        <v>1368</v>
      </c>
      <c r="AD150" t="s">
        <v>147</v>
      </c>
      <c r="AE150" t="s">
        <v>1369</v>
      </c>
      <c r="AF150" t="s">
        <v>23090</v>
      </c>
    </row>
    <row r="151" spans="1:32" hidden="1" x14ac:dyDescent="0.35">
      <c r="A151">
        <v>2445</v>
      </c>
      <c r="B151" t="s">
        <v>5062</v>
      </c>
      <c r="C151" t="s">
        <v>72</v>
      </c>
      <c r="D151" t="s">
        <v>60</v>
      </c>
      <c r="E151">
        <v>180</v>
      </c>
      <c r="F151">
        <v>5</v>
      </c>
      <c r="G151">
        <v>5</v>
      </c>
      <c r="H151">
        <v>1</v>
      </c>
      <c r="I151">
        <v>1</v>
      </c>
      <c r="J151">
        <v>0.87251189435867604</v>
      </c>
      <c r="K151">
        <v>0.98660025174732502</v>
      </c>
      <c r="L151">
        <v>0.92605543611754104</v>
      </c>
      <c r="M151">
        <v>0.77298850574712596</v>
      </c>
      <c r="N151">
        <v>1</v>
      </c>
      <c r="O151">
        <v>0.823850574712644</v>
      </c>
      <c r="P151" t="s">
        <v>5063</v>
      </c>
      <c r="Q151" t="s">
        <v>5064</v>
      </c>
      <c r="R151" t="s">
        <v>235</v>
      </c>
      <c r="S151" t="s">
        <v>236</v>
      </c>
      <c r="T151" t="s">
        <v>5065</v>
      </c>
      <c r="U151" t="s">
        <v>5066</v>
      </c>
      <c r="V151" t="s">
        <v>5067</v>
      </c>
      <c r="W151" t="s">
        <v>5068</v>
      </c>
      <c r="X151" t="s">
        <v>5067</v>
      </c>
      <c r="Y151" t="s">
        <v>1136</v>
      </c>
      <c r="Z151" t="s">
        <v>1137</v>
      </c>
      <c r="AA151" t="s">
        <v>1138</v>
      </c>
      <c r="AB151" t="s">
        <v>1137</v>
      </c>
      <c r="AC151" t="s">
        <v>1139</v>
      </c>
      <c r="AD151" t="s">
        <v>1140</v>
      </c>
      <c r="AE151" t="s">
        <v>5069</v>
      </c>
      <c r="AF151" t="s">
        <v>5071</v>
      </c>
    </row>
    <row r="152" spans="1:32" hidden="1" x14ac:dyDescent="0.35">
      <c r="A152">
        <v>2446</v>
      </c>
      <c r="B152" t="s">
        <v>5062</v>
      </c>
      <c r="C152" t="s">
        <v>72</v>
      </c>
      <c r="D152" t="s">
        <v>62</v>
      </c>
      <c r="E152">
        <v>256</v>
      </c>
      <c r="F152">
        <v>5</v>
      </c>
      <c r="G152">
        <v>5</v>
      </c>
      <c r="H152">
        <v>1</v>
      </c>
      <c r="I152">
        <v>1</v>
      </c>
      <c r="J152">
        <v>0.87251189435867604</v>
      </c>
      <c r="K152">
        <v>0.98660025174732502</v>
      </c>
      <c r="L152">
        <v>0.92605543611754104</v>
      </c>
      <c r="M152">
        <v>0.77298850574712596</v>
      </c>
      <c r="N152">
        <v>1</v>
      </c>
      <c r="O152">
        <v>0.823850574712644</v>
      </c>
      <c r="P152" t="s">
        <v>5063</v>
      </c>
      <c r="Q152" t="s">
        <v>5064</v>
      </c>
      <c r="R152" t="s">
        <v>235</v>
      </c>
      <c r="S152" t="s">
        <v>236</v>
      </c>
      <c r="T152" t="s">
        <v>5065</v>
      </c>
      <c r="U152" t="s">
        <v>5066</v>
      </c>
      <c r="V152" t="s">
        <v>5067</v>
      </c>
      <c r="W152" t="s">
        <v>5068</v>
      </c>
      <c r="X152" t="s">
        <v>5067</v>
      </c>
      <c r="Y152" t="s">
        <v>1136</v>
      </c>
      <c r="Z152" t="s">
        <v>1137</v>
      </c>
      <c r="AA152" t="s">
        <v>1138</v>
      </c>
      <c r="AB152" t="s">
        <v>1137</v>
      </c>
      <c r="AC152" t="s">
        <v>1139</v>
      </c>
      <c r="AD152" t="s">
        <v>1140</v>
      </c>
      <c r="AE152" t="s">
        <v>5069</v>
      </c>
      <c r="AF152" t="s">
        <v>5072</v>
      </c>
    </row>
    <row r="153" spans="1:32" hidden="1" x14ac:dyDescent="0.35">
      <c r="A153">
        <v>2447</v>
      </c>
      <c r="B153" t="s">
        <v>5062</v>
      </c>
      <c r="C153" t="s">
        <v>72</v>
      </c>
      <c r="D153" t="s">
        <v>34</v>
      </c>
      <c r="E153">
        <v>911</v>
      </c>
      <c r="F153">
        <v>5</v>
      </c>
      <c r="G153">
        <v>5</v>
      </c>
      <c r="H153">
        <v>1</v>
      </c>
      <c r="I153">
        <v>1</v>
      </c>
      <c r="J153">
        <v>0.87251189435867604</v>
      </c>
      <c r="K153">
        <v>0.98660025174732502</v>
      </c>
      <c r="L153">
        <v>0.92605543611754104</v>
      </c>
      <c r="M153">
        <v>0.77298850574712596</v>
      </c>
      <c r="N153">
        <v>1</v>
      </c>
      <c r="O153">
        <v>0.823850574712644</v>
      </c>
      <c r="P153" t="s">
        <v>5063</v>
      </c>
      <c r="Q153" t="s">
        <v>5064</v>
      </c>
      <c r="R153" t="s">
        <v>235</v>
      </c>
      <c r="S153" t="s">
        <v>236</v>
      </c>
      <c r="T153" t="s">
        <v>5065</v>
      </c>
      <c r="U153" t="s">
        <v>5066</v>
      </c>
      <c r="V153" t="s">
        <v>5067</v>
      </c>
      <c r="W153" t="s">
        <v>5068</v>
      </c>
      <c r="X153" t="s">
        <v>5067</v>
      </c>
      <c r="Y153" t="s">
        <v>1136</v>
      </c>
      <c r="Z153" t="s">
        <v>1137</v>
      </c>
      <c r="AA153" t="s">
        <v>1138</v>
      </c>
      <c r="AB153" t="s">
        <v>1137</v>
      </c>
      <c r="AC153" t="s">
        <v>1139</v>
      </c>
      <c r="AD153" t="s">
        <v>1140</v>
      </c>
      <c r="AE153" t="s">
        <v>5069</v>
      </c>
      <c r="AF153" t="s">
        <v>5073</v>
      </c>
    </row>
    <row r="154" spans="1:32" hidden="1" x14ac:dyDescent="0.35">
      <c r="A154">
        <v>2448</v>
      </c>
      <c r="B154" t="s">
        <v>5062</v>
      </c>
      <c r="C154" t="s">
        <v>72</v>
      </c>
      <c r="D154" t="s">
        <v>45</v>
      </c>
      <c r="E154">
        <v>2167</v>
      </c>
      <c r="F154">
        <v>5</v>
      </c>
      <c r="G154">
        <v>5</v>
      </c>
      <c r="H154">
        <v>1</v>
      </c>
      <c r="I154">
        <v>1</v>
      </c>
      <c r="J154">
        <v>0.87251189435867604</v>
      </c>
      <c r="K154">
        <v>0.98660025174732502</v>
      </c>
      <c r="L154">
        <v>0.92605543611754104</v>
      </c>
      <c r="M154">
        <v>0.77298850574712596</v>
      </c>
      <c r="N154">
        <v>1</v>
      </c>
      <c r="O154">
        <v>0.823850574712644</v>
      </c>
      <c r="P154" t="s">
        <v>5063</v>
      </c>
      <c r="Q154" t="s">
        <v>5064</v>
      </c>
      <c r="R154" t="s">
        <v>235</v>
      </c>
      <c r="S154" t="s">
        <v>236</v>
      </c>
      <c r="T154" t="s">
        <v>5065</v>
      </c>
      <c r="U154" t="s">
        <v>5066</v>
      </c>
      <c r="V154" t="s">
        <v>5067</v>
      </c>
      <c r="W154" t="s">
        <v>5068</v>
      </c>
      <c r="X154" t="s">
        <v>5067</v>
      </c>
      <c r="Y154" t="s">
        <v>1136</v>
      </c>
      <c r="Z154" t="s">
        <v>1137</v>
      </c>
      <c r="AA154" t="s">
        <v>1138</v>
      </c>
      <c r="AB154" t="s">
        <v>1137</v>
      </c>
      <c r="AC154" t="s">
        <v>1139</v>
      </c>
      <c r="AD154" t="s">
        <v>1140</v>
      </c>
      <c r="AE154" t="s">
        <v>5069</v>
      </c>
      <c r="AF154" t="s">
        <v>5073</v>
      </c>
    </row>
    <row r="155" spans="1:32" hidden="1" x14ac:dyDescent="0.35">
      <c r="A155">
        <v>11322</v>
      </c>
      <c r="B155" t="s">
        <v>23057</v>
      </c>
      <c r="C155" t="s">
        <v>33</v>
      </c>
      <c r="D155" t="s">
        <v>58</v>
      </c>
      <c r="E155">
        <v>46</v>
      </c>
      <c r="F155">
        <v>1</v>
      </c>
      <c r="G155">
        <v>1</v>
      </c>
      <c r="H155">
        <v>1</v>
      </c>
      <c r="I155">
        <v>0</v>
      </c>
      <c r="J155">
        <v>1</v>
      </c>
      <c r="K155">
        <v>1</v>
      </c>
      <c r="L155">
        <v>1</v>
      </c>
      <c r="M155">
        <v>0</v>
      </c>
      <c r="N155">
        <v>0</v>
      </c>
      <c r="O155">
        <v>0</v>
      </c>
      <c r="P155" t="s">
        <v>9425</v>
      </c>
      <c r="Q155" t="s">
        <v>9426</v>
      </c>
      <c r="R155" t="s">
        <v>371</v>
      </c>
      <c r="S155" t="s">
        <v>372</v>
      </c>
      <c r="T155" t="s">
        <v>9427</v>
      </c>
      <c r="U155" t="s">
        <v>9428</v>
      </c>
      <c r="V155" t="s">
        <v>17096</v>
      </c>
      <c r="W155" t="s">
        <v>17097</v>
      </c>
      <c r="AD155" t="s">
        <v>1437</v>
      </c>
      <c r="AE155" t="s">
        <v>9429</v>
      </c>
      <c r="AF155" t="s">
        <v>23058</v>
      </c>
    </row>
    <row r="156" spans="1:32" hidden="1" x14ac:dyDescent="0.35">
      <c r="A156">
        <v>2545</v>
      </c>
      <c r="B156" t="s">
        <v>5257</v>
      </c>
      <c r="C156" t="s">
        <v>72</v>
      </c>
      <c r="D156" t="s">
        <v>60</v>
      </c>
      <c r="E156">
        <v>1277</v>
      </c>
      <c r="F156">
        <v>5</v>
      </c>
      <c r="G156">
        <v>5</v>
      </c>
      <c r="H156">
        <v>1</v>
      </c>
      <c r="I156">
        <v>1</v>
      </c>
      <c r="J156">
        <v>0.82325581395348801</v>
      </c>
      <c r="K156">
        <v>0.95630461922596799</v>
      </c>
      <c r="L156">
        <v>0.88480652076732602</v>
      </c>
      <c r="M156">
        <v>0.61111111111111105</v>
      </c>
      <c r="N156">
        <v>1</v>
      </c>
      <c r="O156">
        <v>0.71111111111111103</v>
      </c>
      <c r="P156" t="s">
        <v>5258</v>
      </c>
      <c r="Q156" t="s">
        <v>5259</v>
      </c>
      <c r="R156" t="s">
        <v>235</v>
      </c>
      <c r="S156" t="s">
        <v>236</v>
      </c>
      <c r="T156" t="s">
        <v>5260</v>
      </c>
      <c r="U156" t="s">
        <v>5261</v>
      </c>
      <c r="V156" t="s">
        <v>5262</v>
      </c>
      <c r="W156" t="s">
        <v>5263</v>
      </c>
      <c r="X156" t="s">
        <v>5262</v>
      </c>
      <c r="Y156" t="s">
        <v>857</v>
      </c>
      <c r="Z156" t="s">
        <v>858</v>
      </c>
      <c r="AA156" t="s">
        <v>859</v>
      </c>
      <c r="AB156" t="s">
        <v>858</v>
      </c>
      <c r="AC156" t="s">
        <v>860</v>
      </c>
      <c r="AD156" t="s">
        <v>219</v>
      </c>
      <c r="AE156" t="s">
        <v>5264</v>
      </c>
      <c r="AF156" t="s">
        <v>5265</v>
      </c>
    </row>
    <row r="157" spans="1:32" hidden="1" x14ac:dyDescent="0.35">
      <c r="A157">
        <v>2546</v>
      </c>
      <c r="B157" t="s">
        <v>5257</v>
      </c>
      <c r="C157" t="s">
        <v>72</v>
      </c>
      <c r="D157" t="s">
        <v>62</v>
      </c>
      <c r="E157">
        <v>1313</v>
      </c>
      <c r="F157">
        <v>5</v>
      </c>
      <c r="G157">
        <v>5</v>
      </c>
      <c r="H157">
        <v>1</v>
      </c>
      <c r="I157">
        <v>1</v>
      </c>
      <c r="J157">
        <v>0.82325581395348801</v>
      </c>
      <c r="K157">
        <v>0.95630461922596799</v>
      </c>
      <c r="L157">
        <v>0.88480652076732602</v>
      </c>
      <c r="M157">
        <v>0.61111111111111105</v>
      </c>
      <c r="N157">
        <v>1</v>
      </c>
      <c r="O157">
        <v>0.71111111111111103</v>
      </c>
      <c r="P157" t="s">
        <v>5258</v>
      </c>
      <c r="Q157" t="s">
        <v>5259</v>
      </c>
      <c r="R157" t="s">
        <v>235</v>
      </c>
      <c r="S157" t="s">
        <v>236</v>
      </c>
      <c r="T157" t="s">
        <v>5260</v>
      </c>
      <c r="U157" t="s">
        <v>5261</v>
      </c>
      <c r="V157" t="s">
        <v>5262</v>
      </c>
      <c r="W157" t="s">
        <v>5263</v>
      </c>
      <c r="X157" t="s">
        <v>5262</v>
      </c>
      <c r="Y157" t="s">
        <v>857</v>
      </c>
      <c r="Z157" t="s">
        <v>858</v>
      </c>
      <c r="AA157" t="s">
        <v>859</v>
      </c>
      <c r="AB157" t="s">
        <v>858</v>
      </c>
      <c r="AC157" t="s">
        <v>860</v>
      </c>
      <c r="AD157" t="s">
        <v>219</v>
      </c>
      <c r="AE157" t="s">
        <v>5264</v>
      </c>
      <c r="AF157" t="s">
        <v>5265</v>
      </c>
    </row>
    <row r="158" spans="1:32" hidden="1" x14ac:dyDescent="0.35">
      <c r="A158">
        <v>2547</v>
      </c>
      <c r="B158" t="s">
        <v>5257</v>
      </c>
      <c r="C158" t="s">
        <v>72</v>
      </c>
      <c r="D158" t="s">
        <v>34</v>
      </c>
      <c r="E158">
        <v>1724</v>
      </c>
      <c r="F158">
        <v>5</v>
      </c>
      <c r="G158">
        <v>5</v>
      </c>
      <c r="H158">
        <v>1</v>
      </c>
      <c r="I158">
        <v>1</v>
      </c>
      <c r="J158">
        <v>0.82325581395348801</v>
      </c>
      <c r="K158">
        <v>0.95630461922596799</v>
      </c>
      <c r="L158">
        <v>0.88480652076732602</v>
      </c>
      <c r="M158">
        <v>0.61111111111111105</v>
      </c>
      <c r="N158">
        <v>1</v>
      </c>
      <c r="O158">
        <v>0.71111111111111103</v>
      </c>
      <c r="P158" t="s">
        <v>5258</v>
      </c>
      <c r="Q158" t="s">
        <v>5259</v>
      </c>
      <c r="R158" t="s">
        <v>235</v>
      </c>
      <c r="S158" t="s">
        <v>236</v>
      </c>
      <c r="V158" t="s">
        <v>5262</v>
      </c>
      <c r="W158" t="s">
        <v>5263</v>
      </c>
      <c r="X158" t="s">
        <v>5262</v>
      </c>
      <c r="Y158" t="s">
        <v>857</v>
      </c>
      <c r="AF158" t="s">
        <v>5266</v>
      </c>
    </row>
    <row r="159" spans="1:32" hidden="1" x14ac:dyDescent="0.35">
      <c r="A159">
        <v>2548</v>
      </c>
      <c r="B159" t="s">
        <v>5257</v>
      </c>
      <c r="C159" t="s">
        <v>72</v>
      </c>
      <c r="D159" t="s">
        <v>45</v>
      </c>
      <c r="E159">
        <v>1150</v>
      </c>
      <c r="F159">
        <v>5</v>
      </c>
      <c r="G159">
        <v>5</v>
      </c>
      <c r="H159">
        <v>1</v>
      </c>
      <c r="I159">
        <v>1</v>
      </c>
      <c r="J159">
        <v>0.82325581395348801</v>
      </c>
      <c r="K159">
        <v>0.95630461922596799</v>
      </c>
      <c r="L159">
        <v>0.88480652076732602</v>
      </c>
      <c r="M159">
        <v>0.61111111111111105</v>
      </c>
      <c r="N159">
        <v>1</v>
      </c>
      <c r="O159">
        <v>0.71111111111111103</v>
      </c>
      <c r="P159" t="s">
        <v>5258</v>
      </c>
      <c r="Q159" t="s">
        <v>5259</v>
      </c>
      <c r="R159" t="s">
        <v>235</v>
      </c>
      <c r="S159" t="s">
        <v>236</v>
      </c>
      <c r="V159" t="s">
        <v>5262</v>
      </c>
      <c r="W159" t="s">
        <v>5263</v>
      </c>
      <c r="X159" t="s">
        <v>5262</v>
      </c>
      <c r="Y159" t="s">
        <v>857</v>
      </c>
      <c r="AF159" t="s">
        <v>5266</v>
      </c>
    </row>
    <row r="160" spans="1:32" hidden="1" x14ac:dyDescent="0.35">
      <c r="A160">
        <v>11125</v>
      </c>
      <c r="B160" t="s">
        <v>22546</v>
      </c>
      <c r="C160" t="s">
        <v>33</v>
      </c>
      <c r="D160" t="s">
        <v>58</v>
      </c>
      <c r="E160">
        <v>629</v>
      </c>
      <c r="F160">
        <v>1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1</v>
      </c>
      <c r="M160">
        <v>0</v>
      </c>
      <c r="N160">
        <v>0</v>
      </c>
      <c r="O160">
        <v>0</v>
      </c>
      <c r="P160" t="s">
        <v>22547</v>
      </c>
      <c r="Q160" t="s">
        <v>22548</v>
      </c>
      <c r="R160" t="s">
        <v>516</v>
      </c>
      <c r="S160" t="s">
        <v>517</v>
      </c>
      <c r="T160" t="s">
        <v>22549</v>
      </c>
      <c r="U160" t="s">
        <v>22550</v>
      </c>
      <c r="V160" t="s">
        <v>22551</v>
      </c>
      <c r="W160" t="s">
        <v>22552</v>
      </c>
      <c r="AD160" t="s">
        <v>410</v>
      </c>
      <c r="AE160" t="s">
        <v>22553</v>
      </c>
      <c r="AF160" t="s">
        <v>22554</v>
      </c>
    </row>
    <row r="161" spans="1:32" hidden="1" x14ac:dyDescent="0.35">
      <c r="A161">
        <v>2550</v>
      </c>
      <c r="B161" t="s">
        <v>5267</v>
      </c>
      <c r="C161" t="s">
        <v>72</v>
      </c>
      <c r="D161" t="s">
        <v>60</v>
      </c>
      <c r="E161">
        <v>977</v>
      </c>
      <c r="F161">
        <v>5</v>
      </c>
      <c r="G161">
        <v>5</v>
      </c>
      <c r="H161">
        <v>1</v>
      </c>
      <c r="I161">
        <v>1</v>
      </c>
      <c r="J161">
        <v>0.77355152587350695</v>
      </c>
      <c r="K161">
        <v>0.94578838409867305</v>
      </c>
      <c r="L161">
        <v>0.85104294203791897</v>
      </c>
      <c r="M161">
        <v>0.60334029227557395</v>
      </c>
      <c r="N161">
        <v>1</v>
      </c>
      <c r="O161">
        <v>0.70354906054279798</v>
      </c>
      <c r="P161" t="s">
        <v>5268</v>
      </c>
      <c r="Q161" t="s">
        <v>5269</v>
      </c>
      <c r="R161" t="s">
        <v>235</v>
      </c>
      <c r="S161" t="s">
        <v>236</v>
      </c>
      <c r="T161" t="s">
        <v>5270</v>
      </c>
      <c r="U161" t="s">
        <v>5271</v>
      </c>
      <c r="V161" t="s">
        <v>5272</v>
      </c>
      <c r="W161" t="s">
        <v>5273</v>
      </c>
      <c r="X161" t="s">
        <v>5272</v>
      </c>
      <c r="Y161" t="s">
        <v>1136</v>
      </c>
      <c r="Z161" t="s">
        <v>5274</v>
      </c>
      <c r="AA161" t="s">
        <v>5275</v>
      </c>
      <c r="AB161" t="s">
        <v>5274</v>
      </c>
      <c r="AC161" t="s">
        <v>5276</v>
      </c>
      <c r="AD161" t="s">
        <v>245</v>
      </c>
      <c r="AE161" t="s">
        <v>5277</v>
      </c>
      <c r="AF161" t="s">
        <v>5279</v>
      </c>
    </row>
    <row r="162" spans="1:32" hidden="1" x14ac:dyDescent="0.35">
      <c r="A162">
        <v>2551</v>
      </c>
      <c r="B162" t="s">
        <v>5267</v>
      </c>
      <c r="C162" t="s">
        <v>72</v>
      </c>
      <c r="D162" t="s">
        <v>62</v>
      </c>
      <c r="E162">
        <v>1013</v>
      </c>
      <c r="F162">
        <v>5</v>
      </c>
      <c r="G162">
        <v>5</v>
      </c>
      <c r="H162">
        <v>1</v>
      </c>
      <c r="I162">
        <v>1</v>
      </c>
      <c r="J162">
        <v>0.77355152587350695</v>
      </c>
      <c r="K162">
        <v>0.94578838409867305</v>
      </c>
      <c r="L162">
        <v>0.85104294203791897</v>
      </c>
      <c r="M162">
        <v>0.60334029227557395</v>
      </c>
      <c r="N162">
        <v>1</v>
      </c>
      <c r="O162">
        <v>0.70354906054279798</v>
      </c>
      <c r="P162" t="s">
        <v>5268</v>
      </c>
      <c r="Q162" t="s">
        <v>5269</v>
      </c>
      <c r="R162" t="s">
        <v>235</v>
      </c>
      <c r="S162" t="s">
        <v>236</v>
      </c>
      <c r="T162" t="s">
        <v>5270</v>
      </c>
      <c r="U162" t="s">
        <v>5271</v>
      </c>
      <c r="V162" t="s">
        <v>5272</v>
      </c>
      <c r="W162" t="s">
        <v>5273</v>
      </c>
      <c r="X162" t="s">
        <v>5272</v>
      </c>
      <c r="Y162" t="s">
        <v>1136</v>
      </c>
      <c r="Z162" t="s">
        <v>5274</v>
      </c>
      <c r="AA162" t="s">
        <v>5275</v>
      </c>
      <c r="AB162" t="s">
        <v>5274</v>
      </c>
      <c r="AC162" t="s">
        <v>5276</v>
      </c>
      <c r="AD162" t="s">
        <v>245</v>
      </c>
      <c r="AE162" t="s">
        <v>5277</v>
      </c>
      <c r="AF162" t="s">
        <v>5279</v>
      </c>
    </row>
    <row r="163" spans="1:32" hidden="1" x14ac:dyDescent="0.35">
      <c r="A163">
        <v>2552</v>
      </c>
      <c r="B163" t="s">
        <v>5267</v>
      </c>
      <c r="C163" t="s">
        <v>72</v>
      </c>
      <c r="D163" t="s">
        <v>34</v>
      </c>
      <c r="E163">
        <v>171</v>
      </c>
      <c r="F163">
        <v>5</v>
      </c>
      <c r="G163">
        <v>5</v>
      </c>
      <c r="H163">
        <v>1</v>
      </c>
      <c r="I163">
        <v>1</v>
      </c>
      <c r="J163">
        <v>0.77355152587350695</v>
      </c>
      <c r="K163">
        <v>0.94578838409867305</v>
      </c>
      <c r="L163">
        <v>0.85104294203791897</v>
      </c>
      <c r="M163">
        <v>0.60334029227557395</v>
      </c>
      <c r="N163">
        <v>1</v>
      </c>
      <c r="O163">
        <v>0.70354906054279798</v>
      </c>
      <c r="P163" t="s">
        <v>5268</v>
      </c>
      <c r="Q163" t="s">
        <v>5269</v>
      </c>
      <c r="R163" t="s">
        <v>235</v>
      </c>
      <c r="S163" t="s">
        <v>236</v>
      </c>
      <c r="T163" t="s">
        <v>5270</v>
      </c>
      <c r="U163" t="s">
        <v>5271</v>
      </c>
      <c r="V163" t="s">
        <v>5272</v>
      </c>
      <c r="W163" t="s">
        <v>5273</v>
      </c>
      <c r="X163" t="s">
        <v>5272</v>
      </c>
      <c r="Y163" t="s">
        <v>1136</v>
      </c>
      <c r="Z163" t="s">
        <v>5274</v>
      </c>
      <c r="AA163" t="s">
        <v>5275</v>
      </c>
      <c r="AB163" t="s">
        <v>5274</v>
      </c>
      <c r="AC163" t="s">
        <v>5276</v>
      </c>
      <c r="AD163" t="s">
        <v>245</v>
      </c>
      <c r="AE163" t="s">
        <v>5277</v>
      </c>
      <c r="AF163" t="s">
        <v>5280</v>
      </c>
    </row>
    <row r="164" spans="1:32" hidden="1" x14ac:dyDescent="0.35">
      <c r="A164">
        <v>2553</v>
      </c>
      <c r="B164" t="s">
        <v>5267</v>
      </c>
      <c r="C164" t="s">
        <v>72</v>
      </c>
      <c r="D164" t="s">
        <v>45</v>
      </c>
      <c r="E164">
        <v>1432</v>
      </c>
      <c r="F164">
        <v>5</v>
      </c>
      <c r="G164">
        <v>5</v>
      </c>
      <c r="H164">
        <v>1</v>
      </c>
      <c r="I164">
        <v>1</v>
      </c>
      <c r="J164">
        <v>0.77355152587350695</v>
      </c>
      <c r="K164">
        <v>0.94578838409867305</v>
      </c>
      <c r="L164">
        <v>0.85104294203791897</v>
      </c>
      <c r="M164">
        <v>0.60334029227557395</v>
      </c>
      <c r="N164">
        <v>1</v>
      </c>
      <c r="O164">
        <v>0.70354906054279798</v>
      </c>
      <c r="P164" t="s">
        <v>5268</v>
      </c>
      <c r="Q164" t="s">
        <v>5269</v>
      </c>
      <c r="R164" t="s">
        <v>235</v>
      </c>
      <c r="S164" t="s">
        <v>236</v>
      </c>
      <c r="T164" t="s">
        <v>5270</v>
      </c>
      <c r="U164" t="s">
        <v>5271</v>
      </c>
      <c r="V164" t="s">
        <v>5272</v>
      </c>
      <c r="W164" t="s">
        <v>5273</v>
      </c>
      <c r="X164" t="s">
        <v>5272</v>
      </c>
      <c r="Y164" t="s">
        <v>1136</v>
      </c>
      <c r="Z164" t="s">
        <v>5274</v>
      </c>
      <c r="AA164" t="s">
        <v>5275</v>
      </c>
      <c r="AB164" t="s">
        <v>5274</v>
      </c>
      <c r="AC164" t="s">
        <v>5276</v>
      </c>
      <c r="AD164" t="s">
        <v>245</v>
      </c>
      <c r="AE164" t="s">
        <v>5277</v>
      </c>
      <c r="AF164" t="s">
        <v>5281</v>
      </c>
    </row>
    <row r="165" spans="1:32" hidden="1" x14ac:dyDescent="0.35">
      <c r="A165">
        <v>11502</v>
      </c>
      <c r="B165" t="s">
        <v>23486</v>
      </c>
      <c r="C165" t="s">
        <v>33</v>
      </c>
      <c r="D165" t="s">
        <v>58</v>
      </c>
      <c r="E165">
        <v>637</v>
      </c>
      <c r="F165">
        <v>1</v>
      </c>
      <c r="G165">
        <v>1</v>
      </c>
      <c r="H165">
        <v>1</v>
      </c>
      <c r="I165">
        <v>0</v>
      </c>
      <c r="J165">
        <v>1</v>
      </c>
      <c r="K165">
        <v>1</v>
      </c>
      <c r="L165">
        <v>1</v>
      </c>
      <c r="M165">
        <v>0</v>
      </c>
      <c r="N165">
        <v>0</v>
      </c>
      <c r="O165">
        <v>0</v>
      </c>
      <c r="P165" t="s">
        <v>22547</v>
      </c>
      <c r="Q165" t="s">
        <v>22548</v>
      </c>
      <c r="R165" t="s">
        <v>516</v>
      </c>
      <c r="S165" t="s">
        <v>517</v>
      </c>
      <c r="T165" t="s">
        <v>22549</v>
      </c>
      <c r="U165" t="s">
        <v>22550</v>
      </c>
      <c r="V165" t="s">
        <v>22551</v>
      </c>
      <c r="W165" t="s">
        <v>22552</v>
      </c>
      <c r="AD165" t="s">
        <v>410</v>
      </c>
      <c r="AE165" t="s">
        <v>22553</v>
      </c>
      <c r="AF165" t="s">
        <v>23487</v>
      </c>
    </row>
    <row r="166" spans="1:32" hidden="1" x14ac:dyDescent="0.35">
      <c r="A166">
        <v>2625</v>
      </c>
      <c r="B166" t="s">
        <v>5424</v>
      </c>
      <c r="C166" t="s">
        <v>72</v>
      </c>
      <c r="D166" t="s">
        <v>60</v>
      </c>
      <c r="E166">
        <v>2011</v>
      </c>
      <c r="F166">
        <v>5</v>
      </c>
      <c r="G166">
        <v>5</v>
      </c>
      <c r="H166">
        <v>1</v>
      </c>
      <c r="I166">
        <v>1</v>
      </c>
      <c r="J166">
        <v>0.84979464111089398</v>
      </c>
      <c r="K166">
        <v>0.98902883361072802</v>
      </c>
      <c r="L166">
        <v>0.91414038841742895</v>
      </c>
      <c r="M166">
        <v>0.71760154738878101</v>
      </c>
      <c r="N166">
        <v>1</v>
      </c>
      <c r="O166">
        <v>0.79458413926499005</v>
      </c>
      <c r="P166" t="s">
        <v>5425</v>
      </c>
      <c r="Q166" t="s">
        <v>5426</v>
      </c>
      <c r="R166" t="s">
        <v>235</v>
      </c>
      <c r="S166" t="s">
        <v>236</v>
      </c>
      <c r="T166" t="s">
        <v>5427</v>
      </c>
      <c r="U166" t="s">
        <v>5428</v>
      </c>
      <c r="V166" t="s">
        <v>5429</v>
      </c>
      <c r="W166" t="s">
        <v>5430</v>
      </c>
      <c r="Z166" t="s">
        <v>5431</v>
      </c>
      <c r="AA166" t="s">
        <v>5432</v>
      </c>
      <c r="AB166" t="s">
        <v>5431</v>
      </c>
      <c r="AC166" t="s">
        <v>860</v>
      </c>
      <c r="AD166" t="s">
        <v>219</v>
      </c>
      <c r="AE166" t="s">
        <v>5433</v>
      </c>
      <c r="AF166" t="s">
        <v>5435</v>
      </c>
    </row>
    <row r="167" spans="1:32" hidden="1" x14ac:dyDescent="0.35">
      <c r="A167">
        <v>2626</v>
      </c>
      <c r="B167" t="s">
        <v>5424</v>
      </c>
      <c r="C167" t="s">
        <v>72</v>
      </c>
      <c r="D167" t="s">
        <v>62</v>
      </c>
      <c r="E167">
        <v>2051</v>
      </c>
      <c r="F167">
        <v>5</v>
      </c>
      <c r="G167">
        <v>5</v>
      </c>
      <c r="H167">
        <v>1</v>
      </c>
      <c r="I167">
        <v>1</v>
      </c>
      <c r="J167">
        <v>0.84979464111089398</v>
      </c>
      <c r="K167">
        <v>0.98902883361072802</v>
      </c>
      <c r="L167">
        <v>0.91414038841742895</v>
      </c>
      <c r="M167">
        <v>0.71760154738878101</v>
      </c>
      <c r="N167">
        <v>1</v>
      </c>
      <c r="O167">
        <v>0.79458413926499005</v>
      </c>
      <c r="P167" t="s">
        <v>5425</v>
      </c>
      <c r="Q167" t="s">
        <v>5426</v>
      </c>
      <c r="R167" t="s">
        <v>235</v>
      </c>
      <c r="S167" t="s">
        <v>236</v>
      </c>
      <c r="T167" t="s">
        <v>5427</v>
      </c>
      <c r="U167" t="s">
        <v>5428</v>
      </c>
      <c r="V167" t="s">
        <v>5429</v>
      </c>
      <c r="W167" t="s">
        <v>5430</v>
      </c>
      <c r="Z167" t="s">
        <v>5431</v>
      </c>
      <c r="AA167" t="s">
        <v>5432</v>
      </c>
      <c r="AB167" t="s">
        <v>5431</v>
      </c>
      <c r="AC167" t="s">
        <v>860</v>
      </c>
      <c r="AD167" t="s">
        <v>219</v>
      </c>
      <c r="AE167" t="s">
        <v>5433</v>
      </c>
      <c r="AF167" t="s">
        <v>5435</v>
      </c>
    </row>
    <row r="168" spans="1:32" hidden="1" x14ac:dyDescent="0.35">
      <c r="A168">
        <v>2627</v>
      </c>
      <c r="B168" t="s">
        <v>5424</v>
      </c>
      <c r="C168" t="s">
        <v>72</v>
      </c>
      <c r="D168" t="s">
        <v>34</v>
      </c>
      <c r="E168">
        <v>1914</v>
      </c>
      <c r="F168">
        <v>5</v>
      </c>
      <c r="G168">
        <v>5</v>
      </c>
      <c r="H168">
        <v>1</v>
      </c>
      <c r="I168">
        <v>1</v>
      </c>
      <c r="J168">
        <v>0.84979464111089398</v>
      </c>
      <c r="K168">
        <v>0.98902883361072802</v>
      </c>
      <c r="L168">
        <v>0.91414038841742895</v>
      </c>
      <c r="M168">
        <v>0.71760154738878101</v>
      </c>
      <c r="N168">
        <v>1</v>
      </c>
      <c r="O168">
        <v>0.79458413926499005</v>
      </c>
      <c r="P168" t="s">
        <v>5425</v>
      </c>
      <c r="Q168" t="s">
        <v>5426</v>
      </c>
      <c r="R168" t="s">
        <v>235</v>
      </c>
      <c r="S168" t="s">
        <v>236</v>
      </c>
      <c r="T168" t="s">
        <v>5427</v>
      </c>
      <c r="U168" t="s">
        <v>5428</v>
      </c>
      <c r="V168" t="s">
        <v>5429</v>
      </c>
      <c r="W168" t="s">
        <v>5430</v>
      </c>
      <c r="Z168" t="s">
        <v>5431</v>
      </c>
      <c r="AA168" t="s">
        <v>5432</v>
      </c>
      <c r="AB168" t="s">
        <v>5431</v>
      </c>
      <c r="AC168" t="s">
        <v>860</v>
      </c>
      <c r="AD168" t="s">
        <v>219</v>
      </c>
      <c r="AE168" t="s">
        <v>5433</v>
      </c>
      <c r="AF168" t="s">
        <v>5436</v>
      </c>
    </row>
    <row r="169" spans="1:32" hidden="1" x14ac:dyDescent="0.35">
      <c r="A169">
        <v>2628</v>
      </c>
      <c r="B169" t="s">
        <v>5424</v>
      </c>
      <c r="C169" t="s">
        <v>72</v>
      </c>
      <c r="D169" t="s">
        <v>45</v>
      </c>
      <c r="E169">
        <v>960</v>
      </c>
      <c r="F169">
        <v>5</v>
      </c>
      <c r="G169">
        <v>5</v>
      </c>
      <c r="H169">
        <v>1</v>
      </c>
      <c r="I169">
        <v>1</v>
      </c>
      <c r="J169">
        <v>0.84979464111089398</v>
      </c>
      <c r="K169">
        <v>0.98902883361072802</v>
      </c>
      <c r="L169">
        <v>0.91414038841742895</v>
      </c>
      <c r="M169">
        <v>0.71760154738878101</v>
      </c>
      <c r="N169">
        <v>1</v>
      </c>
      <c r="O169">
        <v>0.79458413926499005</v>
      </c>
      <c r="P169" t="s">
        <v>5425</v>
      </c>
      <c r="Q169" t="s">
        <v>5426</v>
      </c>
      <c r="R169" t="s">
        <v>235</v>
      </c>
      <c r="S169" t="s">
        <v>236</v>
      </c>
      <c r="T169" t="s">
        <v>5427</v>
      </c>
      <c r="U169" t="s">
        <v>5428</v>
      </c>
      <c r="V169" t="s">
        <v>5429</v>
      </c>
      <c r="W169" t="s">
        <v>5430</v>
      </c>
      <c r="Z169" t="s">
        <v>5431</v>
      </c>
      <c r="AA169" t="s">
        <v>5432</v>
      </c>
      <c r="AB169" t="s">
        <v>5431</v>
      </c>
      <c r="AC169" t="s">
        <v>860</v>
      </c>
      <c r="AD169" t="s">
        <v>219</v>
      </c>
      <c r="AE169" t="s">
        <v>5433</v>
      </c>
      <c r="AF169" t="s">
        <v>5436</v>
      </c>
    </row>
    <row r="170" spans="1:32" hidden="1" x14ac:dyDescent="0.35">
      <c r="A170">
        <v>3229</v>
      </c>
      <c r="B170" t="s">
        <v>6639</v>
      </c>
      <c r="C170" t="s">
        <v>72</v>
      </c>
      <c r="D170" t="s">
        <v>58</v>
      </c>
      <c r="E170">
        <v>529</v>
      </c>
      <c r="F170">
        <v>5</v>
      </c>
      <c r="G170">
        <v>5</v>
      </c>
      <c r="H170">
        <v>1</v>
      </c>
      <c r="I170">
        <v>1</v>
      </c>
      <c r="J170">
        <v>0.88452380952380905</v>
      </c>
      <c r="K170">
        <v>1</v>
      </c>
      <c r="L170">
        <v>0.93872394188250197</v>
      </c>
      <c r="M170">
        <v>0.75793650793650802</v>
      </c>
      <c r="N170">
        <v>1</v>
      </c>
      <c r="O170">
        <v>0.834523809523809</v>
      </c>
      <c r="P170" t="s">
        <v>3363</v>
      </c>
      <c r="Q170" t="s">
        <v>3364</v>
      </c>
      <c r="R170" t="s">
        <v>342</v>
      </c>
      <c r="S170" t="s">
        <v>343</v>
      </c>
      <c r="T170" t="s">
        <v>6640</v>
      </c>
      <c r="U170" t="s">
        <v>6641</v>
      </c>
      <c r="V170" t="s">
        <v>6642</v>
      </c>
      <c r="W170" t="s">
        <v>6643</v>
      </c>
      <c r="AD170" t="s">
        <v>2408</v>
      </c>
      <c r="AE170" t="s">
        <v>6644</v>
      </c>
      <c r="AF170" t="s">
        <v>6645</v>
      </c>
    </row>
    <row r="171" spans="1:32" hidden="1" x14ac:dyDescent="0.35">
      <c r="A171">
        <v>2665</v>
      </c>
      <c r="B171" t="s">
        <v>5504</v>
      </c>
      <c r="C171" t="s">
        <v>72</v>
      </c>
      <c r="D171" t="s">
        <v>60</v>
      </c>
      <c r="E171">
        <v>597</v>
      </c>
      <c r="F171">
        <v>5</v>
      </c>
      <c r="G171">
        <v>5</v>
      </c>
      <c r="H171">
        <v>1</v>
      </c>
      <c r="I171">
        <v>1</v>
      </c>
      <c r="J171">
        <v>0.74936650541349903</v>
      </c>
      <c r="K171">
        <v>0.89777929880598994</v>
      </c>
      <c r="L171">
        <v>0.81688668247268004</v>
      </c>
      <c r="M171">
        <v>0.54004106776180705</v>
      </c>
      <c r="N171">
        <v>1</v>
      </c>
      <c r="O171">
        <v>0.66529774127310104</v>
      </c>
      <c r="P171" t="s">
        <v>4683</v>
      </c>
      <c r="Q171" t="s">
        <v>4684</v>
      </c>
      <c r="R171" t="s">
        <v>235</v>
      </c>
      <c r="S171" t="s">
        <v>236</v>
      </c>
      <c r="T171" t="s">
        <v>5505</v>
      </c>
      <c r="U171" t="s">
        <v>5506</v>
      </c>
      <c r="V171" t="s">
        <v>5507</v>
      </c>
      <c r="W171" t="s">
        <v>5508</v>
      </c>
      <c r="X171" t="s">
        <v>5507</v>
      </c>
      <c r="Y171" t="s">
        <v>241</v>
      </c>
      <c r="Z171" t="s">
        <v>2139</v>
      </c>
      <c r="AA171" t="s">
        <v>2140</v>
      </c>
      <c r="AB171" t="s">
        <v>2139</v>
      </c>
      <c r="AC171" t="s">
        <v>244</v>
      </c>
      <c r="AD171" t="s">
        <v>219</v>
      </c>
      <c r="AE171" t="s">
        <v>5509</v>
      </c>
      <c r="AF171" t="s">
        <v>5511</v>
      </c>
    </row>
    <row r="172" spans="1:32" hidden="1" x14ac:dyDescent="0.35">
      <c r="A172">
        <v>2666</v>
      </c>
      <c r="B172" t="s">
        <v>5504</v>
      </c>
      <c r="C172" t="s">
        <v>72</v>
      </c>
      <c r="D172" t="s">
        <v>62</v>
      </c>
      <c r="E172">
        <v>681</v>
      </c>
      <c r="F172">
        <v>5</v>
      </c>
      <c r="G172">
        <v>5</v>
      </c>
      <c r="H172">
        <v>1</v>
      </c>
      <c r="I172">
        <v>1</v>
      </c>
      <c r="J172">
        <v>0.74936650541349903</v>
      </c>
      <c r="K172">
        <v>0.89777929880598994</v>
      </c>
      <c r="L172">
        <v>0.81688668247268004</v>
      </c>
      <c r="M172">
        <v>0.54004106776180705</v>
      </c>
      <c r="N172">
        <v>1</v>
      </c>
      <c r="O172">
        <v>0.66529774127310104</v>
      </c>
      <c r="P172" t="s">
        <v>4683</v>
      </c>
      <c r="Q172" t="s">
        <v>4684</v>
      </c>
      <c r="R172" t="s">
        <v>235</v>
      </c>
      <c r="S172" t="s">
        <v>236</v>
      </c>
      <c r="T172" t="s">
        <v>5505</v>
      </c>
      <c r="U172" t="s">
        <v>5506</v>
      </c>
      <c r="V172" t="s">
        <v>5507</v>
      </c>
      <c r="W172" t="s">
        <v>5508</v>
      </c>
      <c r="X172" t="s">
        <v>5507</v>
      </c>
      <c r="Y172" t="s">
        <v>241</v>
      </c>
      <c r="Z172" t="s">
        <v>2139</v>
      </c>
      <c r="AA172" t="s">
        <v>2140</v>
      </c>
      <c r="AB172" t="s">
        <v>2139</v>
      </c>
      <c r="AC172" t="s">
        <v>244</v>
      </c>
      <c r="AD172" t="s">
        <v>219</v>
      </c>
      <c r="AE172" t="s">
        <v>5509</v>
      </c>
      <c r="AF172" t="s">
        <v>5511</v>
      </c>
    </row>
    <row r="173" spans="1:32" hidden="1" x14ac:dyDescent="0.35">
      <c r="A173">
        <v>2667</v>
      </c>
      <c r="B173" t="s">
        <v>5504</v>
      </c>
      <c r="C173" t="s">
        <v>72</v>
      </c>
      <c r="D173" t="s">
        <v>34</v>
      </c>
      <c r="E173">
        <v>497</v>
      </c>
      <c r="F173">
        <v>5</v>
      </c>
      <c r="G173">
        <v>5</v>
      </c>
      <c r="H173">
        <v>1</v>
      </c>
      <c r="I173">
        <v>1</v>
      </c>
      <c r="J173">
        <v>0.74936650541349903</v>
      </c>
      <c r="K173">
        <v>0.89777929880598994</v>
      </c>
      <c r="L173">
        <v>0.81688668247268004</v>
      </c>
      <c r="M173">
        <v>0.54004106776180705</v>
      </c>
      <c r="N173">
        <v>1</v>
      </c>
      <c r="O173">
        <v>0.66529774127310104</v>
      </c>
      <c r="P173" t="s">
        <v>4683</v>
      </c>
      <c r="Q173" t="s">
        <v>4684</v>
      </c>
      <c r="R173" t="s">
        <v>235</v>
      </c>
      <c r="S173" t="s">
        <v>236</v>
      </c>
      <c r="T173" t="s">
        <v>5505</v>
      </c>
      <c r="U173" t="s">
        <v>5506</v>
      </c>
      <c r="V173" t="s">
        <v>5507</v>
      </c>
      <c r="W173" t="s">
        <v>5508</v>
      </c>
      <c r="X173" t="s">
        <v>5507</v>
      </c>
      <c r="Y173" t="s">
        <v>241</v>
      </c>
      <c r="Z173" t="s">
        <v>2139</v>
      </c>
      <c r="AA173" t="s">
        <v>2140</v>
      </c>
      <c r="AB173" t="s">
        <v>2139</v>
      </c>
      <c r="AC173" t="s">
        <v>244</v>
      </c>
      <c r="AD173" t="s">
        <v>219</v>
      </c>
      <c r="AE173" t="s">
        <v>5509</v>
      </c>
      <c r="AF173" t="e">
        <f>---MVHMTEKPRP----------FKYWEAPLAPPLHKPFKATVRVPGSKSITNRALVLAAIAENPTTITGALWSRDTQLMAQALKRIGVDVQAEPDPDSPANATIFVEPTGFTGGTVDCGLAGTVMRFVPPLAALADGD------VFFDGDEHARQRPMKGILDGLRALGISVQGDSLPFKVSGNG-SPMGGMVEIDASASSQFVSGLLLAAPRFAQGITVRHIGETLPSMPHIEMTVHMLRQAGASVDTTTAYQ---WSVAPGPIRGGVVRVEPDLSNATPFLAAAAVTGSTVQVKDWPTTTTQPGDAIRNILERMG-------CTVSLTD----GDLTVTGPKPGS-----LQGIEIDMSDIGELTPTVAAMATVANSPSALTGIAHLHGHETDRLQALATEITKIGGQCSELPDGLAIKPSG--SLHGAHWSTYDDHRMATTGAIIGLVAPGIKVENIETTAKTLPGFDRMWADM--VQEMGMP</f>
        <v>#NAME?</v>
      </c>
    </row>
    <row r="174" spans="1:32" hidden="1" x14ac:dyDescent="0.35">
      <c r="A174">
        <v>2668</v>
      </c>
      <c r="B174" t="s">
        <v>5504</v>
      </c>
      <c r="C174" t="s">
        <v>72</v>
      </c>
      <c r="D174" t="s">
        <v>45</v>
      </c>
      <c r="E174">
        <v>1762</v>
      </c>
      <c r="F174">
        <v>5</v>
      </c>
      <c r="G174">
        <v>5</v>
      </c>
      <c r="H174">
        <v>1</v>
      </c>
      <c r="I174">
        <v>1</v>
      </c>
      <c r="J174">
        <v>0.74936650541349903</v>
      </c>
      <c r="K174">
        <v>0.89777929880598994</v>
      </c>
      <c r="L174">
        <v>0.81688668247268004</v>
      </c>
      <c r="M174">
        <v>0.54004106776180705</v>
      </c>
      <c r="N174">
        <v>1</v>
      </c>
      <c r="O174">
        <v>0.66529774127310104</v>
      </c>
      <c r="P174" t="s">
        <v>4683</v>
      </c>
      <c r="Q174" t="s">
        <v>4684</v>
      </c>
      <c r="R174" t="s">
        <v>235</v>
      </c>
      <c r="S174" t="s">
        <v>236</v>
      </c>
      <c r="T174" t="s">
        <v>5505</v>
      </c>
      <c r="U174" t="s">
        <v>5506</v>
      </c>
      <c r="V174" t="s">
        <v>5507</v>
      </c>
      <c r="W174" t="s">
        <v>5508</v>
      </c>
      <c r="X174" t="s">
        <v>5507</v>
      </c>
      <c r="Y174" t="s">
        <v>241</v>
      </c>
      <c r="Z174" t="s">
        <v>2139</v>
      </c>
      <c r="AA174" t="s">
        <v>2140</v>
      </c>
      <c r="AB174" t="s">
        <v>2139</v>
      </c>
      <c r="AC174" t="s">
        <v>244</v>
      </c>
      <c r="AD174" t="s">
        <v>219</v>
      </c>
      <c r="AE174" t="s">
        <v>5509</v>
      </c>
      <c r="AF174" t="e">
        <f>---MVHMTEKPRP----------FKYWEAPLAPPLHKPFKATVRVPGSKSITNRALVLAAIAENPTTITGALWSRDTQLMAQALKRIGVDVQAEPDPDSPANATIFVEPTGFTGGTVDCGLAGTVMRFVPPLAALADGD------VFFDGDEHARQRPMKGILDGLRALGISVQGDSLPFKVSGNG-SPMGGMVEIDASASSQFVSGLLLAAPRFAQGITVRHIGETLPSMPHIEMTVHMLRQAGASVDTTTAYQ---WSVAPGPIRGGVVRVEPDLSNATPFLAAAAVTGSTVQVKDWPTTTTQPGDAIRNILERMG-------CTVSLTD----GDLTVTGPKPGS-----LQGIEIDMSDIGELTPTVAAMATVANSPSALTGIAHLHGHETDRLQALATEITKIGGQCSELPDGLAIKPSG--SLHGAHWSTYDDHRMATTGAIIGLVAPGIKVENIETTAKTLPGFDRMWADM--VQEMGMP</f>
        <v>#NAME?</v>
      </c>
    </row>
    <row r="175" spans="1:32" hidden="1" x14ac:dyDescent="0.35">
      <c r="A175">
        <v>11907</v>
      </c>
      <c r="B175" t="s">
        <v>24532</v>
      </c>
      <c r="C175" t="s">
        <v>10130</v>
      </c>
      <c r="D175" t="s">
        <v>58</v>
      </c>
      <c r="E175">
        <v>162</v>
      </c>
      <c r="F175">
        <v>1</v>
      </c>
      <c r="G175">
        <v>1</v>
      </c>
      <c r="H175">
        <v>1</v>
      </c>
      <c r="I175">
        <v>0</v>
      </c>
      <c r="J175">
        <v>1</v>
      </c>
      <c r="K175">
        <v>1</v>
      </c>
      <c r="L175">
        <v>1</v>
      </c>
      <c r="M175">
        <v>0</v>
      </c>
      <c r="N175">
        <v>0</v>
      </c>
      <c r="O175">
        <v>0</v>
      </c>
      <c r="P175" t="s">
        <v>24533</v>
      </c>
      <c r="Q175" t="s">
        <v>24534</v>
      </c>
      <c r="R175" t="s">
        <v>869</v>
      </c>
      <c r="S175" t="s">
        <v>870</v>
      </c>
      <c r="T175" t="s">
        <v>24535</v>
      </c>
      <c r="U175" t="s">
        <v>24536</v>
      </c>
      <c r="V175" t="s">
        <v>24537</v>
      </c>
      <c r="W175" t="s">
        <v>24538</v>
      </c>
      <c r="X175" t="s">
        <v>24537</v>
      </c>
      <c r="Y175" t="s">
        <v>10001</v>
      </c>
      <c r="Z175" t="s">
        <v>24539</v>
      </c>
      <c r="AA175" t="s">
        <v>24540</v>
      </c>
      <c r="AB175" t="s">
        <v>24539</v>
      </c>
      <c r="AC175" t="s">
        <v>1156</v>
      </c>
      <c r="AD175" t="s">
        <v>219</v>
      </c>
      <c r="AE175" t="s">
        <v>24541</v>
      </c>
      <c r="AF175" t="s">
        <v>24542</v>
      </c>
    </row>
    <row r="176" spans="1:32" hidden="1" x14ac:dyDescent="0.35">
      <c r="A176">
        <v>2690</v>
      </c>
      <c r="B176" t="s">
        <v>5560</v>
      </c>
      <c r="C176" t="s">
        <v>72</v>
      </c>
      <c r="D176" t="s">
        <v>60</v>
      </c>
      <c r="E176">
        <v>1278</v>
      </c>
      <c r="F176">
        <v>5</v>
      </c>
      <c r="G176">
        <v>5</v>
      </c>
      <c r="H176">
        <v>1</v>
      </c>
      <c r="I176">
        <v>1</v>
      </c>
      <c r="J176">
        <v>0.84740104911778702</v>
      </c>
      <c r="K176">
        <v>0.97792663476874198</v>
      </c>
      <c r="L176">
        <v>0.90799702823635597</v>
      </c>
      <c r="M176">
        <v>0.70979020979021001</v>
      </c>
      <c r="N176">
        <v>1</v>
      </c>
      <c r="O176">
        <v>0.79580419580419604</v>
      </c>
      <c r="P176" t="s">
        <v>5561</v>
      </c>
      <c r="Q176" t="s">
        <v>5562</v>
      </c>
      <c r="R176" t="s">
        <v>235</v>
      </c>
      <c r="S176" t="s">
        <v>236</v>
      </c>
      <c r="T176" t="s">
        <v>5563</v>
      </c>
      <c r="U176" t="s">
        <v>5564</v>
      </c>
      <c r="V176" t="s">
        <v>5565</v>
      </c>
      <c r="W176" t="s">
        <v>5566</v>
      </c>
      <c r="X176" t="s">
        <v>5565</v>
      </c>
      <c r="Y176" t="s">
        <v>857</v>
      </c>
      <c r="Z176" t="s">
        <v>858</v>
      </c>
      <c r="AA176" t="s">
        <v>859</v>
      </c>
      <c r="AB176" t="s">
        <v>858</v>
      </c>
      <c r="AC176" t="s">
        <v>860</v>
      </c>
      <c r="AD176" t="s">
        <v>219</v>
      </c>
      <c r="AE176" t="s">
        <v>5567</v>
      </c>
      <c r="AF176" t="s">
        <v>5569</v>
      </c>
    </row>
    <row r="177" spans="1:32" hidden="1" x14ac:dyDescent="0.35">
      <c r="A177">
        <v>2691</v>
      </c>
      <c r="B177" t="s">
        <v>5560</v>
      </c>
      <c r="C177" t="s">
        <v>72</v>
      </c>
      <c r="D177" t="s">
        <v>62</v>
      </c>
      <c r="E177">
        <v>1314</v>
      </c>
      <c r="F177">
        <v>5</v>
      </c>
      <c r="G177">
        <v>5</v>
      </c>
      <c r="H177">
        <v>1</v>
      </c>
      <c r="I177">
        <v>1</v>
      </c>
      <c r="J177">
        <v>0.84740104911778702</v>
      </c>
      <c r="K177">
        <v>0.97792663476874198</v>
      </c>
      <c r="L177">
        <v>0.90799702823635597</v>
      </c>
      <c r="M177">
        <v>0.70979020979021001</v>
      </c>
      <c r="N177">
        <v>1</v>
      </c>
      <c r="O177">
        <v>0.79580419580419604</v>
      </c>
      <c r="P177" t="s">
        <v>5561</v>
      </c>
      <c r="Q177" t="s">
        <v>5562</v>
      </c>
      <c r="R177" t="s">
        <v>235</v>
      </c>
      <c r="S177" t="s">
        <v>236</v>
      </c>
      <c r="T177" t="s">
        <v>5563</v>
      </c>
      <c r="U177" t="s">
        <v>5564</v>
      </c>
      <c r="V177" t="s">
        <v>5565</v>
      </c>
      <c r="W177" t="s">
        <v>5566</v>
      </c>
      <c r="X177" t="s">
        <v>5565</v>
      </c>
      <c r="Y177" t="s">
        <v>857</v>
      </c>
      <c r="Z177" t="s">
        <v>858</v>
      </c>
      <c r="AA177" t="s">
        <v>859</v>
      </c>
      <c r="AB177" t="s">
        <v>858</v>
      </c>
      <c r="AC177" t="s">
        <v>860</v>
      </c>
      <c r="AD177" t="s">
        <v>219</v>
      </c>
      <c r="AE177" t="s">
        <v>5567</v>
      </c>
      <c r="AF177" t="s">
        <v>5569</v>
      </c>
    </row>
    <row r="178" spans="1:32" hidden="1" x14ac:dyDescent="0.35">
      <c r="A178">
        <v>2692</v>
      </c>
      <c r="B178" t="s">
        <v>5560</v>
      </c>
      <c r="C178" t="s">
        <v>72</v>
      </c>
      <c r="D178" t="s">
        <v>34</v>
      </c>
      <c r="E178">
        <v>1723</v>
      </c>
      <c r="F178">
        <v>5</v>
      </c>
      <c r="G178">
        <v>5</v>
      </c>
      <c r="H178">
        <v>1</v>
      </c>
      <c r="I178">
        <v>1</v>
      </c>
      <c r="J178">
        <v>0.84740104911778702</v>
      </c>
      <c r="K178">
        <v>0.97792663476874198</v>
      </c>
      <c r="L178">
        <v>0.90799702823635597</v>
      </c>
      <c r="M178">
        <v>0.70979020979021001</v>
      </c>
      <c r="N178">
        <v>1</v>
      </c>
      <c r="O178">
        <v>0.79580419580419604</v>
      </c>
      <c r="P178" t="s">
        <v>5561</v>
      </c>
      <c r="Q178" t="s">
        <v>5562</v>
      </c>
      <c r="R178" t="s">
        <v>235</v>
      </c>
      <c r="S178" t="s">
        <v>236</v>
      </c>
      <c r="T178" t="s">
        <v>5563</v>
      </c>
      <c r="U178" t="s">
        <v>5564</v>
      </c>
      <c r="V178" t="s">
        <v>5565</v>
      </c>
      <c r="W178" t="s">
        <v>5566</v>
      </c>
      <c r="X178" t="s">
        <v>5565</v>
      </c>
      <c r="Y178" t="s">
        <v>857</v>
      </c>
      <c r="Z178" t="s">
        <v>858</v>
      </c>
      <c r="AA178" t="s">
        <v>859</v>
      </c>
      <c r="AB178" t="s">
        <v>858</v>
      </c>
      <c r="AC178" t="s">
        <v>860</v>
      </c>
      <c r="AD178" t="s">
        <v>219</v>
      </c>
      <c r="AE178" t="s">
        <v>5567</v>
      </c>
      <c r="AF178" t="s">
        <v>5570</v>
      </c>
    </row>
    <row r="179" spans="1:32" hidden="1" x14ac:dyDescent="0.35">
      <c r="A179">
        <v>2693</v>
      </c>
      <c r="B179" t="s">
        <v>5560</v>
      </c>
      <c r="C179" t="s">
        <v>72</v>
      </c>
      <c r="D179" t="s">
        <v>45</v>
      </c>
      <c r="E179">
        <v>1151</v>
      </c>
      <c r="F179">
        <v>5</v>
      </c>
      <c r="G179">
        <v>5</v>
      </c>
      <c r="H179">
        <v>1</v>
      </c>
      <c r="I179">
        <v>1</v>
      </c>
      <c r="J179">
        <v>0.84740104911778702</v>
      </c>
      <c r="K179">
        <v>0.97792663476874198</v>
      </c>
      <c r="L179">
        <v>0.90799702823635597</v>
      </c>
      <c r="M179">
        <v>0.70979020979021001</v>
      </c>
      <c r="N179">
        <v>1</v>
      </c>
      <c r="O179">
        <v>0.79580419580419604</v>
      </c>
      <c r="P179" t="s">
        <v>5561</v>
      </c>
      <c r="Q179" t="s">
        <v>5562</v>
      </c>
      <c r="R179" t="s">
        <v>235</v>
      </c>
      <c r="S179" t="s">
        <v>236</v>
      </c>
      <c r="T179" t="s">
        <v>5563</v>
      </c>
      <c r="U179" t="s">
        <v>5564</v>
      </c>
      <c r="V179" t="s">
        <v>5565</v>
      </c>
      <c r="W179" t="s">
        <v>5566</v>
      </c>
      <c r="X179" t="s">
        <v>5565</v>
      </c>
      <c r="Y179" t="s">
        <v>857</v>
      </c>
      <c r="Z179" t="s">
        <v>858</v>
      </c>
      <c r="AA179" t="s">
        <v>859</v>
      </c>
      <c r="AB179" t="s">
        <v>858</v>
      </c>
      <c r="AC179" t="s">
        <v>860</v>
      </c>
      <c r="AD179" t="s">
        <v>219</v>
      </c>
      <c r="AE179" t="s">
        <v>5567</v>
      </c>
      <c r="AF179" t="s">
        <v>5570</v>
      </c>
    </row>
    <row r="180" spans="1:32" hidden="1" x14ac:dyDescent="0.35">
      <c r="A180">
        <v>10896</v>
      </c>
      <c r="B180" t="s">
        <v>21925</v>
      </c>
      <c r="C180" t="s">
        <v>33</v>
      </c>
      <c r="D180" t="s">
        <v>58</v>
      </c>
      <c r="E180">
        <v>570</v>
      </c>
      <c r="F180">
        <v>1</v>
      </c>
      <c r="G180">
        <v>1</v>
      </c>
      <c r="H180">
        <v>1</v>
      </c>
      <c r="I180">
        <v>0</v>
      </c>
      <c r="J180">
        <v>1</v>
      </c>
      <c r="K180">
        <v>1</v>
      </c>
      <c r="L180">
        <v>1</v>
      </c>
      <c r="M180">
        <v>0</v>
      </c>
      <c r="N180">
        <v>0</v>
      </c>
      <c r="O180">
        <v>0</v>
      </c>
      <c r="P180" t="s">
        <v>7040</v>
      </c>
      <c r="Q180" t="s">
        <v>7041</v>
      </c>
      <c r="R180" t="s">
        <v>75</v>
      </c>
      <c r="S180" t="s">
        <v>76</v>
      </c>
      <c r="T180" t="s">
        <v>16066</v>
      </c>
      <c r="U180" t="s">
        <v>16067</v>
      </c>
      <c r="V180" t="s">
        <v>16068</v>
      </c>
      <c r="W180" t="s">
        <v>16069</v>
      </c>
      <c r="X180" t="s">
        <v>16068</v>
      </c>
      <c r="Y180" t="s">
        <v>619</v>
      </c>
      <c r="Z180" t="s">
        <v>891</v>
      </c>
      <c r="AA180" t="s">
        <v>892</v>
      </c>
      <c r="AB180" t="s">
        <v>891</v>
      </c>
      <c r="AC180" t="s">
        <v>893</v>
      </c>
      <c r="AD180" t="s">
        <v>219</v>
      </c>
      <c r="AE180" t="s">
        <v>8437</v>
      </c>
      <c r="AF180" t="s">
        <v>21926</v>
      </c>
    </row>
    <row r="181" spans="1:32" hidden="1" x14ac:dyDescent="0.35">
      <c r="A181">
        <v>2705</v>
      </c>
      <c r="B181" t="s">
        <v>5591</v>
      </c>
      <c r="C181" t="s">
        <v>72</v>
      </c>
      <c r="D181" t="s">
        <v>60</v>
      </c>
      <c r="E181">
        <v>2147</v>
      </c>
      <c r="F181">
        <v>5</v>
      </c>
      <c r="G181">
        <v>5</v>
      </c>
      <c r="H181">
        <v>1</v>
      </c>
      <c r="I181">
        <v>1</v>
      </c>
      <c r="J181">
        <v>0.86516613076098603</v>
      </c>
      <c r="K181">
        <v>0.99049469892757502</v>
      </c>
      <c r="L181">
        <v>0.92359816244465298</v>
      </c>
      <c r="M181">
        <v>0.75796178343949006</v>
      </c>
      <c r="N181">
        <v>1</v>
      </c>
      <c r="O181">
        <v>0.82101910828025504</v>
      </c>
      <c r="P181" t="s">
        <v>233</v>
      </c>
      <c r="Q181" t="s">
        <v>234</v>
      </c>
      <c r="R181" t="s">
        <v>235</v>
      </c>
      <c r="S181" t="s">
        <v>236</v>
      </c>
      <c r="T181" t="s">
        <v>5592</v>
      </c>
      <c r="U181" t="s">
        <v>5593</v>
      </c>
      <c r="V181" t="s">
        <v>5594</v>
      </c>
      <c r="W181" t="s">
        <v>5595</v>
      </c>
      <c r="X181" t="s">
        <v>5594</v>
      </c>
      <c r="Y181" t="s">
        <v>4418</v>
      </c>
      <c r="Z181" t="s">
        <v>4419</v>
      </c>
      <c r="AA181" t="s">
        <v>4420</v>
      </c>
      <c r="AB181" t="s">
        <v>4419</v>
      </c>
      <c r="AC181" t="s">
        <v>1800</v>
      </c>
      <c r="AD181" t="s">
        <v>245</v>
      </c>
      <c r="AE181" t="s">
        <v>5596</v>
      </c>
      <c r="AF181" t="s">
        <v>5598</v>
      </c>
    </row>
    <row r="182" spans="1:32" hidden="1" x14ac:dyDescent="0.35">
      <c r="A182">
        <v>2706</v>
      </c>
      <c r="B182" t="s">
        <v>5591</v>
      </c>
      <c r="C182" t="s">
        <v>72</v>
      </c>
      <c r="D182" t="s">
        <v>62</v>
      </c>
      <c r="E182">
        <v>2181</v>
      </c>
      <c r="F182">
        <v>5</v>
      </c>
      <c r="G182">
        <v>5</v>
      </c>
      <c r="H182">
        <v>1</v>
      </c>
      <c r="I182">
        <v>1</v>
      </c>
      <c r="J182">
        <v>0.86516613076098603</v>
      </c>
      <c r="K182">
        <v>0.99049469892757502</v>
      </c>
      <c r="L182">
        <v>0.92359816244465298</v>
      </c>
      <c r="M182">
        <v>0.75796178343949006</v>
      </c>
      <c r="N182">
        <v>1</v>
      </c>
      <c r="O182">
        <v>0.82101910828025504</v>
      </c>
      <c r="P182" t="s">
        <v>233</v>
      </c>
      <c r="Q182" t="s">
        <v>234</v>
      </c>
      <c r="R182" t="s">
        <v>235</v>
      </c>
      <c r="S182" t="s">
        <v>236</v>
      </c>
      <c r="T182" t="s">
        <v>5592</v>
      </c>
      <c r="U182" t="s">
        <v>5593</v>
      </c>
      <c r="V182" t="s">
        <v>5594</v>
      </c>
      <c r="W182" t="s">
        <v>5595</v>
      </c>
      <c r="X182" t="s">
        <v>5594</v>
      </c>
      <c r="Y182" t="s">
        <v>4418</v>
      </c>
      <c r="Z182" t="s">
        <v>4419</v>
      </c>
      <c r="AA182" t="s">
        <v>4420</v>
      </c>
      <c r="AB182" t="s">
        <v>4419</v>
      </c>
      <c r="AC182" t="s">
        <v>1800</v>
      </c>
      <c r="AD182" t="s">
        <v>245</v>
      </c>
      <c r="AE182" t="s">
        <v>5596</v>
      </c>
      <c r="AF182" t="s">
        <v>5598</v>
      </c>
    </row>
    <row r="183" spans="1:32" hidden="1" x14ac:dyDescent="0.35">
      <c r="A183">
        <v>2707</v>
      </c>
      <c r="B183" t="s">
        <v>5591</v>
      </c>
      <c r="C183" t="s">
        <v>72</v>
      </c>
      <c r="D183" t="s">
        <v>34</v>
      </c>
      <c r="E183">
        <v>1640</v>
      </c>
      <c r="F183">
        <v>5</v>
      </c>
      <c r="G183">
        <v>5</v>
      </c>
      <c r="H183">
        <v>1</v>
      </c>
      <c r="I183">
        <v>1</v>
      </c>
      <c r="J183">
        <v>0.86516613076098603</v>
      </c>
      <c r="K183">
        <v>0.99049469892757502</v>
      </c>
      <c r="L183">
        <v>0.92359816244465298</v>
      </c>
      <c r="M183">
        <v>0.75796178343949006</v>
      </c>
      <c r="N183">
        <v>1</v>
      </c>
      <c r="O183">
        <v>0.82101910828025504</v>
      </c>
      <c r="P183" t="s">
        <v>233</v>
      </c>
      <c r="Q183" t="s">
        <v>234</v>
      </c>
      <c r="R183" t="s">
        <v>235</v>
      </c>
      <c r="S183" t="s">
        <v>236</v>
      </c>
      <c r="T183" t="s">
        <v>5592</v>
      </c>
      <c r="U183" t="s">
        <v>5593</v>
      </c>
      <c r="V183" t="s">
        <v>5594</v>
      </c>
      <c r="W183" t="s">
        <v>5595</v>
      </c>
      <c r="X183" t="s">
        <v>5594</v>
      </c>
      <c r="Y183" t="s">
        <v>4418</v>
      </c>
      <c r="Z183" t="s">
        <v>4419</v>
      </c>
      <c r="AA183" t="s">
        <v>4420</v>
      </c>
      <c r="AB183" t="s">
        <v>4419</v>
      </c>
      <c r="AC183" t="s">
        <v>1800</v>
      </c>
      <c r="AD183" t="s">
        <v>245</v>
      </c>
      <c r="AE183" t="s">
        <v>5596</v>
      </c>
      <c r="AF183" t="s">
        <v>5599</v>
      </c>
    </row>
    <row r="184" spans="1:32" hidden="1" x14ac:dyDescent="0.35">
      <c r="A184">
        <v>2708</v>
      </c>
      <c r="B184" t="s">
        <v>5591</v>
      </c>
      <c r="C184" t="s">
        <v>72</v>
      </c>
      <c r="D184" t="s">
        <v>45</v>
      </c>
      <c r="E184">
        <v>387</v>
      </c>
      <c r="F184">
        <v>5</v>
      </c>
      <c r="G184">
        <v>5</v>
      </c>
      <c r="H184">
        <v>1</v>
      </c>
      <c r="I184">
        <v>1</v>
      </c>
      <c r="J184">
        <v>0.86516613076098603</v>
      </c>
      <c r="K184">
        <v>0.99049469892757502</v>
      </c>
      <c r="L184">
        <v>0.92359816244465298</v>
      </c>
      <c r="M184">
        <v>0.75796178343949006</v>
      </c>
      <c r="N184">
        <v>1</v>
      </c>
      <c r="O184">
        <v>0.82101910828025504</v>
      </c>
      <c r="P184" t="s">
        <v>233</v>
      </c>
      <c r="Q184" t="s">
        <v>234</v>
      </c>
      <c r="R184" t="s">
        <v>235</v>
      </c>
      <c r="S184" t="s">
        <v>236</v>
      </c>
      <c r="T184" t="s">
        <v>5592</v>
      </c>
      <c r="U184" t="s">
        <v>5593</v>
      </c>
      <c r="V184" t="s">
        <v>5594</v>
      </c>
      <c r="W184" t="s">
        <v>5595</v>
      </c>
      <c r="X184" t="s">
        <v>5594</v>
      </c>
      <c r="Y184" t="s">
        <v>4418</v>
      </c>
      <c r="Z184" t="s">
        <v>4419</v>
      </c>
      <c r="AA184" t="s">
        <v>4420</v>
      </c>
      <c r="AB184" t="s">
        <v>4419</v>
      </c>
      <c r="AC184" t="s">
        <v>1800</v>
      </c>
      <c r="AD184" t="s">
        <v>245</v>
      </c>
      <c r="AE184" t="s">
        <v>5596</v>
      </c>
      <c r="AF184" t="s">
        <v>5599</v>
      </c>
    </row>
    <row r="185" spans="1:32" hidden="1" x14ac:dyDescent="0.35">
      <c r="A185">
        <v>1224</v>
      </c>
      <c r="B185" t="s">
        <v>2541</v>
      </c>
      <c r="C185" t="s">
        <v>72</v>
      </c>
      <c r="D185" t="s">
        <v>58</v>
      </c>
      <c r="E185">
        <v>1159</v>
      </c>
      <c r="F185">
        <v>5</v>
      </c>
      <c r="G185">
        <v>5</v>
      </c>
      <c r="H185">
        <v>1</v>
      </c>
      <c r="I185">
        <v>1</v>
      </c>
      <c r="J185">
        <v>0.93666407800500495</v>
      </c>
      <c r="K185">
        <v>0.99308297776482002</v>
      </c>
      <c r="L185">
        <v>0.96404878449675901</v>
      </c>
      <c r="M185">
        <v>0.86375321336760902</v>
      </c>
      <c r="N185">
        <v>1</v>
      </c>
      <c r="O185">
        <v>0.910539845758355</v>
      </c>
      <c r="P185" t="s">
        <v>2542</v>
      </c>
      <c r="Q185" t="s">
        <v>2543</v>
      </c>
      <c r="R185" t="s">
        <v>75</v>
      </c>
      <c r="S185" t="s">
        <v>76</v>
      </c>
      <c r="T185" t="s">
        <v>2544</v>
      </c>
      <c r="U185" t="s">
        <v>2545</v>
      </c>
      <c r="V185" t="s">
        <v>2546</v>
      </c>
      <c r="W185" t="s">
        <v>2547</v>
      </c>
      <c r="X185" t="s">
        <v>2546</v>
      </c>
      <c r="Y185" t="s">
        <v>619</v>
      </c>
      <c r="Z185" t="s">
        <v>891</v>
      </c>
      <c r="AA185" t="s">
        <v>892</v>
      </c>
      <c r="AB185" t="s">
        <v>891</v>
      </c>
      <c r="AC185" t="s">
        <v>893</v>
      </c>
      <c r="AD185" t="s">
        <v>191</v>
      </c>
      <c r="AE185" t="s">
        <v>2548</v>
      </c>
      <c r="AF185" t="s">
        <v>2549</v>
      </c>
    </row>
    <row r="186" spans="1:32" hidden="1" x14ac:dyDescent="0.35">
      <c r="A186">
        <v>2750</v>
      </c>
      <c r="B186" t="s">
        <v>5689</v>
      </c>
      <c r="C186" t="s">
        <v>72</v>
      </c>
      <c r="D186" t="s">
        <v>60</v>
      </c>
      <c r="E186">
        <v>1493</v>
      </c>
      <c r="F186">
        <v>5</v>
      </c>
      <c r="G186">
        <v>5</v>
      </c>
      <c r="H186">
        <v>1</v>
      </c>
      <c r="I186">
        <v>1</v>
      </c>
      <c r="J186">
        <v>0.75309491059147204</v>
      </c>
      <c r="K186">
        <v>0.92867056022466199</v>
      </c>
      <c r="L186">
        <v>0.83171772123722698</v>
      </c>
      <c r="M186">
        <v>0.54458598726114604</v>
      </c>
      <c r="N186">
        <v>1</v>
      </c>
      <c r="O186">
        <v>0.66942675159235698</v>
      </c>
      <c r="P186" t="s">
        <v>5690</v>
      </c>
      <c r="Q186" t="s">
        <v>5691</v>
      </c>
      <c r="R186" t="s">
        <v>235</v>
      </c>
      <c r="S186" t="s">
        <v>236</v>
      </c>
      <c r="T186" t="s">
        <v>5692</v>
      </c>
      <c r="U186" t="s">
        <v>5693</v>
      </c>
      <c r="V186" t="s">
        <v>5694</v>
      </c>
      <c r="W186" t="s">
        <v>5695</v>
      </c>
      <c r="X186" t="s">
        <v>5694</v>
      </c>
      <c r="Y186" t="s">
        <v>1136</v>
      </c>
      <c r="Z186" t="s">
        <v>5696</v>
      </c>
      <c r="AA186" t="s">
        <v>5697</v>
      </c>
      <c r="AB186" t="s">
        <v>5696</v>
      </c>
      <c r="AC186" t="s">
        <v>5698</v>
      </c>
      <c r="AD186" t="s">
        <v>245</v>
      </c>
      <c r="AE186" t="s">
        <v>5699</v>
      </c>
      <c r="AF186" t="s">
        <v>5701</v>
      </c>
    </row>
    <row r="187" spans="1:32" hidden="1" x14ac:dyDescent="0.35">
      <c r="A187">
        <v>2751</v>
      </c>
      <c r="B187" t="s">
        <v>5689</v>
      </c>
      <c r="C187" t="s">
        <v>72</v>
      </c>
      <c r="D187" t="s">
        <v>62</v>
      </c>
      <c r="E187">
        <v>1528</v>
      </c>
      <c r="F187">
        <v>5</v>
      </c>
      <c r="G187">
        <v>5</v>
      </c>
      <c r="H187">
        <v>1</v>
      </c>
      <c r="I187">
        <v>1</v>
      </c>
      <c r="J187">
        <v>0.75309491059147204</v>
      </c>
      <c r="K187">
        <v>0.92867056022466199</v>
      </c>
      <c r="L187">
        <v>0.83171772123722698</v>
      </c>
      <c r="M187">
        <v>0.54458598726114604</v>
      </c>
      <c r="N187">
        <v>1</v>
      </c>
      <c r="O187">
        <v>0.66942675159235698</v>
      </c>
      <c r="P187" t="s">
        <v>5690</v>
      </c>
      <c r="Q187" t="s">
        <v>5691</v>
      </c>
      <c r="R187" t="s">
        <v>235</v>
      </c>
      <c r="S187" t="s">
        <v>236</v>
      </c>
      <c r="T187" t="s">
        <v>5692</v>
      </c>
      <c r="U187" t="s">
        <v>5693</v>
      </c>
      <c r="V187" t="s">
        <v>5694</v>
      </c>
      <c r="W187" t="s">
        <v>5695</v>
      </c>
      <c r="X187" t="s">
        <v>5694</v>
      </c>
      <c r="Y187" t="s">
        <v>1136</v>
      </c>
      <c r="Z187" t="s">
        <v>5696</v>
      </c>
      <c r="AA187" t="s">
        <v>5697</v>
      </c>
      <c r="AB187" t="s">
        <v>5696</v>
      </c>
      <c r="AC187" t="s">
        <v>5698</v>
      </c>
      <c r="AD187" t="s">
        <v>245</v>
      </c>
      <c r="AE187" t="s">
        <v>5699</v>
      </c>
      <c r="AF187" t="s">
        <v>5701</v>
      </c>
    </row>
    <row r="188" spans="1:32" hidden="1" x14ac:dyDescent="0.35">
      <c r="A188">
        <v>2752</v>
      </c>
      <c r="B188" t="s">
        <v>5689</v>
      </c>
      <c r="C188" t="s">
        <v>72</v>
      </c>
      <c r="D188" t="s">
        <v>34</v>
      </c>
      <c r="E188">
        <v>1924</v>
      </c>
      <c r="F188">
        <v>5</v>
      </c>
      <c r="G188">
        <v>5</v>
      </c>
      <c r="H188">
        <v>1</v>
      </c>
      <c r="I188">
        <v>1</v>
      </c>
      <c r="J188">
        <v>0.75309491059147204</v>
      </c>
      <c r="K188">
        <v>0.92867056022466199</v>
      </c>
      <c r="L188">
        <v>0.83171772123722698</v>
      </c>
      <c r="M188">
        <v>0.54458598726114604</v>
      </c>
      <c r="N188">
        <v>1</v>
      </c>
      <c r="O188">
        <v>0.66942675159235698</v>
      </c>
      <c r="P188" t="s">
        <v>5690</v>
      </c>
      <c r="Q188" t="s">
        <v>5691</v>
      </c>
      <c r="R188" t="s">
        <v>235</v>
      </c>
      <c r="S188" t="s">
        <v>236</v>
      </c>
      <c r="T188" t="s">
        <v>5692</v>
      </c>
      <c r="U188" t="s">
        <v>5693</v>
      </c>
      <c r="V188" t="s">
        <v>5694</v>
      </c>
      <c r="W188" t="s">
        <v>5695</v>
      </c>
      <c r="X188" t="s">
        <v>5694</v>
      </c>
      <c r="Y188" t="s">
        <v>1136</v>
      </c>
      <c r="Z188" t="s">
        <v>5696</v>
      </c>
      <c r="AA188" t="s">
        <v>5697</v>
      </c>
      <c r="AB188" t="s">
        <v>5696</v>
      </c>
      <c r="AC188" t="s">
        <v>5698</v>
      </c>
      <c r="AD188" t="s">
        <v>245</v>
      </c>
      <c r="AE188" t="s">
        <v>5699</v>
      </c>
      <c r="AF188" t="s">
        <v>5702</v>
      </c>
    </row>
    <row r="189" spans="1:32" hidden="1" x14ac:dyDescent="0.35">
      <c r="A189">
        <v>2753</v>
      </c>
      <c r="B189" t="s">
        <v>5689</v>
      </c>
      <c r="C189" t="s">
        <v>72</v>
      </c>
      <c r="D189" t="s">
        <v>45</v>
      </c>
      <c r="E189">
        <v>949</v>
      </c>
      <c r="F189">
        <v>5</v>
      </c>
      <c r="G189">
        <v>5</v>
      </c>
      <c r="H189">
        <v>1</v>
      </c>
      <c r="I189">
        <v>1</v>
      </c>
      <c r="J189">
        <v>0.75309491059147204</v>
      </c>
      <c r="K189">
        <v>0.92867056022466199</v>
      </c>
      <c r="L189">
        <v>0.83171772123722698</v>
      </c>
      <c r="M189">
        <v>0.54458598726114604</v>
      </c>
      <c r="N189">
        <v>1</v>
      </c>
      <c r="O189">
        <v>0.66942675159235698</v>
      </c>
      <c r="P189" t="s">
        <v>5690</v>
      </c>
      <c r="Q189" t="s">
        <v>5691</v>
      </c>
      <c r="R189" t="s">
        <v>235</v>
      </c>
      <c r="S189" t="s">
        <v>236</v>
      </c>
      <c r="T189" t="s">
        <v>5692</v>
      </c>
      <c r="U189" t="s">
        <v>5693</v>
      </c>
      <c r="V189" t="s">
        <v>5694</v>
      </c>
      <c r="W189" t="s">
        <v>5695</v>
      </c>
      <c r="X189" t="s">
        <v>5694</v>
      </c>
      <c r="Y189" t="s">
        <v>1136</v>
      </c>
      <c r="Z189" t="s">
        <v>5696</v>
      </c>
      <c r="AA189" t="s">
        <v>5697</v>
      </c>
      <c r="AB189" t="s">
        <v>5696</v>
      </c>
      <c r="AC189" t="s">
        <v>5698</v>
      </c>
      <c r="AD189" t="s">
        <v>245</v>
      </c>
      <c r="AE189" t="s">
        <v>5699</v>
      </c>
      <c r="AF189" t="s">
        <v>5703</v>
      </c>
    </row>
    <row r="190" spans="1:32" hidden="1" x14ac:dyDescent="0.35">
      <c r="A190">
        <v>714</v>
      </c>
      <c r="B190" t="s">
        <v>1460</v>
      </c>
      <c r="C190" t="s">
        <v>72</v>
      </c>
      <c r="D190" t="s">
        <v>58</v>
      </c>
      <c r="E190">
        <v>683</v>
      </c>
      <c r="F190">
        <v>5</v>
      </c>
      <c r="G190">
        <v>5</v>
      </c>
      <c r="H190">
        <v>1</v>
      </c>
      <c r="I190">
        <v>1</v>
      </c>
      <c r="J190">
        <v>0.875831969448991</v>
      </c>
      <c r="K190">
        <v>0.93681732050055699</v>
      </c>
      <c r="L190">
        <v>0.90529873967044805</v>
      </c>
      <c r="M190">
        <v>0.70948012232415902</v>
      </c>
      <c r="N190">
        <v>1</v>
      </c>
      <c r="O190">
        <v>0.79571865443425105</v>
      </c>
      <c r="P190" t="s">
        <v>1461</v>
      </c>
      <c r="Q190" t="s">
        <v>1462</v>
      </c>
      <c r="R190" t="s">
        <v>75</v>
      </c>
      <c r="S190" t="s">
        <v>76</v>
      </c>
      <c r="T190" t="s">
        <v>1463</v>
      </c>
      <c r="U190" t="s">
        <v>1464</v>
      </c>
      <c r="V190" t="s">
        <v>1465</v>
      </c>
      <c r="W190" t="s">
        <v>1466</v>
      </c>
      <c r="X190" t="s">
        <v>1465</v>
      </c>
      <c r="Y190" t="s">
        <v>619</v>
      </c>
      <c r="Z190" t="s">
        <v>891</v>
      </c>
      <c r="AA190" t="s">
        <v>892</v>
      </c>
      <c r="AB190" t="s">
        <v>891</v>
      </c>
      <c r="AC190" t="s">
        <v>893</v>
      </c>
      <c r="AD190" t="s">
        <v>219</v>
      </c>
      <c r="AE190" t="s">
        <v>1467</v>
      </c>
      <c r="AF190" t="s">
        <v>1468</v>
      </c>
    </row>
    <row r="191" spans="1:32" hidden="1" x14ac:dyDescent="0.35">
      <c r="A191">
        <v>2795</v>
      </c>
      <c r="B191" t="s">
        <v>5778</v>
      </c>
      <c r="C191" t="s">
        <v>72</v>
      </c>
      <c r="D191" t="s">
        <v>60</v>
      </c>
      <c r="E191">
        <v>965</v>
      </c>
      <c r="F191">
        <v>5</v>
      </c>
      <c r="G191">
        <v>5</v>
      </c>
      <c r="H191">
        <v>1</v>
      </c>
      <c r="I191">
        <v>1</v>
      </c>
      <c r="J191">
        <v>0.82841486763055405</v>
      </c>
      <c r="K191">
        <v>0.99003544050233505</v>
      </c>
      <c r="L191">
        <v>0.90204288203553495</v>
      </c>
      <c r="M191">
        <v>0.67058823529411804</v>
      </c>
      <c r="N191">
        <v>1</v>
      </c>
      <c r="O191">
        <v>0.75039215686274496</v>
      </c>
      <c r="P191" t="s">
        <v>5779</v>
      </c>
      <c r="Q191" t="s">
        <v>5780</v>
      </c>
      <c r="R191" t="s">
        <v>235</v>
      </c>
      <c r="S191" t="s">
        <v>236</v>
      </c>
      <c r="T191" t="s">
        <v>5781</v>
      </c>
      <c r="U191" t="s">
        <v>5782</v>
      </c>
      <c r="V191" t="s">
        <v>5783</v>
      </c>
      <c r="W191" t="s">
        <v>5784</v>
      </c>
      <c r="AD191" t="s">
        <v>166</v>
      </c>
      <c r="AE191" t="s">
        <v>818</v>
      </c>
      <c r="AF191" t="s">
        <v>5786</v>
      </c>
    </row>
    <row r="192" spans="1:32" hidden="1" x14ac:dyDescent="0.35">
      <c r="A192">
        <v>2796</v>
      </c>
      <c r="B192" t="s">
        <v>5778</v>
      </c>
      <c r="C192" t="s">
        <v>72</v>
      </c>
      <c r="D192" t="s">
        <v>62</v>
      </c>
      <c r="E192">
        <v>1001</v>
      </c>
      <c r="F192">
        <v>5</v>
      </c>
      <c r="G192">
        <v>5</v>
      </c>
      <c r="H192">
        <v>1</v>
      </c>
      <c r="I192">
        <v>1</v>
      </c>
      <c r="J192">
        <v>0.82841486763055405</v>
      </c>
      <c r="K192">
        <v>0.99003544050233505</v>
      </c>
      <c r="L192">
        <v>0.90204288203553495</v>
      </c>
      <c r="M192">
        <v>0.67058823529411804</v>
      </c>
      <c r="N192">
        <v>1</v>
      </c>
      <c r="O192">
        <v>0.75039215686274496</v>
      </c>
      <c r="P192" t="s">
        <v>5779</v>
      </c>
      <c r="Q192" t="s">
        <v>5780</v>
      </c>
      <c r="R192" t="s">
        <v>235</v>
      </c>
      <c r="S192" t="s">
        <v>236</v>
      </c>
      <c r="T192" t="s">
        <v>5781</v>
      </c>
      <c r="U192" t="s">
        <v>5782</v>
      </c>
      <c r="V192" t="s">
        <v>5783</v>
      </c>
      <c r="W192" t="s">
        <v>5784</v>
      </c>
      <c r="AD192" t="s">
        <v>166</v>
      </c>
      <c r="AE192" t="s">
        <v>818</v>
      </c>
      <c r="AF192" t="s">
        <v>5786</v>
      </c>
    </row>
    <row r="193" spans="1:32" hidden="1" x14ac:dyDescent="0.35">
      <c r="A193">
        <v>2797</v>
      </c>
      <c r="B193" t="s">
        <v>5778</v>
      </c>
      <c r="C193" t="s">
        <v>72</v>
      </c>
      <c r="D193" t="s">
        <v>34</v>
      </c>
      <c r="E193">
        <v>187</v>
      </c>
      <c r="F193">
        <v>5</v>
      </c>
      <c r="G193">
        <v>5</v>
      </c>
      <c r="H193">
        <v>1</v>
      </c>
      <c r="I193">
        <v>1</v>
      </c>
      <c r="J193">
        <v>0.82841486763055405</v>
      </c>
      <c r="K193">
        <v>0.99003544050233505</v>
      </c>
      <c r="L193">
        <v>0.90204288203553495</v>
      </c>
      <c r="M193">
        <v>0.67058823529411804</v>
      </c>
      <c r="N193">
        <v>1</v>
      </c>
      <c r="O193">
        <v>0.75039215686274496</v>
      </c>
      <c r="P193" t="s">
        <v>5779</v>
      </c>
      <c r="Q193" t="s">
        <v>5780</v>
      </c>
      <c r="R193" t="s">
        <v>235</v>
      </c>
      <c r="S193" t="s">
        <v>236</v>
      </c>
      <c r="T193" t="s">
        <v>5781</v>
      </c>
      <c r="U193" t="s">
        <v>5782</v>
      </c>
      <c r="V193" t="s">
        <v>5783</v>
      </c>
      <c r="W193" t="s">
        <v>5784</v>
      </c>
      <c r="AD193" t="s">
        <v>166</v>
      </c>
      <c r="AE193" t="s">
        <v>818</v>
      </c>
      <c r="AF193" t="s">
        <v>5787</v>
      </c>
    </row>
    <row r="194" spans="1:32" hidden="1" x14ac:dyDescent="0.35">
      <c r="A194">
        <v>2798</v>
      </c>
      <c r="B194" t="s">
        <v>5778</v>
      </c>
      <c r="C194" t="s">
        <v>72</v>
      </c>
      <c r="D194" t="s">
        <v>45</v>
      </c>
      <c r="E194">
        <v>1450</v>
      </c>
      <c r="F194">
        <v>5</v>
      </c>
      <c r="G194">
        <v>5</v>
      </c>
      <c r="H194">
        <v>1</v>
      </c>
      <c r="I194">
        <v>1</v>
      </c>
      <c r="J194">
        <v>0.82841486763055405</v>
      </c>
      <c r="K194">
        <v>0.99003544050233505</v>
      </c>
      <c r="L194">
        <v>0.90204288203553495</v>
      </c>
      <c r="M194">
        <v>0.67058823529411804</v>
      </c>
      <c r="N194">
        <v>1</v>
      </c>
      <c r="O194">
        <v>0.75039215686274496</v>
      </c>
      <c r="P194" t="s">
        <v>5779</v>
      </c>
      <c r="Q194" t="s">
        <v>5780</v>
      </c>
      <c r="R194" t="s">
        <v>235</v>
      </c>
      <c r="S194" t="s">
        <v>236</v>
      </c>
      <c r="T194" t="s">
        <v>5781</v>
      </c>
      <c r="U194" t="s">
        <v>5782</v>
      </c>
      <c r="V194" t="s">
        <v>5783</v>
      </c>
      <c r="W194" t="s">
        <v>5784</v>
      </c>
      <c r="AD194" t="s">
        <v>166</v>
      </c>
      <c r="AE194" t="s">
        <v>818</v>
      </c>
      <c r="AF194" t="s">
        <v>5788</v>
      </c>
    </row>
    <row r="195" spans="1:32" hidden="1" x14ac:dyDescent="0.35">
      <c r="A195">
        <v>1049</v>
      </c>
      <c r="B195" t="s">
        <v>2185</v>
      </c>
      <c r="C195" t="s">
        <v>72</v>
      </c>
      <c r="D195" t="s">
        <v>58</v>
      </c>
      <c r="E195">
        <v>1795</v>
      </c>
      <c r="F195">
        <v>5</v>
      </c>
      <c r="G195">
        <v>5</v>
      </c>
      <c r="H195">
        <v>1</v>
      </c>
      <c r="I195">
        <v>1</v>
      </c>
      <c r="J195">
        <v>0.85851829330090201</v>
      </c>
      <c r="K195">
        <v>0.90795423754327798</v>
      </c>
      <c r="L195">
        <v>0.88254451603440898</v>
      </c>
      <c r="M195">
        <v>0.66849315068493198</v>
      </c>
      <c r="N195">
        <v>1</v>
      </c>
      <c r="O195">
        <v>0.761643835616438</v>
      </c>
      <c r="P195" t="s">
        <v>1223</v>
      </c>
      <c r="Q195" t="s">
        <v>1224</v>
      </c>
      <c r="R195" t="s">
        <v>869</v>
      </c>
      <c r="S195" t="s">
        <v>870</v>
      </c>
      <c r="T195" t="s">
        <v>2186</v>
      </c>
      <c r="U195" t="s">
        <v>2187</v>
      </c>
      <c r="V195" t="s">
        <v>2188</v>
      </c>
      <c r="W195" t="s">
        <v>2189</v>
      </c>
      <c r="X195" t="s">
        <v>2188</v>
      </c>
      <c r="Y195" t="s">
        <v>2190</v>
      </c>
      <c r="AD195" t="s">
        <v>2191</v>
      </c>
      <c r="AE195" t="s">
        <v>2192</v>
      </c>
      <c r="AF195" t="s">
        <v>2193</v>
      </c>
    </row>
    <row r="196" spans="1:32" hidden="1" x14ac:dyDescent="0.35">
      <c r="A196">
        <v>2925</v>
      </c>
      <c r="B196" t="s">
        <v>6030</v>
      </c>
      <c r="C196" t="s">
        <v>72</v>
      </c>
      <c r="D196" t="s">
        <v>60</v>
      </c>
      <c r="E196">
        <v>1115</v>
      </c>
      <c r="F196">
        <v>5</v>
      </c>
      <c r="G196">
        <v>5</v>
      </c>
      <c r="H196">
        <v>1</v>
      </c>
      <c r="I196">
        <v>1</v>
      </c>
      <c r="J196">
        <v>0.87945646844575198</v>
      </c>
      <c r="K196">
        <v>0.98344925825163299</v>
      </c>
      <c r="L196">
        <v>0.92855027408273305</v>
      </c>
      <c r="M196">
        <v>0.76446280991735505</v>
      </c>
      <c r="N196">
        <v>1</v>
      </c>
      <c r="O196">
        <v>0.83202479338843005</v>
      </c>
      <c r="P196" t="s">
        <v>6031</v>
      </c>
      <c r="Q196" t="s">
        <v>6032</v>
      </c>
      <c r="R196" t="s">
        <v>235</v>
      </c>
      <c r="S196" t="s">
        <v>236</v>
      </c>
      <c r="T196" t="s">
        <v>6033</v>
      </c>
      <c r="U196" t="s">
        <v>6034</v>
      </c>
      <c r="V196" t="s">
        <v>6035</v>
      </c>
      <c r="W196" t="s">
        <v>6036</v>
      </c>
      <c r="X196" t="s">
        <v>6035</v>
      </c>
      <c r="Y196" t="s">
        <v>1108</v>
      </c>
      <c r="Z196" t="s">
        <v>2868</v>
      </c>
      <c r="AA196" t="s">
        <v>2869</v>
      </c>
      <c r="AB196" t="s">
        <v>2868</v>
      </c>
      <c r="AC196" t="s">
        <v>1111</v>
      </c>
      <c r="AD196" t="s">
        <v>147</v>
      </c>
      <c r="AE196" t="s">
        <v>6037</v>
      </c>
      <c r="AF196" t="s">
        <v>6039</v>
      </c>
    </row>
    <row r="197" spans="1:32" hidden="1" x14ac:dyDescent="0.35">
      <c r="A197">
        <v>2926</v>
      </c>
      <c r="B197" t="s">
        <v>6030</v>
      </c>
      <c r="C197" t="s">
        <v>72</v>
      </c>
      <c r="D197" t="s">
        <v>62</v>
      </c>
      <c r="E197">
        <v>1151</v>
      </c>
      <c r="F197">
        <v>5</v>
      </c>
      <c r="G197">
        <v>5</v>
      </c>
      <c r="H197">
        <v>1</v>
      </c>
      <c r="I197">
        <v>1</v>
      </c>
      <c r="J197">
        <v>0.87945646844575198</v>
      </c>
      <c r="K197">
        <v>0.98344925825163299</v>
      </c>
      <c r="L197">
        <v>0.92855027408273305</v>
      </c>
      <c r="M197">
        <v>0.76446280991735505</v>
      </c>
      <c r="N197">
        <v>1</v>
      </c>
      <c r="O197">
        <v>0.83202479338843005</v>
      </c>
      <c r="P197" t="s">
        <v>6031</v>
      </c>
      <c r="Q197" t="s">
        <v>6032</v>
      </c>
      <c r="R197" t="s">
        <v>235</v>
      </c>
      <c r="S197" t="s">
        <v>236</v>
      </c>
      <c r="T197" t="s">
        <v>6033</v>
      </c>
      <c r="U197" t="s">
        <v>6034</v>
      </c>
      <c r="V197" t="s">
        <v>6035</v>
      </c>
      <c r="W197" t="s">
        <v>6036</v>
      </c>
      <c r="X197" t="s">
        <v>6035</v>
      </c>
      <c r="Y197" t="s">
        <v>1108</v>
      </c>
      <c r="Z197" t="s">
        <v>2868</v>
      </c>
      <c r="AA197" t="s">
        <v>2869</v>
      </c>
      <c r="AB197" t="s">
        <v>2868</v>
      </c>
      <c r="AC197" t="s">
        <v>1111</v>
      </c>
      <c r="AD197" t="s">
        <v>147</v>
      </c>
      <c r="AE197" t="s">
        <v>6037</v>
      </c>
      <c r="AF197" t="s">
        <v>6039</v>
      </c>
    </row>
    <row r="198" spans="1:32" hidden="1" x14ac:dyDescent="0.35">
      <c r="A198">
        <v>2927</v>
      </c>
      <c r="B198" t="s">
        <v>6030</v>
      </c>
      <c r="C198" t="s">
        <v>72</v>
      </c>
      <c r="D198" t="s">
        <v>34</v>
      </c>
      <c r="E198">
        <v>32</v>
      </c>
      <c r="F198">
        <v>5</v>
      </c>
      <c r="G198">
        <v>5</v>
      </c>
      <c r="H198">
        <v>1</v>
      </c>
      <c r="I198">
        <v>1</v>
      </c>
      <c r="J198">
        <v>0.87945646844575198</v>
      </c>
      <c r="K198">
        <v>0.98344925825163299</v>
      </c>
      <c r="L198">
        <v>0.92855027408273305</v>
      </c>
      <c r="M198">
        <v>0.76446280991735505</v>
      </c>
      <c r="N198">
        <v>1</v>
      </c>
      <c r="O198">
        <v>0.83202479338843005</v>
      </c>
      <c r="P198" t="s">
        <v>6031</v>
      </c>
      <c r="Q198" t="s">
        <v>6032</v>
      </c>
      <c r="R198" t="s">
        <v>235</v>
      </c>
      <c r="S198" t="s">
        <v>236</v>
      </c>
      <c r="T198" t="s">
        <v>6033</v>
      </c>
      <c r="U198" t="s">
        <v>6034</v>
      </c>
      <c r="V198" t="s">
        <v>6035</v>
      </c>
      <c r="W198" t="s">
        <v>6036</v>
      </c>
      <c r="X198" t="s">
        <v>6035</v>
      </c>
      <c r="Y198" t="s">
        <v>1108</v>
      </c>
      <c r="Z198" t="s">
        <v>2868</v>
      </c>
      <c r="AA198" t="s">
        <v>2869</v>
      </c>
      <c r="AB198" t="s">
        <v>2868</v>
      </c>
      <c r="AC198" t="s">
        <v>1111</v>
      </c>
      <c r="AD198" t="s">
        <v>147</v>
      </c>
      <c r="AE198" t="s">
        <v>6037</v>
      </c>
      <c r="AF198" t="s">
        <v>6040</v>
      </c>
    </row>
    <row r="199" spans="1:32" hidden="1" x14ac:dyDescent="0.35">
      <c r="A199">
        <v>2928</v>
      </c>
      <c r="B199" t="s">
        <v>6030</v>
      </c>
      <c r="C199" t="s">
        <v>72</v>
      </c>
      <c r="D199" t="s">
        <v>45</v>
      </c>
      <c r="E199">
        <v>1289</v>
      </c>
      <c r="F199">
        <v>5</v>
      </c>
      <c r="G199">
        <v>5</v>
      </c>
      <c r="H199">
        <v>1</v>
      </c>
      <c r="I199">
        <v>1</v>
      </c>
      <c r="J199">
        <v>0.87945646844575198</v>
      </c>
      <c r="K199">
        <v>0.98344925825163299</v>
      </c>
      <c r="L199">
        <v>0.92855027408273305</v>
      </c>
      <c r="M199">
        <v>0.76446280991735505</v>
      </c>
      <c r="N199">
        <v>1</v>
      </c>
      <c r="O199">
        <v>0.83202479338843005</v>
      </c>
      <c r="P199" t="s">
        <v>6031</v>
      </c>
      <c r="Q199" t="s">
        <v>6032</v>
      </c>
      <c r="R199" t="s">
        <v>235</v>
      </c>
      <c r="S199" t="s">
        <v>236</v>
      </c>
      <c r="T199" t="s">
        <v>6033</v>
      </c>
      <c r="U199" t="s">
        <v>6034</v>
      </c>
      <c r="V199" t="s">
        <v>6035</v>
      </c>
      <c r="W199" t="s">
        <v>6036</v>
      </c>
      <c r="X199" t="s">
        <v>6035</v>
      </c>
      <c r="Y199" t="s">
        <v>1108</v>
      </c>
      <c r="Z199" t="s">
        <v>2868</v>
      </c>
      <c r="AA199" t="s">
        <v>2869</v>
      </c>
      <c r="AB199" t="s">
        <v>2868</v>
      </c>
      <c r="AC199" t="s">
        <v>1111</v>
      </c>
      <c r="AD199" t="s">
        <v>147</v>
      </c>
      <c r="AE199" t="s">
        <v>6037</v>
      </c>
      <c r="AF199" t="s">
        <v>6041</v>
      </c>
    </row>
    <row r="200" spans="1:32" hidden="1" x14ac:dyDescent="0.35">
      <c r="A200">
        <v>4494</v>
      </c>
      <c r="B200" t="s">
        <v>9361</v>
      </c>
      <c r="C200" t="s">
        <v>72</v>
      </c>
      <c r="D200" t="s">
        <v>58</v>
      </c>
      <c r="E200">
        <v>1124</v>
      </c>
      <c r="F200">
        <v>5</v>
      </c>
      <c r="G200">
        <v>5</v>
      </c>
      <c r="H200">
        <v>1</v>
      </c>
      <c r="I200">
        <v>1</v>
      </c>
      <c r="J200">
        <v>0.83265692640692601</v>
      </c>
      <c r="K200">
        <v>0.96696618805002099</v>
      </c>
      <c r="L200">
        <v>0.89479968068104598</v>
      </c>
      <c r="M200">
        <v>0.69019607843137298</v>
      </c>
      <c r="N200">
        <v>0.99607843137254903</v>
      </c>
      <c r="O200">
        <v>0.78392156862745099</v>
      </c>
      <c r="P200" t="s">
        <v>9362</v>
      </c>
      <c r="Q200" t="s">
        <v>9363</v>
      </c>
      <c r="R200" t="s">
        <v>235</v>
      </c>
      <c r="S200" t="s">
        <v>236</v>
      </c>
      <c r="T200" t="s">
        <v>9364</v>
      </c>
      <c r="U200" t="s">
        <v>9365</v>
      </c>
      <c r="V200" t="s">
        <v>9366</v>
      </c>
      <c r="W200" t="s">
        <v>9367</v>
      </c>
      <c r="X200" t="s">
        <v>9366</v>
      </c>
      <c r="Y200" t="s">
        <v>1136</v>
      </c>
      <c r="Z200" t="s">
        <v>5274</v>
      </c>
      <c r="AA200" t="s">
        <v>5275</v>
      </c>
      <c r="AB200" t="s">
        <v>5274</v>
      </c>
      <c r="AC200" t="s">
        <v>5276</v>
      </c>
      <c r="AD200" t="s">
        <v>245</v>
      </c>
      <c r="AE200" t="s">
        <v>9368</v>
      </c>
      <c r="AF200" t="s">
        <v>9369</v>
      </c>
    </row>
    <row r="201" spans="1:32" hidden="1" x14ac:dyDescent="0.35">
      <c r="A201">
        <v>2930</v>
      </c>
      <c r="B201" t="s">
        <v>6042</v>
      </c>
      <c r="C201" t="s">
        <v>72</v>
      </c>
      <c r="D201" t="s">
        <v>60</v>
      </c>
      <c r="E201">
        <v>1166</v>
      </c>
      <c r="F201">
        <v>5</v>
      </c>
      <c r="G201">
        <v>5</v>
      </c>
      <c r="H201">
        <v>1</v>
      </c>
      <c r="I201">
        <v>1</v>
      </c>
      <c r="J201">
        <v>0.94080214351503</v>
      </c>
      <c r="K201">
        <v>0.99774436090225704</v>
      </c>
      <c r="L201">
        <v>0.968436951373562</v>
      </c>
      <c r="M201">
        <v>0.88721804511278202</v>
      </c>
      <c r="N201">
        <v>1</v>
      </c>
      <c r="O201">
        <v>0.918546365914787</v>
      </c>
      <c r="P201" t="s">
        <v>6043</v>
      </c>
      <c r="Q201" t="s">
        <v>6044</v>
      </c>
      <c r="R201" t="s">
        <v>235</v>
      </c>
      <c r="S201" t="s">
        <v>236</v>
      </c>
      <c r="T201" t="s">
        <v>6045</v>
      </c>
      <c r="U201" t="s">
        <v>6046</v>
      </c>
      <c r="V201" t="s">
        <v>6047</v>
      </c>
      <c r="W201" t="s">
        <v>6048</v>
      </c>
      <c r="X201" t="s">
        <v>6047</v>
      </c>
      <c r="Y201" t="s">
        <v>2932</v>
      </c>
      <c r="Z201" t="s">
        <v>6049</v>
      </c>
      <c r="AA201" t="s">
        <v>6050</v>
      </c>
      <c r="AB201" t="s">
        <v>6049</v>
      </c>
      <c r="AC201" t="s">
        <v>6051</v>
      </c>
      <c r="AD201" t="s">
        <v>6052</v>
      </c>
      <c r="AE201" t="s">
        <v>6053</v>
      </c>
      <c r="AF201" t="s">
        <v>6055</v>
      </c>
    </row>
    <row r="202" spans="1:32" hidden="1" x14ac:dyDescent="0.35">
      <c r="A202">
        <v>2931</v>
      </c>
      <c r="B202" t="s">
        <v>6042</v>
      </c>
      <c r="C202" t="s">
        <v>72</v>
      </c>
      <c r="D202" t="s">
        <v>62</v>
      </c>
      <c r="E202">
        <v>1203</v>
      </c>
      <c r="F202">
        <v>5</v>
      </c>
      <c r="G202">
        <v>5</v>
      </c>
      <c r="H202">
        <v>1</v>
      </c>
      <c r="I202">
        <v>1</v>
      </c>
      <c r="J202">
        <v>0.94080214351503</v>
      </c>
      <c r="K202">
        <v>0.99774436090225704</v>
      </c>
      <c r="L202">
        <v>0.968436951373562</v>
      </c>
      <c r="M202">
        <v>0.88721804511278202</v>
      </c>
      <c r="N202">
        <v>1</v>
      </c>
      <c r="O202">
        <v>0.918546365914787</v>
      </c>
      <c r="P202" t="s">
        <v>6043</v>
      </c>
      <c r="Q202" t="s">
        <v>6044</v>
      </c>
      <c r="R202" t="s">
        <v>235</v>
      </c>
      <c r="S202" t="s">
        <v>236</v>
      </c>
      <c r="T202" t="s">
        <v>6045</v>
      </c>
      <c r="U202" t="s">
        <v>6046</v>
      </c>
      <c r="V202" t="s">
        <v>6047</v>
      </c>
      <c r="W202" t="s">
        <v>6048</v>
      </c>
      <c r="X202" t="s">
        <v>6047</v>
      </c>
      <c r="Y202" t="s">
        <v>2932</v>
      </c>
      <c r="Z202" t="s">
        <v>6049</v>
      </c>
      <c r="AA202" t="s">
        <v>6050</v>
      </c>
      <c r="AB202" t="s">
        <v>6049</v>
      </c>
      <c r="AC202" t="s">
        <v>6051</v>
      </c>
      <c r="AD202" t="s">
        <v>6052</v>
      </c>
      <c r="AE202" t="s">
        <v>6053</v>
      </c>
      <c r="AF202" t="s">
        <v>6055</v>
      </c>
    </row>
    <row r="203" spans="1:32" hidden="1" x14ac:dyDescent="0.35">
      <c r="A203">
        <v>2932</v>
      </c>
      <c r="B203" t="s">
        <v>6042</v>
      </c>
      <c r="C203" t="s">
        <v>72</v>
      </c>
      <c r="D203" t="s">
        <v>34</v>
      </c>
      <c r="E203">
        <v>2509</v>
      </c>
      <c r="F203">
        <v>5</v>
      </c>
      <c r="G203">
        <v>5</v>
      </c>
      <c r="H203">
        <v>1</v>
      </c>
      <c r="I203">
        <v>1</v>
      </c>
      <c r="J203">
        <v>0.94080214351503</v>
      </c>
      <c r="K203">
        <v>0.99774436090225704</v>
      </c>
      <c r="L203">
        <v>0.968436951373562</v>
      </c>
      <c r="M203">
        <v>0.88721804511278202</v>
      </c>
      <c r="N203">
        <v>1</v>
      </c>
      <c r="O203">
        <v>0.918546365914787</v>
      </c>
      <c r="P203" t="s">
        <v>6043</v>
      </c>
      <c r="Q203" t="s">
        <v>6044</v>
      </c>
      <c r="R203" t="s">
        <v>235</v>
      </c>
      <c r="S203" t="s">
        <v>236</v>
      </c>
      <c r="T203" t="s">
        <v>6045</v>
      </c>
      <c r="U203" t="s">
        <v>6046</v>
      </c>
      <c r="V203" t="s">
        <v>6047</v>
      </c>
      <c r="W203" t="s">
        <v>6048</v>
      </c>
      <c r="X203" t="s">
        <v>6047</v>
      </c>
      <c r="Y203" t="s">
        <v>2932</v>
      </c>
      <c r="Z203" t="s">
        <v>6049</v>
      </c>
      <c r="AA203" t="s">
        <v>6050</v>
      </c>
      <c r="AB203" t="s">
        <v>6049</v>
      </c>
      <c r="AC203" t="s">
        <v>6051</v>
      </c>
      <c r="AD203" t="s">
        <v>6052</v>
      </c>
      <c r="AE203" t="s">
        <v>6053</v>
      </c>
      <c r="AF203" t="s">
        <v>6056</v>
      </c>
    </row>
    <row r="204" spans="1:32" hidden="1" x14ac:dyDescent="0.35">
      <c r="A204">
        <v>2933</v>
      </c>
      <c r="B204" t="s">
        <v>6042</v>
      </c>
      <c r="C204" t="s">
        <v>72</v>
      </c>
      <c r="D204" t="s">
        <v>45</v>
      </c>
      <c r="E204">
        <v>1235</v>
      </c>
      <c r="F204">
        <v>5</v>
      </c>
      <c r="G204">
        <v>5</v>
      </c>
      <c r="H204">
        <v>1</v>
      </c>
      <c r="I204">
        <v>1</v>
      </c>
      <c r="J204">
        <v>0.94080214351503</v>
      </c>
      <c r="K204">
        <v>0.99774436090225704</v>
      </c>
      <c r="L204">
        <v>0.968436951373562</v>
      </c>
      <c r="M204">
        <v>0.88721804511278202</v>
      </c>
      <c r="N204">
        <v>1</v>
      </c>
      <c r="O204">
        <v>0.918546365914787</v>
      </c>
      <c r="P204" t="s">
        <v>6043</v>
      </c>
      <c r="Q204" t="s">
        <v>6044</v>
      </c>
      <c r="R204" t="s">
        <v>235</v>
      </c>
      <c r="S204" t="s">
        <v>236</v>
      </c>
      <c r="T204" t="s">
        <v>6045</v>
      </c>
      <c r="U204" t="s">
        <v>6046</v>
      </c>
      <c r="V204" t="s">
        <v>6047</v>
      </c>
      <c r="W204" t="s">
        <v>6048</v>
      </c>
      <c r="X204" t="s">
        <v>6047</v>
      </c>
      <c r="Y204" t="s">
        <v>2932</v>
      </c>
      <c r="Z204" t="s">
        <v>6049</v>
      </c>
      <c r="AA204" t="s">
        <v>6050</v>
      </c>
      <c r="AB204" t="s">
        <v>6049</v>
      </c>
      <c r="AC204" t="s">
        <v>6051</v>
      </c>
      <c r="AD204" t="s">
        <v>6052</v>
      </c>
      <c r="AE204" t="s">
        <v>6053</v>
      </c>
      <c r="AF204" t="s">
        <v>6057</v>
      </c>
    </row>
    <row r="205" spans="1:32" hidden="1" x14ac:dyDescent="0.35">
      <c r="A205">
        <v>584</v>
      </c>
      <c r="B205" t="s">
        <v>1176</v>
      </c>
      <c r="C205" t="s">
        <v>72</v>
      </c>
      <c r="D205" t="s">
        <v>58</v>
      </c>
      <c r="E205">
        <v>1129</v>
      </c>
      <c r="F205">
        <v>5</v>
      </c>
      <c r="G205">
        <v>5</v>
      </c>
      <c r="H205">
        <v>1</v>
      </c>
      <c r="I205">
        <v>1</v>
      </c>
      <c r="J205">
        <v>0.83149847094801199</v>
      </c>
      <c r="K205">
        <v>0.96539626352015595</v>
      </c>
      <c r="L205">
        <v>0.89345858895125396</v>
      </c>
      <c r="M205">
        <v>0.68141592920353999</v>
      </c>
      <c r="N205">
        <v>1</v>
      </c>
      <c r="O205">
        <v>0.75486725663716803</v>
      </c>
      <c r="P205" t="s">
        <v>1177</v>
      </c>
      <c r="Q205" t="s">
        <v>1178</v>
      </c>
      <c r="R205" t="s">
        <v>516</v>
      </c>
      <c r="S205" t="s">
        <v>517</v>
      </c>
      <c r="T205" t="s">
        <v>1179</v>
      </c>
      <c r="U205" t="s">
        <v>1180</v>
      </c>
      <c r="V205" t="s">
        <v>1181</v>
      </c>
      <c r="W205" t="s">
        <v>1182</v>
      </c>
      <c r="AD205" t="s">
        <v>1183</v>
      </c>
      <c r="AE205" t="s">
        <v>1184</v>
      </c>
      <c r="AF205" t="s">
        <v>1185</v>
      </c>
    </row>
    <row r="206" spans="1:32" hidden="1" x14ac:dyDescent="0.35">
      <c r="A206">
        <v>2940</v>
      </c>
      <c r="B206" t="s">
        <v>6072</v>
      </c>
      <c r="C206" t="s">
        <v>72</v>
      </c>
      <c r="D206" t="s">
        <v>60</v>
      </c>
      <c r="E206">
        <v>1236</v>
      </c>
      <c r="F206">
        <v>5</v>
      </c>
      <c r="G206">
        <v>5</v>
      </c>
      <c r="H206">
        <v>1</v>
      </c>
      <c r="I206">
        <v>1</v>
      </c>
      <c r="J206">
        <v>0.81764658440196802</v>
      </c>
      <c r="K206">
        <v>0.94151739490577502</v>
      </c>
      <c r="L206">
        <v>0.87522083348100899</v>
      </c>
      <c r="M206">
        <v>0.62727272727272698</v>
      </c>
      <c r="N206">
        <v>1</v>
      </c>
      <c r="O206">
        <v>0.74840909090909102</v>
      </c>
      <c r="P206" t="s">
        <v>4806</v>
      </c>
      <c r="Q206" t="s">
        <v>4807</v>
      </c>
      <c r="R206" t="s">
        <v>235</v>
      </c>
      <c r="S206" t="s">
        <v>236</v>
      </c>
      <c r="T206" t="s">
        <v>6073</v>
      </c>
      <c r="U206" t="s">
        <v>6074</v>
      </c>
      <c r="V206" t="s">
        <v>6075</v>
      </c>
      <c r="W206" t="s">
        <v>6076</v>
      </c>
      <c r="AD206" t="s">
        <v>191</v>
      </c>
      <c r="AE206" t="s">
        <v>6077</v>
      </c>
      <c r="AF206" t="s">
        <v>6079</v>
      </c>
    </row>
    <row r="207" spans="1:32" hidden="1" x14ac:dyDescent="0.35">
      <c r="A207">
        <v>2941</v>
      </c>
      <c r="B207" t="s">
        <v>6072</v>
      </c>
      <c r="C207" t="s">
        <v>72</v>
      </c>
      <c r="D207" t="s">
        <v>62</v>
      </c>
      <c r="E207">
        <v>1273</v>
      </c>
      <c r="F207">
        <v>5</v>
      </c>
      <c r="G207">
        <v>5</v>
      </c>
      <c r="H207">
        <v>1</v>
      </c>
      <c r="I207">
        <v>1</v>
      </c>
      <c r="J207">
        <v>0.81764658440196802</v>
      </c>
      <c r="K207">
        <v>0.94151739490577502</v>
      </c>
      <c r="L207">
        <v>0.87522083348100899</v>
      </c>
      <c r="M207">
        <v>0.62727272727272698</v>
      </c>
      <c r="N207">
        <v>1</v>
      </c>
      <c r="O207">
        <v>0.74840909090909102</v>
      </c>
      <c r="P207" t="s">
        <v>4806</v>
      </c>
      <c r="Q207" t="s">
        <v>4807</v>
      </c>
      <c r="R207" t="s">
        <v>235</v>
      </c>
      <c r="S207" t="s">
        <v>236</v>
      </c>
      <c r="T207" t="s">
        <v>6073</v>
      </c>
      <c r="U207" t="s">
        <v>6074</v>
      </c>
      <c r="V207" t="s">
        <v>6075</v>
      </c>
      <c r="W207" t="s">
        <v>6076</v>
      </c>
      <c r="AD207" t="s">
        <v>191</v>
      </c>
      <c r="AE207" t="s">
        <v>6077</v>
      </c>
      <c r="AF207" t="s">
        <v>6079</v>
      </c>
    </row>
    <row r="208" spans="1:32" hidden="1" x14ac:dyDescent="0.35">
      <c r="A208">
        <v>2942</v>
      </c>
      <c r="B208" t="s">
        <v>6072</v>
      </c>
      <c r="C208" t="s">
        <v>72</v>
      </c>
      <c r="D208" t="s">
        <v>34</v>
      </c>
      <c r="E208">
        <v>1766</v>
      </c>
      <c r="F208">
        <v>5</v>
      </c>
      <c r="G208">
        <v>5</v>
      </c>
      <c r="H208">
        <v>1</v>
      </c>
      <c r="I208">
        <v>1</v>
      </c>
      <c r="J208">
        <v>0.81764658440196802</v>
      </c>
      <c r="K208">
        <v>0.94151739490577502</v>
      </c>
      <c r="L208">
        <v>0.87522083348100899</v>
      </c>
      <c r="M208">
        <v>0.62727272727272698</v>
      </c>
      <c r="N208">
        <v>1</v>
      </c>
      <c r="O208">
        <v>0.74840909090909102</v>
      </c>
      <c r="P208" t="s">
        <v>4806</v>
      </c>
      <c r="Q208" t="s">
        <v>4807</v>
      </c>
      <c r="R208" t="s">
        <v>235</v>
      </c>
      <c r="S208" t="s">
        <v>236</v>
      </c>
      <c r="T208" t="s">
        <v>6073</v>
      </c>
      <c r="U208" t="s">
        <v>6074</v>
      </c>
      <c r="V208" t="s">
        <v>6075</v>
      </c>
      <c r="W208" t="s">
        <v>6076</v>
      </c>
      <c r="AD208" t="s">
        <v>191</v>
      </c>
      <c r="AE208" t="s">
        <v>6077</v>
      </c>
      <c r="AF208" t="s">
        <v>6080</v>
      </c>
    </row>
    <row r="209" spans="1:32" hidden="1" x14ac:dyDescent="0.35">
      <c r="A209">
        <v>2943</v>
      </c>
      <c r="B209" t="s">
        <v>6072</v>
      </c>
      <c r="C209" t="s">
        <v>72</v>
      </c>
      <c r="D209" t="s">
        <v>45</v>
      </c>
      <c r="E209">
        <v>1107</v>
      </c>
      <c r="F209">
        <v>5</v>
      </c>
      <c r="G209">
        <v>5</v>
      </c>
      <c r="H209">
        <v>1</v>
      </c>
      <c r="I209">
        <v>1</v>
      </c>
      <c r="J209">
        <v>0.81764658440196802</v>
      </c>
      <c r="K209">
        <v>0.94151739490577502</v>
      </c>
      <c r="L209">
        <v>0.87522083348100899</v>
      </c>
      <c r="M209">
        <v>0.62727272727272698</v>
      </c>
      <c r="N209">
        <v>1</v>
      </c>
      <c r="O209">
        <v>0.74840909090909102</v>
      </c>
      <c r="P209" t="s">
        <v>4806</v>
      </c>
      <c r="Q209" t="s">
        <v>4807</v>
      </c>
      <c r="R209" t="s">
        <v>235</v>
      </c>
      <c r="S209" t="s">
        <v>236</v>
      </c>
      <c r="T209" t="s">
        <v>6073</v>
      </c>
      <c r="U209" t="s">
        <v>6074</v>
      </c>
      <c r="V209" t="s">
        <v>6075</v>
      </c>
      <c r="W209" t="s">
        <v>6076</v>
      </c>
      <c r="AD209" t="s">
        <v>191</v>
      </c>
      <c r="AE209" t="s">
        <v>6077</v>
      </c>
      <c r="AF209" t="s">
        <v>6081</v>
      </c>
    </row>
    <row r="210" spans="1:32" hidden="1" x14ac:dyDescent="0.35">
      <c r="A210">
        <v>3149</v>
      </c>
      <c r="B210" t="s">
        <v>6480</v>
      </c>
      <c r="C210" t="s">
        <v>72</v>
      </c>
      <c r="D210" t="s">
        <v>58</v>
      </c>
      <c r="E210">
        <v>1541</v>
      </c>
      <c r="F210">
        <v>5</v>
      </c>
      <c r="G210">
        <v>5</v>
      </c>
      <c r="H210">
        <v>1</v>
      </c>
      <c r="I210">
        <v>1</v>
      </c>
      <c r="J210">
        <v>0.89487902278599996</v>
      </c>
      <c r="K210">
        <v>0.98219915417147097</v>
      </c>
      <c r="L210">
        <v>0.93650805816823002</v>
      </c>
      <c r="M210">
        <v>0.78546712802768204</v>
      </c>
      <c r="N210">
        <v>1</v>
      </c>
      <c r="O210">
        <v>0.84809688581314902</v>
      </c>
      <c r="P210" t="s">
        <v>6481</v>
      </c>
      <c r="Q210" t="s">
        <v>6482</v>
      </c>
      <c r="R210" t="s">
        <v>869</v>
      </c>
      <c r="S210" t="s">
        <v>870</v>
      </c>
      <c r="T210" t="s">
        <v>6483</v>
      </c>
      <c r="U210" t="s">
        <v>6484</v>
      </c>
      <c r="V210" t="s">
        <v>6485</v>
      </c>
      <c r="W210" t="s">
        <v>6486</v>
      </c>
      <c r="Z210" t="s">
        <v>6487</v>
      </c>
      <c r="AA210" t="s">
        <v>6488</v>
      </c>
      <c r="AB210" t="s">
        <v>6487</v>
      </c>
      <c r="AC210" t="s">
        <v>6489</v>
      </c>
      <c r="AD210" t="s">
        <v>2870</v>
      </c>
      <c r="AE210" t="s">
        <v>6490</v>
      </c>
      <c r="AF210" t="s">
        <v>6491</v>
      </c>
    </row>
    <row r="211" spans="1:32" hidden="1" x14ac:dyDescent="0.35">
      <c r="A211">
        <v>2950</v>
      </c>
      <c r="B211" t="s">
        <v>6093</v>
      </c>
      <c r="C211" t="s">
        <v>72</v>
      </c>
      <c r="D211" t="s">
        <v>60</v>
      </c>
      <c r="E211">
        <v>1676</v>
      </c>
      <c r="F211">
        <v>5</v>
      </c>
      <c r="G211">
        <v>5</v>
      </c>
      <c r="H211">
        <v>1</v>
      </c>
      <c r="I211">
        <v>1</v>
      </c>
      <c r="J211">
        <v>0.83112164296998403</v>
      </c>
      <c r="K211">
        <v>0.98608661313676405</v>
      </c>
      <c r="L211">
        <v>0.90199670100199103</v>
      </c>
      <c r="M211">
        <v>0.68691588785046698</v>
      </c>
      <c r="N211">
        <v>1</v>
      </c>
      <c r="O211">
        <v>0.778971962616822</v>
      </c>
      <c r="P211" t="s">
        <v>3484</v>
      </c>
      <c r="Q211" t="s">
        <v>3485</v>
      </c>
      <c r="R211" t="s">
        <v>235</v>
      </c>
      <c r="S211" t="s">
        <v>236</v>
      </c>
      <c r="T211" t="s">
        <v>6094</v>
      </c>
      <c r="U211" t="s">
        <v>6095</v>
      </c>
      <c r="V211" t="s">
        <v>6096</v>
      </c>
      <c r="W211" t="s">
        <v>6097</v>
      </c>
      <c r="X211" t="s">
        <v>6096</v>
      </c>
      <c r="Y211" t="s">
        <v>857</v>
      </c>
      <c r="Z211" t="s">
        <v>858</v>
      </c>
      <c r="AA211" t="s">
        <v>859</v>
      </c>
      <c r="AB211" t="s">
        <v>858</v>
      </c>
      <c r="AC211" t="s">
        <v>860</v>
      </c>
      <c r="AD211" t="s">
        <v>219</v>
      </c>
      <c r="AE211" t="s">
        <v>975</v>
      </c>
      <c r="AF211" t="e">
        <f>---MAKTVALLDYGSGNLRSAQRAVERVGAEVTVASDPQTVLAADGLLVPGVGAFAACMDGLRAVNGPRLIGERLAGGRPVMGICVGMQVLFEHGVEHGIDAQGCGEWPGVVERLHASVLPHMGWNTVDAPENSQMFAGFSSTDRFYFVHSYGVRDWVFEGDDLTTPPLVTWAQHYGDRFVAAVENGPLWATQFHPEKSGEMGLKLLENWVGSL</f>
        <v>#NAME?</v>
      </c>
    </row>
    <row r="212" spans="1:32" hidden="1" x14ac:dyDescent="0.35">
      <c r="A212">
        <v>2951</v>
      </c>
      <c r="B212" t="s">
        <v>6093</v>
      </c>
      <c r="C212" t="s">
        <v>72</v>
      </c>
      <c r="D212" t="s">
        <v>62</v>
      </c>
      <c r="E212">
        <v>1711</v>
      </c>
      <c r="F212">
        <v>5</v>
      </c>
      <c r="G212">
        <v>5</v>
      </c>
      <c r="H212">
        <v>1</v>
      </c>
      <c r="I212">
        <v>1</v>
      </c>
      <c r="J212">
        <v>0.83112164296998403</v>
      </c>
      <c r="K212">
        <v>0.98608661313676405</v>
      </c>
      <c r="L212">
        <v>0.90199670100199103</v>
      </c>
      <c r="M212">
        <v>0.68691588785046698</v>
      </c>
      <c r="N212">
        <v>1</v>
      </c>
      <c r="O212">
        <v>0.778971962616822</v>
      </c>
      <c r="P212" t="s">
        <v>3484</v>
      </c>
      <c r="Q212" t="s">
        <v>3485</v>
      </c>
      <c r="R212" t="s">
        <v>235</v>
      </c>
      <c r="S212" t="s">
        <v>236</v>
      </c>
      <c r="T212" t="s">
        <v>6094</v>
      </c>
      <c r="U212" t="s">
        <v>6095</v>
      </c>
      <c r="V212" t="s">
        <v>6096</v>
      </c>
      <c r="W212" t="s">
        <v>6097</v>
      </c>
      <c r="X212" t="s">
        <v>6096</v>
      </c>
      <c r="Y212" t="s">
        <v>857</v>
      </c>
      <c r="Z212" t="s">
        <v>858</v>
      </c>
      <c r="AA212" t="s">
        <v>859</v>
      </c>
      <c r="AB212" t="s">
        <v>858</v>
      </c>
      <c r="AC212" t="s">
        <v>860</v>
      </c>
      <c r="AD212" t="s">
        <v>219</v>
      </c>
      <c r="AE212" t="s">
        <v>975</v>
      </c>
      <c r="AF212" t="e">
        <f>---MAKTVALLDYGSGNLRSAQRAVERVGAEVTVASDPQTVLAADGLLVPGVGAFAACMDGLRAVNGPRLIGERLAGGRPVMGICVGMQVLFEHGVEHGIDAQGCGEWPGVVERLHASVLPHMGWNTVDAPENSQMFAGFSSTDRFYFVHSYGVRDWVFEGDDLTTPPLVTWAQHYGDRFVAAVENGPLWATQFHPEKSGEMGLKLLENWVGSL</f>
        <v>#NAME?</v>
      </c>
    </row>
    <row r="213" spans="1:32" hidden="1" x14ac:dyDescent="0.35">
      <c r="A213">
        <v>2952</v>
      </c>
      <c r="B213" t="s">
        <v>6093</v>
      </c>
      <c r="C213" t="s">
        <v>72</v>
      </c>
      <c r="D213" t="s">
        <v>34</v>
      </c>
      <c r="E213">
        <v>2071</v>
      </c>
      <c r="F213">
        <v>5</v>
      </c>
      <c r="G213">
        <v>5</v>
      </c>
      <c r="H213">
        <v>1</v>
      </c>
      <c r="I213">
        <v>1</v>
      </c>
      <c r="J213">
        <v>0.83112164296998403</v>
      </c>
      <c r="K213">
        <v>0.98608661313676405</v>
      </c>
      <c r="L213">
        <v>0.90199670100199103</v>
      </c>
      <c r="M213">
        <v>0.68691588785046698</v>
      </c>
      <c r="N213">
        <v>1</v>
      </c>
      <c r="O213">
        <v>0.778971962616822</v>
      </c>
      <c r="P213" t="s">
        <v>3484</v>
      </c>
      <c r="Q213" t="s">
        <v>3485</v>
      </c>
      <c r="R213" t="s">
        <v>235</v>
      </c>
      <c r="S213" t="s">
        <v>236</v>
      </c>
      <c r="T213" t="s">
        <v>6094</v>
      </c>
      <c r="U213" t="s">
        <v>6095</v>
      </c>
      <c r="V213" t="s">
        <v>6096</v>
      </c>
      <c r="W213" t="s">
        <v>6097</v>
      </c>
      <c r="X213" t="s">
        <v>6096</v>
      </c>
      <c r="Y213" t="s">
        <v>857</v>
      </c>
      <c r="Z213" t="s">
        <v>858</v>
      </c>
      <c r="AA213" t="s">
        <v>859</v>
      </c>
      <c r="AB213" t="s">
        <v>858</v>
      </c>
      <c r="AC213" t="s">
        <v>860</v>
      </c>
      <c r="AD213" t="s">
        <v>219</v>
      </c>
      <c r="AE213" t="s">
        <v>975</v>
      </c>
      <c r="AF213" t="e">
        <f>---MPTTVAILDYGSGNLRSAHRALARVGADATITNDPREVLAADGLLVPGVGAFAACMRGLTAINGPRLIGERLAGSRPVMGICVGMQILFEHGVEHGEDAAGCGEWPGVVERLDADILPHMGWNTVDAAPGSAMFAGIDESTRFYFVHSYGIQRWEFPEEGITTPPLVSWATHQTARFVAAVENGPLWATQFHPEKSGDAGAELLKNWLVQL</f>
        <v>#NAME?</v>
      </c>
    </row>
    <row r="214" spans="1:32" hidden="1" x14ac:dyDescent="0.35">
      <c r="A214">
        <v>2953</v>
      </c>
      <c r="B214" t="s">
        <v>6093</v>
      </c>
      <c r="C214" t="s">
        <v>72</v>
      </c>
      <c r="D214" t="s">
        <v>45</v>
      </c>
      <c r="E214">
        <v>801</v>
      </c>
      <c r="F214">
        <v>5</v>
      </c>
      <c r="G214">
        <v>5</v>
      </c>
      <c r="H214">
        <v>1</v>
      </c>
      <c r="I214">
        <v>1</v>
      </c>
      <c r="J214">
        <v>0.83112164296998403</v>
      </c>
      <c r="K214">
        <v>0.98608661313676405</v>
      </c>
      <c r="L214">
        <v>0.90199670100199103</v>
      </c>
      <c r="M214">
        <v>0.68691588785046698</v>
      </c>
      <c r="N214">
        <v>1</v>
      </c>
      <c r="O214">
        <v>0.778971962616822</v>
      </c>
      <c r="P214" t="s">
        <v>3484</v>
      </c>
      <c r="Q214" t="s">
        <v>3485</v>
      </c>
      <c r="R214" t="s">
        <v>235</v>
      </c>
      <c r="S214" t="s">
        <v>236</v>
      </c>
      <c r="T214" t="s">
        <v>6094</v>
      </c>
      <c r="U214" t="s">
        <v>6095</v>
      </c>
      <c r="V214" t="s">
        <v>6096</v>
      </c>
      <c r="W214" t="s">
        <v>6097</v>
      </c>
      <c r="X214" t="s">
        <v>6096</v>
      </c>
      <c r="Y214" t="s">
        <v>857</v>
      </c>
      <c r="Z214" t="s">
        <v>858</v>
      </c>
      <c r="AA214" t="s">
        <v>859</v>
      </c>
      <c r="AB214" t="s">
        <v>858</v>
      </c>
      <c r="AC214" t="s">
        <v>860</v>
      </c>
      <c r="AD214" t="s">
        <v>219</v>
      </c>
      <c r="AE214" t="s">
        <v>975</v>
      </c>
      <c r="AF214" t="e">
        <f>---MPTTVAILDYGFGNLRSAHRALARVGADATITNDPREVLAADGLLVPGVGAFAACMRGLTAINGPRLIGERLAGSRPVMGICVGMQILFEHGVEHGEDAAGCGEWPGVVERLDADILPHMGWNTIDAAPGSAMFAGIDESTRFYFVHSYGVQRWEFPEEGITTPPLVSWATHQTARFVAAVENGPLWATQFHPEKSGDAGAELLKNWLAQL</f>
        <v>#NAME?</v>
      </c>
    </row>
    <row r="215" spans="1:32" hidden="1" x14ac:dyDescent="0.35">
      <c r="A215">
        <v>3204</v>
      </c>
      <c r="B215" t="s">
        <v>6581</v>
      </c>
      <c r="C215" t="s">
        <v>72</v>
      </c>
      <c r="D215" t="s">
        <v>58</v>
      </c>
      <c r="E215">
        <v>1308</v>
      </c>
      <c r="F215">
        <v>5</v>
      </c>
      <c r="G215">
        <v>5</v>
      </c>
      <c r="H215">
        <v>1</v>
      </c>
      <c r="I215">
        <v>1</v>
      </c>
      <c r="J215">
        <v>0.81790406355026002</v>
      </c>
      <c r="K215">
        <v>0.980163097228963</v>
      </c>
      <c r="L215">
        <v>0.89171238722602097</v>
      </c>
      <c r="M215">
        <v>0.66467065868263497</v>
      </c>
      <c r="N215">
        <v>1</v>
      </c>
      <c r="O215">
        <v>0.76107784431137704</v>
      </c>
      <c r="P215" t="s">
        <v>6582</v>
      </c>
      <c r="Q215" t="s">
        <v>6583</v>
      </c>
      <c r="R215" t="s">
        <v>235</v>
      </c>
      <c r="S215" t="s">
        <v>236</v>
      </c>
      <c r="T215" t="s">
        <v>6584</v>
      </c>
      <c r="U215" t="s">
        <v>6585</v>
      </c>
      <c r="V215" t="s">
        <v>6586</v>
      </c>
      <c r="W215" t="s">
        <v>6587</v>
      </c>
      <c r="Z215" t="s">
        <v>6588</v>
      </c>
      <c r="AA215" t="s">
        <v>6589</v>
      </c>
      <c r="AB215" t="s">
        <v>6588</v>
      </c>
      <c r="AC215" t="s">
        <v>6590</v>
      </c>
      <c r="AD215" t="s">
        <v>245</v>
      </c>
      <c r="AE215" t="s">
        <v>6591</v>
      </c>
      <c r="AF215" t="s">
        <v>6592</v>
      </c>
    </row>
    <row r="216" spans="1:32" hidden="1" x14ac:dyDescent="0.35">
      <c r="A216">
        <v>2995</v>
      </c>
      <c r="B216" t="s">
        <v>6180</v>
      </c>
      <c r="C216" t="s">
        <v>72</v>
      </c>
      <c r="D216" t="s">
        <v>60</v>
      </c>
      <c r="E216">
        <v>303</v>
      </c>
      <c r="F216">
        <v>5</v>
      </c>
      <c r="G216">
        <v>5</v>
      </c>
      <c r="H216">
        <v>1</v>
      </c>
      <c r="I216">
        <v>1</v>
      </c>
      <c r="J216">
        <v>0.73420235878336404</v>
      </c>
      <c r="K216">
        <v>0.99079130791307701</v>
      </c>
      <c r="L216">
        <v>0.84341331724999102</v>
      </c>
      <c r="M216">
        <v>0.52398523985239898</v>
      </c>
      <c r="N216">
        <v>1</v>
      </c>
      <c r="O216">
        <v>0.65350553505535003</v>
      </c>
      <c r="P216" t="s">
        <v>6181</v>
      </c>
      <c r="Q216" t="s">
        <v>6182</v>
      </c>
      <c r="R216" t="s">
        <v>235</v>
      </c>
      <c r="S216" t="s">
        <v>236</v>
      </c>
      <c r="T216" t="s">
        <v>6183</v>
      </c>
      <c r="U216" t="s">
        <v>6184</v>
      </c>
      <c r="V216" t="s">
        <v>6185</v>
      </c>
      <c r="W216" t="s">
        <v>6186</v>
      </c>
      <c r="X216" t="s">
        <v>6185</v>
      </c>
      <c r="Y216" t="s">
        <v>3568</v>
      </c>
      <c r="Z216" t="s">
        <v>6187</v>
      </c>
      <c r="AA216" t="s">
        <v>6188</v>
      </c>
      <c r="AB216" t="s">
        <v>6187</v>
      </c>
      <c r="AC216" t="s">
        <v>6189</v>
      </c>
      <c r="AD216" t="s">
        <v>219</v>
      </c>
      <c r="AE216" t="s">
        <v>6190</v>
      </c>
      <c r="AF216" t="s">
        <v>6192</v>
      </c>
    </row>
    <row r="217" spans="1:32" hidden="1" x14ac:dyDescent="0.35">
      <c r="A217">
        <v>2996</v>
      </c>
      <c r="B217" t="s">
        <v>6180</v>
      </c>
      <c r="C217" t="s">
        <v>72</v>
      </c>
      <c r="D217" t="s">
        <v>62</v>
      </c>
      <c r="E217">
        <v>383</v>
      </c>
      <c r="F217">
        <v>5</v>
      </c>
      <c r="G217">
        <v>5</v>
      </c>
      <c r="H217">
        <v>1</v>
      </c>
      <c r="I217">
        <v>1</v>
      </c>
      <c r="J217">
        <v>0.73420235878336404</v>
      </c>
      <c r="K217">
        <v>0.99079130791307701</v>
      </c>
      <c r="L217">
        <v>0.84341331724999102</v>
      </c>
      <c r="M217">
        <v>0.52398523985239898</v>
      </c>
      <c r="N217">
        <v>1</v>
      </c>
      <c r="O217">
        <v>0.65350553505535003</v>
      </c>
      <c r="P217" t="s">
        <v>6181</v>
      </c>
      <c r="Q217" t="s">
        <v>6182</v>
      </c>
      <c r="R217" t="s">
        <v>235</v>
      </c>
      <c r="S217" t="s">
        <v>236</v>
      </c>
      <c r="T217" t="s">
        <v>6183</v>
      </c>
      <c r="U217" t="s">
        <v>6184</v>
      </c>
      <c r="V217" t="s">
        <v>6185</v>
      </c>
      <c r="W217" t="s">
        <v>6186</v>
      </c>
      <c r="X217" t="s">
        <v>6185</v>
      </c>
      <c r="Y217" t="s">
        <v>3568</v>
      </c>
      <c r="Z217" t="s">
        <v>6187</v>
      </c>
      <c r="AA217" t="s">
        <v>6188</v>
      </c>
      <c r="AB217" t="s">
        <v>6187</v>
      </c>
      <c r="AC217" t="s">
        <v>6189</v>
      </c>
      <c r="AD217" t="s">
        <v>219</v>
      </c>
      <c r="AE217" t="s">
        <v>6190</v>
      </c>
      <c r="AF217" t="s">
        <v>6193</v>
      </c>
    </row>
    <row r="218" spans="1:32" hidden="1" x14ac:dyDescent="0.35">
      <c r="A218">
        <v>2997</v>
      </c>
      <c r="B218" t="s">
        <v>6180</v>
      </c>
      <c r="C218" t="s">
        <v>72</v>
      </c>
      <c r="D218" t="s">
        <v>34</v>
      </c>
      <c r="E218">
        <v>854</v>
      </c>
      <c r="F218">
        <v>5</v>
      </c>
      <c r="G218">
        <v>5</v>
      </c>
      <c r="H218">
        <v>1</v>
      </c>
      <c r="I218">
        <v>1</v>
      </c>
      <c r="J218">
        <v>0.73420235878336404</v>
      </c>
      <c r="K218">
        <v>0.99079130791307701</v>
      </c>
      <c r="L218">
        <v>0.84341331724999102</v>
      </c>
      <c r="M218">
        <v>0.52398523985239898</v>
      </c>
      <c r="N218">
        <v>1</v>
      </c>
      <c r="O218">
        <v>0.65350553505535003</v>
      </c>
      <c r="P218" t="s">
        <v>6181</v>
      </c>
      <c r="Q218" t="s">
        <v>6182</v>
      </c>
      <c r="R218" t="s">
        <v>235</v>
      </c>
      <c r="S218" t="s">
        <v>236</v>
      </c>
      <c r="T218" t="s">
        <v>6183</v>
      </c>
      <c r="U218" t="s">
        <v>6184</v>
      </c>
      <c r="V218" t="s">
        <v>6185</v>
      </c>
      <c r="W218" t="s">
        <v>6186</v>
      </c>
      <c r="X218" t="s">
        <v>6185</v>
      </c>
      <c r="Y218" t="s">
        <v>3568</v>
      </c>
      <c r="Z218" t="s">
        <v>6187</v>
      </c>
      <c r="AA218" t="s">
        <v>6188</v>
      </c>
      <c r="AB218" t="s">
        <v>6187</v>
      </c>
      <c r="AC218" t="s">
        <v>6189</v>
      </c>
      <c r="AD218" t="s">
        <v>219</v>
      </c>
      <c r="AE218" t="s">
        <v>6190</v>
      </c>
      <c r="AF218" t="s">
        <v>6194</v>
      </c>
    </row>
    <row r="219" spans="1:32" hidden="1" x14ac:dyDescent="0.35">
      <c r="A219">
        <v>2998</v>
      </c>
      <c r="B219" t="s">
        <v>6180</v>
      </c>
      <c r="C219" t="s">
        <v>72</v>
      </c>
      <c r="D219" t="s">
        <v>45</v>
      </c>
      <c r="E219">
        <v>2111</v>
      </c>
      <c r="F219">
        <v>5</v>
      </c>
      <c r="G219">
        <v>5</v>
      </c>
      <c r="H219">
        <v>1</v>
      </c>
      <c r="I219">
        <v>1</v>
      </c>
      <c r="J219">
        <v>0.73420235878336404</v>
      </c>
      <c r="K219">
        <v>0.99079130791307701</v>
      </c>
      <c r="L219">
        <v>0.84341331724999102</v>
      </c>
      <c r="M219">
        <v>0.52398523985239898</v>
      </c>
      <c r="N219">
        <v>1</v>
      </c>
      <c r="O219">
        <v>0.65350553505535003</v>
      </c>
      <c r="P219" t="s">
        <v>6181</v>
      </c>
      <c r="Q219" t="s">
        <v>6182</v>
      </c>
      <c r="R219" t="s">
        <v>235</v>
      </c>
      <c r="S219" t="s">
        <v>236</v>
      </c>
      <c r="T219" t="s">
        <v>6183</v>
      </c>
      <c r="U219" t="s">
        <v>6184</v>
      </c>
      <c r="V219" t="s">
        <v>6185</v>
      </c>
      <c r="W219" t="s">
        <v>6186</v>
      </c>
      <c r="X219" t="s">
        <v>6185</v>
      </c>
      <c r="Y219" t="s">
        <v>3568</v>
      </c>
      <c r="Z219" t="s">
        <v>6187</v>
      </c>
      <c r="AA219" t="s">
        <v>6188</v>
      </c>
      <c r="AB219" t="s">
        <v>6187</v>
      </c>
      <c r="AC219" t="s">
        <v>6189</v>
      </c>
      <c r="AD219" t="s">
        <v>219</v>
      </c>
      <c r="AE219" t="s">
        <v>6190</v>
      </c>
      <c r="AF219" t="s">
        <v>6194</v>
      </c>
    </row>
    <row r="220" spans="1:32" hidden="1" x14ac:dyDescent="0.35">
      <c r="A220">
        <v>1279</v>
      </c>
      <c r="B220" t="s">
        <v>2649</v>
      </c>
      <c r="C220" t="s">
        <v>72</v>
      </c>
      <c r="D220" t="s">
        <v>58</v>
      </c>
      <c r="E220">
        <v>1103</v>
      </c>
      <c r="F220">
        <v>5</v>
      </c>
      <c r="G220">
        <v>5</v>
      </c>
      <c r="H220">
        <v>1</v>
      </c>
      <c r="I220">
        <v>1</v>
      </c>
      <c r="J220">
        <v>0.87113909108793997</v>
      </c>
      <c r="K220">
        <v>0.90504487319803495</v>
      </c>
      <c r="L220">
        <v>0.88776836643548995</v>
      </c>
      <c r="M220">
        <v>0.69964664310954106</v>
      </c>
      <c r="N220">
        <v>1</v>
      </c>
      <c r="O220">
        <v>0.78816254416961096</v>
      </c>
      <c r="P220" t="s">
        <v>2650</v>
      </c>
      <c r="Q220" t="s">
        <v>2651</v>
      </c>
      <c r="R220" t="s">
        <v>224</v>
      </c>
      <c r="S220" t="s">
        <v>225</v>
      </c>
      <c r="T220" t="s">
        <v>2652</v>
      </c>
      <c r="U220" t="s">
        <v>207</v>
      </c>
      <c r="V220" t="s">
        <v>2653</v>
      </c>
      <c r="W220" t="s">
        <v>2654</v>
      </c>
      <c r="AD220" t="s">
        <v>210</v>
      </c>
      <c r="AE220" t="s">
        <v>211</v>
      </c>
      <c r="AF220" t="s">
        <v>2655</v>
      </c>
    </row>
    <row r="221" spans="1:32" hidden="1" x14ac:dyDescent="0.35">
      <c r="A221">
        <v>3095</v>
      </c>
      <c r="B221" t="s">
        <v>6383</v>
      </c>
      <c r="C221" t="s">
        <v>72</v>
      </c>
      <c r="D221" t="s">
        <v>60</v>
      </c>
      <c r="E221">
        <v>930</v>
      </c>
      <c r="F221">
        <v>5</v>
      </c>
      <c r="G221">
        <v>5</v>
      </c>
      <c r="H221">
        <v>1</v>
      </c>
      <c r="I221">
        <v>1</v>
      </c>
      <c r="J221">
        <v>0.83157568238213397</v>
      </c>
      <c r="K221">
        <v>0.977212858063919</v>
      </c>
      <c r="L221">
        <v>0.89853117830645102</v>
      </c>
      <c r="M221">
        <v>0.71515151515151498</v>
      </c>
      <c r="N221">
        <v>1</v>
      </c>
      <c r="O221">
        <v>0.78151515151515105</v>
      </c>
      <c r="P221" t="s">
        <v>4315</v>
      </c>
      <c r="Q221" t="s">
        <v>4316</v>
      </c>
      <c r="R221" t="s">
        <v>235</v>
      </c>
      <c r="S221" t="s">
        <v>236</v>
      </c>
      <c r="T221" t="s">
        <v>4317</v>
      </c>
      <c r="U221" t="s">
        <v>4318</v>
      </c>
      <c r="V221" t="s">
        <v>4319</v>
      </c>
      <c r="W221" t="s">
        <v>4320</v>
      </c>
      <c r="X221" t="s">
        <v>4319</v>
      </c>
      <c r="Y221" t="s">
        <v>1136</v>
      </c>
      <c r="Z221" t="s">
        <v>2933</v>
      </c>
      <c r="AA221" t="s">
        <v>2934</v>
      </c>
      <c r="AB221" t="s">
        <v>2933</v>
      </c>
      <c r="AC221" t="s">
        <v>2804</v>
      </c>
      <c r="AD221" t="s">
        <v>219</v>
      </c>
      <c r="AE221" t="s">
        <v>4321</v>
      </c>
      <c r="AF221" t="s">
        <v>6385</v>
      </c>
    </row>
    <row r="222" spans="1:32" hidden="1" x14ac:dyDescent="0.35">
      <c r="A222">
        <v>3096</v>
      </c>
      <c r="B222" t="s">
        <v>6383</v>
      </c>
      <c r="C222" t="s">
        <v>72</v>
      </c>
      <c r="D222" t="s">
        <v>62</v>
      </c>
      <c r="E222">
        <v>966</v>
      </c>
      <c r="F222">
        <v>5</v>
      </c>
      <c r="G222">
        <v>5</v>
      </c>
      <c r="H222">
        <v>1</v>
      </c>
      <c r="I222">
        <v>1</v>
      </c>
      <c r="J222">
        <v>0.83157568238213397</v>
      </c>
      <c r="K222">
        <v>0.977212858063919</v>
      </c>
      <c r="L222">
        <v>0.89853117830645102</v>
      </c>
      <c r="M222">
        <v>0.71515151515151498</v>
      </c>
      <c r="N222">
        <v>1</v>
      </c>
      <c r="O222">
        <v>0.78151515151515105</v>
      </c>
      <c r="P222" t="s">
        <v>4315</v>
      </c>
      <c r="Q222" t="s">
        <v>4316</v>
      </c>
      <c r="R222" t="s">
        <v>235</v>
      </c>
      <c r="S222" t="s">
        <v>236</v>
      </c>
      <c r="T222" t="s">
        <v>4317</v>
      </c>
      <c r="U222" t="s">
        <v>4318</v>
      </c>
      <c r="V222" t="s">
        <v>4319</v>
      </c>
      <c r="W222" t="s">
        <v>4320</v>
      </c>
      <c r="X222" t="s">
        <v>4319</v>
      </c>
      <c r="Y222" t="s">
        <v>1136</v>
      </c>
      <c r="Z222" t="s">
        <v>2933</v>
      </c>
      <c r="AA222" t="s">
        <v>2934</v>
      </c>
      <c r="AB222" t="s">
        <v>2933</v>
      </c>
      <c r="AC222" t="s">
        <v>2804</v>
      </c>
      <c r="AD222" t="s">
        <v>219</v>
      </c>
      <c r="AE222" t="s">
        <v>4321</v>
      </c>
      <c r="AF222" t="s">
        <v>6385</v>
      </c>
    </row>
    <row r="223" spans="1:32" hidden="1" x14ac:dyDescent="0.35">
      <c r="A223">
        <v>3097</v>
      </c>
      <c r="B223" t="s">
        <v>6383</v>
      </c>
      <c r="C223" t="s">
        <v>72</v>
      </c>
      <c r="D223" t="s">
        <v>34</v>
      </c>
      <c r="E223">
        <v>231</v>
      </c>
      <c r="F223">
        <v>5</v>
      </c>
      <c r="G223">
        <v>5</v>
      </c>
      <c r="H223">
        <v>1</v>
      </c>
      <c r="I223">
        <v>1</v>
      </c>
      <c r="J223">
        <v>0.83157568238213397</v>
      </c>
      <c r="K223">
        <v>0.977212858063919</v>
      </c>
      <c r="L223">
        <v>0.89853117830645102</v>
      </c>
      <c r="M223">
        <v>0.71515151515151498</v>
      </c>
      <c r="N223">
        <v>1</v>
      </c>
      <c r="O223">
        <v>0.78151515151515105</v>
      </c>
      <c r="P223" t="s">
        <v>4315</v>
      </c>
      <c r="Q223" t="s">
        <v>4316</v>
      </c>
      <c r="R223" t="s">
        <v>235</v>
      </c>
      <c r="S223" t="s">
        <v>236</v>
      </c>
      <c r="T223" t="s">
        <v>4317</v>
      </c>
      <c r="U223" t="s">
        <v>4318</v>
      </c>
      <c r="V223" t="s">
        <v>4319</v>
      </c>
      <c r="W223" t="s">
        <v>4320</v>
      </c>
      <c r="X223" t="s">
        <v>4319</v>
      </c>
      <c r="Y223" t="s">
        <v>1136</v>
      </c>
      <c r="Z223" t="s">
        <v>2933</v>
      </c>
      <c r="AA223" t="s">
        <v>2934</v>
      </c>
      <c r="AB223" t="s">
        <v>2933</v>
      </c>
      <c r="AC223" t="s">
        <v>2804</v>
      </c>
      <c r="AD223" t="s">
        <v>219</v>
      </c>
      <c r="AE223" t="s">
        <v>4321</v>
      </c>
      <c r="AF223" t="s">
        <v>6386</v>
      </c>
    </row>
    <row r="224" spans="1:32" hidden="1" x14ac:dyDescent="0.35">
      <c r="A224">
        <v>3098</v>
      </c>
      <c r="B224" t="s">
        <v>6383</v>
      </c>
      <c r="C224" t="s">
        <v>72</v>
      </c>
      <c r="D224" t="s">
        <v>45</v>
      </c>
      <c r="E224">
        <v>1494</v>
      </c>
      <c r="F224">
        <v>5</v>
      </c>
      <c r="G224">
        <v>5</v>
      </c>
      <c r="H224">
        <v>1</v>
      </c>
      <c r="I224">
        <v>1</v>
      </c>
      <c r="J224">
        <v>0.83157568238213397</v>
      </c>
      <c r="K224">
        <v>0.977212858063919</v>
      </c>
      <c r="L224">
        <v>0.89853117830645102</v>
      </c>
      <c r="M224">
        <v>0.71515151515151498</v>
      </c>
      <c r="N224">
        <v>1</v>
      </c>
      <c r="O224">
        <v>0.78151515151515105</v>
      </c>
      <c r="P224" t="s">
        <v>4315</v>
      </c>
      <c r="Q224" t="s">
        <v>4316</v>
      </c>
      <c r="R224" t="s">
        <v>235</v>
      </c>
      <c r="S224" t="s">
        <v>236</v>
      </c>
      <c r="T224" t="s">
        <v>4317</v>
      </c>
      <c r="U224" t="s">
        <v>4318</v>
      </c>
      <c r="V224" t="s">
        <v>4319</v>
      </c>
      <c r="W224" t="s">
        <v>4320</v>
      </c>
      <c r="X224" t="s">
        <v>4319</v>
      </c>
      <c r="Y224" t="s">
        <v>1136</v>
      </c>
      <c r="Z224" t="s">
        <v>2933</v>
      </c>
      <c r="AA224" t="s">
        <v>2934</v>
      </c>
      <c r="AB224" t="s">
        <v>2933</v>
      </c>
      <c r="AC224" t="s">
        <v>2804</v>
      </c>
      <c r="AD224" t="s">
        <v>219</v>
      </c>
      <c r="AE224" t="s">
        <v>4321</v>
      </c>
      <c r="AF224" t="s">
        <v>6387</v>
      </c>
    </row>
    <row r="225" spans="1:32" hidden="1" x14ac:dyDescent="0.35">
      <c r="A225">
        <v>2664</v>
      </c>
      <c r="B225" t="s">
        <v>5504</v>
      </c>
      <c r="C225" t="s">
        <v>72</v>
      </c>
      <c r="D225" t="s">
        <v>58</v>
      </c>
      <c r="E225">
        <v>363</v>
      </c>
      <c r="F225">
        <v>5</v>
      </c>
      <c r="G225">
        <v>5</v>
      </c>
      <c r="H225">
        <v>1</v>
      </c>
      <c r="I225">
        <v>1</v>
      </c>
      <c r="J225">
        <v>0.74936650541349903</v>
      </c>
      <c r="K225">
        <v>0.89777929880598994</v>
      </c>
      <c r="L225">
        <v>0.81688668247268004</v>
      </c>
      <c r="M225">
        <v>0.54004106776180705</v>
      </c>
      <c r="N225">
        <v>1</v>
      </c>
      <c r="O225">
        <v>0.66529774127310104</v>
      </c>
      <c r="P225" t="s">
        <v>4683</v>
      </c>
      <c r="Q225" t="s">
        <v>4684</v>
      </c>
      <c r="R225" t="s">
        <v>235</v>
      </c>
      <c r="S225" t="s">
        <v>236</v>
      </c>
      <c r="T225" t="s">
        <v>5505</v>
      </c>
      <c r="U225" t="s">
        <v>5506</v>
      </c>
      <c r="V225" t="s">
        <v>5507</v>
      </c>
      <c r="W225" t="s">
        <v>5508</v>
      </c>
      <c r="X225" t="s">
        <v>5507</v>
      </c>
      <c r="Y225" t="s">
        <v>241</v>
      </c>
      <c r="Z225" t="s">
        <v>2139</v>
      </c>
      <c r="AA225" t="s">
        <v>2140</v>
      </c>
      <c r="AB225" t="s">
        <v>2139</v>
      </c>
      <c r="AC225" t="s">
        <v>244</v>
      </c>
      <c r="AD225" t="s">
        <v>219</v>
      </c>
      <c r="AE225" t="s">
        <v>5509</v>
      </c>
      <c r="AF225" t="s">
        <v>5510</v>
      </c>
    </row>
    <row r="226" spans="1:32" hidden="1" x14ac:dyDescent="0.35">
      <c r="A226">
        <v>3100</v>
      </c>
      <c r="B226" t="s">
        <v>6388</v>
      </c>
      <c r="C226" t="s">
        <v>72</v>
      </c>
      <c r="D226" t="s">
        <v>60</v>
      </c>
      <c r="E226">
        <v>1060</v>
      </c>
      <c r="F226">
        <v>5</v>
      </c>
      <c r="G226">
        <v>5</v>
      </c>
      <c r="H226">
        <v>1</v>
      </c>
      <c r="I226">
        <v>1</v>
      </c>
      <c r="J226">
        <v>0.80806327160493796</v>
      </c>
      <c r="K226">
        <v>0.971192788675173</v>
      </c>
      <c r="L226">
        <v>0.88214983744659403</v>
      </c>
      <c r="M226">
        <v>0.62921348314606695</v>
      </c>
      <c r="N226">
        <v>1</v>
      </c>
      <c r="O226">
        <v>0.74887640449438198</v>
      </c>
      <c r="P226" t="s">
        <v>6389</v>
      </c>
      <c r="Q226" t="s">
        <v>6390</v>
      </c>
      <c r="R226" t="s">
        <v>235</v>
      </c>
      <c r="S226" t="s">
        <v>236</v>
      </c>
      <c r="T226" t="s">
        <v>6391</v>
      </c>
      <c r="U226" t="s">
        <v>6392</v>
      </c>
      <c r="V226" t="s">
        <v>6393</v>
      </c>
      <c r="W226" t="s">
        <v>6394</v>
      </c>
      <c r="X226" t="s">
        <v>6393</v>
      </c>
      <c r="Y226" t="s">
        <v>1108</v>
      </c>
      <c r="Z226" t="s">
        <v>1109</v>
      </c>
      <c r="AA226" t="s">
        <v>1110</v>
      </c>
      <c r="AB226" t="s">
        <v>1109</v>
      </c>
      <c r="AC226" t="s">
        <v>1111</v>
      </c>
      <c r="AD226" t="s">
        <v>1140</v>
      </c>
      <c r="AE226" t="s">
        <v>6395</v>
      </c>
      <c r="AF226" t="e">
        <f>------MAATDISRHTLSVLVEDIDGIISRVAAMFTRRAFTMVSITSATTETPGVNRITIVVDTDEEKIEQITKQLNKLVPVLKVVRLAEDQMIARALLMVKVSADNSNRPQVVDAAKLFRARVVDVAQESVVIEATGSHDKLRALLDVLEPFGIRELLECGQIALNRGPKIMIPNKL</f>
        <v>#NAME?</v>
      </c>
    </row>
    <row r="227" spans="1:32" hidden="1" x14ac:dyDescent="0.35">
      <c r="A227">
        <v>3101</v>
      </c>
      <c r="B227" t="s">
        <v>6388</v>
      </c>
      <c r="C227" t="s">
        <v>72</v>
      </c>
      <c r="D227" t="s">
        <v>62</v>
      </c>
      <c r="E227">
        <v>1096</v>
      </c>
      <c r="F227">
        <v>5</v>
      </c>
      <c r="G227">
        <v>5</v>
      </c>
      <c r="H227">
        <v>1</v>
      </c>
      <c r="I227">
        <v>1</v>
      </c>
      <c r="J227">
        <v>0.80806327160493796</v>
      </c>
      <c r="K227">
        <v>0.971192788675173</v>
      </c>
      <c r="L227">
        <v>0.88214983744659403</v>
      </c>
      <c r="M227">
        <v>0.62921348314606695</v>
      </c>
      <c r="N227">
        <v>1</v>
      </c>
      <c r="O227">
        <v>0.74887640449438198</v>
      </c>
      <c r="P227" t="s">
        <v>6389</v>
      </c>
      <c r="Q227" t="s">
        <v>6390</v>
      </c>
      <c r="R227" t="s">
        <v>235</v>
      </c>
      <c r="S227" t="s">
        <v>236</v>
      </c>
      <c r="T227" t="s">
        <v>6391</v>
      </c>
      <c r="U227" t="s">
        <v>6392</v>
      </c>
      <c r="V227" t="s">
        <v>6393</v>
      </c>
      <c r="W227" t="s">
        <v>6394</v>
      </c>
      <c r="X227" t="s">
        <v>6393</v>
      </c>
      <c r="Y227" t="s">
        <v>1108</v>
      </c>
      <c r="Z227" t="s">
        <v>1109</v>
      </c>
      <c r="AA227" t="s">
        <v>1110</v>
      </c>
      <c r="AB227" t="s">
        <v>1109</v>
      </c>
      <c r="AC227" t="s">
        <v>1111</v>
      </c>
      <c r="AD227" t="s">
        <v>1140</v>
      </c>
      <c r="AE227" t="s">
        <v>6395</v>
      </c>
      <c r="AF227" t="e">
        <f>------MAATDISRHTLSVLVEDIDGIISRVAAMFTRRAFTMVSITSATTETPGVNRITIVVDTDEEKIEQITKQLNKLVPVLKVVRLAEDQMIARALLMVKVSADNSNRPQVVDAAKLFRARVVDVAQESVVIEATGSHDKLRALLDVLEPFGIRELLECGQIALNRGPKIMMPNKL</f>
        <v>#NAME?</v>
      </c>
    </row>
    <row r="228" spans="1:32" hidden="1" x14ac:dyDescent="0.35">
      <c r="A228">
        <v>3102</v>
      </c>
      <c r="B228" t="s">
        <v>6388</v>
      </c>
      <c r="C228" t="s">
        <v>72</v>
      </c>
      <c r="D228" t="s">
        <v>34</v>
      </c>
      <c r="E228">
        <v>56</v>
      </c>
      <c r="F228">
        <v>5</v>
      </c>
      <c r="G228">
        <v>5</v>
      </c>
      <c r="H228">
        <v>1</v>
      </c>
      <c r="I228">
        <v>1</v>
      </c>
      <c r="J228">
        <v>0.80806327160493796</v>
      </c>
      <c r="K228">
        <v>0.971192788675173</v>
      </c>
      <c r="L228">
        <v>0.88214983744659403</v>
      </c>
      <c r="M228">
        <v>0.62921348314606695</v>
      </c>
      <c r="N228">
        <v>1</v>
      </c>
      <c r="O228">
        <v>0.74887640449438198</v>
      </c>
      <c r="P228" t="s">
        <v>6389</v>
      </c>
      <c r="Q228" t="s">
        <v>6390</v>
      </c>
      <c r="R228" t="s">
        <v>235</v>
      </c>
      <c r="S228" t="s">
        <v>236</v>
      </c>
      <c r="T228" t="s">
        <v>6391</v>
      </c>
      <c r="U228" t="s">
        <v>6392</v>
      </c>
      <c r="V228" t="s">
        <v>6393</v>
      </c>
      <c r="W228" t="s">
        <v>6394</v>
      </c>
      <c r="X228" t="s">
        <v>6393</v>
      </c>
      <c r="Y228" t="s">
        <v>1108</v>
      </c>
      <c r="Z228" t="s">
        <v>1109</v>
      </c>
      <c r="AA228" t="s">
        <v>1110</v>
      </c>
      <c r="AB228" t="s">
        <v>1109</v>
      </c>
      <c r="AC228" t="s">
        <v>1111</v>
      </c>
      <c r="AD228" t="s">
        <v>1140</v>
      </c>
      <c r="AE228" t="s">
        <v>6395</v>
      </c>
      <c r="AF228" t="e">
        <f>--MPNNPNNTVVSRHVLSVLVEDLDGIISRVSAMFTRRGFSLVSLVSGKTEHPKINRITVVVDADEVNIEQITKQLNKLVPVLKVVRLEEGTMVARALMMVKVAADANNRPQVVDAANIFRARVVDVAPDSVVIEATGTQGKLRALLEVLEPFGIRELISSGQIALNRGPKTMAPSVR</f>
        <v>#NAME?</v>
      </c>
    </row>
    <row r="229" spans="1:32" hidden="1" x14ac:dyDescent="0.35">
      <c r="A229">
        <v>3103</v>
      </c>
      <c r="B229" t="s">
        <v>6388</v>
      </c>
      <c r="C229" t="s">
        <v>72</v>
      </c>
      <c r="D229" t="s">
        <v>45</v>
      </c>
      <c r="E229">
        <v>1314</v>
      </c>
      <c r="F229">
        <v>5</v>
      </c>
      <c r="G229">
        <v>5</v>
      </c>
      <c r="H229">
        <v>1</v>
      </c>
      <c r="I229">
        <v>1</v>
      </c>
      <c r="J229">
        <v>0.80806327160493796</v>
      </c>
      <c r="K229">
        <v>0.971192788675173</v>
      </c>
      <c r="L229">
        <v>0.88214983744659403</v>
      </c>
      <c r="M229">
        <v>0.62921348314606695</v>
      </c>
      <c r="N229">
        <v>1</v>
      </c>
      <c r="O229">
        <v>0.74887640449438198</v>
      </c>
      <c r="P229" t="s">
        <v>6389</v>
      </c>
      <c r="Q229" t="s">
        <v>6390</v>
      </c>
      <c r="R229" t="s">
        <v>235</v>
      </c>
      <c r="S229" t="s">
        <v>236</v>
      </c>
      <c r="T229" t="s">
        <v>6391</v>
      </c>
      <c r="U229" t="s">
        <v>6392</v>
      </c>
      <c r="V229" t="s">
        <v>6393</v>
      </c>
      <c r="W229" t="s">
        <v>6394</v>
      </c>
      <c r="X229" t="s">
        <v>6393</v>
      </c>
      <c r="Y229" t="s">
        <v>1108</v>
      </c>
      <c r="Z229" t="s">
        <v>1109</v>
      </c>
      <c r="AA229" t="s">
        <v>1110</v>
      </c>
      <c r="AB229" t="s">
        <v>1109</v>
      </c>
      <c r="AC229" t="s">
        <v>1111</v>
      </c>
      <c r="AD229" t="s">
        <v>1140</v>
      </c>
      <c r="AE229" t="s">
        <v>6395</v>
      </c>
      <c r="AF229" t="e">
        <f>--MPNNPNNTVVSRHVLSVLVEDLDGIISRVSAMFTRRGFSLVSLVSGKTEHPKINRITVVVDADEVNIEQITKQLNKLVPVLKVVRLEEGTMVARALMMVKVAADANNRPQVVDAANIFRARVVDVAPDSVVIEATGTQGKLRALLEVLEPFGIRELISSGQIALNRGPKTMAPSVR</f>
        <v>#NAME?</v>
      </c>
    </row>
    <row r="230" spans="1:32" hidden="1" x14ac:dyDescent="0.35">
      <c r="A230">
        <v>10859</v>
      </c>
      <c r="B230" t="s">
        <v>21816</v>
      </c>
      <c r="C230" t="s">
        <v>33</v>
      </c>
      <c r="D230" t="s">
        <v>58</v>
      </c>
      <c r="E230">
        <v>556</v>
      </c>
      <c r="F230">
        <v>1</v>
      </c>
      <c r="G230">
        <v>1</v>
      </c>
      <c r="H230">
        <v>1</v>
      </c>
      <c r="I230">
        <v>0</v>
      </c>
      <c r="J230">
        <v>1</v>
      </c>
      <c r="K230">
        <v>1</v>
      </c>
      <c r="L230">
        <v>1</v>
      </c>
      <c r="M230">
        <v>0</v>
      </c>
      <c r="N230">
        <v>0</v>
      </c>
      <c r="O230">
        <v>0</v>
      </c>
      <c r="P230" t="s">
        <v>16106</v>
      </c>
      <c r="Q230" t="s">
        <v>16107</v>
      </c>
      <c r="R230" t="s">
        <v>869</v>
      </c>
      <c r="S230" t="s">
        <v>870</v>
      </c>
      <c r="T230" t="s">
        <v>16108</v>
      </c>
      <c r="U230" t="s">
        <v>16109</v>
      </c>
      <c r="V230" t="s">
        <v>16110</v>
      </c>
      <c r="W230" t="s">
        <v>16111</v>
      </c>
      <c r="AD230" t="s">
        <v>219</v>
      </c>
      <c r="AE230" t="s">
        <v>16112</v>
      </c>
      <c r="AF230" t="s">
        <v>21817</v>
      </c>
    </row>
    <row r="231" spans="1:32" hidden="1" x14ac:dyDescent="0.35">
      <c r="A231">
        <v>3115</v>
      </c>
      <c r="B231" t="s">
        <v>6412</v>
      </c>
      <c r="C231" t="s">
        <v>72</v>
      </c>
      <c r="D231" t="s">
        <v>60</v>
      </c>
      <c r="E231">
        <v>1066</v>
      </c>
      <c r="F231">
        <v>5</v>
      </c>
      <c r="G231">
        <v>5</v>
      </c>
      <c r="H231">
        <v>1</v>
      </c>
      <c r="I231">
        <v>1</v>
      </c>
      <c r="J231">
        <v>0.71692594069937499</v>
      </c>
      <c r="K231">
        <v>0.92303921568627201</v>
      </c>
      <c r="L231">
        <v>0.80703026577313397</v>
      </c>
      <c r="M231">
        <v>0.50183150183150205</v>
      </c>
      <c r="N231">
        <v>0.99633699633699602</v>
      </c>
      <c r="O231">
        <v>0.61575091575091601</v>
      </c>
      <c r="P231" t="s">
        <v>169</v>
      </c>
      <c r="Q231" t="s">
        <v>170</v>
      </c>
      <c r="R231" t="s">
        <v>235</v>
      </c>
      <c r="S231" t="s">
        <v>236</v>
      </c>
      <c r="T231" t="s">
        <v>6413</v>
      </c>
      <c r="U231" t="s">
        <v>6414</v>
      </c>
      <c r="V231" t="s">
        <v>6415</v>
      </c>
      <c r="W231" t="s">
        <v>6416</v>
      </c>
      <c r="AD231" t="s">
        <v>1667</v>
      </c>
      <c r="AE231" t="s">
        <v>6417</v>
      </c>
      <c r="AF231" t="s">
        <v>6419</v>
      </c>
    </row>
    <row r="232" spans="1:32" hidden="1" x14ac:dyDescent="0.35">
      <c r="A232">
        <v>3116</v>
      </c>
      <c r="B232" t="s">
        <v>6412</v>
      </c>
      <c r="C232" t="s">
        <v>72</v>
      </c>
      <c r="D232" t="s">
        <v>62</v>
      </c>
      <c r="E232">
        <v>1102</v>
      </c>
      <c r="F232">
        <v>5</v>
      </c>
      <c r="G232">
        <v>5</v>
      </c>
      <c r="H232">
        <v>1</v>
      </c>
      <c r="I232">
        <v>1</v>
      </c>
      <c r="J232">
        <v>0.71692594069937499</v>
      </c>
      <c r="K232">
        <v>0.92303921568627201</v>
      </c>
      <c r="L232">
        <v>0.80703026577313397</v>
      </c>
      <c r="M232">
        <v>0.50183150183150205</v>
      </c>
      <c r="N232">
        <v>0.99633699633699602</v>
      </c>
      <c r="O232">
        <v>0.61575091575091601</v>
      </c>
      <c r="P232" t="s">
        <v>169</v>
      </c>
      <c r="Q232" t="s">
        <v>170</v>
      </c>
      <c r="R232" t="s">
        <v>235</v>
      </c>
      <c r="S232" t="s">
        <v>236</v>
      </c>
      <c r="T232" t="s">
        <v>6413</v>
      </c>
      <c r="U232" t="s">
        <v>6414</v>
      </c>
      <c r="V232" t="s">
        <v>6415</v>
      </c>
      <c r="W232" t="s">
        <v>6416</v>
      </c>
      <c r="AD232" t="s">
        <v>1667</v>
      </c>
      <c r="AE232" t="s">
        <v>6417</v>
      </c>
      <c r="AF232" t="s">
        <v>6420</v>
      </c>
    </row>
    <row r="233" spans="1:32" hidden="1" x14ac:dyDescent="0.35">
      <c r="A233">
        <v>3117</v>
      </c>
      <c r="B233" t="s">
        <v>6412</v>
      </c>
      <c r="C233" t="s">
        <v>72</v>
      </c>
      <c r="D233" t="s">
        <v>34</v>
      </c>
      <c r="E233">
        <v>1344</v>
      </c>
      <c r="F233">
        <v>5</v>
      </c>
      <c r="G233">
        <v>5</v>
      </c>
      <c r="H233">
        <v>1</v>
      </c>
      <c r="I233">
        <v>1</v>
      </c>
      <c r="J233">
        <v>0.71692594069937499</v>
      </c>
      <c r="K233">
        <v>0.92303921568627201</v>
      </c>
      <c r="L233">
        <v>0.80703026577313397</v>
      </c>
      <c r="M233">
        <v>0.50183150183150205</v>
      </c>
      <c r="N233">
        <v>0.99633699633699602</v>
      </c>
      <c r="O233">
        <v>0.61575091575091601</v>
      </c>
      <c r="P233" t="s">
        <v>169</v>
      </c>
      <c r="Q233" t="s">
        <v>170</v>
      </c>
      <c r="R233" t="s">
        <v>235</v>
      </c>
      <c r="S233" t="s">
        <v>236</v>
      </c>
      <c r="T233" t="s">
        <v>6413</v>
      </c>
      <c r="U233" t="s">
        <v>6414</v>
      </c>
      <c r="V233" t="s">
        <v>6415</v>
      </c>
      <c r="W233" t="s">
        <v>6416</v>
      </c>
      <c r="AD233" t="s">
        <v>1667</v>
      </c>
      <c r="AE233" t="s">
        <v>6417</v>
      </c>
      <c r="AF233" t="s">
        <v>6421</v>
      </c>
    </row>
    <row r="234" spans="1:32" hidden="1" x14ac:dyDescent="0.35">
      <c r="A234">
        <v>3118</v>
      </c>
      <c r="B234" t="s">
        <v>6412</v>
      </c>
      <c r="C234" t="s">
        <v>72</v>
      </c>
      <c r="D234" t="s">
        <v>45</v>
      </c>
      <c r="E234">
        <v>95</v>
      </c>
      <c r="F234">
        <v>5</v>
      </c>
      <c r="G234">
        <v>5</v>
      </c>
      <c r="H234">
        <v>1</v>
      </c>
      <c r="I234">
        <v>1</v>
      </c>
      <c r="J234">
        <v>0.71692594069937499</v>
      </c>
      <c r="K234">
        <v>0.92303921568627201</v>
      </c>
      <c r="L234">
        <v>0.80703026577313397</v>
      </c>
      <c r="M234">
        <v>0.50183150183150205</v>
      </c>
      <c r="N234">
        <v>0.99633699633699602</v>
      </c>
      <c r="O234">
        <v>0.61575091575091601</v>
      </c>
      <c r="P234" t="s">
        <v>169</v>
      </c>
      <c r="Q234" t="s">
        <v>170</v>
      </c>
      <c r="R234" t="s">
        <v>235</v>
      </c>
      <c r="S234" t="s">
        <v>236</v>
      </c>
      <c r="T234" t="s">
        <v>6413</v>
      </c>
      <c r="U234" t="s">
        <v>6414</v>
      </c>
      <c r="V234" t="s">
        <v>6415</v>
      </c>
      <c r="W234" t="s">
        <v>6416</v>
      </c>
      <c r="AD234" t="s">
        <v>1667</v>
      </c>
      <c r="AE234" t="s">
        <v>6417</v>
      </c>
      <c r="AF234" t="s">
        <v>6422</v>
      </c>
    </row>
    <row r="235" spans="1:32" hidden="1" x14ac:dyDescent="0.35">
      <c r="A235">
        <v>11235</v>
      </c>
      <c r="B235" t="s">
        <v>22830</v>
      </c>
      <c r="C235" t="s">
        <v>33</v>
      </c>
      <c r="D235" t="s">
        <v>58</v>
      </c>
      <c r="E235">
        <v>480</v>
      </c>
      <c r="F235">
        <v>1</v>
      </c>
      <c r="G235">
        <v>1</v>
      </c>
      <c r="H235">
        <v>1</v>
      </c>
      <c r="I235">
        <v>0</v>
      </c>
      <c r="J235">
        <v>1</v>
      </c>
      <c r="K235">
        <v>1</v>
      </c>
      <c r="L235">
        <v>1</v>
      </c>
      <c r="M235">
        <v>0</v>
      </c>
      <c r="N235">
        <v>0</v>
      </c>
      <c r="O235">
        <v>0</v>
      </c>
      <c r="P235" t="s">
        <v>10135</v>
      </c>
      <c r="Q235" t="s">
        <v>10136</v>
      </c>
      <c r="R235" t="s">
        <v>138</v>
      </c>
      <c r="S235" t="s">
        <v>139</v>
      </c>
      <c r="T235" t="s">
        <v>19778</v>
      </c>
      <c r="U235" t="s">
        <v>19779</v>
      </c>
      <c r="V235" t="s">
        <v>15659</v>
      </c>
      <c r="W235" t="s">
        <v>15660</v>
      </c>
      <c r="AD235" t="s">
        <v>14436</v>
      </c>
      <c r="AE235" t="s">
        <v>15841</v>
      </c>
      <c r="AF235" t="s">
        <v>22831</v>
      </c>
    </row>
    <row r="236" spans="1:32" hidden="1" x14ac:dyDescent="0.35">
      <c r="A236">
        <v>3155</v>
      </c>
      <c r="B236" t="s">
        <v>6495</v>
      </c>
      <c r="C236" t="s">
        <v>72</v>
      </c>
      <c r="D236" t="s">
        <v>60</v>
      </c>
      <c r="E236">
        <v>469</v>
      </c>
      <c r="F236">
        <v>5</v>
      </c>
      <c r="G236">
        <v>5</v>
      </c>
      <c r="H236">
        <v>1</v>
      </c>
      <c r="I236">
        <v>1</v>
      </c>
      <c r="J236">
        <v>0.84642646190194903</v>
      </c>
      <c r="K236">
        <v>0.97051674735697901</v>
      </c>
      <c r="L236">
        <v>0.90423415822336795</v>
      </c>
      <c r="M236">
        <v>0.71060171919770798</v>
      </c>
      <c r="N236">
        <v>1</v>
      </c>
      <c r="O236">
        <v>0.77650429799426901</v>
      </c>
      <c r="P236" t="s">
        <v>169</v>
      </c>
      <c r="Q236" t="s">
        <v>170</v>
      </c>
      <c r="R236" t="s">
        <v>235</v>
      </c>
      <c r="S236" t="s">
        <v>236</v>
      </c>
      <c r="T236" t="s">
        <v>6496</v>
      </c>
      <c r="U236" t="s">
        <v>6497</v>
      </c>
      <c r="V236" t="s">
        <v>6498</v>
      </c>
      <c r="W236" t="s">
        <v>6499</v>
      </c>
      <c r="AD236" t="s">
        <v>439</v>
      </c>
      <c r="AE236" t="s">
        <v>699</v>
      </c>
      <c r="AF236" t="s">
        <v>6501</v>
      </c>
    </row>
    <row r="237" spans="1:32" hidden="1" x14ac:dyDescent="0.35">
      <c r="A237">
        <v>3156</v>
      </c>
      <c r="B237" t="s">
        <v>6495</v>
      </c>
      <c r="C237" t="s">
        <v>72</v>
      </c>
      <c r="D237" t="s">
        <v>62</v>
      </c>
      <c r="E237">
        <v>551</v>
      </c>
      <c r="F237">
        <v>5</v>
      </c>
      <c r="G237">
        <v>5</v>
      </c>
      <c r="H237">
        <v>1</v>
      </c>
      <c r="I237">
        <v>1</v>
      </c>
      <c r="J237">
        <v>0.84642646190194903</v>
      </c>
      <c r="K237">
        <v>0.97051674735697901</v>
      </c>
      <c r="L237">
        <v>0.90423415822336795</v>
      </c>
      <c r="M237">
        <v>0.71060171919770798</v>
      </c>
      <c r="N237">
        <v>1</v>
      </c>
      <c r="O237">
        <v>0.77650429799426901</v>
      </c>
      <c r="P237" t="s">
        <v>169</v>
      </c>
      <c r="Q237" t="s">
        <v>170</v>
      </c>
      <c r="R237" t="s">
        <v>235</v>
      </c>
      <c r="S237" t="s">
        <v>236</v>
      </c>
      <c r="T237" t="s">
        <v>6496</v>
      </c>
      <c r="U237" t="s">
        <v>6497</v>
      </c>
      <c r="V237" t="s">
        <v>6498</v>
      </c>
      <c r="W237" t="s">
        <v>6499</v>
      </c>
      <c r="AD237" t="s">
        <v>439</v>
      </c>
      <c r="AE237" t="s">
        <v>699</v>
      </c>
      <c r="AF237" t="s">
        <v>6501</v>
      </c>
    </row>
    <row r="238" spans="1:32" hidden="1" x14ac:dyDescent="0.35">
      <c r="A238">
        <v>3157</v>
      </c>
      <c r="B238" t="s">
        <v>6495</v>
      </c>
      <c r="C238" t="s">
        <v>72</v>
      </c>
      <c r="D238" t="s">
        <v>34</v>
      </c>
      <c r="E238">
        <v>600</v>
      </c>
      <c r="F238">
        <v>5</v>
      </c>
      <c r="G238">
        <v>5</v>
      </c>
      <c r="H238">
        <v>1</v>
      </c>
      <c r="I238">
        <v>1</v>
      </c>
      <c r="J238">
        <v>0.84642646190194903</v>
      </c>
      <c r="K238">
        <v>0.97051674735697901</v>
      </c>
      <c r="L238">
        <v>0.90423415822336795</v>
      </c>
      <c r="M238">
        <v>0.71060171919770798</v>
      </c>
      <c r="N238">
        <v>1</v>
      </c>
      <c r="O238">
        <v>0.77650429799426901</v>
      </c>
      <c r="P238" t="s">
        <v>169</v>
      </c>
      <c r="Q238" t="s">
        <v>170</v>
      </c>
      <c r="R238" t="s">
        <v>235</v>
      </c>
      <c r="S238" t="s">
        <v>236</v>
      </c>
      <c r="T238" t="s">
        <v>6496</v>
      </c>
      <c r="U238" t="s">
        <v>6497</v>
      </c>
      <c r="V238" t="s">
        <v>6498</v>
      </c>
      <c r="W238" t="s">
        <v>6499</v>
      </c>
      <c r="AD238" t="s">
        <v>439</v>
      </c>
      <c r="AE238" t="s">
        <v>699</v>
      </c>
      <c r="AF238" t="s">
        <v>6502</v>
      </c>
    </row>
    <row r="239" spans="1:32" hidden="1" x14ac:dyDescent="0.35">
      <c r="A239">
        <v>3158</v>
      </c>
      <c r="B239" t="s">
        <v>6495</v>
      </c>
      <c r="C239" t="s">
        <v>72</v>
      </c>
      <c r="D239" t="s">
        <v>45</v>
      </c>
      <c r="E239">
        <v>1867</v>
      </c>
      <c r="F239">
        <v>5</v>
      </c>
      <c r="G239">
        <v>5</v>
      </c>
      <c r="H239">
        <v>1</v>
      </c>
      <c r="I239">
        <v>1</v>
      </c>
      <c r="J239">
        <v>0.84642646190194903</v>
      </c>
      <c r="K239">
        <v>0.97051674735697901</v>
      </c>
      <c r="L239">
        <v>0.90423415822336795</v>
      </c>
      <c r="M239">
        <v>0.71060171919770798</v>
      </c>
      <c r="N239">
        <v>1</v>
      </c>
      <c r="O239">
        <v>0.77650429799426901</v>
      </c>
      <c r="P239" t="s">
        <v>169</v>
      </c>
      <c r="Q239" t="s">
        <v>170</v>
      </c>
      <c r="R239" t="s">
        <v>235</v>
      </c>
      <c r="S239" t="s">
        <v>236</v>
      </c>
      <c r="T239" t="s">
        <v>6496</v>
      </c>
      <c r="U239" t="s">
        <v>6497</v>
      </c>
      <c r="V239" t="s">
        <v>6498</v>
      </c>
      <c r="W239" t="s">
        <v>6499</v>
      </c>
      <c r="AD239" t="s">
        <v>439</v>
      </c>
      <c r="AE239" t="s">
        <v>699</v>
      </c>
      <c r="AF239" t="s">
        <v>6503</v>
      </c>
    </row>
    <row r="240" spans="1:32" hidden="1" x14ac:dyDescent="0.35">
      <c r="A240">
        <v>6062</v>
      </c>
      <c r="B240" t="s">
        <v>12463</v>
      </c>
      <c r="C240" t="s">
        <v>68</v>
      </c>
      <c r="D240" t="s">
        <v>58</v>
      </c>
      <c r="E240">
        <v>675</v>
      </c>
      <c r="F240">
        <v>3</v>
      </c>
      <c r="G240">
        <v>3</v>
      </c>
      <c r="H240">
        <v>1</v>
      </c>
      <c r="I240">
        <v>0</v>
      </c>
      <c r="J240">
        <v>0.81233243967828395</v>
      </c>
      <c r="K240">
        <v>0.95096175406783701</v>
      </c>
      <c r="L240">
        <v>0.87619761292526599</v>
      </c>
      <c r="M240">
        <v>0.55725190839694705</v>
      </c>
      <c r="N240">
        <v>1</v>
      </c>
      <c r="O240">
        <v>0.70483460559796396</v>
      </c>
      <c r="P240" t="s">
        <v>12464</v>
      </c>
      <c r="Q240" t="s">
        <v>12465</v>
      </c>
      <c r="R240" t="s">
        <v>235</v>
      </c>
      <c r="S240" t="s">
        <v>236</v>
      </c>
      <c r="T240" t="s">
        <v>12466</v>
      </c>
      <c r="U240" t="s">
        <v>12467</v>
      </c>
      <c r="V240" t="s">
        <v>12468</v>
      </c>
      <c r="W240" t="s">
        <v>12469</v>
      </c>
      <c r="AD240" t="s">
        <v>219</v>
      </c>
      <c r="AE240" t="s">
        <v>12470</v>
      </c>
      <c r="AF240" t="s">
        <v>12471</v>
      </c>
    </row>
    <row r="241" spans="1:32" hidden="1" x14ac:dyDescent="0.35">
      <c r="A241">
        <v>3160</v>
      </c>
      <c r="B241" t="s">
        <v>6504</v>
      </c>
      <c r="C241" t="s">
        <v>72</v>
      </c>
      <c r="D241" t="s">
        <v>60</v>
      </c>
      <c r="E241">
        <v>1961</v>
      </c>
      <c r="F241">
        <v>5</v>
      </c>
      <c r="G241">
        <v>5</v>
      </c>
      <c r="H241">
        <v>1</v>
      </c>
      <c r="I241">
        <v>1</v>
      </c>
      <c r="J241">
        <v>0.78931582360570696</v>
      </c>
      <c r="K241">
        <v>0.95126806945513498</v>
      </c>
      <c r="L241">
        <v>0.86275754096679402</v>
      </c>
      <c r="M241">
        <v>0.58891454965358003</v>
      </c>
      <c r="N241">
        <v>1</v>
      </c>
      <c r="O241">
        <v>0.69861431870669799</v>
      </c>
      <c r="P241" t="s">
        <v>6505</v>
      </c>
      <c r="Q241" t="s">
        <v>6506</v>
      </c>
      <c r="R241" t="s">
        <v>235</v>
      </c>
      <c r="S241" t="s">
        <v>236</v>
      </c>
      <c r="T241" t="s">
        <v>6507</v>
      </c>
      <c r="U241" t="s">
        <v>6508</v>
      </c>
      <c r="V241" t="s">
        <v>6509</v>
      </c>
      <c r="W241" t="s">
        <v>6510</v>
      </c>
      <c r="X241" t="s">
        <v>6509</v>
      </c>
      <c r="Y241" t="s">
        <v>3568</v>
      </c>
      <c r="Z241" t="s">
        <v>3569</v>
      </c>
      <c r="AA241" t="s">
        <v>3570</v>
      </c>
      <c r="AB241" t="s">
        <v>3569</v>
      </c>
      <c r="AC241" t="s">
        <v>1682</v>
      </c>
      <c r="AD241" t="s">
        <v>245</v>
      </c>
      <c r="AE241" t="s">
        <v>6511</v>
      </c>
      <c r="AF241" t="s">
        <v>6513</v>
      </c>
    </row>
    <row r="242" spans="1:32" hidden="1" x14ac:dyDescent="0.35">
      <c r="A242">
        <v>3161</v>
      </c>
      <c r="B242" t="s">
        <v>6504</v>
      </c>
      <c r="C242" t="s">
        <v>72</v>
      </c>
      <c r="D242" t="s">
        <v>62</v>
      </c>
      <c r="E242">
        <v>2002</v>
      </c>
      <c r="F242">
        <v>5</v>
      </c>
      <c r="G242">
        <v>5</v>
      </c>
      <c r="H242">
        <v>1</v>
      </c>
      <c r="I242">
        <v>1</v>
      </c>
      <c r="J242">
        <v>0.78931582360570696</v>
      </c>
      <c r="K242">
        <v>0.95126806945513498</v>
      </c>
      <c r="L242">
        <v>0.86275754096679402</v>
      </c>
      <c r="M242">
        <v>0.58891454965358003</v>
      </c>
      <c r="N242">
        <v>1</v>
      </c>
      <c r="O242">
        <v>0.69861431870669799</v>
      </c>
      <c r="P242" t="s">
        <v>6505</v>
      </c>
      <c r="Q242" t="s">
        <v>6506</v>
      </c>
      <c r="R242" t="s">
        <v>235</v>
      </c>
      <c r="S242" t="s">
        <v>236</v>
      </c>
      <c r="T242" t="s">
        <v>6507</v>
      </c>
      <c r="U242" t="s">
        <v>6508</v>
      </c>
      <c r="V242" t="s">
        <v>6509</v>
      </c>
      <c r="W242" t="s">
        <v>6510</v>
      </c>
      <c r="X242" t="s">
        <v>6509</v>
      </c>
      <c r="Y242" t="s">
        <v>3568</v>
      </c>
      <c r="Z242" t="s">
        <v>3569</v>
      </c>
      <c r="AA242" t="s">
        <v>3570</v>
      </c>
      <c r="AB242" t="s">
        <v>3569</v>
      </c>
      <c r="AC242" t="s">
        <v>1682</v>
      </c>
      <c r="AD242" t="s">
        <v>245</v>
      </c>
      <c r="AE242" t="s">
        <v>6511</v>
      </c>
      <c r="AF242" t="s">
        <v>6513</v>
      </c>
    </row>
    <row r="243" spans="1:32" hidden="1" x14ac:dyDescent="0.35">
      <c r="A243">
        <v>3162</v>
      </c>
      <c r="B243" t="s">
        <v>6504</v>
      </c>
      <c r="C243" t="s">
        <v>72</v>
      </c>
      <c r="D243" t="s">
        <v>34</v>
      </c>
      <c r="E243">
        <v>2319</v>
      </c>
      <c r="F243">
        <v>5</v>
      </c>
      <c r="G243">
        <v>5</v>
      </c>
      <c r="H243">
        <v>1</v>
      </c>
      <c r="I243">
        <v>1</v>
      </c>
      <c r="J243">
        <v>0.78931582360570696</v>
      </c>
      <c r="K243">
        <v>0.95126806945513498</v>
      </c>
      <c r="L243">
        <v>0.86275754096679402</v>
      </c>
      <c r="M243">
        <v>0.58891454965358003</v>
      </c>
      <c r="N243">
        <v>1</v>
      </c>
      <c r="O243">
        <v>0.69861431870669799</v>
      </c>
      <c r="P243" t="s">
        <v>6505</v>
      </c>
      <c r="Q243" t="s">
        <v>6506</v>
      </c>
      <c r="R243" t="s">
        <v>235</v>
      </c>
      <c r="S243" t="s">
        <v>236</v>
      </c>
      <c r="T243" t="s">
        <v>6507</v>
      </c>
      <c r="U243" t="s">
        <v>6508</v>
      </c>
      <c r="V243" t="s">
        <v>6509</v>
      </c>
      <c r="W243" t="s">
        <v>6510</v>
      </c>
      <c r="X243" t="s">
        <v>6509</v>
      </c>
      <c r="Y243" t="s">
        <v>3568</v>
      </c>
      <c r="Z243" t="s">
        <v>3569</v>
      </c>
      <c r="AA243" t="s">
        <v>3570</v>
      </c>
      <c r="AB243" t="s">
        <v>3569</v>
      </c>
      <c r="AC243" t="s">
        <v>1682</v>
      </c>
      <c r="AD243" t="s">
        <v>245</v>
      </c>
      <c r="AE243" t="s">
        <v>6511</v>
      </c>
      <c r="AF243" t="s">
        <v>6514</v>
      </c>
    </row>
    <row r="244" spans="1:32" hidden="1" x14ac:dyDescent="0.35">
      <c r="A244">
        <v>3163</v>
      </c>
      <c r="B244" t="s">
        <v>6504</v>
      </c>
      <c r="C244" t="s">
        <v>72</v>
      </c>
      <c r="D244" t="s">
        <v>45</v>
      </c>
      <c r="E244">
        <v>559</v>
      </c>
      <c r="F244">
        <v>5</v>
      </c>
      <c r="G244">
        <v>5</v>
      </c>
      <c r="H244">
        <v>1</v>
      </c>
      <c r="I244">
        <v>1</v>
      </c>
      <c r="J244">
        <v>0.78931582360570696</v>
      </c>
      <c r="K244">
        <v>0.95126806945513498</v>
      </c>
      <c r="L244">
        <v>0.86275754096679402</v>
      </c>
      <c r="M244">
        <v>0.58891454965358003</v>
      </c>
      <c r="N244">
        <v>1</v>
      </c>
      <c r="O244">
        <v>0.69861431870669799</v>
      </c>
      <c r="P244" t="s">
        <v>6505</v>
      </c>
      <c r="Q244" t="s">
        <v>6506</v>
      </c>
      <c r="R244" t="s">
        <v>235</v>
      </c>
      <c r="S244" t="s">
        <v>236</v>
      </c>
      <c r="T244" t="s">
        <v>6507</v>
      </c>
      <c r="U244" t="s">
        <v>6508</v>
      </c>
      <c r="V244" t="s">
        <v>6509</v>
      </c>
      <c r="W244" t="s">
        <v>6510</v>
      </c>
      <c r="X244" t="s">
        <v>6509</v>
      </c>
      <c r="Y244" t="s">
        <v>3568</v>
      </c>
      <c r="Z244" t="s">
        <v>3569</v>
      </c>
      <c r="AA244" t="s">
        <v>3570</v>
      </c>
      <c r="AB244" t="s">
        <v>3569</v>
      </c>
      <c r="AC244" t="s">
        <v>1682</v>
      </c>
      <c r="AD244" t="s">
        <v>245</v>
      </c>
      <c r="AE244" t="s">
        <v>6511</v>
      </c>
      <c r="AF244" t="s">
        <v>6515</v>
      </c>
    </row>
    <row r="245" spans="1:32" hidden="1" x14ac:dyDescent="0.35">
      <c r="A245">
        <v>11155</v>
      </c>
      <c r="B245" t="s">
        <v>22633</v>
      </c>
      <c r="C245" t="s">
        <v>33</v>
      </c>
      <c r="D245" t="s">
        <v>58</v>
      </c>
      <c r="E245">
        <v>674</v>
      </c>
      <c r="F245">
        <v>1</v>
      </c>
      <c r="G245">
        <v>1</v>
      </c>
      <c r="H245">
        <v>1</v>
      </c>
      <c r="I245">
        <v>0</v>
      </c>
      <c r="J245">
        <v>1</v>
      </c>
      <c r="K245">
        <v>1</v>
      </c>
      <c r="L245">
        <v>1</v>
      </c>
      <c r="M245">
        <v>0</v>
      </c>
      <c r="N245">
        <v>0</v>
      </c>
      <c r="O245">
        <v>0</v>
      </c>
      <c r="P245" t="s">
        <v>13537</v>
      </c>
      <c r="Q245" t="s">
        <v>13538</v>
      </c>
      <c r="R245" t="s">
        <v>235</v>
      </c>
      <c r="S245" t="s">
        <v>236</v>
      </c>
      <c r="V245" t="s">
        <v>13539</v>
      </c>
      <c r="W245" t="s">
        <v>13540</v>
      </c>
      <c r="AF245" t="s">
        <v>22634</v>
      </c>
    </row>
    <row r="246" spans="1:32" hidden="1" x14ac:dyDescent="0.35">
      <c r="A246">
        <v>3205</v>
      </c>
      <c r="B246" t="s">
        <v>6581</v>
      </c>
      <c r="C246" t="s">
        <v>72</v>
      </c>
      <c r="D246" t="s">
        <v>60</v>
      </c>
      <c r="E246">
        <v>1763</v>
      </c>
      <c r="F246">
        <v>5</v>
      </c>
      <c r="G246">
        <v>5</v>
      </c>
      <c r="H246">
        <v>1</v>
      </c>
      <c r="I246">
        <v>1</v>
      </c>
      <c r="J246">
        <v>0.81790406355026002</v>
      </c>
      <c r="K246">
        <v>0.980163097228963</v>
      </c>
      <c r="L246">
        <v>0.89171238722602097</v>
      </c>
      <c r="M246">
        <v>0.66467065868263497</v>
      </c>
      <c r="N246">
        <v>1</v>
      </c>
      <c r="O246">
        <v>0.76107784431137704</v>
      </c>
      <c r="P246" t="s">
        <v>6582</v>
      </c>
      <c r="Q246" t="s">
        <v>6583</v>
      </c>
      <c r="R246" t="s">
        <v>235</v>
      </c>
      <c r="S246" t="s">
        <v>236</v>
      </c>
      <c r="T246" t="s">
        <v>6584</v>
      </c>
      <c r="U246" t="s">
        <v>6585</v>
      </c>
      <c r="V246" t="s">
        <v>6586</v>
      </c>
      <c r="W246" t="s">
        <v>6587</v>
      </c>
      <c r="Z246" t="s">
        <v>6588</v>
      </c>
      <c r="AA246" t="s">
        <v>6589</v>
      </c>
      <c r="AB246" t="s">
        <v>6588</v>
      </c>
      <c r="AC246" t="s">
        <v>6590</v>
      </c>
      <c r="AD246" t="s">
        <v>245</v>
      </c>
      <c r="AE246" t="s">
        <v>6591</v>
      </c>
      <c r="AF246" t="e">
        <f>-------MHPHNIPANLQVPISRAISLRSPGQVPFSVEFMPPRDDAAEARLWAAATTFHDLGACFVSVTYGAGGSTRERTSRVARRLAKQPLTTLVHLTLVDHTEDELRAILREYSELGLTNLLALRGDPPG-DPLGEWCTTNGGYSYANELIDLVHAMPECQHFDIGIASFPEGHHRARTLEDDTYYTLAKLRAGAQYSITQMFFDVDHYLRLRDRLAAADPEHGTKPVIPGLMPITSLRSVRRQVELSGAALPSALEERLERAAAGDEEKNRDEIRKVGIEVTTAMAERLIEEGAPDLHFMTLNFARATQEVLHNLGMAPAWGTDAGQDAIR</f>
        <v>#NAME?</v>
      </c>
    </row>
    <row r="247" spans="1:32" hidden="1" x14ac:dyDescent="0.35">
      <c r="A247">
        <v>3206</v>
      </c>
      <c r="B247" t="s">
        <v>6581</v>
      </c>
      <c r="C247" t="s">
        <v>72</v>
      </c>
      <c r="D247" t="s">
        <v>62</v>
      </c>
      <c r="E247">
        <v>1799</v>
      </c>
      <c r="F247">
        <v>5</v>
      </c>
      <c r="G247">
        <v>5</v>
      </c>
      <c r="H247">
        <v>1</v>
      </c>
      <c r="I247">
        <v>1</v>
      </c>
      <c r="J247">
        <v>0.81790406355026002</v>
      </c>
      <c r="K247">
        <v>0.980163097228963</v>
      </c>
      <c r="L247">
        <v>0.89171238722602097</v>
      </c>
      <c r="M247">
        <v>0.66467065868263497</v>
      </c>
      <c r="N247">
        <v>1</v>
      </c>
      <c r="O247">
        <v>0.76107784431137704</v>
      </c>
      <c r="P247" t="s">
        <v>6582</v>
      </c>
      <c r="Q247" t="s">
        <v>6583</v>
      </c>
      <c r="R247" t="s">
        <v>235</v>
      </c>
      <c r="S247" t="s">
        <v>236</v>
      </c>
      <c r="T247" t="s">
        <v>6584</v>
      </c>
      <c r="U247" t="s">
        <v>6585</v>
      </c>
      <c r="V247" t="s">
        <v>6586</v>
      </c>
      <c r="W247" t="s">
        <v>6587</v>
      </c>
      <c r="Z247" t="s">
        <v>6588</v>
      </c>
      <c r="AA247" t="s">
        <v>6589</v>
      </c>
      <c r="AB247" t="s">
        <v>6588</v>
      </c>
      <c r="AC247" t="s">
        <v>6590</v>
      </c>
      <c r="AD247" t="s">
        <v>245</v>
      </c>
      <c r="AE247" t="s">
        <v>6591</v>
      </c>
      <c r="AF247" t="e">
        <f>-------MHPHNIPANLQVPISRAISLRSPGQVPFSVEFMPPRDDAAEARLWAAATTFHDLGACFVSVTYGAGGSTRERTSRVARRLAKQPLTTLVHLTLVDHTEDELRAILREYSELGLTNLLALRGDPPG-DPLGEWCTTNGGYSYANELIDLVHAMPECQHFDIGIASFPEGHHRARTLEDDTYYTLAKLRAGAQYSITQMFFDVDHYLRLRDRLAAADPEHGTKPVIPGLMPITSLRSVRRQVELSGAALPSALEERLERAAAGDEEKNRDEIRKVGIEVTTAMAERLIEEGAPDLHFMTLNFARATQEVLHNLGMAPAWGTDAGQDAIR</f>
        <v>#NAME?</v>
      </c>
    </row>
    <row r="248" spans="1:32" hidden="1" x14ac:dyDescent="0.35">
      <c r="A248">
        <v>3207</v>
      </c>
      <c r="B248" t="s">
        <v>6581</v>
      </c>
      <c r="C248" t="s">
        <v>72</v>
      </c>
      <c r="D248" t="s">
        <v>34</v>
      </c>
      <c r="E248">
        <v>2130</v>
      </c>
      <c r="F248">
        <v>5</v>
      </c>
      <c r="G248">
        <v>5</v>
      </c>
      <c r="H248">
        <v>1</v>
      </c>
      <c r="I248">
        <v>1</v>
      </c>
      <c r="J248">
        <v>0.81790406355026002</v>
      </c>
      <c r="K248">
        <v>0.980163097228963</v>
      </c>
      <c r="L248">
        <v>0.89171238722602097</v>
      </c>
      <c r="M248">
        <v>0.66467065868263497</v>
      </c>
      <c r="N248">
        <v>1</v>
      </c>
      <c r="O248">
        <v>0.76107784431137704</v>
      </c>
      <c r="P248" t="s">
        <v>6582</v>
      </c>
      <c r="Q248" t="s">
        <v>6583</v>
      </c>
      <c r="R248" t="s">
        <v>235</v>
      </c>
      <c r="S248" t="s">
        <v>236</v>
      </c>
      <c r="T248" t="s">
        <v>6584</v>
      </c>
      <c r="U248" t="s">
        <v>6585</v>
      </c>
      <c r="V248" t="s">
        <v>6586</v>
      </c>
      <c r="W248" t="s">
        <v>6587</v>
      </c>
      <c r="Z248" t="s">
        <v>6588</v>
      </c>
      <c r="AA248" t="s">
        <v>6589</v>
      </c>
      <c r="AB248" t="s">
        <v>6588</v>
      </c>
      <c r="AC248" t="s">
        <v>6590</v>
      </c>
      <c r="AD248" t="s">
        <v>245</v>
      </c>
      <c r="AE248" t="s">
        <v>6591</v>
      </c>
      <c r="AF248" t="s">
        <v>6593</v>
      </c>
    </row>
    <row r="249" spans="1:32" hidden="1" x14ac:dyDescent="0.35">
      <c r="A249">
        <v>3208</v>
      </c>
      <c r="B249" t="s">
        <v>6581</v>
      </c>
      <c r="C249" t="s">
        <v>72</v>
      </c>
      <c r="D249" t="s">
        <v>45</v>
      </c>
      <c r="E249">
        <v>742</v>
      </c>
      <c r="F249">
        <v>5</v>
      </c>
      <c r="G249">
        <v>5</v>
      </c>
      <c r="H249">
        <v>1</v>
      </c>
      <c r="I249">
        <v>1</v>
      </c>
      <c r="J249">
        <v>0.81790406355026002</v>
      </c>
      <c r="K249">
        <v>0.980163097228963</v>
      </c>
      <c r="L249">
        <v>0.89171238722602097</v>
      </c>
      <c r="M249">
        <v>0.66467065868263497</v>
      </c>
      <c r="N249">
        <v>1</v>
      </c>
      <c r="O249">
        <v>0.76107784431137704</v>
      </c>
      <c r="P249" t="s">
        <v>6582</v>
      </c>
      <c r="Q249" t="s">
        <v>6583</v>
      </c>
      <c r="R249" t="s">
        <v>235</v>
      </c>
      <c r="S249" t="s">
        <v>236</v>
      </c>
      <c r="T249" t="s">
        <v>6584</v>
      </c>
      <c r="U249" t="s">
        <v>6585</v>
      </c>
      <c r="V249" t="s">
        <v>6586</v>
      </c>
      <c r="W249" t="s">
        <v>6587</v>
      </c>
      <c r="Z249" t="s">
        <v>6588</v>
      </c>
      <c r="AA249" t="s">
        <v>6589</v>
      </c>
      <c r="AB249" t="s">
        <v>6588</v>
      </c>
      <c r="AC249" t="s">
        <v>6590</v>
      </c>
      <c r="AD249" t="s">
        <v>245</v>
      </c>
      <c r="AE249" t="s">
        <v>6591</v>
      </c>
      <c r="AF249" t="s">
        <v>6594</v>
      </c>
    </row>
    <row r="250" spans="1:32" hidden="1" x14ac:dyDescent="0.35">
      <c r="A250">
        <v>11193</v>
      </c>
      <c r="B250" t="s">
        <v>22723</v>
      </c>
      <c r="C250" t="s">
        <v>33</v>
      </c>
      <c r="D250" t="s">
        <v>58</v>
      </c>
      <c r="E250">
        <v>673</v>
      </c>
      <c r="F250">
        <v>1</v>
      </c>
      <c r="G250">
        <v>1</v>
      </c>
      <c r="H250">
        <v>1</v>
      </c>
      <c r="I250">
        <v>0</v>
      </c>
      <c r="J250">
        <v>1</v>
      </c>
      <c r="K250">
        <v>1</v>
      </c>
      <c r="L250">
        <v>1</v>
      </c>
      <c r="M250">
        <v>0</v>
      </c>
      <c r="N250">
        <v>0</v>
      </c>
      <c r="O250">
        <v>0</v>
      </c>
      <c r="P250" t="s">
        <v>13919</v>
      </c>
      <c r="Q250" t="s">
        <v>13920</v>
      </c>
      <c r="R250" t="s">
        <v>235</v>
      </c>
      <c r="S250" t="s">
        <v>236</v>
      </c>
      <c r="T250" t="s">
        <v>13921</v>
      </c>
      <c r="U250" t="s">
        <v>13922</v>
      </c>
      <c r="V250" t="s">
        <v>13923</v>
      </c>
      <c r="W250" t="s">
        <v>13924</v>
      </c>
      <c r="AD250" t="s">
        <v>219</v>
      </c>
      <c r="AE250" t="s">
        <v>12470</v>
      </c>
      <c r="AF250" t="s">
        <v>22724</v>
      </c>
    </row>
    <row r="251" spans="1:32" hidden="1" x14ac:dyDescent="0.35">
      <c r="A251">
        <v>3210</v>
      </c>
      <c r="B251" t="s">
        <v>6595</v>
      </c>
      <c r="C251" t="s">
        <v>72</v>
      </c>
      <c r="D251" t="s">
        <v>60</v>
      </c>
      <c r="E251">
        <v>215</v>
      </c>
      <c r="F251">
        <v>5</v>
      </c>
      <c r="G251">
        <v>5</v>
      </c>
      <c r="H251">
        <v>1</v>
      </c>
      <c r="I251">
        <v>1</v>
      </c>
      <c r="J251">
        <v>0.74924012158054698</v>
      </c>
      <c r="K251">
        <v>0.89222425598264199</v>
      </c>
      <c r="L251">
        <v>0.81450468151120603</v>
      </c>
      <c r="M251">
        <v>0.48657718120805399</v>
      </c>
      <c r="N251">
        <v>1</v>
      </c>
      <c r="O251">
        <v>0.65503355704697996</v>
      </c>
      <c r="P251" t="s">
        <v>3187</v>
      </c>
      <c r="Q251" t="s">
        <v>3188</v>
      </c>
      <c r="R251" t="s">
        <v>235</v>
      </c>
      <c r="S251" t="s">
        <v>236</v>
      </c>
      <c r="T251" t="s">
        <v>3189</v>
      </c>
      <c r="U251" t="s">
        <v>3190</v>
      </c>
      <c r="V251" t="s">
        <v>3191</v>
      </c>
      <c r="W251" t="s">
        <v>3192</v>
      </c>
      <c r="X251" t="s">
        <v>3191</v>
      </c>
      <c r="Y251" t="s">
        <v>2454</v>
      </c>
      <c r="AD251" t="s">
        <v>219</v>
      </c>
      <c r="AE251" t="s">
        <v>3193</v>
      </c>
      <c r="AF251" t="s">
        <v>6596</v>
      </c>
    </row>
    <row r="252" spans="1:32" hidden="1" x14ac:dyDescent="0.35">
      <c r="A252">
        <v>3211</v>
      </c>
      <c r="B252" t="s">
        <v>6595</v>
      </c>
      <c r="C252" t="s">
        <v>72</v>
      </c>
      <c r="D252" t="s">
        <v>62</v>
      </c>
      <c r="E252">
        <v>292</v>
      </c>
      <c r="F252">
        <v>5</v>
      </c>
      <c r="G252">
        <v>5</v>
      </c>
      <c r="H252">
        <v>1</v>
      </c>
      <c r="I252">
        <v>1</v>
      </c>
      <c r="J252">
        <v>0.74924012158054698</v>
      </c>
      <c r="K252">
        <v>0.89222425598264199</v>
      </c>
      <c r="L252">
        <v>0.81450468151120603</v>
      </c>
      <c r="M252">
        <v>0.48657718120805399</v>
      </c>
      <c r="N252">
        <v>1</v>
      </c>
      <c r="O252">
        <v>0.65503355704697996</v>
      </c>
      <c r="P252" t="s">
        <v>3187</v>
      </c>
      <c r="Q252" t="s">
        <v>3188</v>
      </c>
      <c r="R252" t="s">
        <v>235</v>
      </c>
      <c r="S252" t="s">
        <v>236</v>
      </c>
      <c r="T252" t="s">
        <v>3189</v>
      </c>
      <c r="U252" t="s">
        <v>3190</v>
      </c>
      <c r="V252" t="s">
        <v>3191</v>
      </c>
      <c r="W252" t="s">
        <v>3192</v>
      </c>
      <c r="X252" t="s">
        <v>3191</v>
      </c>
      <c r="Y252" t="s">
        <v>2454</v>
      </c>
      <c r="AD252" t="s">
        <v>219</v>
      </c>
      <c r="AE252" t="s">
        <v>3193</v>
      </c>
      <c r="AF252" t="s">
        <v>6596</v>
      </c>
    </row>
    <row r="253" spans="1:32" hidden="1" x14ac:dyDescent="0.35">
      <c r="A253">
        <v>3212</v>
      </c>
      <c r="B253" t="s">
        <v>6595</v>
      </c>
      <c r="C253" t="s">
        <v>72</v>
      </c>
      <c r="D253" t="s">
        <v>34</v>
      </c>
      <c r="E253">
        <v>1239</v>
      </c>
      <c r="F253">
        <v>5</v>
      </c>
      <c r="G253">
        <v>5</v>
      </c>
      <c r="H253">
        <v>1</v>
      </c>
      <c r="I253">
        <v>1</v>
      </c>
      <c r="J253">
        <v>0.74924012158054698</v>
      </c>
      <c r="K253">
        <v>0.89222425598264199</v>
      </c>
      <c r="L253">
        <v>0.81450468151120603</v>
      </c>
      <c r="M253">
        <v>0.48657718120805399</v>
      </c>
      <c r="N253">
        <v>1</v>
      </c>
      <c r="O253">
        <v>0.65503355704697996</v>
      </c>
      <c r="P253" t="s">
        <v>3187</v>
      </c>
      <c r="Q253" t="s">
        <v>3188</v>
      </c>
      <c r="R253" t="s">
        <v>235</v>
      </c>
      <c r="S253" t="s">
        <v>236</v>
      </c>
      <c r="T253" t="s">
        <v>3189</v>
      </c>
      <c r="U253" t="s">
        <v>3190</v>
      </c>
      <c r="V253" t="s">
        <v>3191</v>
      </c>
      <c r="W253" t="s">
        <v>3192</v>
      </c>
      <c r="X253" t="s">
        <v>3191</v>
      </c>
      <c r="Y253" t="s">
        <v>2454</v>
      </c>
      <c r="AD253" t="s">
        <v>219</v>
      </c>
      <c r="AE253" t="s">
        <v>3193</v>
      </c>
      <c r="AF253" t="s">
        <v>6597</v>
      </c>
    </row>
    <row r="254" spans="1:32" hidden="1" x14ac:dyDescent="0.35">
      <c r="A254">
        <v>3213</v>
      </c>
      <c r="B254" t="s">
        <v>6595</v>
      </c>
      <c r="C254" t="s">
        <v>72</v>
      </c>
      <c r="D254" t="s">
        <v>45</v>
      </c>
      <c r="E254">
        <v>2483</v>
      </c>
      <c r="F254">
        <v>5</v>
      </c>
      <c r="G254">
        <v>5</v>
      </c>
      <c r="H254">
        <v>1</v>
      </c>
      <c r="I254">
        <v>1</v>
      </c>
      <c r="J254">
        <v>0.74924012158054698</v>
      </c>
      <c r="K254">
        <v>0.89222425598264199</v>
      </c>
      <c r="L254">
        <v>0.81450468151120603</v>
      </c>
      <c r="M254">
        <v>0.48657718120805399</v>
      </c>
      <c r="N254">
        <v>1</v>
      </c>
      <c r="O254">
        <v>0.65503355704697996</v>
      </c>
      <c r="P254" t="s">
        <v>3187</v>
      </c>
      <c r="Q254" t="s">
        <v>3188</v>
      </c>
      <c r="R254" t="s">
        <v>235</v>
      </c>
      <c r="S254" t="s">
        <v>236</v>
      </c>
      <c r="T254" t="s">
        <v>3189</v>
      </c>
      <c r="U254" t="s">
        <v>3190</v>
      </c>
      <c r="V254" t="s">
        <v>3191</v>
      </c>
      <c r="W254" t="s">
        <v>3192</v>
      </c>
      <c r="X254" t="s">
        <v>3191</v>
      </c>
      <c r="Y254" t="s">
        <v>2454</v>
      </c>
      <c r="AD254" t="s">
        <v>219</v>
      </c>
      <c r="AE254" t="s">
        <v>3193</v>
      </c>
      <c r="AF254" t="s">
        <v>6598</v>
      </c>
    </row>
    <row r="255" spans="1:32" hidden="1" x14ac:dyDescent="0.35">
      <c r="A255">
        <v>11446</v>
      </c>
      <c r="B255" t="s">
        <v>23350</v>
      </c>
      <c r="C255" t="s">
        <v>33</v>
      </c>
      <c r="D255" t="s">
        <v>58</v>
      </c>
      <c r="E255">
        <v>1692</v>
      </c>
      <c r="F255">
        <v>1</v>
      </c>
      <c r="G255">
        <v>1</v>
      </c>
      <c r="H255">
        <v>1</v>
      </c>
      <c r="I255">
        <v>0</v>
      </c>
      <c r="J255">
        <v>1</v>
      </c>
      <c r="K255">
        <v>1</v>
      </c>
      <c r="L255">
        <v>1</v>
      </c>
      <c r="M255">
        <v>0</v>
      </c>
      <c r="N255">
        <v>0</v>
      </c>
      <c r="O255">
        <v>0</v>
      </c>
      <c r="P255" t="s">
        <v>12118</v>
      </c>
      <c r="Q255" t="s">
        <v>12119</v>
      </c>
      <c r="R255" t="s">
        <v>869</v>
      </c>
      <c r="S255" t="s">
        <v>870</v>
      </c>
      <c r="T255" t="s">
        <v>12120</v>
      </c>
      <c r="U255" t="s">
        <v>12121</v>
      </c>
      <c r="V255" t="s">
        <v>12122</v>
      </c>
      <c r="W255" t="s">
        <v>12123</v>
      </c>
      <c r="X255" t="s">
        <v>12122</v>
      </c>
      <c r="Y255" t="s">
        <v>6133</v>
      </c>
      <c r="Z255" t="s">
        <v>10017</v>
      </c>
      <c r="AA255" t="s">
        <v>10018</v>
      </c>
      <c r="AB255" t="s">
        <v>10017</v>
      </c>
      <c r="AC255" t="s">
        <v>1094</v>
      </c>
      <c r="AD255" t="s">
        <v>219</v>
      </c>
      <c r="AE255" t="s">
        <v>12124</v>
      </c>
      <c r="AF255" t="s">
        <v>23351</v>
      </c>
    </row>
    <row r="256" spans="1:32" hidden="1" x14ac:dyDescent="0.35">
      <c r="A256">
        <v>3310</v>
      </c>
      <c r="B256" t="s">
        <v>6803</v>
      </c>
      <c r="C256" t="s">
        <v>72</v>
      </c>
      <c r="D256" t="s">
        <v>60</v>
      </c>
      <c r="E256">
        <v>1160</v>
      </c>
      <c r="F256">
        <v>5</v>
      </c>
      <c r="G256">
        <v>5</v>
      </c>
      <c r="H256">
        <v>1</v>
      </c>
      <c r="I256">
        <v>1</v>
      </c>
      <c r="J256">
        <v>0.79815623483745801</v>
      </c>
      <c r="K256">
        <v>0.96569156512106502</v>
      </c>
      <c r="L256">
        <v>0.87396740654091098</v>
      </c>
      <c r="M256">
        <v>0.58988764044943798</v>
      </c>
      <c r="N256">
        <v>1</v>
      </c>
      <c r="O256">
        <v>0.73539325842696601</v>
      </c>
      <c r="P256" t="s">
        <v>6804</v>
      </c>
      <c r="Q256" t="s">
        <v>5064</v>
      </c>
      <c r="R256" t="s">
        <v>235</v>
      </c>
      <c r="S256" t="s">
        <v>236</v>
      </c>
      <c r="T256" t="s">
        <v>6805</v>
      </c>
      <c r="U256" t="s">
        <v>6806</v>
      </c>
      <c r="V256" t="s">
        <v>6807</v>
      </c>
      <c r="W256" t="s">
        <v>6808</v>
      </c>
      <c r="X256" t="s">
        <v>6807</v>
      </c>
      <c r="Y256" t="s">
        <v>2932</v>
      </c>
      <c r="Z256" t="s">
        <v>6809</v>
      </c>
      <c r="AA256" t="s">
        <v>6810</v>
      </c>
      <c r="AB256" t="s">
        <v>6809</v>
      </c>
      <c r="AC256" t="s">
        <v>6189</v>
      </c>
      <c r="AD256" t="s">
        <v>219</v>
      </c>
      <c r="AE256" t="s">
        <v>6811</v>
      </c>
      <c r="AF256" t="s">
        <v>6813</v>
      </c>
    </row>
    <row r="257" spans="1:32" hidden="1" x14ac:dyDescent="0.35">
      <c r="A257">
        <v>3311</v>
      </c>
      <c r="B257" t="s">
        <v>6803</v>
      </c>
      <c r="C257" t="s">
        <v>72</v>
      </c>
      <c r="D257" t="s">
        <v>62</v>
      </c>
      <c r="E257">
        <v>1197</v>
      </c>
      <c r="F257">
        <v>5</v>
      </c>
      <c r="G257">
        <v>5</v>
      </c>
      <c r="H257">
        <v>1</v>
      </c>
      <c r="I257">
        <v>1</v>
      </c>
      <c r="J257">
        <v>0.79815623483745801</v>
      </c>
      <c r="K257">
        <v>0.96569156512106502</v>
      </c>
      <c r="L257">
        <v>0.87396740654091098</v>
      </c>
      <c r="M257">
        <v>0.58988764044943798</v>
      </c>
      <c r="N257">
        <v>1</v>
      </c>
      <c r="O257">
        <v>0.73539325842696601</v>
      </c>
      <c r="P257" t="s">
        <v>6804</v>
      </c>
      <c r="Q257" t="s">
        <v>5064</v>
      </c>
      <c r="R257" t="s">
        <v>235</v>
      </c>
      <c r="S257" t="s">
        <v>236</v>
      </c>
      <c r="T257" t="s">
        <v>6805</v>
      </c>
      <c r="U257" t="s">
        <v>6806</v>
      </c>
      <c r="V257" t="s">
        <v>6807</v>
      </c>
      <c r="W257" t="s">
        <v>6808</v>
      </c>
      <c r="X257" t="s">
        <v>6807</v>
      </c>
      <c r="Y257" t="s">
        <v>2932</v>
      </c>
      <c r="Z257" t="s">
        <v>6809</v>
      </c>
      <c r="AA257" t="s">
        <v>6810</v>
      </c>
      <c r="AB257" t="s">
        <v>6809</v>
      </c>
      <c r="AC257" t="s">
        <v>6189</v>
      </c>
      <c r="AD257" t="s">
        <v>219</v>
      </c>
      <c r="AE257" t="s">
        <v>6811</v>
      </c>
      <c r="AF257" t="s">
        <v>6814</v>
      </c>
    </row>
    <row r="258" spans="1:32" hidden="1" x14ac:dyDescent="0.35">
      <c r="A258">
        <v>3312</v>
      </c>
      <c r="B258" t="s">
        <v>6803</v>
      </c>
      <c r="C258" t="s">
        <v>72</v>
      </c>
      <c r="D258" t="s">
        <v>34</v>
      </c>
      <c r="E258">
        <v>2515</v>
      </c>
      <c r="F258">
        <v>5</v>
      </c>
      <c r="G258">
        <v>5</v>
      </c>
      <c r="H258">
        <v>1</v>
      </c>
      <c r="I258">
        <v>1</v>
      </c>
      <c r="J258">
        <v>0.79815623483745801</v>
      </c>
      <c r="K258">
        <v>0.96569156512106502</v>
      </c>
      <c r="L258">
        <v>0.87396740654091098</v>
      </c>
      <c r="M258">
        <v>0.58988764044943798</v>
      </c>
      <c r="N258">
        <v>1</v>
      </c>
      <c r="O258">
        <v>0.73539325842696601</v>
      </c>
      <c r="P258" t="s">
        <v>6804</v>
      </c>
      <c r="Q258" t="s">
        <v>5064</v>
      </c>
      <c r="R258" t="s">
        <v>235</v>
      </c>
      <c r="S258" t="s">
        <v>236</v>
      </c>
      <c r="T258" t="s">
        <v>6805</v>
      </c>
      <c r="U258" t="s">
        <v>6806</v>
      </c>
      <c r="V258" t="s">
        <v>6807</v>
      </c>
      <c r="W258" t="s">
        <v>6808</v>
      </c>
      <c r="X258" t="s">
        <v>6807</v>
      </c>
      <c r="Y258" t="s">
        <v>2932</v>
      </c>
      <c r="Z258" t="s">
        <v>6809</v>
      </c>
      <c r="AA258" t="s">
        <v>6810</v>
      </c>
      <c r="AB258" t="s">
        <v>6809</v>
      </c>
      <c r="AC258" t="s">
        <v>6189</v>
      </c>
      <c r="AD258" t="s">
        <v>219</v>
      </c>
      <c r="AE258" t="s">
        <v>6811</v>
      </c>
      <c r="AF258" t="e">
        <f>--MTINVAVAGASGYAGSEILRLISAHP-----DVEIGALTGATTAGQSVAELMPHLVSLADRTIEPTTTDILAGHDVVFLGLPHGHSAEIARNLGDDVLVIDCAADFRLTDSHDWEKFYGGEHAGSWPYGLPELPGQRSKLRGANRIAVPGCFPTGATLAMLPAVVHDLVHPDLQFVSITGTSGAGKKASVGLLGSEVMGNLRAYNTAGKHRHNPEIRQNLGAYSTVPVTVSFTPVLAPLSRGILTTATAPLVAGVT-------AEQAYATYAEFYADEQFVSVLPGDQQPQTKSVVGANMCQLQVEVDEAAGRLVVVSAIDNLVKGTAGAAVQCMNIALGLDEAAGLTVNGVAP</f>
        <v>#NAME?</v>
      </c>
    </row>
    <row r="259" spans="1:32" hidden="1" x14ac:dyDescent="0.35">
      <c r="A259">
        <v>3313</v>
      </c>
      <c r="B259" t="s">
        <v>6803</v>
      </c>
      <c r="C259" t="s">
        <v>72</v>
      </c>
      <c r="D259" t="s">
        <v>45</v>
      </c>
      <c r="E259">
        <v>1241</v>
      </c>
      <c r="F259">
        <v>5</v>
      </c>
      <c r="G259">
        <v>5</v>
      </c>
      <c r="H259">
        <v>1</v>
      </c>
      <c r="I259">
        <v>1</v>
      </c>
      <c r="J259">
        <v>0.79815623483745801</v>
      </c>
      <c r="K259">
        <v>0.96569156512106502</v>
      </c>
      <c r="L259">
        <v>0.87396740654091098</v>
      </c>
      <c r="M259">
        <v>0.58988764044943798</v>
      </c>
      <c r="N259">
        <v>1</v>
      </c>
      <c r="O259">
        <v>0.73539325842696601</v>
      </c>
      <c r="P259" t="s">
        <v>6804</v>
      </c>
      <c r="Q259" t="s">
        <v>5064</v>
      </c>
      <c r="R259" t="s">
        <v>235</v>
      </c>
      <c r="S259" t="s">
        <v>236</v>
      </c>
      <c r="T259" t="s">
        <v>6805</v>
      </c>
      <c r="U259" t="s">
        <v>6806</v>
      </c>
      <c r="V259" t="s">
        <v>6807</v>
      </c>
      <c r="W259" t="s">
        <v>6808</v>
      </c>
      <c r="X259" t="s">
        <v>6807</v>
      </c>
      <c r="Y259" t="s">
        <v>2932</v>
      </c>
      <c r="Z259" t="s">
        <v>6809</v>
      </c>
      <c r="AA259" t="s">
        <v>6810</v>
      </c>
      <c r="AB259" t="s">
        <v>6809</v>
      </c>
      <c r="AC259" t="s">
        <v>6189</v>
      </c>
      <c r="AD259" t="s">
        <v>219</v>
      </c>
      <c r="AE259" t="s">
        <v>6811</v>
      </c>
      <c r="AF259" t="e">
        <f>--MTINVAVAGASGYAGSEILRLISAHP-----DVEIGALTGATTAGQSVAELMPHLVSLADRTIEPTTTDILAGHDVVFLGLPHGHSAEIARNLGDDVLVIDCAADFRLTDSHDWEKFYGGEHAGSWPYGLPELPGQRSKLRGANRIAVPGCFPTGATLAMLPAVVHDLVHPDLQFVSITGTSGAGKKASVGLLGSEVMGNLRAYNTAGKHRHNPEIRQNLGAYSTVPVTVSFTPVLAPLSRGILTTATAPLVAGVT-------AEQAYATYAEFYADEQFVSVLPGDQQPQTKSVVGANMCQLQVEVDEAAGRLVVVSAIDNLVKGTAGAAVQCMNIALGLDEAAGLTVNGVAP</f>
        <v>#NAME?</v>
      </c>
    </row>
    <row r="260" spans="1:32" hidden="1" x14ac:dyDescent="0.35">
      <c r="A260">
        <v>11645</v>
      </c>
      <c r="B260" t="s">
        <v>23858</v>
      </c>
      <c r="C260" t="s">
        <v>33</v>
      </c>
      <c r="D260" t="s">
        <v>58</v>
      </c>
      <c r="E260">
        <v>1275</v>
      </c>
      <c r="F260">
        <v>1</v>
      </c>
      <c r="G260">
        <v>1</v>
      </c>
      <c r="H260">
        <v>1</v>
      </c>
      <c r="I260">
        <v>0</v>
      </c>
      <c r="J260">
        <v>1</v>
      </c>
      <c r="K260">
        <v>1</v>
      </c>
      <c r="L260">
        <v>1</v>
      </c>
      <c r="M260">
        <v>0</v>
      </c>
      <c r="N260">
        <v>0</v>
      </c>
      <c r="O260">
        <v>0</v>
      </c>
      <c r="P260" t="s">
        <v>3647</v>
      </c>
      <c r="Q260" t="s">
        <v>3648</v>
      </c>
      <c r="R260" t="s">
        <v>869</v>
      </c>
      <c r="S260" t="s">
        <v>870</v>
      </c>
      <c r="T260" t="s">
        <v>23859</v>
      </c>
      <c r="U260" t="s">
        <v>23860</v>
      </c>
      <c r="V260" t="s">
        <v>23861</v>
      </c>
      <c r="W260" t="s">
        <v>23862</v>
      </c>
      <c r="X260" t="s">
        <v>23861</v>
      </c>
      <c r="Y260" t="s">
        <v>2038</v>
      </c>
      <c r="Z260" t="s">
        <v>8036</v>
      </c>
      <c r="AA260" t="s">
        <v>8037</v>
      </c>
      <c r="AB260" t="s">
        <v>8036</v>
      </c>
      <c r="AC260" t="s">
        <v>1156</v>
      </c>
      <c r="AD260" t="s">
        <v>1743</v>
      </c>
      <c r="AE260" t="s">
        <v>23863</v>
      </c>
      <c r="AF260" t="s">
        <v>23864</v>
      </c>
    </row>
    <row r="261" spans="1:32" hidden="1" x14ac:dyDescent="0.35">
      <c r="A261">
        <v>3375</v>
      </c>
      <c r="B261" t="s">
        <v>6937</v>
      </c>
      <c r="C261" t="s">
        <v>72</v>
      </c>
      <c r="D261" t="s">
        <v>60</v>
      </c>
      <c r="E261">
        <v>1645</v>
      </c>
      <c r="F261">
        <v>5</v>
      </c>
      <c r="G261">
        <v>5</v>
      </c>
      <c r="H261">
        <v>1</v>
      </c>
      <c r="I261">
        <v>1</v>
      </c>
      <c r="J261">
        <v>0.77450378555350896</v>
      </c>
      <c r="K261">
        <v>0.96441674267761102</v>
      </c>
      <c r="L261">
        <v>0.85908976969155404</v>
      </c>
      <c r="M261">
        <v>0.560157790927022</v>
      </c>
      <c r="N261">
        <v>1</v>
      </c>
      <c r="O261">
        <v>0.67455621301775204</v>
      </c>
      <c r="P261" t="s">
        <v>6938</v>
      </c>
      <c r="Q261" t="s">
        <v>6939</v>
      </c>
      <c r="R261" t="s">
        <v>235</v>
      </c>
      <c r="S261" t="s">
        <v>236</v>
      </c>
      <c r="T261" t="s">
        <v>6940</v>
      </c>
      <c r="U261" t="s">
        <v>6941</v>
      </c>
      <c r="V261" t="s">
        <v>6942</v>
      </c>
      <c r="W261" t="s">
        <v>6943</v>
      </c>
      <c r="AD261" t="s">
        <v>410</v>
      </c>
      <c r="AE261" t="s">
        <v>532</v>
      </c>
      <c r="AF261" t="s">
        <v>6945</v>
      </c>
    </row>
    <row r="262" spans="1:32" hidden="1" x14ac:dyDescent="0.35">
      <c r="A262">
        <v>3376</v>
      </c>
      <c r="B262" t="s">
        <v>6937</v>
      </c>
      <c r="C262" t="s">
        <v>72</v>
      </c>
      <c r="D262" t="s">
        <v>62</v>
      </c>
      <c r="E262">
        <v>1680</v>
      </c>
      <c r="F262">
        <v>5</v>
      </c>
      <c r="G262">
        <v>5</v>
      </c>
      <c r="H262">
        <v>1</v>
      </c>
      <c r="I262">
        <v>1</v>
      </c>
      <c r="J262">
        <v>0.77450378555350896</v>
      </c>
      <c r="K262">
        <v>0.96441674267761102</v>
      </c>
      <c r="L262">
        <v>0.85908976969155404</v>
      </c>
      <c r="M262">
        <v>0.560157790927022</v>
      </c>
      <c r="N262">
        <v>1</v>
      </c>
      <c r="O262">
        <v>0.67455621301775204</v>
      </c>
      <c r="P262" t="s">
        <v>6938</v>
      </c>
      <c r="Q262" t="s">
        <v>6939</v>
      </c>
      <c r="R262" t="s">
        <v>235</v>
      </c>
      <c r="S262" t="s">
        <v>236</v>
      </c>
      <c r="T262" t="s">
        <v>6940</v>
      </c>
      <c r="U262" t="s">
        <v>6941</v>
      </c>
      <c r="V262" t="s">
        <v>6942</v>
      </c>
      <c r="W262" t="s">
        <v>6943</v>
      </c>
      <c r="AD262" t="s">
        <v>410</v>
      </c>
      <c r="AE262" t="s">
        <v>532</v>
      </c>
      <c r="AF262" t="s">
        <v>6945</v>
      </c>
    </row>
    <row r="263" spans="1:32" hidden="1" x14ac:dyDescent="0.35">
      <c r="A263">
        <v>3377</v>
      </c>
      <c r="B263" t="s">
        <v>6937</v>
      </c>
      <c r="C263" t="s">
        <v>72</v>
      </c>
      <c r="D263" t="s">
        <v>34</v>
      </c>
      <c r="E263">
        <v>2050</v>
      </c>
      <c r="F263">
        <v>5</v>
      </c>
      <c r="G263">
        <v>5</v>
      </c>
      <c r="H263">
        <v>1</v>
      </c>
      <c r="I263">
        <v>1</v>
      </c>
      <c r="J263">
        <v>0.77450378555350896</v>
      </c>
      <c r="K263">
        <v>0.96441674267761102</v>
      </c>
      <c r="L263">
        <v>0.85908976969155404</v>
      </c>
      <c r="M263">
        <v>0.560157790927022</v>
      </c>
      <c r="N263">
        <v>1</v>
      </c>
      <c r="O263">
        <v>0.67455621301775204</v>
      </c>
      <c r="P263" t="s">
        <v>6938</v>
      </c>
      <c r="Q263" t="s">
        <v>6939</v>
      </c>
      <c r="R263" t="s">
        <v>235</v>
      </c>
      <c r="S263" t="s">
        <v>236</v>
      </c>
      <c r="T263" t="s">
        <v>6940</v>
      </c>
      <c r="U263" t="s">
        <v>6941</v>
      </c>
      <c r="V263" t="s">
        <v>6942</v>
      </c>
      <c r="W263" t="s">
        <v>6943</v>
      </c>
      <c r="AD263" t="s">
        <v>410</v>
      </c>
      <c r="AE263" t="s">
        <v>532</v>
      </c>
      <c r="AF263" t="s">
        <v>6946</v>
      </c>
    </row>
    <row r="264" spans="1:32" hidden="1" x14ac:dyDescent="0.35">
      <c r="A264">
        <v>3378</v>
      </c>
      <c r="B264" t="s">
        <v>6937</v>
      </c>
      <c r="C264" t="s">
        <v>72</v>
      </c>
      <c r="D264" t="s">
        <v>45</v>
      </c>
      <c r="E264">
        <v>822</v>
      </c>
      <c r="F264">
        <v>5</v>
      </c>
      <c r="G264">
        <v>5</v>
      </c>
      <c r="H264">
        <v>1</v>
      </c>
      <c r="I264">
        <v>1</v>
      </c>
      <c r="J264">
        <v>0.77450378555350896</v>
      </c>
      <c r="K264">
        <v>0.96441674267761102</v>
      </c>
      <c r="L264">
        <v>0.85908976969155404</v>
      </c>
      <c r="M264">
        <v>0.560157790927022</v>
      </c>
      <c r="N264">
        <v>1</v>
      </c>
      <c r="O264">
        <v>0.67455621301775204</v>
      </c>
      <c r="P264" t="s">
        <v>6938</v>
      </c>
      <c r="Q264" t="s">
        <v>6939</v>
      </c>
      <c r="R264" t="s">
        <v>235</v>
      </c>
      <c r="S264" t="s">
        <v>236</v>
      </c>
      <c r="T264" t="s">
        <v>6940</v>
      </c>
      <c r="U264" t="s">
        <v>6941</v>
      </c>
      <c r="V264" t="s">
        <v>6942</v>
      </c>
      <c r="W264" t="s">
        <v>6943</v>
      </c>
      <c r="AD264" t="s">
        <v>410</v>
      </c>
      <c r="AE264" t="s">
        <v>532</v>
      </c>
      <c r="AF264" t="s">
        <v>6947</v>
      </c>
    </row>
    <row r="265" spans="1:32" hidden="1" x14ac:dyDescent="0.35">
      <c r="A265">
        <v>3669</v>
      </c>
      <c r="B265" t="s">
        <v>7560</v>
      </c>
      <c r="C265" t="s">
        <v>72</v>
      </c>
      <c r="D265" t="s">
        <v>58</v>
      </c>
      <c r="E265">
        <v>319</v>
      </c>
      <c r="F265">
        <v>5</v>
      </c>
      <c r="G265">
        <v>5</v>
      </c>
      <c r="H265">
        <v>1</v>
      </c>
      <c r="I265">
        <v>1</v>
      </c>
      <c r="J265">
        <v>0.79569298729983395</v>
      </c>
      <c r="K265">
        <v>0.89397517627740497</v>
      </c>
      <c r="L265">
        <v>0.84197571324074705</v>
      </c>
      <c r="M265">
        <v>0.55392156862745101</v>
      </c>
      <c r="N265">
        <v>0.99019607843137303</v>
      </c>
      <c r="O265">
        <v>0.67058823529411804</v>
      </c>
      <c r="P265" t="s">
        <v>7561</v>
      </c>
      <c r="Q265" t="s">
        <v>7562</v>
      </c>
      <c r="R265" t="s">
        <v>516</v>
      </c>
      <c r="S265" t="s">
        <v>517</v>
      </c>
      <c r="T265" t="s">
        <v>7563</v>
      </c>
      <c r="U265" t="s">
        <v>7564</v>
      </c>
      <c r="V265" t="s">
        <v>7565</v>
      </c>
      <c r="W265" t="s">
        <v>7566</v>
      </c>
      <c r="AD265" t="s">
        <v>410</v>
      </c>
      <c r="AE265" t="s">
        <v>7567</v>
      </c>
      <c r="AF265" t="s">
        <v>7568</v>
      </c>
    </row>
    <row r="266" spans="1:32" hidden="1" x14ac:dyDescent="0.35">
      <c r="A266">
        <v>3430</v>
      </c>
      <c r="B266" t="s">
        <v>7039</v>
      </c>
      <c r="C266" t="s">
        <v>72</v>
      </c>
      <c r="D266" t="s">
        <v>60</v>
      </c>
      <c r="E266">
        <v>979</v>
      </c>
      <c r="F266">
        <v>5</v>
      </c>
      <c r="G266">
        <v>5</v>
      </c>
      <c r="H266">
        <v>1</v>
      </c>
      <c r="I266">
        <v>1</v>
      </c>
      <c r="J266">
        <v>0.88638344226579502</v>
      </c>
      <c r="K266">
        <v>0.99033329130416403</v>
      </c>
      <c r="L266">
        <v>0.93547951700391896</v>
      </c>
      <c r="M266">
        <v>0.76375404530744295</v>
      </c>
      <c r="N266">
        <v>1</v>
      </c>
      <c r="O266">
        <v>0.83915857605178001</v>
      </c>
      <c r="P266" t="s">
        <v>7040</v>
      </c>
      <c r="Q266" t="s">
        <v>7041</v>
      </c>
      <c r="R266" t="s">
        <v>235</v>
      </c>
      <c r="S266" t="s">
        <v>236</v>
      </c>
      <c r="T266" t="s">
        <v>7042</v>
      </c>
      <c r="U266" t="s">
        <v>7043</v>
      </c>
      <c r="V266" t="s">
        <v>7044</v>
      </c>
      <c r="W266" t="s">
        <v>7045</v>
      </c>
      <c r="X266" t="s">
        <v>7044</v>
      </c>
      <c r="Y266" t="s">
        <v>7046</v>
      </c>
      <c r="Z266" t="s">
        <v>7047</v>
      </c>
      <c r="AA266" t="s">
        <v>7048</v>
      </c>
      <c r="AB266" t="s">
        <v>7047</v>
      </c>
      <c r="AC266" t="s">
        <v>7049</v>
      </c>
      <c r="AD266" t="s">
        <v>245</v>
      </c>
      <c r="AE266" t="s">
        <v>7050</v>
      </c>
      <c r="AF266" t="s">
        <v>7052</v>
      </c>
    </row>
    <row r="267" spans="1:32" hidden="1" x14ac:dyDescent="0.35">
      <c r="A267">
        <v>3431</v>
      </c>
      <c r="B267" t="s">
        <v>7039</v>
      </c>
      <c r="C267" t="s">
        <v>72</v>
      </c>
      <c r="D267" t="s">
        <v>62</v>
      </c>
      <c r="E267">
        <v>1015</v>
      </c>
      <c r="F267">
        <v>5</v>
      </c>
      <c r="G267">
        <v>5</v>
      </c>
      <c r="H267">
        <v>1</v>
      </c>
      <c r="I267">
        <v>1</v>
      </c>
      <c r="J267">
        <v>0.88638344226579502</v>
      </c>
      <c r="K267">
        <v>0.99033329130416403</v>
      </c>
      <c r="L267">
        <v>0.93547951700391896</v>
      </c>
      <c r="M267">
        <v>0.76375404530744295</v>
      </c>
      <c r="N267">
        <v>1</v>
      </c>
      <c r="O267">
        <v>0.83915857605178001</v>
      </c>
      <c r="P267" t="s">
        <v>7040</v>
      </c>
      <c r="Q267" t="s">
        <v>7041</v>
      </c>
      <c r="R267" t="s">
        <v>235</v>
      </c>
      <c r="S267" t="s">
        <v>236</v>
      </c>
      <c r="T267" t="s">
        <v>7042</v>
      </c>
      <c r="U267" t="s">
        <v>7043</v>
      </c>
      <c r="V267" t="s">
        <v>7044</v>
      </c>
      <c r="W267" t="s">
        <v>7045</v>
      </c>
      <c r="X267" t="s">
        <v>7044</v>
      </c>
      <c r="Y267" t="s">
        <v>7046</v>
      </c>
      <c r="Z267" t="s">
        <v>7047</v>
      </c>
      <c r="AA267" t="s">
        <v>7048</v>
      </c>
      <c r="AB267" t="s">
        <v>7047</v>
      </c>
      <c r="AC267" t="s">
        <v>7049</v>
      </c>
      <c r="AD267" t="s">
        <v>245</v>
      </c>
      <c r="AE267" t="s">
        <v>7050</v>
      </c>
      <c r="AF267" t="s">
        <v>7052</v>
      </c>
    </row>
    <row r="268" spans="1:32" hidden="1" x14ac:dyDescent="0.35">
      <c r="A268">
        <v>3432</v>
      </c>
      <c r="B268" t="s">
        <v>7039</v>
      </c>
      <c r="C268" t="s">
        <v>72</v>
      </c>
      <c r="D268" t="s">
        <v>34</v>
      </c>
      <c r="E268">
        <v>169</v>
      </c>
      <c r="F268">
        <v>5</v>
      </c>
      <c r="G268">
        <v>5</v>
      </c>
      <c r="H268">
        <v>1</v>
      </c>
      <c r="I268">
        <v>1</v>
      </c>
      <c r="J268">
        <v>0.88638344226579502</v>
      </c>
      <c r="K268">
        <v>0.99033329130416403</v>
      </c>
      <c r="L268">
        <v>0.93547951700391896</v>
      </c>
      <c r="M268">
        <v>0.76375404530744295</v>
      </c>
      <c r="N268">
        <v>1</v>
      </c>
      <c r="O268">
        <v>0.83915857605178001</v>
      </c>
      <c r="P268" t="s">
        <v>7040</v>
      </c>
      <c r="Q268" t="s">
        <v>7041</v>
      </c>
      <c r="R268" t="s">
        <v>235</v>
      </c>
      <c r="S268" t="s">
        <v>236</v>
      </c>
      <c r="T268" t="s">
        <v>7042</v>
      </c>
      <c r="U268" t="s">
        <v>7043</v>
      </c>
      <c r="V268" t="s">
        <v>7044</v>
      </c>
      <c r="W268" t="s">
        <v>7045</v>
      </c>
      <c r="X268" t="s">
        <v>7044</v>
      </c>
      <c r="Y268" t="s">
        <v>7046</v>
      </c>
      <c r="Z268" t="s">
        <v>7047</v>
      </c>
      <c r="AA268" t="s">
        <v>7048</v>
      </c>
      <c r="AB268" t="s">
        <v>7047</v>
      </c>
      <c r="AC268" t="s">
        <v>7049</v>
      </c>
      <c r="AD268" t="s">
        <v>245</v>
      </c>
      <c r="AE268" t="s">
        <v>7050</v>
      </c>
      <c r="AF268" t="s">
        <v>7053</v>
      </c>
    </row>
    <row r="269" spans="1:32" hidden="1" x14ac:dyDescent="0.35">
      <c r="A269">
        <v>3433</v>
      </c>
      <c r="B269" t="s">
        <v>7039</v>
      </c>
      <c r="C269" t="s">
        <v>72</v>
      </c>
      <c r="D269" t="s">
        <v>45</v>
      </c>
      <c r="E269">
        <v>1430</v>
      </c>
      <c r="F269">
        <v>5</v>
      </c>
      <c r="G269">
        <v>5</v>
      </c>
      <c r="H269">
        <v>1</v>
      </c>
      <c r="I269">
        <v>1</v>
      </c>
      <c r="J269">
        <v>0.88638344226579502</v>
      </c>
      <c r="K269">
        <v>0.99033329130416403</v>
      </c>
      <c r="L269">
        <v>0.93547951700391896</v>
      </c>
      <c r="M269">
        <v>0.76375404530744295</v>
      </c>
      <c r="N269">
        <v>1</v>
      </c>
      <c r="O269">
        <v>0.83915857605178001</v>
      </c>
      <c r="P269" t="s">
        <v>7040</v>
      </c>
      <c r="Q269" t="s">
        <v>7041</v>
      </c>
      <c r="R269" t="s">
        <v>235</v>
      </c>
      <c r="S269" t="s">
        <v>236</v>
      </c>
      <c r="T269" t="s">
        <v>7042</v>
      </c>
      <c r="U269" t="s">
        <v>7043</v>
      </c>
      <c r="V269" t="s">
        <v>7044</v>
      </c>
      <c r="W269" t="s">
        <v>7045</v>
      </c>
      <c r="X269" t="s">
        <v>7044</v>
      </c>
      <c r="Y269" t="s">
        <v>7046</v>
      </c>
      <c r="Z269" t="s">
        <v>7047</v>
      </c>
      <c r="AA269" t="s">
        <v>7048</v>
      </c>
      <c r="AB269" t="s">
        <v>7047</v>
      </c>
      <c r="AC269" t="s">
        <v>7049</v>
      </c>
      <c r="AD269" t="s">
        <v>245</v>
      </c>
      <c r="AE269" t="s">
        <v>7050</v>
      </c>
      <c r="AF269" t="s">
        <v>7054</v>
      </c>
    </row>
    <row r="270" spans="1:32" hidden="1" x14ac:dyDescent="0.35">
      <c r="A270">
        <v>10946</v>
      </c>
      <c r="B270" t="s">
        <v>22064</v>
      </c>
      <c r="C270" t="s">
        <v>33</v>
      </c>
      <c r="D270" t="s">
        <v>58</v>
      </c>
      <c r="E270">
        <v>116</v>
      </c>
      <c r="F270">
        <v>1</v>
      </c>
      <c r="G270">
        <v>1</v>
      </c>
      <c r="H270">
        <v>1</v>
      </c>
      <c r="I270">
        <v>0</v>
      </c>
      <c r="J270">
        <v>1</v>
      </c>
      <c r="K270">
        <v>1</v>
      </c>
      <c r="L270">
        <v>1</v>
      </c>
      <c r="M270">
        <v>0</v>
      </c>
      <c r="N270">
        <v>0</v>
      </c>
      <c r="O270">
        <v>0</v>
      </c>
      <c r="P270" t="s">
        <v>8002</v>
      </c>
      <c r="Q270" t="s">
        <v>8003</v>
      </c>
      <c r="R270" t="s">
        <v>138</v>
      </c>
      <c r="S270" t="s">
        <v>139</v>
      </c>
      <c r="V270" t="s">
        <v>10609</v>
      </c>
      <c r="W270" t="s">
        <v>10610</v>
      </c>
      <c r="AF270" t="s">
        <v>22065</v>
      </c>
    </row>
    <row r="271" spans="1:32" hidden="1" x14ac:dyDescent="0.35">
      <c r="A271">
        <v>3525</v>
      </c>
      <c r="B271" t="s">
        <v>7242</v>
      </c>
      <c r="C271" t="s">
        <v>72</v>
      </c>
      <c r="D271" t="s">
        <v>60</v>
      </c>
      <c r="E271">
        <v>1162</v>
      </c>
      <c r="F271">
        <v>5</v>
      </c>
      <c r="G271">
        <v>5</v>
      </c>
      <c r="H271">
        <v>1</v>
      </c>
      <c r="I271">
        <v>1</v>
      </c>
      <c r="J271">
        <v>0.85757575757575799</v>
      </c>
      <c r="K271">
        <v>0.95474876449435497</v>
      </c>
      <c r="L271">
        <v>0.90355715550384197</v>
      </c>
      <c r="M271">
        <v>0.72445820433436503</v>
      </c>
      <c r="N271">
        <v>1</v>
      </c>
      <c r="O271">
        <v>0.78823529411764703</v>
      </c>
      <c r="P271" t="s">
        <v>1130</v>
      </c>
      <c r="Q271" t="s">
        <v>1131</v>
      </c>
      <c r="R271" t="s">
        <v>235</v>
      </c>
      <c r="S271" t="s">
        <v>236</v>
      </c>
      <c r="T271" t="s">
        <v>7243</v>
      </c>
      <c r="U271" t="s">
        <v>7244</v>
      </c>
      <c r="V271" t="s">
        <v>7245</v>
      </c>
      <c r="W271" t="s">
        <v>7246</v>
      </c>
      <c r="X271" t="s">
        <v>7245</v>
      </c>
      <c r="Y271" t="s">
        <v>2932</v>
      </c>
      <c r="Z271" t="s">
        <v>7247</v>
      </c>
      <c r="AA271" t="s">
        <v>7248</v>
      </c>
      <c r="AB271" t="s">
        <v>7247</v>
      </c>
      <c r="AC271" t="s">
        <v>1682</v>
      </c>
      <c r="AD271" t="s">
        <v>219</v>
      </c>
      <c r="AE271" t="s">
        <v>7249</v>
      </c>
      <c r="AF271" t="s">
        <v>7251</v>
      </c>
    </row>
    <row r="272" spans="1:32" hidden="1" x14ac:dyDescent="0.35">
      <c r="A272">
        <v>3526</v>
      </c>
      <c r="B272" t="s">
        <v>7242</v>
      </c>
      <c r="C272" t="s">
        <v>72</v>
      </c>
      <c r="D272" t="s">
        <v>62</v>
      </c>
      <c r="E272">
        <v>1199</v>
      </c>
      <c r="F272">
        <v>5</v>
      </c>
      <c r="G272">
        <v>5</v>
      </c>
      <c r="H272">
        <v>1</v>
      </c>
      <c r="I272">
        <v>1</v>
      </c>
      <c r="J272">
        <v>0.85757575757575799</v>
      </c>
      <c r="K272">
        <v>0.95474876449435497</v>
      </c>
      <c r="L272">
        <v>0.90355715550384197</v>
      </c>
      <c r="M272">
        <v>0.72445820433436503</v>
      </c>
      <c r="N272">
        <v>1</v>
      </c>
      <c r="O272">
        <v>0.78823529411764703</v>
      </c>
      <c r="P272" t="s">
        <v>1130</v>
      </c>
      <c r="Q272" t="s">
        <v>1131</v>
      </c>
      <c r="R272" t="s">
        <v>235</v>
      </c>
      <c r="S272" t="s">
        <v>236</v>
      </c>
      <c r="T272" t="s">
        <v>7243</v>
      </c>
      <c r="U272" t="s">
        <v>7244</v>
      </c>
      <c r="V272" t="s">
        <v>7245</v>
      </c>
      <c r="W272" t="s">
        <v>7246</v>
      </c>
      <c r="X272" t="s">
        <v>7245</v>
      </c>
      <c r="Y272" t="s">
        <v>2932</v>
      </c>
      <c r="Z272" t="s">
        <v>7247</v>
      </c>
      <c r="AA272" t="s">
        <v>7248</v>
      </c>
      <c r="AB272" t="s">
        <v>7247</v>
      </c>
      <c r="AC272" t="s">
        <v>1682</v>
      </c>
      <c r="AD272" t="s">
        <v>219</v>
      </c>
      <c r="AE272" t="s">
        <v>7249</v>
      </c>
      <c r="AF272" t="s">
        <v>7251</v>
      </c>
    </row>
    <row r="273" spans="1:32" hidden="1" x14ac:dyDescent="0.35">
      <c r="A273">
        <v>3527</v>
      </c>
      <c r="B273" t="s">
        <v>7242</v>
      </c>
      <c r="C273" t="s">
        <v>72</v>
      </c>
      <c r="D273" t="s">
        <v>34</v>
      </c>
      <c r="E273">
        <v>2513</v>
      </c>
      <c r="F273">
        <v>5</v>
      </c>
      <c r="G273">
        <v>5</v>
      </c>
      <c r="H273">
        <v>1</v>
      </c>
      <c r="I273">
        <v>1</v>
      </c>
      <c r="J273">
        <v>0.85757575757575799</v>
      </c>
      <c r="K273">
        <v>0.95474876449435497</v>
      </c>
      <c r="L273">
        <v>0.90355715550384197</v>
      </c>
      <c r="M273">
        <v>0.72445820433436503</v>
      </c>
      <c r="N273">
        <v>1</v>
      </c>
      <c r="O273">
        <v>0.78823529411764703</v>
      </c>
      <c r="P273" t="s">
        <v>1130</v>
      </c>
      <c r="Q273" t="s">
        <v>1131</v>
      </c>
      <c r="R273" t="s">
        <v>235</v>
      </c>
      <c r="S273" t="s">
        <v>236</v>
      </c>
      <c r="T273" t="s">
        <v>7243</v>
      </c>
      <c r="U273" t="s">
        <v>7244</v>
      </c>
      <c r="V273" t="s">
        <v>7245</v>
      </c>
      <c r="W273" t="s">
        <v>7246</v>
      </c>
      <c r="X273" t="s">
        <v>7245</v>
      </c>
      <c r="Y273" t="s">
        <v>2932</v>
      </c>
      <c r="Z273" t="s">
        <v>7247</v>
      </c>
      <c r="AA273" t="s">
        <v>7248</v>
      </c>
      <c r="AB273" t="s">
        <v>7247</v>
      </c>
      <c r="AC273" t="s">
        <v>1682</v>
      </c>
      <c r="AD273" t="s">
        <v>219</v>
      </c>
      <c r="AE273" t="s">
        <v>7249</v>
      </c>
      <c r="AF273" t="s">
        <v>7252</v>
      </c>
    </row>
    <row r="274" spans="1:32" hidden="1" x14ac:dyDescent="0.35">
      <c r="A274">
        <v>3528</v>
      </c>
      <c r="B274" t="s">
        <v>7242</v>
      </c>
      <c r="C274" t="s">
        <v>72</v>
      </c>
      <c r="D274" t="s">
        <v>45</v>
      </c>
      <c r="E274">
        <v>1239</v>
      </c>
      <c r="F274">
        <v>5</v>
      </c>
      <c r="G274">
        <v>5</v>
      </c>
      <c r="H274">
        <v>1</v>
      </c>
      <c r="I274">
        <v>1</v>
      </c>
      <c r="J274">
        <v>0.85757575757575799</v>
      </c>
      <c r="K274">
        <v>0.95474876449435497</v>
      </c>
      <c r="L274">
        <v>0.90355715550384197</v>
      </c>
      <c r="M274">
        <v>0.72445820433436503</v>
      </c>
      <c r="N274">
        <v>1</v>
      </c>
      <c r="O274">
        <v>0.78823529411764703</v>
      </c>
      <c r="P274" t="s">
        <v>1130</v>
      </c>
      <c r="Q274" t="s">
        <v>1131</v>
      </c>
      <c r="R274" t="s">
        <v>235</v>
      </c>
      <c r="S274" t="s">
        <v>236</v>
      </c>
      <c r="T274" t="s">
        <v>7243</v>
      </c>
      <c r="U274" t="s">
        <v>7244</v>
      </c>
      <c r="V274" t="s">
        <v>7245</v>
      </c>
      <c r="W274" t="s">
        <v>7246</v>
      </c>
      <c r="X274" t="s">
        <v>7245</v>
      </c>
      <c r="Y274" t="s">
        <v>2932</v>
      </c>
      <c r="Z274" t="s">
        <v>7247</v>
      </c>
      <c r="AA274" t="s">
        <v>7248</v>
      </c>
      <c r="AB274" t="s">
        <v>7247</v>
      </c>
      <c r="AC274" t="s">
        <v>1682</v>
      </c>
      <c r="AD274" t="s">
        <v>219</v>
      </c>
      <c r="AE274" t="s">
        <v>7249</v>
      </c>
      <c r="AF274" t="s">
        <v>7253</v>
      </c>
    </row>
    <row r="275" spans="1:32" hidden="1" x14ac:dyDescent="0.35">
      <c r="A275">
        <v>10983</v>
      </c>
      <c r="B275" t="s">
        <v>22161</v>
      </c>
      <c r="C275" t="s">
        <v>33</v>
      </c>
      <c r="D275" t="s">
        <v>58</v>
      </c>
      <c r="E275">
        <v>868</v>
      </c>
      <c r="F275">
        <v>1</v>
      </c>
      <c r="G275">
        <v>1</v>
      </c>
      <c r="H275">
        <v>1</v>
      </c>
      <c r="I275">
        <v>0</v>
      </c>
      <c r="J275">
        <v>1</v>
      </c>
      <c r="K275">
        <v>1</v>
      </c>
      <c r="L275">
        <v>1</v>
      </c>
      <c r="M275">
        <v>0</v>
      </c>
      <c r="N275">
        <v>0</v>
      </c>
      <c r="O275">
        <v>0</v>
      </c>
      <c r="P275" t="s">
        <v>8002</v>
      </c>
      <c r="Q275" t="s">
        <v>8003</v>
      </c>
      <c r="R275" t="s">
        <v>138</v>
      </c>
      <c r="S275" t="s">
        <v>139</v>
      </c>
      <c r="T275" t="s">
        <v>12047</v>
      </c>
      <c r="U275" t="s">
        <v>12048</v>
      </c>
      <c r="V275" t="s">
        <v>10609</v>
      </c>
      <c r="W275" t="s">
        <v>10610</v>
      </c>
      <c r="AD275" t="s">
        <v>8300</v>
      </c>
      <c r="AE275" t="s">
        <v>12049</v>
      </c>
      <c r="AF275" t="s">
        <v>22162</v>
      </c>
    </row>
    <row r="276" spans="1:32" hidden="1" x14ac:dyDescent="0.35">
      <c r="A276">
        <v>3645</v>
      </c>
      <c r="B276" t="s">
        <v>7513</v>
      </c>
      <c r="C276" t="s">
        <v>72</v>
      </c>
      <c r="D276" t="s">
        <v>60</v>
      </c>
      <c r="E276">
        <v>2307</v>
      </c>
      <c r="F276">
        <v>5</v>
      </c>
      <c r="G276">
        <v>5</v>
      </c>
      <c r="H276">
        <v>1</v>
      </c>
      <c r="I276">
        <v>1</v>
      </c>
      <c r="J276">
        <v>0.72111182749480596</v>
      </c>
      <c r="K276">
        <v>0.90879755203808299</v>
      </c>
      <c r="L276">
        <v>0.80414858862988003</v>
      </c>
      <c r="M276">
        <v>0.51650485436893201</v>
      </c>
      <c r="N276">
        <v>0.98834951456310705</v>
      </c>
      <c r="O276">
        <v>0.62427184466019403</v>
      </c>
      <c r="P276" t="s">
        <v>2795</v>
      </c>
      <c r="Q276" t="s">
        <v>2796</v>
      </c>
      <c r="R276" t="s">
        <v>235</v>
      </c>
      <c r="S276" t="s">
        <v>236</v>
      </c>
      <c r="T276" t="s">
        <v>7514</v>
      </c>
      <c r="U276" t="s">
        <v>7515</v>
      </c>
      <c r="V276" t="s">
        <v>2930</v>
      </c>
      <c r="W276" t="s">
        <v>2931</v>
      </c>
      <c r="X276" t="s">
        <v>2930</v>
      </c>
      <c r="Y276" t="s">
        <v>2932</v>
      </c>
      <c r="AD276" t="s">
        <v>5476</v>
      </c>
      <c r="AE276" t="s">
        <v>7516</v>
      </c>
      <c r="AF276" t="s">
        <v>7518</v>
      </c>
    </row>
    <row r="277" spans="1:32" hidden="1" x14ac:dyDescent="0.35">
      <c r="A277">
        <v>3646</v>
      </c>
      <c r="B277" t="s">
        <v>7513</v>
      </c>
      <c r="C277" t="s">
        <v>72</v>
      </c>
      <c r="D277" t="s">
        <v>62</v>
      </c>
      <c r="E277">
        <v>2336</v>
      </c>
      <c r="F277">
        <v>5</v>
      </c>
      <c r="G277">
        <v>5</v>
      </c>
      <c r="H277">
        <v>1</v>
      </c>
      <c r="I277">
        <v>1</v>
      </c>
      <c r="J277">
        <v>0.72111182749480596</v>
      </c>
      <c r="K277">
        <v>0.90879755203808299</v>
      </c>
      <c r="L277">
        <v>0.80414858862988003</v>
      </c>
      <c r="M277">
        <v>0.51650485436893201</v>
      </c>
      <c r="N277">
        <v>0.98834951456310705</v>
      </c>
      <c r="O277">
        <v>0.62427184466019403</v>
      </c>
      <c r="P277" t="s">
        <v>2795</v>
      </c>
      <c r="Q277" t="s">
        <v>2796</v>
      </c>
      <c r="R277" t="s">
        <v>235</v>
      </c>
      <c r="S277" t="s">
        <v>236</v>
      </c>
      <c r="T277" t="s">
        <v>7514</v>
      </c>
      <c r="U277" t="s">
        <v>7515</v>
      </c>
      <c r="V277" t="s">
        <v>2930</v>
      </c>
      <c r="W277" t="s">
        <v>2931</v>
      </c>
      <c r="X277" t="s">
        <v>2930</v>
      </c>
      <c r="Y277" t="s">
        <v>2932</v>
      </c>
      <c r="AD277" t="s">
        <v>5476</v>
      </c>
      <c r="AE277" t="s">
        <v>7516</v>
      </c>
      <c r="AF277" t="s">
        <v>7519</v>
      </c>
    </row>
    <row r="278" spans="1:32" hidden="1" x14ac:dyDescent="0.35">
      <c r="A278">
        <v>3647</v>
      </c>
      <c r="B278" t="s">
        <v>7513</v>
      </c>
      <c r="C278" t="s">
        <v>72</v>
      </c>
      <c r="D278" t="s">
        <v>34</v>
      </c>
      <c r="E278">
        <v>1484</v>
      </c>
      <c r="F278">
        <v>5</v>
      </c>
      <c r="G278">
        <v>5</v>
      </c>
      <c r="H278">
        <v>1</v>
      </c>
      <c r="I278">
        <v>1</v>
      </c>
      <c r="J278">
        <v>0.72111182749480596</v>
      </c>
      <c r="K278">
        <v>0.90879755203808299</v>
      </c>
      <c r="L278">
        <v>0.80414858862988003</v>
      </c>
      <c r="M278">
        <v>0.51650485436893201</v>
      </c>
      <c r="N278">
        <v>0.98834951456310705</v>
      </c>
      <c r="O278">
        <v>0.62427184466019403</v>
      </c>
      <c r="P278" t="s">
        <v>2795</v>
      </c>
      <c r="Q278" t="s">
        <v>2796</v>
      </c>
      <c r="R278" t="s">
        <v>235</v>
      </c>
      <c r="S278" t="s">
        <v>236</v>
      </c>
      <c r="T278" t="s">
        <v>7514</v>
      </c>
      <c r="U278" t="s">
        <v>7515</v>
      </c>
      <c r="V278" t="s">
        <v>2930</v>
      </c>
      <c r="W278" t="s">
        <v>2931</v>
      </c>
      <c r="X278" t="s">
        <v>2930</v>
      </c>
      <c r="Y278" t="s">
        <v>2932</v>
      </c>
      <c r="AD278" t="s">
        <v>5476</v>
      </c>
      <c r="AE278" t="s">
        <v>7516</v>
      </c>
      <c r="AF278" t="s">
        <v>7520</v>
      </c>
    </row>
    <row r="279" spans="1:32" hidden="1" x14ac:dyDescent="0.35">
      <c r="A279">
        <v>3648</v>
      </c>
      <c r="B279" t="s">
        <v>7513</v>
      </c>
      <c r="C279" t="s">
        <v>72</v>
      </c>
      <c r="D279" t="s">
        <v>45</v>
      </c>
      <c r="E279">
        <v>234</v>
      </c>
      <c r="F279">
        <v>5</v>
      </c>
      <c r="G279">
        <v>5</v>
      </c>
      <c r="H279">
        <v>1</v>
      </c>
      <c r="I279">
        <v>1</v>
      </c>
      <c r="J279">
        <v>0.72111182749480596</v>
      </c>
      <c r="K279">
        <v>0.90879755203808299</v>
      </c>
      <c r="L279">
        <v>0.80414858862988003</v>
      </c>
      <c r="M279">
        <v>0.51650485436893201</v>
      </c>
      <c r="N279">
        <v>0.98834951456310705</v>
      </c>
      <c r="O279">
        <v>0.62427184466019403</v>
      </c>
      <c r="P279" t="s">
        <v>2795</v>
      </c>
      <c r="Q279" t="s">
        <v>2796</v>
      </c>
      <c r="R279" t="s">
        <v>235</v>
      </c>
      <c r="S279" t="s">
        <v>236</v>
      </c>
      <c r="T279" t="s">
        <v>7514</v>
      </c>
      <c r="U279" t="s">
        <v>7515</v>
      </c>
      <c r="V279" t="s">
        <v>2930</v>
      </c>
      <c r="W279" t="s">
        <v>2931</v>
      </c>
      <c r="X279" t="s">
        <v>2930</v>
      </c>
      <c r="Y279" t="s">
        <v>2932</v>
      </c>
      <c r="AD279" t="s">
        <v>5476</v>
      </c>
      <c r="AE279" t="s">
        <v>7516</v>
      </c>
      <c r="AF279" t="s">
        <v>7521</v>
      </c>
    </row>
    <row r="280" spans="1:32" hidden="1" x14ac:dyDescent="0.35">
      <c r="A280">
        <v>6413</v>
      </c>
      <c r="B280" t="s">
        <v>13212</v>
      </c>
      <c r="C280" t="s">
        <v>68</v>
      </c>
      <c r="D280" t="s">
        <v>58</v>
      </c>
      <c r="E280">
        <v>820</v>
      </c>
      <c r="F280">
        <v>3</v>
      </c>
      <c r="G280">
        <v>3</v>
      </c>
      <c r="H280">
        <v>1</v>
      </c>
      <c r="I280">
        <v>0</v>
      </c>
      <c r="J280">
        <v>0.873699318263366</v>
      </c>
      <c r="K280">
        <v>0.98941863957838505</v>
      </c>
      <c r="L280">
        <v>0.92796528232500297</v>
      </c>
      <c r="M280">
        <v>0.72843450479233196</v>
      </c>
      <c r="N280">
        <v>0.996805111821086</v>
      </c>
      <c r="O280">
        <v>0.81895633652822097</v>
      </c>
      <c r="P280" t="s">
        <v>1247</v>
      </c>
      <c r="Q280" t="s">
        <v>1248</v>
      </c>
      <c r="R280" t="s">
        <v>235</v>
      </c>
      <c r="S280" t="s">
        <v>236</v>
      </c>
      <c r="T280" t="s">
        <v>13213</v>
      </c>
      <c r="U280" t="s">
        <v>13214</v>
      </c>
      <c r="V280" t="s">
        <v>13215</v>
      </c>
      <c r="W280" t="s">
        <v>13216</v>
      </c>
      <c r="AD280" t="s">
        <v>166</v>
      </c>
      <c r="AE280" t="s">
        <v>10941</v>
      </c>
      <c r="AF280" t="s">
        <v>13217</v>
      </c>
    </row>
    <row r="281" spans="1:32" hidden="1" x14ac:dyDescent="0.35">
      <c r="A281">
        <v>3690</v>
      </c>
      <c r="B281" t="s">
        <v>7604</v>
      </c>
      <c r="C281" t="s">
        <v>72</v>
      </c>
      <c r="D281" t="s">
        <v>60</v>
      </c>
      <c r="E281">
        <v>1692</v>
      </c>
      <c r="F281">
        <v>5</v>
      </c>
      <c r="G281">
        <v>5</v>
      </c>
      <c r="H281">
        <v>1</v>
      </c>
      <c r="I281">
        <v>1</v>
      </c>
      <c r="J281">
        <v>0.84603646906233299</v>
      </c>
      <c r="K281">
        <v>0.95908762290341498</v>
      </c>
      <c r="L281">
        <v>0.89902196709254101</v>
      </c>
      <c r="M281">
        <v>0.73245614035087703</v>
      </c>
      <c r="N281">
        <v>0.99122807017543901</v>
      </c>
      <c r="O281">
        <v>0.78903508771929798</v>
      </c>
      <c r="P281" t="s">
        <v>7605</v>
      </c>
      <c r="Q281" t="s">
        <v>7606</v>
      </c>
      <c r="R281" t="s">
        <v>235</v>
      </c>
      <c r="S281" t="s">
        <v>236</v>
      </c>
      <c r="T281" t="s">
        <v>7607</v>
      </c>
      <c r="U281" t="s">
        <v>7608</v>
      </c>
      <c r="V281" t="s">
        <v>7609</v>
      </c>
      <c r="W281" t="s">
        <v>7610</v>
      </c>
      <c r="X281" t="s">
        <v>7609</v>
      </c>
      <c r="Y281" t="s">
        <v>857</v>
      </c>
      <c r="Z281" t="s">
        <v>858</v>
      </c>
      <c r="AA281" t="s">
        <v>859</v>
      </c>
      <c r="AB281" t="s">
        <v>858</v>
      </c>
      <c r="AC281" t="s">
        <v>860</v>
      </c>
      <c r="AD281" t="s">
        <v>219</v>
      </c>
      <c r="AE281" t="s">
        <v>7611</v>
      </c>
      <c r="AF281" t="s">
        <v>7613</v>
      </c>
    </row>
    <row r="282" spans="1:32" hidden="1" x14ac:dyDescent="0.35">
      <c r="A282">
        <v>3691</v>
      </c>
      <c r="B282" t="s">
        <v>7604</v>
      </c>
      <c r="C282" t="s">
        <v>72</v>
      </c>
      <c r="D282" t="s">
        <v>62</v>
      </c>
      <c r="E282">
        <v>1727</v>
      </c>
      <c r="F282">
        <v>5</v>
      </c>
      <c r="G282">
        <v>5</v>
      </c>
      <c r="H282">
        <v>1</v>
      </c>
      <c r="I282">
        <v>1</v>
      </c>
      <c r="J282">
        <v>0.84603646906233299</v>
      </c>
      <c r="K282">
        <v>0.95908762290341498</v>
      </c>
      <c r="L282">
        <v>0.89902196709254101</v>
      </c>
      <c r="M282">
        <v>0.73245614035087703</v>
      </c>
      <c r="N282">
        <v>0.99122807017543901</v>
      </c>
      <c r="O282">
        <v>0.78903508771929798</v>
      </c>
      <c r="P282" t="s">
        <v>7605</v>
      </c>
      <c r="Q282" t="s">
        <v>7606</v>
      </c>
      <c r="R282" t="s">
        <v>235</v>
      </c>
      <c r="S282" t="s">
        <v>236</v>
      </c>
      <c r="T282" t="s">
        <v>7607</v>
      </c>
      <c r="U282" t="s">
        <v>7608</v>
      </c>
      <c r="V282" t="s">
        <v>7609</v>
      </c>
      <c r="W282" t="s">
        <v>7610</v>
      </c>
      <c r="X282" t="s">
        <v>7609</v>
      </c>
      <c r="Y282" t="s">
        <v>857</v>
      </c>
      <c r="Z282" t="s">
        <v>858</v>
      </c>
      <c r="AA282" t="s">
        <v>859</v>
      </c>
      <c r="AB282" t="s">
        <v>858</v>
      </c>
      <c r="AC282" t="s">
        <v>860</v>
      </c>
      <c r="AD282" t="s">
        <v>219</v>
      </c>
      <c r="AE282" t="s">
        <v>7611</v>
      </c>
      <c r="AF282" t="s">
        <v>7614</v>
      </c>
    </row>
    <row r="283" spans="1:32" hidden="1" x14ac:dyDescent="0.35">
      <c r="A283">
        <v>3692</v>
      </c>
      <c r="B283" t="s">
        <v>7604</v>
      </c>
      <c r="C283" t="s">
        <v>72</v>
      </c>
      <c r="D283" t="s">
        <v>34</v>
      </c>
      <c r="E283">
        <v>2076</v>
      </c>
      <c r="F283">
        <v>5</v>
      </c>
      <c r="G283">
        <v>5</v>
      </c>
      <c r="H283">
        <v>1</v>
      </c>
      <c r="I283">
        <v>1</v>
      </c>
      <c r="J283">
        <v>0.84603646906233299</v>
      </c>
      <c r="K283">
        <v>0.95908762290341498</v>
      </c>
      <c r="L283">
        <v>0.89902196709254101</v>
      </c>
      <c r="M283">
        <v>0.73245614035087703</v>
      </c>
      <c r="N283">
        <v>0.99122807017543901</v>
      </c>
      <c r="O283">
        <v>0.78903508771929798</v>
      </c>
      <c r="P283" t="s">
        <v>7605</v>
      </c>
      <c r="Q283" t="s">
        <v>7606</v>
      </c>
      <c r="R283" t="s">
        <v>235</v>
      </c>
      <c r="S283" t="s">
        <v>236</v>
      </c>
      <c r="T283" t="s">
        <v>7607</v>
      </c>
      <c r="U283" t="s">
        <v>7608</v>
      </c>
      <c r="V283" t="s">
        <v>7609</v>
      </c>
      <c r="W283" t="s">
        <v>7610</v>
      </c>
      <c r="X283" t="s">
        <v>7609</v>
      </c>
      <c r="Y283" t="s">
        <v>857</v>
      </c>
      <c r="Z283" t="s">
        <v>858</v>
      </c>
      <c r="AA283" t="s">
        <v>859</v>
      </c>
      <c r="AB283" t="s">
        <v>858</v>
      </c>
      <c r="AC283" t="s">
        <v>860</v>
      </c>
      <c r="AD283" t="s">
        <v>219</v>
      </c>
      <c r="AE283" t="s">
        <v>7611</v>
      </c>
      <c r="AF283" t="s">
        <v>7615</v>
      </c>
    </row>
    <row r="284" spans="1:32" hidden="1" x14ac:dyDescent="0.35">
      <c r="A284">
        <v>3693</v>
      </c>
      <c r="B284" t="s">
        <v>7604</v>
      </c>
      <c r="C284" t="s">
        <v>72</v>
      </c>
      <c r="D284" t="s">
        <v>45</v>
      </c>
      <c r="E284">
        <v>796</v>
      </c>
      <c r="F284">
        <v>5</v>
      </c>
      <c r="G284">
        <v>5</v>
      </c>
      <c r="H284">
        <v>1</v>
      </c>
      <c r="I284">
        <v>1</v>
      </c>
      <c r="J284">
        <v>0.84603646906233299</v>
      </c>
      <c r="K284">
        <v>0.95908762290341498</v>
      </c>
      <c r="L284">
        <v>0.89902196709254101</v>
      </c>
      <c r="M284">
        <v>0.73245614035087703</v>
      </c>
      <c r="N284">
        <v>0.99122807017543901</v>
      </c>
      <c r="O284">
        <v>0.78903508771929798</v>
      </c>
      <c r="P284" t="s">
        <v>7605</v>
      </c>
      <c r="Q284" t="s">
        <v>7606</v>
      </c>
      <c r="R284" t="s">
        <v>235</v>
      </c>
      <c r="S284" t="s">
        <v>236</v>
      </c>
      <c r="T284" t="s">
        <v>7607</v>
      </c>
      <c r="U284" t="s">
        <v>7608</v>
      </c>
      <c r="V284" t="s">
        <v>7609</v>
      </c>
      <c r="W284" t="s">
        <v>7610</v>
      </c>
      <c r="X284" t="s">
        <v>7609</v>
      </c>
      <c r="Y284" t="s">
        <v>857</v>
      </c>
      <c r="Z284" t="s">
        <v>858</v>
      </c>
      <c r="AA284" t="s">
        <v>859</v>
      </c>
      <c r="AB284" t="s">
        <v>858</v>
      </c>
      <c r="AC284" t="s">
        <v>860</v>
      </c>
      <c r="AD284" t="s">
        <v>219</v>
      </c>
      <c r="AE284" t="s">
        <v>7611</v>
      </c>
      <c r="AF284" t="s">
        <v>7616</v>
      </c>
    </row>
    <row r="285" spans="1:32" hidden="1" x14ac:dyDescent="0.35">
      <c r="A285">
        <v>11380</v>
      </c>
      <c r="B285" t="s">
        <v>23179</v>
      </c>
      <c r="C285" t="s">
        <v>33</v>
      </c>
      <c r="D285" t="s">
        <v>58</v>
      </c>
      <c r="E285">
        <v>265</v>
      </c>
      <c r="F285">
        <v>1</v>
      </c>
      <c r="G285">
        <v>1</v>
      </c>
      <c r="H285">
        <v>1</v>
      </c>
      <c r="I285">
        <v>0</v>
      </c>
      <c r="J285">
        <v>1</v>
      </c>
      <c r="K285">
        <v>1</v>
      </c>
      <c r="L285">
        <v>1</v>
      </c>
      <c r="M285">
        <v>0</v>
      </c>
      <c r="N285">
        <v>0</v>
      </c>
      <c r="O285">
        <v>0</v>
      </c>
      <c r="P285" t="s">
        <v>13815</v>
      </c>
      <c r="Q285" t="s">
        <v>13816</v>
      </c>
      <c r="R285" t="s">
        <v>138</v>
      </c>
      <c r="S285" t="s">
        <v>139</v>
      </c>
      <c r="T285" t="s">
        <v>13231</v>
      </c>
      <c r="U285" t="s">
        <v>13232</v>
      </c>
      <c r="V285" t="s">
        <v>13817</v>
      </c>
      <c r="W285" t="s">
        <v>13818</v>
      </c>
      <c r="AD285" t="s">
        <v>166</v>
      </c>
      <c r="AE285" t="s">
        <v>167</v>
      </c>
      <c r="AF285" t="s">
        <v>23180</v>
      </c>
    </row>
    <row r="286" spans="1:32" hidden="1" x14ac:dyDescent="0.35">
      <c r="A286">
        <v>3750</v>
      </c>
      <c r="B286" t="s">
        <v>7737</v>
      </c>
      <c r="C286" t="s">
        <v>72</v>
      </c>
      <c r="D286" t="s">
        <v>60</v>
      </c>
      <c r="E286">
        <v>931</v>
      </c>
      <c r="F286">
        <v>5</v>
      </c>
      <c r="G286">
        <v>5</v>
      </c>
      <c r="H286">
        <v>1</v>
      </c>
      <c r="I286">
        <v>1</v>
      </c>
      <c r="J286">
        <v>0.80840749583966398</v>
      </c>
      <c r="K286">
        <v>0.91723400911519204</v>
      </c>
      <c r="L286">
        <v>0.85938921413133995</v>
      </c>
      <c r="M286">
        <v>0.57227722772277201</v>
      </c>
      <c r="N286">
        <v>0.99801980198019802</v>
      </c>
      <c r="O286">
        <v>0.70613861386138599</v>
      </c>
      <c r="P286" t="s">
        <v>7738</v>
      </c>
      <c r="Q286" t="s">
        <v>7739</v>
      </c>
      <c r="R286" t="s">
        <v>235</v>
      </c>
      <c r="S286" t="s">
        <v>236</v>
      </c>
      <c r="T286" t="s">
        <v>7740</v>
      </c>
      <c r="U286" t="s">
        <v>7741</v>
      </c>
      <c r="V286" t="s">
        <v>7742</v>
      </c>
      <c r="W286" t="s">
        <v>7743</v>
      </c>
      <c r="AD286" t="s">
        <v>166</v>
      </c>
      <c r="AE286" t="s">
        <v>818</v>
      </c>
      <c r="AF286" t="s">
        <v>7745</v>
      </c>
    </row>
    <row r="287" spans="1:32" hidden="1" x14ac:dyDescent="0.35">
      <c r="A287">
        <v>3751</v>
      </c>
      <c r="B287" t="s">
        <v>7737</v>
      </c>
      <c r="C287" t="s">
        <v>72</v>
      </c>
      <c r="D287" t="s">
        <v>62</v>
      </c>
      <c r="E287">
        <v>967</v>
      </c>
      <c r="F287">
        <v>5</v>
      </c>
      <c r="G287">
        <v>5</v>
      </c>
      <c r="H287">
        <v>1</v>
      </c>
      <c r="I287">
        <v>1</v>
      </c>
      <c r="J287">
        <v>0.80840749583966398</v>
      </c>
      <c r="K287">
        <v>0.91723400911519204</v>
      </c>
      <c r="L287">
        <v>0.85938921413133995</v>
      </c>
      <c r="M287">
        <v>0.57227722772277201</v>
      </c>
      <c r="N287">
        <v>0.99801980198019802</v>
      </c>
      <c r="O287">
        <v>0.70613861386138599</v>
      </c>
      <c r="P287" t="s">
        <v>7738</v>
      </c>
      <c r="Q287" t="s">
        <v>7739</v>
      </c>
      <c r="R287" t="s">
        <v>235</v>
      </c>
      <c r="S287" t="s">
        <v>236</v>
      </c>
      <c r="T287" t="s">
        <v>7740</v>
      </c>
      <c r="U287" t="s">
        <v>7741</v>
      </c>
      <c r="V287" t="s">
        <v>7742</v>
      </c>
      <c r="W287" t="s">
        <v>7743</v>
      </c>
      <c r="AD287" t="s">
        <v>166</v>
      </c>
      <c r="AE287" t="s">
        <v>818</v>
      </c>
      <c r="AF287" t="s">
        <v>7745</v>
      </c>
    </row>
    <row r="288" spans="1:32" hidden="1" x14ac:dyDescent="0.35">
      <c r="A288">
        <v>3752</v>
      </c>
      <c r="B288" t="s">
        <v>7737</v>
      </c>
      <c r="C288" t="s">
        <v>72</v>
      </c>
      <c r="D288" t="s">
        <v>34</v>
      </c>
      <c r="E288">
        <v>230</v>
      </c>
      <c r="F288">
        <v>5</v>
      </c>
      <c r="G288">
        <v>5</v>
      </c>
      <c r="H288">
        <v>1</v>
      </c>
      <c r="I288">
        <v>1</v>
      </c>
      <c r="J288">
        <v>0.80840749583966398</v>
      </c>
      <c r="K288">
        <v>0.91723400911519204</v>
      </c>
      <c r="L288">
        <v>0.85938921413133995</v>
      </c>
      <c r="M288">
        <v>0.57227722772277201</v>
      </c>
      <c r="N288">
        <v>0.99801980198019802</v>
      </c>
      <c r="O288">
        <v>0.70613861386138599</v>
      </c>
      <c r="P288" t="s">
        <v>7738</v>
      </c>
      <c r="Q288" t="s">
        <v>7739</v>
      </c>
      <c r="R288" t="s">
        <v>235</v>
      </c>
      <c r="S288" t="s">
        <v>236</v>
      </c>
      <c r="T288" t="s">
        <v>7740</v>
      </c>
      <c r="U288" t="s">
        <v>7741</v>
      </c>
      <c r="V288" t="s">
        <v>7742</v>
      </c>
      <c r="W288" t="s">
        <v>7743</v>
      </c>
      <c r="AD288" t="s">
        <v>166</v>
      </c>
      <c r="AE288" t="s">
        <v>818</v>
      </c>
      <c r="AF288" t="s">
        <v>7746</v>
      </c>
    </row>
    <row r="289" spans="1:32" hidden="1" x14ac:dyDescent="0.35">
      <c r="A289">
        <v>3753</v>
      </c>
      <c r="B289" t="s">
        <v>7737</v>
      </c>
      <c r="C289" t="s">
        <v>72</v>
      </c>
      <c r="D289" t="s">
        <v>45</v>
      </c>
      <c r="E289">
        <v>1493</v>
      </c>
      <c r="F289">
        <v>5</v>
      </c>
      <c r="G289">
        <v>5</v>
      </c>
      <c r="H289">
        <v>1</v>
      </c>
      <c r="I289">
        <v>1</v>
      </c>
      <c r="J289">
        <v>0.80840749583966398</v>
      </c>
      <c r="K289">
        <v>0.91723400911519204</v>
      </c>
      <c r="L289">
        <v>0.85938921413133995</v>
      </c>
      <c r="M289">
        <v>0.57227722772277201</v>
      </c>
      <c r="N289">
        <v>0.99801980198019802</v>
      </c>
      <c r="O289">
        <v>0.70613861386138599</v>
      </c>
      <c r="P289" t="s">
        <v>7738</v>
      </c>
      <c r="Q289" t="s">
        <v>7739</v>
      </c>
      <c r="R289" t="s">
        <v>235</v>
      </c>
      <c r="S289" t="s">
        <v>236</v>
      </c>
      <c r="T289" t="s">
        <v>7740</v>
      </c>
      <c r="U289" t="s">
        <v>7741</v>
      </c>
      <c r="V289" t="s">
        <v>7742</v>
      </c>
      <c r="W289" t="s">
        <v>7743</v>
      </c>
      <c r="AD289" t="s">
        <v>166</v>
      </c>
      <c r="AE289" t="s">
        <v>818</v>
      </c>
      <c r="AF289" t="s">
        <v>7747</v>
      </c>
    </row>
    <row r="290" spans="1:32" hidden="1" x14ac:dyDescent="0.35">
      <c r="A290">
        <v>5975</v>
      </c>
      <c r="B290" t="s">
        <v>12288</v>
      </c>
      <c r="C290" t="s">
        <v>13295</v>
      </c>
      <c r="D290" t="s">
        <v>58</v>
      </c>
      <c r="E290">
        <v>1619</v>
      </c>
      <c r="F290">
        <v>3</v>
      </c>
      <c r="G290">
        <v>3</v>
      </c>
      <c r="H290">
        <v>1</v>
      </c>
      <c r="I290">
        <v>0</v>
      </c>
      <c r="J290">
        <v>0.84961685823754796</v>
      </c>
      <c r="K290">
        <v>1</v>
      </c>
      <c r="L290">
        <v>0.91869497669601197</v>
      </c>
      <c r="M290">
        <v>0.693965517241379</v>
      </c>
      <c r="N290">
        <v>1</v>
      </c>
      <c r="O290">
        <v>0.79597701149425304</v>
      </c>
      <c r="P290" t="s">
        <v>12289</v>
      </c>
      <c r="Q290" t="s">
        <v>12290</v>
      </c>
      <c r="R290" t="s">
        <v>342</v>
      </c>
      <c r="S290" t="s">
        <v>343</v>
      </c>
      <c r="T290" t="s">
        <v>12291</v>
      </c>
      <c r="U290" t="s">
        <v>12292</v>
      </c>
      <c r="V290" t="s">
        <v>12293</v>
      </c>
      <c r="W290" t="s">
        <v>12294</v>
      </c>
      <c r="AD290" t="s">
        <v>12295</v>
      </c>
      <c r="AE290" t="s">
        <v>12296</v>
      </c>
      <c r="AF290" t="s">
        <v>12297</v>
      </c>
    </row>
    <row r="291" spans="1:32" hidden="1" x14ac:dyDescent="0.35">
      <c r="A291">
        <v>3780</v>
      </c>
      <c r="B291" t="s">
        <v>7810</v>
      </c>
      <c r="C291" t="s">
        <v>72</v>
      </c>
      <c r="D291" t="s">
        <v>60</v>
      </c>
      <c r="E291">
        <v>1163</v>
      </c>
      <c r="F291">
        <v>5</v>
      </c>
      <c r="G291">
        <v>5</v>
      </c>
      <c r="H291">
        <v>1</v>
      </c>
      <c r="I291">
        <v>1</v>
      </c>
      <c r="J291">
        <v>0.76801511637894004</v>
      </c>
      <c r="K291">
        <v>0.94416589894408798</v>
      </c>
      <c r="L291">
        <v>0.84702922911659895</v>
      </c>
      <c r="M291">
        <v>0.57038834951456296</v>
      </c>
      <c r="N291">
        <v>0.99514563106796095</v>
      </c>
      <c r="O291">
        <v>0.68325242718446599</v>
      </c>
      <c r="P291" t="s">
        <v>1734</v>
      </c>
      <c r="Q291" t="s">
        <v>1735</v>
      </c>
      <c r="R291" t="s">
        <v>235</v>
      </c>
      <c r="S291" t="s">
        <v>236</v>
      </c>
      <c r="T291" t="s">
        <v>7811</v>
      </c>
      <c r="U291" t="s">
        <v>7812</v>
      </c>
      <c r="V291" t="s">
        <v>7813</v>
      </c>
      <c r="W291" t="s">
        <v>7814</v>
      </c>
      <c r="X291" t="s">
        <v>7813</v>
      </c>
      <c r="Y291" t="s">
        <v>2932</v>
      </c>
      <c r="Z291" t="s">
        <v>7815</v>
      </c>
      <c r="AA291" t="s">
        <v>7816</v>
      </c>
      <c r="AB291" t="s">
        <v>7815</v>
      </c>
      <c r="AC291" t="s">
        <v>7817</v>
      </c>
      <c r="AD291" t="s">
        <v>7818</v>
      </c>
      <c r="AE291" t="s">
        <v>7819</v>
      </c>
      <c r="AF291" t="s">
        <v>7820</v>
      </c>
    </row>
    <row r="292" spans="1:32" hidden="1" x14ac:dyDescent="0.35">
      <c r="A292">
        <v>3781</v>
      </c>
      <c r="B292" t="s">
        <v>7810</v>
      </c>
      <c r="C292" t="s">
        <v>72</v>
      </c>
      <c r="D292" t="s">
        <v>62</v>
      </c>
      <c r="E292">
        <v>1200</v>
      </c>
      <c r="F292">
        <v>5</v>
      </c>
      <c r="G292">
        <v>5</v>
      </c>
      <c r="H292">
        <v>1</v>
      </c>
      <c r="I292">
        <v>1</v>
      </c>
      <c r="J292">
        <v>0.76801511637894004</v>
      </c>
      <c r="K292">
        <v>0.94416589894408798</v>
      </c>
      <c r="L292">
        <v>0.84702922911659895</v>
      </c>
      <c r="M292">
        <v>0.57038834951456296</v>
      </c>
      <c r="N292">
        <v>0.99514563106796095</v>
      </c>
      <c r="O292">
        <v>0.68325242718446599</v>
      </c>
      <c r="P292" t="s">
        <v>1734</v>
      </c>
      <c r="Q292" t="s">
        <v>1735</v>
      </c>
      <c r="R292" t="s">
        <v>235</v>
      </c>
      <c r="S292" t="s">
        <v>236</v>
      </c>
      <c r="T292" t="s">
        <v>7811</v>
      </c>
      <c r="U292" t="s">
        <v>7812</v>
      </c>
      <c r="V292" t="s">
        <v>7813</v>
      </c>
      <c r="W292" t="s">
        <v>7814</v>
      </c>
      <c r="X292" t="s">
        <v>7813</v>
      </c>
      <c r="Y292" t="s">
        <v>2932</v>
      </c>
      <c r="Z292" t="s">
        <v>7815</v>
      </c>
      <c r="AA292" t="s">
        <v>7816</v>
      </c>
      <c r="AB292" t="s">
        <v>7815</v>
      </c>
      <c r="AC292" t="s">
        <v>7817</v>
      </c>
      <c r="AD292" t="s">
        <v>7818</v>
      </c>
      <c r="AE292" t="s">
        <v>7819</v>
      </c>
      <c r="AF292" t="s">
        <v>7821</v>
      </c>
    </row>
    <row r="293" spans="1:32" hidden="1" x14ac:dyDescent="0.35">
      <c r="A293">
        <v>3782</v>
      </c>
      <c r="B293" t="s">
        <v>7810</v>
      </c>
      <c r="C293" t="s">
        <v>72</v>
      </c>
      <c r="D293" t="s">
        <v>34</v>
      </c>
      <c r="E293">
        <v>2512</v>
      </c>
      <c r="F293">
        <v>5</v>
      </c>
      <c r="G293">
        <v>5</v>
      </c>
      <c r="H293">
        <v>1</v>
      </c>
      <c r="I293">
        <v>1</v>
      </c>
      <c r="J293">
        <v>0.76801511637894004</v>
      </c>
      <c r="K293">
        <v>0.94416589894408798</v>
      </c>
      <c r="L293">
        <v>0.84702922911659895</v>
      </c>
      <c r="M293">
        <v>0.57038834951456296</v>
      </c>
      <c r="N293">
        <v>0.99514563106796095</v>
      </c>
      <c r="O293">
        <v>0.68325242718446599</v>
      </c>
      <c r="P293" t="s">
        <v>1734</v>
      </c>
      <c r="Q293" t="s">
        <v>1735</v>
      </c>
      <c r="R293" t="s">
        <v>235</v>
      </c>
      <c r="S293" t="s">
        <v>236</v>
      </c>
      <c r="T293" t="s">
        <v>7811</v>
      </c>
      <c r="U293" t="s">
        <v>7812</v>
      </c>
      <c r="V293" t="s">
        <v>7813</v>
      </c>
      <c r="W293" t="s">
        <v>7814</v>
      </c>
      <c r="X293" t="s">
        <v>7813</v>
      </c>
      <c r="Y293" t="s">
        <v>2932</v>
      </c>
      <c r="Z293" t="s">
        <v>7815</v>
      </c>
      <c r="AA293" t="s">
        <v>7816</v>
      </c>
      <c r="AB293" t="s">
        <v>7815</v>
      </c>
      <c r="AC293" t="s">
        <v>7817</v>
      </c>
      <c r="AD293" t="s">
        <v>7818</v>
      </c>
      <c r="AE293" t="s">
        <v>7819</v>
      </c>
      <c r="AF293" t="s">
        <v>7822</v>
      </c>
    </row>
    <row r="294" spans="1:32" hidden="1" x14ac:dyDescent="0.35">
      <c r="A294">
        <v>3783</v>
      </c>
      <c r="B294" t="s">
        <v>7810</v>
      </c>
      <c r="C294" t="s">
        <v>72</v>
      </c>
      <c r="D294" t="s">
        <v>45</v>
      </c>
      <c r="E294">
        <v>1238</v>
      </c>
      <c r="F294">
        <v>5</v>
      </c>
      <c r="G294">
        <v>5</v>
      </c>
      <c r="H294">
        <v>1</v>
      </c>
      <c r="I294">
        <v>1</v>
      </c>
      <c r="J294">
        <v>0.76801511637894004</v>
      </c>
      <c r="K294">
        <v>0.94416589894408798</v>
      </c>
      <c r="L294">
        <v>0.84702922911659895</v>
      </c>
      <c r="M294">
        <v>0.57038834951456296</v>
      </c>
      <c r="N294">
        <v>0.99514563106796095</v>
      </c>
      <c r="O294">
        <v>0.68325242718446599</v>
      </c>
      <c r="P294" t="s">
        <v>1734</v>
      </c>
      <c r="Q294" t="s">
        <v>1735</v>
      </c>
      <c r="R294" t="s">
        <v>235</v>
      </c>
      <c r="S294" t="s">
        <v>236</v>
      </c>
      <c r="T294" t="s">
        <v>7811</v>
      </c>
      <c r="U294" t="s">
        <v>7812</v>
      </c>
      <c r="V294" t="s">
        <v>7813</v>
      </c>
      <c r="W294" t="s">
        <v>7814</v>
      </c>
      <c r="X294" t="s">
        <v>7813</v>
      </c>
      <c r="Y294" t="s">
        <v>2932</v>
      </c>
      <c r="Z294" t="s">
        <v>7815</v>
      </c>
      <c r="AA294" t="s">
        <v>7816</v>
      </c>
      <c r="AB294" t="s">
        <v>7815</v>
      </c>
      <c r="AC294" t="s">
        <v>7817</v>
      </c>
      <c r="AD294" t="s">
        <v>7818</v>
      </c>
      <c r="AE294" t="s">
        <v>7819</v>
      </c>
      <c r="AF294" t="e">
        <f>-------MPTWPDVIMNTYGTPAITLVSGAGAEVTDSEGRTHIDLLAGIAVNALGHGHPAVVQAVSEQIATLGHVSNLYASQPVIDVAAGLIDRFGDPD------ARVFFCNSGTEANEAAFKIARATGRSRILAAEHGFHGRTMGALALTGQPDKRKKFEPMPAGVEYYTYGDIESFPPLD----DDVAAIFLEPIQGETGVVPAPDGFLAQVRQLCDEHGILMICDEVQTGVGRTGEFFAFQHD-NVRPDVVTMAKGLGGGLPMGACIAAGQAAKLFQPGDHGCTFGGNPVTCAAARVVLDVVDK-QFLAEVTRKGELLRQEL-LKLPQVESVRGRGLMLGVVLREPVAKQAVAEAPNYGILMNAPQPHVVRLTPPLIISDDQITQAVARFADLLKGV-------SHDDY</f>
        <v>#NAME?</v>
      </c>
    </row>
    <row r="295" spans="1:32" hidden="1" x14ac:dyDescent="0.35">
      <c r="A295">
        <v>6047</v>
      </c>
      <c r="B295" t="s">
        <v>12429</v>
      </c>
      <c r="C295" t="s">
        <v>68</v>
      </c>
      <c r="D295" t="s">
        <v>58</v>
      </c>
      <c r="E295">
        <v>1620</v>
      </c>
      <c r="F295">
        <v>3</v>
      </c>
      <c r="G295">
        <v>3</v>
      </c>
      <c r="H295">
        <v>1</v>
      </c>
      <c r="I295">
        <v>0</v>
      </c>
      <c r="J295">
        <v>0.77230769230769203</v>
      </c>
      <c r="K295">
        <v>0.95132743362831895</v>
      </c>
      <c r="L295">
        <v>0.85252091215709203</v>
      </c>
      <c r="M295">
        <v>0.570175438596491</v>
      </c>
      <c r="N295">
        <v>1</v>
      </c>
      <c r="O295">
        <v>0.713450292397661</v>
      </c>
      <c r="P295" t="s">
        <v>12430</v>
      </c>
      <c r="Q295" t="s">
        <v>12431</v>
      </c>
      <c r="R295" t="s">
        <v>342</v>
      </c>
      <c r="S295" t="s">
        <v>343</v>
      </c>
      <c r="T295" t="s">
        <v>12432</v>
      </c>
      <c r="U295" t="s">
        <v>12433</v>
      </c>
      <c r="V295" t="s">
        <v>12434</v>
      </c>
      <c r="W295" t="s">
        <v>12435</v>
      </c>
      <c r="AD295" t="s">
        <v>12295</v>
      </c>
      <c r="AE295" t="s">
        <v>12296</v>
      </c>
      <c r="AF295" t="s">
        <v>12436</v>
      </c>
    </row>
    <row r="296" spans="1:32" hidden="1" x14ac:dyDescent="0.35">
      <c r="A296">
        <v>3820</v>
      </c>
      <c r="B296" t="s">
        <v>7881</v>
      </c>
      <c r="C296" t="s">
        <v>72</v>
      </c>
      <c r="D296" t="s">
        <v>60</v>
      </c>
      <c r="E296">
        <v>492</v>
      </c>
      <c r="F296">
        <v>5</v>
      </c>
      <c r="G296">
        <v>5</v>
      </c>
      <c r="H296">
        <v>1</v>
      </c>
      <c r="I296">
        <v>1</v>
      </c>
      <c r="J296">
        <v>0.86826484018264805</v>
      </c>
      <c r="K296">
        <v>0.98657393284932404</v>
      </c>
      <c r="L296">
        <v>0.92364627113498399</v>
      </c>
      <c r="M296">
        <v>0.75900900900900903</v>
      </c>
      <c r="N296">
        <v>0.99774774774774799</v>
      </c>
      <c r="O296">
        <v>0.82860360360360397</v>
      </c>
      <c r="P296" t="s">
        <v>7882</v>
      </c>
      <c r="Q296" t="s">
        <v>7883</v>
      </c>
      <c r="R296" t="s">
        <v>235</v>
      </c>
      <c r="S296" t="s">
        <v>236</v>
      </c>
      <c r="T296" t="s">
        <v>7884</v>
      </c>
      <c r="U296" t="s">
        <v>7885</v>
      </c>
      <c r="V296" t="s">
        <v>7886</v>
      </c>
      <c r="W296" t="s">
        <v>7887</v>
      </c>
      <c r="X296" t="s">
        <v>7886</v>
      </c>
      <c r="Y296" t="s">
        <v>2431</v>
      </c>
      <c r="AD296" t="s">
        <v>219</v>
      </c>
      <c r="AE296" t="s">
        <v>7888</v>
      </c>
      <c r="AF296" t="e">
        <f>-----MPQYDNSNAADWGFDTRSIHAGQTVDSDTSARNLPIFLTSSYVFDNAEHAKQRFALENLGPVYSRLTNPTVEVVENRLASLEGGVHAVLFASGQAAETAAILNLARAGSHIVSSPRLYGGTTTLFTVTLARLGIETTFVDDPDDPASWQAAVQDNTVAFYGETFANPQADILDIPAIAEVAHANNVPFIVDNTLATAALVRPLELGADIVVASLTKFYTGNGSALGGVLVDGGQFDWTIERN-GAPVFPDFVTPDPAYHGLRYADLGPAAFGLKARVGLLRDTGAAPSAFNAWVTAQGLETLSLRVERHNSNAKKVAEFLARHPKVATVNYAGLETSPWYSIKEKLGLDYTGSVLSFDIKGDKDAAWAFIDALKLHSNVANVGDVRSLVVHPATTTHSQSNEEELRRAGINQSTIRLSVGIENIDDIIADLEAGFAAIS</f>
        <v>#NAME?</v>
      </c>
    </row>
    <row r="297" spans="1:32" hidden="1" x14ac:dyDescent="0.35">
      <c r="A297">
        <v>3821</v>
      </c>
      <c r="B297" t="s">
        <v>7881</v>
      </c>
      <c r="C297" t="s">
        <v>72</v>
      </c>
      <c r="D297" t="s">
        <v>62</v>
      </c>
      <c r="E297">
        <v>575</v>
      </c>
      <c r="F297">
        <v>5</v>
      </c>
      <c r="G297">
        <v>5</v>
      </c>
      <c r="H297">
        <v>1</v>
      </c>
      <c r="I297">
        <v>1</v>
      </c>
      <c r="J297">
        <v>0.86826484018264805</v>
      </c>
      <c r="K297">
        <v>0.98657393284932404</v>
      </c>
      <c r="L297">
        <v>0.92364627113498399</v>
      </c>
      <c r="M297">
        <v>0.75900900900900903</v>
      </c>
      <c r="N297">
        <v>0.99774774774774799</v>
      </c>
      <c r="O297">
        <v>0.82860360360360397</v>
      </c>
      <c r="P297" t="s">
        <v>7882</v>
      </c>
      <c r="Q297" t="s">
        <v>7883</v>
      </c>
      <c r="R297" t="s">
        <v>235</v>
      </c>
      <c r="S297" t="s">
        <v>236</v>
      </c>
      <c r="T297" t="s">
        <v>7884</v>
      </c>
      <c r="U297" t="s">
        <v>7885</v>
      </c>
      <c r="V297" t="s">
        <v>7886</v>
      </c>
      <c r="W297" t="s">
        <v>7887</v>
      </c>
      <c r="X297" t="s">
        <v>7886</v>
      </c>
      <c r="Y297" t="s">
        <v>2431</v>
      </c>
      <c r="AD297" t="s">
        <v>219</v>
      </c>
      <c r="AE297" t="s">
        <v>7888</v>
      </c>
      <c r="AF297" t="e">
        <f>-----MPQYDNSNAADWGFDTRSIHAGQTVDSDTSARNLPIFLTSSYVFDNAEHAKQRFALENLGPVYSRLTNPTVEVVENRLASLEGGVHAVLFASGQAAETAAILNLARAGSHIVSSPRLYGGTTTLFTVTLARLGIETTFVDDPDDPASWQAAVQDNTVAFYGETFANPQADILDIPAIAEVAHANNVPFIVDNTLATAALVRPLELGADIVVASLTKFYTGNGSALGGVLVDGGQFDWTIERN-GAPVFPDFVTPDPAYHGLRYADLGPAAFGLKARVGLLRDTGAAPSAFNAWVTAQGLETLSLRVERHNSNAKKVAEFLARHPKVATVNYAGLETSPWYSIKEKLGLDYTGSVLSFDIKGDKDAAWAFIDALKLHSNVANVGDVRSLVVHPATTTHSQSNEEELRRAGINQSTIRLSVGIENIDDIIADLEAGFAAIN</f>
        <v>#NAME?</v>
      </c>
    </row>
    <row r="298" spans="1:32" hidden="1" x14ac:dyDescent="0.35">
      <c r="A298">
        <v>3822</v>
      </c>
      <c r="B298" t="s">
        <v>7881</v>
      </c>
      <c r="C298" t="s">
        <v>72</v>
      </c>
      <c r="D298" t="s">
        <v>34</v>
      </c>
      <c r="E298">
        <v>588</v>
      </c>
      <c r="F298">
        <v>5</v>
      </c>
      <c r="G298">
        <v>5</v>
      </c>
      <c r="H298">
        <v>1</v>
      </c>
      <c r="I298">
        <v>1</v>
      </c>
      <c r="J298">
        <v>0.86826484018264805</v>
      </c>
      <c r="K298">
        <v>0.98657393284932404</v>
      </c>
      <c r="L298">
        <v>0.92364627113498399</v>
      </c>
      <c r="M298">
        <v>0.75900900900900903</v>
      </c>
      <c r="N298">
        <v>0.99774774774774799</v>
      </c>
      <c r="O298">
        <v>0.82860360360360397</v>
      </c>
      <c r="P298" t="s">
        <v>7882</v>
      </c>
      <c r="Q298" t="s">
        <v>7883</v>
      </c>
      <c r="R298" t="s">
        <v>235</v>
      </c>
      <c r="S298" t="s">
        <v>236</v>
      </c>
      <c r="T298" t="s">
        <v>7884</v>
      </c>
      <c r="U298" t="s">
        <v>7885</v>
      </c>
      <c r="V298" t="s">
        <v>7886</v>
      </c>
      <c r="W298" t="s">
        <v>7887</v>
      </c>
      <c r="X298" t="s">
        <v>7886</v>
      </c>
      <c r="Y298" t="s">
        <v>2431</v>
      </c>
      <c r="AD298" t="s">
        <v>219</v>
      </c>
      <c r="AE298" t="s">
        <v>7888</v>
      </c>
      <c r="AF298" t="s">
        <v>7890</v>
      </c>
    </row>
    <row r="299" spans="1:32" hidden="1" x14ac:dyDescent="0.35">
      <c r="A299">
        <v>3823</v>
      </c>
      <c r="B299" t="s">
        <v>7881</v>
      </c>
      <c r="C299" t="s">
        <v>72</v>
      </c>
      <c r="D299" t="s">
        <v>45</v>
      </c>
      <c r="E299">
        <v>1854</v>
      </c>
      <c r="F299">
        <v>5</v>
      </c>
      <c r="G299">
        <v>5</v>
      </c>
      <c r="H299">
        <v>1</v>
      </c>
      <c r="I299">
        <v>1</v>
      </c>
      <c r="J299">
        <v>0.86826484018264805</v>
      </c>
      <c r="K299">
        <v>0.98657393284932404</v>
      </c>
      <c r="L299">
        <v>0.92364627113498399</v>
      </c>
      <c r="M299">
        <v>0.75900900900900903</v>
      </c>
      <c r="N299">
        <v>0.99774774774774799</v>
      </c>
      <c r="O299">
        <v>0.82860360360360397</v>
      </c>
      <c r="P299" t="s">
        <v>7882</v>
      </c>
      <c r="Q299" t="s">
        <v>7883</v>
      </c>
      <c r="R299" t="s">
        <v>235</v>
      </c>
      <c r="S299" t="s">
        <v>236</v>
      </c>
      <c r="T299" t="s">
        <v>7884</v>
      </c>
      <c r="U299" t="s">
        <v>7885</v>
      </c>
      <c r="V299" t="s">
        <v>7886</v>
      </c>
      <c r="W299" t="s">
        <v>7887</v>
      </c>
      <c r="X299" t="s">
        <v>7886</v>
      </c>
      <c r="Y299" t="s">
        <v>2431</v>
      </c>
      <c r="AD299" t="s">
        <v>219</v>
      </c>
      <c r="AE299" t="s">
        <v>7888</v>
      </c>
      <c r="AF299" t="s">
        <v>7891</v>
      </c>
    </row>
    <row r="300" spans="1:32" hidden="1" x14ac:dyDescent="0.35">
      <c r="A300">
        <v>11632</v>
      </c>
      <c r="B300" t="s">
        <v>23830</v>
      </c>
      <c r="C300" t="s">
        <v>33</v>
      </c>
      <c r="D300" t="s">
        <v>58</v>
      </c>
      <c r="E300">
        <v>929</v>
      </c>
      <c r="F300">
        <v>1</v>
      </c>
      <c r="G300">
        <v>1</v>
      </c>
      <c r="H300">
        <v>1</v>
      </c>
      <c r="I300">
        <v>0</v>
      </c>
      <c r="J300">
        <v>1</v>
      </c>
      <c r="K300">
        <v>1</v>
      </c>
      <c r="L300">
        <v>1</v>
      </c>
      <c r="M300">
        <v>0</v>
      </c>
      <c r="N300">
        <v>0</v>
      </c>
      <c r="O300">
        <v>0</v>
      </c>
      <c r="P300" t="s">
        <v>8909</v>
      </c>
      <c r="Q300" t="s">
        <v>8910</v>
      </c>
      <c r="R300" t="s">
        <v>342</v>
      </c>
      <c r="S300" t="s">
        <v>343</v>
      </c>
      <c r="T300" t="s">
        <v>12990</v>
      </c>
      <c r="U300" t="s">
        <v>12566</v>
      </c>
      <c r="V300" t="s">
        <v>12991</v>
      </c>
      <c r="W300" t="s">
        <v>12992</v>
      </c>
      <c r="AD300" t="s">
        <v>439</v>
      </c>
      <c r="AE300" t="s">
        <v>11415</v>
      </c>
      <c r="AF300" t="s">
        <v>23831</v>
      </c>
    </row>
    <row r="301" spans="1:32" hidden="1" x14ac:dyDescent="0.35">
      <c r="A301">
        <v>3905</v>
      </c>
      <c r="B301" t="s">
        <v>8044</v>
      </c>
      <c r="C301" t="s">
        <v>72</v>
      </c>
      <c r="D301" t="s">
        <v>60</v>
      </c>
      <c r="E301">
        <v>173</v>
      </c>
      <c r="F301">
        <v>5</v>
      </c>
      <c r="G301">
        <v>5</v>
      </c>
      <c r="H301">
        <v>1</v>
      </c>
      <c r="I301">
        <v>1</v>
      </c>
      <c r="J301">
        <v>0.89298506640216002</v>
      </c>
      <c r="K301">
        <v>0.99491432194572604</v>
      </c>
      <c r="L301">
        <v>0.94119807160343205</v>
      </c>
      <c r="M301">
        <v>0.82730263157894701</v>
      </c>
      <c r="N301">
        <v>0.99342105263157898</v>
      </c>
      <c r="O301">
        <v>0.862171052631579</v>
      </c>
      <c r="P301" t="s">
        <v>8045</v>
      </c>
      <c r="Q301" t="s">
        <v>8046</v>
      </c>
      <c r="R301" t="s">
        <v>235</v>
      </c>
      <c r="S301" t="s">
        <v>236</v>
      </c>
      <c r="T301" t="s">
        <v>8047</v>
      </c>
      <c r="U301" t="s">
        <v>8048</v>
      </c>
      <c r="V301" t="s">
        <v>8049</v>
      </c>
      <c r="W301" t="s">
        <v>8050</v>
      </c>
      <c r="X301" t="s">
        <v>8049</v>
      </c>
      <c r="Y301" t="s">
        <v>1108</v>
      </c>
      <c r="Z301" t="s">
        <v>8051</v>
      </c>
      <c r="AA301" t="s">
        <v>8052</v>
      </c>
      <c r="AB301" t="s">
        <v>8051</v>
      </c>
      <c r="AC301" t="s">
        <v>8053</v>
      </c>
      <c r="AD301" t="s">
        <v>245</v>
      </c>
      <c r="AE301" t="s">
        <v>8054</v>
      </c>
      <c r="AF301" t="s">
        <v>8056</v>
      </c>
    </row>
    <row r="302" spans="1:32" hidden="1" x14ac:dyDescent="0.35">
      <c r="A302">
        <v>3906</v>
      </c>
      <c r="B302" t="s">
        <v>8044</v>
      </c>
      <c r="C302" t="s">
        <v>72</v>
      </c>
      <c r="D302" t="s">
        <v>62</v>
      </c>
      <c r="E302">
        <v>249</v>
      </c>
      <c r="F302">
        <v>5</v>
      </c>
      <c r="G302">
        <v>5</v>
      </c>
      <c r="H302">
        <v>1</v>
      </c>
      <c r="I302">
        <v>1</v>
      </c>
      <c r="J302">
        <v>0.89298506640216002</v>
      </c>
      <c r="K302">
        <v>0.99491432194572604</v>
      </c>
      <c r="L302">
        <v>0.94119807160343205</v>
      </c>
      <c r="M302">
        <v>0.82730263157894701</v>
      </c>
      <c r="N302">
        <v>0.99342105263157898</v>
      </c>
      <c r="O302">
        <v>0.862171052631579</v>
      </c>
      <c r="P302" t="s">
        <v>8045</v>
      </c>
      <c r="Q302" t="s">
        <v>8046</v>
      </c>
      <c r="R302" t="s">
        <v>235</v>
      </c>
      <c r="S302" t="s">
        <v>236</v>
      </c>
      <c r="T302" t="s">
        <v>8047</v>
      </c>
      <c r="U302" t="s">
        <v>8048</v>
      </c>
      <c r="V302" t="s">
        <v>8049</v>
      </c>
      <c r="W302" t="s">
        <v>8050</v>
      </c>
      <c r="X302" t="s">
        <v>8049</v>
      </c>
      <c r="Y302" t="s">
        <v>1108</v>
      </c>
      <c r="Z302" t="s">
        <v>8051</v>
      </c>
      <c r="AA302" t="s">
        <v>8052</v>
      </c>
      <c r="AB302" t="s">
        <v>8051</v>
      </c>
      <c r="AC302" t="s">
        <v>8053</v>
      </c>
      <c r="AD302" t="s">
        <v>245</v>
      </c>
      <c r="AE302" t="s">
        <v>8054</v>
      </c>
      <c r="AF302" t="s">
        <v>8057</v>
      </c>
    </row>
    <row r="303" spans="1:32" hidden="1" x14ac:dyDescent="0.35">
      <c r="A303">
        <v>3907</v>
      </c>
      <c r="B303" t="s">
        <v>8044</v>
      </c>
      <c r="C303" t="s">
        <v>72</v>
      </c>
      <c r="D303" t="s">
        <v>34</v>
      </c>
      <c r="E303">
        <v>916</v>
      </c>
      <c r="F303">
        <v>5</v>
      </c>
      <c r="G303">
        <v>5</v>
      </c>
      <c r="H303">
        <v>1</v>
      </c>
      <c r="I303">
        <v>1</v>
      </c>
      <c r="J303">
        <v>0.89298506640216002</v>
      </c>
      <c r="K303">
        <v>0.99491432194572604</v>
      </c>
      <c r="L303">
        <v>0.94119807160343205</v>
      </c>
      <c r="M303">
        <v>0.82730263157894701</v>
      </c>
      <c r="N303">
        <v>0.99342105263157898</v>
      </c>
      <c r="O303">
        <v>0.862171052631579</v>
      </c>
      <c r="P303" t="s">
        <v>8045</v>
      </c>
      <c r="Q303" t="s">
        <v>8046</v>
      </c>
      <c r="R303" t="s">
        <v>235</v>
      </c>
      <c r="S303" t="s">
        <v>236</v>
      </c>
      <c r="T303" t="s">
        <v>8047</v>
      </c>
      <c r="U303" t="s">
        <v>8048</v>
      </c>
      <c r="V303" t="s">
        <v>8049</v>
      </c>
      <c r="W303" t="s">
        <v>8050</v>
      </c>
      <c r="X303" t="s">
        <v>8049</v>
      </c>
      <c r="Y303" t="s">
        <v>1108</v>
      </c>
      <c r="Z303" t="s">
        <v>8051</v>
      </c>
      <c r="AA303" t="s">
        <v>8052</v>
      </c>
      <c r="AB303" t="s">
        <v>8051</v>
      </c>
      <c r="AC303" t="s">
        <v>8053</v>
      </c>
      <c r="AD303" t="s">
        <v>245</v>
      </c>
      <c r="AE303" t="s">
        <v>8054</v>
      </c>
      <c r="AF303" t="s">
        <v>8058</v>
      </c>
    </row>
    <row r="304" spans="1:32" hidden="1" x14ac:dyDescent="0.35">
      <c r="A304">
        <v>3908</v>
      </c>
      <c r="B304" t="s">
        <v>8044</v>
      </c>
      <c r="C304" t="s">
        <v>72</v>
      </c>
      <c r="D304" t="s">
        <v>45</v>
      </c>
      <c r="E304">
        <v>2172</v>
      </c>
      <c r="F304">
        <v>5</v>
      </c>
      <c r="G304">
        <v>5</v>
      </c>
      <c r="H304">
        <v>1</v>
      </c>
      <c r="I304">
        <v>1</v>
      </c>
      <c r="J304">
        <v>0.89298506640216002</v>
      </c>
      <c r="K304">
        <v>0.99491432194572604</v>
      </c>
      <c r="L304">
        <v>0.94119807160343205</v>
      </c>
      <c r="M304">
        <v>0.82730263157894701</v>
      </c>
      <c r="N304">
        <v>0.99342105263157898</v>
      </c>
      <c r="O304">
        <v>0.862171052631579</v>
      </c>
      <c r="P304" t="s">
        <v>8045</v>
      </c>
      <c r="Q304" t="s">
        <v>8046</v>
      </c>
      <c r="R304" t="s">
        <v>235</v>
      </c>
      <c r="S304" t="s">
        <v>236</v>
      </c>
      <c r="T304" t="s">
        <v>8047</v>
      </c>
      <c r="U304" t="s">
        <v>8048</v>
      </c>
      <c r="V304" t="s">
        <v>8049</v>
      </c>
      <c r="W304" t="s">
        <v>8050</v>
      </c>
      <c r="X304" t="s">
        <v>8049</v>
      </c>
      <c r="Y304" t="s">
        <v>1108</v>
      </c>
      <c r="Z304" t="s">
        <v>8051</v>
      </c>
      <c r="AA304" t="s">
        <v>8052</v>
      </c>
      <c r="AB304" t="s">
        <v>8051</v>
      </c>
      <c r="AC304" t="s">
        <v>8053</v>
      </c>
      <c r="AD304" t="s">
        <v>245</v>
      </c>
      <c r="AE304" t="s">
        <v>8054</v>
      </c>
      <c r="AF304" t="s">
        <v>8059</v>
      </c>
    </row>
    <row r="305" spans="1:32" hidden="1" x14ac:dyDescent="0.35">
      <c r="A305">
        <v>11099</v>
      </c>
      <c r="B305" t="s">
        <v>22475</v>
      </c>
      <c r="C305" t="s">
        <v>33</v>
      </c>
      <c r="D305" t="s">
        <v>58</v>
      </c>
      <c r="E305">
        <v>927</v>
      </c>
      <c r="F305">
        <v>1</v>
      </c>
      <c r="G305">
        <v>1</v>
      </c>
      <c r="H305">
        <v>1</v>
      </c>
      <c r="I305">
        <v>0</v>
      </c>
      <c r="J305">
        <v>1</v>
      </c>
      <c r="K305">
        <v>1</v>
      </c>
      <c r="L305">
        <v>1</v>
      </c>
      <c r="M305">
        <v>0</v>
      </c>
      <c r="N305">
        <v>0</v>
      </c>
      <c r="O305">
        <v>0</v>
      </c>
      <c r="P305" t="s">
        <v>340</v>
      </c>
      <c r="Q305" t="s">
        <v>341</v>
      </c>
      <c r="R305" t="s">
        <v>342</v>
      </c>
      <c r="S305" t="s">
        <v>343</v>
      </c>
      <c r="T305" t="s">
        <v>21436</v>
      </c>
      <c r="U305" t="s">
        <v>21437</v>
      </c>
      <c r="V305" t="s">
        <v>21438</v>
      </c>
      <c r="W305" t="s">
        <v>21439</v>
      </c>
      <c r="AD305" t="s">
        <v>439</v>
      </c>
      <c r="AE305" t="s">
        <v>11415</v>
      </c>
      <c r="AF305" t="s">
        <v>22476</v>
      </c>
    </row>
    <row r="306" spans="1:32" hidden="1" x14ac:dyDescent="0.35">
      <c r="A306">
        <v>3910</v>
      </c>
      <c r="B306" t="s">
        <v>8060</v>
      </c>
      <c r="C306" t="s">
        <v>72</v>
      </c>
      <c r="D306" t="s">
        <v>60</v>
      </c>
      <c r="E306">
        <v>1392</v>
      </c>
      <c r="F306">
        <v>5</v>
      </c>
      <c r="G306">
        <v>5</v>
      </c>
      <c r="H306">
        <v>1</v>
      </c>
      <c r="I306">
        <v>1</v>
      </c>
      <c r="J306">
        <v>0.78925619834710703</v>
      </c>
      <c r="K306">
        <v>0.99183920952167104</v>
      </c>
      <c r="L306">
        <v>0.87902673873644399</v>
      </c>
      <c r="M306">
        <v>0.62295081967213095</v>
      </c>
      <c r="N306">
        <v>0.99453551912568305</v>
      </c>
      <c r="O306">
        <v>0.71557377049180304</v>
      </c>
      <c r="P306" t="s">
        <v>5470</v>
      </c>
      <c r="Q306" t="s">
        <v>5471</v>
      </c>
      <c r="R306" t="s">
        <v>235</v>
      </c>
      <c r="S306" t="s">
        <v>236</v>
      </c>
      <c r="T306" t="s">
        <v>8061</v>
      </c>
      <c r="U306" t="s">
        <v>8062</v>
      </c>
      <c r="V306" t="s">
        <v>8063</v>
      </c>
      <c r="W306" t="s">
        <v>8064</v>
      </c>
      <c r="AD306" t="s">
        <v>5476</v>
      </c>
      <c r="AE306" t="s">
        <v>8065</v>
      </c>
      <c r="AF306" t="e">
        <f>-MATADTQYPDRRRAVAAELAAQNVDSVLVTHLTHVRYLSGFSGSNAALLLNKDHSARISTDGRYTTQIAEEVPDIDCILG-RPCADTVLKEIIGPRRVGYEADYLTVAEYERLQQACGEGVELVPVRGIIEKSRLVKDPGELDGLRSIATLASQAFEDMLAAGEVAVGRTERDIAADLEYRMRKLGAERPSFDTIVASGPNSAKPHHGAGDRVIKAGDLVTIDFGAYANGFNSDMTRTLIMEHTTDFTKEVYDTVLQAQLAGVKAATPGTSLRDVDRACRDIIKAAGYGDYFVHSTGHGIGLDVHELPYAAT-TGSGELAEGMTLTIEPGIYVPGKGGVRIEDTLIVTSGEPEIITKVSKELRVV</f>
        <v>#NAME?</v>
      </c>
    </row>
    <row r="307" spans="1:32" hidden="1" x14ac:dyDescent="0.35">
      <c r="A307">
        <v>3911</v>
      </c>
      <c r="B307" t="s">
        <v>8060</v>
      </c>
      <c r="C307" t="s">
        <v>72</v>
      </c>
      <c r="D307" t="s">
        <v>62</v>
      </c>
      <c r="E307">
        <v>1427</v>
      </c>
      <c r="F307">
        <v>5</v>
      </c>
      <c r="G307">
        <v>5</v>
      </c>
      <c r="H307">
        <v>1</v>
      </c>
      <c r="I307">
        <v>1</v>
      </c>
      <c r="J307">
        <v>0.78925619834710703</v>
      </c>
      <c r="K307">
        <v>0.99183920952167104</v>
      </c>
      <c r="L307">
        <v>0.87902673873644399</v>
      </c>
      <c r="M307">
        <v>0.62295081967213095</v>
      </c>
      <c r="N307">
        <v>0.99453551912568305</v>
      </c>
      <c r="O307">
        <v>0.71557377049180304</v>
      </c>
      <c r="P307" t="s">
        <v>5470</v>
      </c>
      <c r="Q307" t="s">
        <v>5471</v>
      </c>
      <c r="R307" t="s">
        <v>235</v>
      </c>
      <c r="S307" t="s">
        <v>236</v>
      </c>
      <c r="T307" t="s">
        <v>8061</v>
      </c>
      <c r="U307" t="s">
        <v>8062</v>
      </c>
      <c r="V307" t="s">
        <v>8063</v>
      </c>
      <c r="W307" t="s">
        <v>8064</v>
      </c>
      <c r="AD307" t="s">
        <v>5476</v>
      </c>
      <c r="AE307" t="s">
        <v>8065</v>
      </c>
      <c r="AF307" t="e">
        <f>-MATADTQYPDRRRAVAAELAAQNVDSILVTHLTHVRYLSGFSGSNAALLLNKDHSARISTDGRYTTQIAEEVPDIDCILG-RPCADTVLKEITGPRRVGYEADYLTVTEYERLQQACGEGVELVPVRGIIEKSRLVKDSGELDGLRSIAALASQAFEDMLAAGEVAVGRTERDIAADLEYRMRKLGAERPSFDSIVASGPNSAKPHHGADDRVIEAGDLVTIDFGAYANGFNSDMTRTLIMEHTTDFTKEIYDTVLQAQLAGVKAATPGTSLRDVDRACRDIIKAAGYGDYFVHSTGHGIGLDVHELPYAAT-TGSGELAEGMTLTIEPGIYVPGKGGVRIEDTLIITSGEPEIITKVSKELRVV</f>
        <v>#NAME?</v>
      </c>
    </row>
    <row r="308" spans="1:32" hidden="1" x14ac:dyDescent="0.35">
      <c r="A308">
        <v>3912</v>
      </c>
      <c r="B308" t="s">
        <v>8060</v>
      </c>
      <c r="C308" t="s">
        <v>72</v>
      </c>
      <c r="D308" t="s">
        <v>34</v>
      </c>
      <c r="E308">
        <v>1814</v>
      </c>
      <c r="F308">
        <v>5</v>
      </c>
      <c r="G308">
        <v>5</v>
      </c>
      <c r="H308">
        <v>1</v>
      </c>
      <c r="I308">
        <v>1</v>
      </c>
      <c r="J308">
        <v>0.78925619834710703</v>
      </c>
      <c r="K308">
        <v>0.99183920952167104</v>
      </c>
      <c r="L308">
        <v>0.87902673873644399</v>
      </c>
      <c r="M308">
        <v>0.62295081967213095</v>
      </c>
      <c r="N308">
        <v>0.99453551912568305</v>
      </c>
      <c r="O308">
        <v>0.71557377049180304</v>
      </c>
      <c r="P308" t="s">
        <v>5470</v>
      </c>
      <c r="Q308" t="s">
        <v>5471</v>
      </c>
      <c r="R308" t="s">
        <v>235</v>
      </c>
      <c r="S308" t="s">
        <v>236</v>
      </c>
      <c r="T308" t="s">
        <v>8061</v>
      </c>
      <c r="U308" t="s">
        <v>8062</v>
      </c>
      <c r="V308" t="s">
        <v>8063</v>
      </c>
      <c r="W308" t="s">
        <v>8064</v>
      </c>
      <c r="AD308" t="s">
        <v>5476</v>
      </c>
      <c r="AE308" t="s">
        <v>8065</v>
      </c>
      <c r="AF308" t="e">
        <f>-MPLSDTRFLSRRRALSAKLAAQRVDAMLVTHLTHVRYLSGFSGSNGALLLHKDLEAQIATDGRYLTQIAAEVPDIEALDA-RAVGPDLLATVTGPKRVGFEADFVSVSQLQRLEKAAGEDVTLVPISGVIEDIRLVKEPYELERLREVAVIANTAFQELIDENLIRAGRTETEVAADLEYKMRLHGAERTSFETIVASGPNSAMPHHEPGARVLEEGDIVTVDFGAHAAGYNSDTTRTVIISDADEFATEIYNIVLKAQLAGVAAAIPGAKLSDVDKACRNIITDAGYGEYFVHSTGHGVGLDLHEAPYAAT-SGQGELVEGMTLTVEPGIYVPGKGGVRIEDTLIITAGQPENLTHLVKDLTIV</f>
        <v>#NAME?</v>
      </c>
    </row>
    <row r="309" spans="1:32" hidden="1" x14ac:dyDescent="0.35">
      <c r="A309">
        <v>3913</v>
      </c>
      <c r="B309" t="s">
        <v>8060</v>
      </c>
      <c r="C309" t="s">
        <v>72</v>
      </c>
      <c r="D309" t="s">
        <v>45</v>
      </c>
      <c r="E309">
        <v>1059</v>
      </c>
      <c r="F309">
        <v>5</v>
      </c>
      <c r="G309">
        <v>5</v>
      </c>
      <c r="H309">
        <v>1</v>
      </c>
      <c r="I309">
        <v>1</v>
      </c>
      <c r="J309">
        <v>0.78925619834710703</v>
      </c>
      <c r="K309">
        <v>0.99183920952167104</v>
      </c>
      <c r="L309">
        <v>0.87902673873644399</v>
      </c>
      <c r="M309">
        <v>0.62295081967213095</v>
      </c>
      <c r="N309">
        <v>0.99453551912568305</v>
      </c>
      <c r="O309">
        <v>0.71557377049180304</v>
      </c>
      <c r="P309" t="s">
        <v>5470</v>
      </c>
      <c r="Q309" t="s">
        <v>5471</v>
      </c>
      <c r="R309" t="s">
        <v>235</v>
      </c>
      <c r="S309" t="s">
        <v>236</v>
      </c>
      <c r="T309" t="s">
        <v>8061</v>
      </c>
      <c r="U309" t="s">
        <v>8062</v>
      </c>
      <c r="V309" t="s">
        <v>8063</v>
      </c>
      <c r="W309" t="s">
        <v>8064</v>
      </c>
      <c r="AD309" t="s">
        <v>5476</v>
      </c>
      <c r="AE309" t="s">
        <v>8065</v>
      </c>
      <c r="AF309" t="e">
        <f>-MPLSDTRFLSRRRALSAKLAAQRVDAMLVTHLTHVRYLSGFSGSNGALLLHKDLEAQIATDGRYLTQIAAEVPDIEALDA-RAVGPDLLATVTGPKRVGFEADFVSVSQLQRLEKAAGEDVTLVPISGVIEDIRLVKEPYELERLREVAVIANTAFQELIDENLIRAGRTETEVAADLEYKMRLHGAERTSFETIVASGPNSAMPHHEPGARVLEEGDIVTVDFGAHAAGYNSDTTRTVIISDADEFATEIYNIVLKAQLAGVAAAIPGAKLSDVDKACRDIITDAGYGEYFVHSTGHGVGLDLHEAPYAAT-SGQGELVEGMTLTVEPGIYVPGKGGVRIEDTLIITAGQPENLTHLVKDLTVV</f>
        <v>#NAME?</v>
      </c>
    </row>
    <row r="310" spans="1:32" hidden="1" x14ac:dyDescent="0.35">
      <c r="A310">
        <v>204</v>
      </c>
      <c r="B310" t="s">
        <v>339</v>
      </c>
      <c r="C310" t="s">
        <v>72</v>
      </c>
      <c r="D310" t="s">
        <v>58</v>
      </c>
      <c r="E310">
        <v>773</v>
      </c>
      <c r="F310">
        <v>5</v>
      </c>
      <c r="G310">
        <v>7</v>
      </c>
      <c r="H310">
        <v>2</v>
      </c>
      <c r="I310">
        <v>0</v>
      </c>
      <c r="J310">
        <v>0.72940645452493802</v>
      </c>
      <c r="K310">
        <v>0.949697329212152</v>
      </c>
      <c r="L310">
        <v>0.82510130521021097</v>
      </c>
      <c r="M310">
        <v>0.50673854447439304</v>
      </c>
      <c r="N310">
        <v>1</v>
      </c>
      <c r="O310">
        <v>0.65562828905146997</v>
      </c>
      <c r="P310" t="s">
        <v>340</v>
      </c>
      <c r="Q310" t="s">
        <v>341</v>
      </c>
      <c r="R310" t="s">
        <v>342</v>
      </c>
      <c r="S310" t="s">
        <v>343</v>
      </c>
      <c r="T310" t="s">
        <v>344</v>
      </c>
      <c r="U310" t="s">
        <v>345</v>
      </c>
      <c r="V310" t="s">
        <v>346</v>
      </c>
      <c r="W310" t="s">
        <v>347</v>
      </c>
      <c r="AD310" t="s">
        <v>166</v>
      </c>
      <c r="AE310" t="s">
        <v>263</v>
      </c>
      <c r="AF310" t="s">
        <v>348</v>
      </c>
    </row>
    <row r="311" spans="1:32" hidden="1" x14ac:dyDescent="0.35">
      <c r="A311">
        <v>3955</v>
      </c>
      <c r="B311" t="s">
        <v>8165</v>
      </c>
      <c r="C311" t="s">
        <v>72</v>
      </c>
      <c r="D311" t="s">
        <v>60</v>
      </c>
      <c r="E311">
        <v>2442</v>
      </c>
      <c r="F311">
        <v>5</v>
      </c>
      <c r="G311">
        <v>5</v>
      </c>
      <c r="H311">
        <v>1</v>
      </c>
      <c r="I311">
        <v>1</v>
      </c>
      <c r="J311">
        <v>0.75736160188457002</v>
      </c>
      <c r="K311">
        <v>0.86810191315465002</v>
      </c>
      <c r="L311">
        <v>0.80895947459023998</v>
      </c>
      <c r="M311">
        <v>0.48209366391184599</v>
      </c>
      <c r="N311">
        <v>0.99449035812672204</v>
      </c>
      <c r="O311">
        <v>0.63415977961432501</v>
      </c>
      <c r="P311" t="s">
        <v>8166</v>
      </c>
      <c r="Q311" t="s">
        <v>8167</v>
      </c>
      <c r="R311" t="s">
        <v>235</v>
      </c>
      <c r="S311" t="s">
        <v>236</v>
      </c>
      <c r="T311" t="s">
        <v>8168</v>
      </c>
      <c r="U311" t="s">
        <v>8169</v>
      </c>
      <c r="V311" t="s">
        <v>8170</v>
      </c>
      <c r="W311" t="s">
        <v>8171</v>
      </c>
      <c r="X311" t="s">
        <v>8170</v>
      </c>
      <c r="Y311" t="s">
        <v>241</v>
      </c>
      <c r="Z311" t="s">
        <v>8172</v>
      </c>
      <c r="AA311" t="s">
        <v>8173</v>
      </c>
      <c r="AB311" t="s">
        <v>8172</v>
      </c>
      <c r="AC311" t="s">
        <v>244</v>
      </c>
      <c r="AD311" t="s">
        <v>219</v>
      </c>
      <c r="AE311" t="s">
        <v>8174</v>
      </c>
      <c r="AF311" t="s">
        <v>8176</v>
      </c>
    </row>
    <row r="312" spans="1:32" hidden="1" x14ac:dyDescent="0.35">
      <c r="A312">
        <v>3956</v>
      </c>
      <c r="B312" t="s">
        <v>8165</v>
      </c>
      <c r="C312" t="s">
        <v>72</v>
      </c>
      <c r="D312" t="s">
        <v>62</v>
      </c>
      <c r="E312">
        <v>2468</v>
      </c>
      <c r="F312">
        <v>5</v>
      </c>
      <c r="G312">
        <v>5</v>
      </c>
      <c r="H312">
        <v>1</v>
      </c>
      <c r="I312">
        <v>1</v>
      </c>
      <c r="J312">
        <v>0.75736160188457002</v>
      </c>
      <c r="K312">
        <v>0.86810191315465002</v>
      </c>
      <c r="L312">
        <v>0.80895947459023998</v>
      </c>
      <c r="M312">
        <v>0.48209366391184599</v>
      </c>
      <c r="N312">
        <v>0.99449035812672204</v>
      </c>
      <c r="O312">
        <v>0.63415977961432501</v>
      </c>
      <c r="P312" t="s">
        <v>8166</v>
      </c>
      <c r="Q312" t="s">
        <v>8167</v>
      </c>
      <c r="R312" t="s">
        <v>235</v>
      </c>
      <c r="S312" t="s">
        <v>236</v>
      </c>
      <c r="T312" t="s">
        <v>8168</v>
      </c>
      <c r="U312" t="s">
        <v>8169</v>
      </c>
      <c r="V312" t="s">
        <v>8170</v>
      </c>
      <c r="W312" t="s">
        <v>8171</v>
      </c>
      <c r="X312" t="s">
        <v>8170</v>
      </c>
      <c r="Y312" t="s">
        <v>241</v>
      </c>
      <c r="Z312" t="s">
        <v>8172</v>
      </c>
      <c r="AA312" t="s">
        <v>8173</v>
      </c>
      <c r="AB312" t="s">
        <v>8172</v>
      </c>
      <c r="AC312" t="s">
        <v>244</v>
      </c>
      <c r="AD312" t="s">
        <v>219</v>
      </c>
      <c r="AE312" t="s">
        <v>8174</v>
      </c>
      <c r="AF312" t="s">
        <v>8177</v>
      </c>
    </row>
    <row r="313" spans="1:32" hidden="1" x14ac:dyDescent="0.35">
      <c r="A313">
        <v>3957</v>
      </c>
      <c r="B313" t="s">
        <v>8165</v>
      </c>
      <c r="C313" t="s">
        <v>72</v>
      </c>
      <c r="D313" t="s">
        <v>34</v>
      </c>
      <c r="E313">
        <v>1280</v>
      </c>
      <c r="F313">
        <v>5</v>
      </c>
      <c r="G313">
        <v>5</v>
      </c>
      <c r="H313">
        <v>1</v>
      </c>
      <c r="I313">
        <v>1</v>
      </c>
      <c r="J313">
        <v>0.75736160188457002</v>
      </c>
      <c r="K313">
        <v>0.86810191315465002</v>
      </c>
      <c r="L313">
        <v>0.80895947459023998</v>
      </c>
      <c r="M313">
        <v>0.48209366391184599</v>
      </c>
      <c r="N313">
        <v>0.99449035812672204</v>
      </c>
      <c r="O313">
        <v>0.63415977961432501</v>
      </c>
      <c r="P313" t="s">
        <v>8166</v>
      </c>
      <c r="Q313" t="s">
        <v>8167</v>
      </c>
      <c r="R313" t="s">
        <v>235</v>
      </c>
      <c r="S313" t="s">
        <v>236</v>
      </c>
      <c r="T313" t="s">
        <v>8168</v>
      </c>
      <c r="U313" t="s">
        <v>8169</v>
      </c>
      <c r="V313" t="s">
        <v>8170</v>
      </c>
      <c r="W313" t="s">
        <v>8171</v>
      </c>
      <c r="X313" t="s">
        <v>8170</v>
      </c>
      <c r="Y313" t="s">
        <v>241</v>
      </c>
      <c r="Z313" t="s">
        <v>8172</v>
      </c>
      <c r="AA313" t="s">
        <v>8173</v>
      </c>
      <c r="AB313" t="s">
        <v>8172</v>
      </c>
      <c r="AC313" t="s">
        <v>244</v>
      </c>
      <c r="AD313" t="s">
        <v>219</v>
      </c>
      <c r="AE313" t="s">
        <v>8174</v>
      </c>
      <c r="AF313" t="s">
        <v>8178</v>
      </c>
    </row>
    <row r="314" spans="1:32" hidden="1" x14ac:dyDescent="0.35">
      <c r="A314">
        <v>3958</v>
      </c>
      <c r="B314" t="s">
        <v>8165</v>
      </c>
      <c r="C314" t="s">
        <v>72</v>
      </c>
      <c r="D314" t="s">
        <v>45</v>
      </c>
      <c r="E314">
        <v>32</v>
      </c>
      <c r="F314">
        <v>5</v>
      </c>
      <c r="G314">
        <v>5</v>
      </c>
      <c r="H314">
        <v>1</v>
      </c>
      <c r="I314">
        <v>1</v>
      </c>
      <c r="J314">
        <v>0.75736160188457002</v>
      </c>
      <c r="K314">
        <v>0.86810191315465002</v>
      </c>
      <c r="L314">
        <v>0.80895947459023998</v>
      </c>
      <c r="M314">
        <v>0.48209366391184599</v>
      </c>
      <c r="N314">
        <v>0.99449035812672204</v>
      </c>
      <c r="O314">
        <v>0.63415977961432501</v>
      </c>
      <c r="P314" t="s">
        <v>8166</v>
      </c>
      <c r="Q314" t="s">
        <v>8167</v>
      </c>
      <c r="R314" t="s">
        <v>235</v>
      </c>
      <c r="S314" t="s">
        <v>236</v>
      </c>
      <c r="T314" t="s">
        <v>8168</v>
      </c>
      <c r="U314" t="s">
        <v>8169</v>
      </c>
      <c r="V314" t="s">
        <v>8170</v>
      </c>
      <c r="W314" t="s">
        <v>8171</v>
      </c>
      <c r="X314" t="s">
        <v>8170</v>
      </c>
      <c r="Y314" t="s">
        <v>241</v>
      </c>
      <c r="Z314" t="s">
        <v>8172</v>
      </c>
      <c r="AA314" t="s">
        <v>8173</v>
      </c>
      <c r="AB314" t="s">
        <v>8172</v>
      </c>
      <c r="AC314" t="s">
        <v>244</v>
      </c>
      <c r="AD314" t="s">
        <v>219</v>
      </c>
      <c r="AE314" t="s">
        <v>8174</v>
      </c>
      <c r="AF314" t="s">
        <v>8179</v>
      </c>
    </row>
    <row r="315" spans="1:32" hidden="1" x14ac:dyDescent="0.35">
      <c r="A315">
        <v>6416</v>
      </c>
      <c r="B315" t="s">
        <v>13220</v>
      </c>
      <c r="C315" t="s">
        <v>68</v>
      </c>
      <c r="D315" t="s">
        <v>58</v>
      </c>
      <c r="E315">
        <v>597</v>
      </c>
      <c r="F315">
        <v>3</v>
      </c>
      <c r="G315">
        <v>3</v>
      </c>
      <c r="H315">
        <v>1</v>
      </c>
      <c r="I315">
        <v>0</v>
      </c>
      <c r="J315">
        <v>0.77533783783783805</v>
      </c>
      <c r="K315">
        <v>0.99412682662053398</v>
      </c>
      <c r="L315">
        <v>0.87120603171184596</v>
      </c>
      <c r="M315">
        <v>0.579345088161209</v>
      </c>
      <c r="N315">
        <v>0.99496221662468498</v>
      </c>
      <c r="O315">
        <v>0.71788413098236803</v>
      </c>
      <c r="P315" t="s">
        <v>340</v>
      </c>
      <c r="Q315" t="s">
        <v>341</v>
      </c>
      <c r="R315" t="s">
        <v>342</v>
      </c>
      <c r="S315" t="s">
        <v>343</v>
      </c>
      <c r="T315" t="s">
        <v>344</v>
      </c>
      <c r="U315" t="s">
        <v>345</v>
      </c>
      <c r="V315" t="s">
        <v>346</v>
      </c>
      <c r="W315" t="s">
        <v>347</v>
      </c>
      <c r="AD315" t="s">
        <v>166</v>
      </c>
      <c r="AE315" t="s">
        <v>263</v>
      </c>
      <c r="AF315" t="s">
        <v>13221</v>
      </c>
    </row>
    <row r="316" spans="1:32" hidden="1" x14ac:dyDescent="0.35">
      <c r="A316">
        <v>4000</v>
      </c>
      <c r="B316" t="s">
        <v>8255</v>
      </c>
      <c r="C316" t="s">
        <v>72</v>
      </c>
      <c r="D316" t="s">
        <v>60</v>
      </c>
      <c r="E316">
        <v>1279</v>
      </c>
      <c r="F316">
        <v>5</v>
      </c>
      <c r="G316">
        <v>5</v>
      </c>
      <c r="H316">
        <v>1</v>
      </c>
      <c r="I316">
        <v>1</v>
      </c>
      <c r="J316">
        <v>0.89678127788072204</v>
      </c>
      <c r="K316">
        <v>0.93350725468999696</v>
      </c>
      <c r="L316">
        <v>0.91477580050835405</v>
      </c>
      <c r="M316">
        <v>0.76628352490421503</v>
      </c>
      <c r="N316">
        <v>0.99233716475095801</v>
      </c>
      <c r="O316">
        <v>0.84214559386973198</v>
      </c>
      <c r="P316" t="s">
        <v>2503</v>
      </c>
      <c r="Q316" t="s">
        <v>2504</v>
      </c>
      <c r="R316" t="s">
        <v>235</v>
      </c>
      <c r="S316" t="s">
        <v>236</v>
      </c>
      <c r="T316" t="s">
        <v>8256</v>
      </c>
      <c r="U316" t="s">
        <v>8257</v>
      </c>
      <c r="V316" t="s">
        <v>8258</v>
      </c>
      <c r="W316" t="s">
        <v>8259</v>
      </c>
      <c r="AD316" t="s">
        <v>219</v>
      </c>
      <c r="AE316" t="s">
        <v>8260</v>
      </c>
      <c r="AF316" t="s">
        <v>8262</v>
      </c>
    </row>
    <row r="317" spans="1:32" hidden="1" x14ac:dyDescent="0.35">
      <c r="A317">
        <v>4001</v>
      </c>
      <c r="B317" t="s">
        <v>8255</v>
      </c>
      <c r="C317" t="s">
        <v>72</v>
      </c>
      <c r="D317" t="s">
        <v>62</v>
      </c>
      <c r="E317">
        <v>1315</v>
      </c>
      <c r="F317">
        <v>5</v>
      </c>
      <c r="G317">
        <v>5</v>
      </c>
      <c r="H317">
        <v>1</v>
      </c>
      <c r="I317">
        <v>1</v>
      </c>
      <c r="J317">
        <v>0.89678127788072204</v>
      </c>
      <c r="K317">
        <v>0.93350725468999696</v>
      </c>
      <c r="L317">
        <v>0.91477580050835405</v>
      </c>
      <c r="M317">
        <v>0.76628352490421503</v>
      </c>
      <c r="N317">
        <v>0.99233716475095801</v>
      </c>
      <c r="O317">
        <v>0.84214559386973198</v>
      </c>
      <c r="P317" t="s">
        <v>2503</v>
      </c>
      <c r="Q317" t="s">
        <v>2504</v>
      </c>
      <c r="R317" t="s">
        <v>235</v>
      </c>
      <c r="S317" t="s">
        <v>236</v>
      </c>
      <c r="T317" t="s">
        <v>8256</v>
      </c>
      <c r="U317" t="s">
        <v>8257</v>
      </c>
      <c r="V317" t="s">
        <v>8258</v>
      </c>
      <c r="W317" t="s">
        <v>8259</v>
      </c>
      <c r="AD317" t="s">
        <v>219</v>
      </c>
      <c r="AE317" t="s">
        <v>8260</v>
      </c>
      <c r="AF317" t="s">
        <v>8263</v>
      </c>
    </row>
    <row r="318" spans="1:32" hidden="1" x14ac:dyDescent="0.35">
      <c r="A318">
        <v>4002</v>
      </c>
      <c r="B318" t="s">
        <v>8255</v>
      </c>
      <c r="C318" t="s">
        <v>72</v>
      </c>
      <c r="D318" t="s">
        <v>34</v>
      </c>
      <c r="E318">
        <v>1722</v>
      </c>
      <c r="F318">
        <v>5</v>
      </c>
      <c r="G318">
        <v>5</v>
      </c>
      <c r="H318">
        <v>1</v>
      </c>
      <c r="I318">
        <v>1</v>
      </c>
      <c r="J318">
        <v>0.89678127788072204</v>
      </c>
      <c r="K318">
        <v>0.93350725468999696</v>
      </c>
      <c r="L318">
        <v>0.91477580050835405</v>
      </c>
      <c r="M318">
        <v>0.76628352490421503</v>
      </c>
      <c r="N318">
        <v>0.99233716475095801</v>
      </c>
      <c r="O318">
        <v>0.84214559386973198</v>
      </c>
      <c r="P318" t="s">
        <v>2503</v>
      </c>
      <c r="Q318" t="s">
        <v>2504</v>
      </c>
      <c r="R318" t="s">
        <v>235</v>
      </c>
      <c r="S318" t="s">
        <v>236</v>
      </c>
      <c r="T318" t="s">
        <v>8256</v>
      </c>
      <c r="U318" t="s">
        <v>8257</v>
      </c>
      <c r="V318" t="s">
        <v>8258</v>
      </c>
      <c r="W318" t="s">
        <v>8259</v>
      </c>
      <c r="AD318" t="s">
        <v>219</v>
      </c>
      <c r="AE318" t="s">
        <v>8260</v>
      </c>
      <c r="AF318" t="s">
        <v>8264</v>
      </c>
    </row>
    <row r="319" spans="1:32" hidden="1" x14ac:dyDescent="0.35">
      <c r="A319">
        <v>4003</v>
      </c>
      <c r="B319" t="s">
        <v>8255</v>
      </c>
      <c r="C319" t="s">
        <v>72</v>
      </c>
      <c r="D319" t="s">
        <v>45</v>
      </c>
      <c r="E319">
        <v>1152</v>
      </c>
      <c r="F319">
        <v>5</v>
      </c>
      <c r="G319">
        <v>5</v>
      </c>
      <c r="H319">
        <v>1</v>
      </c>
      <c r="I319">
        <v>1</v>
      </c>
      <c r="J319">
        <v>0.89678127788072204</v>
      </c>
      <c r="K319">
        <v>0.93350725468999696</v>
      </c>
      <c r="L319">
        <v>0.91477580050835405</v>
      </c>
      <c r="M319">
        <v>0.76628352490421503</v>
      </c>
      <c r="N319">
        <v>0.99233716475095801</v>
      </c>
      <c r="O319">
        <v>0.84214559386973198</v>
      </c>
      <c r="P319" t="s">
        <v>2503</v>
      </c>
      <c r="Q319" t="s">
        <v>2504</v>
      </c>
      <c r="R319" t="s">
        <v>235</v>
      </c>
      <c r="S319" t="s">
        <v>236</v>
      </c>
      <c r="T319" t="s">
        <v>8256</v>
      </c>
      <c r="U319" t="s">
        <v>8257</v>
      </c>
      <c r="V319" t="s">
        <v>8258</v>
      </c>
      <c r="W319" t="s">
        <v>8259</v>
      </c>
      <c r="AD319" t="s">
        <v>219</v>
      </c>
      <c r="AE319" t="s">
        <v>8260</v>
      </c>
      <c r="AF319" t="s">
        <v>8265</v>
      </c>
    </row>
    <row r="320" spans="1:32" hidden="1" x14ac:dyDescent="0.35">
      <c r="A320">
        <v>4284</v>
      </c>
      <c r="B320" t="s">
        <v>8908</v>
      </c>
      <c r="C320" t="s">
        <v>72</v>
      </c>
      <c r="D320" t="s">
        <v>58</v>
      </c>
      <c r="E320">
        <v>771</v>
      </c>
      <c r="F320">
        <v>5</v>
      </c>
      <c r="G320">
        <v>5</v>
      </c>
      <c r="H320">
        <v>1</v>
      </c>
      <c r="I320">
        <v>1</v>
      </c>
      <c r="J320">
        <v>0.86231672977958995</v>
      </c>
      <c r="K320">
        <v>0.97557222869723104</v>
      </c>
      <c r="L320">
        <v>0.91545492999879996</v>
      </c>
      <c r="M320">
        <v>0.66193181818181801</v>
      </c>
      <c r="N320">
        <v>0.99715909090909105</v>
      </c>
      <c r="O320">
        <v>0.77840909090909105</v>
      </c>
      <c r="P320" t="s">
        <v>8909</v>
      </c>
      <c r="Q320" t="s">
        <v>8910</v>
      </c>
      <c r="R320" t="s">
        <v>342</v>
      </c>
      <c r="S320" t="s">
        <v>343</v>
      </c>
      <c r="T320" t="s">
        <v>8911</v>
      </c>
      <c r="U320" t="s">
        <v>8912</v>
      </c>
      <c r="V320" t="s">
        <v>8913</v>
      </c>
      <c r="W320" t="s">
        <v>8914</v>
      </c>
      <c r="AD320" t="s">
        <v>166</v>
      </c>
      <c r="AE320" t="s">
        <v>263</v>
      </c>
      <c r="AF320" t="s">
        <v>8915</v>
      </c>
    </row>
    <row r="321" spans="1:32" hidden="1" x14ac:dyDescent="0.35">
      <c r="A321">
        <v>4015</v>
      </c>
      <c r="B321" t="s">
        <v>8289</v>
      </c>
      <c r="C321" t="s">
        <v>72</v>
      </c>
      <c r="D321" t="s">
        <v>60</v>
      </c>
      <c r="E321">
        <v>1691</v>
      </c>
      <c r="F321">
        <v>5</v>
      </c>
      <c r="G321">
        <v>5</v>
      </c>
      <c r="H321">
        <v>1</v>
      </c>
      <c r="I321">
        <v>1</v>
      </c>
      <c r="J321">
        <v>0.81175514626218803</v>
      </c>
      <c r="K321">
        <v>0.94817744380726798</v>
      </c>
      <c r="L321">
        <v>0.87467886431934405</v>
      </c>
      <c r="M321">
        <v>0.65641025641025597</v>
      </c>
      <c r="N321">
        <v>0.984615384615385</v>
      </c>
      <c r="O321">
        <v>0.737179487179487</v>
      </c>
      <c r="P321" t="s">
        <v>3647</v>
      </c>
      <c r="Q321" t="s">
        <v>3648</v>
      </c>
      <c r="R321" t="s">
        <v>235</v>
      </c>
      <c r="S321" t="s">
        <v>236</v>
      </c>
      <c r="T321" t="s">
        <v>3649</v>
      </c>
      <c r="U321" t="s">
        <v>3650</v>
      </c>
      <c r="V321" t="s">
        <v>3651</v>
      </c>
      <c r="W321" t="s">
        <v>3652</v>
      </c>
      <c r="X321" t="s">
        <v>3651</v>
      </c>
      <c r="Y321" t="s">
        <v>1091</v>
      </c>
      <c r="Z321" t="s">
        <v>858</v>
      </c>
      <c r="AA321" t="s">
        <v>859</v>
      </c>
      <c r="AB321" t="s">
        <v>858</v>
      </c>
      <c r="AC321" t="s">
        <v>860</v>
      </c>
      <c r="AD321" t="s">
        <v>3653</v>
      </c>
      <c r="AE321" t="s">
        <v>3654</v>
      </c>
      <c r="AF321" t="s">
        <v>8291</v>
      </c>
    </row>
    <row r="322" spans="1:32" hidden="1" x14ac:dyDescent="0.35">
      <c r="A322">
        <v>4016</v>
      </c>
      <c r="B322" t="s">
        <v>8289</v>
      </c>
      <c r="C322" t="s">
        <v>72</v>
      </c>
      <c r="D322" t="s">
        <v>62</v>
      </c>
      <c r="E322">
        <v>1726</v>
      </c>
      <c r="F322">
        <v>5</v>
      </c>
      <c r="G322">
        <v>5</v>
      </c>
      <c r="H322">
        <v>1</v>
      </c>
      <c r="I322">
        <v>1</v>
      </c>
      <c r="J322">
        <v>0.81175514626218803</v>
      </c>
      <c r="K322">
        <v>0.94817744380726798</v>
      </c>
      <c r="L322">
        <v>0.87467886431934405</v>
      </c>
      <c r="M322">
        <v>0.65641025641025597</v>
      </c>
      <c r="N322">
        <v>0.984615384615385</v>
      </c>
      <c r="O322">
        <v>0.737179487179487</v>
      </c>
      <c r="P322" t="s">
        <v>3647</v>
      </c>
      <c r="Q322" t="s">
        <v>3648</v>
      </c>
      <c r="R322" t="s">
        <v>235</v>
      </c>
      <c r="S322" t="s">
        <v>236</v>
      </c>
      <c r="T322" t="s">
        <v>3649</v>
      </c>
      <c r="U322" t="s">
        <v>3650</v>
      </c>
      <c r="V322" t="s">
        <v>3651</v>
      </c>
      <c r="W322" t="s">
        <v>3652</v>
      </c>
      <c r="X322" t="s">
        <v>3651</v>
      </c>
      <c r="Y322" t="s">
        <v>1091</v>
      </c>
      <c r="Z322" t="s">
        <v>858</v>
      </c>
      <c r="AA322" t="s">
        <v>859</v>
      </c>
      <c r="AB322" t="s">
        <v>858</v>
      </c>
      <c r="AC322" t="s">
        <v>860</v>
      </c>
      <c r="AD322" t="s">
        <v>3653</v>
      </c>
      <c r="AE322" t="s">
        <v>3654</v>
      </c>
      <c r="AF322" t="s">
        <v>8292</v>
      </c>
    </row>
    <row r="323" spans="1:32" hidden="1" x14ac:dyDescent="0.35">
      <c r="A323">
        <v>4017</v>
      </c>
      <c r="B323" t="s">
        <v>8289</v>
      </c>
      <c r="C323" t="s">
        <v>72</v>
      </c>
      <c r="D323" t="s">
        <v>34</v>
      </c>
      <c r="E323">
        <v>2075</v>
      </c>
      <c r="F323">
        <v>5</v>
      </c>
      <c r="G323">
        <v>5</v>
      </c>
      <c r="H323">
        <v>1</v>
      </c>
      <c r="I323">
        <v>1</v>
      </c>
      <c r="J323">
        <v>0.81175514626218803</v>
      </c>
      <c r="K323">
        <v>0.94817744380726798</v>
      </c>
      <c r="L323">
        <v>0.87467886431934405</v>
      </c>
      <c r="M323">
        <v>0.65641025641025597</v>
      </c>
      <c r="N323">
        <v>0.984615384615385</v>
      </c>
      <c r="O323">
        <v>0.737179487179487</v>
      </c>
      <c r="P323" t="s">
        <v>3647</v>
      </c>
      <c r="Q323" t="s">
        <v>3648</v>
      </c>
      <c r="R323" t="s">
        <v>235</v>
      </c>
      <c r="S323" t="s">
        <v>236</v>
      </c>
      <c r="T323" t="s">
        <v>3649</v>
      </c>
      <c r="U323" t="s">
        <v>3650</v>
      </c>
      <c r="V323" t="s">
        <v>3651</v>
      </c>
      <c r="W323" t="s">
        <v>3652</v>
      </c>
      <c r="X323" t="s">
        <v>3651</v>
      </c>
      <c r="Y323" t="s">
        <v>1091</v>
      </c>
      <c r="Z323" t="s">
        <v>858</v>
      </c>
      <c r="AA323" t="s">
        <v>859</v>
      </c>
      <c r="AB323" t="s">
        <v>858</v>
      </c>
      <c r="AC323" t="s">
        <v>860</v>
      </c>
      <c r="AD323" t="s">
        <v>3653</v>
      </c>
      <c r="AE323" t="s">
        <v>3654</v>
      </c>
      <c r="AF323" t="e">
        <f>----------------------MNYLNLPIRPEFRTETPYGAPQLDVPVRLNTNENPYSPSPALIADLLRHVETHAADLNRYPDRDCTALRTDLAAYITDRTGVAVTCANLWAANGSNEVLQQLLQIFGGPGRTALGFQPSYSMHPILAHGTGTTFVDCPR-GADFRIDPQAALAAIADYQPDIVFITTPNNPTGDVTPLDTITRILDAAPGIVIVDEAYAEFSDSPSAVTLLADYPAKLVVSRTMSKAFDFAGGRLGYFVADPAFVDAVMLVRLPYHLSTLSQAVARVALRHSADTLATVAALIDERKRVQAALQDLGFFVVPSESNFLFFGTFADQHVVWQQFLDQGVLIRDVGVPGYLRVTIGLPDENDAFLAAARNAATHLLPKGH</f>
        <v>#NAME?</v>
      </c>
    </row>
    <row r="324" spans="1:32" hidden="1" x14ac:dyDescent="0.35">
      <c r="A324">
        <v>4018</v>
      </c>
      <c r="B324" t="s">
        <v>8289</v>
      </c>
      <c r="C324" t="s">
        <v>72</v>
      </c>
      <c r="D324" t="s">
        <v>45</v>
      </c>
      <c r="E324">
        <v>797</v>
      </c>
      <c r="F324">
        <v>5</v>
      </c>
      <c r="G324">
        <v>5</v>
      </c>
      <c r="H324">
        <v>1</v>
      </c>
      <c r="I324">
        <v>1</v>
      </c>
      <c r="J324">
        <v>0.81175514626218803</v>
      </c>
      <c r="K324">
        <v>0.94817744380726798</v>
      </c>
      <c r="L324">
        <v>0.87467886431934405</v>
      </c>
      <c r="M324">
        <v>0.65641025641025597</v>
      </c>
      <c r="N324">
        <v>0.984615384615385</v>
      </c>
      <c r="O324">
        <v>0.737179487179487</v>
      </c>
      <c r="P324" t="s">
        <v>3647</v>
      </c>
      <c r="Q324" t="s">
        <v>3648</v>
      </c>
      <c r="R324" t="s">
        <v>235</v>
      </c>
      <c r="S324" t="s">
        <v>236</v>
      </c>
      <c r="T324" t="s">
        <v>3649</v>
      </c>
      <c r="U324" t="s">
        <v>3650</v>
      </c>
      <c r="V324" t="s">
        <v>3651</v>
      </c>
      <c r="W324" t="s">
        <v>3652</v>
      </c>
      <c r="X324" t="s">
        <v>3651</v>
      </c>
      <c r="Y324" t="s">
        <v>1091</v>
      </c>
      <c r="Z324" t="s">
        <v>858</v>
      </c>
      <c r="AA324" t="s">
        <v>859</v>
      </c>
      <c r="AB324" t="s">
        <v>858</v>
      </c>
      <c r="AC324" t="s">
        <v>860</v>
      </c>
      <c r="AD324" t="s">
        <v>3653</v>
      </c>
      <c r="AE324" t="s">
        <v>3654</v>
      </c>
      <c r="AF324" t="e">
        <f>----------------------MNYLNLPIRPEFRTETPYGAPQLNVPVRLNTNENPYSPSPALIADLLRHVETHAADLNRYPDRDCTALRTDLAAYITDRTGVTVTCANLWAANGSNEVLQQLLQIFGGPGRTALGFQPSYSMHPILAHGTGTTFVDCPR-GADFRIDPQAALTAIADHQPDIVFIATPNNPTGDVTPLDTITRILDAAPGIVIVDEAYAEFSDSPSAVTLLADYPAKLVVSRTMSKAFDFAGGRLGYFVADPAFVDAVMLVRLPYHLSTLSQAVARVALRHSADTLATVAALIDERKRVQAALQDLGFFVVPSESNFLFFGTFADQHVVWQQFLDQGVLIRDVGVPGYLRVTIGLPNENDAFLAAARNAATHLLPKGH</f>
        <v>#NAME?</v>
      </c>
    </row>
    <row r="325" spans="1:32" hidden="1" x14ac:dyDescent="0.35">
      <c r="A325">
        <v>6347</v>
      </c>
      <c r="B325" t="s">
        <v>13086</v>
      </c>
      <c r="C325" t="s">
        <v>68</v>
      </c>
      <c r="D325" t="s">
        <v>58</v>
      </c>
      <c r="E325">
        <v>1535</v>
      </c>
      <c r="F325">
        <v>3</v>
      </c>
      <c r="G325">
        <v>3</v>
      </c>
      <c r="H325">
        <v>1</v>
      </c>
      <c r="I325">
        <v>0</v>
      </c>
      <c r="J325">
        <v>0.86579683131407303</v>
      </c>
      <c r="K325">
        <v>0.98018465552711898</v>
      </c>
      <c r="L325">
        <v>0.919446673661103</v>
      </c>
      <c r="M325">
        <v>0.693150684931507</v>
      </c>
      <c r="N325">
        <v>0.98356164383561595</v>
      </c>
      <c r="O325">
        <v>0.78995433789954295</v>
      </c>
      <c r="P325" t="s">
        <v>8909</v>
      </c>
      <c r="Q325" t="s">
        <v>8910</v>
      </c>
      <c r="R325" t="s">
        <v>342</v>
      </c>
      <c r="S325" t="s">
        <v>343</v>
      </c>
      <c r="T325" t="s">
        <v>13087</v>
      </c>
      <c r="U325" t="s">
        <v>13088</v>
      </c>
      <c r="V325" t="s">
        <v>8913</v>
      </c>
      <c r="W325" t="s">
        <v>8914</v>
      </c>
      <c r="AD325" t="s">
        <v>166</v>
      </c>
      <c r="AE325" t="s">
        <v>12674</v>
      </c>
      <c r="AF325" t="s">
        <v>13089</v>
      </c>
    </row>
    <row r="326" spans="1:32" hidden="1" x14ac:dyDescent="0.35">
      <c r="A326">
        <v>4090</v>
      </c>
      <c r="B326" t="s">
        <v>8459</v>
      </c>
      <c r="C326" t="s">
        <v>72</v>
      </c>
      <c r="D326" t="s">
        <v>60</v>
      </c>
      <c r="E326">
        <v>2393</v>
      </c>
      <c r="F326">
        <v>5</v>
      </c>
      <c r="G326">
        <v>5</v>
      </c>
      <c r="H326">
        <v>1</v>
      </c>
      <c r="I326">
        <v>1</v>
      </c>
      <c r="J326">
        <v>0.89238780064468104</v>
      </c>
      <c r="K326">
        <v>0.930755866306479</v>
      </c>
      <c r="L326">
        <v>0.91116810542898896</v>
      </c>
      <c r="M326">
        <v>0.74712643678160895</v>
      </c>
      <c r="N326">
        <v>0.99770114942528698</v>
      </c>
      <c r="O326">
        <v>0.81655172413793098</v>
      </c>
      <c r="P326" t="s">
        <v>3647</v>
      </c>
      <c r="Q326" t="s">
        <v>3648</v>
      </c>
      <c r="R326" t="s">
        <v>235</v>
      </c>
      <c r="S326" t="s">
        <v>236</v>
      </c>
      <c r="T326" t="s">
        <v>8460</v>
      </c>
      <c r="U326" t="s">
        <v>8461</v>
      </c>
      <c r="V326" t="s">
        <v>8462</v>
      </c>
      <c r="W326" t="s">
        <v>8463</v>
      </c>
      <c r="X326" t="s">
        <v>8462</v>
      </c>
      <c r="Y326" t="s">
        <v>1108</v>
      </c>
      <c r="AD326" t="s">
        <v>8464</v>
      </c>
      <c r="AE326" t="s">
        <v>8465</v>
      </c>
      <c r="AF326" t="s">
        <v>8467</v>
      </c>
    </row>
    <row r="327" spans="1:32" hidden="1" x14ac:dyDescent="0.35">
      <c r="A327">
        <v>4091</v>
      </c>
      <c r="B327" t="s">
        <v>8459</v>
      </c>
      <c r="C327" t="s">
        <v>72</v>
      </c>
      <c r="D327" t="s">
        <v>62</v>
      </c>
      <c r="E327">
        <v>2420</v>
      </c>
      <c r="F327">
        <v>5</v>
      </c>
      <c r="G327">
        <v>5</v>
      </c>
      <c r="H327">
        <v>1</v>
      </c>
      <c r="I327">
        <v>1</v>
      </c>
      <c r="J327">
        <v>0.89238780064468104</v>
      </c>
      <c r="K327">
        <v>0.930755866306479</v>
      </c>
      <c r="L327">
        <v>0.91116810542898896</v>
      </c>
      <c r="M327">
        <v>0.74712643678160895</v>
      </c>
      <c r="N327">
        <v>0.99770114942528698</v>
      </c>
      <c r="O327">
        <v>0.81655172413793098</v>
      </c>
      <c r="P327" t="s">
        <v>3647</v>
      </c>
      <c r="Q327" t="s">
        <v>3648</v>
      </c>
      <c r="R327" t="s">
        <v>235</v>
      </c>
      <c r="S327" t="s">
        <v>236</v>
      </c>
      <c r="T327" t="s">
        <v>8460</v>
      </c>
      <c r="U327" t="s">
        <v>8461</v>
      </c>
      <c r="V327" t="s">
        <v>8462</v>
      </c>
      <c r="W327" t="s">
        <v>8463</v>
      </c>
      <c r="X327" t="s">
        <v>8462</v>
      </c>
      <c r="Y327" t="s">
        <v>1108</v>
      </c>
      <c r="AD327" t="s">
        <v>8464</v>
      </c>
      <c r="AE327" t="s">
        <v>8465</v>
      </c>
      <c r="AF327" t="s">
        <v>8467</v>
      </c>
    </row>
    <row r="328" spans="1:32" hidden="1" x14ac:dyDescent="0.35">
      <c r="A328">
        <v>4092</v>
      </c>
      <c r="B328" t="s">
        <v>8459</v>
      </c>
      <c r="C328" t="s">
        <v>72</v>
      </c>
      <c r="D328" t="s">
        <v>34</v>
      </c>
      <c r="E328">
        <v>1353</v>
      </c>
      <c r="F328">
        <v>5</v>
      </c>
      <c r="G328">
        <v>5</v>
      </c>
      <c r="H328">
        <v>1</v>
      </c>
      <c r="I328">
        <v>1</v>
      </c>
      <c r="J328">
        <v>0.89238780064468104</v>
      </c>
      <c r="K328">
        <v>0.930755866306479</v>
      </c>
      <c r="L328">
        <v>0.91116810542898896</v>
      </c>
      <c r="M328">
        <v>0.74712643678160895</v>
      </c>
      <c r="N328">
        <v>0.99770114942528698</v>
      </c>
      <c r="O328">
        <v>0.81655172413793098</v>
      </c>
      <c r="P328" t="s">
        <v>3647</v>
      </c>
      <c r="Q328" t="s">
        <v>3648</v>
      </c>
      <c r="R328" t="s">
        <v>235</v>
      </c>
      <c r="S328" t="s">
        <v>236</v>
      </c>
      <c r="T328" t="s">
        <v>8460</v>
      </c>
      <c r="U328" t="s">
        <v>8461</v>
      </c>
      <c r="V328" t="s">
        <v>8462</v>
      </c>
      <c r="W328" t="s">
        <v>8463</v>
      </c>
      <c r="X328" t="s">
        <v>8462</v>
      </c>
      <c r="Y328" t="s">
        <v>1108</v>
      </c>
      <c r="AD328" t="s">
        <v>8464</v>
      </c>
      <c r="AE328" t="s">
        <v>8465</v>
      </c>
      <c r="AF328" t="s">
        <v>8468</v>
      </c>
    </row>
    <row r="329" spans="1:32" hidden="1" x14ac:dyDescent="0.35">
      <c r="A329">
        <v>4093</v>
      </c>
      <c r="B329" t="s">
        <v>8459</v>
      </c>
      <c r="C329" t="s">
        <v>72</v>
      </c>
      <c r="D329" t="s">
        <v>45</v>
      </c>
      <c r="E329">
        <v>103</v>
      </c>
      <c r="F329">
        <v>5</v>
      </c>
      <c r="G329">
        <v>5</v>
      </c>
      <c r="H329">
        <v>1</v>
      </c>
      <c r="I329">
        <v>1</v>
      </c>
      <c r="J329">
        <v>0.89238780064468104</v>
      </c>
      <c r="K329">
        <v>0.930755866306479</v>
      </c>
      <c r="L329">
        <v>0.91116810542898896</v>
      </c>
      <c r="M329">
        <v>0.74712643678160895</v>
      </c>
      <c r="N329">
        <v>0.99770114942528698</v>
      </c>
      <c r="O329">
        <v>0.81655172413793098</v>
      </c>
      <c r="P329" t="s">
        <v>3647</v>
      </c>
      <c r="Q329" t="s">
        <v>3648</v>
      </c>
      <c r="R329" t="s">
        <v>235</v>
      </c>
      <c r="S329" t="s">
        <v>236</v>
      </c>
      <c r="T329" t="s">
        <v>8460</v>
      </c>
      <c r="U329" t="s">
        <v>8461</v>
      </c>
      <c r="V329" t="s">
        <v>8462</v>
      </c>
      <c r="W329" t="s">
        <v>8463</v>
      </c>
      <c r="X329" t="s">
        <v>8462</v>
      </c>
      <c r="Y329" t="s">
        <v>1108</v>
      </c>
      <c r="AD329" t="s">
        <v>8464</v>
      </c>
      <c r="AE329" t="s">
        <v>8465</v>
      </c>
      <c r="AF329" t="s">
        <v>8469</v>
      </c>
    </row>
    <row r="330" spans="1:32" hidden="1" x14ac:dyDescent="0.35">
      <c r="A330">
        <v>6464</v>
      </c>
      <c r="B330" t="s">
        <v>13305</v>
      </c>
      <c r="C330" t="s">
        <v>68</v>
      </c>
      <c r="D330" t="s">
        <v>58</v>
      </c>
      <c r="E330">
        <v>598</v>
      </c>
      <c r="F330">
        <v>3</v>
      </c>
      <c r="G330">
        <v>3</v>
      </c>
      <c r="H330">
        <v>1</v>
      </c>
      <c r="I330">
        <v>0</v>
      </c>
      <c r="J330">
        <v>0.87177063642092001</v>
      </c>
      <c r="K330">
        <v>0.97468154247205396</v>
      </c>
      <c r="L330">
        <v>0.92035825059711796</v>
      </c>
      <c r="M330">
        <v>0.69060773480662996</v>
      </c>
      <c r="N330">
        <v>0.98895027624309395</v>
      </c>
      <c r="O330">
        <v>0.79097605893185996</v>
      </c>
      <c r="P330" t="s">
        <v>8909</v>
      </c>
      <c r="Q330" t="s">
        <v>8910</v>
      </c>
      <c r="R330" t="s">
        <v>342</v>
      </c>
      <c r="S330" t="s">
        <v>343</v>
      </c>
      <c r="V330" t="s">
        <v>8913</v>
      </c>
      <c r="W330" t="s">
        <v>8914</v>
      </c>
      <c r="AF330" t="s">
        <v>13306</v>
      </c>
    </row>
    <row r="331" spans="1:32" hidden="1" x14ac:dyDescent="0.35">
      <c r="A331">
        <v>4095</v>
      </c>
      <c r="B331" t="s">
        <v>8470</v>
      </c>
      <c r="C331" t="s">
        <v>72</v>
      </c>
      <c r="D331" t="s">
        <v>60</v>
      </c>
      <c r="E331">
        <v>1394</v>
      </c>
      <c r="F331">
        <v>5</v>
      </c>
      <c r="G331">
        <v>5</v>
      </c>
      <c r="H331">
        <v>1</v>
      </c>
      <c r="I331">
        <v>1</v>
      </c>
      <c r="J331">
        <v>0.80969663130467195</v>
      </c>
      <c r="K331">
        <v>0.96370025794858105</v>
      </c>
      <c r="L331">
        <v>0.88001152723007503</v>
      </c>
      <c r="M331">
        <v>0.64516129032258096</v>
      </c>
      <c r="N331">
        <v>0.99462365591397806</v>
      </c>
      <c r="O331">
        <v>0.74543010752688199</v>
      </c>
      <c r="P331" t="s">
        <v>8479</v>
      </c>
      <c r="Q331" t="s">
        <v>8480</v>
      </c>
      <c r="R331" t="s">
        <v>235</v>
      </c>
      <c r="S331" t="s">
        <v>236</v>
      </c>
      <c r="T331" t="s">
        <v>8473</v>
      </c>
      <c r="U331" t="s">
        <v>8474</v>
      </c>
      <c r="V331" t="s">
        <v>8475</v>
      </c>
      <c r="W331" t="s">
        <v>8476</v>
      </c>
      <c r="X331" t="s">
        <v>8475</v>
      </c>
      <c r="Y331" t="s">
        <v>241</v>
      </c>
      <c r="Z331" t="s">
        <v>2139</v>
      </c>
      <c r="AA331" t="s">
        <v>2140</v>
      </c>
      <c r="AB331" t="s">
        <v>2139</v>
      </c>
      <c r="AC331" t="s">
        <v>244</v>
      </c>
      <c r="AD331" t="s">
        <v>219</v>
      </c>
      <c r="AE331" t="s">
        <v>8477</v>
      </c>
      <c r="AF331" t="e">
        <f>-----------MPTIDVTGPNPYKVVIDHGLDETIARTAAAAPGATQVALIYQP-ALIDAATSLANAVSAAGLETTLIELPDAENGKTLQVAGRCWDVLGEKNFGRRDVVIGLGGGAATDLAGFVAAAWMRGIKVIQVPTTLLAMVDAAVGGKTGINTAAGKNLVGAFHEPYAVFVDLDRLRSLPEDELVAGSAEIIKTGFIADPAILDLYESDSAACLRV--DGHLPELVARSVAVKARVVSEDLQEAGLREILNYGHTFGHAVELREHFTWRHGNAVAVGMMFVAELARLKGLIDAALVQRHRSILASVGLPTSYEGGHFDELIAGMRRDKKNRDGHIRFVALTGVGETTRLEDTSDDELRAAYQAISEP</f>
        <v>#NAME?</v>
      </c>
    </row>
    <row r="332" spans="1:32" hidden="1" x14ac:dyDescent="0.35">
      <c r="A332">
        <v>4096</v>
      </c>
      <c r="B332" t="s">
        <v>8470</v>
      </c>
      <c r="C332" t="s">
        <v>72</v>
      </c>
      <c r="D332" t="s">
        <v>62</v>
      </c>
      <c r="E332">
        <v>1429</v>
      </c>
      <c r="F332">
        <v>5</v>
      </c>
      <c r="G332">
        <v>5</v>
      </c>
      <c r="H332">
        <v>1</v>
      </c>
      <c r="I332">
        <v>1</v>
      </c>
      <c r="J332">
        <v>0.80969663130467195</v>
      </c>
      <c r="K332">
        <v>0.96370025794858105</v>
      </c>
      <c r="L332">
        <v>0.88001152723007503</v>
      </c>
      <c r="M332">
        <v>0.64516129032258096</v>
      </c>
      <c r="N332">
        <v>0.99462365591397806</v>
      </c>
      <c r="O332">
        <v>0.74543010752688199</v>
      </c>
      <c r="P332" t="s">
        <v>8471</v>
      </c>
      <c r="Q332" t="s">
        <v>8472</v>
      </c>
      <c r="R332" t="s">
        <v>235</v>
      </c>
      <c r="S332" t="s">
        <v>236</v>
      </c>
      <c r="T332" t="s">
        <v>8473</v>
      </c>
      <c r="U332" t="s">
        <v>8474</v>
      </c>
      <c r="V332" t="s">
        <v>8475</v>
      </c>
      <c r="W332" t="s">
        <v>8476</v>
      </c>
      <c r="X332" t="s">
        <v>8475</v>
      </c>
      <c r="Y332" t="s">
        <v>241</v>
      </c>
      <c r="Z332" t="s">
        <v>2139</v>
      </c>
      <c r="AA332" t="s">
        <v>2140</v>
      </c>
      <c r="AB332" t="s">
        <v>2139</v>
      </c>
      <c r="AC332" t="s">
        <v>244</v>
      </c>
      <c r="AD332" t="s">
        <v>219</v>
      </c>
      <c r="AE332" t="s">
        <v>8477</v>
      </c>
      <c r="AF332" t="e">
        <f>-----------MPTIDVTGPNPYKVVIDHGLDETIARTAAAAPGATQVALIYQP-ALIDAANSLANAVSAAGLETTLIELPDAENGKTLQVAGRCWDVLGEKNFGRRDVVIGLGGGAATDLAGFVAAAWMRGIKVIQVPTTLLAMVDAAVGGKTGINTAAGKNLVGAFHEPYAVFVDLDRLRSLPEDELVAGSAEIIKTGFIADPAILELYESDPAACLRV--DGHLPELVARSVAVKARVVSEDLQEAGLREILNYGHTFGHAVELREHFTWRHGNAVAVGMMFVAELARLKGLIDAALVQRHRSILASVALPTSYEGGHFDELIAGMRRDKKNRDGHIRFVALTGVGETTRLEDTSDDELRAAYQAISEP</f>
        <v>#NAME?</v>
      </c>
    </row>
    <row r="333" spans="1:32" hidden="1" x14ac:dyDescent="0.35">
      <c r="A333">
        <v>4097</v>
      </c>
      <c r="B333" t="s">
        <v>8470</v>
      </c>
      <c r="C333" t="s">
        <v>72</v>
      </c>
      <c r="D333" t="s">
        <v>34</v>
      </c>
      <c r="E333">
        <v>1816</v>
      </c>
      <c r="F333">
        <v>5</v>
      </c>
      <c r="G333">
        <v>5</v>
      </c>
      <c r="H333">
        <v>1</v>
      </c>
      <c r="I333">
        <v>1</v>
      </c>
      <c r="J333">
        <v>0.80969663130467195</v>
      </c>
      <c r="K333">
        <v>0.96370025794858105</v>
      </c>
      <c r="L333">
        <v>0.88001152723007503</v>
      </c>
      <c r="M333">
        <v>0.64516129032258096</v>
      </c>
      <c r="N333">
        <v>0.99462365591397806</v>
      </c>
      <c r="O333">
        <v>0.74543010752688199</v>
      </c>
      <c r="P333" t="s">
        <v>8479</v>
      </c>
      <c r="Q333" t="s">
        <v>8480</v>
      </c>
      <c r="R333" t="s">
        <v>235</v>
      </c>
      <c r="S333" t="s">
        <v>236</v>
      </c>
      <c r="T333" t="s">
        <v>8473</v>
      </c>
      <c r="U333" t="s">
        <v>8474</v>
      </c>
      <c r="V333" t="s">
        <v>8475</v>
      </c>
      <c r="W333" t="s">
        <v>8476</v>
      </c>
      <c r="X333" t="s">
        <v>8475</v>
      </c>
      <c r="Y333" t="s">
        <v>241</v>
      </c>
      <c r="Z333" t="s">
        <v>2139</v>
      </c>
      <c r="AA333" t="s">
        <v>2140</v>
      </c>
      <c r="AB333" t="s">
        <v>2139</v>
      </c>
      <c r="AC333" t="s">
        <v>244</v>
      </c>
      <c r="AD333" t="s">
        <v>219</v>
      </c>
      <c r="AE333" t="s">
        <v>8477</v>
      </c>
      <c r="AF333" t="s">
        <v>8481</v>
      </c>
    </row>
    <row r="334" spans="1:32" hidden="1" x14ac:dyDescent="0.35">
      <c r="A334">
        <v>4098</v>
      </c>
      <c r="B334" t="s">
        <v>8470</v>
      </c>
      <c r="C334" t="s">
        <v>72</v>
      </c>
      <c r="D334" t="s">
        <v>45</v>
      </c>
      <c r="E334">
        <v>1057</v>
      </c>
      <c r="F334">
        <v>5</v>
      </c>
      <c r="G334">
        <v>5</v>
      </c>
      <c r="H334">
        <v>1</v>
      </c>
      <c r="I334">
        <v>1</v>
      </c>
      <c r="J334">
        <v>0.80969663130467195</v>
      </c>
      <c r="K334">
        <v>0.96370025794858105</v>
      </c>
      <c r="L334">
        <v>0.88001152723007503</v>
      </c>
      <c r="M334">
        <v>0.64516129032258096</v>
      </c>
      <c r="N334">
        <v>0.99462365591397806</v>
      </c>
      <c r="O334">
        <v>0.74543010752688199</v>
      </c>
      <c r="P334" t="s">
        <v>8471</v>
      </c>
      <c r="Q334" t="s">
        <v>8472</v>
      </c>
      <c r="R334" t="s">
        <v>235</v>
      </c>
      <c r="S334" t="s">
        <v>236</v>
      </c>
      <c r="T334" t="s">
        <v>8473</v>
      </c>
      <c r="U334" t="s">
        <v>8474</v>
      </c>
      <c r="V334" t="s">
        <v>8475</v>
      </c>
      <c r="W334" t="s">
        <v>8476</v>
      </c>
      <c r="X334" t="s">
        <v>8475</v>
      </c>
      <c r="Y334" t="s">
        <v>241</v>
      </c>
      <c r="Z334" t="s">
        <v>2139</v>
      </c>
      <c r="AA334" t="s">
        <v>2140</v>
      </c>
      <c r="AB334" t="s">
        <v>2139</v>
      </c>
      <c r="AC334" t="s">
        <v>244</v>
      </c>
      <c r="AD334" t="s">
        <v>219</v>
      </c>
      <c r="AE334" t="s">
        <v>8477</v>
      </c>
      <c r="AF334" t="s">
        <v>8482</v>
      </c>
    </row>
    <row r="335" spans="1:32" hidden="1" x14ac:dyDescent="0.35">
      <c r="A335">
        <v>11839</v>
      </c>
      <c r="B335" t="s">
        <v>24343</v>
      </c>
      <c r="C335" t="s">
        <v>33</v>
      </c>
      <c r="D335" t="s">
        <v>58</v>
      </c>
      <c r="E335">
        <v>928</v>
      </c>
      <c r="F335">
        <v>1</v>
      </c>
      <c r="G335">
        <v>1</v>
      </c>
      <c r="H335">
        <v>1</v>
      </c>
      <c r="I335">
        <v>0</v>
      </c>
      <c r="J335">
        <v>1</v>
      </c>
      <c r="K335">
        <v>1</v>
      </c>
      <c r="L335">
        <v>1</v>
      </c>
      <c r="M335">
        <v>0</v>
      </c>
      <c r="N335">
        <v>0</v>
      </c>
      <c r="O335">
        <v>0</v>
      </c>
      <c r="P335" t="s">
        <v>8909</v>
      </c>
      <c r="Q335" t="s">
        <v>8910</v>
      </c>
      <c r="R335" t="s">
        <v>342</v>
      </c>
      <c r="S335" t="s">
        <v>343</v>
      </c>
      <c r="T335" t="s">
        <v>12565</v>
      </c>
      <c r="U335" t="s">
        <v>12566</v>
      </c>
      <c r="V335" t="s">
        <v>8913</v>
      </c>
      <c r="W335" t="s">
        <v>8914</v>
      </c>
      <c r="AD335" t="s">
        <v>439</v>
      </c>
      <c r="AE335" t="s">
        <v>11415</v>
      </c>
      <c r="AF335" t="s">
        <v>24344</v>
      </c>
    </row>
    <row r="336" spans="1:32" hidden="1" x14ac:dyDescent="0.35">
      <c r="A336">
        <v>4150</v>
      </c>
      <c r="B336" t="s">
        <v>8583</v>
      </c>
      <c r="C336" t="s">
        <v>72</v>
      </c>
      <c r="D336" t="s">
        <v>60</v>
      </c>
      <c r="E336">
        <v>1393</v>
      </c>
      <c r="F336">
        <v>5</v>
      </c>
      <c r="G336">
        <v>5</v>
      </c>
      <c r="H336">
        <v>1</v>
      </c>
      <c r="I336">
        <v>1</v>
      </c>
      <c r="J336">
        <v>0.80734580734580697</v>
      </c>
      <c r="K336">
        <v>0.950962879051935</v>
      </c>
      <c r="L336">
        <v>0.87328908659034599</v>
      </c>
      <c r="M336">
        <v>0.64473684210526305</v>
      </c>
      <c r="N336">
        <v>0.98684210526315796</v>
      </c>
      <c r="O336">
        <v>0.73026315789473695</v>
      </c>
      <c r="P336" t="s">
        <v>8584</v>
      </c>
      <c r="Q336" t="s">
        <v>8585</v>
      </c>
      <c r="R336" t="s">
        <v>235</v>
      </c>
      <c r="S336" t="s">
        <v>236</v>
      </c>
      <c r="T336" t="s">
        <v>8586</v>
      </c>
      <c r="U336" t="s">
        <v>8587</v>
      </c>
      <c r="V336" t="s">
        <v>8588</v>
      </c>
      <c r="W336" t="s">
        <v>8589</v>
      </c>
      <c r="X336" t="s">
        <v>8588</v>
      </c>
      <c r="Y336" t="s">
        <v>241</v>
      </c>
      <c r="Z336" t="s">
        <v>2139</v>
      </c>
      <c r="AA336" t="s">
        <v>2140</v>
      </c>
      <c r="AB336" t="s">
        <v>2139</v>
      </c>
      <c r="AC336" t="s">
        <v>244</v>
      </c>
      <c r="AD336" t="s">
        <v>219</v>
      </c>
      <c r="AE336" t="s">
        <v>8590</v>
      </c>
      <c r="AF336" t="s">
        <v>8592</v>
      </c>
    </row>
    <row r="337" spans="1:32" hidden="1" x14ac:dyDescent="0.35">
      <c r="A337">
        <v>4151</v>
      </c>
      <c r="B337" t="s">
        <v>8583</v>
      </c>
      <c r="C337" t="s">
        <v>72</v>
      </c>
      <c r="D337" t="s">
        <v>62</v>
      </c>
      <c r="E337">
        <v>1428</v>
      </c>
      <c r="F337">
        <v>5</v>
      </c>
      <c r="G337">
        <v>5</v>
      </c>
      <c r="H337">
        <v>1</v>
      </c>
      <c r="I337">
        <v>1</v>
      </c>
      <c r="J337">
        <v>0.80734580734580697</v>
      </c>
      <c r="K337">
        <v>0.950962879051935</v>
      </c>
      <c r="L337">
        <v>0.87328908659034599</v>
      </c>
      <c r="M337">
        <v>0.64473684210526305</v>
      </c>
      <c r="N337">
        <v>0.98684210526315796</v>
      </c>
      <c r="O337">
        <v>0.73026315789473695</v>
      </c>
      <c r="P337" t="s">
        <v>8584</v>
      </c>
      <c r="Q337" t="s">
        <v>8585</v>
      </c>
      <c r="R337" t="s">
        <v>235</v>
      </c>
      <c r="S337" t="s">
        <v>236</v>
      </c>
      <c r="T337" t="s">
        <v>8586</v>
      </c>
      <c r="U337" t="s">
        <v>8587</v>
      </c>
      <c r="V337" t="s">
        <v>8588</v>
      </c>
      <c r="W337" t="s">
        <v>8589</v>
      </c>
      <c r="X337" t="s">
        <v>8588</v>
      </c>
      <c r="Y337" t="s">
        <v>241</v>
      </c>
      <c r="Z337" t="s">
        <v>2139</v>
      </c>
      <c r="AA337" t="s">
        <v>2140</v>
      </c>
      <c r="AB337" t="s">
        <v>2139</v>
      </c>
      <c r="AC337" t="s">
        <v>244</v>
      </c>
      <c r="AD337" t="s">
        <v>219</v>
      </c>
      <c r="AE337" t="s">
        <v>8590</v>
      </c>
      <c r="AF337" t="s">
        <v>8593</v>
      </c>
    </row>
    <row r="338" spans="1:32" hidden="1" x14ac:dyDescent="0.35">
      <c r="A338">
        <v>4152</v>
      </c>
      <c r="B338" t="s">
        <v>8583</v>
      </c>
      <c r="C338" t="s">
        <v>72</v>
      </c>
      <c r="D338" t="s">
        <v>34</v>
      </c>
      <c r="E338">
        <v>1815</v>
      </c>
      <c r="F338">
        <v>5</v>
      </c>
      <c r="G338">
        <v>5</v>
      </c>
      <c r="H338">
        <v>1</v>
      </c>
      <c r="I338">
        <v>1</v>
      </c>
      <c r="J338">
        <v>0.80734580734580697</v>
      </c>
      <c r="K338">
        <v>0.950962879051935</v>
      </c>
      <c r="L338">
        <v>0.87328908659034599</v>
      </c>
      <c r="M338">
        <v>0.64473684210526305</v>
      </c>
      <c r="N338">
        <v>0.98684210526315796</v>
      </c>
      <c r="O338">
        <v>0.73026315789473695</v>
      </c>
      <c r="P338" t="s">
        <v>8584</v>
      </c>
      <c r="Q338" t="s">
        <v>8585</v>
      </c>
      <c r="R338" t="s">
        <v>235</v>
      </c>
      <c r="S338" t="s">
        <v>236</v>
      </c>
      <c r="T338" t="s">
        <v>8586</v>
      </c>
      <c r="U338" t="s">
        <v>8587</v>
      </c>
      <c r="V338" t="s">
        <v>8588</v>
      </c>
      <c r="W338" t="s">
        <v>8589</v>
      </c>
      <c r="X338" t="s">
        <v>8588</v>
      </c>
      <c r="Y338" t="s">
        <v>241</v>
      </c>
      <c r="Z338" t="s">
        <v>2139</v>
      </c>
      <c r="AA338" t="s">
        <v>2140</v>
      </c>
      <c r="AB338" t="s">
        <v>2139</v>
      </c>
      <c r="AC338" t="s">
        <v>244</v>
      </c>
      <c r="AD338" t="s">
        <v>219</v>
      </c>
      <c r="AE338" t="s">
        <v>8590</v>
      </c>
      <c r="AF338" t="s">
        <v>8594</v>
      </c>
    </row>
    <row r="339" spans="1:32" hidden="1" x14ac:dyDescent="0.35">
      <c r="A339">
        <v>4153</v>
      </c>
      <c r="B339" t="s">
        <v>8583</v>
      </c>
      <c r="C339" t="s">
        <v>72</v>
      </c>
      <c r="D339" t="s">
        <v>45</v>
      </c>
      <c r="E339">
        <v>1058</v>
      </c>
      <c r="F339">
        <v>5</v>
      </c>
      <c r="G339">
        <v>5</v>
      </c>
      <c r="H339">
        <v>1</v>
      </c>
      <c r="I339">
        <v>1</v>
      </c>
      <c r="J339">
        <v>0.80734580734580697</v>
      </c>
      <c r="K339">
        <v>0.950962879051935</v>
      </c>
      <c r="L339">
        <v>0.87328908659034599</v>
      </c>
      <c r="M339">
        <v>0.64473684210526305</v>
      </c>
      <c r="N339">
        <v>0.98684210526315796</v>
      </c>
      <c r="O339">
        <v>0.73026315789473695</v>
      </c>
      <c r="P339" t="s">
        <v>8584</v>
      </c>
      <c r="Q339" t="s">
        <v>8585</v>
      </c>
      <c r="R339" t="s">
        <v>235</v>
      </c>
      <c r="S339" t="s">
        <v>236</v>
      </c>
      <c r="T339" t="s">
        <v>8586</v>
      </c>
      <c r="U339" t="s">
        <v>8587</v>
      </c>
      <c r="V339" t="s">
        <v>8588</v>
      </c>
      <c r="W339" t="s">
        <v>8589</v>
      </c>
      <c r="X339" t="s">
        <v>8588</v>
      </c>
      <c r="Y339" t="s">
        <v>241</v>
      </c>
      <c r="Z339" t="s">
        <v>2139</v>
      </c>
      <c r="AA339" t="s">
        <v>2140</v>
      </c>
      <c r="AB339" t="s">
        <v>2139</v>
      </c>
      <c r="AC339" t="s">
        <v>244</v>
      </c>
      <c r="AD339" t="s">
        <v>219</v>
      </c>
      <c r="AE339" t="s">
        <v>8590</v>
      </c>
      <c r="AF339" t="s">
        <v>8595</v>
      </c>
    </row>
    <row r="340" spans="1:32" hidden="1" x14ac:dyDescent="0.35">
      <c r="A340">
        <v>6272</v>
      </c>
      <c r="B340" t="s">
        <v>12915</v>
      </c>
      <c r="C340" t="s">
        <v>68</v>
      </c>
      <c r="D340" t="s">
        <v>58</v>
      </c>
      <c r="E340">
        <v>1534</v>
      </c>
      <c r="F340">
        <v>3</v>
      </c>
      <c r="G340">
        <v>3</v>
      </c>
      <c r="H340">
        <v>1</v>
      </c>
      <c r="I340">
        <v>0</v>
      </c>
      <c r="J340">
        <v>0.82605177993527501</v>
      </c>
      <c r="K340">
        <v>0.954381210478773</v>
      </c>
      <c r="L340">
        <v>0.88559165315110699</v>
      </c>
      <c r="M340">
        <v>0.62847222222222199</v>
      </c>
      <c r="N340">
        <v>0.98958333333333304</v>
      </c>
      <c r="O340">
        <v>0.75</v>
      </c>
      <c r="P340" t="s">
        <v>169</v>
      </c>
      <c r="Q340" t="s">
        <v>170</v>
      </c>
      <c r="R340" t="s">
        <v>342</v>
      </c>
      <c r="S340" t="s">
        <v>343</v>
      </c>
      <c r="T340" t="s">
        <v>12916</v>
      </c>
      <c r="U340" t="s">
        <v>12917</v>
      </c>
      <c r="V340" t="s">
        <v>12918</v>
      </c>
      <c r="W340" t="s">
        <v>12919</v>
      </c>
      <c r="AD340" t="s">
        <v>12920</v>
      </c>
      <c r="AE340" t="s">
        <v>12921</v>
      </c>
      <c r="AF340" t="s">
        <v>12922</v>
      </c>
    </row>
    <row r="341" spans="1:32" hidden="1" x14ac:dyDescent="0.35">
      <c r="A341">
        <v>4155</v>
      </c>
      <c r="B341" t="s">
        <v>8596</v>
      </c>
      <c r="C341" t="s">
        <v>72</v>
      </c>
      <c r="D341" t="s">
        <v>60</v>
      </c>
      <c r="E341">
        <v>2010</v>
      </c>
      <c r="F341">
        <v>5</v>
      </c>
      <c r="G341">
        <v>5</v>
      </c>
      <c r="H341">
        <v>1</v>
      </c>
      <c r="I341">
        <v>1</v>
      </c>
      <c r="J341">
        <v>0.91022206346371404</v>
      </c>
      <c r="K341">
        <v>0.98417040025742697</v>
      </c>
      <c r="L341">
        <v>0.94575293100837698</v>
      </c>
      <c r="M341">
        <v>0.82073813708260102</v>
      </c>
      <c r="N341">
        <v>0.99824253075571201</v>
      </c>
      <c r="O341">
        <v>0.87662565905096701</v>
      </c>
      <c r="P341" t="s">
        <v>8597</v>
      </c>
      <c r="Q341" t="s">
        <v>8598</v>
      </c>
      <c r="R341" t="s">
        <v>235</v>
      </c>
      <c r="S341" t="s">
        <v>236</v>
      </c>
      <c r="T341" t="s">
        <v>8599</v>
      </c>
      <c r="U341" t="s">
        <v>8600</v>
      </c>
      <c r="V341" t="s">
        <v>8601</v>
      </c>
      <c r="W341" t="s">
        <v>8602</v>
      </c>
      <c r="Z341" t="s">
        <v>5431</v>
      </c>
      <c r="AA341" t="s">
        <v>5432</v>
      </c>
      <c r="AB341" t="s">
        <v>5431</v>
      </c>
      <c r="AC341" t="s">
        <v>860</v>
      </c>
      <c r="AD341" t="s">
        <v>219</v>
      </c>
      <c r="AE341" t="s">
        <v>8603</v>
      </c>
      <c r="AF341" t="s">
        <v>8605</v>
      </c>
    </row>
    <row r="342" spans="1:32" hidden="1" x14ac:dyDescent="0.35">
      <c r="A342">
        <v>4156</v>
      </c>
      <c r="B342" t="s">
        <v>8596</v>
      </c>
      <c r="C342" t="s">
        <v>72</v>
      </c>
      <c r="D342" t="s">
        <v>62</v>
      </c>
      <c r="E342">
        <v>2050</v>
      </c>
      <c r="F342">
        <v>5</v>
      </c>
      <c r="G342">
        <v>5</v>
      </c>
      <c r="H342">
        <v>1</v>
      </c>
      <c r="I342">
        <v>1</v>
      </c>
      <c r="J342">
        <v>0.91022206346371404</v>
      </c>
      <c r="K342">
        <v>0.98417040025742697</v>
      </c>
      <c r="L342">
        <v>0.94575293100837698</v>
      </c>
      <c r="M342">
        <v>0.82073813708260102</v>
      </c>
      <c r="N342">
        <v>0.99824253075571201</v>
      </c>
      <c r="O342">
        <v>0.87662565905096701</v>
      </c>
      <c r="P342" t="s">
        <v>8597</v>
      </c>
      <c r="Q342" t="s">
        <v>8598</v>
      </c>
      <c r="R342" t="s">
        <v>235</v>
      </c>
      <c r="S342" t="s">
        <v>236</v>
      </c>
      <c r="T342" t="s">
        <v>8599</v>
      </c>
      <c r="U342" t="s">
        <v>8600</v>
      </c>
      <c r="V342" t="s">
        <v>8601</v>
      </c>
      <c r="W342" t="s">
        <v>8602</v>
      </c>
      <c r="Z342" t="s">
        <v>5431</v>
      </c>
      <c r="AA342" t="s">
        <v>5432</v>
      </c>
      <c r="AB342" t="s">
        <v>5431</v>
      </c>
      <c r="AC342" t="s">
        <v>860</v>
      </c>
      <c r="AD342" t="s">
        <v>219</v>
      </c>
      <c r="AE342" t="s">
        <v>8603</v>
      </c>
      <c r="AF342" t="s">
        <v>8606</v>
      </c>
    </row>
    <row r="343" spans="1:32" hidden="1" x14ac:dyDescent="0.35">
      <c r="A343">
        <v>4157</v>
      </c>
      <c r="B343" t="s">
        <v>8596</v>
      </c>
      <c r="C343" t="s">
        <v>72</v>
      </c>
      <c r="D343" t="s">
        <v>34</v>
      </c>
      <c r="E343">
        <v>1912</v>
      </c>
      <c r="F343">
        <v>5</v>
      </c>
      <c r="G343">
        <v>5</v>
      </c>
      <c r="H343">
        <v>1</v>
      </c>
      <c r="I343">
        <v>1</v>
      </c>
      <c r="J343">
        <v>0.91022206346371404</v>
      </c>
      <c r="K343">
        <v>0.98417040025742697</v>
      </c>
      <c r="L343">
        <v>0.94575293100837698</v>
      </c>
      <c r="M343">
        <v>0.82073813708260102</v>
      </c>
      <c r="N343">
        <v>0.99824253075571201</v>
      </c>
      <c r="O343">
        <v>0.87662565905096701</v>
      </c>
      <c r="P343" t="s">
        <v>8597</v>
      </c>
      <c r="Q343" t="s">
        <v>8598</v>
      </c>
      <c r="R343" t="s">
        <v>235</v>
      </c>
      <c r="S343" t="s">
        <v>236</v>
      </c>
      <c r="T343" t="s">
        <v>8599</v>
      </c>
      <c r="U343" t="s">
        <v>8600</v>
      </c>
      <c r="V343" t="s">
        <v>8601</v>
      </c>
      <c r="W343" t="s">
        <v>8602</v>
      </c>
      <c r="Z343" t="s">
        <v>5431</v>
      </c>
      <c r="AA343" t="s">
        <v>5432</v>
      </c>
      <c r="AB343" t="s">
        <v>5431</v>
      </c>
      <c r="AC343" t="s">
        <v>860</v>
      </c>
      <c r="AD343" t="s">
        <v>219</v>
      </c>
      <c r="AE343" t="s">
        <v>8603</v>
      </c>
      <c r="AF343" t="s">
        <v>8607</v>
      </c>
    </row>
    <row r="344" spans="1:32" hidden="1" x14ac:dyDescent="0.35">
      <c r="A344">
        <v>4158</v>
      </c>
      <c r="B344" t="s">
        <v>8596</v>
      </c>
      <c r="C344" t="s">
        <v>72</v>
      </c>
      <c r="D344" t="s">
        <v>45</v>
      </c>
      <c r="E344">
        <v>962</v>
      </c>
      <c r="F344">
        <v>5</v>
      </c>
      <c r="G344">
        <v>5</v>
      </c>
      <c r="H344">
        <v>1</v>
      </c>
      <c r="I344">
        <v>1</v>
      </c>
      <c r="J344">
        <v>0.91022206346371404</v>
      </c>
      <c r="K344">
        <v>0.98417040025742697</v>
      </c>
      <c r="L344">
        <v>0.94575293100837698</v>
      </c>
      <c r="M344">
        <v>0.82073813708260102</v>
      </c>
      <c r="N344">
        <v>0.99824253075571201</v>
      </c>
      <c r="O344">
        <v>0.87662565905096701</v>
      </c>
      <c r="P344" t="s">
        <v>8597</v>
      </c>
      <c r="Q344" t="s">
        <v>8598</v>
      </c>
      <c r="R344" t="s">
        <v>235</v>
      </c>
      <c r="S344" t="s">
        <v>236</v>
      </c>
      <c r="T344" t="s">
        <v>8599</v>
      </c>
      <c r="U344" t="s">
        <v>8600</v>
      </c>
      <c r="V344" t="s">
        <v>8601</v>
      </c>
      <c r="W344" t="s">
        <v>8602</v>
      </c>
      <c r="Z344" t="s">
        <v>5431</v>
      </c>
      <c r="AA344" t="s">
        <v>5432</v>
      </c>
      <c r="AB344" t="s">
        <v>5431</v>
      </c>
      <c r="AC344" t="s">
        <v>860</v>
      </c>
      <c r="AD344" t="s">
        <v>219</v>
      </c>
      <c r="AE344" t="s">
        <v>8603</v>
      </c>
      <c r="AF344" t="s">
        <v>8608</v>
      </c>
    </row>
    <row r="345" spans="1:32" hidden="1" x14ac:dyDescent="0.35">
      <c r="A345">
        <v>6158</v>
      </c>
      <c r="B345" t="s">
        <v>12669</v>
      </c>
      <c r="C345" t="s">
        <v>68</v>
      </c>
      <c r="D345" t="s">
        <v>58</v>
      </c>
      <c r="E345">
        <v>1536</v>
      </c>
      <c r="F345">
        <v>3</v>
      </c>
      <c r="G345">
        <v>3</v>
      </c>
      <c r="H345">
        <v>1</v>
      </c>
      <c r="I345">
        <v>0</v>
      </c>
      <c r="J345">
        <v>0.85098039215686305</v>
      </c>
      <c r="K345">
        <v>0.95345266944254703</v>
      </c>
      <c r="L345">
        <v>0.89930687240461704</v>
      </c>
      <c r="M345">
        <v>0.65116279069767402</v>
      </c>
      <c r="N345">
        <v>1</v>
      </c>
      <c r="O345">
        <v>0.76744186046511598</v>
      </c>
      <c r="P345" t="s">
        <v>340</v>
      </c>
      <c r="Q345" t="s">
        <v>341</v>
      </c>
      <c r="R345" t="s">
        <v>342</v>
      </c>
      <c r="S345" t="s">
        <v>343</v>
      </c>
      <c r="T345" t="s">
        <v>12670</v>
      </c>
      <c r="U345" t="s">
        <v>12671</v>
      </c>
      <c r="V345" t="s">
        <v>12672</v>
      </c>
      <c r="W345" t="s">
        <v>12673</v>
      </c>
      <c r="AD345" t="s">
        <v>166</v>
      </c>
      <c r="AE345" t="s">
        <v>12674</v>
      </c>
      <c r="AF345" t="s">
        <v>12675</v>
      </c>
    </row>
    <row r="346" spans="1:32" hidden="1" x14ac:dyDescent="0.35">
      <c r="A346">
        <v>4235</v>
      </c>
      <c r="B346" t="s">
        <v>8789</v>
      </c>
      <c r="C346" t="s">
        <v>72</v>
      </c>
      <c r="D346" t="s">
        <v>60</v>
      </c>
      <c r="E346">
        <v>928</v>
      </c>
      <c r="F346">
        <v>5</v>
      </c>
      <c r="G346">
        <v>5</v>
      </c>
      <c r="H346">
        <v>1</v>
      </c>
      <c r="I346">
        <v>1</v>
      </c>
      <c r="J346">
        <v>0.76594202898550701</v>
      </c>
      <c r="K346">
        <v>0.95193798449612199</v>
      </c>
      <c r="L346">
        <v>0.84887105687388098</v>
      </c>
      <c r="M346">
        <v>0.56589147286821695</v>
      </c>
      <c r="N346">
        <v>0.99741602067183499</v>
      </c>
      <c r="O346">
        <v>0.68165374677002599</v>
      </c>
      <c r="P346" t="s">
        <v>3647</v>
      </c>
      <c r="Q346" t="s">
        <v>3648</v>
      </c>
      <c r="R346" t="s">
        <v>235</v>
      </c>
      <c r="S346" t="s">
        <v>236</v>
      </c>
      <c r="T346" t="s">
        <v>8790</v>
      </c>
      <c r="U346" t="s">
        <v>8791</v>
      </c>
      <c r="V346" t="s">
        <v>8462</v>
      </c>
      <c r="W346" t="s">
        <v>8463</v>
      </c>
      <c r="X346" t="s">
        <v>8462</v>
      </c>
      <c r="Y346" t="s">
        <v>1108</v>
      </c>
      <c r="Z346" t="s">
        <v>8792</v>
      </c>
      <c r="AA346" t="s">
        <v>8793</v>
      </c>
      <c r="AB346" t="s">
        <v>8792</v>
      </c>
      <c r="AC346" t="s">
        <v>8794</v>
      </c>
      <c r="AD346" t="s">
        <v>8795</v>
      </c>
      <c r="AE346" t="s">
        <v>8796</v>
      </c>
      <c r="AF346" t="e">
        <f>----MTPPARTPLGAHLPDFPWDTLAEAKATAEQHPDGIVNLSVGTPVDEVAPSIQQALADAAAEPGYPQTVGTPELRRAIVEWLERRYAVTGLDESN-VLPVIGTKEAIALMPTHLGVGPGHTVVIPEVAYPTYEVAALVSGARPQRADSLMQL-----GPASPTFMFINTPSNPTGKILGLGHLRKVVDWAHQRGTIVASDECYIGLGW-EGEPLSILNPDVNDGNITGLLAIHSLSKSSNLASYRAGFIAGDAALIAELLEVRRHNGLMVPRPIQAAMIAALNDDTQEAIQRTRYAARRAKLKAALESAGFTIDNSEAGLYLWATLGEPARDTVDRLARLGILVAPGDFYGPRGSSHIRMALTGTDERIDAAVTRLATFDHSRS</f>
        <v>#NAME?</v>
      </c>
    </row>
    <row r="347" spans="1:32" hidden="1" x14ac:dyDescent="0.35">
      <c r="A347">
        <v>4236</v>
      </c>
      <c r="B347" t="s">
        <v>8789</v>
      </c>
      <c r="C347" t="s">
        <v>72</v>
      </c>
      <c r="D347" t="s">
        <v>62</v>
      </c>
      <c r="E347">
        <v>964</v>
      </c>
      <c r="F347">
        <v>5</v>
      </c>
      <c r="G347">
        <v>5</v>
      </c>
      <c r="H347">
        <v>1</v>
      </c>
      <c r="I347">
        <v>1</v>
      </c>
      <c r="J347">
        <v>0.76594202898550701</v>
      </c>
      <c r="K347">
        <v>0.95193798449612199</v>
      </c>
      <c r="L347">
        <v>0.84887105687388098</v>
      </c>
      <c r="M347">
        <v>0.56589147286821695</v>
      </c>
      <c r="N347">
        <v>0.99741602067183499</v>
      </c>
      <c r="O347">
        <v>0.68165374677002599</v>
      </c>
      <c r="P347" t="s">
        <v>3647</v>
      </c>
      <c r="Q347" t="s">
        <v>3648</v>
      </c>
      <c r="R347" t="s">
        <v>235</v>
      </c>
      <c r="S347" t="s">
        <v>236</v>
      </c>
      <c r="T347" t="s">
        <v>8790</v>
      </c>
      <c r="U347" t="s">
        <v>8791</v>
      </c>
      <c r="V347" t="s">
        <v>8462</v>
      </c>
      <c r="W347" t="s">
        <v>8463</v>
      </c>
      <c r="X347" t="s">
        <v>8462</v>
      </c>
      <c r="Y347" t="s">
        <v>1108</v>
      </c>
      <c r="Z347" t="s">
        <v>8792</v>
      </c>
      <c r="AA347" t="s">
        <v>8793</v>
      </c>
      <c r="AB347" t="s">
        <v>8792</v>
      </c>
      <c r="AC347" t="s">
        <v>8794</v>
      </c>
      <c r="AD347" t="s">
        <v>8795</v>
      </c>
      <c r="AE347" t="s">
        <v>8796</v>
      </c>
      <c r="AF347" t="e">
        <f>----MTPPARTPLGAHLPDFPWDTLAEAKATAEQHSDGIVNLSVGTPVDEVAPSIQQALADAAAEPGYPQTVGTPELRRAIVEWLERRYAVTGLDESN-VLPVIGTKEAIALMPTHLGVGPGHTVVIPEVAYPTYEVAALVSGARPQRADSLMQL-----GPASPTFMFINTPSNPTGKILGLGHLRKVVDWAHQRGTIVASDECYIGLGW-EGEPLSILNPDVNDGNITGLLAIHSLSKSSNLASYRAGFIAGDAALIAELLEVRRHNGLMVPRPIQAAMIAALNDDTQEAIQRTRYAARRAKLKAALESAGFTIDNSEAGLYLWATLGEPARDTVDRLAQLGILVAPGDFYGPRGSSHIRMALTGTDERIDAAVTRLATFDHSRS</f>
        <v>#NAME?</v>
      </c>
    </row>
    <row r="348" spans="1:32" hidden="1" x14ac:dyDescent="0.35">
      <c r="A348">
        <v>4237</v>
      </c>
      <c r="B348" t="s">
        <v>8789</v>
      </c>
      <c r="C348" t="s">
        <v>72</v>
      </c>
      <c r="D348" t="s">
        <v>34</v>
      </c>
      <c r="E348">
        <v>234</v>
      </c>
      <c r="F348">
        <v>5</v>
      </c>
      <c r="G348">
        <v>5</v>
      </c>
      <c r="H348">
        <v>1</v>
      </c>
      <c r="I348">
        <v>1</v>
      </c>
      <c r="J348">
        <v>0.76594202898550701</v>
      </c>
      <c r="K348">
        <v>0.95193798449612199</v>
      </c>
      <c r="L348">
        <v>0.84887105687388098</v>
      </c>
      <c r="M348">
        <v>0.56589147286821695</v>
      </c>
      <c r="N348">
        <v>0.99741602067183499</v>
      </c>
      <c r="O348">
        <v>0.68165374677002599</v>
      </c>
      <c r="P348" t="s">
        <v>3647</v>
      </c>
      <c r="Q348" t="s">
        <v>3648</v>
      </c>
      <c r="R348" t="s">
        <v>235</v>
      </c>
      <c r="S348" t="s">
        <v>236</v>
      </c>
      <c r="T348" t="s">
        <v>8790</v>
      </c>
      <c r="U348" t="s">
        <v>8791</v>
      </c>
      <c r="V348" t="s">
        <v>8462</v>
      </c>
      <c r="W348" t="s">
        <v>8463</v>
      </c>
      <c r="X348" t="s">
        <v>8462</v>
      </c>
      <c r="Y348" t="s">
        <v>1108</v>
      </c>
      <c r="Z348" t="s">
        <v>8792</v>
      </c>
      <c r="AA348" t="s">
        <v>8793</v>
      </c>
      <c r="AB348" t="s">
        <v>8792</v>
      </c>
      <c r="AC348" t="s">
        <v>8794</v>
      </c>
      <c r="AD348" t="s">
        <v>8795</v>
      </c>
      <c r="AE348" t="s">
        <v>8796</v>
      </c>
      <c r="AF348" t="s">
        <v>8798</v>
      </c>
    </row>
    <row r="349" spans="1:32" hidden="1" x14ac:dyDescent="0.35">
      <c r="A349">
        <v>4238</v>
      </c>
      <c r="B349" t="s">
        <v>8789</v>
      </c>
      <c r="C349" t="s">
        <v>72</v>
      </c>
      <c r="D349" t="s">
        <v>45</v>
      </c>
      <c r="E349">
        <v>1497</v>
      </c>
      <c r="F349">
        <v>5</v>
      </c>
      <c r="G349">
        <v>5</v>
      </c>
      <c r="H349">
        <v>1</v>
      </c>
      <c r="I349">
        <v>1</v>
      </c>
      <c r="J349">
        <v>0.76594202898550701</v>
      </c>
      <c r="K349">
        <v>0.95193798449612199</v>
      </c>
      <c r="L349">
        <v>0.84887105687388098</v>
      </c>
      <c r="M349">
        <v>0.56589147286821695</v>
      </c>
      <c r="N349">
        <v>0.99741602067183499</v>
      </c>
      <c r="O349">
        <v>0.68165374677002599</v>
      </c>
      <c r="P349" t="s">
        <v>3647</v>
      </c>
      <c r="Q349" t="s">
        <v>3648</v>
      </c>
      <c r="R349" t="s">
        <v>235</v>
      </c>
      <c r="S349" t="s">
        <v>236</v>
      </c>
      <c r="T349" t="s">
        <v>8790</v>
      </c>
      <c r="U349" t="s">
        <v>8791</v>
      </c>
      <c r="V349" t="s">
        <v>8462</v>
      </c>
      <c r="W349" t="s">
        <v>8463</v>
      </c>
      <c r="X349" t="s">
        <v>8462</v>
      </c>
      <c r="Y349" t="s">
        <v>1108</v>
      </c>
      <c r="Z349" t="s">
        <v>8792</v>
      </c>
      <c r="AA349" t="s">
        <v>8793</v>
      </c>
      <c r="AB349" t="s">
        <v>8792</v>
      </c>
      <c r="AC349" t="s">
        <v>8794</v>
      </c>
      <c r="AD349" t="s">
        <v>8795</v>
      </c>
      <c r="AE349" t="s">
        <v>8796</v>
      </c>
      <c r="AF349" t="s">
        <v>8798</v>
      </c>
    </row>
    <row r="350" spans="1:32" hidden="1" x14ac:dyDescent="0.35">
      <c r="A350">
        <v>98</v>
      </c>
      <c r="B350" t="s">
        <v>154</v>
      </c>
      <c r="C350" t="s">
        <v>72</v>
      </c>
      <c r="D350" t="s">
        <v>58</v>
      </c>
      <c r="E350">
        <v>988</v>
      </c>
      <c r="F350">
        <v>5</v>
      </c>
      <c r="G350">
        <v>9</v>
      </c>
      <c r="H350">
        <v>2</v>
      </c>
      <c r="I350">
        <v>0</v>
      </c>
      <c r="J350">
        <v>0.73633910501461697</v>
      </c>
      <c r="K350">
        <v>0.71292585780316997</v>
      </c>
      <c r="L350">
        <v>0.72444335790178904</v>
      </c>
      <c r="M350">
        <v>0.25296442687747001</v>
      </c>
      <c r="N350">
        <v>1</v>
      </c>
      <c r="O350">
        <v>0.70405138339921003</v>
      </c>
      <c r="P350" t="s">
        <v>155</v>
      </c>
      <c r="Q350" t="s">
        <v>156</v>
      </c>
      <c r="R350" t="s">
        <v>157</v>
      </c>
      <c r="S350" t="s">
        <v>158</v>
      </c>
      <c r="T350" t="s">
        <v>159</v>
      </c>
      <c r="U350" t="s">
        <v>160</v>
      </c>
      <c r="V350" t="s">
        <v>161</v>
      </c>
      <c r="W350" t="s">
        <v>162</v>
      </c>
      <c r="Z350" t="s">
        <v>163</v>
      </c>
      <c r="AA350" t="s">
        <v>164</v>
      </c>
      <c r="AB350" t="s">
        <v>163</v>
      </c>
      <c r="AC350" t="s">
        <v>165</v>
      </c>
      <c r="AD350" t="s">
        <v>166</v>
      </c>
      <c r="AE350" t="s">
        <v>167</v>
      </c>
      <c r="AF350" t="s">
        <v>168</v>
      </c>
    </row>
    <row r="351" spans="1:32" hidden="1" x14ac:dyDescent="0.35">
      <c r="A351">
        <v>4245</v>
      </c>
      <c r="B351" t="s">
        <v>8810</v>
      </c>
      <c r="C351" t="s">
        <v>72</v>
      </c>
      <c r="D351" t="s">
        <v>60</v>
      </c>
      <c r="E351">
        <v>1164</v>
      </c>
      <c r="F351">
        <v>5</v>
      </c>
      <c r="G351">
        <v>5</v>
      </c>
      <c r="H351">
        <v>1</v>
      </c>
      <c r="I351">
        <v>1</v>
      </c>
      <c r="J351">
        <v>0.827133479212254</v>
      </c>
      <c r="K351">
        <v>0.96431860372001599</v>
      </c>
      <c r="L351">
        <v>0.890473386771792</v>
      </c>
      <c r="M351">
        <v>0.67771084337349397</v>
      </c>
      <c r="N351">
        <v>0.99096385542168697</v>
      </c>
      <c r="O351">
        <v>0.75813253012048198</v>
      </c>
      <c r="P351" t="s">
        <v>8811</v>
      </c>
      <c r="Q351" t="s">
        <v>8812</v>
      </c>
      <c r="R351" t="s">
        <v>235</v>
      </c>
      <c r="S351" t="s">
        <v>236</v>
      </c>
      <c r="T351" t="s">
        <v>8813</v>
      </c>
      <c r="U351" t="s">
        <v>8814</v>
      </c>
      <c r="V351" t="s">
        <v>8815</v>
      </c>
      <c r="W351" t="s">
        <v>8816</v>
      </c>
      <c r="X351" t="s">
        <v>8815</v>
      </c>
      <c r="Y351" t="s">
        <v>2932</v>
      </c>
      <c r="Z351" t="s">
        <v>8817</v>
      </c>
      <c r="AA351" t="s">
        <v>8818</v>
      </c>
      <c r="AB351" t="s">
        <v>8817</v>
      </c>
      <c r="AC351" t="s">
        <v>8819</v>
      </c>
      <c r="AD351" t="s">
        <v>219</v>
      </c>
      <c r="AE351" t="s">
        <v>8820</v>
      </c>
      <c r="AF351" t="s">
        <v>8822</v>
      </c>
    </row>
    <row r="352" spans="1:32" hidden="1" x14ac:dyDescent="0.35">
      <c r="A352">
        <v>4246</v>
      </c>
      <c r="B352" t="s">
        <v>8810</v>
      </c>
      <c r="C352" t="s">
        <v>72</v>
      </c>
      <c r="D352" t="s">
        <v>62</v>
      </c>
      <c r="E352">
        <v>1201</v>
      </c>
      <c r="F352">
        <v>5</v>
      </c>
      <c r="G352">
        <v>5</v>
      </c>
      <c r="H352">
        <v>1</v>
      </c>
      <c r="I352">
        <v>1</v>
      </c>
      <c r="J352">
        <v>0.827133479212254</v>
      </c>
      <c r="K352">
        <v>0.96431860372001599</v>
      </c>
      <c r="L352">
        <v>0.890473386771792</v>
      </c>
      <c r="M352">
        <v>0.67771084337349397</v>
      </c>
      <c r="N352">
        <v>0.99096385542168697</v>
      </c>
      <c r="O352">
        <v>0.75813253012048198</v>
      </c>
      <c r="P352" t="s">
        <v>8811</v>
      </c>
      <c r="Q352" t="s">
        <v>8812</v>
      </c>
      <c r="R352" t="s">
        <v>235</v>
      </c>
      <c r="S352" t="s">
        <v>236</v>
      </c>
      <c r="T352" t="s">
        <v>8813</v>
      </c>
      <c r="U352" t="s">
        <v>8814</v>
      </c>
      <c r="V352" t="s">
        <v>8815</v>
      </c>
      <c r="W352" t="s">
        <v>8816</v>
      </c>
      <c r="X352" t="s">
        <v>8815</v>
      </c>
      <c r="Y352" t="s">
        <v>2932</v>
      </c>
      <c r="Z352" t="s">
        <v>8817</v>
      </c>
      <c r="AA352" t="s">
        <v>8818</v>
      </c>
      <c r="AB352" t="s">
        <v>8817</v>
      </c>
      <c r="AC352" t="s">
        <v>8819</v>
      </c>
      <c r="AD352" t="s">
        <v>219</v>
      </c>
      <c r="AE352" t="s">
        <v>8820</v>
      </c>
      <c r="AF352" t="s">
        <v>8823</v>
      </c>
    </row>
    <row r="353" spans="1:32" hidden="1" x14ac:dyDescent="0.35">
      <c r="A353">
        <v>4247</v>
      </c>
      <c r="B353" t="s">
        <v>8810</v>
      </c>
      <c r="C353" t="s">
        <v>72</v>
      </c>
      <c r="D353" t="s">
        <v>34</v>
      </c>
      <c r="E353">
        <v>2511</v>
      </c>
      <c r="F353">
        <v>5</v>
      </c>
      <c r="G353">
        <v>5</v>
      </c>
      <c r="H353">
        <v>1</v>
      </c>
      <c r="I353">
        <v>1</v>
      </c>
      <c r="J353">
        <v>0.827133479212254</v>
      </c>
      <c r="K353">
        <v>0.96431860372001599</v>
      </c>
      <c r="L353">
        <v>0.890473386771792</v>
      </c>
      <c r="M353">
        <v>0.67771084337349397</v>
      </c>
      <c r="N353">
        <v>0.99096385542168697</v>
      </c>
      <c r="O353">
        <v>0.75813253012048198</v>
      </c>
      <c r="P353" t="s">
        <v>8811</v>
      </c>
      <c r="Q353" t="s">
        <v>8812</v>
      </c>
      <c r="R353" t="s">
        <v>235</v>
      </c>
      <c r="S353" t="s">
        <v>236</v>
      </c>
      <c r="T353" t="s">
        <v>8813</v>
      </c>
      <c r="U353" t="s">
        <v>8814</v>
      </c>
      <c r="V353" t="s">
        <v>8815</v>
      </c>
      <c r="W353" t="s">
        <v>8816</v>
      </c>
      <c r="X353" t="s">
        <v>8815</v>
      </c>
      <c r="Y353" t="s">
        <v>2932</v>
      </c>
      <c r="Z353" t="s">
        <v>8817</v>
      </c>
      <c r="AA353" t="s">
        <v>8818</v>
      </c>
      <c r="AB353" t="s">
        <v>8817</v>
      </c>
      <c r="AC353" t="s">
        <v>8819</v>
      </c>
      <c r="AD353" t="s">
        <v>219</v>
      </c>
      <c r="AE353" t="s">
        <v>8820</v>
      </c>
      <c r="AF353" t="s">
        <v>8824</v>
      </c>
    </row>
    <row r="354" spans="1:32" hidden="1" x14ac:dyDescent="0.35">
      <c r="A354">
        <v>4248</v>
      </c>
      <c r="B354" t="s">
        <v>8810</v>
      </c>
      <c r="C354" t="s">
        <v>72</v>
      </c>
      <c r="D354" t="s">
        <v>45</v>
      </c>
      <c r="E354">
        <v>1237</v>
      </c>
      <c r="F354">
        <v>5</v>
      </c>
      <c r="G354">
        <v>5</v>
      </c>
      <c r="H354">
        <v>1</v>
      </c>
      <c r="I354">
        <v>1</v>
      </c>
      <c r="J354">
        <v>0.827133479212254</v>
      </c>
      <c r="K354">
        <v>0.96431860372001599</v>
      </c>
      <c r="L354">
        <v>0.890473386771792</v>
      </c>
      <c r="M354">
        <v>0.67771084337349397</v>
      </c>
      <c r="N354">
        <v>0.99096385542168697</v>
      </c>
      <c r="O354">
        <v>0.75813253012048198</v>
      </c>
      <c r="P354" t="s">
        <v>8811</v>
      </c>
      <c r="Q354" t="s">
        <v>8812</v>
      </c>
      <c r="R354" t="s">
        <v>235</v>
      </c>
      <c r="S354" t="s">
        <v>236</v>
      </c>
      <c r="T354" t="s">
        <v>8813</v>
      </c>
      <c r="U354" t="s">
        <v>8814</v>
      </c>
      <c r="V354" t="s">
        <v>8815</v>
      </c>
      <c r="W354" t="s">
        <v>8816</v>
      </c>
      <c r="X354" t="s">
        <v>8815</v>
      </c>
      <c r="Y354" t="s">
        <v>2932</v>
      </c>
      <c r="Z354" t="s">
        <v>8817</v>
      </c>
      <c r="AA354" t="s">
        <v>8818</v>
      </c>
      <c r="AB354" t="s">
        <v>8817</v>
      </c>
      <c r="AC354" t="s">
        <v>8819</v>
      </c>
      <c r="AD354" t="s">
        <v>219</v>
      </c>
      <c r="AE354" t="s">
        <v>8820</v>
      </c>
      <c r="AF354" t="s">
        <v>8825</v>
      </c>
    </row>
    <row r="355" spans="1:32" hidden="1" x14ac:dyDescent="0.35">
      <c r="A355">
        <v>3459</v>
      </c>
      <c r="B355" t="s">
        <v>7117</v>
      </c>
      <c r="C355" t="s">
        <v>72</v>
      </c>
      <c r="D355" t="s">
        <v>58</v>
      </c>
      <c r="E355">
        <v>264</v>
      </c>
      <c r="F355">
        <v>5</v>
      </c>
      <c r="G355">
        <v>5</v>
      </c>
      <c r="H355">
        <v>1</v>
      </c>
      <c r="I355">
        <v>1</v>
      </c>
      <c r="J355">
        <v>0.80554444888711196</v>
      </c>
      <c r="K355">
        <v>0.72137923871838705</v>
      </c>
      <c r="L355">
        <v>0.761142218185488</v>
      </c>
      <c r="M355">
        <v>0.39440203562340997</v>
      </c>
      <c r="N355">
        <v>1</v>
      </c>
      <c r="O355">
        <v>0.59414758269720103</v>
      </c>
      <c r="P355" t="s">
        <v>169</v>
      </c>
      <c r="Q355" t="s">
        <v>170</v>
      </c>
      <c r="R355" t="s">
        <v>157</v>
      </c>
      <c r="S355" t="s">
        <v>158</v>
      </c>
      <c r="T355" t="s">
        <v>159</v>
      </c>
      <c r="U355" t="s">
        <v>160</v>
      </c>
      <c r="V355" t="s">
        <v>161</v>
      </c>
      <c r="W355" t="s">
        <v>162</v>
      </c>
      <c r="AD355" t="s">
        <v>166</v>
      </c>
      <c r="AE355" t="s">
        <v>167</v>
      </c>
      <c r="AF355" t="e">
        <f>----------------------MSNDVDLLLALRGVTKTFNPGTPSELTVIPGLDMDVARGEFVSVVGASGCGKSTLMNIIGLLDKPTTGGYWFNGVNMLELHDNELAHYRSENIGFVFQNFSLIGRISAQKNVELPMMYAGMGRKERADRARELLDMVGMGDRLGHQPNQLSGGQKQRVAIARALANNPDLLLADEPTGALDSSTGRLVMDLFHDLNQTHGKTIVFITHNPELADETERVITMIDGRV---------------------------------------------------------------------------------------------------------------------------------------DNATLLGAQ</f>
        <v>#NAME?</v>
      </c>
    </row>
    <row r="356" spans="1:32" hidden="1" x14ac:dyDescent="0.35">
      <c r="A356">
        <v>4355</v>
      </c>
      <c r="B356" t="s">
        <v>9075</v>
      </c>
      <c r="C356" t="s">
        <v>72</v>
      </c>
      <c r="D356" t="s">
        <v>60</v>
      </c>
      <c r="E356">
        <v>1396</v>
      </c>
      <c r="F356">
        <v>5</v>
      </c>
      <c r="G356">
        <v>5</v>
      </c>
      <c r="H356">
        <v>1</v>
      </c>
      <c r="I356">
        <v>1</v>
      </c>
      <c r="J356">
        <v>0.86920586230402197</v>
      </c>
      <c r="K356">
        <v>0.95052795691305003</v>
      </c>
      <c r="L356">
        <v>0.90804980784294798</v>
      </c>
      <c r="M356">
        <v>0.72815533980582503</v>
      </c>
      <c r="N356">
        <v>0.99514563106796095</v>
      </c>
      <c r="O356">
        <v>0.80072815533980601</v>
      </c>
      <c r="P356" t="s">
        <v>9076</v>
      </c>
      <c r="Q356" t="s">
        <v>9077</v>
      </c>
      <c r="R356" t="s">
        <v>235</v>
      </c>
      <c r="S356" t="s">
        <v>236</v>
      </c>
      <c r="T356" t="s">
        <v>9078</v>
      </c>
      <c r="U356" t="s">
        <v>9079</v>
      </c>
      <c r="V356" t="s">
        <v>9080</v>
      </c>
      <c r="W356" t="s">
        <v>9081</v>
      </c>
      <c r="X356" t="s">
        <v>9080</v>
      </c>
      <c r="Y356" t="s">
        <v>241</v>
      </c>
      <c r="Z356" t="s">
        <v>2139</v>
      </c>
      <c r="AA356" t="s">
        <v>2140</v>
      </c>
      <c r="AB356" t="s">
        <v>2139</v>
      </c>
      <c r="AC356" t="s">
        <v>244</v>
      </c>
      <c r="AD356" t="s">
        <v>219</v>
      </c>
      <c r="AE356" t="s">
        <v>9082</v>
      </c>
      <c r="AF356" t="s">
        <v>9084</v>
      </c>
    </row>
    <row r="357" spans="1:32" hidden="1" x14ac:dyDescent="0.35">
      <c r="A357">
        <v>4356</v>
      </c>
      <c r="B357" t="s">
        <v>9075</v>
      </c>
      <c r="C357" t="s">
        <v>72</v>
      </c>
      <c r="D357" t="s">
        <v>62</v>
      </c>
      <c r="E357">
        <v>1431</v>
      </c>
      <c r="F357">
        <v>5</v>
      </c>
      <c r="G357">
        <v>5</v>
      </c>
      <c r="H357">
        <v>1</v>
      </c>
      <c r="I357">
        <v>1</v>
      </c>
      <c r="J357">
        <v>0.86920586230402197</v>
      </c>
      <c r="K357">
        <v>0.95052795691305003</v>
      </c>
      <c r="L357">
        <v>0.90804980784294798</v>
      </c>
      <c r="M357">
        <v>0.72815533980582503</v>
      </c>
      <c r="N357">
        <v>0.99514563106796095</v>
      </c>
      <c r="O357">
        <v>0.80072815533980601</v>
      </c>
      <c r="P357" t="s">
        <v>9076</v>
      </c>
      <c r="Q357" t="s">
        <v>9077</v>
      </c>
      <c r="R357" t="s">
        <v>235</v>
      </c>
      <c r="S357" t="s">
        <v>236</v>
      </c>
      <c r="T357" t="s">
        <v>9078</v>
      </c>
      <c r="U357" t="s">
        <v>9079</v>
      </c>
      <c r="V357" t="s">
        <v>9080</v>
      </c>
      <c r="W357" t="s">
        <v>9081</v>
      </c>
      <c r="X357" t="s">
        <v>9080</v>
      </c>
      <c r="Y357" t="s">
        <v>241</v>
      </c>
      <c r="Z357" t="s">
        <v>2139</v>
      </c>
      <c r="AA357" t="s">
        <v>2140</v>
      </c>
      <c r="AB357" t="s">
        <v>2139</v>
      </c>
      <c r="AC357" t="s">
        <v>244</v>
      </c>
      <c r="AD357" t="s">
        <v>219</v>
      </c>
      <c r="AE357" t="s">
        <v>9082</v>
      </c>
      <c r="AF357" t="s">
        <v>9085</v>
      </c>
    </row>
    <row r="358" spans="1:32" hidden="1" x14ac:dyDescent="0.35">
      <c r="A358">
        <v>4357</v>
      </c>
      <c r="B358" t="s">
        <v>9075</v>
      </c>
      <c r="C358" t="s">
        <v>72</v>
      </c>
      <c r="D358" t="s">
        <v>34</v>
      </c>
      <c r="E358">
        <v>1818</v>
      </c>
      <c r="F358">
        <v>5</v>
      </c>
      <c r="G358">
        <v>5</v>
      </c>
      <c r="H358">
        <v>1</v>
      </c>
      <c r="I358">
        <v>1</v>
      </c>
      <c r="J358">
        <v>0.86920586230402197</v>
      </c>
      <c r="K358">
        <v>0.95052795691305003</v>
      </c>
      <c r="L358">
        <v>0.90804980784294798</v>
      </c>
      <c r="M358">
        <v>0.72815533980582503</v>
      </c>
      <c r="N358">
        <v>0.99514563106796095</v>
      </c>
      <c r="O358">
        <v>0.80072815533980601</v>
      </c>
      <c r="P358" t="s">
        <v>9076</v>
      </c>
      <c r="Q358" t="s">
        <v>9077</v>
      </c>
      <c r="R358" t="s">
        <v>235</v>
      </c>
      <c r="S358" t="s">
        <v>236</v>
      </c>
      <c r="T358" t="s">
        <v>9078</v>
      </c>
      <c r="U358" t="s">
        <v>9079</v>
      </c>
      <c r="V358" t="s">
        <v>9080</v>
      </c>
      <c r="W358" t="s">
        <v>9081</v>
      </c>
      <c r="X358" t="s">
        <v>9080</v>
      </c>
      <c r="Y358" t="s">
        <v>241</v>
      </c>
      <c r="Z358" t="s">
        <v>2139</v>
      </c>
      <c r="AA358" t="s">
        <v>2140</v>
      </c>
      <c r="AB358" t="s">
        <v>2139</v>
      </c>
      <c r="AC358" t="s">
        <v>244</v>
      </c>
      <c r="AD358" t="s">
        <v>219</v>
      </c>
      <c r="AE358" t="s">
        <v>9082</v>
      </c>
      <c r="AF358" t="s">
        <v>9086</v>
      </c>
    </row>
    <row r="359" spans="1:32" hidden="1" x14ac:dyDescent="0.35">
      <c r="A359">
        <v>4358</v>
      </c>
      <c r="B359" t="s">
        <v>9075</v>
      </c>
      <c r="C359" t="s">
        <v>72</v>
      </c>
      <c r="D359" t="s">
        <v>45</v>
      </c>
      <c r="E359">
        <v>1055</v>
      </c>
      <c r="F359">
        <v>5</v>
      </c>
      <c r="G359">
        <v>5</v>
      </c>
      <c r="H359">
        <v>1</v>
      </c>
      <c r="I359">
        <v>1</v>
      </c>
      <c r="J359">
        <v>0.86920586230402197</v>
      </c>
      <c r="K359">
        <v>0.95052795691305003</v>
      </c>
      <c r="L359">
        <v>0.90804980784294798</v>
      </c>
      <c r="M359">
        <v>0.72815533980582503</v>
      </c>
      <c r="N359">
        <v>0.99514563106796095</v>
      </c>
      <c r="O359">
        <v>0.80072815533980601</v>
      </c>
      <c r="P359" t="s">
        <v>9076</v>
      </c>
      <c r="Q359" t="s">
        <v>9077</v>
      </c>
      <c r="R359" t="s">
        <v>235</v>
      </c>
      <c r="S359" t="s">
        <v>236</v>
      </c>
      <c r="T359" t="s">
        <v>9078</v>
      </c>
      <c r="U359" t="s">
        <v>9079</v>
      </c>
      <c r="V359" t="s">
        <v>9080</v>
      </c>
      <c r="W359" t="s">
        <v>9081</v>
      </c>
      <c r="X359" t="s">
        <v>9080</v>
      </c>
      <c r="Y359" t="s">
        <v>241</v>
      </c>
      <c r="Z359" t="s">
        <v>2139</v>
      </c>
      <c r="AA359" t="s">
        <v>2140</v>
      </c>
      <c r="AB359" t="s">
        <v>2139</v>
      </c>
      <c r="AC359" t="s">
        <v>244</v>
      </c>
      <c r="AD359" t="s">
        <v>219</v>
      </c>
      <c r="AE359" t="s">
        <v>9082</v>
      </c>
      <c r="AF359" t="s">
        <v>9087</v>
      </c>
    </row>
    <row r="360" spans="1:32" hidden="1" x14ac:dyDescent="0.35">
      <c r="A360">
        <v>391</v>
      </c>
      <c r="B360" t="s">
        <v>692</v>
      </c>
      <c r="C360" t="s">
        <v>72</v>
      </c>
      <c r="D360" t="s">
        <v>58</v>
      </c>
      <c r="E360">
        <v>1551</v>
      </c>
      <c r="F360">
        <v>5</v>
      </c>
      <c r="G360">
        <v>6</v>
      </c>
      <c r="H360">
        <v>2</v>
      </c>
      <c r="I360">
        <v>0</v>
      </c>
      <c r="J360">
        <v>0.71620370370370401</v>
      </c>
      <c r="K360">
        <v>0.95470213343307497</v>
      </c>
      <c r="L360">
        <v>0.81843176162490605</v>
      </c>
      <c r="M360">
        <v>0.48675496688741698</v>
      </c>
      <c r="N360">
        <v>0.99668874172185395</v>
      </c>
      <c r="O360">
        <v>0.63818984547461399</v>
      </c>
      <c r="P360" t="s">
        <v>693</v>
      </c>
      <c r="Q360" t="s">
        <v>694</v>
      </c>
      <c r="R360" t="s">
        <v>342</v>
      </c>
      <c r="S360" t="s">
        <v>343</v>
      </c>
      <c r="T360" t="s">
        <v>695</v>
      </c>
      <c r="U360" t="s">
        <v>696</v>
      </c>
      <c r="V360" t="s">
        <v>697</v>
      </c>
      <c r="W360" t="s">
        <v>698</v>
      </c>
      <c r="AD360" t="s">
        <v>439</v>
      </c>
      <c r="AE360" t="s">
        <v>699</v>
      </c>
      <c r="AF360" t="e">
        <f>----MSHRNIRRIGALA-LAGALSLSLAACS------NANDGDTIKIGTTDGSKKAWEVFESKAKDEGINLEVVDFSDYTTPNKALSEGNIDVNLFQHLKFLAQYNVGENDTLVPVGSTEIVPLALFWKDHDSLDGIEGQSVVIPSDATNQGRAINVLVQAGLVTLKEN--GLVTPNPSDIDPAKSKVTVTPVDAAQTPVAYGEGRPAIINNSFLDRAGIDPKSSVFQDDPSSEEAEPYINAFVTREEDQDNENIAKLVEIWQSPEVTEAVAEDSRGTSVPVKRSKEDLKKILERIENSERN</f>
        <v>#NAME?</v>
      </c>
    </row>
    <row r="361" spans="1:32" hidden="1" x14ac:dyDescent="0.35">
      <c r="A361">
        <v>4390</v>
      </c>
      <c r="B361" t="s">
        <v>9140</v>
      </c>
      <c r="C361" t="s">
        <v>72</v>
      </c>
      <c r="D361" t="s">
        <v>60</v>
      </c>
      <c r="E361">
        <v>1690</v>
      </c>
      <c r="F361">
        <v>5</v>
      </c>
      <c r="G361">
        <v>5</v>
      </c>
      <c r="H361">
        <v>1</v>
      </c>
      <c r="I361">
        <v>1</v>
      </c>
      <c r="J361">
        <v>0.83022875816993502</v>
      </c>
      <c r="K361">
        <v>0.96750169262017405</v>
      </c>
      <c r="L361">
        <v>0.89362421205951803</v>
      </c>
      <c r="M361">
        <v>0.65876777251184804</v>
      </c>
      <c r="N361">
        <v>0.99526066350710896</v>
      </c>
      <c r="O361">
        <v>0.76729857819905201</v>
      </c>
      <c r="P361" t="s">
        <v>9141</v>
      </c>
      <c r="Q361" t="s">
        <v>9142</v>
      </c>
      <c r="R361" t="s">
        <v>235</v>
      </c>
      <c r="S361" t="s">
        <v>236</v>
      </c>
      <c r="V361" t="s">
        <v>9143</v>
      </c>
      <c r="W361" t="s">
        <v>9144</v>
      </c>
      <c r="X361" t="s">
        <v>9143</v>
      </c>
      <c r="Y361" t="s">
        <v>857</v>
      </c>
      <c r="AF361" t="e">
        <f>------MPEIERNARVGRVERTTRESSITVGINLDGTGRTDINTGLPFFDHMLTAFGAHGSFDLSVHANGDINIDAHHTVEDTGIVLGQALDQALGDKSGIRRFGSCQLPMDETLCEAIVDVSGRPYFVITGEPEQMLTTVIGGHYATVINEHFFETLALNARIALHLRCHYGRDPHHITEAEYKAVARALREATESDPRVQGVPSTKGSL</f>
        <v>#NAME?</v>
      </c>
    </row>
    <row r="362" spans="1:32" hidden="1" x14ac:dyDescent="0.35">
      <c r="A362">
        <v>4391</v>
      </c>
      <c r="B362" t="s">
        <v>9140</v>
      </c>
      <c r="C362" t="s">
        <v>72</v>
      </c>
      <c r="D362" t="s">
        <v>62</v>
      </c>
      <c r="E362">
        <v>1725</v>
      </c>
      <c r="F362">
        <v>5</v>
      </c>
      <c r="G362">
        <v>5</v>
      </c>
      <c r="H362">
        <v>1</v>
      </c>
      <c r="I362">
        <v>1</v>
      </c>
      <c r="J362">
        <v>0.83022875816993502</v>
      </c>
      <c r="K362">
        <v>0.96750169262017405</v>
      </c>
      <c r="L362">
        <v>0.89362421205951803</v>
      </c>
      <c r="M362">
        <v>0.65876777251184804</v>
      </c>
      <c r="N362">
        <v>0.99526066350710896</v>
      </c>
      <c r="O362">
        <v>0.76729857819905201</v>
      </c>
      <c r="P362" t="s">
        <v>9141</v>
      </c>
      <c r="Q362" t="s">
        <v>9142</v>
      </c>
      <c r="R362" t="s">
        <v>235</v>
      </c>
      <c r="S362" t="s">
        <v>236</v>
      </c>
      <c r="V362" t="s">
        <v>9143</v>
      </c>
      <c r="W362" t="s">
        <v>9144</v>
      </c>
      <c r="X362" t="s">
        <v>9143</v>
      </c>
      <c r="Y362" t="s">
        <v>857</v>
      </c>
      <c r="AF362" t="e">
        <f>------MPEIERNARVGRVERTTRESSITVGINLDGTGRTDINTGLPFFDHMLTAFGAHGSFDLSVHATGDINIDAHHTVEDTGIVLGQALDQALGDKSGIRRFGSCQLPMDETLCEAIVDVSGRPYFVITGEPEQMLTTVIGGHYATVINEHFFETLALNARIALHLRCHYGRDPHHITEAEYKAVARALREATESDPRVQGVPSTKGSL</f>
        <v>#NAME?</v>
      </c>
    </row>
    <row r="363" spans="1:32" hidden="1" x14ac:dyDescent="0.35">
      <c r="A363">
        <v>4392</v>
      </c>
      <c r="B363" t="s">
        <v>9140</v>
      </c>
      <c r="C363" t="s">
        <v>72</v>
      </c>
      <c r="D363" t="s">
        <v>34</v>
      </c>
      <c r="E363">
        <v>2074</v>
      </c>
      <c r="F363">
        <v>5</v>
      </c>
      <c r="G363">
        <v>5</v>
      </c>
      <c r="H363">
        <v>1</v>
      </c>
      <c r="I363">
        <v>1</v>
      </c>
      <c r="J363">
        <v>0.83022875816993502</v>
      </c>
      <c r="K363">
        <v>0.96750169262017405</v>
      </c>
      <c r="L363">
        <v>0.89362421205951803</v>
      </c>
      <c r="M363">
        <v>0.65876777251184804</v>
      </c>
      <c r="N363">
        <v>0.99526066350710896</v>
      </c>
      <c r="O363">
        <v>0.76729857819905201</v>
      </c>
      <c r="P363" t="s">
        <v>9141</v>
      </c>
      <c r="Q363" t="s">
        <v>9142</v>
      </c>
      <c r="R363" t="s">
        <v>235</v>
      </c>
      <c r="S363" t="s">
        <v>236</v>
      </c>
      <c r="T363" t="s">
        <v>9145</v>
      </c>
      <c r="U363" t="s">
        <v>9146</v>
      </c>
      <c r="V363" t="s">
        <v>9143</v>
      </c>
      <c r="W363" t="s">
        <v>9144</v>
      </c>
      <c r="X363" t="s">
        <v>9143</v>
      </c>
      <c r="Y363" t="s">
        <v>857</v>
      </c>
      <c r="Z363" t="s">
        <v>858</v>
      </c>
      <c r="AA363" t="s">
        <v>859</v>
      </c>
      <c r="AB363" t="s">
        <v>858</v>
      </c>
      <c r="AC363" t="s">
        <v>860</v>
      </c>
      <c r="AD363" t="s">
        <v>219</v>
      </c>
      <c r="AE363" t="s">
        <v>9147</v>
      </c>
      <c r="AF363" t="s">
        <v>9148</v>
      </c>
    </row>
    <row r="364" spans="1:32" hidden="1" x14ac:dyDescent="0.35">
      <c r="A364">
        <v>4393</v>
      </c>
      <c r="B364" t="s">
        <v>9140</v>
      </c>
      <c r="C364" t="s">
        <v>72</v>
      </c>
      <c r="D364" t="s">
        <v>45</v>
      </c>
      <c r="E364">
        <v>798</v>
      </c>
      <c r="F364">
        <v>5</v>
      </c>
      <c r="G364">
        <v>5</v>
      </c>
      <c r="H364">
        <v>1</v>
      </c>
      <c r="I364">
        <v>1</v>
      </c>
      <c r="J364">
        <v>0.83022875816993502</v>
      </c>
      <c r="K364">
        <v>0.96750169262017405</v>
      </c>
      <c r="L364">
        <v>0.89362421205951803</v>
      </c>
      <c r="M364">
        <v>0.65876777251184804</v>
      </c>
      <c r="N364">
        <v>0.99526066350710896</v>
      </c>
      <c r="O364">
        <v>0.76729857819905201</v>
      </c>
      <c r="P364" t="s">
        <v>9141</v>
      </c>
      <c r="Q364" t="s">
        <v>9142</v>
      </c>
      <c r="R364" t="s">
        <v>235</v>
      </c>
      <c r="S364" t="s">
        <v>236</v>
      </c>
      <c r="T364" t="s">
        <v>9145</v>
      </c>
      <c r="U364" t="s">
        <v>9146</v>
      </c>
      <c r="V364" t="s">
        <v>9143</v>
      </c>
      <c r="W364" t="s">
        <v>9144</v>
      </c>
      <c r="X364" t="s">
        <v>9143</v>
      </c>
      <c r="Y364" t="s">
        <v>857</v>
      </c>
      <c r="Z364" t="s">
        <v>858</v>
      </c>
      <c r="AA364" t="s">
        <v>859</v>
      </c>
      <c r="AB364" t="s">
        <v>858</v>
      </c>
      <c r="AC364" t="s">
        <v>860</v>
      </c>
      <c r="AD364" t="s">
        <v>219</v>
      </c>
      <c r="AE364" t="s">
        <v>9147</v>
      </c>
      <c r="AF364" t="s">
        <v>9149</v>
      </c>
    </row>
    <row r="365" spans="1:32" hidden="1" x14ac:dyDescent="0.35">
      <c r="A365">
        <v>392</v>
      </c>
      <c r="B365" t="s">
        <v>692</v>
      </c>
      <c r="C365" t="s">
        <v>72</v>
      </c>
      <c r="D365" t="s">
        <v>58</v>
      </c>
      <c r="E365">
        <v>1552</v>
      </c>
      <c r="F365">
        <v>5</v>
      </c>
      <c r="G365">
        <v>6</v>
      </c>
      <c r="H365">
        <v>2</v>
      </c>
      <c r="I365">
        <v>0</v>
      </c>
      <c r="J365">
        <v>0.71620370370370401</v>
      </c>
      <c r="K365">
        <v>0.95470213343307497</v>
      </c>
      <c r="L365">
        <v>0.81843176162490605</v>
      </c>
      <c r="M365">
        <v>0.48675496688741698</v>
      </c>
      <c r="N365">
        <v>0.99668874172185395</v>
      </c>
      <c r="O365">
        <v>0.63818984547461399</v>
      </c>
      <c r="P365" t="s">
        <v>693</v>
      </c>
      <c r="Q365" t="s">
        <v>694</v>
      </c>
      <c r="R365" t="s">
        <v>342</v>
      </c>
      <c r="S365" t="s">
        <v>343</v>
      </c>
      <c r="T365" t="s">
        <v>695</v>
      </c>
      <c r="U365" t="s">
        <v>696</v>
      </c>
      <c r="V365" t="s">
        <v>697</v>
      </c>
      <c r="W365" t="s">
        <v>698</v>
      </c>
      <c r="AD365" t="s">
        <v>439</v>
      </c>
      <c r="AE365" t="s">
        <v>699</v>
      </c>
      <c r="AF365" t="s">
        <v>700</v>
      </c>
    </row>
    <row r="366" spans="1:32" hidden="1" x14ac:dyDescent="0.35">
      <c r="A366">
        <v>4400</v>
      </c>
      <c r="B366" t="s">
        <v>9162</v>
      </c>
      <c r="C366" t="s">
        <v>72</v>
      </c>
      <c r="D366" t="s">
        <v>60</v>
      </c>
      <c r="E366">
        <v>129</v>
      </c>
      <c r="F366">
        <v>5</v>
      </c>
      <c r="G366">
        <v>5</v>
      </c>
      <c r="H366">
        <v>1</v>
      </c>
      <c r="I366">
        <v>1</v>
      </c>
      <c r="J366">
        <v>0.80293685756240796</v>
      </c>
      <c r="K366">
        <v>0.92775071081625404</v>
      </c>
      <c r="L366">
        <v>0.86084311686823101</v>
      </c>
      <c r="M366">
        <v>0.61956521739130399</v>
      </c>
      <c r="N366">
        <v>0.99456521739130399</v>
      </c>
      <c r="O366">
        <v>0.71385869565217397</v>
      </c>
      <c r="P366" t="s">
        <v>9163</v>
      </c>
      <c r="Q366" t="s">
        <v>9164</v>
      </c>
      <c r="R366" t="s">
        <v>235</v>
      </c>
      <c r="S366" t="s">
        <v>236</v>
      </c>
      <c r="T366" t="s">
        <v>9165</v>
      </c>
      <c r="U366" t="s">
        <v>9166</v>
      </c>
      <c r="V366" t="s">
        <v>9167</v>
      </c>
      <c r="W366" t="s">
        <v>9168</v>
      </c>
      <c r="X366" t="s">
        <v>9167</v>
      </c>
      <c r="Y366" t="s">
        <v>241</v>
      </c>
      <c r="Z366" t="s">
        <v>9169</v>
      </c>
      <c r="AA366" t="s">
        <v>9170</v>
      </c>
      <c r="AB366" t="s">
        <v>9169</v>
      </c>
      <c r="AC366" t="s">
        <v>244</v>
      </c>
      <c r="AD366" t="s">
        <v>245</v>
      </c>
      <c r="AE366" t="s">
        <v>9171</v>
      </c>
      <c r="AF366" t="s">
        <v>9173</v>
      </c>
    </row>
    <row r="367" spans="1:32" hidden="1" x14ac:dyDescent="0.35">
      <c r="A367">
        <v>4401</v>
      </c>
      <c r="B367" t="s">
        <v>9162</v>
      </c>
      <c r="C367" t="s">
        <v>72</v>
      </c>
      <c r="D367" t="s">
        <v>62</v>
      </c>
      <c r="E367">
        <v>201</v>
      </c>
      <c r="F367">
        <v>5</v>
      </c>
      <c r="G367">
        <v>5</v>
      </c>
      <c r="H367">
        <v>1</v>
      </c>
      <c r="I367">
        <v>1</v>
      </c>
      <c r="J367">
        <v>0.80293685756240796</v>
      </c>
      <c r="K367">
        <v>0.92775071081625404</v>
      </c>
      <c r="L367">
        <v>0.86084311686823101</v>
      </c>
      <c r="M367">
        <v>0.61956521739130399</v>
      </c>
      <c r="N367">
        <v>0.99456521739130399</v>
      </c>
      <c r="O367">
        <v>0.71385869565217397</v>
      </c>
      <c r="P367" t="s">
        <v>9163</v>
      </c>
      <c r="Q367" t="s">
        <v>9164</v>
      </c>
      <c r="R367" t="s">
        <v>235</v>
      </c>
      <c r="S367" t="s">
        <v>236</v>
      </c>
      <c r="T367" t="s">
        <v>9165</v>
      </c>
      <c r="U367" t="s">
        <v>9166</v>
      </c>
      <c r="V367" t="s">
        <v>9167</v>
      </c>
      <c r="W367" t="s">
        <v>9168</v>
      </c>
      <c r="X367" t="s">
        <v>9167</v>
      </c>
      <c r="Y367" t="s">
        <v>241</v>
      </c>
      <c r="Z367" t="s">
        <v>9169</v>
      </c>
      <c r="AA367" t="s">
        <v>9170</v>
      </c>
      <c r="AB367" t="s">
        <v>9169</v>
      </c>
      <c r="AC367" t="s">
        <v>244</v>
      </c>
      <c r="AD367" t="s">
        <v>245</v>
      </c>
      <c r="AE367" t="s">
        <v>9171</v>
      </c>
      <c r="AF367" t="s">
        <v>9174</v>
      </c>
    </row>
    <row r="368" spans="1:32" hidden="1" x14ac:dyDescent="0.35">
      <c r="A368">
        <v>4402</v>
      </c>
      <c r="B368" t="s">
        <v>9162</v>
      </c>
      <c r="C368" t="s">
        <v>72</v>
      </c>
      <c r="D368" t="s">
        <v>34</v>
      </c>
      <c r="E368">
        <v>940</v>
      </c>
      <c r="F368">
        <v>5</v>
      </c>
      <c r="G368">
        <v>5</v>
      </c>
      <c r="H368">
        <v>1</v>
      </c>
      <c r="I368">
        <v>1</v>
      </c>
      <c r="J368">
        <v>0.80293685756240796</v>
      </c>
      <c r="K368">
        <v>0.92775071081625404</v>
      </c>
      <c r="L368">
        <v>0.86084311686823101</v>
      </c>
      <c r="M368">
        <v>0.61956521739130399</v>
      </c>
      <c r="N368">
        <v>0.99456521739130399</v>
      </c>
      <c r="O368">
        <v>0.71385869565217397</v>
      </c>
      <c r="P368" t="s">
        <v>9163</v>
      </c>
      <c r="Q368" t="s">
        <v>9164</v>
      </c>
      <c r="R368" t="s">
        <v>235</v>
      </c>
      <c r="S368" t="s">
        <v>236</v>
      </c>
      <c r="T368" t="s">
        <v>9165</v>
      </c>
      <c r="U368" t="s">
        <v>9166</v>
      </c>
      <c r="V368" t="s">
        <v>9167</v>
      </c>
      <c r="W368" t="s">
        <v>9168</v>
      </c>
      <c r="X368" t="s">
        <v>9167</v>
      </c>
      <c r="Y368" t="s">
        <v>241</v>
      </c>
      <c r="Z368" t="s">
        <v>9169</v>
      </c>
      <c r="AA368" t="s">
        <v>9170</v>
      </c>
      <c r="AB368" t="s">
        <v>9169</v>
      </c>
      <c r="AC368" t="s">
        <v>244</v>
      </c>
      <c r="AD368" t="s">
        <v>245</v>
      </c>
      <c r="AE368" t="s">
        <v>9171</v>
      </c>
      <c r="AF368" t="e">
        <f>------MSINEIS-RPICILGLGLIGGSLLRALAQASQVDSGRDNQHDQGDLVVYGYNRSPSAASTARNDGYDVSNDLIETLQRAEIDKALIVLATPMPAITSLLDVISEHAPSCGFTDVVSVKGEVYKLVQEYGMADRYVGGHPMAGTAHSGWSASRADLFRRAVWVVTFDHAIDADP--SRDWLRLWVDVVHMASKVGAEVIPARVRQHDAAVARVSHLPHLLAETLAIVGDNGGALSLSLAAGSFRDGTRVAGTAPNLVRAMCETNHVALLDALDEALSLLNDARDHLLMEDPSLADLVDNGYRSRIRFEA----RSGLNKEQSV---SPTHISNRPVFRLHPGGPQWVNQLIQAENTGARIEVV</f>
        <v>#NAME?</v>
      </c>
    </row>
    <row r="369" spans="1:32" hidden="1" x14ac:dyDescent="0.35">
      <c r="A369">
        <v>4403</v>
      </c>
      <c r="B369" t="s">
        <v>9162</v>
      </c>
      <c r="C369" t="s">
        <v>72</v>
      </c>
      <c r="D369" t="s">
        <v>45</v>
      </c>
      <c r="E369">
        <v>2197</v>
      </c>
      <c r="F369">
        <v>5</v>
      </c>
      <c r="G369">
        <v>5</v>
      </c>
      <c r="H369">
        <v>1</v>
      </c>
      <c r="I369">
        <v>1</v>
      </c>
      <c r="J369">
        <v>0.80293685756240796</v>
      </c>
      <c r="K369">
        <v>0.92775071081625404</v>
      </c>
      <c r="L369">
        <v>0.86084311686823101</v>
      </c>
      <c r="M369">
        <v>0.61956521739130399</v>
      </c>
      <c r="N369">
        <v>0.99456521739130399</v>
      </c>
      <c r="O369">
        <v>0.71385869565217397</v>
      </c>
      <c r="P369" t="s">
        <v>9163</v>
      </c>
      <c r="Q369" t="s">
        <v>9164</v>
      </c>
      <c r="R369" t="s">
        <v>235</v>
      </c>
      <c r="S369" t="s">
        <v>236</v>
      </c>
      <c r="T369" t="s">
        <v>9165</v>
      </c>
      <c r="U369" t="s">
        <v>9166</v>
      </c>
      <c r="V369" t="s">
        <v>9167</v>
      </c>
      <c r="W369" t="s">
        <v>9168</v>
      </c>
      <c r="X369" t="s">
        <v>9167</v>
      </c>
      <c r="Y369" t="s">
        <v>241</v>
      </c>
      <c r="Z369" t="s">
        <v>9169</v>
      </c>
      <c r="AA369" t="s">
        <v>9170</v>
      </c>
      <c r="AB369" t="s">
        <v>9169</v>
      </c>
      <c r="AC369" t="s">
        <v>244</v>
      </c>
      <c r="AD369" t="s">
        <v>245</v>
      </c>
      <c r="AE369" t="s">
        <v>9171</v>
      </c>
      <c r="AF369" t="e">
        <f>------MSINEIS-RPICILGLGLIGGSLLRALAQASQMDSGRDNQHDQGDLVVYGYNRSPSAASTARNDGYDVSNDLIETLQRAEIDKALIVLATPMPAIAGLLDVISEHAPSCGFTDVVSVKGEVYKLVQEYGMADRYVGGHPMAGTAHSGWSASRADLFRRAVWVVTFDHAIDADP--SRDWLRLWVDVVHMASKVGAEVIPARVRQHDAAVARVSHLPHLLAETLAIVGDNGGALSLSLAAGSFRDGTRVAGTAPNLVRAMCETNHVALLDALDEALSLLNDARDHLLMEDPSLADLVDNGYRSRIRFEA----RSGLNKEQSV---SPTHISNRPVFRLHPGGPQWVNQLIQAENTGARIEVV</f>
        <v>#NAME?</v>
      </c>
    </row>
    <row r="370" spans="1:32" hidden="1" x14ac:dyDescent="0.35">
      <c r="A370">
        <v>3154</v>
      </c>
      <c r="B370" t="s">
        <v>6495</v>
      </c>
      <c r="C370" t="s">
        <v>72</v>
      </c>
      <c r="D370" t="s">
        <v>58</v>
      </c>
      <c r="E370">
        <v>1553</v>
      </c>
      <c r="F370">
        <v>5</v>
      </c>
      <c r="G370">
        <v>5</v>
      </c>
      <c r="H370">
        <v>1</v>
      </c>
      <c r="I370">
        <v>1</v>
      </c>
      <c r="J370">
        <v>0.84642646190194903</v>
      </c>
      <c r="K370">
        <v>0.97051674735697901</v>
      </c>
      <c r="L370">
        <v>0.90423415822336795</v>
      </c>
      <c r="M370">
        <v>0.71060171919770798</v>
      </c>
      <c r="N370">
        <v>1</v>
      </c>
      <c r="O370">
        <v>0.77650429799426901</v>
      </c>
      <c r="P370" t="s">
        <v>169</v>
      </c>
      <c r="Q370" t="s">
        <v>170</v>
      </c>
      <c r="R370" t="s">
        <v>235</v>
      </c>
      <c r="S370" t="s">
        <v>236</v>
      </c>
      <c r="T370" t="s">
        <v>6496</v>
      </c>
      <c r="U370" t="s">
        <v>6497</v>
      </c>
      <c r="V370" t="s">
        <v>6498</v>
      </c>
      <c r="W370" t="s">
        <v>6499</v>
      </c>
      <c r="AD370" t="s">
        <v>439</v>
      </c>
      <c r="AE370" t="s">
        <v>699</v>
      </c>
      <c r="AF370" t="s">
        <v>6500</v>
      </c>
    </row>
    <row r="371" spans="1:32" hidden="1" x14ac:dyDescent="0.35">
      <c r="A371">
        <v>4420</v>
      </c>
      <c r="B371" t="s">
        <v>9211</v>
      </c>
      <c r="C371" t="s">
        <v>72</v>
      </c>
      <c r="D371" t="s">
        <v>60</v>
      </c>
      <c r="E371">
        <v>1161</v>
      </c>
      <c r="F371">
        <v>5</v>
      </c>
      <c r="G371">
        <v>5</v>
      </c>
      <c r="H371">
        <v>1</v>
      </c>
      <c r="I371">
        <v>1</v>
      </c>
      <c r="J371">
        <v>0.81407563025210095</v>
      </c>
      <c r="K371">
        <v>0.96017352364959097</v>
      </c>
      <c r="L371">
        <v>0.88110947067102996</v>
      </c>
      <c r="M371">
        <v>0.62468513853904295</v>
      </c>
      <c r="N371">
        <v>0.98740554156171301</v>
      </c>
      <c r="O371">
        <v>0.74156171284634798</v>
      </c>
      <c r="P371" t="s">
        <v>9212</v>
      </c>
      <c r="Q371" t="s">
        <v>9213</v>
      </c>
      <c r="R371" t="s">
        <v>235</v>
      </c>
      <c r="S371" t="s">
        <v>236</v>
      </c>
      <c r="T371" t="s">
        <v>9214</v>
      </c>
      <c r="U371" t="s">
        <v>9215</v>
      </c>
      <c r="V371" t="s">
        <v>9216</v>
      </c>
      <c r="W371" t="s">
        <v>9217</v>
      </c>
      <c r="X371" t="s">
        <v>9216</v>
      </c>
      <c r="Y371" t="s">
        <v>2932</v>
      </c>
      <c r="Z371" t="s">
        <v>7247</v>
      </c>
      <c r="AA371" t="s">
        <v>7248</v>
      </c>
      <c r="AB371" t="s">
        <v>7247</v>
      </c>
      <c r="AC371" t="s">
        <v>1682</v>
      </c>
      <c r="AD371" t="s">
        <v>191</v>
      </c>
      <c r="AE371" t="s">
        <v>9218</v>
      </c>
      <c r="AF371" t="s">
        <v>9219</v>
      </c>
    </row>
    <row r="372" spans="1:32" hidden="1" x14ac:dyDescent="0.35">
      <c r="A372">
        <v>4421</v>
      </c>
      <c r="B372" t="s">
        <v>9211</v>
      </c>
      <c r="C372" t="s">
        <v>72</v>
      </c>
      <c r="D372" t="s">
        <v>62</v>
      </c>
      <c r="E372">
        <v>1198</v>
      </c>
      <c r="F372">
        <v>5</v>
      </c>
      <c r="G372">
        <v>5</v>
      </c>
      <c r="H372">
        <v>1</v>
      </c>
      <c r="I372">
        <v>1</v>
      </c>
      <c r="J372">
        <v>0.81407563025210095</v>
      </c>
      <c r="K372">
        <v>0.96017352364959097</v>
      </c>
      <c r="L372">
        <v>0.88110947067102996</v>
      </c>
      <c r="M372">
        <v>0.62468513853904295</v>
      </c>
      <c r="N372">
        <v>0.98740554156171301</v>
      </c>
      <c r="O372">
        <v>0.74156171284634798</v>
      </c>
      <c r="P372" t="s">
        <v>9212</v>
      </c>
      <c r="Q372" t="s">
        <v>9213</v>
      </c>
      <c r="R372" t="s">
        <v>235</v>
      </c>
      <c r="S372" t="s">
        <v>236</v>
      </c>
      <c r="T372" t="s">
        <v>9214</v>
      </c>
      <c r="U372" t="s">
        <v>9215</v>
      </c>
      <c r="V372" t="s">
        <v>9216</v>
      </c>
      <c r="W372" t="s">
        <v>9217</v>
      </c>
      <c r="X372" t="s">
        <v>9216</v>
      </c>
      <c r="Y372" t="s">
        <v>2932</v>
      </c>
      <c r="Z372" t="s">
        <v>7247</v>
      </c>
      <c r="AA372" t="s">
        <v>7248</v>
      </c>
      <c r="AB372" t="s">
        <v>7247</v>
      </c>
      <c r="AC372" t="s">
        <v>1682</v>
      </c>
      <c r="AD372" t="s">
        <v>191</v>
      </c>
      <c r="AE372" t="s">
        <v>9218</v>
      </c>
      <c r="AF372" t="s">
        <v>9220</v>
      </c>
    </row>
    <row r="373" spans="1:32" hidden="1" x14ac:dyDescent="0.35">
      <c r="A373">
        <v>4422</v>
      </c>
      <c r="B373" t="s">
        <v>9211</v>
      </c>
      <c r="C373" t="s">
        <v>72</v>
      </c>
      <c r="D373" t="s">
        <v>34</v>
      </c>
      <c r="E373">
        <v>2514</v>
      </c>
      <c r="F373">
        <v>5</v>
      </c>
      <c r="G373">
        <v>5</v>
      </c>
      <c r="H373">
        <v>1</v>
      </c>
      <c r="I373">
        <v>1</v>
      </c>
      <c r="J373">
        <v>0.81407563025210095</v>
      </c>
      <c r="K373">
        <v>0.96017352364959097</v>
      </c>
      <c r="L373">
        <v>0.88110947067102996</v>
      </c>
      <c r="M373">
        <v>0.62468513853904295</v>
      </c>
      <c r="N373">
        <v>0.98740554156171301</v>
      </c>
      <c r="O373">
        <v>0.74156171284634798</v>
      </c>
      <c r="P373" t="s">
        <v>9212</v>
      </c>
      <c r="Q373" t="s">
        <v>9213</v>
      </c>
      <c r="R373" t="s">
        <v>235</v>
      </c>
      <c r="S373" t="s">
        <v>236</v>
      </c>
      <c r="T373" t="s">
        <v>9214</v>
      </c>
      <c r="U373" t="s">
        <v>9215</v>
      </c>
      <c r="V373" t="s">
        <v>9216</v>
      </c>
      <c r="W373" t="s">
        <v>9217</v>
      </c>
      <c r="X373" t="s">
        <v>9216</v>
      </c>
      <c r="Y373" t="s">
        <v>2932</v>
      </c>
      <c r="Z373" t="s">
        <v>7247</v>
      </c>
      <c r="AA373" t="s">
        <v>7248</v>
      </c>
      <c r="AB373" t="s">
        <v>7247</v>
      </c>
      <c r="AC373" t="s">
        <v>1682</v>
      </c>
      <c r="AD373" t="s">
        <v>191</v>
      </c>
      <c r="AE373" t="s">
        <v>9218</v>
      </c>
      <c r="AF373" t="e">
        <f>----MIPGFVAAAVTAGIKPSGKPDMALVVNTGPEFVAAGVFTRNRVVASPVKLTRKAVADGRLVAVVYNSGNANACNGAQGDADAAAVVQRVADAIGCEAADVAACSTGLIGEQLPLDLMLDAVDPLV---------AGLGDHA----DAAAEAIMTTDTVRKTTLVTHAGGWSLAGMGKGVGMMAPSLATMLVCLTTDASITPDMADAALRQATAVTFDRLDIDGSTSTNDTVLLLASGASGITPTQQELDKVVREACEDLARQMQADAEGVTKRVAVTVTGTTTDDMALNAARTIARDNLFQCAMFGSDPNWGRTLAAVGMADADMDPEKISVYFNNQAVCIDSCGTPGARDVDLTGVDIDVVVDLGTGGPGQATIRTTDLSLGYVEFNSAYST</f>
        <v>#NAME?</v>
      </c>
    </row>
    <row r="374" spans="1:32" hidden="1" x14ac:dyDescent="0.35">
      <c r="A374">
        <v>4423</v>
      </c>
      <c r="B374" t="s">
        <v>9211</v>
      </c>
      <c r="C374" t="s">
        <v>72</v>
      </c>
      <c r="D374" t="s">
        <v>45</v>
      </c>
      <c r="E374">
        <v>1240</v>
      </c>
      <c r="F374">
        <v>5</v>
      </c>
      <c r="G374">
        <v>5</v>
      </c>
      <c r="H374">
        <v>1</v>
      </c>
      <c r="I374">
        <v>1</v>
      </c>
      <c r="J374">
        <v>0.81407563025210095</v>
      </c>
      <c r="K374">
        <v>0.96017352364959097</v>
      </c>
      <c r="L374">
        <v>0.88110947067102996</v>
      </c>
      <c r="M374">
        <v>0.62468513853904295</v>
      </c>
      <c r="N374">
        <v>0.98740554156171301</v>
      </c>
      <c r="O374">
        <v>0.74156171284634798</v>
      </c>
      <c r="P374" t="s">
        <v>9212</v>
      </c>
      <c r="Q374" t="s">
        <v>9213</v>
      </c>
      <c r="R374" t="s">
        <v>235</v>
      </c>
      <c r="S374" t="s">
        <v>236</v>
      </c>
      <c r="T374" t="s">
        <v>9214</v>
      </c>
      <c r="U374" t="s">
        <v>9215</v>
      </c>
      <c r="V374" t="s">
        <v>9216</v>
      </c>
      <c r="W374" t="s">
        <v>9217</v>
      </c>
      <c r="X374" t="s">
        <v>9216</v>
      </c>
      <c r="Y374" t="s">
        <v>2932</v>
      </c>
      <c r="Z374" t="s">
        <v>7247</v>
      </c>
      <c r="AA374" t="s">
        <v>7248</v>
      </c>
      <c r="AB374" t="s">
        <v>7247</v>
      </c>
      <c r="AC374" t="s">
        <v>1682</v>
      </c>
      <c r="AD374" t="s">
        <v>191</v>
      </c>
      <c r="AE374" t="s">
        <v>9218</v>
      </c>
      <c r="AF374" t="e">
        <f>----MIPGFVAAAVTAGIKPSGKPDMALVVNTGPEFVAAGVFTRNRVVASPVKLTRKAVADGRLVAVVYNSGNANACNGAQGDADAAAVVRRVADAIGCEAADVAACSTGLIGEQLPLDLMLDAVDPLV---------AGLGDHA----DAAAEAIMTTDTVRKTTLVTHAGGWSLAGMGKGVGMMAPSLATMLVCLTTDASITPDMADAALRQATAVTFDRLDIDGSTSTNDTVLLLASGASGITPTQQELDEAVREACADLAQQMQADAEGVTKRVAVTVTGTTTDDMALNAARTIARDNLFQCAMFGSDPNWGRTLAAVGMADADMDPEKISVYFNNQAVCIDSCGTPGARDVDLTGVDIDVVVDLGTGGPGQATIRTTDLSLGYVEFNSAYST</f>
        <v>#NAME?</v>
      </c>
    </row>
    <row r="375" spans="1:32" hidden="1" x14ac:dyDescent="0.35">
      <c r="A375">
        <v>614</v>
      </c>
      <c r="B375" t="s">
        <v>1246</v>
      </c>
      <c r="C375" t="s">
        <v>72</v>
      </c>
      <c r="D375" t="s">
        <v>58</v>
      </c>
      <c r="E375">
        <v>1554</v>
      </c>
      <c r="F375">
        <v>5</v>
      </c>
      <c r="G375">
        <v>5</v>
      </c>
      <c r="H375">
        <v>1</v>
      </c>
      <c r="I375">
        <v>1</v>
      </c>
      <c r="J375">
        <v>0.830488170110812</v>
      </c>
      <c r="K375">
        <v>0.97242013330268895</v>
      </c>
      <c r="L375">
        <v>0.89586743325374896</v>
      </c>
      <c r="M375">
        <v>0.67248908296943199</v>
      </c>
      <c r="N375">
        <v>1</v>
      </c>
      <c r="O375">
        <v>0.74148471615720501</v>
      </c>
      <c r="P375" t="s">
        <v>1247</v>
      </c>
      <c r="Q375" t="s">
        <v>1248</v>
      </c>
      <c r="R375" t="s">
        <v>235</v>
      </c>
      <c r="S375" t="s">
        <v>236</v>
      </c>
      <c r="T375" t="s">
        <v>1249</v>
      </c>
      <c r="U375" t="s">
        <v>1250</v>
      </c>
      <c r="V375" t="s">
        <v>1251</v>
      </c>
      <c r="W375" t="s">
        <v>1252</v>
      </c>
      <c r="AD375" t="s">
        <v>439</v>
      </c>
      <c r="AE375" t="s">
        <v>699</v>
      </c>
      <c r="AF375" t="s">
        <v>1253</v>
      </c>
    </row>
    <row r="376" spans="1:32" hidden="1" x14ac:dyDescent="0.35">
      <c r="A376">
        <v>4495</v>
      </c>
      <c r="B376" t="s">
        <v>9361</v>
      </c>
      <c r="C376" t="s">
        <v>72</v>
      </c>
      <c r="D376" t="s">
        <v>60</v>
      </c>
      <c r="E376">
        <v>1517</v>
      </c>
      <c r="F376">
        <v>5</v>
      </c>
      <c r="G376">
        <v>5</v>
      </c>
      <c r="H376">
        <v>1</v>
      </c>
      <c r="I376">
        <v>1</v>
      </c>
      <c r="J376">
        <v>0.83265692640692601</v>
      </c>
      <c r="K376">
        <v>0.96696618805002099</v>
      </c>
      <c r="L376">
        <v>0.89479968068104598</v>
      </c>
      <c r="M376">
        <v>0.69019607843137298</v>
      </c>
      <c r="N376">
        <v>0.99607843137254903</v>
      </c>
      <c r="O376">
        <v>0.78392156862745099</v>
      </c>
      <c r="P376" t="s">
        <v>9362</v>
      </c>
      <c r="Q376" t="s">
        <v>9363</v>
      </c>
      <c r="R376" t="s">
        <v>235</v>
      </c>
      <c r="S376" t="s">
        <v>236</v>
      </c>
      <c r="T376" t="s">
        <v>9364</v>
      </c>
      <c r="U376" t="s">
        <v>9365</v>
      </c>
      <c r="V376" t="s">
        <v>9366</v>
      </c>
      <c r="W376" t="s">
        <v>9367</v>
      </c>
      <c r="X376" t="s">
        <v>9366</v>
      </c>
      <c r="Y376" t="s">
        <v>1136</v>
      </c>
      <c r="Z376" t="s">
        <v>5274</v>
      </c>
      <c r="AA376" t="s">
        <v>5275</v>
      </c>
      <c r="AB376" t="s">
        <v>5274</v>
      </c>
      <c r="AC376" t="s">
        <v>5276</v>
      </c>
      <c r="AD376" t="s">
        <v>245</v>
      </c>
      <c r="AE376" t="s">
        <v>9368</v>
      </c>
      <c r="AF376" t="e">
        <f>-----MIRVGVLGAKGKVGQAVVEGVNAADDLEVVTEVDRDDSLQLLVDNKAQVVVDFTAPGVVMDNLEFCINNGISCVVGTTGFTEERLQQVQKWCDANQG---VSVLIAPNFAISAVLTMAFAKQAAPYFDSVEVIELHHPNKLDAPSGTAIHTAQGIAQARREAGLGAQPDATDQSLDGARGADVDGIPVHAVRMTGMVAHEAVIFGSQGQTLTIRQDSYDRTSFIPGVLVGVRGVDKHPGLTVGLEHYLGM</f>
        <v>#NAME?</v>
      </c>
    </row>
    <row r="377" spans="1:32" hidden="1" x14ac:dyDescent="0.35">
      <c r="A377">
        <v>4496</v>
      </c>
      <c r="B377" t="s">
        <v>9361</v>
      </c>
      <c r="C377" t="s">
        <v>72</v>
      </c>
      <c r="D377" t="s">
        <v>62</v>
      </c>
      <c r="E377">
        <v>1552</v>
      </c>
      <c r="F377">
        <v>5</v>
      </c>
      <c r="G377">
        <v>5</v>
      </c>
      <c r="H377">
        <v>1</v>
      </c>
      <c r="I377">
        <v>1</v>
      </c>
      <c r="J377">
        <v>0.83265692640692601</v>
      </c>
      <c r="K377">
        <v>0.96696618805002099</v>
      </c>
      <c r="L377">
        <v>0.89479968068104598</v>
      </c>
      <c r="M377">
        <v>0.69019607843137298</v>
      </c>
      <c r="N377">
        <v>0.99607843137254903</v>
      </c>
      <c r="O377">
        <v>0.78392156862745099</v>
      </c>
      <c r="P377" t="s">
        <v>9362</v>
      </c>
      <c r="Q377" t="s">
        <v>9363</v>
      </c>
      <c r="R377" t="s">
        <v>235</v>
      </c>
      <c r="S377" t="s">
        <v>236</v>
      </c>
      <c r="T377" t="s">
        <v>9364</v>
      </c>
      <c r="U377" t="s">
        <v>9365</v>
      </c>
      <c r="V377" t="s">
        <v>9366</v>
      </c>
      <c r="W377" t="s">
        <v>9367</v>
      </c>
      <c r="X377" t="s">
        <v>9366</v>
      </c>
      <c r="Y377" t="s">
        <v>1136</v>
      </c>
      <c r="Z377" t="s">
        <v>5274</v>
      </c>
      <c r="AA377" t="s">
        <v>5275</v>
      </c>
      <c r="AB377" t="s">
        <v>5274</v>
      </c>
      <c r="AC377" t="s">
        <v>5276</v>
      </c>
      <c r="AD377" t="s">
        <v>245</v>
      </c>
      <c r="AE377" t="s">
        <v>9368</v>
      </c>
      <c r="AF377" t="e">
        <f>-----MIRVGVLGAKGKVGQAVVEGVNAADDLEVVAEVDRDDSLQLLVDNKAQVVVDFTAPGVVMDNLEFCINNGISCVVGTTGFTEERLQQVQKWCDANQG---VSVLIAPNFAISAVLTMAFAKQAAPYFDSVEVIELHHPNKLDAPSGTAIHTAQGIAQARREAGLGAQPDATDQSLDGARGADVDGIPVHAVRMTGMVAHEAVIFGSQGQTLTIRQDSYDRTSFIPGVLVGVRGVDKHPGLTVGLEHYLGM</f>
        <v>#NAME?</v>
      </c>
    </row>
    <row r="378" spans="1:32" hidden="1" x14ac:dyDescent="0.35">
      <c r="A378">
        <v>4497</v>
      </c>
      <c r="B378" t="s">
        <v>9361</v>
      </c>
      <c r="C378" t="s">
        <v>72</v>
      </c>
      <c r="D378" t="s">
        <v>34</v>
      </c>
      <c r="E378">
        <v>1948</v>
      </c>
      <c r="F378">
        <v>5</v>
      </c>
      <c r="G378">
        <v>5</v>
      </c>
      <c r="H378">
        <v>1</v>
      </c>
      <c r="I378">
        <v>1</v>
      </c>
      <c r="J378">
        <v>0.83265692640692601</v>
      </c>
      <c r="K378">
        <v>0.96696618805002099</v>
      </c>
      <c r="L378">
        <v>0.89479968068104598</v>
      </c>
      <c r="M378">
        <v>0.69019607843137298</v>
      </c>
      <c r="N378">
        <v>0.99607843137254903</v>
      </c>
      <c r="O378">
        <v>0.78392156862745099</v>
      </c>
      <c r="P378" t="s">
        <v>9362</v>
      </c>
      <c r="Q378" t="s">
        <v>9363</v>
      </c>
      <c r="R378" t="s">
        <v>235</v>
      </c>
      <c r="S378" t="s">
        <v>236</v>
      </c>
      <c r="T378" t="s">
        <v>9364</v>
      </c>
      <c r="U378" t="s">
        <v>9365</v>
      </c>
      <c r="V378" t="s">
        <v>9366</v>
      </c>
      <c r="W378" t="s">
        <v>9367</v>
      </c>
      <c r="X378" t="s">
        <v>9366</v>
      </c>
      <c r="Y378" t="s">
        <v>1136</v>
      </c>
      <c r="Z378" t="s">
        <v>5274</v>
      </c>
      <c r="AA378" t="s">
        <v>5275</v>
      </c>
      <c r="AB378" t="s">
        <v>5274</v>
      </c>
      <c r="AC378" t="s">
        <v>5276</v>
      </c>
      <c r="AD378" t="s">
        <v>245</v>
      </c>
      <c r="AE378" t="s">
        <v>9368</v>
      </c>
      <c r="AF378" t="e">
        <f>----MTIKVGVLGAQGRVGQAVVAGVTAADDLELVAQIDRDDTLQTLIDAQADVIVDFTTPNVVMDNLEFCLTHGIHCVVGTTGFTPERLTQVEAWA-TSNN---TNCLIAPNFAISAVLTMQFAKQAARFFDSAEVVEYHHPNKLDAPSGTAIHTAEGIAAARRAAHLPAMPDATTQALDGARGANVDGVPVHAVRMTGMVAHEEVIFGSQGQTLIIRQDSYDRMSFIPGVLLGVRNVGTHPGLTVGLEHYLGI</f>
        <v>#NAME?</v>
      </c>
    </row>
    <row r="379" spans="1:32" hidden="1" x14ac:dyDescent="0.35">
      <c r="A379">
        <v>4498</v>
      </c>
      <c r="B379" t="s">
        <v>9361</v>
      </c>
      <c r="C379" t="s">
        <v>72</v>
      </c>
      <c r="D379" t="s">
        <v>45</v>
      </c>
      <c r="E379">
        <v>925</v>
      </c>
      <c r="F379">
        <v>5</v>
      </c>
      <c r="G379">
        <v>5</v>
      </c>
      <c r="H379">
        <v>1</v>
      </c>
      <c r="I379">
        <v>1</v>
      </c>
      <c r="J379">
        <v>0.83265692640692601</v>
      </c>
      <c r="K379">
        <v>0.96696618805002099</v>
      </c>
      <c r="L379">
        <v>0.89479968068104598</v>
      </c>
      <c r="M379">
        <v>0.69019607843137298</v>
      </c>
      <c r="N379">
        <v>0.99607843137254903</v>
      </c>
      <c r="O379">
        <v>0.78392156862745099</v>
      </c>
      <c r="P379" t="s">
        <v>9362</v>
      </c>
      <c r="Q379" t="s">
        <v>9363</v>
      </c>
      <c r="R379" t="s">
        <v>235</v>
      </c>
      <c r="S379" t="s">
        <v>236</v>
      </c>
      <c r="T379" t="s">
        <v>9364</v>
      </c>
      <c r="U379" t="s">
        <v>9365</v>
      </c>
      <c r="V379" t="s">
        <v>9366</v>
      </c>
      <c r="W379" t="s">
        <v>9367</v>
      </c>
      <c r="X379" t="s">
        <v>9366</v>
      </c>
      <c r="Y379" t="s">
        <v>1136</v>
      </c>
      <c r="Z379" t="s">
        <v>5274</v>
      </c>
      <c r="AA379" t="s">
        <v>5275</v>
      </c>
      <c r="AB379" t="s">
        <v>5274</v>
      </c>
      <c r="AC379" t="s">
        <v>5276</v>
      </c>
      <c r="AD379" t="s">
        <v>245</v>
      </c>
      <c r="AE379" t="s">
        <v>9368</v>
      </c>
      <c r="AF379" t="e">
        <f>----MTIKVGVLGAQGRVGQAVVAGVTAADDLELVAQIDRDDTLQTLIDAQADVIVDFTTPNVVMDNLEFCLTHGIHCVVGTTGFTPERLTQVEAWA-TSNN---TNCLIAPNFAISAVLTMQFAKQAARFFDSAEVVEYHHPNKLDAPSGTAIHTAEGIAAARHAAHLPAMPDATTQALDGARGANVDGVPVHAVRMTGMVAHEEVIFGSQGQTLIIRQDSYDRMSFIPGVLLGVRNVGTHPGLTVGLEHYLGI</f>
        <v>#NAME?</v>
      </c>
    </row>
    <row r="380" spans="1:32" hidden="1" x14ac:dyDescent="0.35">
      <c r="A380">
        <v>11581</v>
      </c>
      <c r="B380" t="s">
        <v>23699</v>
      </c>
      <c r="C380" t="s">
        <v>33</v>
      </c>
      <c r="D380" t="s">
        <v>58</v>
      </c>
      <c r="E380">
        <v>1546</v>
      </c>
      <c r="F380">
        <v>1</v>
      </c>
      <c r="G380">
        <v>1</v>
      </c>
      <c r="H380">
        <v>1</v>
      </c>
      <c r="I380">
        <v>0</v>
      </c>
      <c r="J380">
        <v>1</v>
      </c>
      <c r="K380">
        <v>1</v>
      </c>
      <c r="L380">
        <v>1</v>
      </c>
      <c r="M380">
        <v>0</v>
      </c>
      <c r="N380">
        <v>0</v>
      </c>
      <c r="O380">
        <v>0</v>
      </c>
      <c r="P380" t="s">
        <v>169</v>
      </c>
      <c r="Q380" t="s">
        <v>170</v>
      </c>
      <c r="R380" t="s">
        <v>342</v>
      </c>
      <c r="S380" t="s">
        <v>343</v>
      </c>
      <c r="V380" t="s">
        <v>11649</v>
      </c>
      <c r="W380" t="s">
        <v>11650</v>
      </c>
      <c r="AF380" t="s">
        <v>23700</v>
      </c>
    </row>
    <row r="381" spans="1:32" hidden="1" x14ac:dyDescent="0.35">
      <c r="A381">
        <v>4500</v>
      </c>
      <c r="B381" t="s">
        <v>9370</v>
      </c>
      <c r="C381" t="s">
        <v>72</v>
      </c>
      <c r="D381" t="s">
        <v>60</v>
      </c>
      <c r="E381">
        <v>2532</v>
      </c>
      <c r="F381">
        <v>5</v>
      </c>
      <c r="G381">
        <v>5</v>
      </c>
      <c r="H381">
        <v>1</v>
      </c>
      <c r="I381">
        <v>1</v>
      </c>
      <c r="J381">
        <v>0.76434108527131805</v>
      </c>
      <c r="K381">
        <v>0.99114989525756303</v>
      </c>
      <c r="L381">
        <v>0.86309368149471399</v>
      </c>
      <c r="M381">
        <v>0.59219858156028404</v>
      </c>
      <c r="N381">
        <v>0.99290780141844004</v>
      </c>
      <c r="O381">
        <v>0.7</v>
      </c>
      <c r="P381" t="s">
        <v>9371</v>
      </c>
      <c r="Q381" t="s">
        <v>9372</v>
      </c>
      <c r="R381" t="s">
        <v>235</v>
      </c>
      <c r="S381" t="s">
        <v>236</v>
      </c>
      <c r="T381" t="s">
        <v>9373</v>
      </c>
      <c r="U381" t="s">
        <v>9374</v>
      </c>
      <c r="V381" t="s">
        <v>9375</v>
      </c>
      <c r="W381" t="s">
        <v>9376</v>
      </c>
      <c r="X381" t="s">
        <v>9375</v>
      </c>
      <c r="Y381" t="s">
        <v>241</v>
      </c>
      <c r="Z381" t="s">
        <v>242</v>
      </c>
      <c r="AA381" t="s">
        <v>243</v>
      </c>
      <c r="AB381" t="s">
        <v>242</v>
      </c>
      <c r="AC381" t="s">
        <v>244</v>
      </c>
      <c r="AD381" t="s">
        <v>245</v>
      </c>
      <c r="AE381" t="s">
        <v>246</v>
      </c>
      <c r="AF381" t="s">
        <v>9378</v>
      </c>
    </row>
    <row r="382" spans="1:32" hidden="1" x14ac:dyDescent="0.35">
      <c r="A382">
        <v>4501</v>
      </c>
      <c r="B382" t="s">
        <v>9370</v>
      </c>
      <c r="C382" t="s">
        <v>72</v>
      </c>
      <c r="D382" t="s">
        <v>62</v>
      </c>
      <c r="E382">
        <v>57</v>
      </c>
      <c r="F382">
        <v>5</v>
      </c>
      <c r="G382">
        <v>5</v>
      </c>
      <c r="H382">
        <v>1</v>
      </c>
      <c r="I382">
        <v>1</v>
      </c>
      <c r="J382">
        <v>0.76434108527131805</v>
      </c>
      <c r="K382">
        <v>0.99114989525756303</v>
      </c>
      <c r="L382">
        <v>0.86309368149471399</v>
      </c>
      <c r="M382">
        <v>0.59219858156028404</v>
      </c>
      <c r="N382">
        <v>0.99290780141844004</v>
      </c>
      <c r="O382">
        <v>0.7</v>
      </c>
      <c r="P382" t="s">
        <v>9371</v>
      </c>
      <c r="Q382" t="s">
        <v>9372</v>
      </c>
      <c r="R382" t="s">
        <v>235</v>
      </c>
      <c r="S382" t="s">
        <v>236</v>
      </c>
      <c r="T382" t="s">
        <v>9373</v>
      </c>
      <c r="U382" t="s">
        <v>9374</v>
      </c>
      <c r="V382" t="s">
        <v>9375</v>
      </c>
      <c r="W382" t="s">
        <v>9376</v>
      </c>
      <c r="X382" t="s">
        <v>9375</v>
      </c>
      <c r="Y382" t="s">
        <v>241</v>
      </c>
      <c r="Z382" t="s">
        <v>242</v>
      </c>
      <c r="AA382" t="s">
        <v>243</v>
      </c>
      <c r="AB382" t="s">
        <v>242</v>
      </c>
      <c r="AC382" t="s">
        <v>244</v>
      </c>
      <c r="AD382" t="s">
        <v>245</v>
      </c>
      <c r="AE382" t="s">
        <v>246</v>
      </c>
      <c r="AF382" t="s">
        <v>9379</v>
      </c>
    </row>
    <row r="383" spans="1:32" hidden="1" x14ac:dyDescent="0.35">
      <c r="A383">
        <v>4502</v>
      </c>
      <c r="B383" t="s">
        <v>9370</v>
      </c>
      <c r="C383" t="s">
        <v>72</v>
      </c>
      <c r="D383" t="s">
        <v>34</v>
      </c>
      <c r="E383">
        <v>1113</v>
      </c>
      <c r="F383">
        <v>5</v>
      </c>
      <c r="G383">
        <v>5</v>
      </c>
      <c r="H383">
        <v>1</v>
      </c>
      <c r="I383">
        <v>1</v>
      </c>
      <c r="J383">
        <v>0.76434108527131805</v>
      </c>
      <c r="K383">
        <v>0.99114989525756303</v>
      </c>
      <c r="L383">
        <v>0.86309368149471399</v>
      </c>
      <c r="M383">
        <v>0.59219858156028404</v>
      </c>
      <c r="N383">
        <v>0.99290780141844004</v>
      </c>
      <c r="O383">
        <v>0.7</v>
      </c>
      <c r="P383" t="s">
        <v>9371</v>
      </c>
      <c r="Q383" t="s">
        <v>9372</v>
      </c>
      <c r="R383" t="s">
        <v>235</v>
      </c>
      <c r="S383" t="s">
        <v>236</v>
      </c>
      <c r="T383" t="s">
        <v>9373</v>
      </c>
      <c r="U383" t="s">
        <v>9374</v>
      </c>
      <c r="V383" t="s">
        <v>9375</v>
      </c>
      <c r="W383" t="s">
        <v>9376</v>
      </c>
      <c r="X383" t="s">
        <v>9375</v>
      </c>
      <c r="Y383" t="s">
        <v>241</v>
      </c>
      <c r="Z383" t="s">
        <v>242</v>
      </c>
      <c r="AA383" t="s">
        <v>243</v>
      </c>
      <c r="AB383" t="s">
        <v>242</v>
      </c>
      <c r="AC383" t="s">
        <v>244</v>
      </c>
      <c r="AD383" t="s">
        <v>245</v>
      </c>
      <c r="AE383" t="s">
        <v>246</v>
      </c>
      <c r="AF383" t="s">
        <v>9380</v>
      </c>
    </row>
    <row r="384" spans="1:32" hidden="1" x14ac:dyDescent="0.35">
      <c r="A384">
        <v>4503</v>
      </c>
      <c r="B384" t="s">
        <v>9370</v>
      </c>
      <c r="C384" t="s">
        <v>72</v>
      </c>
      <c r="D384" t="s">
        <v>45</v>
      </c>
      <c r="E384">
        <v>2366</v>
      </c>
      <c r="F384">
        <v>5</v>
      </c>
      <c r="G384">
        <v>5</v>
      </c>
      <c r="H384">
        <v>1</v>
      </c>
      <c r="I384">
        <v>1</v>
      </c>
      <c r="J384">
        <v>0.76434108527131805</v>
      </c>
      <c r="K384">
        <v>0.99114989525756303</v>
      </c>
      <c r="L384">
        <v>0.86309368149471399</v>
      </c>
      <c r="M384">
        <v>0.59219858156028404</v>
      </c>
      <c r="N384">
        <v>0.99290780141844004</v>
      </c>
      <c r="O384">
        <v>0.7</v>
      </c>
      <c r="P384" t="s">
        <v>9371</v>
      </c>
      <c r="Q384" t="s">
        <v>9372</v>
      </c>
      <c r="R384" t="s">
        <v>235</v>
      </c>
      <c r="S384" t="s">
        <v>236</v>
      </c>
      <c r="T384" t="s">
        <v>9373</v>
      </c>
      <c r="U384" t="s">
        <v>9374</v>
      </c>
      <c r="V384" t="s">
        <v>9375</v>
      </c>
      <c r="W384" t="s">
        <v>9376</v>
      </c>
      <c r="X384" t="s">
        <v>9375</v>
      </c>
      <c r="Y384" t="s">
        <v>241</v>
      </c>
      <c r="Z384" t="s">
        <v>242</v>
      </c>
      <c r="AA384" t="s">
        <v>243</v>
      </c>
      <c r="AB384" t="s">
        <v>242</v>
      </c>
      <c r="AC384" t="s">
        <v>244</v>
      </c>
      <c r="AD384" t="s">
        <v>245</v>
      </c>
      <c r="AE384" t="s">
        <v>246</v>
      </c>
      <c r="AF384" t="s">
        <v>9381</v>
      </c>
    </row>
    <row r="385" spans="1:32" hidden="1" x14ac:dyDescent="0.35">
      <c r="A385">
        <v>6005</v>
      </c>
      <c r="B385" t="s">
        <v>12349</v>
      </c>
      <c r="C385" t="s">
        <v>13295</v>
      </c>
      <c r="D385" t="s">
        <v>58</v>
      </c>
      <c r="E385">
        <v>1545</v>
      </c>
      <c r="F385">
        <v>3</v>
      </c>
      <c r="G385">
        <v>3</v>
      </c>
      <c r="H385">
        <v>1</v>
      </c>
      <c r="I385">
        <v>0</v>
      </c>
      <c r="J385">
        <v>0.85054773082942103</v>
      </c>
      <c r="K385">
        <v>0.94757339279078301</v>
      </c>
      <c r="L385">
        <v>0.89644283518552204</v>
      </c>
      <c r="M385">
        <v>0.59</v>
      </c>
      <c r="N385">
        <v>1</v>
      </c>
      <c r="O385">
        <v>0.72666666666666702</v>
      </c>
      <c r="P385" t="s">
        <v>11686</v>
      </c>
      <c r="Q385" t="s">
        <v>11687</v>
      </c>
      <c r="R385" t="s">
        <v>342</v>
      </c>
      <c r="S385" t="s">
        <v>343</v>
      </c>
      <c r="T385" t="s">
        <v>12350</v>
      </c>
      <c r="U385" t="s">
        <v>12351</v>
      </c>
      <c r="V385" t="s">
        <v>11690</v>
      </c>
      <c r="W385" t="s">
        <v>11691</v>
      </c>
      <c r="AD385" t="s">
        <v>166</v>
      </c>
      <c r="AE385" t="s">
        <v>6779</v>
      </c>
      <c r="AF385" t="e">
        <f>------MLDMLLEPITG----APYLTRAFIMLMALGIVSGLVGVIVNLRALEFNAEACVHSIFPGVVAGALFGGIDAIIPWAAAVGAIVAIVLTAVHRK--HPSEAGTAVVLTSFFSLGIVLSLKKGEMSGQLEALMFGRLLEISEPRLIQSLIVCAFAYAVIALSWNKQVFVAFDRQGASASGINVTLIDLLLNGAIAAVVVAASTAVGVLLVIGYLVIPGAAGRLVAGSIKTMATIAVLLGAIGGYIGMLALDIPTSHSISPQASVALSVVGLYFIMLAVSKAAPSAFASSATEGARS</f>
        <v>#NAME?</v>
      </c>
    </row>
    <row r="386" spans="1:32" hidden="1" x14ac:dyDescent="0.35">
      <c r="A386">
        <v>4540</v>
      </c>
      <c r="B386" t="s">
        <v>9475</v>
      </c>
      <c r="C386" t="s">
        <v>72</v>
      </c>
      <c r="D386" t="s">
        <v>60</v>
      </c>
      <c r="E386">
        <v>1714</v>
      </c>
      <c r="F386">
        <v>5</v>
      </c>
      <c r="G386">
        <v>5</v>
      </c>
      <c r="H386">
        <v>1</v>
      </c>
      <c r="I386">
        <v>1</v>
      </c>
      <c r="J386">
        <v>0.83436853002070399</v>
      </c>
      <c r="K386">
        <v>0.956618095560824</v>
      </c>
      <c r="L386">
        <v>0.89132104370140197</v>
      </c>
      <c r="M386">
        <v>0.66813186813186798</v>
      </c>
      <c r="N386">
        <v>0.99780219780219803</v>
      </c>
      <c r="O386">
        <v>0.75560439560439596</v>
      </c>
      <c r="P386" t="s">
        <v>233</v>
      </c>
      <c r="Q386" t="s">
        <v>234</v>
      </c>
      <c r="R386" t="s">
        <v>235</v>
      </c>
      <c r="S386" t="s">
        <v>236</v>
      </c>
      <c r="T386" t="s">
        <v>9476</v>
      </c>
      <c r="U386" t="s">
        <v>9477</v>
      </c>
      <c r="V386" t="s">
        <v>9478</v>
      </c>
      <c r="W386" t="s">
        <v>9479</v>
      </c>
      <c r="X386" t="s">
        <v>9478</v>
      </c>
      <c r="Y386" t="s">
        <v>1108</v>
      </c>
      <c r="Z386" t="s">
        <v>9480</v>
      </c>
      <c r="AA386" t="s">
        <v>9481</v>
      </c>
      <c r="AB386" t="s">
        <v>9480</v>
      </c>
      <c r="AC386" t="s">
        <v>9482</v>
      </c>
      <c r="AD386" t="s">
        <v>245</v>
      </c>
      <c r="AE386" t="s">
        <v>9483</v>
      </c>
      <c r="AF386" t="s">
        <v>9485</v>
      </c>
    </row>
    <row r="387" spans="1:32" hidden="1" x14ac:dyDescent="0.35">
      <c r="A387">
        <v>4541</v>
      </c>
      <c r="B387" t="s">
        <v>9475</v>
      </c>
      <c r="C387" t="s">
        <v>72</v>
      </c>
      <c r="D387" t="s">
        <v>62</v>
      </c>
      <c r="E387">
        <v>1749</v>
      </c>
      <c r="F387">
        <v>5</v>
      </c>
      <c r="G387">
        <v>5</v>
      </c>
      <c r="H387">
        <v>1</v>
      </c>
      <c r="I387">
        <v>1</v>
      </c>
      <c r="J387">
        <v>0.83436853002070399</v>
      </c>
      <c r="K387">
        <v>0.956618095560824</v>
      </c>
      <c r="L387">
        <v>0.89132104370140197</v>
      </c>
      <c r="M387">
        <v>0.66813186813186798</v>
      </c>
      <c r="N387">
        <v>0.99780219780219803</v>
      </c>
      <c r="O387">
        <v>0.75560439560439596</v>
      </c>
      <c r="P387" t="s">
        <v>233</v>
      </c>
      <c r="Q387" t="s">
        <v>234</v>
      </c>
      <c r="R387" t="s">
        <v>235</v>
      </c>
      <c r="S387" t="s">
        <v>236</v>
      </c>
      <c r="T387" t="s">
        <v>9476</v>
      </c>
      <c r="U387" t="s">
        <v>9477</v>
      </c>
      <c r="V387" t="s">
        <v>9478</v>
      </c>
      <c r="W387" t="s">
        <v>9479</v>
      </c>
      <c r="X387" t="s">
        <v>9478</v>
      </c>
      <c r="Y387" t="s">
        <v>1108</v>
      </c>
      <c r="Z387" t="s">
        <v>9480</v>
      </c>
      <c r="AA387" t="s">
        <v>9481</v>
      </c>
      <c r="AB387" t="s">
        <v>9480</v>
      </c>
      <c r="AC387" t="s">
        <v>9482</v>
      </c>
      <c r="AD387" t="s">
        <v>245</v>
      </c>
      <c r="AE387" t="s">
        <v>9483</v>
      </c>
      <c r="AF387" t="s">
        <v>9486</v>
      </c>
    </row>
    <row r="388" spans="1:32" hidden="1" x14ac:dyDescent="0.35">
      <c r="A388">
        <v>4542</v>
      </c>
      <c r="B388" t="s">
        <v>9475</v>
      </c>
      <c r="C388" t="s">
        <v>72</v>
      </c>
      <c r="D388" t="s">
        <v>34</v>
      </c>
      <c r="E388">
        <v>2088</v>
      </c>
      <c r="F388">
        <v>5</v>
      </c>
      <c r="G388">
        <v>5</v>
      </c>
      <c r="H388">
        <v>1</v>
      </c>
      <c r="I388">
        <v>1</v>
      </c>
      <c r="J388">
        <v>0.83436853002070399</v>
      </c>
      <c r="K388">
        <v>0.956618095560824</v>
      </c>
      <c r="L388">
        <v>0.89132104370140197</v>
      </c>
      <c r="M388">
        <v>0.66813186813186798</v>
      </c>
      <c r="N388">
        <v>0.99780219780219803</v>
      </c>
      <c r="O388">
        <v>0.75560439560439596</v>
      </c>
      <c r="P388" t="s">
        <v>233</v>
      </c>
      <c r="Q388" t="s">
        <v>234</v>
      </c>
      <c r="R388" t="s">
        <v>235</v>
      </c>
      <c r="S388" t="s">
        <v>236</v>
      </c>
      <c r="T388" t="s">
        <v>9476</v>
      </c>
      <c r="U388" t="s">
        <v>9477</v>
      </c>
      <c r="V388" t="s">
        <v>9478</v>
      </c>
      <c r="W388" t="s">
        <v>9479</v>
      </c>
      <c r="X388" t="s">
        <v>9478</v>
      </c>
      <c r="Y388" t="s">
        <v>1108</v>
      </c>
      <c r="Z388" t="s">
        <v>9480</v>
      </c>
      <c r="AA388" t="s">
        <v>9481</v>
      </c>
      <c r="AB388" t="s">
        <v>9480</v>
      </c>
      <c r="AC388" t="s">
        <v>9482</v>
      </c>
      <c r="AD388" t="s">
        <v>245</v>
      </c>
      <c r="AE388" t="s">
        <v>9483</v>
      </c>
      <c r="AF388" t="s">
        <v>9487</v>
      </c>
    </row>
    <row r="389" spans="1:32" hidden="1" x14ac:dyDescent="0.35">
      <c r="A389">
        <v>4543</v>
      </c>
      <c r="B389" t="s">
        <v>9475</v>
      </c>
      <c r="C389" t="s">
        <v>72</v>
      </c>
      <c r="D389" t="s">
        <v>45</v>
      </c>
      <c r="E389">
        <v>784</v>
      </c>
      <c r="F389">
        <v>5</v>
      </c>
      <c r="G389">
        <v>5</v>
      </c>
      <c r="H389">
        <v>1</v>
      </c>
      <c r="I389">
        <v>1</v>
      </c>
      <c r="J389">
        <v>0.83436853002070399</v>
      </c>
      <c r="K389">
        <v>0.956618095560824</v>
      </c>
      <c r="L389">
        <v>0.89132104370140197</v>
      </c>
      <c r="M389">
        <v>0.66813186813186798</v>
      </c>
      <c r="N389">
        <v>0.99780219780219803</v>
      </c>
      <c r="O389">
        <v>0.75560439560439596</v>
      </c>
      <c r="P389" t="s">
        <v>233</v>
      </c>
      <c r="Q389" t="s">
        <v>234</v>
      </c>
      <c r="R389" t="s">
        <v>235</v>
      </c>
      <c r="S389" t="s">
        <v>236</v>
      </c>
      <c r="T389" t="s">
        <v>9476</v>
      </c>
      <c r="U389" t="s">
        <v>9477</v>
      </c>
      <c r="V389" t="s">
        <v>9478</v>
      </c>
      <c r="W389" t="s">
        <v>9479</v>
      </c>
      <c r="X389" t="s">
        <v>9478</v>
      </c>
      <c r="Y389" t="s">
        <v>1108</v>
      </c>
      <c r="Z389" t="s">
        <v>9480</v>
      </c>
      <c r="AA389" t="s">
        <v>9481</v>
      </c>
      <c r="AB389" t="s">
        <v>9480</v>
      </c>
      <c r="AC389" t="s">
        <v>9482</v>
      </c>
      <c r="AD389" t="s">
        <v>245</v>
      </c>
      <c r="AE389" t="s">
        <v>9483</v>
      </c>
      <c r="AF389" t="s">
        <v>9488</v>
      </c>
    </row>
    <row r="390" spans="1:32" hidden="1" x14ac:dyDescent="0.35">
      <c r="A390">
        <v>6152</v>
      </c>
      <c r="B390" t="s">
        <v>12659</v>
      </c>
      <c r="C390" t="s">
        <v>68</v>
      </c>
      <c r="D390" t="s">
        <v>58</v>
      </c>
      <c r="E390">
        <v>1544</v>
      </c>
      <c r="F390">
        <v>3</v>
      </c>
      <c r="G390">
        <v>3</v>
      </c>
      <c r="H390">
        <v>1</v>
      </c>
      <c r="I390">
        <v>0</v>
      </c>
      <c r="J390">
        <v>0.82017010935601498</v>
      </c>
      <c r="K390">
        <v>0.928557795083222</v>
      </c>
      <c r="L390">
        <v>0.87100497041705205</v>
      </c>
      <c r="M390">
        <v>0.53716216216216195</v>
      </c>
      <c r="N390">
        <v>1</v>
      </c>
      <c r="O390">
        <v>0.69144144144144104</v>
      </c>
      <c r="P390" t="s">
        <v>11686</v>
      </c>
      <c r="Q390" t="s">
        <v>11687</v>
      </c>
      <c r="R390" t="s">
        <v>342</v>
      </c>
      <c r="S390" t="s">
        <v>343</v>
      </c>
      <c r="V390" t="s">
        <v>11690</v>
      </c>
      <c r="W390" t="s">
        <v>11691</v>
      </c>
      <c r="AF390" t="s">
        <v>12660</v>
      </c>
    </row>
    <row r="391" spans="1:32" hidden="1" x14ac:dyDescent="0.35">
      <c r="A391">
        <v>4590</v>
      </c>
      <c r="B391" t="s">
        <v>9595</v>
      </c>
      <c r="C391" t="s">
        <v>72</v>
      </c>
      <c r="D391" t="s">
        <v>60</v>
      </c>
      <c r="E391">
        <v>2529</v>
      </c>
      <c r="F391">
        <v>5</v>
      </c>
      <c r="G391">
        <v>5</v>
      </c>
      <c r="H391">
        <v>1</v>
      </c>
      <c r="I391">
        <v>1</v>
      </c>
      <c r="J391">
        <v>0.77577192463253397</v>
      </c>
      <c r="K391">
        <v>0.95849858356940298</v>
      </c>
      <c r="L391">
        <v>0.857509007293356</v>
      </c>
      <c r="M391">
        <v>0.53541076487252104</v>
      </c>
      <c r="N391">
        <v>0.99150141643059497</v>
      </c>
      <c r="O391">
        <v>0.70679886685552396</v>
      </c>
      <c r="P391" t="s">
        <v>9596</v>
      </c>
      <c r="Q391" t="s">
        <v>9597</v>
      </c>
      <c r="R391" t="s">
        <v>235</v>
      </c>
      <c r="S391" t="s">
        <v>236</v>
      </c>
      <c r="T391" t="s">
        <v>9598</v>
      </c>
      <c r="U391" t="s">
        <v>9599</v>
      </c>
      <c r="V391" t="s">
        <v>9600</v>
      </c>
      <c r="W391" t="s">
        <v>9601</v>
      </c>
      <c r="X391" t="s">
        <v>9600</v>
      </c>
      <c r="Y391" t="s">
        <v>241</v>
      </c>
      <c r="Z391" t="s">
        <v>242</v>
      </c>
      <c r="AA391" t="s">
        <v>243</v>
      </c>
      <c r="AB391" t="s">
        <v>242</v>
      </c>
      <c r="AC391" t="s">
        <v>244</v>
      </c>
      <c r="AD391" t="s">
        <v>219</v>
      </c>
      <c r="AE391" t="s">
        <v>9602</v>
      </c>
      <c r="AF391" t="s">
        <v>9604</v>
      </c>
    </row>
    <row r="392" spans="1:32" hidden="1" x14ac:dyDescent="0.35">
      <c r="A392">
        <v>4591</v>
      </c>
      <c r="B392" t="s">
        <v>9595</v>
      </c>
      <c r="C392" t="s">
        <v>72</v>
      </c>
      <c r="D392" t="s">
        <v>62</v>
      </c>
      <c r="E392">
        <v>54</v>
      </c>
      <c r="F392">
        <v>5</v>
      </c>
      <c r="G392">
        <v>5</v>
      </c>
      <c r="H392">
        <v>1</v>
      </c>
      <c r="I392">
        <v>1</v>
      </c>
      <c r="J392">
        <v>0.77577192463253397</v>
      </c>
      <c r="K392">
        <v>0.95849858356940298</v>
      </c>
      <c r="L392">
        <v>0.857509007293356</v>
      </c>
      <c r="M392">
        <v>0.53541076487252104</v>
      </c>
      <c r="N392">
        <v>0.99150141643059497</v>
      </c>
      <c r="O392">
        <v>0.70679886685552396</v>
      </c>
      <c r="P392" t="s">
        <v>9596</v>
      </c>
      <c r="Q392" t="s">
        <v>9597</v>
      </c>
      <c r="R392" t="s">
        <v>235</v>
      </c>
      <c r="S392" t="s">
        <v>236</v>
      </c>
      <c r="T392" t="s">
        <v>9598</v>
      </c>
      <c r="U392" t="s">
        <v>9599</v>
      </c>
      <c r="V392" t="s">
        <v>9600</v>
      </c>
      <c r="W392" t="s">
        <v>9601</v>
      </c>
      <c r="X392" t="s">
        <v>9600</v>
      </c>
      <c r="Y392" t="s">
        <v>241</v>
      </c>
      <c r="Z392" t="s">
        <v>242</v>
      </c>
      <c r="AA392" t="s">
        <v>243</v>
      </c>
      <c r="AB392" t="s">
        <v>242</v>
      </c>
      <c r="AC392" t="s">
        <v>244</v>
      </c>
      <c r="AD392" t="s">
        <v>219</v>
      </c>
      <c r="AE392" t="s">
        <v>9602</v>
      </c>
      <c r="AF392" t="s">
        <v>9605</v>
      </c>
    </row>
    <row r="393" spans="1:32" hidden="1" x14ac:dyDescent="0.35">
      <c r="A393">
        <v>4592</v>
      </c>
      <c r="B393" t="s">
        <v>9595</v>
      </c>
      <c r="C393" t="s">
        <v>72</v>
      </c>
      <c r="D393" t="s">
        <v>34</v>
      </c>
      <c r="E393">
        <v>1116</v>
      </c>
      <c r="F393">
        <v>5</v>
      </c>
      <c r="G393">
        <v>5</v>
      </c>
      <c r="H393">
        <v>1</v>
      </c>
      <c r="I393">
        <v>1</v>
      </c>
      <c r="J393">
        <v>0.77577192463253397</v>
      </c>
      <c r="K393">
        <v>0.95849858356940298</v>
      </c>
      <c r="L393">
        <v>0.857509007293356</v>
      </c>
      <c r="M393">
        <v>0.53541076487252104</v>
      </c>
      <c r="N393">
        <v>0.99150141643059497</v>
      </c>
      <c r="O393">
        <v>0.70679886685552396</v>
      </c>
      <c r="P393" t="s">
        <v>9596</v>
      </c>
      <c r="Q393" t="s">
        <v>9597</v>
      </c>
      <c r="R393" t="s">
        <v>235</v>
      </c>
      <c r="S393" t="s">
        <v>236</v>
      </c>
      <c r="T393" t="s">
        <v>9598</v>
      </c>
      <c r="U393" t="s">
        <v>9599</v>
      </c>
      <c r="V393" t="s">
        <v>9600</v>
      </c>
      <c r="W393" t="s">
        <v>9601</v>
      </c>
      <c r="X393" t="s">
        <v>9600</v>
      </c>
      <c r="Y393" t="s">
        <v>241</v>
      </c>
      <c r="Z393" t="s">
        <v>242</v>
      </c>
      <c r="AA393" t="s">
        <v>243</v>
      </c>
      <c r="AB393" t="s">
        <v>242</v>
      </c>
      <c r="AC393" t="s">
        <v>244</v>
      </c>
      <c r="AD393" t="s">
        <v>219</v>
      </c>
      <c r="AE393" t="s">
        <v>9602</v>
      </c>
      <c r="AF393" t="s">
        <v>9606</v>
      </c>
    </row>
    <row r="394" spans="1:32" hidden="1" x14ac:dyDescent="0.35">
      <c r="A394">
        <v>4593</v>
      </c>
      <c r="B394" t="s">
        <v>9595</v>
      </c>
      <c r="C394" t="s">
        <v>72</v>
      </c>
      <c r="D394" t="s">
        <v>45</v>
      </c>
      <c r="E394">
        <v>2369</v>
      </c>
      <c r="F394">
        <v>5</v>
      </c>
      <c r="G394">
        <v>5</v>
      </c>
      <c r="H394">
        <v>1</v>
      </c>
      <c r="I394">
        <v>1</v>
      </c>
      <c r="J394">
        <v>0.77577192463253397</v>
      </c>
      <c r="K394">
        <v>0.95849858356940298</v>
      </c>
      <c r="L394">
        <v>0.857509007293356</v>
      </c>
      <c r="M394">
        <v>0.53541076487252104</v>
      </c>
      <c r="N394">
        <v>0.99150141643059497</v>
      </c>
      <c r="O394">
        <v>0.70679886685552396</v>
      </c>
      <c r="P394" t="s">
        <v>9596</v>
      </c>
      <c r="Q394" t="s">
        <v>9597</v>
      </c>
      <c r="R394" t="s">
        <v>235</v>
      </c>
      <c r="S394" t="s">
        <v>236</v>
      </c>
      <c r="T394" t="s">
        <v>9598</v>
      </c>
      <c r="U394" t="s">
        <v>9599</v>
      </c>
      <c r="V394" t="s">
        <v>9600</v>
      </c>
      <c r="W394" t="s">
        <v>9601</v>
      </c>
      <c r="X394" t="s">
        <v>9600</v>
      </c>
      <c r="Y394" t="s">
        <v>241</v>
      </c>
      <c r="Z394" t="s">
        <v>242</v>
      </c>
      <c r="AA394" t="s">
        <v>243</v>
      </c>
      <c r="AB394" t="s">
        <v>242</v>
      </c>
      <c r="AC394" t="s">
        <v>244</v>
      </c>
      <c r="AD394" t="s">
        <v>219</v>
      </c>
      <c r="AE394" t="s">
        <v>9602</v>
      </c>
      <c r="AF394" t="s">
        <v>9607</v>
      </c>
    </row>
    <row r="395" spans="1:32" hidden="1" x14ac:dyDescent="0.35">
      <c r="A395">
        <v>10867</v>
      </c>
      <c r="B395" t="s">
        <v>21846</v>
      </c>
      <c r="C395" t="s">
        <v>33</v>
      </c>
      <c r="D395" t="s">
        <v>58</v>
      </c>
      <c r="E395">
        <v>1669</v>
      </c>
      <c r="F395">
        <v>1</v>
      </c>
      <c r="G395">
        <v>1</v>
      </c>
      <c r="H395">
        <v>1</v>
      </c>
      <c r="I395">
        <v>0</v>
      </c>
      <c r="J395">
        <v>1</v>
      </c>
      <c r="K395">
        <v>1</v>
      </c>
      <c r="L395">
        <v>1</v>
      </c>
      <c r="M395">
        <v>0</v>
      </c>
      <c r="N395">
        <v>0</v>
      </c>
      <c r="O395">
        <v>0</v>
      </c>
      <c r="R395" t="s">
        <v>342</v>
      </c>
      <c r="S395" t="s">
        <v>343</v>
      </c>
      <c r="V395" t="s">
        <v>11690</v>
      </c>
      <c r="W395" t="s">
        <v>11691</v>
      </c>
      <c r="AF395" t="s">
        <v>21847</v>
      </c>
    </row>
    <row r="396" spans="1:32" hidden="1" x14ac:dyDescent="0.35">
      <c r="A396">
        <v>4615</v>
      </c>
      <c r="B396" t="s">
        <v>9650</v>
      </c>
      <c r="C396" t="s">
        <v>72</v>
      </c>
      <c r="D396" t="s">
        <v>60</v>
      </c>
      <c r="E396">
        <v>2001</v>
      </c>
      <c r="F396">
        <v>5</v>
      </c>
      <c r="G396">
        <v>5</v>
      </c>
      <c r="H396">
        <v>1</v>
      </c>
      <c r="I396">
        <v>1</v>
      </c>
      <c r="J396">
        <v>0.749486015749253</v>
      </c>
      <c r="K396">
        <v>0.97671773192677402</v>
      </c>
      <c r="L396">
        <v>0.84814586041651097</v>
      </c>
      <c r="M396">
        <v>0.58181818181818201</v>
      </c>
      <c r="N396">
        <v>0.99090909090909096</v>
      </c>
      <c r="O396">
        <v>0.67863636363636404</v>
      </c>
      <c r="P396" t="s">
        <v>9651</v>
      </c>
      <c r="Q396" t="s">
        <v>9652</v>
      </c>
      <c r="R396" t="s">
        <v>235</v>
      </c>
      <c r="S396" t="s">
        <v>236</v>
      </c>
      <c r="T396" t="s">
        <v>9653</v>
      </c>
      <c r="U396" t="s">
        <v>9654</v>
      </c>
      <c r="V396" t="s">
        <v>9655</v>
      </c>
      <c r="W396" t="s">
        <v>9656</v>
      </c>
      <c r="AD396" t="s">
        <v>546</v>
      </c>
      <c r="AE396" t="s">
        <v>9657</v>
      </c>
      <c r="AF396" t="s">
        <v>9659</v>
      </c>
    </row>
    <row r="397" spans="1:32" hidden="1" x14ac:dyDescent="0.35">
      <c r="A397">
        <v>4616</v>
      </c>
      <c r="B397" t="s">
        <v>9650</v>
      </c>
      <c r="C397" t="s">
        <v>72</v>
      </c>
      <c r="D397" t="s">
        <v>62</v>
      </c>
      <c r="E397">
        <v>2042</v>
      </c>
      <c r="F397">
        <v>5</v>
      </c>
      <c r="G397">
        <v>5</v>
      </c>
      <c r="H397">
        <v>1</v>
      </c>
      <c r="I397">
        <v>1</v>
      </c>
      <c r="J397">
        <v>0.749486015749253</v>
      </c>
      <c r="K397">
        <v>0.97671773192677402</v>
      </c>
      <c r="L397">
        <v>0.84814586041651097</v>
      </c>
      <c r="M397">
        <v>0.58181818181818201</v>
      </c>
      <c r="N397">
        <v>0.99090909090909096</v>
      </c>
      <c r="O397">
        <v>0.67863636363636404</v>
      </c>
      <c r="P397" t="s">
        <v>9651</v>
      </c>
      <c r="Q397" t="s">
        <v>9652</v>
      </c>
      <c r="R397" t="s">
        <v>235</v>
      </c>
      <c r="S397" t="s">
        <v>236</v>
      </c>
      <c r="T397" t="s">
        <v>9653</v>
      </c>
      <c r="U397" t="s">
        <v>9654</v>
      </c>
      <c r="V397" t="s">
        <v>9655</v>
      </c>
      <c r="W397" t="s">
        <v>9656</v>
      </c>
      <c r="AD397" t="s">
        <v>546</v>
      </c>
      <c r="AE397" t="s">
        <v>9657</v>
      </c>
      <c r="AF397" t="s">
        <v>9660</v>
      </c>
    </row>
    <row r="398" spans="1:32" hidden="1" x14ac:dyDescent="0.35">
      <c r="A398">
        <v>4617</v>
      </c>
      <c r="B398" t="s">
        <v>9650</v>
      </c>
      <c r="C398" t="s">
        <v>72</v>
      </c>
      <c r="D398" t="s">
        <v>34</v>
      </c>
      <c r="E398">
        <v>2358</v>
      </c>
      <c r="F398">
        <v>5</v>
      </c>
      <c r="G398">
        <v>5</v>
      </c>
      <c r="H398">
        <v>1</v>
      </c>
      <c r="I398">
        <v>1</v>
      </c>
      <c r="J398">
        <v>0.749486015749253</v>
      </c>
      <c r="K398">
        <v>0.97671773192677402</v>
      </c>
      <c r="L398">
        <v>0.84814586041651097</v>
      </c>
      <c r="M398">
        <v>0.58181818181818201</v>
      </c>
      <c r="N398">
        <v>0.99090909090909096</v>
      </c>
      <c r="O398">
        <v>0.67863636363636404</v>
      </c>
      <c r="P398" t="s">
        <v>9651</v>
      </c>
      <c r="Q398" t="s">
        <v>9652</v>
      </c>
      <c r="R398" t="s">
        <v>235</v>
      </c>
      <c r="S398" t="s">
        <v>236</v>
      </c>
      <c r="T398" t="s">
        <v>9653</v>
      </c>
      <c r="U398" t="s">
        <v>9654</v>
      </c>
      <c r="V398" t="s">
        <v>9655</v>
      </c>
      <c r="W398" t="s">
        <v>9656</v>
      </c>
      <c r="AD398" t="s">
        <v>546</v>
      </c>
      <c r="AE398" t="s">
        <v>9657</v>
      </c>
      <c r="AF398" t="s">
        <v>9661</v>
      </c>
    </row>
    <row r="399" spans="1:32" hidden="1" x14ac:dyDescent="0.35">
      <c r="A399">
        <v>4618</v>
      </c>
      <c r="B399" t="s">
        <v>9650</v>
      </c>
      <c r="C399" t="s">
        <v>72</v>
      </c>
      <c r="D399" t="s">
        <v>45</v>
      </c>
      <c r="E399">
        <v>522</v>
      </c>
      <c r="F399">
        <v>5</v>
      </c>
      <c r="G399">
        <v>5</v>
      </c>
      <c r="H399">
        <v>1</v>
      </c>
      <c r="I399">
        <v>1</v>
      </c>
      <c r="J399">
        <v>0.749486015749253</v>
      </c>
      <c r="K399">
        <v>0.97671773192677402</v>
      </c>
      <c r="L399">
        <v>0.84814586041651097</v>
      </c>
      <c r="M399">
        <v>0.58181818181818201</v>
      </c>
      <c r="N399">
        <v>0.99090909090909096</v>
      </c>
      <c r="O399">
        <v>0.67863636363636404</v>
      </c>
      <c r="P399" t="s">
        <v>9651</v>
      </c>
      <c r="Q399" t="s">
        <v>9652</v>
      </c>
      <c r="R399" t="s">
        <v>235</v>
      </c>
      <c r="S399" t="s">
        <v>236</v>
      </c>
      <c r="T399" t="s">
        <v>9653</v>
      </c>
      <c r="U399" t="s">
        <v>9654</v>
      </c>
      <c r="V399" t="s">
        <v>9655</v>
      </c>
      <c r="W399" t="s">
        <v>9656</v>
      </c>
      <c r="AD399" t="s">
        <v>546</v>
      </c>
      <c r="AE399" t="s">
        <v>9657</v>
      </c>
      <c r="AF399" t="s">
        <v>9662</v>
      </c>
    </row>
    <row r="400" spans="1:32" hidden="1" x14ac:dyDescent="0.35">
      <c r="A400">
        <v>1949</v>
      </c>
      <c r="B400" t="s">
        <v>4044</v>
      </c>
      <c r="C400" t="s">
        <v>72</v>
      </c>
      <c r="D400" t="s">
        <v>58</v>
      </c>
      <c r="E400">
        <v>1234</v>
      </c>
      <c r="F400">
        <v>5</v>
      </c>
      <c r="G400">
        <v>5</v>
      </c>
      <c r="H400">
        <v>1</v>
      </c>
      <c r="I400">
        <v>1</v>
      </c>
      <c r="J400">
        <v>0.81163130943672301</v>
      </c>
      <c r="K400">
        <v>0.90895460406967998</v>
      </c>
      <c r="L400">
        <v>0.85754045726920003</v>
      </c>
      <c r="M400">
        <v>0.58745874587458702</v>
      </c>
      <c r="N400">
        <v>1</v>
      </c>
      <c r="O400">
        <v>0.731683168316832</v>
      </c>
      <c r="P400" t="s">
        <v>169</v>
      </c>
      <c r="Q400" t="s">
        <v>170</v>
      </c>
      <c r="R400" t="s">
        <v>342</v>
      </c>
      <c r="S400" t="s">
        <v>343</v>
      </c>
      <c r="T400" t="s">
        <v>259</v>
      </c>
      <c r="U400" t="s">
        <v>260</v>
      </c>
      <c r="V400" t="s">
        <v>4045</v>
      </c>
      <c r="W400" t="s">
        <v>4046</v>
      </c>
      <c r="AD400" t="s">
        <v>166</v>
      </c>
      <c r="AE400" t="s">
        <v>263</v>
      </c>
      <c r="AF400" t="s">
        <v>4047</v>
      </c>
    </row>
    <row r="401" spans="1:32" hidden="1" x14ac:dyDescent="0.35">
      <c r="A401">
        <v>11893</v>
      </c>
      <c r="B401" t="s">
        <v>24494</v>
      </c>
      <c r="C401" t="s">
        <v>10130</v>
      </c>
      <c r="D401" t="s">
        <v>58</v>
      </c>
      <c r="E401">
        <v>737</v>
      </c>
      <c r="F401">
        <v>1</v>
      </c>
      <c r="G401">
        <v>1</v>
      </c>
      <c r="H401">
        <v>1</v>
      </c>
      <c r="I401">
        <v>0</v>
      </c>
      <c r="J401">
        <v>1</v>
      </c>
      <c r="K401">
        <v>1</v>
      </c>
      <c r="L401">
        <v>1</v>
      </c>
      <c r="M401">
        <v>0</v>
      </c>
      <c r="N401">
        <v>0</v>
      </c>
      <c r="O401">
        <v>0</v>
      </c>
      <c r="P401" t="s">
        <v>15233</v>
      </c>
      <c r="Q401" t="s">
        <v>15234</v>
      </c>
      <c r="R401" t="s">
        <v>138</v>
      </c>
      <c r="S401" t="s">
        <v>139</v>
      </c>
      <c r="V401" t="s">
        <v>11356</v>
      </c>
      <c r="W401" t="s">
        <v>11357</v>
      </c>
      <c r="AF401" t="s">
        <v>24495</v>
      </c>
    </row>
    <row r="402" spans="1:32" hidden="1" x14ac:dyDescent="0.35">
      <c r="A402">
        <v>3964</v>
      </c>
      <c r="B402" t="s">
        <v>8192</v>
      </c>
      <c r="C402" t="s">
        <v>72</v>
      </c>
      <c r="D402" t="s">
        <v>58</v>
      </c>
      <c r="E402">
        <v>940</v>
      </c>
      <c r="F402">
        <v>5</v>
      </c>
      <c r="G402">
        <v>5</v>
      </c>
      <c r="H402">
        <v>1</v>
      </c>
      <c r="I402">
        <v>1</v>
      </c>
      <c r="J402">
        <v>0.87694491766042004</v>
      </c>
      <c r="K402">
        <v>0.97625514693575699</v>
      </c>
      <c r="L402">
        <v>0.923939088715381</v>
      </c>
      <c r="M402">
        <v>0.78221113881961801</v>
      </c>
      <c r="N402">
        <v>0.99750623441396502</v>
      </c>
      <c r="O402">
        <v>0.83192019950124696</v>
      </c>
      <c r="P402" t="s">
        <v>8193</v>
      </c>
      <c r="Q402" t="s">
        <v>8194</v>
      </c>
      <c r="R402" t="s">
        <v>8195</v>
      </c>
      <c r="S402" t="s">
        <v>8196</v>
      </c>
      <c r="T402" t="s">
        <v>8197</v>
      </c>
      <c r="U402" t="s">
        <v>8198</v>
      </c>
      <c r="V402" t="s">
        <v>8199</v>
      </c>
      <c r="W402" t="s">
        <v>8200</v>
      </c>
      <c r="X402" t="s">
        <v>8199</v>
      </c>
      <c r="Y402" t="s">
        <v>8201</v>
      </c>
      <c r="Z402" t="s">
        <v>4557</v>
      </c>
      <c r="AA402" t="s">
        <v>4558</v>
      </c>
      <c r="AB402" t="s">
        <v>4557</v>
      </c>
      <c r="AC402" t="s">
        <v>1800</v>
      </c>
      <c r="AD402" t="s">
        <v>951</v>
      </c>
      <c r="AE402" t="s">
        <v>8202</v>
      </c>
      <c r="AF402" t="s">
        <v>8203</v>
      </c>
    </row>
    <row r="403" spans="1:32" hidden="1" x14ac:dyDescent="0.35">
      <c r="A403">
        <v>3965</v>
      </c>
      <c r="B403" t="s">
        <v>8192</v>
      </c>
      <c r="C403" t="s">
        <v>72</v>
      </c>
      <c r="D403" t="s">
        <v>60</v>
      </c>
      <c r="E403">
        <v>1274</v>
      </c>
      <c r="F403">
        <v>5</v>
      </c>
      <c r="G403">
        <v>5</v>
      </c>
      <c r="H403">
        <v>1</v>
      </c>
      <c r="I403">
        <v>1</v>
      </c>
      <c r="J403">
        <v>0.87694491766042004</v>
      </c>
      <c r="K403">
        <v>0.97625514693575699</v>
      </c>
      <c r="L403">
        <v>0.923939088715381</v>
      </c>
      <c r="M403">
        <v>0.78221113881961801</v>
      </c>
      <c r="N403">
        <v>0.99750623441396502</v>
      </c>
      <c r="O403">
        <v>0.83192019950124696</v>
      </c>
      <c r="P403" t="s">
        <v>8193</v>
      </c>
      <c r="Q403" t="s">
        <v>8194</v>
      </c>
      <c r="R403" t="s">
        <v>8195</v>
      </c>
      <c r="S403" t="s">
        <v>8196</v>
      </c>
      <c r="T403" t="s">
        <v>8197</v>
      </c>
      <c r="U403" t="s">
        <v>8198</v>
      </c>
      <c r="V403" t="s">
        <v>8199</v>
      </c>
      <c r="W403" t="s">
        <v>8200</v>
      </c>
      <c r="X403" t="s">
        <v>8199</v>
      </c>
      <c r="Y403" t="s">
        <v>8201</v>
      </c>
      <c r="Z403" t="s">
        <v>4557</v>
      </c>
      <c r="AA403" t="s">
        <v>4558</v>
      </c>
      <c r="AB403" t="s">
        <v>4557</v>
      </c>
      <c r="AC403" t="s">
        <v>1800</v>
      </c>
      <c r="AD403" t="s">
        <v>951</v>
      </c>
      <c r="AE403" t="s">
        <v>8202</v>
      </c>
      <c r="AF403" t="s">
        <v>8204</v>
      </c>
    </row>
    <row r="404" spans="1:32" hidden="1" x14ac:dyDescent="0.35">
      <c r="A404">
        <v>3966</v>
      </c>
      <c r="B404" t="s">
        <v>8192</v>
      </c>
      <c r="C404" t="s">
        <v>72</v>
      </c>
      <c r="D404" t="s">
        <v>62</v>
      </c>
      <c r="E404">
        <v>1310</v>
      </c>
      <c r="F404">
        <v>5</v>
      </c>
      <c r="G404">
        <v>5</v>
      </c>
      <c r="H404">
        <v>1</v>
      </c>
      <c r="I404">
        <v>1</v>
      </c>
      <c r="J404">
        <v>0.87694491766042004</v>
      </c>
      <c r="K404">
        <v>0.97625514693575699</v>
      </c>
      <c r="L404">
        <v>0.923939088715381</v>
      </c>
      <c r="M404">
        <v>0.78221113881961801</v>
      </c>
      <c r="N404">
        <v>0.99750623441396502</v>
      </c>
      <c r="O404">
        <v>0.83192019950124696</v>
      </c>
      <c r="P404" t="s">
        <v>8193</v>
      </c>
      <c r="Q404" t="s">
        <v>8194</v>
      </c>
      <c r="R404" t="s">
        <v>8195</v>
      </c>
      <c r="S404" t="s">
        <v>8196</v>
      </c>
      <c r="T404" t="s">
        <v>8197</v>
      </c>
      <c r="U404" t="s">
        <v>8198</v>
      </c>
      <c r="V404" t="s">
        <v>8199</v>
      </c>
      <c r="W404" t="s">
        <v>8200</v>
      </c>
      <c r="X404" t="s">
        <v>8199</v>
      </c>
      <c r="Y404" t="s">
        <v>8201</v>
      </c>
      <c r="Z404" t="s">
        <v>4557</v>
      </c>
      <c r="AA404" t="s">
        <v>4558</v>
      </c>
      <c r="AB404" t="s">
        <v>4557</v>
      </c>
      <c r="AC404" t="s">
        <v>1800</v>
      </c>
      <c r="AD404" t="s">
        <v>951</v>
      </c>
      <c r="AE404" t="s">
        <v>8202</v>
      </c>
      <c r="AF404" t="s">
        <v>8205</v>
      </c>
    </row>
    <row r="405" spans="1:32" hidden="1" x14ac:dyDescent="0.35">
      <c r="A405">
        <v>3967</v>
      </c>
      <c r="B405" t="s">
        <v>8192</v>
      </c>
      <c r="C405" t="s">
        <v>72</v>
      </c>
      <c r="D405" t="s">
        <v>34</v>
      </c>
      <c r="E405">
        <v>1727</v>
      </c>
      <c r="F405">
        <v>5</v>
      </c>
      <c r="G405">
        <v>5</v>
      </c>
      <c r="H405">
        <v>1</v>
      </c>
      <c r="I405">
        <v>1</v>
      </c>
      <c r="J405">
        <v>0.87694491766042004</v>
      </c>
      <c r="K405">
        <v>0.97625514693575699</v>
      </c>
      <c r="L405">
        <v>0.923939088715381</v>
      </c>
      <c r="M405">
        <v>0.78221113881961801</v>
      </c>
      <c r="N405">
        <v>0.99750623441396502</v>
      </c>
      <c r="O405">
        <v>0.83192019950124696</v>
      </c>
      <c r="P405" t="s">
        <v>8193</v>
      </c>
      <c r="Q405" t="s">
        <v>8194</v>
      </c>
      <c r="R405" t="s">
        <v>8195</v>
      </c>
      <c r="S405" t="s">
        <v>8196</v>
      </c>
      <c r="T405" t="s">
        <v>8197</v>
      </c>
      <c r="U405" t="s">
        <v>8198</v>
      </c>
      <c r="V405" t="s">
        <v>8199</v>
      </c>
      <c r="W405" t="s">
        <v>8200</v>
      </c>
      <c r="X405" t="s">
        <v>8199</v>
      </c>
      <c r="Y405" t="s">
        <v>8201</v>
      </c>
      <c r="Z405" t="s">
        <v>4557</v>
      </c>
      <c r="AA405" t="s">
        <v>4558</v>
      </c>
      <c r="AB405" t="s">
        <v>4557</v>
      </c>
      <c r="AC405" t="s">
        <v>1800</v>
      </c>
      <c r="AD405" t="s">
        <v>951</v>
      </c>
      <c r="AE405" t="s">
        <v>8202</v>
      </c>
      <c r="AF405" t="s">
        <v>8206</v>
      </c>
    </row>
    <row r="406" spans="1:32" hidden="1" x14ac:dyDescent="0.35">
      <c r="A406">
        <v>3968</v>
      </c>
      <c r="B406" t="s">
        <v>8192</v>
      </c>
      <c r="C406" t="s">
        <v>72</v>
      </c>
      <c r="D406" t="s">
        <v>45</v>
      </c>
      <c r="E406">
        <v>1147</v>
      </c>
      <c r="F406">
        <v>5</v>
      </c>
      <c r="G406">
        <v>5</v>
      </c>
      <c r="H406">
        <v>1</v>
      </c>
      <c r="I406">
        <v>1</v>
      </c>
      <c r="J406">
        <v>0.87694491766042004</v>
      </c>
      <c r="K406">
        <v>0.97625514693575699</v>
      </c>
      <c r="L406">
        <v>0.923939088715381</v>
      </c>
      <c r="M406">
        <v>0.78221113881961801</v>
      </c>
      <c r="N406">
        <v>0.99750623441396502</v>
      </c>
      <c r="O406">
        <v>0.83192019950124696</v>
      </c>
      <c r="P406" t="s">
        <v>8193</v>
      </c>
      <c r="Q406" t="s">
        <v>8194</v>
      </c>
      <c r="R406" t="s">
        <v>8195</v>
      </c>
      <c r="S406" t="s">
        <v>8196</v>
      </c>
      <c r="T406" t="s">
        <v>8197</v>
      </c>
      <c r="U406" t="s">
        <v>8198</v>
      </c>
      <c r="V406" t="s">
        <v>8199</v>
      </c>
      <c r="W406" t="s">
        <v>8200</v>
      </c>
      <c r="X406" t="s">
        <v>8199</v>
      </c>
      <c r="Y406" t="s">
        <v>8201</v>
      </c>
      <c r="Z406" t="s">
        <v>4557</v>
      </c>
      <c r="AA406" t="s">
        <v>4558</v>
      </c>
      <c r="AB406" t="s">
        <v>4557</v>
      </c>
      <c r="AC406" t="s">
        <v>1800</v>
      </c>
      <c r="AD406" t="s">
        <v>951</v>
      </c>
      <c r="AE406" t="s">
        <v>8202</v>
      </c>
      <c r="AF406" t="s">
        <v>8207</v>
      </c>
    </row>
    <row r="407" spans="1:32" hidden="1" x14ac:dyDescent="0.35">
      <c r="A407">
        <v>4164</v>
      </c>
      <c r="B407" t="s">
        <v>8620</v>
      </c>
      <c r="C407" t="s">
        <v>72</v>
      </c>
      <c r="D407" t="s">
        <v>58</v>
      </c>
      <c r="E407">
        <v>1867</v>
      </c>
      <c r="F407">
        <v>5</v>
      </c>
      <c r="G407">
        <v>5</v>
      </c>
      <c r="H407">
        <v>1</v>
      </c>
      <c r="I407">
        <v>1</v>
      </c>
      <c r="J407">
        <v>0.74944694212516905</v>
      </c>
      <c r="K407">
        <v>0.90791237461202901</v>
      </c>
      <c r="L407">
        <v>0.82110396460091195</v>
      </c>
      <c r="M407">
        <v>0.52998065764023194</v>
      </c>
      <c r="N407">
        <v>0.97872340425531901</v>
      </c>
      <c r="O407">
        <v>0.64970986460348201</v>
      </c>
      <c r="P407" t="s">
        <v>1004</v>
      </c>
      <c r="Q407" t="s">
        <v>1005</v>
      </c>
      <c r="R407" t="s">
        <v>8195</v>
      </c>
      <c r="S407" t="s">
        <v>8196</v>
      </c>
      <c r="T407" t="s">
        <v>8621</v>
      </c>
      <c r="U407" t="s">
        <v>8622</v>
      </c>
      <c r="V407" t="s">
        <v>8623</v>
      </c>
      <c r="W407" t="s">
        <v>8624</v>
      </c>
      <c r="X407" t="s">
        <v>8623</v>
      </c>
      <c r="Y407" t="s">
        <v>8625</v>
      </c>
      <c r="Z407" t="s">
        <v>242</v>
      </c>
      <c r="AA407" t="s">
        <v>243</v>
      </c>
      <c r="AB407" t="s">
        <v>242</v>
      </c>
      <c r="AC407" t="s">
        <v>244</v>
      </c>
      <c r="AD407" t="s">
        <v>191</v>
      </c>
      <c r="AE407" t="s">
        <v>8626</v>
      </c>
      <c r="AF407" t="s">
        <v>8627</v>
      </c>
    </row>
    <row r="408" spans="1:32" hidden="1" x14ac:dyDescent="0.35">
      <c r="A408">
        <v>4165</v>
      </c>
      <c r="B408" t="s">
        <v>8620</v>
      </c>
      <c r="C408" t="s">
        <v>72</v>
      </c>
      <c r="D408" t="s">
        <v>60</v>
      </c>
      <c r="E408">
        <v>2530</v>
      </c>
      <c r="F408">
        <v>5</v>
      </c>
      <c r="G408">
        <v>5</v>
      </c>
      <c r="H408">
        <v>1</v>
      </c>
      <c r="I408">
        <v>1</v>
      </c>
      <c r="J408">
        <v>0.74944694212516905</v>
      </c>
      <c r="K408">
        <v>0.90791237461202901</v>
      </c>
      <c r="L408">
        <v>0.82110396460091195</v>
      </c>
      <c r="M408">
        <v>0.52998065764023194</v>
      </c>
      <c r="N408">
        <v>0.97872340425531901</v>
      </c>
      <c r="O408">
        <v>0.64970986460348201</v>
      </c>
      <c r="P408" t="s">
        <v>1004</v>
      </c>
      <c r="Q408" t="s">
        <v>1005</v>
      </c>
      <c r="R408" t="s">
        <v>8195</v>
      </c>
      <c r="S408" t="s">
        <v>8196</v>
      </c>
      <c r="T408" t="s">
        <v>8621</v>
      </c>
      <c r="U408" t="s">
        <v>8622</v>
      </c>
      <c r="V408" t="s">
        <v>8623</v>
      </c>
      <c r="W408" t="s">
        <v>8624</v>
      </c>
      <c r="X408" t="s">
        <v>8623</v>
      </c>
      <c r="Y408" t="s">
        <v>8625</v>
      </c>
      <c r="Z408" t="s">
        <v>242</v>
      </c>
      <c r="AA408" t="s">
        <v>243</v>
      </c>
      <c r="AB408" t="s">
        <v>242</v>
      </c>
      <c r="AC408" t="s">
        <v>244</v>
      </c>
      <c r="AD408" t="s">
        <v>191</v>
      </c>
      <c r="AE408" t="s">
        <v>8626</v>
      </c>
      <c r="AF408" t="s">
        <v>8628</v>
      </c>
    </row>
    <row r="409" spans="1:32" hidden="1" x14ac:dyDescent="0.35">
      <c r="A409">
        <v>4166</v>
      </c>
      <c r="B409" t="s">
        <v>8620</v>
      </c>
      <c r="C409" t="s">
        <v>72</v>
      </c>
      <c r="D409" t="s">
        <v>62</v>
      </c>
      <c r="E409">
        <v>55</v>
      </c>
      <c r="F409">
        <v>5</v>
      </c>
      <c r="G409">
        <v>5</v>
      </c>
      <c r="H409">
        <v>1</v>
      </c>
      <c r="I409">
        <v>1</v>
      </c>
      <c r="J409">
        <v>0.74944694212516905</v>
      </c>
      <c r="K409">
        <v>0.90791237461202901</v>
      </c>
      <c r="L409">
        <v>0.82110396460091195</v>
      </c>
      <c r="M409">
        <v>0.52998065764023194</v>
      </c>
      <c r="N409">
        <v>0.97872340425531901</v>
      </c>
      <c r="O409">
        <v>0.64970986460348201</v>
      </c>
      <c r="P409" t="s">
        <v>1004</v>
      </c>
      <c r="Q409" t="s">
        <v>1005</v>
      </c>
      <c r="R409" t="s">
        <v>8195</v>
      </c>
      <c r="S409" t="s">
        <v>8196</v>
      </c>
      <c r="T409" t="s">
        <v>8621</v>
      </c>
      <c r="U409" t="s">
        <v>8622</v>
      </c>
      <c r="V409" t="s">
        <v>8623</v>
      </c>
      <c r="W409" t="s">
        <v>8624</v>
      </c>
      <c r="X409" t="s">
        <v>8623</v>
      </c>
      <c r="Y409" t="s">
        <v>8625</v>
      </c>
      <c r="Z409" t="s">
        <v>242</v>
      </c>
      <c r="AA409" t="s">
        <v>243</v>
      </c>
      <c r="AB409" t="s">
        <v>242</v>
      </c>
      <c r="AC409" t="s">
        <v>244</v>
      </c>
      <c r="AD409" t="s">
        <v>191</v>
      </c>
      <c r="AE409" t="s">
        <v>8626</v>
      </c>
      <c r="AF409" t="s">
        <v>8629</v>
      </c>
    </row>
    <row r="410" spans="1:32" hidden="1" x14ac:dyDescent="0.35">
      <c r="A410">
        <v>4167</v>
      </c>
      <c r="B410" t="s">
        <v>8620</v>
      </c>
      <c r="C410" t="s">
        <v>72</v>
      </c>
      <c r="D410" t="s">
        <v>34</v>
      </c>
      <c r="E410">
        <v>1115</v>
      </c>
      <c r="F410">
        <v>5</v>
      </c>
      <c r="G410">
        <v>5</v>
      </c>
      <c r="H410">
        <v>1</v>
      </c>
      <c r="I410">
        <v>1</v>
      </c>
      <c r="J410">
        <v>0.74944694212516905</v>
      </c>
      <c r="K410">
        <v>0.90791237461202901</v>
      </c>
      <c r="L410">
        <v>0.82110396460091195</v>
      </c>
      <c r="M410">
        <v>0.52998065764023194</v>
      </c>
      <c r="N410">
        <v>0.97872340425531901</v>
      </c>
      <c r="O410">
        <v>0.64970986460348201</v>
      </c>
      <c r="P410" t="s">
        <v>1004</v>
      </c>
      <c r="Q410" t="s">
        <v>1005</v>
      </c>
      <c r="R410" t="s">
        <v>8195</v>
      </c>
      <c r="S410" t="s">
        <v>8196</v>
      </c>
      <c r="T410" t="s">
        <v>8621</v>
      </c>
      <c r="U410" t="s">
        <v>8622</v>
      </c>
      <c r="V410" t="s">
        <v>8623</v>
      </c>
      <c r="W410" t="s">
        <v>8624</v>
      </c>
      <c r="X410" t="s">
        <v>8623</v>
      </c>
      <c r="Y410" t="s">
        <v>8625</v>
      </c>
      <c r="Z410" t="s">
        <v>242</v>
      </c>
      <c r="AA410" t="s">
        <v>243</v>
      </c>
      <c r="AB410" t="s">
        <v>242</v>
      </c>
      <c r="AC410" t="s">
        <v>244</v>
      </c>
      <c r="AD410" t="s">
        <v>191</v>
      </c>
      <c r="AE410" t="s">
        <v>8626</v>
      </c>
      <c r="AF410" t="s">
        <v>8630</v>
      </c>
    </row>
    <row r="411" spans="1:32" hidden="1" x14ac:dyDescent="0.35">
      <c r="A411">
        <v>4168</v>
      </c>
      <c r="B411" t="s">
        <v>8620</v>
      </c>
      <c r="C411" t="s">
        <v>72</v>
      </c>
      <c r="D411" t="s">
        <v>45</v>
      </c>
      <c r="E411">
        <v>2368</v>
      </c>
      <c r="F411">
        <v>5</v>
      </c>
      <c r="G411">
        <v>5</v>
      </c>
      <c r="H411">
        <v>1</v>
      </c>
      <c r="I411">
        <v>1</v>
      </c>
      <c r="J411">
        <v>0.74944694212516905</v>
      </c>
      <c r="K411">
        <v>0.90791237461202901</v>
      </c>
      <c r="L411">
        <v>0.82110396460091195</v>
      </c>
      <c r="M411">
        <v>0.52998065764023194</v>
      </c>
      <c r="N411">
        <v>0.97872340425531901</v>
      </c>
      <c r="O411">
        <v>0.64970986460348201</v>
      </c>
      <c r="P411" t="s">
        <v>1004</v>
      </c>
      <c r="Q411" t="s">
        <v>1005</v>
      </c>
      <c r="R411" t="s">
        <v>8195</v>
      </c>
      <c r="S411" t="s">
        <v>8196</v>
      </c>
      <c r="T411" t="s">
        <v>8621</v>
      </c>
      <c r="U411" t="s">
        <v>8622</v>
      </c>
      <c r="V411" t="s">
        <v>8623</v>
      </c>
      <c r="W411" t="s">
        <v>8624</v>
      </c>
      <c r="X411" t="s">
        <v>8623</v>
      </c>
      <c r="Y411" t="s">
        <v>8625</v>
      </c>
      <c r="Z411" t="s">
        <v>242</v>
      </c>
      <c r="AA411" t="s">
        <v>243</v>
      </c>
      <c r="AB411" t="s">
        <v>242</v>
      </c>
      <c r="AC411" t="s">
        <v>244</v>
      </c>
      <c r="AD411" t="s">
        <v>191</v>
      </c>
      <c r="AE411" t="s">
        <v>8626</v>
      </c>
      <c r="AF411" t="s">
        <v>8631</v>
      </c>
    </row>
    <row r="412" spans="1:32" hidden="1" x14ac:dyDescent="0.35">
      <c r="A412">
        <v>4609</v>
      </c>
      <c r="B412" t="s">
        <v>9637</v>
      </c>
      <c r="C412" t="s">
        <v>72</v>
      </c>
      <c r="D412" t="s">
        <v>58</v>
      </c>
      <c r="E412">
        <v>781</v>
      </c>
      <c r="F412">
        <v>5</v>
      </c>
      <c r="G412">
        <v>5</v>
      </c>
      <c r="H412">
        <v>1</v>
      </c>
      <c r="I412">
        <v>1</v>
      </c>
      <c r="J412">
        <v>0.87846655791190897</v>
      </c>
      <c r="K412">
        <v>0.98723390992675997</v>
      </c>
      <c r="L412">
        <v>0.92967975262604596</v>
      </c>
      <c r="M412">
        <v>0.72785829307568395</v>
      </c>
      <c r="N412">
        <v>0.99838969404186795</v>
      </c>
      <c r="O412">
        <v>0.82850241545893699</v>
      </c>
      <c r="P412" t="s">
        <v>9638</v>
      </c>
      <c r="Q412" t="s">
        <v>9639</v>
      </c>
      <c r="R412" t="s">
        <v>9640</v>
      </c>
      <c r="S412" t="s">
        <v>9641</v>
      </c>
      <c r="T412" t="s">
        <v>9642</v>
      </c>
      <c r="U412" t="s">
        <v>9643</v>
      </c>
      <c r="V412" t="s">
        <v>9644</v>
      </c>
      <c r="W412" t="s">
        <v>9645</v>
      </c>
      <c r="X412" t="s">
        <v>9644</v>
      </c>
      <c r="Y412" t="s">
        <v>1108</v>
      </c>
      <c r="Z412" t="s">
        <v>1109</v>
      </c>
      <c r="AA412" t="s">
        <v>1110</v>
      </c>
      <c r="AB412" t="s">
        <v>1109</v>
      </c>
      <c r="AC412" t="s">
        <v>1111</v>
      </c>
      <c r="AD412" t="s">
        <v>245</v>
      </c>
      <c r="AE412" t="s">
        <v>9646</v>
      </c>
      <c r="AF412" t="s">
        <v>9647</v>
      </c>
    </row>
    <row r="413" spans="1:32" hidden="1" x14ac:dyDescent="0.35">
      <c r="A413">
        <v>4610</v>
      </c>
      <c r="B413" t="s">
        <v>9637</v>
      </c>
      <c r="C413" t="s">
        <v>72</v>
      </c>
      <c r="D413" t="s">
        <v>60</v>
      </c>
      <c r="E413">
        <v>1056</v>
      </c>
      <c r="F413">
        <v>5</v>
      </c>
      <c r="G413">
        <v>5</v>
      </c>
      <c r="H413">
        <v>1</v>
      </c>
      <c r="I413">
        <v>1</v>
      </c>
      <c r="J413">
        <v>0.87846655791190897</v>
      </c>
      <c r="K413">
        <v>0.98723390992675997</v>
      </c>
      <c r="L413">
        <v>0.92967975262604596</v>
      </c>
      <c r="M413">
        <v>0.72785829307568395</v>
      </c>
      <c r="N413">
        <v>0.99838969404186795</v>
      </c>
      <c r="O413">
        <v>0.82850241545893699</v>
      </c>
      <c r="P413" t="s">
        <v>9638</v>
      </c>
      <c r="Q413" t="s">
        <v>9639</v>
      </c>
      <c r="R413" t="s">
        <v>9640</v>
      </c>
      <c r="S413" t="s">
        <v>9641</v>
      </c>
      <c r="T413" t="s">
        <v>9642</v>
      </c>
      <c r="U413" t="s">
        <v>9643</v>
      </c>
      <c r="V413" t="s">
        <v>9644</v>
      </c>
      <c r="W413" t="s">
        <v>9645</v>
      </c>
      <c r="X413" t="s">
        <v>9644</v>
      </c>
      <c r="Y413" t="s">
        <v>1108</v>
      </c>
      <c r="Z413" t="s">
        <v>1109</v>
      </c>
      <c r="AA413" t="s">
        <v>1110</v>
      </c>
      <c r="AB413" t="s">
        <v>1109</v>
      </c>
      <c r="AC413" t="s">
        <v>1111</v>
      </c>
      <c r="AD413" t="s">
        <v>245</v>
      </c>
      <c r="AE413" t="s">
        <v>9646</v>
      </c>
      <c r="AF413" t="s">
        <v>9648</v>
      </c>
    </row>
    <row r="414" spans="1:32" hidden="1" x14ac:dyDescent="0.35">
      <c r="A414">
        <v>4611</v>
      </c>
      <c r="B414" t="s">
        <v>9637</v>
      </c>
      <c r="C414" t="s">
        <v>72</v>
      </c>
      <c r="D414" t="s">
        <v>62</v>
      </c>
      <c r="E414">
        <v>1092</v>
      </c>
      <c r="F414">
        <v>5</v>
      </c>
      <c r="G414">
        <v>5</v>
      </c>
      <c r="H414">
        <v>1</v>
      </c>
      <c r="I414">
        <v>1</v>
      </c>
      <c r="J414">
        <v>0.87846655791190897</v>
      </c>
      <c r="K414">
        <v>0.98723390992675997</v>
      </c>
      <c r="L414">
        <v>0.92967975262604596</v>
      </c>
      <c r="M414">
        <v>0.72785829307568395</v>
      </c>
      <c r="N414">
        <v>0.99838969404186795</v>
      </c>
      <c r="O414">
        <v>0.82850241545893699</v>
      </c>
      <c r="P414" t="s">
        <v>9638</v>
      </c>
      <c r="Q414" t="s">
        <v>9639</v>
      </c>
      <c r="R414" t="s">
        <v>9640</v>
      </c>
      <c r="S414" t="s">
        <v>9641</v>
      </c>
      <c r="T414" t="s">
        <v>9642</v>
      </c>
      <c r="U414" t="s">
        <v>9643</v>
      </c>
      <c r="V414" t="s">
        <v>9644</v>
      </c>
      <c r="W414" t="s">
        <v>9645</v>
      </c>
      <c r="X414" t="s">
        <v>9644</v>
      </c>
      <c r="Y414" t="s">
        <v>1108</v>
      </c>
      <c r="Z414" t="s">
        <v>1109</v>
      </c>
      <c r="AA414" t="s">
        <v>1110</v>
      </c>
      <c r="AB414" t="s">
        <v>1109</v>
      </c>
      <c r="AC414" t="s">
        <v>1111</v>
      </c>
      <c r="AD414" t="s">
        <v>245</v>
      </c>
      <c r="AE414" t="s">
        <v>9646</v>
      </c>
      <c r="AF414" t="s">
        <v>9648</v>
      </c>
    </row>
    <row r="415" spans="1:32" hidden="1" x14ac:dyDescent="0.35">
      <c r="A415">
        <v>4612</v>
      </c>
      <c r="B415" t="s">
        <v>9637</v>
      </c>
      <c r="C415" t="s">
        <v>72</v>
      </c>
      <c r="D415" t="s">
        <v>34</v>
      </c>
      <c r="E415">
        <v>60</v>
      </c>
      <c r="F415">
        <v>5</v>
      </c>
      <c r="G415">
        <v>5</v>
      </c>
      <c r="H415">
        <v>1</v>
      </c>
      <c r="I415">
        <v>1</v>
      </c>
      <c r="J415">
        <v>0.87846655791190897</v>
      </c>
      <c r="K415">
        <v>0.98723390992675997</v>
      </c>
      <c r="L415">
        <v>0.92967975262604596</v>
      </c>
      <c r="M415">
        <v>0.72785829307568395</v>
      </c>
      <c r="N415">
        <v>0.99838969404186795</v>
      </c>
      <c r="O415">
        <v>0.82850241545893699</v>
      </c>
      <c r="P415" t="s">
        <v>9638</v>
      </c>
      <c r="Q415" t="s">
        <v>9639</v>
      </c>
      <c r="R415" t="s">
        <v>9640</v>
      </c>
      <c r="S415" t="s">
        <v>9641</v>
      </c>
      <c r="T415" t="s">
        <v>9642</v>
      </c>
      <c r="U415" t="s">
        <v>9643</v>
      </c>
      <c r="V415" t="s">
        <v>9644</v>
      </c>
      <c r="W415" t="s">
        <v>9645</v>
      </c>
      <c r="X415" t="s">
        <v>9644</v>
      </c>
      <c r="Y415" t="s">
        <v>1108</v>
      </c>
      <c r="Z415" t="s">
        <v>1109</v>
      </c>
      <c r="AA415" t="s">
        <v>1110</v>
      </c>
      <c r="AB415" t="s">
        <v>1109</v>
      </c>
      <c r="AC415" t="s">
        <v>1111</v>
      </c>
      <c r="AD415" t="s">
        <v>245</v>
      </c>
      <c r="AE415" t="s">
        <v>9646</v>
      </c>
      <c r="AF415" t="s">
        <v>9649</v>
      </c>
    </row>
    <row r="416" spans="1:32" hidden="1" x14ac:dyDescent="0.35">
      <c r="A416">
        <v>4613</v>
      </c>
      <c r="B416" t="s">
        <v>9637</v>
      </c>
      <c r="C416" t="s">
        <v>72</v>
      </c>
      <c r="D416" t="s">
        <v>45</v>
      </c>
      <c r="E416">
        <v>1318</v>
      </c>
      <c r="F416">
        <v>5</v>
      </c>
      <c r="G416">
        <v>5</v>
      </c>
      <c r="H416">
        <v>1</v>
      </c>
      <c r="I416">
        <v>1</v>
      </c>
      <c r="J416">
        <v>0.87846655791190897</v>
      </c>
      <c r="K416">
        <v>0.98723390992675997</v>
      </c>
      <c r="L416">
        <v>0.92967975262604596</v>
      </c>
      <c r="M416">
        <v>0.72785829307568395</v>
      </c>
      <c r="N416">
        <v>0.99838969404186795</v>
      </c>
      <c r="O416">
        <v>0.82850241545893699</v>
      </c>
      <c r="P416" t="s">
        <v>9638</v>
      </c>
      <c r="Q416" t="s">
        <v>9639</v>
      </c>
      <c r="R416" t="s">
        <v>9640</v>
      </c>
      <c r="S416" t="s">
        <v>9641</v>
      </c>
      <c r="T416" t="s">
        <v>9642</v>
      </c>
      <c r="U416" t="s">
        <v>9643</v>
      </c>
      <c r="V416" t="s">
        <v>9644</v>
      </c>
      <c r="W416" t="s">
        <v>9645</v>
      </c>
      <c r="X416" t="s">
        <v>9644</v>
      </c>
      <c r="Y416" t="s">
        <v>1108</v>
      </c>
      <c r="Z416" t="s">
        <v>1109</v>
      </c>
      <c r="AA416" t="s">
        <v>1110</v>
      </c>
      <c r="AB416" t="s">
        <v>1109</v>
      </c>
      <c r="AC416" t="s">
        <v>1111</v>
      </c>
      <c r="AD416" t="s">
        <v>245</v>
      </c>
      <c r="AE416" t="s">
        <v>9646</v>
      </c>
      <c r="AF416" t="s">
        <v>9649</v>
      </c>
    </row>
    <row r="417" spans="1:32" hidden="1" x14ac:dyDescent="0.35">
      <c r="A417">
        <v>559</v>
      </c>
      <c r="B417" t="s">
        <v>1099</v>
      </c>
      <c r="C417" t="s">
        <v>72</v>
      </c>
      <c r="D417" t="s">
        <v>58</v>
      </c>
      <c r="E417">
        <v>786</v>
      </c>
      <c r="F417">
        <v>5</v>
      </c>
      <c r="G417">
        <v>5</v>
      </c>
      <c r="H417">
        <v>1</v>
      </c>
      <c r="I417">
        <v>1</v>
      </c>
      <c r="J417">
        <v>0.88981206726013895</v>
      </c>
      <c r="K417">
        <v>1</v>
      </c>
      <c r="L417">
        <v>0.94169370878258096</v>
      </c>
      <c r="M417">
        <v>0.79525222551928798</v>
      </c>
      <c r="N417">
        <v>1</v>
      </c>
      <c r="O417">
        <v>0.85103857566765595</v>
      </c>
      <c r="P417" t="s">
        <v>1100</v>
      </c>
      <c r="Q417" t="s">
        <v>1101</v>
      </c>
      <c r="R417" t="s">
        <v>1102</v>
      </c>
      <c r="S417" t="s">
        <v>1103</v>
      </c>
      <c r="T417" t="s">
        <v>1104</v>
      </c>
      <c r="U417" t="s">
        <v>1105</v>
      </c>
      <c r="V417" t="s">
        <v>1106</v>
      </c>
      <c r="W417" t="s">
        <v>1107</v>
      </c>
      <c r="X417" t="s">
        <v>1106</v>
      </c>
      <c r="Y417" t="s">
        <v>1108</v>
      </c>
      <c r="Z417" t="s">
        <v>1109</v>
      </c>
      <c r="AA417" t="s">
        <v>1110</v>
      </c>
      <c r="AB417" t="s">
        <v>1109</v>
      </c>
      <c r="AC417" t="s">
        <v>1111</v>
      </c>
      <c r="AD417" t="s">
        <v>245</v>
      </c>
      <c r="AE417" t="s">
        <v>1112</v>
      </c>
      <c r="AF417" t="s">
        <v>1113</v>
      </c>
    </row>
    <row r="418" spans="1:32" hidden="1" x14ac:dyDescent="0.35">
      <c r="A418">
        <v>560</v>
      </c>
      <c r="B418" t="s">
        <v>1099</v>
      </c>
      <c r="C418" t="s">
        <v>72</v>
      </c>
      <c r="D418" t="s">
        <v>60</v>
      </c>
      <c r="E418">
        <v>1061</v>
      </c>
      <c r="F418">
        <v>5</v>
      </c>
      <c r="G418">
        <v>5</v>
      </c>
      <c r="H418">
        <v>1</v>
      </c>
      <c r="I418">
        <v>1</v>
      </c>
      <c r="J418">
        <v>0.88981206726013895</v>
      </c>
      <c r="K418">
        <v>1</v>
      </c>
      <c r="L418">
        <v>0.94169370878258096</v>
      </c>
      <c r="M418">
        <v>0.79525222551928798</v>
      </c>
      <c r="N418">
        <v>1</v>
      </c>
      <c r="O418">
        <v>0.85103857566765595</v>
      </c>
      <c r="P418" t="s">
        <v>1100</v>
      </c>
      <c r="Q418" t="s">
        <v>1101</v>
      </c>
      <c r="R418" t="s">
        <v>1102</v>
      </c>
      <c r="S418" t="s">
        <v>1103</v>
      </c>
      <c r="T418" t="s">
        <v>1104</v>
      </c>
      <c r="U418" t="s">
        <v>1105</v>
      </c>
      <c r="V418" t="s">
        <v>1106</v>
      </c>
      <c r="W418" t="s">
        <v>1107</v>
      </c>
      <c r="X418" t="s">
        <v>1106</v>
      </c>
      <c r="Y418" t="s">
        <v>1108</v>
      </c>
      <c r="Z418" t="s">
        <v>1109</v>
      </c>
      <c r="AA418" t="s">
        <v>1110</v>
      </c>
      <c r="AB418" t="s">
        <v>1109</v>
      </c>
      <c r="AC418" t="s">
        <v>1111</v>
      </c>
      <c r="AD418" t="s">
        <v>245</v>
      </c>
      <c r="AE418" t="s">
        <v>1112</v>
      </c>
      <c r="AF418" t="s">
        <v>1114</v>
      </c>
    </row>
    <row r="419" spans="1:32" hidden="1" x14ac:dyDescent="0.35">
      <c r="A419">
        <v>561</v>
      </c>
      <c r="B419" t="s">
        <v>1099</v>
      </c>
      <c r="C419" t="s">
        <v>72</v>
      </c>
      <c r="D419" t="s">
        <v>62</v>
      </c>
      <c r="E419">
        <v>1097</v>
      </c>
      <c r="F419">
        <v>5</v>
      </c>
      <c r="G419">
        <v>5</v>
      </c>
      <c r="H419">
        <v>1</v>
      </c>
      <c r="I419">
        <v>1</v>
      </c>
      <c r="J419">
        <v>0.88981206726013895</v>
      </c>
      <c r="K419">
        <v>1</v>
      </c>
      <c r="L419">
        <v>0.94169370878258096</v>
      </c>
      <c r="M419">
        <v>0.79525222551928798</v>
      </c>
      <c r="N419">
        <v>1</v>
      </c>
      <c r="O419">
        <v>0.85103857566765595</v>
      </c>
      <c r="P419" t="s">
        <v>1100</v>
      </c>
      <c r="Q419" t="s">
        <v>1101</v>
      </c>
      <c r="R419" t="s">
        <v>1102</v>
      </c>
      <c r="S419" t="s">
        <v>1103</v>
      </c>
      <c r="T419" t="s">
        <v>1104</v>
      </c>
      <c r="U419" t="s">
        <v>1105</v>
      </c>
      <c r="V419" t="s">
        <v>1106</v>
      </c>
      <c r="W419" t="s">
        <v>1107</v>
      </c>
      <c r="X419" t="s">
        <v>1106</v>
      </c>
      <c r="Y419" t="s">
        <v>1108</v>
      </c>
      <c r="Z419" t="s">
        <v>1109</v>
      </c>
      <c r="AA419" t="s">
        <v>1110</v>
      </c>
      <c r="AB419" t="s">
        <v>1109</v>
      </c>
      <c r="AC419" t="s">
        <v>1111</v>
      </c>
      <c r="AD419" t="s">
        <v>245</v>
      </c>
      <c r="AE419" t="s">
        <v>1112</v>
      </c>
      <c r="AF419" t="s">
        <v>1114</v>
      </c>
    </row>
    <row r="420" spans="1:32" hidden="1" x14ac:dyDescent="0.35">
      <c r="A420">
        <v>562</v>
      </c>
      <c r="B420" t="s">
        <v>1099</v>
      </c>
      <c r="C420" t="s">
        <v>72</v>
      </c>
      <c r="D420" t="s">
        <v>34</v>
      </c>
      <c r="E420">
        <v>55</v>
      </c>
      <c r="F420">
        <v>5</v>
      </c>
      <c r="G420">
        <v>5</v>
      </c>
      <c r="H420">
        <v>1</v>
      </c>
      <c r="I420">
        <v>1</v>
      </c>
      <c r="J420">
        <v>0.88981206726013895</v>
      </c>
      <c r="K420">
        <v>1</v>
      </c>
      <c r="L420">
        <v>0.94169370878258096</v>
      </c>
      <c r="M420">
        <v>0.79525222551928798</v>
      </c>
      <c r="N420">
        <v>1</v>
      </c>
      <c r="O420">
        <v>0.85103857566765595</v>
      </c>
      <c r="P420" t="s">
        <v>1100</v>
      </c>
      <c r="Q420" t="s">
        <v>1101</v>
      </c>
      <c r="R420" t="s">
        <v>1102</v>
      </c>
      <c r="S420" t="s">
        <v>1103</v>
      </c>
      <c r="T420" t="s">
        <v>1104</v>
      </c>
      <c r="U420" t="s">
        <v>1105</v>
      </c>
      <c r="V420" t="s">
        <v>1106</v>
      </c>
      <c r="W420" t="s">
        <v>1107</v>
      </c>
      <c r="X420" t="s">
        <v>1106</v>
      </c>
      <c r="Y420" t="s">
        <v>1108</v>
      </c>
      <c r="Z420" t="s">
        <v>1109</v>
      </c>
      <c r="AA420" t="s">
        <v>1110</v>
      </c>
      <c r="AB420" t="s">
        <v>1109</v>
      </c>
      <c r="AC420" t="s">
        <v>1111</v>
      </c>
      <c r="AD420" t="s">
        <v>245</v>
      </c>
      <c r="AE420" t="s">
        <v>1112</v>
      </c>
      <c r="AF420" t="s">
        <v>1115</v>
      </c>
    </row>
    <row r="421" spans="1:32" hidden="1" x14ac:dyDescent="0.35">
      <c r="A421">
        <v>563</v>
      </c>
      <c r="B421" t="s">
        <v>1099</v>
      </c>
      <c r="C421" t="s">
        <v>72</v>
      </c>
      <c r="D421" t="s">
        <v>45</v>
      </c>
      <c r="E421">
        <v>1313</v>
      </c>
      <c r="F421">
        <v>5</v>
      </c>
      <c r="G421">
        <v>5</v>
      </c>
      <c r="H421">
        <v>1</v>
      </c>
      <c r="I421">
        <v>1</v>
      </c>
      <c r="J421">
        <v>0.88981206726013895</v>
      </c>
      <c r="K421">
        <v>1</v>
      </c>
      <c r="L421">
        <v>0.94169370878258096</v>
      </c>
      <c r="M421">
        <v>0.79525222551928798</v>
      </c>
      <c r="N421">
        <v>1</v>
      </c>
      <c r="O421">
        <v>0.85103857566765595</v>
      </c>
      <c r="P421" t="s">
        <v>1100</v>
      </c>
      <c r="Q421" t="s">
        <v>1101</v>
      </c>
      <c r="R421" t="s">
        <v>1102</v>
      </c>
      <c r="S421" t="s">
        <v>1103</v>
      </c>
      <c r="T421" t="s">
        <v>1104</v>
      </c>
      <c r="U421" t="s">
        <v>1105</v>
      </c>
      <c r="V421" t="s">
        <v>1106</v>
      </c>
      <c r="W421" t="s">
        <v>1107</v>
      </c>
      <c r="X421" t="s">
        <v>1106</v>
      </c>
      <c r="Y421" t="s">
        <v>1108</v>
      </c>
      <c r="Z421" t="s">
        <v>1109</v>
      </c>
      <c r="AA421" t="s">
        <v>1110</v>
      </c>
      <c r="AB421" t="s">
        <v>1109</v>
      </c>
      <c r="AC421" t="s">
        <v>1111</v>
      </c>
      <c r="AD421" t="s">
        <v>245</v>
      </c>
      <c r="AE421" t="s">
        <v>1112</v>
      </c>
      <c r="AF421" t="s">
        <v>1115</v>
      </c>
    </row>
    <row r="422" spans="1:32" hidden="1" x14ac:dyDescent="0.35">
      <c r="A422">
        <v>1254</v>
      </c>
      <c r="B422" t="s">
        <v>2595</v>
      </c>
      <c r="C422" t="s">
        <v>72</v>
      </c>
      <c r="D422" t="s">
        <v>58</v>
      </c>
      <c r="E422">
        <v>1336</v>
      </c>
      <c r="F422">
        <v>5</v>
      </c>
      <c r="G422">
        <v>5</v>
      </c>
      <c r="H422">
        <v>1</v>
      </c>
      <c r="I422">
        <v>1</v>
      </c>
      <c r="J422">
        <v>0.81349749202006405</v>
      </c>
      <c r="K422">
        <v>0.97743329844733695</v>
      </c>
      <c r="L422">
        <v>0.88796232789798701</v>
      </c>
      <c r="M422">
        <v>0.67379679144384996</v>
      </c>
      <c r="N422">
        <v>1</v>
      </c>
      <c r="O422">
        <v>0.75320855614973303</v>
      </c>
      <c r="P422" t="s">
        <v>2596</v>
      </c>
      <c r="Q422" t="s">
        <v>2597</v>
      </c>
      <c r="R422" t="s">
        <v>1102</v>
      </c>
      <c r="S422" t="s">
        <v>1103</v>
      </c>
      <c r="T422" t="s">
        <v>2598</v>
      </c>
      <c r="U422" t="s">
        <v>2599</v>
      </c>
      <c r="V422" t="s">
        <v>2600</v>
      </c>
      <c r="W422" t="s">
        <v>2601</v>
      </c>
      <c r="X422" t="s">
        <v>2600</v>
      </c>
      <c r="Y422" t="s">
        <v>1108</v>
      </c>
      <c r="Z422" t="s">
        <v>2602</v>
      </c>
      <c r="AA422" t="s">
        <v>2603</v>
      </c>
      <c r="AB422" t="s">
        <v>2602</v>
      </c>
      <c r="AC422" t="s">
        <v>2604</v>
      </c>
      <c r="AD422" t="s">
        <v>2605</v>
      </c>
      <c r="AE422" t="s">
        <v>2606</v>
      </c>
      <c r="AF422" t="s">
        <v>2607</v>
      </c>
    </row>
    <row r="423" spans="1:32" hidden="1" x14ac:dyDescent="0.35">
      <c r="A423">
        <v>1255</v>
      </c>
      <c r="B423" t="s">
        <v>2595</v>
      </c>
      <c r="C423" t="s">
        <v>72</v>
      </c>
      <c r="D423" t="s">
        <v>60</v>
      </c>
      <c r="E423">
        <v>1792</v>
      </c>
      <c r="F423">
        <v>5</v>
      </c>
      <c r="G423">
        <v>5</v>
      </c>
      <c r="H423">
        <v>1</v>
      </c>
      <c r="I423">
        <v>1</v>
      </c>
      <c r="J423">
        <v>0.81349749202006405</v>
      </c>
      <c r="K423">
        <v>0.97743329844733695</v>
      </c>
      <c r="L423">
        <v>0.88796232789798701</v>
      </c>
      <c r="M423">
        <v>0.67379679144384996</v>
      </c>
      <c r="N423">
        <v>1</v>
      </c>
      <c r="O423">
        <v>0.75320855614973303</v>
      </c>
      <c r="P423" t="s">
        <v>2596</v>
      </c>
      <c r="Q423" t="s">
        <v>2597</v>
      </c>
      <c r="R423" t="s">
        <v>1102</v>
      </c>
      <c r="S423" t="s">
        <v>1103</v>
      </c>
      <c r="T423" t="s">
        <v>2598</v>
      </c>
      <c r="U423" t="s">
        <v>2599</v>
      </c>
      <c r="V423" t="s">
        <v>2600</v>
      </c>
      <c r="W423" t="s">
        <v>2601</v>
      </c>
      <c r="X423" t="s">
        <v>2600</v>
      </c>
      <c r="Y423" t="s">
        <v>1108</v>
      </c>
      <c r="Z423" t="s">
        <v>2602</v>
      </c>
      <c r="AA423" t="s">
        <v>2603</v>
      </c>
      <c r="AB423" t="s">
        <v>2602</v>
      </c>
      <c r="AC423" t="s">
        <v>2604</v>
      </c>
      <c r="AD423" t="s">
        <v>2605</v>
      </c>
      <c r="AE423" t="s">
        <v>2606</v>
      </c>
      <c r="AF423" t="s">
        <v>2608</v>
      </c>
    </row>
    <row r="424" spans="1:32" hidden="1" x14ac:dyDescent="0.35">
      <c r="A424">
        <v>1256</v>
      </c>
      <c r="B424" t="s">
        <v>2595</v>
      </c>
      <c r="C424" t="s">
        <v>72</v>
      </c>
      <c r="D424" t="s">
        <v>62</v>
      </c>
      <c r="E424">
        <v>1828</v>
      </c>
      <c r="F424">
        <v>5</v>
      </c>
      <c r="G424">
        <v>5</v>
      </c>
      <c r="H424">
        <v>1</v>
      </c>
      <c r="I424">
        <v>1</v>
      </c>
      <c r="J424">
        <v>0.81349749202006405</v>
      </c>
      <c r="K424">
        <v>0.97743329844733695</v>
      </c>
      <c r="L424">
        <v>0.88796232789798701</v>
      </c>
      <c r="M424">
        <v>0.67379679144384996</v>
      </c>
      <c r="N424">
        <v>1</v>
      </c>
      <c r="O424">
        <v>0.75320855614973303</v>
      </c>
      <c r="P424" t="s">
        <v>2596</v>
      </c>
      <c r="Q424" t="s">
        <v>2597</v>
      </c>
      <c r="R424" t="s">
        <v>1102</v>
      </c>
      <c r="S424" t="s">
        <v>1103</v>
      </c>
      <c r="T424" t="s">
        <v>2598</v>
      </c>
      <c r="U424" t="s">
        <v>2599</v>
      </c>
      <c r="V424" t="s">
        <v>2600</v>
      </c>
      <c r="W424" t="s">
        <v>2601</v>
      </c>
      <c r="X424" t="s">
        <v>2600</v>
      </c>
      <c r="Y424" t="s">
        <v>1108</v>
      </c>
      <c r="Z424" t="s">
        <v>2602</v>
      </c>
      <c r="AA424" t="s">
        <v>2603</v>
      </c>
      <c r="AB424" t="s">
        <v>2602</v>
      </c>
      <c r="AC424" t="s">
        <v>2604</v>
      </c>
      <c r="AD424" t="s">
        <v>2605</v>
      </c>
      <c r="AE424" t="s">
        <v>2606</v>
      </c>
      <c r="AF424" t="s">
        <v>2608</v>
      </c>
    </row>
    <row r="425" spans="1:32" hidden="1" x14ac:dyDescent="0.35">
      <c r="A425">
        <v>1257</v>
      </c>
      <c r="B425" t="s">
        <v>2595</v>
      </c>
      <c r="C425" t="s">
        <v>72</v>
      </c>
      <c r="D425" t="s">
        <v>34</v>
      </c>
      <c r="E425">
        <v>2159</v>
      </c>
      <c r="F425">
        <v>5</v>
      </c>
      <c r="G425">
        <v>5</v>
      </c>
      <c r="H425">
        <v>1</v>
      </c>
      <c r="I425">
        <v>1</v>
      </c>
      <c r="J425">
        <v>0.81349749202006405</v>
      </c>
      <c r="K425">
        <v>0.97743329844733695</v>
      </c>
      <c r="L425">
        <v>0.88796232789798701</v>
      </c>
      <c r="M425">
        <v>0.67379679144384996</v>
      </c>
      <c r="N425">
        <v>1</v>
      </c>
      <c r="O425">
        <v>0.75320855614973303</v>
      </c>
      <c r="P425" t="s">
        <v>2596</v>
      </c>
      <c r="Q425" t="s">
        <v>2597</v>
      </c>
      <c r="R425" t="s">
        <v>1102</v>
      </c>
      <c r="S425" t="s">
        <v>1103</v>
      </c>
      <c r="T425" t="s">
        <v>2598</v>
      </c>
      <c r="U425" t="s">
        <v>2599</v>
      </c>
      <c r="V425" t="s">
        <v>2600</v>
      </c>
      <c r="W425" t="s">
        <v>2601</v>
      </c>
      <c r="X425" t="s">
        <v>2600</v>
      </c>
      <c r="Y425" t="s">
        <v>1108</v>
      </c>
      <c r="Z425" t="s">
        <v>2602</v>
      </c>
      <c r="AA425" t="s">
        <v>2603</v>
      </c>
      <c r="AB425" t="s">
        <v>2602</v>
      </c>
      <c r="AC425" t="s">
        <v>2604</v>
      </c>
      <c r="AD425" t="s">
        <v>2605</v>
      </c>
      <c r="AE425" t="s">
        <v>2606</v>
      </c>
      <c r="AF425" t="e">
        <f>----MITFTRTPNPNPVPDEQVAEHLANPGFGKYFTDHMVTIDWDQEHGWHNAQVTAHHNLELPPATSVLHYGQAIFEGIKAYRQPDGSIKTFRPEENAARFQRSANRLAMPELPADLFIESLRQIVDIDQRWVPAAGGEAALYLRPFMIATQPTLGVSPSTTYTYAVIAAPAGAYFTGGVKPVSVWLCEDYVRAAPGGTGAAKFAGNYAASLAAQAQAAEKGCDQVVWLDAHEHKYIEEMGGMNLMFVYA-GTNGAAPTIVTPKLSGSLLSGITRKSLLQVAIDLGYNSEERTISTDDWRTGVETGDIIESFACGTAAVITPVGEVKSAHGDFIINNNEAGAITMQLREHLTGIQHGTTPDTHNWMHTLVPAS</f>
        <v>#NAME?</v>
      </c>
    </row>
    <row r="426" spans="1:32" hidden="1" x14ac:dyDescent="0.35">
      <c r="A426">
        <v>1258</v>
      </c>
      <c r="B426" t="s">
        <v>2595</v>
      </c>
      <c r="C426" t="s">
        <v>72</v>
      </c>
      <c r="D426" t="s">
        <v>45</v>
      </c>
      <c r="E426">
        <v>714</v>
      </c>
      <c r="F426">
        <v>5</v>
      </c>
      <c r="G426">
        <v>5</v>
      </c>
      <c r="H426">
        <v>1</v>
      </c>
      <c r="I426">
        <v>1</v>
      </c>
      <c r="J426">
        <v>0.81349749202006405</v>
      </c>
      <c r="K426">
        <v>0.97743329844733695</v>
      </c>
      <c r="L426">
        <v>0.88796232789798701</v>
      </c>
      <c r="M426">
        <v>0.67379679144384996</v>
      </c>
      <c r="N426">
        <v>1</v>
      </c>
      <c r="O426">
        <v>0.75320855614973303</v>
      </c>
      <c r="P426" t="s">
        <v>2596</v>
      </c>
      <c r="Q426" t="s">
        <v>2597</v>
      </c>
      <c r="R426" t="s">
        <v>1102</v>
      </c>
      <c r="S426" t="s">
        <v>1103</v>
      </c>
      <c r="T426" t="s">
        <v>2598</v>
      </c>
      <c r="U426" t="s">
        <v>2599</v>
      </c>
      <c r="V426" t="s">
        <v>2600</v>
      </c>
      <c r="W426" t="s">
        <v>2601</v>
      </c>
      <c r="X426" t="s">
        <v>2600</v>
      </c>
      <c r="Y426" t="s">
        <v>1108</v>
      </c>
      <c r="Z426" t="s">
        <v>2602</v>
      </c>
      <c r="AA426" t="s">
        <v>2603</v>
      </c>
      <c r="AB426" t="s">
        <v>2602</v>
      </c>
      <c r="AC426" t="s">
        <v>2604</v>
      </c>
      <c r="AD426" t="s">
        <v>2605</v>
      </c>
      <c r="AE426" t="s">
        <v>2606</v>
      </c>
      <c r="AF426" t="e">
        <f>----MITFTRTPNPNPVPDEQVAEHLANPGFGKYFTDHMVTIDWDQEHGWHNAQVTAHHNLELPPATSVLHYGQAIFEGIKAYRQPDGSIKTFRPEENAVRFQRSANRLAMPELPADLFIESLRQIVDIDQRWVPAAGGEAALYLRPFMIATQPTLGVSPSTTYTYAVIAAPAGAYFTGGVKPVSVWLCEDYVRAAPGGTGAAKFAGNYAASLAAQAQAAEKGCDQVVWLDAHEHKYIEEMGGMNLMFVYA-GTNGAAPTIVTPKLSGSLLSGITRKSLLQVAIDLGYNSEERTISTDDWRTGVETGDIIESFACGTAAVITPVGEVKSAHGDFIINNNEAGAITMQLREHLTGIQHGTTPDTHNWMHTLVPAS</f>
        <v>#NAME?</v>
      </c>
    </row>
    <row r="427" spans="1:32" hidden="1" x14ac:dyDescent="0.35">
      <c r="A427">
        <v>1659</v>
      </c>
      <c r="B427" t="s">
        <v>3483</v>
      </c>
      <c r="C427" t="s">
        <v>72</v>
      </c>
      <c r="D427" t="s">
        <v>58</v>
      </c>
      <c r="E427">
        <v>1865</v>
      </c>
      <c r="F427">
        <v>5</v>
      </c>
      <c r="G427">
        <v>5</v>
      </c>
      <c r="H427">
        <v>1</v>
      </c>
      <c r="I427">
        <v>1</v>
      </c>
      <c r="J427">
        <v>0.77200440875452703</v>
      </c>
      <c r="K427">
        <v>0.87443961191034003</v>
      </c>
      <c r="L427">
        <v>0.82003545472717898</v>
      </c>
      <c r="M427">
        <v>0.51836734693877595</v>
      </c>
      <c r="N427">
        <v>1</v>
      </c>
      <c r="O427">
        <v>0.66938775510204096</v>
      </c>
      <c r="P427" t="s">
        <v>3484</v>
      </c>
      <c r="Q427" t="s">
        <v>3485</v>
      </c>
      <c r="R427" t="s">
        <v>1102</v>
      </c>
      <c r="S427" t="s">
        <v>1103</v>
      </c>
      <c r="T427" t="s">
        <v>3486</v>
      </c>
      <c r="U427" t="s">
        <v>3487</v>
      </c>
      <c r="V427" t="s">
        <v>3488</v>
      </c>
      <c r="W427" t="s">
        <v>3489</v>
      </c>
      <c r="X427" t="s">
        <v>3488</v>
      </c>
      <c r="Y427" t="s">
        <v>241</v>
      </c>
      <c r="Z427" t="s">
        <v>242</v>
      </c>
      <c r="AA427" t="s">
        <v>243</v>
      </c>
      <c r="AB427" t="s">
        <v>242</v>
      </c>
      <c r="AC427" t="s">
        <v>244</v>
      </c>
      <c r="AD427" t="s">
        <v>1140</v>
      </c>
      <c r="AE427" t="s">
        <v>3490</v>
      </c>
      <c r="AF427" t="e">
        <f>-------MSARIVLIDNQDSFVYNLVDALAVAGFEYVVYRNTIEPKVVFDYKPDLIVLSPGPGHPLEAGSMMEIIKQAYG-TIPILGICLGFQALLEHFGGDVRPVGPVHGVSDIMELTEEGVASGLFEGLTIDSGPDLPGVIGTKVPVARYHSLGC--TDIPEALLSLATCTSDAGTVTMAARTR--DNMAIGLQFHPESVLTPSGPHIINRCVEALSTTSTQPAAKPSNADATHKADTADTKE</f>
        <v>#NAME?</v>
      </c>
    </row>
    <row r="428" spans="1:32" hidden="1" x14ac:dyDescent="0.35">
      <c r="A428">
        <v>1660</v>
      </c>
      <c r="B428" t="s">
        <v>3483</v>
      </c>
      <c r="C428" t="s">
        <v>72</v>
      </c>
      <c r="D428" t="s">
        <v>60</v>
      </c>
      <c r="E428">
        <v>2528</v>
      </c>
      <c r="F428">
        <v>5</v>
      </c>
      <c r="G428">
        <v>5</v>
      </c>
      <c r="H428">
        <v>1</v>
      </c>
      <c r="I428">
        <v>1</v>
      </c>
      <c r="J428">
        <v>0.77200440875452703</v>
      </c>
      <c r="K428">
        <v>0.87443961191034003</v>
      </c>
      <c r="L428">
        <v>0.82003545472717898</v>
      </c>
      <c r="M428">
        <v>0.51836734693877595</v>
      </c>
      <c r="N428">
        <v>1</v>
      </c>
      <c r="O428">
        <v>0.66938775510204096</v>
      </c>
      <c r="P428" t="s">
        <v>3484</v>
      </c>
      <c r="Q428" t="s">
        <v>3485</v>
      </c>
      <c r="R428" t="s">
        <v>1102</v>
      </c>
      <c r="S428" t="s">
        <v>1103</v>
      </c>
      <c r="T428" t="s">
        <v>3486</v>
      </c>
      <c r="U428" t="s">
        <v>3487</v>
      </c>
      <c r="V428" t="s">
        <v>3488</v>
      </c>
      <c r="W428" t="s">
        <v>3489</v>
      </c>
      <c r="X428" t="s">
        <v>3488</v>
      </c>
      <c r="Y428" t="s">
        <v>241</v>
      </c>
      <c r="Z428" t="s">
        <v>242</v>
      </c>
      <c r="AA428" t="s">
        <v>243</v>
      </c>
      <c r="AB428" t="s">
        <v>242</v>
      </c>
      <c r="AC428" t="s">
        <v>244</v>
      </c>
      <c r="AD428" t="s">
        <v>1140</v>
      </c>
      <c r="AE428" t="s">
        <v>3490</v>
      </c>
      <c r="AF428" t="s">
        <v>3491</v>
      </c>
    </row>
    <row r="429" spans="1:32" hidden="1" x14ac:dyDescent="0.35">
      <c r="A429">
        <v>1661</v>
      </c>
      <c r="B429" t="s">
        <v>3483</v>
      </c>
      <c r="C429" t="s">
        <v>72</v>
      </c>
      <c r="D429" t="s">
        <v>62</v>
      </c>
      <c r="E429">
        <v>53</v>
      </c>
      <c r="F429">
        <v>5</v>
      </c>
      <c r="G429">
        <v>5</v>
      </c>
      <c r="H429">
        <v>1</v>
      </c>
      <c r="I429">
        <v>1</v>
      </c>
      <c r="J429">
        <v>0.77200440875452703</v>
      </c>
      <c r="K429">
        <v>0.87443961191034003</v>
      </c>
      <c r="L429">
        <v>0.82003545472717898</v>
      </c>
      <c r="M429">
        <v>0.51836734693877595</v>
      </c>
      <c r="N429">
        <v>1</v>
      </c>
      <c r="O429">
        <v>0.66938775510204096</v>
      </c>
      <c r="P429" t="s">
        <v>3484</v>
      </c>
      <c r="Q429" t="s">
        <v>3485</v>
      </c>
      <c r="R429" t="s">
        <v>1102</v>
      </c>
      <c r="S429" t="s">
        <v>1103</v>
      </c>
      <c r="T429" t="s">
        <v>3486</v>
      </c>
      <c r="U429" t="s">
        <v>3487</v>
      </c>
      <c r="V429" t="s">
        <v>3488</v>
      </c>
      <c r="W429" t="s">
        <v>3489</v>
      </c>
      <c r="X429" t="s">
        <v>3488</v>
      </c>
      <c r="Y429" t="s">
        <v>241</v>
      </c>
      <c r="Z429" t="s">
        <v>242</v>
      </c>
      <c r="AA429" t="s">
        <v>243</v>
      </c>
      <c r="AB429" t="s">
        <v>242</v>
      </c>
      <c r="AC429" t="s">
        <v>244</v>
      </c>
      <c r="AD429" t="s">
        <v>1140</v>
      </c>
      <c r="AE429" t="s">
        <v>3490</v>
      </c>
      <c r="AF429" t="s">
        <v>3491</v>
      </c>
    </row>
    <row r="430" spans="1:32" hidden="1" x14ac:dyDescent="0.35">
      <c r="A430">
        <v>1662</v>
      </c>
      <c r="B430" t="s">
        <v>3483</v>
      </c>
      <c r="C430" t="s">
        <v>72</v>
      </c>
      <c r="D430" t="s">
        <v>34</v>
      </c>
      <c r="E430">
        <v>1117</v>
      </c>
      <c r="F430">
        <v>5</v>
      </c>
      <c r="G430">
        <v>5</v>
      </c>
      <c r="H430">
        <v>1</v>
      </c>
      <c r="I430">
        <v>1</v>
      </c>
      <c r="J430">
        <v>0.77200440875452703</v>
      </c>
      <c r="K430">
        <v>0.87443961191034003</v>
      </c>
      <c r="L430">
        <v>0.82003545472717898</v>
      </c>
      <c r="M430">
        <v>0.51836734693877595</v>
      </c>
      <c r="N430">
        <v>1</v>
      </c>
      <c r="O430">
        <v>0.66938775510204096</v>
      </c>
      <c r="P430" t="s">
        <v>3484</v>
      </c>
      <c r="Q430" t="s">
        <v>3485</v>
      </c>
      <c r="R430" t="s">
        <v>1102</v>
      </c>
      <c r="S430" t="s">
        <v>1103</v>
      </c>
      <c r="T430" t="s">
        <v>3486</v>
      </c>
      <c r="U430" t="s">
        <v>3487</v>
      </c>
      <c r="V430" t="s">
        <v>3488</v>
      </c>
      <c r="W430" t="s">
        <v>3489</v>
      </c>
      <c r="X430" t="s">
        <v>3488</v>
      </c>
      <c r="Y430" t="s">
        <v>241</v>
      </c>
      <c r="Z430" t="s">
        <v>242</v>
      </c>
      <c r="AA430" t="s">
        <v>243</v>
      </c>
      <c r="AB430" t="s">
        <v>242</v>
      </c>
      <c r="AC430" t="s">
        <v>244</v>
      </c>
      <c r="AD430" t="s">
        <v>1140</v>
      </c>
      <c r="AE430" t="s">
        <v>3490</v>
      </c>
      <c r="AF430" t="s">
        <v>3492</v>
      </c>
    </row>
    <row r="431" spans="1:32" hidden="1" x14ac:dyDescent="0.35">
      <c r="A431">
        <v>1663</v>
      </c>
      <c r="B431" t="s">
        <v>3483</v>
      </c>
      <c r="C431" t="s">
        <v>72</v>
      </c>
      <c r="D431" t="s">
        <v>45</v>
      </c>
      <c r="E431">
        <v>2370</v>
      </c>
      <c r="F431">
        <v>5</v>
      </c>
      <c r="G431">
        <v>5</v>
      </c>
      <c r="H431">
        <v>1</v>
      </c>
      <c r="I431">
        <v>1</v>
      </c>
      <c r="J431">
        <v>0.77200440875452703</v>
      </c>
      <c r="K431">
        <v>0.87443961191034003</v>
      </c>
      <c r="L431">
        <v>0.82003545472717898</v>
      </c>
      <c r="M431">
        <v>0.51836734693877595</v>
      </c>
      <c r="N431">
        <v>1</v>
      </c>
      <c r="O431">
        <v>0.66938775510204096</v>
      </c>
      <c r="P431" t="s">
        <v>3484</v>
      </c>
      <c r="Q431" t="s">
        <v>3485</v>
      </c>
      <c r="R431" t="s">
        <v>1102</v>
      </c>
      <c r="S431" t="s">
        <v>1103</v>
      </c>
      <c r="T431" t="s">
        <v>3486</v>
      </c>
      <c r="U431" t="s">
        <v>3487</v>
      </c>
      <c r="V431" t="s">
        <v>3488</v>
      </c>
      <c r="W431" t="s">
        <v>3489</v>
      </c>
      <c r="X431" t="s">
        <v>3488</v>
      </c>
      <c r="Y431" t="s">
        <v>241</v>
      </c>
      <c r="Z431" t="s">
        <v>242</v>
      </c>
      <c r="AA431" t="s">
        <v>243</v>
      </c>
      <c r="AB431" t="s">
        <v>242</v>
      </c>
      <c r="AC431" t="s">
        <v>244</v>
      </c>
      <c r="AD431" t="s">
        <v>1140</v>
      </c>
      <c r="AE431" t="s">
        <v>3490</v>
      </c>
      <c r="AF431" t="s">
        <v>3493</v>
      </c>
    </row>
    <row r="432" spans="1:32" hidden="1" x14ac:dyDescent="0.35">
      <c r="A432">
        <v>4314</v>
      </c>
      <c r="B432" t="s">
        <v>8979</v>
      </c>
      <c r="C432" t="s">
        <v>72</v>
      </c>
      <c r="D432" t="s">
        <v>58</v>
      </c>
      <c r="E432">
        <v>784</v>
      </c>
      <c r="F432">
        <v>5</v>
      </c>
      <c r="G432">
        <v>5</v>
      </c>
      <c r="H432">
        <v>1</v>
      </c>
      <c r="I432">
        <v>1</v>
      </c>
      <c r="J432">
        <v>0.84654703643284401</v>
      </c>
      <c r="K432">
        <v>0.90539258875356299</v>
      </c>
      <c r="L432">
        <v>0.87498153680500002</v>
      </c>
      <c r="M432">
        <v>0.67400881057268702</v>
      </c>
      <c r="N432">
        <v>0.99559471365638796</v>
      </c>
      <c r="O432">
        <v>0.75976505139500705</v>
      </c>
      <c r="P432" t="s">
        <v>8980</v>
      </c>
      <c r="Q432" t="s">
        <v>8981</v>
      </c>
      <c r="R432" t="s">
        <v>1102</v>
      </c>
      <c r="S432" t="s">
        <v>1103</v>
      </c>
      <c r="T432" t="s">
        <v>8982</v>
      </c>
      <c r="U432" t="s">
        <v>8983</v>
      </c>
      <c r="V432" t="s">
        <v>8984</v>
      </c>
      <c r="W432" t="s">
        <v>8985</v>
      </c>
      <c r="X432" t="s">
        <v>8984</v>
      </c>
      <c r="Y432" t="s">
        <v>1108</v>
      </c>
      <c r="Z432" t="s">
        <v>1109</v>
      </c>
      <c r="AA432" t="s">
        <v>1110</v>
      </c>
      <c r="AB432" t="s">
        <v>1109</v>
      </c>
      <c r="AC432" t="s">
        <v>1111</v>
      </c>
      <c r="AD432" t="s">
        <v>1140</v>
      </c>
      <c r="AE432" t="s">
        <v>6395</v>
      </c>
      <c r="AF432" t="s">
        <v>8986</v>
      </c>
    </row>
    <row r="433" spans="1:32" hidden="1" x14ac:dyDescent="0.35">
      <c r="A433">
        <v>4315</v>
      </c>
      <c r="B433" t="s">
        <v>8979</v>
      </c>
      <c r="C433" t="s">
        <v>72</v>
      </c>
      <c r="D433" t="s">
        <v>60</v>
      </c>
      <c r="E433">
        <v>1059</v>
      </c>
      <c r="F433">
        <v>5</v>
      </c>
      <c r="G433">
        <v>5</v>
      </c>
      <c r="H433">
        <v>1</v>
      </c>
      <c r="I433">
        <v>1</v>
      </c>
      <c r="J433">
        <v>0.84654703643284401</v>
      </c>
      <c r="K433">
        <v>0.90539258875356299</v>
      </c>
      <c r="L433">
        <v>0.87498153680500002</v>
      </c>
      <c r="M433">
        <v>0.67400881057268702</v>
      </c>
      <c r="N433">
        <v>0.99559471365638796</v>
      </c>
      <c r="O433">
        <v>0.75976505139500705</v>
      </c>
      <c r="P433" t="s">
        <v>8980</v>
      </c>
      <c r="Q433" t="s">
        <v>8981</v>
      </c>
      <c r="R433" t="s">
        <v>1102</v>
      </c>
      <c r="S433" t="s">
        <v>1103</v>
      </c>
      <c r="T433" t="s">
        <v>8982</v>
      </c>
      <c r="U433" t="s">
        <v>8983</v>
      </c>
      <c r="V433" t="s">
        <v>8984</v>
      </c>
      <c r="W433" t="s">
        <v>8985</v>
      </c>
      <c r="X433" t="s">
        <v>8984</v>
      </c>
      <c r="Y433" t="s">
        <v>1108</v>
      </c>
      <c r="Z433" t="s">
        <v>1109</v>
      </c>
      <c r="AA433" t="s">
        <v>1110</v>
      </c>
      <c r="AB433" t="s">
        <v>1109</v>
      </c>
      <c r="AC433" t="s">
        <v>1111</v>
      </c>
      <c r="AD433" t="s">
        <v>1140</v>
      </c>
      <c r="AE433" t="s">
        <v>6395</v>
      </c>
      <c r="AF433" t="s">
        <v>8987</v>
      </c>
    </row>
    <row r="434" spans="1:32" hidden="1" x14ac:dyDescent="0.35">
      <c r="A434">
        <v>4316</v>
      </c>
      <c r="B434" t="s">
        <v>8979</v>
      </c>
      <c r="C434" t="s">
        <v>72</v>
      </c>
      <c r="D434" t="s">
        <v>62</v>
      </c>
      <c r="E434">
        <v>1095</v>
      </c>
      <c r="F434">
        <v>5</v>
      </c>
      <c r="G434">
        <v>5</v>
      </c>
      <c r="H434">
        <v>1</v>
      </c>
      <c r="I434">
        <v>1</v>
      </c>
      <c r="J434">
        <v>0.84654703643284401</v>
      </c>
      <c r="K434">
        <v>0.90539258875356299</v>
      </c>
      <c r="L434">
        <v>0.87498153680500002</v>
      </c>
      <c r="M434">
        <v>0.67400881057268702</v>
      </c>
      <c r="N434">
        <v>0.99559471365638796</v>
      </c>
      <c r="O434">
        <v>0.75976505139500705</v>
      </c>
      <c r="P434" t="s">
        <v>8980</v>
      </c>
      <c r="Q434" t="s">
        <v>8981</v>
      </c>
      <c r="R434" t="s">
        <v>1102</v>
      </c>
      <c r="S434" t="s">
        <v>1103</v>
      </c>
      <c r="T434" t="s">
        <v>8982</v>
      </c>
      <c r="U434" t="s">
        <v>8983</v>
      </c>
      <c r="V434" t="s">
        <v>8984</v>
      </c>
      <c r="W434" t="s">
        <v>8985</v>
      </c>
      <c r="X434" t="s">
        <v>8984</v>
      </c>
      <c r="Y434" t="s">
        <v>1108</v>
      </c>
      <c r="Z434" t="s">
        <v>1109</v>
      </c>
      <c r="AA434" t="s">
        <v>1110</v>
      </c>
      <c r="AB434" t="s">
        <v>1109</v>
      </c>
      <c r="AC434" t="s">
        <v>1111</v>
      </c>
      <c r="AD434" t="s">
        <v>1140</v>
      </c>
      <c r="AE434" t="s">
        <v>6395</v>
      </c>
      <c r="AF434" t="s">
        <v>8988</v>
      </c>
    </row>
    <row r="435" spans="1:32" hidden="1" x14ac:dyDescent="0.35">
      <c r="A435">
        <v>4317</v>
      </c>
      <c r="B435" t="s">
        <v>8979</v>
      </c>
      <c r="C435" t="s">
        <v>72</v>
      </c>
      <c r="D435" t="s">
        <v>34</v>
      </c>
      <c r="E435">
        <v>57</v>
      </c>
      <c r="F435">
        <v>5</v>
      </c>
      <c r="G435">
        <v>5</v>
      </c>
      <c r="H435">
        <v>1</v>
      </c>
      <c r="I435">
        <v>1</v>
      </c>
      <c r="J435">
        <v>0.84654703643284401</v>
      </c>
      <c r="K435">
        <v>0.90539258875356299</v>
      </c>
      <c r="L435">
        <v>0.87498153680500002</v>
      </c>
      <c r="M435">
        <v>0.67400881057268702</v>
      </c>
      <c r="N435">
        <v>0.99559471365638796</v>
      </c>
      <c r="O435">
        <v>0.75976505139500705</v>
      </c>
      <c r="P435" t="s">
        <v>8980</v>
      </c>
      <c r="Q435" t="s">
        <v>8981</v>
      </c>
      <c r="R435" t="s">
        <v>1102</v>
      </c>
      <c r="S435" t="s">
        <v>1103</v>
      </c>
      <c r="T435" t="s">
        <v>8982</v>
      </c>
      <c r="U435" t="s">
        <v>8983</v>
      </c>
      <c r="V435" t="s">
        <v>8984</v>
      </c>
      <c r="W435" t="s">
        <v>8985</v>
      </c>
      <c r="X435" t="s">
        <v>8984</v>
      </c>
      <c r="Y435" t="s">
        <v>1108</v>
      </c>
      <c r="Z435" t="s">
        <v>1109</v>
      </c>
      <c r="AA435" t="s">
        <v>1110</v>
      </c>
      <c r="AB435" t="s">
        <v>1109</v>
      </c>
      <c r="AC435" t="s">
        <v>1111</v>
      </c>
      <c r="AD435" t="s">
        <v>1140</v>
      </c>
      <c r="AE435" t="s">
        <v>6395</v>
      </c>
      <c r="AF435" t="s">
        <v>8989</v>
      </c>
    </row>
    <row r="436" spans="1:32" hidden="1" x14ac:dyDescent="0.35">
      <c r="A436">
        <v>4318</v>
      </c>
      <c r="B436" t="s">
        <v>8979</v>
      </c>
      <c r="C436" t="s">
        <v>72</v>
      </c>
      <c r="D436" t="s">
        <v>45</v>
      </c>
      <c r="E436">
        <v>1315</v>
      </c>
      <c r="F436">
        <v>5</v>
      </c>
      <c r="G436">
        <v>5</v>
      </c>
      <c r="H436">
        <v>1</v>
      </c>
      <c r="I436">
        <v>1</v>
      </c>
      <c r="J436">
        <v>0.84654703643284401</v>
      </c>
      <c r="K436">
        <v>0.90539258875356299</v>
      </c>
      <c r="L436">
        <v>0.87498153680500002</v>
      </c>
      <c r="M436">
        <v>0.67400881057268702</v>
      </c>
      <c r="N436">
        <v>0.99559471365638796</v>
      </c>
      <c r="O436">
        <v>0.75976505139500705</v>
      </c>
      <c r="P436" t="s">
        <v>8980</v>
      </c>
      <c r="Q436" t="s">
        <v>8981</v>
      </c>
      <c r="R436" t="s">
        <v>1102</v>
      </c>
      <c r="S436" t="s">
        <v>1103</v>
      </c>
      <c r="T436" t="s">
        <v>8982</v>
      </c>
      <c r="U436" t="s">
        <v>8983</v>
      </c>
      <c r="V436" t="s">
        <v>8984</v>
      </c>
      <c r="W436" t="s">
        <v>8985</v>
      </c>
      <c r="X436" t="s">
        <v>8984</v>
      </c>
      <c r="Y436" t="s">
        <v>1108</v>
      </c>
      <c r="Z436" t="s">
        <v>1109</v>
      </c>
      <c r="AA436" t="s">
        <v>1110</v>
      </c>
      <c r="AB436" t="s">
        <v>1109</v>
      </c>
      <c r="AC436" t="s">
        <v>1111</v>
      </c>
      <c r="AD436" t="s">
        <v>1140</v>
      </c>
      <c r="AE436" t="s">
        <v>6395</v>
      </c>
      <c r="AF436" t="s">
        <v>8990</v>
      </c>
    </row>
    <row r="437" spans="1:32" hidden="1" x14ac:dyDescent="0.35">
      <c r="A437">
        <v>4074</v>
      </c>
      <c r="B437" t="s">
        <v>8416</v>
      </c>
      <c r="C437" t="s">
        <v>72</v>
      </c>
      <c r="D437" t="s">
        <v>58</v>
      </c>
      <c r="E437">
        <v>1507</v>
      </c>
      <c r="F437">
        <v>5</v>
      </c>
      <c r="G437">
        <v>5</v>
      </c>
      <c r="H437">
        <v>1</v>
      </c>
      <c r="I437">
        <v>1</v>
      </c>
      <c r="J437">
        <v>0.93416572077185001</v>
      </c>
      <c r="K437">
        <v>0.99548662793489195</v>
      </c>
      <c r="L437">
        <v>0.96385183986824496</v>
      </c>
      <c r="M437">
        <v>0.88700564971751406</v>
      </c>
      <c r="N437">
        <v>0.99717514124293805</v>
      </c>
      <c r="O437">
        <v>0.91525423728813504</v>
      </c>
      <c r="P437" t="s">
        <v>8417</v>
      </c>
      <c r="Q437" t="s">
        <v>8418</v>
      </c>
      <c r="R437" t="s">
        <v>8419</v>
      </c>
      <c r="S437" t="s">
        <v>8420</v>
      </c>
      <c r="V437" t="s">
        <v>8421</v>
      </c>
      <c r="W437" t="s">
        <v>8422</v>
      </c>
      <c r="X437" t="s">
        <v>8421</v>
      </c>
      <c r="Y437" t="s">
        <v>1136</v>
      </c>
      <c r="AF437" t="s">
        <v>8423</v>
      </c>
    </row>
    <row r="438" spans="1:32" hidden="1" x14ac:dyDescent="0.35">
      <c r="A438">
        <v>4075</v>
      </c>
      <c r="B438" t="s">
        <v>8416</v>
      </c>
      <c r="C438" t="s">
        <v>72</v>
      </c>
      <c r="D438" t="s">
        <v>60</v>
      </c>
      <c r="E438">
        <v>533</v>
      </c>
      <c r="F438">
        <v>5</v>
      </c>
      <c r="G438">
        <v>5</v>
      </c>
      <c r="H438">
        <v>1</v>
      </c>
      <c r="I438">
        <v>1</v>
      </c>
      <c r="J438">
        <v>0.93416572077185001</v>
      </c>
      <c r="K438">
        <v>0.99548662793489195</v>
      </c>
      <c r="L438">
        <v>0.96385183986824496</v>
      </c>
      <c r="M438">
        <v>0.88700564971751406</v>
      </c>
      <c r="N438">
        <v>0.99717514124293805</v>
      </c>
      <c r="O438">
        <v>0.91525423728813504</v>
      </c>
      <c r="P438" t="s">
        <v>8417</v>
      </c>
      <c r="Q438" t="s">
        <v>8418</v>
      </c>
      <c r="R438" t="s">
        <v>8419</v>
      </c>
      <c r="S438" t="s">
        <v>8420</v>
      </c>
      <c r="V438" t="s">
        <v>8421</v>
      </c>
      <c r="W438" t="s">
        <v>8422</v>
      </c>
      <c r="X438" t="s">
        <v>8421</v>
      </c>
      <c r="Y438" t="s">
        <v>1136</v>
      </c>
      <c r="AF438" t="s">
        <v>8424</v>
      </c>
    </row>
    <row r="439" spans="1:32" hidden="1" x14ac:dyDescent="0.35">
      <c r="A439">
        <v>4076</v>
      </c>
      <c r="B439" t="s">
        <v>8416</v>
      </c>
      <c r="C439" t="s">
        <v>72</v>
      </c>
      <c r="D439" t="s">
        <v>62</v>
      </c>
      <c r="E439">
        <v>617</v>
      </c>
      <c r="F439">
        <v>5</v>
      </c>
      <c r="G439">
        <v>5</v>
      </c>
      <c r="H439">
        <v>1</v>
      </c>
      <c r="I439">
        <v>1</v>
      </c>
      <c r="J439">
        <v>0.93416572077185001</v>
      </c>
      <c r="K439">
        <v>0.99548662793489195</v>
      </c>
      <c r="L439">
        <v>0.96385183986824496</v>
      </c>
      <c r="M439">
        <v>0.88700564971751406</v>
      </c>
      <c r="N439">
        <v>0.99717514124293805</v>
      </c>
      <c r="O439">
        <v>0.91525423728813504</v>
      </c>
      <c r="P439" t="s">
        <v>8417</v>
      </c>
      <c r="Q439" t="s">
        <v>8418</v>
      </c>
      <c r="R439" t="s">
        <v>8419</v>
      </c>
      <c r="S439" t="s">
        <v>8420</v>
      </c>
      <c r="V439" t="s">
        <v>8421</v>
      </c>
      <c r="W439" t="s">
        <v>8422</v>
      </c>
      <c r="X439" t="s">
        <v>8421</v>
      </c>
      <c r="Y439" t="s">
        <v>1136</v>
      </c>
      <c r="AF439" t="s">
        <v>8425</v>
      </c>
    </row>
    <row r="440" spans="1:32" hidden="1" x14ac:dyDescent="0.35">
      <c r="A440">
        <v>4077</v>
      </c>
      <c r="B440" t="s">
        <v>8416</v>
      </c>
      <c r="C440" t="s">
        <v>72</v>
      </c>
      <c r="D440" t="s">
        <v>34</v>
      </c>
      <c r="E440">
        <v>553</v>
      </c>
      <c r="F440">
        <v>5</v>
      </c>
      <c r="G440">
        <v>5</v>
      </c>
      <c r="H440">
        <v>1</v>
      </c>
      <c r="I440">
        <v>1</v>
      </c>
      <c r="J440">
        <v>0.93416572077185001</v>
      </c>
      <c r="K440">
        <v>0.99548662793489195</v>
      </c>
      <c r="L440">
        <v>0.96385183986824496</v>
      </c>
      <c r="M440">
        <v>0.88700564971751406</v>
      </c>
      <c r="N440">
        <v>0.99717514124293805</v>
      </c>
      <c r="O440">
        <v>0.91525423728813504</v>
      </c>
      <c r="P440" t="s">
        <v>8417</v>
      </c>
      <c r="Q440" t="s">
        <v>8418</v>
      </c>
      <c r="R440" t="s">
        <v>8419</v>
      </c>
      <c r="S440" t="s">
        <v>8420</v>
      </c>
      <c r="V440" t="s">
        <v>8421</v>
      </c>
      <c r="W440" t="s">
        <v>8422</v>
      </c>
      <c r="X440" t="s">
        <v>8421</v>
      </c>
      <c r="Y440" t="s">
        <v>1136</v>
      </c>
      <c r="AF440" t="s">
        <v>8426</v>
      </c>
    </row>
    <row r="441" spans="1:32" hidden="1" x14ac:dyDescent="0.35">
      <c r="A441">
        <v>4078</v>
      </c>
      <c r="B441" t="s">
        <v>8416</v>
      </c>
      <c r="C441" t="s">
        <v>72</v>
      </c>
      <c r="D441" t="s">
        <v>45</v>
      </c>
      <c r="E441">
        <v>1820</v>
      </c>
      <c r="F441">
        <v>5</v>
      </c>
      <c r="G441">
        <v>5</v>
      </c>
      <c r="H441">
        <v>1</v>
      </c>
      <c r="I441">
        <v>1</v>
      </c>
      <c r="J441">
        <v>0.93416572077185001</v>
      </c>
      <c r="K441">
        <v>0.99548662793489195</v>
      </c>
      <c r="L441">
        <v>0.96385183986824496</v>
      </c>
      <c r="M441">
        <v>0.88700564971751406</v>
      </c>
      <c r="N441">
        <v>0.99717514124293805</v>
      </c>
      <c r="O441">
        <v>0.91525423728813504</v>
      </c>
      <c r="P441" t="s">
        <v>8417</v>
      </c>
      <c r="Q441" t="s">
        <v>8418</v>
      </c>
      <c r="R441" t="s">
        <v>8419</v>
      </c>
      <c r="S441" t="s">
        <v>8420</v>
      </c>
      <c r="V441" t="s">
        <v>8421</v>
      </c>
      <c r="W441" t="s">
        <v>8422</v>
      </c>
      <c r="X441" t="s">
        <v>8421</v>
      </c>
      <c r="Y441" t="s">
        <v>1136</v>
      </c>
      <c r="AF441" t="s">
        <v>8427</v>
      </c>
    </row>
    <row r="442" spans="1:32" hidden="1" x14ac:dyDescent="0.35">
      <c r="A442">
        <v>116</v>
      </c>
      <c r="B442" t="s">
        <v>181</v>
      </c>
      <c r="C442" t="s">
        <v>72</v>
      </c>
      <c r="D442" t="s">
        <v>58</v>
      </c>
      <c r="E442">
        <v>1729</v>
      </c>
      <c r="F442">
        <v>5</v>
      </c>
      <c r="G442">
        <v>9</v>
      </c>
      <c r="H442">
        <v>2</v>
      </c>
      <c r="I442">
        <v>0</v>
      </c>
      <c r="J442">
        <v>0.81484914015034504</v>
      </c>
      <c r="K442">
        <v>0.98178225500782201</v>
      </c>
      <c r="L442">
        <v>0.89056044379939403</v>
      </c>
      <c r="M442">
        <v>0.66593886462882101</v>
      </c>
      <c r="N442">
        <v>0.99781659388646304</v>
      </c>
      <c r="O442">
        <v>0.75084910237748703</v>
      </c>
      <c r="P442" t="s">
        <v>182</v>
      </c>
      <c r="Q442" t="s">
        <v>183</v>
      </c>
      <c r="R442" t="s">
        <v>184</v>
      </c>
      <c r="S442" t="s">
        <v>185</v>
      </c>
      <c r="T442" t="s">
        <v>186</v>
      </c>
      <c r="U442" t="s">
        <v>187</v>
      </c>
      <c r="V442" t="s">
        <v>188</v>
      </c>
      <c r="W442" t="s">
        <v>189</v>
      </c>
      <c r="X442" t="s">
        <v>188</v>
      </c>
      <c r="Y442" t="s">
        <v>190</v>
      </c>
      <c r="AD442" t="s">
        <v>191</v>
      </c>
      <c r="AE442" t="s">
        <v>192</v>
      </c>
      <c r="AF442" t="s">
        <v>193</v>
      </c>
    </row>
    <row r="443" spans="1:32" hidden="1" x14ac:dyDescent="0.35">
      <c r="A443">
        <v>117</v>
      </c>
      <c r="B443" t="s">
        <v>181</v>
      </c>
      <c r="C443" t="s">
        <v>72</v>
      </c>
      <c r="D443" t="s">
        <v>60</v>
      </c>
      <c r="E443">
        <v>2357</v>
      </c>
      <c r="F443">
        <v>5</v>
      </c>
      <c r="G443">
        <v>9</v>
      </c>
      <c r="H443">
        <v>2</v>
      </c>
      <c r="I443">
        <v>0</v>
      </c>
      <c r="J443">
        <v>0.81484914015034504</v>
      </c>
      <c r="K443">
        <v>0.98178225500782201</v>
      </c>
      <c r="L443">
        <v>0.89056044379939403</v>
      </c>
      <c r="M443">
        <v>0.66593886462882101</v>
      </c>
      <c r="N443">
        <v>0.99781659388646304</v>
      </c>
      <c r="O443">
        <v>0.75084910237748703</v>
      </c>
      <c r="P443" t="s">
        <v>182</v>
      </c>
      <c r="Q443" t="s">
        <v>183</v>
      </c>
      <c r="R443" t="s">
        <v>184</v>
      </c>
      <c r="S443" t="s">
        <v>185</v>
      </c>
      <c r="T443" t="s">
        <v>186</v>
      </c>
      <c r="U443" t="s">
        <v>187</v>
      </c>
      <c r="V443" t="s">
        <v>188</v>
      </c>
      <c r="W443" t="s">
        <v>189</v>
      </c>
      <c r="X443" t="s">
        <v>188</v>
      </c>
      <c r="Y443" t="s">
        <v>190</v>
      </c>
      <c r="AD443" t="s">
        <v>191</v>
      </c>
      <c r="AE443" t="s">
        <v>192</v>
      </c>
      <c r="AF443" t="s">
        <v>194</v>
      </c>
    </row>
    <row r="444" spans="1:32" hidden="1" x14ac:dyDescent="0.35">
      <c r="A444">
        <v>118</v>
      </c>
      <c r="B444" t="s">
        <v>181</v>
      </c>
      <c r="C444" t="s">
        <v>72</v>
      </c>
      <c r="D444" t="s">
        <v>60</v>
      </c>
      <c r="E444">
        <v>2328</v>
      </c>
      <c r="F444">
        <v>5</v>
      </c>
      <c r="G444">
        <v>9</v>
      </c>
      <c r="H444">
        <v>2</v>
      </c>
      <c r="I444">
        <v>0</v>
      </c>
      <c r="J444">
        <v>0.81484914015034504</v>
      </c>
      <c r="K444">
        <v>0.98178225500782201</v>
      </c>
      <c r="L444">
        <v>0.89056044379939403</v>
      </c>
      <c r="M444">
        <v>0.66593886462882101</v>
      </c>
      <c r="N444">
        <v>0.99781659388646304</v>
      </c>
      <c r="O444">
        <v>0.75084910237748703</v>
      </c>
      <c r="P444" t="s">
        <v>182</v>
      </c>
      <c r="Q444" t="s">
        <v>183</v>
      </c>
      <c r="R444" t="s">
        <v>184</v>
      </c>
      <c r="S444" t="s">
        <v>185</v>
      </c>
      <c r="T444" t="s">
        <v>186</v>
      </c>
      <c r="U444" t="s">
        <v>187</v>
      </c>
      <c r="V444" t="s">
        <v>188</v>
      </c>
      <c r="W444" t="s">
        <v>189</v>
      </c>
      <c r="X444" t="s">
        <v>188</v>
      </c>
      <c r="Y444" t="s">
        <v>190</v>
      </c>
      <c r="AD444" t="s">
        <v>191</v>
      </c>
      <c r="AE444" t="s">
        <v>192</v>
      </c>
      <c r="AF444" t="s">
        <v>195</v>
      </c>
    </row>
    <row r="445" spans="1:32" hidden="1" x14ac:dyDescent="0.35">
      <c r="A445">
        <v>119</v>
      </c>
      <c r="B445" t="s">
        <v>181</v>
      </c>
      <c r="C445" t="s">
        <v>72</v>
      </c>
      <c r="D445" t="s">
        <v>62</v>
      </c>
      <c r="E445">
        <v>2385</v>
      </c>
      <c r="F445">
        <v>5</v>
      </c>
      <c r="G445">
        <v>9</v>
      </c>
      <c r="H445">
        <v>2</v>
      </c>
      <c r="I445">
        <v>0</v>
      </c>
      <c r="J445">
        <v>0.81484914015034504</v>
      </c>
      <c r="K445">
        <v>0.98178225500782201</v>
      </c>
      <c r="L445">
        <v>0.89056044379939403</v>
      </c>
      <c r="M445">
        <v>0.66593886462882101</v>
      </c>
      <c r="N445">
        <v>0.99781659388646304</v>
      </c>
      <c r="O445">
        <v>0.75084910237748703</v>
      </c>
      <c r="P445" t="s">
        <v>182</v>
      </c>
      <c r="Q445" t="s">
        <v>183</v>
      </c>
      <c r="R445" t="s">
        <v>184</v>
      </c>
      <c r="S445" t="s">
        <v>185</v>
      </c>
      <c r="T445" t="s">
        <v>186</v>
      </c>
      <c r="U445" t="s">
        <v>187</v>
      </c>
      <c r="V445" t="s">
        <v>188</v>
      </c>
      <c r="W445" t="s">
        <v>189</v>
      </c>
      <c r="X445" t="s">
        <v>188</v>
      </c>
      <c r="Y445" t="s">
        <v>190</v>
      </c>
      <c r="AD445" t="s">
        <v>191</v>
      </c>
      <c r="AE445" t="s">
        <v>192</v>
      </c>
      <c r="AF445" t="s">
        <v>196</v>
      </c>
    </row>
    <row r="446" spans="1:32" hidden="1" x14ac:dyDescent="0.35">
      <c r="A446">
        <v>120</v>
      </c>
      <c r="B446" t="s">
        <v>181</v>
      </c>
      <c r="C446" t="s">
        <v>72</v>
      </c>
      <c r="D446" t="s">
        <v>62</v>
      </c>
      <c r="E446">
        <v>2356</v>
      </c>
      <c r="F446">
        <v>5</v>
      </c>
      <c r="G446">
        <v>9</v>
      </c>
      <c r="H446">
        <v>2</v>
      </c>
      <c r="I446">
        <v>0</v>
      </c>
      <c r="J446">
        <v>0.81484914015034504</v>
      </c>
      <c r="K446">
        <v>0.98178225500782201</v>
      </c>
      <c r="L446">
        <v>0.89056044379939403</v>
      </c>
      <c r="M446">
        <v>0.66593886462882101</v>
      </c>
      <c r="N446">
        <v>0.99781659388646304</v>
      </c>
      <c r="O446">
        <v>0.75084910237748703</v>
      </c>
      <c r="P446" t="s">
        <v>182</v>
      </c>
      <c r="Q446" t="s">
        <v>183</v>
      </c>
      <c r="R446" t="s">
        <v>184</v>
      </c>
      <c r="S446" t="s">
        <v>185</v>
      </c>
      <c r="T446" t="s">
        <v>186</v>
      </c>
      <c r="U446" t="s">
        <v>187</v>
      </c>
      <c r="V446" t="s">
        <v>188</v>
      </c>
      <c r="W446" t="s">
        <v>189</v>
      </c>
      <c r="X446" t="s">
        <v>188</v>
      </c>
      <c r="Y446" t="s">
        <v>190</v>
      </c>
      <c r="AD446" t="s">
        <v>191</v>
      </c>
      <c r="AE446" t="s">
        <v>192</v>
      </c>
      <c r="AF446" t="s">
        <v>195</v>
      </c>
    </row>
    <row r="447" spans="1:32" hidden="1" x14ac:dyDescent="0.35">
      <c r="A447">
        <v>121</v>
      </c>
      <c r="B447" t="s">
        <v>181</v>
      </c>
      <c r="C447" t="s">
        <v>72</v>
      </c>
      <c r="D447" t="s">
        <v>34</v>
      </c>
      <c r="E447">
        <v>1370</v>
      </c>
      <c r="F447">
        <v>5</v>
      </c>
      <c r="G447">
        <v>9</v>
      </c>
      <c r="H447">
        <v>2</v>
      </c>
      <c r="I447">
        <v>0</v>
      </c>
      <c r="J447">
        <v>0.81484914015034504</v>
      </c>
      <c r="K447">
        <v>0.98178225500782201</v>
      </c>
      <c r="L447">
        <v>0.89056044379939403</v>
      </c>
      <c r="M447">
        <v>0.66593886462882101</v>
      </c>
      <c r="N447">
        <v>0.99781659388646304</v>
      </c>
      <c r="O447">
        <v>0.75084910237748703</v>
      </c>
      <c r="P447" t="s">
        <v>182</v>
      </c>
      <c r="Q447" t="s">
        <v>183</v>
      </c>
      <c r="R447" t="s">
        <v>184</v>
      </c>
      <c r="S447" t="s">
        <v>185</v>
      </c>
      <c r="T447" t="s">
        <v>186</v>
      </c>
      <c r="U447" t="s">
        <v>187</v>
      </c>
      <c r="V447" t="s">
        <v>188</v>
      </c>
      <c r="W447" t="s">
        <v>189</v>
      </c>
      <c r="X447" t="s">
        <v>188</v>
      </c>
      <c r="Y447" t="s">
        <v>190</v>
      </c>
      <c r="AD447" t="s">
        <v>191</v>
      </c>
      <c r="AE447" t="s">
        <v>192</v>
      </c>
      <c r="AF447" t="s">
        <v>197</v>
      </c>
    </row>
    <row r="448" spans="1:32" hidden="1" x14ac:dyDescent="0.35">
      <c r="A448">
        <v>122</v>
      </c>
      <c r="B448" t="s">
        <v>181</v>
      </c>
      <c r="C448" t="s">
        <v>72</v>
      </c>
      <c r="D448" t="s">
        <v>34</v>
      </c>
      <c r="E448">
        <v>1462</v>
      </c>
      <c r="F448">
        <v>5</v>
      </c>
      <c r="G448">
        <v>9</v>
      </c>
      <c r="H448">
        <v>2</v>
      </c>
      <c r="I448">
        <v>0</v>
      </c>
      <c r="J448">
        <v>0.81484914015034504</v>
      </c>
      <c r="K448">
        <v>0.98178225500782201</v>
      </c>
      <c r="L448">
        <v>0.89056044379939403</v>
      </c>
      <c r="M448">
        <v>0.66593886462882101</v>
      </c>
      <c r="N448">
        <v>0.99781659388646304</v>
      </c>
      <c r="O448">
        <v>0.75084910237748703</v>
      </c>
      <c r="P448" t="s">
        <v>182</v>
      </c>
      <c r="Q448" t="s">
        <v>183</v>
      </c>
      <c r="R448" t="s">
        <v>184</v>
      </c>
      <c r="S448" t="s">
        <v>185</v>
      </c>
      <c r="T448" t="s">
        <v>186</v>
      </c>
      <c r="U448" t="s">
        <v>187</v>
      </c>
      <c r="V448" t="s">
        <v>188</v>
      </c>
      <c r="W448" t="s">
        <v>189</v>
      </c>
      <c r="X448" t="s">
        <v>188</v>
      </c>
      <c r="Y448" t="s">
        <v>190</v>
      </c>
      <c r="AD448" t="s">
        <v>191</v>
      </c>
      <c r="AE448" t="s">
        <v>192</v>
      </c>
      <c r="AF448" t="s">
        <v>198</v>
      </c>
    </row>
    <row r="449" spans="1:32" hidden="1" x14ac:dyDescent="0.35">
      <c r="A449">
        <v>123</v>
      </c>
      <c r="B449" t="s">
        <v>181</v>
      </c>
      <c r="C449" t="s">
        <v>72</v>
      </c>
      <c r="D449" t="s">
        <v>45</v>
      </c>
      <c r="E449">
        <v>119</v>
      </c>
      <c r="F449">
        <v>5</v>
      </c>
      <c r="G449">
        <v>9</v>
      </c>
      <c r="H449">
        <v>2</v>
      </c>
      <c r="I449">
        <v>0</v>
      </c>
      <c r="J449">
        <v>0.81484914015034504</v>
      </c>
      <c r="K449">
        <v>0.98178225500782201</v>
      </c>
      <c r="L449">
        <v>0.89056044379939403</v>
      </c>
      <c r="M449">
        <v>0.66593886462882101</v>
      </c>
      <c r="N449">
        <v>0.99781659388646304</v>
      </c>
      <c r="O449">
        <v>0.75084910237748703</v>
      </c>
      <c r="P449" t="s">
        <v>182</v>
      </c>
      <c r="Q449" t="s">
        <v>183</v>
      </c>
      <c r="R449" t="s">
        <v>184</v>
      </c>
      <c r="S449" t="s">
        <v>185</v>
      </c>
      <c r="T449" t="s">
        <v>186</v>
      </c>
      <c r="U449" t="s">
        <v>187</v>
      </c>
      <c r="V449" t="s">
        <v>188</v>
      </c>
      <c r="W449" t="s">
        <v>189</v>
      </c>
      <c r="X449" t="s">
        <v>188</v>
      </c>
      <c r="Y449" t="s">
        <v>190</v>
      </c>
      <c r="AD449" t="s">
        <v>191</v>
      </c>
      <c r="AE449" t="s">
        <v>192</v>
      </c>
      <c r="AF449" t="s">
        <v>199</v>
      </c>
    </row>
    <row r="450" spans="1:32" hidden="1" x14ac:dyDescent="0.35">
      <c r="A450">
        <v>124</v>
      </c>
      <c r="B450" t="s">
        <v>181</v>
      </c>
      <c r="C450" t="s">
        <v>72</v>
      </c>
      <c r="D450" t="s">
        <v>45</v>
      </c>
      <c r="E450">
        <v>213</v>
      </c>
      <c r="F450">
        <v>5</v>
      </c>
      <c r="G450">
        <v>9</v>
      </c>
      <c r="H450">
        <v>2</v>
      </c>
      <c r="I450">
        <v>0</v>
      </c>
      <c r="J450">
        <v>0.81484914015034504</v>
      </c>
      <c r="K450">
        <v>0.98178225500782201</v>
      </c>
      <c r="L450">
        <v>0.89056044379939403</v>
      </c>
      <c r="M450">
        <v>0.66593886462882101</v>
      </c>
      <c r="N450">
        <v>0.99781659388646304</v>
      </c>
      <c r="O450">
        <v>0.75084910237748703</v>
      </c>
      <c r="P450" t="s">
        <v>182</v>
      </c>
      <c r="Q450" t="s">
        <v>183</v>
      </c>
      <c r="R450" t="s">
        <v>184</v>
      </c>
      <c r="S450" t="s">
        <v>185</v>
      </c>
      <c r="T450" t="s">
        <v>186</v>
      </c>
      <c r="U450" t="s">
        <v>187</v>
      </c>
      <c r="V450" t="s">
        <v>188</v>
      </c>
      <c r="W450" t="s">
        <v>189</v>
      </c>
      <c r="X450" t="s">
        <v>188</v>
      </c>
      <c r="Y450" t="s">
        <v>190</v>
      </c>
      <c r="AD450" t="s">
        <v>191</v>
      </c>
      <c r="AE450" t="s">
        <v>192</v>
      </c>
      <c r="AF450" t="s">
        <v>200</v>
      </c>
    </row>
    <row r="451" spans="1:32" hidden="1" x14ac:dyDescent="0.35">
      <c r="A451">
        <v>2194</v>
      </c>
      <c r="B451" t="s">
        <v>4564</v>
      </c>
      <c r="C451" t="s">
        <v>72</v>
      </c>
      <c r="D451" t="s">
        <v>58</v>
      </c>
      <c r="E451">
        <v>1238</v>
      </c>
      <c r="F451">
        <v>5</v>
      </c>
      <c r="G451">
        <v>5</v>
      </c>
      <c r="H451">
        <v>1</v>
      </c>
      <c r="I451">
        <v>1</v>
      </c>
      <c r="J451">
        <v>0.88492321003677299</v>
      </c>
      <c r="K451">
        <v>0.936718403547672</v>
      </c>
      <c r="L451">
        <v>0.91008445391939996</v>
      </c>
      <c r="M451">
        <v>0.763636363636364</v>
      </c>
      <c r="N451">
        <v>1</v>
      </c>
      <c r="O451">
        <v>0.81939393939394001</v>
      </c>
      <c r="P451" t="s">
        <v>4565</v>
      </c>
      <c r="Q451" t="s">
        <v>2733</v>
      </c>
      <c r="R451" t="s">
        <v>184</v>
      </c>
      <c r="S451" t="s">
        <v>185</v>
      </c>
      <c r="T451" t="s">
        <v>4566</v>
      </c>
      <c r="U451" t="s">
        <v>4567</v>
      </c>
      <c r="V451" t="s">
        <v>4568</v>
      </c>
      <c r="W451" t="s">
        <v>4569</v>
      </c>
      <c r="Z451" t="s">
        <v>4570</v>
      </c>
      <c r="AA451" t="s">
        <v>4571</v>
      </c>
      <c r="AB451" t="s">
        <v>4570</v>
      </c>
      <c r="AC451" t="s">
        <v>4572</v>
      </c>
      <c r="AD451" t="s">
        <v>1140</v>
      </c>
      <c r="AE451" t="s">
        <v>4573</v>
      </c>
      <c r="AF451" t="e">
        <f>-------------MSNDYLNIDIPHEYVTCLDHVGIAVPDLDAAIEWYRSNMGWVNHHQETNEEQGVVEAMIGPKDLSDRGGMIQLLAPLNEASTIAKFIDKKGPGLQQMCLRTNNMDALCEHLRAQGTRLLYDTPKIGTGGARINFVHPKDAGGVLLELTEPAR</f>
        <v>#NAME?</v>
      </c>
    </row>
    <row r="452" spans="1:32" hidden="1" x14ac:dyDescent="0.35">
      <c r="A452">
        <v>2195</v>
      </c>
      <c r="B452" t="s">
        <v>4564</v>
      </c>
      <c r="C452" t="s">
        <v>72</v>
      </c>
      <c r="D452" t="s">
        <v>60</v>
      </c>
      <c r="E452">
        <v>997</v>
      </c>
      <c r="F452">
        <v>5</v>
      </c>
      <c r="G452">
        <v>5</v>
      </c>
      <c r="H452">
        <v>1</v>
      </c>
      <c r="I452">
        <v>1</v>
      </c>
      <c r="J452">
        <v>0.88492321003677299</v>
      </c>
      <c r="K452">
        <v>0.936718403547672</v>
      </c>
      <c r="L452">
        <v>0.91008445391939996</v>
      </c>
      <c r="M452">
        <v>0.763636363636364</v>
      </c>
      <c r="N452">
        <v>1</v>
      </c>
      <c r="O452">
        <v>0.81939393939394001</v>
      </c>
      <c r="P452" t="s">
        <v>4565</v>
      </c>
      <c r="Q452" t="s">
        <v>2733</v>
      </c>
      <c r="R452" t="s">
        <v>184</v>
      </c>
      <c r="S452" t="s">
        <v>185</v>
      </c>
      <c r="T452" t="s">
        <v>4566</v>
      </c>
      <c r="U452" t="s">
        <v>4567</v>
      </c>
      <c r="V452" t="s">
        <v>4568</v>
      </c>
      <c r="W452" t="s">
        <v>4569</v>
      </c>
      <c r="Z452" t="s">
        <v>4570</v>
      </c>
      <c r="AA452" t="s">
        <v>4571</v>
      </c>
      <c r="AB452" t="s">
        <v>4570</v>
      </c>
      <c r="AC452" t="s">
        <v>4572</v>
      </c>
      <c r="AD452" t="s">
        <v>1140</v>
      </c>
      <c r="AE452" t="s">
        <v>4573</v>
      </c>
      <c r="AF452" t="s">
        <v>4574</v>
      </c>
    </row>
    <row r="453" spans="1:32" hidden="1" x14ac:dyDescent="0.35">
      <c r="A453">
        <v>2196</v>
      </c>
      <c r="B453" t="s">
        <v>4564</v>
      </c>
      <c r="C453" t="s">
        <v>72</v>
      </c>
      <c r="D453" t="s">
        <v>62</v>
      </c>
      <c r="E453">
        <v>1033</v>
      </c>
      <c r="F453">
        <v>5</v>
      </c>
      <c r="G453">
        <v>5</v>
      </c>
      <c r="H453">
        <v>1</v>
      </c>
      <c r="I453">
        <v>1</v>
      </c>
      <c r="J453">
        <v>0.88492321003677299</v>
      </c>
      <c r="K453">
        <v>0.936718403547672</v>
      </c>
      <c r="L453">
        <v>0.91008445391939996</v>
      </c>
      <c r="M453">
        <v>0.763636363636364</v>
      </c>
      <c r="N453">
        <v>1</v>
      </c>
      <c r="O453">
        <v>0.81939393939394001</v>
      </c>
      <c r="P453" t="s">
        <v>4565</v>
      </c>
      <c r="Q453" t="s">
        <v>2733</v>
      </c>
      <c r="R453" t="s">
        <v>184</v>
      </c>
      <c r="S453" t="s">
        <v>185</v>
      </c>
      <c r="T453" t="s">
        <v>4566</v>
      </c>
      <c r="U453" t="s">
        <v>4567</v>
      </c>
      <c r="V453" t="s">
        <v>4568</v>
      </c>
      <c r="W453" t="s">
        <v>4569</v>
      </c>
      <c r="Z453" t="s">
        <v>4570</v>
      </c>
      <c r="AA453" t="s">
        <v>4571</v>
      </c>
      <c r="AB453" t="s">
        <v>4570</v>
      </c>
      <c r="AC453" t="s">
        <v>4572</v>
      </c>
      <c r="AD453" t="s">
        <v>1140</v>
      </c>
      <c r="AE453" t="s">
        <v>4573</v>
      </c>
      <c r="AF453" t="s">
        <v>4574</v>
      </c>
    </row>
    <row r="454" spans="1:32" hidden="1" x14ac:dyDescent="0.35">
      <c r="A454">
        <v>2197</v>
      </c>
      <c r="B454" t="s">
        <v>4564</v>
      </c>
      <c r="C454" t="s">
        <v>72</v>
      </c>
      <c r="D454" t="s">
        <v>34</v>
      </c>
      <c r="E454">
        <v>129</v>
      </c>
      <c r="F454">
        <v>5</v>
      </c>
      <c r="G454">
        <v>5</v>
      </c>
      <c r="H454">
        <v>1</v>
      </c>
      <c r="I454">
        <v>1</v>
      </c>
      <c r="J454">
        <v>0.88492321003677299</v>
      </c>
      <c r="K454">
        <v>0.936718403547672</v>
      </c>
      <c r="L454">
        <v>0.91008445391939996</v>
      </c>
      <c r="M454">
        <v>0.763636363636364</v>
      </c>
      <c r="N454">
        <v>1</v>
      </c>
      <c r="O454">
        <v>0.81939393939394001</v>
      </c>
      <c r="P454" t="s">
        <v>4565</v>
      </c>
      <c r="Q454" t="s">
        <v>2733</v>
      </c>
      <c r="R454" t="s">
        <v>184</v>
      </c>
      <c r="S454" t="s">
        <v>185</v>
      </c>
      <c r="T454" t="s">
        <v>4566</v>
      </c>
      <c r="U454" t="s">
        <v>4567</v>
      </c>
      <c r="V454" t="s">
        <v>4568</v>
      </c>
      <c r="W454" t="s">
        <v>4569</v>
      </c>
      <c r="Z454" t="s">
        <v>4570</v>
      </c>
      <c r="AA454" t="s">
        <v>4571</v>
      </c>
      <c r="AB454" t="s">
        <v>4570</v>
      </c>
      <c r="AC454" t="s">
        <v>4572</v>
      </c>
      <c r="AD454" t="s">
        <v>1140</v>
      </c>
      <c r="AE454" t="s">
        <v>4573</v>
      </c>
      <c r="AF454" t="s">
        <v>4575</v>
      </c>
    </row>
    <row r="455" spans="1:32" hidden="1" x14ac:dyDescent="0.35">
      <c r="A455">
        <v>2198</v>
      </c>
      <c r="B455" t="s">
        <v>4564</v>
      </c>
      <c r="C455" t="s">
        <v>72</v>
      </c>
      <c r="D455" t="s">
        <v>45</v>
      </c>
      <c r="E455">
        <v>1391</v>
      </c>
      <c r="F455">
        <v>5</v>
      </c>
      <c r="G455">
        <v>5</v>
      </c>
      <c r="H455">
        <v>1</v>
      </c>
      <c r="I455">
        <v>1</v>
      </c>
      <c r="J455">
        <v>0.88492321003677299</v>
      </c>
      <c r="K455">
        <v>0.936718403547672</v>
      </c>
      <c r="L455">
        <v>0.91008445391939996</v>
      </c>
      <c r="M455">
        <v>0.763636363636364</v>
      </c>
      <c r="N455">
        <v>1</v>
      </c>
      <c r="O455">
        <v>0.81939393939394001</v>
      </c>
      <c r="P455" t="s">
        <v>4565</v>
      </c>
      <c r="Q455" t="s">
        <v>2733</v>
      </c>
      <c r="R455" t="s">
        <v>184</v>
      </c>
      <c r="S455" t="s">
        <v>185</v>
      </c>
      <c r="T455" t="s">
        <v>4566</v>
      </c>
      <c r="U455" t="s">
        <v>4567</v>
      </c>
      <c r="V455" t="s">
        <v>4568</v>
      </c>
      <c r="W455" t="s">
        <v>4569</v>
      </c>
      <c r="Z455" t="s">
        <v>4570</v>
      </c>
      <c r="AA455" t="s">
        <v>4571</v>
      </c>
      <c r="AB455" t="s">
        <v>4570</v>
      </c>
      <c r="AC455" t="s">
        <v>4572</v>
      </c>
      <c r="AD455" t="s">
        <v>1140</v>
      </c>
      <c r="AE455" t="s">
        <v>4573</v>
      </c>
      <c r="AF455" t="s">
        <v>4575</v>
      </c>
    </row>
    <row r="456" spans="1:32" hidden="1" x14ac:dyDescent="0.35">
      <c r="A456">
        <v>3319</v>
      </c>
      <c r="B456" t="s">
        <v>6823</v>
      </c>
      <c r="C456" t="s">
        <v>72</v>
      </c>
      <c r="D456" t="s">
        <v>58</v>
      </c>
      <c r="E456">
        <v>1470</v>
      </c>
      <c r="F456">
        <v>5</v>
      </c>
      <c r="G456">
        <v>5</v>
      </c>
      <c r="H456">
        <v>1</v>
      </c>
      <c r="I456">
        <v>1</v>
      </c>
      <c r="J456">
        <v>0.75855036998193803</v>
      </c>
      <c r="K456">
        <v>0.95352745424292895</v>
      </c>
      <c r="L456">
        <v>0.844936594551569</v>
      </c>
      <c r="M456">
        <v>0.52246256239600697</v>
      </c>
      <c r="N456">
        <v>1</v>
      </c>
      <c r="O456">
        <v>0.64725457570715506</v>
      </c>
      <c r="P456" t="s">
        <v>1247</v>
      </c>
      <c r="Q456" t="s">
        <v>1248</v>
      </c>
      <c r="R456" t="s">
        <v>6824</v>
      </c>
      <c r="S456" t="s">
        <v>6825</v>
      </c>
      <c r="V456" t="s">
        <v>6826</v>
      </c>
      <c r="W456" t="s">
        <v>6827</v>
      </c>
      <c r="AF456" t="s">
        <v>6828</v>
      </c>
    </row>
    <row r="457" spans="1:32" hidden="1" x14ac:dyDescent="0.35">
      <c r="A457">
        <v>3320</v>
      </c>
      <c r="B457" t="s">
        <v>6823</v>
      </c>
      <c r="C457" t="s">
        <v>72</v>
      </c>
      <c r="D457" t="s">
        <v>60</v>
      </c>
      <c r="E457">
        <v>1469</v>
      </c>
      <c r="F457">
        <v>5</v>
      </c>
      <c r="G457">
        <v>5</v>
      </c>
      <c r="H457">
        <v>1</v>
      </c>
      <c r="I457">
        <v>1</v>
      </c>
      <c r="J457">
        <v>0.75855036998193803</v>
      </c>
      <c r="K457">
        <v>0.95352745424292895</v>
      </c>
      <c r="L457">
        <v>0.844936594551569</v>
      </c>
      <c r="M457">
        <v>0.52246256239600697</v>
      </c>
      <c r="N457">
        <v>1</v>
      </c>
      <c r="O457">
        <v>0.64725457570715506</v>
      </c>
      <c r="P457" t="s">
        <v>1247</v>
      </c>
      <c r="Q457" t="s">
        <v>1248</v>
      </c>
      <c r="R457" t="s">
        <v>6824</v>
      </c>
      <c r="S457" t="s">
        <v>6825</v>
      </c>
      <c r="V457" t="s">
        <v>6826</v>
      </c>
      <c r="W457" t="s">
        <v>6827</v>
      </c>
      <c r="AF457" t="s">
        <v>6829</v>
      </c>
    </row>
    <row r="458" spans="1:32" hidden="1" x14ac:dyDescent="0.35">
      <c r="A458">
        <v>3321</v>
      </c>
      <c r="B458" t="s">
        <v>6823</v>
      </c>
      <c r="C458" t="s">
        <v>72</v>
      </c>
      <c r="D458" t="s">
        <v>62</v>
      </c>
      <c r="E458">
        <v>1504</v>
      </c>
      <c r="F458">
        <v>5</v>
      </c>
      <c r="G458">
        <v>5</v>
      </c>
      <c r="H458">
        <v>1</v>
      </c>
      <c r="I458">
        <v>1</v>
      </c>
      <c r="J458">
        <v>0.75855036998193803</v>
      </c>
      <c r="K458">
        <v>0.95352745424292895</v>
      </c>
      <c r="L458">
        <v>0.844936594551569</v>
      </c>
      <c r="M458">
        <v>0.52246256239600697</v>
      </c>
      <c r="N458">
        <v>1</v>
      </c>
      <c r="O458">
        <v>0.64725457570715506</v>
      </c>
      <c r="P458" t="s">
        <v>1247</v>
      </c>
      <c r="Q458" t="s">
        <v>1248</v>
      </c>
      <c r="R458" t="s">
        <v>6824</v>
      </c>
      <c r="S458" t="s">
        <v>6825</v>
      </c>
      <c r="V458" t="s">
        <v>6826</v>
      </c>
      <c r="W458" t="s">
        <v>6827</v>
      </c>
      <c r="AF458" t="s">
        <v>6829</v>
      </c>
    </row>
    <row r="459" spans="1:32" hidden="1" x14ac:dyDescent="0.35">
      <c r="A459">
        <v>3322</v>
      </c>
      <c r="B459" t="s">
        <v>6823</v>
      </c>
      <c r="C459" t="s">
        <v>72</v>
      </c>
      <c r="D459" t="s">
        <v>34</v>
      </c>
      <c r="E459">
        <v>1989</v>
      </c>
      <c r="F459">
        <v>5</v>
      </c>
      <c r="G459">
        <v>5</v>
      </c>
      <c r="H459">
        <v>1</v>
      </c>
      <c r="I459">
        <v>1</v>
      </c>
      <c r="J459">
        <v>0.75855036998193803</v>
      </c>
      <c r="K459">
        <v>0.95352745424292895</v>
      </c>
      <c r="L459">
        <v>0.844936594551569</v>
      </c>
      <c r="M459">
        <v>0.52246256239600697</v>
      </c>
      <c r="N459">
        <v>1</v>
      </c>
      <c r="O459">
        <v>0.64725457570715506</v>
      </c>
      <c r="P459" t="s">
        <v>1247</v>
      </c>
      <c r="Q459" t="s">
        <v>1248</v>
      </c>
      <c r="R459" t="s">
        <v>6824</v>
      </c>
      <c r="S459" t="s">
        <v>6825</v>
      </c>
      <c r="V459" t="s">
        <v>6826</v>
      </c>
      <c r="W459" t="s">
        <v>6827</v>
      </c>
      <c r="AF459" t="s">
        <v>6830</v>
      </c>
    </row>
    <row r="460" spans="1:32" hidden="1" x14ac:dyDescent="0.35">
      <c r="A460">
        <v>3323</v>
      </c>
      <c r="B460" t="s">
        <v>6823</v>
      </c>
      <c r="C460" t="s">
        <v>72</v>
      </c>
      <c r="D460" t="s">
        <v>45</v>
      </c>
      <c r="E460">
        <v>884</v>
      </c>
      <c r="F460">
        <v>5</v>
      </c>
      <c r="G460">
        <v>5</v>
      </c>
      <c r="H460">
        <v>1</v>
      </c>
      <c r="I460">
        <v>1</v>
      </c>
      <c r="J460">
        <v>0.75855036998193803</v>
      </c>
      <c r="K460">
        <v>0.95352745424292895</v>
      </c>
      <c r="L460">
        <v>0.844936594551569</v>
      </c>
      <c r="M460">
        <v>0.52246256239600697</v>
      </c>
      <c r="N460">
        <v>1</v>
      </c>
      <c r="O460">
        <v>0.64725457570715506</v>
      </c>
      <c r="P460" t="s">
        <v>1247</v>
      </c>
      <c r="Q460" t="s">
        <v>1248</v>
      </c>
      <c r="R460" t="s">
        <v>6824</v>
      </c>
      <c r="S460" t="s">
        <v>6825</v>
      </c>
      <c r="V460" t="s">
        <v>6826</v>
      </c>
      <c r="W460" t="s">
        <v>6827</v>
      </c>
      <c r="AF460" t="s">
        <v>6831</v>
      </c>
    </row>
    <row r="461" spans="1:32" hidden="1" x14ac:dyDescent="0.35">
      <c r="A461">
        <v>4459</v>
      </c>
      <c r="B461" t="s">
        <v>9277</v>
      </c>
      <c r="C461" t="s">
        <v>72</v>
      </c>
      <c r="D461" t="s">
        <v>58</v>
      </c>
      <c r="E461">
        <v>1013</v>
      </c>
      <c r="F461">
        <v>5</v>
      </c>
      <c r="G461">
        <v>5</v>
      </c>
      <c r="H461">
        <v>1</v>
      </c>
      <c r="I461">
        <v>1</v>
      </c>
      <c r="J461">
        <v>0.92992831541218601</v>
      </c>
      <c r="K461">
        <v>0.98173628401898005</v>
      </c>
      <c r="L461">
        <v>0.95513027656466998</v>
      </c>
      <c r="M461">
        <v>0.86367634124890102</v>
      </c>
      <c r="N461">
        <v>0.999120492524186</v>
      </c>
      <c r="O461">
        <v>0.90061565523306897</v>
      </c>
      <c r="P461" t="s">
        <v>9278</v>
      </c>
      <c r="Q461" t="s">
        <v>9279</v>
      </c>
      <c r="R461" t="s">
        <v>9280</v>
      </c>
      <c r="S461" t="s">
        <v>9281</v>
      </c>
      <c r="T461" t="s">
        <v>9282</v>
      </c>
      <c r="U461" t="s">
        <v>9283</v>
      </c>
      <c r="V461" t="s">
        <v>9284</v>
      </c>
      <c r="W461" t="s">
        <v>9285</v>
      </c>
      <c r="X461" t="s">
        <v>9284</v>
      </c>
      <c r="Y461" t="s">
        <v>2932</v>
      </c>
      <c r="Z461" t="s">
        <v>9286</v>
      </c>
      <c r="AA461" t="s">
        <v>9287</v>
      </c>
      <c r="AB461" t="s">
        <v>9286</v>
      </c>
      <c r="AC461" t="s">
        <v>9288</v>
      </c>
      <c r="AD461" t="s">
        <v>951</v>
      </c>
      <c r="AE461" t="s">
        <v>9289</v>
      </c>
      <c r="AF461" t="s">
        <v>9290</v>
      </c>
    </row>
    <row r="462" spans="1:32" hidden="1" x14ac:dyDescent="0.35">
      <c r="A462">
        <v>4460</v>
      </c>
      <c r="B462" t="s">
        <v>9277</v>
      </c>
      <c r="C462" t="s">
        <v>72</v>
      </c>
      <c r="D462" t="s">
        <v>60</v>
      </c>
      <c r="E462">
        <v>1378</v>
      </c>
      <c r="F462">
        <v>5</v>
      </c>
      <c r="G462">
        <v>5</v>
      </c>
      <c r="H462">
        <v>1</v>
      </c>
      <c r="I462">
        <v>1</v>
      </c>
      <c r="J462">
        <v>0.92992831541218601</v>
      </c>
      <c r="K462">
        <v>0.98173628401898005</v>
      </c>
      <c r="L462">
        <v>0.95513027656466998</v>
      </c>
      <c r="M462">
        <v>0.86367634124890102</v>
      </c>
      <c r="N462">
        <v>0.999120492524186</v>
      </c>
      <c r="O462">
        <v>0.90061565523306897</v>
      </c>
      <c r="P462" t="s">
        <v>9278</v>
      </c>
      <c r="Q462" t="s">
        <v>9279</v>
      </c>
      <c r="R462" t="s">
        <v>9280</v>
      </c>
      <c r="S462" t="s">
        <v>9281</v>
      </c>
      <c r="T462" t="s">
        <v>9282</v>
      </c>
      <c r="U462" t="s">
        <v>9283</v>
      </c>
      <c r="V462" t="s">
        <v>9284</v>
      </c>
      <c r="W462" t="s">
        <v>9285</v>
      </c>
      <c r="X462" t="s">
        <v>9284</v>
      </c>
      <c r="Y462" t="s">
        <v>2932</v>
      </c>
      <c r="Z462" t="s">
        <v>9286</v>
      </c>
      <c r="AA462" t="s">
        <v>9287</v>
      </c>
      <c r="AB462" t="s">
        <v>9286</v>
      </c>
      <c r="AC462" t="s">
        <v>9288</v>
      </c>
      <c r="AD462" t="s">
        <v>951</v>
      </c>
      <c r="AE462" t="s">
        <v>9289</v>
      </c>
      <c r="AF462" t="s">
        <v>9291</v>
      </c>
    </row>
    <row r="463" spans="1:32" hidden="1" x14ac:dyDescent="0.35">
      <c r="A463">
        <v>4461</v>
      </c>
      <c r="B463" t="s">
        <v>9277</v>
      </c>
      <c r="C463" t="s">
        <v>72</v>
      </c>
      <c r="D463" t="s">
        <v>62</v>
      </c>
      <c r="E463">
        <v>1413</v>
      </c>
      <c r="F463">
        <v>5</v>
      </c>
      <c r="G463">
        <v>5</v>
      </c>
      <c r="H463">
        <v>1</v>
      </c>
      <c r="I463">
        <v>1</v>
      </c>
      <c r="J463">
        <v>0.92992831541218601</v>
      </c>
      <c r="K463">
        <v>0.98173628401898005</v>
      </c>
      <c r="L463">
        <v>0.95513027656466998</v>
      </c>
      <c r="M463">
        <v>0.86367634124890102</v>
      </c>
      <c r="N463">
        <v>0.999120492524186</v>
      </c>
      <c r="O463">
        <v>0.90061565523306897</v>
      </c>
      <c r="P463" t="s">
        <v>9278</v>
      </c>
      <c r="Q463" t="s">
        <v>9279</v>
      </c>
      <c r="R463" t="s">
        <v>9280</v>
      </c>
      <c r="S463" t="s">
        <v>9281</v>
      </c>
      <c r="T463" t="s">
        <v>9282</v>
      </c>
      <c r="U463" t="s">
        <v>9283</v>
      </c>
      <c r="V463" t="s">
        <v>9284</v>
      </c>
      <c r="W463" t="s">
        <v>9285</v>
      </c>
      <c r="X463" t="s">
        <v>9284</v>
      </c>
      <c r="Y463" t="s">
        <v>2932</v>
      </c>
      <c r="Z463" t="s">
        <v>9286</v>
      </c>
      <c r="AA463" t="s">
        <v>9287</v>
      </c>
      <c r="AB463" t="s">
        <v>9286</v>
      </c>
      <c r="AC463" t="s">
        <v>9288</v>
      </c>
      <c r="AD463" t="s">
        <v>951</v>
      </c>
      <c r="AE463" t="s">
        <v>9289</v>
      </c>
      <c r="AF463" t="s">
        <v>9292</v>
      </c>
    </row>
    <row r="464" spans="1:32" hidden="1" x14ac:dyDescent="0.35">
      <c r="A464">
        <v>4462</v>
      </c>
      <c r="B464" t="s">
        <v>9277</v>
      </c>
      <c r="C464" t="s">
        <v>72</v>
      </c>
      <c r="D464" t="s">
        <v>34</v>
      </c>
      <c r="E464">
        <v>1805</v>
      </c>
      <c r="F464">
        <v>5</v>
      </c>
      <c r="G464">
        <v>5</v>
      </c>
      <c r="H464">
        <v>1</v>
      </c>
      <c r="I464">
        <v>1</v>
      </c>
      <c r="J464">
        <v>0.92992831541218601</v>
      </c>
      <c r="K464">
        <v>0.98173628401898005</v>
      </c>
      <c r="L464">
        <v>0.95513027656466998</v>
      </c>
      <c r="M464">
        <v>0.86367634124890102</v>
      </c>
      <c r="N464">
        <v>0.999120492524186</v>
      </c>
      <c r="O464">
        <v>0.90061565523306897</v>
      </c>
      <c r="P464" t="s">
        <v>9278</v>
      </c>
      <c r="Q464" t="s">
        <v>9279</v>
      </c>
      <c r="R464" t="s">
        <v>9280</v>
      </c>
      <c r="S464" t="s">
        <v>9281</v>
      </c>
      <c r="T464" t="s">
        <v>9282</v>
      </c>
      <c r="U464" t="s">
        <v>9283</v>
      </c>
      <c r="V464" t="s">
        <v>9284</v>
      </c>
      <c r="W464" t="s">
        <v>9285</v>
      </c>
      <c r="X464" t="s">
        <v>9284</v>
      </c>
      <c r="Y464" t="s">
        <v>2932</v>
      </c>
      <c r="Z464" t="s">
        <v>9286</v>
      </c>
      <c r="AA464" t="s">
        <v>9287</v>
      </c>
      <c r="AB464" t="s">
        <v>9286</v>
      </c>
      <c r="AC464" t="s">
        <v>9288</v>
      </c>
      <c r="AD464" t="s">
        <v>951</v>
      </c>
      <c r="AE464" t="s">
        <v>9289</v>
      </c>
      <c r="AF464" t="s">
        <v>9293</v>
      </c>
    </row>
    <row r="465" spans="1:32" hidden="1" x14ac:dyDescent="0.35">
      <c r="A465">
        <v>4463</v>
      </c>
      <c r="B465" t="s">
        <v>9277</v>
      </c>
      <c r="C465" t="s">
        <v>72</v>
      </c>
      <c r="D465" t="s">
        <v>45</v>
      </c>
      <c r="E465">
        <v>1068</v>
      </c>
      <c r="F465">
        <v>5</v>
      </c>
      <c r="G465">
        <v>5</v>
      </c>
      <c r="H465">
        <v>1</v>
      </c>
      <c r="I465">
        <v>1</v>
      </c>
      <c r="J465">
        <v>0.92992831541218601</v>
      </c>
      <c r="K465">
        <v>0.98173628401898005</v>
      </c>
      <c r="L465">
        <v>0.95513027656466998</v>
      </c>
      <c r="M465">
        <v>0.86367634124890102</v>
      </c>
      <c r="N465">
        <v>0.999120492524186</v>
      </c>
      <c r="O465">
        <v>0.90061565523306897</v>
      </c>
      <c r="P465" t="s">
        <v>9278</v>
      </c>
      <c r="Q465" t="s">
        <v>9279</v>
      </c>
      <c r="R465" t="s">
        <v>9280</v>
      </c>
      <c r="S465" t="s">
        <v>9281</v>
      </c>
      <c r="T465" t="s">
        <v>9282</v>
      </c>
      <c r="U465" t="s">
        <v>9283</v>
      </c>
      <c r="V465" t="s">
        <v>9284</v>
      </c>
      <c r="W465" t="s">
        <v>9285</v>
      </c>
      <c r="X465" t="s">
        <v>9284</v>
      </c>
      <c r="Y465" t="s">
        <v>2932</v>
      </c>
      <c r="Z465" t="s">
        <v>9286</v>
      </c>
      <c r="AA465" t="s">
        <v>9287</v>
      </c>
      <c r="AB465" t="s">
        <v>9286</v>
      </c>
      <c r="AC465" t="s">
        <v>9288</v>
      </c>
      <c r="AD465" t="s">
        <v>951</v>
      </c>
      <c r="AE465" t="s">
        <v>9289</v>
      </c>
      <c r="AF465" t="s">
        <v>9294</v>
      </c>
    </row>
    <row r="466" spans="1:32" hidden="1" x14ac:dyDescent="0.35">
      <c r="A466">
        <v>4084</v>
      </c>
      <c r="B466" t="s">
        <v>8442</v>
      </c>
      <c r="C466" t="s">
        <v>72</v>
      </c>
      <c r="D466" t="s">
        <v>58</v>
      </c>
      <c r="E466">
        <v>1594</v>
      </c>
      <c r="F466">
        <v>5</v>
      </c>
      <c r="G466">
        <v>5</v>
      </c>
      <c r="H466">
        <v>1</v>
      </c>
      <c r="I466">
        <v>1</v>
      </c>
      <c r="J466">
        <v>0.83823875676948401</v>
      </c>
      <c r="K466">
        <v>0.96151229722658504</v>
      </c>
      <c r="L466">
        <v>0.895653730393697</v>
      </c>
      <c r="M466">
        <v>0.68778280542986403</v>
      </c>
      <c r="N466">
        <v>0.99547511312217196</v>
      </c>
      <c r="O466">
        <v>0.77850678733031697</v>
      </c>
      <c r="P466" t="s">
        <v>8443</v>
      </c>
      <c r="Q466" t="s">
        <v>8444</v>
      </c>
      <c r="R466" t="s">
        <v>8445</v>
      </c>
      <c r="S466" t="s">
        <v>8446</v>
      </c>
      <c r="T466" t="s">
        <v>8447</v>
      </c>
      <c r="U466" t="s">
        <v>8448</v>
      </c>
      <c r="V466" t="s">
        <v>8449</v>
      </c>
      <c r="W466" t="s">
        <v>8450</v>
      </c>
      <c r="X466" t="s">
        <v>8449</v>
      </c>
      <c r="Y466" t="s">
        <v>2454</v>
      </c>
      <c r="Z466" t="s">
        <v>8451</v>
      </c>
      <c r="AA466" t="s">
        <v>8452</v>
      </c>
      <c r="AB466" t="s">
        <v>8451</v>
      </c>
      <c r="AC466" t="s">
        <v>7049</v>
      </c>
      <c r="AD466" t="s">
        <v>8453</v>
      </c>
      <c r="AE466" t="s">
        <v>8454</v>
      </c>
      <c r="AF466" t="s">
        <v>8455</v>
      </c>
    </row>
    <row r="467" spans="1:32" hidden="1" x14ac:dyDescent="0.35">
      <c r="A467">
        <v>4085</v>
      </c>
      <c r="B467" t="s">
        <v>8442</v>
      </c>
      <c r="C467" t="s">
        <v>72</v>
      </c>
      <c r="D467" t="s">
        <v>60</v>
      </c>
      <c r="E467">
        <v>2104</v>
      </c>
      <c r="F467">
        <v>5</v>
      </c>
      <c r="G467">
        <v>5</v>
      </c>
      <c r="H467">
        <v>1</v>
      </c>
      <c r="I467">
        <v>1</v>
      </c>
      <c r="J467">
        <v>0.83823875676948401</v>
      </c>
      <c r="K467">
        <v>0.96151229722658504</v>
      </c>
      <c r="L467">
        <v>0.895653730393697</v>
      </c>
      <c r="M467">
        <v>0.68778280542986403</v>
      </c>
      <c r="N467">
        <v>0.99547511312217196</v>
      </c>
      <c r="O467">
        <v>0.77850678733031697</v>
      </c>
      <c r="P467" t="s">
        <v>8443</v>
      </c>
      <c r="Q467" t="s">
        <v>8444</v>
      </c>
      <c r="R467" t="s">
        <v>8445</v>
      </c>
      <c r="S467" t="s">
        <v>8446</v>
      </c>
      <c r="T467" t="s">
        <v>8447</v>
      </c>
      <c r="U467" t="s">
        <v>8448</v>
      </c>
      <c r="V467" t="s">
        <v>8449</v>
      </c>
      <c r="W467" t="s">
        <v>8450</v>
      </c>
      <c r="X467" t="s">
        <v>8449</v>
      </c>
      <c r="Y467" t="s">
        <v>2454</v>
      </c>
      <c r="Z467" t="s">
        <v>8451</v>
      </c>
      <c r="AA467" t="s">
        <v>8452</v>
      </c>
      <c r="AB467" t="s">
        <v>8451</v>
      </c>
      <c r="AC467" t="s">
        <v>7049</v>
      </c>
      <c r="AD467" t="s">
        <v>8453</v>
      </c>
      <c r="AE467" t="s">
        <v>8454</v>
      </c>
      <c r="AF467" t="s">
        <v>8456</v>
      </c>
    </row>
    <row r="468" spans="1:32" hidden="1" x14ac:dyDescent="0.35">
      <c r="A468">
        <v>4086</v>
      </c>
      <c r="B468" t="s">
        <v>8442</v>
      </c>
      <c r="C468" t="s">
        <v>72</v>
      </c>
      <c r="D468" t="s">
        <v>62</v>
      </c>
      <c r="E468">
        <v>2139</v>
      </c>
      <c r="F468">
        <v>5</v>
      </c>
      <c r="G468">
        <v>5</v>
      </c>
      <c r="H468">
        <v>1</v>
      </c>
      <c r="I468">
        <v>1</v>
      </c>
      <c r="J468">
        <v>0.83823875676948401</v>
      </c>
      <c r="K468">
        <v>0.96151229722658504</v>
      </c>
      <c r="L468">
        <v>0.895653730393697</v>
      </c>
      <c r="M468">
        <v>0.68778280542986403</v>
      </c>
      <c r="N468">
        <v>0.99547511312217196</v>
      </c>
      <c r="O468">
        <v>0.77850678733031697</v>
      </c>
      <c r="P468" t="s">
        <v>8443</v>
      </c>
      <c r="Q468" t="s">
        <v>8444</v>
      </c>
      <c r="R468" t="s">
        <v>8445</v>
      </c>
      <c r="S468" t="s">
        <v>8446</v>
      </c>
      <c r="T468" t="s">
        <v>8447</v>
      </c>
      <c r="U468" t="s">
        <v>8448</v>
      </c>
      <c r="V468" t="s">
        <v>8449</v>
      </c>
      <c r="W468" t="s">
        <v>8450</v>
      </c>
      <c r="X468" t="s">
        <v>8449</v>
      </c>
      <c r="Y468" t="s">
        <v>2454</v>
      </c>
      <c r="Z468" t="s">
        <v>8451</v>
      </c>
      <c r="AA468" t="s">
        <v>8452</v>
      </c>
      <c r="AB468" t="s">
        <v>8451</v>
      </c>
      <c r="AC468" t="s">
        <v>7049</v>
      </c>
      <c r="AD468" t="s">
        <v>8453</v>
      </c>
      <c r="AE468" t="s">
        <v>8454</v>
      </c>
      <c r="AF468" t="s">
        <v>8457</v>
      </c>
    </row>
    <row r="469" spans="1:32" hidden="1" x14ac:dyDescent="0.35">
      <c r="A469">
        <v>4087</v>
      </c>
      <c r="B469" t="s">
        <v>8442</v>
      </c>
      <c r="C469" t="s">
        <v>72</v>
      </c>
      <c r="D469" t="s">
        <v>34</v>
      </c>
      <c r="E469">
        <v>2452</v>
      </c>
      <c r="F469">
        <v>5</v>
      </c>
      <c r="G469">
        <v>5</v>
      </c>
      <c r="H469">
        <v>1</v>
      </c>
      <c r="I469">
        <v>1</v>
      </c>
      <c r="J469">
        <v>0.83823875676948401</v>
      </c>
      <c r="K469">
        <v>0.96151229722658504</v>
      </c>
      <c r="L469">
        <v>0.895653730393697</v>
      </c>
      <c r="M469">
        <v>0.68778280542986403</v>
      </c>
      <c r="N469">
        <v>0.99547511312217196</v>
      </c>
      <c r="O469">
        <v>0.77850678733031697</v>
      </c>
      <c r="P469" t="s">
        <v>8443</v>
      </c>
      <c r="Q469" t="s">
        <v>8444</v>
      </c>
      <c r="R469" t="s">
        <v>8445</v>
      </c>
      <c r="S469" t="s">
        <v>8446</v>
      </c>
      <c r="T469" t="s">
        <v>8447</v>
      </c>
      <c r="U469" t="s">
        <v>8448</v>
      </c>
      <c r="V469" t="s">
        <v>8449</v>
      </c>
      <c r="W469" t="s">
        <v>8450</v>
      </c>
      <c r="X469" t="s">
        <v>8449</v>
      </c>
      <c r="Y469" t="s">
        <v>2454</v>
      </c>
      <c r="Z469" t="s">
        <v>8451</v>
      </c>
      <c r="AA469" t="s">
        <v>8452</v>
      </c>
      <c r="AB469" t="s">
        <v>8451</v>
      </c>
      <c r="AC469" t="s">
        <v>7049</v>
      </c>
      <c r="AD469" t="s">
        <v>8453</v>
      </c>
      <c r="AE469" t="s">
        <v>8454</v>
      </c>
      <c r="AF469" t="s">
        <v>8458</v>
      </c>
    </row>
    <row r="470" spans="1:32" hidden="1" x14ac:dyDescent="0.35">
      <c r="A470">
        <v>4088</v>
      </c>
      <c r="B470" t="s">
        <v>8442</v>
      </c>
      <c r="C470" t="s">
        <v>72</v>
      </c>
      <c r="D470" t="s">
        <v>45</v>
      </c>
      <c r="E470">
        <v>450</v>
      </c>
      <c r="F470">
        <v>5</v>
      </c>
      <c r="G470">
        <v>5</v>
      </c>
      <c r="H470">
        <v>1</v>
      </c>
      <c r="I470">
        <v>1</v>
      </c>
      <c r="J470">
        <v>0.83823875676948401</v>
      </c>
      <c r="K470">
        <v>0.96151229722658504</v>
      </c>
      <c r="L470">
        <v>0.895653730393697</v>
      </c>
      <c r="M470">
        <v>0.68778280542986403</v>
      </c>
      <c r="N470">
        <v>0.99547511312217196</v>
      </c>
      <c r="O470">
        <v>0.77850678733031697</v>
      </c>
      <c r="P470" t="s">
        <v>8443</v>
      </c>
      <c r="Q470" t="s">
        <v>8444</v>
      </c>
      <c r="R470" t="s">
        <v>8445</v>
      </c>
      <c r="S470" t="s">
        <v>8446</v>
      </c>
      <c r="T470" t="s">
        <v>8447</v>
      </c>
      <c r="U470" t="s">
        <v>8448</v>
      </c>
      <c r="V470" t="s">
        <v>8449</v>
      </c>
      <c r="W470" t="s">
        <v>8450</v>
      </c>
      <c r="X470" t="s">
        <v>8449</v>
      </c>
      <c r="Y470" t="s">
        <v>2454</v>
      </c>
      <c r="Z470" t="s">
        <v>8451</v>
      </c>
      <c r="AA470" t="s">
        <v>8452</v>
      </c>
      <c r="AB470" t="s">
        <v>8451</v>
      </c>
      <c r="AC470" t="s">
        <v>7049</v>
      </c>
      <c r="AD470" t="s">
        <v>8453</v>
      </c>
      <c r="AE470" t="s">
        <v>8454</v>
      </c>
      <c r="AF470" t="s">
        <v>8458</v>
      </c>
    </row>
    <row r="471" spans="1:32" hidden="1" x14ac:dyDescent="0.35">
      <c r="A471">
        <v>190</v>
      </c>
      <c r="B471" t="s">
        <v>316</v>
      </c>
      <c r="C471" t="s">
        <v>72</v>
      </c>
      <c r="D471" t="s">
        <v>58</v>
      </c>
      <c r="E471">
        <v>1420</v>
      </c>
      <c r="F471">
        <v>5</v>
      </c>
      <c r="G471">
        <v>7</v>
      </c>
      <c r="H471">
        <v>2</v>
      </c>
      <c r="I471">
        <v>0</v>
      </c>
      <c r="J471">
        <v>0.78973316078141398</v>
      </c>
      <c r="K471">
        <v>0.857530864197529</v>
      </c>
      <c r="L471">
        <v>0.82223681156272299</v>
      </c>
      <c r="M471">
        <v>0.2</v>
      </c>
      <c r="N471">
        <v>1</v>
      </c>
      <c r="O471">
        <v>0.59560439560439604</v>
      </c>
      <c r="P471" t="s">
        <v>317</v>
      </c>
      <c r="Q471" t="s">
        <v>318</v>
      </c>
      <c r="R471" t="s">
        <v>319</v>
      </c>
      <c r="S471" t="s">
        <v>320</v>
      </c>
      <c r="V471" t="s">
        <v>321</v>
      </c>
      <c r="W471" t="s">
        <v>322</v>
      </c>
      <c r="AF471" t="s">
        <v>323</v>
      </c>
    </row>
    <row r="472" spans="1:32" hidden="1" x14ac:dyDescent="0.35">
      <c r="A472">
        <v>191</v>
      </c>
      <c r="B472" t="s">
        <v>316</v>
      </c>
      <c r="C472" t="s">
        <v>72</v>
      </c>
      <c r="D472" t="s">
        <v>60</v>
      </c>
      <c r="E472">
        <v>1968</v>
      </c>
      <c r="F472">
        <v>5</v>
      </c>
      <c r="G472">
        <v>7</v>
      </c>
      <c r="H472">
        <v>2</v>
      </c>
      <c r="I472">
        <v>0</v>
      </c>
      <c r="J472">
        <v>0.78973316078141398</v>
      </c>
      <c r="K472">
        <v>0.857530864197529</v>
      </c>
      <c r="L472">
        <v>0.82223681156272299</v>
      </c>
      <c r="M472">
        <v>0.2</v>
      </c>
      <c r="N472">
        <v>1</v>
      </c>
      <c r="O472">
        <v>0.59560439560439604</v>
      </c>
      <c r="P472" t="s">
        <v>317</v>
      </c>
      <c r="Q472" t="s">
        <v>318</v>
      </c>
      <c r="R472" t="s">
        <v>319</v>
      </c>
      <c r="S472" t="s">
        <v>320</v>
      </c>
      <c r="T472" t="s">
        <v>324</v>
      </c>
      <c r="U472" t="s">
        <v>325</v>
      </c>
      <c r="V472" t="s">
        <v>321</v>
      </c>
      <c r="W472" t="s">
        <v>322</v>
      </c>
      <c r="AD472" t="s">
        <v>326</v>
      </c>
      <c r="AE472" t="s">
        <v>327</v>
      </c>
      <c r="AF472" t="s">
        <v>328</v>
      </c>
    </row>
    <row r="473" spans="1:32" hidden="1" x14ac:dyDescent="0.35">
      <c r="A473">
        <v>192</v>
      </c>
      <c r="B473" t="s">
        <v>316</v>
      </c>
      <c r="C473" t="s">
        <v>72</v>
      </c>
      <c r="D473" t="s">
        <v>62</v>
      </c>
      <c r="E473">
        <v>2009</v>
      </c>
      <c r="F473">
        <v>5</v>
      </c>
      <c r="G473">
        <v>7</v>
      </c>
      <c r="H473">
        <v>2</v>
      </c>
      <c r="I473">
        <v>0</v>
      </c>
      <c r="J473">
        <v>0.78973316078141398</v>
      </c>
      <c r="K473">
        <v>0.857530864197529</v>
      </c>
      <c r="L473">
        <v>0.82223681156272299</v>
      </c>
      <c r="M473">
        <v>0.2</v>
      </c>
      <c r="N473">
        <v>1</v>
      </c>
      <c r="O473">
        <v>0.59560439560439604</v>
      </c>
      <c r="P473" t="s">
        <v>317</v>
      </c>
      <c r="Q473" t="s">
        <v>318</v>
      </c>
      <c r="R473" t="s">
        <v>319</v>
      </c>
      <c r="S473" t="s">
        <v>320</v>
      </c>
      <c r="T473" t="s">
        <v>324</v>
      </c>
      <c r="U473" t="s">
        <v>325</v>
      </c>
      <c r="V473" t="s">
        <v>321</v>
      </c>
      <c r="W473" t="s">
        <v>322</v>
      </c>
      <c r="AD473" t="s">
        <v>326</v>
      </c>
      <c r="AE473" t="s">
        <v>327</v>
      </c>
      <c r="AF473" t="s">
        <v>328</v>
      </c>
    </row>
    <row r="474" spans="1:32" hidden="1" x14ac:dyDescent="0.35">
      <c r="A474">
        <v>193</v>
      </c>
      <c r="B474" t="s">
        <v>316</v>
      </c>
      <c r="C474" t="s">
        <v>72</v>
      </c>
      <c r="D474" t="s">
        <v>34</v>
      </c>
      <c r="E474">
        <v>546</v>
      </c>
      <c r="F474">
        <v>5</v>
      </c>
      <c r="G474">
        <v>7</v>
      </c>
      <c r="H474">
        <v>2</v>
      </c>
      <c r="I474">
        <v>0</v>
      </c>
      <c r="J474">
        <v>0.78973316078141398</v>
      </c>
      <c r="K474">
        <v>0.857530864197529</v>
      </c>
      <c r="L474">
        <v>0.82223681156272299</v>
      </c>
      <c r="M474">
        <v>0.2</v>
      </c>
      <c r="N474">
        <v>1</v>
      </c>
      <c r="O474">
        <v>0.59560439560439604</v>
      </c>
      <c r="P474" t="s">
        <v>317</v>
      </c>
      <c r="Q474" t="s">
        <v>318</v>
      </c>
      <c r="R474" t="s">
        <v>319</v>
      </c>
      <c r="S474" t="s">
        <v>320</v>
      </c>
      <c r="T474" t="s">
        <v>324</v>
      </c>
      <c r="U474" t="s">
        <v>325</v>
      </c>
      <c r="V474" t="s">
        <v>321</v>
      </c>
      <c r="W474" t="s">
        <v>322</v>
      </c>
      <c r="AD474" t="s">
        <v>326</v>
      </c>
      <c r="AE474" t="s">
        <v>327</v>
      </c>
      <c r="AF474" t="s">
        <v>329</v>
      </c>
    </row>
    <row r="475" spans="1:32" hidden="1" x14ac:dyDescent="0.35">
      <c r="A475">
        <v>194</v>
      </c>
      <c r="B475" t="s">
        <v>316</v>
      </c>
      <c r="C475" t="s">
        <v>72</v>
      </c>
      <c r="D475" t="s">
        <v>34</v>
      </c>
      <c r="E475">
        <v>547</v>
      </c>
      <c r="F475">
        <v>5</v>
      </c>
      <c r="G475">
        <v>7</v>
      </c>
      <c r="H475">
        <v>2</v>
      </c>
      <c r="I475">
        <v>0</v>
      </c>
      <c r="J475">
        <v>0.78973316078141398</v>
      </c>
      <c r="K475">
        <v>0.857530864197529</v>
      </c>
      <c r="L475">
        <v>0.82223681156272299</v>
      </c>
      <c r="M475">
        <v>0.2</v>
      </c>
      <c r="N475">
        <v>1</v>
      </c>
      <c r="O475">
        <v>0.59560439560439604</v>
      </c>
      <c r="P475" t="s">
        <v>317</v>
      </c>
      <c r="Q475" t="s">
        <v>318</v>
      </c>
      <c r="R475" t="s">
        <v>319</v>
      </c>
      <c r="S475" t="s">
        <v>320</v>
      </c>
      <c r="T475" t="s">
        <v>324</v>
      </c>
      <c r="U475" t="s">
        <v>325</v>
      </c>
      <c r="V475" t="s">
        <v>321</v>
      </c>
      <c r="W475" t="s">
        <v>322</v>
      </c>
      <c r="AD475" t="s">
        <v>326</v>
      </c>
      <c r="AE475" t="s">
        <v>327</v>
      </c>
      <c r="AF475" t="s">
        <v>330</v>
      </c>
    </row>
    <row r="476" spans="1:32" hidden="1" x14ac:dyDescent="0.35">
      <c r="A476">
        <v>195</v>
      </c>
      <c r="B476" t="s">
        <v>316</v>
      </c>
      <c r="C476" t="s">
        <v>72</v>
      </c>
      <c r="D476" t="s">
        <v>45</v>
      </c>
      <c r="E476">
        <v>1813</v>
      </c>
      <c r="F476">
        <v>5</v>
      </c>
      <c r="G476">
        <v>7</v>
      </c>
      <c r="H476">
        <v>2</v>
      </c>
      <c r="I476">
        <v>0</v>
      </c>
      <c r="J476">
        <v>0.78973316078141398</v>
      </c>
      <c r="K476">
        <v>0.857530864197529</v>
      </c>
      <c r="L476">
        <v>0.82223681156272299</v>
      </c>
      <c r="M476">
        <v>0.2</v>
      </c>
      <c r="N476">
        <v>1</v>
      </c>
      <c r="O476">
        <v>0.59560439560439604</v>
      </c>
      <c r="P476" t="s">
        <v>317</v>
      </c>
      <c r="Q476" t="s">
        <v>318</v>
      </c>
      <c r="R476" t="s">
        <v>319</v>
      </c>
      <c r="S476" t="s">
        <v>320</v>
      </c>
      <c r="T476" t="s">
        <v>324</v>
      </c>
      <c r="U476" t="s">
        <v>325</v>
      </c>
      <c r="V476" t="s">
        <v>321</v>
      </c>
      <c r="W476" t="s">
        <v>322</v>
      </c>
      <c r="AD476" t="s">
        <v>326</v>
      </c>
      <c r="AE476" t="s">
        <v>327</v>
      </c>
      <c r="AF476" t="s">
        <v>329</v>
      </c>
    </row>
    <row r="477" spans="1:32" hidden="1" x14ac:dyDescent="0.35">
      <c r="A477">
        <v>196</v>
      </c>
      <c r="B477" t="s">
        <v>316</v>
      </c>
      <c r="C477" t="s">
        <v>72</v>
      </c>
      <c r="D477" t="s">
        <v>45</v>
      </c>
      <c r="E477">
        <v>1814</v>
      </c>
      <c r="F477">
        <v>5</v>
      </c>
      <c r="G477">
        <v>7</v>
      </c>
      <c r="H477">
        <v>2</v>
      </c>
      <c r="I477">
        <v>0</v>
      </c>
      <c r="J477">
        <v>0.78973316078141398</v>
      </c>
      <c r="K477">
        <v>0.857530864197529</v>
      </c>
      <c r="L477">
        <v>0.82223681156272299</v>
      </c>
      <c r="M477">
        <v>0.2</v>
      </c>
      <c r="N477">
        <v>1</v>
      </c>
      <c r="O477">
        <v>0.59560439560439604</v>
      </c>
      <c r="P477" t="s">
        <v>317</v>
      </c>
      <c r="Q477" t="s">
        <v>318</v>
      </c>
      <c r="R477" t="s">
        <v>319</v>
      </c>
      <c r="S477" t="s">
        <v>320</v>
      </c>
      <c r="T477" t="s">
        <v>324</v>
      </c>
      <c r="U477" t="s">
        <v>325</v>
      </c>
      <c r="V477" t="s">
        <v>321</v>
      </c>
      <c r="W477" t="s">
        <v>322</v>
      </c>
      <c r="AD477" t="s">
        <v>326</v>
      </c>
      <c r="AE477" t="s">
        <v>327</v>
      </c>
      <c r="AF477" t="s">
        <v>331</v>
      </c>
    </row>
    <row r="478" spans="1:32" hidden="1" x14ac:dyDescent="0.35">
      <c r="A478">
        <v>246</v>
      </c>
      <c r="B478" t="s">
        <v>418</v>
      </c>
      <c r="C478" t="s">
        <v>72</v>
      </c>
      <c r="D478" t="s">
        <v>58</v>
      </c>
      <c r="E478">
        <v>332</v>
      </c>
      <c r="F478">
        <v>5</v>
      </c>
      <c r="G478">
        <v>7</v>
      </c>
      <c r="H478">
        <v>2</v>
      </c>
      <c r="I478">
        <v>0</v>
      </c>
      <c r="J478">
        <v>0.74734104314709005</v>
      </c>
      <c r="K478">
        <v>0.87633244906263996</v>
      </c>
      <c r="L478">
        <v>0.80671293799938604</v>
      </c>
      <c r="M478">
        <v>0.53417721518987304</v>
      </c>
      <c r="N478">
        <v>0.99746835443037996</v>
      </c>
      <c r="O478">
        <v>0.64725738396624499</v>
      </c>
      <c r="P478" t="s">
        <v>169</v>
      </c>
      <c r="Q478" t="s">
        <v>170</v>
      </c>
      <c r="R478" t="s">
        <v>319</v>
      </c>
      <c r="S478" t="s">
        <v>320</v>
      </c>
      <c r="V478" t="s">
        <v>419</v>
      </c>
      <c r="W478" t="s">
        <v>420</v>
      </c>
      <c r="AF478" t="s">
        <v>421</v>
      </c>
    </row>
    <row r="479" spans="1:32" hidden="1" x14ac:dyDescent="0.35">
      <c r="A479">
        <v>247</v>
      </c>
      <c r="B479" t="s">
        <v>418</v>
      </c>
      <c r="C479" t="s">
        <v>72</v>
      </c>
      <c r="D479" t="s">
        <v>60</v>
      </c>
      <c r="E479">
        <v>2214</v>
      </c>
      <c r="F479">
        <v>5</v>
      </c>
      <c r="G479">
        <v>7</v>
      </c>
      <c r="H479">
        <v>2</v>
      </c>
      <c r="I479">
        <v>0</v>
      </c>
      <c r="J479">
        <v>0.74734104314709005</v>
      </c>
      <c r="K479">
        <v>0.87633244906263996</v>
      </c>
      <c r="L479">
        <v>0.80671293799938604</v>
      </c>
      <c r="M479">
        <v>0.53417721518987304</v>
      </c>
      <c r="N479">
        <v>0.99746835443037996</v>
      </c>
      <c r="O479">
        <v>0.64725738396624499</v>
      </c>
      <c r="P479" t="s">
        <v>169</v>
      </c>
      <c r="Q479" t="s">
        <v>170</v>
      </c>
      <c r="R479" t="s">
        <v>319</v>
      </c>
      <c r="S479" t="s">
        <v>320</v>
      </c>
      <c r="T479" t="s">
        <v>422</v>
      </c>
      <c r="U479" t="s">
        <v>423</v>
      </c>
      <c r="V479" t="s">
        <v>419</v>
      </c>
      <c r="W479" t="s">
        <v>420</v>
      </c>
      <c r="AD479" t="s">
        <v>424</v>
      </c>
      <c r="AE479" t="s">
        <v>425</v>
      </c>
      <c r="AF479" t="s">
        <v>426</v>
      </c>
    </row>
    <row r="480" spans="1:32" hidden="1" x14ac:dyDescent="0.35">
      <c r="A480">
        <v>248</v>
      </c>
      <c r="B480" t="s">
        <v>418</v>
      </c>
      <c r="C480" t="s">
        <v>72</v>
      </c>
      <c r="D480" t="s">
        <v>62</v>
      </c>
      <c r="E480">
        <v>2246</v>
      </c>
      <c r="F480">
        <v>5</v>
      </c>
      <c r="G480">
        <v>7</v>
      </c>
      <c r="H480">
        <v>2</v>
      </c>
      <c r="I480">
        <v>0</v>
      </c>
      <c r="J480">
        <v>0.74734104314709005</v>
      </c>
      <c r="K480">
        <v>0.87633244906263996</v>
      </c>
      <c r="L480">
        <v>0.80671293799938604</v>
      </c>
      <c r="M480">
        <v>0.53417721518987304</v>
      </c>
      <c r="N480">
        <v>0.99746835443037996</v>
      </c>
      <c r="O480">
        <v>0.64725738396624499</v>
      </c>
      <c r="P480" t="s">
        <v>169</v>
      </c>
      <c r="Q480" t="s">
        <v>170</v>
      </c>
      <c r="R480" t="s">
        <v>319</v>
      </c>
      <c r="S480" t="s">
        <v>320</v>
      </c>
      <c r="T480" t="s">
        <v>422</v>
      </c>
      <c r="U480" t="s">
        <v>423</v>
      </c>
      <c r="V480" t="s">
        <v>419</v>
      </c>
      <c r="W480" t="s">
        <v>420</v>
      </c>
      <c r="AD480" t="s">
        <v>424</v>
      </c>
      <c r="AE480" t="s">
        <v>425</v>
      </c>
      <c r="AF480" t="s">
        <v>427</v>
      </c>
    </row>
    <row r="481" spans="1:32" hidden="1" x14ac:dyDescent="0.35">
      <c r="A481">
        <v>249</v>
      </c>
      <c r="B481" t="s">
        <v>418</v>
      </c>
      <c r="C481" t="s">
        <v>72</v>
      </c>
      <c r="D481" t="s">
        <v>34</v>
      </c>
      <c r="E481">
        <v>768</v>
      </c>
      <c r="F481">
        <v>5</v>
      </c>
      <c r="G481">
        <v>7</v>
      </c>
      <c r="H481">
        <v>2</v>
      </c>
      <c r="I481">
        <v>0</v>
      </c>
      <c r="J481">
        <v>0.74734104314709005</v>
      </c>
      <c r="K481">
        <v>0.87633244906263996</v>
      </c>
      <c r="L481">
        <v>0.80671293799938604</v>
      </c>
      <c r="M481">
        <v>0.53417721518987304</v>
      </c>
      <c r="N481">
        <v>0.99746835443037996</v>
      </c>
      <c r="O481">
        <v>0.64725738396624499</v>
      </c>
      <c r="P481" t="s">
        <v>169</v>
      </c>
      <c r="Q481" t="s">
        <v>170</v>
      </c>
      <c r="R481" t="s">
        <v>319</v>
      </c>
      <c r="S481" t="s">
        <v>320</v>
      </c>
      <c r="T481" t="s">
        <v>422</v>
      </c>
      <c r="U481" t="s">
        <v>423</v>
      </c>
      <c r="V481" t="s">
        <v>419</v>
      </c>
      <c r="W481" t="s">
        <v>420</v>
      </c>
      <c r="AD481" t="s">
        <v>424</v>
      </c>
      <c r="AE481" t="s">
        <v>425</v>
      </c>
      <c r="AF481" t="s">
        <v>428</v>
      </c>
    </row>
    <row r="482" spans="1:32" hidden="1" x14ac:dyDescent="0.35">
      <c r="A482">
        <v>250</v>
      </c>
      <c r="B482" t="s">
        <v>418</v>
      </c>
      <c r="C482" t="s">
        <v>72</v>
      </c>
      <c r="D482" t="s">
        <v>34</v>
      </c>
      <c r="E482">
        <v>527</v>
      </c>
      <c r="F482">
        <v>5</v>
      </c>
      <c r="G482">
        <v>7</v>
      </c>
      <c r="H482">
        <v>2</v>
      </c>
      <c r="I482">
        <v>0</v>
      </c>
      <c r="J482">
        <v>0.74734104314709005</v>
      </c>
      <c r="K482">
        <v>0.87633244906263996</v>
      </c>
      <c r="L482">
        <v>0.80671293799938604</v>
      </c>
      <c r="M482">
        <v>0.53417721518987304</v>
      </c>
      <c r="N482">
        <v>0.99746835443037996</v>
      </c>
      <c r="O482">
        <v>0.64725738396624499</v>
      </c>
      <c r="P482" t="s">
        <v>169</v>
      </c>
      <c r="Q482" t="s">
        <v>170</v>
      </c>
      <c r="R482" t="s">
        <v>319</v>
      </c>
      <c r="S482" t="s">
        <v>320</v>
      </c>
      <c r="V482" t="s">
        <v>419</v>
      </c>
      <c r="W482" t="s">
        <v>420</v>
      </c>
      <c r="AF482" t="s">
        <v>429</v>
      </c>
    </row>
    <row r="483" spans="1:32" hidden="1" x14ac:dyDescent="0.35">
      <c r="A483">
        <v>251</v>
      </c>
      <c r="B483" t="s">
        <v>418</v>
      </c>
      <c r="C483" t="s">
        <v>72</v>
      </c>
      <c r="D483" t="s">
        <v>45</v>
      </c>
      <c r="E483">
        <v>2034</v>
      </c>
      <c r="F483">
        <v>5</v>
      </c>
      <c r="G483">
        <v>7</v>
      </c>
      <c r="H483">
        <v>2</v>
      </c>
      <c r="I483">
        <v>0</v>
      </c>
      <c r="J483">
        <v>0.74734104314709005</v>
      </c>
      <c r="K483">
        <v>0.87633244906263996</v>
      </c>
      <c r="L483">
        <v>0.80671293799938604</v>
      </c>
      <c r="M483">
        <v>0.53417721518987304</v>
      </c>
      <c r="N483">
        <v>0.99746835443037996</v>
      </c>
      <c r="O483">
        <v>0.64725738396624499</v>
      </c>
      <c r="P483" t="s">
        <v>169</v>
      </c>
      <c r="Q483" t="s">
        <v>170</v>
      </c>
      <c r="R483" t="s">
        <v>319</v>
      </c>
      <c r="S483" t="s">
        <v>320</v>
      </c>
      <c r="T483" t="s">
        <v>422</v>
      </c>
      <c r="U483" t="s">
        <v>423</v>
      </c>
      <c r="V483" t="s">
        <v>419</v>
      </c>
      <c r="W483" t="s">
        <v>420</v>
      </c>
      <c r="AD483" t="s">
        <v>424</v>
      </c>
      <c r="AE483" t="s">
        <v>425</v>
      </c>
      <c r="AF483" t="s">
        <v>430</v>
      </c>
    </row>
    <row r="484" spans="1:32" hidden="1" x14ac:dyDescent="0.35">
      <c r="A484">
        <v>252</v>
      </c>
      <c r="B484" t="s">
        <v>418</v>
      </c>
      <c r="C484" t="s">
        <v>72</v>
      </c>
      <c r="D484" t="s">
        <v>45</v>
      </c>
      <c r="E484">
        <v>1793</v>
      </c>
      <c r="F484">
        <v>5</v>
      </c>
      <c r="G484">
        <v>7</v>
      </c>
      <c r="H484">
        <v>2</v>
      </c>
      <c r="I484">
        <v>0</v>
      </c>
      <c r="J484">
        <v>0.74734104314709005</v>
      </c>
      <c r="K484">
        <v>0.87633244906263996</v>
      </c>
      <c r="L484">
        <v>0.80671293799938604</v>
      </c>
      <c r="M484">
        <v>0.53417721518987304</v>
      </c>
      <c r="N484">
        <v>0.99746835443037996</v>
      </c>
      <c r="O484">
        <v>0.64725738396624499</v>
      </c>
      <c r="P484" t="s">
        <v>169</v>
      </c>
      <c r="Q484" t="s">
        <v>170</v>
      </c>
      <c r="R484" t="s">
        <v>319</v>
      </c>
      <c r="S484" t="s">
        <v>320</v>
      </c>
      <c r="V484" t="s">
        <v>419</v>
      </c>
      <c r="W484" t="s">
        <v>420</v>
      </c>
      <c r="AF484" t="s">
        <v>431</v>
      </c>
    </row>
    <row r="485" spans="1:32" hidden="1" x14ac:dyDescent="0.35">
      <c r="A485">
        <v>484</v>
      </c>
      <c r="B485" t="s">
        <v>920</v>
      </c>
      <c r="C485" t="s">
        <v>72</v>
      </c>
      <c r="D485" t="s">
        <v>58</v>
      </c>
      <c r="E485">
        <v>1150</v>
      </c>
      <c r="F485">
        <v>5</v>
      </c>
      <c r="G485">
        <v>5</v>
      </c>
      <c r="H485">
        <v>1</v>
      </c>
      <c r="I485">
        <v>1</v>
      </c>
      <c r="J485">
        <v>0.84461650453312198</v>
      </c>
      <c r="K485">
        <v>0.89739375923121301</v>
      </c>
      <c r="L485">
        <v>0.87020564215716201</v>
      </c>
      <c r="M485">
        <v>0.65432098765432101</v>
      </c>
      <c r="N485">
        <v>1</v>
      </c>
      <c r="O485">
        <v>0.750617283950617</v>
      </c>
      <c r="P485" t="s">
        <v>921</v>
      </c>
      <c r="Q485" t="s">
        <v>922</v>
      </c>
      <c r="R485" t="s">
        <v>319</v>
      </c>
      <c r="S485" t="s">
        <v>320</v>
      </c>
      <c r="T485" t="s">
        <v>923</v>
      </c>
      <c r="U485" t="s">
        <v>924</v>
      </c>
      <c r="V485" t="s">
        <v>925</v>
      </c>
      <c r="W485" t="s">
        <v>926</v>
      </c>
      <c r="Z485" t="s">
        <v>927</v>
      </c>
      <c r="AA485" t="s">
        <v>928</v>
      </c>
      <c r="AB485" t="s">
        <v>927</v>
      </c>
      <c r="AC485" t="s">
        <v>929</v>
      </c>
      <c r="AD485" t="s">
        <v>245</v>
      </c>
      <c r="AE485" t="s">
        <v>930</v>
      </c>
      <c r="AF485" t="s">
        <v>931</v>
      </c>
    </row>
    <row r="486" spans="1:32" hidden="1" x14ac:dyDescent="0.35">
      <c r="A486">
        <v>485</v>
      </c>
      <c r="B486" t="s">
        <v>920</v>
      </c>
      <c r="C486" t="s">
        <v>72</v>
      </c>
      <c r="D486" t="s">
        <v>60</v>
      </c>
      <c r="E486">
        <v>1570</v>
      </c>
      <c r="F486">
        <v>5</v>
      </c>
      <c r="G486">
        <v>5</v>
      </c>
      <c r="H486">
        <v>1</v>
      </c>
      <c r="I486">
        <v>1</v>
      </c>
      <c r="J486">
        <v>0.84461650453312198</v>
      </c>
      <c r="K486">
        <v>0.89739375923121301</v>
      </c>
      <c r="L486">
        <v>0.87020564215716201</v>
      </c>
      <c r="M486">
        <v>0.65432098765432101</v>
      </c>
      <c r="N486">
        <v>1</v>
      </c>
      <c r="O486">
        <v>0.750617283950617</v>
      </c>
      <c r="P486" t="s">
        <v>921</v>
      </c>
      <c r="Q486" t="s">
        <v>922</v>
      </c>
      <c r="R486" t="s">
        <v>319</v>
      </c>
      <c r="S486" t="s">
        <v>320</v>
      </c>
      <c r="T486" t="s">
        <v>923</v>
      </c>
      <c r="U486" t="s">
        <v>924</v>
      </c>
      <c r="V486" t="s">
        <v>925</v>
      </c>
      <c r="W486" t="s">
        <v>926</v>
      </c>
      <c r="Z486" t="s">
        <v>927</v>
      </c>
      <c r="AA486" t="s">
        <v>928</v>
      </c>
      <c r="AB486" t="s">
        <v>927</v>
      </c>
      <c r="AC486" t="s">
        <v>929</v>
      </c>
      <c r="AD486" t="s">
        <v>245</v>
      </c>
      <c r="AE486" t="s">
        <v>930</v>
      </c>
      <c r="AF486" t="s">
        <v>932</v>
      </c>
    </row>
    <row r="487" spans="1:32" hidden="1" x14ac:dyDescent="0.35">
      <c r="A487">
        <v>486</v>
      </c>
      <c r="B487" t="s">
        <v>920</v>
      </c>
      <c r="C487" t="s">
        <v>72</v>
      </c>
      <c r="D487" t="s">
        <v>62</v>
      </c>
      <c r="E487">
        <v>1606</v>
      </c>
      <c r="F487">
        <v>5</v>
      </c>
      <c r="G487">
        <v>5</v>
      </c>
      <c r="H487">
        <v>1</v>
      </c>
      <c r="I487">
        <v>1</v>
      </c>
      <c r="J487">
        <v>0.84461650453312198</v>
      </c>
      <c r="K487">
        <v>0.89739375923121301</v>
      </c>
      <c r="L487">
        <v>0.87020564215716201</v>
      </c>
      <c r="M487">
        <v>0.65432098765432101</v>
      </c>
      <c r="N487">
        <v>1</v>
      </c>
      <c r="O487">
        <v>0.750617283950617</v>
      </c>
      <c r="P487" t="s">
        <v>921</v>
      </c>
      <c r="Q487" t="s">
        <v>922</v>
      </c>
      <c r="R487" t="s">
        <v>319</v>
      </c>
      <c r="S487" t="s">
        <v>320</v>
      </c>
      <c r="T487" t="s">
        <v>923</v>
      </c>
      <c r="U487" t="s">
        <v>924</v>
      </c>
      <c r="V487" t="s">
        <v>925</v>
      </c>
      <c r="W487" t="s">
        <v>926</v>
      </c>
      <c r="Z487" t="s">
        <v>927</v>
      </c>
      <c r="AA487" t="s">
        <v>928</v>
      </c>
      <c r="AB487" t="s">
        <v>927</v>
      </c>
      <c r="AC487" t="s">
        <v>929</v>
      </c>
      <c r="AD487" t="s">
        <v>245</v>
      </c>
      <c r="AE487" t="s">
        <v>930</v>
      </c>
      <c r="AF487" t="s">
        <v>932</v>
      </c>
    </row>
    <row r="488" spans="1:32" hidden="1" x14ac:dyDescent="0.35">
      <c r="A488">
        <v>487</v>
      </c>
      <c r="B488" t="s">
        <v>920</v>
      </c>
      <c r="C488" t="s">
        <v>72</v>
      </c>
      <c r="D488" t="s">
        <v>34</v>
      </c>
      <c r="E488">
        <v>1975</v>
      </c>
      <c r="F488">
        <v>5</v>
      </c>
      <c r="G488">
        <v>5</v>
      </c>
      <c r="H488">
        <v>1</v>
      </c>
      <c r="I488">
        <v>1</v>
      </c>
      <c r="J488">
        <v>0.84461650453312198</v>
      </c>
      <c r="K488">
        <v>0.89739375923121301</v>
      </c>
      <c r="L488">
        <v>0.87020564215716201</v>
      </c>
      <c r="M488">
        <v>0.65432098765432101</v>
      </c>
      <c r="N488">
        <v>1</v>
      </c>
      <c r="O488">
        <v>0.750617283950617</v>
      </c>
      <c r="P488" t="s">
        <v>921</v>
      </c>
      <c r="Q488" t="s">
        <v>922</v>
      </c>
      <c r="R488" t="s">
        <v>319</v>
      </c>
      <c r="S488" t="s">
        <v>320</v>
      </c>
      <c r="T488" t="s">
        <v>923</v>
      </c>
      <c r="U488" t="s">
        <v>924</v>
      </c>
      <c r="V488" t="s">
        <v>925</v>
      </c>
      <c r="W488" t="s">
        <v>926</v>
      </c>
      <c r="Z488" t="s">
        <v>927</v>
      </c>
      <c r="AA488" t="s">
        <v>928</v>
      </c>
      <c r="AB488" t="s">
        <v>927</v>
      </c>
      <c r="AC488" t="s">
        <v>929</v>
      </c>
      <c r="AD488" t="s">
        <v>245</v>
      </c>
      <c r="AE488" t="s">
        <v>930</v>
      </c>
      <c r="AF488" t="s">
        <v>933</v>
      </c>
    </row>
    <row r="489" spans="1:32" hidden="1" x14ac:dyDescent="0.35">
      <c r="A489">
        <v>488</v>
      </c>
      <c r="B489" t="s">
        <v>920</v>
      </c>
      <c r="C489" t="s">
        <v>72</v>
      </c>
      <c r="D489" t="s">
        <v>45</v>
      </c>
      <c r="E489">
        <v>898</v>
      </c>
      <c r="F489">
        <v>5</v>
      </c>
      <c r="G489">
        <v>5</v>
      </c>
      <c r="H489">
        <v>1</v>
      </c>
      <c r="I489">
        <v>1</v>
      </c>
      <c r="J489">
        <v>0.84461650453312198</v>
      </c>
      <c r="K489">
        <v>0.89739375923121301</v>
      </c>
      <c r="L489">
        <v>0.87020564215716201</v>
      </c>
      <c r="M489">
        <v>0.65432098765432101</v>
      </c>
      <c r="N489">
        <v>1</v>
      </c>
      <c r="O489">
        <v>0.750617283950617</v>
      </c>
      <c r="P489" t="s">
        <v>921</v>
      </c>
      <c r="Q489" t="s">
        <v>922</v>
      </c>
      <c r="R489" t="s">
        <v>319</v>
      </c>
      <c r="S489" t="s">
        <v>320</v>
      </c>
      <c r="T489" t="s">
        <v>923</v>
      </c>
      <c r="U489" t="s">
        <v>924</v>
      </c>
      <c r="V489" t="s">
        <v>925</v>
      </c>
      <c r="W489" t="s">
        <v>926</v>
      </c>
      <c r="Z489" t="s">
        <v>927</v>
      </c>
      <c r="AA489" t="s">
        <v>928</v>
      </c>
      <c r="AB489" t="s">
        <v>927</v>
      </c>
      <c r="AC489" t="s">
        <v>929</v>
      </c>
      <c r="AD489" t="s">
        <v>245</v>
      </c>
      <c r="AE489" t="s">
        <v>930</v>
      </c>
      <c r="AF489" t="s">
        <v>933</v>
      </c>
    </row>
    <row r="490" spans="1:32" hidden="1" x14ac:dyDescent="0.35">
      <c r="A490">
        <v>524</v>
      </c>
      <c r="B490" t="s">
        <v>1015</v>
      </c>
      <c r="C490" t="s">
        <v>72</v>
      </c>
      <c r="D490" t="s">
        <v>58</v>
      </c>
      <c r="E490">
        <v>1421</v>
      </c>
      <c r="F490">
        <v>5</v>
      </c>
      <c r="G490">
        <v>5</v>
      </c>
      <c r="H490">
        <v>1</v>
      </c>
      <c r="I490">
        <v>1</v>
      </c>
      <c r="J490">
        <v>0.76512614422862202</v>
      </c>
      <c r="K490">
        <v>0.92805799665403998</v>
      </c>
      <c r="L490">
        <v>0.83875276109103802</v>
      </c>
      <c r="M490">
        <v>0.53250773993808098</v>
      </c>
      <c r="N490">
        <v>1</v>
      </c>
      <c r="O490">
        <v>0.68792569659442704</v>
      </c>
      <c r="P490" t="s">
        <v>1016</v>
      </c>
      <c r="Q490" t="s">
        <v>1017</v>
      </c>
      <c r="R490" t="s">
        <v>319</v>
      </c>
      <c r="S490" t="s">
        <v>320</v>
      </c>
      <c r="T490" t="s">
        <v>1018</v>
      </c>
      <c r="U490" t="s">
        <v>1019</v>
      </c>
      <c r="V490" t="s">
        <v>1020</v>
      </c>
      <c r="W490" t="s">
        <v>1021</v>
      </c>
      <c r="X490" t="s">
        <v>1020</v>
      </c>
      <c r="Y490" t="s">
        <v>1022</v>
      </c>
      <c r="AD490" t="s">
        <v>219</v>
      </c>
      <c r="AE490" t="s">
        <v>1023</v>
      </c>
      <c r="AF490" t="s">
        <v>1024</v>
      </c>
    </row>
    <row r="491" spans="1:32" hidden="1" x14ac:dyDescent="0.35">
      <c r="A491">
        <v>525</v>
      </c>
      <c r="B491" t="s">
        <v>1015</v>
      </c>
      <c r="C491" t="s">
        <v>72</v>
      </c>
      <c r="D491" t="s">
        <v>60</v>
      </c>
      <c r="E491">
        <v>1969</v>
      </c>
      <c r="F491">
        <v>5</v>
      </c>
      <c r="G491">
        <v>5</v>
      </c>
      <c r="H491">
        <v>1</v>
      </c>
      <c r="I491">
        <v>1</v>
      </c>
      <c r="J491">
        <v>0.76512614422862202</v>
      </c>
      <c r="K491">
        <v>0.92805799665403998</v>
      </c>
      <c r="L491">
        <v>0.83875276109103802</v>
      </c>
      <c r="M491">
        <v>0.53250773993808098</v>
      </c>
      <c r="N491">
        <v>1</v>
      </c>
      <c r="O491">
        <v>0.68792569659442704</v>
      </c>
      <c r="P491" t="s">
        <v>1016</v>
      </c>
      <c r="Q491" t="s">
        <v>1017</v>
      </c>
      <c r="R491" t="s">
        <v>319</v>
      </c>
      <c r="S491" t="s">
        <v>320</v>
      </c>
      <c r="T491" t="s">
        <v>1018</v>
      </c>
      <c r="U491" t="s">
        <v>1019</v>
      </c>
      <c r="V491" t="s">
        <v>1020</v>
      </c>
      <c r="W491" t="s">
        <v>1021</v>
      </c>
      <c r="X491" t="s">
        <v>1020</v>
      </c>
      <c r="Y491" t="s">
        <v>1022</v>
      </c>
      <c r="AD491" t="s">
        <v>219</v>
      </c>
      <c r="AE491" t="s">
        <v>1023</v>
      </c>
      <c r="AF491" t="e">
        <f>-----------MTSHITVVGSINADLSVRVNRHPKPGETIFGTGGSISPGGKGANQAVAAALQGAKVAFVGAVGNDTYAAPATALMVAAGVDMEGVDTRDETTGLAVITVDADGENSIVVVPGANADVTAAYVDAHAETVRTADIVLLQGEIPADGFEAAVK---HATGRVVVNLAPVIPVPQAALLQADPLLANEHEAGLILELLGHPAEGE----PEVMSAALVDAGFASVVLTLGGRGAIVATHDDVT--HIPAAHVTPADTTGAGDAFAGALVARLLAGE---TLIDAASHAARVAAYAVTGAGAQPSYPDLNDSLPEI</f>
        <v>#NAME?</v>
      </c>
    </row>
    <row r="492" spans="1:32" hidden="1" x14ac:dyDescent="0.35">
      <c r="A492">
        <v>526</v>
      </c>
      <c r="B492" t="s">
        <v>1015</v>
      </c>
      <c r="C492" t="s">
        <v>72</v>
      </c>
      <c r="D492" t="s">
        <v>62</v>
      </c>
      <c r="E492">
        <v>2010</v>
      </c>
      <c r="F492">
        <v>5</v>
      </c>
      <c r="G492">
        <v>5</v>
      </c>
      <c r="H492">
        <v>1</v>
      </c>
      <c r="I492">
        <v>1</v>
      </c>
      <c r="J492">
        <v>0.76512614422862202</v>
      </c>
      <c r="K492">
        <v>0.92805799665403998</v>
      </c>
      <c r="L492">
        <v>0.83875276109103802</v>
      </c>
      <c r="M492">
        <v>0.53250773993808098</v>
      </c>
      <c r="N492">
        <v>1</v>
      </c>
      <c r="O492">
        <v>0.68792569659442704</v>
      </c>
      <c r="P492" t="s">
        <v>1016</v>
      </c>
      <c r="Q492" t="s">
        <v>1017</v>
      </c>
      <c r="R492" t="s">
        <v>319</v>
      </c>
      <c r="S492" t="s">
        <v>320</v>
      </c>
      <c r="T492" t="s">
        <v>1018</v>
      </c>
      <c r="U492" t="s">
        <v>1019</v>
      </c>
      <c r="V492" t="s">
        <v>1020</v>
      </c>
      <c r="W492" t="s">
        <v>1021</v>
      </c>
      <c r="X492" t="s">
        <v>1020</v>
      </c>
      <c r="Y492" t="s">
        <v>1022</v>
      </c>
      <c r="AD492" t="s">
        <v>219</v>
      </c>
      <c r="AE492" t="s">
        <v>1023</v>
      </c>
      <c r="AF492" t="e">
        <f>-----------MTSHITVVGSINADLSVRVNRHPKPGETIFGTGGSISPGGKGANQAVAAALQGAKVAFVGAVGNDTYAAPATALMVAAGVDMEGVDTRDETTGLAVITVDADGENSIVVVPGANADVTAAYVDAHAETVRTADIVLLQGEIPADGFEAAVK---HATGRVVVNLAPVIPVPQAALLQADPLLANEHEAGLILELLGHPAEGE----PEVMSAALVDAGFASVVLTLGGRGAIVATHDDVT--HIPAAHVTPADTTGAGDAFAGALVARLLAGE---TLIDAASHAARVAAYAVTGAGAQPSYPDLNDSLPEI</f>
        <v>#NAME?</v>
      </c>
    </row>
    <row r="493" spans="1:32" hidden="1" x14ac:dyDescent="0.35">
      <c r="A493">
        <v>527</v>
      </c>
      <c r="B493" t="s">
        <v>1015</v>
      </c>
      <c r="C493" t="s">
        <v>72</v>
      </c>
      <c r="D493" t="s">
        <v>34</v>
      </c>
      <c r="E493">
        <v>549</v>
      </c>
      <c r="F493">
        <v>5</v>
      </c>
      <c r="G493">
        <v>5</v>
      </c>
      <c r="H493">
        <v>1</v>
      </c>
      <c r="I493">
        <v>1</v>
      </c>
      <c r="J493">
        <v>0.76512614422862202</v>
      </c>
      <c r="K493">
        <v>0.92805799665403998</v>
      </c>
      <c r="L493">
        <v>0.83875276109103802</v>
      </c>
      <c r="M493">
        <v>0.53250773993808098</v>
      </c>
      <c r="N493">
        <v>1</v>
      </c>
      <c r="O493">
        <v>0.68792569659442704</v>
      </c>
      <c r="P493" t="s">
        <v>1016</v>
      </c>
      <c r="Q493" t="s">
        <v>1017</v>
      </c>
      <c r="R493" t="s">
        <v>319</v>
      </c>
      <c r="S493" t="s">
        <v>320</v>
      </c>
      <c r="T493" t="s">
        <v>1018</v>
      </c>
      <c r="U493" t="s">
        <v>1019</v>
      </c>
      <c r="V493" t="s">
        <v>1020</v>
      </c>
      <c r="W493" t="s">
        <v>1021</v>
      </c>
      <c r="X493" t="s">
        <v>1020</v>
      </c>
      <c r="Y493" t="s">
        <v>1022</v>
      </c>
      <c r="AD493" t="s">
        <v>219</v>
      </c>
      <c r="AE493" t="s">
        <v>1023</v>
      </c>
      <c r="AF493" t="e">
        <f>-------------MSIIVVGSINADLAVQVHRHPKPGETLMGSGGTITPGGKGANQAVAAALQGASVRFVGAVGNDAYATPALRCLTKSGVDLTGISHVEDTTGLAVIAISADGENTIIVIPGANAWVDAEAVKQHTTDIAAADIVLLQGEIPAEGFQTAVD---AATHRVVINLAPVVPVDRDALLQADPLMANEHEAALVLQQLGHEVAEEDSKNPEKLAADLLDAGFASVVLTLGAAGALVATPEGSE--LVPSPKVTAVDTTGAGDAFAGALVARLDAGD---SLLDAAHHAVRVAAYAVTGRGAQDSYPTKDDQLPQV</f>
        <v>#NAME?</v>
      </c>
    </row>
    <row r="494" spans="1:32" hidden="1" x14ac:dyDescent="0.35">
      <c r="A494">
        <v>528</v>
      </c>
      <c r="B494" t="s">
        <v>1015</v>
      </c>
      <c r="C494" t="s">
        <v>72</v>
      </c>
      <c r="D494" t="s">
        <v>45</v>
      </c>
      <c r="E494">
        <v>1816</v>
      </c>
      <c r="F494">
        <v>5</v>
      </c>
      <c r="G494">
        <v>5</v>
      </c>
      <c r="H494">
        <v>1</v>
      </c>
      <c r="I494">
        <v>1</v>
      </c>
      <c r="J494">
        <v>0.76512614422862202</v>
      </c>
      <c r="K494">
        <v>0.92805799665403998</v>
      </c>
      <c r="L494">
        <v>0.83875276109103802</v>
      </c>
      <c r="M494">
        <v>0.53250773993808098</v>
      </c>
      <c r="N494">
        <v>1</v>
      </c>
      <c r="O494">
        <v>0.68792569659442704</v>
      </c>
      <c r="P494" t="s">
        <v>1016</v>
      </c>
      <c r="Q494" t="s">
        <v>1017</v>
      </c>
      <c r="R494" t="s">
        <v>319</v>
      </c>
      <c r="S494" t="s">
        <v>320</v>
      </c>
      <c r="T494" t="s">
        <v>1018</v>
      </c>
      <c r="U494" t="s">
        <v>1019</v>
      </c>
      <c r="V494" t="s">
        <v>1020</v>
      </c>
      <c r="W494" t="s">
        <v>1021</v>
      </c>
      <c r="X494" t="s">
        <v>1020</v>
      </c>
      <c r="Y494" t="s">
        <v>1022</v>
      </c>
      <c r="AD494" t="s">
        <v>219</v>
      </c>
      <c r="AE494" t="s">
        <v>1023</v>
      </c>
      <c r="AF494" t="e">
        <f>-------------MSIIVVGSINADLAVQVHRHPKPGETLMGSGGTITPGGKGANQAVAAALQGASVRFVGAVGNDAYATPALRCLTKSGVDLTGISHVEDTTGLAVIAISADGENTIIVIPGANAWVDAEAVKQHATDIAAADIVLLQGEIPAEGFQAAVD---AATHRVVINLAPVVPVDRDALLQADPLMANEHEAALVLQQLGHEVAEEDSKNPEKLAADLLDAGFASVVLTLGAAGALVATPEGSE--LVPSPKVTAVDTTGAGDAFAGALVARLDAGD---SLLDAAHHAVRVAAYAVTGRGAQDSYPTKDDQLPQV</f>
        <v>#NAME?</v>
      </c>
    </row>
    <row r="495" spans="1:32" hidden="1" x14ac:dyDescent="0.35">
      <c r="A495">
        <v>544</v>
      </c>
      <c r="B495" t="s">
        <v>1056</v>
      </c>
      <c r="C495" t="s">
        <v>72</v>
      </c>
      <c r="D495" t="s">
        <v>58</v>
      </c>
      <c r="E495">
        <v>1607</v>
      </c>
      <c r="F495">
        <v>5</v>
      </c>
      <c r="G495">
        <v>5</v>
      </c>
      <c r="H495">
        <v>1</v>
      </c>
      <c r="I495">
        <v>1</v>
      </c>
      <c r="J495">
        <v>0.887599008404378</v>
      </c>
      <c r="K495">
        <v>0.99873188405797197</v>
      </c>
      <c r="L495">
        <v>0.93989175864529295</v>
      </c>
      <c r="M495">
        <v>0.79891304347826098</v>
      </c>
      <c r="N495">
        <v>1</v>
      </c>
      <c r="O495">
        <v>0.85960144927536197</v>
      </c>
      <c r="P495" t="s">
        <v>1057</v>
      </c>
      <c r="Q495" t="s">
        <v>1058</v>
      </c>
      <c r="R495" t="s">
        <v>319</v>
      </c>
      <c r="S495" t="s">
        <v>320</v>
      </c>
      <c r="T495" t="s">
        <v>1059</v>
      </c>
      <c r="U495" t="s">
        <v>1060</v>
      </c>
      <c r="V495" t="s">
        <v>1061</v>
      </c>
      <c r="W495" t="s">
        <v>1062</v>
      </c>
      <c r="Z495" t="s">
        <v>1063</v>
      </c>
      <c r="AA495" t="s">
        <v>1064</v>
      </c>
      <c r="AB495" t="s">
        <v>1063</v>
      </c>
      <c r="AC495" t="s">
        <v>1065</v>
      </c>
      <c r="AD495" t="s">
        <v>1066</v>
      </c>
      <c r="AE495" t="s">
        <v>1067</v>
      </c>
      <c r="AF495" t="s">
        <v>1068</v>
      </c>
    </row>
    <row r="496" spans="1:32" hidden="1" x14ac:dyDescent="0.35">
      <c r="A496">
        <v>545</v>
      </c>
      <c r="B496" t="s">
        <v>1056</v>
      </c>
      <c r="C496" t="s">
        <v>72</v>
      </c>
      <c r="D496" t="s">
        <v>60</v>
      </c>
      <c r="E496">
        <v>2133</v>
      </c>
      <c r="F496">
        <v>5</v>
      </c>
      <c r="G496">
        <v>5</v>
      </c>
      <c r="H496">
        <v>1</v>
      </c>
      <c r="I496">
        <v>1</v>
      </c>
      <c r="J496">
        <v>0.887599008404378</v>
      </c>
      <c r="K496">
        <v>0.99873188405797197</v>
      </c>
      <c r="L496">
        <v>0.93989175864529295</v>
      </c>
      <c r="M496">
        <v>0.79891304347826098</v>
      </c>
      <c r="N496">
        <v>1</v>
      </c>
      <c r="O496">
        <v>0.85960144927536197</v>
      </c>
      <c r="P496" t="s">
        <v>1057</v>
      </c>
      <c r="Q496" t="s">
        <v>1058</v>
      </c>
      <c r="R496" t="s">
        <v>319</v>
      </c>
      <c r="S496" t="s">
        <v>320</v>
      </c>
      <c r="T496" t="s">
        <v>1059</v>
      </c>
      <c r="U496" t="s">
        <v>1060</v>
      </c>
      <c r="V496" t="s">
        <v>1061</v>
      </c>
      <c r="W496" t="s">
        <v>1062</v>
      </c>
      <c r="Z496" t="s">
        <v>1063</v>
      </c>
      <c r="AA496" t="s">
        <v>1064</v>
      </c>
      <c r="AB496" t="s">
        <v>1063</v>
      </c>
      <c r="AC496" t="s">
        <v>1065</v>
      </c>
      <c r="AD496" t="s">
        <v>1066</v>
      </c>
      <c r="AE496" t="s">
        <v>1067</v>
      </c>
      <c r="AF496" t="s">
        <v>1069</v>
      </c>
    </row>
    <row r="497" spans="1:32" hidden="1" x14ac:dyDescent="0.35">
      <c r="A497">
        <v>546</v>
      </c>
      <c r="B497" t="s">
        <v>1056</v>
      </c>
      <c r="C497" t="s">
        <v>72</v>
      </c>
      <c r="D497" t="s">
        <v>62</v>
      </c>
      <c r="E497">
        <v>2166</v>
      </c>
      <c r="F497">
        <v>5</v>
      </c>
      <c r="G497">
        <v>5</v>
      </c>
      <c r="H497">
        <v>1</v>
      </c>
      <c r="I497">
        <v>1</v>
      </c>
      <c r="J497">
        <v>0.887599008404378</v>
      </c>
      <c r="K497">
        <v>0.99873188405797197</v>
      </c>
      <c r="L497">
        <v>0.93989175864529295</v>
      </c>
      <c r="M497">
        <v>0.79891304347826098</v>
      </c>
      <c r="N497">
        <v>1</v>
      </c>
      <c r="O497">
        <v>0.85960144927536197</v>
      </c>
      <c r="P497" t="s">
        <v>1057</v>
      </c>
      <c r="Q497" t="s">
        <v>1058</v>
      </c>
      <c r="R497" t="s">
        <v>319</v>
      </c>
      <c r="S497" t="s">
        <v>320</v>
      </c>
      <c r="T497" t="s">
        <v>1059</v>
      </c>
      <c r="U497" t="s">
        <v>1060</v>
      </c>
      <c r="V497" t="s">
        <v>1061</v>
      </c>
      <c r="W497" t="s">
        <v>1062</v>
      </c>
      <c r="Z497" t="s">
        <v>1063</v>
      </c>
      <c r="AA497" t="s">
        <v>1064</v>
      </c>
      <c r="AB497" t="s">
        <v>1063</v>
      </c>
      <c r="AC497" t="s">
        <v>1065</v>
      </c>
      <c r="AD497" t="s">
        <v>1066</v>
      </c>
      <c r="AE497" t="s">
        <v>1067</v>
      </c>
      <c r="AF497" t="s">
        <v>1070</v>
      </c>
    </row>
    <row r="498" spans="1:32" hidden="1" x14ac:dyDescent="0.35">
      <c r="A498">
        <v>547</v>
      </c>
      <c r="B498" t="s">
        <v>1056</v>
      </c>
      <c r="C498" t="s">
        <v>72</v>
      </c>
      <c r="D498" t="s">
        <v>34</v>
      </c>
      <c r="E498">
        <v>2497</v>
      </c>
      <c r="F498">
        <v>5</v>
      </c>
      <c r="G498">
        <v>5</v>
      </c>
      <c r="H498">
        <v>1</v>
      </c>
      <c r="I498">
        <v>1</v>
      </c>
      <c r="J498">
        <v>0.887599008404378</v>
      </c>
      <c r="K498">
        <v>0.99873188405797197</v>
      </c>
      <c r="L498">
        <v>0.93989175864529295</v>
      </c>
      <c r="M498">
        <v>0.79891304347826098</v>
      </c>
      <c r="N498">
        <v>1</v>
      </c>
      <c r="O498">
        <v>0.85960144927536197</v>
      </c>
      <c r="P498" t="s">
        <v>1057</v>
      </c>
      <c r="Q498" t="s">
        <v>1058</v>
      </c>
      <c r="R498" t="s">
        <v>319</v>
      </c>
      <c r="S498" t="s">
        <v>320</v>
      </c>
      <c r="T498" t="s">
        <v>1059</v>
      </c>
      <c r="U498" t="s">
        <v>1060</v>
      </c>
      <c r="V498" t="s">
        <v>1061</v>
      </c>
      <c r="W498" t="s">
        <v>1062</v>
      </c>
      <c r="Z498" t="s">
        <v>1063</v>
      </c>
      <c r="AA498" t="s">
        <v>1064</v>
      </c>
      <c r="AB498" t="s">
        <v>1063</v>
      </c>
      <c r="AC498" t="s">
        <v>1065</v>
      </c>
      <c r="AD498" t="s">
        <v>1066</v>
      </c>
      <c r="AE498" t="s">
        <v>1067</v>
      </c>
      <c r="AF498" t="s">
        <v>1071</v>
      </c>
    </row>
    <row r="499" spans="1:32" hidden="1" x14ac:dyDescent="0.35">
      <c r="A499">
        <v>548</v>
      </c>
      <c r="B499" t="s">
        <v>1056</v>
      </c>
      <c r="C499" t="s">
        <v>72</v>
      </c>
      <c r="D499" t="s">
        <v>45</v>
      </c>
      <c r="E499">
        <v>404</v>
      </c>
      <c r="F499">
        <v>5</v>
      </c>
      <c r="G499">
        <v>5</v>
      </c>
      <c r="H499">
        <v>1</v>
      </c>
      <c r="I499">
        <v>1</v>
      </c>
      <c r="J499">
        <v>0.887599008404378</v>
      </c>
      <c r="K499">
        <v>0.99873188405797197</v>
      </c>
      <c r="L499">
        <v>0.93989175864529295</v>
      </c>
      <c r="M499">
        <v>0.79891304347826098</v>
      </c>
      <c r="N499">
        <v>1</v>
      </c>
      <c r="O499">
        <v>0.85960144927536197</v>
      </c>
      <c r="P499" t="s">
        <v>1057</v>
      </c>
      <c r="Q499" t="s">
        <v>1058</v>
      </c>
      <c r="R499" t="s">
        <v>319</v>
      </c>
      <c r="S499" t="s">
        <v>320</v>
      </c>
      <c r="T499" t="s">
        <v>1059</v>
      </c>
      <c r="U499" t="s">
        <v>1060</v>
      </c>
      <c r="V499" t="s">
        <v>1061</v>
      </c>
      <c r="W499" t="s">
        <v>1062</v>
      </c>
      <c r="Z499" t="s">
        <v>1063</v>
      </c>
      <c r="AA499" t="s">
        <v>1064</v>
      </c>
      <c r="AB499" t="s">
        <v>1063</v>
      </c>
      <c r="AC499" t="s">
        <v>1065</v>
      </c>
      <c r="AD499" t="s">
        <v>1066</v>
      </c>
      <c r="AE499" t="s">
        <v>1067</v>
      </c>
      <c r="AF499" t="s">
        <v>1071</v>
      </c>
    </row>
    <row r="500" spans="1:32" hidden="1" x14ac:dyDescent="0.35">
      <c r="A500">
        <v>704</v>
      </c>
      <c r="B500" t="s">
        <v>1443</v>
      </c>
      <c r="C500" t="s">
        <v>72</v>
      </c>
      <c r="D500" t="s">
        <v>58</v>
      </c>
      <c r="E500">
        <v>183</v>
      </c>
      <c r="F500">
        <v>5</v>
      </c>
      <c r="G500">
        <v>5</v>
      </c>
      <c r="H500">
        <v>1</v>
      </c>
      <c r="I500">
        <v>1</v>
      </c>
      <c r="J500">
        <v>0.76569451309935699</v>
      </c>
      <c r="K500">
        <v>0.98691535150645704</v>
      </c>
      <c r="L500">
        <v>0.86234327993124604</v>
      </c>
      <c r="M500">
        <v>0.60975609756097604</v>
      </c>
      <c r="N500">
        <v>1</v>
      </c>
      <c r="O500">
        <v>0.70146341463414597</v>
      </c>
      <c r="P500" t="s">
        <v>1444</v>
      </c>
      <c r="Q500" t="s">
        <v>1445</v>
      </c>
      <c r="R500" t="s">
        <v>319</v>
      </c>
      <c r="S500" t="s">
        <v>320</v>
      </c>
      <c r="V500" t="s">
        <v>1446</v>
      </c>
      <c r="W500" t="s">
        <v>1447</v>
      </c>
      <c r="AF500" t="s">
        <v>1448</v>
      </c>
    </row>
    <row r="501" spans="1:32" hidden="1" x14ac:dyDescent="0.35">
      <c r="A501">
        <v>705</v>
      </c>
      <c r="B501" t="s">
        <v>1443</v>
      </c>
      <c r="C501" t="s">
        <v>72</v>
      </c>
      <c r="D501" t="s">
        <v>60</v>
      </c>
      <c r="E501">
        <v>319</v>
      </c>
      <c r="F501">
        <v>5</v>
      </c>
      <c r="G501">
        <v>5</v>
      </c>
      <c r="H501">
        <v>1</v>
      </c>
      <c r="I501">
        <v>1</v>
      </c>
      <c r="J501">
        <v>0.76569451309935699</v>
      </c>
      <c r="K501">
        <v>0.98691535150645704</v>
      </c>
      <c r="L501">
        <v>0.86234327993124604</v>
      </c>
      <c r="M501">
        <v>0.60975609756097604</v>
      </c>
      <c r="N501">
        <v>1</v>
      </c>
      <c r="O501">
        <v>0.70146341463414597</v>
      </c>
      <c r="P501" t="s">
        <v>1444</v>
      </c>
      <c r="Q501" t="s">
        <v>1445</v>
      </c>
      <c r="R501" t="s">
        <v>319</v>
      </c>
      <c r="S501" t="s">
        <v>320</v>
      </c>
      <c r="V501" t="s">
        <v>1446</v>
      </c>
      <c r="W501" t="s">
        <v>1447</v>
      </c>
      <c r="AF501" t="s">
        <v>1449</v>
      </c>
    </row>
    <row r="502" spans="1:32" hidden="1" x14ac:dyDescent="0.35">
      <c r="A502">
        <v>706</v>
      </c>
      <c r="B502" t="s">
        <v>1443</v>
      </c>
      <c r="C502" t="s">
        <v>72</v>
      </c>
      <c r="D502" t="s">
        <v>62</v>
      </c>
      <c r="E502">
        <v>399</v>
      </c>
      <c r="F502">
        <v>5</v>
      </c>
      <c r="G502">
        <v>5</v>
      </c>
      <c r="H502">
        <v>1</v>
      </c>
      <c r="I502">
        <v>1</v>
      </c>
      <c r="J502">
        <v>0.76569451309935699</v>
      </c>
      <c r="K502">
        <v>0.98691535150645704</v>
      </c>
      <c r="L502">
        <v>0.86234327993124604</v>
      </c>
      <c r="M502">
        <v>0.60975609756097604</v>
      </c>
      <c r="N502">
        <v>1</v>
      </c>
      <c r="O502">
        <v>0.70146341463414597</v>
      </c>
      <c r="P502" t="s">
        <v>1444</v>
      </c>
      <c r="Q502" t="s">
        <v>1445</v>
      </c>
      <c r="R502" t="s">
        <v>319</v>
      </c>
      <c r="S502" t="s">
        <v>320</v>
      </c>
      <c r="V502" t="s">
        <v>1446</v>
      </c>
      <c r="W502" t="s">
        <v>1447</v>
      </c>
      <c r="AF502" t="s">
        <v>1449</v>
      </c>
    </row>
    <row r="503" spans="1:32" hidden="1" x14ac:dyDescent="0.35">
      <c r="A503">
        <v>707</v>
      </c>
      <c r="B503" t="s">
        <v>1443</v>
      </c>
      <c r="C503" t="s">
        <v>72</v>
      </c>
      <c r="D503" t="s">
        <v>34</v>
      </c>
      <c r="E503">
        <v>837</v>
      </c>
      <c r="F503">
        <v>5</v>
      </c>
      <c r="G503">
        <v>5</v>
      </c>
      <c r="H503">
        <v>1</v>
      </c>
      <c r="I503">
        <v>1</v>
      </c>
      <c r="J503">
        <v>0.76569451309935699</v>
      </c>
      <c r="K503">
        <v>0.98691535150645704</v>
      </c>
      <c r="L503">
        <v>0.86234327993124604</v>
      </c>
      <c r="M503">
        <v>0.60975609756097604</v>
      </c>
      <c r="N503">
        <v>1</v>
      </c>
      <c r="O503">
        <v>0.70146341463414597</v>
      </c>
      <c r="P503" t="s">
        <v>1444</v>
      </c>
      <c r="Q503" t="s">
        <v>1445</v>
      </c>
      <c r="R503" t="s">
        <v>319</v>
      </c>
      <c r="S503" t="s">
        <v>320</v>
      </c>
      <c r="V503" t="s">
        <v>1446</v>
      </c>
      <c r="W503" t="s">
        <v>1447</v>
      </c>
      <c r="AF503" t="s">
        <v>1450</v>
      </c>
    </row>
    <row r="504" spans="1:32" hidden="1" x14ac:dyDescent="0.35">
      <c r="A504">
        <v>708</v>
      </c>
      <c r="B504" t="s">
        <v>1443</v>
      </c>
      <c r="C504" t="s">
        <v>72</v>
      </c>
      <c r="D504" t="s">
        <v>45</v>
      </c>
      <c r="E504">
        <v>2094</v>
      </c>
      <c r="F504">
        <v>5</v>
      </c>
      <c r="G504">
        <v>5</v>
      </c>
      <c r="H504">
        <v>1</v>
      </c>
      <c r="I504">
        <v>1</v>
      </c>
      <c r="J504">
        <v>0.76569451309935699</v>
      </c>
      <c r="K504">
        <v>0.98691535150645704</v>
      </c>
      <c r="L504">
        <v>0.86234327993124604</v>
      </c>
      <c r="M504">
        <v>0.60975609756097604</v>
      </c>
      <c r="N504">
        <v>1</v>
      </c>
      <c r="O504">
        <v>0.70146341463414597</v>
      </c>
      <c r="P504" t="s">
        <v>1444</v>
      </c>
      <c r="Q504" t="s">
        <v>1445</v>
      </c>
      <c r="R504" t="s">
        <v>319</v>
      </c>
      <c r="S504" t="s">
        <v>320</v>
      </c>
      <c r="V504" t="s">
        <v>1446</v>
      </c>
      <c r="W504" t="s">
        <v>1447</v>
      </c>
      <c r="AF504" t="s">
        <v>1450</v>
      </c>
    </row>
    <row r="505" spans="1:32" hidden="1" x14ac:dyDescent="0.35">
      <c r="A505">
        <v>809</v>
      </c>
      <c r="B505" t="s">
        <v>1660</v>
      </c>
      <c r="C505" t="s">
        <v>72</v>
      </c>
      <c r="D505" t="s">
        <v>58</v>
      </c>
      <c r="E505">
        <v>1097</v>
      </c>
      <c r="F505">
        <v>5</v>
      </c>
      <c r="G505">
        <v>5</v>
      </c>
      <c r="H505">
        <v>1</v>
      </c>
      <c r="I505">
        <v>1</v>
      </c>
      <c r="J505">
        <v>0.86434864880846796</v>
      </c>
      <c r="K505">
        <v>0.99246186998534203</v>
      </c>
      <c r="L505">
        <v>0.92398558456358504</v>
      </c>
      <c r="M505">
        <v>0.77992957746478897</v>
      </c>
      <c r="N505">
        <v>1</v>
      </c>
      <c r="O505">
        <v>0.83521126760563402</v>
      </c>
      <c r="P505" t="s">
        <v>1661</v>
      </c>
      <c r="Q505" t="s">
        <v>1662</v>
      </c>
      <c r="R505" t="s">
        <v>319</v>
      </c>
      <c r="S505" t="s">
        <v>320</v>
      </c>
      <c r="T505" t="s">
        <v>1663</v>
      </c>
      <c r="U505" t="s">
        <v>1664</v>
      </c>
      <c r="V505" t="s">
        <v>1665</v>
      </c>
      <c r="W505" t="s">
        <v>1666</v>
      </c>
      <c r="AD505" t="s">
        <v>1667</v>
      </c>
      <c r="AE505" t="s">
        <v>1668</v>
      </c>
      <c r="AF505" t="s">
        <v>1669</v>
      </c>
    </row>
    <row r="506" spans="1:32" hidden="1" x14ac:dyDescent="0.35">
      <c r="A506">
        <v>810</v>
      </c>
      <c r="B506" t="s">
        <v>1660</v>
      </c>
      <c r="C506" t="s">
        <v>72</v>
      </c>
      <c r="D506" t="s">
        <v>60</v>
      </c>
      <c r="E506">
        <v>1480</v>
      </c>
      <c r="F506">
        <v>5</v>
      </c>
      <c r="G506">
        <v>5</v>
      </c>
      <c r="H506">
        <v>1</v>
      </c>
      <c r="I506">
        <v>1</v>
      </c>
      <c r="J506">
        <v>0.86434864880846796</v>
      </c>
      <c r="K506">
        <v>0.99246186998534203</v>
      </c>
      <c r="L506">
        <v>0.92398558456358504</v>
      </c>
      <c r="M506">
        <v>0.77992957746478897</v>
      </c>
      <c r="N506">
        <v>1</v>
      </c>
      <c r="O506">
        <v>0.83521126760563402</v>
      </c>
      <c r="P506" t="s">
        <v>1661</v>
      </c>
      <c r="Q506" t="s">
        <v>1662</v>
      </c>
      <c r="R506" t="s">
        <v>319</v>
      </c>
      <c r="S506" t="s">
        <v>320</v>
      </c>
      <c r="T506" t="s">
        <v>1663</v>
      </c>
      <c r="U506" t="s">
        <v>1664</v>
      </c>
      <c r="V506" t="s">
        <v>1665</v>
      </c>
      <c r="W506" t="s">
        <v>1666</v>
      </c>
      <c r="AD506" t="s">
        <v>1667</v>
      </c>
      <c r="AE506" t="s">
        <v>1668</v>
      </c>
      <c r="AF506" t="s">
        <v>1670</v>
      </c>
    </row>
    <row r="507" spans="1:32" hidden="1" x14ac:dyDescent="0.35">
      <c r="A507">
        <v>811</v>
      </c>
      <c r="B507" t="s">
        <v>1660</v>
      </c>
      <c r="C507" t="s">
        <v>72</v>
      </c>
      <c r="D507" t="s">
        <v>62</v>
      </c>
      <c r="E507">
        <v>1515</v>
      </c>
      <c r="F507">
        <v>5</v>
      </c>
      <c r="G507">
        <v>5</v>
      </c>
      <c r="H507">
        <v>1</v>
      </c>
      <c r="I507">
        <v>1</v>
      </c>
      <c r="J507">
        <v>0.86434864880846796</v>
      </c>
      <c r="K507">
        <v>0.99246186998534203</v>
      </c>
      <c r="L507">
        <v>0.92398558456358504</v>
      </c>
      <c r="M507">
        <v>0.77992957746478897</v>
      </c>
      <c r="N507">
        <v>1</v>
      </c>
      <c r="O507">
        <v>0.83521126760563402</v>
      </c>
      <c r="P507" t="s">
        <v>1661</v>
      </c>
      <c r="Q507" t="s">
        <v>1662</v>
      </c>
      <c r="R507" t="s">
        <v>319</v>
      </c>
      <c r="S507" t="s">
        <v>320</v>
      </c>
      <c r="T507" t="s">
        <v>1663</v>
      </c>
      <c r="U507" t="s">
        <v>1664</v>
      </c>
      <c r="V507" t="s">
        <v>1665</v>
      </c>
      <c r="W507" t="s">
        <v>1666</v>
      </c>
      <c r="AD507" t="s">
        <v>1667</v>
      </c>
      <c r="AE507" t="s">
        <v>1668</v>
      </c>
      <c r="AF507" t="s">
        <v>1670</v>
      </c>
    </row>
    <row r="508" spans="1:32" hidden="1" x14ac:dyDescent="0.35">
      <c r="A508">
        <v>812</v>
      </c>
      <c r="B508" t="s">
        <v>1660</v>
      </c>
      <c r="C508" t="s">
        <v>72</v>
      </c>
      <c r="D508" t="s">
        <v>34</v>
      </c>
      <c r="E508">
        <v>1906</v>
      </c>
      <c r="F508">
        <v>5</v>
      </c>
      <c r="G508">
        <v>5</v>
      </c>
      <c r="H508">
        <v>1</v>
      </c>
      <c r="I508">
        <v>1</v>
      </c>
      <c r="J508">
        <v>0.86434864880846796</v>
      </c>
      <c r="K508">
        <v>0.99246186998534203</v>
      </c>
      <c r="L508">
        <v>0.92398558456358504</v>
      </c>
      <c r="M508">
        <v>0.77992957746478897</v>
      </c>
      <c r="N508">
        <v>1</v>
      </c>
      <c r="O508">
        <v>0.83521126760563402</v>
      </c>
      <c r="P508" t="s">
        <v>1661</v>
      </c>
      <c r="Q508" t="s">
        <v>1662</v>
      </c>
      <c r="R508" t="s">
        <v>319</v>
      </c>
      <c r="S508" t="s">
        <v>320</v>
      </c>
      <c r="T508" t="s">
        <v>1663</v>
      </c>
      <c r="U508" t="s">
        <v>1664</v>
      </c>
      <c r="V508" t="s">
        <v>1665</v>
      </c>
      <c r="W508" t="s">
        <v>1666</v>
      </c>
      <c r="AD508" t="s">
        <v>1667</v>
      </c>
      <c r="AE508" t="s">
        <v>1668</v>
      </c>
      <c r="AF508" t="s">
        <v>1671</v>
      </c>
    </row>
    <row r="509" spans="1:32" hidden="1" x14ac:dyDescent="0.35">
      <c r="A509">
        <v>813</v>
      </c>
      <c r="B509" t="s">
        <v>1660</v>
      </c>
      <c r="C509" t="s">
        <v>72</v>
      </c>
      <c r="D509" t="s">
        <v>45</v>
      </c>
      <c r="E509">
        <v>968</v>
      </c>
      <c r="F509">
        <v>5</v>
      </c>
      <c r="G509">
        <v>5</v>
      </c>
      <c r="H509">
        <v>1</v>
      </c>
      <c r="I509">
        <v>1</v>
      </c>
      <c r="J509">
        <v>0.86434864880846796</v>
      </c>
      <c r="K509">
        <v>0.99246186998534203</v>
      </c>
      <c r="L509">
        <v>0.92398558456358504</v>
      </c>
      <c r="M509">
        <v>0.77992957746478897</v>
      </c>
      <c r="N509">
        <v>1</v>
      </c>
      <c r="O509">
        <v>0.83521126760563402</v>
      </c>
      <c r="P509" t="s">
        <v>1661</v>
      </c>
      <c r="Q509" t="s">
        <v>1662</v>
      </c>
      <c r="R509" t="s">
        <v>319</v>
      </c>
      <c r="S509" t="s">
        <v>320</v>
      </c>
      <c r="T509" t="s">
        <v>1663</v>
      </c>
      <c r="U509" t="s">
        <v>1664</v>
      </c>
      <c r="V509" t="s">
        <v>1665</v>
      </c>
      <c r="W509" t="s">
        <v>1666</v>
      </c>
      <c r="AD509" t="s">
        <v>1667</v>
      </c>
      <c r="AE509" t="s">
        <v>1668</v>
      </c>
      <c r="AF509" t="s">
        <v>1672</v>
      </c>
    </row>
    <row r="510" spans="1:32" hidden="1" x14ac:dyDescent="0.35">
      <c r="A510">
        <v>1214</v>
      </c>
      <c r="B510" t="s">
        <v>2523</v>
      </c>
      <c r="C510" t="s">
        <v>72</v>
      </c>
      <c r="D510" t="s">
        <v>58</v>
      </c>
      <c r="E510">
        <v>1451</v>
      </c>
      <c r="F510">
        <v>5</v>
      </c>
      <c r="G510">
        <v>5</v>
      </c>
      <c r="H510">
        <v>1</v>
      </c>
      <c r="I510">
        <v>1</v>
      </c>
      <c r="J510">
        <v>0.73459785325687399</v>
      </c>
      <c r="K510">
        <v>0.95010372349776995</v>
      </c>
      <c r="L510">
        <v>0.82856710681938295</v>
      </c>
      <c r="M510">
        <v>0.55230125523012596</v>
      </c>
      <c r="N510">
        <v>1</v>
      </c>
      <c r="O510">
        <v>0.64895397489539797</v>
      </c>
      <c r="P510" t="s">
        <v>1444</v>
      </c>
      <c r="Q510" t="s">
        <v>1445</v>
      </c>
      <c r="R510" t="s">
        <v>319</v>
      </c>
      <c r="S510" t="s">
        <v>320</v>
      </c>
      <c r="T510" t="s">
        <v>2524</v>
      </c>
      <c r="U510" t="s">
        <v>2525</v>
      </c>
      <c r="V510" t="s">
        <v>1446</v>
      </c>
      <c r="W510" t="s">
        <v>1447</v>
      </c>
      <c r="AD510" t="s">
        <v>219</v>
      </c>
      <c r="AE510" t="s">
        <v>2526</v>
      </c>
      <c r="AF510" t="s">
        <v>2527</v>
      </c>
    </row>
    <row r="511" spans="1:32" hidden="1" x14ac:dyDescent="0.35">
      <c r="A511">
        <v>1215</v>
      </c>
      <c r="B511" t="s">
        <v>2523</v>
      </c>
      <c r="C511" t="s">
        <v>72</v>
      </c>
      <c r="D511" t="s">
        <v>60</v>
      </c>
      <c r="E511">
        <v>1958</v>
      </c>
      <c r="F511">
        <v>5</v>
      </c>
      <c r="G511">
        <v>5</v>
      </c>
      <c r="H511">
        <v>1</v>
      </c>
      <c r="I511">
        <v>1</v>
      </c>
      <c r="J511">
        <v>0.73459785325687399</v>
      </c>
      <c r="K511">
        <v>0.95010372349776995</v>
      </c>
      <c r="L511">
        <v>0.82856710681938295</v>
      </c>
      <c r="M511">
        <v>0.55230125523012596</v>
      </c>
      <c r="N511">
        <v>1</v>
      </c>
      <c r="O511">
        <v>0.64895397489539797</v>
      </c>
      <c r="P511" t="s">
        <v>1444</v>
      </c>
      <c r="Q511" t="s">
        <v>1445</v>
      </c>
      <c r="R511" t="s">
        <v>319</v>
      </c>
      <c r="S511" t="s">
        <v>320</v>
      </c>
      <c r="T511" t="s">
        <v>2524</v>
      </c>
      <c r="U511" t="s">
        <v>2525</v>
      </c>
      <c r="V511" t="s">
        <v>1446</v>
      </c>
      <c r="W511" t="s">
        <v>1447</v>
      </c>
      <c r="AD511" t="s">
        <v>219</v>
      </c>
      <c r="AE511" t="s">
        <v>2526</v>
      </c>
      <c r="AF511" t="s">
        <v>2528</v>
      </c>
    </row>
    <row r="512" spans="1:32" hidden="1" x14ac:dyDescent="0.35">
      <c r="A512">
        <v>1216</v>
      </c>
      <c r="B512" t="s">
        <v>2523</v>
      </c>
      <c r="C512" t="s">
        <v>72</v>
      </c>
      <c r="D512" t="s">
        <v>62</v>
      </c>
      <c r="E512">
        <v>1999</v>
      </c>
      <c r="F512">
        <v>5</v>
      </c>
      <c r="G512">
        <v>5</v>
      </c>
      <c r="H512">
        <v>1</v>
      </c>
      <c r="I512">
        <v>1</v>
      </c>
      <c r="J512">
        <v>0.73459785325687399</v>
      </c>
      <c r="K512">
        <v>0.95010372349776995</v>
      </c>
      <c r="L512">
        <v>0.82856710681938295</v>
      </c>
      <c r="M512">
        <v>0.55230125523012596</v>
      </c>
      <c r="N512">
        <v>1</v>
      </c>
      <c r="O512">
        <v>0.64895397489539797</v>
      </c>
      <c r="P512" t="s">
        <v>1444</v>
      </c>
      <c r="Q512" t="s">
        <v>1445</v>
      </c>
      <c r="R512" t="s">
        <v>319</v>
      </c>
      <c r="S512" t="s">
        <v>320</v>
      </c>
      <c r="T512" t="s">
        <v>2524</v>
      </c>
      <c r="U512" t="s">
        <v>2525</v>
      </c>
      <c r="V512" t="s">
        <v>1446</v>
      </c>
      <c r="W512" t="s">
        <v>1447</v>
      </c>
      <c r="AD512" t="s">
        <v>219</v>
      </c>
      <c r="AE512" t="s">
        <v>2526</v>
      </c>
      <c r="AF512" t="s">
        <v>2528</v>
      </c>
    </row>
    <row r="513" spans="1:32" hidden="1" x14ac:dyDescent="0.35">
      <c r="A513">
        <v>1217</v>
      </c>
      <c r="B513" t="s">
        <v>2523</v>
      </c>
      <c r="C513" t="s">
        <v>72</v>
      </c>
      <c r="D513" t="s">
        <v>34</v>
      </c>
      <c r="E513">
        <v>2316</v>
      </c>
      <c r="F513">
        <v>5</v>
      </c>
      <c r="G513">
        <v>5</v>
      </c>
      <c r="H513">
        <v>1</v>
      </c>
      <c r="I513">
        <v>1</v>
      </c>
      <c r="J513">
        <v>0.73459785325687399</v>
      </c>
      <c r="K513">
        <v>0.95010372349776995</v>
      </c>
      <c r="L513">
        <v>0.82856710681938295</v>
      </c>
      <c r="M513">
        <v>0.55230125523012596</v>
      </c>
      <c r="N513">
        <v>1</v>
      </c>
      <c r="O513">
        <v>0.64895397489539797</v>
      </c>
      <c r="P513" t="s">
        <v>1444</v>
      </c>
      <c r="Q513" t="s">
        <v>1445</v>
      </c>
      <c r="R513" t="s">
        <v>319</v>
      </c>
      <c r="S513" t="s">
        <v>320</v>
      </c>
      <c r="T513" t="s">
        <v>2524</v>
      </c>
      <c r="U513" t="s">
        <v>2525</v>
      </c>
      <c r="V513" t="s">
        <v>1446</v>
      </c>
      <c r="W513" t="s">
        <v>1447</v>
      </c>
      <c r="AD513" t="s">
        <v>219</v>
      </c>
      <c r="AE513" t="s">
        <v>2526</v>
      </c>
      <c r="AF513" t="s">
        <v>2529</v>
      </c>
    </row>
    <row r="514" spans="1:32" hidden="1" x14ac:dyDescent="0.35">
      <c r="A514">
        <v>1218</v>
      </c>
      <c r="B514" t="s">
        <v>2523</v>
      </c>
      <c r="C514" t="s">
        <v>72</v>
      </c>
      <c r="D514" t="s">
        <v>45</v>
      </c>
      <c r="E514">
        <v>562</v>
      </c>
      <c r="F514">
        <v>5</v>
      </c>
      <c r="G514">
        <v>5</v>
      </c>
      <c r="H514">
        <v>1</v>
      </c>
      <c r="I514">
        <v>1</v>
      </c>
      <c r="J514">
        <v>0.73459785325687399</v>
      </c>
      <c r="K514">
        <v>0.95010372349776995</v>
      </c>
      <c r="L514">
        <v>0.82856710681938295</v>
      </c>
      <c r="M514">
        <v>0.55230125523012596</v>
      </c>
      <c r="N514">
        <v>1</v>
      </c>
      <c r="O514">
        <v>0.64895397489539797</v>
      </c>
      <c r="P514" t="s">
        <v>1444</v>
      </c>
      <c r="Q514" t="s">
        <v>1445</v>
      </c>
      <c r="R514" t="s">
        <v>319</v>
      </c>
      <c r="S514" t="s">
        <v>320</v>
      </c>
      <c r="T514" t="s">
        <v>2524</v>
      </c>
      <c r="U514" t="s">
        <v>2525</v>
      </c>
      <c r="V514" t="s">
        <v>1446</v>
      </c>
      <c r="W514" t="s">
        <v>1447</v>
      </c>
      <c r="AD514" t="s">
        <v>219</v>
      </c>
      <c r="AE514" t="s">
        <v>2526</v>
      </c>
      <c r="AF514" t="s">
        <v>2530</v>
      </c>
    </row>
    <row r="515" spans="1:32" hidden="1" x14ac:dyDescent="0.35">
      <c r="A515">
        <v>1389</v>
      </c>
      <c r="B515" t="s">
        <v>2901</v>
      </c>
      <c r="C515" t="s">
        <v>72</v>
      </c>
      <c r="D515" t="s">
        <v>58</v>
      </c>
      <c r="E515">
        <v>65</v>
      </c>
      <c r="F515">
        <v>5</v>
      </c>
      <c r="G515">
        <v>5</v>
      </c>
      <c r="H515">
        <v>1</v>
      </c>
      <c r="I515">
        <v>1</v>
      </c>
      <c r="J515">
        <v>0.86003924133420495</v>
      </c>
      <c r="K515">
        <v>0.95949212357800395</v>
      </c>
      <c r="L515">
        <v>0.90704770903247101</v>
      </c>
      <c r="M515">
        <v>0.72413793103448298</v>
      </c>
      <c r="N515">
        <v>1</v>
      </c>
      <c r="O515">
        <v>0.79373040752351098</v>
      </c>
      <c r="P515" t="s">
        <v>1531</v>
      </c>
      <c r="Q515" t="s">
        <v>1532</v>
      </c>
      <c r="R515" t="s">
        <v>319</v>
      </c>
      <c r="S515" t="s">
        <v>320</v>
      </c>
      <c r="T515" t="s">
        <v>2902</v>
      </c>
      <c r="U515" t="s">
        <v>2903</v>
      </c>
      <c r="V515" t="s">
        <v>2904</v>
      </c>
      <c r="W515" t="s">
        <v>2905</v>
      </c>
      <c r="Z515" t="s">
        <v>2906</v>
      </c>
      <c r="AA515" t="s">
        <v>2907</v>
      </c>
      <c r="AB515" t="s">
        <v>2906</v>
      </c>
      <c r="AC515" t="s">
        <v>2908</v>
      </c>
      <c r="AD515" t="s">
        <v>640</v>
      </c>
      <c r="AE515" t="s">
        <v>2909</v>
      </c>
      <c r="AF515" t="e">
        <f>-MLKADSRVAAVIVTHKRVDLLRASLDVVANQTRPVEWVIVVDNGCEDAVRNLLNDVAGDRGVYLPSATNLGGAGGFAYGFLQALALGAEAVWCADDDGRPENTEVLATLMDCATRHCLDEVSPVVCNLAEPDKLAFPLRRGIEWRRYRSELFNPKHPVEE---------QDFLPNIASLFNGALISADAMARIGVPDYRLFIRGDEVEYHRRLSRSGLKFGTCLSAAYLHPDGSDEFKPILGGRMHTQYPDNEGKRFFTYRNRGFLMNQPGMRRLLPQEYARFAWFFLVQRRDVNGFKQWLKLHQMGRKEHFERPGGH</f>
        <v>#NAME?</v>
      </c>
    </row>
    <row r="516" spans="1:32" hidden="1" x14ac:dyDescent="0.35">
      <c r="A516">
        <v>1390</v>
      </c>
      <c r="B516" t="s">
        <v>2901</v>
      </c>
      <c r="C516" t="s">
        <v>72</v>
      </c>
      <c r="D516" t="s">
        <v>60</v>
      </c>
      <c r="E516">
        <v>108</v>
      </c>
      <c r="F516">
        <v>5</v>
      </c>
      <c r="G516">
        <v>5</v>
      </c>
      <c r="H516">
        <v>1</v>
      </c>
      <c r="I516">
        <v>1</v>
      </c>
      <c r="J516">
        <v>0.86003924133420495</v>
      </c>
      <c r="K516">
        <v>0.95949212357800395</v>
      </c>
      <c r="L516">
        <v>0.90704770903247101</v>
      </c>
      <c r="M516">
        <v>0.72413793103448298</v>
      </c>
      <c r="N516">
        <v>1</v>
      </c>
      <c r="O516">
        <v>0.79373040752351098</v>
      </c>
      <c r="P516" t="s">
        <v>1531</v>
      </c>
      <c r="Q516" t="s">
        <v>1532</v>
      </c>
      <c r="R516" t="s">
        <v>319</v>
      </c>
      <c r="S516" t="s">
        <v>320</v>
      </c>
      <c r="T516" t="s">
        <v>2902</v>
      </c>
      <c r="U516" t="s">
        <v>2903</v>
      </c>
      <c r="V516" t="s">
        <v>2904</v>
      </c>
      <c r="W516" t="s">
        <v>2905</v>
      </c>
      <c r="Z516" t="s">
        <v>2906</v>
      </c>
      <c r="AA516" t="s">
        <v>2907</v>
      </c>
      <c r="AB516" t="s">
        <v>2906</v>
      </c>
      <c r="AC516" t="s">
        <v>2908</v>
      </c>
      <c r="AD516" t="s">
        <v>640</v>
      </c>
      <c r="AE516" t="s">
        <v>2909</v>
      </c>
      <c r="AF516" t="s">
        <v>2910</v>
      </c>
    </row>
    <row r="517" spans="1:32" hidden="1" x14ac:dyDescent="0.35">
      <c r="A517">
        <v>1391</v>
      </c>
      <c r="B517" t="s">
        <v>2901</v>
      </c>
      <c r="C517" t="s">
        <v>72</v>
      </c>
      <c r="D517" t="s">
        <v>62</v>
      </c>
      <c r="E517">
        <v>180</v>
      </c>
      <c r="F517">
        <v>5</v>
      </c>
      <c r="G517">
        <v>5</v>
      </c>
      <c r="H517">
        <v>1</v>
      </c>
      <c r="I517">
        <v>1</v>
      </c>
      <c r="J517">
        <v>0.86003924133420495</v>
      </c>
      <c r="K517">
        <v>0.95949212357800395</v>
      </c>
      <c r="L517">
        <v>0.90704770903247101</v>
      </c>
      <c r="M517">
        <v>0.72413793103448298</v>
      </c>
      <c r="N517">
        <v>1</v>
      </c>
      <c r="O517">
        <v>0.79373040752351098</v>
      </c>
      <c r="P517" t="s">
        <v>1531</v>
      </c>
      <c r="Q517" t="s">
        <v>1532</v>
      </c>
      <c r="R517" t="s">
        <v>319</v>
      </c>
      <c r="S517" t="s">
        <v>320</v>
      </c>
      <c r="T517" t="s">
        <v>2902</v>
      </c>
      <c r="U517" t="s">
        <v>2903</v>
      </c>
      <c r="V517" t="s">
        <v>2904</v>
      </c>
      <c r="W517" t="s">
        <v>2905</v>
      </c>
      <c r="Z517" t="s">
        <v>2906</v>
      </c>
      <c r="AA517" t="s">
        <v>2907</v>
      </c>
      <c r="AB517" t="s">
        <v>2906</v>
      </c>
      <c r="AC517" t="s">
        <v>2908</v>
      </c>
      <c r="AD517" t="s">
        <v>640</v>
      </c>
      <c r="AE517" t="s">
        <v>2909</v>
      </c>
      <c r="AF517" t="s">
        <v>2911</v>
      </c>
    </row>
    <row r="518" spans="1:32" hidden="1" x14ac:dyDescent="0.35">
      <c r="A518">
        <v>1392</v>
      </c>
      <c r="B518" t="s">
        <v>2901</v>
      </c>
      <c r="C518" t="s">
        <v>72</v>
      </c>
      <c r="D518" t="s">
        <v>34</v>
      </c>
      <c r="E518">
        <v>960</v>
      </c>
      <c r="F518">
        <v>5</v>
      </c>
      <c r="G518">
        <v>5</v>
      </c>
      <c r="H518">
        <v>1</v>
      </c>
      <c r="I518">
        <v>1</v>
      </c>
      <c r="J518">
        <v>0.86003924133420495</v>
      </c>
      <c r="K518">
        <v>0.95949212357800395</v>
      </c>
      <c r="L518">
        <v>0.90704770903247101</v>
      </c>
      <c r="M518">
        <v>0.72413793103448298</v>
      </c>
      <c r="N518">
        <v>1</v>
      </c>
      <c r="O518">
        <v>0.79373040752351098</v>
      </c>
      <c r="P518" t="s">
        <v>1531</v>
      </c>
      <c r="Q518" t="s">
        <v>1532</v>
      </c>
      <c r="R518" t="s">
        <v>319</v>
      </c>
      <c r="S518" t="s">
        <v>320</v>
      </c>
      <c r="T518" t="s">
        <v>2902</v>
      </c>
      <c r="U518" t="s">
        <v>2903</v>
      </c>
      <c r="V518" t="s">
        <v>2904</v>
      </c>
      <c r="W518" t="s">
        <v>2905</v>
      </c>
      <c r="Z518" t="s">
        <v>2906</v>
      </c>
      <c r="AA518" t="s">
        <v>2907</v>
      </c>
      <c r="AB518" t="s">
        <v>2906</v>
      </c>
      <c r="AC518" t="s">
        <v>2908</v>
      </c>
      <c r="AD518" t="s">
        <v>640</v>
      </c>
      <c r="AE518" t="s">
        <v>2909</v>
      </c>
      <c r="AF518" t="s">
        <v>2912</v>
      </c>
    </row>
    <row r="519" spans="1:32" hidden="1" x14ac:dyDescent="0.35">
      <c r="A519">
        <v>1393</v>
      </c>
      <c r="B519" t="s">
        <v>2901</v>
      </c>
      <c r="C519" t="s">
        <v>72</v>
      </c>
      <c r="D519" t="s">
        <v>45</v>
      </c>
      <c r="E519">
        <v>2217</v>
      </c>
      <c r="F519">
        <v>5</v>
      </c>
      <c r="G519">
        <v>5</v>
      </c>
      <c r="H519">
        <v>1</v>
      </c>
      <c r="I519">
        <v>1</v>
      </c>
      <c r="J519">
        <v>0.86003924133420495</v>
      </c>
      <c r="K519">
        <v>0.95949212357800395</v>
      </c>
      <c r="L519">
        <v>0.90704770903247101</v>
      </c>
      <c r="M519">
        <v>0.72413793103448298</v>
      </c>
      <c r="N519">
        <v>1</v>
      </c>
      <c r="O519">
        <v>0.79373040752351098</v>
      </c>
      <c r="P519" t="s">
        <v>1531</v>
      </c>
      <c r="Q519" t="s">
        <v>1532</v>
      </c>
      <c r="R519" t="s">
        <v>319</v>
      </c>
      <c r="S519" t="s">
        <v>320</v>
      </c>
      <c r="T519" t="s">
        <v>2902</v>
      </c>
      <c r="U519" t="s">
        <v>2903</v>
      </c>
      <c r="V519" t="s">
        <v>2904</v>
      </c>
      <c r="W519" t="s">
        <v>2905</v>
      </c>
      <c r="Z519" t="s">
        <v>2906</v>
      </c>
      <c r="AA519" t="s">
        <v>2907</v>
      </c>
      <c r="AB519" t="s">
        <v>2906</v>
      </c>
      <c r="AC519" t="s">
        <v>2908</v>
      </c>
      <c r="AD519" t="s">
        <v>640</v>
      </c>
      <c r="AE519" t="s">
        <v>2909</v>
      </c>
      <c r="AF519" t="s">
        <v>2912</v>
      </c>
    </row>
    <row r="520" spans="1:32" hidden="1" x14ac:dyDescent="0.35">
      <c r="A520">
        <v>1604</v>
      </c>
      <c r="B520" t="s">
        <v>3362</v>
      </c>
      <c r="C520" t="s">
        <v>72</v>
      </c>
      <c r="D520" t="s">
        <v>58</v>
      </c>
      <c r="E520">
        <v>407</v>
      </c>
      <c r="F520">
        <v>5</v>
      </c>
      <c r="G520">
        <v>5</v>
      </c>
      <c r="H520">
        <v>1</v>
      </c>
      <c r="I520">
        <v>1</v>
      </c>
      <c r="J520">
        <v>0.78996664100590197</v>
      </c>
      <c r="K520">
        <v>0.94984893452046804</v>
      </c>
      <c r="L520">
        <v>0.86256150688748201</v>
      </c>
      <c r="M520">
        <v>0.62773722627737205</v>
      </c>
      <c r="N520">
        <v>1</v>
      </c>
      <c r="O520">
        <v>0.72737226277372302</v>
      </c>
      <c r="P520" t="s">
        <v>3363</v>
      </c>
      <c r="Q520" t="s">
        <v>3364</v>
      </c>
      <c r="R520" t="s">
        <v>319</v>
      </c>
      <c r="S520" t="s">
        <v>320</v>
      </c>
      <c r="T520" t="s">
        <v>3365</v>
      </c>
      <c r="U520" t="s">
        <v>3366</v>
      </c>
      <c r="V520" t="s">
        <v>3367</v>
      </c>
      <c r="W520" t="s">
        <v>3368</v>
      </c>
      <c r="X520" t="s">
        <v>3367</v>
      </c>
      <c r="Y520" t="s">
        <v>3369</v>
      </c>
      <c r="Z520" t="s">
        <v>858</v>
      </c>
      <c r="AA520" t="s">
        <v>859</v>
      </c>
      <c r="AB520" t="s">
        <v>858</v>
      </c>
      <c r="AC520" t="s">
        <v>860</v>
      </c>
      <c r="AD520" t="s">
        <v>219</v>
      </c>
      <c r="AE520" t="s">
        <v>3370</v>
      </c>
      <c r="AF520" t="s">
        <v>3371</v>
      </c>
    </row>
    <row r="521" spans="1:32" hidden="1" x14ac:dyDescent="0.35">
      <c r="A521">
        <v>1605</v>
      </c>
      <c r="B521" t="s">
        <v>3362</v>
      </c>
      <c r="C521" t="s">
        <v>72</v>
      </c>
      <c r="D521" t="s">
        <v>60</v>
      </c>
      <c r="E521">
        <v>631</v>
      </c>
      <c r="F521">
        <v>5</v>
      </c>
      <c r="G521">
        <v>5</v>
      </c>
      <c r="H521">
        <v>1</v>
      </c>
      <c r="I521">
        <v>1</v>
      </c>
      <c r="J521">
        <v>0.78996664100590197</v>
      </c>
      <c r="K521">
        <v>0.94984893452046804</v>
      </c>
      <c r="L521">
        <v>0.86256150688748201</v>
      </c>
      <c r="M521">
        <v>0.62773722627737205</v>
      </c>
      <c r="N521">
        <v>1</v>
      </c>
      <c r="O521">
        <v>0.72737226277372302</v>
      </c>
      <c r="P521" t="s">
        <v>3363</v>
      </c>
      <c r="Q521" t="s">
        <v>3364</v>
      </c>
      <c r="R521" t="s">
        <v>319</v>
      </c>
      <c r="S521" t="s">
        <v>320</v>
      </c>
      <c r="T521" t="s">
        <v>3365</v>
      </c>
      <c r="U521" t="s">
        <v>3366</v>
      </c>
      <c r="V521" t="s">
        <v>3367</v>
      </c>
      <c r="W521" t="s">
        <v>3368</v>
      </c>
      <c r="X521" t="s">
        <v>3367</v>
      </c>
      <c r="Y521" t="s">
        <v>3369</v>
      </c>
      <c r="Z521" t="s">
        <v>858</v>
      </c>
      <c r="AA521" t="s">
        <v>859</v>
      </c>
      <c r="AB521" t="s">
        <v>858</v>
      </c>
      <c r="AC521" t="s">
        <v>860</v>
      </c>
      <c r="AD521" t="s">
        <v>219</v>
      </c>
      <c r="AE521" t="s">
        <v>3370</v>
      </c>
      <c r="AF521" t="s">
        <v>3372</v>
      </c>
    </row>
    <row r="522" spans="1:32" hidden="1" x14ac:dyDescent="0.35">
      <c r="A522">
        <v>1606</v>
      </c>
      <c r="B522" t="s">
        <v>3362</v>
      </c>
      <c r="C522" t="s">
        <v>72</v>
      </c>
      <c r="D522" t="s">
        <v>62</v>
      </c>
      <c r="E522">
        <v>715</v>
      </c>
      <c r="F522">
        <v>5</v>
      </c>
      <c r="G522">
        <v>5</v>
      </c>
      <c r="H522">
        <v>1</v>
      </c>
      <c r="I522">
        <v>1</v>
      </c>
      <c r="J522">
        <v>0.78996664100590197</v>
      </c>
      <c r="K522">
        <v>0.94984893452046804</v>
      </c>
      <c r="L522">
        <v>0.86256150688748201</v>
      </c>
      <c r="M522">
        <v>0.62773722627737205</v>
      </c>
      <c r="N522">
        <v>1</v>
      </c>
      <c r="O522">
        <v>0.72737226277372302</v>
      </c>
      <c r="P522" t="s">
        <v>3363</v>
      </c>
      <c r="Q522" t="s">
        <v>3364</v>
      </c>
      <c r="R522" t="s">
        <v>319</v>
      </c>
      <c r="S522" t="s">
        <v>320</v>
      </c>
      <c r="T522" t="s">
        <v>3365</v>
      </c>
      <c r="U522" t="s">
        <v>3366</v>
      </c>
      <c r="V522" t="s">
        <v>3367</v>
      </c>
      <c r="W522" t="s">
        <v>3368</v>
      </c>
      <c r="X522" t="s">
        <v>3367</v>
      </c>
      <c r="Y522" t="s">
        <v>3369</v>
      </c>
      <c r="Z522" t="s">
        <v>858</v>
      </c>
      <c r="AA522" t="s">
        <v>859</v>
      </c>
      <c r="AB522" t="s">
        <v>858</v>
      </c>
      <c r="AC522" t="s">
        <v>860</v>
      </c>
      <c r="AD522" t="s">
        <v>219</v>
      </c>
      <c r="AE522" t="s">
        <v>3370</v>
      </c>
      <c r="AF522" t="s">
        <v>3372</v>
      </c>
    </row>
    <row r="523" spans="1:32" hidden="1" x14ac:dyDescent="0.35">
      <c r="A523">
        <v>1607</v>
      </c>
      <c r="B523" t="s">
        <v>3362</v>
      </c>
      <c r="C523" t="s">
        <v>72</v>
      </c>
      <c r="D523" t="s">
        <v>34</v>
      </c>
      <c r="E523">
        <v>454</v>
      </c>
      <c r="F523">
        <v>5</v>
      </c>
      <c r="G523">
        <v>5</v>
      </c>
      <c r="H523">
        <v>1</v>
      </c>
      <c r="I523">
        <v>1</v>
      </c>
      <c r="J523">
        <v>0.78996664100590197</v>
      </c>
      <c r="K523">
        <v>0.94984893452046804</v>
      </c>
      <c r="L523">
        <v>0.86256150688748201</v>
      </c>
      <c r="M523">
        <v>0.62773722627737205</v>
      </c>
      <c r="N523">
        <v>1</v>
      </c>
      <c r="O523">
        <v>0.72737226277372302</v>
      </c>
      <c r="P523" t="s">
        <v>3363</v>
      </c>
      <c r="Q523" t="s">
        <v>3364</v>
      </c>
      <c r="R523" t="s">
        <v>319</v>
      </c>
      <c r="S523" t="s">
        <v>320</v>
      </c>
      <c r="T523" t="s">
        <v>3365</v>
      </c>
      <c r="U523" t="s">
        <v>3366</v>
      </c>
      <c r="V523" t="s">
        <v>3367</v>
      </c>
      <c r="W523" t="s">
        <v>3368</v>
      </c>
      <c r="X523" t="s">
        <v>3367</v>
      </c>
      <c r="Y523" t="s">
        <v>3369</v>
      </c>
      <c r="Z523" t="s">
        <v>858</v>
      </c>
      <c r="AA523" t="s">
        <v>859</v>
      </c>
      <c r="AB523" t="s">
        <v>858</v>
      </c>
      <c r="AC523" t="s">
        <v>860</v>
      </c>
      <c r="AD523" t="s">
        <v>219</v>
      </c>
      <c r="AE523" t="s">
        <v>3370</v>
      </c>
      <c r="AF523" t="e">
        <f>------------MPYRSDIDFALTLANTADAITVDRFEATDLNVSSKPDMTPVSDADVACEQELRRLITQQYPNDTIVGEEFGGDAEFAGRQWIIDPIDGTKNFVRGVPVWATLIALLVDGIPTVGVISAPALGRRWWAATGHGAFRSVN-NVTKKIRVSNVSSLENASISFSSLEGWQQLGIRDRFLQLTDDTWRLRGFGDFFSYCLVAEGAVDIAAEPEVSLWDLAPLAVLVTEAGGRFTSLSGVDGPHGGSAIATNGLLHDQVLRYLGPAE</f>
        <v>#NAME?</v>
      </c>
    </row>
    <row r="524" spans="1:32" hidden="1" x14ac:dyDescent="0.35">
      <c r="A524">
        <v>1608</v>
      </c>
      <c r="B524" t="s">
        <v>3362</v>
      </c>
      <c r="C524" t="s">
        <v>72</v>
      </c>
      <c r="D524" t="s">
        <v>45</v>
      </c>
      <c r="E524">
        <v>1717</v>
      </c>
      <c r="F524">
        <v>5</v>
      </c>
      <c r="G524">
        <v>5</v>
      </c>
      <c r="H524">
        <v>1</v>
      </c>
      <c r="I524">
        <v>1</v>
      </c>
      <c r="J524">
        <v>0.78996664100590197</v>
      </c>
      <c r="K524">
        <v>0.94984893452046804</v>
      </c>
      <c r="L524">
        <v>0.86256150688748201</v>
      </c>
      <c r="M524">
        <v>0.62773722627737205</v>
      </c>
      <c r="N524">
        <v>1</v>
      </c>
      <c r="O524">
        <v>0.72737226277372302</v>
      </c>
      <c r="P524" t="s">
        <v>3363</v>
      </c>
      <c r="Q524" t="s">
        <v>3364</v>
      </c>
      <c r="R524" t="s">
        <v>319</v>
      </c>
      <c r="S524" t="s">
        <v>320</v>
      </c>
      <c r="T524" t="s">
        <v>3365</v>
      </c>
      <c r="U524" t="s">
        <v>3366</v>
      </c>
      <c r="V524" t="s">
        <v>3367</v>
      </c>
      <c r="W524" t="s">
        <v>3368</v>
      </c>
      <c r="X524" t="s">
        <v>3367</v>
      </c>
      <c r="Y524" t="s">
        <v>3369</v>
      </c>
      <c r="Z524" t="s">
        <v>858</v>
      </c>
      <c r="AA524" t="s">
        <v>859</v>
      </c>
      <c r="AB524" t="s">
        <v>858</v>
      </c>
      <c r="AC524" t="s">
        <v>860</v>
      </c>
      <c r="AD524" t="s">
        <v>219</v>
      </c>
      <c r="AE524" t="s">
        <v>3370</v>
      </c>
      <c r="AF524" t="e">
        <f>------------MPYRSDIDFALTLANTADAITVDRFEATDLNVSSKPDMTPVSDADVACEQELRRLITQQYPNDTIVGEEFGGDAEFAGRQWIIDPIDGTKNFVRGVPVWATLIALLVDGIPTVGVISAPALGRRWWAATGHGAFRSVN-NVTKKIRVSNVSSLENASISFSSLEGWQQLGIRDRFLQLTDDTWRLRGFGDFFSYCLVAEGAVDIAAEPEVSLWDLAPLAVLVTEAGGRFTSLSGVDGPHGGSAIATNGLLHDQVLRYLSPAE</f>
        <v>#NAME?</v>
      </c>
    </row>
    <row r="525" spans="1:32" hidden="1" x14ac:dyDescent="0.35">
      <c r="A525">
        <v>1634</v>
      </c>
      <c r="B525" t="s">
        <v>3432</v>
      </c>
      <c r="C525" t="s">
        <v>72</v>
      </c>
      <c r="D525" t="s">
        <v>58</v>
      </c>
      <c r="E525">
        <v>992</v>
      </c>
      <c r="F525">
        <v>5</v>
      </c>
      <c r="G525">
        <v>5</v>
      </c>
      <c r="H525">
        <v>1</v>
      </c>
      <c r="I525">
        <v>1</v>
      </c>
      <c r="J525">
        <v>0.91009788768675903</v>
      </c>
      <c r="K525">
        <v>0.995402435402437</v>
      </c>
      <c r="L525">
        <v>0.95084072448683399</v>
      </c>
      <c r="M525">
        <v>0.83461538461538498</v>
      </c>
      <c r="N525">
        <v>1</v>
      </c>
      <c r="O525">
        <v>0.87923076923076904</v>
      </c>
      <c r="P525" t="s">
        <v>3433</v>
      </c>
      <c r="Q525" t="s">
        <v>3434</v>
      </c>
      <c r="R525" t="s">
        <v>319</v>
      </c>
      <c r="S525" t="s">
        <v>320</v>
      </c>
      <c r="T525" t="s">
        <v>3435</v>
      </c>
      <c r="U525" t="s">
        <v>3436</v>
      </c>
      <c r="V525" t="s">
        <v>3437</v>
      </c>
      <c r="W525" t="s">
        <v>3438</v>
      </c>
      <c r="X525" t="s">
        <v>3437</v>
      </c>
      <c r="Y525" t="s">
        <v>1022</v>
      </c>
      <c r="Z525" t="s">
        <v>3439</v>
      </c>
      <c r="AA525" t="s">
        <v>3440</v>
      </c>
      <c r="AB525" t="s">
        <v>3439</v>
      </c>
      <c r="AC525" t="s">
        <v>3441</v>
      </c>
      <c r="AD525" t="s">
        <v>3442</v>
      </c>
      <c r="AE525" t="s">
        <v>3443</v>
      </c>
      <c r="AF525" t="s">
        <v>3444</v>
      </c>
    </row>
    <row r="526" spans="1:32" hidden="1" x14ac:dyDescent="0.35">
      <c r="A526">
        <v>1635</v>
      </c>
      <c r="B526" t="s">
        <v>3432</v>
      </c>
      <c r="C526" t="s">
        <v>72</v>
      </c>
      <c r="D526" t="s">
        <v>60</v>
      </c>
      <c r="E526">
        <v>1218</v>
      </c>
      <c r="F526">
        <v>5</v>
      </c>
      <c r="G526">
        <v>5</v>
      </c>
      <c r="H526">
        <v>1</v>
      </c>
      <c r="I526">
        <v>1</v>
      </c>
      <c r="J526">
        <v>0.91009788768675903</v>
      </c>
      <c r="K526">
        <v>0.995402435402437</v>
      </c>
      <c r="L526">
        <v>0.95084072448683399</v>
      </c>
      <c r="M526">
        <v>0.83461538461538498</v>
      </c>
      <c r="N526">
        <v>1</v>
      </c>
      <c r="O526">
        <v>0.87923076923076904</v>
      </c>
      <c r="P526" t="s">
        <v>3433</v>
      </c>
      <c r="Q526" t="s">
        <v>3434</v>
      </c>
      <c r="R526" t="s">
        <v>319</v>
      </c>
      <c r="S526" t="s">
        <v>320</v>
      </c>
      <c r="T526" t="s">
        <v>3435</v>
      </c>
      <c r="U526" t="s">
        <v>3436</v>
      </c>
      <c r="V526" t="s">
        <v>3437</v>
      </c>
      <c r="W526" t="s">
        <v>3438</v>
      </c>
      <c r="X526" t="s">
        <v>3437</v>
      </c>
      <c r="Y526" t="s">
        <v>1022</v>
      </c>
      <c r="Z526" t="s">
        <v>3439</v>
      </c>
      <c r="AA526" t="s">
        <v>3440</v>
      </c>
      <c r="AB526" t="s">
        <v>3439</v>
      </c>
      <c r="AC526" t="s">
        <v>3441</v>
      </c>
      <c r="AD526" t="s">
        <v>3442</v>
      </c>
      <c r="AE526" t="s">
        <v>3443</v>
      </c>
      <c r="AF526" t="s">
        <v>3445</v>
      </c>
    </row>
    <row r="527" spans="1:32" hidden="1" x14ac:dyDescent="0.35">
      <c r="A527">
        <v>1636</v>
      </c>
      <c r="B527" t="s">
        <v>3432</v>
      </c>
      <c r="C527" t="s">
        <v>72</v>
      </c>
      <c r="D527" t="s">
        <v>62</v>
      </c>
      <c r="E527">
        <v>1255</v>
      </c>
      <c r="F527">
        <v>5</v>
      </c>
      <c r="G527">
        <v>5</v>
      </c>
      <c r="H527">
        <v>1</v>
      </c>
      <c r="I527">
        <v>1</v>
      </c>
      <c r="J527">
        <v>0.91009788768675903</v>
      </c>
      <c r="K527">
        <v>0.995402435402437</v>
      </c>
      <c r="L527">
        <v>0.95084072448683399</v>
      </c>
      <c r="M527">
        <v>0.83461538461538498</v>
      </c>
      <c r="N527">
        <v>1</v>
      </c>
      <c r="O527">
        <v>0.87923076923076904</v>
      </c>
      <c r="P527" t="s">
        <v>3433</v>
      </c>
      <c r="Q527" t="s">
        <v>3434</v>
      </c>
      <c r="R527" t="s">
        <v>319</v>
      </c>
      <c r="S527" t="s">
        <v>320</v>
      </c>
      <c r="T527" t="s">
        <v>3435</v>
      </c>
      <c r="U527" t="s">
        <v>3436</v>
      </c>
      <c r="V527" t="s">
        <v>3437</v>
      </c>
      <c r="W527" t="s">
        <v>3438</v>
      </c>
      <c r="X527" t="s">
        <v>3437</v>
      </c>
      <c r="Y527" t="s">
        <v>1022</v>
      </c>
      <c r="Z527" t="s">
        <v>3439</v>
      </c>
      <c r="AA527" t="s">
        <v>3440</v>
      </c>
      <c r="AB527" t="s">
        <v>3439</v>
      </c>
      <c r="AC527" t="s">
        <v>3441</v>
      </c>
      <c r="AD527" t="s">
        <v>3442</v>
      </c>
      <c r="AE527" t="s">
        <v>3443</v>
      </c>
      <c r="AF527" t="s">
        <v>3445</v>
      </c>
    </row>
    <row r="528" spans="1:32" hidden="1" x14ac:dyDescent="0.35">
      <c r="A528">
        <v>1637</v>
      </c>
      <c r="B528" t="s">
        <v>3432</v>
      </c>
      <c r="C528" t="s">
        <v>72</v>
      </c>
      <c r="D528" t="s">
        <v>34</v>
      </c>
      <c r="E528">
        <v>1785</v>
      </c>
      <c r="F528">
        <v>5</v>
      </c>
      <c r="G528">
        <v>5</v>
      </c>
      <c r="H528">
        <v>1</v>
      </c>
      <c r="I528">
        <v>1</v>
      </c>
      <c r="J528">
        <v>0.91009788768675903</v>
      </c>
      <c r="K528">
        <v>0.995402435402437</v>
      </c>
      <c r="L528">
        <v>0.95084072448683399</v>
      </c>
      <c r="M528">
        <v>0.83461538461538498</v>
      </c>
      <c r="N528">
        <v>1</v>
      </c>
      <c r="O528">
        <v>0.87923076923076904</v>
      </c>
      <c r="P528" t="s">
        <v>3433</v>
      </c>
      <c r="Q528" t="s">
        <v>3434</v>
      </c>
      <c r="R528" t="s">
        <v>319</v>
      </c>
      <c r="S528" t="s">
        <v>320</v>
      </c>
      <c r="T528" t="s">
        <v>3435</v>
      </c>
      <c r="U528" t="s">
        <v>3436</v>
      </c>
      <c r="V528" t="s">
        <v>3437</v>
      </c>
      <c r="W528" t="s">
        <v>3438</v>
      </c>
      <c r="X528" t="s">
        <v>3437</v>
      </c>
      <c r="Y528" t="s">
        <v>1022</v>
      </c>
      <c r="Z528" t="s">
        <v>3439</v>
      </c>
      <c r="AA528" t="s">
        <v>3440</v>
      </c>
      <c r="AB528" t="s">
        <v>3439</v>
      </c>
      <c r="AC528" t="s">
        <v>3441</v>
      </c>
      <c r="AD528" t="s">
        <v>3442</v>
      </c>
      <c r="AE528" t="s">
        <v>3443</v>
      </c>
      <c r="AF528" t="s">
        <v>3446</v>
      </c>
    </row>
    <row r="529" spans="1:32" hidden="1" x14ac:dyDescent="0.35">
      <c r="A529">
        <v>1638</v>
      </c>
      <c r="B529" t="s">
        <v>3432</v>
      </c>
      <c r="C529" t="s">
        <v>72</v>
      </c>
      <c r="D529" t="s">
        <v>45</v>
      </c>
      <c r="E529">
        <v>1088</v>
      </c>
      <c r="F529">
        <v>5</v>
      </c>
      <c r="G529">
        <v>5</v>
      </c>
      <c r="H529">
        <v>1</v>
      </c>
      <c r="I529">
        <v>1</v>
      </c>
      <c r="J529">
        <v>0.91009788768675903</v>
      </c>
      <c r="K529">
        <v>0.995402435402437</v>
      </c>
      <c r="L529">
        <v>0.95084072448683399</v>
      </c>
      <c r="M529">
        <v>0.83461538461538498</v>
      </c>
      <c r="N529">
        <v>1</v>
      </c>
      <c r="O529">
        <v>0.87923076923076904</v>
      </c>
      <c r="P529" t="s">
        <v>3433</v>
      </c>
      <c r="Q529" t="s">
        <v>3434</v>
      </c>
      <c r="R529" t="s">
        <v>319</v>
      </c>
      <c r="S529" t="s">
        <v>320</v>
      </c>
      <c r="T529" t="s">
        <v>3435</v>
      </c>
      <c r="U529" t="s">
        <v>3436</v>
      </c>
      <c r="V529" t="s">
        <v>3437</v>
      </c>
      <c r="W529" t="s">
        <v>3438</v>
      </c>
      <c r="X529" t="s">
        <v>3437</v>
      </c>
      <c r="Y529" t="s">
        <v>1022</v>
      </c>
      <c r="Z529" t="s">
        <v>3439</v>
      </c>
      <c r="AA529" t="s">
        <v>3440</v>
      </c>
      <c r="AB529" t="s">
        <v>3439</v>
      </c>
      <c r="AC529" t="s">
        <v>3441</v>
      </c>
      <c r="AD529" t="s">
        <v>3442</v>
      </c>
      <c r="AE529" t="s">
        <v>3443</v>
      </c>
      <c r="AF529" t="s">
        <v>3446</v>
      </c>
    </row>
    <row r="530" spans="1:32" hidden="1" x14ac:dyDescent="0.35">
      <c r="A530">
        <v>1749</v>
      </c>
      <c r="B530" t="s">
        <v>3641</v>
      </c>
      <c r="C530" t="s">
        <v>72</v>
      </c>
      <c r="D530" t="s">
        <v>58</v>
      </c>
      <c r="E530">
        <v>269</v>
      </c>
      <c r="F530">
        <v>5</v>
      </c>
      <c r="G530">
        <v>5</v>
      </c>
      <c r="H530">
        <v>1</v>
      </c>
      <c r="I530">
        <v>1</v>
      </c>
      <c r="J530">
        <v>0.79620853080568699</v>
      </c>
      <c r="K530">
        <v>0.95011686519670002</v>
      </c>
      <c r="L530">
        <v>0.86638052113735098</v>
      </c>
      <c r="M530">
        <v>0.62172284644194797</v>
      </c>
      <c r="N530">
        <v>1</v>
      </c>
      <c r="O530">
        <v>0.72883895131086196</v>
      </c>
      <c r="P530" t="s">
        <v>169</v>
      </c>
      <c r="Q530" t="s">
        <v>170</v>
      </c>
      <c r="R530" t="s">
        <v>319</v>
      </c>
      <c r="S530" t="s">
        <v>320</v>
      </c>
      <c r="V530" t="s">
        <v>3642</v>
      </c>
      <c r="W530" t="s">
        <v>3643</v>
      </c>
      <c r="AF530" t="s">
        <v>3644</v>
      </c>
    </row>
    <row r="531" spans="1:32" hidden="1" x14ac:dyDescent="0.35">
      <c r="A531">
        <v>1750</v>
      </c>
      <c r="B531" t="s">
        <v>3641</v>
      </c>
      <c r="C531" t="s">
        <v>72</v>
      </c>
      <c r="D531" t="s">
        <v>60</v>
      </c>
      <c r="E531">
        <v>418</v>
      </c>
      <c r="F531">
        <v>5</v>
      </c>
      <c r="G531">
        <v>5</v>
      </c>
      <c r="H531">
        <v>1</v>
      </c>
      <c r="I531">
        <v>1</v>
      </c>
      <c r="J531">
        <v>0.79620853080568699</v>
      </c>
      <c r="K531">
        <v>0.95011686519670002</v>
      </c>
      <c r="L531">
        <v>0.86638052113735098</v>
      </c>
      <c r="M531">
        <v>0.62172284644194797</v>
      </c>
      <c r="N531">
        <v>1</v>
      </c>
      <c r="O531">
        <v>0.72883895131086196</v>
      </c>
      <c r="P531" t="s">
        <v>169</v>
      </c>
      <c r="Q531" t="s">
        <v>170</v>
      </c>
      <c r="R531" t="s">
        <v>319</v>
      </c>
      <c r="S531" t="s">
        <v>320</v>
      </c>
      <c r="V531" t="s">
        <v>3642</v>
      </c>
      <c r="W531" t="s">
        <v>3643</v>
      </c>
      <c r="AF531" t="s">
        <v>3645</v>
      </c>
    </row>
    <row r="532" spans="1:32" hidden="1" x14ac:dyDescent="0.35">
      <c r="A532">
        <v>1751</v>
      </c>
      <c r="B532" t="s">
        <v>3641</v>
      </c>
      <c r="C532" t="s">
        <v>72</v>
      </c>
      <c r="D532" t="s">
        <v>62</v>
      </c>
      <c r="E532">
        <v>499</v>
      </c>
      <c r="F532">
        <v>5</v>
      </c>
      <c r="G532">
        <v>5</v>
      </c>
      <c r="H532">
        <v>1</v>
      </c>
      <c r="I532">
        <v>1</v>
      </c>
      <c r="J532">
        <v>0.79620853080568699</v>
      </c>
      <c r="K532">
        <v>0.95011686519670002</v>
      </c>
      <c r="L532">
        <v>0.86638052113735098</v>
      </c>
      <c r="M532">
        <v>0.62172284644194797</v>
      </c>
      <c r="N532">
        <v>1</v>
      </c>
      <c r="O532">
        <v>0.72883895131086196</v>
      </c>
      <c r="P532" t="s">
        <v>169</v>
      </c>
      <c r="Q532" t="s">
        <v>170</v>
      </c>
      <c r="R532" t="s">
        <v>319</v>
      </c>
      <c r="S532" t="s">
        <v>320</v>
      </c>
      <c r="V532" t="s">
        <v>3642</v>
      </c>
      <c r="W532" t="s">
        <v>3643</v>
      </c>
      <c r="AF532" t="s">
        <v>3645</v>
      </c>
    </row>
    <row r="533" spans="1:32" hidden="1" x14ac:dyDescent="0.35">
      <c r="A533">
        <v>1752</v>
      </c>
      <c r="B533" t="s">
        <v>3641</v>
      </c>
      <c r="C533" t="s">
        <v>72</v>
      </c>
      <c r="D533" t="s">
        <v>34</v>
      </c>
      <c r="E533">
        <v>1053</v>
      </c>
      <c r="F533">
        <v>5</v>
      </c>
      <c r="G533">
        <v>5</v>
      </c>
      <c r="H533">
        <v>1</v>
      </c>
      <c r="I533">
        <v>1</v>
      </c>
      <c r="J533">
        <v>0.79620853080568699</v>
      </c>
      <c r="K533">
        <v>0.95011686519670002</v>
      </c>
      <c r="L533">
        <v>0.86638052113735098</v>
      </c>
      <c r="M533">
        <v>0.62172284644194797</v>
      </c>
      <c r="N533">
        <v>1</v>
      </c>
      <c r="O533">
        <v>0.72883895131086196</v>
      </c>
      <c r="P533" t="s">
        <v>169</v>
      </c>
      <c r="Q533" t="s">
        <v>170</v>
      </c>
      <c r="R533" t="s">
        <v>319</v>
      </c>
      <c r="S533" t="s">
        <v>320</v>
      </c>
      <c r="V533" t="s">
        <v>3642</v>
      </c>
      <c r="W533" t="s">
        <v>3643</v>
      </c>
      <c r="AF533" t="e">
        <f>--------------MSIIELRDITKTYGAFTALNGVNLTVDEGTVTCVLGDNGAGKSTLIKTLAGLHPPTSGKILVDNKPTVFGSPRDALNAGIATVYQTLAVVDQMSVWRNFFLGNELTTS-LGLLRDEEMKTITSNQLHDMGIDLPNVDVEVGQLSGGQRQVVSIARAVHFGARVIVLDEPTAALGVKQSGMVLRFIAAARERGVGVVLITHNPHHAYLVGDHFTILNLGRQVLDADRDEVSLAALTQQMAGGSELEALSHELWE</f>
        <v>#NAME?</v>
      </c>
    </row>
    <row r="534" spans="1:32" hidden="1" x14ac:dyDescent="0.35">
      <c r="A534">
        <v>1753</v>
      </c>
      <c r="B534" t="s">
        <v>3641</v>
      </c>
      <c r="C534" t="s">
        <v>72</v>
      </c>
      <c r="D534" t="s">
        <v>45</v>
      </c>
      <c r="E534">
        <v>2309</v>
      </c>
      <c r="F534">
        <v>5</v>
      </c>
      <c r="G534">
        <v>5</v>
      </c>
      <c r="H534">
        <v>1</v>
      </c>
      <c r="I534">
        <v>1</v>
      </c>
      <c r="J534">
        <v>0.79620853080568699</v>
      </c>
      <c r="K534">
        <v>0.95011686519670002</v>
      </c>
      <c r="L534">
        <v>0.86638052113735098</v>
      </c>
      <c r="M534">
        <v>0.62172284644194797</v>
      </c>
      <c r="N534">
        <v>1</v>
      </c>
      <c r="O534">
        <v>0.72883895131086196</v>
      </c>
      <c r="P534" t="s">
        <v>169</v>
      </c>
      <c r="Q534" t="s">
        <v>170</v>
      </c>
      <c r="R534" t="s">
        <v>319</v>
      </c>
      <c r="S534" t="s">
        <v>320</v>
      </c>
      <c r="V534" t="s">
        <v>3642</v>
      </c>
      <c r="W534" t="s">
        <v>3643</v>
      </c>
      <c r="AF534" t="e">
        <f>--------------MSIIELRDITKTYGAFTALNGVNLTVDEGTVTCVLGDNGAGKSTLIKTLAGLHPPTSGKILVDNKPTVFGSPRDALNAGIATVYQTLAVVDQMSVWRNFFLGNELTTS-LGLLRDEEMKTITSNQLHDMGIDLPNVDVEVGQLSGGQRQVVSIARAVHFGARVIVLDEPTAALGVKQSGMVLRFIAAARERGVGVVLITHNPHHAYLVGDHFTILNLGRQVLDADRDEVSLAALTQQMAGGSELEALSHELWE</f>
        <v>#NAME?</v>
      </c>
    </row>
    <row r="535" spans="1:32" hidden="1" x14ac:dyDescent="0.35">
      <c r="A535">
        <v>1864</v>
      </c>
      <c r="B535" t="s">
        <v>3861</v>
      </c>
      <c r="C535" t="s">
        <v>72</v>
      </c>
      <c r="D535" t="s">
        <v>58</v>
      </c>
      <c r="E535">
        <v>663</v>
      </c>
      <c r="F535">
        <v>5</v>
      </c>
      <c r="G535">
        <v>5</v>
      </c>
      <c r="H535">
        <v>1</v>
      </c>
      <c r="I535">
        <v>1</v>
      </c>
      <c r="J535">
        <v>0.829414476717381</v>
      </c>
      <c r="K535">
        <v>0.92724256574096997</v>
      </c>
      <c r="L535">
        <v>0.87560450203513496</v>
      </c>
      <c r="M535">
        <v>0.63258785942492002</v>
      </c>
      <c r="N535">
        <v>1</v>
      </c>
      <c r="O535">
        <v>0.75718849840255598</v>
      </c>
      <c r="P535" t="s">
        <v>3862</v>
      </c>
      <c r="Q535" t="s">
        <v>3863</v>
      </c>
      <c r="R535" t="s">
        <v>319</v>
      </c>
      <c r="S535" t="s">
        <v>320</v>
      </c>
      <c r="T535" t="s">
        <v>3864</v>
      </c>
      <c r="U535" t="s">
        <v>3865</v>
      </c>
      <c r="V535" t="s">
        <v>3866</v>
      </c>
      <c r="W535" t="s">
        <v>3867</v>
      </c>
      <c r="AD535" t="s">
        <v>219</v>
      </c>
      <c r="AE535" t="s">
        <v>3868</v>
      </c>
      <c r="AF535" t="s">
        <v>3869</v>
      </c>
    </row>
    <row r="536" spans="1:32" hidden="1" x14ac:dyDescent="0.35">
      <c r="A536">
        <v>1865</v>
      </c>
      <c r="B536" t="s">
        <v>3861</v>
      </c>
      <c r="C536" t="s">
        <v>72</v>
      </c>
      <c r="D536" t="s">
        <v>60</v>
      </c>
      <c r="E536">
        <v>852</v>
      </c>
      <c r="F536">
        <v>5</v>
      </c>
      <c r="G536">
        <v>5</v>
      </c>
      <c r="H536">
        <v>1</v>
      </c>
      <c r="I536">
        <v>1</v>
      </c>
      <c r="J536">
        <v>0.829414476717381</v>
      </c>
      <c r="K536">
        <v>0.92724256574096997</v>
      </c>
      <c r="L536">
        <v>0.87560450203513496</v>
      </c>
      <c r="M536">
        <v>0.63258785942492002</v>
      </c>
      <c r="N536">
        <v>1</v>
      </c>
      <c r="O536">
        <v>0.75718849840255598</v>
      </c>
      <c r="P536" t="s">
        <v>3862</v>
      </c>
      <c r="Q536" t="s">
        <v>3863</v>
      </c>
      <c r="R536" t="s">
        <v>319</v>
      </c>
      <c r="S536" t="s">
        <v>320</v>
      </c>
      <c r="T536" t="s">
        <v>3864</v>
      </c>
      <c r="U536" t="s">
        <v>3865</v>
      </c>
      <c r="V536" t="s">
        <v>3866</v>
      </c>
      <c r="W536" t="s">
        <v>3867</v>
      </c>
      <c r="AD536" t="s">
        <v>219</v>
      </c>
      <c r="AE536" t="s">
        <v>3868</v>
      </c>
      <c r="AF536" t="e">
        <f>-MSGFRLLAIHAHPDDEASKGAATMIRYAREGNETMVVTCTGGERGDILNPAM-NRPGVLERIPEIRKEEMAEAIRLLGAKHRWLGYVDSGLPQSDPLAERAGKAELPAGCFALQDTDTVVQDLVQVIREFRPHVIITYDENGGYPHPDHLKVHETSMVAWDKAGDPDYHPELGKPWAPLKLYYTHGFIRQRLQMFHDLLIEEGKTSPYAEILERWKPHQADIMARVTTQVPCAEYFDVRDDVLRAHATQIDPAGTFFGTPVDVQQKLWPTEEFELAATRVR-------TSIP----EDDLFAGIPADSDDNE</f>
        <v>#NAME?</v>
      </c>
    </row>
    <row r="537" spans="1:32" hidden="1" x14ac:dyDescent="0.35">
      <c r="A537">
        <v>1866</v>
      </c>
      <c r="B537" t="s">
        <v>3861</v>
      </c>
      <c r="C537" t="s">
        <v>72</v>
      </c>
      <c r="D537" t="s">
        <v>62</v>
      </c>
      <c r="E537">
        <v>886</v>
      </c>
      <c r="F537">
        <v>5</v>
      </c>
      <c r="G537">
        <v>5</v>
      </c>
      <c r="H537">
        <v>1</v>
      </c>
      <c r="I537">
        <v>1</v>
      </c>
      <c r="J537">
        <v>0.829414476717381</v>
      </c>
      <c r="K537">
        <v>0.92724256574096997</v>
      </c>
      <c r="L537">
        <v>0.87560450203513496</v>
      </c>
      <c r="M537">
        <v>0.63258785942492002</v>
      </c>
      <c r="N537">
        <v>1</v>
      </c>
      <c r="O537">
        <v>0.75718849840255598</v>
      </c>
      <c r="P537" t="s">
        <v>3862</v>
      </c>
      <c r="Q537" t="s">
        <v>3863</v>
      </c>
      <c r="R537" t="s">
        <v>319</v>
      </c>
      <c r="S537" t="s">
        <v>320</v>
      </c>
      <c r="T537" t="s">
        <v>3864</v>
      </c>
      <c r="U537" t="s">
        <v>3865</v>
      </c>
      <c r="V537" t="s">
        <v>3866</v>
      </c>
      <c r="W537" t="s">
        <v>3867</v>
      </c>
      <c r="AD537" t="s">
        <v>219</v>
      </c>
      <c r="AE537" t="s">
        <v>3868</v>
      </c>
      <c r="AF537" t="e">
        <f>-MSGFRLLAIHAHPDDEASKGAATMIRYAREGNETMVVTCTGGERGDILNPAM-NRPGVLERIPEIRKEEMAEAIRLLGAKHRWLGYVDSGLPQSDPLAERAGKAELPAGCFALQDTDTVVQDLVQVIREFRPHVIITYDENGGYPHPDHLKVHETSMVAWDKAGDPDYHPELGKPWAPLKLYYTHGFIRQRLQMFHDLLIEEGKTSPYAEILERWKPHQADIMARVTTQVPCAEYFDVRDDVLRAHATQIDPAGTFFGTPVDVQQKLWPTEEFELAATRVR-------TSIP----EDDLFAGIPADSDDNE</f>
        <v>#NAME?</v>
      </c>
    </row>
    <row r="538" spans="1:32" hidden="1" x14ac:dyDescent="0.35">
      <c r="A538">
        <v>1867</v>
      </c>
      <c r="B538" t="s">
        <v>3861</v>
      </c>
      <c r="C538" t="s">
        <v>72</v>
      </c>
      <c r="D538" t="s">
        <v>34</v>
      </c>
      <c r="E538">
        <v>294</v>
      </c>
      <c r="F538">
        <v>5</v>
      </c>
      <c r="G538">
        <v>5</v>
      </c>
      <c r="H538">
        <v>1</v>
      </c>
      <c r="I538">
        <v>1</v>
      </c>
      <c r="J538">
        <v>0.829414476717381</v>
      </c>
      <c r="K538">
        <v>0.92724256574096997</v>
      </c>
      <c r="L538">
        <v>0.87560450203513496</v>
      </c>
      <c r="M538">
        <v>0.63258785942492002</v>
      </c>
      <c r="N538">
        <v>1</v>
      </c>
      <c r="O538">
        <v>0.75718849840255598</v>
      </c>
      <c r="P538" t="s">
        <v>3862</v>
      </c>
      <c r="Q538" t="s">
        <v>3863</v>
      </c>
      <c r="R538" t="s">
        <v>319</v>
      </c>
      <c r="S538" t="s">
        <v>320</v>
      </c>
      <c r="T538" t="s">
        <v>3864</v>
      </c>
      <c r="U538" t="s">
        <v>3865</v>
      </c>
      <c r="V538" t="s">
        <v>3866</v>
      </c>
      <c r="W538" t="s">
        <v>3867</v>
      </c>
      <c r="AD538" t="s">
        <v>219</v>
      </c>
      <c r="AE538" t="s">
        <v>3868</v>
      </c>
      <c r="AF538" t="s">
        <v>3870</v>
      </c>
    </row>
    <row r="539" spans="1:32" hidden="1" x14ac:dyDescent="0.35">
      <c r="A539">
        <v>1868</v>
      </c>
      <c r="B539" t="s">
        <v>3861</v>
      </c>
      <c r="C539" t="s">
        <v>72</v>
      </c>
      <c r="D539" t="s">
        <v>45</v>
      </c>
      <c r="E539">
        <v>1556</v>
      </c>
      <c r="F539">
        <v>5</v>
      </c>
      <c r="G539">
        <v>5</v>
      </c>
      <c r="H539">
        <v>1</v>
      </c>
      <c r="I539">
        <v>1</v>
      </c>
      <c r="J539">
        <v>0.829414476717381</v>
      </c>
      <c r="K539">
        <v>0.92724256574096997</v>
      </c>
      <c r="L539">
        <v>0.87560450203513496</v>
      </c>
      <c r="M539">
        <v>0.63258785942492002</v>
      </c>
      <c r="N539">
        <v>1</v>
      </c>
      <c r="O539">
        <v>0.75718849840255598</v>
      </c>
      <c r="P539" t="s">
        <v>3862</v>
      </c>
      <c r="Q539" t="s">
        <v>3863</v>
      </c>
      <c r="R539" t="s">
        <v>319</v>
      </c>
      <c r="S539" t="s">
        <v>320</v>
      </c>
      <c r="T539" t="s">
        <v>3864</v>
      </c>
      <c r="U539" t="s">
        <v>3865</v>
      </c>
      <c r="V539" t="s">
        <v>3866</v>
      </c>
      <c r="W539" t="s">
        <v>3867</v>
      </c>
      <c r="AD539" t="s">
        <v>219</v>
      </c>
      <c r="AE539" t="s">
        <v>3868</v>
      </c>
      <c r="AF539" t="s">
        <v>3871</v>
      </c>
    </row>
    <row r="540" spans="1:32" hidden="1" x14ac:dyDescent="0.35">
      <c r="A540">
        <v>1939</v>
      </c>
      <c r="B540" t="s">
        <v>4018</v>
      </c>
      <c r="C540" t="s">
        <v>72</v>
      </c>
      <c r="D540" t="s">
        <v>58</v>
      </c>
      <c r="E540">
        <v>408</v>
      </c>
      <c r="F540">
        <v>5</v>
      </c>
      <c r="G540">
        <v>5</v>
      </c>
      <c r="H540">
        <v>1</v>
      </c>
      <c r="I540">
        <v>1</v>
      </c>
      <c r="J540">
        <v>0.77543984783642395</v>
      </c>
      <c r="K540">
        <v>0.93124903742492104</v>
      </c>
      <c r="L540">
        <v>0.84623227831945202</v>
      </c>
      <c r="M540">
        <v>0.572847682119205</v>
      </c>
      <c r="N540">
        <v>1</v>
      </c>
      <c r="O540">
        <v>0.65993377483443705</v>
      </c>
      <c r="P540" t="s">
        <v>3363</v>
      </c>
      <c r="Q540" t="s">
        <v>3364</v>
      </c>
      <c r="R540" t="s">
        <v>319</v>
      </c>
      <c r="S540" t="s">
        <v>320</v>
      </c>
      <c r="T540" t="s">
        <v>4019</v>
      </c>
      <c r="U540" t="s">
        <v>4020</v>
      </c>
      <c r="V540" t="s">
        <v>3367</v>
      </c>
      <c r="W540" t="s">
        <v>3368</v>
      </c>
      <c r="X540" t="s">
        <v>3367</v>
      </c>
      <c r="Y540" t="s">
        <v>3369</v>
      </c>
      <c r="Z540" t="s">
        <v>4021</v>
      </c>
      <c r="AA540" t="s">
        <v>4022</v>
      </c>
      <c r="AB540" t="s">
        <v>4021</v>
      </c>
      <c r="AC540" t="s">
        <v>4023</v>
      </c>
      <c r="AD540" t="s">
        <v>951</v>
      </c>
      <c r="AE540" t="s">
        <v>4024</v>
      </c>
      <c r="AF540" t="s">
        <v>4025</v>
      </c>
    </row>
    <row r="541" spans="1:32" hidden="1" x14ac:dyDescent="0.35">
      <c r="A541">
        <v>1940</v>
      </c>
      <c r="B541" t="s">
        <v>4018</v>
      </c>
      <c r="C541" t="s">
        <v>72</v>
      </c>
      <c r="D541" t="s">
        <v>60</v>
      </c>
      <c r="E541">
        <v>632</v>
      </c>
      <c r="F541">
        <v>5</v>
      </c>
      <c r="G541">
        <v>5</v>
      </c>
      <c r="H541">
        <v>1</v>
      </c>
      <c r="I541">
        <v>1</v>
      </c>
      <c r="J541">
        <v>0.77543984783642395</v>
      </c>
      <c r="K541">
        <v>0.93124903742492104</v>
      </c>
      <c r="L541">
        <v>0.84623227831945202</v>
      </c>
      <c r="M541">
        <v>0.572847682119205</v>
      </c>
      <c r="N541">
        <v>1</v>
      </c>
      <c r="O541">
        <v>0.65993377483443705</v>
      </c>
      <c r="P541" t="s">
        <v>3363</v>
      </c>
      <c r="Q541" t="s">
        <v>3364</v>
      </c>
      <c r="R541" t="s">
        <v>319</v>
      </c>
      <c r="S541" t="s">
        <v>320</v>
      </c>
      <c r="V541" t="s">
        <v>3367</v>
      </c>
      <c r="W541" t="s">
        <v>3368</v>
      </c>
      <c r="X541" t="s">
        <v>3367</v>
      </c>
      <c r="Y541" t="s">
        <v>3369</v>
      </c>
      <c r="AF541" t="s">
        <v>4026</v>
      </c>
    </row>
    <row r="542" spans="1:32" hidden="1" x14ac:dyDescent="0.35">
      <c r="A542">
        <v>1941</v>
      </c>
      <c r="B542" t="s">
        <v>4018</v>
      </c>
      <c r="C542" t="s">
        <v>72</v>
      </c>
      <c r="D542" t="s">
        <v>62</v>
      </c>
      <c r="E542">
        <v>716</v>
      </c>
      <c r="F542">
        <v>5</v>
      </c>
      <c r="G542">
        <v>5</v>
      </c>
      <c r="H542">
        <v>1</v>
      </c>
      <c r="I542">
        <v>1</v>
      </c>
      <c r="J542">
        <v>0.77543984783642395</v>
      </c>
      <c r="K542">
        <v>0.93124903742492104</v>
      </c>
      <c r="L542">
        <v>0.84623227831945202</v>
      </c>
      <c r="M542">
        <v>0.572847682119205</v>
      </c>
      <c r="N542">
        <v>1</v>
      </c>
      <c r="O542">
        <v>0.65993377483443705</v>
      </c>
      <c r="P542" t="s">
        <v>3363</v>
      </c>
      <c r="Q542" t="s">
        <v>3364</v>
      </c>
      <c r="R542" t="s">
        <v>319</v>
      </c>
      <c r="S542" t="s">
        <v>320</v>
      </c>
      <c r="V542" t="s">
        <v>3367</v>
      </c>
      <c r="W542" t="s">
        <v>3368</v>
      </c>
      <c r="X542" t="s">
        <v>3367</v>
      </c>
      <c r="Y542" t="s">
        <v>3369</v>
      </c>
      <c r="AF542" t="s">
        <v>4026</v>
      </c>
    </row>
    <row r="543" spans="1:32" hidden="1" x14ac:dyDescent="0.35">
      <c r="A543">
        <v>1942</v>
      </c>
      <c r="B543" t="s">
        <v>4018</v>
      </c>
      <c r="C543" t="s">
        <v>72</v>
      </c>
      <c r="D543" t="s">
        <v>34</v>
      </c>
      <c r="E543">
        <v>453</v>
      </c>
      <c r="F543">
        <v>5</v>
      </c>
      <c r="G543">
        <v>5</v>
      </c>
      <c r="H543">
        <v>1</v>
      </c>
      <c r="I543">
        <v>1</v>
      </c>
      <c r="J543">
        <v>0.77543984783642395</v>
      </c>
      <c r="K543">
        <v>0.93124903742492104</v>
      </c>
      <c r="L543">
        <v>0.84623227831945202</v>
      </c>
      <c r="M543">
        <v>0.572847682119205</v>
      </c>
      <c r="N543">
        <v>1</v>
      </c>
      <c r="O543">
        <v>0.65993377483443705</v>
      </c>
      <c r="P543" t="s">
        <v>3363</v>
      </c>
      <c r="Q543" t="s">
        <v>3364</v>
      </c>
      <c r="R543" t="s">
        <v>319</v>
      </c>
      <c r="S543" t="s">
        <v>320</v>
      </c>
      <c r="V543" t="s">
        <v>3367</v>
      </c>
      <c r="W543" t="s">
        <v>3368</v>
      </c>
      <c r="X543" t="s">
        <v>3367</v>
      </c>
      <c r="Y543" t="s">
        <v>3369</v>
      </c>
      <c r="AF543" t="s">
        <v>4027</v>
      </c>
    </row>
    <row r="544" spans="1:32" hidden="1" x14ac:dyDescent="0.35">
      <c r="A544">
        <v>1943</v>
      </c>
      <c r="B544" t="s">
        <v>4018</v>
      </c>
      <c r="C544" t="s">
        <v>72</v>
      </c>
      <c r="D544" t="s">
        <v>45</v>
      </c>
      <c r="E544">
        <v>1716</v>
      </c>
      <c r="F544">
        <v>5</v>
      </c>
      <c r="G544">
        <v>5</v>
      </c>
      <c r="H544">
        <v>1</v>
      </c>
      <c r="I544">
        <v>1</v>
      </c>
      <c r="J544">
        <v>0.77543984783642395</v>
      </c>
      <c r="K544">
        <v>0.93124903742492104</v>
      </c>
      <c r="L544">
        <v>0.84623227831945202</v>
      </c>
      <c r="M544">
        <v>0.572847682119205</v>
      </c>
      <c r="N544">
        <v>1</v>
      </c>
      <c r="O544">
        <v>0.65993377483443705</v>
      </c>
      <c r="P544" t="s">
        <v>3363</v>
      </c>
      <c r="Q544" t="s">
        <v>3364</v>
      </c>
      <c r="R544" t="s">
        <v>319</v>
      </c>
      <c r="S544" t="s">
        <v>320</v>
      </c>
      <c r="V544" t="s">
        <v>3367</v>
      </c>
      <c r="W544" t="s">
        <v>3368</v>
      </c>
      <c r="X544" t="s">
        <v>3367</v>
      </c>
      <c r="Y544" t="s">
        <v>3369</v>
      </c>
      <c r="AF544" t="s">
        <v>4028</v>
      </c>
    </row>
    <row r="545" spans="1:32" hidden="1" x14ac:dyDescent="0.35">
      <c r="A545">
        <v>2004</v>
      </c>
      <c r="B545" t="s">
        <v>4151</v>
      </c>
      <c r="C545" t="s">
        <v>72</v>
      </c>
      <c r="D545" t="s">
        <v>58</v>
      </c>
      <c r="E545">
        <v>654</v>
      </c>
      <c r="F545">
        <v>5</v>
      </c>
      <c r="G545">
        <v>5</v>
      </c>
      <c r="H545">
        <v>1</v>
      </c>
      <c r="I545">
        <v>1</v>
      </c>
      <c r="J545">
        <v>0.91380122468205405</v>
      </c>
      <c r="K545">
        <v>0.99438818704577503</v>
      </c>
      <c r="L545">
        <v>0.95239302508130996</v>
      </c>
      <c r="M545">
        <v>0.82201405152224805</v>
      </c>
      <c r="N545">
        <v>1</v>
      </c>
      <c r="O545">
        <v>0.886182669789227</v>
      </c>
      <c r="P545" t="s">
        <v>4152</v>
      </c>
      <c r="Q545" t="s">
        <v>4153</v>
      </c>
      <c r="R545" t="s">
        <v>319</v>
      </c>
      <c r="S545" t="s">
        <v>320</v>
      </c>
      <c r="T545" t="s">
        <v>4154</v>
      </c>
      <c r="U545" t="s">
        <v>4155</v>
      </c>
      <c r="V545" t="s">
        <v>4156</v>
      </c>
      <c r="W545" t="s">
        <v>4157</v>
      </c>
      <c r="X545" t="s">
        <v>4156</v>
      </c>
      <c r="Y545" t="s">
        <v>1022</v>
      </c>
      <c r="Z545" t="s">
        <v>4158</v>
      </c>
      <c r="AA545" t="s">
        <v>4159</v>
      </c>
      <c r="AB545" t="s">
        <v>4158</v>
      </c>
      <c r="AC545" t="s">
        <v>4160</v>
      </c>
      <c r="AD545" t="s">
        <v>4161</v>
      </c>
      <c r="AE545" t="s">
        <v>4162</v>
      </c>
      <c r="AF545" t="s">
        <v>4163</v>
      </c>
    </row>
    <row r="546" spans="1:32" hidden="1" x14ac:dyDescent="0.35">
      <c r="A546">
        <v>2005</v>
      </c>
      <c r="B546" t="s">
        <v>4151</v>
      </c>
      <c r="C546" t="s">
        <v>72</v>
      </c>
      <c r="D546" t="s">
        <v>60</v>
      </c>
      <c r="E546">
        <v>843</v>
      </c>
      <c r="F546">
        <v>5</v>
      </c>
      <c r="G546">
        <v>5</v>
      </c>
      <c r="H546">
        <v>1</v>
      </c>
      <c r="I546">
        <v>1</v>
      </c>
      <c r="J546">
        <v>0.91380122468205405</v>
      </c>
      <c r="K546">
        <v>0.99438818704577503</v>
      </c>
      <c r="L546">
        <v>0.95239302508130996</v>
      </c>
      <c r="M546">
        <v>0.82201405152224805</v>
      </c>
      <c r="N546">
        <v>1</v>
      </c>
      <c r="O546">
        <v>0.886182669789227</v>
      </c>
      <c r="P546" t="s">
        <v>4152</v>
      </c>
      <c r="Q546" t="s">
        <v>4153</v>
      </c>
      <c r="R546" t="s">
        <v>319</v>
      </c>
      <c r="S546" t="s">
        <v>320</v>
      </c>
      <c r="T546" t="s">
        <v>4154</v>
      </c>
      <c r="U546" t="s">
        <v>4155</v>
      </c>
      <c r="V546" t="s">
        <v>4156</v>
      </c>
      <c r="W546" t="s">
        <v>4157</v>
      </c>
      <c r="X546" t="s">
        <v>4156</v>
      </c>
      <c r="Y546" t="s">
        <v>1022</v>
      </c>
      <c r="Z546" t="s">
        <v>4158</v>
      </c>
      <c r="AA546" t="s">
        <v>4159</v>
      </c>
      <c r="AB546" t="s">
        <v>4158</v>
      </c>
      <c r="AC546" t="s">
        <v>4160</v>
      </c>
      <c r="AD546" t="s">
        <v>4161</v>
      </c>
      <c r="AE546" t="s">
        <v>4162</v>
      </c>
      <c r="AF546" t="s">
        <v>4164</v>
      </c>
    </row>
    <row r="547" spans="1:32" hidden="1" x14ac:dyDescent="0.35">
      <c r="A547">
        <v>2006</v>
      </c>
      <c r="B547" t="s">
        <v>4151</v>
      </c>
      <c r="C547" t="s">
        <v>72</v>
      </c>
      <c r="D547" t="s">
        <v>62</v>
      </c>
      <c r="E547">
        <v>877</v>
      </c>
      <c r="F547">
        <v>5</v>
      </c>
      <c r="G547">
        <v>5</v>
      </c>
      <c r="H547">
        <v>1</v>
      </c>
      <c r="I547">
        <v>1</v>
      </c>
      <c r="J547">
        <v>0.91380122468205405</v>
      </c>
      <c r="K547">
        <v>0.99438818704577503</v>
      </c>
      <c r="L547">
        <v>0.95239302508130996</v>
      </c>
      <c r="M547">
        <v>0.82201405152224805</v>
      </c>
      <c r="N547">
        <v>1</v>
      </c>
      <c r="O547">
        <v>0.886182669789227</v>
      </c>
      <c r="P547" t="s">
        <v>4152</v>
      </c>
      <c r="Q547" t="s">
        <v>4153</v>
      </c>
      <c r="R547" t="s">
        <v>319</v>
      </c>
      <c r="S547" t="s">
        <v>320</v>
      </c>
      <c r="T547" t="s">
        <v>4154</v>
      </c>
      <c r="U547" t="s">
        <v>4155</v>
      </c>
      <c r="V547" t="s">
        <v>4156</v>
      </c>
      <c r="W547" t="s">
        <v>4157</v>
      </c>
      <c r="X547" t="s">
        <v>4156</v>
      </c>
      <c r="Y547" t="s">
        <v>1022</v>
      </c>
      <c r="Z547" t="s">
        <v>4158</v>
      </c>
      <c r="AA547" t="s">
        <v>4159</v>
      </c>
      <c r="AB547" t="s">
        <v>4158</v>
      </c>
      <c r="AC547" t="s">
        <v>4160</v>
      </c>
      <c r="AD547" t="s">
        <v>4161</v>
      </c>
      <c r="AE547" t="s">
        <v>4162</v>
      </c>
      <c r="AF547" t="s">
        <v>4164</v>
      </c>
    </row>
    <row r="548" spans="1:32" hidden="1" x14ac:dyDescent="0.35">
      <c r="A548">
        <v>2007</v>
      </c>
      <c r="B548" t="s">
        <v>4151</v>
      </c>
      <c r="C548" t="s">
        <v>72</v>
      </c>
      <c r="D548" t="s">
        <v>34</v>
      </c>
      <c r="E548">
        <v>303</v>
      </c>
      <c r="F548">
        <v>5</v>
      </c>
      <c r="G548">
        <v>5</v>
      </c>
      <c r="H548">
        <v>1</v>
      </c>
      <c r="I548">
        <v>1</v>
      </c>
      <c r="J548">
        <v>0.91380122468205405</v>
      </c>
      <c r="K548">
        <v>0.99438818704577503</v>
      </c>
      <c r="L548">
        <v>0.95239302508130996</v>
      </c>
      <c r="M548">
        <v>0.82201405152224805</v>
      </c>
      <c r="N548">
        <v>1</v>
      </c>
      <c r="O548">
        <v>0.886182669789227</v>
      </c>
      <c r="P548" t="s">
        <v>4152</v>
      </c>
      <c r="Q548" t="s">
        <v>4153</v>
      </c>
      <c r="R548" t="s">
        <v>319</v>
      </c>
      <c r="S548" t="s">
        <v>320</v>
      </c>
      <c r="T548" t="s">
        <v>4154</v>
      </c>
      <c r="U548" t="s">
        <v>4155</v>
      </c>
      <c r="V548" t="s">
        <v>4156</v>
      </c>
      <c r="W548" t="s">
        <v>4157</v>
      </c>
      <c r="X548" t="s">
        <v>4156</v>
      </c>
      <c r="Y548" t="s">
        <v>1022</v>
      </c>
      <c r="Z548" t="s">
        <v>4158</v>
      </c>
      <c r="AA548" t="s">
        <v>4159</v>
      </c>
      <c r="AB548" t="s">
        <v>4158</v>
      </c>
      <c r="AC548" t="s">
        <v>4160</v>
      </c>
      <c r="AD548" t="s">
        <v>4161</v>
      </c>
      <c r="AE548" t="s">
        <v>4162</v>
      </c>
      <c r="AF548" t="s">
        <v>4165</v>
      </c>
    </row>
    <row r="549" spans="1:32" hidden="1" x14ac:dyDescent="0.35">
      <c r="A549">
        <v>2008</v>
      </c>
      <c r="B549" t="s">
        <v>4151</v>
      </c>
      <c r="C549" t="s">
        <v>72</v>
      </c>
      <c r="D549" t="s">
        <v>45</v>
      </c>
      <c r="E549">
        <v>1565</v>
      </c>
      <c r="F549">
        <v>5</v>
      </c>
      <c r="G549">
        <v>5</v>
      </c>
      <c r="H549">
        <v>1</v>
      </c>
      <c r="I549">
        <v>1</v>
      </c>
      <c r="J549">
        <v>0.91380122468205405</v>
      </c>
      <c r="K549">
        <v>0.99438818704577503</v>
      </c>
      <c r="L549">
        <v>0.95239302508130996</v>
      </c>
      <c r="M549">
        <v>0.82201405152224805</v>
      </c>
      <c r="N549">
        <v>1</v>
      </c>
      <c r="O549">
        <v>0.886182669789227</v>
      </c>
      <c r="P549" t="s">
        <v>4152</v>
      </c>
      <c r="Q549" t="s">
        <v>4153</v>
      </c>
      <c r="R549" t="s">
        <v>319</v>
      </c>
      <c r="S549" t="s">
        <v>320</v>
      </c>
      <c r="T549" t="s">
        <v>4154</v>
      </c>
      <c r="U549" t="s">
        <v>4155</v>
      </c>
      <c r="V549" t="s">
        <v>4156</v>
      </c>
      <c r="W549" t="s">
        <v>4157</v>
      </c>
      <c r="X549" t="s">
        <v>4156</v>
      </c>
      <c r="Y549" t="s">
        <v>1022</v>
      </c>
      <c r="Z549" t="s">
        <v>4158</v>
      </c>
      <c r="AA549" t="s">
        <v>4159</v>
      </c>
      <c r="AB549" t="s">
        <v>4158</v>
      </c>
      <c r="AC549" t="s">
        <v>4160</v>
      </c>
      <c r="AD549" t="s">
        <v>4161</v>
      </c>
      <c r="AE549" t="s">
        <v>4162</v>
      </c>
      <c r="AF549" t="s">
        <v>4165</v>
      </c>
    </row>
    <row r="550" spans="1:32" hidden="1" x14ac:dyDescent="0.35">
      <c r="A550">
        <v>2014</v>
      </c>
      <c r="B550" t="s">
        <v>4179</v>
      </c>
      <c r="C550" t="s">
        <v>72</v>
      </c>
      <c r="D550" t="s">
        <v>58</v>
      </c>
      <c r="E550">
        <v>1736</v>
      </c>
      <c r="F550">
        <v>5</v>
      </c>
      <c r="G550">
        <v>5</v>
      </c>
      <c r="H550">
        <v>1</v>
      </c>
      <c r="I550">
        <v>1</v>
      </c>
      <c r="J550">
        <v>0.92906976744185998</v>
      </c>
      <c r="K550">
        <v>1</v>
      </c>
      <c r="L550">
        <v>0.96323086196503904</v>
      </c>
      <c r="M550">
        <v>0.84593023255813904</v>
      </c>
      <c r="N550">
        <v>1</v>
      </c>
      <c r="O550">
        <v>0.90232558139534902</v>
      </c>
      <c r="P550" t="s">
        <v>4180</v>
      </c>
      <c r="Q550" t="s">
        <v>4181</v>
      </c>
      <c r="R550" t="s">
        <v>319</v>
      </c>
      <c r="S550" t="s">
        <v>320</v>
      </c>
      <c r="T550" t="s">
        <v>4182</v>
      </c>
      <c r="U550" t="s">
        <v>4183</v>
      </c>
      <c r="V550" t="s">
        <v>4184</v>
      </c>
      <c r="W550" t="s">
        <v>4185</v>
      </c>
      <c r="X550" t="s">
        <v>4184</v>
      </c>
      <c r="Y550" t="s">
        <v>1022</v>
      </c>
      <c r="Z550" t="s">
        <v>4186</v>
      </c>
      <c r="AA550" t="s">
        <v>4187</v>
      </c>
      <c r="AB550" t="s">
        <v>4186</v>
      </c>
      <c r="AC550" t="s">
        <v>4188</v>
      </c>
      <c r="AD550" t="s">
        <v>590</v>
      </c>
      <c r="AE550" t="s">
        <v>4189</v>
      </c>
      <c r="AF550" t="s">
        <v>4190</v>
      </c>
    </row>
    <row r="551" spans="1:32" hidden="1" x14ac:dyDescent="0.35">
      <c r="A551">
        <v>2015</v>
      </c>
      <c r="B551" t="s">
        <v>4179</v>
      </c>
      <c r="C551" t="s">
        <v>72</v>
      </c>
      <c r="D551" t="s">
        <v>60</v>
      </c>
      <c r="E551">
        <v>2344</v>
      </c>
      <c r="F551">
        <v>5</v>
      </c>
      <c r="G551">
        <v>5</v>
      </c>
      <c r="H551">
        <v>1</v>
      </c>
      <c r="I551">
        <v>1</v>
      </c>
      <c r="J551">
        <v>0.92906976744185998</v>
      </c>
      <c r="K551">
        <v>1</v>
      </c>
      <c r="L551">
        <v>0.96323086196503904</v>
      </c>
      <c r="M551">
        <v>0.84593023255813904</v>
      </c>
      <c r="N551">
        <v>1</v>
      </c>
      <c r="O551">
        <v>0.90232558139534902</v>
      </c>
      <c r="P551" t="s">
        <v>4180</v>
      </c>
      <c r="Q551" t="s">
        <v>4181</v>
      </c>
      <c r="R551" t="s">
        <v>319</v>
      </c>
      <c r="S551" t="s">
        <v>320</v>
      </c>
      <c r="T551" t="s">
        <v>4182</v>
      </c>
      <c r="U551" t="s">
        <v>4183</v>
      </c>
      <c r="V551" t="s">
        <v>4184</v>
      </c>
      <c r="W551" t="s">
        <v>4185</v>
      </c>
      <c r="X551" t="s">
        <v>4184</v>
      </c>
      <c r="Y551" t="s">
        <v>1022</v>
      </c>
      <c r="Z551" t="s">
        <v>4186</v>
      </c>
      <c r="AA551" t="s">
        <v>4187</v>
      </c>
      <c r="AB551" t="s">
        <v>4186</v>
      </c>
      <c r="AC551" t="s">
        <v>4188</v>
      </c>
      <c r="AD551" t="s">
        <v>590</v>
      </c>
      <c r="AE551" t="s">
        <v>4189</v>
      </c>
      <c r="AF551" t="s">
        <v>4191</v>
      </c>
    </row>
    <row r="552" spans="1:32" hidden="1" x14ac:dyDescent="0.35">
      <c r="A552">
        <v>2016</v>
      </c>
      <c r="B552" t="s">
        <v>4179</v>
      </c>
      <c r="C552" t="s">
        <v>72</v>
      </c>
      <c r="D552" t="s">
        <v>62</v>
      </c>
      <c r="E552">
        <v>2372</v>
      </c>
      <c r="F552">
        <v>5</v>
      </c>
      <c r="G552">
        <v>5</v>
      </c>
      <c r="H552">
        <v>1</v>
      </c>
      <c r="I552">
        <v>1</v>
      </c>
      <c r="J552">
        <v>0.92906976744185998</v>
      </c>
      <c r="K552">
        <v>1</v>
      </c>
      <c r="L552">
        <v>0.96323086196503904</v>
      </c>
      <c r="M552">
        <v>0.84593023255813904</v>
      </c>
      <c r="N552">
        <v>1</v>
      </c>
      <c r="O552">
        <v>0.90232558139534902</v>
      </c>
      <c r="P552" t="s">
        <v>4180</v>
      </c>
      <c r="Q552" t="s">
        <v>4181</v>
      </c>
      <c r="R552" t="s">
        <v>319</v>
      </c>
      <c r="S552" t="s">
        <v>320</v>
      </c>
      <c r="T552" t="s">
        <v>4182</v>
      </c>
      <c r="U552" t="s">
        <v>4183</v>
      </c>
      <c r="V552" t="s">
        <v>4184</v>
      </c>
      <c r="W552" t="s">
        <v>4185</v>
      </c>
      <c r="X552" t="s">
        <v>4184</v>
      </c>
      <c r="Y552" t="s">
        <v>1022</v>
      </c>
      <c r="Z552" t="s">
        <v>4186</v>
      </c>
      <c r="AA552" t="s">
        <v>4187</v>
      </c>
      <c r="AB552" t="s">
        <v>4186</v>
      </c>
      <c r="AC552" t="s">
        <v>4188</v>
      </c>
      <c r="AD552" t="s">
        <v>590</v>
      </c>
      <c r="AE552" t="s">
        <v>4189</v>
      </c>
      <c r="AF552" t="s">
        <v>4191</v>
      </c>
    </row>
    <row r="553" spans="1:32" hidden="1" x14ac:dyDescent="0.35">
      <c r="A553">
        <v>2017</v>
      </c>
      <c r="B553" t="s">
        <v>4179</v>
      </c>
      <c r="C553" t="s">
        <v>72</v>
      </c>
      <c r="D553" t="s">
        <v>34</v>
      </c>
      <c r="E553">
        <v>1451</v>
      </c>
      <c r="F553">
        <v>5</v>
      </c>
      <c r="G553">
        <v>5</v>
      </c>
      <c r="H553">
        <v>1</v>
      </c>
      <c r="I553">
        <v>1</v>
      </c>
      <c r="J553">
        <v>0.92906976744185998</v>
      </c>
      <c r="K553">
        <v>1</v>
      </c>
      <c r="L553">
        <v>0.96323086196503904</v>
      </c>
      <c r="M553">
        <v>0.84593023255813904</v>
      </c>
      <c r="N553">
        <v>1</v>
      </c>
      <c r="O553">
        <v>0.90232558139534902</v>
      </c>
      <c r="P553" t="s">
        <v>4180</v>
      </c>
      <c r="Q553" t="s">
        <v>4181</v>
      </c>
      <c r="R553" t="s">
        <v>319</v>
      </c>
      <c r="S553" t="s">
        <v>320</v>
      </c>
      <c r="T553" t="s">
        <v>4182</v>
      </c>
      <c r="U553" t="s">
        <v>4183</v>
      </c>
      <c r="V553" t="s">
        <v>4184</v>
      </c>
      <c r="W553" t="s">
        <v>4185</v>
      </c>
      <c r="X553" t="s">
        <v>4184</v>
      </c>
      <c r="Y553" t="s">
        <v>1022</v>
      </c>
      <c r="Z553" t="s">
        <v>4186</v>
      </c>
      <c r="AA553" t="s">
        <v>4187</v>
      </c>
      <c r="AB553" t="s">
        <v>4186</v>
      </c>
      <c r="AC553" t="s">
        <v>4188</v>
      </c>
      <c r="AD553" t="s">
        <v>590</v>
      </c>
      <c r="AE553" t="s">
        <v>4189</v>
      </c>
      <c r="AF553" t="s">
        <v>4192</v>
      </c>
    </row>
    <row r="554" spans="1:32" hidden="1" x14ac:dyDescent="0.35">
      <c r="A554">
        <v>2018</v>
      </c>
      <c r="B554" t="s">
        <v>4179</v>
      </c>
      <c r="C554" t="s">
        <v>72</v>
      </c>
      <c r="D554" t="s">
        <v>45</v>
      </c>
      <c r="E554">
        <v>202</v>
      </c>
      <c r="F554">
        <v>5</v>
      </c>
      <c r="G554">
        <v>5</v>
      </c>
      <c r="H554">
        <v>1</v>
      </c>
      <c r="I554">
        <v>1</v>
      </c>
      <c r="J554">
        <v>0.92906976744185998</v>
      </c>
      <c r="K554">
        <v>1</v>
      </c>
      <c r="L554">
        <v>0.96323086196503904</v>
      </c>
      <c r="M554">
        <v>0.84593023255813904</v>
      </c>
      <c r="N554">
        <v>1</v>
      </c>
      <c r="O554">
        <v>0.90232558139534902</v>
      </c>
      <c r="P554" t="s">
        <v>4180</v>
      </c>
      <c r="Q554" t="s">
        <v>4181</v>
      </c>
      <c r="R554" t="s">
        <v>319</v>
      </c>
      <c r="S554" t="s">
        <v>320</v>
      </c>
      <c r="T554" t="s">
        <v>4182</v>
      </c>
      <c r="U554" t="s">
        <v>4183</v>
      </c>
      <c r="V554" t="s">
        <v>4184</v>
      </c>
      <c r="W554" t="s">
        <v>4185</v>
      </c>
      <c r="X554" t="s">
        <v>4184</v>
      </c>
      <c r="Y554" t="s">
        <v>1022</v>
      </c>
      <c r="Z554" t="s">
        <v>4186</v>
      </c>
      <c r="AA554" t="s">
        <v>4187</v>
      </c>
      <c r="AB554" t="s">
        <v>4186</v>
      </c>
      <c r="AC554" t="s">
        <v>4188</v>
      </c>
      <c r="AD554" t="s">
        <v>590</v>
      </c>
      <c r="AE554" t="s">
        <v>4189</v>
      </c>
      <c r="AF554" t="s">
        <v>4192</v>
      </c>
    </row>
    <row r="555" spans="1:32" hidden="1" x14ac:dyDescent="0.35">
      <c r="A555">
        <v>2019</v>
      </c>
      <c r="B555" t="s">
        <v>4193</v>
      </c>
      <c r="C555" t="s">
        <v>72</v>
      </c>
      <c r="D555" t="s">
        <v>58</v>
      </c>
      <c r="E555">
        <v>994</v>
      </c>
      <c r="F555">
        <v>5</v>
      </c>
      <c r="G555">
        <v>5</v>
      </c>
      <c r="H555">
        <v>1</v>
      </c>
      <c r="I555">
        <v>1</v>
      </c>
      <c r="J555">
        <v>0.92277761149356496</v>
      </c>
      <c r="K555">
        <v>0.99731343283582297</v>
      </c>
      <c r="L555">
        <v>0.95859882288458098</v>
      </c>
      <c r="M555">
        <v>0.84776119402985095</v>
      </c>
      <c r="N555">
        <v>1</v>
      </c>
      <c r="O555">
        <v>0.88417910447761205</v>
      </c>
      <c r="P555" t="s">
        <v>4194</v>
      </c>
      <c r="Q555" t="s">
        <v>4195</v>
      </c>
      <c r="R555" t="s">
        <v>319</v>
      </c>
      <c r="S555" t="s">
        <v>320</v>
      </c>
      <c r="T555" t="s">
        <v>4196</v>
      </c>
      <c r="U555" t="s">
        <v>4197</v>
      </c>
      <c r="V555" t="s">
        <v>4198</v>
      </c>
      <c r="W555" t="s">
        <v>4199</v>
      </c>
      <c r="X555" t="s">
        <v>4198</v>
      </c>
      <c r="Y555" t="s">
        <v>1022</v>
      </c>
      <c r="Z555" t="s">
        <v>4200</v>
      </c>
      <c r="AA555" t="s">
        <v>4201</v>
      </c>
      <c r="AB555" t="s">
        <v>4200</v>
      </c>
      <c r="AC555" t="s">
        <v>4202</v>
      </c>
      <c r="AD555" t="s">
        <v>4203</v>
      </c>
      <c r="AE555" t="s">
        <v>4204</v>
      </c>
      <c r="AF555" t="s">
        <v>4205</v>
      </c>
    </row>
    <row r="556" spans="1:32" hidden="1" x14ac:dyDescent="0.35">
      <c r="A556">
        <v>2020</v>
      </c>
      <c r="B556" t="s">
        <v>4193</v>
      </c>
      <c r="C556" t="s">
        <v>72</v>
      </c>
      <c r="D556" t="s">
        <v>60</v>
      </c>
      <c r="E556">
        <v>1216</v>
      </c>
      <c r="F556">
        <v>5</v>
      </c>
      <c r="G556">
        <v>5</v>
      </c>
      <c r="H556">
        <v>1</v>
      </c>
      <c r="I556">
        <v>1</v>
      </c>
      <c r="J556">
        <v>0.92277761149356496</v>
      </c>
      <c r="K556">
        <v>0.99731343283582297</v>
      </c>
      <c r="L556">
        <v>0.95859882288458098</v>
      </c>
      <c r="M556">
        <v>0.84776119402985095</v>
      </c>
      <c r="N556">
        <v>1</v>
      </c>
      <c r="O556">
        <v>0.88417910447761205</v>
      </c>
      <c r="P556" t="s">
        <v>4194</v>
      </c>
      <c r="Q556" t="s">
        <v>4195</v>
      </c>
      <c r="R556" t="s">
        <v>319</v>
      </c>
      <c r="S556" t="s">
        <v>320</v>
      </c>
      <c r="T556" t="s">
        <v>4196</v>
      </c>
      <c r="U556" t="s">
        <v>4197</v>
      </c>
      <c r="V556" t="s">
        <v>4198</v>
      </c>
      <c r="W556" t="s">
        <v>4199</v>
      </c>
      <c r="X556" t="s">
        <v>4198</v>
      </c>
      <c r="Y556" t="s">
        <v>1022</v>
      </c>
      <c r="Z556" t="s">
        <v>4200</v>
      </c>
      <c r="AA556" t="s">
        <v>4201</v>
      </c>
      <c r="AB556" t="s">
        <v>4200</v>
      </c>
      <c r="AC556" t="s">
        <v>4202</v>
      </c>
      <c r="AD556" t="s">
        <v>4203</v>
      </c>
      <c r="AE556" t="s">
        <v>4204</v>
      </c>
      <c r="AF556" t="s">
        <v>4206</v>
      </c>
    </row>
    <row r="557" spans="1:32" hidden="1" x14ac:dyDescent="0.35">
      <c r="A557">
        <v>2021</v>
      </c>
      <c r="B557" t="s">
        <v>4193</v>
      </c>
      <c r="C557" t="s">
        <v>72</v>
      </c>
      <c r="D557" t="s">
        <v>62</v>
      </c>
      <c r="E557">
        <v>1253</v>
      </c>
      <c r="F557">
        <v>5</v>
      </c>
      <c r="G557">
        <v>5</v>
      </c>
      <c r="H557">
        <v>1</v>
      </c>
      <c r="I557">
        <v>1</v>
      </c>
      <c r="J557">
        <v>0.92277761149356496</v>
      </c>
      <c r="K557">
        <v>0.99731343283582297</v>
      </c>
      <c r="L557">
        <v>0.95859882288458098</v>
      </c>
      <c r="M557">
        <v>0.84776119402985095</v>
      </c>
      <c r="N557">
        <v>1</v>
      </c>
      <c r="O557">
        <v>0.88417910447761205</v>
      </c>
      <c r="P557" t="s">
        <v>4194</v>
      </c>
      <c r="Q557" t="s">
        <v>4195</v>
      </c>
      <c r="R557" t="s">
        <v>319</v>
      </c>
      <c r="S557" t="s">
        <v>320</v>
      </c>
      <c r="T557" t="s">
        <v>4196</v>
      </c>
      <c r="U557" t="s">
        <v>4197</v>
      </c>
      <c r="V557" t="s">
        <v>4198</v>
      </c>
      <c r="W557" t="s">
        <v>4199</v>
      </c>
      <c r="X557" t="s">
        <v>4198</v>
      </c>
      <c r="Y557" t="s">
        <v>1022</v>
      </c>
      <c r="Z557" t="s">
        <v>4200</v>
      </c>
      <c r="AA557" t="s">
        <v>4201</v>
      </c>
      <c r="AB557" t="s">
        <v>4200</v>
      </c>
      <c r="AC557" t="s">
        <v>4202</v>
      </c>
      <c r="AD557" t="s">
        <v>4203</v>
      </c>
      <c r="AE557" t="s">
        <v>4204</v>
      </c>
      <c r="AF557" t="s">
        <v>4206</v>
      </c>
    </row>
    <row r="558" spans="1:32" hidden="1" x14ac:dyDescent="0.35">
      <c r="A558">
        <v>2022</v>
      </c>
      <c r="B558" t="s">
        <v>4193</v>
      </c>
      <c r="C558" t="s">
        <v>72</v>
      </c>
      <c r="D558" t="s">
        <v>34</v>
      </c>
      <c r="E558">
        <v>1787</v>
      </c>
      <c r="F558">
        <v>5</v>
      </c>
      <c r="G558">
        <v>5</v>
      </c>
      <c r="H558">
        <v>1</v>
      </c>
      <c r="I558">
        <v>1</v>
      </c>
      <c r="J558">
        <v>0.92277761149356496</v>
      </c>
      <c r="K558">
        <v>0.99731343283582297</v>
      </c>
      <c r="L558">
        <v>0.95859882288458098</v>
      </c>
      <c r="M558">
        <v>0.84776119402985095</v>
      </c>
      <c r="N558">
        <v>1</v>
      </c>
      <c r="O558">
        <v>0.88417910447761205</v>
      </c>
      <c r="P558" t="s">
        <v>4194</v>
      </c>
      <c r="Q558" t="s">
        <v>4195</v>
      </c>
      <c r="R558" t="s">
        <v>319</v>
      </c>
      <c r="S558" t="s">
        <v>320</v>
      </c>
      <c r="T558" t="s">
        <v>4196</v>
      </c>
      <c r="U558" t="s">
        <v>4197</v>
      </c>
      <c r="V558" t="s">
        <v>4198</v>
      </c>
      <c r="W558" t="s">
        <v>4199</v>
      </c>
      <c r="X558" t="s">
        <v>4198</v>
      </c>
      <c r="Y558" t="s">
        <v>1022</v>
      </c>
      <c r="Z558" t="s">
        <v>4200</v>
      </c>
      <c r="AA558" t="s">
        <v>4201</v>
      </c>
      <c r="AB558" t="s">
        <v>4200</v>
      </c>
      <c r="AC558" t="s">
        <v>4202</v>
      </c>
      <c r="AD558" t="s">
        <v>4203</v>
      </c>
      <c r="AE558" t="s">
        <v>4204</v>
      </c>
      <c r="AF558" t="s">
        <v>4207</v>
      </c>
    </row>
    <row r="559" spans="1:32" hidden="1" x14ac:dyDescent="0.35">
      <c r="A559">
        <v>2023</v>
      </c>
      <c r="B559" t="s">
        <v>4193</v>
      </c>
      <c r="C559" t="s">
        <v>72</v>
      </c>
      <c r="D559" t="s">
        <v>45</v>
      </c>
      <c r="E559">
        <v>1086</v>
      </c>
      <c r="F559">
        <v>5</v>
      </c>
      <c r="G559">
        <v>5</v>
      </c>
      <c r="H559">
        <v>1</v>
      </c>
      <c r="I559">
        <v>1</v>
      </c>
      <c r="J559">
        <v>0.92277761149356496</v>
      </c>
      <c r="K559">
        <v>0.99731343283582297</v>
      </c>
      <c r="L559">
        <v>0.95859882288458098</v>
      </c>
      <c r="M559">
        <v>0.84776119402985095</v>
      </c>
      <c r="N559">
        <v>1</v>
      </c>
      <c r="O559">
        <v>0.88417910447761205</v>
      </c>
      <c r="P559" t="s">
        <v>4194</v>
      </c>
      <c r="Q559" t="s">
        <v>4195</v>
      </c>
      <c r="R559" t="s">
        <v>319</v>
      </c>
      <c r="S559" t="s">
        <v>320</v>
      </c>
      <c r="T559" t="s">
        <v>4196</v>
      </c>
      <c r="U559" t="s">
        <v>4197</v>
      </c>
      <c r="V559" t="s">
        <v>4198</v>
      </c>
      <c r="W559" t="s">
        <v>4199</v>
      </c>
      <c r="X559" t="s">
        <v>4198</v>
      </c>
      <c r="Y559" t="s">
        <v>1022</v>
      </c>
      <c r="Z559" t="s">
        <v>4200</v>
      </c>
      <c r="AA559" t="s">
        <v>4201</v>
      </c>
      <c r="AB559" t="s">
        <v>4200</v>
      </c>
      <c r="AC559" t="s">
        <v>4202</v>
      </c>
      <c r="AD559" t="s">
        <v>4203</v>
      </c>
      <c r="AE559" t="s">
        <v>4204</v>
      </c>
      <c r="AF559" t="s">
        <v>4207</v>
      </c>
    </row>
    <row r="560" spans="1:32" hidden="1" x14ac:dyDescent="0.35">
      <c r="A560">
        <v>2044</v>
      </c>
      <c r="B560" t="s">
        <v>4246</v>
      </c>
      <c r="C560" t="s">
        <v>72</v>
      </c>
      <c r="D560" t="s">
        <v>58</v>
      </c>
      <c r="E560">
        <v>268</v>
      </c>
      <c r="F560">
        <v>5</v>
      </c>
      <c r="G560">
        <v>5</v>
      </c>
      <c r="H560">
        <v>1</v>
      </c>
      <c r="I560">
        <v>1</v>
      </c>
      <c r="J560">
        <v>0.86437267330717404</v>
      </c>
      <c r="K560">
        <v>0.91565328610783003</v>
      </c>
      <c r="L560">
        <v>0.88927431035402904</v>
      </c>
      <c r="M560">
        <v>0.67582417582417598</v>
      </c>
      <c r="N560">
        <v>1</v>
      </c>
      <c r="O560">
        <v>0.78626373626373602</v>
      </c>
      <c r="P560" t="s">
        <v>4247</v>
      </c>
      <c r="Q560" t="s">
        <v>4248</v>
      </c>
      <c r="R560" t="s">
        <v>319</v>
      </c>
      <c r="S560" t="s">
        <v>320</v>
      </c>
      <c r="T560" t="s">
        <v>4249</v>
      </c>
      <c r="U560" t="s">
        <v>4250</v>
      </c>
      <c r="V560" t="s">
        <v>4251</v>
      </c>
      <c r="W560" t="s">
        <v>4252</v>
      </c>
      <c r="AD560" t="s">
        <v>166</v>
      </c>
      <c r="AE560" t="s">
        <v>4253</v>
      </c>
      <c r="AF560" t="s">
        <v>4254</v>
      </c>
    </row>
    <row r="561" spans="1:32" hidden="1" x14ac:dyDescent="0.35">
      <c r="A561">
        <v>2045</v>
      </c>
      <c r="B561" t="s">
        <v>4246</v>
      </c>
      <c r="C561" t="s">
        <v>72</v>
      </c>
      <c r="D561" t="s">
        <v>60</v>
      </c>
      <c r="E561">
        <v>417</v>
      </c>
      <c r="F561">
        <v>5</v>
      </c>
      <c r="G561">
        <v>5</v>
      </c>
      <c r="H561">
        <v>1</v>
      </c>
      <c r="I561">
        <v>1</v>
      </c>
      <c r="J561">
        <v>0.86437267330717404</v>
      </c>
      <c r="K561">
        <v>0.91565328610783003</v>
      </c>
      <c r="L561">
        <v>0.88927431035402904</v>
      </c>
      <c r="M561">
        <v>0.67582417582417598</v>
      </c>
      <c r="N561">
        <v>1</v>
      </c>
      <c r="O561">
        <v>0.78626373626373602</v>
      </c>
      <c r="P561" t="s">
        <v>4247</v>
      </c>
      <c r="Q561" t="s">
        <v>4248</v>
      </c>
      <c r="R561" t="s">
        <v>319</v>
      </c>
      <c r="S561" t="s">
        <v>320</v>
      </c>
      <c r="T561" t="s">
        <v>4249</v>
      </c>
      <c r="U561" t="s">
        <v>4250</v>
      </c>
      <c r="V561" t="s">
        <v>4251</v>
      </c>
      <c r="W561" t="s">
        <v>4252</v>
      </c>
      <c r="AD561" t="s">
        <v>166</v>
      </c>
      <c r="AE561" t="s">
        <v>4253</v>
      </c>
      <c r="AF561" t="s">
        <v>4255</v>
      </c>
    </row>
    <row r="562" spans="1:32" hidden="1" x14ac:dyDescent="0.35">
      <c r="A562">
        <v>2046</v>
      </c>
      <c r="B562" t="s">
        <v>4246</v>
      </c>
      <c r="C562" t="s">
        <v>72</v>
      </c>
      <c r="D562" t="s">
        <v>62</v>
      </c>
      <c r="E562">
        <v>498</v>
      </c>
      <c r="F562">
        <v>5</v>
      </c>
      <c r="G562">
        <v>5</v>
      </c>
      <c r="H562">
        <v>1</v>
      </c>
      <c r="I562">
        <v>1</v>
      </c>
      <c r="J562">
        <v>0.86437267330717404</v>
      </c>
      <c r="K562">
        <v>0.91565328610783003</v>
      </c>
      <c r="L562">
        <v>0.88927431035402904</v>
      </c>
      <c r="M562">
        <v>0.67582417582417598</v>
      </c>
      <c r="N562">
        <v>1</v>
      </c>
      <c r="O562">
        <v>0.78626373626373602</v>
      </c>
      <c r="P562" t="s">
        <v>4247</v>
      </c>
      <c r="Q562" t="s">
        <v>4248</v>
      </c>
      <c r="R562" t="s">
        <v>319</v>
      </c>
      <c r="S562" t="s">
        <v>320</v>
      </c>
      <c r="T562" t="s">
        <v>4249</v>
      </c>
      <c r="U562" t="s">
        <v>4250</v>
      </c>
      <c r="V562" t="s">
        <v>4251</v>
      </c>
      <c r="W562" t="s">
        <v>4252</v>
      </c>
      <c r="AD562" t="s">
        <v>166</v>
      </c>
      <c r="AE562" t="s">
        <v>4253</v>
      </c>
      <c r="AF562" t="s">
        <v>4255</v>
      </c>
    </row>
    <row r="563" spans="1:32" hidden="1" x14ac:dyDescent="0.35">
      <c r="A563">
        <v>2047</v>
      </c>
      <c r="B563" t="s">
        <v>4246</v>
      </c>
      <c r="C563" t="s">
        <v>72</v>
      </c>
      <c r="D563" t="s">
        <v>34</v>
      </c>
      <c r="E563">
        <v>1054</v>
      </c>
      <c r="F563">
        <v>5</v>
      </c>
      <c r="G563">
        <v>5</v>
      </c>
      <c r="H563">
        <v>1</v>
      </c>
      <c r="I563">
        <v>1</v>
      </c>
      <c r="J563">
        <v>0.86437267330717404</v>
      </c>
      <c r="K563">
        <v>0.91565328610783003</v>
      </c>
      <c r="L563">
        <v>0.88927431035402904</v>
      </c>
      <c r="M563">
        <v>0.67582417582417598</v>
      </c>
      <c r="N563">
        <v>1</v>
      </c>
      <c r="O563">
        <v>0.78626373626373602</v>
      </c>
      <c r="P563" t="s">
        <v>4247</v>
      </c>
      <c r="Q563" t="s">
        <v>4248</v>
      </c>
      <c r="R563" t="s">
        <v>319</v>
      </c>
      <c r="S563" t="s">
        <v>320</v>
      </c>
      <c r="T563" t="s">
        <v>4249</v>
      </c>
      <c r="U563" t="s">
        <v>4250</v>
      </c>
      <c r="V563" t="s">
        <v>4251</v>
      </c>
      <c r="W563" t="s">
        <v>4252</v>
      </c>
      <c r="AD563" t="s">
        <v>166</v>
      </c>
      <c r="AE563" t="s">
        <v>4253</v>
      </c>
      <c r="AF563" t="s">
        <v>4256</v>
      </c>
    </row>
    <row r="564" spans="1:32" hidden="1" x14ac:dyDescent="0.35">
      <c r="A564">
        <v>2048</v>
      </c>
      <c r="B564" t="s">
        <v>4246</v>
      </c>
      <c r="C564" t="s">
        <v>72</v>
      </c>
      <c r="D564" t="s">
        <v>45</v>
      </c>
      <c r="E564">
        <v>2310</v>
      </c>
      <c r="F564">
        <v>5</v>
      </c>
      <c r="G564">
        <v>5</v>
      </c>
      <c r="H564">
        <v>1</v>
      </c>
      <c r="I564">
        <v>1</v>
      </c>
      <c r="J564">
        <v>0.86437267330717404</v>
      </c>
      <c r="K564">
        <v>0.91565328610783003</v>
      </c>
      <c r="L564">
        <v>0.88927431035402904</v>
      </c>
      <c r="M564">
        <v>0.67582417582417598</v>
      </c>
      <c r="N564">
        <v>1</v>
      </c>
      <c r="O564">
        <v>0.78626373626373602</v>
      </c>
      <c r="P564" t="s">
        <v>4247</v>
      </c>
      <c r="Q564" t="s">
        <v>4248</v>
      </c>
      <c r="R564" t="s">
        <v>319</v>
      </c>
      <c r="S564" t="s">
        <v>320</v>
      </c>
      <c r="T564" t="s">
        <v>4249</v>
      </c>
      <c r="U564" t="s">
        <v>4250</v>
      </c>
      <c r="V564" t="s">
        <v>4251</v>
      </c>
      <c r="W564" t="s">
        <v>4252</v>
      </c>
      <c r="AD564" t="s">
        <v>166</v>
      </c>
      <c r="AE564" t="s">
        <v>4253</v>
      </c>
      <c r="AF564" t="s">
        <v>4256</v>
      </c>
    </row>
    <row r="565" spans="1:32" hidden="1" x14ac:dyDescent="0.35">
      <c r="A565">
        <v>2094</v>
      </c>
      <c r="B565" t="s">
        <v>4357</v>
      </c>
      <c r="C565" t="s">
        <v>72</v>
      </c>
      <c r="D565" t="s">
        <v>58</v>
      </c>
      <c r="E565">
        <v>774</v>
      </c>
      <c r="F565">
        <v>5</v>
      </c>
      <c r="G565">
        <v>5</v>
      </c>
      <c r="H565">
        <v>1</v>
      </c>
      <c r="I565">
        <v>1</v>
      </c>
      <c r="J565">
        <v>0.78736529171311798</v>
      </c>
      <c r="K565">
        <v>0.93324634880651802</v>
      </c>
      <c r="L565">
        <v>0.85412159997514603</v>
      </c>
      <c r="M565">
        <v>0.54149377593361003</v>
      </c>
      <c r="N565">
        <v>1</v>
      </c>
      <c r="O565">
        <v>0.66244813278008297</v>
      </c>
      <c r="P565" t="s">
        <v>4358</v>
      </c>
      <c r="Q565" t="s">
        <v>4359</v>
      </c>
      <c r="R565" t="s">
        <v>319</v>
      </c>
      <c r="S565" t="s">
        <v>320</v>
      </c>
      <c r="V565" t="s">
        <v>4360</v>
      </c>
      <c r="W565" t="s">
        <v>4361</v>
      </c>
      <c r="AF565" t="s">
        <v>4362</v>
      </c>
    </row>
    <row r="566" spans="1:32" hidden="1" x14ac:dyDescent="0.35">
      <c r="A566">
        <v>2095</v>
      </c>
      <c r="B566" t="s">
        <v>4357</v>
      </c>
      <c r="C566" t="s">
        <v>72</v>
      </c>
      <c r="D566" t="s">
        <v>60</v>
      </c>
      <c r="E566">
        <v>1041</v>
      </c>
      <c r="F566">
        <v>5</v>
      </c>
      <c r="G566">
        <v>5</v>
      </c>
      <c r="H566">
        <v>1</v>
      </c>
      <c r="I566">
        <v>1</v>
      </c>
      <c r="J566">
        <v>0.78736529171311798</v>
      </c>
      <c r="K566">
        <v>0.93324634880651802</v>
      </c>
      <c r="L566">
        <v>0.85412159997514603</v>
      </c>
      <c r="M566">
        <v>0.54149377593361003</v>
      </c>
      <c r="N566">
        <v>1</v>
      </c>
      <c r="O566">
        <v>0.66244813278008297</v>
      </c>
      <c r="P566" t="s">
        <v>4358</v>
      </c>
      <c r="Q566" t="s">
        <v>4359</v>
      </c>
      <c r="R566" t="s">
        <v>319</v>
      </c>
      <c r="S566" t="s">
        <v>320</v>
      </c>
      <c r="V566" t="s">
        <v>4360</v>
      </c>
      <c r="W566" t="s">
        <v>4361</v>
      </c>
      <c r="AF566" t="s">
        <v>4363</v>
      </c>
    </row>
    <row r="567" spans="1:32" hidden="1" x14ac:dyDescent="0.35">
      <c r="A567">
        <v>2096</v>
      </c>
      <c r="B567" t="s">
        <v>4357</v>
      </c>
      <c r="C567" t="s">
        <v>72</v>
      </c>
      <c r="D567" t="s">
        <v>62</v>
      </c>
      <c r="E567">
        <v>1077</v>
      </c>
      <c r="F567">
        <v>5</v>
      </c>
      <c r="G567">
        <v>5</v>
      </c>
      <c r="H567">
        <v>1</v>
      </c>
      <c r="I567">
        <v>1</v>
      </c>
      <c r="J567">
        <v>0.78736529171311798</v>
      </c>
      <c r="K567">
        <v>0.93324634880651802</v>
      </c>
      <c r="L567">
        <v>0.85412159997514603</v>
      </c>
      <c r="M567">
        <v>0.54149377593361003</v>
      </c>
      <c r="N567">
        <v>1</v>
      </c>
      <c r="O567">
        <v>0.66244813278008297</v>
      </c>
      <c r="P567" t="s">
        <v>4358</v>
      </c>
      <c r="Q567" t="s">
        <v>4359</v>
      </c>
      <c r="R567" t="s">
        <v>319</v>
      </c>
      <c r="S567" t="s">
        <v>320</v>
      </c>
      <c r="V567" t="s">
        <v>4360</v>
      </c>
      <c r="W567" t="s">
        <v>4361</v>
      </c>
      <c r="AF567" t="s">
        <v>4363</v>
      </c>
    </row>
    <row r="568" spans="1:32" hidden="1" x14ac:dyDescent="0.35">
      <c r="A568">
        <v>2097</v>
      </c>
      <c r="B568" t="s">
        <v>4357</v>
      </c>
      <c r="C568" t="s">
        <v>72</v>
      </c>
      <c r="D568" t="s">
        <v>34</v>
      </c>
      <c r="E568">
        <v>75</v>
      </c>
      <c r="F568">
        <v>5</v>
      </c>
      <c r="G568">
        <v>5</v>
      </c>
      <c r="H568">
        <v>1</v>
      </c>
      <c r="I568">
        <v>1</v>
      </c>
      <c r="J568">
        <v>0.78736529171311798</v>
      </c>
      <c r="K568">
        <v>0.93324634880651802</v>
      </c>
      <c r="L568">
        <v>0.85412159997514603</v>
      </c>
      <c r="M568">
        <v>0.54149377593361003</v>
      </c>
      <c r="N568">
        <v>1</v>
      </c>
      <c r="O568">
        <v>0.66244813278008297</v>
      </c>
      <c r="P568" t="s">
        <v>4358</v>
      </c>
      <c r="Q568" t="s">
        <v>4359</v>
      </c>
      <c r="R568" t="s">
        <v>319</v>
      </c>
      <c r="S568" t="s">
        <v>320</v>
      </c>
      <c r="V568" t="s">
        <v>4360</v>
      </c>
      <c r="W568" t="s">
        <v>4361</v>
      </c>
      <c r="AF568" t="s">
        <v>4364</v>
      </c>
    </row>
    <row r="569" spans="1:32" hidden="1" x14ac:dyDescent="0.35">
      <c r="A569">
        <v>2098</v>
      </c>
      <c r="B569" t="s">
        <v>4357</v>
      </c>
      <c r="C569" t="s">
        <v>72</v>
      </c>
      <c r="D569" t="s">
        <v>45</v>
      </c>
      <c r="E569">
        <v>1333</v>
      </c>
      <c r="F569">
        <v>5</v>
      </c>
      <c r="G569">
        <v>5</v>
      </c>
      <c r="H569">
        <v>1</v>
      </c>
      <c r="I569">
        <v>1</v>
      </c>
      <c r="J569">
        <v>0.78736529171311798</v>
      </c>
      <c r="K569">
        <v>0.93324634880651802</v>
      </c>
      <c r="L569">
        <v>0.85412159997514603</v>
      </c>
      <c r="M569">
        <v>0.54149377593361003</v>
      </c>
      <c r="N569">
        <v>1</v>
      </c>
      <c r="O569">
        <v>0.66244813278008297</v>
      </c>
      <c r="P569" t="s">
        <v>4358</v>
      </c>
      <c r="Q569" t="s">
        <v>4359</v>
      </c>
      <c r="R569" t="s">
        <v>319</v>
      </c>
      <c r="S569" t="s">
        <v>320</v>
      </c>
      <c r="V569" t="s">
        <v>4360</v>
      </c>
      <c r="W569" t="s">
        <v>4361</v>
      </c>
      <c r="AF569" t="s">
        <v>4365</v>
      </c>
    </row>
    <row r="570" spans="1:32" hidden="1" x14ac:dyDescent="0.35">
      <c r="A570">
        <v>2114</v>
      </c>
      <c r="B570" t="s">
        <v>4399</v>
      </c>
      <c r="C570" t="s">
        <v>72</v>
      </c>
      <c r="D570" t="s">
        <v>58</v>
      </c>
      <c r="E570">
        <v>1402</v>
      </c>
      <c r="F570">
        <v>5</v>
      </c>
      <c r="G570">
        <v>5</v>
      </c>
      <c r="H570">
        <v>1</v>
      </c>
      <c r="I570">
        <v>1</v>
      </c>
      <c r="J570">
        <v>0.74209071850581299</v>
      </c>
      <c r="K570">
        <v>0.90730949404018002</v>
      </c>
      <c r="L570">
        <v>0.81642520622707604</v>
      </c>
      <c r="M570">
        <v>0.52258064516128999</v>
      </c>
      <c r="N570">
        <v>1</v>
      </c>
      <c r="O570">
        <v>0.63548387096774195</v>
      </c>
      <c r="P570" t="s">
        <v>4400</v>
      </c>
      <c r="Q570" t="s">
        <v>4401</v>
      </c>
      <c r="R570" t="s">
        <v>319</v>
      </c>
      <c r="S570" t="s">
        <v>320</v>
      </c>
      <c r="T570" t="s">
        <v>4402</v>
      </c>
      <c r="U570" t="s">
        <v>4403</v>
      </c>
      <c r="V570" t="s">
        <v>4404</v>
      </c>
      <c r="W570" t="s">
        <v>4405</v>
      </c>
      <c r="Z570" t="s">
        <v>4406</v>
      </c>
      <c r="AA570" t="s">
        <v>4407</v>
      </c>
      <c r="AB570" t="s">
        <v>4406</v>
      </c>
      <c r="AC570" t="s">
        <v>4023</v>
      </c>
      <c r="AD570" t="s">
        <v>219</v>
      </c>
      <c r="AE570" t="s">
        <v>4408</v>
      </c>
      <c r="AF570" t="s">
        <v>4409</v>
      </c>
    </row>
    <row r="571" spans="1:32" hidden="1" x14ac:dyDescent="0.35">
      <c r="A571">
        <v>2115</v>
      </c>
      <c r="B571" t="s">
        <v>4399</v>
      </c>
      <c r="C571" t="s">
        <v>72</v>
      </c>
      <c r="D571" t="s">
        <v>60</v>
      </c>
      <c r="E571">
        <v>1907</v>
      </c>
      <c r="F571">
        <v>5</v>
      </c>
      <c r="G571">
        <v>5</v>
      </c>
      <c r="H571">
        <v>1</v>
      </c>
      <c r="I571">
        <v>1</v>
      </c>
      <c r="J571">
        <v>0.74209071850581299</v>
      </c>
      <c r="K571">
        <v>0.90730949404018002</v>
      </c>
      <c r="L571">
        <v>0.81642520622707604</v>
      </c>
      <c r="M571">
        <v>0.52258064516128999</v>
      </c>
      <c r="N571">
        <v>1</v>
      </c>
      <c r="O571">
        <v>0.63548387096774195</v>
      </c>
      <c r="P571" t="s">
        <v>4400</v>
      </c>
      <c r="Q571" t="s">
        <v>4401</v>
      </c>
      <c r="R571" t="s">
        <v>319</v>
      </c>
      <c r="S571" t="s">
        <v>320</v>
      </c>
      <c r="T571" t="s">
        <v>4402</v>
      </c>
      <c r="U571" t="s">
        <v>4403</v>
      </c>
      <c r="V571" t="s">
        <v>4404</v>
      </c>
      <c r="W571" t="s">
        <v>4405</v>
      </c>
      <c r="Z571" t="s">
        <v>4406</v>
      </c>
      <c r="AA571" t="s">
        <v>4407</v>
      </c>
      <c r="AB571" t="s">
        <v>4406</v>
      </c>
      <c r="AC571" t="s">
        <v>4023</v>
      </c>
      <c r="AD571" t="s">
        <v>219</v>
      </c>
      <c r="AE571" t="s">
        <v>4408</v>
      </c>
      <c r="AF571" t="s">
        <v>4410</v>
      </c>
    </row>
    <row r="572" spans="1:32" hidden="1" x14ac:dyDescent="0.35">
      <c r="A572">
        <v>2116</v>
      </c>
      <c r="B572" t="s">
        <v>4399</v>
      </c>
      <c r="C572" t="s">
        <v>72</v>
      </c>
      <c r="D572" t="s">
        <v>62</v>
      </c>
      <c r="E572">
        <v>1947</v>
      </c>
      <c r="F572">
        <v>5</v>
      </c>
      <c r="G572">
        <v>5</v>
      </c>
      <c r="H572">
        <v>1</v>
      </c>
      <c r="I572">
        <v>1</v>
      </c>
      <c r="J572">
        <v>0.74209071850581299</v>
      </c>
      <c r="K572">
        <v>0.90730949404018002</v>
      </c>
      <c r="L572">
        <v>0.81642520622707604</v>
      </c>
      <c r="M572">
        <v>0.52258064516128999</v>
      </c>
      <c r="N572">
        <v>1</v>
      </c>
      <c r="O572">
        <v>0.63548387096774195</v>
      </c>
      <c r="P572" t="s">
        <v>4400</v>
      </c>
      <c r="Q572" t="s">
        <v>4401</v>
      </c>
      <c r="R572" t="s">
        <v>319</v>
      </c>
      <c r="S572" t="s">
        <v>320</v>
      </c>
      <c r="T572" t="s">
        <v>4402</v>
      </c>
      <c r="U572" t="s">
        <v>4403</v>
      </c>
      <c r="V572" t="s">
        <v>4404</v>
      </c>
      <c r="W572" t="s">
        <v>4405</v>
      </c>
      <c r="Z572" t="s">
        <v>4406</v>
      </c>
      <c r="AA572" t="s">
        <v>4407</v>
      </c>
      <c r="AB572" t="s">
        <v>4406</v>
      </c>
      <c r="AC572" t="s">
        <v>4023</v>
      </c>
      <c r="AD572" t="s">
        <v>219</v>
      </c>
      <c r="AE572" t="s">
        <v>4408</v>
      </c>
      <c r="AF572" t="s">
        <v>4411</v>
      </c>
    </row>
    <row r="573" spans="1:32" hidden="1" x14ac:dyDescent="0.35">
      <c r="A573">
        <v>2117</v>
      </c>
      <c r="B573" t="s">
        <v>4399</v>
      </c>
      <c r="C573" t="s">
        <v>72</v>
      </c>
      <c r="D573" t="s">
        <v>34</v>
      </c>
      <c r="E573">
        <v>2259</v>
      </c>
      <c r="F573">
        <v>5</v>
      </c>
      <c r="G573">
        <v>5</v>
      </c>
      <c r="H573">
        <v>1</v>
      </c>
      <c r="I573">
        <v>1</v>
      </c>
      <c r="J573">
        <v>0.74209071850581299</v>
      </c>
      <c r="K573">
        <v>0.90730949404018002</v>
      </c>
      <c r="L573">
        <v>0.81642520622707604</v>
      </c>
      <c r="M573">
        <v>0.52258064516128999</v>
      </c>
      <c r="N573">
        <v>1</v>
      </c>
      <c r="O573">
        <v>0.63548387096774195</v>
      </c>
      <c r="P573" t="s">
        <v>4400</v>
      </c>
      <c r="Q573" t="s">
        <v>4401</v>
      </c>
      <c r="R573" t="s">
        <v>319</v>
      </c>
      <c r="S573" t="s">
        <v>320</v>
      </c>
      <c r="T573" t="s">
        <v>4402</v>
      </c>
      <c r="U573" t="s">
        <v>4403</v>
      </c>
      <c r="V573" t="s">
        <v>4404</v>
      </c>
      <c r="W573" t="s">
        <v>4405</v>
      </c>
      <c r="Z573" t="s">
        <v>4406</v>
      </c>
      <c r="AA573" t="s">
        <v>4407</v>
      </c>
      <c r="AB573" t="s">
        <v>4406</v>
      </c>
      <c r="AC573" t="s">
        <v>4023</v>
      </c>
      <c r="AD573" t="s">
        <v>219</v>
      </c>
      <c r="AE573" t="s">
        <v>4408</v>
      </c>
      <c r="AF573" t="s">
        <v>4412</v>
      </c>
    </row>
    <row r="574" spans="1:32" hidden="1" x14ac:dyDescent="0.35">
      <c r="A574">
        <v>2118</v>
      </c>
      <c r="B574" t="s">
        <v>4399</v>
      </c>
      <c r="C574" t="s">
        <v>72</v>
      </c>
      <c r="D574" t="s">
        <v>45</v>
      </c>
      <c r="E574">
        <v>618</v>
      </c>
      <c r="F574">
        <v>5</v>
      </c>
      <c r="G574">
        <v>5</v>
      </c>
      <c r="H574">
        <v>1</v>
      </c>
      <c r="I574">
        <v>1</v>
      </c>
      <c r="J574">
        <v>0.74209071850581299</v>
      </c>
      <c r="K574">
        <v>0.90730949404018002</v>
      </c>
      <c r="L574">
        <v>0.81642520622707604</v>
      </c>
      <c r="M574">
        <v>0.52258064516128999</v>
      </c>
      <c r="N574">
        <v>1</v>
      </c>
      <c r="O574">
        <v>0.63548387096774195</v>
      </c>
      <c r="P574" t="s">
        <v>4400</v>
      </c>
      <c r="Q574" t="s">
        <v>4401</v>
      </c>
      <c r="R574" t="s">
        <v>319</v>
      </c>
      <c r="S574" t="s">
        <v>320</v>
      </c>
      <c r="T574" t="s">
        <v>4402</v>
      </c>
      <c r="U574" t="s">
        <v>4403</v>
      </c>
      <c r="V574" t="s">
        <v>4404</v>
      </c>
      <c r="W574" t="s">
        <v>4405</v>
      </c>
      <c r="Z574" t="s">
        <v>4406</v>
      </c>
      <c r="AA574" t="s">
        <v>4407</v>
      </c>
      <c r="AB574" t="s">
        <v>4406</v>
      </c>
      <c r="AC574" t="s">
        <v>4023</v>
      </c>
      <c r="AD574" t="s">
        <v>219</v>
      </c>
      <c r="AE574" t="s">
        <v>4408</v>
      </c>
      <c r="AF574" t="s">
        <v>4412</v>
      </c>
    </row>
    <row r="575" spans="1:32" hidden="1" x14ac:dyDescent="0.35">
      <c r="A575">
        <v>2139</v>
      </c>
      <c r="B575" t="s">
        <v>4448</v>
      </c>
      <c r="C575" t="s">
        <v>72</v>
      </c>
      <c r="D575" t="s">
        <v>58</v>
      </c>
      <c r="E575">
        <v>1737</v>
      </c>
      <c r="F575">
        <v>5</v>
      </c>
      <c r="G575">
        <v>5</v>
      </c>
      <c r="H575">
        <v>1</v>
      </c>
      <c r="I575">
        <v>1</v>
      </c>
      <c r="J575">
        <v>0.78819801301815695</v>
      </c>
      <c r="K575">
        <v>0.91584259656298606</v>
      </c>
      <c r="L575">
        <v>0.84723956787129795</v>
      </c>
      <c r="M575">
        <v>0.58782201405152201</v>
      </c>
      <c r="N575">
        <v>1</v>
      </c>
      <c r="O575">
        <v>0.69953161592505897</v>
      </c>
      <c r="P575" t="s">
        <v>4449</v>
      </c>
      <c r="Q575" t="s">
        <v>4450</v>
      </c>
      <c r="R575" t="s">
        <v>319</v>
      </c>
      <c r="S575" t="s">
        <v>320</v>
      </c>
      <c r="V575" t="s">
        <v>4451</v>
      </c>
      <c r="W575" t="s">
        <v>4452</v>
      </c>
      <c r="AF575" t="s">
        <v>4453</v>
      </c>
    </row>
    <row r="576" spans="1:32" hidden="1" x14ac:dyDescent="0.35">
      <c r="A576">
        <v>2140</v>
      </c>
      <c r="B576" t="s">
        <v>4448</v>
      </c>
      <c r="C576" t="s">
        <v>72</v>
      </c>
      <c r="D576" t="s">
        <v>60</v>
      </c>
      <c r="E576">
        <v>2345</v>
      </c>
      <c r="F576">
        <v>5</v>
      </c>
      <c r="G576">
        <v>5</v>
      </c>
      <c r="H576">
        <v>1</v>
      </c>
      <c r="I576">
        <v>1</v>
      </c>
      <c r="J576">
        <v>0.78819801301815695</v>
      </c>
      <c r="K576">
        <v>0.91584259656298606</v>
      </c>
      <c r="L576">
        <v>0.84723956787129795</v>
      </c>
      <c r="M576">
        <v>0.58782201405152201</v>
      </c>
      <c r="N576">
        <v>1</v>
      </c>
      <c r="O576">
        <v>0.69953161592505897</v>
      </c>
      <c r="P576" t="s">
        <v>4449</v>
      </c>
      <c r="Q576" t="s">
        <v>4450</v>
      </c>
      <c r="R576" t="s">
        <v>319</v>
      </c>
      <c r="S576" t="s">
        <v>320</v>
      </c>
      <c r="V576" t="s">
        <v>4451</v>
      </c>
      <c r="W576" t="s">
        <v>4452</v>
      </c>
      <c r="AF576" t="s">
        <v>4454</v>
      </c>
    </row>
    <row r="577" spans="1:32" hidden="1" x14ac:dyDescent="0.35">
      <c r="A577">
        <v>2141</v>
      </c>
      <c r="B577" t="s">
        <v>4448</v>
      </c>
      <c r="C577" t="s">
        <v>72</v>
      </c>
      <c r="D577" t="s">
        <v>62</v>
      </c>
      <c r="E577">
        <v>2373</v>
      </c>
      <c r="F577">
        <v>5</v>
      </c>
      <c r="G577">
        <v>5</v>
      </c>
      <c r="H577">
        <v>1</v>
      </c>
      <c r="I577">
        <v>1</v>
      </c>
      <c r="J577">
        <v>0.78819801301815695</v>
      </c>
      <c r="K577">
        <v>0.91584259656298606</v>
      </c>
      <c r="L577">
        <v>0.84723956787129795</v>
      </c>
      <c r="M577">
        <v>0.58782201405152201</v>
      </c>
      <c r="N577">
        <v>1</v>
      </c>
      <c r="O577">
        <v>0.69953161592505897</v>
      </c>
      <c r="P577" t="s">
        <v>4449</v>
      </c>
      <c r="Q577" t="s">
        <v>4450</v>
      </c>
      <c r="R577" t="s">
        <v>319</v>
      </c>
      <c r="S577" t="s">
        <v>320</v>
      </c>
      <c r="V577" t="s">
        <v>4451</v>
      </c>
      <c r="W577" t="s">
        <v>4452</v>
      </c>
      <c r="AF577" t="s">
        <v>4455</v>
      </c>
    </row>
    <row r="578" spans="1:32" hidden="1" x14ac:dyDescent="0.35">
      <c r="A578">
        <v>2142</v>
      </c>
      <c r="B578" t="s">
        <v>4448</v>
      </c>
      <c r="C578" t="s">
        <v>72</v>
      </c>
      <c r="D578" t="s">
        <v>34</v>
      </c>
      <c r="E578">
        <v>1426</v>
      </c>
      <c r="F578">
        <v>5</v>
      </c>
      <c r="G578">
        <v>5</v>
      </c>
      <c r="H578">
        <v>1</v>
      </c>
      <c r="I578">
        <v>1</v>
      </c>
      <c r="J578">
        <v>0.78819801301815695</v>
      </c>
      <c r="K578">
        <v>0.91584259656298606</v>
      </c>
      <c r="L578">
        <v>0.84723956787129795</v>
      </c>
      <c r="M578">
        <v>0.58782201405152201</v>
      </c>
      <c r="N578">
        <v>1</v>
      </c>
      <c r="O578">
        <v>0.69953161592505897</v>
      </c>
      <c r="P578" t="s">
        <v>4449</v>
      </c>
      <c r="Q578" t="s">
        <v>4450</v>
      </c>
      <c r="R578" t="s">
        <v>319</v>
      </c>
      <c r="S578" t="s">
        <v>320</v>
      </c>
      <c r="V578" t="s">
        <v>4451</v>
      </c>
      <c r="W578" t="s">
        <v>4452</v>
      </c>
      <c r="AF578" t="e">
        <f>----------------MNEKWLHRADLAESAINERHASRVWGLPNTNLAVAAWPPHTKEKLFYRWHYWWQAHYLDCLVDAAIRRPTKARKQRIQQTITGIRVRNLGQFTRNNYYDDKLWLALALGRAHKVLNPRRTKKKSLVALEENILDGIDPVMAVLPWRVGEMFFNVPTNGPGAILMARTGQVAKARFLVDWVFDELIDDHGLVMDGIRMSMNGPEVVKNLHPYCQGVMMGACLELTLRLRESP--------------ETYEDSMAYQAHVRSVLHAVEKDMATPTGVINWDTRDGDGGLFKGILARYLADVAVRLPDDSEANVAAKKLARKLVLSSAESVWNHRLEVDGLPVFASDWLGDAKLPHNYGLTTKPLSDYVRLVRIDERDLSVQLSGWMLLEAAARI-----SAADPVE-----GE</f>
        <v>#NAME?</v>
      </c>
    </row>
    <row r="579" spans="1:32" hidden="1" x14ac:dyDescent="0.35">
      <c r="A579">
        <v>2143</v>
      </c>
      <c r="B579" t="s">
        <v>4448</v>
      </c>
      <c r="C579" t="s">
        <v>72</v>
      </c>
      <c r="D579" t="s">
        <v>45</v>
      </c>
      <c r="E579">
        <v>177</v>
      </c>
      <c r="F579">
        <v>5</v>
      </c>
      <c r="G579">
        <v>5</v>
      </c>
      <c r="H579">
        <v>1</v>
      </c>
      <c r="I579">
        <v>1</v>
      </c>
      <c r="J579">
        <v>0.78819801301815695</v>
      </c>
      <c r="K579">
        <v>0.91584259656298606</v>
      </c>
      <c r="L579">
        <v>0.84723956787129795</v>
      </c>
      <c r="M579">
        <v>0.58782201405152201</v>
      </c>
      <c r="N579">
        <v>1</v>
      </c>
      <c r="O579">
        <v>0.69953161592505897</v>
      </c>
      <c r="P579" t="s">
        <v>4449</v>
      </c>
      <c r="Q579" t="s">
        <v>4450</v>
      </c>
      <c r="R579" t="s">
        <v>319</v>
      </c>
      <c r="S579" t="s">
        <v>320</v>
      </c>
      <c r="V579" t="s">
        <v>4451</v>
      </c>
      <c r="W579" t="s">
        <v>4452</v>
      </c>
      <c r="AF579" t="e">
        <f>----------------MNEKWLHRADLAESAINERHASRVWGLPNTNLAVAAWPPHTKEKLFYRWHYWWQAHYLDCLVDAAIRRPTKARKQRIQQTITGIRVRNLGQFTRNNYYDDKLWLALALGRAHKVLNPRRTKKKSLVALEENILDGIDPVMAVLPWRVGEMFFNVPTNGPGAILMARTGQVAKARFLVDWVFDELIDDHGLVMDGIRMSMNGPEVVKNLHPYCQGVMMGACLELTLRLRESP--------------ETYEDSMAYQAHVRSVLHAVEKDMATPTGVINWDTRDGDGGLFKGILARYLADVAVRLPDDSEANVAAKKLARKLVLSSAESVWNHRLEVDGLPVFASDWLGDAKLPHNYGLTTKPLSDYVRLVRIDERDLSVQLSGWMLLEAAARI-----SAADPVE-----GE</f>
        <v>#NAME?</v>
      </c>
    </row>
    <row r="580" spans="1:32" hidden="1" x14ac:dyDescent="0.35">
      <c r="A580">
        <v>2219</v>
      </c>
      <c r="B580" t="s">
        <v>4614</v>
      </c>
      <c r="C580" t="s">
        <v>72</v>
      </c>
      <c r="D580" t="s">
        <v>58</v>
      </c>
      <c r="E580">
        <v>987</v>
      </c>
      <c r="F580">
        <v>5</v>
      </c>
      <c r="G580">
        <v>5</v>
      </c>
      <c r="H580">
        <v>1</v>
      </c>
      <c r="I580">
        <v>1</v>
      </c>
      <c r="J580">
        <v>0.74604179860671305</v>
      </c>
      <c r="K580">
        <v>0.98088078791045197</v>
      </c>
      <c r="L580">
        <v>0.84749377064703701</v>
      </c>
      <c r="M580">
        <v>0.50931677018633503</v>
      </c>
      <c r="N580">
        <v>1</v>
      </c>
      <c r="O580">
        <v>0.660248447204969</v>
      </c>
      <c r="P580" t="s">
        <v>4615</v>
      </c>
      <c r="Q580" t="s">
        <v>4616</v>
      </c>
      <c r="R580" t="s">
        <v>319</v>
      </c>
      <c r="S580" t="s">
        <v>320</v>
      </c>
      <c r="V580" t="s">
        <v>4617</v>
      </c>
      <c r="W580" t="s">
        <v>4618</v>
      </c>
      <c r="AF580" t="s">
        <v>4619</v>
      </c>
    </row>
    <row r="581" spans="1:32" hidden="1" x14ac:dyDescent="0.35">
      <c r="A581">
        <v>2220</v>
      </c>
      <c r="B581" t="s">
        <v>4614</v>
      </c>
      <c r="C581" t="s">
        <v>72</v>
      </c>
      <c r="D581" t="s">
        <v>60</v>
      </c>
      <c r="E581">
        <v>1222</v>
      </c>
      <c r="F581">
        <v>5</v>
      </c>
      <c r="G581">
        <v>5</v>
      </c>
      <c r="H581">
        <v>1</v>
      </c>
      <c r="I581">
        <v>1</v>
      </c>
      <c r="J581">
        <v>0.74604179860671305</v>
      </c>
      <c r="K581">
        <v>0.98088078791045197</v>
      </c>
      <c r="L581">
        <v>0.84749377064703701</v>
      </c>
      <c r="M581">
        <v>0.50931677018633503</v>
      </c>
      <c r="N581">
        <v>1</v>
      </c>
      <c r="O581">
        <v>0.660248447204969</v>
      </c>
      <c r="P581" t="s">
        <v>4615</v>
      </c>
      <c r="Q581" t="s">
        <v>4616</v>
      </c>
      <c r="R581" t="s">
        <v>319</v>
      </c>
      <c r="S581" t="s">
        <v>320</v>
      </c>
      <c r="V581" t="s">
        <v>4617</v>
      </c>
      <c r="W581" t="s">
        <v>4618</v>
      </c>
      <c r="AF581" t="s">
        <v>4620</v>
      </c>
    </row>
    <row r="582" spans="1:32" hidden="1" x14ac:dyDescent="0.35">
      <c r="A582">
        <v>2221</v>
      </c>
      <c r="B582" t="s">
        <v>4614</v>
      </c>
      <c r="C582" t="s">
        <v>72</v>
      </c>
      <c r="D582" t="s">
        <v>62</v>
      </c>
      <c r="E582">
        <v>1259</v>
      </c>
      <c r="F582">
        <v>5</v>
      </c>
      <c r="G582">
        <v>5</v>
      </c>
      <c r="H582">
        <v>1</v>
      </c>
      <c r="I582">
        <v>1</v>
      </c>
      <c r="J582">
        <v>0.74604179860671305</v>
      </c>
      <c r="K582">
        <v>0.98088078791045197</v>
      </c>
      <c r="L582">
        <v>0.84749377064703701</v>
      </c>
      <c r="M582">
        <v>0.50931677018633503</v>
      </c>
      <c r="N582">
        <v>1</v>
      </c>
      <c r="O582">
        <v>0.660248447204969</v>
      </c>
      <c r="P582" t="s">
        <v>4615</v>
      </c>
      <c r="Q582" t="s">
        <v>4616</v>
      </c>
      <c r="R582" t="s">
        <v>319</v>
      </c>
      <c r="S582" t="s">
        <v>320</v>
      </c>
      <c r="V582" t="s">
        <v>4617</v>
      </c>
      <c r="W582" t="s">
        <v>4618</v>
      </c>
      <c r="AF582" t="s">
        <v>4620</v>
      </c>
    </row>
    <row r="583" spans="1:32" hidden="1" x14ac:dyDescent="0.35">
      <c r="A583">
        <v>2222</v>
      </c>
      <c r="B583" t="s">
        <v>4614</v>
      </c>
      <c r="C583" t="s">
        <v>72</v>
      </c>
      <c r="D583" t="s">
        <v>34</v>
      </c>
      <c r="E583">
        <v>1781</v>
      </c>
      <c r="F583">
        <v>5</v>
      </c>
      <c r="G583">
        <v>5</v>
      </c>
      <c r="H583">
        <v>1</v>
      </c>
      <c r="I583">
        <v>1</v>
      </c>
      <c r="J583">
        <v>0.74604179860671305</v>
      </c>
      <c r="K583">
        <v>0.98088078791045197</v>
      </c>
      <c r="L583">
        <v>0.84749377064703701</v>
      </c>
      <c r="M583">
        <v>0.50931677018633503</v>
      </c>
      <c r="N583">
        <v>1</v>
      </c>
      <c r="O583">
        <v>0.660248447204969</v>
      </c>
      <c r="P583" t="s">
        <v>4621</v>
      </c>
      <c r="Q583" t="s">
        <v>4622</v>
      </c>
      <c r="R583" t="s">
        <v>319</v>
      </c>
      <c r="S583" t="s">
        <v>320</v>
      </c>
      <c r="V583" t="s">
        <v>4617</v>
      </c>
      <c r="W583" t="s">
        <v>4618</v>
      </c>
      <c r="AF583" t="s">
        <v>4623</v>
      </c>
    </row>
    <row r="584" spans="1:32" hidden="1" x14ac:dyDescent="0.35">
      <c r="A584">
        <v>2223</v>
      </c>
      <c r="B584" t="s">
        <v>4614</v>
      </c>
      <c r="C584" t="s">
        <v>72</v>
      </c>
      <c r="D584" t="s">
        <v>45</v>
      </c>
      <c r="E584">
        <v>1092</v>
      </c>
      <c r="F584">
        <v>5</v>
      </c>
      <c r="G584">
        <v>5</v>
      </c>
      <c r="H584">
        <v>1</v>
      </c>
      <c r="I584">
        <v>1</v>
      </c>
      <c r="J584">
        <v>0.74604179860671305</v>
      </c>
      <c r="K584">
        <v>0.98088078791045197</v>
      </c>
      <c r="L584">
        <v>0.84749377064703701</v>
      </c>
      <c r="M584">
        <v>0.50931677018633503</v>
      </c>
      <c r="N584">
        <v>1</v>
      </c>
      <c r="O584">
        <v>0.660248447204969</v>
      </c>
      <c r="P584" t="s">
        <v>4621</v>
      </c>
      <c r="Q584" t="s">
        <v>4622</v>
      </c>
      <c r="R584" t="s">
        <v>319</v>
      </c>
      <c r="S584" t="s">
        <v>320</v>
      </c>
      <c r="V584" t="s">
        <v>4617</v>
      </c>
      <c r="W584" t="s">
        <v>4618</v>
      </c>
      <c r="AF584" t="s">
        <v>4623</v>
      </c>
    </row>
    <row r="585" spans="1:32" hidden="1" x14ac:dyDescent="0.35">
      <c r="A585">
        <v>2304</v>
      </c>
      <c r="B585" t="s">
        <v>4794</v>
      </c>
      <c r="C585" t="s">
        <v>72</v>
      </c>
      <c r="D585" t="s">
        <v>58</v>
      </c>
      <c r="E585">
        <v>1581</v>
      </c>
      <c r="F585">
        <v>5</v>
      </c>
      <c r="G585">
        <v>5</v>
      </c>
      <c r="H585">
        <v>1</v>
      </c>
      <c r="I585">
        <v>1</v>
      </c>
      <c r="J585">
        <v>0.87979120059657001</v>
      </c>
      <c r="K585">
        <v>0.984744872655132</v>
      </c>
      <c r="L585">
        <v>0.929314145457801</v>
      </c>
      <c r="M585">
        <v>0.77092511013215903</v>
      </c>
      <c r="N585">
        <v>1</v>
      </c>
      <c r="O585">
        <v>0.84140969162995605</v>
      </c>
      <c r="P585" t="s">
        <v>1057</v>
      </c>
      <c r="Q585" t="s">
        <v>1058</v>
      </c>
      <c r="R585" t="s">
        <v>319</v>
      </c>
      <c r="S585" t="s">
        <v>320</v>
      </c>
      <c r="T585" t="s">
        <v>4795</v>
      </c>
      <c r="U585" t="s">
        <v>4796</v>
      </c>
      <c r="V585" t="s">
        <v>4797</v>
      </c>
      <c r="W585" t="s">
        <v>4798</v>
      </c>
      <c r="Z585" t="s">
        <v>4799</v>
      </c>
      <c r="AA585" t="s">
        <v>4800</v>
      </c>
      <c r="AB585" t="s">
        <v>4799</v>
      </c>
      <c r="AC585" t="s">
        <v>4023</v>
      </c>
      <c r="AD585" t="s">
        <v>219</v>
      </c>
      <c r="AE585" t="s">
        <v>4801</v>
      </c>
      <c r="AF585" t="s">
        <v>4802</v>
      </c>
    </row>
    <row r="586" spans="1:32" hidden="1" x14ac:dyDescent="0.35">
      <c r="A586">
        <v>2305</v>
      </c>
      <c r="B586" t="s">
        <v>4794</v>
      </c>
      <c r="C586" t="s">
        <v>72</v>
      </c>
      <c r="D586" t="s">
        <v>60</v>
      </c>
      <c r="E586">
        <v>449</v>
      </c>
      <c r="F586">
        <v>5</v>
      </c>
      <c r="G586">
        <v>5</v>
      </c>
      <c r="H586">
        <v>1</v>
      </c>
      <c r="I586">
        <v>1</v>
      </c>
      <c r="J586">
        <v>0.87979120059657001</v>
      </c>
      <c r="K586">
        <v>0.984744872655132</v>
      </c>
      <c r="L586">
        <v>0.929314145457801</v>
      </c>
      <c r="M586">
        <v>0.77092511013215903</v>
      </c>
      <c r="N586">
        <v>1</v>
      </c>
      <c r="O586">
        <v>0.84140969162995605</v>
      </c>
      <c r="P586" t="s">
        <v>1057</v>
      </c>
      <c r="Q586" t="s">
        <v>1058</v>
      </c>
      <c r="R586" t="s">
        <v>319</v>
      </c>
      <c r="S586" t="s">
        <v>320</v>
      </c>
      <c r="T586" t="s">
        <v>4795</v>
      </c>
      <c r="U586" t="s">
        <v>4796</v>
      </c>
      <c r="V586" t="s">
        <v>4797</v>
      </c>
      <c r="W586" t="s">
        <v>4798</v>
      </c>
      <c r="Z586" t="s">
        <v>4799</v>
      </c>
      <c r="AA586" t="s">
        <v>4800</v>
      </c>
      <c r="AB586" t="s">
        <v>4799</v>
      </c>
      <c r="AC586" t="s">
        <v>4023</v>
      </c>
      <c r="AD586" t="s">
        <v>219</v>
      </c>
      <c r="AE586" t="s">
        <v>4801</v>
      </c>
      <c r="AF586" t="s">
        <v>4803</v>
      </c>
    </row>
    <row r="587" spans="1:32" hidden="1" x14ac:dyDescent="0.35">
      <c r="A587">
        <v>2306</v>
      </c>
      <c r="B587" t="s">
        <v>4794</v>
      </c>
      <c r="C587" t="s">
        <v>72</v>
      </c>
      <c r="D587" t="s">
        <v>62</v>
      </c>
      <c r="E587">
        <v>530</v>
      </c>
      <c r="F587">
        <v>5</v>
      </c>
      <c r="G587">
        <v>5</v>
      </c>
      <c r="H587">
        <v>1</v>
      </c>
      <c r="I587">
        <v>1</v>
      </c>
      <c r="J587">
        <v>0.87979120059657001</v>
      </c>
      <c r="K587">
        <v>0.984744872655132</v>
      </c>
      <c r="L587">
        <v>0.929314145457801</v>
      </c>
      <c r="M587">
        <v>0.77092511013215903</v>
      </c>
      <c r="N587">
        <v>1</v>
      </c>
      <c r="O587">
        <v>0.84140969162995605</v>
      </c>
      <c r="P587" t="s">
        <v>1057</v>
      </c>
      <c r="Q587" t="s">
        <v>1058</v>
      </c>
      <c r="R587" t="s">
        <v>319</v>
      </c>
      <c r="S587" t="s">
        <v>320</v>
      </c>
      <c r="T587" t="s">
        <v>4795</v>
      </c>
      <c r="U587" t="s">
        <v>4796</v>
      </c>
      <c r="V587" t="s">
        <v>4797</v>
      </c>
      <c r="W587" t="s">
        <v>4798</v>
      </c>
      <c r="Z587" t="s">
        <v>4799</v>
      </c>
      <c r="AA587" t="s">
        <v>4800</v>
      </c>
      <c r="AB587" t="s">
        <v>4799</v>
      </c>
      <c r="AC587" t="s">
        <v>4023</v>
      </c>
      <c r="AD587" t="s">
        <v>219</v>
      </c>
      <c r="AE587" t="s">
        <v>4801</v>
      </c>
      <c r="AF587" t="s">
        <v>4803</v>
      </c>
    </row>
    <row r="588" spans="1:32" hidden="1" x14ac:dyDescent="0.35">
      <c r="A588">
        <v>2307</v>
      </c>
      <c r="B588" t="s">
        <v>4794</v>
      </c>
      <c r="C588" t="s">
        <v>72</v>
      </c>
      <c r="D588" t="s">
        <v>34</v>
      </c>
      <c r="E588">
        <v>636</v>
      </c>
      <c r="F588">
        <v>5</v>
      </c>
      <c r="G588">
        <v>5</v>
      </c>
      <c r="H588">
        <v>1</v>
      </c>
      <c r="I588">
        <v>1</v>
      </c>
      <c r="J588">
        <v>0.87979120059657001</v>
      </c>
      <c r="K588">
        <v>0.984744872655132</v>
      </c>
      <c r="L588">
        <v>0.929314145457801</v>
      </c>
      <c r="M588">
        <v>0.77092511013215903</v>
      </c>
      <c r="N588">
        <v>1</v>
      </c>
      <c r="O588">
        <v>0.84140969162995605</v>
      </c>
      <c r="P588" t="s">
        <v>1057</v>
      </c>
      <c r="Q588" t="s">
        <v>1058</v>
      </c>
      <c r="R588" t="s">
        <v>319</v>
      </c>
      <c r="S588" t="s">
        <v>320</v>
      </c>
      <c r="T588" t="s">
        <v>4795</v>
      </c>
      <c r="U588" t="s">
        <v>4796</v>
      </c>
      <c r="V588" t="s">
        <v>4797</v>
      </c>
      <c r="W588" t="s">
        <v>4798</v>
      </c>
      <c r="Z588" t="s">
        <v>4799</v>
      </c>
      <c r="AA588" t="s">
        <v>4800</v>
      </c>
      <c r="AB588" t="s">
        <v>4799</v>
      </c>
      <c r="AC588" t="s">
        <v>4023</v>
      </c>
      <c r="AD588" t="s">
        <v>219</v>
      </c>
      <c r="AE588" t="s">
        <v>4801</v>
      </c>
      <c r="AF588" t="s">
        <v>4804</v>
      </c>
    </row>
    <row r="589" spans="1:32" hidden="1" x14ac:dyDescent="0.35">
      <c r="A589">
        <v>2308</v>
      </c>
      <c r="B589" t="s">
        <v>4794</v>
      </c>
      <c r="C589" t="s">
        <v>72</v>
      </c>
      <c r="D589" t="s">
        <v>45</v>
      </c>
      <c r="E589">
        <v>1902</v>
      </c>
      <c r="F589">
        <v>5</v>
      </c>
      <c r="G589">
        <v>5</v>
      </c>
      <c r="H589">
        <v>1</v>
      </c>
      <c r="I589">
        <v>1</v>
      </c>
      <c r="J589">
        <v>0.87979120059657001</v>
      </c>
      <c r="K589">
        <v>0.984744872655132</v>
      </c>
      <c r="L589">
        <v>0.929314145457801</v>
      </c>
      <c r="M589">
        <v>0.77092511013215903</v>
      </c>
      <c r="N589">
        <v>1</v>
      </c>
      <c r="O589">
        <v>0.84140969162995605</v>
      </c>
      <c r="P589" t="s">
        <v>1057</v>
      </c>
      <c r="Q589" t="s">
        <v>1058</v>
      </c>
      <c r="R589" t="s">
        <v>319</v>
      </c>
      <c r="S589" t="s">
        <v>320</v>
      </c>
      <c r="T589" t="s">
        <v>4795</v>
      </c>
      <c r="U589" t="s">
        <v>4796</v>
      </c>
      <c r="V589" t="s">
        <v>4797</v>
      </c>
      <c r="W589" t="s">
        <v>4798</v>
      </c>
      <c r="Z589" t="s">
        <v>4799</v>
      </c>
      <c r="AA589" t="s">
        <v>4800</v>
      </c>
      <c r="AB589" t="s">
        <v>4799</v>
      </c>
      <c r="AC589" t="s">
        <v>4023</v>
      </c>
      <c r="AD589" t="s">
        <v>219</v>
      </c>
      <c r="AE589" t="s">
        <v>4801</v>
      </c>
      <c r="AF589" t="s">
        <v>4804</v>
      </c>
    </row>
    <row r="590" spans="1:32" hidden="1" x14ac:dyDescent="0.35">
      <c r="A590">
        <v>2314</v>
      </c>
      <c r="B590" t="s">
        <v>4823</v>
      </c>
      <c r="C590" t="s">
        <v>72</v>
      </c>
      <c r="D590" t="s">
        <v>58</v>
      </c>
      <c r="E590">
        <v>1517</v>
      </c>
      <c r="F590">
        <v>5</v>
      </c>
      <c r="G590">
        <v>5</v>
      </c>
      <c r="H590">
        <v>1</v>
      </c>
      <c r="I590">
        <v>1</v>
      </c>
      <c r="J590">
        <v>0.72462099405104596</v>
      </c>
      <c r="K590">
        <v>0.90411559764159699</v>
      </c>
      <c r="L590">
        <v>0.804477711671306</v>
      </c>
      <c r="M590">
        <v>0.52413793103448303</v>
      </c>
      <c r="N590">
        <v>1</v>
      </c>
      <c r="O590">
        <v>0.636724137931034</v>
      </c>
      <c r="P590" t="s">
        <v>1057</v>
      </c>
      <c r="Q590" t="s">
        <v>1058</v>
      </c>
      <c r="R590" t="s">
        <v>319</v>
      </c>
      <c r="S590" t="s">
        <v>320</v>
      </c>
      <c r="T590" t="s">
        <v>4824</v>
      </c>
      <c r="U590" t="s">
        <v>4825</v>
      </c>
      <c r="V590" t="s">
        <v>4797</v>
      </c>
      <c r="W590" t="s">
        <v>4798</v>
      </c>
      <c r="AD590" t="s">
        <v>951</v>
      </c>
      <c r="AE590" t="s">
        <v>4826</v>
      </c>
      <c r="AF590" t="s">
        <v>4827</v>
      </c>
    </row>
    <row r="591" spans="1:32" hidden="1" x14ac:dyDescent="0.35">
      <c r="A591">
        <v>2315</v>
      </c>
      <c r="B591" t="s">
        <v>4823</v>
      </c>
      <c r="C591" t="s">
        <v>72</v>
      </c>
      <c r="D591" t="s">
        <v>60</v>
      </c>
      <c r="E591">
        <v>524</v>
      </c>
      <c r="F591">
        <v>5</v>
      </c>
      <c r="G591">
        <v>5</v>
      </c>
      <c r="H591">
        <v>1</v>
      </c>
      <c r="I591">
        <v>1</v>
      </c>
      <c r="J591">
        <v>0.72462099405104596</v>
      </c>
      <c r="K591">
        <v>0.90411559764159699</v>
      </c>
      <c r="L591">
        <v>0.804477711671306</v>
      </c>
      <c r="M591">
        <v>0.52413793103448303</v>
      </c>
      <c r="N591">
        <v>1</v>
      </c>
      <c r="O591">
        <v>0.636724137931034</v>
      </c>
      <c r="P591" t="s">
        <v>1057</v>
      </c>
      <c r="Q591" t="s">
        <v>1058</v>
      </c>
      <c r="R591" t="s">
        <v>319</v>
      </c>
      <c r="S591" t="s">
        <v>320</v>
      </c>
      <c r="T591" t="s">
        <v>4824</v>
      </c>
      <c r="U591" t="s">
        <v>4825</v>
      </c>
      <c r="V591" t="s">
        <v>4797</v>
      </c>
      <c r="W591" t="s">
        <v>4798</v>
      </c>
      <c r="AD591" t="s">
        <v>951</v>
      </c>
      <c r="AE591" t="s">
        <v>4826</v>
      </c>
      <c r="AF591" t="e">
        <f>-------------------MRAPVGPAEGHMNVLQVTRISAGLASWLAAHTSQELSQERQDDQSHPLPDSVFS-------------SDVTPSVVIGYDARYGSHIFATTTAEVCAGAGFEVTLLPVPSPTPLVPWMVRNRGFDAGIQITASHNPAPDNGYKIYAGDGAQISRVHEPSIEAAIA--AVGDPLNVPRVTVRPTTDQVRRYIDAVVKLVEPRQGDLLRVNNERAALRVAYTALHGVGGRTMNQALQAAGFALTWPVLAQHYPDPTFPTVSFPNPEEAHATKLVLELASEQDADIIIALDPDADRCAIGYRTSDGS-------HRMLSGDELGALLAVRLVPAGGPT-----GDADPRPIVATSAVSSQLLRAIAADHNWDYRETPTGFKNLSRAA-GPDEKLAFAYEEANGTCPAPDLVQDKDGIATALITCAWAAELKARGMTLADELDRLYKRYGYFVGTQIAVRTTDPNALIDALSDTPAPATLAGCTVTPSTVVDGQ----GLRLTGYDATTGVT-------LRVSIRASGTENKVKIYSEAMHPTDRDKAQSVLDAATSDIRRFVDRV</f>
        <v>#NAME?</v>
      </c>
    </row>
    <row r="592" spans="1:32" hidden="1" x14ac:dyDescent="0.35">
      <c r="A592">
        <v>2316</v>
      </c>
      <c r="B592" t="s">
        <v>4823</v>
      </c>
      <c r="C592" t="s">
        <v>72</v>
      </c>
      <c r="D592" t="s">
        <v>62</v>
      </c>
      <c r="E592">
        <v>608</v>
      </c>
      <c r="F592">
        <v>5</v>
      </c>
      <c r="G592">
        <v>5</v>
      </c>
      <c r="H592">
        <v>1</v>
      </c>
      <c r="I592">
        <v>1</v>
      </c>
      <c r="J592">
        <v>0.72462099405104596</v>
      </c>
      <c r="K592">
        <v>0.90411559764159699</v>
      </c>
      <c r="L592">
        <v>0.804477711671306</v>
      </c>
      <c r="M592">
        <v>0.52413793103448303</v>
      </c>
      <c r="N592">
        <v>1</v>
      </c>
      <c r="O592">
        <v>0.636724137931034</v>
      </c>
      <c r="P592" t="s">
        <v>1057</v>
      </c>
      <c r="Q592" t="s">
        <v>1058</v>
      </c>
      <c r="R592" t="s">
        <v>319</v>
      </c>
      <c r="S592" t="s">
        <v>320</v>
      </c>
      <c r="T592" t="s">
        <v>4824</v>
      </c>
      <c r="U592" t="s">
        <v>4825</v>
      </c>
      <c r="V592" t="s">
        <v>4797</v>
      </c>
      <c r="W592" t="s">
        <v>4798</v>
      </c>
      <c r="AD592" t="s">
        <v>951</v>
      </c>
      <c r="AE592" t="s">
        <v>4826</v>
      </c>
      <c r="AF592" t="e">
        <f>-------------------MRAPVGPAEGHMNVLQVTRISAGLASWLAAHTSQELSQERQDDQSHPLPDSVFS-------------SDVTPSVVIGYDARYGSHIFATTTAEVCAGAGFEVTLLPVPSPTPLVPWMVRNRGFDAGIQITASHNPAPDNGYKIYAGDGAQISRVHEPSIEAAIA--AVGDPLNVPRVTVRPTTDQVRRYIDAVVKLVEPRQGDLLRVNNERAALRVAYTALHGVGGRTMNQALQAAGFALTWPVLAQHYPDPTFPTVSFPNPEEAHATKLVLELASEQDADIIIALDPDADRCAIGYRTSDGS-------HRMLSGDELGALLAVRLVPAGGPT-----GDADPRPIVATSAVSSQLLRAIAADHNWDYRETPTGFKNLSRAA-GPDEKLAFAYEEANGTCPAPDLVQDKDGIATALITCAWAAELKARGMTLADELDRLYKRYGYFVGTQIAVRTTDPNALIDALSDTPAPATLAGCTVTPSTVVDGQ----GLRLTGYDATTGVT-------LRVSIRASGTENKVKIYSEAMHPTDRDKAQSVLDAATSDIRRFVDRV</f>
        <v>#NAME?</v>
      </c>
    </row>
    <row r="593" spans="1:32" hidden="1" x14ac:dyDescent="0.35">
      <c r="A593">
        <v>2317</v>
      </c>
      <c r="B593" t="s">
        <v>4823</v>
      </c>
      <c r="C593" t="s">
        <v>72</v>
      </c>
      <c r="D593" t="s">
        <v>34</v>
      </c>
      <c r="E593">
        <v>571</v>
      </c>
      <c r="F593">
        <v>5</v>
      </c>
      <c r="G593">
        <v>5</v>
      </c>
      <c r="H593">
        <v>1</v>
      </c>
      <c r="I593">
        <v>1</v>
      </c>
      <c r="J593">
        <v>0.72462099405104596</v>
      </c>
      <c r="K593">
        <v>0.90411559764159699</v>
      </c>
      <c r="L593">
        <v>0.804477711671306</v>
      </c>
      <c r="M593">
        <v>0.52413793103448303</v>
      </c>
      <c r="N593">
        <v>1</v>
      </c>
      <c r="O593">
        <v>0.636724137931034</v>
      </c>
      <c r="P593" t="s">
        <v>1057</v>
      </c>
      <c r="Q593" t="s">
        <v>1058</v>
      </c>
      <c r="R593" t="s">
        <v>319</v>
      </c>
      <c r="S593" t="s">
        <v>320</v>
      </c>
      <c r="T593" t="s">
        <v>4824</v>
      </c>
      <c r="U593" t="s">
        <v>4825</v>
      </c>
      <c r="V593" t="s">
        <v>4797</v>
      </c>
      <c r="W593" t="s">
        <v>4798</v>
      </c>
      <c r="AD593" t="s">
        <v>951</v>
      </c>
      <c r="AE593" t="s">
        <v>4826</v>
      </c>
      <c r="AF593" t="e">
        <f>--------MSEQLAFGTAGMRAPIGPASHQMNVFQVTRITSGVAMWLGKHRIIS-PERRHLPEAYSMAEQFATTSPYELGGLDFHDDDPAPRVVVGYDARYGSHVFATTTAEVFAGAGFEVFLLPTPSPTPLIPWLVRSWGLDGGVQITASHNPAGDNGYKVYMNNGRQLTSSAAREIEALIAQ-QVPAAVEIPRVTVRPCADQLRRFIDEVTSIVMPSQADLLRVNNERANIKVAVTAMHGVGGRAMIQTLQSAGFAQIFPVMRQQYPDPTFPTVEFPNPEEPEAVAELLRLGKKVSADIVIALDPDADRCAVGIRLKDGT-------LRMLRGDETGPLLATRMVAPWD-------GEG-EQPIVATTMVSSQLLTAIAADRGWDLRLTPTGFKNLN-AA-GGEHTVAFAYEEAIGISPAPWLVDDKDGITTALIACTWAAELKAQGLTLADELESLYKRYGIYVGQQIAIRTNDPTGLIGACIQNP-PTTLAGINLEFEAVFSGERTPTGLLLRG-PSPVG-K-------IRVWARASGTEPKAKLYIEIAEATSRPQAEDLLQRIAREVTTYIRQL</f>
        <v>#NAME?</v>
      </c>
    </row>
    <row r="594" spans="1:32" hidden="1" x14ac:dyDescent="0.35">
      <c r="A594">
        <v>2318</v>
      </c>
      <c r="B594" t="s">
        <v>4823</v>
      </c>
      <c r="C594" t="s">
        <v>72</v>
      </c>
      <c r="D594" t="s">
        <v>45</v>
      </c>
      <c r="E594">
        <v>1837</v>
      </c>
      <c r="F594">
        <v>5</v>
      </c>
      <c r="G594">
        <v>5</v>
      </c>
      <c r="H594">
        <v>1</v>
      </c>
      <c r="I594">
        <v>1</v>
      </c>
      <c r="J594">
        <v>0.72462099405104596</v>
      </c>
      <c r="K594">
        <v>0.90411559764159699</v>
      </c>
      <c r="L594">
        <v>0.804477711671306</v>
      </c>
      <c r="M594">
        <v>0.52413793103448303</v>
      </c>
      <c r="N594">
        <v>1</v>
      </c>
      <c r="O594">
        <v>0.636724137931034</v>
      </c>
      <c r="P594" t="s">
        <v>1057</v>
      </c>
      <c r="Q594" t="s">
        <v>1058</v>
      </c>
      <c r="R594" t="s">
        <v>319</v>
      </c>
      <c r="S594" t="s">
        <v>320</v>
      </c>
      <c r="T594" t="s">
        <v>4824</v>
      </c>
      <c r="U594" t="s">
        <v>4825</v>
      </c>
      <c r="V594" t="s">
        <v>4797</v>
      </c>
      <c r="W594" t="s">
        <v>4798</v>
      </c>
      <c r="AD594" t="s">
        <v>951</v>
      </c>
      <c r="AE594" t="s">
        <v>4826</v>
      </c>
      <c r="AF594" t="e">
        <f>--------MSEQLAFGTAGMRAPIGPASHQMNVFQVTRITSGVAMWLGKHRIIS-PERRHLPEAYSMAEQFATTSPYELGGLDFHDDDPAPRVVVGYDARYGSHVFATTTAEVFAGAGFEVFLLPTPSPTPLIPWLVRSWGLDGGVQITASHNPAGDNGYKVYMNNGRQLTSSAAREIEALIAQ-QVPAAVEIPRVTVRPCADQLRRFIDEVTSIVMPSQADLLRVNNERANIKVAVTAMHGVGGRAMVQTLQSAGFAQIFPVMRQQYPDPTFPTVEFPNPEEPEAVAELLRLGKKVSADIVIALDPDADRCAVGIRLKDGT-------LRMLRGDETGPLLATRMVAPWD-------GKG-EQPIVATTMVSSQLLTAIAADRGWDLRLTPTGFKNLN-AA-GGEHTVAFAYEEAIGISPAPWLVDDKDGITTALIACTWAAELKAQGLTLADELESLYKRYGIYVGQQIAIRTNDPTGLIGACIQNP-PTTLAGINLEFEAVFGGERTPTGLLLRG-PSPVG-K-------IRVWARASGTEPKAKLYIEIAEATSRPQAEDLLQRIAREVTTYIRQL</f>
        <v>#NAME?</v>
      </c>
    </row>
    <row r="595" spans="1:32" hidden="1" x14ac:dyDescent="0.35">
      <c r="A595">
        <v>2379</v>
      </c>
      <c r="B595" t="s">
        <v>4939</v>
      </c>
      <c r="C595" t="s">
        <v>72</v>
      </c>
      <c r="D595" t="s">
        <v>58</v>
      </c>
      <c r="E595">
        <v>725</v>
      </c>
      <c r="F595">
        <v>5</v>
      </c>
      <c r="G595">
        <v>5</v>
      </c>
      <c r="H595">
        <v>1</v>
      </c>
      <c r="I595">
        <v>1</v>
      </c>
      <c r="J595">
        <v>0.88426476416963895</v>
      </c>
      <c r="K595">
        <v>0.95710033133153605</v>
      </c>
      <c r="L595">
        <v>0.91924203498732404</v>
      </c>
      <c r="M595">
        <v>0.77045454545454595</v>
      </c>
      <c r="N595">
        <v>1</v>
      </c>
      <c r="O595">
        <v>0.82772727272727298</v>
      </c>
      <c r="P595" t="s">
        <v>3800</v>
      </c>
      <c r="Q595" t="s">
        <v>3801</v>
      </c>
      <c r="R595" t="s">
        <v>319</v>
      </c>
      <c r="S595" t="s">
        <v>320</v>
      </c>
      <c r="T595" t="s">
        <v>4940</v>
      </c>
      <c r="U595" t="s">
        <v>4941</v>
      </c>
      <c r="V595" t="s">
        <v>4942</v>
      </c>
      <c r="W595" t="s">
        <v>4943</v>
      </c>
      <c r="Z595" t="s">
        <v>4944</v>
      </c>
      <c r="AA595" t="s">
        <v>4945</v>
      </c>
      <c r="AB595" t="s">
        <v>4944</v>
      </c>
      <c r="AC595" t="s">
        <v>1065</v>
      </c>
      <c r="AD595" t="s">
        <v>951</v>
      </c>
      <c r="AE595" t="s">
        <v>4946</v>
      </c>
      <c r="AF595" t="s">
        <v>4947</v>
      </c>
    </row>
    <row r="596" spans="1:32" hidden="1" x14ac:dyDescent="0.35">
      <c r="A596">
        <v>2380</v>
      </c>
      <c r="B596" t="s">
        <v>4939</v>
      </c>
      <c r="C596" t="s">
        <v>72</v>
      </c>
      <c r="D596" t="s">
        <v>60</v>
      </c>
      <c r="E596">
        <v>942</v>
      </c>
      <c r="F596">
        <v>5</v>
      </c>
      <c r="G596">
        <v>5</v>
      </c>
      <c r="H596">
        <v>1</v>
      </c>
      <c r="I596">
        <v>1</v>
      </c>
      <c r="J596">
        <v>0.88426476416963895</v>
      </c>
      <c r="K596">
        <v>0.95710033133153605</v>
      </c>
      <c r="L596">
        <v>0.91924203498732404</v>
      </c>
      <c r="M596">
        <v>0.77045454545454595</v>
      </c>
      <c r="N596">
        <v>1</v>
      </c>
      <c r="O596">
        <v>0.82772727272727298</v>
      </c>
      <c r="P596" t="s">
        <v>3800</v>
      </c>
      <c r="Q596" t="s">
        <v>3801</v>
      </c>
      <c r="R596" t="s">
        <v>319</v>
      </c>
      <c r="S596" t="s">
        <v>320</v>
      </c>
      <c r="T596" t="s">
        <v>4940</v>
      </c>
      <c r="U596" t="s">
        <v>4941</v>
      </c>
      <c r="V596" t="s">
        <v>4942</v>
      </c>
      <c r="W596" t="s">
        <v>4943</v>
      </c>
      <c r="Z596" t="s">
        <v>4944</v>
      </c>
      <c r="AA596" t="s">
        <v>4945</v>
      </c>
      <c r="AB596" t="s">
        <v>4944</v>
      </c>
      <c r="AC596" t="s">
        <v>1065</v>
      </c>
      <c r="AD596" t="s">
        <v>951</v>
      </c>
      <c r="AE596" t="s">
        <v>4946</v>
      </c>
      <c r="AF596" t="s">
        <v>4948</v>
      </c>
    </row>
    <row r="597" spans="1:32" hidden="1" x14ac:dyDescent="0.35">
      <c r="A597">
        <v>2381</v>
      </c>
      <c r="B597" t="s">
        <v>4939</v>
      </c>
      <c r="C597" t="s">
        <v>72</v>
      </c>
      <c r="D597" t="s">
        <v>62</v>
      </c>
      <c r="E597">
        <v>978</v>
      </c>
      <c r="F597">
        <v>5</v>
      </c>
      <c r="G597">
        <v>5</v>
      </c>
      <c r="H597">
        <v>1</v>
      </c>
      <c r="I597">
        <v>1</v>
      </c>
      <c r="J597">
        <v>0.88426476416963895</v>
      </c>
      <c r="K597">
        <v>0.95710033133153605</v>
      </c>
      <c r="L597">
        <v>0.91924203498732404</v>
      </c>
      <c r="M597">
        <v>0.77045454545454595</v>
      </c>
      <c r="N597">
        <v>1</v>
      </c>
      <c r="O597">
        <v>0.82772727272727298</v>
      </c>
      <c r="P597" t="s">
        <v>3800</v>
      </c>
      <c r="Q597" t="s">
        <v>3801</v>
      </c>
      <c r="R597" t="s">
        <v>319</v>
      </c>
      <c r="S597" t="s">
        <v>320</v>
      </c>
      <c r="T597" t="s">
        <v>4940</v>
      </c>
      <c r="U597" t="s">
        <v>4941</v>
      </c>
      <c r="V597" t="s">
        <v>4942</v>
      </c>
      <c r="W597" t="s">
        <v>4943</v>
      </c>
      <c r="Z597" t="s">
        <v>4944</v>
      </c>
      <c r="AA597" t="s">
        <v>4945</v>
      </c>
      <c r="AB597" t="s">
        <v>4944</v>
      </c>
      <c r="AC597" t="s">
        <v>1065</v>
      </c>
      <c r="AD597" t="s">
        <v>951</v>
      </c>
      <c r="AE597" t="s">
        <v>4946</v>
      </c>
      <c r="AF597" t="s">
        <v>4948</v>
      </c>
    </row>
    <row r="598" spans="1:32" hidden="1" x14ac:dyDescent="0.35">
      <c r="A598">
        <v>2382</v>
      </c>
      <c r="B598" t="s">
        <v>4939</v>
      </c>
      <c r="C598" t="s">
        <v>72</v>
      </c>
      <c r="D598" t="s">
        <v>34</v>
      </c>
      <c r="E598">
        <v>219</v>
      </c>
      <c r="F598">
        <v>5</v>
      </c>
      <c r="G598">
        <v>5</v>
      </c>
      <c r="H598">
        <v>1</v>
      </c>
      <c r="I598">
        <v>1</v>
      </c>
      <c r="J598">
        <v>0.88426476416963895</v>
      </c>
      <c r="K598">
        <v>0.95710033133153605</v>
      </c>
      <c r="L598">
        <v>0.91924203498732404</v>
      </c>
      <c r="M598">
        <v>0.77045454545454595</v>
      </c>
      <c r="N598">
        <v>1</v>
      </c>
      <c r="O598">
        <v>0.82772727272727298</v>
      </c>
      <c r="P598" t="s">
        <v>3800</v>
      </c>
      <c r="Q598" t="s">
        <v>3801</v>
      </c>
      <c r="R598" t="s">
        <v>319</v>
      </c>
      <c r="S598" t="s">
        <v>320</v>
      </c>
      <c r="T598" t="s">
        <v>4940</v>
      </c>
      <c r="U598" t="s">
        <v>4941</v>
      </c>
      <c r="V598" t="s">
        <v>4942</v>
      </c>
      <c r="W598" t="s">
        <v>4943</v>
      </c>
      <c r="Z598" t="s">
        <v>4944</v>
      </c>
      <c r="AA598" t="s">
        <v>4945</v>
      </c>
      <c r="AB598" t="s">
        <v>4944</v>
      </c>
      <c r="AC598" t="s">
        <v>1065</v>
      </c>
      <c r="AD598" t="s">
        <v>951</v>
      </c>
      <c r="AE598" t="s">
        <v>4946</v>
      </c>
      <c r="AF598" t="s">
        <v>4949</v>
      </c>
    </row>
    <row r="599" spans="1:32" hidden="1" x14ac:dyDescent="0.35">
      <c r="A599">
        <v>2383</v>
      </c>
      <c r="B599" t="s">
        <v>4939</v>
      </c>
      <c r="C599" t="s">
        <v>72</v>
      </c>
      <c r="D599" t="s">
        <v>45</v>
      </c>
      <c r="E599">
        <v>1482</v>
      </c>
      <c r="F599">
        <v>5</v>
      </c>
      <c r="G599">
        <v>5</v>
      </c>
      <c r="H599">
        <v>1</v>
      </c>
      <c r="I599">
        <v>1</v>
      </c>
      <c r="J599">
        <v>0.88426476416963895</v>
      </c>
      <c r="K599">
        <v>0.95710033133153605</v>
      </c>
      <c r="L599">
        <v>0.91924203498732404</v>
      </c>
      <c r="M599">
        <v>0.77045454545454595</v>
      </c>
      <c r="N599">
        <v>1</v>
      </c>
      <c r="O599">
        <v>0.82772727272727298</v>
      </c>
      <c r="P599" t="s">
        <v>3800</v>
      </c>
      <c r="Q599" t="s">
        <v>3801</v>
      </c>
      <c r="R599" t="s">
        <v>319</v>
      </c>
      <c r="S599" t="s">
        <v>320</v>
      </c>
      <c r="T599" t="s">
        <v>4940</v>
      </c>
      <c r="U599" t="s">
        <v>4941</v>
      </c>
      <c r="V599" t="s">
        <v>4942</v>
      </c>
      <c r="W599" t="s">
        <v>4943</v>
      </c>
      <c r="Z599" t="s">
        <v>4944</v>
      </c>
      <c r="AA599" t="s">
        <v>4945</v>
      </c>
      <c r="AB599" t="s">
        <v>4944</v>
      </c>
      <c r="AC599" t="s">
        <v>1065</v>
      </c>
      <c r="AD599" t="s">
        <v>951</v>
      </c>
      <c r="AE599" t="s">
        <v>4946</v>
      </c>
      <c r="AF599" t="s">
        <v>4949</v>
      </c>
    </row>
    <row r="600" spans="1:32" hidden="1" x14ac:dyDescent="0.35">
      <c r="A600">
        <v>2429</v>
      </c>
      <c r="B600" t="s">
        <v>5034</v>
      </c>
      <c r="C600" t="s">
        <v>72</v>
      </c>
      <c r="D600" t="s">
        <v>58</v>
      </c>
      <c r="E600">
        <v>329</v>
      </c>
      <c r="F600">
        <v>5</v>
      </c>
      <c r="G600">
        <v>5</v>
      </c>
      <c r="H600">
        <v>1</v>
      </c>
      <c r="I600">
        <v>1</v>
      </c>
      <c r="J600">
        <v>0.904622514940846</v>
      </c>
      <c r="K600">
        <v>0.95085535230352203</v>
      </c>
      <c r="L600">
        <v>0.92716294312174796</v>
      </c>
      <c r="M600">
        <v>0.77083333333333304</v>
      </c>
      <c r="N600">
        <v>1</v>
      </c>
      <c r="O600">
        <v>0.85138888888888897</v>
      </c>
      <c r="P600" t="s">
        <v>1247</v>
      </c>
      <c r="Q600" t="s">
        <v>1248</v>
      </c>
      <c r="R600" t="s">
        <v>319</v>
      </c>
      <c r="S600" t="s">
        <v>320</v>
      </c>
      <c r="T600" t="s">
        <v>5035</v>
      </c>
      <c r="U600" t="s">
        <v>5036</v>
      </c>
      <c r="V600" t="s">
        <v>5037</v>
      </c>
      <c r="W600" t="s">
        <v>5038</v>
      </c>
      <c r="AD600" t="s">
        <v>439</v>
      </c>
      <c r="AE600" t="s">
        <v>5039</v>
      </c>
      <c r="AF600" t="s">
        <v>5040</v>
      </c>
    </row>
    <row r="601" spans="1:32" hidden="1" x14ac:dyDescent="0.35">
      <c r="A601">
        <v>2430</v>
      </c>
      <c r="B601" t="s">
        <v>5034</v>
      </c>
      <c r="C601" t="s">
        <v>72</v>
      </c>
      <c r="D601" t="s">
        <v>60</v>
      </c>
      <c r="E601">
        <v>565</v>
      </c>
      <c r="F601">
        <v>5</v>
      </c>
      <c r="G601">
        <v>5</v>
      </c>
      <c r="H601">
        <v>1</v>
      </c>
      <c r="I601">
        <v>1</v>
      </c>
      <c r="J601">
        <v>0.904622514940846</v>
      </c>
      <c r="K601">
        <v>0.95085535230352203</v>
      </c>
      <c r="L601">
        <v>0.92716294312174796</v>
      </c>
      <c r="M601">
        <v>0.77083333333333304</v>
      </c>
      <c r="N601">
        <v>1</v>
      </c>
      <c r="O601">
        <v>0.85138888888888897</v>
      </c>
      <c r="P601" t="s">
        <v>1247</v>
      </c>
      <c r="Q601" t="s">
        <v>1248</v>
      </c>
      <c r="R601" t="s">
        <v>319</v>
      </c>
      <c r="S601" t="s">
        <v>320</v>
      </c>
      <c r="T601" t="s">
        <v>5035</v>
      </c>
      <c r="U601" t="s">
        <v>5036</v>
      </c>
      <c r="V601" t="s">
        <v>5037</v>
      </c>
      <c r="W601" t="s">
        <v>5038</v>
      </c>
      <c r="AD601" t="s">
        <v>439</v>
      </c>
      <c r="AE601" t="s">
        <v>5039</v>
      </c>
      <c r="AF601" t="s">
        <v>5041</v>
      </c>
    </row>
    <row r="602" spans="1:32" hidden="1" x14ac:dyDescent="0.35">
      <c r="A602">
        <v>2431</v>
      </c>
      <c r="B602" t="s">
        <v>5034</v>
      </c>
      <c r="C602" t="s">
        <v>72</v>
      </c>
      <c r="D602" t="s">
        <v>62</v>
      </c>
      <c r="E602">
        <v>649</v>
      </c>
      <c r="F602">
        <v>5</v>
      </c>
      <c r="G602">
        <v>5</v>
      </c>
      <c r="H602">
        <v>1</v>
      </c>
      <c r="I602">
        <v>1</v>
      </c>
      <c r="J602">
        <v>0.904622514940846</v>
      </c>
      <c r="K602">
        <v>0.95085535230352203</v>
      </c>
      <c r="L602">
        <v>0.92716294312174796</v>
      </c>
      <c r="M602">
        <v>0.77083333333333304</v>
      </c>
      <c r="N602">
        <v>1</v>
      </c>
      <c r="O602">
        <v>0.85138888888888897</v>
      </c>
      <c r="P602" t="s">
        <v>1247</v>
      </c>
      <c r="Q602" t="s">
        <v>1248</v>
      </c>
      <c r="R602" t="s">
        <v>319</v>
      </c>
      <c r="S602" t="s">
        <v>320</v>
      </c>
      <c r="T602" t="s">
        <v>5035</v>
      </c>
      <c r="U602" t="s">
        <v>5036</v>
      </c>
      <c r="V602" t="s">
        <v>5037</v>
      </c>
      <c r="W602" t="s">
        <v>5038</v>
      </c>
      <c r="AD602" t="s">
        <v>439</v>
      </c>
      <c r="AE602" t="s">
        <v>5039</v>
      </c>
      <c r="AF602" t="s">
        <v>5041</v>
      </c>
    </row>
    <row r="603" spans="1:32" hidden="1" x14ac:dyDescent="0.35">
      <c r="A603">
        <v>2432</v>
      </c>
      <c r="B603" t="s">
        <v>5034</v>
      </c>
      <c r="C603" t="s">
        <v>72</v>
      </c>
      <c r="D603" t="s">
        <v>34</v>
      </c>
      <c r="E603">
        <v>530</v>
      </c>
      <c r="F603">
        <v>5</v>
      </c>
      <c r="G603">
        <v>5</v>
      </c>
      <c r="H603">
        <v>1</v>
      </c>
      <c r="I603">
        <v>1</v>
      </c>
      <c r="J603">
        <v>0.904622514940846</v>
      </c>
      <c r="K603">
        <v>0.95085535230352203</v>
      </c>
      <c r="L603">
        <v>0.92716294312174796</v>
      </c>
      <c r="M603">
        <v>0.77083333333333304</v>
      </c>
      <c r="N603">
        <v>1</v>
      </c>
      <c r="O603">
        <v>0.85138888888888897</v>
      </c>
      <c r="P603" t="s">
        <v>1247</v>
      </c>
      <c r="Q603" t="s">
        <v>1248</v>
      </c>
      <c r="R603" t="s">
        <v>319</v>
      </c>
      <c r="S603" t="s">
        <v>320</v>
      </c>
      <c r="T603" t="s">
        <v>5035</v>
      </c>
      <c r="U603" t="s">
        <v>5036</v>
      </c>
      <c r="V603" t="s">
        <v>5037</v>
      </c>
      <c r="W603" t="s">
        <v>5038</v>
      </c>
      <c r="AD603" t="s">
        <v>439</v>
      </c>
      <c r="AE603" t="s">
        <v>5039</v>
      </c>
      <c r="AF603" t="s">
        <v>5042</v>
      </c>
    </row>
    <row r="604" spans="1:32" hidden="1" x14ac:dyDescent="0.35">
      <c r="A604">
        <v>2433</v>
      </c>
      <c r="B604" t="s">
        <v>5034</v>
      </c>
      <c r="C604" t="s">
        <v>72</v>
      </c>
      <c r="D604" t="s">
        <v>45</v>
      </c>
      <c r="E604">
        <v>1796</v>
      </c>
      <c r="F604">
        <v>5</v>
      </c>
      <c r="G604">
        <v>5</v>
      </c>
      <c r="H604">
        <v>1</v>
      </c>
      <c r="I604">
        <v>1</v>
      </c>
      <c r="J604">
        <v>0.904622514940846</v>
      </c>
      <c r="K604">
        <v>0.95085535230352203</v>
      </c>
      <c r="L604">
        <v>0.92716294312174796</v>
      </c>
      <c r="M604">
        <v>0.77083333333333304</v>
      </c>
      <c r="N604">
        <v>1</v>
      </c>
      <c r="O604">
        <v>0.85138888888888897</v>
      </c>
      <c r="P604" t="s">
        <v>1247</v>
      </c>
      <c r="Q604" t="s">
        <v>1248</v>
      </c>
      <c r="R604" t="s">
        <v>319</v>
      </c>
      <c r="S604" t="s">
        <v>320</v>
      </c>
      <c r="T604" t="s">
        <v>5035</v>
      </c>
      <c r="U604" t="s">
        <v>5036</v>
      </c>
      <c r="V604" t="s">
        <v>5037</v>
      </c>
      <c r="W604" t="s">
        <v>5038</v>
      </c>
      <c r="AD604" t="s">
        <v>439</v>
      </c>
      <c r="AE604" t="s">
        <v>5039</v>
      </c>
      <c r="AF604" t="s">
        <v>5042</v>
      </c>
    </row>
    <row r="605" spans="1:32" hidden="1" x14ac:dyDescent="0.35">
      <c r="A605">
        <v>2534</v>
      </c>
      <c r="B605" t="s">
        <v>5245</v>
      </c>
      <c r="C605" t="s">
        <v>72</v>
      </c>
      <c r="D605" t="s">
        <v>58</v>
      </c>
      <c r="E605">
        <v>1202</v>
      </c>
      <c r="F605">
        <v>5</v>
      </c>
      <c r="G605">
        <v>5</v>
      </c>
      <c r="H605">
        <v>1</v>
      </c>
      <c r="I605">
        <v>1</v>
      </c>
      <c r="J605">
        <v>0.77433526011560705</v>
      </c>
      <c r="K605">
        <v>0.92461144127387696</v>
      </c>
      <c r="L605">
        <v>0.84282719440124398</v>
      </c>
      <c r="M605">
        <v>0.57446808510638303</v>
      </c>
      <c r="N605">
        <v>1</v>
      </c>
      <c r="O605">
        <v>0.707234042553192</v>
      </c>
      <c r="P605" t="s">
        <v>5246</v>
      </c>
      <c r="Q605" t="s">
        <v>5247</v>
      </c>
      <c r="R605" t="s">
        <v>319</v>
      </c>
      <c r="S605" t="s">
        <v>320</v>
      </c>
      <c r="V605" t="s">
        <v>5248</v>
      </c>
      <c r="W605" t="s">
        <v>5249</v>
      </c>
      <c r="AF605" t="s">
        <v>5250</v>
      </c>
    </row>
    <row r="606" spans="1:32" hidden="1" x14ac:dyDescent="0.35">
      <c r="A606">
        <v>2535</v>
      </c>
      <c r="B606" t="s">
        <v>5245</v>
      </c>
      <c r="C606" t="s">
        <v>72</v>
      </c>
      <c r="D606" t="s">
        <v>60</v>
      </c>
      <c r="E606">
        <v>1653</v>
      </c>
      <c r="F606">
        <v>5</v>
      </c>
      <c r="G606">
        <v>5</v>
      </c>
      <c r="H606">
        <v>1</v>
      </c>
      <c r="I606">
        <v>1</v>
      </c>
      <c r="J606">
        <v>0.77433526011560705</v>
      </c>
      <c r="K606">
        <v>0.92461144127387696</v>
      </c>
      <c r="L606">
        <v>0.84282719440124398</v>
      </c>
      <c r="M606">
        <v>0.57446808510638303</v>
      </c>
      <c r="N606">
        <v>1</v>
      </c>
      <c r="O606">
        <v>0.707234042553192</v>
      </c>
      <c r="P606" t="s">
        <v>5246</v>
      </c>
      <c r="Q606" t="s">
        <v>5247</v>
      </c>
      <c r="R606" t="s">
        <v>319</v>
      </c>
      <c r="S606" t="s">
        <v>320</v>
      </c>
      <c r="V606" t="s">
        <v>5248</v>
      </c>
      <c r="W606" t="s">
        <v>5249</v>
      </c>
      <c r="AF606" t="s">
        <v>5251</v>
      </c>
    </row>
    <row r="607" spans="1:32" hidden="1" x14ac:dyDescent="0.35">
      <c r="A607">
        <v>2536</v>
      </c>
      <c r="B607" t="s">
        <v>5245</v>
      </c>
      <c r="C607" t="s">
        <v>72</v>
      </c>
      <c r="D607" t="s">
        <v>62</v>
      </c>
      <c r="E607">
        <v>1688</v>
      </c>
      <c r="F607">
        <v>5</v>
      </c>
      <c r="G607">
        <v>5</v>
      </c>
      <c r="H607">
        <v>1</v>
      </c>
      <c r="I607">
        <v>1</v>
      </c>
      <c r="J607">
        <v>0.77433526011560705</v>
      </c>
      <c r="K607">
        <v>0.92461144127387696</v>
      </c>
      <c r="L607">
        <v>0.84282719440124398</v>
      </c>
      <c r="M607">
        <v>0.57446808510638303</v>
      </c>
      <c r="N607">
        <v>1</v>
      </c>
      <c r="O607">
        <v>0.707234042553192</v>
      </c>
      <c r="P607" t="s">
        <v>5246</v>
      </c>
      <c r="Q607" t="s">
        <v>5247</v>
      </c>
      <c r="R607" t="s">
        <v>319</v>
      </c>
      <c r="S607" t="s">
        <v>320</v>
      </c>
      <c r="V607" t="s">
        <v>5248</v>
      </c>
      <c r="W607" t="s">
        <v>5249</v>
      </c>
      <c r="AF607" t="s">
        <v>5252</v>
      </c>
    </row>
    <row r="608" spans="1:32" hidden="1" x14ac:dyDescent="0.35">
      <c r="A608">
        <v>2537</v>
      </c>
      <c r="B608" t="s">
        <v>5245</v>
      </c>
      <c r="C608" t="s">
        <v>72</v>
      </c>
      <c r="D608" t="s">
        <v>34</v>
      </c>
      <c r="E608">
        <v>2058</v>
      </c>
      <c r="F608">
        <v>5</v>
      </c>
      <c r="G608">
        <v>5</v>
      </c>
      <c r="H608">
        <v>1</v>
      </c>
      <c r="I608">
        <v>1</v>
      </c>
      <c r="J608">
        <v>0.77433526011560705</v>
      </c>
      <c r="K608">
        <v>0.92461144127387696</v>
      </c>
      <c r="L608">
        <v>0.84282719440124398</v>
      </c>
      <c r="M608">
        <v>0.57446808510638303</v>
      </c>
      <c r="N608">
        <v>1</v>
      </c>
      <c r="O608">
        <v>0.707234042553192</v>
      </c>
      <c r="P608" t="s">
        <v>5246</v>
      </c>
      <c r="Q608" t="s">
        <v>5247</v>
      </c>
      <c r="R608" t="s">
        <v>319</v>
      </c>
      <c r="S608" t="s">
        <v>320</v>
      </c>
      <c r="V608" t="s">
        <v>5248</v>
      </c>
      <c r="W608" t="s">
        <v>5249</v>
      </c>
      <c r="AF608" t="s">
        <v>5253</v>
      </c>
    </row>
    <row r="609" spans="1:32" hidden="1" x14ac:dyDescent="0.35">
      <c r="A609">
        <v>2538</v>
      </c>
      <c r="B609" t="s">
        <v>5245</v>
      </c>
      <c r="C609" t="s">
        <v>72</v>
      </c>
      <c r="D609" t="s">
        <v>45</v>
      </c>
      <c r="E609">
        <v>814</v>
      </c>
      <c r="F609">
        <v>5</v>
      </c>
      <c r="G609">
        <v>5</v>
      </c>
      <c r="H609">
        <v>1</v>
      </c>
      <c r="I609">
        <v>1</v>
      </c>
      <c r="J609">
        <v>0.77433526011560705</v>
      </c>
      <c r="K609">
        <v>0.92461144127387696</v>
      </c>
      <c r="L609">
        <v>0.84282719440124398</v>
      </c>
      <c r="M609">
        <v>0.57446808510638303</v>
      </c>
      <c r="N609">
        <v>1</v>
      </c>
      <c r="O609">
        <v>0.707234042553192</v>
      </c>
      <c r="P609" t="s">
        <v>5246</v>
      </c>
      <c r="Q609" t="s">
        <v>5247</v>
      </c>
      <c r="R609" t="s">
        <v>319</v>
      </c>
      <c r="S609" t="s">
        <v>320</v>
      </c>
      <c r="V609" t="s">
        <v>5248</v>
      </c>
      <c r="W609" t="s">
        <v>5249</v>
      </c>
      <c r="AF609" t="s">
        <v>5253</v>
      </c>
    </row>
    <row r="610" spans="1:32" hidden="1" x14ac:dyDescent="0.35">
      <c r="A610">
        <v>2629</v>
      </c>
      <c r="B610" t="s">
        <v>5437</v>
      </c>
      <c r="C610" t="s">
        <v>72</v>
      </c>
      <c r="D610" t="s">
        <v>58</v>
      </c>
      <c r="E610">
        <v>993</v>
      </c>
      <c r="F610">
        <v>5</v>
      </c>
      <c r="G610">
        <v>5</v>
      </c>
      <c r="H610">
        <v>1</v>
      </c>
      <c r="I610">
        <v>1</v>
      </c>
      <c r="J610">
        <v>0.88800792864222</v>
      </c>
      <c r="K610">
        <v>0.99900990099009501</v>
      </c>
      <c r="L610">
        <v>0.94024412376023003</v>
      </c>
      <c r="M610">
        <v>0.816831683168317</v>
      </c>
      <c r="N610">
        <v>1</v>
      </c>
      <c r="O610">
        <v>0.86089108910891099</v>
      </c>
      <c r="P610" t="s">
        <v>5438</v>
      </c>
      <c r="Q610" t="s">
        <v>5439</v>
      </c>
      <c r="R610" t="s">
        <v>319</v>
      </c>
      <c r="S610" t="s">
        <v>320</v>
      </c>
      <c r="T610" t="s">
        <v>5440</v>
      </c>
      <c r="U610" t="s">
        <v>5441</v>
      </c>
      <c r="V610" t="s">
        <v>5442</v>
      </c>
      <c r="W610" t="s">
        <v>5443</v>
      </c>
      <c r="X610" t="s">
        <v>5442</v>
      </c>
      <c r="Y610" t="s">
        <v>1022</v>
      </c>
      <c r="Z610" t="s">
        <v>4200</v>
      </c>
      <c r="AA610" t="s">
        <v>4201</v>
      </c>
      <c r="AB610" t="s">
        <v>4200</v>
      </c>
      <c r="AC610" t="s">
        <v>4202</v>
      </c>
      <c r="AD610" t="s">
        <v>5444</v>
      </c>
      <c r="AE610" t="s">
        <v>5445</v>
      </c>
      <c r="AF610" t="s">
        <v>5446</v>
      </c>
    </row>
    <row r="611" spans="1:32" hidden="1" x14ac:dyDescent="0.35">
      <c r="A611">
        <v>2630</v>
      </c>
      <c r="B611" t="s">
        <v>5437</v>
      </c>
      <c r="C611" t="s">
        <v>72</v>
      </c>
      <c r="D611" t="s">
        <v>60</v>
      </c>
      <c r="E611">
        <v>1217</v>
      </c>
      <c r="F611">
        <v>5</v>
      </c>
      <c r="G611">
        <v>5</v>
      </c>
      <c r="H611">
        <v>1</v>
      </c>
      <c r="I611">
        <v>1</v>
      </c>
      <c r="J611">
        <v>0.88800792864222</v>
      </c>
      <c r="K611">
        <v>0.99900990099009501</v>
      </c>
      <c r="L611">
        <v>0.94024412376023003</v>
      </c>
      <c r="M611">
        <v>0.816831683168317</v>
      </c>
      <c r="N611">
        <v>1</v>
      </c>
      <c r="O611">
        <v>0.86089108910891099</v>
      </c>
      <c r="P611" t="s">
        <v>5438</v>
      </c>
      <c r="Q611" t="s">
        <v>5439</v>
      </c>
      <c r="R611" t="s">
        <v>319</v>
      </c>
      <c r="S611" t="s">
        <v>320</v>
      </c>
      <c r="T611" t="s">
        <v>5440</v>
      </c>
      <c r="U611" t="s">
        <v>5441</v>
      </c>
      <c r="V611" t="s">
        <v>5442</v>
      </c>
      <c r="W611" t="s">
        <v>5443</v>
      </c>
      <c r="X611" t="s">
        <v>5442</v>
      </c>
      <c r="Y611" t="s">
        <v>1022</v>
      </c>
      <c r="Z611" t="s">
        <v>4200</v>
      </c>
      <c r="AA611" t="s">
        <v>4201</v>
      </c>
      <c r="AB611" t="s">
        <v>4200</v>
      </c>
      <c r="AC611" t="s">
        <v>4202</v>
      </c>
      <c r="AD611" t="s">
        <v>5444</v>
      </c>
      <c r="AE611" t="s">
        <v>5445</v>
      </c>
      <c r="AF611" t="s">
        <v>5447</v>
      </c>
    </row>
    <row r="612" spans="1:32" hidden="1" x14ac:dyDescent="0.35">
      <c r="A612">
        <v>2631</v>
      </c>
      <c r="B612" t="s">
        <v>5437</v>
      </c>
      <c r="C612" t="s">
        <v>72</v>
      </c>
      <c r="D612" t="s">
        <v>62</v>
      </c>
      <c r="E612">
        <v>1254</v>
      </c>
      <c r="F612">
        <v>5</v>
      </c>
      <c r="G612">
        <v>5</v>
      </c>
      <c r="H612">
        <v>1</v>
      </c>
      <c r="I612">
        <v>1</v>
      </c>
      <c r="J612">
        <v>0.88800792864222</v>
      </c>
      <c r="K612">
        <v>0.99900990099009501</v>
      </c>
      <c r="L612">
        <v>0.94024412376023003</v>
      </c>
      <c r="M612">
        <v>0.816831683168317</v>
      </c>
      <c r="N612">
        <v>1</v>
      </c>
      <c r="O612">
        <v>0.86089108910891099</v>
      </c>
      <c r="P612" t="s">
        <v>5438</v>
      </c>
      <c r="Q612" t="s">
        <v>5439</v>
      </c>
      <c r="R612" t="s">
        <v>319</v>
      </c>
      <c r="S612" t="s">
        <v>320</v>
      </c>
      <c r="T612" t="s">
        <v>5440</v>
      </c>
      <c r="U612" t="s">
        <v>5441</v>
      </c>
      <c r="V612" t="s">
        <v>5442</v>
      </c>
      <c r="W612" t="s">
        <v>5443</v>
      </c>
      <c r="X612" t="s">
        <v>5442</v>
      </c>
      <c r="Y612" t="s">
        <v>1022</v>
      </c>
      <c r="Z612" t="s">
        <v>4200</v>
      </c>
      <c r="AA612" t="s">
        <v>4201</v>
      </c>
      <c r="AB612" t="s">
        <v>4200</v>
      </c>
      <c r="AC612" t="s">
        <v>4202</v>
      </c>
      <c r="AD612" t="s">
        <v>5444</v>
      </c>
      <c r="AE612" t="s">
        <v>5445</v>
      </c>
      <c r="AF612" t="s">
        <v>5447</v>
      </c>
    </row>
    <row r="613" spans="1:32" hidden="1" x14ac:dyDescent="0.35">
      <c r="A613">
        <v>2632</v>
      </c>
      <c r="B613" t="s">
        <v>5437</v>
      </c>
      <c r="C613" t="s">
        <v>72</v>
      </c>
      <c r="D613" t="s">
        <v>34</v>
      </c>
      <c r="E613">
        <v>1786</v>
      </c>
      <c r="F613">
        <v>5</v>
      </c>
      <c r="G613">
        <v>5</v>
      </c>
      <c r="H613">
        <v>1</v>
      </c>
      <c r="I613">
        <v>1</v>
      </c>
      <c r="J613">
        <v>0.88800792864222</v>
      </c>
      <c r="K613">
        <v>0.99900990099009501</v>
      </c>
      <c r="L613">
        <v>0.94024412376023003</v>
      </c>
      <c r="M613">
        <v>0.816831683168317</v>
      </c>
      <c r="N613">
        <v>1</v>
      </c>
      <c r="O613">
        <v>0.86089108910891099</v>
      </c>
      <c r="P613" t="s">
        <v>5438</v>
      </c>
      <c r="Q613" t="s">
        <v>5439</v>
      </c>
      <c r="R613" t="s">
        <v>319</v>
      </c>
      <c r="S613" t="s">
        <v>320</v>
      </c>
      <c r="T613" t="s">
        <v>5440</v>
      </c>
      <c r="U613" t="s">
        <v>5441</v>
      </c>
      <c r="V613" t="s">
        <v>5442</v>
      </c>
      <c r="W613" t="s">
        <v>5443</v>
      </c>
      <c r="X613" t="s">
        <v>5442</v>
      </c>
      <c r="Y613" t="s">
        <v>1022</v>
      </c>
      <c r="Z613" t="s">
        <v>4200</v>
      </c>
      <c r="AA613" t="s">
        <v>4201</v>
      </c>
      <c r="AB613" t="s">
        <v>4200</v>
      </c>
      <c r="AC613" t="s">
        <v>4202</v>
      </c>
      <c r="AD613" t="s">
        <v>5444</v>
      </c>
      <c r="AE613" t="s">
        <v>5445</v>
      </c>
      <c r="AF613" t="s">
        <v>5448</v>
      </c>
    </row>
    <row r="614" spans="1:32" hidden="1" x14ac:dyDescent="0.35">
      <c r="A614">
        <v>2633</v>
      </c>
      <c r="B614" t="s">
        <v>5437</v>
      </c>
      <c r="C614" t="s">
        <v>72</v>
      </c>
      <c r="D614" t="s">
        <v>45</v>
      </c>
      <c r="E614">
        <v>1087</v>
      </c>
      <c r="F614">
        <v>5</v>
      </c>
      <c r="G614">
        <v>5</v>
      </c>
      <c r="H614">
        <v>1</v>
      </c>
      <c r="I614">
        <v>1</v>
      </c>
      <c r="J614">
        <v>0.88800792864222</v>
      </c>
      <c r="K614">
        <v>0.99900990099009501</v>
      </c>
      <c r="L614">
        <v>0.94024412376023003</v>
      </c>
      <c r="M614">
        <v>0.816831683168317</v>
      </c>
      <c r="N614">
        <v>1</v>
      </c>
      <c r="O614">
        <v>0.86089108910891099</v>
      </c>
      <c r="P614" t="s">
        <v>5438</v>
      </c>
      <c r="Q614" t="s">
        <v>5439</v>
      </c>
      <c r="R614" t="s">
        <v>319</v>
      </c>
      <c r="S614" t="s">
        <v>320</v>
      </c>
      <c r="T614" t="s">
        <v>5440</v>
      </c>
      <c r="U614" t="s">
        <v>5441</v>
      </c>
      <c r="V614" t="s">
        <v>5442</v>
      </c>
      <c r="W614" t="s">
        <v>5443</v>
      </c>
      <c r="X614" t="s">
        <v>5442</v>
      </c>
      <c r="Y614" t="s">
        <v>1022</v>
      </c>
      <c r="Z614" t="s">
        <v>4200</v>
      </c>
      <c r="AA614" t="s">
        <v>4201</v>
      </c>
      <c r="AB614" t="s">
        <v>4200</v>
      </c>
      <c r="AC614" t="s">
        <v>4202</v>
      </c>
      <c r="AD614" t="s">
        <v>5444</v>
      </c>
      <c r="AE614" t="s">
        <v>5445</v>
      </c>
      <c r="AF614" t="s">
        <v>5449</v>
      </c>
    </row>
    <row r="615" spans="1:32" hidden="1" x14ac:dyDescent="0.35">
      <c r="A615">
        <v>2684</v>
      </c>
      <c r="B615" t="s">
        <v>5546</v>
      </c>
      <c r="C615" t="s">
        <v>72</v>
      </c>
      <c r="D615" t="s">
        <v>58</v>
      </c>
      <c r="E615">
        <v>679</v>
      </c>
      <c r="F615">
        <v>5</v>
      </c>
      <c r="G615">
        <v>5</v>
      </c>
      <c r="H615">
        <v>1</v>
      </c>
      <c r="I615">
        <v>1</v>
      </c>
      <c r="J615">
        <v>0.89494707409626495</v>
      </c>
      <c r="K615">
        <v>0.97356997937019796</v>
      </c>
      <c r="L615">
        <v>0.93260439111208604</v>
      </c>
      <c r="M615">
        <v>0.80466472303207004</v>
      </c>
      <c r="N615">
        <v>1</v>
      </c>
      <c r="O615">
        <v>0.85539358600583104</v>
      </c>
      <c r="P615" t="s">
        <v>5547</v>
      </c>
      <c r="Q615" t="s">
        <v>5548</v>
      </c>
      <c r="R615" t="s">
        <v>319</v>
      </c>
      <c r="S615" t="s">
        <v>320</v>
      </c>
      <c r="T615" t="s">
        <v>5549</v>
      </c>
      <c r="U615" t="s">
        <v>5550</v>
      </c>
      <c r="V615" t="s">
        <v>5551</v>
      </c>
      <c r="W615" t="s">
        <v>5552</v>
      </c>
      <c r="Z615" t="s">
        <v>5553</v>
      </c>
      <c r="AA615" t="s">
        <v>5554</v>
      </c>
      <c r="AB615" t="s">
        <v>5553</v>
      </c>
      <c r="AC615" t="s">
        <v>5555</v>
      </c>
      <c r="AD615" t="s">
        <v>590</v>
      </c>
      <c r="AE615" t="s">
        <v>5556</v>
      </c>
      <c r="AF615" t="s">
        <v>5557</v>
      </c>
    </row>
    <row r="616" spans="1:32" hidden="1" x14ac:dyDescent="0.35">
      <c r="A616">
        <v>2685</v>
      </c>
      <c r="B616" t="s">
        <v>5546</v>
      </c>
      <c r="C616" t="s">
        <v>72</v>
      </c>
      <c r="D616" t="s">
        <v>60</v>
      </c>
      <c r="E616">
        <v>873</v>
      </c>
      <c r="F616">
        <v>5</v>
      </c>
      <c r="G616">
        <v>5</v>
      </c>
      <c r="H616">
        <v>1</v>
      </c>
      <c r="I616">
        <v>1</v>
      </c>
      <c r="J616">
        <v>0.89494707409626495</v>
      </c>
      <c r="K616">
        <v>0.97356997937019796</v>
      </c>
      <c r="L616">
        <v>0.93260439111208604</v>
      </c>
      <c r="M616">
        <v>0.80466472303207004</v>
      </c>
      <c r="N616">
        <v>1</v>
      </c>
      <c r="O616">
        <v>0.85539358600583104</v>
      </c>
      <c r="P616" t="s">
        <v>5547</v>
      </c>
      <c r="Q616" t="s">
        <v>5548</v>
      </c>
      <c r="R616" t="s">
        <v>319</v>
      </c>
      <c r="S616" t="s">
        <v>320</v>
      </c>
      <c r="T616" t="s">
        <v>5549</v>
      </c>
      <c r="U616" t="s">
        <v>5550</v>
      </c>
      <c r="V616" t="s">
        <v>5551</v>
      </c>
      <c r="W616" t="s">
        <v>5552</v>
      </c>
      <c r="Z616" t="s">
        <v>5553</v>
      </c>
      <c r="AA616" t="s">
        <v>5554</v>
      </c>
      <c r="AB616" t="s">
        <v>5553</v>
      </c>
      <c r="AC616" t="s">
        <v>5555</v>
      </c>
      <c r="AD616" t="s">
        <v>590</v>
      </c>
      <c r="AE616" t="s">
        <v>5556</v>
      </c>
      <c r="AF616" t="s">
        <v>5558</v>
      </c>
    </row>
    <row r="617" spans="1:32" hidden="1" x14ac:dyDescent="0.35">
      <c r="A617">
        <v>2686</v>
      </c>
      <c r="B617" t="s">
        <v>5546</v>
      </c>
      <c r="C617" t="s">
        <v>72</v>
      </c>
      <c r="D617" t="s">
        <v>62</v>
      </c>
      <c r="E617">
        <v>907</v>
      </c>
      <c r="F617">
        <v>5</v>
      </c>
      <c r="G617">
        <v>5</v>
      </c>
      <c r="H617">
        <v>1</v>
      </c>
      <c r="I617">
        <v>1</v>
      </c>
      <c r="J617">
        <v>0.89494707409626495</v>
      </c>
      <c r="K617">
        <v>0.97356997937019796</v>
      </c>
      <c r="L617">
        <v>0.93260439111208604</v>
      </c>
      <c r="M617">
        <v>0.80466472303207004</v>
      </c>
      <c r="N617">
        <v>1</v>
      </c>
      <c r="O617">
        <v>0.85539358600583104</v>
      </c>
      <c r="P617" t="s">
        <v>5547</v>
      </c>
      <c r="Q617" t="s">
        <v>5548</v>
      </c>
      <c r="R617" t="s">
        <v>319</v>
      </c>
      <c r="S617" t="s">
        <v>320</v>
      </c>
      <c r="T617" t="s">
        <v>5549</v>
      </c>
      <c r="U617" t="s">
        <v>5550</v>
      </c>
      <c r="V617" t="s">
        <v>5551</v>
      </c>
      <c r="W617" t="s">
        <v>5552</v>
      </c>
      <c r="Z617" t="s">
        <v>5553</v>
      </c>
      <c r="AA617" t="s">
        <v>5554</v>
      </c>
      <c r="AB617" t="s">
        <v>5553</v>
      </c>
      <c r="AC617" t="s">
        <v>5555</v>
      </c>
      <c r="AD617" t="s">
        <v>590</v>
      </c>
      <c r="AE617" t="s">
        <v>5556</v>
      </c>
      <c r="AF617" t="s">
        <v>5558</v>
      </c>
    </row>
    <row r="618" spans="1:32" hidden="1" x14ac:dyDescent="0.35">
      <c r="A618">
        <v>2687</v>
      </c>
      <c r="B618" t="s">
        <v>5546</v>
      </c>
      <c r="C618" t="s">
        <v>72</v>
      </c>
      <c r="D618" t="s">
        <v>34</v>
      </c>
      <c r="E618">
        <v>283</v>
      </c>
      <c r="F618">
        <v>5</v>
      </c>
      <c r="G618">
        <v>5</v>
      </c>
      <c r="H618">
        <v>1</v>
      </c>
      <c r="I618">
        <v>1</v>
      </c>
      <c r="J618">
        <v>0.89494707409626495</v>
      </c>
      <c r="K618">
        <v>0.97356997937019796</v>
      </c>
      <c r="L618">
        <v>0.93260439111208604</v>
      </c>
      <c r="M618">
        <v>0.80466472303207004</v>
      </c>
      <c r="N618">
        <v>1</v>
      </c>
      <c r="O618">
        <v>0.85539358600583104</v>
      </c>
      <c r="P618" t="s">
        <v>5547</v>
      </c>
      <c r="Q618" t="s">
        <v>5548</v>
      </c>
      <c r="R618" t="s">
        <v>319</v>
      </c>
      <c r="S618" t="s">
        <v>320</v>
      </c>
      <c r="T618" t="s">
        <v>5549</v>
      </c>
      <c r="U618" t="s">
        <v>5550</v>
      </c>
      <c r="V618" t="s">
        <v>5551</v>
      </c>
      <c r="W618" t="s">
        <v>5552</v>
      </c>
      <c r="Z618" t="s">
        <v>5553</v>
      </c>
      <c r="AA618" t="s">
        <v>5554</v>
      </c>
      <c r="AB618" t="s">
        <v>5553</v>
      </c>
      <c r="AC618" t="s">
        <v>5555</v>
      </c>
      <c r="AD618" t="s">
        <v>590</v>
      </c>
      <c r="AE618" t="s">
        <v>5556</v>
      </c>
      <c r="AF618" t="s">
        <v>5559</v>
      </c>
    </row>
    <row r="619" spans="1:32" hidden="1" x14ac:dyDescent="0.35">
      <c r="A619">
        <v>2688</v>
      </c>
      <c r="B619" t="s">
        <v>5546</v>
      </c>
      <c r="C619" t="s">
        <v>72</v>
      </c>
      <c r="D619" t="s">
        <v>45</v>
      </c>
      <c r="E619">
        <v>1545</v>
      </c>
      <c r="F619">
        <v>5</v>
      </c>
      <c r="G619">
        <v>5</v>
      </c>
      <c r="H619">
        <v>1</v>
      </c>
      <c r="I619">
        <v>1</v>
      </c>
      <c r="J619">
        <v>0.89494707409626495</v>
      </c>
      <c r="K619">
        <v>0.97356997937019796</v>
      </c>
      <c r="L619">
        <v>0.93260439111208604</v>
      </c>
      <c r="M619">
        <v>0.80466472303207004</v>
      </c>
      <c r="N619">
        <v>1</v>
      </c>
      <c r="O619">
        <v>0.85539358600583104</v>
      </c>
      <c r="P619" t="s">
        <v>5547</v>
      </c>
      <c r="Q619" t="s">
        <v>5548</v>
      </c>
      <c r="R619" t="s">
        <v>319</v>
      </c>
      <c r="S619" t="s">
        <v>320</v>
      </c>
      <c r="T619" t="s">
        <v>5549</v>
      </c>
      <c r="U619" t="s">
        <v>5550</v>
      </c>
      <c r="V619" t="s">
        <v>5551</v>
      </c>
      <c r="W619" t="s">
        <v>5552</v>
      </c>
      <c r="Z619" t="s">
        <v>5553</v>
      </c>
      <c r="AA619" t="s">
        <v>5554</v>
      </c>
      <c r="AB619" t="s">
        <v>5553</v>
      </c>
      <c r="AC619" t="s">
        <v>5555</v>
      </c>
      <c r="AD619" t="s">
        <v>590</v>
      </c>
      <c r="AE619" t="s">
        <v>5556</v>
      </c>
      <c r="AF619" t="s">
        <v>5559</v>
      </c>
    </row>
    <row r="620" spans="1:32" hidden="1" x14ac:dyDescent="0.35">
      <c r="A620">
        <v>2699</v>
      </c>
      <c r="B620" t="s">
        <v>5579</v>
      </c>
      <c r="C620" t="s">
        <v>72</v>
      </c>
      <c r="D620" t="s">
        <v>58</v>
      </c>
      <c r="E620">
        <v>165</v>
      </c>
      <c r="F620">
        <v>5</v>
      </c>
      <c r="G620">
        <v>5</v>
      </c>
      <c r="H620">
        <v>1</v>
      </c>
      <c r="I620">
        <v>1</v>
      </c>
      <c r="J620">
        <v>0.88418648394464605</v>
      </c>
      <c r="K620">
        <v>0.99638554216867603</v>
      </c>
      <c r="L620">
        <v>0.93693899191321195</v>
      </c>
      <c r="M620">
        <v>0.81927710843373502</v>
      </c>
      <c r="N620">
        <v>1</v>
      </c>
      <c r="O620">
        <v>0.86506024096385503</v>
      </c>
      <c r="P620" t="s">
        <v>1444</v>
      </c>
      <c r="Q620" t="s">
        <v>1445</v>
      </c>
      <c r="R620" t="s">
        <v>319</v>
      </c>
      <c r="S620" t="s">
        <v>320</v>
      </c>
      <c r="T620" t="s">
        <v>5580</v>
      </c>
      <c r="U620" t="s">
        <v>5581</v>
      </c>
      <c r="V620" t="s">
        <v>5582</v>
      </c>
      <c r="W620" t="s">
        <v>5583</v>
      </c>
      <c r="X620" t="s">
        <v>5582</v>
      </c>
      <c r="Y620" t="s">
        <v>1022</v>
      </c>
      <c r="Z620" t="s">
        <v>5584</v>
      </c>
      <c r="AA620" t="s">
        <v>5585</v>
      </c>
      <c r="AB620" t="s">
        <v>5584</v>
      </c>
      <c r="AC620" t="s">
        <v>165</v>
      </c>
      <c r="AD620" t="s">
        <v>5586</v>
      </c>
      <c r="AE620" t="s">
        <v>5587</v>
      </c>
      <c r="AF620" t="s">
        <v>5588</v>
      </c>
    </row>
    <row r="621" spans="1:32" hidden="1" x14ac:dyDescent="0.35">
      <c r="A621">
        <v>2700</v>
      </c>
      <c r="B621" t="s">
        <v>5579</v>
      </c>
      <c r="C621" t="s">
        <v>72</v>
      </c>
      <c r="D621" t="s">
        <v>60</v>
      </c>
      <c r="E621">
        <v>296</v>
      </c>
      <c r="F621">
        <v>5</v>
      </c>
      <c r="G621">
        <v>5</v>
      </c>
      <c r="H621">
        <v>1</v>
      </c>
      <c r="I621">
        <v>1</v>
      </c>
      <c r="J621">
        <v>0.88418648394464605</v>
      </c>
      <c r="K621">
        <v>0.99638554216867603</v>
      </c>
      <c r="L621">
        <v>0.93693899191321195</v>
      </c>
      <c r="M621">
        <v>0.81927710843373502</v>
      </c>
      <c r="N621">
        <v>1</v>
      </c>
      <c r="O621">
        <v>0.86506024096385503</v>
      </c>
      <c r="P621" t="s">
        <v>1444</v>
      </c>
      <c r="Q621" t="s">
        <v>1445</v>
      </c>
      <c r="R621" t="s">
        <v>319</v>
      </c>
      <c r="S621" t="s">
        <v>320</v>
      </c>
      <c r="T621" t="s">
        <v>5580</v>
      </c>
      <c r="U621" t="s">
        <v>5581</v>
      </c>
      <c r="V621" t="s">
        <v>5582</v>
      </c>
      <c r="W621" t="s">
        <v>5583</v>
      </c>
      <c r="X621" t="s">
        <v>5582</v>
      </c>
      <c r="Y621" t="s">
        <v>1022</v>
      </c>
      <c r="Z621" t="s">
        <v>5584</v>
      </c>
      <c r="AA621" t="s">
        <v>5585</v>
      </c>
      <c r="AB621" t="s">
        <v>5584</v>
      </c>
      <c r="AC621" t="s">
        <v>165</v>
      </c>
      <c r="AD621" t="s">
        <v>5586</v>
      </c>
      <c r="AE621" t="s">
        <v>5587</v>
      </c>
      <c r="AF621" t="s">
        <v>5589</v>
      </c>
    </row>
    <row r="622" spans="1:32" hidden="1" x14ac:dyDescent="0.35">
      <c r="A622">
        <v>2701</v>
      </c>
      <c r="B622" t="s">
        <v>5579</v>
      </c>
      <c r="C622" t="s">
        <v>72</v>
      </c>
      <c r="D622" t="s">
        <v>62</v>
      </c>
      <c r="E622">
        <v>376</v>
      </c>
      <c r="F622">
        <v>5</v>
      </c>
      <c r="G622">
        <v>5</v>
      </c>
      <c r="H622">
        <v>1</v>
      </c>
      <c r="I622">
        <v>1</v>
      </c>
      <c r="J622">
        <v>0.88418648394464605</v>
      </c>
      <c r="K622">
        <v>0.99638554216867603</v>
      </c>
      <c r="L622">
        <v>0.93693899191321195</v>
      </c>
      <c r="M622">
        <v>0.81927710843373502</v>
      </c>
      <c r="N622">
        <v>1</v>
      </c>
      <c r="O622">
        <v>0.86506024096385503</v>
      </c>
      <c r="P622" t="s">
        <v>1444</v>
      </c>
      <c r="Q622" t="s">
        <v>1445</v>
      </c>
      <c r="R622" t="s">
        <v>319</v>
      </c>
      <c r="S622" t="s">
        <v>320</v>
      </c>
      <c r="T622" t="s">
        <v>5580</v>
      </c>
      <c r="U622" t="s">
        <v>5581</v>
      </c>
      <c r="V622" t="s">
        <v>5582</v>
      </c>
      <c r="W622" t="s">
        <v>5583</v>
      </c>
      <c r="X622" t="s">
        <v>5582</v>
      </c>
      <c r="Y622" t="s">
        <v>1022</v>
      </c>
      <c r="Z622" t="s">
        <v>5584</v>
      </c>
      <c r="AA622" t="s">
        <v>5585</v>
      </c>
      <c r="AB622" t="s">
        <v>5584</v>
      </c>
      <c r="AC622" t="s">
        <v>165</v>
      </c>
      <c r="AD622" t="s">
        <v>5586</v>
      </c>
      <c r="AE622" t="s">
        <v>5587</v>
      </c>
      <c r="AF622" t="s">
        <v>5589</v>
      </c>
    </row>
    <row r="623" spans="1:32" hidden="1" x14ac:dyDescent="0.35">
      <c r="A623">
        <v>2702</v>
      </c>
      <c r="B623" t="s">
        <v>5579</v>
      </c>
      <c r="C623" t="s">
        <v>72</v>
      </c>
      <c r="D623" t="s">
        <v>34</v>
      </c>
      <c r="E623">
        <v>858</v>
      </c>
      <c r="F623">
        <v>5</v>
      </c>
      <c r="G623">
        <v>5</v>
      </c>
      <c r="H623">
        <v>1</v>
      </c>
      <c r="I623">
        <v>1</v>
      </c>
      <c r="J623">
        <v>0.88418648394464605</v>
      </c>
      <c r="K623">
        <v>0.99638554216867603</v>
      </c>
      <c r="L623">
        <v>0.93693899191321195</v>
      </c>
      <c r="M623">
        <v>0.81927710843373502</v>
      </c>
      <c r="N623">
        <v>1</v>
      </c>
      <c r="O623">
        <v>0.86506024096385503</v>
      </c>
      <c r="P623" t="s">
        <v>1444</v>
      </c>
      <c r="Q623" t="s">
        <v>1445</v>
      </c>
      <c r="R623" t="s">
        <v>319</v>
      </c>
      <c r="S623" t="s">
        <v>320</v>
      </c>
      <c r="T623" t="s">
        <v>5580</v>
      </c>
      <c r="U623" t="s">
        <v>5581</v>
      </c>
      <c r="V623" t="s">
        <v>5582</v>
      </c>
      <c r="W623" t="s">
        <v>5583</v>
      </c>
      <c r="X623" t="s">
        <v>5582</v>
      </c>
      <c r="Y623" t="s">
        <v>1022</v>
      </c>
      <c r="Z623" t="s">
        <v>5584</v>
      </c>
      <c r="AA623" t="s">
        <v>5585</v>
      </c>
      <c r="AB623" t="s">
        <v>5584</v>
      </c>
      <c r="AC623" t="s">
        <v>165</v>
      </c>
      <c r="AD623" t="s">
        <v>5586</v>
      </c>
      <c r="AE623" t="s">
        <v>5587</v>
      </c>
      <c r="AF623" t="s">
        <v>5590</v>
      </c>
    </row>
    <row r="624" spans="1:32" hidden="1" x14ac:dyDescent="0.35">
      <c r="A624">
        <v>2703</v>
      </c>
      <c r="B624" t="s">
        <v>5579</v>
      </c>
      <c r="C624" t="s">
        <v>72</v>
      </c>
      <c r="D624" t="s">
        <v>45</v>
      </c>
      <c r="E624">
        <v>2115</v>
      </c>
      <c r="F624">
        <v>5</v>
      </c>
      <c r="G624">
        <v>5</v>
      </c>
      <c r="H624">
        <v>1</v>
      </c>
      <c r="I624">
        <v>1</v>
      </c>
      <c r="J624">
        <v>0.88418648394464605</v>
      </c>
      <c r="K624">
        <v>0.99638554216867603</v>
      </c>
      <c r="L624">
        <v>0.93693899191321195</v>
      </c>
      <c r="M624">
        <v>0.81927710843373502</v>
      </c>
      <c r="N624">
        <v>1</v>
      </c>
      <c r="O624">
        <v>0.86506024096385503</v>
      </c>
      <c r="P624" t="s">
        <v>1444</v>
      </c>
      <c r="Q624" t="s">
        <v>1445</v>
      </c>
      <c r="R624" t="s">
        <v>319</v>
      </c>
      <c r="S624" t="s">
        <v>320</v>
      </c>
      <c r="T624" t="s">
        <v>5580</v>
      </c>
      <c r="U624" t="s">
        <v>5581</v>
      </c>
      <c r="V624" t="s">
        <v>5582</v>
      </c>
      <c r="W624" t="s">
        <v>5583</v>
      </c>
      <c r="X624" t="s">
        <v>5582</v>
      </c>
      <c r="Y624" t="s">
        <v>1022</v>
      </c>
      <c r="Z624" t="s">
        <v>5584</v>
      </c>
      <c r="AA624" t="s">
        <v>5585</v>
      </c>
      <c r="AB624" t="s">
        <v>5584</v>
      </c>
      <c r="AC624" t="s">
        <v>165</v>
      </c>
      <c r="AD624" t="s">
        <v>5586</v>
      </c>
      <c r="AE624" t="s">
        <v>5587</v>
      </c>
      <c r="AF624" t="s">
        <v>5590</v>
      </c>
    </row>
    <row r="625" spans="1:32" hidden="1" x14ac:dyDescent="0.35">
      <c r="A625">
        <v>2884</v>
      </c>
      <c r="B625" t="s">
        <v>5955</v>
      </c>
      <c r="C625" t="s">
        <v>72</v>
      </c>
      <c r="D625" t="s">
        <v>58</v>
      </c>
      <c r="E625">
        <v>267</v>
      </c>
      <c r="F625">
        <v>5</v>
      </c>
      <c r="G625">
        <v>5</v>
      </c>
      <c r="H625">
        <v>1</v>
      </c>
      <c r="I625">
        <v>1</v>
      </c>
      <c r="J625">
        <v>0.82559139784946201</v>
      </c>
      <c r="K625">
        <v>0.88639746482930704</v>
      </c>
      <c r="L625">
        <v>0.85491458267267895</v>
      </c>
      <c r="M625">
        <v>0.60169491525423702</v>
      </c>
      <c r="N625">
        <v>1</v>
      </c>
      <c r="O625">
        <v>0.69887005649717504</v>
      </c>
      <c r="P625" t="s">
        <v>317</v>
      </c>
      <c r="Q625" t="s">
        <v>318</v>
      </c>
      <c r="R625" t="s">
        <v>319</v>
      </c>
      <c r="S625" t="s">
        <v>320</v>
      </c>
      <c r="T625" t="s">
        <v>5956</v>
      </c>
      <c r="U625" t="s">
        <v>5957</v>
      </c>
      <c r="V625" t="s">
        <v>321</v>
      </c>
      <c r="W625" t="s">
        <v>322</v>
      </c>
      <c r="AD625" t="s">
        <v>166</v>
      </c>
      <c r="AE625" t="s">
        <v>4253</v>
      </c>
      <c r="AF625" t="e">
        <f>---------------------------------------------------------------MDTDRAVVAMVSHGAPGDTFWDLVRKGAEDAAKKDNIELRYSSDPQAPNQANLVQSAIDSGVDGIAVTLPNAQAIGPAAKAAVDAGIPVVGLNAGMNDYQDYGLTGFFGQDEKVAGTLAGERLKEEGAKKVLCVIHEQGNSSQEARCQGVKDGAG--ANVENLYVNGQDLTSVTSTIQAKLAQDPSVDYVMSLVAPVGLAAVNSVKDAGSQAKVATFDTNAELVEAIKDGRIRFAVDQQPYVQGYMAVDSLWLAMRNGSTIGGGRPVYTGPAFVDKGNVDKIEEAAKAGLR</f>
        <v>#NAME?</v>
      </c>
    </row>
    <row r="626" spans="1:32" hidden="1" x14ac:dyDescent="0.35">
      <c r="A626">
        <v>2885</v>
      </c>
      <c r="B626" t="s">
        <v>5955</v>
      </c>
      <c r="C626" t="s">
        <v>72</v>
      </c>
      <c r="D626" t="s">
        <v>60</v>
      </c>
      <c r="E626">
        <v>416</v>
      </c>
      <c r="F626">
        <v>5</v>
      </c>
      <c r="G626">
        <v>5</v>
      </c>
      <c r="H626">
        <v>1</v>
      </c>
      <c r="I626">
        <v>1</v>
      </c>
      <c r="J626">
        <v>0.82559139784946201</v>
      </c>
      <c r="K626">
        <v>0.88639746482930704</v>
      </c>
      <c r="L626">
        <v>0.85491458267267895</v>
      </c>
      <c r="M626">
        <v>0.60169491525423702</v>
      </c>
      <c r="N626">
        <v>1</v>
      </c>
      <c r="O626">
        <v>0.69887005649717504</v>
      </c>
      <c r="P626" t="s">
        <v>317</v>
      </c>
      <c r="Q626" t="s">
        <v>318</v>
      </c>
      <c r="R626" t="s">
        <v>319</v>
      </c>
      <c r="S626" t="s">
        <v>320</v>
      </c>
      <c r="T626" t="s">
        <v>5956</v>
      </c>
      <c r="U626" t="s">
        <v>5957</v>
      </c>
      <c r="V626" t="s">
        <v>321</v>
      </c>
      <c r="W626" t="s">
        <v>322</v>
      </c>
      <c r="AD626" t="s">
        <v>166</v>
      </c>
      <c r="AE626" t="s">
        <v>4253</v>
      </c>
      <c r="AF626" t="s">
        <v>5958</v>
      </c>
    </row>
    <row r="627" spans="1:32" hidden="1" x14ac:dyDescent="0.35">
      <c r="A627">
        <v>2886</v>
      </c>
      <c r="B627" t="s">
        <v>5955</v>
      </c>
      <c r="C627" t="s">
        <v>72</v>
      </c>
      <c r="D627" t="s">
        <v>62</v>
      </c>
      <c r="E627">
        <v>497</v>
      </c>
      <c r="F627">
        <v>5</v>
      </c>
      <c r="G627">
        <v>5</v>
      </c>
      <c r="H627">
        <v>1</v>
      </c>
      <c r="I627">
        <v>1</v>
      </c>
      <c r="J627">
        <v>0.82559139784946201</v>
      </c>
      <c r="K627">
        <v>0.88639746482930704</v>
      </c>
      <c r="L627">
        <v>0.85491458267267895</v>
      </c>
      <c r="M627">
        <v>0.60169491525423702</v>
      </c>
      <c r="N627">
        <v>1</v>
      </c>
      <c r="O627">
        <v>0.69887005649717504</v>
      </c>
      <c r="P627" t="s">
        <v>317</v>
      </c>
      <c r="Q627" t="s">
        <v>318</v>
      </c>
      <c r="R627" t="s">
        <v>319</v>
      </c>
      <c r="S627" t="s">
        <v>320</v>
      </c>
      <c r="T627" t="s">
        <v>5956</v>
      </c>
      <c r="U627" t="s">
        <v>5957</v>
      </c>
      <c r="V627" t="s">
        <v>321</v>
      </c>
      <c r="W627" t="s">
        <v>322</v>
      </c>
      <c r="AD627" t="s">
        <v>166</v>
      </c>
      <c r="AE627" t="s">
        <v>4253</v>
      </c>
      <c r="AF627" t="s">
        <v>5958</v>
      </c>
    </row>
    <row r="628" spans="1:32" hidden="1" x14ac:dyDescent="0.35">
      <c r="A628">
        <v>2887</v>
      </c>
      <c r="B628" t="s">
        <v>5955</v>
      </c>
      <c r="C628" t="s">
        <v>72</v>
      </c>
      <c r="D628" t="s">
        <v>34</v>
      </c>
      <c r="E628">
        <v>1055</v>
      </c>
      <c r="F628">
        <v>5</v>
      </c>
      <c r="G628">
        <v>5</v>
      </c>
      <c r="H628">
        <v>1</v>
      </c>
      <c r="I628">
        <v>1</v>
      </c>
      <c r="J628">
        <v>0.82559139784946201</v>
      </c>
      <c r="K628">
        <v>0.88639746482930704</v>
      </c>
      <c r="L628">
        <v>0.85491458267267895</v>
      </c>
      <c r="M628">
        <v>0.60169491525423702</v>
      </c>
      <c r="N628">
        <v>1</v>
      </c>
      <c r="O628">
        <v>0.69887005649717504</v>
      </c>
      <c r="P628" t="s">
        <v>317</v>
      </c>
      <c r="Q628" t="s">
        <v>318</v>
      </c>
      <c r="R628" t="s">
        <v>319</v>
      </c>
      <c r="S628" t="s">
        <v>320</v>
      </c>
      <c r="T628" t="s">
        <v>5956</v>
      </c>
      <c r="U628" t="s">
        <v>5957</v>
      </c>
      <c r="V628" t="s">
        <v>321</v>
      </c>
      <c r="W628" t="s">
        <v>322</v>
      </c>
      <c r="AD628" t="s">
        <v>166</v>
      </c>
      <c r="AE628" t="s">
        <v>4253</v>
      </c>
      <c r="AF628" t="e">
        <f>----------------------------MSVIIGVTLVGGLTSCSSTGGRSAENS-------GLETPRYVVAMITHGAPGDTFWDLVRKGAEDAAKKDNLELRYSNDPQAPNQANLVQSAIDSQVDGIALTMPNADALGPVAKRAADSGIPTVALNAGMDEYRDYDVTAFFGQEEKIAGEQAGKRLAEENAGHVLCVIHEQGNSSQESRCAGIKEGLG-GGELDILYVNGQDLTAAQATMQAKLAQDTSIDWIMGLQAPVAMRAIDAVTAAGTNTKIATFDTNAELVDAIRTQKIVWAVDQQPYLQGYLAIDSLWLAKRNGGVMGGNRPVYTGPSFIDAGNVSNIADAAQKGLR</f>
        <v>#NAME?</v>
      </c>
    </row>
    <row r="629" spans="1:32" hidden="1" x14ac:dyDescent="0.35">
      <c r="A629">
        <v>2888</v>
      </c>
      <c r="B629" t="s">
        <v>5955</v>
      </c>
      <c r="C629" t="s">
        <v>72</v>
      </c>
      <c r="D629" t="s">
        <v>45</v>
      </c>
      <c r="E629">
        <v>2311</v>
      </c>
      <c r="F629">
        <v>5</v>
      </c>
      <c r="G629">
        <v>5</v>
      </c>
      <c r="H629">
        <v>1</v>
      </c>
      <c r="I629">
        <v>1</v>
      </c>
      <c r="J629">
        <v>0.82559139784946201</v>
      </c>
      <c r="K629">
        <v>0.88639746482930704</v>
      </c>
      <c r="L629">
        <v>0.85491458267267895</v>
      </c>
      <c r="M629">
        <v>0.60169491525423702</v>
      </c>
      <c r="N629">
        <v>1</v>
      </c>
      <c r="O629">
        <v>0.69887005649717504</v>
      </c>
      <c r="P629" t="s">
        <v>317</v>
      </c>
      <c r="Q629" t="s">
        <v>318</v>
      </c>
      <c r="R629" t="s">
        <v>319</v>
      </c>
      <c r="S629" t="s">
        <v>320</v>
      </c>
      <c r="T629" t="s">
        <v>5956</v>
      </c>
      <c r="U629" t="s">
        <v>5957</v>
      </c>
      <c r="V629" t="s">
        <v>321</v>
      </c>
      <c r="W629" t="s">
        <v>322</v>
      </c>
      <c r="AD629" t="s">
        <v>166</v>
      </c>
      <c r="AE629" t="s">
        <v>4253</v>
      </c>
      <c r="AF629" t="e">
        <f>----------------------------MSVIIGVTLVGGLTSCSSTGGRSAENS-------GLETPRYVVAMITHGAPGDTFWDLVRKGAEDAAKKDNLELRYSNDPQAPNQANLVQSAIDSQVDGIALTMPNADALGPVAKRAADSGIPTVALNAGMDEYRDYDVSAFFGQEEKIAGEQAGKRLAEENAGHVLCVIHEQGNSSQESRCAGIKEGLG-GGELDILYVNGQDLTAAQATMQAKLAQDTSIDWIMGLQAPVAMRAIDAVTAAGTNTKIATFDTNAELVDAIRTQKIVWAVDQQPYLQGYLAIDSLWLAKRNGGVMGGNRPVYTGPSFIDAGNVSNIADAAQKGLR</f>
        <v>#NAME?</v>
      </c>
    </row>
    <row r="630" spans="1:32" hidden="1" x14ac:dyDescent="0.35">
      <c r="A630">
        <v>2909</v>
      </c>
      <c r="B630" t="s">
        <v>5991</v>
      </c>
      <c r="C630" t="s">
        <v>72</v>
      </c>
      <c r="D630" t="s">
        <v>58</v>
      </c>
      <c r="E630">
        <v>1001</v>
      </c>
      <c r="F630">
        <v>5</v>
      </c>
      <c r="G630">
        <v>5</v>
      </c>
      <c r="H630">
        <v>1</v>
      </c>
      <c r="I630">
        <v>1</v>
      </c>
      <c r="J630">
        <v>0.82806535348908195</v>
      </c>
      <c r="K630">
        <v>0.97079365079364899</v>
      </c>
      <c r="L630">
        <v>0.89376719987004805</v>
      </c>
      <c r="M630">
        <v>0.71111111111111103</v>
      </c>
      <c r="N630">
        <v>1</v>
      </c>
      <c r="O630">
        <v>0.78666666666666696</v>
      </c>
      <c r="P630" t="s">
        <v>5992</v>
      </c>
      <c r="Q630" t="s">
        <v>5993</v>
      </c>
      <c r="R630" t="s">
        <v>319</v>
      </c>
      <c r="S630" t="s">
        <v>320</v>
      </c>
      <c r="T630" t="s">
        <v>5994</v>
      </c>
      <c r="U630" t="s">
        <v>5995</v>
      </c>
      <c r="V630" t="s">
        <v>5996</v>
      </c>
      <c r="W630" t="s">
        <v>5997</v>
      </c>
      <c r="X630" t="s">
        <v>5996</v>
      </c>
      <c r="Y630" t="s">
        <v>5998</v>
      </c>
      <c r="Z630" t="s">
        <v>5999</v>
      </c>
      <c r="AA630" t="s">
        <v>6000</v>
      </c>
      <c r="AB630" t="s">
        <v>5999</v>
      </c>
      <c r="AC630" t="s">
        <v>6001</v>
      </c>
      <c r="AD630" t="s">
        <v>951</v>
      </c>
      <c r="AE630" t="s">
        <v>6002</v>
      </c>
      <c r="AF630" t="s">
        <v>6003</v>
      </c>
    </row>
    <row r="631" spans="1:32" hidden="1" x14ac:dyDescent="0.35">
      <c r="A631">
        <v>2910</v>
      </c>
      <c r="B631" t="s">
        <v>5991</v>
      </c>
      <c r="C631" t="s">
        <v>72</v>
      </c>
      <c r="D631" t="s">
        <v>60</v>
      </c>
      <c r="E631">
        <v>1206</v>
      </c>
      <c r="F631">
        <v>5</v>
      </c>
      <c r="G631">
        <v>5</v>
      </c>
      <c r="H631">
        <v>1</v>
      </c>
      <c r="I631">
        <v>1</v>
      </c>
      <c r="J631">
        <v>0.82806535348908195</v>
      </c>
      <c r="K631">
        <v>0.97079365079364899</v>
      </c>
      <c r="L631">
        <v>0.89376719987004805</v>
      </c>
      <c r="M631">
        <v>0.71111111111111103</v>
      </c>
      <c r="N631">
        <v>1</v>
      </c>
      <c r="O631">
        <v>0.78666666666666696</v>
      </c>
      <c r="P631" t="s">
        <v>5992</v>
      </c>
      <c r="Q631" t="s">
        <v>5993</v>
      </c>
      <c r="R631" t="s">
        <v>319</v>
      </c>
      <c r="S631" t="s">
        <v>320</v>
      </c>
      <c r="T631" t="s">
        <v>5994</v>
      </c>
      <c r="U631" t="s">
        <v>5995</v>
      </c>
      <c r="V631" t="s">
        <v>5996</v>
      </c>
      <c r="W631" t="s">
        <v>5997</v>
      </c>
      <c r="X631" t="s">
        <v>5996</v>
      </c>
      <c r="Y631" t="s">
        <v>5998</v>
      </c>
      <c r="Z631" t="s">
        <v>5999</v>
      </c>
      <c r="AA631" t="s">
        <v>6000</v>
      </c>
      <c r="AB631" t="s">
        <v>5999</v>
      </c>
      <c r="AC631" t="s">
        <v>6001</v>
      </c>
      <c r="AD631" t="s">
        <v>951</v>
      </c>
      <c r="AE631" t="s">
        <v>6002</v>
      </c>
      <c r="AF631" t="s">
        <v>6004</v>
      </c>
    </row>
    <row r="632" spans="1:32" hidden="1" x14ac:dyDescent="0.35">
      <c r="A632">
        <v>2911</v>
      </c>
      <c r="B632" t="s">
        <v>5991</v>
      </c>
      <c r="C632" t="s">
        <v>72</v>
      </c>
      <c r="D632" t="s">
        <v>62</v>
      </c>
      <c r="E632">
        <v>1243</v>
      </c>
      <c r="F632">
        <v>5</v>
      </c>
      <c r="G632">
        <v>5</v>
      </c>
      <c r="H632">
        <v>1</v>
      </c>
      <c r="I632">
        <v>1</v>
      </c>
      <c r="J632">
        <v>0.82806535348908195</v>
      </c>
      <c r="K632">
        <v>0.97079365079364899</v>
      </c>
      <c r="L632">
        <v>0.89376719987004805</v>
      </c>
      <c r="M632">
        <v>0.71111111111111103</v>
      </c>
      <c r="N632">
        <v>1</v>
      </c>
      <c r="O632">
        <v>0.78666666666666696</v>
      </c>
      <c r="P632" t="s">
        <v>5992</v>
      </c>
      <c r="Q632" t="s">
        <v>5993</v>
      </c>
      <c r="R632" t="s">
        <v>319</v>
      </c>
      <c r="S632" t="s">
        <v>320</v>
      </c>
      <c r="T632" t="s">
        <v>5994</v>
      </c>
      <c r="U632" t="s">
        <v>5995</v>
      </c>
      <c r="V632" t="s">
        <v>5996</v>
      </c>
      <c r="W632" t="s">
        <v>5997</v>
      </c>
      <c r="X632" t="s">
        <v>5996</v>
      </c>
      <c r="Y632" t="s">
        <v>5998</v>
      </c>
      <c r="Z632" t="s">
        <v>5999</v>
      </c>
      <c r="AA632" t="s">
        <v>6000</v>
      </c>
      <c r="AB632" t="s">
        <v>5999</v>
      </c>
      <c r="AC632" t="s">
        <v>6001</v>
      </c>
      <c r="AD632" t="s">
        <v>951</v>
      </c>
      <c r="AE632" t="s">
        <v>6002</v>
      </c>
      <c r="AF632" t="s">
        <v>6004</v>
      </c>
    </row>
    <row r="633" spans="1:32" hidden="1" x14ac:dyDescent="0.35">
      <c r="A633">
        <v>2912</v>
      </c>
      <c r="B633" t="s">
        <v>5991</v>
      </c>
      <c r="C633" t="s">
        <v>72</v>
      </c>
      <c r="D633" t="s">
        <v>34</v>
      </c>
      <c r="E633">
        <v>1794</v>
      </c>
      <c r="F633">
        <v>5</v>
      </c>
      <c r="G633">
        <v>5</v>
      </c>
      <c r="H633">
        <v>1</v>
      </c>
      <c r="I633">
        <v>1</v>
      </c>
      <c r="J633">
        <v>0.82806535348908195</v>
      </c>
      <c r="K633">
        <v>0.97079365079364899</v>
      </c>
      <c r="L633">
        <v>0.89376719987004805</v>
      </c>
      <c r="M633">
        <v>0.71111111111111103</v>
      </c>
      <c r="N633">
        <v>1</v>
      </c>
      <c r="O633">
        <v>0.78666666666666696</v>
      </c>
      <c r="P633" t="s">
        <v>5992</v>
      </c>
      <c r="Q633" t="s">
        <v>5993</v>
      </c>
      <c r="R633" t="s">
        <v>319</v>
      </c>
      <c r="S633" t="s">
        <v>320</v>
      </c>
      <c r="T633" t="s">
        <v>5994</v>
      </c>
      <c r="U633" t="s">
        <v>5995</v>
      </c>
      <c r="V633" t="s">
        <v>5996</v>
      </c>
      <c r="W633" t="s">
        <v>5997</v>
      </c>
      <c r="X633" t="s">
        <v>5996</v>
      </c>
      <c r="Y633" t="s">
        <v>5998</v>
      </c>
      <c r="Z633" t="s">
        <v>5999</v>
      </c>
      <c r="AA633" t="s">
        <v>6000</v>
      </c>
      <c r="AB633" t="s">
        <v>5999</v>
      </c>
      <c r="AC633" t="s">
        <v>6001</v>
      </c>
      <c r="AD633" t="s">
        <v>951</v>
      </c>
      <c r="AE633" t="s">
        <v>6002</v>
      </c>
      <c r="AF633" t="s">
        <v>6005</v>
      </c>
    </row>
    <row r="634" spans="1:32" hidden="1" x14ac:dyDescent="0.35">
      <c r="A634">
        <v>2913</v>
      </c>
      <c r="B634" t="s">
        <v>5991</v>
      </c>
      <c r="C634" t="s">
        <v>72</v>
      </c>
      <c r="D634" t="s">
        <v>45</v>
      </c>
      <c r="E634">
        <v>1079</v>
      </c>
      <c r="F634">
        <v>5</v>
      </c>
      <c r="G634">
        <v>5</v>
      </c>
      <c r="H634">
        <v>1</v>
      </c>
      <c r="I634">
        <v>1</v>
      </c>
      <c r="J634">
        <v>0.82806535348908195</v>
      </c>
      <c r="K634">
        <v>0.97079365079364899</v>
      </c>
      <c r="L634">
        <v>0.89376719987004805</v>
      </c>
      <c r="M634">
        <v>0.71111111111111103</v>
      </c>
      <c r="N634">
        <v>1</v>
      </c>
      <c r="O634">
        <v>0.78666666666666696</v>
      </c>
      <c r="P634" t="s">
        <v>5992</v>
      </c>
      <c r="Q634" t="s">
        <v>5993</v>
      </c>
      <c r="R634" t="s">
        <v>319</v>
      </c>
      <c r="S634" t="s">
        <v>320</v>
      </c>
      <c r="T634" t="s">
        <v>5994</v>
      </c>
      <c r="U634" t="s">
        <v>5995</v>
      </c>
      <c r="V634" t="s">
        <v>5996</v>
      </c>
      <c r="W634" t="s">
        <v>5997</v>
      </c>
      <c r="X634" t="s">
        <v>5996</v>
      </c>
      <c r="Y634" t="s">
        <v>5998</v>
      </c>
      <c r="Z634" t="s">
        <v>5999</v>
      </c>
      <c r="AA634" t="s">
        <v>6000</v>
      </c>
      <c r="AB634" t="s">
        <v>5999</v>
      </c>
      <c r="AC634" t="s">
        <v>6001</v>
      </c>
      <c r="AD634" t="s">
        <v>951</v>
      </c>
      <c r="AE634" t="s">
        <v>6002</v>
      </c>
      <c r="AF634" t="s">
        <v>6006</v>
      </c>
    </row>
    <row r="635" spans="1:32" hidden="1" x14ac:dyDescent="0.35">
      <c r="A635">
        <v>2919</v>
      </c>
      <c r="B635" t="s">
        <v>6018</v>
      </c>
      <c r="C635" t="s">
        <v>72</v>
      </c>
      <c r="D635" t="s">
        <v>58</v>
      </c>
      <c r="E635">
        <v>985</v>
      </c>
      <c r="F635">
        <v>5</v>
      </c>
      <c r="G635">
        <v>5</v>
      </c>
      <c r="H635">
        <v>1</v>
      </c>
      <c r="I635">
        <v>1</v>
      </c>
      <c r="J635">
        <v>0.81398809523809501</v>
      </c>
      <c r="K635">
        <v>0.976840726016585</v>
      </c>
      <c r="L635">
        <v>0.88800974440890901</v>
      </c>
      <c r="M635">
        <v>0.64577656675749295</v>
      </c>
      <c r="N635">
        <v>1</v>
      </c>
      <c r="O635">
        <v>0.762397820163488</v>
      </c>
      <c r="P635" t="s">
        <v>6019</v>
      </c>
      <c r="Q635" t="s">
        <v>6020</v>
      </c>
      <c r="R635" t="s">
        <v>319</v>
      </c>
      <c r="S635" t="s">
        <v>320</v>
      </c>
      <c r="T635" t="s">
        <v>6021</v>
      </c>
      <c r="U635" t="s">
        <v>6022</v>
      </c>
      <c r="V635" t="s">
        <v>6023</v>
      </c>
      <c r="W635" t="s">
        <v>6024</v>
      </c>
      <c r="X635" t="s">
        <v>6023</v>
      </c>
      <c r="Y635" t="s">
        <v>5998</v>
      </c>
      <c r="Z635" t="s">
        <v>6025</v>
      </c>
      <c r="AA635" t="s">
        <v>6026</v>
      </c>
      <c r="AB635" t="s">
        <v>6025</v>
      </c>
      <c r="AC635" t="s">
        <v>6027</v>
      </c>
      <c r="AD635" t="s">
        <v>245</v>
      </c>
      <c r="AE635" t="s">
        <v>6028</v>
      </c>
      <c r="AF635" t="s">
        <v>6029</v>
      </c>
    </row>
    <row r="636" spans="1:32" hidden="1" x14ac:dyDescent="0.35">
      <c r="A636">
        <v>2920</v>
      </c>
      <c r="B636" t="s">
        <v>6018</v>
      </c>
      <c r="C636" t="s">
        <v>72</v>
      </c>
      <c r="D636" t="s">
        <v>60</v>
      </c>
      <c r="E636">
        <v>1224</v>
      </c>
      <c r="F636">
        <v>5</v>
      </c>
      <c r="G636">
        <v>5</v>
      </c>
      <c r="H636">
        <v>1</v>
      </c>
      <c r="I636">
        <v>1</v>
      </c>
      <c r="J636">
        <v>0.81398809523809501</v>
      </c>
      <c r="K636">
        <v>0.976840726016585</v>
      </c>
      <c r="L636">
        <v>0.88800974440890901</v>
      </c>
      <c r="M636">
        <v>0.64577656675749295</v>
      </c>
      <c r="N636">
        <v>1</v>
      </c>
      <c r="O636">
        <v>0.762397820163488</v>
      </c>
      <c r="P636" t="s">
        <v>6019</v>
      </c>
      <c r="Q636" t="s">
        <v>6020</v>
      </c>
      <c r="R636" t="s">
        <v>319</v>
      </c>
      <c r="S636" t="s">
        <v>320</v>
      </c>
      <c r="T636" t="s">
        <v>6021</v>
      </c>
      <c r="U636" t="s">
        <v>6022</v>
      </c>
      <c r="V636" t="s">
        <v>6023</v>
      </c>
      <c r="W636" t="s">
        <v>6024</v>
      </c>
      <c r="X636" t="s">
        <v>6023</v>
      </c>
      <c r="Y636" t="s">
        <v>5998</v>
      </c>
      <c r="Z636" t="s">
        <v>6025</v>
      </c>
      <c r="AA636" t="s">
        <v>6026</v>
      </c>
      <c r="AB636" t="s">
        <v>6025</v>
      </c>
      <c r="AC636" t="s">
        <v>6027</v>
      </c>
      <c r="AD636" t="s">
        <v>245</v>
      </c>
      <c r="AE636" t="s">
        <v>6028</v>
      </c>
      <c r="AF636" t="e">
        <f>-MTYIDDLAALGTSTWLDDLSRDRLDSGNLAEIINSKSIVGVTTNPAIFAAAM-SQGSAYDAQLAELKAAGATADTAVYDMAIEDVRRACDLFAPIFEATNGADGRVSIEVDPRISEDTAATLQQARDLWNRVGRPNVMIKIPATPGSLPAITDALAEGISVNVTLIFSVERYREVVAAYVDGIQRAADNGLDVSKIHSVASFFVSRLDSEVDKRLDAIGTDEARAARGKAGVANAQRAYGAFQE-LFDAAK----LPEGANLQRPLWASTGVKNPDYPATLYVSELAGPHTVNTMPEGTIDAVLELGNLHGNTLNDP-AAADKQWSQLTALGIDFDDVFEVLEREGVEKFVDSWTELLDSLNARLA</f>
        <v>#NAME?</v>
      </c>
    </row>
    <row r="637" spans="1:32" hidden="1" x14ac:dyDescent="0.35">
      <c r="A637">
        <v>2921</v>
      </c>
      <c r="B637" t="s">
        <v>6018</v>
      </c>
      <c r="C637" t="s">
        <v>72</v>
      </c>
      <c r="D637" t="s">
        <v>62</v>
      </c>
      <c r="E637">
        <v>1261</v>
      </c>
      <c r="F637">
        <v>5</v>
      </c>
      <c r="G637">
        <v>5</v>
      </c>
      <c r="H637">
        <v>1</v>
      </c>
      <c r="I637">
        <v>1</v>
      </c>
      <c r="J637">
        <v>0.81398809523809501</v>
      </c>
      <c r="K637">
        <v>0.976840726016585</v>
      </c>
      <c r="L637">
        <v>0.88800974440890901</v>
      </c>
      <c r="M637">
        <v>0.64577656675749295</v>
      </c>
      <c r="N637">
        <v>1</v>
      </c>
      <c r="O637">
        <v>0.762397820163488</v>
      </c>
      <c r="P637" t="s">
        <v>6019</v>
      </c>
      <c r="Q637" t="s">
        <v>6020</v>
      </c>
      <c r="R637" t="s">
        <v>319</v>
      </c>
      <c r="S637" t="s">
        <v>320</v>
      </c>
      <c r="T637" t="s">
        <v>6021</v>
      </c>
      <c r="U637" t="s">
        <v>6022</v>
      </c>
      <c r="V637" t="s">
        <v>6023</v>
      </c>
      <c r="W637" t="s">
        <v>6024</v>
      </c>
      <c r="X637" t="s">
        <v>6023</v>
      </c>
      <c r="Y637" t="s">
        <v>5998</v>
      </c>
      <c r="Z637" t="s">
        <v>6025</v>
      </c>
      <c r="AA637" t="s">
        <v>6026</v>
      </c>
      <c r="AB637" t="s">
        <v>6025</v>
      </c>
      <c r="AC637" t="s">
        <v>6027</v>
      </c>
      <c r="AD637" t="s">
        <v>245</v>
      </c>
      <c r="AE637" t="s">
        <v>6028</v>
      </c>
      <c r="AF637" t="e">
        <f>-MTYIDDLAALGTSTWLDDLSRDRLDSGNLAEIINSKSIVGVTTNPAIFAAAM-SQGSAYDAQLAELKAAGATADTAVYDMAIEDVRRACDLFAPIFEATNGADGRVSIEVDPRISEDTAATLQQARDLWNRVGRPNVMIKIPATPGSLPAITDALAEGISVNVTLIFSVERYREVVAAYVDGIQRAADNGLDVSKIHSVASFFVSRLDSEVDKRLDAIGTDEARAARGKAGVANAQRAYGAFQE-LFDAAK----LPEGANLQRPLWASTGVKNPDYPATLYVSELAGPHTVNTMPEGTIDAVLELGNLHGNTLNDP-AAADKQWSQLTALGIDFDDVFEVLEREGVEKFVDSWTELLDSLNARLA</f>
        <v>#NAME?</v>
      </c>
    </row>
    <row r="638" spans="1:32" hidden="1" x14ac:dyDescent="0.35">
      <c r="A638">
        <v>2922</v>
      </c>
      <c r="B638" t="s">
        <v>6018</v>
      </c>
      <c r="C638" t="s">
        <v>72</v>
      </c>
      <c r="D638" t="s">
        <v>34</v>
      </c>
      <c r="E638">
        <v>1779</v>
      </c>
      <c r="F638">
        <v>5</v>
      </c>
      <c r="G638">
        <v>5</v>
      </c>
      <c r="H638">
        <v>1</v>
      </c>
      <c r="I638">
        <v>1</v>
      </c>
      <c r="J638">
        <v>0.81398809523809501</v>
      </c>
      <c r="K638">
        <v>0.976840726016585</v>
      </c>
      <c r="L638">
        <v>0.88800974440890901</v>
      </c>
      <c r="M638">
        <v>0.64577656675749295</v>
      </c>
      <c r="N638">
        <v>1</v>
      </c>
      <c r="O638">
        <v>0.762397820163488</v>
      </c>
      <c r="P638" t="s">
        <v>6019</v>
      </c>
      <c r="Q638" t="s">
        <v>6020</v>
      </c>
      <c r="R638" t="s">
        <v>319</v>
      </c>
      <c r="S638" t="s">
        <v>320</v>
      </c>
      <c r="T638" t="s">
        <v>6021</v>
      </c>
      <c r="U638" t="s">
        <v>6022</v>
      </c>
      <c r="V638" t="s">
        <v>6023</v>
      </c>
      <c r="W638" t="s">
        <v>6024</v>
      </c>
      <c r="X638" t="s">
        <v>6023</v>
      </c>
      <c r="Y638" t="s">
        <v>5998</v>
      </c>
      <c r="Z638" t="s">
        <v>6025</v>
      </c>
      <c r="AA638" t="s">
        <v>6026</v>
      </c>
      <c r="AB638" t="s">
        <v>6025</v>
      </c>
      <c r="AC638" t="s">
        <v>6027</v>
      </c>
      <c r="AD638" t="s">
        <v>245</v>
      </c>
      <c r="AE638" t="s">
        <v>6028</v>
      </c>
      <c r="AF638" t="e">
        <f>-MNAIDSLAQAGTVTWLDDLSRDRIETGNLADIIATKSVVGVTTNPAIFAAAM-SHGTAYDAQIAELKAAGTSADHAVYAMSIADVQAACDLFADIYAASGGKDGRVSIEVDPRISEDTDATLAQAKELWRTVNRPNVMIKIPATPGSLPAVTAALAEGISVNVTLIFSVVRYREVINAFIDGINQAKANGKDVSTIHSVASFFVSRLDTEVDKRLAAIGTEEALALQGKAGVANTRLAYAAFLEHLADGTK----LPAGANVQRPLWASTGVKNPDYSPTLYVTELAGPNTVNTMPEATIDAVLAADNVHGDALTGTKAESEATMAALTAAGINFDDVFDTLEREGVEKFVAAWQDLLDSMNARLA</f>
        <v>#NAME?</v>
      </c>
    </row>
    <row r="639" spans="1:32" hidden="1" x14ac:dyDescent="0.35">
      <c r="A639">
        <v>2923</v>
      </c>
      <c r="B639" t="s">
        <v>6018</v>
      </c>
      <c r="C639" t="s">
        <v>72</v>
      </c>
      <c r="D639" t="s">
        <v>45</v>
      </c>
      <c r="E639">
        <v>1094</v>
      </c>
      <c r="F639">
        <v>5</v>
      </c>
      <c r="G639">
        <v>5</v>
      </c>
      <c r="H639">
        <v>1</v>
      </c>
      <c r="I639">
        <v>1</v>
      </c>
      <c r="J639">
        <v>0.81398809523809501</v>
      </c>
      <c r="K639">
        <v>0.976840726016585</v>
      </c>
      <c r="L639">
        <v>0.88800974440890901</v>
      </c>
      <c r="M639">
        <v>0.64577656675749295</v>
      </c>
      <c r="N639">
        <v>1</v>
      </c>
      <c r="O639">
        <v>0.762397820163488</v>
      </c>
      <c r="P639" t="s">
        <v>6019</v>
      </c>
      <c r="Q639" t="s">
        <v>6020</v>
      </c>
      <c r="R639" t="s">
        <v>319</v>
      </c>
      <c r="S639" t="s">
        <v>320</v>
      </c>
      <c r="T639" t="s">
        <v>6021</v>
      </c>
      <c r="U639" t="s">
        <v>6022</v>
      </c>
      <c r="V639" t="s">
        <v>6023</v>
      </c>
      <c r="W639" t="s">
        <v>6024</v>
      </c>
      <c r="X639" t="s">
        <v>6023</v>
      </c>
      <c r="Y639" t="s">
        <v>5998</v>
      </c>
      <c r="Z639" t="s">
        <v>6025</v>
      </c>
      <c r="AA639" t="s">
        <v>6026</v>
      </c>
      <c r="AB639" t="s">
        <v>6025</v>
      </c>
      <c r="AC639" t="s">
        <v>6027</v>
      </c>
      <c r="AD639" t="s">
        <v>245</v>
      </c>
      <c r="AE639" t="s">
        <v>6028</v>
      </c>
      <c r="AF639" t="e">
        <f>-MNAIDSLAQAGTVTWLDDLSRDRIETGNLADIIATKSVVGVTTNPAIFAAAM-SHGTAYDAQIAELKAAGTSADHAVYAMSIADVQAACDLFADIYAASGGKDGRVSIEVDPRISEDTDATLAQAKELWRTVNRPNVMIKIPATPGSLPAVTAALAEGISVNVTLIFSVVRYREVINAFIDGINQAKANGKDVSTIHSVASFFVSRLDTEVDKRLAAIGTEEALALQGKAGVANTRLAYAAFLEHLADGTK----LPAGANVQRPLWASTGVKNPDYSPTLYVTELAGPNTVNTMPEATIDAVLAADNVHGDTLTGTKAESEATMAALTAAGINFDDVFDTLEREGVEKFVAAWQDLLDSMNARLA</f>
        <v>#NAME?</v>
      </c>
    </row>
    <row r="640" spans="1:32" hidden="1" x14ac:dyDescent="0.35">
      <c r="A640">
        <v>2964</v>
      </c>
      <c r="B640" t="s">
        <v>6111</v>
      </c>
      <c r="C640" t="s">
        <v>72</v>
      </c>
      <c r="D640" t="s">
        <v>58</v>
      </c>
      <c r="E640">
        <v>1483</v>
      </c>
      <c r="F640">
        <v>5</v>
      </c>
      <c r="G640">
        <v>5</v>
      </c>
      <c r="H640">
        <v>1</v>
      </c>
      <c r="I640">
        <v>1</v>
      </c>
      <c r="J640">
        <v>0.86452304394426605</v>
      </c>
      <c r="K640">
        <v>0.97824217817052905</v>
      </c>
      <c r="L640">
        <v>0.91787374260959498</v>
      </c>
      <c r="M640">
        <v>0.73584905660377398</v>
      </c>
      <c r="N640">
        <v>1</v>
      </c>
      <c r="O640">
        <v>0.81509433962264199</v>
      </c>
      <c r="P640" t="s">
        <v>6112</v>
      </c>
      <c r="Q640" t="s">
        <v>6113</v>
      </c>
      <c r="R640" t="s">
        <v>319</v>
      </c>
      <c r="S640" t="s">
        <v>320</v>
      </c>
      <c r="T640" t="s">
        <v>6114</v>
      </c>
      <c r="U640" t="s">
        <v>6115</v>
      </c>
      <c r="V640" t="s">
        <v>6116</v>
      </c>
      <c r="W640" t="s">
        <v>6117</v>
      </c>
      <c r="X640" t="s">
        <v>6116</v>
      </c>
      <c r="Y640" t="s">
        <v>5998</v>
      </c>
      <c r="Z640" t="s">
        <v>6118</v>
      </c>
      <c r="AA640" t="s">
        <v>6119</v>
      </c>
      <c r="AB640" t="s">
        <v>6118</v>
      </c>
      <c r="AC640" t="s">
        <v>6120</v>
      </c>
      <c r="AD640" t="s">
        <v>951</v>
      </c>
      <c r="AE640" t="s">
        <v>6121</v>
      </c>
      <c r="AF640" t="s">
        <v>6122</v>
      </c>
    </row>
    <row r="641" spans="1:32" hidden="1" x14ac:dyDescent="0.35">
      <c r="A641">
        <v>2965</v>
      </c>
      <c r="B641" t="s">
        <v>6111</v>
      </c>
      <c r="C641" t="s">
        <v>72</v>
      </c>
      <c r="D641" t="s">
        <v>60</v>
      </c>
      <c r="E641">
        <v>1997</v>
      </c>
      <c r="F641">
        <v>5</v>
      </c>
      <c r="G641">
        <v>5</v>
      </c>
      <c r="H641">
        <v>1</v>
      </c>
      <c r="I641">
        <v>1</v>
      </c>
      <c r="J641">
        <v>0.86452304394426605</v>
      </c>
      <c r="K641">
        <v>0.97824217817052905</v>
      </c>
      <c r="L641">
        <v>0.91787374260959498</v>
      </c>
      <c r="M641">
        <v>0.73584905660377398</v>
      </c>
      <c r="N641">
        <v>1</v>
      </c>
      <c r="O641">
        <v>0.81509433962264199</v>
      </c>
      <c r="P641" t="s">
        <v>6112</v>
      </c>
      <c r="Q641" t="s">
        <v>6113</v>
      </c>
      <c r="R641" t="s">
        <v>319</v>
      </c>
      <c r="S641" t="s">
        <v>320</v>
      </c>
      <c r="T641" t="s">
        <v>6114</v>
      </c>
      <c r="U641" t="s">
        <v>6115</v>
      </c>
      <c r="V641" t="s">
        <v>6116</v>
      </c>
      <c r="W641" t="s">
        <v>6117</v>
      </c>
      <c r="X641" t="s">
        <v>6116</v>
      </c>
      <c r="Y641" t="s">
        <v>5998</v>
      </c>
      <c r="Z641" t="s">
        <v>6118</v>
      </c>
      <c r="AA641" t="s">
        <v>6119</v>
      </c>
      <c r="AB641" t="s">
        <v>6118</v>
      </c>
      <c r="AC641" t="s">
        <v>6120</v>
      </c>
      <c r="AD641" t="s">
        <v>951</v>
      </c>
      <c r="AE641" t="s">
        <v>6121</v>
      </c>
      <c r="AF641" t="s">
        <v>6123</v>
      </c>
    </row>
    <row r="642" spans="1:32" hidden="1" x14ac:dyDescent="0.35">
      <c r="A642">
        <v>2966</v>
      </c>
      <c r="B642" t="s">
        <v>6111</v>
      </c>
      <c r="C642" t="s">
        <v>72</v>
      </c>
      <c r="D642" t="s">
        <v>62</v>
      </c>
      <c r="E642">
        <v>2038</v>
      </c>
      <c r="F642">
        <v>5</v>
      </c>
      <c r="G642">
        <v>5</v>
      </c>
      <c r="H642">
        <v>1</v>
      </c>
      <c r="I642">
        <v>1</v>
      </c>
      <c r="J642">
        <v>0.86452304394426605</v>
      </c>
      <c r="K642">
        <v>0.97824217817052905</v>
      </c>
      <c r="L642">
        <v>0.91787374260959498</v>
      </c>
      <c r="M642">
        <v>0.73584905660377398</v>
      </c>
      <c r="N642">
        <v>1</v>
      </c>
      <c r="O642">
        <v>0.81509433962264199</v>
      </c>
      <c r="P642" t="s">
        <v>6112</v>
      </c>
      <c r="Q642" t="s">
        <v>6113</v>
      </c>
      <c r="R642" t="s">
        <v>319</v>
      </c>
      <c r="S642" t="s">
        <v>320</v>
      </c>
      <c r="T642" t="s">
        <v>6114</v>
      </c>
      <c r="U642" t="s">
        <v>6115</v>
      </c>
      <c r="V642" t="s">
        <v>6116</v>
      </c>
      <c r="W642" t="s">
        <v>6117</v>
      </c>
      <c r="X642" t="s">
        <v>6116</v>
      </c>
      <c r="Y642" t="s">
        <v>5998</v>
      </c>
      <c r="Z642" t="s">
        <v>6118</v>
      </c>
      <c r="AA642" t="s">
        <v>6119</v>
      </c>
      <c r="AB642" t="s">
        <v>6118</v>
      </c>
      <c r="AC642" t="s">
        <v>6120</v>
      </c>
      <c r="AD642" t="s">
        <v>951</v>
      </c>
      <c r="AE642" t="s">
        <v>6121</v>
      </c>
      <c r="AF642" t="s">
        <v>6124</v>
      </c>
    </row>
    <row r="643" spans="1:32" hidden="1" x14ac:dyDescent="0.35">
      <c r="A643">
        <v>2967</v>
      </c>
      <c r="B643" t="s">
        <v>6111</v>
      </c>
      <c r="C643" t="s">
        <v>72</v>
      </c>
      <c r="D643" t="s">
        <v>34</v>
      </c>
      <c r="E643">
        <v>2355</v>
      </c>
      <c r="F643">
        <v>5</v>
      </c>
      <c r="G643">
        <v>5</v>
      </c>
      <c r="H643">
        <v>1</v>
      </c>
      <c r="I643">
        <v>1</v>
      </c>
      <c r="J643">
        <v>0.86452304394426605</v>
      </c>
      <c r="K643">
        <v>0.97824217817052905</v>
      </c>
      <c r="L643">
        <v>0.91787374260959498</v>
      </c>
      <c r="M643">
        <v>0.73584905660377398</v>
      </c>
      <c r="N643">
        <v>1</v>
      </c>
      <c r="O643">
        <v>0.81509433962264199</v>
      </c>
      <c r="P643" t="s">
        <v>6112</v>
      </c>
      <c r="Q643" t="s">
        <v>6113</v>
      </c>
      <c r="R643" t="s">
        <v>319</v>
      </c>
      <c r="S643" t="s">
        <v>320</v>
      </c>
      <c r="T643" t="s">
        <v>6114</v>
      </c>
      <c r="U643" t="s">
        <v>6115</v>
      </c>
      <c r="V643" t="s">
        <v>6116</v>
      </c>
      <c r="W643" t="s">
        <v>6117</v>
      </c>
      <c r="X643" t="s">
        <v>6116</v>
      </c>
      <c r="Y643" t="s">
        <v>5998</v>
      </c>
      <c r="Z643" t="s">
        <v>6118</v>
      </c>
      <c r="AA643" t="s">
        <v>6119</v>
      </c>
      <c r="AB643" t="s">
        <v>6118</v>
      </c>
      <c r="AC643" t="s">
        <v>6120</v>
      </c>
      <c r="AD643" t="s">
        <v>951</v>
      </c>
      <c r="AE643" t="s">
        <v>6121</v>
      </c>
      <c r="AF643" t="s">
        <v>6125</v>
      </c>
    </row>
    <row r="644" spans="1:32" hidden="1" x14ac:dyDescent="0.35">
      <c r="A644">
        <v>2968</v>
      </c>
      <c r="B644" t="s">
        <v>6111</v>
      </c>
      <c r="C644" t="s">
        <v>72</v>
      </c>
      <c r="D644" t="s">
        <v>45</v>
      </c>
      <c r="E644">
        <v>524</v>
      </c>
      <c r="F644">
        <v>5</v>
      </c>
      <c r="G644">
        <v>5</v>
      </c>
      <c r="H644">
        <v>1</v>
      </c>
      <c r="I644">
        <v>1</v>
      </c>
      <c r="J644">
        <v>0.86452304394426605</v>
      </c>
      <c r="K644">
        <v>0.97824217817052905</v>
      </c>
      <c r="L644">
        <v>0.91787374260959498</v>
      </c>
      <c r="M644">
        <v>0.73584905660377398</v>
      </c>
      <c r="N644">
        <v>1</v>
      </c>
      <c r="O644">
        <v>0.81509433962264199</v>
      </c>
      <c r="P644" t="s">
        <v>6112</v>
      </c>
      <c r="Q644" t="s">
        <v>6113</v>
      </c>
      <c r="R644" t="s">
        <v>319</v>
      </c>
      <c r="S644" t="s">
        <v>320</v>
      </c>
      <c r="T644" t="s">
        <v>6114</v>
      </c>
      <c r="U644" t="s">
        <v>6115</v>
      </c>
      <c r="V644" t="s">
        <v>6116</v>
      </c>
      <c r="W644" t="s">
        <v>6117</v>
      </c>
      <c r="X644" t="s">
        <v>6116</v>
      </c>
      <c r="Y644" t="s">
        <v>5998</v>
      </c>
      <c r="Z644" t="s">
        <v>6118</v>
      </c>
      <c r="AA644" t="s">
        <v>6119</v>
      </c>
      <c r="AB644" t="s">
        <v>6118</v>
      </c>
      <c r="AC644" t="s">
        <v>6120</v>
      </c>
      <c r="AD644" t="s">
        <v>951</v>
      </c>
      <c r="AE644" t="s">
        <v>6121</v>
      </c>
      <c r="AF644" t="s">
        <v>6125</v>
      </c>
    </row>
    <row r="645" spans="1:32" hidden="1" x14ac:dyDescent="0.35">
      <c r="A645">
        <v>3014</v>
      </c>
      <c r="B645" t="s">
        <v>6225</v>
      </c>
      <c r="C645" t="s">
        <v>72</v>
      </c>
      <c r="D645" t="s">
        <v>58</v>
      </c>
      <c r="E645">
        <v>986</v>
      </c>
      <c r="F645">
        <v>5</v>
      </c>
      <c r="G645">
        <v>5</v>
      </c>
      <c r="H645">
        <v>1</v>
      </c>
      <c r="I645">
        <v>1</v>
      </c>
      <c r="J645">
        <v>0.880454110244837</v>
      </c>
      <c r="K645">
        <v>0.904957425264865</v>
      </c>
      <c r="L645">
        <v>0.89253762376254697</v>
      </c>
      <c r="M645">
        <v>0.74033149171270696</v>
      </c>
      <c r="N645">
        <v>1</v>
      </c>
      <c r="O645">
        <v>0.81104972375690598</v>
      </c>
      <c r="P645" t="s">
        <v>6226</v>
      </c>
      <c r="Q645" t="s">
        <v>6227</v>
      </c>
      <c r="R645" t="s">
        <v>319</v>
      </c>
      <c r="S645" t="s">
        <v>320</v>
      </c>
      <c r="T645" t="s">
        <v>6228</v>
      </c>
      <c r="U645" t="s">
        <v>6229</v>
      </c>
      <c r="V645" t="s">
        <v>6230</v>
      </c>
      <c r="W645" t="s">
        <v>6231</v>
      </c>
      <c r="X645" t="s">
        <v>6230</v>
      </c>
      <c r="Y645" t="s">
        <v>5998</v>
      </c>
      <c r="Z645" t="s">
        <v>163</v>
      </c>
      <c r="AA645" t="s">
        <v>164</v>
      </c>
      <c r="AB645" t="s">
        <v>163</v>
      </c>
      <c r="AC645" t="s">
        <v>165</v>
      </c>
      <c r="AD645" t="s">
        <v>6232</v>
      </c>
      <c r="AE645" t="s">
        <v>6233</v>
      </c>
      <c r="AF645" t="s">
        <v>6234</v>
      </c>
    </row>
    <row r="646" spans="1:32" hidden="1" x14ac:dyDescent="0.35">
      <c r="A646">
        <v>3015</v>
      </c>
      <c r="B646" t="s">
        <v>6225</v>
      </c>
      <c r="C646" t="s">
        <v>72</v>
      </c>
      <c r="D646" t="s">
        <v>60</v>
      </c>
      <c r="E646">
        <v>1223</v>
      </c>
      <c r="F646">
        <v>5</v>
      </c>
      <c r="G646">
        <v>5</v>
      </c>
      <c r="H646">
        <v>1</v>
      </c>
      <c r="I646">
        <v>1</v>
      </c>
      <c r="J646">
        <v>0.880454110244837</v>
      </c>
      <c r="K646">
        <v>0.904957425264865</v>
      </c>
      <c r="L646">
        <v>0.89253762376254697</v>
      </c>
      <c r="M646">
        <v>0.74033149171270696</v>
      </c>
      <c r="N646">
        <v>1</v>
      </c>
      <c r="O646">
        <v>0.81104972375690598</v>
      </c>
      <c r="P646" t="s">
        <v>6226</v>
      </c>
      <c r="Q646" t="s">
        <v>6227</v>
      </c>
      <c r="R646" t="s">
        <v>319</v>
      </c>
      <c r="S646" t="s">
        <v>320</v>
      </c>
      <c r="T646" t="s">
        <v>6228</v>
      </c>
      <c r="U646" t="s">
        <v>6229</v>
      </c>
      <c r="V646" t="s">
        <v>6230</v>
      </c>
      <c r="W646" t="s">
        <v>6231</v>
      </c>
      <c r="X646" t="s">
        <v>6230</v>
      </c>
      <c r="Y646" t="s">
        <v>5998</v>
      </c>
      <c r="Z646" t="s">
        <v>163</v>
      </c>
      <c r="AA646" t="s">
        <v>164</v>
      </c>
      <c r="AB646" t="s">
        <v>163</v>
      </c>
      <c r="AC646" t="s">
        <v>165</v>
      </c>
      <c r="AD646" t="s">
        <v>6232</v>
      </c>
      <c r="AE646" t="s">
        <v>6233</v>
      </c>
      <c r="AF646" t="s">
        <v>6235</v>
      </c>
    </row>
    <row r="647" spans="1:32" hidden="1" x14ac:dyDescent="0.35">
      <c r="A647">
        <v>3016</v>
      </c>
      <c r="B647" t="s">
        <v>6225</v>
      </c>
      <c r="C647" t="s">
        <v>72</v>
      </c>
      <c r="D647" t="s">
        <v>62</v>
      </c>
      <c r="E647">
        <v>1260</v>
      </c>
      <c r="F647">
        <v>5</v>
      </c>
      <c r="G647">
        <v>5</v>
      </c>
      <c r="H647">
        <v>1</v>
      </c>
      <c r="I647">
        <v>1</v>
      </c>
      <c r="J647">
        <v>0.880454110244837</v>
      </c>
      <c r="K647">
        <v>0.904957425264865</v>
      </c>
      <c r="L647">
        <v>0.89253762376254697</v>
      </c>
      <c r="M647">
        <v>0.74033149171270696</v>
      </c>
      <c r="N647">
        <v>1</v>
      </c>
      <c r="O647">
        <v>0.81104972375690598</v>
      </c>
      <c r="P647" t="s">
        <v>6226</v>
      </c>
      <c r="Q647" t="s">
        <v>6227</v>
      </c>
      <c r="R647" t="s">
        <v>319</v>
      </c>
      <c r="S647" t="s">
        <v>320</v>
      </c>
      <c r="T647" t="s">
        <v>6228</v>
      </c>
      <c r="U647" t="s">
        <v>6229</v>
      </c>
      <c r="V647" t="s">
        <v>6230</v>
      </c>
      <c r="W647" t="s">
        <v>6231</v>
      </c>
      <c r="X647" t="s">
        <v>6230</v>
      </c>
      <c r="Y647" t="s">
        <v>5998</v>
      </c>
      <c r="Z647" t="s">
        <v>163</v>
      </c>
      <c r="AA647" t="s">
        <v>164</v>
      </c>
      <c r="AB647" t="s">
        <v>163</v>
      </c>
      <c r="AC647" t="s">
        <v>165</v>
      </c>
      <c r="AD647" t="s">
        <v>6232</v>
      </c>
      <c r="AE647" t="s">
        <v>6233</v>
      </c>
      <c r="AF647" t="s">
        <v>6235</v>
      </c>
    </row>
    <row r="648" spans="1:32" hidden="1" x14ac:dyDescent="0.35">
      <c r="A648">
        <v>3017</v>
      </c>
      <c r="B648" t="s">
        <v>6225</v>
      </c>
      <c r="C648" t="s">
        <v>72</v>
      </c>
      <c r="D648" t="s">
        <v>34</v>
      </c>
      <c r="E648">
        <v>1780</v>
      </c>
      <c r="F648">
        <v>5</v>
      </c>
      <c r="G648">
        <v>5</v>
      </c>
      <c r="H648">
        <v>1</v>
      </c>
      <c r="I648">
        <v>1</v>
      </c>
      <c r="J648">
        <v>0.880454110244837</v>
      </c>
      <c r="K648">
        <v>0.904957425264865</v>
      </c>
      <c r="L648">
        <v>0.89253762376254697</v>
      </c>
      <c r="M648">
        <v>0.74033149171270696</v>
      </c>
      <c r="N648">
        <v>1</v>
      </c>
      <c r="O648">
        <v>0.81104972375690598</v>
      </c>
      <c r="P648" t="s">
        <v>6226</v>
      </c>
      <c r="Q648" t="s">
        <v>6227</v>
      </c>
      <c r="R648" t="s">
        <v>319</v>
      </c>
      <c r="S648" t="s">
        <v>320</v>
      </c>
      <c r="T648" t="s">
        <v>6228</v>
      </c>
      <c r="U648" t="s">
        <v>6229</v>
      </c>
      <c r="V648" t="s">
        <v>6230</v>
      </c>
      <c r="W648" t="s">
        <v>6231</v>
      </c>
      <c r="X648" t="s">
        <v>6230</v>
      </c>
      <c r="Y648" t="s">
        <v>5998</v>
      </c>
      <c r="Z648" t="s">
        <v>163</v>
      </c>
      <c r="AA648" t="s">
        <v>164</v>
      </c>
      <c r="AB648" t="s">
        <v>163</v>
      </c>
      <c r="AC648" t="s">
        <v>165</v>
      </c>
      <c r="AD648" t="s">
        <v>6232</v>
      </c>
      <c r="AE648" t="s">
        <v>6233</v>
      </c>
      <c r="AF648" t="s">
        <v>6236</v>
      </c>
    </row>
    <row r="649" spans="1:32" hidden="1" x14ac:dyDescent="0.35">
      <c r="A649">
        <v>3018</v>
      </c>
      <c r="B649" t="s">
        <v>6225</v>
      </c>
      <c r="C649" t="s">
        <v>72</v>
      </c>
      <c r="D649" t="s">
        <v>45</v>
      </c>
      <c r="E649">
        <v>1093</v>
      </c>
      <c r="F649">
        <v>5</v>
      </c>
      <c r="G649">
        <v>5</v>
      </c>
      <c r="H649">
        <v>1</v>
      </c>
      <c r="I649">
        <v>1</v>
      </c>
      <c r="J649">
        <v>0.880454110244837</v>
      </c>
      <c r="K649">
        <v>0.904957425264865</v>
      </c>
      <c r="L649">
        <v>0.89253762376254697</v>
      </c>
      <c r="M649">
        <v>0.74033149171270696</v>
      </c>
      <c r="N649">
        <v>1</v>
      </c>
      <c r="O649">
        <v>0.81104972375690598</v>
      </c>
      <c r="P649" t="s">
        <v>6226</v>
      </c>
      <c r="Q649" t="s">
        <v>6227</v>
      </c>
      <c r="R649" t="s">
        <v>319</v>
      </c>
      <c r="S649" t="s">
        <v>320</v>
      </c>
      <c r="T649" t="s">
        <v>6228</v>
      </c>
      <c r="U649" t="s">
        <v>6229</v>
      </c>
      <c r="V649" t="s">
        <v>6230</v>
      </c>
      <c r="W649" t="s">
        <v>6231</v>
      </c>
      <c r="X649" t="s">
        <v>6230</v>
      </c>
      <c r="Y649" t="s">
        <v>5998</v>
      </c>
      <c r="Z649" t="s">
        <v>163</v>
      </c>
      <c r="AA649" t="s">
        <v>164</v>
      </c>
      <c r="AB649" t="s">
        <v>163</v>
      </c>
      <c r="AC649" t="s">
        <v>165</v>
      </c>
      <c r="AD649" t="s">
        <v>6232</v>
      </c>
      <c r="AE649" t="s">
        <v>6233</v>
      </c>
      <c r="AF649" t="s">
        <v>6237</v>
      </c>
    </row>
    <row r="650" spans="1:32" hidden="1" x14ac:dyDescent="0.35">
      <c r="A650">
        <v>3019</v>
      </c>
      <c r="B650" t="s">
        <v>6238</v>
      </c>
      <c r="C650" t="s">
        <v>72</v>
      </c>
      <c r="D650" t="s">
        <v>58</v>
      </c>
      <c r="E650">
        <v>1422</v>
      </c>
      <c r="F650">
        <v>5</v>
      </c>
      <c r="G650">
        <v>5</v>
      </c>
      <c r="H650">
        <v>1</v>
      </c>
      <c r="I650">
        <v>1</v>
      </c>
      <c r="J650">
        <v>0.68069039913700102</v>
      </c>
      <c r="K650">
        <v>0.96626476377952897</v>
      </c>
      <c r="L650">
        <v>0.79871894820058598</v>
      </c>
      <c r="M650">
        <v>0.3984375</v>
      </c>
      <c r="N650">
        <v>1</v>
      </c>
      <c r="O650">
        <v>0.578125</v>
      </c>
      <c r="P650" t="s">
        <v>6239</v>
      </c>
      <c r="Q650" t="s">
        <v>6240</v>
      </c>
      <c r="R650" t="s">
        <v>319</v>
      </c>
      <c r="S650" t="s">
        <v>320</v>
      </c>
      <c r="T650" t="s">
        <v>6241</v>
      </c>
      <c r="U650" t="s">
        <v>6242</v>
      </c>
      <c r="V650" t="s">
        <v>6243</v>
      </c>
      <c r="W650" t="s">
        <v>6244</v>
      </c>
      <c r="AD650" t="s">
        <v>219</v>
      </c>
      <c r="AE650" t="s">
        <v>6245</v>
      </c>
      <c r="AF650" t="s">
        <v>6246</v>
      </c>
    </row>
    <row r="651" spans="1:32" hidden="1" x14ac:dyDescent="0.35">
      <c r="A651">
        <v>3020</v>
      </c>
      <c r="B651" t="s">
        <v>6238</v>
      </c>
      <c r="C651" t="s">
        <v>72</v>
      </c>
      <c r="D651" t="s">
        <v>60</v>
      </c>
      <c r="E651">
        <v>1970</v>
      </c>
      <c r="F651">
        <v>5</v>
      </c>
      <c r="G651">
        <v>5</v>
      </c>
      <c r="H651">
        <v>1</v>
      </c>
      <c r="I651">
        <v>1</v>
      </c>
      <c r="J651">
        <v>0.68069039913700102</v>
      </c>
      <c r="K651">
        <v>0.96626476377952897</v>
      </c>
      <c r="L651">
        <v>0.79871894820058598</v>
      </c>
      <c r="M651">
        <v>0.3984375</v>
      </c>
      <c r="N651">
        <v>1</v>
      </c>
      <c r="O651">
        <v>0.578125</v>
      </c>
      <c r="P651" t="s">
        <v>6239</v>
      </c>
      <c r="Q651" t="s">
        <v>6240</v>
      </c>
      <c r="R651" t="s">
        <v>319</v>
      </c>
      <c r="S651" t="s">
        <v>320</v>
      </c>
      <c r="T651" t="s">
        <v>6241</v>
      </c>
      <c r="U651" t="s">
        <v>6242</v>
      </c>
      <c r="V651" t="s">
        <v>6243</v>
      </c>
      <c r="W651" t="s">
        <v>6244</v>
      </c>
      <c r="AD651" t="s">
        <v>219</v>
      </c>
      <c r="AE651" t="s">
        <v>6245</v>
      </c>
      <c r="AF651" t="s">
        <v>6247</v>
      </c>
    </row>
    <row r="652" spans="1:32" hidden="1" x14ac:dyDescent="0.35">
      <c r="A652">
        <v>3021</v>
      </c>
      <c r="B652" t="s">
        <v>6238</v>
      </c>
      <c r="C652" t="s">
        <v>72</v>
      </c>
      <c r="D652" t="s">
        <v>62</v>
      </c>
      <c r="E652">
        <v>2011</v>
      </c>
      <c r="F652">
        <v>5</v>
      </c>
      <c r="G652">
        <v>5</v>
      </c>
      <c r="H652">
        <v>1</v>
      </c>
      <c r="I652">
        <v>1</v>
      </c>
      <c r="J652">
        <v>0.68069039913700102</v>
      </c>
      <c r="K652">
        <v>0.96626476377952897</v>
      </c>
      <c r="L652">
        <v>0.79871894820058598</v>
      </c>
      <c r="M652">
        <v>0.3984375</v>
      </c>
      <c r="N652">
        <v>1</v>
      </c>
      <c r="O652">
        <v>0.578125</v>
      </c>
      <c r="P652" t="s">
        <v>6239</v>
      </c>
      <c r="Q652" t="s">
        <v>6240</v>
      </c>
      <c r="R652" t="s">
        <v>319</v>
      </c>
      <c r="S652" t="s">
        <v>320</v>
      </c>
      <c r="T652" t="s">
        <v>6241</v>
      </c>
      <c r="U652" t="s">
        <v>6242</v>
      </c>
      <c r="V652" t="s">
        <v>6243</v>
      </c>
      <c r="W652" t="s">
        <v>6244</v>
      </c>
      <c r="AD652" t="s">
        <v>219</v>
      </c>
      <c r="AE652" t="s">
        <v>6245</v>
      </c>
      <c r="AF652" t="s">
        <v>6247</v>
      </c>
    </row>
    <row r="653" spans="1:32" hidden="1" x14ac:dyDescent="0.35">
      <c r="A653">
        <v>3022</v>
      </c>
      <c r="B653" t="s">
        <v>6238</v>
      </c>
      <c r="C653" t="s">
        <v>72</v>
      </c>
      <c r="D653" t="s">
        <v>34</v>
      </c>
      <c r="E653">
        <v>548</v>
      </c>
      <c r="F653">
        <v>5</v>
      </c>
      <c r="G653">
        <v>5</v>
      </c>
      <c r="H653">
        <v>1</v>
      </c>
      <c r="I653">
        <v>1</v>
      </c>
      <c r="J653">
        <v>0.68069039913700102</v>
      </c>
      <c r="K653">
        <v>0.96626476377952897</v>
      </c>
      <c r="L653">
        <v>0.79871894820058598</v>
      </c>
      <c r="M653">
        <v>0.3984375</v>
      </c>
      <c r="N653">
        <v>1</v>
      </c>
      <c r="O653">
        <v>0.578125</v>
      </c>
      <c r="P653" t="s">
        <v>6239</v>
      </c>
      <c r="Q653" t="s">
        <v>6240</v>
      </c>
      <c r="R653" t="s">
        <v>319</v>
      </c>
      <c r="S653" t="s">
        <v>320</v>
      </c>
      <c r="T653" t="s">
        <v>6241</v>
      </c>
      <c r="U653" t="s">
        <v>6242</v>
      </c>
      <c r="V653" t="s">
        <v>6243</v>
      </c>
      <c r="W653" t="s">
        <v>6244</v>
      </c>
      <c r="AD653" t="s">
        <v>219</v>
      </c>
      <c r="AE653" t="s">
        <v>6245</v>
      </c>
      <c r="AF653" t="s">
        <v>6248</v>
      </c>
    </row>
    <row r="654" spans="1:32" hidden="1" x14ac:dyDescent="0.35">
      <c r="A654">
        <v>3023</v>
      </c>
      <c r="B654" t="s">
        <v>6238</v>
      </c>
      <c r="C654" t="s">
        <v>72</v>
      </c>
      <c r="D654" t="s">
        <v>45</v>
      </c>
      <c r="E654">
        <v>1815</v>
      </c>
      <c r="F654">
        <v>5</v>
      </c>
      <c r="G654">
        <v>5</v>
      </c>
      <c r="H654">
        <v>1</v>
      </c>
      <c r="I654">
        <v>1</v>
      </c>
      <c r="J654">
        <v>0.68069039913700102</v>
      </c>
      <c r="K654">
        <v>0.96626476377952897</v>
      </c>
      <c r="L654">
        <v>0.79871894820058598</v>
      </c>
      <c r="M654">
        <v>0.3984375</v>
      </c>
      <c r="N654">
        <v>1</v>
      </c>
      <c r="O654">
        <v>0.578125</v>
      </c>
      <c r="P654" t="s">
        <v>6239</v>
      </c>
      <c r="Q654" t="s">
        <v>6240</v>
      </c>
      <c r="R654" t="s">
        <v>319</v>
      </c>
      <c r="S654" t="s">
        <v>320</v>
      </c>
      <c r="T654" t="s">
        <v>6241</v>
      </c>
      <c r="U654" t="s">
        <v>6242</v>
      </c>
      <c r="V654" t="s">
        <v>6243</v>
      </c>
      <c r="W654" t="s">
        <v>6244</v>
      </c>
      <c r="AD654" t="s">
        <v>219</v>
      </c>
      <c r="AE654" t="s">
        <v>6245</v>
      </c>
      <c r="AF654" t="s">
        <v>6248</v>
      </c>
    </row>
    <row r="655" spans="1:32" hidden="1" x14ac:dyDescent="0.35">
      <c r="A655">
        <v>3024</v>
      </c>
      <c r="B655" t="s">
        <v>6249</v>
      </c>
      <c r="C655" t="s">
        <v>72</v>
      </c>
      <c r="D655" t="s">
        <v>58</v>
      </c>
      <c r="E655">
        <v>984</v>
      </c>
      <c r="F655">
        <v>5</v>
      </c>
      <c r="G655">
        <v>5</v>
      </c>
      <c r="H655">
        <v>1</v>
      </c>
      <c r="I655">
        <v>1</v>
      </c>
      <c r="J655">
        <v>0.85544071202985905</v>
      </c>
      <c r="K655">
        <v>0.97726649542210298</v>
      </c>
      <c r="L655">
        <v>0.91230453319284099</v>
      </c>
      <c r="M655">
        <v>0.70266479663394099</v>
      </c>
      <c r="N655">
        <v>1</v>
      </c>
      <c r="O655">
        <v>0.80210378681626904</v>
      </c>
      <c r="P655" t="s">
        <v>6250</v>
      </c>
      <c r="Q655" t="s">
        <v>6251</v>
      </c>
      <c r="R655" t="s">
        <v>319</v>
      </c>
      <c r="S655" t="s">
        <v>320</v>
      </c>
      <c r="T655" t="s">
        <v>6252</v>
      </c>
      <c r="U655" t="s">
        <v>6253</v>
      </c>
      <c r="V655" t="s">
        <v>6254</v>
      </c>
      <c r="W655" t="s">
        <v>6255</v>
      </c>
      <c r="X655" t="s">
        <v>6254</v>
      </c>
      <c r="Y655" t="s">
        <v>5998</v>
      </c>
      <c r="Z655" t="s">
        <v>6118</v>
      </c>
      <c r="AA655" t="s">
        <v>6119</v>
      </c>
      <c r="AB655" t="s">
        <v>6118</v>
      </c>
      <c r="AC655" t="s">
        <v>6120</v>
      </c>
      <c r="AD655" t="s">
        <v>951</v>
      </c>
      <c r="AE655" t="s">
        <v>6256</v>
      </c>
      <c r="AF655" t="s">
        <v>6257</v>
      </c>
    </row>
    <row r="656" spans="1:32" hidden="1" x14ac:dyDescent="0.35">
      <c r="A656">
        <v>3025</v>
      </c>
      <c r="B656" t="s">
        <v>6249</v>
      </c>
      <c r="C656" t="s">
        <v>72</v>
      </c>
      <c r="D656" t="s">
        <v>60</v>
      </c>
      <c r="E656">
        <v>1225</v>
      </c>
      <c r="F656">
        <v>5</v>
      </c>
      <c r="G656">
        <v>5</v>
      </c>
      <c r="H656">
        <v>1</v>
      </c>
      <c r="I656">
        <v>1</v>
      </c>
      <c r="J656">
        <v>0.85544071202985905</v>
      </c>
      <c r="K656">
        <v>0.97726649542210298</v>
      </c>
      <c r="L656">
        <v>0.91230453319284099</v>
      </c>
      <c r="M656">
        <v>0.70266479663394099</v>
      </c>
      <c r="N656">
        <v>1</v>
      </c>
      <c r="O656">
        <v>0.80210378681626904</v>
      </c>
      <c r="P656" t="s">
        <v>6250</v>
      </c>
      <c r="Q656" t="s">
        <v>6251</v>
      </c>
      <c r="R656" t="s">
        <v>319</v>
      </c>
      <c r="S656" t="s">
        <v>320</v>
      </c>
      <c r="T656" t="s">
        <v>6252</v>
      </c>
      <c r="U656" t="s">
        <v>6253</v>
      </c>
      <c r="V656" t="s">
        <v>6254</v>
      </c>
      <c r="W656" t="s">
        <v>6255</v>
      </c>
      <c r="X656" t="s">
        <v>6254</v>
      </c>
      <c r="Y656" t="s">
        <v>5998</v>
      </c>
      <c r="Z656" t="s">
        <v>6118</v>
      </c>
      <c r="AA656" t="s">
        <v>6119</v>
      </c>
      <c r="AB656" t="s">
        <v>6118</v>
      </c>
      <c r="AC656" t="s">
        <v>6120</v>
      </c>
      <c r="AD656" t="s">
        <v>951</v>
      </c>
      <c r="AE656" t="s">
        <v>6256</v>
      </c>
      <c r="AF656" t="s">
        <v>6258</v>
      </c>
    </row>
    <row r="657" spans="1:32" hidden="1" x14ac:dyDescent="0.35">
      <c r="A657">
        <v>3026</v>
      </c>
      <c r="B657" t="s">
        <v>6249</v>
      </c>
      <c r="C657" t="s">
        <v>72</v>
      </c>
      <c r="D657" t="s">
        <v>62</v>
      </c>
      <c r="E657">
        <v>1262</v>
      </c>
      <c r="F657">
        <v>5</v>
      </c>
      <c r="G657">
        <v>5</v>
      </c>
      <c r="H657">
        <v>1</v>
      </c>
      <c r="I657">
        <v>1</v>
      </c>
      <c r="J657">
        <v>0.85544071202985905</v>
      </c>
      <c r="K657">
        <v>0.97726649542210298</v>
      </c>
      <c r="L657">
        <v>0.91230453319284099</v>
      </c>
      <c r="M657">
        <v>0.70266479663394099</v>
      </c>
      <c r="N657">
        <v>1</v>
      </c>
      <c r="O657">
        <v>0.80210378681626904</v>
      </c>
      <c r="P657" t="s">
        <v>6250</v>
      </c>
      <c r="Q657" t="s">
        <v>6251</v>
      </c>
      <c r="R657" t="s">
        <v>319</v>
      </c>
      <c r="S657" t="s">
        <v>320</v>
      </c>
      <c r="T657" t="s">
        <v>6252</v>
      </c>
      <c r="U657" t="s">
        <v>6253</v>
      </c>
      <c r="V657" t="s">
        <v>6254</v>
      </c>
      <c r="W657" t="s">
        <v>6255</v>
      </c>
      <c r="X657" t="s">
        <v>6254</v>
      </c>
      <c r="Y657" t="s">
        <v>5998</v>
      </c>
      <c r="Z657" t="s">
        <v>6118</v>
      </c>
      <c r="AA657" t="s">
        <v>6119</v>
      </c>
      <c r="AB657" t="s">
        <v>6118</v>
      </c>
      <c r="AC657" t="s">
        <v>6120</v>
      </c>
      <c r="AD657" t="s">
        <v>951</v>
      </c>
      <c r="AE657" t="s">
        <v>6256</v>
      </c>
      <c r="AF657" t="s">
        <v>6258</v>
      </c>
    </row>
    <row r="658" spans="1:32" hidden="1" x14ac:dyDescent="0.35">
      <c r="A658">
        <v>3027</v>
      </c>
      <c r="B658" t="s">
        <v>6249</v>
      </c>
      <c r="C658" t="s">
        <v>72</v>
      </c>
      <c r="D658" t="s">
        <v>34</v>
      </c>
      <c r="E658">
        <v>1778</v>
      </c>
      <c r="F658">
        <v>5</v>
      </c>
      <c r="G658">
        <v>5</v>
      </c>
      <c r="H658">
        <v>1</v>
      </c>
      <c r="I658">
        <v>1</v>
      </c>
      <c r="J658">
        <v>0.85544071202985905</v>
      </c>
      <c r="K658">
        <v>0.97726649542210298</v>
      </c>
      <c r="L658">
        <v>0.91230453319284099</v>
      </c>
      <c r="M658">
        <v>0.70266479663394099</v>
      </c>
      <c r="N658">
        <v>1</v>
      </c>
      <c r="O658">
        <v>0.80210378681626904</v>
      </c>
      <c r="P658" t="s">
        <v>6250</v>
      </c>
      <c r="Q658" t="s">
        <v>6251</v>
      </c>
      <c r="R658" t="s">
        <v>319</v>
      </c>
      <c r="S658" t="s">
        <v>320</v>
      </c>
      <c r="T658" t="s">
        <v>6252</v>
      </c>
      <c r="U658" t="s">
        <v>6253</v>
      </c>
      <c r="V658" t="s">
        <v>6254</v>
      </c>
      <c r="W658" t="s">
        <v>6255</v>
      </c>
      <c r="X658" t="s">
        <v>6254</v>
      </c>
      <c r="Y658" t="s">
        <v>5998</v>
      </c>
      <c r="Z658" t="s">
        <v>6118</v>
      </c>
      <c r="AA658" t="s">
        <v>6119</v>
      </c>
      <c r="AB658" t="s">
        <v>6118</v>
      </c>
      <c r="AC658" t="s">
        <v>6120</v>
      </c>
      <c r="AD658" t="s">
        <v>951</v>
      </c>
      <c r="AE658" t="s">
        <v>6256</v>
      </c>
      <c r="AF658" t="s">
        <v>6259</v>
      </c>
    </row>
    <row r="659" spans="1:32" hidden="1" x14ac:dyDescent="0.35">
      <c r="A659">
        <v>3028</v>
      </c>
      <c r="B659" t="s">
        <v>6249</v>
      </c>
      <c r="C659" t="s">
        <v>72</v>
      </c>
      <c r="D659" t="s">
        <v>45</v>
      </c>
      <c r="E659">
        <v>1095</v>
      </c>
      <c r="F659">
        <v>5</v>
      </c>
      <c r="G659">
        <v>5</v>
      </c>
      <c r="H659">
        <v>1</v>
      </c>
      <c r="I659">
        <v>1</v>
      </c>
      <c r="J659">
        <v>0.85544071202985905</v>
      </c>
      <c r="K659">
        <v>0.97726649542210298</v>
      </c>
      <c r="L659">
        <v>0.91230453319284099</v>
      </c>
      <c r="M659">
        <v>0.70266479663394099</v>
      </c>
      <c r="N659">
        <v>1</v>
      </c>
      <c r="O659">
        <v>0.80210378681626904</v>
      </c>
      <c r="P659" t="s">
        <v>6250</v>
      </c>
      <c r="Q659" t="s">
        <v>6251</v>
      </c>
      <c r="R659" t="s">
        <v>319</v>
      </c>
      <c r="S659" t="s">
        <v>320</v>
      </c>
      <c r="T659" t="s">
        <v>6252</v>
      </c>
      <c r="U659" t="s">
        <v>6253</v>
      </c>
      <c r="V659" t="s">
        <v>6254</v>
      </c>
      <c r="W659" t="s">
        <v>6255</v>
      </c>
      <c r="X659" t="s">
        <v>6254</v>
      </c>
      <c r="Y659" t="s">
        <v>5998</v>
      </c>
      <c r="Z659" t="s">
        <v>6118</v>
      </c>
      <c r="AA659" t="s">
        <v>6119</v>
      </c>
      <c r="AB659" t="s">
        <v>6118</v>
      </c>
      <c r="AC659" t="s">
        <v>6120</v>
      </c>
      <c r="AD659" t="s">
        <v>951</v>
      </c>
      <c r="AE659" t="s">
        <v>6256</v>
      </c>
      <c r="AF659" t="s">
        <v>6260</v>
      </c>
    </row>
    <row r="660" spans="1:32" hidden="1" x14ac:dyDescent="0.35">
      <c r="A660">
        <v>3034</v>
      </c>
      <c r="B660" t="s">
        <v>6274</v>
      </c>
      <c r="C660" t="s">
        <v>72</v>
      </c>
      <c r="D660" t="s">
        <v>58</v>
      </c>
      <c r="E660">
        <v>66</v>
      </c>
      <c r="F660">
        <v>5</v>
      </c>
      <c r="G660">
        <v>5</v>
      </c>
      <c r="H660">
        <v>1</v>
      </c>
      <c r="I660">
        <v>1</v>
      </c>
      <c r="J660">
        <v>0.93139448173005202</v>
      </c>
      <c r="K660">
        <v>0.98254147812971604</v>
      </c>
      <c r="L660">
        <v>0.95628456750241198</v>
      </c>
      <c r="M660">
        <v>0.84615384615384603</v>
      </c>
      <c r="N660">
        <v>1</v>
      </c>
      <c r="O660">
        <v>0.89157509157509196</v>
      </c>
      <c r="P660" t="s">
        <v>169</v>
      </c>
      <c r="Q660" t="s">
        <v>170</v>
      </c>
      <c r="R660" t="s">
        <v>319</v>
      </c>
      <c r="S660" t="s">
        <v>320</v>
      </c>
      <c r="T660" t="s">
        <v>6275</v>
      </c>
      <c r="U660" t="s">
        <v>6276</v>
      </c>
      <c r="V660" t="s">
        <v>6277</v>
      </c>
      <c r="W660" t="s">
        <v>6278</v>
      </c>
      <c r="AD660" t="s">
        <v>1667</v>
      </c>
      <c r="AE660" t="s">
        <v>6279</v>
      </c>
      <c r="AF660" t="s">
        <v>6280</v>
      </c>
    </row>
    <row r="661" spans="1:32" hidden="1" x14ac:dyDescent="0.35">
      <c r="A661">
        <v>3035</v>
      </c>
      <c r="B661" t="s">
        <v>6274</v>
      </c>
      <c r="C661" t="s">
        <v>72</v>
      </c>
      <c r="D661" t="s">
        <v>60</v>
      </c>
      <c r="E661">
        <v>115</v>
      </c>
      <c r="F661">
        <v>5</v>
      </c>
      <c r="G661">
        <v>5</v>
      </c>
      <c r="H661">
        <v>1</v>
      </c>
      <c r="I661">
        <v>1</v>
      </c>
      <c r="J661">
        <v>0.93139448173005202</v>
      </c>
      <c r="K661">
        <v>0.98254147812971604</v>
      </c>
      <c r="L661">
        <v>0.95628456750241198</v>
      </c>
      <c r="M661">
        <v>0.84615384615384603</v>
      </c>
      <c r="N661">
        <v>1</v>
      </c>
      <c r="O661">
        <v>0.89157509157509196</v>
      </c>
      <c r="P661" t="s">
        <v>169</v>
      </c>
      <c r="Q661" t="s">
        <v>170</v>
      </c>
      <c r="R661" t="s">
        <v>319</v>
      </c>
      <c r="S661" t="s">
        <v>320</v>
      </c>
      <c r="T661" t="s">
        <v>6275</v>
      </c>
      <c r="U661" t="s">
        <v>6276</v>
      </c>
      <c r="V661" t="s">
        <v>6277</v>
      </c>
      <c r="W661" t="s">
        <v>6278</v>
      </c>
      <c r="AD661" t="s">
        <v>1667</v>
      </c>
      <c r="AE661" t="s">
        <v>6279</v>
      </c>
      <c r="AF661" t="s">
        <v>6281</v>
      </c>
    </row>
    <row r="662" spans="1:32" hidden="1" x14ac:dyDescent="0.35">
      <c r="A662">
        <v>3036</v>
      </c>
      <c r="B662" t="s">
        <v>6274</v>
      </c>
      <c r="C662" t="s">
        <v>72</v>
      </c>
      <c r="D662" t="s">
        <v>62</v>
      </c>
      <c r="E662">
        <v>187</v>
      </c>
      <c r="F662">
        <v>5</v>
      </c>
      <c r="G662">
        <v>5</v>
      </c>
      <c r="H662">
        <v>1</v>
      </c>
      <c r="I662">
        <v>1</v>
      </c>
      <c r="J662">
        <v>0.93139448173005202</v>
      </c>
      <c r="K662">
        <v>0.98254147812971604</v>
      </c>
      <c r="L662">
        <v>0.95628456750241198</v>
      </c>
      <c r="M662">
        <v>0.84615384615384603</v>
      </c>
      <c r="N662">
        <v>1</v>
      </c>
      <c r="O662">
        <v>0.89157509157509196</v>
      </c>
      <c r="P662" t="s">
        <v>169</v>
      </c>
      <c r="Q662" t="s">
        <v>170</v>
      </c>
      <c r="R662" t="s">
        <v>319</v>
      </c>
      <c r="S662" t="s">
        <v>320</v>
      </c>
      <c r="T662" t="s">
        <v>6275</v>
      </c>
      <c r="U662" t="s">
        <v>6276</v>
      </c>
      <c r="V662" t="s">
        <v>6277</v>
      </c>
      <c r="W662" t="s">
        <v>6278</v>
      </c>
      <c r="AD662" t="s">
        <v>1667</v>
      </c>
      <c r="AE662" t="s">
        <v>6279</v>
      </c>
      <c r="AF662" t="s">
        <v>6281</v>
      </c>
    </row>
    <row r="663" spans="1:32" hidden="1" x14ac:dyDescent="0.35">
      <c r="A663">
        <v>3037</v>
      </c>
      <c r="B663" t="s">
        <v>6274</v>
      </c>
      <c r="C663" t="s">
        <v>72</v>
      </c>
      <c r="D663" t="s">
        <v>34</v>
      </c>
      <c r="E663">
        <v>953</v>
      </c>
      <c r="F663">
        <v>5</v>
      </c>
      <c r="G663">
        <v>5</v>
      </c>
      <c r="H663">
        <v>1</v>
      </c>
      <c r="I663">
        <v>1</v>
      </c>
      <c r="J663">
        <v>0.93139448173005202</v>
      </c>
      <c r="K663">
        <v>0.98254147812971604</v>
      </c>
      <c r="L663">
        <v>0.95628456750241198</v>
      </c>
      <c r="M663">
        <v>0.84615384615384603</v>
      </c>
      <c r="N663">
        <v>1</v>
      </c>
      <c r="O663">
        <v>0.89157509157509196</v>
      </c>
      <c r="P663" t="s">
        <v>169</v>
      </c>
      <c r="Q663" t="s">
        <v>170</v>
      </c>
      <c r="R663" t="s">
        <v>319</v>
      </c>
      <c r="S663" t="s">
        <v>320</v>
      </c>
      <c r="T663" t="s">
        <v>6275</v>
      </c>
      <c r="U663" t="s">
        <v>6276</v>
      </c>
      <c r="V663" t="s">
        <v>6277</v>
      </c>
      <c r="W663" t="s">
        <v>6278</v>
      </c>
      <c r="AD663" t="s">
        <v>1667</v>
      </c>
      <c r="AE663" t="s">
        <v>6279</v>
      </c>
      <c r="AF663" t="s">
        <v>6282</v>
      </c>
    </row>
    <row r="664" spans="1:32" hidden="1" x14ac:dyDescent="0.35">
      <c r="A664">
        <v>3038</v>
      </c>
      <c r="B664" t="s">
        <v>6274</v>
      </c>
      <c r="C664" t="s">
        <v>72</v>
      </c>
      <c r="D664" t="s">
        <v>45</v>
      </c>
      <c r="E664">
        <v>2210</v>
      </c>
      <c r="F664">
        <v>5</v>
      </c>
      <c r="G664">
        <v>5</v>
      </c>
      <c r="H664">
        <v>1</v>
      </c>
      <c r="I664">
        <v>1</v>
      </c>
      <c r="J664">
        <v>0.93139448173005202</v>
      </c>
      <c r="K664">
        <v>0.98254147812971604</v>
      </c>
      <c r="L664">
        <v>0.95628456750241198</v>
      </c>
      <c r="M664">
        <v>0.84615384615384603</v>
      </c>
      <c r="N664">
        <v>1</v>
      </c>
      <c r="O664">
        <v>0.89157509157509196</v>
      </c>
      <c r="P664" t="s">
        <v>169</v>
      </c>
      <c r="Q664" t="s">
        <v>170</v>
      </c>
      <c r="R664" t="s">
        <v>319</v>
      </c>
      <c r="S664" t="s">
        <v>320</v>
      </c>
      <c r="T664" t="s">
        <v>6275</v>
      </c>
      <c r="U664" t="s">
        <v>6276</v>
      </c>
      <c r="V664" t="s">
        <v>6277</v>
      </c>
      <c r="W664" t="s">
        <v>6278</v>
      </c>
      <c r="AD664" t="s">
        <v>1667</v>
      </c>
      <c r="AE664" t="s">
        <v>6279</v>
      </c>
      <c r="AF664" t="s">
        <v>6282</v>
      </c>
    </row>
    <row r="665" spans="1:32" hidden="1" x14ac:dyDescent="0.35">
      <c r="A665">
        <v>3219</v>
      </c>
      <c r="B665" t="s">
        <v>6610</v>
      </c>
      <c r="C665" t="s">
        <v>72</v>
      </c>
      <c r="D665" t="s">
        <v>58</v>
      </c>
      <c r="E665">
        <v>775</v>
      </c>
      <c r="F665">
        <v>5</v>
      </c>
      <c r="G665">
        <v>5</v>
      </c>
      <c r="H665">
        <v>1</v>
      </c>
      <c r="I665">
        <v>1</v>
      </c>
      <c r="J665">
        <v>0.92809120140309898</v>
      </c>
      <c r="K665">
        <v>0.99737609329446297</v>
      </c>
      <c r="L665">
        <v>0.96148709378289599</v>
      </c>
      <c r="M665">
        <v>0.87463556851311997</v>
      </c>
      <c r="N665">
        <v>1</v>
      </c>
      <c r="O665">
        <v>0.90320699708454799</v>
      </c>
      <c r="P665" t="s">
        <v>6611</v>
      </c>
      <c r="Q665" t="s">
        <v>6612</v>
      </c>
      <c r="R665" t="s">
        <v>319</v>
      </c>
      <c r="S665" t="s">
        <v>320</v>
      </c>
      <c r="T665" t="s">
        <v>6613</v>
      </c>
      <c r="U665" t="s">
        <v>6614</v>
      </c>
      <c r="V665" t="s">
        <v>6615</v>
      </c>
      <c r="W665" t="s">
        <v>6616</v>
      </c>
      <c r="X665" t="s">
        <v>6615</v>
      </c>
      <c r="Y665" t="s">
        <v>1022</v>
      </c>
      <c r="Z665" t="s">
        <v>6617</v>
      </c>
      <c r="AA665" t="s">
        <v>6618</v>
      </c>
      <c r="AB665" t="s">
        <v>6617</v>
      </c>
      <c r="AC665" t="s">
        <v>6619</v>
      </c>
      <c r="AD665" t="s">
        <v>6620</v>
      </c>
      <c r="AE665" t="s">
        <v>6621</v>
      </c>
      <c r="AF665" t="s">
        <v>6622</v>
      </c>
    </row>
    <row r="666" spans="1:32" hidden="1" x14ac:dyDescent="0.35">
      <c r="A666">
        <v>3220</v>
      </c>
      <c r="B666" t="s">
        <v>6610</v>
      </c>
      <c r="C666" t="s">
        <v>72</v>
      </c>
      <c r="D666" t="s">
        <v>60</v>
      </c>
      <c r="E666">
        <v>1042</v>
      </c>
      <c r="F666">
        <v>5</v>
      </c>
      <c r="G666">
        <v>5</v>
      </c>
      <c r="H666">
        <v>1</v>
      </c>
      <c r="I666">
        <v>1</v>
      </c>
      <c r="J666">
        <v>0.92809120140309898</v>
      </c>
      <c r="K666">
        <v>0.99737609329446297</v>
      </c>
      <c r="L666">
        <v>0.96148709378289599</v>
      </c>
      <c r="M666">
        <v>0.87463556851311997</v>
      </c>
      <c r="N666">
        <v>1</v>
      </c>
      <c r="O666">
        <v>0.90320699708454799</v>
      </c>
      <c r="P666" t="s">
        <v>6611</v>
      </c>
      <c r="Q666" t="s">
        <v>6612</v>
      </c>
      <c r="R666" t="s">
        <v>319</v>
      </c>
      <c r="S666" t="s">
        <v>320</v>
      </c>
      <c r="T666" t="s">
        <v>6613</v>
      </c>
      <c r="U666" t="s">
        <v>6614</v>
      </c>
      <c r="V666" t="s">
        <v>6615</v>
      </c>
      <c r="W666" t="s">
        <v>6616</v>
      </c>
      <c r="X666" t="s">
        <v>6615</v>
      </c>
      <c r="Y666" t="s">
        <v>1022</v>
      </c>
      <c r="Z666" t="s">
        <v>6617</v>
      </c>
      <c r="AA666" t="s">
        <v>6618</v>
      </c>
      <c r="AB666" t="s">
        <v>6617</v>
      </c>
      <c r="AC666" t="s">
        <v>6619</v>
      </c>
      <c r="AD666" t="s">
        <v>6620</v>
      </c>
      <c r="AE666" t="s">
        <v>6621</v>
      </c>
      <c r="AF666" t="s">
        <v>6623</v>
      </c>
    </row>
    <row r="667" spans="1:32" hidden="1" x14ac:dyDescent="0.35">
      <c r="A667">
        <v>3221</v>
      </c>
      <c r="B667" t="s">
        <v>6610</v>
      </c>
      <c r="C667" t="s">
        <v>72</v>
      </c>
      <c r="D667" t="s">
        <v>62</v>
      </c>
      <c r="E667">
        <v>1078</v>
      </c>
      <c r="F667">
        <v>5</v>
      </c>
      <c r="G667">
        <v>5</v>
      </c>
      <c r="H667">
        <v>1</v>
      </c>
      <c r="I667">
        <v>1</v>
      </c>
      <c r="J667">
        <v>0.92809120140309898</v>
      </c>
      <c r="K667">
        <v>0.99737609329446297</v>
      </c>
      <c r="L667">
        <v>0.96148709378289599</v>
      </c>
      <c r="M667">
        <v>0.87463556851311997</v>
      </c>
      <c r="N667">
        <v>1</v>
      </c>
      <c r="O667">
        <v>0.90320699708454799</v>
      </c>
      <c r="P667" t="s">
        <v>6611</v>
      </c>
      <c r="Q667" t="s">
        <v>6612</v>
      </c>
      <c r="R667" t="s">
        <v>319</v>
      </c>
      <c r="S667" t="s">
        <v>320</v>
      </c>
      <c r="T667" t="s">
        <v>6613</v>
      </c>
      <c r="U667" t="s">
        <v>6614</v>
      </c>
      <c r="V667" t="s">
        <v>6615</v>
      </c>
      <c r="W667" t="s">
        <v>6616</v>
      </c>
      <c r="X667" t="s">
        <v>6615</v>
      </c>
      <c r="Y667" t="s">
        <v>1022</v>
      </c>
      <c r="Z667" t="s">
        <v>6617</v>
      </c>
      <c r="AA667" t="s">
        <v>6618</v>
      </c>
      <c r="AB667" t="s">
        <v>6617</v>
      </c>
      <c r="AC667" t="s">
        <v>6619</v>
      </c>
      <c r="AD667" t="s">
        <v>6620</v>
      </c>
      <c r="AE667" t="s">
        <v>6621</v>
      </c>
      <c r="AF667" t="s">
        <v>6623</v>
      </c>
    </row>
    <row r="668" spans="1:32" hidden="1" x14ac:dyDescent="0.35">
      <c r="A668">
        <v>3222</v>
      </c>
      <c r="B668" t="s">
        <v>6610</v>
      </c>
      <c r="C668" t="s">
        <v>72</v>
      </c>
      <c r="D668" t="s">
        <v>34</v>
      </c>
      <c r="E668">
        <v>74</v>
      </c>
      <c r="F668">
        <v>5</v>
      </c>
      <c r="G668">
        <v>5</v>
      </c>
      <c r="H668">
        <v>1</v>
      </c>
      <c r="I668">
        <v>1</v>
      </c>
      <c r="J668">
        <v>0.92809120140309898</v>
      </c>
      <c r="K668">
        <v>0.99737609329446297</v>
      </c>
      <c r="L668">
        <v>0.96148709378289599</v>
      </c>
      <c r="M668">
        <v>0.87463556851311997</v>
      </c>
      <c r="N668">
        <v>1</v>
      </c>
      <c r="O668">
        <v>0.90320699708454799</v>
      </c>
      <c r="P668" t="s">
        <v>6611</v>
      </c>
      <c r="Q668" t="s">
        <v>6612</v>
      </c>
      <c r="R668" t="s">
        <v>319</v>
      </c>
      <c r="S668" t="s">
        <v>320</v>
      </c>
      <c r="T668" t="s">
        <v>6613</v>
      </c>
      <c r="U668" t="s">
        <v>6614</v>
      </c>
      <c r="V668" t="s">
        <v>6615</v>
      </c>
      <c r="W668" t="s">
        <v>6616</v>
      </c>
      <c r="X668" t="s">
        <v>6615</v>
      </c>
      <c r="Y668" t="s">
        <v>1022</v>
      </c>
      <c r="Z668" t="s">
        <v>6617</v>
      </c>
      <c r="AA668" t="s">
        <v>6618</v>
      </c>
      <c r="AB668" t="s">
        <v>6617</v>
      </c>
      <c r="AC668" t="s">
        <v>6619</v>
      </c>
      <c r="AD668" t="s">
        <v>6620</v>
      </c>
      <c r="AE668" t="s">
        <v>6621</v>
      </c>
      <c r="AF668" t="s">
        <v>6624</v>
      </c>
    </row>
    <row r="669" spans="1:32" hidden="1" x14ac:dyDescent="0.35">
      <c r="A669">
        <v>3223</v>
      </c>
      <c r="B669" t="s">
        <v>6610</v>
      </c>
      <c r="C669" t="s">
        <v>72</v>
      </c>
      <c r="D669" t="s">
        <v>45</v>
      </c>
      <c r="E669">
        <v>1332</v>
      </c>
      <c r="F669">
        <v>5</v>
      </c>
      <c r="G669">
        <v>5</v>
      </c>
      <c r="H669">
        <v>1</v>
      </c>
      <c r="I669">
        <v>1</v>
      </c>
      <c r="J669">
        <v>0.92809120140309898</v>
      </c>
      <c r="K669">
        <v>0.99737609329446297</v>
      </c>
      <c r="L669">
        <v>0.96148709378289599</v>
      </c>
      <c r="M669">
        <v>0.87463556851311997</v>
      </c>
      <c r="N669">
        <v>1</v>
      </c>
      <c r="O669">
        <v>0.90320699708454799</v>
      </c>
      <c r="P669" t="s">
        <v>6611</v>
      </c>
      <c r="Q669" t="s">
        <v>6612</v>
      </c>
      <c r="R669" t="s">
        <v>319</v>
      </c>
      <c r="S669" t="s">
        <v>320</v>
      </c>
      <c r="T669" t="s">
        <v>6613</v>
      </c>
      <c r="U669" t="s">
        <v>6614</v>
      </c>
      <c r="V669" t="s">
        <v>6615</v>
      </c>
      <c r="W669" t="s">
        <v>6616</v>
      </c>
      <c r="X669" t="s">
        <v>6615</v>
      </c>
      <c r="Y669" t="s">
        <v>1022</v>
      </c>
      <c r="Z669" t="s">
        <v>6617</v>
      </c>
      <c r="AA669" t="s">
        <v>6618</v>
      </c>
      <c r="AB669" t="s">
        <v>6617</v>
      </c>
      <c r="AC669" t="s">
        <v>6619</v>
      </c>
      <c r="AD669" t="s">
        <v>6620</v>
      </c>
      <c r="AE669" t="s">
        <v>6621</v>
      </c>
      <c r="AF669" t="s">
        <v>6624</v>
      </c>
    </row>
    <row r="670" spans="1:32" hidden="1" x14ac:dyDescent="0.35">
      <c r="A670">
        <v>3269</v>
      </c>
      <c r="B670" t="s">
        <v>6727</v>
      </c>
      <c r="C670" t="s">
        <v>72</v>
      </c>
      <c r="D670" t="s">
        <v>58</v>
      </c>
      <c r="E670">
        <v>671</v>
      </c>
      <c r="F670">
        <v>5</v>
      </c>
      <c r="G670">
        <v>5</v>
      </c>
      <c r="H670">
        <v>1</v>
      </c>
      <c r="I670">
        <v>1</v>
      </c>
      <c r="J670">
        <v>0.73689626342530101</v>
      </c>
      <c r="K670">
        <v>0.97451715446808895</v>
      </c>
      <c r="L670">
        <v>0.83921049380965596</v>
      </c>
      <c r="M670">
        <v>0.50187969924812004</v>
      </c>
      <c r="N670">
        <v>1</v>
      </c>
      <c r="O670">
        <v>0.63139097744360895</v>
      </c>
      <c r="P670" t="s">
        <v>4358</v>
      </c>
      <c r="Q670" t="s">
        <v>4359</v>
      </c>
      <c r="R670" t="s">
        <v>319</v>
      </c>
      <c r="S670" t="s">
        <v>320</v>
      </c>
      <c r="T670" t="s">
        <v>6728</v>
      </c>
      <c r="U670" t="s">
        <v>6729</v>
      </c>
      <c r="V670" t="s">
        <v>4360</v>
      </c>
      <c r="W670" t="s">
        <v>4361</v>
      </c>
      <c r="AD670" t="s">
        <v>166</v>
      </c>
      <c r="AE670" t="s">
        <v>6730</v>
      </c>
      <c r="AF670" t="s">
        <v>6731</v>
      </c>
    </row>
    <row r="671" spans="1:32" hidden="1" x14ac:dyDescent="0.35">
      <c r="A671">
        <v>3270</v>
      </c>
      <c r="B671" t="s">
        <v>6727</v>
      </c>
      <c r="C671" t="s">
        <v>72</v>
      </c>
      <c r="D671" t="s">
        <v>60</v>
      </c>
      <c r="E671">
        <v>865</v>
      </c>
      <c r="F671">
        <v>5</v>
      </c>
      <c r="G671">
        <v>5</v>
      </c>
      <c r="H671">
        <v>1</v>
      </c>
      <c r="I671">
        <v>1</v>
      </c>
      <c r="J671">
        <v>0.73689626342530101</v>
      </c>
      <c r="K671">
        <v>0.97451715446808895</v>
      </c>
      <c r="L671">
        <v>0.83921049380965596</v>
      </c>
      <c r="M671">
        <v>0.50187969924812004</v>
      </c>
      <c r="N671">
        <v>1</v>
      </c>
      <c r="O671">
        <v>0.63139097744360895</v>
      </c>
      <c r="P671" t="s">
        <v>4358</v>
      </c>
      <c r="Q671" t="s">
        <v>4359</v>
      </c>
      <c r="R671" t="s">
        <v>319</v>
      </c>
      <c r="S671" t="s">
        <v>320</v>
      </c>
      <c r="V671" t="s">
        <v>4360</v>
      </c>
      <c r="W671" t="s">
        <v>4361</v>
      </c>
      <c r="AF671" t="s">
        <v>6732</v>
      </c>
    </row>
    <row r="672" spans="1:32" hidden="1" x14ac:dyDescent="0.35">
      <c r="A672">
        <v>3271</v>
      </c>
      <c r="B672" t="s">
        <v>6727</v>
      </c>
      <c r="C672" t="s">
        <v>72</v>
      </c>
      <c r="D672" t="s">
        <v>62</v>
      </c>
      <c r="E672">
        <v>899</v>
      </c>
      <c r="F672">
        <v>5</v>
      </c>
      <c r="G672">
        <v>5</v>
      </c>
      <c r="H672">
        <v>1</v>
      </c>
      <c r="I672">
        <v>1</v>
      </c>
      <c r="J672">
        <v>0.73689626342530101</v>
      </c>
      <c r="K672">
        <v>0.97451715446808895</v>
      </c>
      <c r="L672">
        <v>0.83921049380965596</v>
      </c>
      <c r="M672">
        <v>0.50187969924812004</v>
      </c>
      <c r="N672">
        <v>1</v>
      </c>
      <c r="O672">
        <v>0.63139097744360895</v>
      </c>
      <c r="P672" t="s">
        <v>4358</v>
      </c>
      <c r="Q672" t="s">
        <v>4359</v>
      </c>
      <c r="R672" t="s">
        <v>319</v>
      </c>
      <c r="S672" t="s">
        <v>320</v>
      </c>
      <c r="V672" t="s">
        <v>4360</v>
      </c>
      <c r="W672" t="s">
        <v>4361</v>
      </c>
      <c r="AF672" t="s">
        <v>6732</v>
      </c>
    </row>
    <row r="673" spans="1:32" hidden="1" x14ac:dyDescent="0.35">
      <c r="A673">
        <v>3272</v>
      </c>
      <c r="B673" t="s">
        <v>6727</v>
      </c>
      <c r="C673" t="s">
        <v>72</v>
      </c>
      <c r="D673" t="s">
        <v>34</v>
      </c>
      <c r="E673">
        <v>766</v>
      </c>
      <c r="F673">
        <v>5</v>
      </c>
      <c r="G673">
        <v>5</v>
      </c>
      <c r="H673">
        <v>1</v>
      </c>
      <c r="I673">
        <v>1</v>
      </c>
      <c r="J673">
        <v>0.73689626342530101</v>
      </c>
      <c r="K673">
        <v>0.97451715446808895</v>
      </c>
      <c r="L673">
        <v>0.83921049380965596</v>
      </c>
      <c r="M673">
        <v>0.50187969924812004</v>
      </c>
      <c r="N673">
        <v>1</v>
      </c>
      <c r="O673">
        <v>0.63139097744360895</v>
      </c>
      <c r="P673" t="s">
        <v>4358</v>
      </c>
      <c r="Q673" t="s">
        <v>4359</v>
      </c>
      <c r="R673" t="s">
        <v>319</v>
      </c>
      <c r="S673" t="s">
        <v>320</v>
      </c>
      <c r="V673" t="s">
        <v>4360</v>
      </c>
      <c r="W673" t="s">
        <v>4361</v>
      </c>
      <c r="AF673" t="s">
        <v>6733</v>
      </c>
    </row>
    <row r="674" spans="1:32" hidden="1" x14ac:dyDescent="0.35">
      <c r="A674">
        <v>3273</v>
      </c>
      <c r="B674" t="s">
        <v>6727</v>
      </c>
      <c r="C674" t="s">
        <v>72</v>
      </c>
      <c r="D674" t="s">
        <v>45</v>
      </c>
      <c r="E674">
        <v>2032</v>
      </c>
      <c r="F674">
        <v>5</v>
      </c>
      <c r="G674">
        <v>5</v>
      </c>
      <c r="H674">
        <v>1</v>
      </c>
      <c r="I674">
        <v>1</v>
      </c>
      <c r="J674">
        <v>0.73689626342530101</v>
      </c>
      <c r="K674">
        <v>0.97451715446808895</v>
      </c>
      <c r="L674">
        <v>0.83921049380965596</v>
      </c>
      <c r="M674">
        <v>0.50187969924812004</v>
      </c>
      <c r="N674">
        <v>1</v>
      </c>
      <c r="O674">
        <v>0.63139097744360895</v>
      </c>
      <c r="P674" t="s">
        <v>4358</v>
      </c>
      <c r="Q674" t="s">
        <v>4359</v>
      </c>
      <c r="R674" t="s">
        <v>319</v>
      </c>
      <c r="S674" t="s">
        <v>320</v>
      </c>
      <c r="V674" t="s">
        <v>4360</v>
      </c>
      <c r="W674" t="s">
        <v>4361</v>
      </c>
      <c r="AF674" t="s">
        <v>6734</v>
      </c>
    </row>
    <row r="675" spans="1:32" hidden="1" x14ac:dyDescent="0.35">
      <c r="A675">
        <v>3409</v>
      </c>
      <c r="B675" t="s">
        <v>7003</v>
      </c>
      <c r="C675" t="s">
        <v>72</v>
      </c>
      <c r="D675" t="s">
        <v>58</v>
      </c>
      <c r="E675">
        <v>335</v>
      </c>
      <c r="F675">
        <v>5</v>
      </c>
      <c r="G675">
        <v>5</v>
      </c>
      <c r="H675">
        <v>1</v>
      </c>
      <c r="I675">
        <v>1</v>
      </c>
      <c r="J675">
        <v>0.79742479742479699</v>
      </c>
      <c r="K675">
        <v>0.80223035779197505</v>
      </c>
      <c r="L675">
        <v>0.799820359361889</v>
      </c>
      <c r="M675">
        <v>0.47073791348600502</v>
      </c>
      <c r="N675">
        <v>1</v>
      </c>
      <c r="O675">
        <v>0.63893129770992396</v>
      </c>
      <c r="P675" t="s">
        <v>1531</v>
      </c>
      <c r="Q675" t="s">
        <v>1532</v>
      </c>
      <c r="R675" t="s">
        <v>319</v>
      </c>
      <c r="S675" t="s">
        <v>320</v>
      </c>
      <c r="T675" t="s">
        <v>7004</v>
      </c>
      <c r="U675" t="s">
        <v>7005</v>
      </c>
      <c r="V675" t="s">
        <v>2904</v>
      </c>
      <c r="W675" t="s">
        <v>2905</v>
      </c>
      <c r="Z675" t="s">
        <v>2906</v>
      </c>
      <c r="AA675" t="s">
        <v>2907</v>
      </c>
      <c r="AB675" t="s">
        <v>2906</v>
      </c>
      <c r="AC675" t="s">
        <v>2908</v>
      </c>
      <c r="AD675" t="s">
        <v>640</v>
      </c>
      <c r="AE675" t="s">
        <v>7006</v>
      </c>
      <c r="AF675" t="s">
        <v>7007</v>
      </c>
    </row>
    <row r="676" spans="1:32" hidden="1" x14ac:dyDescent="0.35">
      <c r="A676">
        <v>3410</v>
      </c>
      <c r="B676" t="s">
        <v>7003</v>
      </c>
      <c r="C676" t="s">
        <v>72</v>
      </c>
      <c r="D676" t="s">
        <v>60</v>
      </c>
      <c r="E676">
        <v>571</v>
      </c>
      <c r="F676">
        <v>5</v>
      </c>
      <c r="G676">
        <v>5</v>
      </c>
      <c r="H676">
        <v>1</v>
      </c>
      <c r="I676">
        <v>1</v>
      </c>
      <c r="J676">
        <v>0.79742479742479699</v>
      </c>
      <c r="K676">
        <v>0.80223035779197505</v>
      </c>
      <c r="L676">
        <v>0.799820359361889</v>
      </c>
      <c r="M676">
        <v>0.47073791348600502</v>
      </c>
      <c r="N676">
        <v>1</v>
      </c>
      <c r="O676">
        <v>0.63893129770992396</v>
      </c>
      <c r="P676" t="s">
        <v>1531</v>
      </c>
      <c r="Q676" t="s">
        <v>1532</v>
      </c>
      <c r="R676" t="s">
        <v>319</v>
      </c>
      <c r="S676" t="s">
        <v>320</v>
      </c>
      <c r="T676" t="s">
        <v>7004</v>
      </c>
      <c r="U676" t="s">
        <v>7005</v>
      </c>
      <c r="V676" t="s">
        <v>2904</v>
      </c>
      <c r="W676" t="s">
        <v>2905</v>
      </c>
      <c r="Z676" t="s">
        <v>2906</v>
      </c>
      <c r="AA676" t="s">
        <v>2907</v>
      </c>
      <c r="AB676" t="s">
        <v>2906</v>
      </c>
      <c r="AC676" t="s">
        <v>2908</v>
      </c>
      <c r="AD676" t="s">
        <v>640</v>
      </c>
      <c r="AE676" t="s">
        <v>7006</v>
      </c>
      <c r="AF676" t="s">
        <v>7008</v>
      </c>
    </row>
    <row r="677" spans="1:32" hidden="1" x14ac:dyDescent="0.35">
      <c r="A677">
        <v>3411</v>
      </c>
      <c r="B677" t="s">
        <v>7003</v>
      </c>
      <c r="C677" t="s">
        <v>72</v>
      </c>
      <c r="D677" t="s">
        <v>62</v>
      </c>
      <c r="E677">
        <v>655</v>
      </c>
      <c r="F677">
        <v>5</v>
      </c>
      <c r="G677">
        <v>5</v>
      </c>
      <c r="H677">
        <v>1</v>
      </c>
      <c r="I677">
        <v>1</v>
      </c>
      <c r="J677">
        <v>0.79742479742479699</v>
      </c>
      <c r="K677">
        <v>0.80223035779197505</v>
      </c>
      <c r="L677">
        <v>0.799820359361889</v>
      </c>
      <c r="M677">
        <v>0.47073791348600502</v>
      </c>
      <c r="N677">
        <v>1</v>
      </c>
      <c r="O677">
        <v>0.63893129770992396</v>
      </c>
      <c r="P677" t="s">
        <v>1531</v>
      </c>
      <c r="Q677" t="s">
        <v>1532</v>
      </c>
      <c r="R677" t="s">
        <v>319</v>
      </c>
      <c r="S677" t="s">
        <v>320</v>
      </c>
      <c r="T677" t="s">
        <v>7004</v>
      </c>
      <c r="U677" t="s">
        <v>7005</v>
      </c>
      <c r="V677" t="s">
        <v>2904</v>
      </c>
      <c r="W677" t="s">
        <v>2905</v>
      </c>
      <c r="Z677" t="s">
        <v>2906</v>
      </c>
      <c r="AA677" t="s">
        <v>2907</v>
      </c>
      <c r="AB677" t="s">
        <v>2906</v>
      </c>
      <c r="AC677" t="s">
        <v>2908</v>
      </c>
      <c r="AD677" t="s">
        <v>640</v>
      </c>
      <c r="AE677" t="s">
        <v>7006</v>
      </c>
      <c r="AF677" t="s">
        <v>7008</v>
      </c>
    </row>
    <row r="678" spans="1:32" hidden="1" x14ac:dyDescent="0.35">
      <c r="A678">
        <v>3412</v>
      </c>
      <c r="B678" t="s">
        <v>7003</v>
      </c>
      <c r="C678" t="s">
        <v>72</v>
      </c>
      <c r="D678" t="s">
        <v>34</v>
      </c>
      <c r="E678">
        <v>521</v>
      </c>
      <c r="F678">
        <v>5</v>
      </c>
      <c r="G678">
        <v>5</v>
      </c>
      <c r="H678">
        <v>1</v>
      </c>
      <c r="I678">
        <v>1</v>
      </c>
      <c r="J678">
        <v>0.79742479742479699</v>
      </c>
      <c r="K678">
        <v>0.80223035779197505</v>
      </c>
      <c r="L678">
        <v>0.799820359361889</v>
      </c>
      <c r="M678">
        <v>0.47073791348600502</v>
      </c>
      <c r="N678">
        <v>1</v>
      </c>
      <c r="O678">
        <v>0.63893129770992396</v>
      </c>
      <c r="P678" t="s">
        <v>1531</v>
      </c>
      <c r="Q678" t="s">
        <v>1532</v>
      </c>
      <c r="R678" t="s">
        <v>319</v>
      </c>
      <c r="S678" t="s">
        <v>320</v>
      </c>
      <c r="T678" t="s">
        <v>7004</v>
      </c>
      <c r="U678" t="s">
        <v>7005</v>
      </c>
      <c r="V678" t="s">
        <v>2904</v>
      </c>
      <c r="W678" t="s">
        <v>2905</v>
      </c>
      <c r="Z678" t="s">
        <v>2906</v>
      </c>
      <c r="AA678" t="s">
        <v>2907</v>
      </c>
      <c r="AB678" t="s">
        <v>2906</v>
      </c>
      <c r="AC678" t="s">
        <v>2908</v>
      </c>
      <c r="AD678" t="s">
        <v>640</v>
      </c>
      <c r="AE678" t="s">
        <v>7006</v>
      </c>
      <c r="AF678" t="s">
        <v>7009</v>
      </c>
    </row>
    <row r="679" spans="1:32" hidden="1" x14ac:dyDescent="0.35">
      <c r="A679">
        <v>3413</v>
      </c>
      <c r="B679" t="s">
        <v>7003</v>
      </c>
      <c r="C679" t="s">
        <v>72</v>
      </c>
      <c r="D679" t="s">
        <v>45</v>
      </c>
      <c r="E679">
        <v>1786</v>
      </c>
      <c r="F679">
        <v>5</v>
      </c>
      <c r="G679">
        <v>5</v>
      </c>
      <c r="H679">
        <v>1</v>
      </c>
      <c r="I679">
        <v>1</v>
      </c>
      <c r="J679">
        <v>0.79742479742479699</v>
      </c>
      <c r="K679">
        <v>0.80223035779197505</v>
      </c>
      <c r="L679">
        <v>0.799820359361889</v>
      </c>
      <c r="M679">
        <v>0.47073791348600502</v>
      </c>
      <c r="N679">
        <v>1</v>
      </c>
      <c r="O679">
        <v>0.63893129770992396</v>
      </c>
      <c r="P679" t="s">
        <v>1531</v>
      </c>
      <c r="Q679" t="s">
        <v>1532</v>
      </c>
      <c r="R679" t="s">
        <v>319</v>
      </c>
      <c r="S679" t="s">
        <v>320</v>
      </c>
      <c r="T679" t="s">
        <v>7004</v>
      </c>
      <c r="U679" t="s">
        <v>7005</v>
      </c>
      <c r="V679" t="s">
        <v>2904</v>
      </c>
      <c r="W679" t="s">
        <v>2905</v>
      </c>
      <c r="Z679" t="s">
        <v>2906</v>
      </c>
      <c r="AA679" t="s">
        <v>2907</v>
      </c>
      <c r="AB679" t="s">
        <v>2906</v>
      </c>
      <c r="AC679" t="s">
        <v>2908</v>
      </c>
      <c r="AD679" t="s">
        <v>640</v>
      </c>
      <c r="AE679" t="s">
        <v>7006</v>
      </c>
      <c r="AF679" t="s">
        <v>7010</v>
      </c>
    </row>
    <row r="680" spans="1:32" hidden="1" x14ac:dyDescent="0.35">
      <c r="A680">
        <v>3484</v>
      </c>
      <c r="B680" t="s">
        <v>7162</v>
      </c>
      <c r="C680" t="s">
        <v>72</v>
      </c>
      <c r="D680" t="s">
        <v>58</v>
      </c>
      <c r="E680">
        <v>1797</v>
      </c>
      <c r="F680">
        <v>5</v>
      </c>
      <c r="G680">
        <v>5</v>
      </c>
      <c r="H680">
        <v>1</v>
      </c>
      <c r="I680">
        <v>1</v>
      </c>
      <c r="J680">
        <v>0.85493072534637304</v>
      </c>
      <c r="K680">
        <v>0.913075258847168</v>
      </c>
      <c r="L680">
        <v>0.88304689047543905</v>
      </c>
      <c r="M680">
        <v>0.69027777777777799</v>
      </c>
      <c r="N680">
        <v>1</v>
      </c>
      <c r="O680">
        <v>0.77194444444444499</v>
      </c>
      <c r="P680" t="s">
        <v>7163</v>
      </c>
      <c r="Q680" t="s">
        <v>7164</v>
      </c>
      <c r="R680" t="s">
        <v>319</v>
      </c>
      <c r="S680" t="s">
        <v>320</v>
      </c>
      <c r="T680" t="s">
        <v>7165</v>
      </c>
      <c r="U680" t="s">
        <v>7166</v>
      </c>
      <c r="V680" t="s">
        <v>2904</v>
      </c>
      <c r="W680" t="s">
        <v>2905</v>
      </c>
      <c r="Z680" t="s">
        <v>2906</v>
      </c>
      <c r="AA680" t="s">
        <v>2907</v>
      </c>
      <c r="AB680" t="s">
        <v>2906</v>
      </c>
      <c r="AC680" t="s">
        <v>2908</v>
      </c>
      <c r="AD680" t="s">
        <v>640</v>
      </c>
      <c r="AE680" t="s">
        <v>7167</v>
      </c>
      <c r="AF680" t="s">
        <v>7168</v>
      </c>
    </row>
    <row r="681" spans="1:32" hidden="1" x14ac:dyDescent="0.35">
      <c r="A681">
        <v>3485</v>
      </c>
      <c r="B681" t="s">
        <v>7162</v>
      </c>
      <c r="C681" t="s">
        <v>72</v>
      </c>
      <c r="D681" t="s">
        <v>60</v>
      </c>
      <c r="E681">
        <v>2427</v>
      </c>
      <c r="F681">
        <v>5</v>
      </c>
      <c r="G681">
        <v>5</v>
      </c>
      <c r="H681">
        <v>1</v>
      </c>
      <c r="I681">
        <v>1</v>
      </c>
      <c r="J681">
        <v>0.85493072534637304</v>
      </c>
      <c r="K681">
        <v>0.913075258847168</v>
      </c>
      <c r="L681">
        <v>0.88304689047543905</v>
      </c>
      <c r="M681">
        <v>0.69027777777777799</v>
      </c>
      <c r="N681">
        <v>1</v>
      </c>
      <c r="O681">
        <v>0.77194444444444499</v>
      </c>
      <c r="P681" t="s">
        <v>7163</v>
      </c>
      <c r="Q681" t="s">
        <v>7164</v>
      </c>
      <c r="R681" t="s">
        <v>319</v>
      </c>
      <c r="S681" t="s">
        <v>320</v>
      </c>
      <c r="T681" t="s">
        <v>7165</v>
      </c>
      <c r="U681" t="s">
        <v>7166</v>
      </c>
      <c r="V681" t="s">
        <v>2904</v>
      </c>
      <c r="W681" t="s">
        <v>2905</v>
      </c>
      <c r="Z681" t="s">
        <v>2906</v>
      </c>
      <c r="AA681" t="s">
        <v>2907</v>
      </c>
      <c r="AB681" t="s">
        <v>2906</v>
      </c>
      <c r="AC681" t="s">
        <v>2908</v>
      </c>
      <c r="AD681" t="s">
        <v>640</v>
      </c>
      <c r="AE681" t="s">
        <v>7167</v>
      </c>
      <c r="AF681" t="s">
        <v>7169</v>
      </c>
    </row>
    <row r="682" spans="1:32" hidden="1" x14ac:dyDescent="0.35">
      <c r="A682">
        <v>3486</v>
      </c>
      <c r="B682" t="s">
        <v>7162</v>
      </c>
      <c r="C682" t="s">
        <v>72</v>
      </c>
      <c r="D682" t="s">
        <v>62</v>
      </c>
      <c r="E682">
        <v>2454</v>
      </c>
      <c r="F682">
        <v>5</v>
      </c>
      <c r="G682">
        <v>5</v>
      </c>
      <c r="H682">
        <v>1</v>
      </c>
      <c r="I682">
        <v>1</v>
      </c>
      <c r="J682">
        <v>0.85493072534637304</v>
      </c>
      <c r="K682">
        <v>0.913075258847168</v>
      </c>
      <c r="L682">
        <v>0.88304689047543905</v>
      </c>
      <c r="M682">
        <v>0.69027777777777799</v>
      </c>
      <c r="N682">
        <v>1</v>
      </c>
      <c r="O682">
        <v>0.77194444444444499</v>
      </c>
      <c r="P682" t="s">
        <v>7163</v>
      </c>
      <c r="Q682" t="s">
        <v>7164</v>
      </c>
      <c r="R682" t="s">
        <v>319</v>
      </c>
      <c r="S682" t="s">
        <v>320</v>
      </c>
      <c r="T682" t="s">
        <v>7165</v>
      </c>
      <c r="U682" t="s">
        <v>7166</v>
      </c>
      <c r="V682" t="s">
        <v>2904</v>
      </c>
      <c r="W682" t="s">
        <v>2905</v>
      </c>
      <c r="Z682" t="s">
        <v>2906</v>
      </c>
      <c r="AA682" t="s">
        <v>2907</v>
      </c>
      <c r="AB682" t="s">
        <v>2906</v>
      </c>
      <c r="AC682" t="s">
        <v>2908</v>
      </c>
      <c r="AD682" t="s">
        <v>640</v>
      </c>
      <c r="AE682" t="s">
        <v>7167</v>
      </c>
      <c r="AF682" t="s">
        <v>7169</v>
      </c>
    </row>
    <row r="683" spans="1:32" hidden="1" x14ac:dyDescent="0.35">
      <c r="A683">
        <v>3487</v>
      </c>
      <c r="B683" t="s">
        <v>7162</v>
      </c>
      <c r="C683" t="s">
        <v>72</v>
      </c>
      <c r="D683" t="s">
        <v>34</v>
      </c>
      <c r="E683">
        <v>1299</v>
      </c>
      <c r="F683">
        <v>5</v>
      </c>
      <c r="G683">
        <v>5</v>
      </c>
      <c r="H683">
        <v>1</v>
      </c>
      <c r="I683">
        <v>1</v>
      </c>
      <c r="J683">
        <v>0.85493072534637304</v>
      </c>
      <c r="K683">
        <v>0.913075258847168</v>
      </c>
      <c r="L683">
        <v>0.88304689047543905</v>
      </c>
      <c r="M683">
        <v>0.69027777777777799</v>
      </c>
      <c r="N683">
        <v>1</v>
      </c>
      <c r="O683">
        <v>0.77194444444444499</v>
      </c>
      <c r="P683" t="s">
        <v>7163</v>
      </c>
      <c r="Q683" t="s">
        <v>7164</v>
      </c>
      <c r="R683" t="s">
        <v>319</v>
      </c>
      <c r="S683" t="s">
        <v>320</v>
      </c>
      <c r="T683" t="s">
        <v>7165</v>
      </c>
      <c r="U683" t="s">
        <v>7166</v>
      </c>
      <c r="V683" t="s">
        <v>2904</v>
      </c>
      <c r="W683" t="s">
        <v>2905</v>
      </c>
      <c r="Z683" t="s">
        <v>2906</v>
      </c>
      <c r="AA683" t="s">
        <v>2907</v>
      </c>
      <c r="AB683" t="s">
        <v>2906</v>
      </c>
      <c r="AC683" t="s">
        <v>2908</v>
      </c>
      <c r="AD683" t="s">
        <v>640</v>
      </c>
      <c r="AE683" t="s">
        <v>7167</v>
      </c>
      <c r="AF683" t="s">
        <v>7170</v>
      </c>
    </row>
    <row r="684" spans="1:32" hidden="1" x14ac:dyDescent="0.35">
      <c r="A684">
        <v>3488</v>
      </c>
      <c r="B684" t="s">
        <v>7162</v>
      </c>
      <c r="C684" t="s">
        <v>72</v>
      </c>
      <c r="D684" t="s">
        <v>45</v>
      </c>
      <c r="E684">
        <v>51</v>
      </c>
      <c r="F684">
        <v>5</v>
      </c>
      <c r="G684">
        <v>5</v>
      </c>
      <c r="H684">
        <v>1</v>
      </c>
      <c r="I684">
        <v>1</v>
      </c>
      <c r="J684">
        <v>0.85493072534637304</v>
      </c>
      <c r="K684">
        <v>0.913075258847168</v>
      </c>
      <c r="L684">
        <v>0.88304689047543905</v>
      </c>
      <c r="M684">
        <v>0.69027777777777799</v>
      </c>
      <c r="N684">
        <v>1</v>
      </c>
      <c r="O684">
        <v>0.77194444444444499</v>
      </c>
      <c r="P684" t="s">
        <v>7163</v>
      </c>
      <c r="Q684" t="s">
        <v>7164</v>
      </c>
      <c r="R684" t="s">
        <v>319</v>
      </c>
      <c r="S684" t="s">
        <v>320</v>
      </c>
      <c r="T684" t="s">
        <v>7165</v>
      </c>
      <c r="U684" t="s">
        <v>7166</v>
      </c>
      <c r="V684" t="s">
        <v>2904</v>
      </c>
      <c r="W684" t="s">
        <v>2905</v>
      </c>
      <c r="Z684" t="s">
        <v>2906</v>
      </c>
      <c r="AA684" t="s">
        <v>2907</v>
      </c>
      <c r="AB684" t="s">
        <v>2906</v>
      </c>
      <c r="AC684" t="s">
        <v>2908</v>
      </c>
      <c r="AD684" t="s">
        <v>640</v>
      </c>
      <c r="AE684" t="s">
        <v>7167</v>
      </c>
      <c r="AF684" t="s">
        <v>7171</v>
      </c>
    </row>
    <row r="685" spans="1:32" hidden="1" x14ac:dyDescent="0.35">
      <c r="A685">
        <v>3504</v>
      </c>
      <c r="B685" t="s">
        <v>7191</v>
      </c>
      <c r="C685" t="s">
        <v>72</v>
      </c>
      <c r="D685" t="s">
        <v>58</v>
      </c>
      <c r="E685">
        <v>1236</v>
      </c>
      <c r="F685">
        <v>5</v>
      </c>
      <c r="G685">
        <v>5</v>
      </c>
      <c r="H685">
        <v>1</v>
      </c>
      <c r="I685">
        <v>1</v>
      </c>
      <c r="J685">
        <v>0.80660982764943201</v>
      </c>
      <c r="K685">
        <v>0.97510696871007996</v>
      </c>
      <c r="L685">
        <v>0.88289100218180006</v>
      </c>
      <c r="M685">
        <v>0.63806970509383398</v>
      </c>
      <c r="N685">
        <v>1</v>
      </c>
      <c r="O685">
        <v>0.73605898123324398</v>
      </c>
      <c r="P685" t="s">
        <v>7192</v>
      </c>
      <c r="Q685" t="s">
        <v>7193</v>
      </c>
      <c r="R685" t="s">
        <v>319</v>
      </c>
      <c r="S685" t="s">
        <v>320</v>
      </c>
      <c r="T685" t="s">
        <v>7194</v>
      </c>
      <c r="U685" t="s">
        <v>7195</v>
      </c>
      <c r="V685" t="s">
        <v>7196</v>
      </c>
      <c r="W685" t="s">
        <v>7197</v>
      </c>
      <c r="Z685" t="s">
        <v>4944</v>
      </c>
      <c r="AA685" t="s">
        <v>4945</v>
      </c>
      <c r="AB685" t="s">
        <v>4944</v>
      </c>
      <c r="AC685" t="s">
        <v>1065</v>
      </c>
      <c r="AD685" t="s">
        <v>1157</v>
      </c>
      <c r="AE685" t="s">
        <v>7198</v>
      </c>
      <c r="AF685" t="s">
        <v>7199</v>
      </c>
    </row>
    <row r="686" spans="1:32" hidden="1" x14ac:dyDescent="0.35">
      <c r="A686">
        <v>3505</v>
      </c>
      <c r="B686" t="s">
        <v>7191</v>
      </c>
      <c r="C686" t="s">
        <v>72</v>
      </c>
      <c r="D686" t="s">
        <v>60</v>
      </c>
      <c r="E686">
        <v>1000</v>
      </c>
      <c r="F686">
        <v>5</v>
      </c>
      <c r="G686">
        <v>5</v>
      </c>
      <c r="H686">
        <v>1</v>
      </c>
      <c r="I686">
        <v>1</v>
      </c>
      <c r="J686">
        <v>0.80660982764943201</v>
      </c>
      <c r="K686">
        <v>0.97510696871007996</v>
      </c>
      <c r="L686">
        <v>0.88289100218180006</v>
      </c>
      <c r="M686">
        <v>0.63806970509383398</v>
      </c>
      <c r="N686">
        <v>1</v>
      </c>
      <c r="O686">
        <v>0.73605898123324398</v>
      </c>
      <c r="P686" t="s">
        <v>7192</v>
      </c>
      <c r="Q686" t="s">
        <v>7193</v>
      </c>
      <c r="R686" t="s">
        <v>319</v>
      </c>
      <c r="S686" t="s">
        <v>320</v>
      </c>
      <c r="T686" t="s">
        <v>7194</v>
      </c>
      <c r="U686" t="s">
        <v>7195</v>
      </c>
      <c r="V686" t="s">
        <v>7196</v>
      </c>
      <c r="W686" t="s">
        <v>7197</v>
      </c>
      <c r="Z686" t="s">
        <v>4944</v>
      </c>
      <c r="AA686" t="s">
        <v>4945</v>
      </c>
      <c r="AB686" t="s">
        <v>4944</v>
      </c>
      <c r="AC686" t="s">
        <v>1065</v>
      </c>
      <c r="AD686" t="s">
        <v>1157</v>
      </c>
      <c r="AE686" t="s">
        <v>7198</v>
      </c>
      <c r="AF686" t="s">
        <v>7200</v>
      </c>
    </row>
    <row r="687" spans="1:32" hidden="1" x14ac:dyDescent="0.35">
      <c r="A687">
        <v>3506</v>
      </c>
      <c r="B687" t="s">
        <v>7191</v>
      </c>
      <c r="C687" t="s">
        <v>72</v>
      </c>
      <c r="D687" t="s">
        <v>62</v>
      </c>
      <c r="E687">
        <v>1036</v>
      </c>
      <c r="F687">
        <v>5</v>
      </c>
      <c r="G687">
        <v>5</v>
      </c>
      <c r="H687">
        <v>1</v>
      </c>
      <c r="I687">
        <v>1</v>
      </c>
      <c r="J687">
        <v>0.80660982764943201</v>
      </c>
      <c r="K687">
        <v>0.97510696871007996</v>
      </c>
      <c r="L687">
        <v>0.88289100218180006</v>
      </c>
      <c r="M687">
        <v>0.63806970509383398</v>
      </c>
      <c r="N687">
        <v>1</v>
      </c>
      <c r="O687">
        <v>0.73605898123324398</v>
      </c>
      <c r="P687" t="s">
        <v>7192</v>
      </c>
      <c r="Q687" t="s">
        <v>7193</v>
      </c>
      <c r="R687" t="s">
        <v>319</v>
      </c>
      <c r="S687" t="s">
        <v>320</v>
      </c>
      <c r="T687" t="s">
        <v>7194</v>
      </c>
      <c r="U687" t="s">
        <v>7195</v>
      </c>
      <c r="V687" t="s">
        <v>7196</v>
      </c>
      <c r="W687" t="s">
        <v>7197</v>
      </c>
      <c r="Z687" t="s">
        <v>4944</v>
      </c>
      <c r="AA687" t="s">
        <v>4945</v>
      </c>
      <c r="AB687" t="s">
        <v>4944</v>
      </c>
      <c r="AC687" t="s">
        <v>1065</v>
      </c>
      <c r="AD687" t="s">
        <v>1157</v>
      </c>
      <c r="AE687" t="s">
        <v>7198</v>
      </c>
      <c r="AF687" t="s">
        <v>7200</v>
      </c>
    </row>
    <row r="688" spans="1:32" hidden="1" x14ac:dyDescent="0.35">
      <c r="A688">
        <v>3507</v>
      </c>
      <c r="B688" t="s">
        <v>7191</v>
      </c>
      <c r="C688" t="s">
        <v>72</v>
      </c>
      <c r="D688" t="s">
        <v>34</v>
      </c>
      <c r="E688">
        <v>125</v>
      </c>
      <c r="F688">
        <v>5</v>
      </c>
      <c r="G688">
        <v>5</v>
      </c>
      <c r="H688">
        <v>1</v>
      </c>
      <c r="I688">
        <v>1</v>
      </c>
      <c r="J688">
        <v>0.80660982764943201</v>
      </c>
      <c r="K688">
        <v>0.97510696871007996</v>
      </c>
      <c r="L688">
        <v>0.88289100218180006</v>
      </c>
      <c r="M688">
        <v>0.63806970509383398</v>
      </c>
      <c r="N688">
        <v>1</v>
      </c>
      <c r="O688">
        <v>0.73605898123324398</v>
      </c>
      <c r="P688" t="s">
        <v>7192</v>
      </c>
      <c r="Q688" t="s">
        <v>7193</v>
      </c>
      <c r="R688" t="s">
        <v>319</v>
      </c>
      <c r="S688" t="s">
        <v>320</v>
      </c>
      <c r="T688" t="s">
        <v>7194</v>
      </c>
      <c r="U688" t="s">
        <v>7195</v>
      </c>
      <c r="V688" t="s">
        <v>7196</v>
      </c>
      <c r="W688" t="s">
        <v>7197</v>
      </c>
      <c r="Z688" t="s">
        <v>4944</v>
      </c>
      <c r="AA688" t="s">
        <v>4945</v>
      </c>
      <c r="AB688" t="s">
        <v>4944</v>
      </c>
      <c r="AC688" t="s">
        <v>1065</v>
      </c>
      <c r="AD688" t="s">
        <v>1157</v>
      </c>
      <c r="AE688" t="s">
        <v>7198</v>
      </c>
      <c r="AF688" t="s">
        <v>7201</v>
      </c>
    </row>
    <row r="689" spans="1:32" hidden="1" x14ac:dyDescent="0.35">
      <c r="A689">
        <v>3508</v>
      </c>
      <c r="B689" t="s">
        <v>7191</v>
      </c>
      <c r="C689" t="s">
        <v>72</v>
      </c>
      <c r="D689" t="s">
        <v>45</v>
      </c>
      <c r="E689">
        <v>1387</v>
      </c>
      <c r="F689">
        <v>5</v>
      </c>
      <c r="G689">
        <v>5</v>
      </c>
      <c r="H689">
        <v>1</v>
      </c>
      <c r="I689">
        <v>1</v>
      </c>
      <c r="J689">
        <v>0.80660982764943201</v>
      </c>
      <c r="K689">
        <v>0.97510696871007996</v>
      </c>
      <c r="L689">
        <v>0.88289100218180006</v>
      </c>
      <c r="M689">
        <v>0.63806970509383398</v>
      </c>
      <c r="N689">
        <v>1</v>
      </c>
      <c r="O689">
        <v>0.73605898123324398</v>
      </c>
      <c r="P689" t="s">
        <v>7192</v>
      </c>
      <c r="Q689" t="s">
        <v>7193</v>
      </c>
      <c r="R689" t="s">
        <v>319</v>
      </c>
      <c r="S689" t="s">
        <v>320</v>
      </c>
      <c r="T689" t="s">
        <v>7194</v>
      </c>
      <c r="U689" t="s">
        <v>7195</v>
      </c>
      <c r="V689" t="s">
        <v>7196</v>
      </c>
      <c r="W689" t="s">
        <v>7197</v>
      </c>
      <c r="Z689" t="s">
        <v>4944</v>
      </c>
      <c r="AA689" t="s">
        <v>4945</v>
      </c>
      <c r="AB689" t="s">
        <v>4944</v>
      </c>
      <c r="AC689" t="s">
        <v>1065</v>
      </c>
      <c r="AD689" t="s">
        <v>1157</v>
      </c>
      <c r="AE689" t="s">
        <v>7198</v>
      </c>
      <c r="AF689" t="s">
        <v>7201</v>
      </c>
    </row>
    <row r="690" spans="1:32" hidden="1" x14ac:dyDescent="0.35">
      <c r="A690">
        <v>3509</v>
      </c>
      <c r="B690" t="s">
        <v>7202</v>
      </c>
      <c r="C690" t="s">
        <v>72</v>
      </c>
      <c r="D690" t="s">
        <v>58</v>
      </c>
      <c r="E690">
        <v>741</v>
      </c>
      <c r="F690">
        <v>5</v>
      </c>
      <c r="G690">
        <v>5</v>
      </c>
      <c r="H690">
        <v>1</v>
      </c>
      <c r="I690">
        <v>1</v>
      </c>
      <c r="J690">
        <v>0.74496161228406899</v>
      </c>
      <c r="K690">
        <v>0.81113962895801095</v>
      </c>
      <c r="L690">
        <v>0.77664340823188904</v>
      </c>
      <c r="M690">
        <v>0.37126865671641801</v>
      </c>
      <c r="N690">
        <v>1</v>
      </c>
      <c r="O690">
        <v>0.57294776119403001</v>
      </c>
      <c r="P690" t="s">
        <v>4358</v>
      </c>
      <c r="Q690" t="s">
        <v>4359</v>
      </c>
      <c r="R690" t="s">
        <v>319</v>
      </c>
      <c r="S690" t="s">
        <v>320</v>
      </c>
      <c r="T690" t="s">
        <v>7203</v>
      </c>
      <c r="U690" t="s">
        <v>7204</v>
      </c>
      <c r="V690" t="s">
        <v>4360</v>
      </c>
      <c r="W690" t="s">
        <v>4361</v>
      </c>
      <c r="AD690" t="s">
        <v>166</v>
      </c>
      <c r="AE690" t="s">
        <v>7205</v>
      </c>
      <c r="AF690" t="s">
        <v>7206</v>
      </c>
    </row>
    <row r="691" spans="1:32" hidden="1" x14ac:dyDescent="0.35">
      <c r="A691">
        <v>3510</v>
      </c>
      <c r="B691" t="s">
        <v>7202</v>
      </c>
      <c r="C691" t="s">
        <v>72</v>
      </c>
      <c r="D691" t="s">
        <v>60</v>
      </c>
      <c r="E691">
        <v>959</v>
      </c>
      <c r="F691">
        <v>5</v>
      </c>
      <c r="G691">
        <v>5</v>
      </c>
      <c r="H691">
        <v>1</v>
      </c>
      <c r="I691">
        <v>1</v>
      </c>
      <c r="J691">
        <v>0.74496161228406899</v>
      </c>
      <c r="K691">
        <v>0.81113962895801095</v>
      </c>
      <c r="L691">
        <v>0.77664340823188904</v>
      </c>
      <c r="M691">
        <v>0.37126865671641801</v>
      </c>
      <c r="N691">
        <v>1</v>
      </c>
      <c r="O691">
        <v>0.57294776119403001</v>
      </c>
      <c r="P691" t="s">
        <v>4358</v>
      </c>
      <c r="Q691" t="s">
        <v>4359</v>
      </c>
      <c r="R691" t="s">
        <v>319</v>
      </c>
      <c r="S691" t="s">
        <v>320</v>
      </c>
      <c r="T691" t="s">
        <v>7203</v>
      </c>
      <c r="U691" t="s">
        <v>7204</v>
      </c>
      <c r="V691" t="s">
        <v>4360</v>
      </c>
      <c r="W691" t="s">
        <v>4361</v>
      </c>
      <c r="AD691" t="s">
        <v>166</v>
      </c>
      <c r="AE691" t="s">
        <v>7205</v>
      </c>
      <c r="AF691" t="s">
        <v>7207</v>
      </c>
    </row>
    <row r="692" spans="1:32" hidden="1" x14ac:dyDescent="0.35">
      <c r="A692">
        <v>3511</v>
      </c>
      <c r="B692" t="s">
        <v>7202</v>
      </c>
      <c r="C692" t="s">
        <v>72</v>
      </c>
      <c r="D692" t="s">
        <v>62</v>
      </c>
      <c r="E692">
        <v>995</v>
      </c>
      <c r="F692">
        <v>5</v>
      </c>
      <c r="G692">
        <v>5</v>
      </c>
      <c r="H692">
        <v>1</v>
      </c>
      <c r="I692">
        <v>1</v>
      </c>
      <c r="J692">
        <v>0.74496161228406899</v>
      </c>
      <c r="K692">
        <v>0.81113962895801095</v>
      </c>
      <c r="L692">
        <v>0.77664340823188904</v>
      </c>
      <c r="M692">
        <v>0.37126865671641801</v>
      </c>
      <c r="N692">
        <v>1</v>
      </c>
      <c r="O692">
        <v>0.57294776119403001</v>
      </c>
      <c r="P692" t="s">
        <v>4358</v>
      </c>
      <c r="Q692" t="s">
        <v>4359</v>
      </c>
      <c r="R692" t="s">
        <v>319</v>
      </c>
      <c r="S692" t="s">
        <v>320</v>
      </c>
      <c r="T692" t="s">
        <v>7203</v>
      </c>
      <c r="U692" t="s">
        <v>7204</v>
      </c>
      <c r="V692" t="s">
        <v>4360</v>
      </c>
      <c r="W692" t="s">
        <v>4361</v>
      </c>
      <c r="AD692" t="s">
        <v>166</v>
      </c>
      <c r="AE692" t="s">
        <v>7205</v>
      </c>
      <c r="AF692" t="s">
        <v>7207</v>
      </c>
    </row>
    <row r="693" spans="1:32" hidden="1" x14ac:dyDescent="0.35">
      <c r="A693">
        <v>3512</v>
      </c>
      <c r="B693" t="s">
        <v>7202</v>
      </c>
      <c r="C693" t="s">
        <v>72</v>
      </c>
      <c r="D693" t="s">
        <v>34</v>
      </c>
      <c r="E693">
        <v>196</v>
      </c>
      <c r="F693">
        <v>5</v>
      </c>
      <c r="G693">
        <v>5</v>
      </c>
      <c r="H693">
        <v>1</v>
      </c>
      <c r="I693">
        <v>1</v>
      </c>
      <c r="J693">
        <v>0.74496161228406899</v>
      </c>
      <c r="K693">
        <v>0.81113962895801095</v>
      </c>
      <c r="L693">
        <v>0.77664340823188904</v>
      </c>
      <c r="M693">
        <v>0.37126865671641801</v>
      </c>
      <c r="N693">
        <v>1</v>
      </c>
      <c r="O693">
        <v>0.57294776119403001</v>
      </c>
      <c r="P693" t="s">
        <v>4358</v>
      </c>
      <c r="Q693" t="s">
        <v>4359</v>
      </c>
      <c r="R693" t="s">
        <v>319</v>
      </c>
      <c r="S693" t="s">
        <v>320</v>
      </c>
      <c r="T693" t="s">
        <v>7208</v>
      </c>
      <c r="U693" t="s">
        <v>7209</v>
      </c>
      <c r="V693" t="s">
        <v>4360</v>
      </c>
      <c r="W693" t="s">
        <v>4361</v>
      </c>
      <c r="AD693" t="s">
        <v>7210</v>
      </c>
      <c r="AE693" t="s">
        <v>7211</v>
      </c>
      <c r="AF693" t="s">
        <v>7212</v>
      </c>
    </row>
    <row r="694" spans="1:32" hidden="1" x14ac:dyDescent="0.35">
      <c r="A694">
        <v>3513</v>
      </c>
      <c r="B694" t="s">
        <v>7202</v>
      </c>
      <c r="C694" t="s">
        <v>72</v>
      </c>
      <c r="D694" t="s">
        <v>45</v>
      </c>
      <c r="E694">
        <v>1459</v>
      </c>
      <c r="F694">
        <v>5</v>
      </c>
      <c r="G694">
        <v>5</v>
      </c>
      <c r="H694">
        <v>1</v>
      </c>
      <c r="I694">
        <v>1</v>
      </c>
      <c r="J694">
        <v>0.74496161228406899</v>
      </c>
      <c r="K694">
        <v>0.81113962895801095</v>
      </c>
      <c r="L694">
        <v>0.77664340823188904</v>
      </c>
      <c r="M694">
        <v>0.37126865671641801</v>
      </c>
      <c r="N694">
        <v>1</v>
      </c>
      <c r="O694">
        <v>0.57294776119403001</v>
      </c>
      <c r="P694" t="s">
        <v>4358</v>
      </c>
      <c r="Q694" t="s">
        <v>4359</v>
      </c>
      <c r="R694" t="s">
        <v>319</v>
      </c>
      <c r="S694" t="s">
        <v>320</v>
      </c>
      <c r="T694" t="s">
        <v>7208</v>
      </c>
      <c r="U694" t="s">
        <v>7209</v>
      </c>
      <c r="V694" t="s">
        <v>4360</v>
      </c>
      <c r="W694" t="s">
        <v>4361</v>
      </c>
      <c r="AD694" t="s">
        <v>7210</v>
      </c>
      <c r="AE694" t="s">
        <v>7211</v>
      </c>
      <c r="AF694" t="s">
        <v>7213</v>
      </c>
    </row>
    <row r="695" spans="1:32" hidden="1" x14ac:dyDescent="0.35">
      <c r="A695">
        <v>3754</v>
      </c>
      <c r="B695" t="s">
        <v>7748</v>
      </c>
      <c r="C695" t="s">
        <v>72</v>
      </c>
      <c r="D695" t="s">
        <v>58</v>
      </c>
      <c r="E695">
        <v>330</v>
      </c>
      <c r="F695">
        <v>5</v>
      </c>
      <c r="G695">
        <v>5</v>
      </c>
      <c r="H695">
        <v>1</v>
      </c>
      <c r="I695">
        <v>1</v>
      </c>
      <c r="J695">
        <v>0.83512440700939095</v>
      </c>
      <c r="K695">
        <v>0.92194081996434696</v>
      </c>
      <c r="L695">
        <v>0.87638781844947999</v>
      </c>
      <c r="M695">
        <v>0.661333333333333</v>
      </c>
      <c r="N695">
        <v>0.99733333333333296</v>
      </c>
      <c r="O695">
        <v>0.73680000000000001</v>
      </c>
      <c r="P695" t="s">
        <v>1247</v>
      </c>
      <c r="Q695" t="s">
        <v>1248</v>
      </c>
      <c r="R695" t="s">
        <v>319</v>
      </c>
      <c r="S695" t="s">
        <v>320</v>
      </c>
      <c r="T695" t="s">
        <v>7749</v>
      </c>
      <c r="U695" t="s">
        <v>5036</v>
      </c>
      <c r="V695" t="s">
        <v>7750</v>
      </c>
      <c r="W695" t="s">
        <v>7751</v>
      </c>
      <c r="AD695" t="s">
        <v>439</v>
      </c>
      <c r="AE695" t="s">
        <v>5039</v>
      </c>
      <c r="AF695" t="s">
        <v>7752</v>
      </c>
    </row>
    <row r="696" spans="1:32" hidden="1" x14ac:dyDescent="0.35">
      <c r="A696">
        <v>3755</v>
      </c>
      <c r="B696" t="s">
        <v>7748</v>
      </c>
      <c r="C696" t="s">
        <v>72</v>
      </c>
      <c r="D696" t="s">
        <v>60</v>
      </c>
      <c r="E696">
        <v>566</v>
      </c>
      <c r="F696">
        <v>5</v>
      </c>
      <c r="G696">
        <v>5</v>
      </c>
      <c r="H696">
        <v>1</v>
      </c>
      <c r="I696">
        <v>1</v>
      </c>
      <c r="J696">
        <v>0.83512440700939095</v>
      </c>
      <c r="K696">
        <v>0.92194081996434696</v>
      </c>
      <c r="L696">
        <v>0.87638781844947999</v>
      </c>
      <c r="M696">
        <v>0.661333333333333</v>
      </c>
      <c r="N696">
        <v>0.99733333333333296</v>
      </c>
      <c r="O696">
        <v>0.73680000000000001</v>
      </c>
      <c r="P696" t="s">
        <v>1247</v>
      </c>
      <c r="Q696" t="s">
        <v>1248</v>
      </c>
      <c r="R696" t="s">
        <v>319</v>
      </c>
      <c r="S696" t="s">
        <v>320</v>
      </c>
      <c r="T696" t="s">
        <v>7749</v>
      </c>
      <c r="U696" t="s">
        <v>5036</v>
      </c>
      <c r="V696" t="s">
        <v>7750</v>
      </c>
      <c r="W696" t="s">
        <v>7751</v>
      </c>
      <c r="AD696" t="s">
        <v>439</v>
      </c>
      <c r="AE696" t="s">
        <v>5039</v>
      </c>
      <c r="AF696" t="s">
        <v>7753</v>
      </c>
    </row>
    <row r="697" spans="1:32" hidden="1" x14ac:dyDescent="0.35">
      <c r="A697">
        <v>3756</v>
      </c>
      <c r="B697" t="s">
        <v>7748</v>
      </c>
      <c r="C697" t="s">
        <v>72</v>
      </c>
      <c r="D697" t="s">
        <v>62</v>
      </c>
      <c r="E697">
        <v>650</v>
      </c>
      <c r="F697">
        <v>5</v>
      </c>
      <c r="G697">
        <v>5</v>
      </c>
      <c r="H697">
        <v>1</v>
      </c>
      <c r="I697">
        <v>1</v>
      </c>
      <c r="J697">
        <v>0.83512440700939095</v>
      </c>
      <c r="K697">
        <v>0.92194081996434696</v>
      </c>
      <c r="L697">
        <v>0.87638781844947999</v>
      </c>
      <c r="M697">
        <v>0.661333333333333</v>
      </c>
      <c r="N697">
        <v>0.99733333333333296</v>
      </c>
      <c r="O697">
        <v>0.73680000000000001</v>
      </c>
      <c r="P697" t="s">
        <v>1247</v>
      </c>
      <c r="Q697" t="s">
        <v>1248</v>
      </c>
      <c r="R697" t="s">
        <v>319</v>
      </c>
      <c r="S697" t="s">
        <v>320</v>
      </c>
      <c r="T697" t="s">
        <v>7749</v>
      </c>
      <c r="U697" t="s">
        <v>5036</v>
      </c>
      <c r="V697" t="s">
        <v>7750</v>
      </c>
      <c r="W697" t="s">
        <v>7751</v>
      </c>
      <c r="AD697" t="s">
        <v>439</v>
      </c>
      <c r="AE697" t="s">
        <v>5039</v>
      </c>
      <c r="AF697" t="s">
        <v>7754</v>
      </c>
    </row>
    <row r="698" spans="1:32" hidden="1" x14ac:dyDescent="0.35">
      <c r="A698">
        <v>3757</v>
      </c>
      <c r="B698" t="s">
        <v>7748</v>
      </c>
      <c r="C698" t="s">
        <v>72</v>
      </c>
      <c r="D698" t="s">
        <v>34</v>
      </c>
      <c r="E698">
        <v>529</v>
      </c>
      <c r="F698">
        <v>5</v>
      </c>
      <c r="G698">
        <v>5</v>
      </c>
      <c r="H698">
        <v>1</v>
      </c>
      <c r="I698">
        <v>1</v>
      </c>
      <c r="J698">
        <v>0.83512440700939095</v>
      </c>
      <c r="K698">
        <v>0.92194081996434696</v>
      </c>
      <c r="L698">
        <v>0.87638781844947999</v>
      </c>
      <c r="M698">
        <v>0.661333333333333</v>
      </c>
      <c r="N698">
        <v>0.99733333333333296</v>
      </c>
      <c r="O698">
        <v>0.73680000000000001</v>
      </c>
      <c r="P698" t="s">
        <v>1247</v>
      </c>
      <c r="Q698" t="s">
        <v>1248</v>
      </c>
      <c r="R698" t="s">
        <v>319</v>
      </c>
      <c r="S698" t="s">
        <v>320</v>
      </c>
      <c r="T698" t="s">
        <v>7749</v>
      </c>
      <c r="U698" t="s">
        <v>5036</v>
      </c>
      <c r="V698" t="s">
        <v>7750</v>
      </c>
      <c r="W698" t="s">
        <v>7751</v>
      </c>
      <c r="AD698" t="s">
        <v>439</v>
      </c>
      <c r="AE698" t="s">
        <v>5039</v>
      </c>
      <c r="AF698" t="s">
        <v>7755</v>
      </c>
    </row>
    <row r="699" spans="1:32" hidden="1" x14ac:dyDescent="0.35">
      <c r="A699">
        <v>3758</v>
      </c>
      <c r="B699" t="s">
        <v>7748</v>
      </c>
      <c r="C699" t="s">
        <v>72</v>
      </c>
      <c r="D699" t="s">
        <v>45</v>
      </c>
      <c r="E699">
        <v>1795</v>
      </c>
      <c r="F699">
        <v>5</v>
      </c>
      <c r="G699">
        <v>5</v>
      </c>
      <c r="H699">
        <v>1</v>
      </c>
      <c r="I699">
        <v>1</v>
      </c>
      <c r="J699">
        <v>0.83512440700939095</v>
      </c>
      <c r="K699">
        <v>0.92194081996434696</v>
      </c>
      <c r="L699">
        <v>0.87638781844947999</v>
      </c>
      <c r="M699">
        <v>0.661333333333333</v>
      </c>
      <c r="N699">
        <v>0.99733333333333296</v>
      </c>
      <c r="O699">
        <v>0.73680000000000001</v>
      </c>
      <c r="P699" t="s">
        <v>1247</v>
      </c>
      <c r="Q699" t="s">
        <v>1248</v>
      </c>
      <c r="R699" t="s">
        <v>319</v>
      </c>
      <c r="S699" t="s">
        <v>320</v>
      </c>
      <c r="T699" t="s">
        <v>7749</v>
      </c>
      <c r="U699" t="s">
        <v>5036</v>
      </c>
      <c r="V699" t="s">
        <v>7750</v>
      </c>
      <c r="W699" t="s">
        <v>7751</v>
      </c>
      <c r="AD699" t="s">
        <v>439</v>
      </c>
      <c r="AE699" t="s">
        <v>5039</v>
      </c>
      <c r="AF699" t="s">
        <v>7756</v>
      </c>
    </row>
    <row r="700" spans="1:32" hidden="1" x14ac:dyDescent="0.35">
      <c r="A700">
        <v>3829</v>
      </c>
      <c r="B700" t="s">
        <v>7905</v>
      </c>
      <c r="C700" t="s">
        <v>72</v>
      </c>
      <c r="D700" t="s">
        <v>58</v>
      </c>
      <c r="E700">
        <v>1222</v>
      </c>
      <c r="F700">
        <v>5</v>
      </c>
      <c r="G700">
        <v>5</v>
      </c>
      <c r="H700">
        <v>1</v>
      </c>
      <c r="I700">
        <v>1</v>
      </c>
      <c r="J700">
        <v>0.83304253904951797</v>
      </c>
      <c r="K700">
        <v>0.91802713225610799</v>
      </c>
      <c r="L700">
        <v>0.87347255874834695</v>
      </c>
      <c r="M700">
        <v>0.65148063781321197</v>
      </c>
      <c r="N700">
        <v>0.993166287015945</v>
      </c>
      <c r="O700">
        <v>0.76002277904327997</v>
      </c>
      <c r="P700" t="s">
        <v>7906</v>
      </c>
      <c r="Q700" t="s">
        <v>7907</v>
      </c>
      <c r="R700" t="s">
        <v>319</v>
      </c>
      <c r="S700" t="s">
        <v>320</v>
      </c>
      <c r="T700" t="s">
        <v>7908</v>
      </c>
      <c r="U700" t="s">
        <v>7909</v>
      </c>
      <c r="V700" t="s">
        <v>7910</v>
      </c>
      <c r="W700" t="s">
        <v>7911</v>
      </c>
      <c r="Z700" t="s">
        <v>7912</v>
      </c>
      <c r="AA700" t="s">
        <v>7913</v>
      </c>
      <c r="AB700" t="s">
        <v>7912</v>
      </c>
      <c r="AC700" t="s">
        <v>4023</v>
      </c>
      <c r="AD700" t="s">
        <v>219</v>
      </c>
      <c r="AE700" t="s">
        <v>7914</v>
      </c>
      <c r="AF700" t="s">
        <v>7915</v>
      </c>
    </row>
    <row r="701" spans="1:32" hidden="1" x14ac:dyDescent="0.35">
      <c r="A701">
        <v>3830</v>
      </c>
      <c r="B701" t="s">
        <v>7905</v>
      </c>
      <c r="C701" t="s">
        <v>72</v>
      </c>
      <c r="D701" t="s">
        <v>60</v>
      </c>
      <c r="E701">
        <v>1702</v>
      </c>
      <c r="F701">
        <v>5</v>
      </c>
      <c r="G701">
        <v>5</v>
      </c>
      <c r="H701">
        <v>1</v>
      </c>
      <c r="I701">
        <v>1</v>
      </c>
      <c r="J701">
        <v>0.83304253904951797</v>
      </c>
      <c r="K701">
        <v>0.91802713225610799</v>
      </c>
      <c r="L701">
        <v>0.87347255874834695</v>
      </c>
      <c r="M701">
        <v>0.65148063781321197</v>
      </c>
      <c r="N701">
        <v>0.993166287015945</v>
      </c>
      <c r="O701">
        <v>0.76002277904327997</v>
      </c>
      <c r="P701" t="s">
        <v>7192</v>
      </c>
      <c r="Q701" t="s">
        <v>7193</v>
      </c>
      <c r="R701" t="s">
        <v>319</v>
      </c>
      <c r="S701" t="s">
        <v>320</v>
      </c>
      <c r="T701" t="s">
        <v>7908</v>
      </c>
      <c r="U701" t="s">
        <v>7909</v>
      </c>
      <c r="V701" t="s">
        <v>7910</v>
      </c>
      <c r="W701" t="s">
        <v>7911</v>
      </c>
      <c r="Z701" t="s">
        <v>7912</v>
      </c>
      <c r="AA701" t="s">
        <v>7913</v>
      </c>
      <c r="AB701" t="s">
        <v>7912</v>
      </c>
      <c r="AC701" t="s">
        <v>4023</v>
      </c>
      <c r="AD701" t="s">
        <v>219</v>
      </c>
      <c r="AE701" t="s">
        <v>7914</v>
      </c>
      <c r="AF701" t="s">
        <v>7916</v>
      </c>
    </row>
    <row r="702" spans="1:32" hidden="1" x14ac:dyDescent="0.35">
      <c r="A702">
        <v>3831</v>
      </c>
      <c r="B702" t="s">
        <v>7905</v>
      </c>
      <c r="C702" t="s">
        <v>72</v>
      </c>
      <c r="D702" t="s">
        <v>62</v>
      </c>
      <c r="E702">
        <v>1737</v>
      </c>
      <c r="F702">
        <v>5</v>
      </c>
      <c r="G702">
        <v>5</v>
      </c>
      <c r="H702">
        <v>1</v>
      </c>
      <c r="I702">
        <v>1</v>
      </c>
      <c r="J702">
        <v>0.83304253904951797</v>
      </c>
      <c r="K702">
        <v>0.91802713225610799</v>
      </c>
      <c r="L702">
        <v>0.87347255874834695</v>
      </c>
      <c r="M702">
        <v>0.65148063781321197</v>
      </c>
      <c r="N702">
        <v>0.993166287015945</v>
      </c>
      <c r="O702">
        <v>0.76002277904327997</v>
      </c>
      <c r="P702" t="s">
        <v>7192</v>
      </c>
      <c r="Q702" t="s">
        <v>7193</v>
      </c>
      <c r="R702" t="s">
        <v>319</v>
      </c>
      <c r="S702" t="s">
        <v>320</v>
      </c>
      <c r="T702" t="s">
        <v>7908</v>
      </c>
      <c r="U702" t="s">
        <v>7909</v>
      </c>
      <c r="V702" t="s">
        <v>7910</v>
      </c>
      <c r="W702" t="s">
        <v>7911</v>
      </c>
      <c r="Z702" t="s">
        <v>7912</v>
      </c>
      <c r="AA702" t="s">
        <v>7913</v>
      </c>
      <c r="AB702" t="s">
        <v>7912</v>
      </c>
      <c r="AC702" t="s">
        <v>4023</v>
      </c>
      <c r="AD702" t="s">
        <v>219</v>
      </c>
      <c r="AE702" t="s">
        <v>7914</v>
      </c>
      <c r="AF702" t="s">
        <v>7917</v>
      </c>
    </row>
    <row r="703" spans="1:32" hidden="1" x14ac:dyDescent="0.35">
      <c r="A703">
        <v>3832</v>
      </c>
      <c r="B703" t="s">
        <v>7905</v>
      </c>
      <c r="C703" t="s">
        <v>72</v>
      </c>
      <c r="D703" t="s">
        <v>34</v>
      </c>
      <c r="E703">
        <v>2081</v>
      </c>
      <c r="F703">
        <v>5</v>
      </c>
      <c r="G703">
        <v>5</v>
      </c>
      <c r="H703">
        <v>1</v>
      </c>
      <c r="I703">
        <v>1</v>
      </c>
      <c r="J703">
        <v>0.83304253904951797</v>
      </c>
      <c r="K703">
        <v>0.91802713225610799</v>
      </c>
      <c r="L703">
        <v>0.87347255874834695</v>
      </c>
      <c r="M703">
        <v>0.65148063781321197</v>
      </c>
      <c r="N703">
        <v>0.993166287015945</v>
      </c>
      <c r="O703">
        <v>0.76002277904327997</v>
      </c>
      <c r="P703" t="s">
        <v>7192</v>
      </c>
      <c r="Q703" t="s">
        <v>7193</v>
      </c>
      <c r="R703" t="s">
        <v>319</v>
      </c>
      <c r="S703" t="s">
        <v>320</v>
      </c>
      <c r="T703" t="s">
        <v>7908</v>
      </c>
      <c r="U703" t="s">
        <v>7909</v>
      </c>
      <c r="V703" t="s">
        <v>7910</v>
      </c>
      <c r="W703" t="s">
        <v>7911</v>
      </c>
      <c r="Z703" t="s">
        <v>7912</v>
      </c>
      <c r="AA703" t="s">
        <v>7913</v>
      </c>
      <c r="AB703" t="s">
        <v>7912</v>
      </c>
      <c r="AC703" t="s">
        <v>4023</v>
      </c>
      <c r="AD703" t="s">
        <v>219</v>
      </c>
      <c r="AE703" t="s">
        <v>7914</v>
      </c>
      <c r="AF703" t="s">
        <v>7918</v>
      </c>
    </row>
    <row r="704" spans="1:32" hidden="1" x14ac:dyDescent="0.35">
      <c r="A704">
        <v>3833</v>
      </c>
      <c r="B704" t="s">
        <v>7905</v>
      </c>
      <c r="C704" t="s">
        <v>72</v>
      </c>
      <c r="D704" t="s">
        <v>45</v>
      </c>
      <c r="E704">
        <v>791</v>
      </c>
      <c r="F704">
        <v>5</v>
      </c>
      <c r="G704">
        <v>5</v>
      </c>
      <c r="H704">
        <v>1</v>
      </c>
      <c r="I704">
        <v>1</v>
      </c>
      <c r="J704">
        <v>0.83304253904951797</v>
      </c>
      <c r="K704">
        <v>0.91802713225610799</v>
      </c>
      <c r="L704">
        <v>0.87347255874834695</v>
      </c>
      <c r="M704">
        <v>0.65148063781321197</v>
      </c>
      <c r="N704">
        <v>0.993166287015945</v>
      </c>
      <c r="O704">
        <v>0.76002277904327997</v>
      </c>
      <c r="P704" t="s">
        <v>7192</v>
      </c>
      <c r="Q704" t="s">
        <v>7193</v>
      </c>
      <c r="R704" t="s">
        <v>319</v>
      </c>
      <c r="S704" t="s">
        <v>320</v>
      </c>
      <c r="T704" t="s">
        <v>7908</v>
      </c>
      <c r="U704" t="s">
        <v>7909</v>
      </c>
      <c r="V704" t="s">
        <v>7910</v>
      </c>
      <c r="W704" t="s">
        <v>7911</v>
      </c>
      <c r="Z704" t="s">
        <v>7912</v>
      </c>
      <c r="AA704" t="s">
        <v>7913</v>
      </c>
      <c r="AB704" t="s">
        <v>7912</v>
      </c>
      <c r="AC704" t="s">
        <v>4023</v>
      </c>
      <c r="AD704" t="s">
        <v>219</v>
      </c>
      <c r="AE704" t="s">
        <v>7914</v>
      </c>
      <c r="AF704" t="s">
        <v>7919</v>
      </c>
    </row>
    <row r="705" spans="1:32" hidden="1" x14ac:dyDescent="0.35">
      <c r="A705">
        <v>3924</v>
      </c>
      <c r="B705" t="s">
        <v>8089</v>
      </c>
      <c r="C705" t="s">
        <v>72</v>
      </c>
      <c r="D705" t="s">
        <v>58</v>
      </c>
      <c r="E705">
        <v>1206</v>
      </c>
      <c r="F705">
        <v>5</v>
      </c>
      <c r="G705">
        <v>5</v>
      </c>
      <c r="H705">
        <v>1</v>
      </c>
      <c r="I705">
        <v>1</v>
      </c>
      <c r="J705">
        <v>0.88278753993610204</v>
      </c>
      <c r="K705">
        <v>0.95489494729189806</v>
      </c>
      <c r="L705">
        <v>0.91742656011135204</v>
      </c>
      <c r="M705">
        <v>0.76952380952380905</v>
      </c>
      <c r="N705">
        <v>0.99809523809523804</v>
      </c>
      <c r="O705">
        <v>0.82799999999999996</v>
      </c>
      <c r="P705" t="s">
        <v>8090</v>
      </c>
      <c r="Q705" t="s">
        <v>8091</v>
      </c>
      <c r="R705" t="s">
        <v>319</v>
      </c>
      <c r="S705" t="s">
        <v>320</v>
      </c>
      <c r="T705" t="s">
        <v>8092</v>
      </c>
      <c r="U705" t="s">
        <v>8093</v>
      </c>
      <c r="V705" t="s">
        <v>8094</v>
      </c>
      <c r="W705" t="s">
        <v>8095</v>
      </c>
      <c r="X705" t="s">
        <v>8094</v>
      </c>
      <c r="Y705" t="s">
        <v>1022</v>
      </c>
      <c r="Z705" t="s">
        <v>8096</v>
      </c>
      <c r="AA705" t="s">
        <v>8097</v>
      </c>
      <c r="AB705" t="s">
        <v>8096</v>
      </c>
      <c r="AC705" t="s">
        <v>6027</v>
      </c>
      <c r="AD705" t="s">
        <v>8098</v>
      </c>
      <c r="AE705" t="s">
        <v>8099</v>
      </c>
      <c r="AF705" t="s">
        <v>8100</v>
      </c>
    </row>
    <row r="706" spans="1:32" hidden="1" x14ac:dyDescent="0.35">
      <c r="A706">
        <v>3925</v>
      </c>
      <c r="B706" t="s">
        <v>8089</v>
      </c>
      <c r="C706" t="s">
        <v>72</v>
      </c>
      <c r="D706" t="s">
        <v>60</v>
      </c>
      <c r="E706">
        <v>1668</v>
      </c>
      <c r="F706">
        <v>5</v>
      </c>
      <c r="G706">
        <v>5</v>
      </c>
      <c r="H706">
        <v>1</v>
      </c>
      <c r="I706">
        <v>1</v>
      </c>
      <c r="J706">
        <v>0.88278753993610204</v>
      </c>
      <c r="K706">
        <v>0.95489494729189806</v>
      </c>
      <c r="L706">
        <v>0.91742656011135204</v>
      </c>
      <c r="M706">
        <v>0.76952380952380905</v>
      </c>
      <c r="N706">
        <v>0.99809523809523804</v>
      </c>
      <c r="O706">
        <v>0.82799999999999996</v>
      </c>
      <c r="P706" t="s">
        <v>8090</v>
      </c>
      <c r="Q706" t="s">
        <v>8091</v>
      </c>
      <c r="R706" t="s">
        <v>319</v>
      </c>
      <c r="S706" t="s">
        <v>320</v>
      </c>
      <c r="T706" t="s">
        <v>8092</v>
      </c>
      <c r="U706" t="s">
        <v>8093</v>
      </c>
      <c r="V706" t="s">
        <v>8094</v>
      </c>
      <c r="W706" t="s">
        <v>8095</v>
      </c>
      <c r="X706" t="s">
        <v>8094</v>
      </c>
      <c r="Y706" t="s">
        <v>1022</v>
      </c>
      <c r="Z706" t="s">
        <v>8096</v>
      </c>
      <c r="AA706" t="s">
        <v>8097</v>
      </c>
      <c r="AB706" t="s">
        <v>8096</v>
      </c>
      <c r="AC706" t="s">
        <v>6027</v>
      </c>
      <c r="AD706" t="s">
        <v>8098</v>
      </c>
      <c r="AE706" t="s">
        <v>8099</v>
      </c>
      <c r="AF706" t="s">
        <v>8101</v>
      </c>
    </row>
    <row r="707" spans="1:32" hidden="1" x14ac:dyDescent="0.35">
      <c r="A707">
        <v>3926</v>
      </c>
      <c r="B707" t="s">
        <v>8089</v>
      </c>
      <c r="C707" t="s">
        <v>72</v>
      </c>
      <c r="D707" t="s">
        <v>62</v>
      </c>
      <c r="E707">
        <v>1703</v>
      </c>
      <c r="F707">
        <v>5</v>
      </c>
      <c r="G707">
        <v>5</v>
      </c>
      <c r="H707">
        <v>1</v>
      </c>
      <c r="I707">
        <v>1</v>
      </c>
      <c r="J707">
        <v>0.88278753993610204</v>
      </c>
      <c r="K707">
        <v>0.95489494729189806</v>
      </c>
      <c r="L707">
        <v>0.91742656011135204</v>
      </c>
      <c r="M707">
        <v>0.76952380952380905</v>
      </c>
      <c r="N707">
        <v>0.99809523809523804</v>
      </c>
      <c r="O707">
        <v>0.82799999999999996</v>
      </c>
      <c r="P707" t="s">
        <v>8090</v>
      </c>
      <c r="Q707" t="s">
        <v>8091</v>
      </c>
      <c r="R707" t="s">
        <v>319</v>
      </c>
      <c r="S707" t="s">
        <v>320</v>
      </c>
      <c r="T707" t="s">
        <v>8092</v>
      </c>
      <c r="U707" t="s">
        <v>8093</v>
      </c>
      <c r="V707" t="s">
        <v>8094</v>
      </c>
      <c r="W707" t="s">
        <v>8095</v>
      </c>
      <c r="X707" t="s">
        <v>8094</v>
      </c>
      <c r="Y707" t="s">
        <v>1022</v>
      </c>
      <c r="Z707" t="s">
        <v>8096</v>
      </c>
      <c r="AA707" t="s">
        <v>8097</v>
      </c>
      <c r="AB707" t="s">
        <v>8096</v>
      </c>
      <c r="AC707" t="s">
        <v>6027</v>
      </c>
      <c r="AD707" t="s">
        <v>8098</v>
      </c>
      <c r="AE707" t="s">
        <v>8099</v>
      </c>
      <c r="AF707" t="s">
        <v>8102</v>
      </c>
    </row>
    <row r="708" spans="1:32" hidden="1" x14ac:dyDescent="0.35">
      <c r="A708">
        <v>3927</v>
      </c>
      <c r="B708" t="s">
        <v>8089</v>
      </c>
      <c r="C708" t="s">
        <v>72</v>
      </c>
      <c r="D708" t="s">
        <v>34</v>
      </c>
      <c r="E708">
        <v>2063</v>
      </c>
      <c r="F708">
        <v>5</v>
      </c>
      <c r="G708">
        <v>5</v>
      </c>
      <c r="H708">
        <v>1</v>
      </c>
      <c r="I708">
        <v>1</v>
      </c>
      <c r="J708">
        <v>0.88278753993610204</v>
      </c>
      <c r="K708">
        <v>0.95489494729189806</v>
      </c>
      <c r="L708">
        <v>0.91742656011135204</v>
      </c>
      <c r="M708">
        <v>0.76952380952380905</v>
      </c>
      <c r="N708">
        <v>0.99809523809523804</v>
      </c>
      <c r="O708">
        <v>0.82799999999999996</v>
      </c>
      <c r="P708" t="s">
        <v>8090</v>
      </c>
      <c r="Q708" t="s">
        <v>8091</v>
      </c>
      <c r="R708" t="s">
        <v>319</v>
      </c>
      <c r="S708" t="s">
        <v>320</v>
      </c>
      <c r="T708" t="s">
        <v>8092</v>
      </c>
      <c r="U708" t="s">
        <v>8093</v>
      </c>
      <c r="V708" t="s">
        <v>8094</v>
      </c>
      <c r="W708" t="s">
        <v>8095</v>
      </c>
      <c r="X708" t="s">
        <v>8094</v>
      </c>
      <c r="Y708" t="s">
        <v>1022</v>
      </c>
      <c r="Z708" t="s">
        <v>8096</v>
      </c>
      <c r="AA708" t="s">
        <v>8097</v>
      </c>
      <c r="AB708" t="s">
        <v>8096</v>
      </c>
      <c r="AC708" t="s">
        <v>6027</v>
      </c>
      <c r="AD708" t="s">
        <v>8098</v>
      </c>
      <c r="AE708" t="s">
        <v>8099</v>
      </c>
      <c r="AF708" t="s">
        <v>8103</v>
      </c>
    </row>
    <row r="709" spans="1:32" hidden="1" x14ac:dyDescent="0.35">
      <c r="A709">
        <v>3928</v>
      </c>
      <c r="B709" t="s">
        <v>8089</v>
      </c>
      <c r="C709" t="s">
        <v>72</v>
      </c>
      <c r="D709" t="s">
        <v>45</v>
      </c>
      <c r="E709">
        <v>809</v>
      </c>
      <c r="F709">
        <v>5</v>
      </c>
      <c r="G709">
        <v>5</v>
      </c>
      <c r="H709">
        <v>1</v>
      </c>
      <c r="I709">
        <v>1</v>
      </c>
      <c r="J709">
        <v>0.88278753993610204</v>
      </c>
      <c r="K709">
        <v>0.95489494729189806</v>
      </c>
      <c r="L709">
        <v>0.91742656011135204</v>
      </c>
      <c r="M709">
        <v>0.76952380952380905</v>
      </c>
      <c r="N709">
        <v>0.99809523809523804</v>
      </c>
      <c r="O709">
        <v>0.82799999999999996</v>
      </c>
      <c r="P709" t="s">
        <v>8090</v>
      </c>
      <c r="Q709" t="s">
        <v>8091</v>
      </c>
      <c r="R709" t="s">
        <v>319</v>
      </c>
      <c r="S709" t="s">
        <v>320</v>
      </c>
      <c r="T709" t="s">
        <v>8092</v>
      </c>
      <c r="U709" t="s">
        <v>8093</v>
      </c>
      <c r="V709" t="s">
        <v>8094</v>
      </c>
      <c r="W709" t="s">
        <v>8095</v>
      </c>
      <c r="X709" t="s">
        <v>8094</v>
      </c>
      <c r="Y709" t="s">
        <v>1022</v>
      </c>
      <c r="Z709" t="s">
        <v>8096</v>
      </c>
      <c r="AA709" t="s">
        <v>8097</v>
      </c>
      <c r="AB709" t="s">
        <v>8096</v>
      </c>
      <c r="AC709" t="s">
        <v>6027</v>
      </c>
      <c r="AD709" t="s">
        <v>8098</v>
      </c>
      <c r="AE709" t="s">
        <v>8099</v>
      </c>
      <c r="AF709" t="s">
        <v>8104</v>
      </c>
    </row>
    <row r="710" spans="1:32" hidden="1" x14ac:dyDescent="0.35">
      <c r="A710">
        <v>4004</v>
      </c>
      <c r="B710" t="s">
        <v>8266</v>
      </c>
      <c r="C710" t="s">
        <v>72</v>
      </c>
      <c r="D710" t="s">
        <v>58</v>
      </c>
      <c r="E710">
        <v>341</v>
      </c>
      <c r="F710">
        <v>5</v>
      </c>
      <c r="G710">
        <v>5</v>
      </c>
      <c r="H710">
        <v>1</v>
      </c>
      <c r="I710">
        <v>1</v>
      </c>
      <c r="J710">
        <v>0.72695666921054902</v>
      </c>
      <c r="K710">
        <v>0.91940613903231005</v>
      </c>
      <c r="L710">
        <v>0.81193333709475601</v>
      </c>
      <c r="M710">
        <v>0.50349650349650399</v>
      </c>
      <c r="N710">
        <v>0.99300699300699302</v>
      </c>
      <c r="O710">
        <v>0.62890442890442899</v>
      </c>
      <c r="P710" t="s">
        <v>8267</v>
      </c>
      <c r="Q710" t="s">
        <v>8268</v>
      </c>
      <c r="R710" t="s">
        <v>319</v>
      </c>
      <c r="S710" t="s">
        <v>320</v>
      </c>
      <c r="T710" t="s">
        <v>8269</v>
      </c>
      <c r="U710" t="s">
        <v>8270</v>
      </c>
      <c r="V710" t="s">
        <v>8271</v>
      </c>
      <c r="W710" t="s">
        <v>8272</v>
      </c>
      <c r="Z710" t="s">
        <v>5671</v>
      </c>
      <c r="AA710" t="s">
        <v>5672</v>
      </c>
      <c r="AB710" t="s">
        <v>5671</v>
      </c>
      <c r="AC710" t="s">
        <v>4023</v>
      </c>
      <c r="AD710" t="s">
        <v>951</v>
      </c>
      <c r="AE710" t="s">
        <v>8273</v>
      </c>
      <c r="AF710" t="s">
        <v>8274</v>
      </c>
    </row>
    <row r="711" spans="1:32" hidden="1" x14ac:dyDescent="0.35">
      <c r="A711">
        <v>4005</v>
      </c>
      <c r="B711" t="s">
        <v>8266</v>
      </c>
      <c r="C711" t="s">
        <v>72</v>
      </c>
      <c r="D711" t="s">
        <v>60</v>
      </c>
      <c r="E711">
        <v>578</v>
      </c>
      <c r="F711">
        <v>5</v>
      </c>
      <c r="G711">
        <v>5</v>
      </c>
      <c r="H711">
        <v>1</v>
      </c>
      <c r="I711">
        <v>1</v>
      </c>
      <c r="J711">
        <v>0.72695666921054902</v>
      </c>
      <c r="K711">
        <v>0.91940613903231005</v>
      </c>
      <c r="L711">
        <v>0.81193333709475601</v>
      </c>
      <c r="M711">
        <v>0.50349650349650399</v>
      </c>
      <c r="N711">
        <v>0.99300699300699302</v>
      </c>
      <c r="O711">
        <v>0.62890442890442899</v>
      </c>
      <c r="P711" t="s">
        <v>8267</v>
      </c>
      <c r="Q711" t="s">
        <v>8268</v>
      </c>
      <c r="R711" t="s">
        <v>319</v>
      </c>
      <c r="S711" t="s">
        <v>320</v>
      </c>
      <c r="T711" t="s">
        <v>8269</v>
      </c>
      <c r="U711" t="s">
        <v>8270</v>
      </c>
      <c r="V711" t="s">
        <v>8271</v>
      </c>
      <c r="W711" t="s">
        <v>8272</v>
      </c>
      <c r="Z711" t="s">
        <v>5671</v>
      </c>
      <c r="AA711" t="s">
        <v>5672</v>
      </c>
      <c r="AB711" t="s">
        <v>5671</v>
      </c>
      <c r="AC711" t="s">
        <v>4023</v>
      </c>
      <c r="AD711" t="s">
        <v>951</v>
      </c>
      <c r="AE711" t="s">
        <v>8273</v>
      </c>
      <c r="AF711" t="s">
        <v>8275</v>
      </c>
    </row>
    <row r="712" spans="1:32" hidden="1" x14ac:dyDescent="0.35">
      <c r="A712">
        <v>4006</v>
      </c>
      <c r="B712" t="s">
        <v>8266</v>
      </c>
      <c r="C712" t="s">
        <v>72</v>
      </c>
      <c r="D712" t="s">
        <v>62</v>
      </c>
      <c r="E712">
        <v>662</v>
      </c>
      <c r="F712">
        <v>5</v>
      </c>
      <c r="G712">
        <v>5</v>
      </c>
      <c r="H712">
        <v>1</v>
      </c>
      <c r="I712">
        <v>1</v>
      </c>
      <c r="J712">
        <v>0.72695666921054902</v>
      </c>
      <c r="K712">
        <v>0.91940613903231005</v>
      </c>
      <c r="L712">
        <v>0.81193333709475601</v>
      </c>
      <c r="M712">
        <v>0.50349650349650399</v>
      </c>
      <c r="N712">
        <v>0.99300699300699302</v>
      </c>
      <c r="O712">
        <v>0.62890442890442899</v>
      </c>
      <c r="P712" t="s">
        <v>8267</v>
      </c>
      <c r="Q712" t="s">
        <v>8268</v>
      </c>
      <c r="R712" t="s">
        <v>319</v>
      </c>
      <c r="S712" t="s">
        <v>320</v>
      </c>
      <c r="T712" t="s">
        <v>8269</v>
      </c>
      <c r="U712" t="s">
        <v>8270</v>
      </c>
      <c r="V712" t="s">
        <v>8271</v>
      </c>
      <c r="W712" t="s">
        <v>8272</v>
      </c>
      <c r="Z712" t="s">
        <v>5671</v>
      </c>
      <c r="AA712" t="s">
        <v>5672</v>
      </c>
      <c r="AB712" t="s">
        <v>5671</v>
      </c>
      <c r="AC712" t="s">
        <v>4023</v>
      </c>
      <c r="AD712" t="s">
        <v>951</v>
      </c>
      <c r="AE712" t="s">
        <v>8273</v>
      </c>
      <c r="AF712" t="s">
        <v>8276</v>
      </c>
    </row>
    <row r="713" spans="1:32" hidden="1" x14ac:dyDescent="0.35">
      <c r="A713">
        <v>4007</v>
      </c>
      <c r="B713" t="s">
        <v>8266</v>
      </c>
      <c r="C713" t="s">
        <v>72</v>
      </c>
      <c r="D713" t="s">
        <v>34</v>
      </c>
      <c r="E713">
        <v>514</v>
      </c>
      <c r="F713">
        <v>5</v>
      </c>
      <c r="G713">
        <v>5</v>
      </c>
      <c r="H713">
        <v>1</v>
      </c>
      <c r="I713">
        <v>1</v>
      </c>
      <c r="J713">
        <v>0.72695666921054902</v>
      </c>
      <c r="K713">
        <v>0.91940613903231005</v>
      </c>
      <c r="L713">
        <v>0.81193333709475601</v>
      </c>
      <c r="M713">
        <v>0.50349650349650399</v>
      </c>
      <c r="N713">
        <v>0.99300699300699302</v>
      </c>
      <c r="O713">
        <v>0.62890442890442899</v>
      </c>
      <c r="P713" t="s">
        <v>8267</v>
      </c>
      <c r="Q713" t="s">
        <v>8268</v>
      </c>
      <c r="R713" t="s">
        <v>319</v>
      </c>
      <c r="S713" t="s">
        <v>320</v>
      </c>
      <c r="T713" t="s">
        <v>8269</v>
      </c>
      <c r="U713" t="s">
        <v>8270</v>
      </c>
      <c r="V713" t="s">
        <v>8271</v>
      </c>
      <c r="W713" t="s">
        <v>8272</v>
      </c>
      <c r="Z713" t="s">
        <v>5671</v>
      </c>
      <c r="AA713" t="s">
        <v>5672</v>
      </c>
      <c r="AB713" t="s">
        <v>5671</v>
      </c>
      <c r="AC713" t="s">
        <v>4023</v>
      </c>
      <c r="AD713" t="s">
        <v>951</v>
      </c>
      <c r="AE713" t="s">
        <v>8273</v>
      </c>
      <c r="AF713" t="s">
        <v>8277</v>
      </c>
    </row>
    <row r="714" spans="1:32" hidden="1" x14ac:dyDescent="0.35">
      <c r="A714">
        <v>4008</v>
      </c>
      <c r="B714" t="s">
        <v>8266</v>
      </c>
      <c r="C714" t="s">
        <v>72</v>
      </c>
      <c r="D714" t="s">
        <v>45</v>
      </c>
      <c r="E714">
        <v>1779</v>
      </c>
      <c r="F714">
        <v>5</v>
      </c>
      <c r="G714">
        <v>5</v>
      </c>
      <c r="H714">
        <v>1</v>
      </c>
      <c r="I714">
        <v>1</v>
      </c>
      <c r="J714">
        <v>0.72695666921054902</v>
      </c>
      <c r="K714">
        <v>0.91940613903231005</v>
      </c>
      <c r="L714">
        <v>0.81193333709475601</v>
      </c>
      <c r="M714">
        <v>0.50349650349650399</v>
      </c>
      <c r="N714">
        <v>0.99300699300699302</v>
      </c>
      <c r="O714">
        <v>0.62890442890442899</v>
      </c>
      <c r="P714" t="s">
        <v>8267</v>
      </c>
      <c r="Q714" t="s">
        <v>8268</v>
      </c>
      <c r="R714" t="s">
        <v>319</v>
      </c>
      <c r="S714" t="s">
        <v>320</v>
      </c>
      <c r="T714" t="s">
        <v>8269</v>
      </c>
      <c r="U714" t="s">
        <v>8270</v>
      </c>
      <c r="V714" t="s">
        <v>8271</v>
      </c>
      <c r="W714" t="s">
        <v>8272</v>
      </c>
      <c r="Z714" t="s">
        <v>5671</v>
      </c>
      <c r="AA714" t="s">
        <v>5672</v>
      </c>
      <c r="AB714" t="s">
        <v>5671</v>
      </c>
      <c r="AC714" t="s">
        <v>4023</v>
      </c>
      <c r="AD714" t="s">
        <v>951</v>
      </c>
      <c r="AE714" t="s">
        <v>8273</v>
      </c>
      <c r="AF714" t="s">
        <v>8278</v>
      </c>
    </row>
    <row r="715" spans="1:32" hidden="1" x14ac:dyDescent="0.35">
      <c r="A715">
        <v>4039</v>
      </c>
      <c r="B715" t="s">
        <v>8341</v>
      </c>
      <c r="C715" t="s">
        <v>72</v>
      </c>
      <c r="D715" t="s">
        <v>58</v>
      </c>
      <c r="E715">
        <v>595</v>
      </c>
      <c r="F715">
        <v>5</v>
      </c>
      <c r="G715">
        <v>5</v>
      </c>
      <c r="H715">
        <v>1</v>
      </c>
      <c r="I715">
        <v>1</v>
      </c>
      <c r="J715">
        <v>0.83180044593088098</v>
      </c>
      <c r="K715">
        <v>0.96517595307917703</v>
      </c>
      <c r="L715">
        <v>0.89353848900330302</v>
      </c>
      <c r="M715">
        <v>0.66330645161290303</v>
      </c>
      <c r="N715">
        <v>0.99798387096774199</v>
      </c>
      <c r="O715">
        <v>0.75282258064516105</v>
      </c>
      <c r="P715" t="s">
        <v>4194</v>
      </c>
      <c r="Q715" t="s">
        <v>4195</v>
      </c>
      <c r="R715" t="s">
        <v>319</v>
      </c>
      <c r="S715" t="s">
        <v>320</v>
      </c>
      <c r="T715" t="s">
        <v>4196</v>
      </c>
      <c r="U715" t="s">
        <v>4197</v>
      </c>
      <c r="V715" t="s">
        <v>4198</v>
      </c>
      <c r="W715" t="s">
        <v>4199</v>
      </c>
      <c r="X715" t="s">
        <v>4198</v>
      </c>
      <c r="Y715" t="s">
        <v>1022</v>
      </c>
      <c r="Z715" t="s">
        <v>4200</v>
      </c>
      <c r="AA715" t="s">
        <v>4201</v>
      </c>
      <c r="AB715" t="s">
        <v>4200</v>
      </c>
      <c r="AC715" t="s">
        <v>4202</v>
      </c>
      <c r="AD715" t="s">
        <v>4203</v>
      </c>
      <c r="AE715" t="s">
        <v>4204</v>
      </c>
      <c r="AF715" t="s">
        <v>8342</v>
      </c>
    </row>
    <row r="716" spans="1:32" hidden="1" x14ac:dyDescent="0.35">
      <c r="A716">
        <v>4040</v>
      </c>
      <c r="B716" t="s">
        <v>8341</v>
      </c>
      <c r="C716" t="s">
        <v>72</v>
      </c>
      <c r="D716" t="s">
        <v>60</v>
      </c>
      <c r="E716">
        <v>824</v>
      </c>
      <c r="F716">
        <v>5</v>
      </c>
      <c r="G716">
        <v>5</v>
      </c>
      <c r="H716">
        <v>1</v>
      </c>
      <c r="I716">
        <v>1</v>
      </c>
      <c r="J716">
        <v>0.83180044593088098</v>
      </c>
      <c r="K716">
        <v>0.96517595307917703</v>
      </c>
      <c r="L716">
        <v>0.89353848900330302</v>
      </c>
      <c r="M716">
        <v>0.66330645161290303</v>
      </c>
      <c r="N716">
        <v>0.99798387096774199</v>
      </c>
      <c r="O716">
        <v>0.75282258064516105</v>
      </c>
      <c r="P716" t="s">
        <v>4194</v>
      </c>
      <c r="Q716" t="s">
        <v>4195</v>
      </c>
      <c r="R716" t="s">
        <v>319</v>
      </c>
      <c r="S716" t="s">
        <v>320</v>
      </c>
      <c r="T716" t="s">
        <v>4196</v>
      </c>
      <c r="U716" t="s">
        <v>4197</v>
      </c>
      <c r="V716" t="s">
        <v>4198</v>
      </c>
      <c r="W716" t="s">
        <v>4199</v>
      </c>
      <c r="X716" t="s">
        <v>4198</v>
      </c>
      <c r="Y716" t="s">
        <v>1022</v>
      </c>
      <c r="Z716" t="s">
        <v>4200</v>
      </c>
      <c r="AA716" t="s">
        <v>4201</v>
      </c>
      <c r="AB716" t="s">
        <v>4200</v>
      </c>
      <c r="AC716" t="s">
        <v>4202</v>
      </c>
      <c r="AD716" t="s">
        <v>4203</v>
      </c>
      <c r="AE716" t="s">
        <v>4204</v>
      </c>
      <c r="AF716" t="s">
        <v>8343</v>
      </c>
    </row>
    <row r="717" spans="1:32" hidden="1" x14ac:dyDescent="0.35">
      <c r="A717">
        <v>4041</v>
      </c>
      <c r="B717" t="s">
        <v>8341</v>
      </c>
      <c r="C717" t="s">
        <v>72</v>
      </c>
      <c r="D717" t="s">
        <v>62</v>
      </c>
      <c r="E717">
        <v>857</v>
      </c>
      <c r="F717">
        <v>5</v>
      </c>
      <c r="G717">
        <v>5</v>
      </c>
      <c r="H717">
        <v>1</v>
      </c>
      <c r="I717">
        <v>1</v>
      </c>
      <c r="J717">
        <v>0.83180044593088098</v>
      </c>
      <c r="K717">
        <v>0.96517595307917703</v>
      </c>
      <c r="L717">
        <v>0.89353848900330302</v>
      </c>
      <c r="M717">
        <v>0.66330645161290303</v>
      </c>
      <c r="N717">
        <v>0.99798387096774199</v>
      </c>
      <c r="O717">
        <v>0.75282258064516105</v>
      </c>
      <c r="P717" t="s">
        <v>4194</v>
      </c>
      <c r="Q717" t="s">
        <v>4195</v>
      </c>
      <c r="R717" t="s">
        <v>319</v>
      </c>
      <c r="S717" t="s">
        <v>320</v>
      </c>
      <c r="T717" t="s">
        <v>4196</v>
      </c>
      <c r="U717" t="s">
        <v>4197</v>
      </c>
      <c r="V717" t="s">
        <v>4198</v>
      </c>
      <c r="W717" t="s">
        <v>4199</v>
      </c>
      <c r="X717" t="s">
        <v>4198</v>
      </c>
      <c r="Y717" t="s">
        <v>1022</v>
      </c>
      <c r="Z717" t="s">
        <v>4200</v>
      </c>
      <c r="AA717" t="s">
        <v>4201</v>
      </c>
      <c r="AB717" t="s">
        <v>4200</v>
      </c>
      <c r="AC717" t="s">
        <v>4202</v>
      </c>
      <c r="AD717" t="s">
        <v>4203</v>
      </c>
      <c r="AE717" t="s">
        <v>4204</v>
      </c>
      <c r="AF717" t="s">
        <v>8344</v>
      </c>
    </row>
    <row r="718" spans="1:32" hidden="1" x14ac:dyDescent="0.35">
      <c r="A718">
        <v>4042</v>
      </c>
      <c r="B718" t="s">
        <v>8341</v>
      </c>
      <c r="C718" t="s">
        <v>72</v>
      </c>
      <c r="D718" t="s">
        <v>34</v>
      </c>
      <c r="E718">
        <v>329</v>
      </c>
      <c r="F718">
        <v>5</v>
      </c>
      <c r="G718">
        <v>5</v>
      </c>
      <c r="H718">
        <v>1</v>
      </c>
      <c r="I718">
        <v>1</v>
      </c>
      <c r="J718">
        <v>0.83180044593088098</v>
      </c>
      <c r="K718">
        <v>0.96517595307917703</v>
      </c>
      <c r="L718">
        <v>0.89353848900330302</v>
      </c>
      <c r="M718">
        <v>0.66330645161290303</v>
      </c>
      <c r="N718">
        <v>0.99798387096774199</v>
      </c>
      <c r="O718">
        <v>0.75282258064516105</v>
      </c>
      <c r="P718" t="s">
        <v>4194</v>
      </c>
      <c r="Q718" t="s">
        <v>4195</v>
      </c>
      <c r="R718" t="s">
        <v>319</v>
      </c>
      <c r="S718" t="s">
        <v>320</v>
      </c>
      <c r="T718" t="s">
        <v>4196</v>
      </c>
      <c r="U718" t="s">
        <v>4197</v>
      </c>
      <c r="V718" t="s">
        <v>4198</v>
      </c>
      <c r="W718" t="s">
        <v>4199</v>
      </c>
      <c r="X718" t="s">
        <v>4198</v>
      </c>
      <c r="Y718" t="s">
        <v>1022</v>
      </c>
      <c r="Z718" t="s">
        <v>4200</v>
      </c>
      <c r="AA718" t="s">
        <v>4201</v>
      </c>
      <c r="AB718" t="s">
        <v>4200</v>
      </c>
      <c r="AC718" t="s">
        <v>4202</v>
      </c>
      <c r="AD718" t="s">
        <v>4203</v>
      </c>
      <c r="AE718" t="s">
        <v>4204</v>
      </c>
      <c r="AF718" t="s">
        <v>8345</v>
      </c>
    </row>
    <row r="719" spans="1:32" hidden="1" x14ac:dyDescent="0.35">
      <c r="A719">
        <v>4043</v>
      </c>
      <c r="B719" t="s">
        <v>8341</v>
      </c>
      <c r="C719" t="s">
        <v>72</v>
      </c>
      <c r="D719" t="s">
        <v>45</v>
      </c>
      <c r="E719">
        <v>1591</v>
      </c>
      <c r="F719">
        <v>5</v>
      </c>
      <c r="G719">
        <v>5</v>
      </c>
      <c r="H719">
        <v>1</v>
      </c>
      <c r="I719">
        <v>1</v>
      </c>
      <c r="J719">
        <v>0.83180044593088098</v>
      </c>
      <c r="K719">
        <v>0.96517595307917703</v>
      </c>
      <c r="L719">
        <v>0.89353848900330302</v>
      </c>
      <c r="M719">
        <v>0.66330645161290303</v>
      </c>
      <c r="N719">
        <v>0.99798387096774199</v>
      </c>
      <c r="O719">
        <v>0.75282258064516105</v>
      </c>
      <c r="P719" t="s">
        <v>4194</v>
      </c>
      <c r="Q719" t="s">
        <v>4195</v>
      </c>
      <c r="R719" t="s">
        <v>319</v>
      </c>
      <c r="S719" t="s">
        <v>320</v>
      </c>
      <c r="T719" t="s">
        <v>4196</v>
      </c>
      <c r="U719" t="s">
        <v>4197</v>
      </c>
      <c r="V719" t="s">
        <v>4198</v>
      </c>
      <c r="W719" t="s">
        <v>4199</v>
      </c>
      <c r="X719" t="s">
        <v>4198</v>
      </c>
      <c r="Y719" t="s">
        <v>1022</v>
      </c>
      <c r="Z719" t="s">
        <v>4200</v>
      </c>
      <c r="AA719" t="s">
        <v>4201</v>
      </c>
      <c r="AB719" t="s">
        <v>4200</v>
      </c>
      <c r="AC719" t="s">
        <v>4202</v>
      </c>
      <c r="AD719" t="s">
        <v>4203</v>
      </c>
      <c r="AE719" t="s">
        <v>4204</v>
      </c>
      <c r="AF719" t="s">
        <v>8346</v>
      </c>
    </row>
    <row r="720" spans="1:32" hidden="1" x14ac:dyDescent="0.35">
      <c r="A720">
        <v>4199</v>
      </c>
      <c r="B720" t="s">
        <v>8702</v>
      </c>
      <c r="C720" t="s">
        <v>72</v>
      </c>
      <c r="D720" t="s">
        <v>58</v>
      </c>
      <c r="E720">
        <v>331</v>
      </c>
      <c r="F720">
        <v>5</v>
      </c>
      <c r="G720">
        <v>5</v>
      </c>
      <c r="H720">
        <v>1</v>
      </c>
      <c r="I720">
        <v>1</v>
      </c>
      <c r="J720">
        <v>0.79569634429245695</v>
      </c>
      <c r="K720">
        <v>0.97165326884952696</v>
      </c>
      <c r="L720">
        <v>0.87491569092421795</v>
      </c>
      <c r="M720">
        <v>0.65967365967365998</v>
      </c>
      <c r="N720">
        <v>0.99766899766899797</v>
      </c>
      <c r="O720">
        <v>0.73986013986013999</v>
      </c>
      <c r="P720" t="s">
        <v>8703</v>
      </c>
      <c r="Q720" t="s">
        <v>8704</v>
      </c>
      <c r="R720" t="s">
        <v>319</v>
      </c>
      <c r="S720" t="s">
        <v>320</v>
      </c>
      <c r="T720" t="s">
        <v>8705</v>
      </c>
      <c r="U720" t="s">
        <v>8706</v>
      </c>
      <c r="V720" t="s">
        <v>8707</v>
      </c>
      <c r="W720" t="s">
        <v>8708</v>
      </c>
      <c r="AD720" t="s">
        <v>439</v>
      </c>
      <c r="AE720" t="s">
        <v>5039</v>
      </c>
      <c r="AF720" t="s">
        <v>8709</v>
      </c>
    </row>
    <row r="721" spans="1:32" hidden="1" x14ac:dyDescent="0.35">
      <c r="A721">
        <v>4200</v>
      </c>
      <c r="B721" t="s">
        <v>8702</v>
      </c>
      <c r="C721" t="s">
        <v>72</v>
      </c>
      <c r="D721" t="s">
        <v>60</v>
      </c>
      <c r="E721">
        <v>567</v>
      </c>
      <c r="F721">
        <v>5</v>
      </c>
      <c r="G721">
        <v>5</v>
      </c>
      <c r="H721">
        <v>1</v>
      </c>
      <c r="I721">
        <v>1</v>
      </c>
      <c r="J721">
        <v>0.79569634429245695</v>
      </c>
      <c r="K721">
        <v>0.97165326884952696</v>
      </c>
      <c r="L721">
        <v>0.87491569092421795</v>
      </c>
      <c r="M721">
        <v>0.65967365967365998</v>
      </c>
      <c r="N721">
        <v>0.99766899766899797</v>
      </c>
      <c r="O721">
        <v>0.73986013986013999</v>
      </c>
      <c r="P721" t="s">
        <v>8703</v>
      </c>
      <c r="Q721" t="s">
        <v>8704</v>
      </c>
      <c r="R721" t="s">
        <v>319</v>
      </c>
      <c r="S721" t="s">
        <v>320</v>
      </c>
      <c r="T721" t="s">
        <v>8705</v>
      </c>
      <c r="U721" t="s">
        <v>8706</v>
      </c>
      <c r="V721" t="s">
        <v>8707</v>
      </c>
      <c r="W721" t="s">
        <v>8708</v>
      </c>
      <c r="AD721" t="s">
        <v>439</v>
      </c>
      <c r="AE721" t="s">
        <v>5039</v>
      </c>
      <c r="AF721" t="s">
        <v>8710</v>
      </c>
    </row>
    <row r="722" spans="1:32" hidden="1" x14ac:dyDescent="0.35">
      <c r="A722">
        <v>4201</v>
      </c>
      <c r="B722" t="s">
        <v>8702</v>
      </c>
      <c r="C722" t="s">
        <v>72</v>
      </c>
      <c r="D722" t="s">
        <v>62</v>
      </c>
      <c r="E722">
        <v>651</v>
      </c>
      <c r="F722">
        <v>5</v>
      </c>
      <c r="G722">
        <v>5</v>
      </c>
      <c r="H722">
        <v>1</v>
      </c>
      <c r="I722">
        <v>1</v>
      </c>
      <c r="J722">
        <v>0.79569634429245695</v>
      </c>
      <c r="K722">
        <v>0.97165326884952696</v>
      </c>
      <c r="L722">
        <v>0.87491569092421795</v>
      </c>
      <c r="M722">
        <v>0.65967365967365998</v>
      </c>
      <c r="N722">
        <v>0.99766899766899797</v>
      </c>
      <c r="O722">
        <v>0.73986013986013999</v>
      </c>
      <c r="P722" t="s">
        <v>8703</v>
      </c>
      <c r="Q722" t="s">
        <v>8704</v>
      </c>
      <c r="R722" t="s">
        <v>319</v>
      </c>
      <c r="S722" t="s">
        <v>320</v>
      </c>
      <c r="T722" t="s">
        <v>8705</v>
      </c>
      <c r="U722" t="s">
        <v>8706</v>
      </c>
      <c r="V722" t="s">
        <v>8707</v>
      </c>
      <c r="W722" t="s">
        <v>8708</v>
      </c>
      <c r="AD722" t="s">
        <v>439</v>
      </c>
      <c r="AE722" t="s">
        <v>5039</v>
      </c>
      <c r="AF722" t="s">
        <v>8711</v>
      </c>
    </row>
    <row r="723" spans="1:32" hidden="1" x14ac:dyDescent="0.35">
      <c r="A723">
        <v>4202</v>
      </c>
      <c r="B723" t="s">
        <v>8702</v>
      </c>
      <c r="C723" t="s">
        <v>72</v>
      </c>
      <c r="D723" t="s">
        <v>34</v>
      </c>
      <c r="E723">
        <v>528</v>
      </c>
      <c r="F723">
        <v>5</v>
      </c>
      <c r="G723">
        <v>5</v>
      </c>
      <c r="H723">
        <v>1</v>
      </c>
      <c r="I723">
        <v>1</v>
      </c>
      <c r="J723">
        <v>0.79569634429245695</v>
      </c>
      <c r="K723">
        <v>0.97165326884952696</v>
      </c>
      <c r="L723">
        <v>0.87491569092421795</v>
      </c>
      <c r="M723">
        <v>0.65967365967365998</v>
      </c>
      <c r="N723">
        <v>0.99766899766899797</v>
      </c>
      <c r="O723">
        <v>0.73986013986013999</v>
      </c>
      <c r="P723" t="s">
        <v>8703</v>
      </c>
      <c r="Q723" t="s">
        <v>8704</v>
      </c>
      <c r="R723" t="s">
        <v>319</v>
      </c>
      <c r="S723" t="s">
        <v>320</v>
      </c>
      <c r="T723" t="s">
        <v>8705</v>
      </c>
      <c r="U723" t="s">
        <v>8706</v>
      </c>
      <c r="V723" t="s">
        <v>8707</v>
      </c>
      <c r="W723" t="s">
        <v>8708</v>
      </c>
      <c r="AD723" t="s">
        <v>439</v>
      </c>
      <c r="AE723" t="s">
        <v>5039</v>
      </c>
      <c r="AF723" t="s">
        <v>8712</v>
      </c>
    </row>
    <row r="724" spans="1:32" hidden="1" x14ac:dyDescent="0.35">
      <c r="A724">
        <v>4203</v>
      </c>
      <c r="B724" t="s">
        <v>8702</v>
      </c>
      <c r="C724" t="s">
        <v>72</v>
      </c>
      <c r="D724" t="s">
        <v>45</v>
      </c>
      <c r="E724">
        <v>1794</v>
      </c>
      <c r="F724">
        <v>5</v>
      </c>
      <c r="G724">
        <v>5</v>
      </c>
      <c r="H724">
        <v>1</v>
      </c>
      <c r="I724">
        <v>1</v>
      </c>
      <c r="J724">
        <v>0.79569634429245695</v>
      </c>
      <c r="K724">
        <v>0.97165326884952696</v>
      </c>
      <c r="L724">
        <v>0.87491569092421795</v>
      </c>
      <c r="M724">
        <v>0.65967365967365998</v>
      </c>
      <c r="N724">
        <v>0.99766899766899797</v>
      </c>
      <c r="O724">
        <v>0.73986013986013999</v>
      </c>
      <c r="P724" t="s">
        <v>8703</v>
      </c>
      <c r="Q724" t="s">
        <v>8704</v>
      </c>
      <c r="R724" t="s">
        <v>319</v>
      </c>
      <c r="S724" t="s">
        <v>320</v>
      </c>
      <c r="T724" t="s">
        <v>8705</v>
      </c>
      <c r="U724" t="s">
        <v>8706</v>
      </c>
      <c r="V724" t="s">
        <v>8707</v>
      </c>
      <c r="W724" t="s">
        <v>8708</v>
      </c>
      <c r="AD724" t="s">
        <v>439</v>
      </c>
      <c r="AE724" t="s">
        <v>5039</v>
      </c>
      <c r="AF724" t="s">
        <v>8713</v>
      </c>
    </row>
    <row r="725" spans="1:32" hidden="1" x14ac:dyDescent="0.35">
      <c r="A725">
        <v>4249</v>
      </c>
      <c r="B725" t="s">
        <v>8826</v>
      </c>
      <c r="C725" t="s">
        <v>72</v>
      </c>
      <c r="D725" t="s">
        <v>58</v>
      </c>
      <c r="E725">
        <v>1665</v>
      </c>
      <c r="F725">
        <v>5</v>
      </c>
      <c r="G725">
        <v>5</v>
      </c>
      <c r="H725">
        <v>1</v>
      </c>
      <c r="I725">
        <v>1</v>
      </c>
      <c r="J725">
        <v>0.74766899766899797</v>
      </c>
      <c r="K725">
        <v>0.92386902057506104</v>
      </c>
      <c r="L725">
        <v>0.82648221823446399</v>
      </c>
      <c r="M725">
        <v>0.52313883299798802</v>
      </c>
      <c r="N725">
        <v>0.99798792756539201</v>
      </c>
      <c r="O725">
        <v>0.66197183098591506</v>
      </c>
      <c r="P725" t="s">
        <v>8827</v>
      </c>
      <c r="Q725" t="s">
        <v>8828</v>
      </c>
      <c r="R725" t="s">
        <v>319</v>
      </c>
      <c r="S725" t="s">
        <v>320</v>
      </c>
      <c r="T725" t="s">
        <v>8829</v>
      </c>
      <c r="U725" t="s">
        <v>8830</v>
      </c>
      <c r="V725" t="s">
        <v>8831</v>
      </c>
      <c r="W725" t="s">
        <v>8832</v>
      </c>
      <c r="AD725" t="s">
        <v>8833</v>
      </c>
      <c r="AE725" t="s">
        <v>8834</v>
      </c>
      <c r="AF725" t="s">
        <v>8835</v>
      </c>
    </row>
    <row r="726" spans="1:32" hidden="1" x14ac:dyDescent="0.35">
      <c r="A726">
        <v>4250</v>
      </c>
      <c r="B726" t="s">
        <v>8826</v>
      </c>
      <c r="C726" t="s">
        <v>72</v>
      </c>
      <c r="D726" t="s">
        <v>60</v>
      </c>
      <c r="E726">
        <v>2257</v>
      </c>
      <c r="F726">
        <v>5</v>
      </c>
      <c r="G726">
        <v>5</v>
      </c>
      <c r="H726">
        <v>1</v>
      </c>
      <c r="I726">
        <v>1</v>
      </c>
      <c r="J726">
        <v>0.74766899766899797</v>
      </c>
      <c r="K726">
        <v>0.92386902057506104</v>
      </c>
      <c r="L726">
        <v>0.82648221823446399</v>
      </c>
      <c r="M726">
        <v>0.52313883299798802</v>
      </c>
      <c r="N726">
        <v>0.99798792756539201</v>
      </c>
      <c r="O726">
        <v>0.66197183098591506</v>
      </c>
      <c r="P726" t="s">
        <v>8827</v>
      </c>
      <c r="Q726" t="s">
        <v>8828</v>
      </c>
      <c r="R726" t="s">
        <v>319</v>
      </c>
      <c r="S726" t="s">
        <v>320</v>
      </c>
      <c r="T726" t="s">
        <v>8829</v>
      </c>
      <c r="U726" t="s">
        <v>8830</v>
      </c>
      <c r="V726" t="s">
        <v>8831</v>
      </c>
      <c r="W726" t="s">
        <v>8832</v>
      </c>
      <c r="AD726" t="s">
        <v>8833</v>
      </c>
      <c r="AE726" t="s">
        <v>8834</v>
      </c>
      <c r="AF726" t="s">
        <v>8836</v>
      </c>
    </row>
    <row r="727" spans="1:32" hidden="1" x14ac:dyDescent="0.35">
      <c r="A727">
        <v>4251</v>
      </c>
      <c r="B727" t="s">
        <v>8826</v>
      </c>
      <c r="C727" t="s">
        <v>72</v>
      </c>
      <c r="D727" t="s">
        <v>62</v>
      </c>
      <c r="E727">
        <v>2286</v>
      </c>
      <c r="F727">
        <v>5</v>
      </c>
      <c r="G727">
        <v>5</v>
      </c>
      <c r="H727">
        <v>1</v>
      </c>
      <c r="I727">
        <v>1</v>
      </c>
      <c r="J727">
        <v>0.74766899766899797</v>
      </c>
      <c r="K727">
        <v>0.92386902057506104</v>
      </c>
      <c r="L727">
        <v>0.82648221823446399</v>
      </c>
      <c r="M727">
        <v>0.52313883299798802</v>
      </c>
      <c r="N727">
        <v>0.99798792756539201</v>
      </c>
      <c r="O727">
        <v>0.66197183098591506</v>
      </c>
      <c r="P727" t="s">
        <v>8827</v>
      </c>
      <c r="Q727" t="s">
        <v>8828</v>
      </c>
      <c r="R727" t="s">
        <v>319</v>
      </c>
      <c r="S727" t="s">
        <v>320</v>
      </c>
      <c r="T727" t="s">
        <v>8829</v>
      </c>
      <c r="U727" t="s">
        <v>8830</v>
      </c>
      <c r="V727" t="s">
        <v>8831</v>
      </c>
      <c r="W727" t="s">
        <v>8832</v>
      </c>
      <c r="AD727" t="s">
        <v>8833</v>
      </c>
      <c r="AE727" t="s">
        <v>8834</v>
      </c>
      <c r="AF727" t="s">
        <v>8837</v>
      </c>
    </row>
    <row r="728" spans="1:32" hidden="1" x14ac:dyDescent="0.35">
      <c r="A728">
        <v>4252</v>
      </c>
      <c r="B728" t="s">
        <v>8826</v>
      </c>
      <c r="C728" t="s">
        <v>72</v>
      </c>
      <c r="D728" t="s">
        <v>34</v>
      </c>
      <c r="E728">
        <v>1540</v>
      </c>
      <c r="F728">
        <v>5</v>
      </c>
      <c r="G728">
        <v>5</v>
      </c>
      <c r="H728">
        <v>1</v>
      </c>
      <c r="I728">
        <v>1</v>
      </c>
      <c r="J728">
        <v>0.74766899766899797</v>
      </c>
      <c r="K728">
        <v>0.92386902057506104</v>
      </c>
      <c r="L728">
        <v>0.82648221823446399</v>
      </c>
      <c r="M728">
        <v>0.52313883299798802</v>
      </c>
      <c r="N728">
        <v>0.99798792756539201</v>
      </c>
      <c r="O728">
        <v>0.66197183098591506</v>
      </c>
      <c r="P728" t="s">
        <v>8827</v>
      </c>
      <c r="Q728" t="s">
        <v>8828</v>
      </c>
      <c r="R728" t="s">
        <v>319</v>
      </c>
      <c r="S728" t="s">
        <v>320</v>
      </c>
      <c r="T728" t="s">
        <v>8829</v>
      </c>
      <c r="U728" t="s">
        <v>8830</v>
      </c>
      <c r="V728" t="s">
        <v>8831</v>
      </c>
      <c r="W728" t="s">
        <v>8832</v>
      </c>
      <c r="AD728" t="s">
        <v>8833</v>
      </c>
      <c r="AE728" t="s">
        <v>8834</v>
      </c>
      <c r="AF728" t="s">
        <v>8838</v>
      </c>
    </row>
    <row r="729" spans="1:32" hidden="1" x14ac:dyDescent="0.35">
      <c r="A729">
        <v>4253</v>
      </c>
      <c r="B729" t="s">
        <v>8826</v>
      </c>
      <c r="C729" t="s">
        <v>72</v>
      </c>
      <c r="D729" t="s">
        <v>45</v>
      </c>
      <c r="E729">
        <v>290</v>
      </c>
      <c r="F729">
        <v>5</v>
      </c>
      <c r="G729">
        <v>5</v>
      </c>
      <c r="H729">
        <v>1</v>
      </c>
      <c r="I729">
        <v>1</v>
      </c>
      <c r="J729">
        <v>0.74766899766899797</v>
      </c>
      <c r="K729">
        <v>0.92386902057506104</v>
      </c>
      <c r="L729">
        <v>0.82648221823446399</v>
      </c>
      <c r="M729">
        <v>0.52313883299798802</v>
      </c>
      <c r="N729">
        <v>0.99798792756539201</v>
      </c>
      <c r="O729">
        <v>0.66197183098591506</v>
      </c>
      <c r="P729" t="s">
        <v>8827</v>
      </c>
      <c r="Q729" t="s">
        <v>8828</v>
      </c>
      <c r="R729" t="s">
        <v>319</v>
      </c>
      <c r="S729" t="s">
        <v>320</v>
      </c>
      <c r="T729" t="s">
        <v>8829</v>
      </c>
      <c r="U729" t="s">
        <v>8830</v>
      </c>
      <c r="V729" t="s">
        <v>8831</v>
      </c>
      <c r="W729" t="s">
        <v>8832</v>
      </c>
      <c r="AD729" t="s">
        <v>8833</v>
      </c>
      <c r="AE729" t="s">
        <v>8834</v>
      </c>
      <c r="AF729" t="s">
        <v>8839</v>
      </c>
    </row>
    <row r="730" spans="1:32" hidden="1" x14ac:dyDescent="0.35">
      <c r="A730">
        <v>4254</v>
      </c>
      <c r="B730" t="s">
        <v>8840</v>
      </c>
      <c r="C730" t="s">
        <v>72</v>
      </c>
      <c r="D730" t="s">
        <v>58</v>
      </c>
      <c r="E730">
        <v>889</v>
      </c>
      <c r="F730">
        <v>5</v>
      </c>
      <c r="G730">
        <v>5</v>
      </c>
      <c r="H730">
        <v>1</v>
      </c>
      <c r="I730">
        <v>1</v>
      </c>
      <c r="J730">
        <v>0.88004492173791005</v>
      </c>
      <c r="K730">
        <v>0.97747952993085097</v>
      </c>
      <c r="L730">
        <v>0.92620680782489395</v>
      </c>
      <c r="M730">
        <v>0.76337448559670795</v>
      </c>
      <c r="N730">
        <v>0.99794238683127601</v>
      </c>
      <c r="O730">
        <v>0.82736625514403295</v>
      </c>
      <c r="P730" t="s">
        <v>8841</v>
      </c>
      <c r="Q730" t="s">
        <v>8842</v>
      </c>
      <c r="R730" t="s">
        <v>319</v>
      </c>
      <c r="S730" t="s">
        <v>320</v>
      </c>
      <c r="T730" t="s">
        <v>8843</v>
      </c>
      <c r="U730" t="s">
        <v>8844</v>
      </c>
      <c r="V730" t="s">
        <v>8845</v>
      </c>
      <c r="W730" t="s">
        <v>8846</v>
      </c>
      <c r="X730" t="s">
        <v>8845</v>
      </c>
      <c r="Y730" t="s">
        <v>5998</v>
      </c>
      <c r="Z730" t="s">
        <v>8847</v>
      </c>
      <c r="AA730" t="s">
        <v>8848</v>
      </c>
      <c r="AB730" t="s">
        <v>8847</v>
      </c>
      <c r="AC730" t="s">
        <v>6027</v>
      </c>
      <c r="AD730" t="s">
        <v>2870</v>
      </c>
      <c r="AE730" t="s">
        <v>8849</v>
      </c>
      <c r="AF730" t="s">
        <v>8850</v>
      </c>
    </row>
    <row r="731" spans="1:32" hidden="1" x14ac:dyDescent="0.35">
      <c r="A731">
        <v>4255</v>
      </c>
      <c r="B731" t="s">
        <v>8840</v>
      </c>
      <c r="C731" t="s">
        <v>72</v>
      </c>
      <c r="D731" t="s">
        <v>60</v>
      </c>
      <c r="E731">
        <v>1349</v>
      </c>
      <c r="F731">
        <v>5</v>
      </c>
      <c r="G731">
        <v>5</v>
      </c>
      <c r="H731">
        <v>1</v>
      </c>
      <c r="I731">
        <v>1</v>
      </c>
      <c r="J731">
        <v>0.88004492173791005</v>
      </c>
      <c r="K731">
        <v>0.97747952993085097</v>
      </c>
      <c r="L731">
        <v>0.92620680782489395</v>
      </c>
      <c r="M731">
        <v>0.76337448559670795</v>
      </c>
      <c r="N731">
        <v>0.99794238683127601</v>
      </c>
      <c r="O731">
        <v>0.82736625514403295</v>
      </c>
      <c r="P731" t="s">
        <v>8841</v>
      </c>
      <c r="Q731" t="s">
        <v>8842</v>
      </c>
      <c r="R731" t="s">
        <v>319</v>
      </c>
      <c r="S731" t="s">
        <v>320</v>
      </c>
      <c r="T731" t="s">
        <v>8843</v>
      </c>
      <c r="U731" t="s">
        <v>8844</v>
      </c>
      <c r="V731" t="s">
        <v>8845</v>
      </c>
      <c r="W731" t="s">
        <v>8846</v>
      </c>
      <c r="X731" t="s">
        <v>8845</v>
      </c>
      <c r="Y731" t="s">
        <v>5998</v>
      </c>
      <c r="Z731" t="s">
        <v>8847</v>
      </c>
      <c r="AA731" t="s">
        <v>8848</v>
      </c>
      <c r="AB731" t="s">
        <v>8847</v>
      </c>
      <c r="AC731" t="s">
        <v>6027</v>
      </c>
      <c r="AD731" t="s">
        <v>2870</v>
      </c>
      <c r="AE731" t="s">
        <v>8849</v>
      </c>
      <c r="AF731" t="s">
        <v>8851</v>
      </c>
    </row>
    <row r="732" spans="1:32" hidden="1" x14ac:dyDescent="0.35">
      <c r="A732">
        <v>4256</v>
      </c>
      <c r="B732" t="s">
        <v>8840</v>
      </c>
      <c r="C732" t="s">
        <v>72</v>
      </c>
      <c r="D732" t="s">
        <v>62</v>
      </c>
      <c r="E732">
        <v>1385</v>
      </c>
      <c r="F732">
        <v>5</v>
      </c>
      <c r="G732">
        <v>5</v>
      </c>
      <c r="H732">
        <v>1</v>
      </c>
      <c r="I732">
        <v>1</v>
      </c>
      <c r="J732">
        <v>0.88004492173791005</v>
      </c>
      <c r="K732">
        <v>0.97747952993085097</v>
      </c>
      <c r="L732">
        <v>0.92620680782489395</v>
      </c>
      <c r="M732">
        <v>0.76337448559670795</v>
      </c>
      <c r="N732">
        <v>0.99794238683127601</v>
      </c>
      <c r="O732">
        <v>0.82736625514403295</v>
      </c>
      <c r="P732" t="s">
        <v>8841</v>
      </c>
      <c r="Q732" t="s">
        <v>8842</v>
      </c>
      <c r="R732" t="s">
        <v>319</v>
      </c>
      <c r="S732" t="s">
        <v>320</v>
      </c>
      <c r="T732" t="s">
        <v>8843</v>
      </c>
      <c r="U732" t="s">
        <v>8844</v>
      </c>
      <c r="V732" t="s">
        <v>8845</v>
      </c>
      <c r="W732" t="s">
        <v>8846</v>
      </c>
      <c r="X732" t="s">
        <v>8845</v>
      </c>
      <c r="Y732" t="s">
        <v>5998</v>
      </c>
      <c r="Z732" t="s">
        <v>8847</v>
      </c>
      <c r="AA732" t="s">
        <v>8848</v>
      </c>
      <c r="AB732" t="s">
        <v>8847</v>
      </c>
      <c r="AC732" t="s">
        <v>6027</v>
      </c>
      <c r="AD732" t="s">
        <v>2870</v>
      </c>
      <c r="AE732" t="s">
        <v>8849</v>
      </c>
      <c r="AF732" t="s">
        <v>8852</v>
      </c>
    </row>
    <row r="733" spans="1:32" hidden="1" x14ac:dyDescent="0.35">
      <c r="A733">
        <v>4257</v>
      </c>
      <c r="B733" t="s">
        <v>8840</v>
      </c>
      <c r="C733" t="s">
        <v>72</v>
      </c>
      <c r="D733" t="s">
        <v>34</v>
      </c>
      <c r="E733">
        <v>1681</v>
      </c>
      <c r="F733">
        <v>5</v>
      </c>
      <c r="G733">
        <v>5</v>
      </c>
      <c r="H733">
        <v>1</v>
      </c>
      <c r="I733">
        <v>1</v>
      </c>
      <c r="J733">
        <v>0.88004492173791005</v>
      </c>
      <c r="K733">
        <v>0.97747952993085097</v>
      </c>
      <c r="L733">
        <v>0.92620680782489395</v>
      </c>
      <c r="M733">
        <v>0.76337448559670795</v>
      </c>
      <c r="N733">
        <v>0.99794238683127601</v>
      </c>
      <c r="O733">
        <v>0.82736625514403295</v>
      </c>
      <c r="P733" t="s">
        <v>8841</v>
      </c>
      <c r="Q733" t="s">
        <v>8842</v>
      </c>
      <c r="R733" t="s">
        <v>319</v>
      </c>
      <c r="S733" t="s">
        <v>320</v>
      </c>
      <c r="T733" t="s">
        <v>8843</v>
      </c>
      <c r="U733" t="s">
        <v>8844</v>
      </c>
      <c r="V733" t="s">
        <v>8845</v>
      </c>
      <c r="W733" t="s">
        <v>8846</v>
      </c>
      <c r="X733" t="s">
        <v>8845</v>
      </c>
      <c r="Y733" t="s">
        <v>5998</v>
      </c>
      <c r="Z733" t="s">
        <v>8847</v>
      </c>
      <c r="AA733" t="s">
        <v>8848</v>
      </c>
      <c r="AB733" t="s">
        <v>8847</v>
      </c>
      <c r="AC733" t="s">
        <v>6027</v>
      </c>
      <c r="AD733" t="s">
        <v>2870</v>
      </c>
      <c r="AE733" t="s">
        <v>8849</v>
      </c>
      <c r="AF733" t="s">
        <v>8853</v>
      </c>
    </row>
    <row r="734" spans="1:32" hidden="1" x14ac:dyDescent="0.35">
      <c r="A734">
        <v>4258</v>
      </c>
      <c r="B734" t="s">
        <v>8840</v>
      </c>
      <c r="C734" t="s">
        <v>72</v>
      </c>
      <c r="D734" t="s">
        <v>45</v>
      </c>
      <c r="E734">
        <v>1195</v>
      </c>
      <c r="F734">
        <v>5</v>
      </c>
      <c r="G734">
        <v>5</v>
      </c>
      <c r="H734">
        <v>1</v>
      </c>
      <c r="I734">
        <v>1</v>
      </c>
      <c r="J734">
        <v>0.88004492173791005</v>
      </c>
      <c r="K734">
        <v>0.97747952993085097</v>
      </c>
      <c r="L734">
        <v>0.92620680782489395</v>
      </c>
      <c r="M734">
        <v>0.76337448559670795</v>
      </c>
      <c r="N734">
        <v>0.99794238683127601</v>
      </c>
      <c r="O734">
        <v>0.82736625514403295</v>
      </c>
      <c r="P734" t="s">
        <v>8841</v>
      </c>
      <c r="Q734" t="s">
        <v>8842</v>
      </c>
      <c r="R734" t="s">
        <v>319</v>
      </c>
      <c r="S734" t="s">
        <v>320</v>
      </c>
      <c r="T734" t="s">
        <v>8843</v>
      </c>
      <c r="U734" t="s">
        <v>8844</v>
      </c>
      <c r="V734" t="s">
        <v>8845</v>
      </c>
      <c r="W734" t="s">
        <v>8846</v>
      </c>
      <c r="X734" t="s">
        <v>8845</v>
      </c>
      <c r="Y734" t="s">
        <v>5998</v>
      </c>
      <c r="Z734" t="s">
        <v>8847</v>
      </c>
      <c r="AA734" t="s">
        <v>8848</v>
      </c>
      <c r="AB734" t="s">
        <v>8847</v>
      </c>
      <c r="AC734" t="s">
        <v>6027</v>
      </c>
      <c r="AD734" t="s">
        <v>2870</v>
      </c>
      <c r="AE734" t="s">
        <v>8849</v>
      </c>
      <c r="AF734" t="s">
        <v>8854</v>
      </c>
    </row>
    <row r="735" spans="1:32" hidden="1" x14ac:dyDescent="0.35">
      <c r="A735">
        <v>4429</v>
      </c>
      <c r="B735" t="s">
        <v>9225</v>
      </c>
      <c r="C735" t="s">
        <v>72</v>
      </c>
      <c r="D735" t="s">
        <v>58</v>
      </c>
      <c r="E735">
        <v>533</v>
      </c>
      <c r="F735">
        <v>5</v>
      </c>
      <c r="G735">
        <v>5</v>
      </c>
      <c r="H735">
        <v>1</v>
      </c>
      <c r="I735">
        <v>1</v>
      </c>
      <c r="J735">
        <v>0.85559015692739804</v>
      </c>
      <c r="K735">
        <v>0.95579739874836001</v>
      </c>
      <c r="L735">
        <v>0.902922010061872</v>
      </c>
      <c r="M735">
        <v>0.72027972027971998</v>
      </c>
      <c r="N735">
        <v>0.99825174825174801</v>
      </c>
      <c r="O735">
        <v>0.80262237762237798</v>
      </c>
      <c r="P735" t="s">
        <v>9226</v>
      </c>
      <c r="Q735" t="s">
        <v>9227</v>
      </c>
      <c r="R735" t="s">
        <v>319</v>
      </c>
      <c r="S735" t="s">
        <v>320</v>
      </c>
      <c r="T735" t="s">
        <v>9228</v>
      </c>
      <c r="U735" t="s">
        <v>9229</v>
      </c>
      <c r="V735" t="s">
        <v>9230</v>
      </c>
      <c r="W735" t="s">
        <v>9231</v>
      </c>
      <c r="X735" t="s">
        <v>9230</v>
      </c>
      <c r="Y735" t="s">
        <v>1022</v>
      </c>
      <c r="Z735" t="s">
        <v>9232</v>
      </c>
      <c r="AA735" t="s">
        <v>9233</v>
      </c>
      <c r="AB735" t="s">
        <v>9232</v>
      </c>
      <c r="AC735" t="s">
        <v>1785</v>
      </c>
      <c r="AD735" t="s">
        <v>3442</v>
      </c>
      <c r="AE735" t="s">
        <v>9234</v>
      </c>
      <c r="AF735" t="s">
        <v>9235</v>
      </c>
    </row>
    <row r="736" spans="1:32" hidden="1" x14ac:dyDescent="0.35">
      <c r="A736">
        <v>4430</v>
      </c>
      <c r="B736" t="s">
        <v>9225</v>
      </c>
      <c r="C736" t="s">
        <v>72</v>
      </c>
      <c r="D736" t="s">
        <v>60</v>
      </c>
      <c r="E736">
        <v>744</v>
      </c>
      <c r="F736">
        <v>5</v>
      </c>
      <c r="G736">
        <v>5</v>
      </c>
      <c r="H736">
        <v>1</v>
      </c>
      <c r="I736">
        <v>1</v>
      </c>
      <c r="J736">
        <v>0.85559015692739804</v>
      </c>
      <c r="K736">
        <v>0.95579739874836001</v>
      </c>
      <c r="L736">
        <v>0.902922010061872</v>
      </c>
      <c r="M736">
        <v>0.72027972027971998</v>
      </c>
      <c r="N736">
        <v>0.99825174825174801</v>
      </c>
      <c r="O736">
        <v>0.80262237762237798</v>
      </c>
      <c r="P736" t="s">
        <v>9226</v>
      </c>
      <c r="Q736" t="s">
        <v>9227</v>
      </c>
      <c r="R736" t="s">
        <v>319</v>
      </c>
      <c r="S736" t="s">
        <v>320</v>
      </c>
      <c r="T736" t="s">
        <v>9228</v>
      </c>
      <c r="U736" t="s">
        <v>9229</v>
      </c>
      <c r="V736" t="s">
        <v>9230</v>
      </c>
      <c r="W736" t="s">
        <v>9231</v>
      </c>
      <c r="X736" t="s">
        <v>9230</v>
      </c>
      <c r="Y736" t="s">
        <v>1022</v>
      </c>
      <c r="Z736" t="s">
        <v>9232</v>
      </c>
      <c r="AA736" t="s">
        <v>9233</v>
      </c>
      <c r="AB736" t="s">
        <v>9232</v>
      </c>
      <c r="AC736" t="s">
        <v>1785</v>
      </c>
      <c r="AD736" t="s">
        <v>3442</v>
      </c>
      <c r="AE736" t="s">
        <v>9234</v>
      </c>
      <c r="AF736" t="s">
        <v>9236</v>
      </c>
    </row>
    <row r="737" spans="1:32" hidden="1" x14ac:dyDescent="0.35">
      <c r="A737">
        <v>4431</v>
      </c>
      <c r="B737" t="s">
        <v>9225</v>
      </c>
      <c r="C737" t="s">
        <v>72</v>
      </c>
      <c r="D737" t="s">
        <v>62</v>
      </c>
      <c r="E737">
        <v>776</v>
      </c>
      <c r="F737">
        <v>5</v>
      </c>
      <c r="G737">
        <v>5</v>
      </c>
      <c r="H737">
        <v>1</v>
      </c>
      <c r="I737">
        <v>1</v>
      </c>
      <c r="J737">
        <v>0.85559015692739804</v>
      </c>
      <c r="K737">
        <v>0.95579739874836001</v>
      </c>
      <c r="L737">
        <v>0.902922010061872</v>
      </c>
      <c r="M737">
        <v>0.72027972027971998</v>
      </c>
      <c r="N737">
        <v>0.99825174825174801</v>
      </c>
      <c r="O737">
        <v>0.80262237762237798</v>
      </c>
      <c r="P737" t="s">
        <v>9226</v>
      </c>
      <c r="Q737" t="s">
        <v>9227</v>
      </c>
      <c r="R737" t="s">
        <v>319</v>
      </c>
      <c r="S737" t="s">
        <v>320</v>
      </c>
      <c r="T737" t="s">
        <v>9228</v>
      </c>
      <c r="U737" t="s">
        <v>9229</v>
      </c>
      <c r="V737" t="s">
        <v>9230</v>
      </c>
      <c r="W737" t="s">
        <v>9231</v>
      </c>
      <c r="X737" t="s">
        <v>9230</v>
      </c>
      <c r="Y737" t="s">
        <v>1022</v>
      </c>
      <c r="Z737" t="s">
        <v>9232</v>
      </c>
      <c r="AA737" t="s">
        <v>9233</v>
      </c>
      <c r="AB737" t="s">
        <v>9232</v>
      </c>
      <c r="AC737" t="s">
        <v>1785</v>
      </c>
      <c r="AD737" t="s">
        <v>3442</v>
      </c>
      <c r="AE737" t="s">
        <v>9234</v>
      </c>
      <c r="AF737" t="s">
        <v>9236</v>
      </c>
    </row>
    <row r="738" spans="1:32" hidden="1" x14ac:dyDescent="0.35">
      <c r="A738">
        <v>4432</v>
      </c>
      <c r="B738" t="s">
        <v>9225</v>
      </c>
      <c r="C738" t="s">
        <v>72</v>
      </c>
      <c r="D738" t="s">
        <v>34</v>
      </c>
      <c r="E738">
        <v>392</v>
      </c>
      <c r="F738">
        <v>5</v>
      </c>
      <c r="G738">
        <v>5</v>
      </c>
      <c r="H738">
        <v>1</v>
      </c>
      <c r="I738">
        <v>1</v>
      </c>
      <c r="J738">
        <v>0.85559015692739804</v>
      </c>
      <c r="K738">
        <v>0.95579739874836001</v>
      </c>
      <c r="L738">
        <v>0.902922010061872</v>
      </c>
      <c r="M738">
        <v>0.72027972027971998</v>
      </c>
      <c r="N738">
        <v>0.99825174825174801</v>
      </c>
      <c r="O738">
        <v>0.80262237762237798</v>
      </c>
      <c r="P738" t="s">
        <v>9226</v>
      </c>
      <c r="Q738" t="s">
        <v>9227</v>
      </c>
      <c r="R738" t="s">
        <v>319</v>
      </c>
      <c r="S738" t="s">
        <v>320</v>
      </c>
      <c r="T738" t="s">
        <v>9228</v>
      </c>
      <c r="U738" t="s">
        <v>9229</v>
      </c>
      <c r="V738" t="s">
        <v>9230</v>
      </c>
      <c r="W738" t="s">
        <v>9231</v>
      </c>
      <c r="X738" t="s">
        <v>9230</v>
      </c>
      <c r="Y738" t="s">
        <v>1022</v>
      </c>
      <c r="Z738" t="s">
        <v>9232</v>
      </c>
      <c r="AA738" t="s">
        <v>9233</v>
      </c>
      <c r="AB738" t="s">
        <v>9232</v>
      </c>
      <c r="AC738" t="s">
        <v>1785</v>
      </c>
      <c r="AD738" t="s">
        <v>3442</v>
      </c>
      <c r="AE738" t="s">
        <v>9234</v>
      </c>
      <c r="AF738" t="s">
        <v>9237</v>
      </c>
    </row>
    <row r="739" spans="1:32" hidden="1" x14ac:dyDescent="0.35">
      <c r="A739">
        <v>4433</v>
      </c>
      <c r="B739" t="s">
        <v>9225</v>
      </c>
      <c r="C739" t="s">
        <v>72</v>
      </c>
      <c r="D739" t="s">
        <v>45</v>
      </c>
      <c r="E739">
        <v>1653</v>
      </c>
      <c r="F739">
        <v>5</v>
      </c>
      <c r="G739">
        <v>5</v>
      </c>
      <c r="H739">
        <v>1</v>
      </c>
      <c r="I739">
        <v>1</v>
      </c>
      <c r="J739">
        <v>0.85559015692739804</v>
      </c>
      <c r="K739">
        <v>0.95579739874836001</v>
      </c>
      <c r="L739">
        <v>0.902922010061872</v>
      </c>
      <c r="M739">
        <v>0.72027972027971998</v>
      </c>
      <c r="N739">
        <v>0.99825174825174801</v>
      </c>
      <c r="O739">
        <v>0.80262237762237798</v>
      </c>
      <c r="P739" t="s">
        <v>9226</v>
      </c>
      <c r="Q739" t="s">
        <v>9227</v>
      </c>
      <c r="R739" t="s">
        <v>319</v>
      </c>
      <c r="S739" t="s">
        <v>320</v>
      </c>
      <c r="T739" t="s">
        <v>9228</v>
      </c>
      <c r="U739" t="s">
        <v>9229</v>
      </c>
      <c r="V739" t="s">
        <v>9230</v>
      </c>
      <c r="W739" t="s">
        <v>9231</v>
      </c>
      <c r="X739" t="s">
        <v>9230</v>
      </c>
      <c r="Y739" t="s">
        <v>1022</v>
      </c>
      <c r="Z739" t="s">
        <v>9232</v>
      </c>
      <c r="AA739" t="s">
        <v>9233</v>
      </c>
      <c r="AB739" t="s">
        <v>9232</v>
      </c>
      <c r="AC739" t="s">
        <v>1785</v>
      </c>
      <c r="AD739" t="s">
        <v>3442</v>
      </c>
      <c r="AE739" t="s">
        <v>9234</v>
      </c>
      <c r="AF739" t="s">
        <v>9238</v>
      </c>
    </row>
    <row r="740" spans="1:32" hidden="1" x14ac:dyDescent="0.35">
      <c r="A740">
        <v>4514</v>
      </c>
      <c r="B740" t="s">
        <v>9404</v>
      </c>
      <c r="C740" t="s">
        <v>72</v>
      </c>
      <c r="D740" t="s">
        <v>58</v>
      </c>
      <c r="E740">
        <v>67</v>
      </c>
      <c r="F740">
        <v>5</v>
      </c>
      <c r="G740">
        <v>5</v>
      </c>
      <c r="H740">
        <v>1</v>
      </c>
      <c r="I740">
        <v>1</v>
      </c>
      <c r="J740">
        <v>0.85308977846871403</v>
      </c>
      <c r="K740">
        <v>0.851005270548013</v>
      </c>
      <c r="L740">
        <v>0.852046249587321</v>
      </c>
      <c r="M740">
        <v>0.47452229299363102</v>
      </c>
      <c r="N740">
        <v>0.99681528662420404</v>
      </c>
      <c r="O740">
        <v>0.67133757961783402</v>
      </c>
      <c r="P740" t="s">
        <v>1041</v>
      </c>
      <c r="Q740" t="s">
        <v>1042</v>
      </c>
      <c r="R740" t="s">
        <v>319</v>
      </c>
      <c r="S740" t="s">
        <v>320</v>
      </c>
      <c r="T740" t="s">
        <v>9405</v>
      </c>
      <c r="U740" t="s">
        <v>9406</v>
      </c>
      <c r="V740" t="s">
        <v>9407</v>
      </c>
      <c r="W740" t="s">
        <v>9408</v>
      </c>
      <c r="AD740" t="s">
        <v>439</v>
      </c>
      <c r="AE740" t="s">
        <v>9409</v>
      </c>
      <c r="AF740" t="s">
        <v>9410</v>
      </c>
    </row>
    <row r="741" spans="1:32" hidden="1" x14ac:dyDescent="0.35">
      <c r="A741">
        <v>4515</v>
      </c>
      <c r="B741" t="s">
        <v>9404</v>
      </c>
      <c r="C741" t="s">
        <v>72</v>
      </c>
      <c r="D741" t="s">
        <v>60</v>
      </c>
      <c r="E741">
        <v>116</v>
      </c>
      <c r="F741">
        <v>5</v>
      </c>
      <c r="G741">
        <v>5</v>
      </c>
      <c r="H741">
        <v>1</v>
      </c>
      <c r="I741">
        <v>1</v>
      </c>
      <c r="J741">
        <v>0.85308977846871403</v>
      </c>
      <c r="K741">
        <v>0.851005270548013</v>
      </c>
      <c r="L741">
        <v>0.852046249587321</v>
      </c>
      <c r="M741">
        <v>0.47452229299363102</v>
      </c>
      <c r="N741">
        <v>0.99681528662420404</v>
      </c>
      <c r="O741">
        <v>0.67133757961783402</v>
      </c>
      <c r="P741" t="s">
        <v>1041</v>
      </c>
      <c r="Q741" t="s">
        <v>1042</v>
      </c>
      <c r="R741" t="s">
        <v>319</v>
      </c>
      <c r="S741" t="s">
        <v>320</v>
      </c>
      <c r="T741" t="s">
        <v>9405</v>
      </c>
      <c r="U741" t="s">
        <v>9406</v>
      </c>
      <c r="V741" t="s">
        <v>9407</v>
      </c>
      <c r="W741" t="s">
        <v>9408</v>
      </c>
      <c r="AD741" t="s">
        <v>439</v>
      </c>
      <c r="AE741" t="s">
        <v>9409</v>
      </c>
      <c r="AF741" t="s">
        <v>9411</v>
      </c>
    </row>
    <row r="742" spans="1:32" hidden="1" x14ac:dyDescent="0.35">
      <c r="A742">
        <v>4516</v>
      </c>
      <c r="B742" t="s">
        <v>9404</v>
      </c>
      <c r="C742" t="s">
        <v>72</v>
      </c>
      <c r="D742" t="s">
        <v>62</v>
      </c>
      <c r="E742">
        <v>188</v>
      </c>
      <c r="F742">
        <v>5</v>
      </c>
      <c r="G742">
        <v>5</v>
      </c>
      <c r="H742">
        <v>1</v>
      </c>
      <c r="I742">
        <v>1</v>
      </c>
      <c r="J742">
        <v>0.85308977846871403</v>
      </c>
      <c r="K742">
        <v>0.851005270548013</v>
      </c>
      <c r="L742">
        <v>0.852046249587321</v>
      </c>
      <c r="M742">
        <v>0.47452229299363102</v>
      </c>
      <c r="N742">
        <v>0.99681528662420404</v>
      </c>
      <c r="O742">
        <v>0.67133757961783402</v>
      </c>
      <c r="P742" t="s">
        <v>1041</v>
      </c>
      <c r="Q742" t="s">
        <v>1042</v>
      </c>
      <c r="R742" t="s">
        <v>319</v>
      </c>
      <c r="S742" t="s">
        <v>320</v>
      </c>
      <c r="T742" t="s">
        <v>9405</v>
      </c>
      <c r="U742" t="s">
        <v>9406</v>
      </c>
      <c r="V742" t="s">
        <v>9407</v>
      </c>
      <c r="W742" t="s">
        <v>9408</v>
      </c>
      <c r="AD742" t="s">
        <v>439</v>
      </c>
      <c r="AE742" t="s">
        <v>9409</v>
      </c>
      <c r="AF742" t="s">
        <v>9412</v>
      </c>
    </row>
    <row r="743" spans="1:32" hidden="1" x14ac:dyDescent="0.35">
      <c r="A743">
        <v>4517</v>
      </c>
      <c r="B743" t="s">
        <v>9404</v>
      </c>
      <c r="C743" t="s">
        <v>72</v>
      </c>
      <c r="D743" t="s">
        <v>34</v>
      </c>
      <c r="E743">
        <v>952</v>
      </c>
      <c r="F743">
        <v>5</v>
      </c>
      <c r="G743">
        <v>5</v>
      </c>
      <c r="H743">
        <v>1</v>
      </c>
      <c r="I743">
        <v>1</v>
      </c>
      <c r="J743">
        <v>0.85308977846871403</v>
      </c>
      <c r="K743">
        <v>0.851005270548013</v>
      </c>
      <c r="L743">
        <v>0.852046249587321</v>
      </c>
      <c r="M743">
        <v>0.47452229299363102</v>
      </c>
      <c r="N743">
        <v>0.99681528662420404</v>
      </c>
      <c r="O743">
        <v>0.67133757961783402</v>
      </c>
      <c r="P743" t="s">
        <v>1041</v>
      </c>
      <c r="Q743" t="s">
        <v>1042</v>
      </c>
      <c r="R743" t="s">
        <v>319</v>
      </c>
      <c r="S743" t="s">
        <v>320</v>
      </c>
      <c r="T743" t="s">
        <v>9405</v>
      </c>
      <c r="U743" t="s">
        <v>9406</v>
      </c>
      <c r="V743" t="s">
        <v>9407</v>
      </c>
      <c r="W743" t="s">
        <v>9408</v>
      </c>
      <c r="AD743" t="s">
        <v>439</v>
      </c>
      <c r="AE743" t="s">
        <v>9409</v>
      </c>
      <c r="AF743" t="s">
        <v>9413</v>
      </c>
    </row>
    <row r="744" spans="1:32" hidden="1" x14ac:dyDescent="0.35">
      <c r="A744">
        <v>4518</v>
      </c>
      <c r="B744" t="s">
        <v>9404</v>
      </c>
      <c r="C744" t="s">
        <v>72</v>
      </c>
      <c r="D744" t="s">
        <v>45</v>
      </c>
      <c r="E744">
        <v>2209</v>
      </c>
      <c r="F744">
        <v>5</v>
      </c>
      <c r="G744">
        <v>5</v>
      </c>
      <c r="H744">
        <v>1</v>
      </c>
      <c r="I744">
        <v>1</v>
      </c>
      <c r="J744">
        <v>0.85308977846871403</v>
      </c>
      <c r="K744">
        <v>0.851005270548013</v>
      </c>
      <c r="L744">
        <v>0.852046249587321</v>
      </c>
      <c r="M744">
        <v>0.47452229299363102</v>
      </c>
      <c r="N744">
        <v>0.99681528662420404</v>
      </c>
      <c r="O744">
        <v>0.67133757961783402</v>
      </c>
      <c r="P744" t="s">
        <v>1041</v>
      </c>
      <c r="Q744" t="s">
        <v>1042</v>
      </c>
      <c r="R744" t="s">
        <v>319</v>
      </c>
      <c r="S744" t="s">
        <v>320</v>
      </c>
      <c r="T744" t="s">
        <v>9405</v>
      </c>
      <c r="U744" t="s">
        <v>9406</v>
      </c>
      <c r="V744" t="s">
        <v>9407</v>
      </c>
      <c r="W744" t="s">
        <v>9408</v>
      </c>
      <c r="AD744" t="s">
        <v>439</v>
      </c>
      <c r="AE744" t="s">
        <v>9409</v>
      </c>
      <c r="AF744" t="e">
        <f>---------------------------------------------------------------------------------------------------------------------------MWTFISGCIKEGAQVFIDNEGLIKQLPSALSVHVYRLVWKQTLFLGHNLIIWVALMVIFPRPLGWDFLLAIPALMLLVANGVWVSMFFGIIATRYRDVAPLLEAGTQLLFYVTPIVWMTQTLKDQGGAISDRAKLAQLNPLYHYMEVVRAPLIGADLPVYHWWVVLGCTVAGLTIALLAMRQWRFRVSYWV</f>
        <v>#NAME?</v>
      </c>
    </row>
    <row r="745" spans="1:32" hidden="1" x14ac:dyDescent="0.35">
      <c r="A745">
        <v>4569</v>
      </c>
      <c r="B745" t="s">
        <v>9551</v>
      </c>
      <c r="C745" t="s">
        <v>72</v>
      </c>
      <c r="D745" t="s">
        <v>58</v>
      </c>
      <c r="E745">
        <v>1235</v>
      </c>
      <c r="F745">
        <v>5</v>
      </c>
      <c r="G745">
        <v>5</v>
      </c>
      <c r="H745">
        <v>1</v>
      </c>
      <c r="I745">
        <v>1</v>
      </c>
      <c r="J745">
        <v>0.80785531243839903</v>
      </c>
      <c r="K745">
        <v>0.991825028744172</v>
      </c>
      <c r="L745">
        <v>0.890437151693111</v>
      </c>
      <c r="M745">
        <v>0.64809384164222905</v>
      </c>
      <c r="N745">
        <v>0.99853372434017595</v>
      </c>
      <c r="O745">
        <v>0.75527859237536699</v>
      </c>
      <c r="P745" t="s">
        <v>9552</v>
      </c>
      <c r="Q745" t="s">
        <v>9553</v>
      </c>
      <c r="R745" t="s">
        <v>319</v>
      </c>
      <c r="S745" t="s">
        <v>320</v>
      </c>
      <c r="T745" t="s">
        <v>9554</v>
      </c>
      <c r="U745" t="s">
        <v>9555</v>
      </c>
      <c r="V745" t="s">
        <v>9556</v>
      </c>
      <c r="W745" t="s">
        <v>9557</v>
      </c>
      <c r="AD745" t="s">
        <v>219</v>
      </c>
      <c r="AE745" t="s">
        <v>9558</v>
      </c>
      <c r="AF745" t="s">
        <v>9559</v>
      </c>
    </row>
    <row r="746" spans="1:32" hidden="1" x14ac:dyDescent="0.35">
      <c r="A746">
        <v>4570</v>
      </c>
      <c r="B746" t="s">
        <v>9551</v>
      </c>
      <c r="C746" t="s">
        <v>72</v>
      </c>
      <c r="D746" t="s">
        <v>60</v>
      </c>
      <c r="E746">
        <v>1001</v>
      </c>
      <c r="F746">
        <v>5</v>
      </c>
      <c r="G746">
        <v>5</v>
      </c>
      <c r="H746">
        <v>1</v>
      </c>
      <c r="I746">
        <v>1</v>
      </c>
      <c r="J746">
        <v>0.80785531243839903</v>
      </c>
      <c r="K746">
        <v>0.991825028744172</v>
      </c>
      <c r="L746">
        <v>0.890437151693111</v>
      </c>
      <c r="M746">
        <v>0.64809384164222905</v>
      </c>
      <c r="N746">
        <v>0.99853372434017595</v>
      </c>
      <c r="O746">
        <v>0.75527859237536699</v>
      </c>
      <c r="P746" t="s">
        <v>9552</v>
      </c>
      <c r="Q746" t="s">
        <v>9553</v>
      </c>
      <c r="R746" t="s">
        <v>319</v>
      </c>
      <c r="S746" t="s">
        <v>320</v>
      </c>
      <c r="T746" t="s">
        <v>9554</v>
      </c>
      <c r="U746" t="s">
        <v>9555</v>
      </c>
      <c r="V746" t="s">
        <v>9556</v>
      </c>
      <c r="W746" t="s">
        <v>9557</v>
      </c>
      <c r="AD746" t="s">
        <v>219</v>
      </c>
      <c r="AE746" t="s">
        <v>9558</v>
      </c>
      <c r="AF746" t="s">
        <v>9560</v>
      </c>
    </row>
    <row r="747" spans="1:32" hidden="1" x14ac:dyDescent="0.35">
      <c r="A747">
        <v>4571</v>
      </c>
      <c r="B747" t="s">
        <v>9551</v>
      </c>
      <c r="C747" t="s">
        <v>72</v>
      </c>
      <c r="D747" t="s">
        <v>62</v>
      </c>
      <c r="E747">
        <v>1037</v>
      </c>
      <c r="F747">
        <v>5</v>
      </c>
      <c r="G747">
        <v>5</v>
      </c>
      <c r="H747">
        <v>1</v>
      </c>
      <c r="I747">
        <v>1</v>
      </c>
      <c r="J747">
        <v>0.80785531243839903</v>
      </c>
      <c r="K747">
        <v>0.991825028744172</v>
      </c>
      <c r="L747">
        <v>0.890437151693111</v>
      </c>
      <c r="M747">
        <v>0.64809384164222905</v>
      </c>
      <c r="N747">
        <v>0.99853372434017595</v>
      </c>
      <c r="O747">
        <v>0.75527859237536699</v>
      </c>
      <c r="P747" t="s">
        <v>9552</v>
      </c>
      <c r="Q747" t="s">
        <v>9553</v>
      </c>
      <c r="R747" t="s">
        <v>319</v>
      </c>
      <c r="S747" t="s">
        <v>320</v>
      </c>
      <c r="T747" t="s">
        <v>9554</v>
      </c>
      <c r="U747" t="s">
        <v>9555</v>
      </c>
      <c r="V747" t="s">
        <v>9556</v>
      </c>
      <c r="W747" t="s">
        <v>9557</v>
      </c>
      <c r="AD747" t="s">
        <v>219</v>
      </c>
      <c r="AE747" t="s">
        <v>9558</v>
      </c>
      <c r="AF747" t="s">
        <v>9561</v>
      </c>
    </row>
    <row r="748" spans="1:32" hidden="1" x14ac:dyDescent="0.35">
      <c r="A748">
        <v>4572</v>
      </c>
      <c r="B748" t="s">
        <v>9551</v>
      </c>
      <c r="C748" t="s">
        <v>72</v>
      </c>
      <c r="D748" t="s">
        <v>34</v>
      </c>
      <c r="E748">
        <v>124</v>
      </c>
      <c r="F748">
        <v>5</v>
      </c>
      <c r="G748">
        <v>5</v>
      </c>
      <c r="H748">
        <v>1</v>
      </c>
      <c r="I748">
        <v>1</v>
      </c>
      <c r="J748">
        <v>0.80785531243839903</v>
      </c>
      <c r="K748">
        <v>0.991825028744172</v>
      </c>
      <c r="L748">
        <v>0.890437151693111</v>
      </c>
      <c r="M748">
        <v>0.64809384164222905</v>
      </c>
      <c r="N748">
        <v>0.99853372434017595</v>
      </c>
      <c r="O748">
        <v>0.75527859237536699</v>
      </c>
      <c r="P748" t="s">
        <v>9552</v>
      </c>
      <c r="Q748" t="s">
        <v>9553</v>
      </c>
      <c r="R748" t="s">
        <v>319</v>
      </c>
      <c r="S748" t="s">
        <v>320</v>
      </c>
      <c r="T748" t="s">
        <v>9554</v>
      </c>
      <c r="U748" t="s">
        <v>9555</v>
      </c>
      <c r="V748" t="s">
        <v>9556</v>
      </c>
      <c r="W748" t="s">
        <v>9557</v>
      </c>
      <c r="AD748" t="s">
        <v>219</v>
      </c>
      <c r="AE748" t="s">
        <v>9558</v>
      </c>
      <c r="AF748" t="s">
        <v>9562</v>
      </c>
    </row>
    <row r="749" spans="1:32" hidden="1" x14ac:dyDescent="0.35">
      <c r="A749">
        <v>4573</v>
      </c>
      <c r="B749" t="s">
        <v>9551</v>
      </c>
      <c r="C749" t="s">
        <v>72</v>
      </c>
      <c r="D749" t="s">
        <v>45</v>
      </c>
      <c r="E749">
        <v>1386</v>
      </c>
      <c r="F749">
        <v>5</v>
      </c>
      <c r="G749">
        <v>5</v>
      </c>
      <c r="H749">
        <v>1</v>
      </c>
      <c r="I749">
        <v>1</v>
      </c>
      <c r="J749">
        <v>0.80785531243839903</v>
      </c>
      <c r="K749">
        <v>0.991825028744172</v>
      </c>
      <c r="L749">
        <v>0.890437151693111</v>
      </c>
      <c r="M749">
        <v>0.64809384164222905</v>
      </c>
      <c r="N749">
        <v>0.99853372434017595</v>
      </c>
      <c r="O749">
        <v>0.75527859237536699</v>
      </c>
      <c r="P749" t="s">
        <v>9552</v>
      </c>
      <c r="Q749" t="s">
        <v>9553</v>
      </c>
      <c r="R749" t="s">
        <v>319</v>
      </c>
      <c r="S749" t="s">
        <v>320</v>
      </c>
      <c r="T749" t="s">
        <v>9554</v>
      </c>
      <c r="U749" t="s">
        <v>9555</v>
      </c>
      <c r="V749" t="s">
        <v>9556</v>
      </c>
      <c r="W749" t="s">
        <v>9557</v>
      </c>
      <c r="AD749" t="s">
        <v>219</v>
      </c>
      <c r="AE749" t="s">
        <v>9558</v>
      </c>
      <c r="AF749" t="s">
        <v>9562</v>
      </c>
    </row>
    <row r="750" spans="1:32" hidden="1" x14ac:dyDescent="0.35">
      <c r="A750">
        <v>2364</v>
      </c>
      <c r="B750" t="s">
        <v>4914</v>
      </c>
      <c r="C750" t="s">
        <v>72</v>
      </c>
      <c r="D750" t="s">
        <v>58</v>
      </c>
      <c r="E750">
        <v>901</v>
      </c>
      <c r="F750">
        <v>5</v>
      </c>
      <c r="G750">
        <v>5</v>
      </c>
      <c r="H750">
        <v>1</v>
      </c>
      <c r="I750">
        <v>1</v>
      </c>
      <c r="J750">
        <v>0.90328849028400604</v>
      </c>
      <c r="K750">
        <v>0.96024100852799099</v>
      </c>
      <c r="L750">
        <v>0.93089446821742605</v>
      </c>
      <c r="M750">
        <v>0.72688172043010801</v>
      </c>
      <c r="N750">
        <v>1</v>
      </c>
      <c r="O750">
        <v>0.84129032258064496</v>
      </c>
      <c r="P750" t="s">
        <v>4915</v>
      </c>
      <c r="Q750" t="s">
        <v>4916</v>
      </c>
      <c r="R750" t="s">
        <v>4917</v>
      </c>
      <c r="S750" t="s">
        <v>4918</v>
      </c>
      <c r="V750" t="s">
        <v>4919</v>
      </c>
      <c r="W750" t="s">
        <v>4920</v>
      </c>
      <c r="AF750" t="s">
        <v>4921</v>
      </c>
    </row>
    <row r="751" spans="1:32" hidden="1" x14ac:dyDescent="0.35">
      <c r="A751">
        <v>2365</v>
      </c>
      <c r="B751" t="s">
        <v>4914</v>
      </c>
      <c r="C751" t="s">
        <v>72</v>
      </c>
      <c r="D751" t="s">
        <v>60</v>
      </c>
      <c r="E751">
        <v>1290</v>
      </c>
      <c r="F751">
        <v>5</v>
      </c>
      <c r="G751">
        <v>5</v>
      </c>
      <c r="H751">
        <v>1</v>
      </c>
      <c r="I751">
        <v>1</v>
      </c>
      <c r="J751">
        <v>0.90328849028400604</v>
      </c>
      <c r="K751">
        <v>0.96024100852799099</v>
      </c>
      <c r="L751">
        <v>0.93089446821742605</v>
      </c>
      <c r="M751">
        <v>0.72688172043010801</v>
      </c>
      <c r="N751">
        <v>1</v>
      </c>
      <c r="O751">
        <v>0.84129032258064496</v>
      </c>
      <c r="P751" t="s">
        <v>4358</v>
      </c>
      <c r="Q751" t="s">
        <v>4359</v>
      </c>
      <c r="R751" t="s">
        <v>4917</v>
      </c>
      <c r="S751" t="s">
        <v>4918</v>
      </c>
      <c r="V751" t="s">
        <v>4919</v>
      </c>
      <c r="W751" t="s">
        <v>4920</v>
      </c>
      <c r="AF751" t="s">
        <v>4922</v>
      </c>
    </row>
    <row r="752" spans="1:32" hidden="1" x14ac:dyDescent="0.35">
      <c r="A752">
        <v>2366</v>
      </c>
      <c r="B752" t="s">
        <v>4914</v>
      </c>
      <c r="C752" t="s">
        <v>72</v>
      </c>
      <c r="D752" t="s">
        <v>62</v>
      </c>
      <c r="E752">
        <v>1326</v>
      </c>
      <c r="F752">
        <v>5</v>
      </c>
      <c r="G752">
        <v>5</v>
      </c>
      <c r="H752">
        <v>1</v>
      </c>
      <c r="I752">
        <v>1</v>
      </c>
      <c r="J752">
        <v>0.90328849028400604</v>
      </c>
      <c r="K752">
        <v>0.96024100852799099</v>
      </c>
      <c r="L752">
        <v>0.93089446821742605</v>
      </c>
      <c r="M752">
        <v>0.72688172043010801</v>
      </c>
      <c r="N752">
        <v>1</v>
      </c>
      <c r="O752">
        <v>0.84129032258064496</v>
      </c>
      <c r="P752" t="s">
        <v>4358</v>
      </c>
      <c r="Q752" t="s">
        <v>4359</v>
      </c>
      <c r="R752" t="s">
        <v>4917</v>
      </c>
      <c r="S752" t="s">
        <v>4918</v>
      </c>
      <c r="V752" t="s">
        <v>4919</v>
      </c>
      <c r="W752" t="s">
        <v>4920</v>
      </c>
      <c r="AF752" t="s">
        <v>4922</v>
      </c>
    </row>
    <row r="753" spans="1:32" hidden="1" x14ac:dyDescent="0.35">
      <c r="A753">
        <v>2367</v>
      </c>
      <c r="B753" t="s">
        <v>4914</v>
      </c>
      <c r="C753" t="s">
        <v>72</v>
      </c>
      <c r="D753" t="s">
        <v>34</v>
      </c>
      <c r="E753">
        <v>1689</v>
      </c>
      <c r="F753">
        <v>5</v>
      </c>
      <c r="G753">
        <v>5</v>
      </c>
      <c r="H753">
        <v>1</v>
      </c>
      <c r="I753">
        <v>1</v>
      </c>
      <c r="J753">
        <v>0.90328849028400604</v>
      </c>
      <c r="K753">
        <v>0.96024100852799099</v>
      </c>
      <c r="L753">
        <v>0.93089446821742605</v>
      </c>
      <c r="M753">
        <v>0.72688172043010801</v>
      </c>
      <c r="N753">
        <v>1</v>
      </c>
      <c r="O753">
        <v>0.84129032258064496</v>
      </c>
      <c r="P753" t="s">
        <v>4915</v>
      </c>
      <c r="Q753" t="s">
        <v>4916</v>
      </c>
      <c r="R753" t="s">
        <v>4917</v>
      </c>
      <c r="S753" t="s">
        <v>4918</v>
      </c>
      <c r="V753" t="s">
        <v>4919</v>
      </c>
      <c r="W753" t="s">
        <v>4920</v>
      </c>
      <c r="AF753" t="s">
        <v>4923</v>
      </c>
    </row>
    <row r="754" spans="1:32" hidden="1" x14ac:dyDescent="0.35">
      <c r="A754">
        <v>2368</v>
      </c>
      <c r="B754" t="s">
        <v>4914</v>
      </c>
      <c r="C754" t="s">
        <v>72</v>
      </c>
      <c r="D754" t="s">
        <v>45</v>
      </c>
      <c r="E754">
        <v>1187</v>
      </c>
      <c r="F754">
        <v>5</v>
      </c>
      <c r="G754">
        <v>5</v>
      </c>
      <c r="H754">
        <v>1</v>
      </c>
      <c r="I754">
        <v>1</v>
      </c>
      <c r="J754">
        <v>0.90328849028400604</v>
      </c>
      <c r="K754">
        <v>0.96024100852799099</v>
      </c>
      <c r="L754">
        <v>0.93089446821742605</v>
      </c>
      <c r="M754">
        <v>0.72688172043010801</v>
      </c>
      <c r="N754">
        <v>1</v>
      </c>
      <c r="O754">
        <v>0.84129032258064496</v>
      </c>
      <c r="P754" t="s">
        <v>4915</v>
      </c>
      <c r="Q754" t="s">
        <v>4916</v>
      </c>
      <c r="R754" t="s">
        <v>4917</v>
      </c>
      <c r="S754" t="s">
        <v>4918</v>
      </c>
      <c r="V754" t="s">
        <v>4919</v>
      </c>
      <c r="W754" t="s">
        <v>4920</v>
      </c>
      <c r="AF754" t="s">
        <v>4923</v>
      </c>
    </row>
    <row r="755" spans="1:32" hidden="1" x14ac:dyDescent="0.35">
      <c r="A755">
        <v>4124</v>
      </c>
      <c r="B755" t="s">
        <v>8527</v>
      </c>
      <c r="C755" t="s">
        <v>72</v>
      </c>
      <c r="D755" t="s">
        <v>58</v>
      </c>
      <c r="E755">
        <v>824</v>
      </c>
      <c r="F755">
        <v>5</v>
      </c>
      <c r="G755">
        <v>5</v>
      </c>
      <c r="H755">
        <v>1</v>
      </c>
      <c r="I755">
        <v>1</v>
      </c>
      <c r="J755">
        <v>0.80498067420128205</v>
      </c>
      <c r="K755">
        <v>0.93229858579534097</v>
      </c>
      <c r="L755">
        <v>0.863974332085095</v>
      </c>
      <c r="M755">
        <v>0.62755798090040904</v>
      </c>
      <c r="N755">
        <v>0.98772169167803503</v>
      </c>
      <c r="O755">
        <v>0.71978171896316501</v>
      </c>
      <c r="P755" t="s">
        <v>8528</v>
      </c>
      <c r="Q755" t="s">
        <v>8529</v>
      </c>
      <c r="R755" t="s">
        <v>8530</v>
      </c>
      <c r="S755" t="s">
        <v>8531</v>
      </c>
      <c r="T755" t="s">
        <v>8532</v>
      </c>
      <c r="U755" t="s">
        <v>8533</v>
      </c>
      <c r="V755" t="s">
        <v>8534</v>
      </c>
      <c r="W755" t="s">
        <v>8535</v>
      </c>
      <c r="AD755" t="s">
        <v>439</v>
      </c>
      <c r="AE755" t="s">
        <v>8536</v>
      </c>
      <c r="AF755" t="s">
        <v>8537</v>
      </c>
    </row>
    <row r="756" spans="1:32" hidden="1" x14ac:dyDescent="0.35">
      <c r="A756">
        <v>4125</v>
      </c>
      <c r="B756" t="s">
        <v>8527</v>
      </c>
      <c r="C756" t="s">
        <v>72</v>
      </c>
      <c r="D756" t="s">
        <v>60</v>
      </c>
      <c r="E756">
        <v>1141</v>
      </c>
      <c r="F756">
        <v>5</v>
      </c>
      <c r="G756">
        <v>5</v>
      </c>
      <c r="H756">
        <v>1</v>
      </c>
      <c r="I756">
        <v>1</v>
      </c>
      <c r="J756">
        <v>0.80498067420128205</v>
      </c>
      <c r="K756">
        <v>0.93229858579534097</v>
      </c>
      <c r="L756">
        <v>0.863974332085095</v>
      </c>
      <c r="M756">
        <v>0.62755798090040904</v>
      </c>
      <c r="N756">
        <v>0.98772169167803503</v>
      </c>
      <c r="O756">
        <v>0.71978171896316501</v>
      </c>
      <c r="P756" t="s">
        <v>8528</v>
      </c>
      <c r="Q756" t="s">
        <v>8529</v>
      </c>
      <c r="R756" t="s">
        <v>8530</v>
      </c>
      <c r="S756" t="s">
        <v>8531</v>
      </c>
      <c r="T756" t="s">
        <v>8532</v>
      </c>
      <c r="U756" t="s">
        <v>8533</v>
      </c>
      <c r="V756" t="s">
        <v>8534</v>
      </c>
      <c r="W756" t="s">
        <v>8535</v>
      </c>
      <c r="AD756" t="s">
        <v>439</v>
      </c>
      <c r="AE756" t="s">
        <v>8536</v>
      </c>
      <c r="AF756" t="s">
        <v>8538</v>
      </c>
    </row>
    <row r="757" spans="1:32" hidden="1" x14ac:dyDescent="0.35">
      <c r="A757">
        <v>4126</v>
      </c>
      <c r="B757" t="s">
        <v>8527</v>
      </c>
      <c r="C757" t="s">
        <v>72</v>
      </c>
      <c r="D757" t="s">
        <v>62</v>
      </c>
      <c r="E757">
        <v>1178</v>
      </c>
      <c r="F757">
        <v>5</v>
      </c>
      <c r="G757">
        <v>5</v>
      </c>
      <c r="H757">
        <v>1</v>
      </c>
      <c r="I757">
        <v>1</v>
      </c>
      <c r="J757">
        <v>0.80498067420128205</v>
      </c>
      <c r="K757">
        <v>0.93229858579534097</v>
      </c>
      <c r="L757">
        <v>0.863974332085095</v>
      </c>
      <c r="M757">
        <v>0.62755798090040904</v>
      </c>
      <c r="N757">
        <v>0.98772169167803503</v>
      </c>
      <c r="O757">
        <v>0.71978171896316501</v>
      </c>
      <c r="P757" t="s">
        <v>8528</v>
      </c>
      <c r="Q757" t="s">
        <v>8529</v>
      </c>
      <c r="R757" t="s">
        <v>8530</v>
      </c>
      <c r="S757" t="s">
        <v>8531</v>
      </c>
      <c r="T757" t="s">
        <v>8532</v>
      </c>
      <c r="U757" t="s">
        <v>8533</v>
      </c>
      <c r="V757" t="s">
        <v>8534</v>
      </c>
      <c r="W757" t="s">
        <v>8535</v>
      </c>
      <c r="AD757" t="s">
        <v>439</v>
      </c>
      <c r="AE757" t="s">
        <v>8536</v>
      </c>
      <c r="AF757" t="s">
        <v>8539</v>
      </c>
    </row>
    <row r="758" spans="1:32" hidden="1" x14ac:dyDescent="0.35">
      <c r="A758">
        <v>4127</v>
      </c>
      <c r="B758" t="s">
        <v>8527</v>
      </c>
      <c r="C758" t="s">
        <v>72</v>
      </c>
      <c r="D758" t="s">
        <v>34</v>
      </c>
      <c r="E758">
        <v>5</v>
      </c>
      <c r="F758">
        <v>5</v>
      </c>
      <c r="G758">
        <v>5</v>
      </c>
      <c r="H758">
        <v>1</v>
      </c>
      <c r="I758">
        <v>1</v>
      </c>
      <c r="J758">
        <v>0.80498067420128205</v>
      </c>
      <c r="K758">
        <v>0.93229858579534097</v>
      </c>
      <c r="L758">
        <v>0.863974332085095</v>
      </c>
      <c r="M758">
        <v>0.62755798090040904</v>
      </c>
      <c r="N758">
        <v>0.98772169167803503</v>
      </c>
      <c r="O758">
        <v>0.71978171896316501</v>
      </c>
      <c r="P758" t="s">
        <v>8528</v>
      </c>
      <c r="Q758" t="s">
        <v>8529</v>
      </c>
      <c r="R758" t="s">
        <v>8530</v>
      </c>
      <c r="S758" t="s">
        <v>8531</v>
      </c>
      <c r="T758" t="s">
        <v>8532</v>
      </c>
      <c r="U758" t="s">
        <v>8533</v>
      </c>
      <c r="V758" t="s">
        <v>8534</v>
      </c>
      <c r="W758" t="s">
        <v>8535</v>
      </c>
      <c r="AD758" t="s">
        <v>439</v>
      </c>
      <c r="AE758" t="s">
        <v>8536</v>
      </c>
      <c r="AF758" t="s">
        <v>8540</v>
      </c>
    </row>
    <row r="759" spans="1:32" hidden="1" x14ac:dyDescent="0.35">
      <c r="A759">
        <v>4128</v>
      </c>
      <c r="B759" t="s">
        <v>8527</v>
      </c>
      <c r="C759" t="s">
        <v>72</v>
      </c>
      <c r="D759" t="s">
        <v>45</v>
      </c>
      <c r="E759">
        <v>1262</v>
      </c>
      <c r="F759">
        <v>5</v>
      </c>
      <c r="G759">
        <v>5</v>
      </c>
      <c r="H759">
        <v>1</v>
      </c>
      <c r="I759">
        <v>1</v>
      </c>
      <c r="J759">
        <v>0.80498067420128205</v>
      </c>
      <c r="K759">
        <v>0.93229858579534097</v>
      </c>
      <c r="L759">
        <v>0.863974332085095</v>
      </c>
      <c r="M759">
        <v>0.62755798090040904</v>
      </c>
      <c r="N759">
        <v>0.98772169167803503</v>
      </c>
      <c r="O759">
        <v>0.71978171896316501</v>
      </c>
      <c r="P759" t="s">
        <v>8528</v>
      </c>
      <c r="Q759" t="s">
        <v>8529</v>
      </c>
      <c r="R759" t="s">
        <v>8530</v>
      </c>
      <c r="S759" t="s">
        <v>8531</v>
      </c>
      <c r="T759" t="s">
        <v>8532</v>
      </c>
      <c r="U759" t="s">
        <v>8533</v>
      </c>
      <c r="V759" t="s">
        <v>8534</v>
      </c>
      <c r="W759" t="s">
        <v>8535</v>
      </c>
      <c r="AD759" t="s">
        <v>439</v>
      </c>
      <c r="AE759" t="s">
        <v>8536</v>
      </c>
      <c r="AF759" t="s">
        <v>8541</v>
      </c>
    </row>
    <row r="760" spans="1:32" hidden="1" x14ac:dyDescent="0.35">
      <c r="A760">
        <v>1159</v>
      </c>
      <c r="B760" t="s">
        <v>2414</v>
      </c>
      <c r="C760" t="s">
        <v>72</v>
      </c>
      <c r="D760" t="s">
        <v>58</v>
      </c>
      <c r="E760">
        <v>997</v>
      </c>
      <c r="F760">
        <v>5</v>
      </c>
      <c r="G760">
        <v>5</v>
      </c>
      <c r="H760">
        <v>1</v>
      </c>
      <c r="I760">
        <v>1</v>
      </c>
      <c r="J760">
        <v>0.76792087284592603</v>
      </c>
      <c r="K760">
        <v>0.95415579765740699</v>
      </c>
      <c r="L760">
        <v>0.85096809627403702</v>
      </c>
      <c r="M760">
        <v>0.54518950437317804</v>
      </c>
      <c r="N760">
        <v>1</v>
      </c>
      <c r="O760">
        <v>0.68104956268221595</v>
      </c>
      <c r="P760" t="s">
        <v>2415</v>
      </c>
      <c r="Q760" t="s">
        <v>2416</v>
      </c>
      <c r="R760" t="s">
        <v>2417</v>
      </c>
      <c r="S760" t="s">
        <v>2418</v>
      </c>
      <c r="V760" t="s">
        <v>2419</v>
      </c>
      <c r="W760" t="s">
        <v>2420</v>
      </c>
      <c r="AF760" t="s">
        <v>2421</v>
      </c>
    </row>
    <row r="761" spans="1:32" hidden="1" x14ac:dyDescent="0.35">
      <c r="A761">
        <v>1160</v>
      </c>
      <c r="B761" t="s">
        <v>2414</v>
      </c>
      <c r="C761" t="s">
        <v>72</v>
      </c>
      <c r="D761" t="s">
        <v>60</v>
      </c>
      <c r="E761">
        <v>1214</v>
      </c>
      <c r="F761">
        <v>5</v>
      </c>
      <c r="G761">
        <v>5</v>
      </c>
      <c r="H761">
        <v>1</v>
      </c>
      <c r="I761">
        <v>1</v>
      </c>
      <c r="J761">
        <v>0.76792087284592603</v>
      </c>
      <c r="K761">
        <v>0.95415579765740699</v>
      </c>
      <c r="L761">
        <v>0.85096809627403702</v>
      </c>
      <c r="M761">
        <v>0.54518950437317804</v>
      </c>
      <c r="N761">
        <v>1</v>
      </c>
      <c r="O761">
        <v>0.68104956268221595</v>
      </c>
      <c r="P761" t="s">
        <v>2415</v>
      </c>
      <c r="Q761" t="s">
        <v>2416</v>
      </c>
      <c r="R761" t="s">
        <v>2417</v>
      </c>
      <c r="S761" t="s">
        <v>2418</v>
      </c>
      <c r="V761" t="s">
        <v>2419</v>
      </c>
      <c r="W761" t="s">
        <v>2420</v>
      </c>
      <c r="AF761" t="s">
        <v>2422</v>
      </c>
    </row>
    <row r="762" spans="1:32" hidden="1" x14ac:dyDescent="0.35">
      <c r="A762">
        <v>1161</v>
      </c>
      <c r="B762" t="s">
        <v>2414</v>
      </c>
      <c r="C762" t="s">
        <v>72</v>
      </c>
      <c r="D762" t="s">
        <v>62</v>
      </c>
      <c r="E762">
        <v>1251</v>
      </c>
      <c r="F762">
        <v>5</v>
      </c>
      <c r="G762">
        <v>5</v>
      </c>
      <c r="H762">
        <v>1</v>
      </c>
      <c r="I762">
        <v>1</v>
      </c>
      <c r="J762">
        <v>0.76792087284592603</v>
      </c>
      <c r="K762">
        <v>0.95415579765740699</v>
      </c>
      <c r="L762">
        <v>0.85096809627403702</v>
      </c>
      <c r="M762">
        <v>0.54518950437317804</v>
      </c>
      <c r="N762">
        <v>1</v>
      </c>
      <c r="O762">
        <v>0.68104956268221595</v>
      </c>
      <c r="P762" t="s">
        <v>2415</v>
      </c>
      <c r="Q762" t="s">
        <v>2416</v>
      </c>
      <c r="R762" t="s">
        <v>2417</v>
      </c>
      <c r="S762" t="s">
        <v>2418</v>
      </c>
      <c r="V762" t="s">
        <v>2419</v>
      </c>
      <c r="W762" t="s">
        <v>2420</v>
      </c>
      <c r="AF762" t="s">
        <v>2422</v>
      </c>
    </row>
    <row r="763" spans="1:32" hidden="1" x14ac:dyDescent="0.35">
      <c r="A763">
        <v>1162</v>
      </c>
      <c r="B763" t="s">
        <v>2414</v>
      </c>
      <c r="C763" t="s">
        <v>72</v>
      </c>
      <c r="D763" t="s">
        <v>34</v>
      </c>
      <c r="E763">
        <v>1789</v>
      </c>
      <c r="F763">
        <v>5</v>
      </c>
      <c r="G763">
        <v>5</v>
      </c>
      <c r="H763">
        <v>1</v>
      </c>
      <c r="I763">
        <v>1</v>
      </c>
      <c r="J763">
        <v>0.76792087284592603</v>
      </c>
      <c r="K763">
        <v>0.95415579765740699</v>
      </c>
      <c r="L763">
        <v>0.85096809627403702</v>
      </c>
      <c r="M763">
        <v>0.54518950437317804</v>
      </c>
      <c r="N763">
        <v>1</v>
      </c>
      <c r="O763">
        <v>0.68104956268221595</v>
      </c>
      <c r="P763" t="s">
        <v>2415</v>
      </c>
      <c r="Q763" t="s">
        <v>2416</v>
      </c>
      <c r="R763" t="s">
        <v>2417</v>
      </c>
      <c r="S763" t="s">
        <v>2418</v>
      </c>
      <c r="V763" t="s">
        <v>2419</v>
      </c>
      <c r="W763" t="s">
        <v>2420</v>
      </c>
      <c r="AF763" t="s">
        <v>2423</v>
      </c>
    </row>
    <row r="764" spans="1:32" hidden="1" x14ac:dyDescent="0.35">
      <c r="A764">
        <v>1163</v>
      </c>
      <c r="B764" t="s">
        <v>2414</v>
      </c>
      <c r="C764" t="s">
        <v>72</v>
      </c>
      <c r="D764" t="s">
        <v>45</v>
      </c>
      <c r="E764">
        <v>1084</v>
      </c>
      <c r="F764">
        <v>5</v>
      </c>
      <c r="G764">
        <v>5</v>
      </c>
      <c r="H764">
        <v>1</v>
      </c>
      <c r="I764">
        <v>1</v>
      </c>
      <c r="J764">
        <v>0.76792087284592603</v>
      </c>
      <c r="K764">
        <v>0.95415579765740699</v>
      </c>
      <c r="L764">
        <v>0.85096809627403702</v>
      </c>
      <c r="M764">
        <v>0.54518950437317804</v>
      </c>
      <c r="N764">
        <v>1</v>
      </c>
      <c r="O764">
        <v>0.68104956268221595</v>
      </c>
      <c r="P764" t="s">
        <v>2415</v>
      </c>
      <c r="Q764" t="s">
        <v>2416</v>
      </c>
      <c r="R764" t="s">
        <v>2417</v>
      </c>
      <c r="S764" t="s">
        <v>2418</v>
      </c>
      <c r="V764" t="s">
        <v>2419</v>
      </c>
      <c r="W764" t="s">
        <v>2420</v>
      </c>
      <c r="AF764" t="s">
        <v>2423</v>
      </c>
    </row>
    <row r="765" spans="1:32" hidden="1" x14ac:dyDescent="0.35">
      <c r="A765">
        <v>5492</v>
      </c>
      <c r="B765" t="s">
        <v>11355</v>
      </c>
      <c r="C765" t="s">
        <v>57</v>
      </c>
      <c r="D765" t="s">
        <v>58</v>
      </c>
      <c r="E765">
        <v>949</v>
      </c>
      <c r="F765">
        <v>4</v>
      </c>
      <c r="G765">
        <v>4</v>
      </c>
      <c r="H765">
        <v>1</v>
      </c>
      <c r="I765">
        <v>0</v>
      </c>
      <c r="J765">
        <v>0.73199757134183396</v>
      </c>
      <c r="K765">
        <v>0.80495014475844695</v>
      </c>
      <c r="L765">
        <v>0.76674247906035597</v>
      </c>
      <c r="M765">
        <v>0.30377668308702799</v>
      </c>
      <c r="N765">
        <v>0.99178981937602595</v>
      </c>
      <c r="O765">
        <v>0.495621237000547</v>
      </c>
      <c r="P765" t="s">
        <v>169</v>
      </c>
      <c r="Q765" t="s">
        <v>170</v>
      </c>
      <c r="R765" t="s">
        <v>138</v>
      </c>
      <c r="S765" t="s">
        <v>139</v>
      </c>
      <c r="V765" t="s">
        <v>11356</v>
      </c>
      <c r="W765" t="s">
        <v>11357</v>
      </c>
      <c r="AF765" t="s">
        <v>11358</v>
      </c>
    </row>
    <row r="766" spans="1:32" hidden="1" x14ac:dyDescent="0.35">
      <c r="A766">
        <v>434</v>
      </c>
      <c r="B766" t="s">
        <v>784</v>
      </c>
      <c r="C766" t="s">
        <v>72</v>
      </c>
      <c r="D766" t="s">
        <v>58</v>
      </c>
      <c r="E766">
        <v>1318</v>
      </c>
      <c r="F766">
        <v>5</v>
      </c>
      <c r="G766">
        <v>5</v>
      </c>
      <c r="H766">
        <v>1</v>
      </c>
      <c r="I766">
        <v>1</v>
      </c>
      <c r="J766">
        <v>0.72614462986735095</v>
      </c>
      <c r="K766">
        <v>0.96524431282810597</v>
      </c>
      <c r="L766">
        <v>0.82879455644677502</v>
      </c>
      <c r="M766">
        <v>0.523219814241486</v>
      </c>
      <c r="N766">
        <v>1</v>
      </c>
      <c r="O766">
        <v>0.64334365325077403</v>
      </c>
      <c r="P766" t="s">
        <v>785</v>
      </c>
      <c r="Q766" t="s">
        <v>786</v>
      </c>
      <c r="R766" t="s">
        <v>787</v>
      </c>
      <c r="S766" t="s">
        <v>788</v>
      </c>
      <c r="T766" t="s">
        <v>789</v>
      </c>
      <c r="U766" t="s">
        <v>790</v>
      </c>
      <c r="V766" t="s">
        <v>791</v>
      </c>
      <c r="W766" t="s">
        <v>792</v>
      </c>
      <c r="Z766" t="s">
        <v>793</v>
      </c>
      <c r="AA766" t="s">
        <v>794</v>
      </c>
      <c r="AB766" t="s">
        <v>793</v>
      </c>
      <c r="AC766" t="s">
        <v>795</v>
      </c>
      <c r="AD766" t="s">
        <v>796</v>
      </c>
      <c r="AE766" t="s">
        <v>797</v>
      </c>
      <c r="AF766" t="s">
        <v>798</v>
      </c>
    </row>
    <row r="767" spans="1:32" hidden="1" x14ac:dyDescent="0.35">
      <c r="A767">
        <v>435</v>
      </c>
      <c r="B767" t="s">
        <v>784</v>
      </c>
      <c r="C767" t="s">
        <v>72</v>
      </c>
      <c r="D767" t="s">
        <v>60</v>
      </c>
      <c r="E767">
        <v>1773</v>
      </c>
      <c r="F767">
        <v>5</v>
      </c>
      <c r="G767">
        <v>5</v>
      </c>
      <c r="H767">
        <v>1</v>
      </c>
      <c r="I767">
        <v>1</v>
      </c>
      <c r="J767">
        <v>0.72614462986735095</v>
      </c>
      <c r="K767">
        <v>0.96524431282810597</v>
      </c>
      <c r="L767">
        <v>0.82879455644677502</v>
      </c>
      <c r="M767">
        <v>0.523219814241486</v>
      </c>
      <c r="N767">
        <v>1</v>
      </c>
      <c r="O767">
        <v>0.64334365325077403</v>
      </c>
      <c r="P767" t="s">
        <v>785</v>
      </c>
      <c r="Q767" t="s">
        <v>786</v>
      </c>
      <c r="R767" t="s">
        <v>787</v>
      </c>
      <c r="S767" t="s">
        <v>788</v>
      </c>
      <c r="T767" t="s">
        <v>789</v>
      </c>
      <c r="U767" t="s">
        <v>790</v>
      </c>
      <c r="V767" t="s">
        <v>791</v>
      </c>
      <c r="W767" t="s">
        <v>792</v>
      </c>
      <c r="Z767" t="s">
        <v>793</v>
      </c>
      <c r="AA767" t="s">
        <v>794</v>
      </c>
      <c r="AB767" t="s">
        <v>793</v>
      </c>
      <c r="AC767" t="s">
        <v>795</v>
      </c>
      <c r="AD767" t="s">
        <v>796</v>
      </c>
      <c r="AE767" t="s">
        <v>797</v>
      </c>
      <c r="AF767" t="s">
        <v>799</v>
      </c>
    </row>
    <row r="768" spans="1:32" hidden="1" x14ac:dyDescent="0.35">
      <c r="A768">
        <v>436</v>
      </c>
      <c r="B768" t="s">
        <v>784</v>
      </c>
      <c r="C768" t="s">
        <v>72</v>
      </c>
      <c r="D768" t="s">
        <v>62</v>
      </c>
      <c r="E768">
        <v>1809</v>
      </c>
      <c r="F768">
        <v>5</v>
      </c>
      <c r="G768">
        <v>5</v>
      </c>
      <c r="H768">
        <v>1</v>
      </c>
      <c r="I768">
        <v>1</v>
      </c>
      <c r="J768">
        <v>0.72614462986735095</v>
      </c>
      <c r="K768">
        <v>0.96524431282810597</v>
      </c>
      <c r="L768">
        <v>0.82879455644677502</v>
      </c>
      <c r="M768">
        <v>0.523219814241486</v>
      </c>
      <c r="N768">
        <v>1</v>
      </c>
      <c r="O768">
        <v>0.64334365325077403</v>
      </c>
      <c r="P768" t="s">
        <v>785</v>
      </c>
      <c r="Q768" t="s">
        <v>786</v>
      </c>
      <c r="R768" t="s">
        <v>787</v>
      </c>
      <c r="S768" t="s">
        <v>788</v>
      </c>
      <c r="T768" t="s">
        <v>789</v>
      </c>
      <c r="U768" t="s">
        <v>790</v>
      </c>
      <c r="V768" t="s">
        <v>791</v>
      </c>
      <c r="W768" t="s">
        <v>792</v>
      </c>
      <c r="Z768" t="s">
        <v>793</v>
      </c>
      <c r="AA768" t="s">
        <v>794</v>
      </c>
      <c r="AB768" t="s">
        <v>793</v>
      </c>
      <c r="AC768" t="s">
        <v>795</v>
      </c>
      <c r="AD768" t="s">
        <v>796</v>
      </c>
      <c r="AE768" t="s">
        <v>797</v>
      </c>
      <c r="AF768" t="s">
        <v>799</v>
      </c>
    </row>
    <row r="769" spans="1:32" hidden="1" x14ac:dyDescent="0.35">
      <c r="A769">
        <v>437</v>
      </c>
      <c r="B769" t="s">
        <v>784</v>
      </c>
      <c r="C769" t="s">
        <v>72</v>
      </c>
      <c r="D769" t="s">
        <v>34</v>
      </c>
      <c r="E769">
        <v>2143</v>
      </c>
      <c r="F769">
        <v>5</v>
      </c>
      <c r="G769">
        <v>5</v>
      </c>
      <c r="H769">
        <v>1</v>
      </c>
      <c r="I769">
        <v>1</v>
      </c>
      <c r="J769">
        <v>0.72614462986735095</v>
      </c>
      <c r="K769">
        <v>0.96524431282810597</v>
      </c>
      <c r="L769">
        <v>0.82879455644677502</v>
      </c>
      <c r="M769">
        <v>0.523219814241486</v>
      </c>
      <c r="N769">
        <v>1</v>
      </c>
      <c r="O769">
        <v>0.64334365325077403</v>
      </c>
      <c r="P769" t="s">
        <v>785</v>
      </c>
      <c r="Q769" t="s">
        <v>786</v>
      </c>
      <c r="R769" t="s">
        <v>787</v>
      </c>
      <c r="S769" t="s">
        <v>788</v>
      </c>
      <c r="T769" t="s">
        <v>789</v>
      </c>
      <c r="U769" t="s">
        <v>790</v>
      </c>
      <c r="V769" t="s">
        <v>791</v>
      </c>
      <c r="W769" t="s">
        <v>792</v>
      </c>
      <c r="Z769" t="s">
        <v>793</v>
      </c>
      <c r="AA769" t="s">
        <v>794</v>
      </c>
      <c r="AB769" t="s">
        <v>793</v>
      </c>
      <c r="AC769" t="s">
        <v>795</v>
      </c>
      <c r="AD769" t="s">
        <v>796</v>
      </c>
      <c r="AE769" t="s">
        <v>797</v>
      </c>
      <c r="AF769" t="e">
        <f>---MSTPVTIGFDIGGTNMRAGAITEAGNIIDSTATEAPHDADELQEGIVRIVNKFRADHCIGAVGLAIAGFLDPDCEIVRFAPHLPWRDRHARAELQAALGVPVRLEHDANAAAWGEYKFGGAQGHDNWVLFALGTGIGATLMQDGNIYRGAFGTAPEFGHIQVVPHGRPCACGKRGCLERYCSGTALEQTARELLAD--NPITTSILSDHPELTGKTVMDAARQSDPIATAAVTSIAEWLGLALSMVVDILDPGMILIGGGMSADHDVYLPQATEIMAANIVGSGYRPVPTVSTAKLGGNAGMIGVADLARQLFIDKNQQK</f>
        <v>#NAME?</v>
      </c>
    </row>
    <row r="770" spans="1:32" hidden="1" x14ac:dyDescent="0.35">
      <c r="A770">
        <v>438</v>
      </c>
      <c r="B770" t="s">
        <v>784</v>
      </c>
      <c r="C770" t="s">
        <v>72</v>
      </c>
      <c r="D770" t="s">
        <v>45</v>
      </c>
      <c r="E770">
        <v>730</v>
      </c>
      <c r="F770">
        <v>5</v>
      </c>
      <c r="G770">
        <v>5</v>
      </c>
      <c r="H770">
        <v>1</v>
      </c>
      <c r="I770">
        <v>1</v>
      </c>
      <c r="J770">
        <v>0.72614462986735095</v>
      </c>
      <c r="K770">
        <v>0.96524431282810597</v>
      </c>
      <c r="L770">
        <v>0.82879455644677502</v>
      </c>
      <c r="M770">
        <v>0.523219814241486</v>
      </c>
      <c r="N770">
        <v>1</v>
      </c>
      <c r="O770">
        <v>0.64334365325077403</v>
      </c>
      <c r="P770" t="s">
        <v>785</v>
      </c>
      <c r="Q770" t="s">
        <v>786</v>
      </c>
      <c r="R770" t="s">
        <v>787</v>
      </c>
      <c r="S770" t="s">
        <v>788</v>
      </c>
      <c r="T770" t="s">
        <v>789</v>
      </c>
      <c r="U770" t="s">
        <v>790</v>
      </c>
      <c r="V770" t="s">
        <v>791</v>
      </c>
      <c r="W770" t="s">
        <v>792</v>
      </c>
      <c r="Z770" t="s">
        <v>793</v>
      </c>
      <c r="AA770" t="s">
        <v>794</v>
      </c>
      <c r="AB770" t="s">
        <v>793</v>
      </c>
      <c r="AC770" t="s">
        <v>795</v>
      </c>
      <c r="AD770" t="s">
        <v>796</v>
      </c>
      <c r="AE770" t="s">
        <v>797</v>
      </c>
      <c r="AF770" t="e">
        <f>---MSTPVTIGFDIGGTNMRAGAITEAGNIIDSTATEAPHDADELQEGIVRIVNKFRADHCIGAVGLAIAGFLDPDCEIVRFAPHLPWRDRHARAELQAALGVPVRLEHDANAAAWGEYKFGGAQGHDNWVLFALGTGIGATLMQDGNIYRGAFGTAPEFGHIQVVPHGRPCACGKRGCLERYCSGTALEQTARELLAD--NPITTSILSDHPELTGKTVMDAARQSDPIATAAVTSIAEWLGLALSMVVDILDPGMILIGGGMSADHDVYLPQATEIMAANIVGSGYRPVPTVSTAKLGGNAGMIGVADLARQLFIDKNQQK</f>
        <v>#NAME?</v>
      </c>
    </row>
    <row r="771" spans="1:32" hidden="1" x14ac:dyDescent="0.35">
      <c r="A771">
        <v>1879</v>
      </c>
      <c r="B771" t="s">
        <v>3890</v>
      </c>
      <c r="C771" t="s">
        <v>72</v>
      </c>
      <c r="D771" t="s">
        <v>58</v>
      </c>
      <c r="E771">
        <v>1074</v>
      </c>
      <c r="F771">
        <v>5</v>
      </c>
      <c r="G771">
        <v>5</v>
      </c>
      <c r="H771">
        <v>1</v>
      </c>
      <c r="I771">
        <v>1</v>
      </c>
      <c r="J771">
        <v>0.79484142650348699</v>
      </c>
      <c r="K771">
        <v>0.93416404384632301</v>
      </c>
      <c r="L771">
        <v>0.85888945284696305</v>
      </c>
      <c r="M771">
        <v>0.57352941176470595</v>
      </c>
      <c r="N771">
        <v>1</v>
      </c>
      <c r="O771">
        <v>0.69595588235294104</v>
      </c>
      <c r="P771" t="s">
        <v>785</v>
      </c>
      <c r="Q771" t="s">
        <v>786</v>
      </c>
      <c r="R771" t="s">
        <v>787</v>
      </c>
      <c r="S771" t="s">
        <v>788</v>
      </c>
      <c r="T771" t="s">
        <v>3891</v>
      </c>
      <c r="U771" t="s">
        <v>3892</v>
      </c>
      <c r="V771" t="s">
        <v>791</v>
      </c>
      <c r="W771" t="s">
        <v>792</v>
      </c>
      <c r="Z771" t="s">
        <v>3893</v>
      </c>
      <c r="AA771" t="s">
        <v>3894</v>
      </c>
      <c r="AB771" t="s">
        <v>3893</v>
      </c>
      <c r="AC771" t="s">
        <v>3895</v>
      </c>
      <c r="AD771" t="s">
        <v>245</v>
      </c>
      <c r="AE771" t="s">
        <v>3896</v>
      </c>
      <c r="AF771" t="s">
        <v>3897</v>
      </c>
    </row>
    <row r="772" spans="1:32" hidden="1" x14ac:dyDescent="0.35">
      <c r="A772">
        <v>1880</v>
      </c>
      <c r="B772" t="s">
        <v>3890</v>
      </c>
      <c r="C772" t="s">
        <v>72</v>
      </c>
      <c r="D772" t="s">
        <v>60</v>
      </c>
      <c r="E772">
        <v>1450</v>
      </c>
      <c r="F772">
        <v>5</v>
      </c>
      <c r="G772">
        <v>5</v>
      </c>
      <c r="H772">
        <v>1</v>
      </c>
      <c r="I772">
        <v>1</v>
      </c>
      <c r="J772">
        <v>0.79484142650348699</v>
      </c>
      <c r="K772">
        <v>0.93416404384632301</v>
      </c>
      <c r="L772">
        <v>0.85888945284696305</v>
      </c>
      <c r="M772">
        <v>0.57352941176470595</v>
      </c>
      <c r="N772">
        <v>1</v>
      </c>
      <c r="O772">
        <v>0.69595588235294104</v>
      </c>
      <c r="P772" t="s">
        <v>785</v>
      </c>
      <c r="Q772" t="s">
        <v>786</v>
      </c>
      <c r="R772" t="s">
        <v>787</v>
      </c>
      <c r="S772" t="s">
        <v>788</v>
      </c>
      <c r="T772" t="s">
        <v>3891</v>
      </c>
      <c r="U772" t="s">
        <v>3892</v>
      </c>
      <c r="V772" t="s">
        <v>791</v>
      </c>
      <c r="W772" t="s">
        <v>792</v>
      </c>
      <c r="Z772" t="s">
        <v>3893</v>
      </c>
      <c r="AA772" t="s">
        <v>3894</v>
      </c>
      <c r="AB772" t="s">
        <v>3893</v>
      </c>
      <c r="AC772" t="s">
        <v>3895</v>
      </c>
      <c r="AD772" t="s">
        <v>245</v>
      </c>
      <c r="AE772" t="s">
        <v>3896</v>
      </c>
      <c r="AF772" t="e">
        <f>-------------MSKIGFGIDVGGSGIKGARVDLETGEFVGDRIKILTPKPATTDAVAETIVAILNQAGWDGPVGITLPSVVKNQHAHTAANIDPSWVNTDLTELFSWHLPERRVHVLNDADAAGLAEVKFGHPDASHGSVIMLTFGTGIGSAFFQDGVLFPNTELGHLAFKNS---------EVEKYASSAVKDNEELSYTQWAKRVSKVLTEFERLFWPSLFIAGGGISRKSEKWIPKLTSTTPVVAAELRNRAGIVGAAMAVEQGLLP</f>
        <v>#NAME?</v>
      </c>
    </row>
    <row r="773" spans="1:32" hidden="1" x14ac:dyDescent="0.35">
      <c r="A773">
        <v>1881</v>
      </c>
      <c r="B773" t="s">
        <v>3890</v>
      </c>
      <c r="C773" t="s">
        <v>72</v>
      </c>
      <c r="D773" t="s">
        <v>62</v>
      </c>
      <c r="E773">
        <v>1485</v>
      </c>
      <c r="F773">
        <v>5</v>
      </c>
      <c r="G773">
        <v>5</v>
      </c>
      <c r="H773">
        <v>1</v>
      </c>
      <c r="I773">
        <v>1</v>
      </c>
      <c r="J773">
        <v>0.79484142650348699</v>
      </c>
      <c r="K773">
        <v>0.93416404384632301</v>
      </c>
      <c r="L773">
        <v>0.85888945284696305</v>
      </c>
      <c r="M773">
        <v>0.57352941176470595</v>
      </c>
      <c r="N773">
        <v>1</v>
      </c>
      <c r="O773">
        <v>0.69595588235294104</v>
      </c>
      <c r="P773" t="s">
        <v>785</v>
      </c>
      <c r="Q773" t="s">
        <v>786</v>
      </c>
      <c r="R773" t="s">
        <v>787</v>
      </c>
      <c r="S773" t="s">
        <v>788</v>
      </c>
      <c r="T773" t="s">
        <v>3891</v>
      </c>
      <c r="U773" t="s">
        <v>3892</v>
      </c>
      <c r="V773" t="s">
        <v>791</v>
      </c>
      <c r="W773" t="s">
        <v>792</v>
      </c>
      <c r="Z773" t="s">
        <v>3893</v>
      </c>
      <c r="AA773" t="s">
        <v>3894</v>
      </c>
      <c r="AB773" t="s">
        <v>3893</v>
      </c>
      <c r="AC773" t="s">
        <v>3895</v>
      </c>
      <c r="AD773" t="s">
        <v>245</v>
      </c>
      <c r="AE773" t="s">
        <v>3896</v>
      </c>
      <c r="AF773" t="e">
        <f>-------------MSKIGFGIDVGGSGIKGARVDLETGEFVGDRIKILTPKPATTDAVAETIVAILNQAGWDGPVGITLPSVVKNQHAHTAANIDPSWVNTDLTELFSWHLPERRVHVLNDADAAGLAEVKFGHPDASHGSVIMLTFGTGIGSAFFQDGVLFPNTELGHLAFKNS---------EVEKYASSAVKDNEELSYTQWAKRVSKVLTEFERLFWPSLFIAGGGISRKSEKWIPKLTSTTPVVAAELRNRAGIVGAAMAVEQGLLP</f>
        <v>#NAME?</v>
      </c>
    </row>
    <row r="774" spans="1:32" hidden="1" x14ac:dyDescent="0.35">
      <c r="A774">
        <v>1882</v>
      </c>
      <c r="B774" t="s">
        <v>3890</v>
      </c>
      <c r="C774" t="s">
        <v>72</v>
      </c>
      <c r="D774" t="s">
        <v>34</v>
      </c>
      <c r="E774">
        <v>1880</v>
      </c>
      <c r="F774">
        <v>5</v>
      </c>
      <c r="G774">
        <v>5</v>
      </c>
      <c r="H774">
        <v>1</v>
      </c>
      <c r="I774">
        <v>1</v>
      </c>
      <c r="J774">
        <v>0.79484142650348699</v>
      </c>
      <c r="K774">
        <v>0.93416404384632301</v>
      </c>
      <c r="L774">
        <v>0.85888945284696305</v>
      </c>
      <c r="M774">
        <v>0.57352941176470595</v>
      </c>
      <c r="N774">
        <v>1</v>
      </c>
      <c r="O774">
        <v>0.69595588235294104</v>
      </c>
      <c r="P774" t="s">
        <v>785</v>
      </c>
      <c r="Q774" t="s">
        <v>786</v>
      </c>
      <c r="R774" t="s">
        <v>787</v>
      </c>
      <c r="S774" t="s">
        <v>788</v>
      </c>
      <c r="T774" t="s">
        <v>3891</v>
      </c>
      <c r="U774" t="s">
        <v>3892</v>
      </c>
      <c r="V774" t="s">
        <v>791</v>
      </c>
      <c r="W774" t="s">
        <v>792</v>
      </c>
      <c r="Z774" t="s">
        <v>3893</v>
      </c>
      <c r="AA774" t="s">
        <v>3894</v>
      </c>
      <c r="AB774" t="s">
        <v>3893</v>
      </c>
      <c r="AC774" t="s">
        <v>3895</v>
      </c>
      <c r="AD774" t="s">
        <v>245</v>
      </c>
      <c r="AE774" t="s">
        <v>3896</v>
      </c>
      <c r="AF774" t="s">
        <v>3898</v>
      </c>
    </row>
    <row r="775" spans="1:32" hidden="1" x14ac:dyDescent="0.35">
      <c r="A775">
        <v>1883</v>
      </c>
      <c r="B775" t="s">
        <v>3890</v>
      </c>
      <c r="C775" t="s">
        <v>72</v>
      </c>
      <c r="D775" t="s">
        <v>45</v>
      </c>
      <c r="E775">
        <v>993</v>
      </c>
      <c r="F775">
        <v>5</v>
      </c>
      <c r="G775">
        <v>5</v>
      </c>
      <c r="H775">
        <v>1</v>
      </c>
      <c r="I775">
        <v>1</v>
      </c>
      <c r="J775">
        <v>0.79484142650348699</v>
      </c>
      <c r="K775">
        <v>0.93416404384632301</v>
      </c>
      <c r="L775">
        <v>0.85888945284696305</v>
      </c>
      <c r="M775">
        <v>0.57352941176470595</v>
      </c>
      <c r="N775">
        <v>1</v>
      </c>
      <c r="O775">
        <v>0.69595588235294104</v>
      </c>
      <c r="P775" t="s">
        <v>785</v>
      </c>
      <c r="Q775" t="s">
        <v>786</v>
      </c>
      <c r="R775" t="s">
        <v>787</v>
      </c>
      <c r="S775" t="s">
        <v>788</v>
      </c>
      <c r="T775" t="s">
        <v>3891</v>
      </c>
      <c r="U775" t="s">
        <v>3892</v>
      </c>
      <c r="V775" t="s">
        <v>791</v>
      </c>
      <c r="W775" t="s">
        <v>792</v>
      </c>
      <c r="Z775" t="s">
        <v>3893</v>
      </c>
      <c r="AA775" t="s">
        <v>3894</v>
      </c>
      <c r="AB775" t="s">
        <v>3893</v>
      </c>
      <c r="AC775" t="s">
        <v>3895</v>
      </c>
      <c r="AD775" t="s">
        <v>245</v>
      </c>
      <c r="AE775" t="s">
        <v>3896</v>
      </c>
      <c r="AF775" t="s">
        <v>3899</v>
      </c>
    </row>
    <row r="776" spans="1:32" hidden="1" x14ac:dyDescent="0.35">
      <c r="A776">
        <v>11509</v>
      </c>
      <c r="B776" t="s">
        <v>23500</v>
      </c>
      <c r="C776" t="s">
        <v>33</v>
      </c>
      <c r="D776" t="s">
        <v>58</v>
      </c>
      <c r="E776">
        <v>1432</v>
      </c>
      <c r="F776">
        <v>1</v>
      </c>
      <c r="G776">
        <v>1</v>
      </c>
      <c r="H776">
        <v>1</v>
      </c>
      <c r="I776">
        <v>0</v>
      </c>
      <c r="J776">
        <v>1</v>
      </c>
      <c r="K776">
        <v>1</v>
      </c>
      <c r="L776">
        <v>1</v>
      </c>
      <c r="M776">
        <v>0</v>
      </c>
      <c r="N776">
        <v>0</v>
      </c>
      <c r="O776">
        <v>0</v>
      </c>
      <c r="P776" t="s">
        <v>169</v>
      </c>
      <c r="Q776" t="s">
        <v>170</v>
      </c>
      <c r="R776" t="s">
        <v>138</v>
      </c>
      <c r="S776" t="s">
        <v>139</v>
      </c>
      <c r="T776" t="s">
        <v>11557</v>
      </c>
      <c r="U776" t="s">
        <v>11558</v>
      </c>
      <c r="V776" t="s">
        <v>11356</v>
      </c>
      <c r="W776" t="s">
        <v>11357</v>
      </c>
      <c r="AD776" t="s">
        <v>439</v>
      </c>
      <c r="AE776" t="s">
        <v>11443</v>
      </c>
      <c r="AF776" t="s">
        <v>23501</v>
      </c>
    </row>
    <row r="777" spans="1:32" hidden="1" x14ac:dyDescent="0.35">
      <c r="A777">
        <v>720</v>
      </c>
      <c r="B777" t="s">
        <v>1471</v>
      </c>
      <c r="C777" t="s">
        <v>72</v>
      </c>
      <c r="D777" t="s">
        <v>60</v>
      </c>
      <c r="E777">
        <v>1744</v>
      </c>
      <c r="F777">
        <v>5</v>
      </c>
      <c r="G777">
        <v>5</v>
      </c>
      <c r="H777">
        <v>1</v>
      </c>
      <c r="I777">
        <v>1</v>
      </c>
      <c r="J777">
        <v>0.74511708211934802</v>
      </c>
      <c r="K777">
        <v>0.841507308377897</v>
      </c>
      <c r="L777">
        <v>0.79038425723953198</v>
      </c>
      <c r="M777">
        <v>0.48</v>
      </c>
      <c r="N777">
        <v>1</v>
      </c>
      <c r="O777">
        <v>0.64480000000000004</v>
      </c>
      <c r="P777" t="s">
        <v>1472</v>
      </c>
      <c r="Q777" t="s">
        <v>1473</v>
      </c>
      <c r="R777" t="s">
        <v>1474</v>
      </c>
      <c r="S777" t="s">
        <v>1475</v>
      </c>
      <c r="T777" t="s">
        <v>1476</v>
      </c>
      <c r="U777" t="s">
        <v>1477</v>
      </c>
      <c r="V777" t="s">
        <v>1478</v>
      </c>
      <c r="W777" t="s">
        <v>1479</v>
      </c>
      <c r="AD777" t="s">
        <v>1480</v>
      </c>
      <c r="AE777" t="s">
        <v>1481</v>
      </c>
      <c r="AF777" t="s">
        <v>1483</v>
      </c>
    </row>
    <row r="778" spans="1:32" hidden="1" x14ac:dyDescent="0.35">
      <c r="A778">
        <v>721</v>
      </c>
      <c r="B778" t="s">
        <v>1471</v>
      </c>
      <c r="C778" t="s">
        <v>72</v>
      </c>
      <c r="D778" t="s">
        <v>62</v>
      </c>
      <c r="E778">
        <v>1780</v>
      </c>
      <c r="F778">
        <v>5</v>
      </c>
      <c r="G778">
        <v>5</v>
      </c>
      <c r="H778">
        <v>1</v>
      </c>
      <c r="I778">
        <v>1</v>
      </c>
      <c r="J778">
        <v>0.74511708211934802</v>
      </c>
      <c r="K778">
        <v>0.841507308377897</v>
      </c>
      <c r="L778">
        <v>0.79038425723953198</v>
      </c>
      <c r="M778">
        <v>0.48</v>
      </c>
      <c r="N778">
        <v>1</v>
      </c>
      <c r="O778">
        <v>0.64480000000000004</v>
      </c>
      <c r="P778" t="s">
        <v>1472</v>
      </c>
      <c r="Q778" t="s">
        <v>1473</v>
      </c>
      <c r="R778" t="s">
        <v>1474</v>
      </c>
      <c r="S778" t="s">
        <v>1475</v>
      </c>
      <c r="T778" t="s">
        <v>1476</v>
      </c>
      <c r="U778" t="s">
        <v>1477</v>
      </c>
      <c r="V778" t="s">
        <v>1478</v>
      </c>
      <c r="W778" t="s">
        <v>1479</v>
      </c>
      <c r="AD778" t="s">
        <v>1480</v>
      </c>
      <c r="AE778" t="s">
        <v>1481</v>
      </c>
      <c r="AF778" t="s">
        <v>1483</v>
      </c>
    </row>
    <row r="779" spans="1:32" hidden="1" x14ac:dyDescent="0.35">
      <c r="A779">
        <v>722</v>
      </c>
      <c r="B779" t="s">
        <v>1471</v>
      </c>
      <c r="C779" t="s">
        <v>72</v>
      </c>
      <c r="D779" t="s">
        <v>34</v>
      </c>
      <c r="E779">
        <v>2110</v>
      </c>
      <c r="F779">
        <v>5</v>
      </c>
      <c r="G779">
        <v>5</v>
      </c>
      <c r="H779">
        <v>1</v>
      </c>
      <c r="I779">
        <v>1</v>
      </c>
      <c r="J779">
        <v>0.74511708211934802</v>
      </c>
      <c r="K779">
        <v>0.841507308377897</v>
      </c>
      <c r="L779">
        <v>0.79038425723953198</v>
      </c>
      <c r="M779">
        <v>0.48</v>
      </c>
      <c r="N779">
        <v>1</v>
      </c>
      <c r="O779">
        <v>0.64480000000000004</v>
      </c>
      <c r="P779" t="s">
        <v>1472</v>
      </c>
      <c r="Q779" t="s">
        <v>1473</v>
      </c>
      <c r="R779" t="s">
        <v>1474</v>
      </c>
      <c r="S779" t="s">
        <v>1475</v>
      </c>
      <c r="T779" t="s">
        <v>1476</v>
      </c>
      <c r="U779" t="s">
        <v>1477</v>
      </c>
      <c r="V779" t="s">
        <v>1478</v>
      </c>
      <c r="W779" t="s">
        <v>1479</v>
      </c>
      <c r="AD779" t="s">
        <v>1480</v>
      </c>
      <c r="AE779" t="s">
        <v>1481</v>
      </c>
      <c r="AF779" t="s">
        <v>1484</v>
      </c>
    </row>
    <row r="780" spans="1:32" hidden="1" x14ac:dyDescent="0.35">
      <c r="A780">
        <v>723</v>
      </c>
      <c r="B780" t="s">
        <v>1471</v>
      </c>
      <c r="C780" t="s">
        <v>72</v>
      </c>
      <c r="D780" t="s">
        <v>45</v>
      </c>
      <c r="E780">
        <v>762</v>
      </c>
      <c r="F780">
        <v>5</v>
      </c>
      <c r="G780">
        <v>5</v>
      </c>
      <c r="H780">
        <v>1</v>
      </c>
      <c r="I780">
        <v>1</v>
      </c>
      <c r="J780">
        <v>0.74511708211934802</v>
      </c>
      <c r="K780">
        <v>0.841507308377897</v>
      </c>
      <c r="L780">
        <v>0.79038425723953198</v>
      </c>
      <c r="M780">
        <v>0.48</v>
      </c>
      <c r="N780">
        <v>1</v>
      </c>
      <c r="O780">
        <v>0.64480000000000004</v>
      </c>
      <c r="P780" t="s">
        <v>1472</v>
      </c>
      <c r="Q780" t="s">
        <v>1473</v>
      </c>
      <c r="R780" t="s">
        <v>1474</v>
      </c>
      <c r="S780" t="s">
        <v>1475</v>
      </c>
      <c r="T780" t="s">
        <v>1476</v>
      </c>
      <c r="U780" t="s">
        <v>1477</v>
      </c>
      <c r="V780" t="s">
        <v>1478</v>
      </c>
      <c r="W780" t="s">
        <v>1479</v>
      </c>
      <c r="AD780" t="s">
        <v>1480</v>
      </c>
      <c r="AE780" t="s">
        <v>1481</v>
      </c>
      <c r="AF780" t="s">
        <v>1484</v>
      </c>
    </row>
    <row r="781" spans="1:32" hidden="1" x14ac:dyDescent="0.35">
      <c r="A781">
        <v>11676</v>
      </c>
      <c r="B781" t="s">
        <v>23950</v>
      </c>
      <c r="C781" t="s">
        <v>33</v>
      </c>
      <c r="D781" t="s">
        <v>58</v>
      </c>
      <c r="E781">
        <v>1431</v>
      </c>
      <c r="F781">
        <v>1</v>
      </c>
      <c r="G781">
        <v>1</v>
      </c>
      <c r="H781">
        <v>1</v>
      </c>
      <c r="I781">
        <v>0</v>
      </c>
      <c r="J781">
        <v>1</v>
      </c>
      <c r="K781">
        <v>1</v>
      </c>
      <c r="L781">
        <v>1</v>
      </c>
      <c r="M781">
        <v>0</v>
      </c>
      <c r="N781">
        <v>0</v>
      </c>
      <c r="O781">
        <v>0</v>
      </c>
      <c r="P781" t="s">
        <v>169</v>
      </c>
      <c r="Q781" t="s">
        <v>170</v>
      </c>
      <c r="R781" t="s">
        <v>138</v>
      </c>
      <c r="S781" t="s">
        <v>139</v>
      </c>
      <c r="V781" t="s">
        <v>11356</v>
      </c>
      <c r="W781" t="s">
        <v>11357</v>
      </c>
      <c r="AF781" t="s">
        <v>23951</v>
      </c>
    </row>
    <row r="782" spans="1:32" hidden="1" x14ac:dyDescent="0.35">
      <c r="A782">
        <v>925</v>
      </c>
      <c r="B782" t="s">
        <v>1922</v>
      </c>
      <c r="C782" t="s">
        <v>72</v>
      </c>
      <c r="D782" t="s">
        <v>60</v>
      </c>
      <c r="E782">
        <v>1649</v>
      </c>
      <c r="F782">
        <v>5</v>
      </c>
      <c r="G782">
        <v>5</v>
      </c>
      <c r="H782">
        <v>1</v>
      </c>
      <c r="I782">
        <v>1</v>
      </c>
      <c r="J782">
        <v>0.77553710293923805</v>
      </c>
      <c r="K782">
        <v>0.91089193161599902</v>
      </c>
      <c r="L782">
        <v>0.83778264636259203</v>
      </c>
      <c r="M782">
        <v>0.55555555555555602</v>
      </c>
      <c r="N782">
        <v>1</v>
      </c>
      <c r="O782">
        <v>0.68279569892473102</v>
      </c>
      <c r="P782" t="s">
        <v>1923</v>
      </c>
      <c r="Q782" t="s">
        <v>1924</v>
      </c>
      <c r="R782" t="s">
        <v>1474</v>
      </c>
      <c r="S782" t="s">
        <v>1475</v>
      </c>
      <c r="V782" t="s">
        <v>1478</v>
      </c>
      <c r="W782" t="s">
        <v>1479</v>
      </c>
      <c r="AF782" t="e">
        <f>----MYRVFENLDELQQTVQQAYGVPMTANCMVPRNEFLALLDDLRDALPVEIDDAQDVLDNKDQIIEEAHDHANGLVERAEGDAQELLERARHDADVMLGDAENRAHAMVAKAKEEADRVMHNAQRDAQDMVNRASAEAERLVSSGNESYQRSVDEGLAEQHRLVSEAEVVRRANEEAHRIVSSAHADSNRLRGECDTFVDQKLSEFEDLLSSALRTVSKDRAALRRGAGVSGRGMQEGEYSSGEYSGAGEYSSKE--YSSSDYKRDEYETEDYGYDS</f>
        <v>#NAME?</v>
      </c>
    </row>
    <row r="783" spans="1:32" hidden="1" x14ac:dyDescent="0.35">
      <c r="A783">
        <v>926</v>
      </c>
      <c r="B783" t="s">
        <v>1922</v>
      </c>
      <c r="C783" t="s">
        <v>72</v>
      </c>
      <c r="D783" t="s">
        <v>62</v>
      </c>
      <c r="E783">
        <v>1684</v>
      </c>
      <c r="F783">
        <v>5</v>
      </c>
      <c r="G783">
        <v>5</v>
      </c>
      <c r="H783">
        <v>1</v>
      </c>
      <c r="I783">
        <v>1</v>
      </c>
      <c r="J783">
        <v>0.77553710293923805</v>
      </c>
      <c r="K783">
        <v>0.91089193161599902</v>
      </c>
      <c r="L783">
        <v>0.83778264636259203</v>
      </c>
      <c r="M783">
        <v>0.55555555555555602</v>
      </c>
      <c r="N783">
        <v>1</v>
      </c>
      <c r="O783">
        <v>0.68279569892473102</v>
      </c>
      <c r="P783" t="s">
        <v>1923</v>
      </c>
      <c r="Q783" t="s">
        <v>1924</v>
      </c>
      <c r="R783" t="s">
        <v>1474</v>
      </c>
      <c r="S783" t="s">
        <v>1475</v>
      </c>
      <c r="V783" t="s">
        <v>1478</v>
      </c>
      <c r="W783" t="s">
        <v>1479</v>
      </c>
      <c r="AF783" t="e">
        <f>----MYRVFENLDELQQTVQQAYGVPMTANCMVPRNEFLALLDDLRDALPVEIDDAQDVLDNKDQIIEEAHDHANGLVERAEGDAQELLERARHDADVMLGDAENRAHAMVAKAKEEADRVMHNAQRDAQDMVNRASAEAERLVSSGNESYQRSVDEGLAEQHRLVSEAEVVRRANEEAHRIVSSAHADSNRLRGECDTFVDQKLSEFEDLLSSALRTVSKDRAALRRGAGVSGRGMQEGEYSSGEYSGAGEYSSKE--YSSSDYKRDEYETEDYGYDS</f>
        <v>#NAME?</v>
      </c>
    </row>
    <row r="784" spans="1:32" hidden="1" x14ac:dyDescent="0.35">
      <c r="A784">
        <v>927</v>
      </c>
      <c r="B784" t="s">
        <v>1922</v>
      </c>
      <c r="C784" t="s">
        <v>72</v>
      </c>
      <c r="D784" t="s">
        <v>34</v>
      </c>
      <c r="E784">
        <v>2054</v>
      </c>
      <c r="F784">
        <v>5</v>
      </c>
      <c r="G784">
        <v>5</v>
      </c>
      <c r="H784">
        <v>1</v>
      </c>
      <c r="I784">
        <v>1</v>
      </c>
      <c r="J784">
        <v>0.77553710293923805</v>
      </c>
      <c r="K784">
        <v>0.91089193161599902</v>
      </c>
      <c r="L784">
        <v>0.83778264636259203</v>
      </c>
      <c r="M784">
        <v>0.55555555555555602</v>
      </c>
      <c r="N784">
        <v>1</v>
      </c>
      <c r="O784">
        <v>0.68279569892473102</v>
      </c>
      <c r="P784" t="s">
        <v>1925</v>
      </c>
      <c r="Q784" t="s">
        <v>1926</v>
      </c>
      <c r="R784" t="s">
        <v>1474</v>
      </c>
      <c r="S784" t="s">
        <v>1475</v>
      </c>
      <c r="V784" t="s">
        <v>1478</v>
      </c>
      <c r="W784" t="s">
        <v>1479</v>
      </c>
      <c r="AF784" t="s">
        <v>1927</v>
      </c>
    </row>
    <row r="785" spans="1:32" hidden="1" x14ac:dyDescent="0.35">
      <c r="A785">
        <v>928</v>
      </c>
      <c r="B785" t="s">
        <v>1922</v>
      </c>
      <c r="C785" t="s">
        <v>72</v>
      </c>
      <c r="D785" t="s">
        <v>45</v>
      </c>
      <c r="E785">
        <v>818</v>
      </c>
      <c r="F785">
        <v>5</v>
      </c>
      <c r="G785">
        <v>5</v>
      </c>
      <c r="H785">
        <v>1</v>
      </c>
      <c r="I785">
        <v>1</v>
      </c>
      <c r="J785">
        <v>0.77553710293923805</v>
      </c>
      <c r="K785">
        <v>0.91089193161599902</v>
      </c>
      <c r="L785">
        <v>0.83778264636259203</v>
      </c>
      <c r="M785">
        <v>0.55555555555555602</v>
      </c>
      <c r="N785">
        <v>1</v>
      </c>
      <c r="O785">
        <v>0.68279569892473102</v>
      </c>
      <c r="P785" t="s">
        <v>1925</v>
      </c>
      <c r="Q785" t="s">
        <v>1926</v>
      </c>
      <c r="R785" t="s">
        <v>1474</v>
      </c>
      <c r="S785" t="s">
        <v>1475</v>
      </c>
      <c r="V785" t="s">
        <v>1478</v>
      </c>
      <c r="W785" t="s">
        <v>1479</v>
      </c>
      <c r="AF785" t="s">
        <v>1928</v>
      </c>
    </row>
    <row r="786" spans="1:32" hidden="1" x14ac:dyDescent="0.35">
      <c r="A786">
        <v>11875</v>
      </c>
      <c r="B786" t="s">
        <v>24436</v>
      </c>
      <c r="C786" t="s">
        <v>33</v>
      </c>
      <c r="D786" t="s">
        <v>58</v>
      </c>
      <c r="E786">
        <v>950</v>
      </c>
      <c r="F786">
        <v>1</v>
      </c>
      <c r="G786">
        <v>1</v>
      </c>
      <c r="H786">
        <v>1</v>
      </c>
      <c r="I786">
        <v>0</v>
      </c>
      <c r="J786">
        <v>1</v>
      </c>
      <c r="K786">
        <v>1</v>
      </c>
      <c r="L786">
        <v>1</v>
      </c>
      <c r="M786">
        <v>0</v>
      </c>
      <c r="N786">
        <v>0</v>
      </c>
      <c r="O786">
        <v>0</v>
      </c>
      <c r="P786" t="s">
        <v>15233</v>
      </c>
      <c r="Q786" t="s">
        <v>15234</v>
      </c>
      <c r="R786" t="s">
        <v>138</v>
      </c>
      <c r="S786" t="s">
        <v>139</v>
      </c>
      <c r="V786" t="s">
        <v>11356</v>
      </c>
      <c r="W786" t="s">
        <v>11357</v>
      </c>
      <c r="AF786" t="s">
        <v>24437</v>
      </c>
    </row>
    <row r="787" spans="1:32" hidden="1" x14ac:dyDescent="0.35">
      <c r="A787">
        <v>945</v>
      </c>
      <c r="B787" t="s">
        <v>1958</v>
      </c>
      <c r="C787" t="s">
        <v>72</v>
      </c>
      <c r="D787" t="s">
        <v>60</v>
      </c>
      <c r="E787">
        <v>29</v>
      </c>
      <c r="F787">
        <v>5</v>
      </c>
      <c r="G787">
        <v>5</v>
      </c>
      <c r="H787">
        <v>1</v>
      </c>
      <c r="I787">
        <v>1</v>
      </c>
      <c r="J787">
        <v>0.81527018822100805</v>
      </c>
      <c r="K787">
        <v>0.94990135854066504</v>
      </c>
      <c r="L787">
        <v>0.877451555107578</v>
      </c>
      <c r="M787">
        <v>0.58747300215982701</v>
      </c>
      <c r="N787">
        <v>1</v>
      </c>
      <c r="O787">
        <v>0.72051835853131796</v>
      </c>
      <c r="P787" t="s">
        <v>1959</v>
      </c>
      <c r="Q787" t="s">
        <v>1960</v>
      </c>
      <c r="R787" t="s">
        <v>1474</v>
      </c>
      <c r="S787" t="s">
        <v>1475</v>
      </c>
      <c r="T787" t="s">
        <v>1964</v>
      </c>
      <c r="U787" t="s">
        <v>1965</v>
      </c>
      <c r="V787" t="s">
        <v>1961</v>
      </c>
      <c r="W787" t="s">
        <v>1962</v>
      </c>
      <c r="AD787" t="s">
        <v>1966</v>
      </c>
      <c r="AE787" t="s">
        <v>1967</v>
      </c>
      <c r="AF787" t="s">
        <v>1968</v>
      </c>
    </row>
    <row r="788" spans="1:32" hidden="1" x14ac:dyDescent="0.35">
      <c r="A788">
        <v>946</v>
      </c>
      <c r="B788" t="s">
        <v>1958</v>
      </c>
      <c r="C788" t="s">
        <v>72</v>
      </c>
      <c r="D788" t="s">
        <v>62</v>
      </c>
      <c r="E788">
        <v>102</v>
      </c>
      <c r="F788">
        <v>5</v>
      </c>
      <c r="G788">
        <v>5</v>
      </c>
      <c r="H788">
        <v>1</v>
      </c>
      <c r="I788">
        <v>1</v>
      </c>
      <c r="J788">
        <v>0.81527018822100805</v>
      </c>
      <c r="K788">
        <v>0.94990135854066504</v>
      </c>
      <c r="L788">
        <v>0.877451555107578</v>
      </c>
      <c r="M788">
        <v>0.58747300215982701</v>
      </c>
      <c r="N788">
        <v>1</v>
      </c>
      <c r="O788">
        <v>0.72051835853131796</v>
      </c>
      <c r="P788" t="s">
        <v>1959</v>
      </c>
      <c r="Q788" t="s">
        <v>1960</v>
      </c>
      <c r="R788" t="s">
        <v>1474</v>
      </c>
      <c r="S788" t="s">
        <v>1475</v>
      </c>
      <c r="T788" t="s">
        <v>1964</v>
      </c>
      <c r="U788" t="s">
        <v>1965</v>
      </c>
      <c r="V788" t="s">
        <v>1961</v>
      </c>
      <c r="W788" t="s">
        <v>1962</v>
      </c>
      <c r="AD788" t="s">
        <v>1966</v>
      </c>
      <c r="AE788" t="s">
        <v>1967</v>
      </c>
      <c r="AF788" t="s">
        <v>1968</v>
      </c>
    </row>
    <row r="789" spans="1:32" hidden="1" x14ac:dyDescent="0.35">
      <c r="A789">
        <v>947</v>
      </c>
      <c r="B789" t="s">
        <v>1958</v>
      </c>
      <c r="C789" t="s">
        <v>72</v>
      </c>
      <c r="D789" t="s">
        <v>34</v>
      </c>
      <c r="E789">
        <v>1045</v>
      </c>
      <c r="F789">
        <v>5</v>
      </c>
      <c r="G789">
        <v>5</v>
      </c>
      <c r="H789">
        <v>1</v>
      </c>
      <c r="I789">
        <v>1</v>
      </c>
      <c r="J789">
        <v>0.81527018822100805</v>
      </c>
      <c r="K789">
        <v>0.94990135854066504</v>
      </c>
      <c r="L789">
        <v>0.877451555107578</v>
      </c>
      <c r="M789">
        <v>0.58747300215982701</v>
      </c>
      <c r="N789">
        <v>1</v>
      </c>
      <c r="O789">
        <v>0.72051835853131796</v>
      </c>
      <c r="P789" t="s">
        <v>1959</v>
      </c>
      <c r="Q789" t="s">
        <v>1960</v>
      </c>
      <c r="R789" t="s">
        <v>1474</v>
      </c>
      <c r="S789" t="s">
        <v>1475</v>
      </c>
      <c r="V789" t="s">
        <v>1961</v>
      </c>
      <c r="W789" t="s">
        <v>1962</v>
      </c>
      <c r="AF789" t="s">
        <v>1969</v>
      </c>
    </row>
    <row r="790" spans="1:32" hidden="1" x14ac:dyDescent="0.35">
      <c r="A790">
        <v>948</v>
      </c>
      <c r="B790" t="s">
        <v>1958</v>
      </c>
      <c r="C790" t="s">
        <v>72</v>
      </c>
      <c r="D790" t="s">
        <v>45</v>
      </c>
      <c r="E790">
        <v>2300</v>
      </c>
      <c r="F790">
        <v>5</v>
      </c>
      <c r="G790">
        <v>5</v>
      </c>
      <c r="H790">
        <v>1</v>
      </c>
      <c r="I790">
        <v>1</v>
      </c>
      <c r="J790">
        <v>0.81527018822100805</v>
      </c>
      <c r="K790">
        <v>0.94990135854066504</v>
      </c>
      <c r="L790">
        <v>0.877451555107578</v>
      </c>
      <c r="M790">
        <v>0.58747300215982701</v>
      </c>
      <c r="N790">
        <v>1</v>
      </c>
      <c r="O790">
        <v>0.72051835853131796</v>
      </c>
      <c r="P790" t="s">
        <v>1959</v>
      </c>
      <c r="Q790" t="s">
        <v>1960</v>
      </c>
      <c r="R790" t="s">
        <v>1474</v>
      </c>
      <c r="S790" t="s">
        <v>1475</v>
      </c>
      <c r="V790" t="s">
        <v>1961</v>
      </c>
      <c r="W790" t="s">
        <v>1962</v>
      </c>
      <c r="AF790" t="s">
        <v>1969</v>
      </c>
    </row>
    <row r="791" spans="1:32" hidden="1" x14ac:dyDescent="0.35">
      <c r="A791">
        <v>1774</v>
      </c>
      <c r="B791" t="s">
        <v>3690</v>
      </c>
      <c r="C791" t="s">
        <v>72</v>
      </c>
      <c r="D791" t="s">
        <v>58</v>
      </c>
      <c r="E791">
        <v>979</v>
      </c>
      <c r="F791">
        <v>5</v>
      </c>
      <c r="G791">
        <v>5</v>
      </c>
      <c r="H791">
        <v>1</v>
      </c>
      <c r="I791">
        <v>1</v>
      </c>
      <c r="J791">
        <v>0.73666554847366705</v>
      </c>
      <c r="K791">
        <v>0.86129483941983997</v>
      </c>
      <c r="L791">
        <v>0.79412010471067995</v>
      </c>
      <c r="M791">
        <v>0.52840909090909105</v>
      </c>
      <c r="N791">
        <v>1</v>
      </c>
      <c r="O791">
        <v>0.63948863636363595</v>
      </c>
      <c r="P791" t="s">
        <v>169</v>
      </c>
      <c r="Q791" t="s">
        <v>170</v>
      </c>
      <c r="R791" t="s">
        <v>138</v>
      </c>
      <c r="S791" t="s">
        <v>139</v>
      </c>
      <c r="T791" t="s">
        <v>3691</v>
      </c>
      <c r="U791" t="s">
        <v>3692</v>
      </c>
      <c r="V791" t="s">
        <v>3693</v>
      </c>
      <c r="W791" t="s">
        <v>3694</v>
      </c>
      <c r="AD791" t="s">
        <v>166</v>
      </c>
      <c r="AE791" t="s">
        <v>3695</v>
      </c>
      <c r="AF791" t="s">
        <v>3696</v>
      </c>
    </row>
    <row r="792" spans="1:32" hidden="1" x14ac:dyDescent="0.35">
      <c r="A792">
        <v>1275</v>
      </c>
      <c r="B792" t="s">
        <v>2641</v>
      </c>
      <c r="C792" t="s">
        <v>72</v>
      </c>
      <c r="D792" t="s">
        <v>60</v>
      </c>
      <c r="E792">
        <v>634</v>
      </c>
      <c r="F792">
        <v>5</v>
      </c>
      <c r="G792">
        <v>5</v>
      </c>
      <c r="H792">
        <v>1</v>
      </c>
      <c r="I792">
        <v>1</v>
      </c>
      <c r="J792">
        <v>0.85768143261074503</v>
      </c>
      <c r="K792">
        <v>0.93051405807093901</v>
      </c>
      <c r="L792">
        <v>0.89261452067131697</v>
      </c>
      <c r="M792">
        <v>0.65938864628821003</v>
      </c>
      <c r="N792">
        <v>1</v>
      </c>
      <c r="O792">
        <v>0.76157205240174697</v>
      </c>
      <c r="P792" t="s">
        <v>169</v>
      </c>
      <c r="Q792" t="s">
        <v>170</v>
      </c>
      <c r="R792" t="s">
        <v>1474</v>
      </c>
      <c r="S792" t="s">
        <v>1475</v>
      </c>
      <c r="T792" t="s">
        <v>2642</v>
      </c>
      <c r="U792" t="s">
        <v>2643</v>
      </c>
      <c r="V792" t="s">
        <v>2644</v>
      </c>
      <c r="W792" t="s">
        <v>2645</v>
      </c>
      <c r="AD792" t="s">
        <v>1966</v>
      </c>
      <c r="AE792" t="s">
        <v>2646</v>
      </c>
      <c r="AF792" t="e">
        <f>-----------------------MTIEKGEFVFLIGPSGSGKSTFLQLMLREETPTSGDLYVADYHVNRLRGSQVNKLRQRIGYVFQDFRLLPKKTVYENVAFALEVIGKRRSVIDKQVPATLDMVGLAAKGDRMPGELSGGEQQRVAIARASVNRPLLLLADEPTGNLDPETANDIMVLLNRINKTGTTVVMSTHNNSAVDAMRRRVIELELGKLVRDEAHGVYGVGR</f>
        <v>#NAME?</v>
      </c>
    </row>
    <row r="793" spans="1:32" hidden="1" x14ac:dyDescent="0.35">
      <c r="A793">
        <v>1276</v>
      </c>
      <c r="B793" t="s">
        <v>2641</v>
      </c>
      <c r="C793" t="s">
        <v>72</v>
      </c>
      <c r="D793" t="s">
        <v>62</v>
      </c>
      <c r="E793">
        <v>718</v>
      </c>
      <c r="F793">
        <v>5</v>
      </c>
      <c r="G793">
        <v>5</v>
      </c>
      <c r="H793">
        <v>1</v>
      </c>
      <c r="I793">
        <v>1</v>
      </c>
      <c r="J793">
        <v>0.85768143261074503</v>
      </c>
      <c r="K793">
        <v>0.93051405807093901</v>
      </c>
      <c r="L793">
        <v>0.89261452067131697</v>
      </c>
      <c r="M793">
        <v>0.65938864628821003</v>
      </c>
      <c r="N793">
        <v>1</v>
      </c>
      <c r="O793">
        <v>0.76157205240174697</v>
      </c>
      <c r="P793" t="s">
        <v>169</v>
      </c>
      <c r="Q793" t="s">
        <v>170</v>
      </c>
      <c r="R793" t="s">
        <v>1474</v>
      </c>
      <c r="S793" t="s">
        <v>1475</v>
      </c>
      <c r="T793" t="s">
        <v>2642</v>
      </c>
      <c r="U793" t="s">
        <v>2643</v>
      </c>
      <c r="V793" t="s">
        <v>2644</v>
      </c>
      <c r="W793" t="s">
        <v>2645</v>
      </c>
      <c r="AD793" t="s">
        <v>1966</v>
      </c>
      <c r="AE793" t="s">
        <v>2646</v>
      </c>
      <c r="AF793" t="e">
        <f>-----------------------MTIEKGEFVFLIGPSGSGKSTFLQLMLREETPTSGDLYVADYHVNRLRGSQVNKLRQRIGYVFQDFRLLPKKTVYENVAFALEVIGKRRSVIDKQVPATLDMVGLAAKGDRMPGELSGGEQQRVAIARASVNRPLLLLADEPTGNLDPETANDIMVLLNRINKTGTTVVMSTHNNSAVDAMRRRVIELELGKLVRDEAHGVYGVGR</f>
        <v>#NAME?</v>
      </c>
    </row>
    <row r="794" spans="1:32" hidden="1" x14ac:dyDescent="0.35">
      <c r="A794">
        <v>1277</v>
      </c>
      <c r="B794" t="s">
        <v>2641</v>
      </c>
      <c r="C794" t="s">
        <v>72</v>
      </c>
      <c r="D794" t="s">
        <v>34</v>
      </c>
      <c r="E794">
        <v>451</v>
      </c>
      <c r="F794">
        <v>5</v>
      </c>
      <c r="G794">
        <v>5</v>
      </c>
      <c r="H794">
        <v>1</v>
      </c>
      <c r="I794">
        <v>1</v>
      </c>
      <c r="J794">
        <v>0.85768143261074503</v>
      </c>
      <c r="K794">
        <v>0.93051405807093901</v>
      </c>
      <c r="L794">
        <v>0.89261452067131697</v>
      </c>
      <c r="M794">
        <v>0.65938864628821003</v>
      </c>
      <c r="N794">
        <v>1</v>
      </c>
      <c r="O794">
        <v>0.76157205240174697</v>
      </c>
      <c r="P794" t="s">
        <v>169</v>
      </c>
      <c r="Q794" t="s">
        <v>170</v>
      </c>
      <c r="R794" t="s">
        <v>1474</v>
      </c>
      <c r="S794" t="s">
        <v>1475</v>
      </c>
      <c r="T794" t="s">
        <v>2642</v>
      </c>
      <c r="U794" t="s">
        <v>2643</v>
      </c>
      <c r="V794" t="s">
        <v>2644</v>
      </c>
      <c r="W794" t="s">
        <v>2645</v>
      </c>
      <c r="AD794" t="s">
        <v>1966</v>
      </c>
      <c r="AE794" t="s">
        <v>2646</v>
      </c>
      <c r="AF794" t="s">
        <v>2648</v>
      </c>
    </row>
    <row r="795" spans="1:32" hidden="1" x14ac:dyDescent="0.35">
      <c r="A795">
        <v>1278</v>
      </c>
      <c r="B795" t="s">
        <v>2641</v>
      </c>
      <c r="C795" t="s">
        <v>72</v>
      </c>
      <c r="D795" t="s">
        <v>45</v>
      </c>
      <c r="E795">
        <v>1714</v>
      </c>
      <c r="F795">
        <v>5</v>
      </c>
      <c r="G795">
        <v>5</v>
      </c>
      <c r="H795">
        <v>1</v>
      </c>
      <c r="I795">
        <v>1</v>
      </c>
      <c r="J795">
        <v>0.85768143261074503</v>
      </c>
      <c r="K795">
        <v>0.93051405807093901</v>
      </c>
      <c r="L795">
        <v>0.89261452067131697</v>
      </c>
      <c r="M795">
        <v>0.65938864628821003</v>
      </c>
      <c r="N795">
        <v>1</v>
      </c>
      <c r="O795">
        <v>0.76157205240174697</v>
      </c>
      <c r="P795" t="s">
        <v>169</v>
      </c>
      <c r="Q795" t="s">
        <v>170</v>
      </c>
      <c r="R795" t="s">
        <v>1474</v>
      </c>
      <c r="S795" t="s">
        <v>1475</v>
      </c>
      <c r="T795" t="s">
        <v>2642</v>
      </c>
      <c r="U795" t="s">
        <v>2643</v>
      </c>
      <c r="V795" t="s">
        <v>2644</v>
      </c>
      <c r="W795" t="s">
        <v>2645</v>
      </c>
      <c r="AD795" t="s">
        <v>1966</v>
      </c>
      <c r="AE795" t="s">
        <v>2646</v>
      </c>
      <c r="AF795" t="s">
        <v>2648</v>
      </c>
    </row>
    <row r="796" spans="1:32" hidden="1" x14ac:dyDescent="0.35">
      <c r="A796">
        <v>2774</v>
      </c>
      <c r="B796" t="s">
        <v>5743</v>
      </c>
      <c r="C796" t="s">
        <v>72</v>
      </c>
      <c r="D796" t="s">
        <v>58</v>
      </c>
      <c r="E796">
        <v>1723</v>
      </c>
      <c r="F796">
        <v>5</v>
      </c>
      <c r="G796">
        <v>5</v>
      </c>
      <c r="H796">
        <v>1</v>
      </c>
      <c r="I796">
        <v>1</v>
      </c>
      <c r="J796">
        <v>0.78778942769768501</v>
      </c>
      <c r="K796">
        <v>0.98462887566551804</v>
      </c>
      <c r="L796">
        <v>0.87527895303640502</v>
      </c>
      <c r="M796">
        <v>0.61290322580645196</v>
      </c>
      <c r="N796">
        <v>1</v>
      </c>
      <c r="O796">
        <v>0.73193548387096796</v>
      </c>
      <c r="P796" t="s">
        <v>169</v>
      </c>
      <c r="Q796" t="s">
        <v>170</v>
      </c>
      <c r="R796" t="s">
        <v>138</v>
      </c>
      <c r="S796" t="s">
        <v>139</v>
      </c>
      <c r="T796" t="s">
        <v>3691</v>
      </c>
      <c r="U796" t="s">
        <v>3692</v>
      </c>
      <c r="V796" t="s">
        <v>3693</v>
      </c>
      <c r="W796" t="s">
        <v>3694</v>
      </c>
      <c r="AD796" t="s">
        <v>166</v>
      </c>
      <c r="AE796" t="s">
        <v>3695</v>
      </c>
      <c r="AF796" t="s">
        <v>5744</v>
      </c>
    </row>
    <row r="797" spans="1:32" hidden="1" x14ac:dyDescent="0.35">
      <c r="A797">
        <v>2660</v>
      </c>
      <c r="B797" t="s">
        <v>5493</v>
      </c>
      <c r="C797" t="s">
        <v>72</v>
      </c>
      <c r="D797" t="s">
        <v>60</v>
      </c>
      <c r="E797">
        <v>635</v>
      </c>
      <c r="F797">
        <v>5</v>
      </c>
      <c r="G797">
        <v>5</v>
      </c>
      <c r="H797">
        <v>1</v>
      </c>
      <c r="I797">
        <v>1</v>
      </c>
      <c r="J797">
        <v>0.82744444444444398</v>
      </c>
      <c r="K797">
        <v>0.99339508481661898</v>
      </c>
      <c r="L797">
        <v>0.90285742467762298</v>
      </c>
      <c r="M797">
        <v>0.67549668874172197</v>
      </c>
      <c r="N797">
        <v>1</v>
      </c>
      <c r="O797">
        <v>0.75728476821192003</v>
      </c>
      <c r="P797" t="s">
        <v>5494</v>
      </c>
      <c r="Q797" t="s">
        <v>5495</v>
      </c>
      <c r="R797" t="s">
        <v>1474</v>
      </c>
      <c r="S797" t="s">
        <v>1475</v>
      </c>
      <c r="T797" t="s">
        <v>5496</v>
      </c>
      <c r="U797" t="s">
        <v>5497</v>
      </c>
      <c r="V797" t="s">
        <v>5498</v>
      </c>
      <c r="W797" t="s">
        <v>5499</v>
      </c>
      <c r="AD797" t="s">
        <v>1966</v>
      </c>
      <c r="AE797" t="s">
        <v>2646</v>
      </c>
      <c r="AF797" t="s">
        <v>5501</v>
      </c>
    </row>
    <row r="798" spans="1:32" hidden="1" x14ac:dyDescent="0.35">
      <c r="A798">
        <v>2661</v>
      </c>
      <c r="B798" t="s">
        <v>5493</v>
      </c>
      <c r="C798" t="s">
        <v>72</v>
      </c>
      <c r="D798" t="s">
        <v>62</v>
      </c>
      <c r="E798">
        <v>719</v>
      </c>
      <c r="F798">
        <v>5</v>
      </c>
      <c r="G798">
        <v>5</v>
      </c>
      <c r="H798">
        <v>1</v>
      </c>
      <c r="I798">
        <v>1</v>
      </c>
      <c r="J798">
        <v>0.82744444444444398</v>
      </c>
      <c r="K798">
        <v>0.99339508481661898</v>
      </c>
      <c r="L798">
        <v>0.90285742467762298</v>
      </c>
      <c r="M798">
        <v>0.67549668874172197</v>
      </c>
      <c r="N798">
        <v>1</v>
      </c>
      <c r="O798">
        <v>0.75728476821192003</v>
      </c>
      <c r="P798" t="s">
        <v>5494</v>
      </c>
      <c r="Q798" t="s">
        <v>5495</v>
      </c>
      <c r="R798" t="s">
        <v>1474</v>
      </c>
      <c r="S798" t="s">
        <v>1475</v>
      </c>
      <c r="T798" t="s">
        <v>5496</v>
      </c>
      <c r="U798" t="s">
        <v>5497</v>
      </c>
      <c r="V798" t="s">
        <v>5498</v>
      </c>
      <c r="W798" t="s">
        <v>5499</v>
      </c>
      <c r="AD798" t="s">
        <v>1966</v>
      </c>
      <c r="AE798" t="s">
        <v>2646</v>
      </c>
      <c r="AF798" t="s">
        <v>5502</v>
      </c>
    </row>
    <row r="799" spans="1:32" hidden="1" x14ac:dyDescent="0.35">
      <c r="A799">
        <v>2662</v>
      </c>
      <c r="B799" t="s">
        <v>5493</v>
      </c>
      <c r="C799" t="s">
        <v>72</v>
      </c>
      <c r="D799" t="s">
        <v>34</v>
      </c>
      <c r="E799">
        <v>450</v>
      </c>
      <c r="F799">
        <v>5</v>
      </c>
      <c r="G799">
        <v>5</v>
      </c>
      <c r="H799">
        <v>1</v>
      </c>
      <c r="I799">
        <v>1</v>
      </c>
      <c r="J799">
        <v>0.82744444444444398</v>
      </c>
      <c r="K799">
        <v>0.99339508481661898</v>
      </c>
      <c r="L799">
        <v>0.90285742467762298</v>
      </c>
      <c r="M799">
        <v>0.67549668874172197</v>
      </c>
      <c r="N799">
        <v>1</v>
      </c>
      <c r="O799">
        <v>0.75728476821192003</v>
      </c>
      <c r="P799" t="s">
        <v>5494</v>
      </c>
      <c r="Q799" t="s">
        <v>5495</v>
      </c>
      <c r="R799" t="s">
        <v>1474</v>
      </c>
      <c r="S799" t="s">
        <v>1475</v>
      </c>
      <c r="T799" t="s">
        <v>5496</v>
      </c>
      <c r="U799" t="s">
        <v>5497</v>
      </c>
      <c r="V799" t="s">
        <v>5498</v>
      </c>
      <c r="W799" t="s">
        <v>5499</v>
      </c>
      <c r="AD799" t="s">
        <v>1966</v>
      </c>
      <c r="AE799" t="s">
        <v>2646</v>
      </c>
      <c r="AF799" t="s">
        <v>5503</v>
      </c>
    </row>
    <row r="800" spans="1:32" hidden="1" x14ac:dyDescent="0.35">
      <c r="A800">
        <v>2663</v>
      </c>
      <c r="B800" t="s">
        <v>5493</v>
      </c>
      <c r="C800" t="s">
        <v>72</v>
      </c>
      <c r="D800" t="s">
        <v>45</v>
      </c>
      <c r="E800">
        <v>1713</v>
      </c>
      <c r="F800">
        <v>5</v>
      </c>
      <c r="G800">
        <v>5</v>
      </c>
      <c r="H800">
        <v>1</v>
      </c>
      <c r="I800">
        <v>1</v>
      </c>
      <c r="J800">
        <v>0.82744444444444398</v>
      </c>
      <c r="K800">
        <v>0.99339508481661898</v>
      </c>
      <c r="L800">
        <v>0.90285742467762298</v>
      </c>
      <c r="M800">
        <v>0.67549668874172197</v>
      </c>
      <c r="N800">
        <v>1</v>
      </c>
      <c r="O800">
        <v>0.75728476821192003</v>
      </c>
      <c r="P800" t="s">
        <v>5494</v>
      </c>
      <c r="Q800" t="s">
        <v>5495</v>
      </c>
      <c r="R800" t="s">
        <v>1474</v>
      </c>
      <c r="S800" t="s">
        <v>1475</v>
      </c>
      <c r="T800" t="s">
        <v>5496</v>
      </c>
      <c r="U800" t="s">
        <v>5497</v>
      </c>
      <c r="V800" t="s">
        <v>5498</v>
      </c>
      <c r="W800" t="s">
        <v>5499</v>
      </c>
      <c r="AD800" t="s">
        <v>1966</v>
      </c>
      <c r="AE800" t="s">
        <v>2646</v>
      </c>
      <c r="AF800" t="s">
        <v>5503</v>
      </c>
    </row>
    <row r="801" spans="1:32" hidden="1" x14ac:dyDescent="0.35">
      <c r="A801">
        <v>534</v>
      </c>
      <c r="B801" t="s">
        <v>1035</v>
      </c>
      <c r="C801" t="s">
        <v>72</v>
      </c>
      <c r="D801" t="s">
        <v>58</v>
      </c>
      <c r="E801">
        <v>980</v>
      </c>
      <c r="F801">
        <v>5</v>
      </c>
      <c r="G801">
        <v>5</v>
      </c>
      <c r="H801">
        <v>1</v>
      </c>
      <c r="I801">
        <v>1</v>
      </c>
      <c r="J801">
        <v>0.72559925837637396</v>
      </c>
      <c r="K801">
        <v>0.96147670439589095</v>
      </c>
      <c r="L801">
        <v>0.82704845430838803</v>
      </c>
      <c r="M801">
        <v>0.488549618320611</v>
      </c>
      <c r="N801">
        <v>1</v>
      </c>
      <c r="O801">
        <v>0.62213740458015299</v>
      </c>
      <c r="P801" t="s">
        <v>1036</v>
      </c>
      <c r="Q801" t="s">
        <v>1037</v>
      </c>
      <c r="R801" t="s">
        <v>138</v>
      </c>
      <c r="S801" t="s">
        <v>139</v>
      </c>
      <c r="V801" t="s">
        <v>1038</v>
      </c>
      <c r="W801" t="s">
        <v>1039</v>
      </c>
      <c r="AF801" t="s">
        <v>1040</v>
      </c>
    </row>
    <row r="802" spans="1:32" hidden="1" x14ac:dyDescent="0.35">
      <c r="A802">
        <v>3080</v>
      </c>
      <c r="B802" t="s">
        <v>6357</v>
      </c>
      <c r="C802" t="s">
        <v>72</v>
      </c>
      <c r="D802" t="s">
        <v>60</v>
      </c>
      <c r="E802">
        <v>1512</v>
      </c>
      <c r="F802">
        <v>5</v>
      </c>
      <c r="G802">
        <v>5</v>
      </c>
      <c r="H802">
        <v>1</v>
      </c>
      <c r="I802">
        <v>1</v>
      </c>
      <c r="J802">
        <v>0.75262762762762803</v>
      </c>
      <c r="K802">
        <v>0.88478252438480498</v>
      </c>
      <c r="L802">
        <v>0.81337198438117797</v>
      </c>
      <c r="M802">
        <v>0.49685534591195002</v>
      </c>
      <c r="N802">
        <v>1</v>
      </c>
      <c r="O802">
        <v>0.64249775381850804</v>
      </c>
      <c r="P802" t="s">
        <v>6358</v>
      </c>
      <c r="Q802" t="s">
        <v>6359</v>
      </c>
      <c r="R802" t="s">
        <v>1474</v>
      </c>
      <c r="S802" t="s">
        <v>1475</v>
      </c>
      <c r="T802" t="s">
        <v>6360</v>
      </c>
      <c r="U802" t="s">
        <v>6361</v>
      </c>
      <c r="V802" t="s">
        <v>6362</v>
      </c>
      <c r="W802" t="s">
        <v>6363</v>
      </c>
      <c r="AD802" t="s">
        <v>1480</v>
      </c>
      <c r="AE802" t="s">
        <v>6364</v>
      </c>
      <c r="AF802" t="s">
        <v>6366</v>
      </c>
    </row>
    <row r="803" spans="1:32" hidden="1" x14ac:dyDescent="0.35">
      <c r="A803">
        <v>3081</v>
      </c>
      <c r="B803" t="s">
        <v>6357</v>
      </c>
      <c r="C803" t="s">
        <v>72</v>
      </c>
      <c r="D803" t="s">
        <v>62</v>
      </c>
      <c r="E803">
        <v>1547</v>
      </c>
      <c r="F803">
        <v>5</v>
      </c>
      <c r="G803">
        <v>5</v>
      </c>
      <c r="H803">
        <v>1</v>
      </c>
      <c r="I803">
        <v>1</v>
      </c>
      <c r="J803">
        <v>0.75262762762762803</v>
      </c>
      <c r="K803">
        <v>0.88478252438480498</v>
      </c>
      <c r="L803">
        <v>0.81337198438117797</v>
      </c>
      <c r="M803">
        <v>0.49685534591195002</v>
      </c>
      <c r="N803">
        <v>1</v>
      </c>
      <c r="O803">
        <v>0.64249775381850804</v>
      </c>
      <c r="P803" t="s">
        <v>6358</v>
      </c>
      <c r="Q803" t="s">
        <v>6359</v>
      </c>
      <c r="R803" t="s">
        <v>1474</v>
      </c>
      <c r="S803" t="s">
        <v>1475</v>
      </c>
      <c r="T803" t="s">
        <v>6360</v>
      </c>
      <c r="U803" t="s">
        <v>6361</v>
      </c>
      <c r="V803" t="s">
        <v>6362</v>
      </c>
      <c r="W803" t="s">
        <v>6363</v>
      </c>
      <c r="AD803" t="s">
        <v>1480</v>
      </c>
      <c r="AE803" t="s">
        <v>6364</v>
      </c>
      <c r="AF803" t="s">
        <v>6366</v>
      </c>
    </row>
    <row r="804" spans="1:32" hidden="1" x14ac:dyDescent="0.35">
      <c r="A804">
        <v>3082</v>
      </c>
      <c r="B804" t="s">
        <v>6357</v>
      </c>
      <c r="C804" t="s">
        <v>72</v>
      </c>
      <c r="D804" t="s">
        <v>34</v>
      </c>
      <c r="E804">
        <v>1943</v>
      </c>
      <c r="F804">
        <v>5</v>
      </c>
      <c r="G804">
        <v>5</v>
      </c>
      <c r="H804">
        <v>1</v>
      </c>
      <c r="I804">
        <v>1</v>
      </c>
      <c r="J804">
        <v>0.75262762762762803</v>
      </c>
      <c r="K804">
        <v>0.88478252438480498</v>
      </c>
      <c r="L804">
        <v>0.81337198438117797</v>
      </c>
      <c r="M804">
        <v>0.49685534591195002</v>
      </c>
      <c r="N804">
        <v>1</v>
      </c>
      <c r="O804">
        <v>0.64249775381850804</v>
      </c>
      <c r="P804" t="s">
        <v>6358</v>
      </c>
      <c r="Q804" t="s">
        <v>6359</v>
      </c>
      <c r="R804" t="s">
        <v>1474</v>
      </c>
      <c r="S804" t="s">
        <v>1475</v>
      </c>
      <c r="T804" t="s">
        <v>6360</v>
      </c>
      <c r="U804" t="s">
        <v>6361</v>
      </c>
      <c r="V804" t="s">
        <v>6362</v>
      </c>
      <c r="W804" t="s">
        <v>6363</v>
      </c>
      <c r="AD804" t="s">
        <v>1480</v>
      </c>
      <c r="AE804" t="s">
        <v>6364</v>
      </c>
      <c r="AF804" t="s">
        <v>6367</v>
      </c>
    </row>
    <row r="805" spans="1:32" hidden="1" x14ac:dyDescent="0.35">
      <c r="A805">
        <v>3083</v>
      </c>
      <c r="B805" t="s">
        <v>6357</v>
      </c>
      <c r="C805" t="s">
        <v>72</v>
      </c>
      <c r="D805" t="s">
        <v>45</v>
      </c>
      <c r="E805">
        <v>930</v>
      </c>
      <c r="F805">
        <v>5</v>
      </c>
      <c r="G805">
        <v>5</v>
      </c>
      <c r="H805">
        <v>1</v>
      </c>
      <c r="I805">
        <v>1</v>
      </c>
      <c r="J805">
        <v>0.75262762762762803</v>
      </c>
      <c r="K805">
        <v>0.88478252438480498</v>
      </c>
      <c r="L805">
        <v>0.81337198438117797</v>
      </c>
      <c r="M805">
        <v>0.49685534591195002</v>
      </c>
      <c r="N805">
        <v>1</v>
      </c>
      <c r="O805">
        <v>0.64249775381850804</v>
      </c>
      <c r="P805" t="s">
        <v>6358</v>
      </c>
      <c r="Q805" t="s">
        <v>6359</v>
      </c>
      <c r="R805" t="s">
        <v>1474</v>
      </c>
      <c r="S805" t="s">
        <v>1475</v>
      </c>
      <c r="T805" t="s">
        <v>6360</v>
      </c>
      <c r="U805" t="s">
        <v>6361</v>
      </c>
      <c r="V805" t="s">
        <v>6362</v>
      </c>
      <c r="W805" t="s">
        <v>6363</v>
      </c>
      <c r="AD805" t="s">
        <v>1480</v>
      </c>
      <c r="AE805" t="s">
        <v>6364</v>
      </c>
      <c r="AF805" t="s">
        <v>6368</v>
      </c>
    </row>
    <row r="806" spans="1:32" hidden="1" x14ac:dyDescent="0.35">
      <c r="A806">
        <v>11609</v>
      </c>
      <c r="B806" t="s">
        <v>23759</v>
      </c>
      <c r="C806" t="s">
        <v>33</v>
      </c>
      <c r="D806" t="s">
        <v>58</v>
      </c>
      <c r="E806">
        <v>231</v>
      </c>
      <c r="F806">
        <v>1</v>
      </c>
      <c r="G806">
        <v>1</v>
      </c>
      <c r="H806">
        <v>1</v>
      </c>
      <c r="I806">
        <v>0</v>
      </c>
      <c r="J806">
        <v>1</v>
      </c>
      <c r="K806">
        <v>1</v>
      </c>
      <c r="L806">
        <v>1</v>
      </c>
      <c r="M806">
        <v>0</v>
      </c>
      <c r="N806">
        <v>0</v>
      </c>
      <c r="O806">
        <v>0</v>
      </c>
      <c r="P806" t="s">
        <v>23760</v>
      </c>
      <c r="Q806" t="s">
        <v>23761</v>
      </c>
      <c r="R806" t="s">
        <v>342</v>
      </c>
      <c r="S806" t="s">
        <v>343</v>
      </c>
      <c r="T806" t="s">
        <v>23762</v>
      </c>
      <c r="U806" t="s">
        <v>23763</v>
      </c>
      <c r="V806" t="s">
        <v>16823</v>
      </c>
      <c r="W806" t="s">
        <v>16824</v>
      </c>
      <c r="AD806" t="s">
        <v>166</v>
      </c>
      <c r="AE806" t="s">
        <v>23222</v>
      </c>
      <c r="AF806" t="s">
        <v>23764</v>
      </c>
    </row>
    <row r="807" spans="1:32" hidden="1" x14ac:dyDescent="0.35">
      <c r="A807">
        <v>3400</v>
      </c>
      <c r="B807" t="s">
        <v>6984</v>
      </c>
      <c r="C807" t="s">
        <v>72</v>
      </c>
      <c r="D807" t="s">
        <v>60</v>
      </c>
      <c r="E807">
        <v>1747</v>
      </c>
      <c r="F807">
        <v>5</v>
      </c>
      <c r="G807">
        <v>5</v>
      </c>
      <c r="H807">
        <v>1</v>
      </c>
      <c r="I807">
        <v>1</v>
      </c>
      <c r="J807">
        <v>0.81036455778976602</v>
      </c>
      <c r="K807">
        <v>0.91351216990136697</v>
      </c>
      <c r="L807">
        <v>0.85885246167129203</v>
      </c>
      <c r="M807">
        <v>0.62583518930957704</v>
      </c>
      <c r="N807">
        <v>1</v>
      </c>
      <c r="O807">
        <v>0.72026726057906498</v>
      </c>
      <c r="P807" t="s">
        <v>6985</v>
      </c>
      <c r="Q807" t="s">
        <v>6986</v>
      </c>
      <c r="R807" t="s">
        <v>1474</v>
      </c>
      <c r="S807" t="s">
        <v>1475</v>
      </c>
      <c r="T807" t="s">
        <v>6987</v>
      </c>
      <c r="U807" t="s">
        <v>6988</v>
      </c>
      <c r="V807" t="s">
        <v>6989</v>
      </c>
      <c r="W807" t="s">
        <v>6990</v>
      </c>
      <c r="AD807" t="s">
        <v>6991</v>
      </c>
      <c r="AE807" t="s">
        <v>6992</v>
      </c>
      <c r="AF807" t="s">
        <v>6994</v>
      </c>
    </row>
    <row r="808" spans="1:32" hidden="1" x14ac:dyDescent="0.35">
      <c r="A808">
        <v>3401</v>
      </c>
      <c r="B808" t="s">
        <v>6984</v>
      </c>
      <c r="C808" t="s">
        <v>72</v>
      </c>
      <c r="D808" t="s">
        <v>62</v>
      </c>
      <c r="E808">
        <v>1783</v>
      </c>
      <c r="F808">
        <v>5</v>
      </c>
      <c r="G808">
        <v>5</v>
      </c>
      <c r="H808">
        <v>1</v>
      </c>
      <c r="I808">
        <v>1</v>
      </c>
      <c r="J808">
        <v>0.81036455778976602</v>
      </c>
      <c r="K808">
        <v>0.91351216990136697</v>
      </c>
      <c r="L808">
        <v>0.85885246167129203</v>
      </c>
      <c r="M808">
        <v>0.62583518930957704</v>
      </c>
      <c r="N808">
        <v>1</v>
      </c>
      <c r="O808">
        <v>0.72026726057906498</v>
      </c>
      <c r="P808" t="s">
        <v>6985</v>
      </c>
      <c r="Q808" t="s">
        <v>6986</v>
      </c>
      <c r="R808" t="s">
        <v>1474</v>
      </c>
      <c r="S808" t="s">
        <v>1475</v>
      </c>
      <c r="T808" t="s">
        <v>6987</v>
      </c>
      <c r="U808" t="s">
        <v>6988</v>
      </c>
      <c r="V808" t="s">
        <v>6989</v>
      </c>
      <c r="W808" t="s">
        <v>6990</v>
      </c>
      <c r="AD808" t="s">
        <v>6991</v>
      </c>
      <c r="AE808" t="s">
        <v>6992</v>
      </c>
      <c r="AF808" t="s">
        <v>6994</v>
      </c>
    </row>
    <row r="809" spans="1:32" hidden="1" x14ac:dyDescent="0.35">
      <c r="A809">
        <v>3402</v>
      </c>
      <c r="B809" t="s">
        <v>6984</v>
      </c>
      <c r="C809" t="s">
        <v>72</v>
      </c>
      <c r="D809" t="s">
        <v>34</v>
      </c>
      <c r="E809">
        <v>2114</v>
      </c>
      <c r="F809">
        <v>5</v>
      </c>
      <c r="G809">
        <v>5</v>
      </c>
      <c r="H809">
        <v>1</v>
      </c>
      <c r="I809">
        <v>1</v>
      </c>
      <c r="J809">
        <v>0.81036455778976602</v>
      </c>
      <c r="K809">
        <v>0.91351216990136697</v>
      </c>
      <c r="L809">
        <v>0.85885246167129203</v>
      </c>
      <c r="M809">
        <v>0.62583518930957704</v>
      </c>
      <c r="N809">
        <v>1</v>
      </c>
      <c r="O809">
        <v>0.72026726057906498</v>
      </c>
      <c r="P809" t="s">
        <v>6985</v>
      </c>
      <c r="Q809" t="s">
        <v>6986</v>
      </c>
      <c r="R809" t="s">
        <v>1474</v>
      </c>
      <c r="S809" t="s">
        <v>1475</v>
      </c>
      <c r="T809" t="s">
        <v>6987</v>
      </c>
      <c r="U809" t="s">
        <v>6988</v>
      </c>
      <c r="V809" t="s">
        <v>6989</v>
      </c>
      <c r="W809" t="s">
        <v>6990</v>
      </c>
      <c r="AD809" t="s">
        <v>6991</v>
      </c>
      <c r="AE809" t="s">
        <v>6992</v>
      </c>
      <c r="AF809" t="s">
        <v>6995</v>
      </c>
    </row>
    <row r="810" spans="1:32" hidden="1" x14ac:dyDescent="0.35">
      <c r="A810">
        <v>3403</v>
      </c>
      <c r="B810" t="s">
        <v>6984</v>
      </c>
      <c r="C810" t="s">
        <v>72</v>
      </c>
      <c r="D810" t="s">
        <v>45</v>
      </c>
      <c r="E810">
        <v>758</v>
      </c>
      <c r="F810">
        <v>5</v>
      </c>
      <c r="G810">
        <v>5</v>
      </c>
      <c r="H810">
        <v>1</v>
      </c>
      <c r="I810">
        <v>1</v>
      </c>
      <c r="J810">
        <v>0.81036455778976602</v>
      </c>
      <c r="K810">
        <v>0.91351216990136697</v>
      </c>
      <c r="L810">
        <v>0.85885246167129203</v>
      </c>
      <c r="M810">
        <v>0.62583518930957704</v>
      </c>
      <c r="N810">
        <v>1</v>
      </c>
      <c r="O810">
        <v>0.72026726057906498</v>
      </c>
      <c r="P810" t="s">
        <v>6985</v>
      </c>
      <c r="Q810" t="s">
        <v>6986</v>
      </c>
      <c r="R810" t="s">
        <v>1474</v>
      </c>
      <c r="S810" t="s">
        <v>1475</v>
      </c>
      <c r="T810" t="s">
        <v>6987</v>
      </c>
      <c r="U810" t="s">
        <v>6988</v>
      </c>
      <c r="V810" t="s">
        <v>6989</v>
      </c>
      <c r="W810" t="s">
        <v>6990</v>
      </c>
      <c r="AD810" t="s">
        <v>6991</v>
      </c>
      <c r="AE810" t="s">
        <v>6992</v>
      </c>
      <c r="AF810" t="s">
        <v>6995</v>
      </c>
    </row>
    <row r="811" spans="1:32" hidden="1" x14ac:dyDescent="0.35">
      <c r="A811">
        <v>11397</v>
      </c>
      <c r="B811" t="s">
        <v>23219</v>
      </c>
      <c r="C811" t="s">
        <v>33</v>
      </c>
      <c r="D811" t="s">
        <v>58</v>
      </c>
      <c r="E811">
        <v>232</v>
      </c>
      <c r="F811">
        <v>1</v>
      </c>
      <c r="G811">
        <v>1</v>
      </c>
      <c r="H811">
        <v>1</v>
      </c>
      <c r="I811">
        <v>0</v>
      </c>
      <c r="J811">
        <v>1</v>
      </c>
      <c r="K811">
        <v>1</v>
      </c>
      <c r="L811">
        <v>1</v>
      </c>
      <c r="M811">
        <v>0</v>
      </c>
      <c r="N811">
        <v>0</v>
      </c>
      <c r="O811">
        <v>0</v>
      </c>
      <c r="P811" t="s">
        <v>1247</v>
      </c>
      <c r="Q811" t="s">
        <v>1248</v>
      </c>
      <c r="R811" t="s">
        <v>342</v>
      </c>
      <c r="S811" t="s">
        <v>343</v>
      </c>
      <c r="T811" t="s">
        <v>23220</v>
      </c>
      <c r="U811" t="s">
        <v>23221</v>
      </c>
      <c r="V811" t="s">
        <v>14204</v>
      </c>
      <c r="W811" t="s">
        <v>14205</v>
      </c>
      <c r="AD811" t="s">
        <v>166</v>
      </c>
      <c r="AE811" t="s">
        <v>23222</v>
      </c>
      <c r="AF811" t="s">
        <v>23223</v>
      </c>
    </row>
    <row r="812" spans="1:32" hidden="1" x14ac:dyDescent="0.35">
      <c r="A812">
        <v>3730</v>
      </c>
      <c r="B812" t="s">
        <v>7692</v>
      </c>
      <c r="C812" t="s">
        <v>72</v>
      </c>
      <c r="D812" t="s">
        <v>60</v>
      </c>
      <c r="E812">
        <v>1642</v>
      </c>
      <c r="F812">
        <v>5</v>
      </c>
      <c r="G812">
        <v>5</v>
      </c>
      <c r="H812">
        <v>1</v>
      </c>
      <c r="I812">
        <v>1</v>
      </c>
      <c r="J812">
        <v>0.74771609276177098</v>
      </c>
      <c r="K812">
        <v>0.95690451495459405</v>
      </c>
      <c r="L812">
        <v>0.83947466295913598</v>
      </c>
      <c r="M812">
        <v>0.55583543240973998</v>
      </c>
      <c r="N812">
        <v>0.99580184718723797</v>
      </c>
      <c r="O812">
        <v>0.66935348446683496</v>
      </c>
      <c r="P812" t="s">
        <v>448</v>
      </c>
      <c r="Q812" t="s">
        <v>449</v>
      </c>
      <c r="R812" t="s">
        <v>1474</v>
      </c>
      <c r="S812" t="s">
        <v>1475</v>
      </c>
      <c r="T812" t="s">
        <v>7693</v>
      </c>
      <c r="U812" t="s">
        <v>7694</v>
      </c>
      <c r="V812" t="s">
        <v>7695</v>
      </c>
      <c r="W812" t="s">
        <v>7696</v>
      </c>
      <c r="AD812" t="s">
        <v>1480</v>
      </c>
      <c r="AE812" t="s">
        <v>5109</v>
      </c>
      <c r="AF812" t="s">
        <v>7698</v>
      </c>
    </row>
    <row r="813" spans="1:32" hidden="1" x14ac:dyDescent="0.35">
      <c r="A813">
        <v>3731</v>
      </c>
      <c r="B813" t="s">
        <v>7692</v>
      </c>
      <c r="C813" t="s">
        <v>72</v>
      </c>
      <c r="D813" t="s">
        <v>62</v>
      </c>
      <c r="E813">
        <v>1677</v>
      </c>
      <c r="F813">
        <v>5</v>
      </c>
      <c r="G813">
        <v>5</v>
      </c>
      <c r="H813">
        <v>1</v>
      </c>
      <c r="I813">
        <v>1</v>
      </c>
      <c r="J813">
        <v>0.74771609276177098</v>
      </c>
      <c r="K813">
        <v>0.95690451495459405</v>
      </c>
      <c r="L813">
        <v>0.83947466295913598</v>
      </c>
      <c r="M813">
        <v>0.55583543240973998</v>
      </c>
      <c r="N813">
        <v>0.99580184718723797</v>
      </c>
      <c r="O813">
        <v>0.66935348446683496</v>
      </c>
      <c r="P813" t="s">
        <v>448</v>
      </c>
      <c r="Q813" t="s">
        <v>449</v>
      </c>
      <c r="R813" t="s">
        <v>1474</v>
      </c>
      <c r="S813" t="s">
        <v>1475</v>
      </c>
      <c r="T813" t="s">
        <v>7693</v>
      </c>
      <c r="U813" t="s">
        <v>7694</v>
      </c>
      <c r="V813" t="s">
        <v>7695</v>
      </c>
      <c r="W813" t="s">
        <v>7696</v>
      </c>
      <c r="AD813" t="s">
        <v>1480</v>
      </c>
      <c r="AE813" t="s">
        <v>5109</v>
      </c>
      <c r="AF813" t="s">
        <v>7698</v>
      </c>
    </row>
    <row r="814" spans="1:32" hidden="1" x14ac:dyDescent="0.35">
      <c r="A814">
        <v>3732</v>
      </c>
      <c r="B814" t="s">
        <v>7692</v>
      </c>
      <c r="C814" t="s">
        <v>72</v>
      </c>
      <c r="D814" t="s">
        <v>34</v>
      </c>
      <c r="E814">
        <v>2040</v>
      </c>
      <c r="F814">
        <v>5</v>
      </c>
      <c r="G814">
        <v>5</v>
      </c>
      <c r="H814">
        <v>1</v>
      </c>
      <c r="I814">
        <v>1</v>
      </c>
      <c r="J814">
        <v>0.74771609276177098</v>
      </c>
      <c r="K814">
        <v>0.95690451495459405</v>
      </c>
      <c r="L814">
        <v>0.83947466295913598</v>
      </c>
      <c r="M814">
        <v>0.55583543240973998</v>
      </c>
      <c r="N814">
        <v>0.99580184718723797</v>
      </c>
      <c r="O814">
        <v>0.66935348446683496</v>
      </c>
      <c r="P814" t="s">
        <v>448</v>
      </c>
      <c r="Q814" t="s">
        <v>449</v>
      </c>
      <c r="R814" t="s">
        <v>1474</v>
      </c>
      <c r="S814" t="s">
        <v>1475</v>
      </c>
      <c r="T814" t="s">
        <v>7693</v>
      </c>
      <c r="U814" t="s">
        <v>7694</v>
      </c>
      <c r="V814" t="s">
        <v>7695</v>
      </c>
      <c r="W814" t="s">
        <v>7696</v>
      </c>
      <c r="AD814" t="s">
        <v>1480</v>
      </c>
      <c r="AE814" t="s">
        <v>5109</v>
      </c>
      <c r="AF814" t="s">
        <v>7699</v>
      </c>
    </row>
    <row r="815" spans="1:32" hidden="1" x14ac:dyDescent="0.35">
      <c r="A815">
        <v>3733</v>
      </c>
      <c r="B815" t="s">
        <v>7692</v>
      </c>
      <c r="C815" t="s">
        <v>72</v>
      </c>
      <c r="D815" t="s">
        <v>45</v>
      </c>
      <c r="E815">
        <v>832</v>
      </c>
      <c r="F815">
        <v>5</v>
      </c>
      <c r="G815">
        <v>5</v>
      </c>
      <c r="H815">
        <v>1</v>
      </c>
      <c r="I815">
        <v>1</v>
      </c>
      <c r="J815">
        <v>0.74771609276177098</v>
      </c>
      <c r="K815">
        <v>0.95690451495459405</v>
      </c>
      <c r="L815">
        <v>0.83947466295913598</v>
      </c>
      <c r="M815">
        <v>0.55583543240973998</v>
      </c>
      <c r="N815">
        <v>0.99580184718723797</v>
      </c>
      <c r="O815">
        <v>0.66935348446683496</v>
      </c>
      <c r="P815" t="s">
        <v>448</v>
      </c>
      <c r="Q815" t="s">
        <v>449</v>
      </c>
      <c r="R815" t="s">
        <v>1474</v>
      </c>
      <c r="S815" t="s">
        <v>1475</v>
      </c>
      <c r="T815" t="s">
        <v>7693</v>
      </c>
      <c r="U815" t="s">
        <v>7694</v>
      </c>
      <c r="V815" t="s">
        <v>7695</v>
      </c>
      <c r="W815" t="s">
        <v>7696</v>
      </c>
      <c r="AD815" t="s">
        <v>1480</v>
      </c>
      <c r="AE815" t="s">
        <v>5109</v>
      </c>
      <c r="AF815" t="s">
        <v>7700</v>
      </c>
    </row>
    <row r="816" spans="1:32" hidden="1" x14ac:dyDescent="0.35">
      <c r="A816">
        <v>267</v>
      </c>
      <c r="B816" t="s">
        <v>462</v>
      </c>
      <c r="C816" t="s">
        <v>72</v>
      </c>
      <c r="D816" t="s">
        <v>58</v>
      </c>
      <c r="E816">
        <v>703</v>
      </c>
      <c r="F816">
        <v>5</v>
      </c>
      <c r="G816">
        <v>7</v>
      </c>
      <c r="H816">
        <v>3</v>
      </c>
      <c r="I816">
        <v>0</v>
      </c>
      <c r="J816">
        <v>0.65003030303030296</v>
      </c>
      <c r="K816">
        <v>0.96361928749400605</v>
      </c>
      <c r="L816">
        <v>0.77635409959364099</v>
      </c>
      <c r="M816">
        <v>0.43933823529411797</v>
      </c>
      <c r="N816">
        <v>0.99080882352941202</v>
      </c>
      <c r="O816">
        <v>0.56241246498599395</v>
      </c>
      <c r="P816" t="s">
        <v>433</v>
      </c>
      <c r="Q816" t="s">
        <v>434</v>
      </c>
      <c r="R816" t="s">
        <v>235</v>
      </c>
      <c r="S816" t="s">
        <v>236</v>
      </c>
      <c r="T816" t="s">
        <v>463</v>
      </c>
      <c r="U816" t="s">
        <v>464</v>
      </c>
      <c r="V816" t="s">
        <v>465</v>
      </c>
      <c r="W816" t="s">
        <v>466</v>
      </c>
      <c r="AD816" t="s">
        <v>326</v>
      </c>
      <c r="AE816" t="s">
        <v>467</v>
      </c>
      <c r="AF816" t="e">
        <f>-------------MTMKKYLAIPMSAALMFGLAACSSDGSSGGGDN----YIIVNSSEPQNPLVPANTTENGGGRPIDMLYSGLVYYDAKGEEHNEVAEKIETEDSQKYTITLRKDAKFSDGSPVKAENFVKAWNYAVENSLQAASFFEPIKGY-AEGVKEMEGLKVVDDYTFTVELTQPEADFPLRLGYSAFYPMHDSAFDDIEAYGQKPIGNGPYVLEEWNHDASALLVKNPEYVGPREAKNDGIDFRFYAKIDAAYTDLLAGNLDVIDAIPDSAFKTYESELNGRAVNQPAAVFQSFTVPERLDHFSG-EEGNLRRQALSMAFDRSEITEKIFDGTRTPAKDFTSPVIAGYDKDLKGHDVLQYNPEKAKELWEKADAISPWSGSFEIAYNADGGHQGWVDAVTNSIRNTLGIDAQGKPMPDFKSFRNEVKDRTIQTGFRTGWQADYPGLGNFLVPLYTTGASSNDGDYSSAAFDAQMKKAAGADSVEESSKLYNEGQEILFQDLPAIPLWYSNVNGGWSENVDNVVFNWKSVPEYYSITKK</f>
        <v>#NAME?</v>
      </c>
    </row>
    <row r="817" spans="1:32" hidden="1" x14ac:dyDescent="0.35">
      <c r="A817">
        <v>4395</v>
      </c>
      <c r="B817" t="s">
        <v>9150</v>
      </c>
      <c r="C817" t="s">
        <v>72</v>
      </c>
      <c r="D817" t="s">
        <v>60</v>
      </c>
      <c r="E817">
        <v>2548</v>
      </c>
      <c r="F817">
        <v>5</v>
      </c>
      <c r="G817">
        <v>5</v>
      </c>
      <c r="H817">
        <v>1</v>
      </c>
      <c r="I817">
        <v>1</v>
      </c>
      <c r="J817">
        <v>0.75424688561721398</v>
      </c>
      <c r="K817">
        <v>0.77823305980578406</v>
      </c>
      <c r="L817">
        <v>0.76605225849249003</v>
      </c>
      <c r="M817">
        <v>0.43551797040169099</v>
      </c>
      <c r="N817">
        <v>0.99154334038055003</v>
      </c>
      <c r="O817">
        <v>0.59196617336152202</v>
      </c>
      <c r="P817" t="s">
        <v>9151</v>
      </c>
      <c r="Q817" t="s">
        <v>9152</v>
      </c>
      <c r="R817" t="s">
        <v>1474</v>
      </c>
      <c r="S817" t="s">
        <v>1475</v>
      </c>
      <c r="T817" t="s">
        <v>9153</v>
      </c>
      <c r="U817" t="s">
        <v>9154</v>
      </c>
      <c r="V817" t="s">
        <v>9155</v>
      </c>
      <c r="W817" t="s">
        <v>9156</v>
      </c>
      <c r="AD817" t="s">
        <v>9157</v>
      </c>
      <c r="AE817" t="s">
        <v>9158</v>
      </c>
      <c r="AF817" t="s">
        <v>9160</v>
      </c>
    </row>
    <row r="818" spans="1:32" hidden="1" x14ac:dyDescent="0.35">
      <c r="A818">
        <v>4396</v>
      </c>
      <c r="B818" t="s">
        <v>9150</v>
      </c>
      <c r="C818" t="s">
        <v>72</v>
      </c>
      <c r="D818" t="s">
        <v>62</v>
      </c>
      <c r="E818">
        <v>73</v>
      </c>
      <c r="F818">
        <v>5</v>
      </c>
      <c r="G818">
        <v>5</v>
      </c>
      <c r="H818">
        <v>1</v>
      </c>
      <c r="I818">
        <v>1</v>
      </c>
      <c r="J818">
        <v>0.75424688561721398</v>
      </c>
      <c r="K818">
        <v>0.77823305980578406</v>
      </c>
      <c r="L818">
        <v>0.76605225849249003</v>
      </c>
      <c r="M818">
        <v>0.43551797040169099</v>
      </c>
      <c r="N818">
        <v>0.99154334038055003</v>
      </c>
      <c r="O818">
        <v>0.59196617336152202</v>
      </c>
      <c r="P818" t="s">
        <v>9151</v>
      </c>
      <c r="Q818" t="s">
        <v>9152</v>
      </c>
      <c r="R818" t="s">
        <v>1474</v>
      </c>
      <c r="S818" t="s">
        <v>1475</v>
      </c>
      <c r="T818" t="s">
        <v>9153</v>
      </c>
      <c r="U818" t="s">
        <v>9154</v>
      </c>
      <c r="V818" t="s">
        <v>9155</v>
      </c>
      <c r="W818" t="s">
        <v>9156</v>
      </c>
      <c r="AD818" t="s">
        <v>9157</v>
      </c>
      <c r="AE818" t="s">
        <v>9158</v>
      </c>
      <c r="AF818" t="s">
        <v>9161</v>
      </c>
    </row>
    <row r="819" spans="1:32" hidden="1" x14ac:dyDescent="0.35">
      <c r="A819">
        <v>4397</v>
      </c>
      <c r="B819" t="s">
        <v>9150</v>
      </c>
      <c r="C819" t="s">
        <v>72</v>
      </c>
      <c r="D819" t="s">
        <v>34</v>
      </c>
      <c r="E819">
        <v>1096</v>
      </c>
      <c r="F819">
        <v>5</v>
      </c>
      <c r="G819">
        <v>5</v>
      </c>
      <c r="H819">
        <v>1</v>
      </c>
      <c r="I819">
        <v>1</v>
      </c>
      <c r="J819">
        <v>0.75424688561721398</v>
      </c>
      <c r="K819">
        <v>0.77823305980578406</v>
      </c>
      <c r="L819">
        <v>0.76605225849249003</v>
      </c>
      <c r="M819">
        <v>0.43551797040169099</v>
      </c>
      <c r="N819">
        <v>0.99154334038055003</v>
      </c>
      <c r="O819">
        <v>0.59196617336152202</v>
      </c>
      <c r="P819" t="s">
        <v>9151</v>
      </c>
      <c r="Q819" t="s">
        <v>9152</v>
      </c>
      <c r="R819" t="s">
        <v>1474</v>
      </c>
      <c r="S819" t="s">
        <v>1475</v>
      </c>
      <c r="T819" t="s">
        <v>9153</v>
      </c>
      <c r="U819" t="s">
        <v>9154</v>
      </c>
      <c r="V819" t="s">
        <v>9155</v>
      </c>
      <c r="W819" t="s">
        <v>9156</v>
      </c>
      <c r="AD819" t="s">
        <v>9157</v>
      </c>
      <c r="AE819" t="s">
        <v>9158</v>
      </c>
      <c r="AF819" t="e">
        <f>-----MTARKGGLGRGLAALI-----------------------------------------TNQPDSRLGDNAA------------DIVIGGARKPE--------------------------------------PDAEETPTSAALRPQLEVVPET--------------ELAAHYQEIPTDLIDPNPKNPRKVFDNFDLDELVHSIKEFGLLQPIVVRRSGDR--YELVMGERRWRAATQAGLDTIPAIVRKTDDDSMLRDALLENVHRVQLNPLEEAAAYEQLLEEFGITQSELADKLGRSRPVVTNMLRLLKLPVAVQQKVAAGVLSAGHARALLAINEDQEGQERLANRIVSEGLSVRATEEAVVLLSHG-ETGPVRKRAKAPMPEYLTTAAESLADNLDTKVSVSMGKHKGRIVVEFGGKDDFERIMGLLSGDESAGSAADLAETAGITDAVLPPADAPDPADSTE</f>
        <v>#NAME?</v>
      </c>
    </row>
    <row r="820" spans="1:32" hidden="1" x14ac:dyDescent="0.35">
      <c r="A820">
        <v>4398</v>
      </c>
      <c r="B820" t="s">
        <v>9150</v>
      </c>
      <c r="C820" t="s">
        <v>72</v>
      </c>
      <c r="D820" t="s">
        <v>45</v>
      </c>
      <c r="E820">
        <v>2350</v>
      </c>
      <c r="F820">
        <v>5</v>
      </c>
      <c r="G820">
        <v>5</v>
      </c>
      <c r="H820">
        <v>1</v>
      </c>
      <c r="I820">
        <v>1</v>
      </c>
      <c r="J820">
        <v>0.75424688561721398</v>
      </c>
      <c r="K820">
        <v>0.77823305980578406</v>
      </c>
      <c r="L820">
        <v>0.76605225849249003</v>
      </c>
      <c r="M820">
        <v>0.43551797040169099</v>
      </c>
      <c r="N820">
        <v>0.99154334038055003</v>
      </c>
      <c r="O820">
        <v>0.59196617336152202</v>
      </c>
      <c r="P820" t="s">
        <v>9151</v>
      </c>
      <c r="Q820" t="s">
        <v>9152</v>
      </c>
      <c r="R820" t="s">
        <v>1474</v>
      </c>
      <c r="S820" t="s">
        <v>1475</v>
      </c>
      <c r="T820" t="s">
        <v>9153</v>
      </c>
      <c r="U820" t="s">
        <v>9154</v>
      </c>
      <c r="V820" t="s">
        <v>9155</v>
      </c>
      <c r="W820" t="s">
        <v>9156</v>
      </c>
      <c r="AD820" t="s">
        <v>9157</v>
      </c>
      <c r="AE820" t="s">
        <v>9158</v>
      </c>
      <c r="AF820" t="e">
        <f>-----MTARKGGLGRGLAALI-----------------------------------------TNQPDSRLGDNAA------------DIVIGGARKPE--------------------------------------PDAEETPTSAALRPQLEVVPET--------------ELAAHYQEIPTDLIDPNPKNPRKVFDNFDLDELVHSIKEFGLLQPIVVRRSGDR--YELVMGERRWRAATQAGLDTIPAIVRKTDDDSMLRDALLENVHRVQLNPLEEAAAYEQLLEEFGVTQSELADKLGRSRPVVTNMLRLLKLPVAVQQKVAAGVLSAGHARALLAINEDQEGQERLANRIVSEGLSVRATEEAVVLLSHG-ETGPVRKCAKAPMPEYLTTAAESLADNLDTKVSVSMGKHKGRIVVEFGGKDDFERIMGLLSGDESAGPVADLAETAGITDAVLPPADAPDPADSTE</f>
        <v>#NAME?</v>
      </c>
    </row>
    <row r="821" spans="1:32" hidden="1" x14ac:dyDescent="0.35">
      <c r="A821">
        <v>268</v>
      </c>
      <c r="B821" t="s">
        <v>462</v>
      </c>
      <c r="C821" t="s">
        <v>72</v>
      </c>
      <c r="D821" t="s">
        <v>58</v>
      </c>
      <c r="E821">
        <v>1145</v>
      </c>
      <c r="F821">
        <v>5</v>
      </c>
      <c r="G821">
        <v>7</v>
      </c>
      <c r="H821">
        <v>3</v>
      </c>
      <c r="I821">
        <v>0</v>
      </c>
      <c r="J821">
        <v>0.65003030303030296</v>
      </c>
      <c r="K821">
        <v>0.96361928749400605</v>
      </c>
      <c r="L821">
        <v>0.77635409959364099</v>
      </c>
      <c r="M821">
        <v>0.43933823529411797</v>
      </c>
      <c r="N821">
        <v>0.99080882352941202</v>
      </c>
      <c r="O821">
        <v>0.56241246498599395</v>
      </c>
      <c r="P821" t="s">
        <v>433</v>
      </c>
      <c r="Q821" t="s">
        <v>434</v>
      </c>
      <c r="R821" t="s">
        <v>235</v>
      </c>
      <c r="S821" t="s">
        <v>236</v>
      </c>
      <c r="T821" t="s">
        <v>463</v>
      </c>
      <c r="U821" t="s">
        <v>464</v>
      </c>
      <c r="V821" t="s">
        <v>465</v>
      </c>
      <c r="W821" t="s">
        <v>466</v>
      </c>
      <c r="AD821" t="s">
        <v>326</v>
      </c>
      <c r="AE821" t="s">
        <v>467</v>
      </c>
      <c r="AF821" t="s">
        <v>468</v>
      </c>
    </row>
    <row r="822" spans="1:32" hidden="1" x14ac:dyDescent="0.35">
      <c r="A822">
        <v>2049</v>
      </c>
      <c r="B822" t="s">
        <v>4257</v>
      </c>
      <c r="C822" t="s">
        <v>72</v>
      </c>
      <c r="D822" t="s">
        <v>58</v>
      </c>
      <c r="E822">
        <v>870</v>
      </c>
      <c r="F822">
        <v>5</v>
      </c>
      <c r="G822">
        <v>5</v>
      </c>
      <c r="H822">
        <v>1</v>
      </c>
      <c r="I822">
        <v>1</v>
      </c>
      <c r="J822">
        <v>0.84895466290815103</v>
      </c>
      <c r="K822">
        <v>0.95979157123224801</v>
      </c>
      <c r="L822">
        <v>0.90097716798265903</v>
      </c>
      <c r="M822">
        <v>0.68918918918918903</v>
      </c>
      <c r="N822">
        <v>1</v>
      </c>
      <c r="O822">
        <v>0.77905405405405403</v>
      </c>
      <c r="P822" t="s">
        <v>4258</v>
      </c>
      <c r="Q822" t="s">
        <v>370</v>
      </c>
      <c r="R822" t="s">
        <v>4259</v>
      </c>
      <c r="S822" t="s">
        <v>4260</v>
      </c>
      <c r="T822" t="s">
        <v>4261</v>
      </c>
      <c r="U822" t="s">
        <v>4262</v>
      </c>
      <c r="V822" t="s">
        <v>4263</v>
      </c>
      <c r="W822" t="s">
        <v>4264</v>
      </c>
      <c r="AD822" t="s">
        <v>4265</v>
      </c>
      <c r="AE822" t="s">
        <v>4266</v>
      </c>
      <c r="AF822" t="s">
        <v>4267</v>
      </c>
    </row>
    <row r="823" spans="1:32" hidden="1" x14ac:dyDescent="0.35">
      <c r="A823">
        <v>2050</v>
      </c>
      <c r="B823" t="s">
        <v>4257</v>
      </c>
      <c r="C823" t="s">
        <v>72</v>
      </c>
      <c r="D823" t="s">
        <v>60</v>
      </c>
      <c r="E823">
        <v>1191</v>
      </c>
      <c r="F823">
        <v>5</v>
      </c>
      <c r="G823">
        <v>5</v>
      </c>
      <c r="H823">
        <v>1</v>
      </c>
      <c r="I823">
        <v>1</v>
      </c>
      <c r="J823">
        <v>0.84895466290815103</v>
      </c>
      <c r="K823">
        <v>0.95979157123224801</v>
      </c>
      <c r="L823">
        <v>0.90097716798265903</v>
      </c>
      <c r="M823">
        <v>0.68918918918918903</v>
      </c>
      <c r="N823">
        <v>1</v>
      </c>
      <c r="O823">
        <v>0.77905405405405403</v>
      </c>
      <c r="P823" t="s">
        <v>4258</v>
      </c>
      <c r="Q823" t="s">
        <v>370</v>
      </c>
      <c r="R823" t="s">
        <v>4259</v>
      </c>
      <c r="S823" t="s">
        <v>4260</v>
      </c>
      <c r="T823" t="s">
        <v>4261</v>
      </c>
      <c r="U823" t="s">
        <v>4262</v>
      </c>
      <c r="V823" t="s">
        <v>4263</v>
      </c>
      <c r="W823" t="s">
        <v>4264</v>
      </c>
      <c r="AD823" t="s">
        <v>4265</v>
      </c>
      <c r="AE823" t="s">
        <v>4266</v>
      </c>
      <c r="AF823" t="s">
        <v>4268</v>
      </c>
    </row>
    <row r="824" spans="1:32" hidden="1" x14ac:dyDescent="0.35">
      <c r="A824">
        <v>2051</v>
      </c>
      <c r="B824" t="s">
        <v>4257</v>
      </c>
      <c r="C824" t="s">
        <v>72</v>
      </c>
      <c r="D824" t="s">
        <v>62</v>
      </c>
      <c r="E824">
        <v>1228</v>
      </c>
      <c r="F824">
        <v>5</v>
      </c>
      <c r="G824">
        <v>5</v>
      </c>
      <c r="H824">
        <v>1</v>
      </c>
      <c r="I824">
        <v>1</v>
      </c>
      <c r="J824">
        <v>0.84895466290815103</v>
      </c>
      <c r="K824">
        <v>0.95979157123224801</v>
      </c>
      <c r="L824">
        <v>0.90097716798265903</v>
      </c>
      <c r="M824">
        <v>0.68918918918918903</v>
      </c>
      <c r="N824">
        <v>1</v>
      </c>
      <c r="O824">
        <v>0.77905405405405403</v>
      </c>
      <c r="P824" t="s">
        <v>4258</v>
      </c>
      <c r="Q824" t="s">
        <v>370</v>
      </c>
      <c r="R824" t="s">
        <v>4259</v>
      </c>
      <c r="S824" t="s">
        <v>4260</v>
      </c>
      <c r="T824" t="s">
        <v>4261</v>
      </c>
      <c r="U824" t="s">
        <v>4262</v>
      </c>
      <c r="V824" t="s">
        <v>4263</v>
      </c>
      <c r="W824" t="s">
        <v>4264</v>
      </c>
      <c r="AD824" t="s">
        <v>4265</v>
      </c>
      <c r="AE824" t="s">
        <v>4266</v>
      </c>
      <c r="AF824" t="s">
        <v>4268</v>
      </c>
    </row>
    <row r="825" spans="1:32" hidden="1" x14ac:dyDescent="0.35">
      <c r="A825">
        <v>2052</v>
      </c>
      <c r="B825" t="s">
        <v>4257</v>
      </c>
      <c r="C825" t="s">
        <v>72</v>
      </c>
      <c r="D825" t="s">
        <v>34</v>
      </c>
      <c r="E825">
        <v>1657</v>
      </c>
      <c r="F825">
        <v>5</v>
      </c>
      <c r="G825">
        <v>5</v>
      </c>
      <c r="H825">
        <v>1</v>
      </c>
      <c r="I825">
        <v>1</v>
      </c>
      <c r="J825">
        <v>0.84895466290815103</v>
      </c>
      <c r="K825">
        <v>0.95979157123224801</v>
      </c>
      <c r="L825">
        <v>0.90097716798265903</v>
      </c>
      <c r="M825">
        <v>0.68918918918918903</v>
      </c>
      <c r="N825">
        <v>1</v>
      </c>
      <c r="O825">
        <v>0.77905405405405403</v>
      </c>
      <c r="P825" t="s">
        <v>4258</v>
      </c>
      <c r="Q825" t="s">
        <v>370</v>
      </c>
      <c r="R825" t="s">
        <v>4259</v>
      </c>
      <c r="S825" t="s">
        <v>4260</v>
      </c>
      <c r="T825" t="s">
        <v>4261</v>
      </c>
      <c r="U825" t="s">
        <v>4262</v>
      </c>
      <c r="V825" t="s">
        <v>4263</v>
      </c>
      <c r="W825" t="s">
        <v>4264</v>
      </c>
      <c r="AD825" t="s">
        <v>4265</v>
      </c>
      <c r="AE825" t="s">
        <v>4266</v>
      </c>
      <c r="AF825" t="s">
        <v>4269</v>
      </c>
    </row>
    <row r="826" spans="1:32" hidden="1" x14ac:dyDescent="0.35">
      <c r="A826">
        <v>2053</v>
      </c>
      <c r="B826" t="s">
        <v>4257</v>
      </c>
      <c r="C826" t="s">
        <v>72</v>
      </c>
      <c r="D826" t="s">
        <v>45</v>
      </c>
      <c r="E826">
        <v>1220</v>
      </c>
      <c r="F826">
        <v>5</v>
      </c>
      <c r="G826">
        <v>5</v>
      </c>
      <c r="H826">
        <v>1</v>
      </c>
      <c r="I826">
        <v>1</v>
      </c>
      <c r="J826">
        <v>0.84895466290815103</v>
      </c>
      <c r="K826">
        <v>0.95979157123224801</v>
      </c>
      <c r="L826">
        <v>0.90097716798265903</v>
      </c>
      <c r="M826">
        <v>0.68918918918918903</v>
      </c>
      <c r="N826">
        <v>1</v>
      </c>
      <c r="O826">
        <v>0.77905405405405403</v>
      </c>
      <c r="P826" t="s">
        <v>4258</v>
      </c>
      <c r="Q826" t="s">
        <v>370</v>
      </c>
      <c r="R826" t="s">
        <v>4259</v>
      </c>
      <c r="S826" t="s">
        <v>4260</v>
      </c>
      <c r="T826" t="s">
        <v>4261</v>
      </c>
      <c r="U826" t="s">
        <v>4262</v>
      </c>
      <c r="V826" t="s">
        <v>4263</v>
      </c>
      <c r="W826" t="s">
        <v>4264</v>
      </c>
      <c r="AD826" t="s">
        <v>4265</v>
      </c>
      <c r="AE826" t="s">
        <v>4266</v>
      </c>
      <c r="AF826" t="s">
        <v>4269</v>
      </c>
    </row>
    <row r="827" spans="1:32" hidden="1" x14ac:dyDescent="0.35">
      <c r="A827">
        <v>2754</v>
      </c>
      <c r="B827" t="s">
        <v>5704</v>
      </c>
      <c r="C827" t="s">
        <v>72</v>
      </c>
      <c r="D827" t="s">
        <v>58</v>
      </c>
      <c r="E827">
        <v>1883</v>
      </c>
      <c r="F827">
        <v>5</v>
      </c>
      <c r="G827">
        <v>5</v>
      </c>
      <c r="H827">
        <v>1</v>
      </c>
      <c r="I827">
        <v>1</v>
      </c>
      <c r="J827">
        <v>0.83077607293751399</v>
      </c>
      <c r="K827">
        <v>0.94751028231442203</v>
      </c>
      <c r="L827">
        <v>0.88531171493757499</v>
      </c>
      <c r="M827">
        <v>0.65615141955835998</v>
      </c>
      <c r="N827">
        <v>1</v>
      </c>
      <c r="O827">
        <v>0.75331230283911699</v>
      </c>
      <c r="P827" t="s">
        <v>4258</v>
      </c>
      <c r="Q827" t="s">
        <v>370</v>
      </c>
      <c r="R827" t="s">
        <v>4259</v>
      </c>
      <c r="S827" t="s">
        <v>4260</v>
      </c>
      <c r="T827" t="s">
        <v>4261</v>
      </c>
      <c r="U827" t="s">
        <v>4262</v>
      </c>
      <c r="V827" t="s">
        <v>4263</v>
      </c>
      <c r="W827" t="s">
        <v>4264</v>
      </c>
      <c r="AD827" t="s">
        <v>4265</v>
      </c>
      <c r="AE827" t="s">
        <v>4266</v>
      </c>
      <c r="AF827" t="s">
        <v>5705</v>
      </c>
    </row>
    <row r="828" spans="1:32" hidden="1" x14ac:dyDescent="0.35">
      <c r="A828">
        <v>2755</v>
      </c>
      <c r="B828" t="s">
        <v>5704</v>
      </c>
      <c r="C828" t="s">
        <v>72</v>
      </c>
      <c r="D828" t="s">
        <v>60</v>
      </c>
      <c r="E828">
        <v>2549</v>
      </c>
      <c r="F828">
        <v>5</v>
      </c>
      <c r="G828">
        <v>5</v>
      </c>
      <c r="H828">
        <v>1</v>
      </c>
      <c r="I828">
        <v>1</v>
      </c>
      <c r="J828">
        <v>0.83077607293751399</v>
      </c>
      <c r="K828">
        <v>0.94751028231442203</v>
      </c>
      <c r="L828">
        <v>0.88531171493757499</v>
      </c>
      <c r="M828">
        <v>0.65615141955835998</v>
      </c>
      <c r="N828">
        <v>1</v>
      </c>
      <c r="O828">
        <v>0.75331230283911699</v>
      </c>
      <c r="P828" t="s">
        <v>4258</v>
      </c>
      <c r="Q828" t="s">
        <v>370</v>
      </c>
      <c r="R828" t="s">
        <v>4259</v>
      </c>
      <c r="S828" t="s">
        <v>4260</v>
      </c>
      <c r="T828" t="s">
        <v>4261</v>
      </c>
      <c r="U828" t="s">
        <v>4262</v>
      </c>
      <c r="V828" t="s">
        <v>4263</v>
      </c>
      <c r="W828" t="s">
        <v>4264</v>
      </c>
      <c r="AD828" t="s">
        <v>4265</v>
      </c>
      <c r="AE828" t="s">
        <v>4266</v>
      </c>
      <c r="AF828" t="s">
        <v>5706</v>
      </c>
    </row>
    <row r="829" spans="1:32" hidden="1" x14ac:dyDescent="0.35">
      <c r="A829">
        <v>2756</v>
      </c>
      <c r="B829" t="s">
        <v>5704</v>
      </c>
      <c r="C829" t="s">
        <v>72</v>
      </c>
      <c r="D829" t="s">
        <v>62</v>
      </c>
      <c r="E829">
        <v>74</v>
      </c>
      <c r="F829">
        <v>5</v>
      </c>
      <c r="G829">
        <v>5</v>
      </c>
      <c r="H829">
        <v>1</v>
      </c>
      <c r="I829">
        <v>1</v>
      </c>
      <c r="J829">
        <v>0.83077607293751399</v>
      </c>
      <c r="K829">
        <v>0.94751028231442203</v>
      </c>
      <c r="L829">
        <v>0.88531171493757499</v>
      </c>
      <c r="M829">
        <v>0.65615141955835998</v>
      </c>
      <c r="N829">
        <v>1</v>
      </c>
      <c r="O829">
        <v>0.75331230283911699</v>
      </c>
      <c r="P829" t="s">
        <v>4258</v>
      </c>
      <c r="Q829" t="s">
        <v>370</v>
      </c>
      <c r="R829" t="s">
        <v>4259</v>
      </c>
      <c r="S829" t="s">
        <v>4260</v>
      </c>
      <c r="T829" t="s">
        <v>4261</v>
      </c>
      <c r="U829" t="s">
        <v>4262</v>
      </c>
      <c r="V829" t="s">
        <v>4263</v>
      </c>
      <c r="W829" t="s">
        <v>4264</v>
      </c>
      <c r="AD829" t="s">
        <v>4265</v>
      </c>
      <c r="AE829" t="s">
        <v>4266</v>
      </c>
      <c r="AF829" t="s">
        <v>5707</v>
      </c>
    </row>
    <row r="830" spans="1:32" hidden="1" x14ac:dyDescent="0.35">
      <c r="A830">
        <v>2757</v>
      </c>
      <c r="B830" t="s">
        <v>5704</v>
      </c>
      <c r="C830" t="s">
        <v>72</v>
      </c>
      <c r="D830" t="s">
        <v>34</v>
      </c>
      <c r="E830">
        <v>1095</v>
      </c>
      <c r="F830">
        <v>5</v>
      </c>
      <c r="G830">
        <v>5</v>
      </c>
      <c r="H830">
        <v>1</v>
      </c>
      <c r="I830">
        <v>1</v>
      </c>
      <c r="J830">
        <v>0.83077607293751399</v>
      </c>
      <c r="K830">
        <v>0.94751028231442203</v>
      </c>
      <c r="L830">
        <v>0.88531171493757499</v>
      </c>
      <c r="M830">
        <v>0.65615141955835998</v>
      </c>
      <c r="N830">
        <v>1</v>
      </c>
      <c r="O830">
        <v>0.75331230283911699</v>
      </c>
      <c r="P830" t="s">
        <v>4258</v>
      </c>
      <c r="Q830" t="s">
        <v>370</v>
      </c>
      <c r="R830" t="s">
        <v>4259</v>
      </c>
      <c r="S830" t="s">
        <v>4260</v>
      </c>
      <c r="T830" t="s">
        <v>4261</v>
      </c>
      <c r="U830" t="s">
        <v>4262</v>
      </c>
      <c r="V830" t="s">
        <v>4263</v>
      </c>
      <c r="W830" t="s">
        <v>4264</v>
      </c>
      <c r="AD830" t="s">
        <v>4265</v>
      </c>
      <c r="AE830" t="s">
        <v>4266</v>
      </c>
      <c r="AF830" t="s">
        <v>5708</v>
      </c>
    </row>
    <row r="831" spans="1:32" hidden="1" x14ac:dyDescent="0.35">
      <c r="A831">
        <v>2758</v>
      </c>
      <c r="B831" t="s">
        <v>5704</v>
      </c>
      <c r="C831" t="s">
        <v>72</v>
      </c>
      <c r="D831" t="s">
        <v>45</v>
      </c>
      <c r="E831">
        <v>2349</v>
      </c>
      <c r="F831">
        <v>5</v>
      </c>
      <c r="G831">
        <v>5</v>
      </c>
      <c r="H831">
        <v>1</v>
      </c>
      <c r="I831">
        <v>1</v>
      </c>
      <c r="J831">
        <v>0.83077607293751399</v>
      </c>
      <c r="K831">
        <v>0.94751028231442203</v>
      </c>
      <c r="L831">
        <v>0.88531171493757499</v>
      </c>
      <c r="M831">
        <v>0.65615141955835998</v>
      </c>
      <c r="N831">
        <v>1</v>
      </c>
      <c r="O831">
        <v>0.75331230283911699</v>
      </c>
      <c r="P831" t="s">
        <v>4258</v>
      </c>
      <c r="Q831" t="s">
        <v>370</v>
      </c>
      <c r="R831" t="s">
        <v>4259</v>
      </c>
      <c r="S831" t="s">
        <v>4260</v>
      </c>
      <c r="T831" t="s">
        <v>4261</v>
      </c>
      <c r="U831" t="s">
        <v>4262</v>
      </c>
      <c r="V831" t="s">
        <v>4263</v>
      </c>
      <c r="W831" t="s">
        <v>4264</v>
      </c>
      <c r="AD831" t="s">
        <v>4265</v>
      </c>
      <c r="AE831" t="s">
        <v>4266</v>
      </c>
      <c r="AF831" t="s">
        <v>5708</v>
      </c>
    </row>
    <row r="832" spans="1:32" hidden="1" x14ac:dyDescent="0.35">
      <c r="A832">
        <v>784</v>
      </c>
      <c r="B832" t="s">
        <v>1605</v>
      </c>
      <c r="C832" t="s">
        <v>72</v>
      </c>
      <c r="D832" t="s">
        <v>58</v>
      </c>
      <c r="E832">
        <v>28</v>
      </c>
      <c r="F832">
        <v>5</v>
      </c>
      <c r="G832">
        <v>5</v>
      </c>
      <c r="H832">
        <v>1</v>
      </c>
      <c r="I832">
        <v>1</v>
      </c>
      <c r="J832">
        <v>0.74987732211707003</v>
      </c>
      <c r="K832">
        <v>0.96709924991306395</v>
      </c>
      <c r="L832">
        <v>0.84474745615050495</v>
      </c>
      <c r="M832">
        <v>0.58943089430894302</v>
      </c>
      <c r="N832">
        <v>1</v>
      </c>
      <c r="O832">
        <v>0.67926829268292699</v>
      </c>
      <c r="P832" t="s">
        <v>1606</v>
      </c>
      <c r="Q832" t="s">
        <v>1607</v>
      </c>
      <c r="R832" t="s">
        <v>1608</v>
      </c>
      <c r="S832" t="s">
        <v>1609</v>
      </c>
      <c r="T832" t="s">
        <v>1610</v>
      </c>
      <c r="U832" t="s">
        <v>1611</v>
      </c>
      <c r="V832" t="s">
        <v>1612</v>
      </c>
      <c r="W832" t="s">
        <v>1613</v>
      </c>
      <c r="AD832" t="s">
        <v>1614</v>
      </c>
      <c r="AE832" t="s">
        <v>1615</v>
      </c>
      <c r="AF832" t="s">
        <v>1616</v>
      </c>
    </row>
    <row r="833" spans="1:32" hidden="1" x14ac:dyDescent="0.35">
      <c r="A833">
        <v>785</v>
      </c>
      <c r="B833" t="s">
        <v>1605</v>
      </c>
      <c r="C833" t="s">
        <v>72</v>
      </c>
      <c r="D833" t="s">
        <v>60</v>
      </c>
      <c r="E833">
        <v>28</v>
      </c>
      <c r="F833">
        <v>5</v>
      </c>
      <c r="G833">
        <v>5</v>
      </c>
      <c r="H833">
        <v>1</v>
      </c>
      <c r="I833">
        <v>1</v>
      </c>
      <c r="J833">
        <v>0.74987732211707003</v>
      </c>
      <c r="K833">
        <v>0.96709924991306395</v>
      </c>
      <c r="L833">
        <v>0.84474745615050495</v>
      </c>
      <c r="M833">
        <v>0.58943089430894302</v>
      </c>
      <c r="N833">
        <v>1</v>
      </c>
      <c r="O833">
        <v>0.67926829268292699</v>
      </c>
      <c r="P833" t="s">
        <v>1606</v>
      </c>
      <c r="Q833" t="s">
        <v>1607</v>
      </c>
      <c r="R833" t="s">
        <v>1608</v>
      </c>
      <c r="S833" t="s">
        <v>1609</v>
      </c>
      <c r="T833" t="s">
        <v>1610</v>
      </c>
      <c r="U833" t="s">
        <v>1611</v>
      </c>
      <c r="V833" t="s">
        <v>1612</v>
      </c>
      <c r="W833" t="s">
        <v>1613</v>
      </c>
      <c r="AD833" t="s">
        <v>1614</v>
      </c>
      <c r="AE833" t="s">
        <v>1615</v>
      </c>
      <c r="AF833" t="e">
        <f>--MNRSIRFAAIFALLLTVILMVNLTRIQVFSEERYAQNGLNKRQFFEMKSIPRGQISTGGLTLAHSVQ-GADGFYQREYVTNPVQYGPVEGYLSDIYGASGIESSYNGILNGDDPSLFAAQWKDVILGREKKGANVELTLVPEVQDVAYQQLSSKGYAGAVVAIRPKTGEVLAMASTPSFDPSSIVNPETAENSWAELTSDSDSPLLNHATQETLPPGSTFKVITTAAGLANG-YSPDSQLNARPEVTLPGTTATLENYGGMACAPGATTSLTVAFTKSCNTAFVEMGIGVGTSEFNKTAEAFGVGESYDLGVPMVAGTVGEITDDAALGQSSIGQRDVSLSVLQNAVIAATVANGGKRMNPHIVSKVVGQDLKPIKTIGPKELNQAVSPEVASQITELMKSSERNTAGYSGS-DIASKTGTAEHGEDSRNSNPHAWYIAFGPSQDADVAVAVVVKNGGDRGQQATGGSVAAPIGRAVIDAAL----RSAR</f>
        <v>#NAME?</v>
      </c>
    </row>
    <row r="834" spans="1:32" hidden="1" x14ac:dyDescent="0.35">
      <c r="A834">
        <v>786</v>
      </c>
      <c r="B834" t="s">
        <v>1605</v>
      </c>
      <c r="C834" t="s">
        <v>72</v>
      </c>
      <c r="D834" t="s">
        <v>62</v>
      </c>
      <c r="E834">
        <v>101</v>
      </c>
      <c r="F834">
        <v>5</v>
      </c>
      <c r="G834">
        <v>5</v>
      </c>
      <c r="H834">
        <v>1</v>
      </c>
      <c r="I834">
        <v>1</v>
      </c>
      <c r="J834">
        <v>0.74987732211707003</v>
      </c>
      <c r="K834">
        <v>0.96709924991306395</v>
      </c>
      <c r="L834">
        <v>0.84474745615050495</v>
      </c>
      <c r="M834">
        <v>0.58943089430894302</v>
      </c>
      <c r="N834">
        <v>1</v>
      </c>
      <c r="O834">
        <v>0.67926829268292699</v>
      </c>
      <c r="P834" t="s">
        <v>1606</v>
      </c>
      <c r="Q834" t="s">
        <v>1607</v>
      </c>
      <c r="R834" t="s">
        <v>1608</v>
      </c>
      <c r="S834" t="s">
        <v>1609</v>
      </c>
      <c r="T834" t="s">
        <v>1610</v>
      </c>
      <c r="U834" t="s">
        <v>1611</v>
      </c>
      <c r="V834" t="s">
        <v>1612</v>
      </c>
      <c r="W834" t="s">
        <v>1613</v>
      </c>
      <c r="AD834" t="s">
        <v>1614</v>
      </c>
      <c r="AE834" t="s">
        <v>1615</v>
      </c>
      <c r="AF834" t="e">
        <f>--MNRSIRFAAIFALLLTVILMVNLTRIQVFSEERYAQNGLNKRQFFEMKSIPRGQISTGGLTLAHSVQ-GADGFYQREYVTNPVQYGPVEGYLSDIYGASGIESSYNGILNGDDPSLFAAQWKDVILGREKKGANVELTLVPEVQDVAYQQLSSKGYAGAVVAIRPKTGEVLAMASTPSFDPSSIVNPETAENSWAELTSDSDSPLLNHATQETLPPGSTFKVITTAAGLANG-YSPDSQLNARPEVTLPGTTATLENYGGMACAPGATTSLTVAFTKSCNTAFVEMGIGVGTSEFNKTAEAFGVGESYDLGVPMVAGTVGEITDDAALGQSSIGQRDVSLSVLQNAVIAATVANGGKRMNPHIVSKVVGQDLKPIKTIGPKELNQAVSPEVASQITELMKSSERNTAGYSGS-DIASKTGTAEHGEDSRNSNPHAWYIAFGPSQDADVAVAVVVKNGGDRGQQATGGSVAAPIGRAVIDAAL----RSAR</f>
        <v>#NAME?</v>
      </c>
    </row>
    <row r="835" spans="1:32" hidden="1" x14ac:dyDescent="0.35">
      <c r="A835">
        <v>787</v>
      </c>
      <c r="B835" t="s">
        <v>1605</v>
      </c>
      <c r="C835" t="s">
        <v>72</v>
      </c>
      <c r="D835" t="s">
        <v>34</v>
      </c>
      <c r="E835">
        <v>1046</v>
      </c>
      <c r="F835">
        <v>5</v>
      </c>
      <c r="G835">
        <v>5</v>
      </c>
      <c r="H835">
        <v>1</v>
      </c>
      <c r="I835">
        <v>1</v>
      </c>
      <c r="J835">
        <v>0.74987732211707003</v>
      </c>
      <c r="K835">
        <v>0.96709924991306395</v>
      </c>
      <c r="L835">
        <v>0.84474745615050495</v>
      </c>
      <c r="M835">
        <v>0.58943089430894302</v>
      </c>
      <c r="N835">
        <v>1</v>
      </c>
      <c r="O835">
        <v>0.67926829268292699</v>
      </c>
      <c r="P835" t="s">
        <v>1606</v>
      </c>
      <c r="Q835" t="s">
        <v>1607</v>
      </c>
      <c r="R835" t="s">
        <v>1608</v>
      </c>
      <c r="S835" t="s">
        <v>1609</v>
      </c>
      <c r="T835" t="s">
        <v>1610</v>
      </c>
      <c r="U835" t="s">
        <v>1611</v>
      </c>
      <c r="V835" t="s">
        <v>1612</v>
      </c>
      <c r="W835" t="s">
        <v>1613</v>
      </c>
      <c r="AD835" t="s">
        <v>1614</v>
      </c>
      <c r="AE835" t="s">
        <v>1615</v>
      </c>
      <c r="AF835" t="s">
        <v>1617</v>
      </c>
    </row>
    <row r="836" spans="1:32" hidden="1" x14ac:dyDescent="0.35">
      <c r="A836">
        <v>788</v>
      </c>
      <c r="B836" t="s">
        <v>1605</v>
      </c>
      <c r="C836" t="s">
        <v>72</v>
      </c>
      <c r="D836" t="s">
        <v>45</v>
      </c>
      <c r="E836">
        <v>2301</v>
      </c>
      <c r="F836">
        <v>5</v>
      </c>
      <c r="G836">
        <v>5</v>
      </c>
      <c r="H836">
        <v>1</v>
      </c>
      <c r="I836">
        <v>1</v>
      </c>
      <c r="J836">
        <v>0.74987732211707003</v>
      </c>
      <c r="K836">
        <v>0.96709924991306395</v>
      </c>
      <c r="L836">
        <v>0.84474745615050495</v>
      </c>
      <c r="M836">
        <v>0.58943089430894302</v>
      </c>
      <c r="N836">
        <v>1</v>
      </c>
      <c r="O836">
        <v>0.67926829268292699</v>
      </c>
      <c r="P836" t="s">
        <v>1606</v>
      </c>
      <c r="Q836" t="s">
        <v>1607</v>
      </c>
      <c r="R836" t="s">
        <v>1608</v>
      </c>
      <c r="S836" t="s">
        <v>1609</v>
      </c>
      <c r="T836" t="s">
        <v>1610</v>
      </c>
      <c r="U836" t="s">
        <v>1611</v>
      </c>
      <c r="V836" t="s">
        <v>1612</v>
      </c>
      <c r="W836" t="s">
        <v>1613</v>
      </c>
      <c r="AD836" t="s">
        <v>1614</v>
      </c>
      <c r="AE836" t="s">
        <v>1615</v>
      </c>
      <c r="AF836" t="s">
        <v>1617</v>
      </c>
    </row>
    <row r="837" spans="1:32" hidden="1" x14ac:dyDescent="0.35">
      <c r="A837">
        <v>1384</v>
      </c>
      <c r="B837" t="s">
        <v>2887</v>
      </c>
      <c r="C837" t="s">
        <v>72</v>
      </c>
      <c r="D837" t="s">
        <v>58</v>
      </c>
      <c r="E837">
        <v>730</v>
      </c>
      <c r="F837">
        <v>5</v>
      </c>
      <c r="G837">
        <v>5</v>
      </c>
      <c r="H837">
        <v>1</v>
      </c>
      <c r="I837">
        <v>1</v>
      </c>
      <c r="J837">
        <v>0.85151595981150496</v>
      </c>
      <c r="K837">
        <v>0.98412764193948998</v>
      </c>
      <c r="L837">
        <v>0.913031693956039</v>
      </c>
      <c r="M837">
        <v>0.71653543307086598</v>
      </c>
      <c r="N837">
        <v>1</v>
      </c>
      <c r="O837">
        <v>0.79002624671916</v>
      </c>
      <c r="P837" t="s">
        <v>2888</v>
      </c>
      <c r="Q837" t="s">
        <v>2889</v>
      </c>
      <c r="R837" t="s">
        <v>2890</v>
      </c>
      <c r="S837" t="s">
        <v>2891</v>
      </c>
      <c r="T837" t="s">
        <v>2892</v>
      </c>
      <c r="U837" t="s">
        <v>2893</v>
      </c>
      <c r="V837" t="s">
        <v>2894</v>
      </c>
      <c r="W837" t="s">
        <v>2895</v>
      </c>
      <c r="AD837" t="s">
        <v>2896</v>
      </c>
      <c r="AE837" t="s">
        <v>2897</v>
      </c>
      <c r="AF837" t="s">
        <v>2898</v>
      </c>
    </row>
    <row r="838" spans="1:32" hidden="1" x14ac:dyDescent="0.35">
      <c r="A838">
        <v>1385</v>
      </c>
      <c r="B838" t="s">
        <v>2887</v>
      </c>
      <c r="C838" t="s">
        <v>72</v>
      </c>
      <c r="D838" t="s">
        <v>60</v>
      </c>
      <c r="E838">
        <v>947</v>
      </c>
      <c r="F838">
        <v>5</v>
      </c>
      <c r="G838">
        <v>5</v>
      </c>
      <c r="H838">
        <v>1</v>
      </c>
      <c r="I838">
        <v>1</v>
      </c>
      <c r="J838">
        <v>0.85151595981150496</v>
      </c>
      <c r="K838">
        <v>0.98412764193948998</v>
      </c>
      <c r="L838">
        <v>0.913031693956039</v>
      </c>
      <c r="M838">
        <v>0.71653543307086598</v>
      </c>
      <c r="N838">
        <v>1</v>
      </c>
      <c r="O838">
        <v>0.79002624671916</v>
      </c>
      <c r="P838" t="s">
        <v>2888</v>
      </c>
      <c r="Q838" t="s">
        <v>2889</v>
      </c>
      <c r="R838" t="s">
        <v>2890</v>
      </c>
      <c r="S838" t="s">
        <v>2891</v>
      </c>
      <c r="T838" t="s">
        <v>2892</v>
      </c>
      <c r="U838" t="s">
        <v>2893</v>
      </c>
      <c r="V838" t="s">
        <v>2894</v>
      </c>
      <c r="W838" t="s">
        <v>2895</v>
      </c>
      <c r="AD838" t="s">
        <v>2896</v>
      </c>
      <c r="AE838" t="s">
        <v>2897</v>
      </c>
      <c r="AF838" t="s">
        <v>2899</v>
      </c>
    </row>
    <row r="839" spans="1:32" hidden="1" x14ac:dyDescent="0.35">
      <c r="A839">
        <v>1386</v>
      </c>
      <c r="B839" t="s">
        <v>2887</v>
      </c>
      <c r="C839" t="s">
        <v>72</v>
      </c>
      <c r="D839" t="s">
        <v>62</v>
      </c>
      <c r="E839">
        <v>983</v>
      </c>
      <c r="F839">
        <v>5</v>
      </c>
      <c r="G839">
        <v>5</v>
      </c>
      <c r="H839">
        <v>1</v>
      </c>
      <c r="I839">
        <v>1</v>
      </c>
      <c r="J839">
        <v>0.85151595981150496</v>
      </c>
      <c r="K839">
        <v>0.98412764193948998</v>
      </c>
      <c r="L839">
        <v>0.913031693956039</v>
      </c>
      <c r="M839">
        <v>0.71653543307086598</v>
      </c>
      <c r="N839">
        <v>1</v>
      </c>
      <c r="O839">
        <v>0.79002624671916</v>
      </c>
      <c r="P839" t="s">
        <v>2888</v>
      </c>
      <c r="Q839" t="s">
        <v>2889</v>
      </c>
      <c r="R839" t="s">
        <v>2890</v>
      </c>
      <c r="S839" t="s">
        <v>2891</v>
      </c>
      <c r="T839" t="s">
        <v>2892</v>
      </c>
      <c r="U839" t="s">
        <v>2893</v>
      </c>
      <c r="V839" t="s">
        <v>2894</v>
      </c>
      <c r="W839" t="s">
        <v>2895</v>
      </c>
      <c r="AD839" t="s">
        <v>2896</v>
      </c>
      <c r="AE839" t="s">
        <v>2897</v>
      </c>
      <c r="AF839" t="s">
        <v>2899</v>
      </c>
    </row>
    <row r="840" spans="1:32" hidden="1" x14ac:dyDescent="0.35">
      <c r="A840">
        <v>1387</v>
      </c>
      <c r="B840" t="s">
        <v>2887</v>
      </c>
      <c r="C840" t="s">
        <v>72</v>
      </c>
      <c r="D840" t="s">
        <v>34</v>
      </c>
      <c r="E840">
        <v>213</v>
      </c>
      <c r="F840">
        <v>5</v>
      </c>
      <c r="G840">
        <v>5</v>
      </c>
      <c r="H840">
        <v>1</v>
      </c>
      <c r="I840">
        <v>1</v>
      </c>
      <c r="J840">
        <v>0.85151595981150496</v>
      </c>
      <c r="K840">
        <v>0.98412764193948998</v>
      </c>
      <c r="L840">
        <v>0.913031693956039</v>
      </c>
      <c r="M840">
        <v>0.71653543307086598</v>
      </c>
      <c r="N840">
        <v>1</v>
      </c>
      <c r="O840">
        <v>0.79002624671916</v>
      </c>
      <c r="P840" t="s">
        <v>2888</v>
      </c>
      <c r="Q840" t="s">
        <v>2889</v>
      </c>
      <c r="R840" t="s">
        <v>2890</v>
      </c>
      <c r="S840" t="s">
        <v>2891</v>
      </c>
      <c r="T840" t="s">
        <v>2892</v>
      </c>
      <c r="U840" t="s">
        <v>2893</v>
      </c>
      <c r="V840" t="s">
        <v>2894</v>
      </c>
      <c r="W840" t="s">
        <v>2895</v>
      </c>
      <c r="AD840" t="s">
        <v>2896</v>
      </c>
      <c r="AE840" t="s">
        <v>2897</v>
      </c>
      <c r="AF840" t="s">
        <v>2900</v>
      </c>
    </row>
    <row r="841" spans="1:32" hidden="1" x14ac:dyDescent="0.35">
      <c r="A841">
        <v>1388</v>
      </c>
      <c r="B841" t="s">
        <v>2887</v>
      </c>
      <c r="C841" t="s">
        <v>72</v>
      </c>
      <c r="D841" t="s">
        <v>45</v>
      </c>
      <c r="E841">
        <v>1476</v>
      </c>
      <c r="F841">
        <v>5</v>
      </c>
      <c r="G841">
        <v>5</v>
      </c>
      <c r="H841">
        <v>1</v>
      </c>
      <c r="I841">
        <v>1</v>
      </c>
      <c r="J841">
        <v>0.85151595981150496</v>
      </c>
      <c r="K841">
        <v>0.98412764193948998</v>
      </c>
      <c r="L841">
        <v>0.913031693956039</v>
      </c>
      <c r="M841">
        <v>0.71653543307086598</v>
      </c>
      <c r="N841">
        <v>1</v>
      </c>
      <c r="O841">
        <v>0.79002624671916</v>
      </c>
      <c r="P841" t="s">
        <v>2888</v>
      </c>
      <c r="Q841" t="s">
        <v>2889</v>
      </c>
      <c r="R841" t="s">
        <v>2890</v>
      </c>
      <c r="S841" t="s">
        <v>2891</v>
      </c>
      <c r="T841" t="s">
        <v>2892</v>
      </c>
      <c r="U841" t="s">
        <v>2893</v>
      </c>
      <c r="V841" t="s">
        <v>2894</v>
      </c>
      <c r="W841" t="s">
        <v>2895</v>
      </c>
      <c r="AD841" t="s">
        <v>2896</v>
      </c>
      <c r="AE841" t="s">
        <v>2897</v>
      </c>
      <c r="AF841" t="s">
        <v>2900</v>
      </c>
    </row>
    <row r="842" spans="1:32" hidden="1" x14ac:dyDescent="0.35">
      <c r="A842">
        <v>3339</v>
      </c>
      <c r="B842" t="s">
        <v>6863</v>
      </c>
      <c r="C842" t="s">
        <v>72</v>
      </c>
      <c r="D842" t="s">
        <v>58</v>
      </c>
      <c r="E842">
        <v>1459</v>
      </c>
      <c r="F842">
        <v>5</v>
      </c>
      <c r="G842">
        <v>5</v>
      </c>
      <c r="H842">
        <v>1</v>
      </c>
      <c r="I842">
        <v>1</v>
      </c>
      <c r="J842">
        <v>0.87986194079383995</v>
      </c>
      <c r="K842">
        <v>0.9735448182434</v>
      </c>
      <c r="L842">
        <v>0.92433571751338695</v>
      </c>
      <c r="M842">
        <v>0.76162790697674398</v>
      </c>
      <c r="N842">
        <v>1</v>
      </c>
      <c r="O842">
        <v>0.82674418604651201</v>
      </c>
      <c r="P842" t="s">
        <v>6864</v>
      </c>
      <c r="Q842" t="s">
        <v>6865</v>
      </c>
      <c r="R842" t="s">
        <v>6866</v>
      </c>
      <c r="S842" t="s">
        <v>6867</v>
      </c>
      <c r="T842" t="s">
        <v>6868</v>
      </c>
      <c r="U842" t="s">
        <v>2965</v>
      </c>
      <c r="V842" t="s">
        <v>6869</v>
      </c>
      <c r="W842" t="s">
        <v>6870</v>
      </c>
      <c r="AD842" t="s">
        <v>6871</v>
      </c>
      <c r="AE842" t="s">
        <v>6872</v>
      </c>
      <c r="AF842" t="s">
        <v>6873</v>
      </c>
    </row>
    <row r="843" spans="1:32" hidden="1" x14ac:dyDescent="0.35">
      <c r="A843">
        <v>3340</v>
      </c>
      <c r="B843" t="s">
        <v>6863</v>
      </c>
      <c r="C843" t="s">
        <v>72</v>
      </c>
      <c r="D843" t="s">
        <v>60</v>
      </c>
      <c r="E843">
        <v>1963</v>
      </c>
      <c r="F843">
        <v>5</v>
      </c>
      <c r="G843">
        <v>5</v>
      </c>
      <c r="H843">
        <v>1</v>
      </c>
      <c r="I843">
        <v>1</v>
      </c>
      <c r="J843">
        <v>0.87986194079383995</v>
      </c>
      <c r="K843">
        <v>0.9735448182434</v>
      </c>
      <c r="L843">
        <v>0.92433571751338695</v>
      </c>
      <c r="M843">
        <v>0.76162790697674398</v>
      </c>
      <c r="N843">
        <v>1</v>
      </c>
      <c r="O843">
        <v>0.82674418604651201</v>
      </c>
      <c r="P843" t="s">
        <v>6864</v>
      </c>
      <c r="Q843" t="s">
        <v>6865</v>
      </c>
      <c r="R843" t="s">
        <v>6866</v>
      </c>
      <c r="S843" t="s">
        <v>6867</v>
      </c>
      <c r="T843" t="s">
        <v>6868</v>
      </c>
      <c r="U843" t="s">
        <v>2965</v>
      </c>
      <c r="V843" t="s">
        <v>6869</v>
      </c>
      <c r="W843" t="s">
        <v>6870</v>
      </c>
      <c r="AD843" t="s">
        <v>6871</v>
      </c>
      <c r="AE843" t="s">
        <v>6872</v>
      </c>
      <c r="AF843" t="s">
        <v>6874</v>
      </c>
    </row>
    <row r="844" spans="1:32" hidden="1" x14ac:dyDescent="0.35">
      <c r="A844">
        <v>3341</v>
      </c>
      <c r="B844" t="s">
        <v>6863</v>
      </c>
      <c r="C844" t="s">
        <v>72</v>
      </c>
      <c r="D844" t="s">
        <v>62</v>
      </c>
      <c r="E844">
        <v>2004</v>
      </c>
      <c r="F844">
        <v>5</v>
      </c>
      <c r="G844">
        <v>5</v>
      </c>
      <c r="H844">
        <v>1</v>
      </c>
      <c r="I844">
        <v>1</v>
      </c>
      <c r="J844">
        <v>0.87986194079383995</v>
      </c>
      <c r="K844">
        <v>0.9735448182434</v>
      </c>
      <c r="L844">
        <v>0.92433571751338695</v>
      </c>
      <c r="M844">
        <v>0.76162790697674398</v>
      </c>
      <c r="N844">
        <v>1</v>
      </c>
      <c r="O844">
        <v>0.82674418604651201</v>
      </c>
      <c r="P844" t="s">
        <v>6864</v>
      </c>
      <c r="Q844" t="s">
        <v>6865</v>
      </c>
      <c r="R844" t="s">
        <v>6866</v>
      </c>
      <c r="S844" t="s">
        <v>6867</v>
      </c>
      <c r="T844" t="s">
        <v>6868</v>
      </c>
      <c r="U844" t="s">
        <v>2965</v>
      </c>
      <c r="V844" t="s">
        <v>6869</v>
      </c>
      <c r="W844" t="s">
        <v>6870</v>
      </c>
      <c r="AD844" t="s">
        <v>6871</v>
      </c>
      <c r="AE844" t="s">
        <v>6872</v>
      </c>
      <c r="AF844" t="s">
        <v>6874</v>
      </c>
    </row>
    <row r="845" spans="1:32" hidden="1" x14ac:dyDescent="0.35">
      <c r="A845">
        <v>3342</v>
      </c>
      <c r="B845" t="s">
        <v>6863</v>
      </c>
      <c r="C845" t="s">
        <v>72</v>
      </c>
      <c r="D845" t="s">
        <v>34</v>
      </c>
      <c r="E845">
        <v>2321</v>
      </c>
      <c r="F845">
        <v>5</v>
      </c>
      <c r="G845">
        <v>5</v>
      </c>
      <c r="H845">
        <v>1</v>
      </c>
      <c r="I845">
        <v>1</v>
      </c>
      <c r="J845">
        <v>0.87986194079383995</v>
      </c>
      <c r="K845">
        <v>0.9735448182434</v>
      </c>
      <c r="L845">
        <v>0.92433571751338695</v>
      </c>
      <c r="M845">
        <v>0.76162790697674398</v>
      </c>
      <c r="N845">
        <v>1</v>
      </c>
      <c r="O845">
        <v>0.82674418604651201</v>
      </c>
      <c r="P845" t="s">
        <v>6864</v>
      </c>
      <c r="Q845" t="s">
        <v>6865</v>
      </c>
      <c r="R845" t="s">
        <v>6866</v>
      </c>
      <c r="S845" t="s">
        <v>6867</v>
      </c>
      <c r="T845" t="s">
        <v>6868</v>
      </c>
      <c r="U845" t="s">
        <v>2965</v>
      </c>
      <c r="V845" t="s">
        <v>6869</v>
      </c>
      <c r="W845" t="s">
        <v>6870</v>
      </c>
      <c r="AD845" t="s">
        <v>6871</v>
      </c>
      <c r="AE845" t="s">
        <v>6872</v>
      </c>
      <c r="AF845" t="s">
        <v>6875</v>
      </c>
    </row>
    <row r="846" spans="1:32" hidden="1" x14ac:dyDescent="0.35">
      <c r="A846">
        <v>3343</v>
      </c>
      <c r="B846" t="s">
        <v>6863</v>
      </c>
      <c r="C846" t="s">
        <v>72</v>
      </c>
      <c r="D846" t="s">
        <v>45</v>
      </c>
      <c r="E846">
        <v>557</v>
      </c>
      <c r="F846">
        <v>5</v>
      </c>
      <c r="G846">
        <v>5</v>
      </c>
      <c r="H846">
        <v>1</v>
      </c>
      <c r="I846">
        <v>1</v>
      </c>
      <c r="J846">
        <v>0.87986194079383995</v>
      </c>
      <c r="K846">
        <v>0.9735448182434</v>
      </c>
      <c r="L846">
        <v>0.92433571751338695</v>
      </c>
      <c r="M846">
        <v>0.76162790697674398</v>
      </c>
      <c r="N846">
        <v>1</v>
      </c>
      <c r="O846">
        <v>0.82674418604651201</v>
      </c>
      <c r="P846" t="s">
        <v>6864</v>
      </c>
      <c r="Q846" t="s">
        <v>6865</v>
      </c>
      <c r="R846" t="s">
        <v>6866</v>
      </c>
      <c r="S846" t="s">
        <v>6867</v>
      </c>
      <c r="T846" t="s">
        <v>6868</v>
      </c>
      <c r="U846" t="s">
        <v>2965</v>
      </c>
      <c r="V846" t="s">
        <v>6869</v>
      </c>
      <c r="W846" t="s">
        <v>6870</v>
      </c>
      <c r="AD846" t="s">
        <v>6871</v>
      </c>
      <c r="AE846" t="s">
        <v>6872</v>
      </c>
      <c r="AF846" t="s">
        <v>6876</v>
      </c>
    </row>
    <row r="847" spans="1:32" hidden="1" x14ac:dyDescent="0.35">
      <c r="A847">
        <v>4229</v>
      </c>
      <c r="B847" t="s">
        <v>8775</v>
      </c>
      <c r="C847" t="s">
        <v>72</v>
      </c>
      <c r="D847" t="s">
        <v>58</v>
      </c>
      <c r="E847">
        <v>567</v>
      </c>
      <c r="F847">
        <v>5</v>
      </c>
      <c r="G847">
        <v>5</v>
      </c>
      <c r="H847">
        <v>1</v>
      </c>
      <c r="I847">
        <v>1</v>
      </c>
      <c r="J847">
        <v>0.80420531849103305</v>
      </c>
      <c r="K847">
        <v>0.95313886173971996</v>
      </c>
      <c r="L847">
        <v>0.87236108952877101</v>
      </c>
      <c r="M847">
        <v>0.63250883392226198</v>
      </c>
      <c r="N847">
        <v>0.97879858657243801</v>
      </c>
      <c r="O847">
        <v>0.72402826855123703</v>
      </c>
      <c r="P847" t="s">
        <v>8776</v>
      </c>
      <c r="Q847" t="s">
        <v>8777</v>
      </c>
      <c r="R847" t="s">
        <v>8778</v>
      </c>
      <c r="S847" t="s">
        <v>8779</v>
      </c>
      <c r="T847" t="s">
        <v>8780</v>
      </c>
      <c r="U847" t="s">
        <v>8781</v>
      </c>
      <c r="V847" t="s">
        <v>8782</v>
      </c>
      <c r="W847" t="s">
        <v>8783</v>
      </c>
      <c r="AD847" t="s">
        <v>410</v>
      </c>
      <c r="AE847" t="s">
        <v>563</v>
      </c>
      <c r="AF847" t="s">
        <v>8784</v>
      </c>
    </row>
    <row r="848" spans="1:32" hidden="1" x14ac:dyDescent="0.35">
      <c r="A848">
        <v>4230</v>
      </c>
      <c r="B848" t="s">
        <v>8775</v>
      </c>
      <c r="C848" t="s">
        <v>72</v>
      </c>
      <c r="D848" t="s">
        <v>60</v>
      </c>
      <c r="E848">
        <v>790</v>
      </c>
      <c r="F848">
        <v>5</v>
      </c>
      <c r="G848">
        <v>5</v>
      </c>
      <c r="H848">
        <v>1</v>
      </c>
      <c r="I848">
        <v>1</v>
      </c>
      <c r="J848">
        <v>0.80420531849103305</v>
      </c>
      <c r="K848">
        <v>0.95313886173971996</v>
      </c>
      <c r="L848">
        <v>0.87236108952877101</v>
      </c>
      <c r="M848">
        <v>0.63250883392226198</v>
      </c>
      <c r="N848">
        <v>0.97879858657243801</v>
      </c>
      <c r="O848">
        <v>0.72402826855123703</v>
      </c>
      <c r="P848" t="s">
        <v>8776</v>
      </c>
      <c r="Q848" t="s">
        <v>8777</v>
      </c>
      <c r="R848" t="s">
        <v>8778</v>
      </c>
      <c r="S848" t="s">
        <v>8779</v>
      </c>
      <c r="T848" t="s">
        <v>8780</v>
      </c>
      <c r="U848" t="s">
        <v>8781</v>
      </c>
      <c r="V848" t="s">
        <v>8782</v>
      </c>
      <c r="W848" t="s">
        <v>8783</v>
      </c>
      <c r="AD848" t="s">
        <v>410</v>
      </c>
      <c r="AE848" t="s">
        <v>563</v>
      </c>
      <c r="AF848" t="s">
        <v>8785</v>
      </c>
    </row>
    <row r="849" spans="1:32" hidden="1" x14ac:dyDescent="0.35">
      <c r="A849">
        <v>4231</v>
      </c>
      <c r="B849" t="s">
        <v>8775</v>
      </c>
      <c r="C849" t="s">
        <v>72</v>
      </c>
      <c r="D849" t="s">
        <v>62</v>
      </c>
      <c r="E849">
        <v>823</v>
      </c>
      <c r="F849">
        <v>5</v>
      </c>
      <c r="G849">
        <v>5</v>
      </c>
      <c r="H849">
        <v>1</v>
      </c>
      <c r="I849">
        <v>1</v>
      </c>
      <c r="J849">
        <v>0.80420531849103305</v>
      </c>
      <c r="K849">
        <v>0.95313886173971996</v>
      </c>
      <c r="L849">
        <v>0.87236108952877101</v>
      </c>
      <c r="M849">
        <v>0.63250883392226198</v>
      </c>
      <c r="N849">
        <v>0.97879858657243801</v>
      </c>
      <c r="O849">
        <v>0.72402826855123703</v>
      </c>
      <c r="P849" t="s">
        <v>8776</v>
      </c>
      <c r="Q849" t="s">
        <v>8777</v>
      </c>
      <c r="R849" t="s">
        <v>8778</v>
      </c>
      <c r="S849" t="s">
        <v>8779</v>
      </c>
      <c r="T849" t="s">
        <v>8780</v>
      </c>
      <c r="U849" t="s">
        <v>8781</v>
      </c>
      <c r="V849" t="s">
        <v>8782</v>
      </c>
      <c r="W849" t="s">
        <v>8783</v>
      </c>
      <c r="AD849" t="s">
        <v>410</v>
      </c>
      <c r="AE849" t="s">
        <v>563</v>
      </c>
      <c r="AF849" t="s">
        <v>8786</v>
      </c>
    </row>
    <row r="850" spans="1:32" hidden="1" x14ac:dyDescent="0.35">
      <c r="A850">
        <v>4232</v>
      </c>
      <c r="B850" t="s">
        <v>8775</v>
      </c>
      <c r="C850" t="s">
        <v>72</v>
      </c>
      <c r="D850" t="s">
        <v>34</v>
      </c>
      <c r="E850">
        <v>344</v>
      </c>
      <c r="F850">
        <v>5</v>
      </c>
      <c r="G850">
        <v>5</v>
      </c>
      <c r="H850">
        <v>1</v>
      </c>
      <c r="I850">
        <v>1</v>
      </c>
      <c r="J850">
        <v>0.80420531849103305</v>
      </c>
      <c r="K850">
        <v>0.95313886173971996</v>
      </c>
      <c r="L850">
        <v>0.87236108952877101</v>
      </c>
      <c r="M850">
        <v>0.63250883392226198</v>
      </c>
      <c r="N850">
        <v>0.97879858657243801</v>
      </c>
      <c r="O850">
        <v>0.72402826855123703</v>
      </c>
      <c r="P850" t="s">
        <v>8776</v>
      </c>
      <c r="Q850" t="s">
        <v>8777</v>
      </c>
      <c r="R850" t="s">
        <v>8778</v>
      </c>
      <c r="S850" t="s">
        <v>8779</v>
      </c>
      <c r="T850" t="s">
        <v>8780</v>
      </c>
      <c r="U850" t="s">
        <v>8781</v>
      </c>
      <c r="V850" t="s">
        <v>8782</v>
      </c>
      <c r="W850" t="s">
        <v>8783</v>
      </c>
      <c r="AD850" t="s">
        <v>410</v>
      </c>
      <c r="AE850" t="s">
        <v>563</v>
      </c>
      <c r="AF850" t="s">
        <v>8787</v>
      </c>
    </row>
    <row r="851" spans="1:32" hidden="1" x14ac:dyDescent="0.35">
      <c r="A851">
        <v>4233</v>
      </c>
      <c r="B851" t="s">
        <v>8775</v>
      </c>
      <c r="C851" t="s">
        <v>72</v>
      </c>
      <c r="D851" t="s">
        <v>45</v>
      </c>
      <c r="E851">
        <v>1606</v>
      </c>
      <c r="F851">
        <v>5</v>
      </c>
      <c r="G851">
        <v>5</v>
      </c>
      <c r="H851">
        <v>1</v>
      </c>
      <c r="I851">
        <v>1</v>
      </c>
      <c r="J851">
        <v>0.80420531849103305</v>
      </c>
      <c r="K851">
        <v>0.95313886173971996</v>
      </c>
      <c r="L851">
        <v>0.87236108952877101</v>
      </c>
      <c r="M851">
        <v>0.63250883392226198</v>
      </c>
      <c r="N851">
        <v>0.97879858657243801</v>
      </c>
      <c r="O851">
        <v>0.72402826855123703</v>
      </c>
      <c r="P851" t="s">
        <v>8776</v>
      </c>
      <c r="Q851" t="s">
        <v>8777</v>
      </c>
      <c r="R851" t="s">
        <v>8778</v>
      </c>
      <c r="S851" t="s">
        <v>8779</v>
      </c>
      <c r="T851" t="s">
        <v>8780</v>
      </c>
      <c r="U851" t="s">
        <v>8781</v>
      </c>
      <c r="V851" t="s">
        <v>8782</v>
      </c>
      <c r="W851" t="s">
        <v>8783</v>
      </c>
      <c r="AD851" t="s">
        <v>410</v>
      </c>
      <c r="AE851" t="s">
        <v>563</v>
      </c>
      <c r="AF851" t="s">
        <v>8788</v>
      </c>
    </row>
    <row r="852" spans="1:32" hidden="1" x14ac:dyDescent="0.35">
      <c r="A852">
        <v>269</v>
      </c>
      <c r="B852" t="s">
        <v>462</v>
      </c>
      <c r="C852" t="s">
        <v>72</v>
      </c>
      <c r="D852" t="s">
        <v>58</v>
      </c>
      <c r="E852">
        <v>1732</v>
      </c>
      <c r="F852">
        <v>5</v>
      </c>
      <c r="G852">
        <v>7</v>
      </c>
      <c r="H852">
        <v>3</v>
      </c>
      <c r="I852">
        <v>0</v>
      </c>
      <c r="J852">
        <v>0.65003030303030296</v>
      </c>
      <c r="K852">
        <v>0.96361928749400605</v>
      </c>
      <c r="L852">
        <v>0.77635409959364099</v>
      </c>
      <c r="M852">
        <v>0.43933823529411797</v>
      </c>
      <c r="N852">
        <v>0.99080882352941202</v>
      </c>
      <c r="O852">
        <v>0.56241246498599395</v>
      </c>
      <c r="P852" t="s">
        <v>433</v>
      </c>
      <c r="Q852" t="s">
        <v>434</v>
      </c>
      <c r="R852" t="s">
        <v>235</v>
      </c>
      <c r="S852" t="s">
        <v>236</v>
      </c>
      <c r="T852" t="s">
        <v>469</v>
      </c>
      <c r="U852" t="s">
        <v>470</v>
      </c>
      <c r="V852" t="s">
        <v>465</v>
      </c>
      <c r="W852" t="s">
        <v>466</v>
      </c>
      <c r="AD852" t="s">
        <v>439</v>
      </c>
      <c r="AE852" t="s">
        <v>471</v>
      </c>
      <c r="AF852" t="s">
        <v>472</v>
      </c>
    </row>
    <row r="853" spans="1:32" hidden="1" x14ac:dyDescent="0.35">
      <c r="A853">
        <v>99</v>
      </c>
      <c r="B853" t="s">
        <v>154</v>
      </c>
      <c r="C853" t="s">
        <v>72</v>
      </c>
      <c r="D853" t="s">
        <v>60</v>
      </c>
      <c r="E853">
        <v>2468</v>
      </c>
      <c r="F853">
        <v>5</v>
      </c>
      <c r="G853">
        <v>9</v>
      </c>
      <c r="H853">
        <v>2</v>
      </c>
      <c r="I853">
        <v>0</v>
      </c>
      <c r="J853">
        <v>0.73633910501461697</v>
      </c>
      <c r="K853">
        <v>0.71292585780316997</v>
      </c>
      <c r="L853">
        <v>0.72444335790178904</v>
      </c>
      <c r="M853">
        <v>0.25296442687747001</v>
      </c>
      <c r="N853">
        <v>1</v>
      </c>
      <c r="O853">
        <v>0.70405138339921003</v>
      </c>
      <c r="P853" t="s">
        <v>169</v>
      </c>
      <c r="Q853" t="s">
        <v>170</v>
      </c>
      <c r="R853" t="s">
        <v>157</v>
      </c>
      <c r="S853" t="s">
        <v>158</v>
      </c>
      <c r="T853" t="s">
        <v>159</v>
      </c>
      <c r="U853" t="s">
        <v>160</v>
      </c>
      <c r="V853" t="s">
        <v>161</v>
      </c>
      <c r="W853" t="s">
        <v>162</v>
      </c>
      <c r="AD853" t="s">
        <v>166</v>
      </c>
      <c r="AE853" t="s">
        <v>167</v>
      </c>
      <c r="AF853" t="s">
        <v>171</v>
      </c>
    </row>
    <row r="854" spans="1:32" hidden="1" x14ac:dyDescent="0.35">
      <c r="A854">
        <v>100</v>
      </c>
      <c r="B854" t="s">
        <v>154</v>
      </c>
      <c r="C854" t="s">
        <v>72</v>
      </c>
      <c r="D854" t="s">
        <v>60</v>
      </c>
      <c r="E854">
        <v>2063</v>
      </c>
      <c r="F854">
        <v>5</v>
      </c>
      <c r="G854">
        <v>9</v>
      </c>
      <c r="H854">
        <v>2</v>
      </c>
      <c r="I854">
        <v>0</v>
      </c>
      <c r="J854">
        <v>0.73633910501461697</v>
      </c>
      <c r="K854">
        <v>0.71292585780316997</v>
      </c>
      <c r="L854">
        <v>0.72444335790178904</v>
      </c>
      <c r="M854">
        <v>0.25296442687747001</v>
      </c>
      <c r="N854">
        <v>1</v>
      </c>
      <c r="O854">
        <v>0.70405138339921003</v>
      </c>
      <c r="P854" t="s">
        <v>169</v>
      </c>
      <c r="Q854" t="s">
        <v>170</v>
      </c>
      <c r="R854" t="s">
        <v>157</v>
      </c>
      <c r="S854" t="s">
        <v>158</v>
      </c>
      <c r="T854" t="s">
        <v>159</v>
      </c>
      <c r="U854" t="s">
        <v>160</v>
      </c>
      <c r="V854" t="s">
        <v>161</v>
      </c>
      <c r="W854" t="s">
        <v>162</v>
      </c>
      <c r="AD854" t="s">
        <v>166</v>
      </c>
      <c r="AE854" t="s">
        <v>167</v>
      </c>
      <c r="AF854" t="s">
        <v>172</v>
      </c>
    </row>
    <row r="855" spans="1:32" hidden="1" x14ac:dyDescent="0.35">
      <c r="A855">
        <v>101</v>
      </c>
      <c r="B855" t="s">
        <v>154</v>
      </c>
      <c r="C855" t="s">
        <v>72</v>
      </c>
      <c r="D855" t="s">
        <v>62</v>
      </c>
      <c r="E855">
        <v>2494</v>
      </c>
      <c r="F855">
        <v>5</v>
      </c>
      <c r="G855">
        <v>9</v>
      </c>
      <c r="H855">
        <v>2</v>
      </c>
      <c r="I855">
        <v>0</v>
      </c>
      <c r="J855">
        <v>0.73633910501461697</v>
      </c>
      <c r="K855">
        <v>0.71292585780316997</v>
      </c>
      <c r="L855">
        <v>0.72444335790178904</v>
      </c>
      <c r="M855">
        <v>0.25296442687747001</v>
      </c>
      <c r="N855">
        <v>1</v>
      </c>
      <c r="O855">
        <v>0.70405138339921003</v>
      </c>
      <c r="P855" t="s">
        <v>169</v>
      </c>
      <c r="Q855" t="s">
        <v>170</v>
      </c>
      <c r="R855" t="s">
        <v>157</v>
      </c>
      <c r="S855" t="s">
        <v>158</v>
      </c>
      <c r="T855" t="s">
        <v>159</v>
      </c>
      <c r="U855" t="s">
        <v>160</v>
      </c>
      <c r="V855" t="s">
        <v>161</v>
      </c>
      <c r="W855" t="s">
        <v>162</v>
      </c>
      <c r="AD855" t="s">
        <v>166</v>
      </c>
      <c r="AE855" t="s">
        <v>167</v>
      </c>
      <c r="AF855" t="s">
        <v>171</v>
      </c>
    </row>
    <row r="856" spans="1:32" hidden="1" x14ac:dyDescent="0.35">
      <c r="A856">
        <v>102</v>
      </c>
      <c r="B856" t="s">
        <v>154</v>
      </c>
      <c r="C856" t="s">
        <v>72</v>
      </c>
      <c r="D856" t="s">
        <v>62</v>
      </c>
      <c r="E856">
        <v>2101</v>
      </c>
      <c r="F856">
        <v>5</v>
      </c>
      <c r="G856">
        <v>9</v>
      </c>
      <c r="H856">
        <v>2</v>
      </c>
      <c r="I856">
        <v>0</v>
      </c>
      <c r="J856">
        <v>0.73633910501461697</v>
      </c>
      <c r="K856">
        <v>0.71292585780316997</v>
      </c>
      <c r="L856">
        <v>0.72444335790178904</v>
      </c>
      <c r="M856">
        <v>0.25296442687747001</v>
      </c>
      <c r="N856">
        <v>1</v>
      </c>
      <c r="O856">
        <v>0.70405138339921003</v>
      </c>
      <c r="P856" t="s">
        <v>169</v>
      </c>
      <c r="Q856" t="s">
        <v>170</v>
      </c>
      <c r="R856" t="s">
        <v>157</v>
      </c>
      <c r="S856" t="s">
        <v>158</v>
      </c>
      <c r="T856" t="s">
        <v>159</v>
      </c>
      <c r="U856" t="s">
        <v>160</v>
      </c>
      <c r="V856" t="s">
        <v>161</v>
      </c>
      <c r="W856" t="s">
        <v>162</v>
      </c>
      <c r="AD856" t="s">
        <v>166</v>
      </c>
      <c r="AE856" t="s">
        <v>167</v>
      </c>
      <c r="AF856" t="s">
        <v>172</v>
      </c>
    </row>
    <row r="857" spans="1:32" hidden="1" x14ac:dyDescent="0.35">
      <c r="A857">
        <v>103</v>
      </c>
      <c r="B857" t="s">
        <v>154</v>
      </c>
      <c r="C857" t="s">
        <v>72</v>
      </c>
      <c r="D857" t="s">
        <v>34</v>
      </c>
      <c r="E857">
        <v>2501</v>
      </c>
      <c r="F857">
        <v>5</v>
      </c>
      <c r="G857">
        <v>9</v>
      </c>
      <c r="H857">
        <v>2</v>
      </c>
      <c r="I857">
        <v>0</v>
      </c>
      <c r="J857">
        <v>0.73633910501461697</v>
      </c>
      <c r="K857">
        <v>0.71292585780316997</v>
      </c>
      <c r="L857">
        <v>0.72444335790178904</v>
      </c>
      <c r="M857">
        <v>0.25296442687747001</v>
      </c>
      <c r="N857">
        <v>1</v>
      </c>
      <c r="O857">
        <v>0.70405138339921003</v>
      </c>
      <c r="P857" t="s">
        <v>169</v>
      </c>
      <c r="Q857" t="s">
        <v>170</v>
      </c>
      <c r="R857" t="s">
        <v>157</v>
      </c>
      <c r="S857" t="s">
        <v>158</v>
      </c>
      <c r="T857" t="s">
        <v>159</v>
      </c>
      <c r="U857" t="s">
        <v>160</v>
      </c>
      <c r="V857" t="s">
        <v>161</v>
      </c>
      <c r="W857" t="s">
        <v>162</v>
      </c>
      <c r="AD857" t="s">
        <v>166</v>
      </c>
      <c r="AE857" t="s">
        <v>167</v>
      </c>
      <c r="AF857" t="e">
        <f>---------------------------------------------------------------------------------------------------------------MAKIQSA-----------------------------------------------------------------------------------------------------------------------------------------------------ARAVKLVKTYGTGDTAVEALKSISIKFRKQQFTAIMGPSGSGKSTLMHCMAGLDRVTRGATFIGNTDLSQLNDRQMTALRRDRLGFIFQSFNLVPTLTAAENITLPMNIAGKRVDKKWYREVTTRLGLAERLKHRPAELSGGQQQRVACARALVARPEIIFGDEPTGNLDSNSSAEVLDILRTAVDVYDQTVVIVTHDPTAASYADRVVFLADGKIVRALSSPTVEQILWVMGQLETRG</f>
        <v>#NAME?</v>
      </c>
    </row>
    <row r="858" spans="1:32" hidden="1" x14ac:dyDescent="0.35">
      <c r="A858">
        <v>104</v>
      </c>
      <c r="B858" t="s">
        <v>154</v>
      </c>
      <c r="C858" t="s">
        <v>72</v>
      </c>
      <c r="D858" t="s">
        <v>34</v>
      </c>
      <c r="E858">
        <v>1073</v>
      </c>
      <c r="F858">
        <v>5</v>
      </c>
      <c r="G858">
        <v>9</v>
      </c>
      <c r="H858">
        <v>2</v>
      </c>
      <c r="I858">
        <v>0</v>
      </c>
      <c r="J858">
        <v>0.73633910501461697</v>
      </c>
      <c r="K858">
        <v>0.71292585780316997</v>
      </c>
      <c r="L858">
        <v>0.72444335790178904</v>
      </c>
      <c r="M858">
        <v>0.25296442687747001</v>
      </c>
      <c r="N858">
        <v>1</v>
      </c>
      <c r="O858">
        <v>0.70405138339921003</v>
      </c>
      <c r="P858" t="s">
        <v>169</v>
      </c>
      <c r="Q858" t="s">
        <v>170</v>
      </c>
      <c r="R858" t="s">
        <v>157</v>
      </c>
      <c r="S858" t="s">
        <v>158</v>
      </c>
      <c r="T858" t="s">
        <v>159</v>
      </c>
      <c r="U858" t="s">
        <v>160</v>
      </c>
      <c r="V858" t="s">
        <v>161</v>
      </c>
      <c r="W858" t="s">
        <v>162</v>
      </c>
      <c r="AD858" t="s">
        <v>166</v>
      </c>
      <c r="AE858" t="s">
        <v>167</v>
      </c>
      <c r="AF858" t="e">
        <f>----------------------------------------------------------------------------------------------------------------MKFMSKNEN--------------------------------------------------------------------------------------------------------------------------------------------------VSAVDLVKRYGEGATQVTALDNVSLTVEKGTFVAIMGPSGSGKSTLMQCMAGLDTVDSGQVFIGGTEITRMPDRELTRLRRQHVGFVFQQFNLVPTLTAQQNIVLPLTLARRKVDEAWFASVVETLGIAQRVQHKPHELSGGQQQRVAIARALVARPTVVFADEPTGSLDSHSGTEVLRVLRDSVVNFDQTVIMVTHDPVAASYADRVVMLADGRIVEELTAPSLDDIMNALRRVDVAV</f>
        <v>#NAME?</v>
      </c>
    </row>
    <row r="859" spans="1:32" hidden="1" x14ac:dyDescent="0.35">
      <c r="A859">
        <v>105</v>
      </c>
      <c r="B859" t="s">
        <v>154</v>
      </c>
      <c r="C859" t="s">
        <v>72</v>
      </c>
      <c r="D859" t="s">
        <v>45</v>
      </c>
      <c r="E859">
        <v>400</v>
      </c>
      <c r="F859">
        <v>5</v>
      </c>
      <c r="G859">
        <v>9</v>
      </c>
      <c r="H859">
        <v>2</v>
      </c>
      <c r="I859">
        <v>0</v>
      </c>
      <c r="J859">
        <v>0.73633910501461697</v>
      </c>
      <c r="K859">
        <v>0.71292585780316997</v>
      </c>
      <c r="L859">
        <v>0.72444335790178904</v>
      </c>
      <c r="M859">
        <v>0.25296442687747001</v>
      </c>
      <c r="N859">
        <v>1</v>
      </c>
      <c r="O859">
        <v>0.70405138339921003</v>
      </c>
      <c r="P859" t="s">
        <v>169</v>
      </c>
      <c r="Q859" t="s">
        <v>170</v>
      </c>
      <c r="R859" t="s">
        <v>157</v>
      </c>
      <c r="S859" t="s">
        <v>158</v>
      </c>
      <c r="T859" t="s">
        <v>159</v>
      </c>
      <c r="U859" t="s">
        <v>160</v>
      </c>
      <c r="V859" t="s">
        <v>161</v>
      </c>
      <c r="W859" t="s">
        <v>162</v>
      </c>
      <c r="AD859" t="s">
        <v>166</v>
      </c>
      <c r="AE859" t="s">
        <v>167</v>
      </c>
      <c r="AF859" t="e">
        <f>---------------------------------------------------------------------------------------------------------------MAKIQSA-----------------------------------------------------------------------------------------------------------------------------------------------------ARAVKLVKTYGTGDTAVEALKSISIKFRKQQFTAIMGPSGSGKSTLMHCMAGLDRVTRGATFIGNTDLSQLNDRQMTALRRDRLGFIFQSFNLVPTLTAAENITLPMNIAGKRVDKKWYREVTTRLGLAERLKHRPAELSGGQQQRVACARALVARPEIIFGDEPTGNLDSNSSAEVLDILRTAVDVYDQTVVIVTHDPTAASYADRVVFLADGKIVRALSSPTVEQILWVMGQLETRG</f>
        <v>#NAME?</v>
      </c>
    </row>
    <row r="860" spans="1:32" hidden="1" x14ac:dyDescent="0.35">
      <c r="A860">
        <v>106</v>
      </c>
      <c r="B860" t="s">
        <v>154</v>
      </c>
      <c r="C860" t="s">
        <v>72</v>
      </c>
      <c r="D860" t="s">
        <v>45</v>
      </c>
      <c r="E860">
        <v>2330</v>
      </c>
      <c r="F860">
        <v>5</v>
      </c>
      <c r="G860">
        <v>9</v>
      </c>
      <c r="H860">
        <v>2</v>
      </c>
      <c r="I860">
        <v>0</v>
      </c>
      <c r="J860">
        <v>0.73633910501461697</v>
      </c>
      <c r="K860">
        <v>0.71292585780316997</v>
      </c>
      <c r="L860">
        <v>0.72444335790178904</v>
      </c>
      <c r="M860">
        <v>0.25296442687747001</v>
      </c>
      <c r="N860">
        <v>1</v>
      </c>
      <c r="O860">
        <v>0.70405138339921003</v>
      </c>
      <c r="P860" t="s">
        <v>169</v>
      </c>
      <c r="Q860" t="s">
        <v>170</v>
      </c>
      <c r="R860" t="s">
        <v>157</v>
      </c>
      <c r="S860" t="s">
        <v>158</v>
      </c>
      <c r="T860" t="s">
        <v>159</v>
      </c>
      <c r="U860" t="s">
        <v>160</v>
      </c>
      <c r="V860" t="s">
        <v>161</v>
      </c>
      <c r="W860" t="s">
        <v>162</v>
      </c>
      <c r="AD860" t="s">
        <v>166</v>
      </c>
      <c r="AE860" t="s">
        <v>167</v>
      </c>
      <c r="AF860" t="e">
        <f>----------------------------------------------------------------------------------------------------------------MKFMSKNEN--------------------------------------------------------------------------------------------------------------------------------------------------VSAVDLVKRYGEGATQVTALDNVSLTVEKGTFVAIMGPSGSGKSTLMQCMAGLDTVDSGQVFIGGTEITRMPDRELTRLRRQHVGFVFQQFNLVPTLTAQQNIVLPLTLARRKVDEAWFASVVETLGIAQRVQHKPHELSGGQQQRVAIARALVARPTVVFADEPTGSLDSHSGTEVLRVLRESVVNFDQTVIMVTHDPVAASYADRVVMLADGRIVEELTAPSLDDIMNALRRVDVAV</f>
        <v>#NAME?</v>
      </c>
    </row>
    <row r="861" spans="1:32" hidden="1" x14ac:dyDescent="0.35">
      <c r="A861">
        <v>211</v>
      </c>
      <c r="B861" t="s">
        <v>353</v>
      </c>
      <c r="C861" t="s">
        <v>72</v>
      </c>
      <c r="D861" t="s">
        <v>60</v>
      </c>
      <c r="E861">
        <v>1556</v>
      </c>
      <c r="F861">
        <v>4</v>
      </c>
      <c r="G861">
        <v>7</v>
      </c>
      <c r="H861">
        <v>3</v>
      </c>
      <c r="I861">
        <v>0</v>
      </c>
      <c r="J861">
        <v>0.74805819932173701</v>
      </c>
      <c r="K861">
        <v>0.77405776953969996</v>
      </c>
      <c r="L861">
        <v>0.760835932476286</v>
      </c>
      <c r="M861">
        <v>7.2115384615384595E-2</v>
      </c>
      <c r="N861">
        <v>1</v>
      </c>
      <c r="O861">
        <v>0.48237179487179499</v>
      </c>
      <c r="P861" t="s">
        <v>354</v>
      </c>
      <c r="Q861" t="s">
        <v>355</v>
      </c>
      <c r="R861" t="s">
        <v>157</v>
      </c>
      <c r="S861" t="s">
        <v>158</v>
      </c>
      <c r="T861" t="s">
        <v>356</v>
      </c>
      <c r="U861" t="s">
        <v>357</v>
      </c>
      <c r="V861" t="s">
        <v>358</v>
      </c>
      <c r="W861" t="s">
        <v>359</v>
      </c>
      <c r="AD861" t="s">
        <v>360</v>
      </c>
      <c r="AE861" t="s">
        <v>361</v>
      </c>
      <c r="AF861" t="s">
        <v>362</v>
      </c>
    </row>
    <row r="862" spans="1:32" hidden="1" x14ac:dyDescent="0.35">
      <c r="A862">
        <v>212</v>
      </c>
      <c r="B862" t="s">
        <v>353</v>
      </c>
      <c r="C862" t="s">
        <v>72</v>
      </c>
      <c r="D862" t="s">
        <v>60</v>
      </c>
      <c r="E862">
        <v>1555</v>
      </c>
      <c r="F862">
        <v>4</v>
      </c>
      <c r="G862">
        <v>7</v>
      </c>
      <c r="H862">
        <v>3</v>
      </c>
      <c r="I862">
        <v>0</v>
      </c>
      <c r="J862">
        <v>0.74805819932173701</v>
      </c>
      <c r="K862">
        <v>0.77405776953969996</v>
      </c>
      <c r="L862">
        <v>0.760835932476286</v>
      </c>
      <c r="M862">
        <v>7.2115384615384595E-2</v>
      </c>
      <c r="N862">
        <v>1</v>
      </c>
      <c r="O862">
        <v>0.48237179487179499</v>
      </c>
      <c r="P862" t="s">
        <v>354</v>
      </c>
      <c r="Q862" t="s">
        <v>355</v>
      </c>
      <c r="R862" t="s">
        <v>157</v>
      </c>
      <c r="S862" t="s">
        <v>158</v>
      </c>
      <c r="T862" t="s">
        <v>356</v>
      </c>
      <c r="U862" t="s">
        <v>357</v>
      </c>
      <c r="V862" t="s">
        <v>358</v>
      </c>
      <c r="W862" t="s">
        <v>359</v>
      </c>
      <c r="AD862" t="s">
        <v>360</v>
      </c>
      <c r="AE862" t="s">
        <v>361</v>
      </c>
      <c r="AF862" t="e">
        <f>-------MHIAVFTDYYLPTLGGVQTSIKAQKDTLEKAGHKVTIFCPLHQTSTDPSIVRLPTSTRFKPDNYPFAWSPDAVIDASISHIRELGDVDIIHIHSEMAAAIGGIHAGQSLRIPIVQTMHGRVDVYTKNVLPLPSVSTFILASLHRRSIALADIPLTPAHYTRTRLARRMWRLLVNQANQAQHVIVPSHHFARKLHDQGVIKPLTVLSNGLEPAVLDQLPPSAPRTRSAGE-PLRVMWCARVSQEKRPLAFLEAICQLPPTVIADMYGTGPALSSVRRFIRRHGLEQRVHLHGSVPQNAVLEAMRNHHVFVSTSFDFDNQPMVFLEAIAAGTPILYCDPDLSETVPDGGGILTTSPDAHDIAATLRNILNHPDCISEMSERMIAARGTTMQHQYTDQLLTVYSEAIKALRN</f>
        <v>#NAME?</v>
      </c>
    </row>
    <row r="863" spans="1:32" hidden="1" x14ac:dyDescent="0.35">
      <c r="A863">
        <v>213</v>
      </c>
      <c r="B863" t="s">
        <v>353</v>
      </c>
      <c r="C863" t="s">
        <v>72</v>
      </c>
      <c r="D863" t="s">
        <v>62</v>
      </c>
      <c r="E863">
        <v>1592</v>
      </c>
      <c r="F863">
        <v>4</v>
      </c>
      <c r="G863">
        <v>7</v>
      </c>
      <c r="H863">
        <v>3</v>
      </c>
      <c r="I863">
        <v>0</v>
      </c>
      <c r="J863">
        <v>0.74805819932173701</v>
      </c>
      <c r="K863">
        <v>0.77405776953969996</v>
      </c>
      <c r="L863">
        <v>0.760835932476286</v>
      </c>
      <c r="M863">
        <v>7.2115384615384595E-2</v>
      </c>
      <c r="N863">
        <v>1</v>
      </c>
      <c r="O863">
        <v>0.48237179487179499</v>
      </c>
      <c r="P863" t="s">
        <v>354</v>
      </c>
      <c r="Q863" t="s">
        <v>355</v>
      </c>
      <c r="R863" t="s">
        <v>157</v>
      </c>
      <c r="S863" t="s">
        <v>158</v>
      </c>
      <c r="T863" t="s">
        <v>356</v>
      </c>
      <c r="U863" t="s">
        <v>357</v>
      </c>
      <c r="V863" t="s">
        <v>358</v>
      </c>
      <c r="W863" t="s">
        <v>359</v>
      </c>
      <c r="AD863" t="s">
        <v>360</v>
      </c>
      <c r="AE863" t="s">
        <v>361</v>
      </c>
      <c r="AF863" t="s">
        <v>362</v>
      </c>
    </row>
    <row r="864" spans="1:32" hidden="1" x14ac:dyDescent="0.35">
      <c r="A864">
        <v>214</v>
      </c>
      <c r="B864" t="s">
        <v>353</v>
      </c>
      <c r="C864" t="s">
        <v>72</v>
      </c>
      <c r="D864" t="s">
        <v>62</v>
      </c>
      <c r="E864">
        <v>1591</v>
      </c>
      <c r="F864">
        <v>4</v>
      </c>
      <c r="G864">
        <v>7</v>
      </c>
      <c r="H864">
        <v>3</v>
      </c>
      <c r="I864">
        <v>0</v>
      </c>
      <c r="J864">
        <v>0.74805819932173701</v>
      </c>
      <c r="K864">
        <v>0.77405776953969996</v>
      </c>
      <c r="L864">
        <v>0.760835932476286</v>
      </c>
      <c r="M864">
        <v>7.2115384615384595E-2</v>
      </c>
      <c r="N864">
        <v>1</v>
      </c>
      <c r="O864">
        <v>0.48237179487179499</v>
      </c>
      <c r="P864" t="s">
        <v>363</v>
      </c>
      <c r="Q864" t="s">
        <v>364</v>
      </c>
      <c r="R864" t="s">
        <v>157</v>
      </c>
      <c r="S864" t="s">
        <v>158</v>
      </c>
      <c r="V864" t="s">
        <v>358</v>
      </c>
      <c r="W864" t="s">
        <v>359</v>
      </c>
      <c r="AF864" t="e">
        <f>------------------------------------------------------------------------------------------------------------------------------------------------------------------------------MWRLLVNQANQAQHVIVPSHHFARKLHDQGVIKPLTVLSNELEPAVLDQLPPSAPRTRSAGE-PLRVMWCARVSQEKRPLAFLEAICQLPPTVIADMYGTGPALSSVRRFIRRHGLEQRVHLHGSVPQNAVLEAMRNHHVFVSTSFDFDNQPMVFLEAIAAGTPILYCDPDLSETVPDGGGILTTSPDAHDIAATLRNILNHPDCISEMSERMIAARGTTMQHQYTDQLLTVYSEAIKALRN</f>
        <v>#NAME?</v>
      </c>
    </row>
    <row r="865" spans="1:32" hidden="1" x14ac:dyDescent="0.35">
      <c r="A865">
        <v>215</v>
      </c>
      <c r="B865" t="s">
        <v>353</v>
      </c>
      <c r="C865" t="s">
        <v>72</v>
      </c>
      <c r="D865" t="s">
        <v>62</v>
      </c>
      <c r="E865">
        <v>1590</v>
      </c>
      <c r="F865">
        <v>4</v>
      </c>
      <c r="G865">
        <v>7</v>
      </c>
      <c r="H865">
        <v>3</v>
      </c>
      <c r="I865">
        <v>0</v>
      </c>
      <c r="J865">
        <v>0.74805819932173701</v>
      </c>
      <c r="K865">
        <v>0.77405776953969996</v>
      </c>
      <c r="L865">
        <v>0.760835932476286</v>
      </c>
      <c r="M865">
        <v>7.2115384615384595E-2</v>
      </c>
      <c r="N865">
        <v>1</v>
      </c>
      <c r="O865">
        <v>0.48237179487179499</v>
      </c>
      <c r="P865" t="s">
        <v>354</v>
      </c>
      <c r="Q865" t="s">
        <v>355</v>
      </c>
      <c r="R865" t="s">
        <v>157</v>
      </c>
      <c r="S865" t="s">
        <v>158</v>
      </c>
      <c r="V865" t="s">
        <v>358</v>
      </c>
      <c r="W865" t="s">
        <v>359</v>
      </c>
      <c r="AF865" t="s">
        <v>365</v>
      </c>
    </row>
    <row r="866" spans="1:32" hidden="1" x14ac:dyDescent="0.35">
      <c r="A866">
        <v>216</v>
      </c>
      <c r="B866" t="s">
        <v>353</v>
      </c>
      <c r="C866" t="s">
        <v>72</v>
      </c>
      <c r="D866" t="s">
        <v>34</v>
      </c>
      <c r="E866">
        <v>2411</v>
      </c>
      <c r="F866">
        <v>4</v>
      </c>
      <c r="G866">
        <v>7</v>
      </c>
      <c r="H866">
        <v>3</v>
      </c>
      <c r="I866">
        <v>0</v>
      </c>
      <c r="J866">
        <v>0.74805819932173701</v>
      </c>
      <c r="K866">
        <v>0.77405776953969996</v>
      </c>
      <c r="L866">
        <v>0.760835932476286</v>
      </c>
      <c r="M866">
        <v>7.2115384615384595E-2</v>
      </c>
      <c r="N866">
        <v>1</v>
      </c>
      <c r="O866">
        <v>0.48237179487179499</v>
      </c>
      <c r="P866" t="s">
        <v>354</v>
      </c>
      <c r="Q866" t="s">
        <v>355</v>
      </c>
      <c r="R866" t="s">
        <v>157</v>
      </c>
      <c r="S866" t="s">
        <v>158</v>
      </c>
      <c r="T866" t="s">
        <v>356</v>
      </c>
      <c r="U866" t="s">
        <v>357</v>
      </c>
      <c r="V866" t="s">
        <v>358</v>
      </c>
      <c r="W866" t="s">
        <v>359</v>
      </c>
      <c r="AD866" t="s">
        <v>360</v>
      </c>
      <c r="AE866" t="s">
        <v>361</v>
      </c>
      <c r="AF866" t="s">
        <v>366</v>
      </c>
    </row>
    <row r="867" spans="1:32" hidden="1" x14ac:dyDescent="0.35">
      <c r="A867">
        <v>217</v>
      </c>
      <c r="B867" t="s">
        <v>353</v>
      </c>
      <c r="C867" t="s">
        <v>72</v>
      </c>
      <c r="D867" t="s">
        <v>45</v>
      </c>
      <c r="E867">
        <v>486</v>
      </c>
      <c r="F867">
        <v>4</v>
      </c>
      <c r="G867">
        <v>7</v>
      </c>
      <c r="H867">
        <v>3</v>
      </c>
      <c r="I867">
        <v>0</v>
      </c>
      <c r="J867">
        <v>0.74805819932173701</v>
      </c>
      <c r="K867">
        <v>0.77405776953969996</v>
      </c>
      <c r="L867">
        <v>0.760835932476286</v>
      </c>
      <c r="M867">
        <v>7.2115384615384595E-2</v>
      </c>
      <c r="N867">
        <v>1</v>
      </c>
      <c r="O867">
        <v>0.48237179487179499</v>
      </c>
      <c r="P867" t="s">
        <v>354</v>
      </c>
      <c r="Q867" t="s">
        <v>355</v>
      </c>
      <c r="R867" t="s">
        <v>157</v>
      </c>
      <c r="S867" t="s">
        <v>158</v>
      </c>
      <c r="T867" t="s">
        <v>356</v>
      </c>
      <c r="U867" t="s">
        <v>357</v>
      </c>
      <c r="V867" t="s">
        <v>358</v>
      </c>
      <c r="W867" t="s">
        <v>359</v>
      </c>
      <c r="AD867" t="s">
        <v>360</v>
      </c>
      <c r="AE867" t="s">
        <v>361</v>
      </c>
      <c r="AF867" t="s">
        <v>367</v>
      </c>
    </row>
    <row r="868" spans="1:32" hidden="1" x14ac:dyDescent="0.35">
      <c r="A868">
        <v>6317</v>
      </c>
      <c r="B868" t="s">
        <v>13016</v>
      </c>
      <c r="C868" t="s">
        <v>68</v>
      </c>
      <c r="D868" t="s">
        <v>58</v>
      </c>
      <c r="E868">
        <v>819</v>
      </c>
      <c r="F868">
        <v>3</v>
      </c>
      <c r="G868">
        <v>3</v>
      </c>
      <c r="H868">
        <v>1</v>
      </c>
      <c r="I868">
        <v>0</v>
      </c>
      <c r="J868">
        <v>0.896325459317585</v>
      </c>
      <c r="K868">
        <v>0.99220792483660503</v>
      </c>
      <c r="L868">
        <v>0.94183267442319896</v>
      </c>
      <c r="M868">
        <v>0.80078125</v>
      </c>
      <c r="N868">
        <v>0.98828125</v>
      </c>
      <c r="O868">
        <v>0.86328125</v>
      </c>
      <c r="P868" t="s">
        <v>169</v>
      </c>
      <c r="Q868" t="s">
        <v>170</v>
      </c>
      <c r="R868" t="s">
        <v>235</v>
      </c>
      <c r="S868" t="s">
        <v>236</v>
      </c>
      <c r="T868" t="s">
        <v>13017</v>
      </c>
      <c r="U868" t="s">
        <v>13018</v>
      </c>
      <c r="V868" t="s">
        <v>13019</v>
      </c>
      <c r="W868" t="s">
        <v>13020</v>
      </c>
      <c r="AD868" t="s">
        <v>12920</v>
      </c>
      <c r="AE868" t="s">
        <v>13021</v>
      </c>
      <c r="AF868" t="s">
        <v>13022</v>
      </c>
    </row>
    <row r="869" spans="1:32" hidden="1" x14ac:dyDescent="0.35">
      <c r="A869">
        <v>275</v>
      </c>
      <c r="B869" t="s">
        <v>473</v>
      </c>
      <c r="C869" t="s">
        <v>72</v>
      </c>
      <c r="D869" t="s">
        <v>60</v>
      </c>
      <c r="E869">
        <v>569</v>
      </c>
      <c r="F869">
        <v>5</v>
      </c>
      <c r="G869">
        <v>7</v>
      </c>
      <c r="H869">
        <v>2</v>
      </c>
      <c r="I869">
        <v>0</v>
      </c>
      <c r="J869">
        <v>0.69648025394454305</v>
      </c>
      <c r="K869">
        <v>0.93816558733584798</v>
      </c>
      <c r="L869">
        <v>0.79945611460142896</v>
      </c>
      <c r="M869">
        <v>0.52110091743119302</v>
      </c>
      <c r="N869">
        <v>0.99816513761467895</v>
      </c>
      <c r="O869">
        <v>0.61738750546090004</v>
      </c>
      <c r="P869" t="s">
        <v>474</v>
      </c>
      <c r="Q869" t="s">
        <v>475</v>
      </c>
      <c r="R869" t="s">
        <v>157</v>
      </c>
      <c r="S869" t="s">
        <v>158</v>
      </c>
      <c r="T869" t="s">
        <v>476</v>
      </c>
      <c r="U869" t="s">
        <v>477</v>
      </c>
      <c r="V869" t="s">
        <v>478</v>
      </c>
      <c r="W869" t="s">
        <v>479</v>
      </c>
      <c r="AD869" t="s">
        <v>410</v>
      </c>
      <c r="AE869" t="s">
        <v>480</v>
      </c>
      <c r="AF869" t="s">
        <v>482</v>
      </c>
    </row>
    <row r="870" spans="1:32" hidden="1" x14ac:dyDescent="0.35">
      <c r="A870">
        <v>276</v>
      </c>
      <c r="B870" t="s">
        <v>473</v>
      </c>
      <c r="C870" t="s">
        <v>72</v>
      </c>
      <c r="D870" t="s">
        <v>62</v>
      </c>
      <c r="E870">
        <v>653</v>
      </c>
      <c r="F870">
        <v>5</v>
      </c>
      <c r="G870">
        <v>7</v>
      </c>
      <c r="H870">
        <v>2</v>
      </c>
      <c r="I870">
        <v>0</v>
      </c>
      <c r="J870">
        <v>0.69648025394454305</v>
      </c>
      <c r="K870">
        <v>0.93816558733584798</v>
      </c>
      <c r="L870">
        <v>0.79945611460142896</v>
      </c>
      <c r="M870">
        <v>0.52110091743119302</v>
      </c>
      <c r="N870">
        <v>0.99816513761467895</v>
      </c>
      <c r="O870">
        <v>0.61738750546090004</v>
      </c>
      <c r="P870" t="s">
        <v>474</v>
      </c>
      <c r="Q870" t="s">
        <v>475</v>
      </c>
      <c r="R870" t="s">
        <v>157</v>
      </c>
      <c r="S870" t="s">
        <v>158</v>
      </c>
      <c r="T870" t="s">
        <v>476</v>
      </c>
      <c r="U870" t="s">
        <v>477</v>
      </c>
      <c r="V870" t="s">
        <v>478</v>
      </c>
      <c r="W870" t="s">
        <v>479</v>
      </c>
      <c r="AD870" t="s">
        <v>410</v>
      </c>
      <c r="AE870" t="s">
        <v>480</v>
      </c>
      <c r="AF870" t="s">
        <v>483</v>
      </c>
    </row>
    <row r="871" spans="1:32" hidden="1" x14ac:dyDescent="0.35">
      <c r="A871">
        <v>277</v>
      </c>
      <c r="B871" t="s">
        <v>473</v>
      </c>
      <c r="C871" t="s">
        <v>72</v>
      </c>
      <c r="D871" t="s">
        <v>34</v>
      </c>
      <c r="E871">
        <v>2176</v>
      </c>
      <c r="F871">
        <v>5</v>
      </c>
      <c r="G871">
        <v>7</v>
      </c>
      <c r="H871">
        <v>2</v>
      </c>
      <c r="I871">
        <v>0</v>
      </c>
      <c r="J871">
        <v>0.69648025394454305</v>
      </c>
      <c r="K871">
        <v>0.93816558733584798</v>
      </c>
      <c r="L871">
        <v>0.79945611460142896</v>
      </c>
      <c r="M871">
        <v>0.52110091743119302</v>
      </c>
      <c r="N871">
        <v>0.99816513761467895</v>
      </c>
      <c r="O871">
        <v>0.61738750546090004</v>
      </c>
      <c r="P871" t="s">
        <v>474</v>
      </c>
      <c r="Q871" t="s">
        <v>475</v>
      </c>
      <c r="R871" t="s">
        <v>157</v>
      </c>
      <c r="S871" t="s">
        <v>158</v>
      </c>
      <c r="T871" t="s">
        <v>476</v>
      </c>
      <c r="U871" t="s">
        <v>477</v>
      </c>
      <c r="V871" t="s">
        <v>478</v>
      </c>
      <c r="W871" t="s">
        <v>479</v>
      </c>
      <c r="AD871" t="s">
        <v>410</v>
      </c>
      <c r="AE871" t="s">
        <v>480</v>
      </c>
      <c r="AF871" t="e">
        <f>--MSATSHHRNSRNSSSRSNVGPAVRQQGPPAVKALIALLSAIMLVVAGVGYFLIPKIDSP-----SIPLNAG-------SPDGAMDVLLVGNDSRTDAQGNPLTPEEIAMLHAGDEEADNTDTIMVIRIPNDGSSATAISIPRDTYIHDDDIGNTKINGVYSGHKAIEKERLLAEGEKEGPSLERKAKAAGQRGLINAISDLTGISVDHYAEVGLVGFVLLTDAVGGVEVCLNAPVNDEFSGANFPAGRQVLNGAQGLAFVRQRHGLPRGDLDRIVRQQAYMASLVSKILSTNMLQGGT-LLKLQDAAKRSLTLDSNWDLSQLAVQMSNLTGGNVKFNTIPVTSIDGTGDNGESVVTVDPRQVHKFFDQLLGGNENLGSSTAATTTS------AQPAATSTVTVLNASGTTGLATTVASVLKSAGYTVGDTGNAEVGTYSQSQVLAPQETNEEAAAIAQELGGLPVVADATLTNGTITVVLAADYAGPTSADDSSGSGAG-------VV-GQEGTAM-------DKNSASPTIDAGGNGPRCIN</f>
        <v>#NAME?</v>
      </c>
    </row>
    <row r="872" spans="1:32" hidden="1" x14ac:dyDescent="0.35">
      <c r="A872">
        <v>278</v>
      </c>
      <c r="B872" t="s">
        <v>473</v>
      </c>
      <c r="C872" t="s">
        <v>72</v>
      </c>
      <c r="D872" t="s">
        <v>34</v>
      </c>
      <c r="E872">
        <v>522</v>
      </c>
      <c r="F872">
        <v>5</v>
      </c>
      <c r="G872">
        <v>7</v>
      </c>
      <c r="H872">
        <v>2</v>
      </c>
      <c r="I872">
        <v>0</v>
      </c>
      <c r="J872">
        <v>0.69648025394454305</v>
      </c>
      <c r="K872">
        <v>0.93816558733584798</v>
      </c>
      <c r="L872">
        <v>0.79945611460142896</v>
      </c>
      <c r="M872">
        <v>0.52110091743119302</v>
      </c>
      <c r="N872">
        <v>0.99816513761467895</v>
      </c>
      <c r="O872">
        <v>0.61738750546090004</v>
      </c>
      <c r="P872" t="s">
        <v>474</v>
      </c>
      <c r="Q872" t="s">
        <v>475</v>
      </c>
      <c r="R872" t="s">
        <v>157</v>
      </c>
      <c r="S872" t="s">
        <v>158</v>
      </c>
      <c r="T872" t="s">
        <v>476</v>
      </c>
      <c r="U872" t="s">
        <v>477</v>
      </c>
      <c r="V872" t="s">
        <v>478</v>
      </c>
      <c r="W872" t="s">
        <v>479</v>
      </c>
      <c r="AD872" t="s">
        <v>410</v>
      </c>
      <c r="AE872" t="s">
        <v>480</v>
      </c>
      <c r="AF872" t="s">
        <v>484</v>
      </c>
    </row>
    <row r="873" spans="1:32" hidden="1" x14ac:dyDescent="0.35">
      <c r="A873">
        <v>279</v>
      </c>
      <c r="B873" t="s">
        <v>473</v>
      </c>
      <c r="C873" t="s">
        <v>72</v>
      </c>
      <c r="D873" t="s">
        <v>45</v>
      </c>
      <c r="E873">
        <v>698</v>
      </c>
      <c r="F873">
        <v>5</v>
      </c>
      <c r="G873">
        <v>7</v>
      </c>
      <c r="H873">
        <v>2</v>
      </c>
      <c r="I873">
        <v>0</v>
      </c>
      <c r="J873">
        <v>0.69648025394454305</v>
      </c>
      <c r="K873">
        <v>0.93816558733584798</v>
      </c>
      <c r="L873">
        <v>0.79945611460142896</v>
      </c>
      <c r="M873">
        <v>0.52110091743119302</v>
      </c>
      <c r="N873">
        <v>0.99816513761467895</v>
      </c>
      <c r="O873">
        <v>0.61738750546090004</v>
      </c>
      <c r="P873" t="s">
        <v>474</v>
      </c>
      <c r="Q873" t="s">
        <v>475</v>
      </c>
      <c r="R873" t="s">
        <v>157</v>
      </c>
      <c r="S873" t="s">
        <v>158</v>
      </c>
      <c r="T873" t="s">
        <v>476</v>
      </c>
      <c r="U873" t="s">
        <v>477</v>
      </c>
      <c r="V873" t="s">
        <v>478</v>
      </c>
      <c r="W873" t="s">
        <v>479</v>
      </c>
      <c r="AD873" t="s">
        <v>410</v>
      </c>
      <c r="AE873" t="s">
        <v>480</v>
      </c>
      <c r="AF873" t="e">
        <f>--MSATSHHRNSRNSSSRSNVGPAVRQQGPPAVKALIALLSAIMLVVAGVGYFLIPKIDSP-----SIPLNAG-------SPDGAMDVLLVGNDSRTDAQGNPLTPEEIAMLHAGDEEADNTDTIMVIRIPNDGSSATAISIPRDTYIHDDDIGNTKINGVYSGHKAIEKERLLAEGEKEGPSLERKAKAAGQRGLINAISDLTGISVDHYAEVGLVGFVLLTDAVGGVEVCLNAPVNDEFSGANFPAGRQVLNGAQGLAFVRQRHGLPRGDLDRIVRQQAYMASLVSKILSTNMLQGGT-LLKLQDAAKRSLTLDSNWDLSQLAVQMSNLTGGNVKFNTIPVTSIDGTGDNGESVVTVDPRQVHKFFDQLLGGNENLGSSTAAATTS------AQPAATSTVTVLNASGTTGLATTVASVLKSAGYTVGDTGNAEVGTYSQSQVLAPQETNEEAAAIAQELGGLPVVADATLTNGTITVVLAADYAGPTSADDSSGSGAG-------VV-GQEGTAM-------DKNSASPTIDAGGNGPRCIN</f>
        <v>#NAME?</v>
      </c>
    </row>
    <row r="874" spans="1:32" hidden="1" x14ac:dyDescent="0.35">
      <c r="A874">
        <v>280</v>
      </c>
      <c r="B874" t="s">
        <v>473</v>
      </c>
      <c r="C874" t="s">
        <v>72</v>
      </c>
      <c r="D874" t="s">
        <v>45</v>
      </c>
      <c r="E874">
        <v>1787</v>
      </c>
      <c r="F874">
        <v>5</v>
      </c>
      <c r="G874">
        <v>7</v>
      </c>
      <c r="H874">
        <v>2</v>
      </c>
      <c r="I874">
        <v>0</v>
      </c>
      <c r="J874">
        <v>0.69648025394454305</v>
      </c>
      <c r="K874">
        <v>0.93816558733584798</v>
      </c>
      <c r="L874">
        <v>0.79945611460142896</v>
      </c>
      <c r="M874">
        <v>0.52110091743119302</v>
      </c>
      <c r="N874">
        <v>0.99816513761467895</v>
      </c>
      <c r="O874">
        <v>0.61738750546090004</v>
      </c>
      <c r="P874" t="s">
        <v>474</v>
      </c>
      <c r="Q874" t="s">
        <v>475</v>
      </c>
      <c r="R874" t="s">
        <v>157</v>
      </c>
      <c r="S874" t="s">
        <v>158</v>
      </c>
      <c r="T874" t="s">
        <v>476</v>
      </c>
      <c r="U874" t="s">
        <v>477</v>
      </c>
      <c r="V874" t="s">
        <v>478</v>
      </c>
      <c r="W874" t="s">
        <v>479</v>
      </c>
      <c r="AD874" t="s">
        <v>410</v>
      </c>
      <c r="AE874" t="s">
        <v>480</v>
      </c>
      <c r="AF874" t="s">
        <v>485</v>
      </c>
    </row>
    <row r="875" spans="1:32" hidden="1" x14ac:dyDescent="0.35">
      <c r="A875">
        <v>3114</v>
      </c>
      <c r="B875" t="s">
        <v>6412</v>
      </c>
      <c r="C875" t="s">
        <v>72</v>
      </c>
      <c r="D875" t="s">
        <v>58</v>
      </c>
      <c r="E875">
        <v>1763</v>
      </c>
      <c r="F875">
        <v>5</v>
      </c>
      <c r="G875">
        <v>5</v>
      </c>
      <c r="H875">
        <v>1</v>
      </c>
      <c r="I875">
        <v>1</v>
      </c>
      <c r="J875">
        <v>0.71692594069937499</v>
      </c>
      <c r="K875">
        <v>0.92303921568627201</v>
      </c>
      <c r="L875">
        <v>0.80703026577313397</v>
      </c>
      <c r="M875">
        <v>0.50183150183150205</v>
      </c>
      <c r="N875">
        <v>0.99633699633699602</v>
      </c>
      <c r="O875">
        <v>0.61575091575091601</v>
      </c>
      <c r="P875" t="s">
        <v>169</v>
      </c>
      <c r="Q875" t="s">
        <v>170</v>
      </c>
      <c r="R875" t="s">
        <v>235</v>
      </c>
      <c r="S875" t="s">
        <v>236</v>
      </c>
      <c r="T875" t="s">
        <v>6413</v>
      </c>
      <c r="U875" t="s">
        <v>6414</v>
      </c>
      <c r="V875" t="s">
        <v>6415</v>
      </c>
      <c r="W875" t="s">
        <v>6416</v>
      </c>
      <c r="AD875" t="s">
        <v>1667</v>
      </c>
      <c r="AE875" t="s">
        <v>6417</v>
      </c>
      <c r="AF875" t="s">
        <v>6418</v>
      </c>
    </row>
    <row r="876" spans="1:32" hidden="1" x14ac:dyDescent="0.35">
      <c r="A876">
        <v>660</v>
      </c>
      <c r="B876" t="s">
        <v>1350</v>
      </c>
      <c r="C876" t="s">
        <v>72</v>
      </c>
      <c r="D876" t="s">
        <v>60</v>
      </c>
      <c r="E876">
        <v>2091</v>
      </c>
      <c r="F876">
        <v>5</v>
      </c>
      <c r="G876">
        <v>5</v>
      </c>
      <c r="H876">
        <v>1</v>
      </c>
      <c r="I876">
        <v>1</v>
      </c>
      <c r="J876">
        <v>0.86651724567301702</v>
      </c>
      <c r="K876">
        <v>0.93561804049608999</v>
      </c>
      <c r="L876">
        <v>0.89974284802565097</v>
      </c>
      <c r="M876">
        <v>0.73867595818815301</v>
      </c>
      <c r="N876">
        <v>1</v>
      </c>
      <c r="O876">
        <v>0.809756097560976</v>
      </c>
      <c r="P876" t="s">
        <v>1351</v>
      </c>
      <c r="Q876" t="s">
        <v>1352</v>
      </c>
      <c r="R876" t="s">
        <v>157</v>
      </c>
      <c r="S876" t="s">
        <v>158</v>
      </c>
      <c r="T876" t="s">
        <v>1353</v>
      </c>
      <c r="U876" t="s">
        <v>1354</v>
      </c>
      <c r="V876" t="s">
        <v>1355</v>
      </c>
      <c r="W876" t="s">
        <v>1356</v>
      </c>
      <c r="X876" t="s">
        <v>1355</v>
      </c>
      <c r="Y876" t="s">
        <v>1357</v>
      </c>
      <c r="AD876" t="s">
        <v>1358</v>
      </c>
      <c r="AE876" t="s">
        <v>1359</v>
      </c>
      <c r="AF876" t="s">
        <v>1361</v>
      </c>
    </row>
    <row r="877" spans="1:32" hidden="1" x14ac:dyDescent="0.35">
      <c r="A877">
        <v>661</v>
      </c>
      <c r="B877" t="s">
        <v>1350</v>
      </c>
      <c r="C877" t="s">
        <v>72</v>
      </c>
      <c r="D877" t="s">
        <v>62</v>
      </c>
      <c r="E877">
        <v>2126</v>
      </c>
      <c r="F877">
        <v>5</v>
      </c>
      <c r="G877">
        <v>5</v>
      </c>
      <c r="H877">
        <v>1</v>
      </c>
      <c r="I877">
        <v>1</v>
      </c>
      <c r="J877">
        <v>0.86651724567301702</v>
      </c>
      <c r="K877">
        <v>0.93561804049608999</v>
      </c>
      <c r="L877">
        <v>0.89974284802565097</v>
      </c>
      <c r="M877">
        <v>0.73867595818815301</v>
      </c>
      <c r="N877">
        <v>1</v>
      </c>
      <c r="O877">
        <v>0.809756097560976</v>
      </c>
      <c r="P877" t="s">
        <v>1351</v>
      </c>
      <c r="Q877" t="s">
        <v>1352</v>
      </c>
      <c r="R877" t="s">
        <v>157</v>
      </c>
      <c r="S877" t="s">
        <v>158</v>
      </c>
      <c r="T877" t="s">
        <v>1353</v>
      </c>
      <c r="U877" t="s">
        <v>1354</v>
      </c>
      <c r="V877" t="s">
        <v>1355</v>
      </c>
      <c r="W877" t="s">
        <v>1356</v>
      </c>
      <c r="X877" t="s">
        <v>1355</v>
      </c>
      <c r="Y877" t="s">
        <v>1357</v>
      </c>
      <c r="AD877" t="s">
        <v>1358</v>
      </c>
      <c r="AE877" t="s">
        <v>1359</v>
      </c>
      <c r="AF877" t="s">
        <v>1361</v>
      </c>
    </row>
    <row r="878" spans="1:32" hidden="1" x14ac:dyDescent="0.35">
      <c r="A878">
        <v>662</v>
      </c>
      <c r="B878" t="s">
        <v>1350</v>
      </c>
      <c r="C878" t="s">
        <v>72</v>
      </c>
      <c r="D878" t="s">
        <v>34</v>
      </c>
      <c r="E878">
        <v>2441</v>
      </c>
      <c r="F878">
        <v>5</v>
      </c>
      <c r="G878">
        <v>5</v>
      </c>
      <c r="H878">
        <v>1</v>
      </c>
      <c r="I878">
        <v>1</v>
      </c>
      <c r="J878">
        <v>0.86651724567301702</v>
      </c>
      <c r="K878">
        <v>0.93561804049608999</v>
      </c>
      <c r="L878">
        <v>0.89974284802565097</v>
      </c>
      <c r="M878">
        <v>0.73867595818815301</v>
      </c>
      <c r="N878">
        <v>1</v>
      </c>
      <c r="O878">
        <v>0.809756097560976</v>
      </c>
      <c r="P878" t="s">
        <v>1351</v>
      </c>
      <c r="Q878" t="s">
        <v>1352</v>
      </c>
      <c r="R878" t="s">
        <v>157</v>
      </c>
      <c r="S878" t="s">
        <v>158</v>
      </c>
      <c r="T878" t="s">
        <v>1353</v>
      </c>
      <c r="U878" t="s">
        <v>1354</v>
      </c>
      <c r="V878" t="s">
        <v>1355</v>
      </c>
      <c r="W878" t="s">
        <v>1356</v>
      </c>
      <c r="X878" t="s">
        <v>1355</v>
      </c>
      <c r="Y878" t="s">
        <v>1357</v>
      </c>
      <c r="AD878" t="s">
        <v>1358</v>
      </c>
      <c r="AE878" t="s">
        <v>1359</v>
      </c>
      <c r="AF878" t="e">
        <f>---------------MKITNNSPIGIFDSGVGGLTVARTIMEQLPGESITYIGDTAHSPYGPLPIAEVRKHALRIADELVERGSKMLVIACNTASAACLRDARERYDVPVIEVIHPAVRRAVATTRNGRIGVIGTSGTINSGAYQDLFSVNPNVEITAQACPRFVDFVERGITSGRQILGVAQAYIEPLQTAGVDTLVLGCTHYPLLSGVIQLAIGDNVTLVSSAEETAKDVLKQLSTTDMLADES----TTPTHHFESTGDPELFSQLAKRFLGPHVTHVEKLEPM</f>
        <v>#NAME?</v>
      </c>
    </row>
    <row r="879" spans="1:32" hidden="1" x14ac:dyDescent="0.35">
      <c r="A879">
        <v>663</v>
      </c>
      <c r="B879" t="s">
        <v>1350</v>
      </c>
      <c r="C879" t="s">
        <v>72</v>
      </c>
      <c r="D879" t="s">
        <v>45</v>
      </c>
      <c r="E879">
        <v>461</v>
      </c>
      <c r="F879">
        <v>5</v>
      </c>
      <c r="G879">
        <v>5</v>
      </c>
      <c r="H879">
        <v>1</v>
      </c>
      <c r="I879">
        <v>1</v>
      </c>
      <c r="J879">
        <v>0.86651724567301702</v>
      </c>
      <c r="K879">
        <v>0.93561804049608999</v>
      </c>
      <c r="L879">
        <v>0.89974284802565097</v>
      </c>
      <c r="M879">
        <v>0.73867595818815301</v>
      </c>
      <c r="N879">
        <v>1</v>
      </c>
      <c r="O879">
        <v>0.809756097560976</v>
      </c>
      <c r="P879" t="s">
        <v>1351</v>
      </c>
      <c r="Q879" t="s">
        <v>1352</v>
      </c>
      <c r="R879" t="s">
        <v>157</v>
      </c>
      <c r="S879" t="s">
        <v>158</v>
      </c>
      <c r="T879" t="s">
        <v>1353</v>
      </c>
      <c r="U879" t="s">
        <v>1354</v>
      </c>
      <c r="V879" t="s">
        <v>1355</v>
      </c>
      <c r="W879" t="s">
        <v>1356</v>
      </c>
      <c r="X879" t="s">
        <v>1355</v>
      </c>
      <c r="Y879" t="s">
        <v>1357</v>
      </c>
      <c r="AD879" t="s">
        <v>1358</v>
      </c>
      <c r="AE879" t="s">
        <v>1359</v>
      </c>
      <c r="AF879" t="e">
        <f>---------------MKITNNSPIGIFDSGVGGLTVARTIMEQLPGESITYIGDTAHSPYGPLPIAEVRKHALRIADELVERGSKMLVIACNTASAACLRDARERYDVPVIEVIHPAVRRAVATTRNGRIGVIGTSGTINSGAYQDLFSVNPNVEITAQACPRFVDFVERGITSGRQILGVAQAYIEPLQTAGVDTLVLGCTHYPLLSGVIQLAIGDNVTLVSSAEETAKDVLKQLSTTDMLADES----TTPTHHFESTGDPELFSQLAKRFLGPHVTHVEKLEPM</f>
        <v>#NAME?</v>
      </c>
    </row>
    <row r="880" spans="1:32" hidden="1" x14ac:dyDescent="0.35">
      <c r="A880">
        <v>11256</v>
      </c>
      <c r="B880" t="s">
        <v>22890</v>
      </c>
      <c r="C880" t="s">
        <v>33</v>
      </c>
      <c r="D880" t="s">
        <v>58</v>
      </c>
      <c r="E880">
        <v>1762</v>
      </c>
      <c r="F880">
        <v>1</v>
      </c>
      <c r="G880">
        <v>1</v>
      </c>
      <c r="H880">
        <v>1</v>
      </c>
      <c r="I880">
        <v>0</v>
      </c>
      <c r="J880">
        <v>1</v>
      </c>
      <c r="K880">
        <v>1</v>
      </c>
      <c r="L880">
        <v>1</v>
      </c>
      <c r="M880">
        <v>0</v>
      </c>
      <c r="N880">
        <v>0</v>
      </c>
      <c r="O880">
        <v>0</v>
      </c>
      <c r="P880" t="s">
        <v>1247</v>
      </c>
      <c r="Q880" t="s">
        <v>1248</v>
      </c>
      <c r="R880" t="s">
        <v>235</v>
      </c>
      <c r="S880" t="s">
        <v>236</v>
      </c>
      <c r="T880" t="s">
        <v>10188</v>
      </c>
      <c r="U880" t="s">
        <v>10189</v>
      </c>
      <c r="V880" t="s">
        <v>10190</v>
      </c>
      <c r="W880" t="s">
        <v>10191</v>
      </c>
      <c r="AD880" t="s">
        <v>439</v>
      </c>
      <c r="AE880" t="s">
        <v>10192</v>
      </c>
      <c r="AF880" t="s">
        <v>22891</v>
      </c>
    </row>
    <row r="881" spans="1:32" hidden="1" x14ac:dyDescent="0.35">
      <c r="A881">
        <v>675</v>
      </c>
      <c r="B881" t="s">
        <v>1380</v>
      </c>
      <c r="C881" t="s">
        <v>72</v>
      </c>
      <c r="D881" t="s">
        <v>60</v>
      </c>
      <c r="E881">
        <v>2039</v>
      </c>
      <c r="F881">
        <v>5</v>
      </c>
      <c r="G881">
        <v>5</v>
      </c>
      <c r="H881">
        <v>1</v>
      </c>
      <c r="I881">
        <v>1</v>
      </c>
      <c r="J881">
        <v>0.70152671755725204</v>
      </c>
      <c r="K881">
        <v>0.95489925117520902</v>
      </c>
      <c r="L881">
        <v>0.80883462336374401</v>
      </c>
      <c r="M881">
        <v>0.48786407766990297</v>
      </c>
      <c r="N881">
        <v>1</v>
      </c>
      <c r="O881">
        <v>0.62888349514563102</v>
      </c>
      <c r="P881" t="s">
        <v>1381</v>
      </c>
      <c r="Q881" t="s">
        <v>1382</v>
      </c>
      <c r="R881" t="s">
        <v>157</v>
      </c>
      <c r="S881" t="s">
        <v>158</v>
      </c>
      <c r="V881" t="s">
        <v>1383</v>
      </c>
      <c r="W881" t="s">
        <v>1384</v>
      </c>
      <c r="AF881" t="s">
        <v>1386</v>
      </c>
    </row>
    <row r="882" spans="1:32" hidden="1" x14ac:dyDescent="0.35">
      <c r="A882">
        <v>676</v>
      </c>
      <c r="B882" t="s">
        <v>1380</v>
      </c>
      <c r="C882" t="s">
        <v>72</v>
      </c>
      <c r="D882" t="s">
        <v>62</v>
      </c>
      <c r="E882">
        <v>2078</v>
      </c>
      <c r="F882">
        <v>5</v>
      </c>
      <c r="G882">
        <v>5</v>
      </c>
      <c r="H882">
        <v>1</v>
      </c>
      <c r="I882">
        <v>1</v>
      </c>
      <c r="J882">
        <v>0.70152671755725204</v>
      </c>
      <c r="K882">
        <v>0.95489925117520902</v>
      </c>
      <c r="L882">
        <v>0.80883462336374401</v>
      </c>
      <c r="M882">
        <v>0.48786407766990297</v>
      </c>
      <c r="N882">
        <v>1</v>
      </c>
      <c r="O882">
        <v>0.62888349514563102</v>
      </c>
      <c r="P882" t="s">
        <v>1381</v>
      </c>
      <c r="Q882" t="s">
        <v>1382</v>
      </c>
      <c r="R882" t="s">
        <v>157</v>
      </c>
      <c r="S882" t="s">
        <v>158</v>
      </c>
      <c r="V882" t="s">
        <v>1383</v>
      </c>
      <c r="W882" t="s">
        <v>1384</v>
      </c>
      <c r="AF882" t="s">
        <v>1387</v>
      </c>
    </row>
    <row r="883" spans="1:32" hidden="1" x14ac:dyDescent="0.35">
      <c r="A883">
        <v>677</v>
      </c>
      <c r="B883" t="s">
        <v>1380</v>
      </c>
      <c r="C883" t="s">
        <v>72</v>
      </c>
      <c r="D883" t="s">
        <v>34</v>
      </c>
      <c r="E883">
        <v>2382</v>
      </c>
      <c r="F883">
        <v>5</v>
      </c>
      <c r="G883">
        <v>5</v>
      </c>
      <c r="H883">
        <v>1</v>
      </c>
      <c r="I883">
        <v>1</v>
      </c>
      <c r="J883">
        <v>0.70152671755725204</v>
      </c>
      <c r="K883">
        <v>0.95489925117520902</v>
      </c>
      <c r="L883">
        <v>0.80883462336374401</v>
      </c>
      <c r="M883">
        <v>0.48786407766990297</v>
      </c>
      <c r="N883">
        <v>1</v>
      </c>
      <c r="O883">
        <v>0.62888349514563102</v>
      </c>
      <c r="P883" t="s">
        <v>1381</v>
      </c>
      <c r="Q883" t="s">
        <v>1382</v>
      </c>
      <c r="R883" t="s">
        <v>157</v>
      </c>
      <c r="S883" t="s">
        <v>158</v>
      </c>
      <c r="V883" t="s">
        <v>1383</v>
      </c>
      <c r="W883" t="s">
        <v>1384</v>
      </c>
      <c r="AF883" t="s">
        <v>1388</v>
      </c>
    </row>
    <row r="884" spans="1:32" hidden="1" x14ac:dyDescent="0.35">
      <c r="A884">
        <v>678</v>
      </c>
      <c r="B884" t="s">
        <v>1380</v>
      </c>
      <c r="C884" t="s">
        <v>72</v>
      </c>
      <c r="D884" t="s">
        <v>45</v>
      </c>
      <c r="E884">
        <v>496</v>
      </c>
      <c r="F884">
        <v>5</v>
      </c>
      <c r="G884">
        <v>5</v>
      </c>
      <c r="H884">
        <v>1</v>
      </c>
      <c r="I884">
        <v>1</v>
      </c>
      <c r="J884">
        <v>0.70152671755725204</v>
      </c>
      <c r="K884">
        <v>0.95489925117520902</v>
      </c>
      <c r="L884">
        <v>0.80883462336374401</v>
      </c>
      <c r="M884">
        <v>0.48786407766990297</v>
      </c>
      <c r="N884">
        <v>1</v>
      </c>
      <c r="O884">
        <v>0.62888349514563102</v>
      </c>
      <c r="P884" t="s">
        <v>1381</v>
      </c>
      <c r="Q884" t="s">
        <v>1382</v>
      </c>
      <c r="R884" t="s">
        <v>157</v>
      </c>
      <c r="S884" t="s">
        <v>158</v>
      </c>
      <c r="V884" t="s">
        <v>1383</v>
      </c>
      <c r="W884" t="s">
        <v>1384</v>
      </c>
      <c r="AF884" t="s">
        <v>1388</v>
      </c>
    </row>
    <row r="885" spans="1:32" hidden="1" x14ac:dyDescent="0.35">
      <c r="A885">
        <v>11719</v>
      </c>
      <c r="B885" t="s">
        <v>24060</v>
      </c>
      <c r="C885" t="s">
        <v>33</v>
      </c>
      <c r="D885" t="s">
        <v>58</v>
      </c>
      <c r="E885">
        <v>1761</v>
      </c>
      <c r="F885">
        <v>1</v>
      </c>
      <c r="G885">
        <v>1</v>
      </c>
      <c r="H885">
        <v>1</v>
      </c>
      <c r="I885">
        <v>0</v>
      </c>
      <c r="J885">
        <v>1</v>
      </c>
      <c r="K885">
        <v>1</v>
      </c>
      <c r="L885">
        <v>1</v>
      </c>
      <c r="M885">
        <v>0</v>
      </c>
      <c r="N885">
        <v>0</v>
      </c>
      <c r="O885">
        <v>0</v>
      </c>
      <c r="P885" t="s">
        <v>1247</v>
      </c>
      <c r="Q885" t="s">
        <v>1248</v>
      </c>
      <c r="R885" t="s">
        <v>235</v>
      </c>
      <c r="S885" t="s">
        <v>236</v>
      </c>
      <c r="T885" t="s">
        <v>10188</v>
      </c>
      <c r="U885" t="s">
        <v>10189</v>
      </c>
      <c r="V885" t="s">
        <v>10190</v>
      </c>
      <c r="W885" t="s">
        <v>10191</v>
      </c>
      <c r="AD885" t="s">
        <v>439</v>
      </c>
      <c r="AE885" t="s">
        <v>10192</v>
      </c>
      <c r="AF885" t="s">
        <v>24061</v>
      </c>
    </row>
    <row r="886" spans="1:32" hidden="1" x14ac:dyDescent="0.35">
      <c r="A886">
        <v>750</v>
      </c>
      <c r="B886" t="s">
        <v>1530</v>
      </c>
      <c r="C886" t="s">
        <v>72</v>
      </c>
      <c r="D886" t="s">
        <v>60</v>
      </c>
      <c r="E886">
        <v>236</v>
      </c>
      <c r="F886">
        <v>5</v>
      </c>
      <c r="G886">
        <v>5</v>
      </c>
      <c r="H886">
        <v>1</v>
      </c>
      <c r="I886">
        <v>1</v>
      </c>
      <c r="J886">
        <v>0.86769318505845405</v>
      </c>
      <c r="K886">
        <v>0.96305138931401901</v>
      </c>
      <c r="L886">
        <v>0.91288882028262397</v>
      </c>
      <c r="M886">
        <v>0.72839506172839497</v>
      </c>
      <c r="N886">
        <v>1</v>
      </c>
      <c r="O886">
        <v>0.80082304526749004</v>
      </c>
      <c r="P886" t="s">
        <v>1531</v>
      </c>
      <c r="Q886" t="s">
        <v>1532</v>
      </c>
      <c r="R886" t="s">
        <v>157</v>
      </c>
      <c r="S886" t="s">
        <v>158</v>
      </c>
      <c r="T886" t="s">
        <v>1533</v>
      </c>
      <c r="U886" t="s">
        <v>1534</v>
      </c>
      <c r="V886" t="s">
        <v>1535</v>
      </c>
      <c r="W886" t="s">
        <v>1536</v>
      </c>
      <c r="AD886" t="s">
        <v>410</v>
      </c>
      <c r="AE886" t="s">
        <v>501</v>
      </c>
      <c r="AF886" t="e">
        <f>-------MDNTSLDYTDTWVIIPCFNEGAVIGDVIRNVRHVFPNVVAVNDGSTDDSAAQIKAAGAHLVNHPVNLGQGAALQTGVEYARSQPGSRYFVTFDADGQHQVKDVVEMLDRLRTGDLDIVVGTRFGRPRPTDDQVPLLKRIVLKTVVFLSPKTRRLGLTDAHNGLRTFNRKVADELNIRMNGMSHASEFVTQMDERGWRVAEQSVDILYTEYSMSKGQSLINGVNILADGLLARK-LP</f>
        <v>#NAME?</v>
      </c>
    </row>
    <row r="887" spans="1:32" hidden="1" x14ac:dyDescent="0.35">
      <c r="A887">
        <v>751</v>
      </c>
      <c r="B887" t="s">
        <v>1530</v>
      </c>
      <c r="C887" t="s">
        <v>72</v>
      </c>
      <c r="D887" t="s">
        <v>62</v>
      </c>
      <c r="E887">
        <v>313</v>
      </c>
      <c r="F887">
        <v>5</v>
      </c>
      <c r="G887">
        <v>5</v>
      </c>
      <c r="H887">
        <v>1</v>
      </c>
      <c r="I887">
        <v>1</v>
      </c>
      <c r="J887">
        <v>0.86769318505845405</v>
      </c>
      <c r="K887">
        <v>0.96305138931401901</v>
      </c>
      <c r="L887">
        <v>0.91288882028262397</v>
      </c>
      <c r="M887">
        <v>0.72839506172839497</v>
      </c>
      <c r="N887">
        <v>1</v>
      </c>
      <c r="O887">
        <v>0.80082304526749004</v>
      </c>
      <c r="P887" t="s">
        <v>1531</v>
      </c>
      <c r="Q887" t="s">
        <v>1532</v>
      </c>
      <c r="R887" t="s">
        <v>157</v>
      </c>
      <c r="S887" t="s">
        <v>158</v>
      </c>
      <c r="T887" t="s">
        <v>1533</v>
      </c>
      <c r="U887" t="s">
        <v>1534</v>
      </c>
      <c r="V887" t="s">
        <v>1535</v>
      </c>
      <c r="W887" t="s">
        <v>1536</v>
      </c>
      <c r="AD887" t="s">
        <v>410</v>
      </c>
      <c r="AE887" t="s">
        <v>501</v>
      </c>
      <c r="AF887" t="e">
        <f>-------MDNTSLDYTDTWVIIPCFNEGAVIGDVIRNVRHVFPNVVAVNDGSTDDSAAQIKAAGAHLVNHPVNLGQGAALQTGVEYARSQPGSRYFVTFDADGQHQVKDVVEMLDRLRTGDLDIVVGTRFGRPRPTDDQVPLLKRIVLKTVVFLSPKTRRLGLTDAHNGLRTFNRKVADELNIRMNGMSHASEFVTQMDERGWRVAEQSVDILYTEYSMSKGQSLINGVNILADGLLARK-LP</f>
        <v>#NAME?</v>
      </c>
    </row>
    <row r="888" spans="1:32" hidden="1" x14ac:dyDescent="0.35">
      <c r="A888">
        <v>752</v>
      </c>
      <c r="B888" t="s">
        <v>1530</v>
      </c>
      <c r="C888" t="s">
        <v>72</v>
      </c>
      <c r="D888" t="s">
        <v>34</v>
      </c>
      <c r="E888">
        <v>883</v>
      </c>
      <c r="F888">
        <v>5</v>
      </c>
      <c r="G888">
        <v>5</v>
      </c>
      <c r="H888">
        <v>1</v>
      </c>
      <c r="I888">
        <v>1</v>
      </c>
      <c r="J888">
        <v>0.86769318505845405</v>
      </c>
      <c r="K888">
        <v>0.96305138931401901</v>
      </c>
      <c r="L888">
        <v>0.91288882028262397</v>
      </c>
      <c r="M888">
        <v>0.72839506172839497</v>
      </c>
      <c r="N888">
        <v>1</v>
      </c>
      <c r="O888">
        <v>0.80082304526749004</v>
      </c>
      <c r="P888" t="s">
        <v>1531</v>
      </c>
      <c r="Q888" t="s">
        <v>1532</v>
      </c>
      <c r="R888" t="s">
        <v>157</v>
      </c>
      <c r="S888" t="s">
        <v>158</v>
      </c>
      <c r="T888" t="s">
        <v>1533</v>
      </c>
      <c r="U888" t="s">
        <v>1534</v>
      </c>
      <c r="V888" t="s">
        <v>1535</v>
      </c>
      <c r="W888" t="s">
        <v>1536</v>
      </c>
      <c r="AD888" t="s">
        <v>410</v>
      </c>
      <c r="AE888" t="s">
        <v>501</v>
      </c>
      <c r="AF888" t="s">
        <v>1537</v>
      </c>
    </row>
    <row r="889" spans="1:32" hidden="1" x14ac:dyDescent="0.35">
      <c r="A889">
        <v>753</v>
      </c>
      <c r="B889" t="s">
        <v>1530</v>
      </c>
      <c r="C889" t="s">
        <v>72</v>
      </c>
      <c r="D889" t="s">
        <v>45</v>
      </c>
      <c r="E889">
        <v>2140</v>
      </c>
      <c r="F889">
        <v>5</v>
      </c>
      <c r="G889">
        <v>5</v>
      </c>
      <c r="H889">
        <v>1</v>
      </c>
      <c r="I889">
        <v>1</v>
      </c>
      <c r="J889">
        <v>0.86769318505845405</v>
      </c>
      <c r="K889">
        <v>0.96305138931401901</v>
      </c>
      <c r="L889">
        <v>0.91288882028262397</v>
      </c>
      <c r="M889">
        <v>0.72839506172839497</v>
      </c>
      <c r="N889">
        <v>1</v>
      </c>
      <c r="O889">
        <v>0.80082304526749004</v>
      </c>
      <c r="P889" t="s">
        <v>1531</v>
      </c>
      <c r="Q889" t="s">
        <v>1532</v>
      </c>
      <c r="R889" t="s">
        <v>157</v>
      </c>
      <c r="S889" t="s">
        <v>158</v>
      </c>
      <c r="T889" t="s">
        <v>1533</v>
      </c>
      <c r="U889" t="s">
        <v>1534</v>
      </c>
      <c r="V889" t="s">
        <v>1535</v>
      </c>
      <c r="W889" t="s">
        <v>1536</v>
      </c>
      <c r="AD889" t="s">
        <v>410</v>
      </c>
      <c r="AE889" t="s">
        <v>501</v>
      </c>
      <c r="AF889" t="s">
        <v>1537</v>
      </c>
    </row>
    <row r="890" spans="1:32" hidden="1" x14ac:dyDescent="0.35">
      <c r="A890">
        <v>4169</v>
      </c>
      <c r="B890" t="s">
        <v>8632</v>
      </c>
      <c r="C890" t="s">
        <v>72</v>
      </c>
      <c r="D890" t="s">
        <v>58</v>
      </c>
      <c r="E890">
        <v>700</v>
      </c>
      <c r="F890">
        <v>5</v>
      </c>
      <c r="G890">
        <v>5</v>
      </c>
      <c r="H890">
        <v>1</v>
      </c>
      <c r="I890">
        <v>1</v>
      </c>
      <c r="J890">
        <v>0.78738738738738701</v>
      </c>
      <c r="K890">
        <v>0.88437916235015701</v>
      </c>
      <c r="L890">
        <v>0.83306966300056395</v>
      </c>
      <c r="M890">
        <v>0.49356223175965702</v>
      </c>
      <c r="N890">
        <v>0.99570815450643801</v>
      </c>
      <c r="O890">
        <v>0.64120171673819704</v>
      </c>
      <c r="P890" t="s">
        <v>8633</v>
      </c>
      <c r="Q890" t="s">
        <v>8634</v>
      </c>
      <c r="R890" t="s">
        <v>869</v>
      </c>
      <c r="S890" t="s">
        <v>870</v>
      </c>
      <c r="T890" t="s">
        <v>8635</v>
      </c>
      <c r="U890" t="s">
        <v>7384</v>
      </c>
      <c r="V890" t="s">
        <v>8636</v>
      </c>
      <c r="W890" t="s">
        <v>8637</v>
      </c>
      <c r="AD890" t="s">
        <v>166</v>
      </c>
      <c r="AE890" t="s">
        <v>8638</v>
      </c>
      <c r="AF890" t="s">
        <v>8639</v>
      </c>
    </row>
    <row r="891" spans="1:32" hidden="1" x14ac:dyDescent="0.35">
      <c r="A891">
        <v>2034</v>
      </c>
      <c r="B891" t="s">
        <v>4228</v>
      </c>
      <c r="C891" t="s">
        <v>72</v>
      </c>
      <c r="D891" t="s">
        <v>58</v>
      </c>
      <c r="E891">
        <v>1469</v>
      </c>
      <c r="F891">
        <v>5</v>
      </c>
      <c r="G891">
        <v>5</v>
      </c>
      <c r="H891">
        <v>1</v>
      </c>
      <c r="I891">
        <v>1</v>
      </c>
      <c r="J891">
        <v>0.70794169731644196</v>
      </c>
      <c r="K891">
        <v>0.96964953638220697</v>
      </c>
      <c r="L891">
        <v>0.81838212408283295</v>
      </c>
      <c r="M891">
        <v>0.50099009900990099</v>
      </c>
      <c r="N891">
        <v>1</v>
      </c>
      <c r="O891">
        <v>0.62811881188118801</v>
      </c>
      <c r="P891" t="s">
        <v>433</v>
      </c>
      <c r="Q891" t="s">
        <v>434</v>
      </c>
      <c r="R891" t="s">
        <v>235</v>
      </c>
      <c r="S891" t="s">
        <v>236</v>
      </c>
      <c r="T891" t="s">
        <v>469</v>
      </c>
      <c r="U891" t="s">
        <v>470</v>
      </c>
      <c r="V891" t="s">
        <v>437</v>
      </c>
      <c r="W891" t="s">
        <v>438</v>
      </c>
      <c r="AD891" t="s">
        <v>439</v>
      </c>
      <c r="AE891" t="s">
        <v>471</v>
      </c>
      <c r="AF891" t="s">
        <v>4229</v>
      </c>
    </row>
    <row r="892" spans="1:32" hidden="1" x14ac:dyDescent="0.35">
      <c r="A892">
        <v>1005</v>
      </c>
      <c r="B892" t="s">
        <v>2089</v>
      </c>
      <c r="C892" t="s">
        <v>72</v>
      </c>
      <c r="D892" t="s">
        <v>60</v>
      </c>
      <c r="E892">
        <v>1295</v>
      </c>
      <c r="F892">
        <v>5</v>
      </c>
      <c r="G892">
        <v>5</v>
      </c>
      <c r="H892">
        <v>1</v>
      </c>
      <c r="I892">
        <v>1</v>
      </c>
      <c r="J892">
        <v>0.86488888888888904</v>
      </c>
      <c r="K892">
        <v>0.98331502914589597</v>
      </c>
      <c r="L892">
        <v>0.92030780227978404</v>
      </c>
      <c r="M892">
        <v>0.72659176029962502</v>
      </c>
      <c r="N892">
        <v>1</v>
      </c>
      <c r="O892">
        <v>0.80749063670412002</v>
      </c>
      <c r="P892" t="s">
        <v>1531</v>
      </c>
      <c r="Q892" t="s">
        <v>1532</v>
      </c>
      <c r="R892" t="s">
        <v>157</v>
      </c>
      <c r="S892" t="s">
        <v>158</v>
      </c>
      <c r="T892" t="s">
        <v>2090</v>
      </c>
      <c r="U892" t="s">
        <v>2091</v>
      </c>
      <c r="V892" t="s">
        <v>1535</v>
      </c>
      <c r="W892" t="s">
        <v>1536</v>
      </c>
      <c r="AD892" t="s">
        <v>640</v>
      </c>
      <c r="AE892" t="s">
        <v>2092</v>
      </c>
      <c r="AF892" t="s">
        <v>2094</v>
      </c>
    </row>
    <row r="893" spans="1:32" hidden="1" x14ac:dyDescent="0.35">
      <c r="A893">
        <v>1006</v>
      </c>
      <c r="B893" t="s">
        <v>2089</v>
      </c>
      <c r="C893" t="s">
        <v>72</v>
      </c>
      <c r="D893" t="s">
        <v>62</v>
      </c>
      <c r="E893">
        <v>1331</v>
      </c>
      <c r="F893">
        <v>5</v>
      </c>
      <c r="G893">
        <v>5</v>
      </c>
      <c r="H893">
        <v>1</v>
      </c>
      <c r="I893">
        <v>1</v>
      </c>
      <c r="J893">
        <v>0.86488888888888904</v>
      </c>
      <c r="K893">
        <v>0.98331502914589597</v>
      </c>
      <c r="L893">
        <v>0.92030780227978404</v>
      </c>
      <c r="M893">
        <v>0.72659176029962502</v>
      </c>
      <c r="N893">
        <v>1</v>
      </c>
      <c r="O893">
        <v>0.80749063670412002</v>
      </c>
      <c r="P893" t="s">
        <v>1531</v>
      </c>
      <c r="Q893" t="s">
        <v>1532</v>
      </c>
      <c r="R893" t="s">
        <v>157</v>
      </c>
      <c r="S893" t="s">
        <v>158</v>
      </c>
      <c r="T893" t="s">
        <v>2090</v>
      </c>
      <c r="U893" t="s">
        <v>2091</v>
      </c>
      <c r="V893" t="s">
        <v>1535</v>
      </c>
      <c r="W893" t="s">
        <v>1536</v>
      </c>
      <c r="AD893" t="s">
        <v>640</v>
      </c>
      <c r="AE893" t="s">
        <v>2092</v>
      </c>
      <c r="AF893" t="s">
        <v>2094</v>
      </c>
    </row>
    <row r="894" spans="1:32" hidden="1" x14ac:dyDescent="0.35">
      <c r="A894">
        <v>1007</v>
      </c>
      <c r="B894" t="s">
        <v>2089</v>
      </c>
      <c r="C894" t="s">
        <v>72</v>
      </c>
      <c r="D894" t="s">
        <v>34</v>
      </c>
      <c r="E894">
        <v>1695</v>
      </c>
      <c r="F894">
        <v>5</v>
      </c>
      <c r="G894">
        <v>5</v>
      </c>
      <c r="H894">
        <v>1</v>
      </c>
      <c r="I894">
        <v>1</v>
      </c>
      <c r="J894">
        <v>0.86488888888888904</v>
      </c>
      <c r="K894">
        <v>0.98331502914589597</v>
      </c>
      <c r="L894">
        <v>0.92030780227978404</v>
      </c>
      <c r="M894">
        <v>0.72659176029962502</v>
      </c>
      <c r="N894">
        <v>1</v>
      </c>
      <c r="O894">
        <v>0.80749063670412002</v>
      </c>
      <c r="P894" t="s">
        <v>1531</v>
      </c>
      <c r="Q894" t="s">
        <v>1532</v>
      </c>
      <c r="R894" t="s">
        <v>157</v>
      </c>
      <c r="S894" t="s">
        <v>158</v>
      </c>
      <c r="T894" t="s">
        <v>2090</v>
      </c>
      <c r="U894" t="s">
        <v>2091</v>
      </c>
      <c r="V894" t="s">
        <v>1535</v>
      </c>
      <c r="W894" t="s">
        <v>1536</v>
      </c>
      <c r="AD894" t="s">
        <v>640</v>
      </c>
      <c r="AE894" t="s">
        <v>2092</v>
      </c>
      <c r="AF894" t="s">
        <v>2095</v>
      </c>
    </row>
    <row r="895" spans="1:32" hidden="1" x14ac:dyDescent="0.35">
      <c r="A895">
        <v>1008</v>
      </c>
      <c r="B895" t="s">
        <v>2089</v>
      </c>
      <c r="C895" t="s">
        <v>72</v>
      </c>
      <c r="D895" t="s">
        <v>45</v>
      </c>
      <c r="E895">
        <v>1181</v>
      </c>
      <c r="F895">
        <v>5</v>
      </c>
      <c r="G895">
        <v>5</v>
      </c>
      <c r="H895">
        <v>1</v>
      </c>
      <c r="I895">
        <v>1</v>
      </c>
      <c r="J895">
        <v>0.86488888888888904</v>
      </c>
      <c r="K895">
        <v>0.98331502914589597</v>
      </c>
      <c r="L895">
        <v>0.92030780227978404</v>
      </c>
      <c r="M895">
        <v>0.72659176029962502</v>
      </c>
      <c r="N895">
        <v>1</v>
      </c>
      <c r="O895">
        <v>0.80749063670412002</v>
      </c>
      <c r="P895" t="s">
        <v>1531</v>
      </c>
      <c r="Q895" t="s">
        <v>1532</v>
      </c>
      <c r="R895" t="s">
        <v>157</v>
      </c>
      <c r="S895" t="s">
        <v>158</v>
      </c>
      <c r="T895" t="s">
        <v>2090</v>
      </c>
      <c r="U895" t="s">
        <v>2091</v>
      </c>
      <c r="V895" t="s">
        <v>1535</v>
      </c>
      <c r="W895" t="s">
        <v>1536</v>
      </c>
      <c r="AD895" t="s">
        <v>640</v>
      </c>
      <c r="AE895" t="s">
        <v>2092</v>
      </c>
      <c r="AF895" t="s">
        <v>2095</v>
      </c>
    </row>
    <row r="896" spans="1:32" hidden="1" x14ac:dyDescent="0.35">
      <c r="A896">
        <v>11951</v>
      </c>
      <c r="B896" t="s">
        <v>24663</v>
      </c>
      <c r="C896" t="s">
        <v>10130</v>
      </c>
      <c r="D896" t="s">
        <v>58</v>
      </c>
      <c r="E896">
        <v>1490</v>
      </c>
      <c r="F896">
        <v>1</v>
      </c>
      <c r="G896">
        <v>1</v>
      </c>
      <c r="H896">
        <v>1</v>
      </c>
      <c r="I896">
        <v>0</v>
      </c>
      <c r="J896">
        <v>1</v>
      </c>
      <c r="K896">
        <v>1</v>
      </c>
      <c r="L896">
        <v>1</v>
      </c>
      <c r="M896">
        <v>0</v>
      </c>
      <c r="N896">
        <v>0</v>
      </c>
      <c r="O896">
        <v>0</v>
      </c>
      <c r="P896" t="s">
        <v>433</v>
      </c>
      <c r="Q896" t="s">
        <v>434</v>
      </c>
      <c r="R896" t="s">
        <v>235</v>
      </c>
      <c r="S896" t="s">
        <v>236</v>
      </c>
      <c r="T896" t="s">
        <v>469</v>
      </c>
      <c r="U896" t="s">
        <v>470</v>
      </c>
      <c r="V896" t="s">
        <v>437</v>
      </c>
      <c r="W896" t="s">
        <v>438</v>
      </c>
      <c r="AD896" t="s">
        <v>439</v>
      </c>
      <c r="AE896" t="s">
        <v>471</v>
      </c>
      <c r="AF896" t="s">
        <v>24664</v>
      </c>
    </row>
    <row r="897" spans="1:32" hidden="1" x14ac:dyDescent="0.35">
      <c r="A897">
        <v>1070</v>
      </c>
      <c r="B897" t="s">
        <v>2225</v>
      </c>
      <c r="C897" t="s">
        <v>72</v>
      </c>
      <c r="D897" t="s">
        <v>60</v>
      </c>
      <c r="E897">
        <v>842</v>
      </c>
      <c r="F897">
        <v>5</v>
      </c>
      <c r="G897">
        <v>5</v>
      </c>
      <c r="H897">
        <v>1</v>
      </c>
      <c r="I897">
        <v>1</v>
      </c>
      <c r="J897">
        <v>0.75831689677843495</v>
      </c>
      <c r="K897">
        <v>0.961183604101853</v>
      </c>
      <c r="L897">
        <v>0.84778314111997399</v>
      </c>
      <c r="M897">
        <v>0.51515151515151503</v>
      </c>
      <c r="N897">
        <v>1</v>
      </c>
      <c r="O897">
        <v>0.68030303030302997</v>
      </c>
      <c r="P897" t="s">
        <v>2226</v>
      </c>
      <c r="Q897" t="s">
        <v>2227</v>
      </c>
      <c r="R897" t="s">
        <v>157</v>
      </c>
      <c r="S897" t="s">
        <v>158</v>
      </c>
      <c r="V897" t="s">
        <v>2228</v>
      </c>
      <c r="W897" t="s">
        <v>2229</v>
      </c>
      <c r="AF897" t="s">
        <v>2230</v>
      </c>
    </row>
    <row r="898" spans="1:32" hidden="1" x14ac:dyDescent="0.35">
      <c r="A898">
        <v>1071</v>
      </c>
      <c r="B898" t="s">
        <v>2225</v>
      </c>
      <c r="C898" t="s">
        <v>72</v>
      </c>
      <c r="D898" t="s">
        <v>62</v>
      </c>
      <c r="E898">
        <v>876</v>
      </c>
      <c r="F898">
        <v>5</v>
      </c>
      <c r="G898">
        <v>5</v>
      </c>
      <c r="H898">
        <v>1</v>
      </c>
      <c r="I898">
        <v>1</v>
      </c>
      <c r="J898">
        <v>0.75831689677843495</v>
      </c>
      <c r="K898">
        <v>0.961183604101853</v>
      </c>
      <c r="L898">
        <v>0.84778314111997399</v>
      </c>
      <c r="M898">
        <v>0.51515151515151503</v>
      </c>
      <c r="N898">
        <v>1</v>
      </c>
      <c r="O898">
        <v>0.68030303030302997</v>
      </c>
      <c r="P898" t="s">
        <v>2226</v>
      </c>
      <c r="Q898" t="s">
        <v>2227</v>
      </c>
      <c r="R898" t="s">
        <v>157</v>
      </c>
      <c r="S898" t="s">
        <v>158</v>
      </c>
      <c r="V898" t="s">
        <v>2228</v>
      </c>
      <c r="W898" t="s">
        <v>2229</v>
      </c>
      <c r="AF898" t="s">
        <v>2230</v>
      </c>
    </row>
    <row r="899" spans="1:32" hidden="1" x14ac:dyDescent="0.35">
      <c r="A899">
        <v>1072</v>
      </c>
      <c r="B899" t="s">
        <v>2225</v>
      </c>
      <c r="C899" t="s">
        <v>72</v>
      </c>
      <c r="D899" t="s">
        <v>34</v>
      </c>
      <c r="E899">
        <v>304</v>
      </c>
      <c r="F899">
        <v>5</v>
      </c>
      <c r="G899">
        <v>5</v>
      </c>
      <c r="H899">
        <v>1</v>
      </c>
      <c r="I899">
        <v>1</v>
      </c>
      <c r="J899">
        <v>0.75831689677843495</v>
      </c>
      <c r="K899">
        <v>0.961183604101853</v>
      </c>
      <c r="L899">
        <v>0.84778314111997399</v>
      </c>
      <c r="M899">
        <v>0.51515151515151503</v>
      </c>
      <c r="N899">
        <v>1</v>
      </c>
      <c r="O899">
        <v>0.68030303030302997</v>
      </c>
      <c r="P899" t="s">
        <v>2226</v>
      </c>
      <c r="Q899" t="s">
        <v>2227</v>
      </c>
      <c r="R899" t="s">
        <v>157</v>
      </c>
      <c r="S899" t="s">
        <v>158</v>
      </c>
      <c r="V899" t="s">
        <v>2228</v>
      </c>
      <c r="W899" t="s">
        <v>2229</v>
      </c>
      <c r="AF899" t="s">
        <v>2231</v>
      </c>
    </row>
    <row r="900" spans="1:32" hidden="1" x14ac:dyDescent="0.35">
      <c r="A900">
        <v>1073</v>
      </c>
      <c r="B900" t="s">
        <v>2225</v>
      </c>
      <c r="C900" t="s">
        <v>72</v>
      </c>
      <c r="D900" t="s">
        <v>45</v>
      </c>
      <c r="E900">
        <v>1566</v>
      </c>
      <c r="F900">
        <v>5</v>
      </c>
      <c r="G900">
        <v>5</v>
      </c>
      <c r="H900">
        <v>1</v>
      </c>
      <c r="I900">
        <v>1</v>
      </c>
      <c r="J900">
        <v>0.75831689677843495</v>
      </c>
      <c r="K900">
        <v>0.961183604101853</v>
      </c>
      <c r="L900">
        <v>0.84778314111997399</v>
      </c>
      <c r="M900">
        <v>0.51515151515151503</v>
      </c>
      <c r="N900">
        <v>1</v>
      </c>
      <c r="O900">
        <v>0.68030303030302997</v>
      </c>
      <c r="P900" t="s">
        <v>2226</v>
      </c>
      <c r="Q900" t="s">
        <v>2227</v>
      </c>
      <c r="R900" t="s">
        <v>157</v>
      </c>
      <c r="S900" t="s">
        <v>158</v>
      </c>
      <c r="V900" t="s">
        <v>2228</v>
      </c>
      <c r="W900" t="s">
        <v>2229</v>
      </c>
      <c r="AF900" t="s">
        <v>2231</v>
      </c>
    </row>
    <row r="901" spans="1:32" hidden="1" x14ac:dyDescent="0.35">
      <c r="A901" s="1">
        <v>6182</v>
      </c>
      <c r="B901" s="1" t="s">
        <v>12734</v>
      </c>
      <c r="C901" s="1" t="s">
        <v>68</v>
      </c>
      <c r="D901" s="1" t="s">
        <v>58</v>
      </c>
      <c r="E901" s="1">
        <v>1412</v>
      </c>
      <c r="F901" s="1">
        <v>3</v>
      </c>
      <c r="G901" s="1">
        <v>3</v>
      </c>
      <c r="H901" s="1">
        <v>1</v>
      </c>
      <c r="I901" s="1">
        <v>0</v>
      </c>
      <c r="J901" s="1">
        <v>0.77120708748615696</v>
      </c>
      <c r="K901" s="1">
        <v>0.97061910545334795</v>
      </c>
      <c r="L901" s="1">
        <v>0.859498308624979</v>
      </c>
      <c r="M901" s="1">
        <v>0.55125725338491305</v>
      </c>
      <c r="N901" s="1">
        <v>0.99419729206963203</v>
      </c>
      <c r="O901" s="1">
        <v>0.69890393294648601</v>
      </c>
      <c r="P901" s="1" t="s">
        <v>433</v>
      </c>
      <c r="Q901" s="1" t="s">
        <v>434</v>
      </c>
      <c r="R901" s="1" t="s">
        <v>235</v>
      </c>
      <c r="S901" s="1" t="s">
        <v>236</v>
      </c>
      <c r="T901" s="1" t="s">
        <v>469</v>
      </c>
      <c r="U901" s="1" t="s">
        <v>470</v>
      </c>
      <c r="V901" s="1" t="s">
        <v>437</v>
      </c>
      <c r="W901" s="1" t="s">
        <v>438</v>
      </c>
      <c r="X901" s="1"/>
      <c r="Y901" s="1"/>
      <c r="Z901" s="1"/>
      <c r="AA901" s="1"/>
      <c r="AB901" s="1"/>
      <c r="AC901" s="1"/>
      <c r="AD901" s="1" t="s">
        <v>439</v>
      </c>
      <c r="AE901" s="1" t="s">
        <v>471</v>
      </c>
      <c r="AF901" s="1" t="s">
        <v>12735</v>
      </c>
    </row>
    <row r="902" spans="1:32" hidden="1" x14ac:dyDescent="0.35">
      <c r="A902">
        <v>1120</v>
      </c>
      <c r="B902" t="s">
        <v>2321</v>
      </c>
      <c r="C902" t="s">
        <v>72</v>
      </c>
      <c r="D902" t="s">
        <v>60</v>
      </c>
      <c r="E902">
        <v>1296</v>
      </c>
      <c r="F902">
        <v>5</v>
      </c>
      <c r="G902">
        <v>5</v>
      </c>
      <c r="H902">
        <v>1</v>
      </c>
      <c r="I902">
        <v>1</v>
      </c>
      <c r="J902">
        <v>0.746187994595638</v>
      </c>
      <c r="K902">
        <v>0.76117750008750895</v>
      </c>
      <c r="L902">
        <v>0.75360821821254498</v>
      </c>
      <c r="M902">
        <v>0.15887850467289699</v>
      </c>
      <c r="N902">
        <v>1</v>
      </c>
      <c r="O902">
        <v>0.48037383177570098</v>
      </c>
      <c r="P902" t="s">
        <v>2322</v>
      </c>
      <c r="Q902" t="s">
        <v>2323</v>
      </c>
      <c r="R902" t="s">
        <v>157</v>
      </c>
      <c r="S902" t="s">
        <v>158</v>
      </c>
      <c r="T902" t="s">
        <v>2324</v>
      </c>
      <c r="U902" t="s">
        <v>2325</v>
      </c>
      <c r="V902" t="s">
        <v>2326</v>
      </c>
      <c r="W902" t="s">
        <v>2327</v>
      </c>
      <c r="AD902" t="s">
        <v>219</v>
      </c>
      <c r="AE902" t="s">
        <v>2328</v>
      </c>
      <c r="AF902" t="s">
        <v>2330</v>
      </c>
    </row>
    <row r="903" spans="1:32" hidden="1" x14ac:dyDescent="0.35">
      <c r="A903">
        <v>1121</v>
      </c>
      <c r="B903" t="s">
        <v>2321</v>
      </c>
      <c r="C903" t="s">
        <v>72</v>
      </c>
      <c r="D903" t="s">
        <v>62</v>
      </c>
      <c r="E903">
        <v>1332</v>
      </c>
      <c r="F903">
        <v>5</v>
      </c>
      <c r="G903">
        <v>5</v>
      </c>
      <c r="H903">
        <v>1</v>
      </c>
      <c r="I903">
        <v>1</v>
      </c>
      <c r="J903">
        <v>0.746187994595638</v>
      </c>
      <c r="K903">
        <v>0.76117750008750895</v>
      </c>
      <c r="L903">
        <v>0.75360821821254498</v>
      </c>
      <c r="M903">
        <v>0.15887850467289699</v>
      </c>
      <c r="N903">
        <v>1</v>
      </c>
      <c r="O903">
        <v>0.48037383177570098</v>
      </c>
      <c r="P903" t="s">
        <v>2322</v>
      </c>
      <c r="Q903" t="s">
        <v>2323</v>
      </c>
      <c r="R903" t="s">
        <v>157</v>
      </c>
      <c r="S903" t="s">
        <v>158</v>
      </c>
      <c r="T903" t="s">
        <v>2324</v>
      </c>
      <c r="U903" t="s">
        <v>2325</v>
      </c>
      <c r="V903" t="s">
        <v>2326</v>
      </c>
      <c r="W903" t="s">
        <v>2327</v>
      </c>
      <c r="AD903" t="s">
        <v>219</v>
      </c>
      <c r="AE903" t="s">
        <v>2328</v>
      </c>
      <c r="AF903" t="s">
        <v>2330</v>
      </c>
    </row>
    <row r="904" spans="1:32" hidden="1" x14ac:dyDescent="0.35">
      <c r="A904">
        <v>1122</v>
      </c>
      <c r="B904" t="s">
        <v>2321</v>
      </c>
      <c r="C904" t="s">
        <v>72</v>
      </c>
      <c r="D904" t="s">
        <v>34</v>
      </c>
      <c r="E904">
        <v>1696</v>
      </c>
      <c r="F904">
        <v>5</v>
      </c>
      <c r="G904">
        <v>5</v>
      </c>
      <c r="H904">
        <v>1</v>
      </c>
      <c r="I904">
        <v>1</v>
      </c>
      <c r="J904">
        <v>0.746187994595638</v>
      </c>
      <c r="K904">
        <v>0.76117750008750895</v>
      </c>
      <c r="L904">
        <v>0.75360821821254498</v>
      </c>
      <c r="M904">
        <v>0.15887850467289699</v>
      </c>
      <c r="N904">
        <v>1</v>
      </c>
      <c r="O904">
        <v>0.48037383177570098</v>
      </c>
      <c r="P904" t="s">
        <v>2322</v>
      </c>
      <c r="Q904" t="s">
        <v>2323</v>
      </c>
      <c r="R904" t="s">
        <v>157</v>
      </c>
      <c r="S904" t="s">
        <v>158</v>
      </c>
      <c r="T904" t="s">
        <v>2324</v>
      </c>
      <c r="U904" t="s">
        <v>2325</v>
      </c>
      <c r="V904" t="s">
        <v>2326</v>
      </c>
      <c r="W904" t="s">
        <v>2327</v>
      </c>
      <c r="AD904" t="s">
        <v>219</v>
      </c>
      <c r="AE904" t="s">
        <v>2328</v>
      </c>
      <c r="AF904" t="e">
        <f>--MK-----FALVRLVGGMVAGGLVFLSYQPVGWWWAAIVGVALLFVVLAPWPRGGGPSLRLGAGIAVAHSLVLFLLLLPWIGSFVGTMPYVALAIWLSLYSVLLGVLGVAVARLRFGPF-----MFPLVFMAVEWLRSTVPFGGFAWVRLGWGQVGGPLQDVASVGGPALVSGVVVAVGCCVGAVALRRPVLPV----------------AGLLGVVVLLAVGASVSLGSADVGS--------VRVAAIQGNVPRLGLEFNAQRRAVLANHVAETKKLAGSEPVDMVVWPENSADVSPFYDAQAADMVSEAVAAAGAPVLVGTITRDEVGLRNTMSVFNPGSGAGDFHYKRYLQPFGEYMPLRSFFRLFSEKVDWAGDFKPGVTSDPVRMG----DVLVGVATCYEVAFDNAGREAVRRGAQILTTPTNNATFGFSDMTYQQLAMSRMLAIQTDRAVVVAATSGVSAMVHPDGSVSQETGIFTAATLRESLPLRESQTVAVRFGFVIEYVLVLAGWLMGAGAVIQARRSGGGFP</f>
        <v>#NAME?</v>
      </c>
    </row>
    <row r="905" spans="1:32" hidden="1" x14ac:dyDescent="0.35">
      <c r="A905">
        <v>1123</v>
      </c>
      <c r="B905" t="s">
        <v>2321</v>
      </c>
      <c r="C905" t="s">
        <v>72</v>
      </c>
      <c r="D905" t="s">
        <v>45</v>
      </c>
      <c r="E905">
        <v>1180</v>
      </c>
      <c r="F905">
        <v>5</v>
      </c>
      <c r="G905">
        <v>5</v>
      </c>
      <c r="H905">
        <v>1</v>
      </c>
      <c r="I905">
        <v>1</v>
      </c>
      <c r="J905">
        <v>0.746187994595638</v>
      </c>
      <c r="K905">
        <v>0.76117750008750895</v>
      </c>
      <c r="L905">
        <v>0.75360821821254498</v>
      </c>
      <c r="M905">
        <v>0.15887850467289699</v>
      </c>
      <c r="N905">
        <v>1</v>
      </c>
      <c r="O905">
        <v>0.48037383177570098</v>
      </c>
      <c r="P905" t="s">
        <v>2331</v>
      </c>
      <c r="Q905" t="s">
        <v>2332</v>
      </c>
      <c r="R905" t="s">
        <v>157</v>
      </c>
      <c r="S905" t="s">
        <v>158</v>
      </c>
      <c r="T905" t="s">
        <v>2324</v>
      </c>
      <c r="U905" t="s">
        <v>2325</v>
      </c>
      <c r="V905" t="s">
        <v>2326</v>
      </c>
      <c r="W905" t="s">
        <v>2327</v>
      </c>
      <c r="AD905" t="s">
        <v>219</v>
      </c>
      <c r="AE905" t="s">
        <v>2328</v>
      </c>
      <c r="AF905" t="s">
        <v>221</v>
      </c>
    </row>
    <row r="906" spans="1:32" hidden="1" x14ac:dyDescent="0.35">
      <c r="A906">
        <v>11019</v>
      </c>
      <c r="B906" t="s">
        <v>22251</v>
      </c>
      <c r="C906" t="s">
        <v>33</v>
      </c>
      <c r="D906" t="s">
        <v>58</v>
      </c>
      <c r="E906">
        <v>1045</v>
      </c>
      <c r="F906">
        <v>1</v>
      </c>
      <c r="G906">
        <v>1</v>
      </c>
      <c r="H906">
        <v>1</v>
      </c>
      <c r="I906">
        <v>0</v>
      </c>
      <c r="J906">
        <v>1</v>
      </c>
      <c r="K906">
        <v>1</v>
      </c>
      <c r="L906">
        <v>1</v>
      </c>
      <c r="M906">
        <v>0</v>
      </c>
      <c r="N906">
        <v>0</v>
      </c>
      <c r="O906">
        <v>0</v>
      </c>
      <c r="P906" t="s">
        <v>433</v>
      </c>
      <c r="Q906" t="s">
        <v>434</v>
      </c>
      <c r="R906" t="s">
        <v>235</v>
      </c>
      <c r="S906" t="s">
        <v>236</v>
      </c>
      <c r="V906" t="s">
        <v>437</v>
      </c>
      <c r="W906" t="s">
        <v>438</v>
      </c>
      <c r="AF906" t="s">
        <v>22252</v>
      </c>
    </row>
    <row r="907" spans="1:32" hidden="1" x14ac:dyDescent="0.35">
      <c r="A907">
        <v>1125</v>
      </c>
      <c r="B907" t="s">
        <v>2333</v>
      </c>
      <c r="C907" t="s">
        <v>72</v>
      </c>
      <c r="D907" t="s">
        <v>60</v>
      </c>
      <c r="E907">
        <v>750</v>
      </c>
      <c r="F907">
        <v>5</v>
      </c>
      <c r="G907">
        <v>5</v>
      </c>
      <c r="H907">
        <v>1</v>
      </c>
      <c r="I907">
        <v>1</v>
      </c>
      <c r="J907">
        <v>0.77552171460800901</v>
      </c>
      <c r="K907">
        <v>0.96160610585697903</v>
      </c>
      <c r="L907">
        <v>0.85859705567563405</v>
      </c>
      <c r="M907">
        <v>0.56097560975609795</v>
      </c>
      <c r="N907">
        <v>1</v>
      </c>
      <c r="O907">
        <v>0.69430894308943103</v>
      </c>
      <c r="P907" t="s">
        <v>2334</v>
      </c>
      <c r="Q907" t="s">
        <v>2335</v>
      </c>
      <c r="R907" t="s">
        <v>157</v>
      </c>
      <c r="S907" t="s">
        <v>158</v>
      </c>
      <c r="V907" t="s">
        <v>2336</v>
      </c>
      <c r="W907" t="s">
        <v>2337</v>
      </c>
      <c r="AF907" t="s">
        <v>2339</v>
      </c>
    </row>
    <row r="908" spans="1:32" hidden="1" x14ac:dyDescent="0.35">
      <c r="A908">
        <v>1126</v>
      </c>
      <c r="B908" t="s">
        <v>2333</v>
      </c>
      <c r="C908" t="s">
        <v>72</v>
      </c>
      <c r="D908" t="s">
        <v>62</v>
      </c>
      <c r="E908">
        <v>782</v>
      </c>
      <c r="F908">
        <v>5</v>
      </c>
      <c r="G908">
        <v>5</v>
      </c>
      <c r="H908">
        <v>1</v>
      </c>
      <c r="I908">
        <v>1</v>
      </c>
      <c r="J908">
        <v>0.77552171460800901</v>
      </c>
      <c r="K908">
        <v>0.96160610585697903</v>
      </c>
      <c r="L908">
        <v>0.85859705567563405</v>
      </c>
      <c r="M908">
        <v>0.56097560975609795</v>
      </c>
      <c r="N908">
        <v>1</v>
      </c>
      <c r="O908">
        <v>0.69430894308943103</v>
      </c>
      <c r="P908" t="s">
        <v>2334</v>
      </c>
      <c r="Q908" t="s">
        <v>2335</v>
      </c>
      <c r="R908" t="s">
        <v>157</v>
      </c>
      <c r="S908" t="s">
        <v>158</v>
      </c>
      <c r="V908" t="s">
        <v>2336</v>
      </c>
      <c r="W908" t="s">
        <v>2337</v>
      </c>
      <c r="AF908" t="s">
        <v>2339</v>
      </c>
    </row>
    <row r="909" spans="1:32" hidden="1" x14ac:dyDescent="0.35">
      <c r="A909">
        <v>1127</v>
      </c>
      <c r="B909" t="s">
        <v>2333</v>
      </c>
      <c r="C909" t="s">
        <v>72</v>
      </c>
      <c r="D909" t="s">
        <v>34</v>
      </c>
      <c r="E909">
        <v>382</v>
      </c>
      <c r="F909">
        <v>5</v>
      </c>
      <c r="G909">
        <v>5</v>
      </c>
      <c r="H909">
        <v>1</v>
      </c>
      <c r="I909">
        <v>1</v>
      </c>
      <c r="J909">
        <v>0.77552171460800901</v>
      </c>
      <c r="K909">
        <v>0.96160610585697903</v>
      </c>
      <c r="L909">
        <v>0.85859705567563405</v>
      </c>
      <c r="M909">
        <v>0.56097560975609795</v>
      </c>
      <c r="N909">
        <v>1</v>
      </c>
      <c r="O909">
        <v>0.69430894308943103</v>
      </c>
      <c r="P909" t="s">
        <v>2334</v>
      </c>
      <c r="Q909" t="s">
        <v>2335</v>
      </c>
      <c r="R909" t="s">
        <v>157</v>
      </c>
      <c r="S909" t="s">
        <v>158</v>
      </c>
      <c r="V909" t="s">
        <v>2336</v>
      </c>
      <c r="W909" t="s">
        <v>2337</v>
      </c>
      <c r="AF909" t="s">
        <v>2340</v>
      </c>
    </row>
    <row r="910" spans="1:32" hidden="1" x14ac:dyDescent="0.35">
      <c r="A910">
        <v>1128</v>
      </c>
      <c r="B910" t="s">
        <v>2333</v>
      </c>
      <c r="C910" t="s">
        <v>72</v>
      </c>
      <c r="D910" t="s">
        <v>45</v>
      </c>
      <c r="E910">
        <v>1643</v>
      </c>
      <c r="F910">
        <v>5</v>
      </c>
      <c r="G910">
        <v>5</v>
      </c>
      <c r="H910">
        <v>1</v>
      </c>
      <c r="I910">
        <v>1</v>
      </c>
      <c r="J910">
        <v>0.77552171460800901</v>
      </c>
      <c r="K910">
        <v>0.96160610585697903</v>
      </c>
      <c r="L910">
        <v>0.85859705567563405</v>
      </c>
      <c r="M910">
        <v>0.56097560975609795</v>
      </c>
      <c r="N910">
        <v>1</v>
      </c>
      <c r="O910">
        <v>0.69430894308943103</v>
      </c>
      <c r="P910" t="s">
        <v>2334</v>
      </c>
      <c r="Q910" t="s">
        <v>2335</v>
      </c>
      <c r="R910" t="s">
        <v>157</v>
      </c>
      <c r="S910" t="s">
        <v>158</v>
      </c>
      <c r="V910" t="s">
        <v>2336</v>
      </c>
      <c r="W910" t="s">
        <v>2337</v>
      </c>
      <c r="AF910" t="s">
        <v>2340</v>
      </c>
    </row>
    <row r="911" spans="1:32" hidden="1" x14ac:dyDescent="0.35">
      <c r="A911">
        <v>11044</v>
      </c>
      <c r="B911" t="s">
        <v>22323</v>
      </c>
      <c r="C911" t="s">
        <v>33</v>
      </c>
      <c r="D911" t="s">
        <v>58</v>
      </c>
      <c r="E911">
        <v>710</v>
      </c>
      <c r="F911">
        <v>1</v>
      </c>
      <c r="G911">
        <v>1</v>
      </c>
      <c r="H911">
        <v>1</v>
      </c>
      <c r="I911">
        <v>0</v>
      </c>
      <c r="J911">
        <v>1</v>
      </c>
      <c r="K911">
        <v>1</v>
      </c>
      <c r="L911">
        <v>1</v>
      </c>
      <c r="M911">
        <v>0</v>
      </c>
      <c r="N911">
        <v>0</v>
      </c>
      <c r="O911">
        <v>0</v>
      </c>
      <c r="P911" t="s">
        <v>433</v>
      </c>
      <c r="Q911" t="s">
        <v>434</v>
      </c>
      <c r="R911" t="s">
        <v>235</v>
      </c>
      <c r="S911" t="s">
        <v>236</v>
      </c>
      <c r="V911" t="s">
        <v>437</v>
      </c>
      <c r="W911" t="s">
        <v>438</v>
      </c>
      <c r="AF911" t="s">
        <v>22324</v>
      </c>
    </row>
    <row r="912" spans="1:32" hidden="1" x14ac:dyDescent="0.35">
      <c r="A912">
        <v>1460</v>
      </c>
      <c r="B912" t="s">
        <v>3059</v>
      </c>
      <c r="C912" t="s">
        <v>72</v>
      </c>
      <c r="D912" t="s">
        <v>60</v>
      </c>
      <c r="E912">
        <v>295</v>
      </c>
      <c r="F912">
        <v>5</v>
      </c>
      <c r="G912">
        <v>5</v>
      </c>
      <c r="H912">
        <v>1</v>
      </c>
      <c r="I912">
        <v>1</v>
      </c>
      <c r="J912">
        <v>0.81100244498777496</v>
      </c>
      <c r="K912">
        <v>0.96740725801934102</v>
      </c>
      <c r="L912">
        <v>0.88232722777656303</v>
      </c>
      <c r="M912">
        <v>0.62411347517730498</v>
      </c>
      <c r="N912">
        <v>1</v>
      </c>
      <c r="O912">
        <v>0.72553191489361701</v>
      </c>
      <c r="P912" t="s">
        <v>363</v>
      </c>
      <c r="Q912" t="s">
        <v>364</v>
      </c>
      <c r="R912" t="s">
        <v>157</v>
      </c>
      <c r="S912" t="s">
        <v>158</v>
      </c>
      <c r="T912" t="s">
        <v>3060</v>
      </c>
      <c r="U912" t="s">
        <v>3061</v>
      </c>
      <c r="V912" t="s">
        <v>358</v>
      </c>
      <c r="W912" t="s">
        <v>359</v>
      </c>
      <c r="AD912" t="s">
        <v>219</v>
      </c>
      <c r="AE912" t="s">
        <v>3062</v>
      </c>
      <c r="AF912" t="s">
        <v>3064</v>
      </c>
    </row>
    <row r="913" spans="1:32" hidden="1" x14ac:dyDescent="0.35">
      <c r="A913">
        <v>1461</v>
      </c>
      <c r="B913" t="s">
        <v>3059</v>
      </c>
      <c r="C913" t="s">
        <v>72</v>
      </c>
      <c r="D913" t="s">
        <v>62</v>
      </c>
      <c r="E913">
        <v>375</v>
      </c>
      <c r="F913">
        <v>5</v>
      </c>
      <c r="G913">
        <v>5</v>
      </c>
      <c r="H913">
        <v>1</v>
      </c>
      <c r="I913">
        <v>1</v>
      </c>
      <c r="J913">
        <v>0.81100244498777496</v>
      </c>
      <c r="K913">
        <v>0.96740725801934102</v>
      </c>
      <c r="L913">
        <v>0.88232722777656303</v>
      </c>
      <c r="M913">
        <v>0.62411347517730498</v>
      </c>
      <c r="N913">
        <v>1</v>
      </c>
      <c r="O913">
        <v>0.72553191489361701</v>
      </c>
      <c r="P913" t="s">
        <v>363</v>
      </c>
      <c r="Q913" t="s">
        <v>364</v>
      </c>
      <c r="R913" t="s">
        <v>157</v>
      </c>
      <c r="S913" t="s">
        <v>158</v>
      </c>
      <c r="T913" t="s">
        <v>3060</v>
      </c>
      <c r="U913" t="s">
        <v>3061</v>
      </c>
      <c r="V913" t="s">
        <v>358</v>
      </c>
      <c r="W913" t="s">
        <v>359</v>
      </c>
      <c r="AD913" t="s">
        <v>219</v>
      </c>
      <c r="AE913" t="s">
        <v>3062</v>
      </c>
      <c r="AF913" t="s">
        <v>3065</v>
      </c>
    </row>
    <row r="914" spans="1:32" hidden="1" x14ac:dyDescent="0.35">
      <c r="A914">
        <v>1462</v>
      </c>
      <c r="B914" t="s">
        <v>3059</v>
      </c>
      <c r="C914" t="s">
        <v>72</v>
      </c>
      <c r="D914" t="s">
        <v>34</v>
      </c>
      <c r="E914">
        <v>862</v>
      </c>
      <c r="F914">
        <v>5</v>
      </c>
      <c r="G914">
        <v>5</v>
      </c>
      <c r="H914">
        <v>1</v>
      </c>
      <c r="I914">
        <v>1</v>
      </c>
      <c r="J914">
        <v>0.81100244498777496</v>
      </c>
      <c r="K914">
        <v>0.96740725801934102</v>
      </c>
      <c r="L914">
        <v>0.88232722777656303</v>
      </c>
      <c r="M914">
        <v>0.62411347517730498</v>
      </c>
      <c r="N914">
        <v>1</v>
      </c>
      <c r="O914">
        <v>0.72553191489361701</v>
      </c>
      <c r="P914" t="s">
        <v>363</v>
      </c>
      <c r="Q914" t="s">
        <v>364</v>
      </c>
      <c r="R914" t="s">
        <v>157</v>
      </c>
      <c r="S914" t="s">
        <v>158</v>
      </c>
      <c r="T914" t="s">
        <v>3060</v>
      </c>
      <c r="U914" t="s">
        <v>3061</v>
      </c>
      <c r="V914" t="s">
        <v>358</v>
      </c>
      <c r="W914" t="s">
        <v>359</v>
      </c>
      <c r="AD914" t="s">
        <v>219</v>
      </c>
      <c r="AE914" t="s">
        <v>3062</v>
      </c>
      <c r="AF914" t="s">
        <v>3066</v>
      </c>
    </row>
    <row r="915" spans="1:32" hidden="1" x14ac:dyDescent="0.35">
      <c r="A915">
        <v>1463</v>
      </c>
      <c r="B915" t="s">
        <v>3059</v>
      </c>
      <c r="C915" t="s">
        <v>72</v>
      </c>
      <c r="D915" t="s">
        <v>45</v>
      </c>
      <c r="E915">
        <v>2119</v>
      </c>
      <c r="F915">
        <v>5</v>
      </c>
      <c r="G915">
        <v>5</v>
      </c>
      <c r="H915">
        <v>1</v>
      </c>
      <c r="I915">
        <v>1</v>
      </c>
      <c r="J915">
        <v>0.81100244498777496</v>
      </c>
      <c r="K915">
        <v>0.96740725801934102</v>
      </c>
      <c r="L915">
        <v>0.88232722777656303</v>
      </c>
      <c r="M915">
        <v>0.62411347517730498</v>
      </c>
      <c r="N915">
        <v>1</v>
      </c>
      <c r="O915">
        <v>0.72553191489361701</v>
      </c>
      <c r="P915" t="s">
        <v>363</v>
      </c>
      <c r="Q915" t="s">
        <v>364</v>
      </c>
      <c r="R915" t="s">
        <v>157</v>
      </c>
      <c r="S915" t="s">
        <v>158</v>
      </c>
      <c r="T915" t="s">
        <v>3060</v>
      </c>
      <c r="U915" t="s">
        <v>3061</v>
      </c>
      <c r="V915" t="s">
        <v>358</v>
      </c>
      <c r="W915" t="s">
        <v>359</v>
      </c>
      <c r="AD915" t="s">
        <v>219</v>
      </c>
      <c r="AE915" t="s">
        <v>3062</v>
      </c>
      <c r="AF915" t="s">
        <v>3066</v>
      </c>
    </row>
    <row r="916" spans="1:32" hidden="1" x14ac:dyDescent="0.35">
      <c r="A916">
        <v>11621</v>
      </c>
      <c r="B916" t="s">
        <v>23799</v>
      </c>
      <c r="C916" t="s">
        <v>33</v>
      </c>
      <c r="D916" t="s">
        <v>58</v>
      </c>
      <c r="E916">
        <v>1436</v>
      </c>
      <c r="F916">
        <v>1</v>
      </c>
      <c r="G916">
        <v>1</v>
      </c>
      <c r="H916">
        <v>1</v>
      </c>
      <c r="I916">
        <v>0</v>
      </c>
      <c r="J916">
        <v>1</v>
      </c>
      <c r="K916">
        <v>1</v>
      </c>
      <c r="L916">
        <v>1</v>
      </c>
      <c r="M916">
        <v>0</v>
      </c>
      <c r="N916">
        <v>0</v>
      </c>
      <c r="O916">
        <v>0</v>
      </c>
      <c r="P916" t="s">
        <v>433</v>
      </c>
      <c r="Q916" t="s">
        <v>434</v>
      </c>
      <c r="R916" t="s">
        <v>235</v>
      </c>
      <c r="S916" t="s">
        <v>236</v>
      </c>
      <c r="T916" t="s">
        <v>469</v>
      </c>
      <c r="U916" t="s">
        <v>470</v>
      </c>
      <c r="V916" t="s">
        <v>437</v>
      </c>
      <c r="W916" t="s">
        <v>438</v>
      </c>
      <c r="AD916" t="s">
        <v>439</v>
      </c>
      <c r="AE916" t="s">
        <v>471</v>
      </c>
      <c r="AF916" t="s">
        <v>23800</v>
      </c>
    </row>
    <row r="917" spans="1:32" hidden="1" x14ac:dyDescent="0.35">
      <c r="A917">
        <v>1610</v>
      </c>
      <c r="B917" t="s">
        <v>3373</v>
      </c>
      <c r="C917" t="s">
        <v>72</v>
      </c>
      <c r="D917" t="s">
        <v>60</v>
      </c>
      <c r="E917">
        <v>1774</v>
      </c>
      <c r="F917">
        <v>5</v>
      </c>
      <c r="G917">
        <v>5</v>
      </c>
      <c r="H917">
        <v>1</v>
      </c>
      <c r="I917">
        <v>1</v>
      </c>
      <c r="J917">
        <v>0.73898428272917205</v>
      </c>
      <c r="K917">
        <v>0.93618424469024497</v>
      </c>
      <c r="L917">
        <v>0.82597712557377601</v>
      </c>
      <c r="M917">
        <v>0.52162849872773498</v>
      </c>
      <c r="N917">
        <v>1</v>
      </c>
      <c r="O917">
        <v>0.65572519083969505</v>
      </c>
      <c r="P917" t="s">
        <v>363</v>
      </c>
      <c r="Q917" t="s">
        <v>364</v>
      </c>
      <c r="R917" t="s">
        <v>157</v>
      </c>
      <c r="S917" t="s">
        <v>158</v>
      </c>
      <c r="T917" t="s">
        <v>3374</v>
      </c>
      <c r="U917" t="s">
        <v>3375</v>
      </c>
      <c r="V917" t="s">
        <v>358</v>
      </c>
      <c r="W917" t="s">
        <v>359</v>
      </c>
      <c r="AD917" t="s">
        <v>640</v>
      </c>
      <c r="AE917" t="s">
        <v>3376</v>
      </c>
      <c r="AF917" t="s">
        <v>3377</v>
      </c>
    </row>
    <row r="918" spans="1:32" hidden="1" x14ac:dyDescent="0.35">
      <c r="A918">
        <v>1611</v>
      </c>
      <c r="B918" t="s">
        <v>3373</v>
      </c>
      <c r="C918" t="s">
        <v>72</v>
      </c>
      <c r="D918" t="s">
        <v>62</v>
      </c>
      <c r="E918">
        <v>1810</v>
      </c>
      <c r="F918">
        <v>5</v>
      </c>
      <c r="G918">
        <v>5</v>
      </c>
      <c r="H918">
        <v>1</v>
      </c>
      <c r="I918">
        <v>1</v>
      </c>
      <c r="J918">
        <v>0.73898428272917205</v>
      </c>
      <c r="K918">
        <v>0.93618424469024497</v>
      </c>
      <c r="L918">
        <v>0.82597712557377601</v>
      </c>
      <c r="M918">
        <v>0.52162849872773498</v>
      </c>
      <c r="N918">
        <v>1</v>
      </c>
      <c r="O918">
        <v>0.65572519083969505</v>
      </c>
      <c r="P918" t="s">
        <v>363</v>
      </c>
      <c r="Q918" t="s">
        <v>364</v>
      </c>
      <c r="R918" t="s">
        <v>157</v>
      </c>
      <c r="S918" t="s">
        <v>158</v>
      </c>
      <c r="T918" t="s">
        <v>3374</v>
      </c>
      <c r="U918" t="s">
        <v>3375</v>
      </c>
      <c r="V918" t="s">
        <v>358</v>
      </c>
      <c r="W918" t="s">
        <v>359</v>
      </c>
      <c r="AD918" t="s">
        <v>640</v>
      </c>
      <c r="AE918" t="s">
        <v>3376</v>
      </c>
      <c r="AF918" t="s">
        <v>3377</v>
      </c>
    </row>
    <row r="919" spans="1:32" hidden="1" x14ac:dyDescent="0.35">
      <c r="A919">
        <v>1612</v>
      </c>
      <c r="B919" t="s">
        <v>3373</v>
      </c>
      <c r="C919" t="s">
        <v>72</v>
      </c>
      <c r="D919" t="s">
        <v>34</v>
      </c>
      <c r="E919">
        <v>2144</v>
      </c>
      <c r="F919">
        <v>5</v>
      </c>
      <c r="G919">
        <v>5</v>
      </c>
      <c r="H919">
        <v>1</v>
      </c>
      <c r="I919">
        <v>1</v>
      </c>
      <c r="J919">
        <v>0.73898428272917205</v>
      </c>
      <c r="K919">
        <v>0.93618424469024497</v>
      </c>
      <c r="L919">
        <v>0.82597712557377601</v>
      </c>
      <c r="M919">
        <v>0.52162849872773498</v>
      </c>
      <c r="N919">
        <v>1</v>
      </c>
      <c r="O919">
        <v>0.65572519083969505</v>
      </c>
      <c r="P919" t="s">
        <v>363</v>
      </c>
      <c r="Q919" t="s">
        <v>364</v>
      </c>
      <c r="R919" t="s">
        <v>157</v>
      </c>
      <c r="S919" t="s">
        <v>158</v>
      </c>
      <c r="T919" t="s">
        <v>3374</v>
      </c>
      <c r="U919" t="s">
        <v>3375</v>
      </c>
      <c r="V919" t="s">
        <v>358</v>
      </c>
      <c r="W919" t="s">
        <v>359</v>
      </c>
      <c r="AD919" t="s">
        <v>640</v>
      </c>
      <c r="AE919" t="s">
        <v>3376</v>
      </c>
      <c r="AF919" t="s">
        <v>3378</v>
      </c>
    </row>
    <row r="920" spans="1:32" hidden="1" x14ac:dyDescent="0.35">
      <c r="A920">
        <v>1613</v>
      </c>
      <c r="B920" t="s">
        <v>3373</v>
      </c>
      <c r="C920" t="s">
        <v>72</v>
      </c>
      <c r="D920" t="s">
        <v>45</v>
      </c>
      <c r="E920">
        <v>729</v>
      </c>
      <c r="F920">
        <v>5</v>
      </c>
      <c r="G920">
        <v>5</v>
      </c>
      <c r="H920">
        <v>1</v>
      </c>
      <c r="I920">
        <v>1</v>
      </c>
      <c r="J920">
        <v>0.73898428272917205</v>
      </c>
      <c r="K920">
        <v>0.93618424469024497</v>
      </c>
      <c r="L920">
        <v>0.82597712557377601</v>
      </c>
      <c r="M920">
        <v>0.52162849872773498</v>
      </c>
      <c r="N920">
        <v>1</v>
      </c>
      <c r="O920">
        <v>0.65572519083969505</v>
      </c>
      <c r="P920" t="s">
        <v>363</v>
      </c>
      <c r="Q920" t="s">
        <v>364</v>
      </c>
      <c r="R920" t="s">
        <v>157</v>
      </c>
      <c r="S920" t="s">
        <v>158</v>
      </c>
      <c r="T920" t="s">
        <v>3374</v>
      </c>
      <c r="U920" t="s">
        <v>3375</v>
      </c>
      <c r="V920" t="s">
        <v>358</v>
      </c>
      <c r="W920" t="s">
        <v>359</v>
      </c>
      <c r="AD920" t="s">
        <v>640</v>
      </c>
      <c r="AE920" t="s">
        <v>3376</v>
      </c>
      <c r="AF920" t="s">
        <v>3379</v>
      </c>
    </row>
    <row r="921" spans="1:32" hidden="1" x14ac:dyDescent="0.35">
      <c r="A921">
        <v>3294</v>
      </c>
      <c r="B921" t="s">
        <v>6772</v>
      </c>
      <c r="C921" t="s">
        <v>72</v>
      </c>
      <c r="D921" t="s">
        <v>58</v>
      </c>
      <c r="E921">
        <v>1547</v>
      </c>
      <c r="F921">
        <v>5</v>
      </c>
      <c r="G921">
        <v>5</v>
      </c>
      <c r="H921">
        <v>1</v>
      </c>
      <c r="I921">
        <v>1</v>
      </c>
      <c r="J921">
        <v>0.76878502897311696</v>
      </c>
      <c r="K921">
        <v>0.87217235297695295</v>
      </c>
      <c r="L921">
        <v>0.81722176947230496</v>
      </c>
      <c r="M921">
        <v>0.53940886699507395</v>
      </c>
      <c r="N921">
        <v>1</v>
      </c>
      <c r="O921">
        <v>0.66305418719211795</v>
      </c>
      <c r="P921" t="s">
        <v>6773</v>
      </c>
      <c r="Q921" t="s">
        <v>6774</v>
      </c>
      <c r="R921" t="s">
        <v>342</v>
      </c>
      <c r="S921" t="s">
        <v>343</v>
      </c>
      <c r="T921" t="s">
        <v>6775</v>
      </c>
      <c r="U921" t="s">
        <v>6776</v>
      </c>
      <c r="V921" t="s">
        <v>6777</v>
      </c>
      <c r="W921" t="s">
        <v>6778</v>
      </c>
      <c r="AD921" t="s">
        <v>166</v>
      </c>
      <c r="AE921" t="s">
        <v>6779</v>
      </c>
      <c r="AF921" t="s">
        <v>6780</v>
      </c>
    </row>
    <row r="922" spans="1:32" hidden="1" x14ac:dyDescent="0.35">
      <c r="A922">
        <v>1710</v>
      </c>
      <c r="B922" t="s">
        <v>3573</v>
      </c>
      <c r="C922" t="s">
        <v>72</v>
      </c>
      <c r="D922" t="s">
        <v>60</v>
      </c>
      <c r="E922">
        <v>941</v>
      </c>
      <c r="F922">
        <v>5</v>
      </c>
      <c r="G922">
        <v>5</v>
      </c>
      <c r="H922">
        <v>1</v>
      </c>
      <c r="I922">
        <v>1</v>
      </c>
      <c r="J922">
        <v>0.87864704363542501</v>
      </c>
      <c r="K922">
        <v>0.92582509376065503</v>
      </c>
      <c r="L922">
        <v>0.90161933198942201</v>
      </c>
      <c r="M922">
        <v>0.70476190476190503</v>
      </c>
      <c r="N922">
        <v>1</v>
      </c>
      <c r="O922">
        <v>0.80952380952380998</v>
      </c>
      <c r="P922" t="s">
        <v>363</v>
      </c>
      <c r="Q922" t="s">
        <v>364</v>
      </c>
      <c r="R922" t="s">
        <v>157</v>
      </c>
      <c r="S922" t="s">
        <v>158</v>
      </c>
      <c r="T922" t="s">
        <v>3574</v>
      </c>
      <c r="U922" t="s">
        <v>3575</v>
      </c>
      <c r="V922" t="s">
        <v>358</v>
      </c>
      <c r="W922" t="s">
        <v>359</v>
      </c>
      <c r="AD922" t="s">
        <v>640</v>
      </c>
      <c r="AE922" t="s">
        <v>3576</v>
      </c>
      <c r="AF922" t="s">
        <v>3578</v>
      </c>
    </row>
    <row r="923" spans="1:32" hidden="1" x14ac:dyDescent="0.35">
      <c r="A923">
        <v>1711</v>
      </c>
      <c r="B923" t="s">
        <v>3573</v>
      </c>
      <c r="C923" t="s">
        <v>72</v>
      </c>
      <c r="D923" t="s">
        <v>62</v>
      </c>
      <c r="E923">
        <v>977</v>
      </c>
      <c r="F923">
        <v>5</v>
      </c>
      <c r="G923">
        <v>5</v>
      </c>
      <c r="H923">
        <v>1</v>
      </c>
      <c r="I923">
        <v>1</v>
      </c>
      <c r="J923">
        <v>0.87864704363542501</v>
      </c>
      <c r="K923">
        <v>0.92582509376065503</v>
      </c>
      <c r="L923">
        <v>0.90161933198942201</v>
      </c>
      <c r="M923">
        <v>0.70476190476190503</v>
      </c>
      <c r="N923">
        <v>1</v>
      </c>
      <c r="O923">
        <v>0.80952380952380998</v>
      </c>
      <c r="P923" t="s">
        <v>363</v>
      </c>
      <c r="Q923" t="s">
        <v>364</v>
      </c>
      <c r="R923" t="s">
        <v>157</v>
      </c>
      <c r="S923" t="s">
        <v>158</v>
      </c>
      <c r="T923" t="s">
        <v>3574</v>
      </c>
      <c r="U923" t="s">
        <v>3575</v>
      </c>
      <c r="V923" t="s">
        <v>358</v>
      </c>
      <c r="W923" t="s">
        <v>359</v>
      </c>
      <c r="AD923" t="s">
        <v>640</v>
      </c>
      <c r="AE923" t="s">
        <v>3576</v>
      </c>
      <c r="AF923" t="s">
        <v>3578</v>
      </c>
    </row>
    <row r="924" spans="1:32" hidden="1" x14ac:dyDescent="0.35">
      <c r="A924">
        <v>1712</v>
      </c>
      <c r="B924" t="s">
        <v>3573</v>
      </c>
      <c r="C924" t="s">
        <v>72</v>
      </c>
      <c r="D924" t="s">
        <v>34</v>
      </c>
      <c r="E924">
        <v>220</v>
      </c>
      <c r="F924">
        <v>5</v>
      </c>
      <c r="G924">
        <v>5</v>
      </c>
      <c r="H924">
        <v>1</v>
      </c>
      <c r="I924">
        <v>1</v>
      </c>
      <c r="J924">
        <v>0.87864704363542501</v>
      </c>
      <c r="K924">
        <v>0.92582509376065503</v>
      </c>
      <c r="L924">
        <v>0.90161933198942201</v>
      </c>
      <c r="M924">
        <v>0.70476190476190503</v>
      </c>
      <c r="N924">
        <v>1</v>
      </c>
      <c r="O924">
        <v>0.80952380952380998</v>
      </c>
      <c r="P924" t="s">
        <v>363</v>
      </c>
      <c r="Q924" t="s">
        <v>364</v>
      </c>
      <c r="R924" t="s">
        <v>157</v>
      </c>
      <c r="S924" t="s">
        <v>158</v>
      </c>
      <c r="T924" t="s">
        <v>3574</v>
      </c>
      <c r="U924" t="s">
        <v>3575</v>
      </c>
      <c r="V924" t="s">
        <v>358</v>
      </c>
      <c r="W924" t="s">
        <v>359</v>
      </c>
      <c r="AD924" t="s">
        <v>640</v>
      </c>
      <c r="AE924" t="s">
        <v>3576</v>
      </c>
      <c r="AF924" t="e">
        <f>-------------MMTKEYPPEIYGGAGVHVTELTRYMRDIVPVDVHCMGAPRDEKDVYVHGVDEALKDANPAIKTLSTGLRMANAAK------------GASVVHTHTWYTGLGGHLAGLLHGIPHVATAHSLEPDRPWKREQLGGGYDVSSWSEKNAMEYADAVIAVSAQMKKAVLDAYPRIEPDKVHVVLNGIDTELWQPRPTFDEAE---HSVLKELGIDPNRPIVAFVGRITRQKGVEHLVKAARYFDKDVQLVLCAGAPDTPEIAARTTKLVEELQAERDGIVWVQEMLPKDKIQEILTAADAFVCPSIYEPLGIVNLEAMACGTAVVASDVGGIPEVVVDGTTGVLVHYD---ESDP---EAFEHDIAEQVNKVVHDQELAKKFGVAGRERAVTEFSWANIAQQTVDIYKSLM</f>
        <v>#NAME?</v>
      </c>
    </row>
    <row r="925" spans="1:32" hidden="1" x14ac:dyDescent="0.35">
      <c r="A925">
        <v>1713</v>
      </c>
      <c r="B925" t="s">
        <v>3573</v>
      </c>
      <c r="C925" t="s">
        <v>72</v>
      </c>
      <c r="D925" t="s">
        <v>45</v>
      </c>
      <c r="E925">
        <v>1483</v>
      </c>
      <c r="F925">
        <v>5</v>
      </c>
      <c r="G925">
        <v>5</v>
      </c>
      <c r="H925">
        <v>1</v>
      </c>
      <c r="I925">
        <v>1</v>
      </c>
      <c r="J925">
        <v>0.87864704363542501</v>
      </c>
      <c r="K925">
        <v>0.92582509376065503</v>
      </c>
      <c r="L925">
        <v>0.90161933198942201</v>
      </c>
      <c r="M925">
        <v>0.70476190476190503</v>
      </c>
      <c r="N925">
        <v>1</v>
      </c>
      <c r="O925">
        <v>0.80952380952380998</v>
      </c>
      <c r="P925" t="s">
        <v>363</v>
      </c>
      <c r="Q925" t="s">
        <v>364</v>
      </c>
      <c r="R925" t="s">
        <v>157</v>
      </c>
      <c r="S925" t="s">
        <v>158</v>
      </c>
      <c r="T925" t="s">
        <v>3574</v>
      </c>
      <c r="U925" t="s">
        <v>3575</v>
      </c>
      <c r="V925" t="s">
        <v>358</v>
      </c>
      <c r="W925" t="s">
        <v>359</v>
      </c>
      <c r="AD925" t="s">
        <v>640</v>
      </c>
      <c r="AE925" t="s">
        <v>3576</v>
      </c>
      <c r="AF925" t="e">
        <f>-------------MMTKEYPPEIYGGAGVHVTELTRYMRDIVPVDVHCMGAPRDEKDVYVHGVDEALKDANPAIKTLSTGLRMANAAK------------GASVVHTHTWYTGLGGHLAGLLHGIPHVATAHSLEPDRPWKREQLGGGYDVSSWSEKNAMEYADAVIAVSAQMKKAVLDAYPRIEPDKVHVVLNGIDTELWQPRPTFDEAE---HSVLKELGIDPNRPIVAFVGRITRQKGVEHLVKAARYFDKDVQLVLCAGAPDTPEIAARTTKLVEELQAERDGIVWVQEMLPKDKIQEILTAADAFVCPSIYEPLGIVNLEAMACGTAVVASDVGGIPEVVVDGTTGVLVHYD---ESDP---EAFEHDIAEQVNKVVHDQELAKKFGVAGRERAVTEFSWANIAQQTVDIYKSLM</f>
        <v>#NAME?</v>
      </c>
    </row>
    <row r="926" spans="1:32" hidden="1" x14ac:dyDescent="0.35">
      <c r="A926">
        <v>11520</v>
      </c>
      <c r="B926" t="s">
        <v>23522</v>
      </c>
      <c r="C926" t="s">
        <v>33</v>
      </c>
      <c r="D926" t="s">
        <v>58</v>
      </c>
      <c r="E926">
        <v>89</v>
      </c>
      <c r="F926">
        <v>1</v>
      </c>
      <c r="G926">
        <v>1</v>
      </c>
      <c r="H926">
        <v>1</v>
      </c>
      <c r="I926">
        <v>0</v>
      </c>
      <c r="J926">
        <v>1</v>
      </c>
      <c r="K926">
        <v>1</v>
      </c>
      <c r="L926">
        <v>1</v>
      </c>
      <c r="M926">
        <v>0</v>
      </c>
      <c r="N926">
        <v>0</v>
      </c>
      <c r="O926">
        <v>0</v>
      </c>
      <c r="R926" t="s">
        <v>138</v>
      </c>
      <c r="S926" t="s">
        <v>139</v>
      </c>
      <c r="V926" t="s">
        <v>21932</v>
      </c>
      <c r="W926" t="s">
        <v>21933</v>
      </c>
      <c r="AF926" t="s">
        <v>23523</v>
      </c>
    </row>
    <row r="927" spans="1:32" hidden="1" x14ac:dyDescent="0.35">
      <c r="A927">
        <v>1715</v>
      </c>
      <c r="B927" t="s">
        <v>3579</v>
      </c>
      <c r="C927" t="s">
        <v>72</v>
      </c>
      <c r="D927" t="s">
        <v>60</v>
      </c>
      <c r="E927">
        <v>2489</v>
      </c>
      <c r="F927">
        <v>5</v>
      </c>
      <c r="G927">
        <v>5</v>
      </c>
      <c r="H927">
        <v>1</v>
      </c>
      <c r="I927">
        <v>1</v>
      </c>
      <c r="J927">
        <v>0.73509085083985504</v>
      </c>
      <c r="K927">
        <v>0.92494248447803196</v>
      </c>
      <c r="L927">
        <v>0.81916036675574999</v>
      </c>
      <c r="M927">
        <v>0.53924050632911402</v>
      </c>
      <c r="N927">
        <v>1</v>
      </c>
      <c r="O927">
        <v>0.65037974683544297</v>
      </c>
      <c r="P927" t="s">
        <v>3580</v>
      </c>
      <c r="Q927" t="s">
        <v>3581</v>
      </c>
      <c r="R927" t="s">
        <v>157</v>
      </c>
      <c r="S927" t="s">
        <v>158</v>
      </c>
      <c r="V927" t="s">
        <v>3582</v>
      </c>
      <c r="W927" t="s">
        <v>3583</v>
      </c>
      <c r="AF927" t="e">
        <f>---MTSGKGPGKRTGAGGARGARPARTASGARKVSQSRPRPGTKPKAKSKKPPKSSARKWIK-----RSVIGVIILFVIAPILGFMTAYVLVDVPEPDQLVSKQVSNIYAADGSTEIARIVPPEGNRVQVNIDQIPPSLQSAVVAAEDREFYTNRGFSLSGFARAALGQLTGDSTAGGGSTITQQYVKNAVVGDERSYTRKLKELVFSAKMANEWSKEEVLSAYLNTIYFGRNSYGVAAAAKAYFNKPLEELTPAESAVLAASIQRPSQLDPWNNREEAEQRWNYVLDGMVSTGSISQQERATMTYPEVQDPA-LNTAYTEANGPNGLIKNQVIAELETLGISEDDVQTRGLRVTTSIDPTAQDAAVKSVENLMQGEGEK--LRTAVVSVDPNNGEVKAYYGGTDANGWDYANSALQTGSTFKVFGLAAALQQGIPLSAMYDSSPVTTGNVTVSNVGGQGC-GVCSIQEALKLSLNTSFIRLSRDLEHGPQDVADMAHALGVAESLPGIPQTLTENGQPPFDGIILGQYQSRPLDMAVGLATLANEGVWHKPHFVNKVETSTGQVLYEHDAGEGERRVDSAVANNVIAAMQPIAAYSNGHGLAGGRVSAAKTGTTQLGDTGTNKDAWMIGATPQLATAVWVGNDDNSALYNASGGSMYGSGLPADIWKSTMDKALVNAPNETFPQASGLGYNTS-----PSTNYPQTPQTSQAPTPSTQQSPYPDSNNQGNQNGDIVLAPGIVIPGDLLN--PPDMPAPVVPNNQQFQPQQQQQQQLQQQQQQLQQQLQP</f>
        <v>#NAME?</v>
      </c>
    </row>
    <row r="928" spans="1:32" hidden="1" x14ac:dyDescent="0.35">
      <c r="A928">
        <v>1716</v>
      </c>
      <c r="B928" t="s">
        <v>3579</v>
      </c>
      <c r="C928" t="s">
        <v>72</v>
      </c>
      <c r="D928" t="s">
        <v>62</v>
      </c>
      <c r="E928">
        <v>16</v>
      </c>
      <c r="F928">
        <v>5</v>
      </c>
      <c r="G928">
        <v>5</v>
      </c>
      <c r="H928">
        <v>1</v>
      </c>
      <c r="I928">
        <v>1</v>
      </c>
      <c r="J928">
        <v>0.73509085083985504</v>
      </c>
      <c r="K928">
        <v>0.92494248447803196</v>
      </c>
      <c r="L928">
        <v>0.81916036675574999</v>
      </c>
      <c r="M928">
        <v>0.53924050632911402</v>
      </c>
      <c r="N928">
        <v>1</v>
      </c>
      <c r="O928">
        <v>0.65037974683544297</v>
      </c>
      <c r="P928" t="s">
        <v>3580</v>
      </c>
      <c r="Q928" t="s">
        <v>3581</v>
      </c>
      <c r="R928" t="s">
        <v>157</v>
      </c>
      <c r="S928" t="s">
        <v>158</v>
      </c>
      <c r="V928" t="s">
        <v>3582</v>
      </c>
      <c r="W928" t="s">
        <v>3583</v>
      </c>
      <c r="AF928" t="e">
        <f>---MTSGKGPGKRTGAGGARGARPARTASGARKVSQSRPRPGTKPKAKSKKPPKSSARKWIK-----RSVIGVIILFVIAPILGFMTAYVLVDVPEPDQLVSKQVSNIYAADGSTEIARIVPPEGNRVQVNIDQIPPSLQSAVVAAEDREFYTNRGFSLSGFARAALGQLTGDSTAGGGSTITQQYVKNAVVGDERSYTRKLKELVFSAKMANEWSKEEVLSAYLNTIYFGRNSYGVAAAAKAYFNKPLEELTPAESAVLAASIQRPSQLDPWNNREEAEQRWNYVLDGMVSTGSISQQERATMTYPEVQDPA-LNTAYTEANGPNGLIKNQVIAELETLGISEDDVQTRGLRVTTSIDPTAQDAAVKSVENLMQGEGEK--LRTAVVSVDPNNGEVKAYYGGTDANGWDYANSALQTGSTFKVFGLAAALQQGIPLSAMYDSSPVTTGNVTVSNVGGQGC-GVCSIQEALKLSLNTSFIRLSRDLEHGPQDVADMAHALGVAESLPGIPQTLTENGQPPFDGIILGQYQSRPLDMAVGLATLANEGVWHKPHFVNKVETSTGQVLYEHDAGEGERRVDSAVANNVIAAMQPIAAYSNGHGLAGGRVSAAKTGTTQLGDTGTNKDAWMIGATPQLATAVWVGNDDNSALYNASGGSMYGSGLPADIWKSTMDKALVNAPNETFPQASGLGYNTS-----PSTNYPQTPQTSQAPTPSTQQSPYPDSNNQGNQNGDIVLAPGIVIPGDLLN--PPDMPAPVVPNNQQFQPQQQQQQQLQQQQQQLQQQLQP</f>
        <v>#NAME?</v>
      </c>
    </row>
    <row r="929" spans="1:32" hidden="1" x14ac:dyDescent="0.35">
      <c r="A929">
        <v>1717</v>
      </c>
      <c r="B929" t="s">
        <v>3579</v>
      </c>
      <c r="C929" t="s">
        <v>72</v>
      </c>
      <c r="D929" t="s">
        <v>34</v>
      </c>
      <c r="E929">
        <v>1169</v>
      </c>
      <c r="F929">
        <v>5</v>
      </c>
      <c r="G929">
        <v>5</v>
      </c>
      <c r="H929">
        <v>1</v>
      </c>
      <c r="I929">
        <v>1</v>
      </c>
      <c r="J929">
        <v>0.73509085083985504</v>
      </c>
      <c r="K929">
        <v>0.92494248447803196</v>
      </c>
      <c r="L929">
        <v>0.81916036675574999</v>
      </c>
      <c r="M929">
        <v>0.53924050632911402</v>
      </c>
      <c r="N929">
        <v>1</v>
      </c>
      <c r="O929">
        <v>0.65037974683544297</v>
      </c>
      <c r="P929" t="s">
        <v>3580</v>
      </c>
      <c r="Q929" t="s">
        <v>3581</v>
      </c>
      <c r="R929" t="s">
        <v>157</v>
      </c>
      <c r="S929" t="s">
        <v>158</v>
      </c>
      <c r="V929" t="s">
        <v>3582</v>
      </c>
      <c r="W929" t="s">
        <v>3583</v>
      </c>
      <c r="AF929" t="s">
        <v>3585</v>
      </c>
    </row>
    <row r="930" spans="1:32" hidden="1" x14ac:dyDescent="0.35">
      <c r="A930">
        <v>1718</v>
      </c>
      <c r="B930" t="s">
        <v>3579</v>
      </c>
      <c r="C930" t="s">
        <v>72</v>
      </c>
      <c r="D930" t="s">
        <v>45</v>
      </c>
      <c r="E930">
        <v>2414</v>
      </c>
      <c r="F930">
        <v>5</v>
      </c>
      <c r="G930">
        <v>5</v>
      </c>
      <c r="H930">
        <v>1</v>
      </c>
      <c r="I930">
        <v>1</v>
      </c>
      <c r="J930">
        <v>0.73509085083985504</v>
      </c>
      <c r="K930">
        <v>0.92494248447803196</v>
      </c>
      <c r="L930">
        <v>0.81916036675574999</v>
      </c>
      <c r="M930">
        <v>0.53924050632911402</v>
      </c>
      <c r="N930">
        <v>1</v>
      </c>
      <c r="O930">
        <v>0.65037974683544297</v>
      </c>
      <c r="P930" t="s">
        <v>3580</v>
      </c>
      <c r="Q930" t="s">
        <v>3581</v>
      </c>
      <c r="R930" t="s">
        <v>157</v>
      </c>
      <c r="S930" t="s">
        <v>158</v>
      </c>
      <c r="V930" t="s">
        <v>3582</v>
      </c>
      <c r="W930" t="s">
        <v>3583</v>
      </c>
      <c r="AF930" t="s">
        <v>3585</v>
      </c>
    </row>
    <row r="931" spans="1:32" hidden="1" x14ac:dyDescent="0.35">
      <c r="A931">
        <v>11943</v>
      </c>
      <c r="B931" t="s">
        <v>24640</v>
      </c>
      <c r="C931" t="s">
        <v>10130</v>
      </c>
      <c r="D931" t="s">
        <v>58</v>
      </c>
      <c r="E931">
        <v>624</v>
      </c>
      <c r="F931">
        <v>1</v>
      </c>
      <c r="G931">
        <v>1</v>
      </c>
      <c r="H931">
        <v>1</v>
      </c>
      <c r="I931">
        <v>0</v>
      </c>
      <c r="J931">
        <v>1</v>
      </c>
      <c r="K931">
        <v>1</v>
      </c>
      <c r="L931">
        <v>1</v>
      </c>
      <c r="M931">
        <v>0</v>
      </c>
      <c r="N931">
        <v>0</v>
      </c>
      <c r="O931">
        <v>0</v>
      </c>
      <c r="P931" t="s">
        <v>24641</v>
      </c>
      <c r="Q931" t="s">
        <v>24642</v>
      </c>
      <c r="R931" t="s">
        <v>516</v>
      </c>
      <c r="S931" t="s">
        <v>517</v>
      </c>
      <c r="T931" t="s">
        <v>24643</v>
      </c>
      <c r="U931" t="s">
        <v>24644</v>
      </c>
      <c r="V931" t="s">
        <v>24645</v>
      </c>
      <c r="W931" t="s">
        <v>24646</v>
      </c>
      <c r="Z931" t="s">
        <v>22879</v>
      </c>
      <c r="AA931" t="s">
        <v>22880</v>
      </c>
      <c r="AB931" t="s">
        <v>22879</v>
      </c>
      <c r="AC931" t="s">
        <v>22881</v>
      </c>
      <c r="AD931" t="s">
        <v>796</v>
      </c>
      <c r="AE931" t="s">
        <v>24647</v>
      </c>
      <c r="AF931" t="s">
        <v>24648</v>
      </c>
    </row>
    <row r="932" spans="1:32" hidden="1" x14ac:dyDescent="0.35">
      <c r="A932">
        <v>1835</v>
      </c>
      <c r="B932" t="s">
        <v>3799</v>
      </c>
      <c r="C932" t="s">
        <v>72</v>
      </c>
      <c r="D932" t="s">
        <v>60</v>
      </c>
      <c r="E932">
        <v>777</v>
      </c>
      <c r="F932">
        <v>5</v>
      </c>
      <c r="G932">
        <v>5</v>
      </c>
      <c r="H932">
        <v>1</v>
      </c>
      <c r="I932">
        <v>1</v>
      </c>
      <c r="J932">
        <v>0.81544688764905404</v>
      </c>
      <c r="K932">
        <v>0.927157594178869</v>
      </c>
      <c r="L932">
        <v>0.86772159995856202</v>
      </c>
      <c r="M932">
        <v>0.63636363636363602</v>
      </c>
      <c r="N932">
        <v>1</v>
      </c>
      <c r="O932">
        <v>0.73848484848484897</v>
      </c>
      <c r="P932" t="s">
        <v>3800</v>
      </c>
      <c r="Q932" t="s">
        <v>3801</v>
      </c>
      <c r="R932" t="s">
        <v>157</v>
      </c>
      <c r="S932" t="s">
        <v>158</v>
      </c>
      <c r="T932" t="s">
        <v>3802</v>
      </c>
      <c r="U932" t="s">
        <v>3803</v>
      </c>
      <c r="V932" t="s">
        <v>3804</v>
      </c>
      <c r="W932" t="s">
        <v>3805</v>
      </c>
      <c r="Z932" t="s">
        <v>3806</v>
      </c>
      <c r="AA932" t="s">
        <v>3807</v>
      </c>
      <c r="AB932" t="s">
        <v>3806</v>
      </c>
      <c r="AC932" t="s">
        <v>3808</v>
      </c>
      <c r="AD932" t="s">
        <v>590</v>
      </c>
      <c r="AE932" t="s">
        <v>3809</v>
      </c>
      <c r="AF932" t="s">
        <v>3810</v>
      </c>
    </row>
    <row r="933" spans="1:32" hidden="1" x14ac:dyDescent="0.35">
      <c r="A933">
        <v>1836</v>
      </c>
      <c r="B933" t="s">
        <v>3799</v>
      </c>
      <c r="C933" t="s">
        <v>72</v>
      </c>
      <c r="D933" t="s">
        <v>62</v>
      </c>
      <c r="E933">
        <v>810</v>
      </c>
      <c r="F933">
        <v>5</v>
      </c>
      <c r="G933">
        <v>5</v>
      </c>
      <c r="H933">
        <v>1</v>
      </c>
      <c r="I933">
        <v>1</v>
      </c>
      <c r="J933">
        <v>0.81544688764905404</v>
      </c>
      <c r="K933">
        <v>0.927157594178869</v>
      </c>
      <c r="L933">
        <v>0.86772159995856202</v>
      </c>
      <c r="M933">
        <v>0.63636363636363602</v>
      </c>
      <c r="N933">
        <v>1</v>
      </c>
      <c r="O933">
        <v>0.73848484848484897</v>
      </c>
      <c r="P933" t="s">
        <v>3800</v>
      </c>
      <c r="Q933" t="s">
        <v>3801</v>
      </c>
      <c r="R933" t="s">
        <v>157</v>
      </c>
      <c r="S933" t="s">
        <v>158</v>
      </c>
      <c r="T933" t="s">
        <v>3802</v>
      </c>
      <c r="U933" t="s">
        <v>3803</v>
      </c>
      <c r="V933" t="s">
        <v>3804</v>
      </c>
      <c r="W933" t="s">
        <v>3805</v>
      </c>
      <c r="Z933" t="s">
        <v>3806</v>
      </c>
      <c r="AA933" t="s">
        <v>3807</v>
      </c>
      <c r="AB933" t="s">
        <v>3806</v>
      </c>
      <c r="AC933" t="s">
        <v>3808</v>
      </c>
      <c r="AD933" t="s">
        <v>590</v>
      </c>
      <c r="AE933" t="s">
        <v>3809</v>
      </c>
      <c r="AF933" t="s">
        <v>3810</v>
      </c>
    </row>
    <row r="934" spans="1:32" hidden="1" x14ac:dyDescent="0.35">
      <c r="A934">
        <v>1837</v>
      </c>
      <c r="B934" t="s">
        <v>3799</v>
      </c>
      <c r="C934" t="s">
        <v>72</v>
      </c>
      <c r="D934" t="s">
        <v>34</v>
      </c>
      <c r="E934">
        <v>356</v>
      </c>
      <c r="F934">
        <v>5</v>
      </c>
      <c r="G934">
        <v>5</v>
      </c>
      <c r="H934">
        <v>1</v>
      </c>
      <c r="I934">
        <v>1</v>
      </c>
      <c r="J934">
        <v>0.81544688764905404</v>
      </c>
      <c r="K934">
        <v>0.927157594178869</v>
      </c>
      <c r="L934">
        <v>0.86772159995856202</v>
      </c>
      <c r="M934">
        <v>0.63636363636363602</v>
      </c>
      <c r="N934">
        <v>1</v>
      </c>
      <c r="O934">
        <v>0.73848484848484897</v>
      </c>
      <c r="P934" t="s">
        <v>3800</v>
      </c>
      <c r="Q934" t="s">
        <v>3801</v>
      </c>
      <c r="R934" t="s">
        <v>157</v>
      </c>
      <c r="S934" t="s">
        <v>158</v>
      </c>
      <c r="T934" t="s">
        <v>3802</v>
      </c>
      <c r="U934" t="s">
        <v>3803</v>
      </c>
      <c r="V934" t="s">
        <v>3804</v>
      </c>
      <c r="W934" t="s">
        <v>3805</v>
      </c>
      <c r="Z934" t="s">
        <v>3806</v>
      </c>
      <c r="AA934" t="s">
        <v>3807</v>
      </c>
      <c r="AB934" t="s">
        <v>3806</v>
      </c>
      <c r="AC934" t="s">
        <v>3808</v>
      </c>
      <c r="AD934" t="s">
        <v>590</v>
      </c>
      <c r="AE934" t="s">
        <v>3809</v>
      </c>
      <c r="AF934" t="s">
        <v>3811</v>
      </c>
    </row>
    <row r="935" spans="1:32" hidden="1" x14ac:dyDescent="0.35">
      <c r="A935">
        <v>1838</v>
      </c>
      <c r="B935" t="s">
        <v>3799</v>
      </c>
      <c r="C935" t="s">
        <v>72</v>
      </c>
      <c r="D935" t="s">
        <v>45</v>
      </c>
      <c r="E935">
        <v>1618</v>
      </c>
      <c r="F935">
        <v>5</v>
      </c>
      <c r="G935">
        <v>5</v>
      </c>
      <c r="H935">
        <v>1</v>
      </c>
      <c r="I935">
        <v>1</v>
      </c>
      <c r="J935">
        <v>0.81544688764905404</v>
      </c>
      <c r="K935">
        <v>0.927157594178869</v>
      </c>
      <c r="L935">
        <v>0.86772159995856202</v>
      </c>
      <c r="M935">
        <v>0.63636363636363602</v>
      </c>
      <c r="N935">
        <v>1</v>
      </c>
      <c r="O935">
        <v>0.73848484848484897</v>
      </c>
      <c r="P935" t="s">
        <v>3800</v>
      </c>
      <c r="Q935" t="s">
        <v>3801</v>
      </c>
      <c r="R935" t="s">
        <v>157</v>
      </c>
      <c r="S935" t="s">
        <v>158</v>
      </c>
      <c r="T935" t="s">
        <v>3802</v>
      </c>
      <c r="U935" t="s">
        <v>3803</v>
      </c>
      <c r="V935" t="s">
        <v>3804</v>
      </c>
      <c r="W935" t="s">
        <v>3805</v>
      </c>
      <c r="Z935" t="s">
        <v>3806</v>
      </c>
      <c r="AA935" t="s">
        <v>3807</v>
      </c>
      <c r="AB935" t="s">
        <v>3806</v>
      </c>
      <c r="AC935" t="s">
        <v>3808</v>
      </c>
      <c r="AD935" t="s">
        <v>590</v>
      </c>
      <c r="AE935" t="s">
        <v>3809</v>
      </c>
      <c r="AF935" t="s">
        <v>3812</v>
      </c>
    </row>
    <row r="936" spans="1:32" hidden="1" x14ac:dyDescent="0.35">
      <c r="A936">
        <v>4024</v>
      </c>
      <c r="B936" t="s">
        <v>8307</v>
      </c>
      <c r="C936" t="s">
        <v>72</v>
      </c>
      <c r="D936" t="s">
        <v>58</v>
      </c>
      <c r="E936">
        <v>1727</v>
      </c>
      <c r="F936">
        <v>5</v>
      </c>
      <c r="G936">
        <v>5</v>
      </c>
      <c r="H936">
        <v>1</v>
      </c>
      <c r="I936">
        <v>1</v>
      </c>
      <c r="J936">
        <v>0.85630743525480402</v>
      </c>
      <c r="K936">
        <v>0.97136549759658397</v>
      </c>
      <c r="L936">
        <v>0.91021482344135696</v>
      </c>
      <c r="M936">
        <v>0.72262773722627704</v>
      </c>
      <c r="N936">
        <v>0.99756690997566899</v>
      </c>
      <c r="O936">
        <v>0.79464720194647198</v>
      </c>
      <c r="P936" t="s">
        <v>8308</v>
      </c>
      <c r="Q936" t="s">
        <v>8309</v>
      </c>
      <c r="R936" t="s">
        <v>652</v>
      </c>
      <c r="S936" t="s">
        <v>653</v>
      </c>
      <c r="T936" t="s">
        <v>8310</v>
      </c>
      <c r="U936" t="s">
        <v>8311</v>
      </c>
      <c r="V936" t="s">
        <v>8312</v>
      </c>
      <c r="W936" t="s">
        <v>8313</v>
      </c>
      <c r="Z936" t="s">
        <v>7774</v>
      </c>
      <c r="AA936" t="s">
        <v>7775</v>
      </c>
      <c r="AB936" t="s">
        <v>7774</v>
      </c>
      <c r="AC936" t="s">
        <v>7776</v>
      </c>
      <c r="AD936" t="s">
        <v>590</v>
      </c>
      <c r="AE936" t="s">
        <v>8314</v>
      </c>
      <c r="AF936" t="s">
        <v>8315</v>
      </c>
    </row>
    <row r="937" spans="1:32" hidden="1" x14ac:dyDescent="0.35">
      <c r="A937">
        <v>2010</v>
      </c>
      <c r="B937" t="s">
        <v>4166</v>
      </c>
      <c r="C937" t="s">
        <v>72</v>
      </c>
      <c r="D937" t="s">
        <v>60</v>
      </c>
      <c r="E937">
        <v>1776</v>
      </c>
      <c r="F937">
        <v>5</v>
      </c>
      <c r="G937">
        <v>5</v>
      </c>
      <c r="H937">
        <v>1</v>
      </c>
      <c r="I937">
        <v>1</v>
      </c>
      <c r="J937">
        <v>0.73875629160578005</v>
      </c>
      <c r="K937">
        <v>0.96897746579629995</v>
      </c>
      <c r="L937">
        <v>0.83834871352572304</v>
      </c>
      <c r="M937">
        <v>0.56132075471698095</v>
      </c>
      <c r="N937">
        <v>1</v>
      </c>
      <c r="O937">
        <v>0.68066037735849005</v>
      </c>
      <c r="P937" t="s">
        <v>4167</v>
      </c>
      <c r="Q937" t="s">
        <v>4168</v>
      </c>
      <c r="R937" t="s">
        <v>157</v>
      </c>
      <c r="S937" t="s">
        <v>158</v>
      </c>
      <c r="T937" t="s">
        <v>4169</v>
      </c>
      <c r="U937" t="s">
        <v>4170</v>
      </c>
      <c r="V937" t="s">
        <v>4171</v>
      </c>
      <c r="W937" t="s">
        <v>4172</v>
      </c>
      <c r="AD937" t="s">
        <v>4173</v>
      </c>
      <c r="AE937" t="s">
        <v>4174</v>
      </c>
      <c r="AF937" t="s">
        <v>4176</v>
      </c>
    </row>
    <row r="938" spans="1:32" hidden="1" x14ac:dyDescent="0.35">
      <c r="A938">
        <v>2011</v>
      </c>
      <c r="B938" t="s">
        <v>4166</v>
      </c>
      <c r="C938" t="s">
        <v>72</v>
      </c>
      <c r="D938" t="s">
        <v>62</v>
      </c>
      <c r="E938">
        <v>1812</v>
      </c>
      <c r="F938">
        <v>5</v>
      </c>
      <c r="G938">
        <v>5</v>
      </c>
      <c r="H938">
        <v>1</v>
      </c>
      <c r="I938">
        <v>1</v>
      </c>
      <c r="J938">
        <v>0.73875629160578005</v>
      </c>
      <c r="K938">
        <v>0.96897746579629995</v>
      </c>
      <c r="L938">
        <v>0.83834871352572304</v>
      </c>
      <c r="M938">
        <v>0.56132075471698095</v>
      </c>
      <c r="N938">
        <v>1</v>
      </c>
      <c r="O938">
        <v>0.68066037735849005</v>
      </c>
      <c r="P938" t="s">
        <v>4167</v>
      </c>
      <c r="Q938" t="s">
        <v>4168</v>
      </c>
      <c r="R938" t="s">
        <v>157</v>
      </c>
      <c r="S938" t="s">
        <v>158</v>
      </c>
      <c r="T938" t="s">
        <v>4169</v>
      </c>
      <c r="U938" t="s">
        <v>4170</v>
      </c>
      <c r="V938" t="s">
        <v>4171</v>
      </c>
      <c r="W938" t="s">
        <v>4172</v>
      </c>
      <c r="AD938" t="s">
        <v>4173</v>
      </c>
      <c r="AE938" t="s">
        <v>4174</v>
      </c>
      <c r="AF938" t="s">
        <v>4176</v>
      </c>
    </row>
    <row r="939" spans="1:32" hidden="1" x14ac:dyDescent="0.35">
      <c r="A939">
        <v>2012</v>
      </c>
      <c r="B939" t="s">
        <v>4166</v>
      </c>
      <c r="C939" t="s">
        <v>72</v>
      </c>
      <c r="D939" t="s">
        <v>34</v>
      </c>
      <c r="E939">
        <v>2146</v>
      </c>
      <c r="F939">
        <v>5</v>
      </c>
      <c r="G939">
        <v>5</v>
      </c>
      <c r="H939">
        <v>1</v>
      </c>
      <c r="I939">
        <v>1</v>
      </c>
      <c r="J939">
        <v>0.73875629160578005</v>
      </c>
      <c r="K939">
        <v>0.96897746579629995</v>
      </c>
      <c r="L939">
        <v>0.83834871352572304</v>
      </c>
      <c r="M939">
        <v>0.56132075471698095</v>
      </c>
      <c r="N939">
        <v>1</v>
      </c>
      <c r="O939">
        <v>0.68066037735849005</v>
      </c>
      <c r="P939" t="s">
        <v>4167</v>
      </c>
      <c r="Q939" t="s">
        <v>4168</v>
      </c>
      <c r="R939" t="s">
        <v>157</v>
      </c>
      <c r="S939" t="s">
        <v>158</v>
      </c>
      <c r="T939" t="s">
        <v>4169</v>
      </c>
      <c r="U939" t="s">
        <v>4170</v>
      </c>
      <c r="V939" t="s">
        <v>4171</v>
      </c>
      <c r="W939" t="s">
        <v>4172</v>
      </c>
      <c r="AD939" t="s">
        <v>4173</v>
      </c>
      <c r="AE939" t="s">
        <v>4174</v>
      </c>
      <c r="AF939" t="s">
        <v>4177</v>
      </c>
    </row>
    <row r="940" spans="1:32" hidden="1" x14ac:dyDescent="0.35">
      <c r="A940">
        <v>2013</v>
      </c>
      <c r="B940" t="s">
        <v>4166</v>
      </c>
      <c r="C940" t="s">
        <v>72</v>
      </c>
      <c r="D940" t="s">
        <v>45</v>
      </c>
      <c r="E940">
        <v>727</v>
      </c>
      <c r="F940">
        <v>5</v>
      </c>
      <c r="G940">
        <v>5</v>
      </c>
      <c r="H940">
        <v>1</v>
      </c>
      <c r="I940">
        <v>1</v>
      </c>
      <c r="J940">
        <v>0.73875629160578005</v>
      </c>
      <c r="K940">
        <v>0.96897746579629995</v>
      </c>
      <c r="L940">
        <v>0.83834871352572304</v>
      </c>
      <c r="M940">
        <v>0.56132075471698095</v>
      </c>
      <c r="N940">
        <v>1</v>
      </c>
      <c r="O940">
        <v>0.68066037735849005</v>
      </c>
      <c r="P940" t="s">
        <v>4167</v>
      </c>
      <c r="Q940" t="s">
        <v>4168</v>
      </c>
      <c r="R940" t="s">
        <v>157</v>
      </c>
      <c r="S940" t="s">
        <v>158</v>
      </c>
      <c r="T940" t="s">
        <v>4169</v>
      </c>
      <c r="U940" t="s">
        <v>4170</v>
      </c>
      <c r="V940" t="s">
        <v>4171</v>
      </c>
      <c r="W940" t="s">
        <v>4172</v>
      </c>
      <c r="AD940" t="s">
        <v>4173</v>
      </c>
      <c r="AE940" t="s">
        <v>4174</v>
      </c>
      <c r="AF940" t="s">
        <v>4178</v>
      </c>
    </row>
    <row r="941" spans="1:32" hidden="1" x14ac:dyDescent="0.35">
      <c r="A941">
        <v>11914</v>
      </c>
      <c r="B941" t="s">
        <v>24557</v>
      </c>
      <c r="C941" t="s">
        <v>10130</v>
      </c>
      <c r="D941" t="s">
        <v>58</v>
      </c>
      <c r="E941">
        <v>1630</v>
      </c>
      <c r="F941">
        <v>1</v>
      </c>
      <c r="G941">
        <v>1</v>
      </c>
      <c r="H941">
        <v>1</v>
      </c>
      <c r="I941">
        <v>0</v>
      </c>
      <c r="J941">
        <v>1</v>
      </c>
      <c r="K941">
        <v>1</v>
      </c>
      <c r="L941">
        <v>1</v>
      </c>
      <c r="M941">
        <v>0</v>
      </c>
      <c r="N941">
        <v>0</v>
      </c>
      <c r="O941">
        <v>0</v>
      </c>
      <c r="P941" t="s">
        <v>24558</v>
      </c>
      <c r="Q941" t="s">
        <v>24559</v>
      </c>
      <c r="R941" t="s">
        <v>516</v>
      </c>
      <c r="S941" t="s">
        <v>517</v>
      </c>
      <c r="T941" t="s">
        <v>24560</v>
      </c>
      <c r="U941" t="s">
        <v>24561</v>
      </c>
      <c r="V941" t="s">
        <v>24562</v>
      </c>
      <c r="W941" t="s">
        <v>24563</v>
      </c>
      <c r="AD941" t="s">
        <v>410</v>
      </c>
      <c r="AE941" t="s">
        <v>3308</v>
      </c>
      <c r="AF941" t="s">
        <v>24564</v>
      </c>
    </row>
    <row r="942" spans="1:32" hidden="1" x14ac:dyDescent="0.35">
      <c r="A942">
        <v>2250</v>
      </c>
      <c r="B942" t="s">
        <v>4682</v>
      </c>
      <c r="C942" t="s">
        <v>72</v>
      </c>
      <c r="D942" t="s">
        <v>60</v>
      </c>
      <c r="E942">
        <v>2140</v>
      </c>
      <c r="F942">
        <v>5</v>
      </c>
      <c r="G942">
        <v>5</v>
      </c>
      <c r="H942">
        <v>1</v>
      </c>
      <c r="I942">
        <v>1</v>
      </c>
      <c r="J942">
        <v>0.869236947791165</v>
      </c>
      <c r="K942">
        <v>0.96995447481888597</v>
      </c>
      <c r="L942">
        <v>0.91683797219046803</v>
      </c>
      <c r="M942">
        <v>0.75233644859813098</v>
      </c>
      <c r="N942">
        <v>1</v>
      </c>
      <c r="O942">
        <v>0.81775700934579398</v>
      </c>
      <c r="P942" t="s">
        <v>4683</v>
      </c>
      <c r="Q942" t="s">
        <v>4684</v>
      </c>
      <c r="R942" t="s">
        <v>157</v>
      </c>
      <c r="S942" t="s">
        <v>158</v>
      </c>
      <c r="T942" t="s">
        <v>4685</v>
      </c>
      <c r="U942" t="s">
        <v>4686</v>
      </c>
      <c r="V942" t="s">
        <v>4687</v>
      </c>
      <c r="W942" t="s">
        <v>4688</v>
      </c>
      <c r="X942" t="s">
        <v>4687</v>
      </c>
      <c r="Y942" t="s">
        <v>1357</v>
      </c>
      <c r="AD942" t="s">
        <v>2264</v>
      </c>
      <c r="AE942" t="s">
        <v>4689</v>
      </c>
      <c r="AF942" t="s">
        <v>4691</v>
      </c>
    </row>
    <row r="943" spans="1:32" hidden="1" x14ac:dyDescent="0.35">
      <c r="A943">
        <v>2251</v>
      </c>
      <c r="B943" t="s">
        <v>4682</v>
      </c>
      <c r="C943" t="s">
        <v>72</v>
      </c>
      <c r="D943" t="s">
        <v>62</v>
      </c>
      <c r="E943">
        <v>2174</v>
      </c>
      <c r="F943">
        <v>5</v>
      </c>
      <c r="G943">
        <v>5</v>
      </c>
      <c r="H943">
        <v>1</v>
      </c>
      <c r="I943">
        <v>1</v>
      </c>
      <c r="J943">
        <v>0.869236947791165</v>
      </c>
      <c r="K943">
        <v>0.96995447481888597</v>
      </c>
      <c r="L943">
        <v>0.91683797219046803</v>
      </c>
      <c r="M943">
        <v>0.75233644859813098</v>
      </c>
      <c r="N943">
        <v>1</v>
      </c>
      <c r="O943">
        <v>0.81775700934579398</v>
      </c>
      <c r="P943" t="s">
        <v>4683</v>
      </c>
      <c r="Q943" t="s">
        <v>4684</v>
      </c>
      <c r="R943" t="s">
        <v>157</v>
      </c>
      <c r="S943" t="s">
        <v>158</v>
      </c>
      <c r="T943" t="s">
        <v>4685</v>
      </c>
      <c r="U943" t="s">
        <v>4686</v>
      </c>
      <c r="V943" t="s">
        <v>4687</v>
      </c>
      <c r="W943" t="s">
        <v>4688</v>
      </c>
      <c r="X943" t="s">
        <v>4687</v>
      </c>
      <c r="Y943" t="s">
        <v>1357</v>
      </c>
      <c r="AD943" t="s">
        <v>2264</v>
      </c>
      <c r="AE943" t="s">
        <v>4689</v>
      </c>
      <c r="AF943" t="s">
        <v>4691</v>
      </c>
    </row>
    <row r="944" spans="1:32" hidden="1" x14ac:dyDescent="0.35">
      <c r="A944">
        <v>2252</v>
      </c>
      <c r="B944" t="s">
        <v>4682</v>
      </c>
      <c r="C944" t="s">
        <v>72</v>
      </c>
      <c r="D944" t="s">
        <v>34</v>
      </c>
      <c r="E944">
        <v>1643</v>
      </c>
      <c r="F944">
        <v>5</v>
      </c>
      <c r="G944">
        <v>5</v>
      </c>
      <c r="H944">
        <v>1</v>
      </c>
      <c r="I944">
        <v>1</v>
      </c>
      <c r="J944">
        <v>0.869236947791165</v>
      </c>
      <c r="K944">
        <v>0.96995447481888597</v>
      </c>
      <c r="L944">
        <v>0.91683797219046803</v>
      </c>
      <c r="M944">
        <v>0.75233644859813098</v>
      </c>
      <c r="N944">
        <v>1</v>
      </c>
      <c r="O944">
        <v>0.81775700934579398</v>
      </c>
      <c r="P944" t="s">
        <v>4683</v>
      </c>
      <c r="Q944" t="s">
        <v>4684</v>
      </c>
      <c r="R944" t="s">
        <v>157</v>
      </c>
      <c r="S944" t="s">
        <v>158</v>
      </c>
      <c r="T944" t="s">
        <v>4685</v>
      </c>
      <c r="U944" t="s">
        <v>4686</v>
      </c>
      <c r="V944" t="s">
        <v>4687</v>
      </c>
      <c r="W944" t="s">
        <v>4688</v>
      </c>
      <c r="X944" t="s">
        <v>4687</v>
      </c>
      <c r="Y944" t="s">
        <v>1357</v>
      </c>
      <c r="AD944" t="s">
        <v>2264</v>
      </c>
      <c r="AE944" t="s">
        <v>4689</v>
      </c>
      <c r="AF944" t="s">
        <v>4692</v>
      </c>
    </row>
    <row r="945" spans="1:32" hidden="1" x14ac:dyDescent="0.35">
      <c r="A945">
        <v>2253</v>
      </c>
      <c r="B945" t="s">
        <v>4682</v>
      </c>
      <c r="C945" t="s">
        <v>72</v>
      </c>
      <c r="D945" t="s">
        <v>45</v>
      </c>
      <c r="E945">
        <v>390</v>
      </c>
      <c r="F945">
        <v>5</v>
      </c>
      <c r="G945">
        <v>5</v>
      </c>
      <c r="H945">
        <v>1</v>
      </c>
      <c r="I945">
        <v>1</v>
      </c>
      <c r="J945">
        <v>0.869236947791165</v>
      </c>
      <c r="K945">
        <v>0.96995447481888597</v>
      </c>
      <c r="L945">
        <v>0.91683797219046803</v>
      </c>
      <c r="M945">
        <v>0.75233644859813098</v>
      </c>
      <c r="N945">
        <v>1</v>
      </c>
      <c r="O945">
        <v>0.81775700934579398</v>
      </c>
      <c r="P945" t="s">
        <v>4683</v>
      </c>
      <c r="Q945" t="s">
        <v>4684</v>
      </c>
      <c r="R945" t="s">
        <v>157</v>
      </c>
      <c r="S945" t="s">
        <v>158</v>
      </c>
      <c r="T945" t="s">
        <v>4685</v>
      </c>
      <c r="U945" t="s">
        <v>4686</v>
      </c>
      <c r="V945" t="s">
        <v>4687</v>
      </c>
      <c r="W945" t="s">
        <v>4688</v>
      </c>
      <c r="X945" t="s">
        <v>4687</v>
      </c>
      <c r="Y945" t="s">
        <v>1357</v>
      </c>
      <c r="AD945" t="s">
        <v>2264</v>
      </c>
      <c r="AE945" t="s">
        <v>4689</v>
      </c>
      <c r="AF945" t="s">
        <v>4692</v>
      </c>
    </row>
    <row r="946" spans="1:32" hidden="1" x14ac:dyDescent="0.35">
      <c r="A946">
        <v>3099</v>
      </c>
      <c r="B946" t="s">
        <v>6388</v>
      </c>
      <c r="C946" t="s">
        <v>72</v>
      </c>
      <c r="D946" t="s">
        <v>58</v>
      </c>
      <c r="E946">
        <v>785</v>
      </c>
      <c r="F946">
        <v>5</v>
      </c>
      <c r="G946">
        <v>5</v>
      </c>
      <c r="H946">
        <v>1</v>
      </c>
      <c r="I946">
        <v>1</v>
      </c>
      <c r="J946">
        <v>0.80806327160493796</v>
      </c>
      <c r="K946">
        <v>0.971192788675173</v>
      </c>
      <c r="L946">
        <v>0.88214983744659403</v>
      </c>
      <c r="M946">
        <v>0.62921348314606695</v>
      </c>
      <c r="N946">
        <v>1</v>
      </c>
      <c r="O946">
        <v>0.74887640449438198</v>
      </c>
      <c r="P946" t="s">
        <v>6389</v>
      </c>
      <c r="Q946" t="s">
        <v>6390</v>
      </c>
      <c r="R946" t="s">
        <v>235</v>
      </c>
      <c r="S946" t="s">
        <v>236</v>
      </c>
      <c r="T946" t="s">
        <v>6391</v>
      </c>
      <c r="U946" t="s">
        <v>6392</v>
      </c>
      <c r="V946" t="s">
        <v>6393</v>
      </c>
      <c r="W946" t="s">
        <v>6394</v>
      </c>
      <c r="X946" t="s">
        <v>6393</v>
      </c>
      <c r="Y946" t="s">
        <v>1108</v>
      </c>
      <c r="Z946" t="s">
        <v>1109</v>
      </c>
      <c r="AA946" t="s">
        <v>1110</v>
      </c>
      <c r="AB946" t="s">
        <v>1109</v>
      </c>
      <c r="AC946" t="s">
        <v>1111</v>
      </c>
      <c r="AD946" t="s">
        <v>1140</v>
      </c>
      <c r="AE946" t="s">
        <v>6395</v>
      </c>
      <c r="AF946" t="s">
        <v>6396</v>
      </c>
    </row>
    <row r="947" spans="1:32" hidden="1" x14ac:dyDescent="0.35">
      <c r="A947">
        <v>2335</v>
      </c>
      <c r="B947" t="s">
        <v>4853</v>
      </c>
      <c r="C947" t="s">
        <v>72</v>
      </c>
      <c r="D947" t="s">
        <v>60</v>
      </c>
      <c r="E947">
        <v>2551</v>
      </c>
      <c r="F947">
        <v>5</v>
      </c>
      <c r="G947">
        <v>5</v>
      </c>
      <c r="H947">
        <v>1</v>
      </c>
      <c r="I947">
        <v>1</v>
      </c>
      <c r="J947">
        <v>0.83401275216891402</v>
      </c>
      <c r="K947">
        <v>0.99656250000000102</v>
      </c>
      <c r="L947">
        <v>0.90807065412751498</v>
      </c>
      <c r="M947">
        <v>0.67500000000000004</v>
      </c>
      <c r="N947">
        <v>1</v>
      </c>
      <c r="O947">
        <v>0.770625</v>
      </c>
      <c r="P947" t="s">
        <v>4854</v>
      </c>
      <c r="Q947" t="s">
        <v>4855</v>
      </c>
      <c r="R947" t="s">
        <v>157</v>
      </c>
      <c r="S947" t="s">
        <v>158</v>
      </c>
      <c r="T947" t="s">
        <v>4856</v>
      </c>
      <c r="U947" t="s">
        <v>4857</v>
      </c>
      <c r="V947" t="s">
        <v>4858</v>
      </c>
      <c r="W947" t="s">
        <v>4859</v>
      </c>
      <c r="AD947" t="s">
        <v>4860</v>
      </c>
      <c r="AE947" t="s">
        <v>4861</v>
      </c>
      <c r="AF947" t="s">
        <v>4863</v>
      </c>
    </row>
    <row r="948" spans="1:32" hidden="1" x14ac:dyDescent="0.35">
      <c r="A948">
        <v>2336</v>
      </c>
      <c r="B948" t="s">
        <v>4853</v>
      </c>
      <c r="C948" t="s">
        <v>72</v>
      </c>
      <c r="D948" t="s">
        <v>62</v>
      </c>
      <c r="E948">
        <v>76</v>
      </c>
      <c r="F948">
        <v>5</v>
      </c>
      <c r="G948">
        <v>5</v>
      </c>
      <c r="H948">
        <v>1</v>
      </c>
      <c r="I948">
        <v>1</v>
      </c>
      <c r="J948">
        <v>0.83401275216891402</v>
      </c>
      <c r="K948">
        <v>0.99656250000000102</v>
      </c>
      <c r="L948">
        <v>0.90807065412751498</v>
      </c>
      <c r="M948">
        <v>0.67500000000000004</v>
      </c>
      <c r="N948">
        <v>1</v>
      </c>
      <c r="O948">
        <v>0.770625</v>
      </c>
      <c r="P948" t="s">
        <v>4854</v>
      </c>
      <c r="Q948" t="s">
        <v>4855</v>
      </c>
      <c r="R948" t="s">
        <v>157</v>
      </c>
      <c r="S948" t="s">
        <v>158</v>
      </c>
      <c r="T948" t="s">
        <v>4856</v>
      </c>
      <c r="U948" t="s">
        <v>4857</v>
      </c>
      <c r="V948" t="s">
        <v>4858</v>
      </c>
      <c r="W948" t="s">
        <v>4859</v>
      </c>
      <c r="AD948" t="s">
        <v>4860</v>
      </c>
      <c r="AE948" t="s">
        <v>4861</v>
      </c>
      <c r="AF948" t="s">
        <v>4864</v>
      </c>
    </row>
    <row r="949" spans="1:32" hidden="1" x14ac:dyDescent="0.35">
      <c r="A949">
        <v>2337</v>
      </c>
      <c r="B949" t="s">
        <v>4853</v>
      </c>
      <c r="C949" t="s">
        <v>72</v>
      </c>
      <c r="D949" t="s">
        <v>34</v>
      </c>
      <c r="E949">
        <v>1093</v>
      </c>
      <c r="F949">
        <v>5</v>
      </c>
      <c r="G949">
        <v>5</v>
      </c>
      <c r="H949">
        <v>1</v>
      </c>
      <c r="I949">
        <v>1</v>
      </c>
      <c r="J949">
        <v>0.83401275216891402</v>
      </c>
      <c r="K949">
        <v>0.99656250000000102</v>
      </c>
      <c r="L949">
        <v>0.90807065412751498</v>
      </c>
      <c r="M949">
        <v>0.67500000000000004</v>
      </c>
      <c r="N949">
        <v>1</v>
      </c>
      <c r="O949">
        <v>0.770625</v>
      </c>
      <c r="P949" t="s">
        <v>4854</v>
      </c>
      <c r="Q949" t="s">
        <v>4855</v>
      </c>
      <c r="R949" t="s">
        <v>157</v>
      </c>
      <c r="S949" t="s">
        <v>158</v>
      </c>
      <c r="T949" t="s">
        <v>4856</v>
      </c>
      <c r="U949" t="s">
        <v>4857</v>
      </c>
      <c r="V949" t="s">
        <v>4858</v>
      </c>
      <c r="W949" t="s">
        <v>4859</v>
      </c>
      <c r="AD949" t="s">
        <v>4860</v>
      </c>
      <c r="AE949" t="s">
        <v>4861</v>
      </c>
      <c r="AF949" t="s">
        <v>4865</v>
      </c>
    </row>
    <row r="950" spans="1:32" hidden="1" x14ac:dyDescent="0.35">
      <c r="A950">
        <v>2338</v>
      </c>
      <c r="B950" t="s">
        <v>4853</v>
      </c>
      <c r="C950" t="s">
        <v>72</v>
      </c>
      <c r="D950" t="s">
        <v>45</v>
      </c>
      <c r="E950">
        <v>2347</v>
      </c>
      <c r="F950">
        <v>5</v>
      </c>
      <c r="G950">
        <v>5</v>
      </c>
      <c r="H950">
        <v>1</v>
      </c>
      <c r="I950">
        <v>1</v>
      </c>
      <c r="J950">
        <v>0.83401275216891402</v>
      </c>
      <c r="K950">
        <v>0.99656250000000102</v>
      </c>
      <c r="L950">
        <v>0.90807065412751498</v>
      </c>
      <c r="M950">
        <v>0.67500000000000004</v>
      </c>
      <c r="N950">
        <v>1</v>
      </c>
      <c r="O950">
        <v>0.770625</v>
      </c>
      <c r="P950" t="s">
        <v>4854</v>
      </c>
      <c r="Q950" t="s">
        <v>4855</v>
      </c>
      <c r="R950" t="s">
        <v>157</v>
      </c>
      <c r="S950" t="s">
        <v>158</v>
      </c>
      <c r="T950" t="s">
        <v>4856</v>
      </c>
      <c r="U950" t="s">
        <v>4857</v>
      </c>
      <c r="V950" t="s">
        <v>4858</v>
      </c>
      <c r="W950" t="s">
        <v>4859</v>
      </c>
      <c r="AD950" t="s">
        <v>4860</v>
      </c>
      <c r="AE950" t="s">
        <v>4861</v>
      </c>
      <c r="AF950" t="s">
        <v>4865</v>
      </c>
    </row>
    <row r="951" spans="1:32" hidden="1" x14ac:dyDescent="0.35">
      <c r="A951">
        <v>11682</v>
      </c>
      <c r="B951" t="s">
        <v>23962</v>
      </c>
      <c r="C951" t="s">
        <v>33</v>
      </c>
      <c r="D951" t="s">
        <v>58</v>
      </c>
      <c r="E951">
        <v>51</v>
      </c>
      <c r="F951">
        <v>1</v>
      </c>
      <c r="G951">
        <v>1</v>
      </c>
      <c r="H951">
        <v>1</v>
      </c>
      <c r="I951">
        <v>0</v>
      </c>
      <c r="J951">
        <v>1</v>
      </c>
      <c r="K951">
        <v>1</v>
      </c>
      <c r="L951">
        <v>1</v>
      </c>
      <c r="M951">
        <v>0</v>
      </c>
      <c r="N951">
        <v>0</v>
      </c>
      <c r="O951">
        <v>0</v>
      </c>
      <c r="P951" t="s">
        <v>14100</v>
      </c>
      <c r="Q951" t="s">
        <v>4552</v>
      </c>
      <c r="R951" t="s">
        <v>75</v>
      </c>
      <c r="S951" t="s">
        <v>76</v>
      </c>
      <c r="V951" t="s">
        <v>677</v>
      </c>
      <c r="W951" t="s">
        <v>678</v>
      </c>
      <c r="AF951" t="s">
        <v>23963</v>
      </c>
    </row>
    <row r="952" spans="1:32" hidden="1" x14ac:dyDescent="0.35">
      <c r="A952">
        <v>2345</v>
      </c>
      <c r="B952" t="s">
        <v>4877</v>
      </c>
      <c r="C952" t="s">
        <v>72</v>
      </c>
      <c r="D952" t="s">
        <v>60</v>
      </c>
      <c r="E952">
        <v>2463</v>
      </c>
      <c r="F952">
        <v>5</v>
      </c>
      <c r="G952">
        <v>5</v>
      </c>
      <c r="H952">
        <v>1</v>
      </c>
      <c r="I952">
        <v>1</v>
      </c>
      <c r="J952">
        <v>0.76370170709793395</v>
      </c>
      <c r="K952">
        <v>0.94007220216606302</v>
      </c>
      <c r="L952">
        <v>0.84275823415992102</v>
      </c>
      <c r="M952">
        <v>0.55595667870036103</v>
      </c>
      <c r="N952">
        <v>1</v>
      </c>
      <c r="O952">
        <v>0.66678700361010801</v>
      </c>
      <c r="P952" t="s">
        <v>4878</v>
      </c>
      <c r="Q952" t="s">
        <v>4879</v>
      </c>
      <c r="R952" t="s">
        <v>157</v>
      </c>
      <c r="S952" t="s">
        <v>158</v>
      </c>
      <c r="T952" t="s">
        <v>4880</v>
      </c>
      <c r="U952" t="s">
        <v>4881</v>
      </c>
      <c r="V952" t="s">
        <v>4882</v>
      </c>
      <c r="W952" t="s">
        <v>4883</v>
      </c>
      <c r="AD952" t="s">
        <v>4884</v>
      </c>
      <c r="AE952" t="s">
        <v>4885</v>
      </c>
      <c r="AF952" t="e">
        <f>-----------MSRADTDSRRRVGITQILGELLVTIGVLALLFAFYEAYWTNLEAGREQSRVSDQLQKGWDSERVNPRQKHTPALGEAFARMYIPAFGSDFQFAIVEGTGDKDLLAGPGHYAESQMPGQPGNFAVAGHRVGKGAPFNDLGNLKTCDAVVVETQATWEIYRVLPIDASQATRHAEAAKCLSPEQVERVSTGEYAGVDGRVITLPGDVGVINPVPGMA-GAAAPTMESLMTMTTCHPQFSNAERMIVHAMHVRTDPKADGFRPAELEEK</f>
        <v>#NAME?</v>
      </c>
    </row>
    <row r="953" spans="1:32" hidden="1" x14ac:dyDescent="0.35">
      <c r="A953">
        <v>2346</v>
      </c>
      <c r="B953" t="s">
        <v>4877</v>
      </c>
      <c r="C953" t="s">
        <v>72</v>
      </c>
      <c r="D953" t="s">
        <v>62</v>
      </c>
      <c r="E953">
        <v>2489</v>
      </c>
      <c r="F953">
        <v>5</v>
      </c>
      <c r="G953">
        <v>5</v>
      </c>
      <c r="H953">
        <v>1</v>
      </c>
      <c r="I953">
        <v>1</v>
      </c>
      <c r="J953">
        <v>0.76370170709793395</v>
      </c>
      <c r="K953">
        <v>0.94007220216606302</v>
      </c>
      <c r="L953">
        <v>0.84275823415992102</v>
      </c>
      <c r="M953">
        <v>0.55595667870036103</v>
      </c>
      <c r="N953">
        <v>1</v>
      </c>
      <c r="O953">
        <v>0.66678700361010801</v>
      </c>
      <c r="P953" t="s">
        <v>4878</v>
      </c>
      <c r="Q953" t="s">
        <v>4879</v>
      </c>
      <c r="R953" t="s">
        <v>157</v>
      </c>
      <c r="S953" t="s">
        <v>158</v>
      </c>
      <c r="T953" t="s">
        <v>4880</v>
      </c>
      <c r="U953" t="s">
        <v>4881</v>
      </c>
      <c r="V953" t="s">
        <v>4882</v>
      </c>
      <c r="W953" t="s">
        <v>4883</v>
      </c>
      <c r="AD953" t="s">
        <v>4884</v>
      </c>
      <c r="AE953" t="s">
        <v>4885</v>
      </c>
      <c r="AF953" t="e">
        <f>-----------MSRADTDSRRRVGITQILGELLVTIGVLALLFAFYEAYWTNLEAGREQSRVSDQLQKGWDSERVNPRQKHTPALGEAFARMYIPAFGSDFQFAIVEGTGDKDLLAGPGHYAESQMPGQPGNFAVAGHRVGKGAPFNDLGNLKTCDAVVVETQATWEIYRVLPIDASQATRHAEAAKCLSPEQVERVSTGEYAGVDGRVITLPGDVGVINPVPGMA-GAAAPTMESLMTMTTCHPQFSNAERMIVHAMHVRTDPKADGFRPAELEEK</f>
        <v>#NAME?</v>
      </c>
    </row>
    <row r="954" spans="1:32" hidden="1" x14ac:dyDescent="0.35">
      <c r="A954">
        <v>2347</v>
      </c>
      <c r="B954" t="s">
        <v>4877</v>
      </c>
      <c r="C954" t="s">
        <v>72</v>
      </c>
      <c r="D954" t="s">
        <v>34</v>
      </c>
      <c r="E954">
        <v>1209</v>
      </c>
      <c r="F954">
        <v>5</v>
      </c>
      <c r="G954">
        <v>5</v>
      </c>
      <c r="H954">
        <v>1</v>
      </c>
      <c r="I954">
        <v>1</v>
      </c>
      <c r="J954">
        <v>0.76370170709793395</v>
      </c>
      <c r="K954">
        <v>0.94007220216606302</v>
      </c>
      <c r="L954">
        <v>0.84275823415992102</v>
      </c>
      <c r="M954">
        <v>0.55595667870036103</v>
      </c>
      <c r="N954">
        <v>1</v>
      </c>
      <c r="O954">
        <v>0.66678700361010801</v>
      </c>
      <c r="P954" t="s">
        <v>4878</v>
      </c>
      <c r="Q954" t="s">
        <v>4879</v>
      </c>
      <c r="R954" t="s">
        <v>157</v>
      </c>
      <c r="S954" t="s">
        <v>158</v>
      </c>
      <c r="T954" t="s">
        <v>4880</v>
      </c>
      <c r="U954" t="s">
        <v>4881</v>
      </c>
      <c r="V954" t="s">
        <v>4882</v>
      </c>
      <c r="W954" t="s">
        <v>4883</v>
      </c>
      <c r="AD954" t="s">
        <v>4884</v>
      </c>
      <c r="AE954" t="s">
        <v>4885</v>
      </c>
      <c r="AF954" t="s">
        <v>4886</v>
      </c>
    </row>
    <row r="955" spans="1:32" hidden="1" x14ac:dyDescent="0.35">
      <c r="A955">
        <v>2348</v>
      </c>
      <c r="B955" t="s">
        <v>4877</v>
      </c>
      <c r="C955" t="s">
        <v>72</v>
      </c>
      <c r="D955" t="s">
        <v>45</v>
      </c>
      <c r="E955">
        <v>2452</v>
      </c>
      <c r="F955">
        <v>5</v>
      </c>
      <c r="G955">
        <v>5</v>
      </c>
      <c r="H955">
        <v>1</v>
      </c>
      <c r="I955">
        <v>1</v>
      </c>
      <c r="J955">
        <v>0.76370170709793395</v>
      </c>
      <c r="K955">
        <v>0.94007220216606302</v>
      </c>
      <c r="L955">
        <v>0.84275823415992102</v>
      </c>
      <c r="M955">
        <v>0.55595667870036103</v>
      </c>
      <c r="N955">
        <v>1</v>
      </c>
      <c r="O955">
        <v>0.66678700361010801</v>
      </c>
      <c r="P955" t="s">
        <v>4878</v>
      </c>
      <c r="Q955" t="s">
        <v>4879</v>
      </c>
      <c r="R955" t="s">
        <v>157</v>
      </c>
      <c r="S955" t="s">
        <v>158</v>
      </c>
      <c r="T955" t="s">
        <v>4880</v>
      </c>
      <c r="U955" t="s">
        <v>4881</v>
      </c>
      <c r="V955" t="s">
        <v>4882</v>
      </c>
      <c r="W955" t="s">
        <v>4883</v>
      </c>
      <c r="AD955" t="s">
        <v>4884</v>
      </c>
      <c r="AE955" t="s">
        <v>4885</v>
      </c>
      <c r="AF955" t="s">
        <v>4887</v>
      </c>
    </row>
    <row r="956" spans="1:32" hidden="1" x14ac:dyDescent="0.35">
      <c r="A956">
        <v>4489</v>
      </c>
      <c r="B956" t="s">
        <v>9346</v>
      </c>
      <c r="C956" t="s">
        <v>72</v>
      </c>
      <c r="D956" t="s">
        <v>58</v>
      </c>
      <c r="E956">
        <v>1509</v>
      </c>
      <c r="F956">
        <v>5</v>
      </c>
      <c r="G956">
        <v>5</v>
      </c>
      <c r="H956">
        <v>1</v>
      </c>
      <c r="I956">
        <v>1</v>
      </c>
      <c r="J956">
        <v>0.93749297358066297</v>
      </c>
      <c r="K956">
        <v>1</v>
      </c>
      <c r="L956">
        <v>0.96773819194615296</v>
      </c>
      <c r="M956">
        <v>0.883642495784148</v>
      </c>
      <c r="N956">
        <v>0.99831365935919103</v>
      </c>
      <c r="O956">
        <v>0.91635750421585205</v>
      </c>
      <c r="P956" t="s">
        <v>9278</v>
      </c>
      <c r="Q956" t="s">
        <v>9279</v>
      </c>
      <c r="R956" t="s">
        <v>75</v>
      </c>
      <c r="S956" t="s">
        <v>76</v>
      </c>
      <c r="T956" t="s">
        <v>9347</v>
      </c>
      <c r="U956" t="s">
        <v>9348</v>
      </c>
      <c r="V956" t="s">
        <v>9349</v>
      </c>
      <c r="W956" t="s">
        <v>9350</v>
      </c>
      <c r="Z956" t="s">
        <v>9351</v>
      </c>
      <c r="AA956" t="s">
        <v>9352</v>
      </c>
      <c r="AB956" t="s">
        <v>9351</v>
      </c>
      <c r="AC956" t="s">
        <v>9353</v>
      </c>
      <c r="AD956" t="s">
        <v>9354</v>
      </c>
      <c r="AE956" t="s">
        <v>9355</v>
      </c>
      <c r="AF956" t="s">
        <v>9356</v>
      </c>
    </row>
    <row r="957" spans="1:32" hidden="1" x14ac:dyDescent="0.35">
      <c r="A957">
        <v>2530</v>
      </c>
      <c r="B957" t="s">
        <v>5231</v>
      </c>
      <c r="C957" t="s">
        <v>72</v>
      </c>
      <c r="D957" t="s">
        <v>60</v>
      </c>
      <c r="E957">
        <v>1073</v>
      </c>
      <c r="F957">
        <v>5</v>
      </c>
      <c r="G957">
        <v>5</v>
      </c>
      <c r="H957">
        <v>1</v>
      </c>
      <c r="I957">
        <v>1</v>
      </c>
      <c r="J957">
        <v>0.86186331399097404</v>
      </c>
      <c r="K957">
        <v>0.98485880838821505</v>
      </c>
      <c r="L957">
        <v>0.91926518464739704</v>
      </c>
      <c r="M957">
        <v>0.607936507936508</v>
      </c>
      <c r="N957">
        <v>1</v>
      </c>
      <c r="O957">
        <v>0.80714285714285705</v>
      </c>
      <c r="P957" t="s">
        <v>5232</v>
      </c>
      <c r="Q957" t="s">
        <v>5233</v>
      </c>
      <c r="R957" t="s">
        <v>157</v>
      </c>
      <c r="S957" t="s">
        <v>158</v>
      </c>
      <c r="T957" t="s">
        <v>5234</v>
      </c>
      <c r="U957" t="s">
        <v>5235</v>
      </c>
      <c r="V957" t="s">
        <v>5236</v>
      </c>
      <c r="W957" t="s">
        <v>5237</v>
      </c>
      <c r="Z957" t="s">
        <v>5238</v>
      </c>
      <c r="AA957" t="s">
        <v>5239</v>
      </c>
      <c r="AB957" t="s">
        <v>5238</v>
      </c>
      <c r="AC957" t="s">
        <v>1065</v>
      </c>
      <c r="AD957" t="s">
        <v>3948</v>
      </c>
      <c r="AE957" t="s">
        <v>5240</v>
      </c>
      <c r="AF957" t="s">
        <v>5242</v>
      </c>
    </row>
    <row r="958" spans="1:32" hidden="1" x14ac:dyDescent="0.35">
      <c r="A958">
        <v>2531</v>
      </c>
      <c r="B958" t="s">
        <v>5231</v>
      </c>
      <c r="C958" t="s">
        <v>72</v>
      </c>
      <c r="D958" t="s">
        <v>62</v>
      </c>
      <c r="E958">
        <v>1109</v>
      </c>
      <c r="F958">
        <v>5</v>
      </c>
      <c r="G958">
        <v>5</v>
      </c>
      <c r="H958">
        <v>1</v>
      </c>
      <c r="I958">
        <v>1</v>
      </c>
      <c r="J958">
        <v>0.86186331399097404</v>
      </c>
      <c r="K958">
        <v>0.98485880838821505</v>
      </c>
      <c r="L958">
        <v>0.91926518464739704</v>
      </c>
      <c r="M958">
        <v>0.607936507936508</v>
      </c>
      <c r="N958">
        <v>1</v>
      </c>
      <c r="O958">
        <v>0.80714285714285705</v>
      </c>
      <c r="P958" t="s">
        <v>5232</v>
      </c>
      <c r="Q958" t="s">
        <v>5233</v>
      </c>
      <c r="R958" t="s">
        <v>157</v>
      </c>
      <c r="S958" t="s">
        <v>158</v>
      </c>
      <c r="T958" t="s">
        <v>5234</v>
      </c>
      <c r="U958" t="s">
        <v>5235</v>
      </c>
      <c r="V958" t="s">
        <v>5236</v>
      </c>
      <c r="W958" t="s">
        <v>5237</v>
      </c>
      <c r="Z958" t="s">
        <v>5238</v>
      </c>
      <c r="AA958" t="s">
        <v>5239</v>
      </c>
      <c r="AB958" t="s">
        <v>5238</v>
      </c>
      <c r="AC958" t="s">
        <v>1065</v>
      </c>
      <c r="AD958" t="s">
        <v>3948</v>
      </c>
      <c r="AE958" t="s">
        <v>5240</v>
      </c>
      <c r="AF958" t="s">
        <v>5242</v>
      </c>
    </row>
    <row r="959" spans="1:32" hidden="1" x14ac:dyDescent="0.35">
      <c r="A959">
        <v>2532</v>
      </c>
      <c r="B959" t="s">
        <v>5231</v>
      </c>
      <c r="C959" t="s">
        <v>72</v>
      </c>
      <c r="D959" t="s">
        <v>34</v>
      </c>
      <c r="E959">
        <v>2443</v>
      </c>
      <c r="F959">
        <v>5</v>
      </c>
      <c r="G959">
        <v>5</v>
      </c>
      <c r="H959">
        <v>1</v>
      </c>
      <c r="I959">
        <v>1</v>
      </c>
      <c r="J959">
        <v>0.86186331399097404</v>
      </c>
      <c r="K959">
        <v>0.98485880838821505</v>
      </c>
      <c r="L959">
        <v>0.91926518464739704</v>
      </c>
      <c r="M959">
        <v>0.607936507936508</v>
      </c>
      <c r="N959">
        <v>1</v>
      </c>
      <c r="O959">
        <v>0.80714285714285705</v>
      </c>
      <c r="P959" t="s">
        <v>5232</v>
      </c>
      <c r="Q959" t="s">
        <v>5233</v>
      </c>
      <c r="R959" t="s">
        <v>157</v>
      </c>
      <c r="S959" t="s">
        <v>158</v>
      </c>
      <c r="T959" t="s">
        <v>5234</v>
      </c>
      <c r="U959" t="s">
        <v>5235</v>
      </c>
      <c r="V959" t="s">
        <v>5236</v>
      </c>
      <c r="W959" t="s">
        <v>5237</v>
      </c>
      <c r="Z959" t="s">
        <v>5238</v>
      </c>
      <c r="AA959" t="s">
        <v>5239</v>
      </c>
      <c r="AB959" t="s">
        <v>5238</v>
      </c>
      <c r="AC959" t="s">
        <v>1065</v>
      </c>
      <c r="AD959" t="s">
        <v>3948</v>
      </c>
      <c r="AE959" t="s">
        <v>5240</v>
      </c>
      <c r="AF959" t="s">
        <v>5243</v>
      </c>
    </row>
    <row r="960" spans="1:32" hidden="1" x14ac:dyDescent="0.35">
      <c r="A960">
        <v>2533</v>
      </c>
      <c r="B960" t="s">
        <v>5231</v>
      </c>
      <c r="C960" t="s">
        <v>72</v>
      </c>
      <c r="D960" t="s">
        <v>45</v>
      </c>
      <c r="E960">
        <v>459</v>
      </c>
      <c r="F960">
        <v>5</v>
      </c>
      <c r="G960">
        <v>5</v>
      </c>
      <c r="H960">
        <v>1</v>
      </c>
      <c r="I960">
        <v>1</v>
      </c>
      <c r="J960">
        <v>0.86186331399097404</v>
      </c>
      <c r="K960">
        <v>0.98485880838821505</v>
      </c>
      <c r="L960">
        <v>0.91926518464739704</v>
      </c>
      <c r="M960">
        <v>0.607936507936508</v>
      </c>
      <c r="N960">
        <v>1</v>
      </c>
      <c r="O960">
        <v>0.80714285714285705</v>
      </c>
      <c r="P960" t="s">
        <v>5232</v>
      </c>
      <c r="Q960" t="s">
        <v>5233</v>
      </c>
      <c r="R960" t="s">
        <v>157</v>
      </c>
      <c r="S960" t="s">
        <v>158</v>
      </c>
      <c r="T960" t="s">
        <v>5234</v>
      </c>
      <c r="U960" t="s">
        <v>5235</v>
      </c>
      <c r="V960" t="s">
        <v>5236</v>
      </c>
      <c r="W960" t="s">
        <v>5237</v>
      </c>
      <c r="Z960" t="s">
        <v>5238</v>
      </c>
      <c r="AA960" t="s">
        <v>5239</v>
      </c>
      <c r="AB960" t="s">
        <v>5238</v>
      </c>
      <c r="AC960" t="s">
        <v>1065</v>
      </c>
      <c r="AD960" t="s">
        <v>3948</v>
      </c>
      <c r="AE960" t="s">
        <v>5240</v>
      </c>
      <c r="AF960" t="s">
        <v>5244</v>
      </c>
    </row>
    <row r="961" spans="1:32" hidden="1" x14ac:dyDescent="0.35">
      <c r="A961">
        <v>10997</v>
      </c>
      <c r="B961" t="s">
        <v>22200</v>
      </c>
      <c r="C961" t="s">
        <v>33</v>
      </c>
      <c r="D961" t="s">
        <v>58</v>
      </c>
      <c r="E961">
        <v>1260</v>
      </c>
      <c r="F961">
        <v>1</v>
      </c>
      <c r="G961">
        <v>1</v>
      </c>
      <c r="H961">
        <v>1</v>
      </c>
      <c r="I961">
        <v>0</v>
      </c>
      <c r="J961">
        <v>1</v>
      </c>
      <c r="K961">
        <v>1</v>
      </c>
      <c r="L961">
        <v>1</v>
      </c>
      <c r="M961">
        <v>0</v>
      </c>
      <c r="N961">
        <v>0</v>
      </c>
      <c r="O961">
        <v>0</v>
      </c>
      <c r="P961" t="s">
        <v>22201</v>
      </c>
      <c r="Q961" t="s">
        <v>22202</v>
      </c>
      <c r="R961" t="s">
        <v>75</v>
      </c>
      <c r="S961" t="s">
        <v>76</v>
      </c>
      <c r="V961" t="s">
        <v>22203</v>
      </c>
      <c r="W961" t="s">
        <v>22204</v>
      </c>
      <c r="X961" t="s">
        <v>22203</v>
      </c>
      <c r="Y961" t="s">
        <v>2750</v>
      </c>
      <c r="AF961" t="s">
        <v>22205</v>
      </c>
    </row>
    <row r="962" spans="1:32" hidden="1" x14ac:dyDescent="0.35">
      <c r="A962">
        <v>2880</v>
      </c>
      <c r="B962" t="s">
        <v>5941</v>
      </c>
      <c r="C962" t="s">
        <v>72</v>
      </c>
      <c r="D962" t="s">
        <v>60</v>
      </c>
      <c r="E962">
        <v>1750</v>
      </c>
      <c r="F962">
        <v>5</v>
      </c>
      <c r="G962">
        <v>5</v>
      </c>
      <c r="H962">
        <v>1</v>
      </c>
      <c r="I962">
        <v>1</v>
      </c>
      <c r="J962">
        <v>0.74310812073638</v>
      </c>
      <c r="K962">
        <v>0.95501928287766202</v>
      </c>
      <c r="L962">
        <v>0.835841389822509</v>
      </c>
      <c r="M962">
        <v>0.510695187165775</v>
      </c>
      <c r="N962">
        <v>1</v>
      </c>
      <c r="O962">
        <v>0.63556149732620304</v>
      </c>
      <c r="P962" t="s">
        <v>5950</v>
      </c>
      <c r="Q962" t="s">
        <v>5951</v>
      </c>
      <c r="R962" t="s">
        <v>157</v>
      </c>
      <c r="S962" t="s">
        <v>158</v>
      </c>
      <c r="T962" t="s">
        <v>5944</v>
      </c>
      <c r="U962" t="s">
        <v>5945</v>
      </c>
      <c r="V962" t="s">
        <v>5946</v>
      </c>
      <c r="W962" t="s">
        <v>5947</v>
      </c>
      <c r="X962" t="s">
        <v>5946</v>
      </c>
      <c r="Y962" t="s">
        <v>1357</v>
      </c>
      <c r="AD962" t="s">
        <v>2264</v>
      </c>
      <c r="AE962" t="s">
        <v>5948</v>
      </c>
      <c r="AF962" t="s">
        <v>5952</v>
      </c>
    </row>
    <row r="963" spans="1:32" hidden="1" x14ac:dyDescent="0.35">
      <c r="A963">
        <v>2881</v>
      </c>
      <c r="B963" t="s">
        <v>5941</v>
      </c>
      <c r="C963" t="s">
        <v>72</v>
      </c>
      <c r="D963" t="s">
        <v>62</v>
      </c>
      <c r="E963">
        <v>1786</v>
      </c>
      <c r="F963">
        <v>5</v>
      </c>
      <c r="G963">
        <v>5</v>
      </c>
      <c r="H963">
        <v>1</v>
      </c>
      <c r="I963">
        <v>1</v>
      </c>
      <c r="J963">
        <v>0.74310812073638</v>
      </c>
      <c r="K963">
        <v>0.95501928287766202</v>
      </c>
      <c r="L963">
        <v>0.835841389822509</v>
      </c>
      <c r="M963">
        <v>0.510695187165775</v>
      </c>
      <c r="N963">
        <v>1</v>
      </c>
      <c r="O963">
        <v>0.63556149732620304</v>
      </c>
      <c r="P963" t="s">
        <v>5950</v>
      </c>
      <c r="Q963" t="s">
        <v>5951</v>
      </c>
      <c r="R963" t="s">
        <v>157</v>
      </c>
      <c r="S963" t="s">
        <v>158</v>
      </c>
      <c r="T963" t="s">
        <v>5944</v>
      </c>
      <c r="U963" t="s">
        <v>5945</v>
      </c>
      <c r="V963" t="s">
        <v>5946</v>
      </c>
      <c r="W963" t="s">
        <v>5947</v>
      </c>
      <c r="X963" t="s">
        <v>5946</v>
      </c>
      <c r="Y963" t="s">
        <v>1357</v>
      </c>
      <c r="AD963" t="s">
        <v>2264</v>
      </c>
      <c r="AE963" t="s">
        <v>5948</v>
      </c>
      <c r="AF963" t="s">
        <v>5952</v>
      </c>
    </row>
    <row r="964" spans="1:32" hidden="1" x14ac:dyDescent="0.35">
      <c r="A964">
        <v>2882</v>
      </c>
      <c r="B964" t="s">
        <v>5941</v>
      </c>
      <c r="C964" t="s">
        <v>72</v>
      </c>
      <c r="D964" t="s">
        <v>34</v>
      </c>
      <c r="E964">
        <v>2117</v>
      </c>
      <c r="F964">
        <v>5</v>
      </c>
      <c r="G964">
        <v>5</v>
      </c>
      <c r="H964">
        <v>1</v>
      </c>
      <c r="I964">
        <v>1</v>
      </c>
      <c r="J964">
        <v>0.74310812073638</v>
      </c>
      <c r="K964">
        <v>0.95501928287766202</v>
      </c>
      <c r="L964">
        <v>0.835841389822509</v>
      </c>
      <c r="M964">
        <v>0.510695187165775</v>
      </c>
      <c r="N964">
        <v>1</v>
      </c>
      <c r="O964">
        <v>0.63556149732620304</v>
      </c>
      <c r="P964" t="s">
        <v>5942</v>
      </c>
      <c r="Q964" t="s">
        <v>5943</v>
      </c>
      <c r="R964" t="s">
        <v>157</v>
      </c>
      <c r="S964" t="s">
        <v>158</v>
      </c>
      <c r="T964" t="s">
        <v>5944</v>
      </c>
      <c r="U964" t="s">
        <v>5945</v>
      </c>
      <c r="V964" t="s">
        <v>5946</v>
      </c>
      <c r="W964" t="s">
        <v>5947</v>
      </c>
      <c r="X964" t="s">
        <v>5946</v>
      </c>
      <c r="Y964" t="s">
        <v>1357</v>
      </c>
      <c r="AD964" t="s">
        <v>2264</v>
      </c>
      <c r="AE964" t="s">
        <v>5948</v>
      </c>
      <c r="AF964" t="s">
        <v>5953</v>
      </c>
    </row>
    <row r="965" spans="1:32" hidden="1" x14ac:dyDescent="0.35">
      <c r="A965">
        <v>2883</v>
      </c>
      <c r="B965" t="s">
        <v>5941</v>
      </c>
      <c r="C965" t="s">
        <v>72</v>
      </c>
      <c r="D965" t="s">
        <v>45</v>
      </c>
      <c r="E965">
        <v>755</v>
      </c>
      <c r="F965">
        <v>5</v>
      </c>
      <c r="G965">
        <v>5</v>
      </c>
      <c r="H965">
        <v>1</v>
      </c>
      <c r="I965">
        <v>1</v>
      </c>
      <c r="J965">
        <v>0.74310812073638</v>
      </c>
      <c r="K965">
        <v>0.95501928287766202</v>
      </c>
      <c r="L965">
        <v>0.835841389822509</v>
      </c>
      <c r="M965">
        <v>0.510695187165775</v>
      </c>
      <c r="N965">
        <v>1</v>
      </c>
      <c r="O965">
        <v>0.63556149732620304</v>
      </c>
      <c r="P965" t="s">
        <v>5942</v>
      </c>
      <c r="Q965" t="s">
        <v>5943</v>
      </c>
      <c r="R965" t="s">
        <v>157</v>
      </c>
      <c r="S965" t="s">
        <v>158</v>
      </c>
      <c r="T965" t="s">
        <v>5944</v>
      </c>
      <c r="U965" t="s">
        <v>5945</v>
      </c>
      <c r="V965" t="s">
        <v>5946</v>
      </c>
      <c r="W965" t="s">
        <v>5947</v>
      </c>
      <c r="X965" t="s">
        <v>5946</v>
      </c>
      <c r="Y965" t="s">
        <v>1357</v>
      </c>
      <c r="AD965" t="s">
        <v>2264</v>
      </c>
      <c r="AE965" t="s">
        <v>5948</v>
      </c>
      <c r="AF965" t="s">
        <v>5954</v>
      </c>
    </row>
    <row r="966" spans="1:32" hidden="1" x14ac:dyDescent="0.35">
      <c r="A966">
        <v>11381</v>
      </c>
      <c r="B966" t="s">
        <v>23181</v>
      </c>
      <c r="C966" t="s">
        <v>33</v>
      </c>
      <c r="D966" t="s">
        <v>58</v>
      </c>
      <c r="E966">
        <v>1625</v>
      </c>
      <c r="F966">
        <v>1</v>
      </c>
      <c r="G966">
        <v>1</v>
      </c>
      <c r="H966">
        <v>1</v>
      </c>
      <c r="I966">
        <v>0</v>
      </c>
      <c r="J966">
        <v>1</v>
      </c>
      <c r="K966">
        <v>1</v>
      </c>
      <c r="L966">
        <v>1</v>
      </c>
      <c r="M966">
        <v>0</v>
      </c>
      <c r="N966">
        <v>0</v>
      </c>
      <c r="O966">
        <v>0</v>
      </c>
      <c r="P966" t="s">
        <v>22201</v>
      </c>
      <c r="Q966" t="s">
        <v>22202</v>
      </c>
      <c r="R966" t="s">
        <v>75</v>
      </c>
      <c r="S966" t="s">
        <v>76</v>
      </c>
      <c r="T966" t="s">
        <v>23182</v>
      </c>
      <c r="U966" t="s">
        <v>23183</v>
      </c>
      <c r="V966" t="s">
        <v>22203</v>
      </c>
      <c r="W966" t="s">
        <v>22204</v>
      </c>
      <c r="X966" t="s">
        <v>22203</v>
      </c>
      <c r="Y966" t="s">
        <v>2750</v>
      </c>
      <c r="Z966" t="s">
        <v>23184</v>
      </c>
      <c r="AA966" t="s">
        <v>23185</v>
      </c>
      <c r="AB966" t="s">
        <v>23184</v>
      </c>
      <c r="AC966" t="s">
        <v>23186</v>
      </c>
      <c r="AD966" t="s">
        <v>3110</v>
      </c>
      <c r="AE966" t="s">
        <v>23187</v>
      </c>
      <c r="AF966" t="s">
        <v>23188</v>
      </c>
    </row>
    <row r="967" spans="1:32" hidden="1" x14ac:dyDescent="0.35">
      <c r="A967">
        <v>2935</v>
      </c>
      <c r="B967" t="s">
        <v>6058</v>
      </c>
      <c r="C967" t="s">
        <v>72</v>
      </c>
      <c r="D967" t="s">
        <v>60</v>
      </c>
      <c r="E967">
        <v>327</v>
      </c>
      <c r="F967">
        <v>5</v>
      </c>
      <c r="G967">
        <v>5</v>
      </c>
      <c r="H967">
        <v>1</v>
      </c>
      <c r="I967">
        <v>1</v>
      </c>
      <c r="J967">
        <v>0.74891020052310397</v>
      </c>
      <c r="K967">
        <v>0.82848771057718895</v>
      </c>
      <c r="L967">
        <v>0.78669166871977703</v>
      </c>
      <c r="M967">
        <v>0.45539906103286398</v>
      </c>
      <c r="N967">
        <v>1</v>
      </c>
      <c r="O967">
        <v>0.60563380281690105</v>
      </c>
      <c r="P967" t="s">
        <v>6059</v>
      </c>
      <c r="Q967" t="s">
        <v>6060</v>
      </c>
      <c r="R967" t="s">
        <v>157</v>
      </c>
      <c r="S967" t="s">
        <v>158</v>
      </c>
      <c r="T967" t="s">
        <v>6061</v>
      </c>
      <c r="U967" t="s">
        <v>6062</v>
      </c>
      <c r="V967" t="s">
        <v>6063</v>
      </c>
      <c r="W967" t="s">
        <v>6064</v>
      </c>
      <c r="Z967" t="s">
        <v>6065</v>
      </c>
      <c r="AA967" t="s">
        <v>6066</v>
      </c>
      <c r="AB967" t="s">
        <v>6065</v>
      </c>
      <c r="AC967" t="s">
        <v>4023</v>
      </c>
      <c r="AD967" t="s">
        <v>590</v>
      </c>
      <c r="AE967" t="s">
        <v>6067</v>
      </c>
      <c r="AF967" t="s">
        <v>6069</v>
      </c>
    </row>
    <row r="968" spans="1:32" hidden="1" x14ac:dyDescent="0.35">
      <c r="A968">
        <v>2936</v>
      </c>
      <c r="B968" t="s">
        <v>6058</v>
      </c>
      <c r="C968" t="s">
        <v>72</v>
      </c>
      <c r="D968" t="s">
        <v>62</v>
      </c>
      <c r="E968">
        <v>407</v>
      </c>
      <c r="F968">
        <v>5</v>
      </c>
      <c r="G968">
        <v>5</v>
      </c>
      <c r="H968">
        <v>1</v>
      </c>
      <c r="I968">
        <v>1</v>
      </c>
      <c r="J968">
        <v>0.74891020052310397</v>
      </c>
      <c r="K968">
        <v>0.82848771057718895</v>
      </c>
      <c r="L968">
        <v>0.78669166871977703</v>
      </c>
      <c r="M968">
        <v>0.45539906103286398</v>
      </c>
      <c r="N968">
        <v>1</v>
      </c>
      <c r="O968">
        <v>0.60563380281690105</v>
      </c>
      <c r="P968" t="s">
        <v>6059</v>
      </c>
      <c r="Q968" t="s">
        <v>6060</v>
      </c>
      <c r="R968" t="s">
        <v>157</v>
      </c>
      <c r="S968" t="s">
        <v>158</v>
      </c>
      <c r="T968" t="s">
        <v>6061</v>
      </c>
      <c r="U968" t="s">
        <v>6062</v>
      </c>
      <c r="V968" t="s">
        <v>6063</v>
      </c>
      <c r="W968" t="s">
        <v>6064</v>
      </c>
      <c r="Z968" t="s">
        <v>6065</v>
      </c>
      <c r="AA968" t="s">
        <v>6066</v>
      </c>
      <c r="AB968" t="s">
        <v>6065</v>
      </c>
      <c r="AC968" t="s">
        <v>4023</v>
      </c>
      <c r="AD968" t="s">
        <v>590</v>
      </c>
      <c r="AE968" t="s">
        <v>6067</v>
      </c>
      <c r="AF968" t="s">
        <v>6069</v>
      </c>
    </row>
    <row r="969" spans="1:32" hidden="1" x14ac:dyDescent="0.35">
      <c r="A969">
        <v>2937</v>
      </c>
      <c r="B969" t="s">
        <v>6058</v>
      </c>
      <c r="C969" t="s">
        <v>72</v>
      </c>
      <c r="D969" t="s">
        <v>34</v>
      </c>
      <c r="E969">
        <v>879</v>
      </c>
      <c r="F969">
        <v>5</v>
      </c>
      <c r="G969">
        <v>5</v>
      </c>
      <c r="H969">
        <v>1</v>
      </c>
      <c r="I969">
        <v>1</v>
      </c>
      <c r="J969">
        <v>0.74891020052310397</v>
      </c>
      <c r="K969">
        <v>0.82848771057718895</v>
      </c>
      <c r="L969">
        <v>0.78669166871977703</v>
      </c>
      <c r="M969">
        <v>0.45539906103286398</v>
      </c>
      <c r="N969">
        <v>1</v>
      </c>
      <c r="O969">
        <v>0.60563380281690105</v>
      </c>
      <c r="P969" t="s">
        <v>6059</v>
      </c>
      <c r="Q969" t="s">
        <v>6060</v>
      </c>
      <c r="R969" t="s">
        <v>157</v>
      </c>
      <c r="S969" t="s">
        <v>158</v>
      </c>
      <c r="T969" t="s">
        <v>6061</v>
      </c>
      <c r="U969" t="s">
        <v>6062</v>
      </c>
      <c r="V969" t="s">
        <v>6063</v>
      </c>
      <c r="W969" t="s">
        <v>6064</v>
      </c>
      <c r="Z969" t="s">
        <v>6065</v>
      </c>
      <c r="AA969" t="s">
        <v>6066</v>
      </c>
      <c r="AB969" t="s">
        <v>6065</v>
      </c>
      <c r="AC969" t="s">
        <v>4023</v>
      </c>
      <c r="AD969" t="s">
        <v>590</v>
      </c>
      <c r="AE969" t="s">
        <v>6067</v>
      </c>
      <c r="AF969" t="s">
        <v>6070</v>
      </c>
    </row>
    <row r="970" spans="1:32" hidden="1" x14ac:dyDescent="0.35">
      <c r="A970">
        <v>2938</v>
      </c>
      <c r="B970" t="s">
        <v>6058</v>
      </c>
      <c r="C970" t="s">
        <v>72</v>
      </c>
      <c r="D970" t="s">
        <v>45</v>
      </c>
      <c r="E970">
        <v>2136</v>
      </c>
      <c r="F970">
        <v>5</v>
      </c>
      <c r="G970">
        <v>5</v>
      </c>
      <c r="H970">
        <v>1</v>
      </c>
      <c r="I970">
        <v>1</v>
      </c>
      <c r="J970">
        <v>0.74891020052310397</v>
      </c>
      <c r="K970">
        <v>0.82848771057718895</v>
      </c>
      <c r="L970">
        <v>0.78669166871977703</v>
      </c>
      <c r="M970">
        <v>0.45539906103286398</v>
      </c>
      <c r="N970">
        <v>1</v>
      </c>
      <c r="O970">
        <v>0.60563380281690105</v>
      </c>
      <c r="P970" t="s">
        <v>6059</v>
      </c>
      <c r="Q970" t="s">
        <v>6060</v>
      </c>
      <c r="R970" t="s">
        <v>157</v>
      </c>
      <c r="S970" t="s">
        <v>158</v>
      </c>
      <c r="T970" t="s">
        <v>6061</v>
      </c>
      <c r="U970" t="s">
        <v>6062</v>
      </c>
      <c r="V970" t="s">
        <v>6063</v>
      </c>
      <c r="W970" t="s">
        <v>6064</v>
      </c>
      <c r="Z970" t="s">
        <v>6065</v>
      </c>
      <c r="AA970" t="s">
        <v>6066</v>
      </c>
      <c r="AB970" t="s">
        <v>6065</v>
      </c>
      <c r="AC970" t="s">
        <v>4023</v>
      </c>
      <c r="AD970" t="s">
        <v>590</v>
      </c>
      <c r="AE970" t="s">
        <v>6067</v>
      </c>
      <c r="AF970" t="s">
        <v>6071</v>
      </c>
    </row>
    <row r="971" spans="1:32" hidden="1" x14ac:dyDescent="0.35">
      <c r="A971">
        <v>59</v>
      </c>
      <c r="B971" t="s">
        <v>71</v>
      </c>
      <c r="C971" t="s">
        <v>72</v>
      </c>
      <c r="D971" t="s">
        <v>58</v>
      </c>
      <c r="E971">
        <v>321</v>
      </c>
      <c r="F971">
        <v>5</v>
      </c>
      <c r="G971">
        <v>10</v>
      </c>
      <c r="H971">
        <v>2</v>
      </c>
      <c r="I971">
        <v>0</v>
      </c>
      <c r="J971">
        <v>0.82610558319513505</v>
      </c>
      <c r="K971">
        <v>0.97686836052278203</v>
      </c>
      <c r="L971">
        <v>0.89518365973768799</v>
      </c>
      <c r="M971">
        <v>0.62477231329690297</v>
      </c>
      <c r="N971">
        <v>1</v>
      </c>
      <c r="O971">
        <v>0.74810767051204197</v>
      </c>
      <c r="P971" t="s">
        <v>73</v>
      </c>
      <c r="Q971" t="s">
        <v>74</v>
      </c>
      <c r="R971" t="s">
        <v>75</v>
      </c>
      <c r="S971" t="s">
        <v>76</v>
      </c>
      <c r="T971" t="s">
        <v>77</v>
      </c>
      <c r="U971" t="s">
        <v>78</v>
      </c>
      <c r="V971" t="s">
        <v>79</v>
      </c>
      <c r="W971" t="s">
        <v>80</v>
      </c>
      <c r="Z971" t="s">
        <v>81</v>
      </c>
      <c r="AA971" t="s">
        <v>82</v>
      </c>
      <c r="AB971" t="s">
        <v>81</v>
      </c>
      <c r="AC971" t="s">
        <v>83</v>
      </c>
      <c r="AD971" t="s">
        <v>84</v>
      </c>
      <c r="AE971" t="s">
        <v>85</v>
      </c>
      <c r="AF971" t="s">
        <v>86</v>
      </c>
    </row>
    <row r="972" spans="1:32" hidden="1" x14ac:dyDescent="0.35">
      <c r="A972">
        <v>3040</v>
      </c>
      <c r="B972" t="s">
        <v>6283</v>
      </c>
      <c r="C972" t="s">
        <v>72</v>
      </c>
      <c r="D972" t="s">
        <v>60</v>
      </c>
      <c r="E972">
        <v>1749</v>
      </c>
      <c r="F972">
        <v>5</v>
      </c>
      <c r="G972">
        <v>5</v>
      </c>
      <c r="H972">
        <v>1</v>
      </c>
      <c r="I972">
        <v>1</v>
      </c>
      <c r="J972">
        <v>0.79855643044619395</v>
      </c>
      <c r="K972">
        <v>0.944391241373431</v>
      </c>
      <c r="L972">
        <v>0.86537273705812401</v>
      </c>
      <c r="M972">
        <v>0.624742268041237</v>
      </c>
      <c r="N972">
        <v>1</v>
      </c>
      <c r="O972">
        <v>0.70989690721649501</v>
      </c>
      <c r="P972" t="s">
        <v>6284</v>
      </c>
      <c r="Q972" t="s">
        <v>6285</v>
      </c>
      <c r="R972" t="s">
        <v>157</v>
      </c>
      <c r="S972" t="s">
        <v>158</v>
      </c>
      <c r="T972" t="s">
        <v>6286</v>
      </c>
      <c r="U972" t="s">
        <v>6287</v>
      </c>
      <c r="V972" t="s">
        <v>6288</v>
      </c>
      <c r="W972" t="s">
        <v>6289</v>
      </c>
      <c r="X972" t="s">
        <v>6288</v>
      </c>
      <c r="Y972" t="s">
        <v>1357</v>
      </c>
      <c r="AD972" t="s">
        <v>1358</v>
      </c>
      <c r="AE972" t="s">
        <v>6290</v>
      </c>
      <c r="AF972" t="s">
        <v>6292</v>
      </c>
    </row>
    <row r="973" spans="1:32" hidden="1" x14ac:dyDescent="0.35">
      <c r="A973">
        <v>3041</v>
      </c>
      <c r="B973" t="s">
        <v>6283</v>
      </c>
      <c r="C973" t="s">
        <v>72</v>
      </c>
      <c r="D973" t="s">
        <v>62</v>
      </c>
      <c r="E973">
        <v>1785</v>
      </c>
      <c r="F973">
        <v>5</v>
      </c>
      <c r="G973">
        <v>5</v>
      </c>
      <c r="H973">
        <v>1</v>
      </c>
      <c r="I973">
        <v>1</v>
      </c>
      <c r="J973">
        <v>0.79855643044619395</v>
      </c>
      <c r="K973">
        <v>0.944391241373431</v>
      </c>
      <c r="L973">
        <v>0.86537273705812401</v>
      </c>
      <c r="M973">
        <v>0.624742268041237</v>
      </c>
      <c r="N973">
        <v>1</v>
      </c>
      <c r="O973">
        <v>0.70989690721649501</v>
      </c>
      <c r="P973" t="s">
        <v>6284</v>
      </c>
      <c r="Q973" t="s">
        <v>6285</v>
      </c>
      <c r="R973" t="s">
        <v>157</v>
      </c>
      <c r="S973" t="s">
        <v>158</v>
      </c>
      <c r="T973" t="s">
        <v>6286</v>
      </c>
      <c r="U973" t="s">
        <v>6287</v>
      </c>
      <c r="V973" t="s">
        <v>6288</v>
      </c>
      <c r="W973" t="s">
        <v>6289</v>
      </c>
      <c r="X973" t="s">
        <v>6288</v>
      </c>
      <c r="Y973" t="s">
        <v>1357</v>
      </c>
      <c r="AD973" t="s">
        <v>1358</v>
      </c>
      <c r="AE973" t="s">
        <v>6290</v>
      </c>
      <c r="AF973" t="s">
        <v>6292</v>
      </c>
    </row>
    <row r="974" spans="1:32" hidden="1" x14ac:dyDescent="0.35">
      <c r="A974">
        <v>3042</v>
      </c>
      <c r="B974" t="s">
        <v>6283</v>
      </c>
      <c r="C974" t="s">
        <v>72</v>
      </c>
      <c r="D974" t="s">
        <v>34</v>
      </c>
      <c r="E974">
        <v>2116</v>
      </c>
      <c r="F974">
        <v>5</v>
      </c>
      <c r="G974">
        <v>5</v>
      </c>
      <c r="H974">
        <v>1</v>
      </c>
      <c r="I974">
        <v>1</v>
      </c>
      <c r="J974">
        <v>0.79855643044619395</v>
      </c>
      <c r="K974">
        <v>0.944391241373431</v>
      </c>
      <c r="L974">
        <v>0.86537273705812401</v>
      </c>
      <c r="M974">
        <v>0.624742268041237</v>
      </c>
      <c r="N974">
        <v>1</v>
      </c>
      <c r="O974">
        <v>0.70989690721649501</v>
      </c>
      <c r="P974" t="s">
        <v>6293</v>
      </c>
      <c r="Q974" t="s">
        <v>6294</v>
      </c>
      <c r="R974" t="s">
        <v>157</v>
      </c>
      <c r="S974" t="s">
        <v>158</v>
      </c>
      <c r="T974" t="s">
        <v>6286</v>
      </c>
      <c r="U974" t="s">
        <v>6287</v>
      </c>
      <c r="V974" t="s">
        <v>6288</v>
      </c>
      <c r="W974" t="s">
        <v>6289</v>
      </c>
      <c r="X974" t="s">
        <v>6288</v>
      </c>
      <c r="Y974" t="s">
        <v>1357</v>
      </c>
      <c r="AD974" t="s">
        <v>1358</v>
      </c>
      <c r="AE974" t="s">
        <v>6290</v>
      </c>
      <c r="AF974" t="s">
        <v>6295</v>
      </c>
    </row>
    <row r="975" spans="1:32" hidden="1" x14ac:dyDescent="0.35">
      <c r="A975">
        <v>3043</v>
      </c>
      <c r="B975" t="s">
        <v>6283</v>
      </c>
      <c r="C975" t="s">
        <v>72</v>
      </c>
      <c r="D975" t="s">
        <v>45</v>
      </c>
      <c r="E975">
        <v>756</v>
      </c>
      <c r="F975">
        <v>5</v>
      </c>
      <c r="G975">
        <v>5</v>
      </c>
      <c r="H975">
        <v>1</v>
      </c>
      <c r="I975">
        <v>1</v>
      </c>
      <c r="J975">
        <v>0.79855643044619395</v>
      </c>
      <c r="K975">
        <v>0.944391241373431</v>
      </c>
      <c r="L975">
        <v>0.86537273705812401</v>
      </c>
      <c r="M975">
        <v>0.624742268041237</v>
      </c>
      <c r="N975">
        <v>1</v>
      </c>
      <c r="O975">
        <v>0.70989690721649501</v>
      </c>
      <c r="P975" t="s">
        <v>6284</v>
      </c>
      <c r="Q975" t="s">
        <v>6285</v>
      </c>
      <c r="R975" t="s">
        <v>157</v>
      </c>
      <c r="S975" t="s">
        <v>158</v>
      </c>
      <c r="T975" t="s">
        <v>6286</v>
      </c>
      <c r="U975" t="s">
        <v>6287</v>
      </c>
      <c r="V975" t="s">
        <v>6288</v>
      </c>
      <c r="W975" t="s">
        <v>6289</v>
      </c>
      <c r="X975" t="s">
        <v>6288</v>
      </c>
      <c r="Y975" t="s">
        <v>1357</v>
      </c>
      <c r="AD975" t="s">
        <v>1358</v>
      </c>
      <c r="AE975" t="s">
        <v>6290</v>
      </c>
      <c r="AF975" t="s">
        <v>6296</v>
      </c>
    </row>
    <row r="976" spans="1:32" hidden="1" x14ac:dyDescent="0.35">
      <c r="A976">
        <v>60</v>
      </c>
      <c r="B976" t="s">
        <v>71</v>
      </c>
      <c r="C976" t="s">
        <v>72</v>
      </c>
      <c r="D976" t="s">
        <v>58</v>
      </c>
      <c r="E976">
        <v>324</v>
      </c>
      <c r="F976">
        <v>5</v>
      </c>
      <c r="G976">
        <v>10</v>
      </c>
      <c r="H976">
        <v>2</v>
      </c>
      <c r="I976">
        <v>0</v>
      </c>
      <c r="J976">
        <v>0.82610558319513505</v>
      </c>
      <c r="K976">
        <v>0.97686836052278203</v>
      </c>
      <c r="L976">
        <v>0.89518365973768799</v>
      </c>
      <c r="M976">
        <v>0.62477231329690297</v>
      </c>
      <c r="N976">
        <v>1</v>
      </c>
      <c r="O976">
        <v>0.74810767051204197</v>
      </c>
      <c r="P976" t="s">
        <v>73</v>
      </c>
      <c r="Q976" t="s">
        <v>74</v>
      </c>
      <c r="R976" t="s">
        <v>75</v>
      </c>
      <c r="S976" t="s">
        <v>76</v>
      </c>
      <c r="V976" t="s">
        <v>79</v>
      </c>
      <c r="W976" t="s">
        <v>80</v>
      </c>
      <c r="AF976" t="s">
        <v>87</v>
      </c>
    </row>
    <row r="977" spans="1:32" hidden="1" x14ac:dyDescent="0.35">
      <c r="A977">
        <v>3105</v>
      </c>
      <c r="B977" t="s">
        <v>6397</v>
      </c>
      <c r="C977" t="s">
        <v>72</v>
      </c>
      <c r="D977" t="s">
        <v>60</v>
      </c>
      <c r="E977">
        <v>329</v>
      </c>
      <c r="F977">
        <v>5</v>
      </c>
      <c r="G977">
        <v>5</v>
      </c>
      <c r="H977">
        <v>1</v>
      </c>
      <c r="I977">
        <v>1</v>
      </c>
      <c r="J977">
        <v>0.76953580592488902</v>
      </c>
      <c r="K977">
        <v>0.98232018011612898</v>
      </c>
      <c r="L977">
        <v>0.86300535832315695</v>
      </c>
      <c r="M977">
        <v>0.58075601374570496</v>
      </c>
      <c r="N977">
        <v>1</v>
      </c>
      <c r="O977">
        <v>0.69347079037800696</v>
      </c>
      <c r="P977" t="s">
        <v>3800</v>
      </c>
      <c r="Q977" t="s">
        <v>3801</v>
      </c>
      <c r="R977" t="s">
        <v>157</v>
      </c>
      <c r="S977" t="s">
        <v>158</v>
      </c>
      <c r="T977" t="s">
        <v>6398</v>
      </c>
      <c r="U977" t="s">
        <v>6399</v>
      </c>
      <c r="V977" t="s">
        <v>6400</v>
      </c>
      <c r="W977" t="s">
        <v>6401</v>
      </c>
      <c r="Z977" t="s">
        <v>6065</v>
      </c>
      <c r="AA977" t="s">
        <v>6066</v>
      </c>
      <c r="AB977" t="s">
        <v>6065</v>
      </c>
      <c r="AC977" t="s">
        <v>4023</v>
      </c>
      <c r="AD977" t="s">
        <v>1140</v>
      </c>
      <c r="AE977" t="s">
        <v>6402</v>
      </c>
      <c r="AF977" t="s">
        <v>6404</v>
      </c>
    </row>
    <row r="978" spans="1:32" hidden="1" x14ac:dyDescent="0.35">
      <c r="A978">
        <v>3106</v>
      </c>
      <c r="B978" t="s">
        <v>6397</v>
      </c>
      <c r="C978" t="s">
        <v>72</v>
      </c>
      <c r="D978" t="s">
        <v>62</v>
      </c>
      <c r="E978">
        <v>409</v>
      </c>
      <c r="F978">
        <v>5</v>
      </c>
      <c r="G978">
        <v>5</v>
      </c>
      <c r="H978">
        <v>1</v>
      </c>
      <c r="I978">
        <v>1</v>
      </c>
      <c r="J978">
        <v>0.76953580592488902</v>
      </c>
      <c r="K978">
        <v>0.98232018011612898</v>
      </c>
      <c r="L978">
        <v>0.86300535832315695</v>
      </c>
      <c r="M978">
        <v>0.58075601374570496</v>
      </c>
      <c r="N978">
        <v>1</v>
      </c>
      <c r="O978">
        <v>0.69347079037800696</v>
      </c>
      <c r="P978" t="s">
        <v>3800</v>
      </c>
      <c r="Q978" t="s">
        <v>3801</v>
      </c>
      <c r="R978" t="s">
        <v>157</v>
      </c>
      <c r="S978" t="s">
        <v>158</v>
      </c>
      <c r="T978" t="s">
        <v>6398</v>
      </c>
      <c r="U978" t="s">
        <v>6399</v>
      </c>
      <c r="V978" t="s">
        <v>6400</v>
      </c>
      <c r="W978" t="s">
        <v>6401</v>
      </c>
      <c r="Z978" t="s">
        <v>6065</v>
      </c>
      <c r="AA978" t="s">
        <v>6066</v>
      </c>
      <c r="AB978" t="s">
        <v>6065</v>
      </c>
      <c r="AC978" t="s">
        <v>4023</v>
      </c>
      <c r="AD978" t="s">
        <v>1140</v>
      </c>
      <c r="AE978" t="s">
        <v>6402</v>
      </c>
      <c r="AF978" t="s">
        <v>6404</v>
      </c>
    </row>
    <row r="979" spans="1:32" hidden="1" x14ac:dyDescent="0.35">
      <c r="A979">
        <v>3107</v>
      </c>
      <c r="B979" t="s">
        <v>6397</v>
      </c>
      <c r="C979" t="s">
        <v>72</v>
      </c>
      <c r="D979" t="s">
        <v>34</v>
      </c>
      <c r="E979">
        <v>881</v>
      </c>
      <c r="F979">
        <v>5</v>
      </c>
      <c r="G979">
        <v>5</v>
      </c>
      <c r="H979">
        <v>1</v>
      </c>
      <c r="I979">
        <v>1</v>
      </c>
      <c r="J979">
        <v>0.76953580592488902</v>
      </c>
      <c r="K979">
        <v>0.98232018011612898</v>
      </c>
      <c r="L979">
        <v>0.86300535832315695</v>
      </c>
      <c r="M979">
        <v>0.58075601374570496</v>
      </c>
      <c r="N979">
        <v>1</v>
      </c>
      <c r="O979">
        <v>0.69347079037800696</v>
      </c>
      <c r="P979" t="s">
        <v>3800</v>
      </c>
      <c r="Q979" t="s">
        <v>3801</v>
      </c>
      <c r="R979" t="s">
        <v>157</v>
      </c>
      <c r="S979" t="s">
        <v>158</v>
      </c>
      <c r="T979" t="s">
        <v>6398</v>
      </c>
      <c r="U979" t="s">
        <v>6399</v>
      </c>
      <c r="V979" t="s">
        <v>6400</v>
      </c>
      <c r="W979" t="s">
        <v>6401</v>
      </c>
      <c r="Z979" t="s">
        <v>6065</v>
      </c>
      <c r="AA979" t="s">
        <v>6066</v>
      </c>
      <c r="AB979" t="s">
        <v>6065</v>
      </c>
      <c r="AC979" t="s">
        <v>4023</v>
      </c>
      <c r="AD979" t="s">
        <v>1140</v>
      </c>
      <c r="AE979" t="s">
        <v>6402</v>
      </c>
      <c r="AF979" t="s">
        <v>6405</v>
      </c>
    </row>
    <row r="980" spans="1:32" hidden="1" x14ac:dyDescent="0.35">
      <c r="A980">
        <v>3108</v>
      </c>
      <c r="B980" t="s">
        <v>6397</v>
      </c>
      <c r="C980" t="s">
        <v>72</v>
      </c>
      <c r="D980" t="s">
        <v>45</v>
      </c>
      <c r="E980">
        <v>2138</v>
      </c>
      <c r="F980">
        <v>5</v>
      </c>
      <c r="G980">
        <v>5</v>
      </c>
      <c r="H980">
        <v>1</v>
      </c>
      <c r="I980">
        <v>1</v>
      </c>
      <c r="J980">
        <v>0.76953580592488902</v>
      </c>
      <c r="K980">
        <v>0.98232018011612898</v>
      </c>
      <c r="L980">
        <v>0.86300535832315695</v>
      </c>
      <c r="M980">
        <v>0.58075601374570496</v>
      </c>
      <c r="N980">
        <v>1</v>
      </c>
      <c r="O980">
        <v>0.69347079037800696</v>
      </c>
      <c r="P980" t="s">
        <v>3800</v>
      </c>
      <c r="Q980" t="s">
        <v>3801</v>
      </c>
      <c r="R980" t="s">
        <v>157</v>
      </c>
      <c r="S980" t="s">
        <v>158</v>
      </c>
      <c r="T980" t="s">
        <v>6398</v>
      </c>
      <c r="U980" t="s">
        <v>6399</v>
      </c>
      <c r="V980" t="s">
        <v>6400</v>
      </c>
      <c r="W980" t="s">
        <v>6401</v>
      </c>
      <c r="Z980" t="s">
        <v>6065</v>
      </c>
      <c r="AA980" t="s">
        <v>6066</v>
      </c>
      <c r="AB980" t="s">
        <v>6065</v>
      </c>
      <c r="AC980" t="s">
        <v>4023</v>
      </c>
      <c r="AD980" t="s">
        <v>1140</v>
      </c>
      <c r="AE980" t="s">
        <v>6402</v>
      </c>
      <c r="AF980" t="s">
        <v>6406</v>
      </c>
    </row>
    <row r="981" spans="1:32" hidden="1" x14ac:dyDescent="0.35">
      <c r="A981">
        <v>1649</v>
      </c>
      <c r="B981" t="s">
        <v>3464</v>
      </c>
      <c r="C981" t="s">
        <v>72</v>
      </c>
      <c r="D981" t="s">
        <v>58</v>
      </c>
      <c r="E981">
        <v>1788</v>
      </c>
      <c r="F981">
        <v>5</v>
      </c>
      <c r="G981">
        <v>5</v>
      </c>
      <c r="H981">
        <v>1</v>
      </c>
      <c r="I981">
        <v>1</v>
      </c>
      <c r="J981">
        <v>0.89365140936126197</v>
      </c>
      <c r="K981">
        <v>0.99922480620155596</v>
      </c>
      <c r="L981">
        <v>0.94349397915092603</v>
      </c>
      <c r="M981">
        <v>0.80426356589147296</v>
      </c>
      <c r="N981">
        <v>1</v>
      </c>
      <c r="O981">
        <v>0.85290697674418603</v>
      </c>
      <c r="P981" t="s">
        <v>73</v>
      </c>
      <c r="Q981" t="s">
        <v>74</v>
      </c>
      <c r="R981" t="s">
        <v>75</v>
      </c>
      <c r="S981" t="s">
        <v>76</v>
      </c>
      <c r="T981" t="s">
        <v>3465</v>
      </c>
      <c r="U981" t="s">
        <v>3466</v>
      </c>
      <c r="V981" t="s">
        <v>79</v>
      </c>
      <c r="W981" t="s">
        <v>80</v>
      </c>
      <c r="Z981" t="s">
        <v>144</v>
      </c>
      <c r="AA981" t="s">
        <v>145</v>
      </c>
      <c r="AB981" t="s">
        <v>144</v>
      </c>
      <c r="AC981" t="s">
        <v>146</v>
      </c>
      <c r="AD981" t="s">
        <v>410</v>
      </c>
      <c r="AE981" t="s">
        <v>3467</v>
      </c>
      <c r="AF981" t="s">
        <v>3468</v>
      </c>
    </row>
    <row r="982" spans="1:32" hidden="1" x14ac:dyDescent="0.35">
      <c r="A982">
        <v>3165</v>
      </c>
      <c r="B982" t="s">
        <v>6516</v>
      </c>
      <c r="C982" t="s">
        <v>72</v>
      </c>
      <c r="D982" t="s">
        <v>60</v>
      </c>
      <c r="E982">
        <v>203</v>
      </c>
      <c r="F982">
        <v>5</v>
      </c>
      <c r="G982">
        <v>5</v>
      </c>
      <c r="H982">
        <v>1</v>
      </c>
      <c r="I982">
        <v>1</v>
      </c>
      <c r="J982">
        <v>0.72650783429920596</v>
      </c>
      <c r="K982">
        <v>0.98062148028962703</v>
      </c>
      <c r="L982">
        <v>0.83465169489411395</v>
      </c>
      <c r="M982">
        <v>0.544191919191919</v>
      </c>
      <c r="N982">
        <v>1</v>
      </c>
      <c r="O982">
        <v>0.64987373737373699</v>
      </c>
      <c r="P982" t="s">
        <v>3580</v>
      </c>
      <c r="Q982" t="s">
        <v>3581</v>
      </c>
      <c r="R982" t="s">
        <v>157</v>
      </c>
      <c r="S982" t="s">
        <v>158</v>
      </c>
      <c r="V982" t="s">
        <v>3582</v>
      </c>
      <c r="W982" t="s">
        <v>3583</v>
      </c>
      <c r="AF982" t="s">
        <v>6518</v>
      </c>
    </row>
    <row r="983" spans="1:32" hidden="1" x14ac:dyDescent="0.35">
      <c r="A983">
        <v>3166</v>
      </c>
      <c r="B983" t="s">
        <v>6516</v>
      </c>
      <c r="C983" t="s">
        <v>72</v>
      </c>
      <c r="D983" t="s">
        <v>62</v>
      </c>
      <c r="E983">
        <v>280</v>
      </c>
      <c r="F983">
        <v>5</v>
      </c>
      <c r="G983">
        <v>5</v>
      </c>
      <c r="H983">
        <v>1</v>
      </c>
      <c r="I983">
        <v>1</v>
      </c>
      <c r="J983">
        <v>0.72650783429920596</v>
      </c>
      <c r="K983">
        <v>0.98062148028962703</v>
      </c>
      <c r="L983">
        <v>0.83465169489411395</v>
      </c>
      <c r="M983">
        <v>0.544191919191919</v>
      </c>
      <c r="N983">
        <v>1</v>
      </c>
      <c r="O983">
        <v>0.64987373737373699</v>
      </c>
      <c r="P983" t="s">
        <v>3580</v>
      </c>
      <c r="Q983" t="s">
        <v>3581</v>
      </c>
      <c r="R983" t="s">
        <v>157</v>
      </c>
      <c r="S983" t="s">
        <v>158</v>
      </c>
      <c r="V983" t="s">
        <v>3582</v>
      </c>
      <c r="W983" t="s">
        <v>3583</v>
      </c>
      <c r="AF983" t="s">
        <v>6518</v>
      </c>
    </row>
    <row r="984" spans="1:32" hidden="1" x14ac:dyDescent="0.35">
      <c r="A984">
        <v>3167</v>
      </c>
      <c r="B984" t="s">
        <v>6516</v>
      </c>
      <c r="C984" t="s">
        <v>72</v>
      </c>
      <c r="D984" t="s">
        <v>34</v>
      </c>
      <c r="E984">
        <v>1227</v>
      </c>
      <c r="F984">
        <v>5</v>
      </c>
      <c r="G984">
        <v>5</v>
      </c>
      <c r="H984">
        <v>1</v>
      </c>
      <c r="I984">
        <v>1</v>
      </c>
      <c r="J984">
        <v>0.72650783429920596</v>
      </c>
      <c r="K984">
        <v>0.98062148028962703</v>
      </c>
      <c r="L984">
        <v>0.83465169489411395</v>
      </c>
      <c r="M984">
        <v>0.544191919191919</v>
      </c>
      <c r="N984">
        <v>1</v>
      </c>
      <c r="O984">
        <v>0.64987373737373699</v>
      </c>
      <c r="P984" t="s">
        <v>3580</v>
      </c>
      <c r="Q984" t="s">
        <v>3581</v>
      </c>
      <c r="R984" t="s">
        <v>157</v>
      </c>
      <c r="S984" t="s">
        <v>158</v>
      </c>
      <c r="V984" t="s">
        <v>3582</v>
      </c>
      <c r="W984" t="s">
        <v>3583</v>
      </c>
      <c r="AF984" t="s">
        <v>6519</v>
      </c>
    </row>
    <row r="985" spans="1:32" hidden="1" x14ac:dyDescent="0.35">
      <c r="A985">
        <v>3168</v>
      </c>
      <c r="B985" t="s">
        <v>6516</v>
      </c>
      <c r="C985" t="s">
        <v>72</v>
      </c>
      <c r="D985" t="s">
        <v>45</v>
      </c>
      <c r="E985">
        <v>2470</v>
      </c>
      <c r="F985">
        <v>5</v>
      </c>
      <c r="G985">
        <v>5</v>
      </c>
      <c r="H985">
        <v>1</v>
      </c>
      <c r="I985">
        <v>1</v>
      </c>
      <c r="J985">
        <v>0.72650783429920596</v>
      </c>
      <c r="K985">
        <v>0.98062148028962703</v>
      </c>
      <c r="L985">
        <v>0.83465169489411395</v>
      </c>
      <c r="M985">
        <v>0.544191919191919</v>
      </c>
      <c r="N985">
        <v>1</v>
      </c>
      <c r="O985">
        <v>0.64987373737373699</v>
      </c>
      <c r="P985" t="s">
        <v>3580</v>
      </c>
      <c r="Q985" t="s">
        <v>3581</v>
      </c>
      <c r="R985" t="s">
        <v>157</v>
      </c>
      <c r="S985" t="s">
        <v>158</v>
      </c>
      <c r="V985" t="s">
        <v>3582</v>
      </c>
      <c r="W985" t="s">
        <v>3583</v>
      </c>
      <c r="AF985" t="s">
        <v>6519</v>
      </c>
    </row>
    <row r="986" spans="1:32" hidden="1" x14ac:dyDescent="0.35">
      <c r="A986">
        <v>3089</v>
      </c>
      <c r="B986" t="s">
        <v>6379</v>
      </c>
      <c r="C986" t="s">
        <v>72</v>
      </c>
      <c r="D986" t="s">
        <v>58</v>
      </c>
      <c r="E986">
        <v>403</v>
      </c>
      <c r="F986">
        <v>5</v>
      </c>
      <c r="G986">
        <v>5</v>
      </c>
      <c r="H986">
        <v>1</v>
      </c>
      <c r="I986">
        <v>1</v>
      </c>
      <c r="J986">
        <v>0.92741312741312698</v>
      </c>
      <c r="K986">
        <v>1</v>
      </c>
      <c r="L986">
        <v>0.96233974358974395</v>
      </c>
      <c r="M986">
        <v>0.86872586872586899</v>
      </c>
      <c r="N986">
        <v>1</v>
      </c>
      <c r="O986">
        <v>0.89806949806949798</v>
      </c>
      <c r="P986" t="s">
        <v>73</v>
      </c>
      <c r="Q986" t="s">
        <v>74</v>
      </c>
      <c r="R986" t="s">
        <v>75</v>
      </c>
      <c r="S986" t="s">
        <v>76</v>
      </c>
      <c r="V986" t="s">
        <v>79</v>
      </c>
      <c r="W986" t="s">
        <v>80</v>
      </c>
      <c r="AF986" t="s">
        <v>6380</v>
      </c>
    </row>
    <row r="987" spans="1:32" hidden="1" x14ac:dyDescent="0.35">
      <c r="A987">
        <v>3195</v>
      </c>
      <c r="B987" t="s">
        <v>6561</v>
      </c>
      <c r="C987" t="s">
        <v>72</v>
      </c>
      <c r="D987" t="s">
        <v>60</v>
      </c>
      <c r="E987">
        <v>1752</v>
      </c>
      <c r="F987">
        <v>5</v>
      </c>
      <c r="G987">
        <v>5</v>
      </c>
      <c r="H987">
        <v>1</v>
      </c>
      <c r="I987">
        <v>1</v>
      </c>
      <c r="J987">
        <v>0.74051807318340401</v>
      </c>
      <c r="K987">
        <v>0.95101408248826103</v>
      </c>
      <c r="L987">
        <v>0.83266890738456301</v>
      </c>
      <c r="M987">
        <v>0.51374207188160703</v>
      </c>
      <c r="N987">
        <v>1</v>
      </c>
      <c r="O987">
        <v>0.63636363636363602</v>
      </c>
      <c r="P987" t="s">
        <v>6293</v>
      </c>
      <c r="Q987" t="s">
        <v>6294</v>
      </c>
      <c r="R987" t="s">
        <v>157</v>
      </c>
      <c r="S987" t="s">
        <v>158</v>
      </c>
      <c r="T987" t="s">
        <v>6562</v>
      </c>
      <c r="U987" t="s">
        <v>6563</v>
      </c>
      <c r="V987" t="s">
        <v>6564</v>
      </c>
      <c r="W987" t="s">
        <v>6565</v>
      </c>
      <c r="X987" t="s">
        <v>6564</v>
      </c>
      <c r="Y987" t="s">
        <v>1357</v>
      </c>
      <c r="AD987" t="s">
        <v>2264</v>
      </c>
      <c r="AE987" t="s">
        <v>6566</v>
      </c>
      <c r="AF987" t="s">
        <v>6568</v>
      </c>
    </row>
    <row r="988" spans="1:32" hidden="1" x14ac:dyDescent="0.35">
      <c r="A988">
        <v>3196</v>
      </c>
      <c r="B988" t="s">
        <v>6561</v>
      </c>
      <c r="C988" t="s">
        <v>72</v>
      </c>
      <c r="D988" t="s">
        <v>62</v>
      </c>
      <c r="E988">
        <v>1788</v>
      </c>
      <c r="F988">
        <v>5</v>
      </c>
      <c r="G988">
        <v>5</v>
      </c>
      <c r="H988">
        <v>1</v>
      </c>
      <c r="I988">
        <v>1</v>
      </c>
      <c r="J988">
        <v>0.74051807318340401</v>
      </c>
      <c r="K988">
        <v>0.95101408248826103</v>
      </c>
      <c r="L988">
        <v>0.83266890738456301</v>
      </c>
      <c r="M988">
        <v>0.51374207188160703</v>
      </c>
      <c r="N988">
        <v>1</v>
      </c>
      <c r="O988">
        <v>0.63636363636363602</v>
      </c>
      <c r="P988" t="s">
        <v>6293</v>
      </c>
      <c r="Q988" t="s">
        <v>6294</v>
      </c>
      <c r="R988" t="s">
        <v>157</v>
      </c>
      <c r="S988" t="s">
        <v>158</v>
      </c>
      <c r="T988" t="s">
        <v>6562</v>
      </c>
      <c r="U988" t="s">
        <v>6563</v>
      </c>
      <c r="V988" t="s">
        <v>6564</v>
      </c>
      <c r="W988" t="s">
        <v>6565</v>
      </c>
      <c r="X988" t="s">
        <v>6564</v>
      </c>
      <c r="Y988" t="s">
        <v>1357</v>
      </c>
      <c r="AD988" t="s">
        <v>2264</v>
      </c>
      <c r="AE988" t="s">
        <v>6566</v>
      </c>
      <c r="AF988" t="s">
        <v>6568</v>
      </c>
    </row>
    <row r="989" spans="1:32" hidden="1" x14ac:dyDescent="0.35">
      <c r="A989">
        <v>3197</v>
      </c>
      <c r="B989" t="s">
        <v>6561</v>
      </c>
      <c r="C989" t="s">
        <v>72</v>
      </c>
      <c r="D989" t="s">
        <v>34</v>
      </c>
      <c r="E989">
        <v>2119</v>
      </c>
      <c r="F989">
        <v>5</v>
      </c>
      <c r="G989">
        <v>5</v>
      </c>
      <c r="H989">
        <v>1</v>
      </c>
      <c r="I989">
        <v>1</v>
      </c>
      <c r="J989">
        <v>0.74051807318340401</v>
      </c>
      <c r="K989">
        <v>0.95101408248826103</v>
      </c>
      <c r="L989">
        <v>0.83266890738456301</v>
      </c>
      <c r="M989">
        <v>0.51374207188160703</v>
      </c>
      <c r="N989">
        <v>1</v>
      </c>
      <c r="O989">
        <v>0.63636363636363602</v>
      </c>
      <c r="P989" t="s">
        <v>6293</v>
      </c>
      <c r="Q989" t="s">
        <v>6294</v>
      </c>
      <c r="R989" t="s">
        <v>157</v>
      </c>
      <c r="S989" t="s">
        <v>158</v>
      </c>
      <c r="T989" t="s">
        <v>6562</v>
      </c>
      <c r="U989" t="s">
        <v>6563</v>
      </c>
      <c r="V989" t="s">
        <v>6564</v>
      </c>
      <c r="W989" t="s">
        <v>6565</v>
      </c>
      <c r="X989" t="s">
        <v>6564</v>
      </c>
      <c r="Y989" t="s">
        <v>1357</v>
      </c>
      <c r="AD989" t="s">
        <v>2264</v>
      </c>
      <c r="AE989" t="s">
        <v>6566</v>
      </c>
      <c r="AF989" t="s">
        <v>6569</v>
      </c>
    </row>
    <row r="990" spans="1:32" hidden="1" x14ac:dyDescent="0.35">
      <c r="A990">
        <v>3198</v>
      </c>
      <c r="B990" t="s">
        <v>6561</v>
      </c>
      <c r="C990" t="s">
        <v>72</v>
      </c>
      <c r="D990" t="s">
        <v>45</v>
      </c>
      <c r="E990">
        <v>753</v>
      </c>
      <c r="F990">
        <v>5</v>
      </c>
      <c r="G990">
        <v>5</v>
      </c>
      <c r="H990">
        <v>1</v>
      </c>
      <c r="I990">
        <v>1</v>
      </c>
      <c r="J990">
        <v>0.74051807318340401</v>
      </c>
      <c r="K990">
        <v>0.95101408248826103</v>
      </c>
      <c r="L990">
        <v>0.83266890738456301</v>
      </c>
      <c r="M990">
        <v>0.51374207188160703</v>
      </c>
      <c r="N990">
        <v>1</v>
      </c>
      <c r="O990">
        <v>0.63636363636363602</v>
      </c>
      <c r="P990" t="s">
        <v>6293</v>
      </c>
      <c r="Q990" t="s">
        <v>6294</v>
      </c>
      <c r="R990" t="s">
        <v>157</v>
      </c>
      <c r="S990" t="s">
        <v>158</v>
      </c>
      <c r="T990" t="s">
        <v>6562</v>
      </c>
      <c r="U990" t="s">
        <v>6563</v>
      </c>
      <c r="V990" t="s">
        <v>6564</v>
      </c>
      <c r="W990" t="s">
        <v>6565</v>
      </c>
      <c r="X990" t="s">
        <v>6564</v>
      </c>
      <c r="Y990" t="s">
        <v>1357</v>
      </c>
      <c r="AD990" t="s">
        <v>2264</v>
      </c>
      <c r="AE990" t="s">
        <v>6566</v>
      </c>
      <c r="AF990" t="s">
        <v>6570</v>
      </c>
    </row>
    <row r="991" spans="1:32" hidden="1" x14ac:dyDescent="0.35">
      <c r="A991">
        <v>11481</v>
      </c>
      <c r="B991" t="s">
        <v>23434</v>
      </c>
      <c r="C991" t="s">
        <v>33</v>
      </c>
      <c r="D991" t="s">
        <v>58</v>
      </c>
      <c r="E991">
        <v>1362</v>
      </c>
      <c r="F991">
        <v>1</v>
      </c>
      <c r="G991">
        <v>1</v>
      </c>
      <c r="H991">
        <v>1</v>
      </c>
      <c r="I991">
        <v>0</v>
      </c>
      <c r="J991">
        <v>1</v>
      </c>
      <c r="K991">
        <v>1</v>
      </c>
      <c r="L991">
        <v>1</v>
      </c>
      <c r="M991">
        <v>0</v>
      </c>
      <c r="N991">
        <v>0</v>
      </c>
      <c r="O991">
        <v>0</v>
      </c>
      <c r="P991" t="s">
        <v>1734</v>
      </c>
      <c r="Q991" t="s">
        <v>1735</v>
      </c>
      <c r="R991" t="s">
        <v>235</v>
      </c>
      <c r="S991" t="s">
        <v>236</v>
      </c>
      <c r="T991" t="s">
        <v>23435</v>
      </c>
      <c r="U991" t="s">
        <v>23436</v>
      </c>
      <c r="V991" t="s">
        <v>23437</v>
      </c>
      <c r="W991" t="s">
        <v>23438</v>
      </c>
      <c r="X991" t="s">
        <v>23437</v>
      </c>
      <c r="Y991" t="s">
        <v>2932</v>
      </c>
      <c r="Z991" t="s">
        <v>11231</v>
      </c>
      <c r="AA991" t="s">
        <v>11232</v>
      </c>
      <c r="AB991" t="s">
        <v>11231</v>
      </c>
      <c r="AC991" t="s">
        <v>11233</v>
      </c>
      <c r="AD991" t="s">
        <v>23439</v>
      </c>
      <c r="AE991" t="s">
        <v>23440</v>
      </c>
      <c r="AF991" t="s">
        <v>23441</v>
      </c>
    </row>
    <row r="992" spans="1:32" hidden="1" x14ac:dyDescent="0.35">
      <c r="A992">
        <v>3280</v>
      </c>
      <c r="B992" t="s">
        <v>6743</v>
      </c>
      <c r="C992" t="s">
        <v>72</v>
      </c>
      <c r="D992" t="s">
        <v>60</v>
      </c>
      <c r="E992">
        <v>274</v>
      </c>
      <c r="F992">
        <v>5</v>
      </c>
      <c r="G992">
        <v>5</v>
      </c>
      <c r="H992">
        <v>1</v>
      </c>
      <c r="I992">
        <v>1</v>
      </c>
      <c r="J992">
        <v>0.75559119664973695</v>
      </c>
      <c r="K992">
        <v>0.74646365849417495</v>
      </c>
      <c r="L992">
        <v>0.75099969491209495</v>
      </c>
      <c r="M992">
        <v>0.37323943661971798</v>
      </c>
      <c r="N992">
        <v>1</v>
      </c>
      <c r="O992">
        <v>0.645598591549296</v>
      </c>
      <c r="P992" t="s">
        <v>6744</v>
      </c>
      <c r="Q992" t="s">
        <v>6745</v>
      </c>
      <c r="R992" t="s">
        <v>157</v>
      </c>
      <c r="S992" t="s">
        <v>158</v>
      </c>
      <c r="T992" t="s">
        <v>6746</v>
      </c>
      <c r="U992" t="s">
        <v>6747</v>
      </c>
      <c r="V992" t="s">
        <v>6748</v>
      </c>
      <c r="W992" t="s">
        <v>6749</v>
      </c>
      <c r="X992" t="s">
        <v>6748</v>
      </c>
      <c r="Y992" t="s">
        <v>1357</v>
      </c>
      <c r="AD992" t="s">
        <v>2264</v>
      </c>
      <c r="AE992" t="s">
        <v>6750</v>
      </c>
      <c r="AF992" t="s">
        <v>6752</v>
      </c>
    </row>
    <row r="993" spans="1:32" hidden="1" x14ac:dyDescent="0.35">
      <c r="A993">
        <v>3281</v>
      </c>
      <c r="B993" t="s">
        <v>6743</v>
      </c>
      <c r="C993" t="s">
        <v>72</v>
      </c>
      <c r="D993" t="s">
        <v>62</v>
      </c>
      <c r="E993">
        <v>352</v>
      </c>
      <c r="F993">
        <v>5</v>
      </c>
      <c r="G993">
        <v>5</v>
      </c>
      <c r="H993">
        <v>1</v>
      </c>
      <c r="I993">
        <v>1</v>
      </c>
      <c r="J993">
        <v>0.75559119664973695</v>
      </c>
      <c r="K993">
        <v>0.74646365849417495</v>
      </c>
      <c r="L993">
        <v>0.75099969491209495</v>
      </c>
      <c r="M993">
        <v>0.37323943661971798</v>
      </c>
      <c r="N993">
        <v>1</v>
      </c>
      <c r="O993">
        <v>0.645598591549296</v>
      </c>
      <c r="P993" t="s">
        <v>6744</v>
      </c>
      <c r="Q993" t="s">
        <v>6745</v>
      </c>
      <c r="R993" t="s">
        <v>157</v>
      </c>
      <c r="S993" t="s">
        <v>158</v>
      </c>
      <c r="T993" t="s">
        <v>6746</v>
      </c>
      <c r="U993" t="s">
        <v>6747</v>
      </c>
      <c r="V993" t="s">
        <v>6748</v>
      </c>
      <c r="W993" t="s">
        <v>6749</v>
      </c>
      <c r="X993" t="s">
        <v>6748</v>
      </c>
      <c r="Y993" t="s">
        <v>1357</v>
      </c>
      <c r="AD993" t="s">
        <v>2264</v>
      </c>
      <c r="AE993" t="s">
        <v>6750</v>
      </c>
      <c r="AF993" t="s">
        <v>6752</v>
      </c>
    </row>
    <row r="994" spans="1:32" hidden="1" x14ac:dyDescent="0.35">
      <c r="A994">
        <v>3282</v>
      </c>
      <c r="B994" t="s">
        <v>6743</v>
      </c>
      <c r="C994" t="s">
        <v>72</v>
      </c>
      <c r="D994" t="s">
        <v>34</v>
      </c>
      <c r="E994">
        <v>864</v>
      </c>
      <c r="F994">
        <v>5</v>
      </c>
      <c r="G994">
        <v>5</v>
      </c>
      <c r="H994">
        <v>1</v>
      </c>
      <c r="I994">
        <v>1</v>
      </c>
      <c r="J994">
        <v>0.75559119664973695</v>
      </c>
      <c r="K994">
        <v>0.74646365849417495</v>
      </c>
      <c r="L994">
        <v>0.75099969491209495</v>
      </c>
      <c r="M994">
        <v>0.37323943661971798</v>
      </c>
      <c r="N994">
        <v>1</v>
      </c>
      <c r="O994">
        <v>0.645598591549296</v>
      </c>
      <c r="P994" t="s">
        <v>6744</v>
      </c>
      <c r="Q994" t="s">
        <v>6745</v>
      </c>
      <c r="R994" t="s">
        <v>157</v>
      </c>
      <c r="S994" t="s">
        <v>158</v>
      </c>
      <c r="T994" t="s">
        <v>6746</v>
      </c>
      <c r="U994" t="s">
        <v>6747</v>
      </c>
      <c r="V994" t="s">
        <v>6748</v>
      </c>
      <c r="W994" t="s">
        <v>6749</v>
      </c>
      <c r="X994" t="s">
        <v>6748</v>
      </c>
      <c r="Y994" t="s">
        <v>1357</v>
      </c>
      <c r="AD994" t="s">
        <v>2264</v>
      </c>
      <c r="AE994" t="s">
        <v>6750</v>
      </c>
      <c r="AF994" t="e">
        <f>---------MVTMLMEPLL--------------------------------------------------------------------------------------------------------------------------------------------------------------------QLFDAHVRGVVEKRDDVQLVDTT-FAQLTTLHLGGRPAHTLRCTTRDAVVDIVQLLDKHNIPFLVVGGGSNLVIADGDIPLIAVIVACDEIYLDK---ETGE----LEADAGAVWDTVVSLSVDQGMGGIECLSGIPGSAGATPVQNVGAYGVEIADVLTEVELYHRDTGVREWVRSADLELSYRYSNLKFTNKAVVLGIRLRLRNDGLSAPLRFGELARVLNVSVNE----IEARRLATTVRAEVLRLRKKKGMVYNPDDHDTWSAGSFFTNPIVSPEVVQHVRTVVEKLHGADDAAAMPCFDASGGRKKLSAAWLIERAGYPKGYPEDG-PARLSTKHTLALTNRGSATTEDLVELARTVRNGVEKTFGVSLAPEPVWVGVSL</f>
        <v>#NAME?</v>
      </c>
    </row>
    <row r="995" spans="1:32" hidden="1" x14ac:dyDescent="0.35">
      <c r="A995">
        <v>3283</v>
      </c>
      <c r="B995" t="s">
        <v>6743</v>
      </c>
      <c r="C995" t="s">
        <v>72</v>
      </c>
      <c r="D995" t="s">
        <v>45</v>
      </c>
      <c r="E995">
        <v>2121</v>
      </c>
      <c r="F995">
        <v>5</v>
      </c>
      <c r="G995">
        <v>5</v>
      </c>
      <c r="H995">
        <v>1</v>
      </c>
      <c r="I995">
        <v>1</v>
      </c>
      <c r="J995">
        <v>0.75559119664973695</v>
      </c>
      <c r="K995">
        <v>0.74646365849417495</v>
      </c>
      <c r="L995">
        <v>0.75099969491209495</v>
      </c>
      <c r="M995">
        <v>0.37323943661971798</v>
      </c>
      <c r="N995">
        <v>1</v>
      </c>
      <c r="O995">
        <v>0.645598591549296</v>
      </c>
      <c r="P995" t="s">
        <v>6744</v>
      </c>
      <c r="Q995" t="s">
        <v>6745</v>
      </c>
      <c r="R995" t="s">
        <v>157</v>
      </c>
      <c r="S995" t="s">
        <v>158</v>
      </c>
      <c r="T995" t="s">
        <v>6746</v>
      </c>
      <c r="U995" t="s">
        <v>6747</v>
      </c>
      <c r="V995" t="s">
        <v>6748</v>
      </c>
      <c r="W995" t="s">
        <v>6749</v>
      </c>
      <c r="X995" t="s">
        <v>6748</v>
      </c>
      <c r="Y995" t="s">
        <v>1357</v>
      </c>
      <c r="AD995" t="s">
        <v>2264</v>
      </c>
      <c r="AE995" t="s">
        <v>6750</v>
      </c>
      <c r="AF995" t="e">
        <f>---------MVTMLMEPLL--------------------------------------------------------------------------------------------------------------------------------------------------------------------QLFDAHVRGVVEKRDDVQLVDTT-FAQLTTLHLGGRPAHTLRCTTRDAVVDIVQLLDKHNIPLLVVGGGSNLVIADGDIPLIAVIVACDEIYLDK---ETGE----LEADAGAVWDTVVSLSVDQGMGGIECLSGIPGSAGATPVQNVGAYGVEIADVLTEVELYRRDTGVREWVRSADLELSYRYSNLKFTNKAVVLGIRLRLRNDGLSAPLRFGELARVLNVSVNE----IEARRLATTVRAEVLRLRKKKGMVYNPDDHDTWSAGSFFTNPIVSPEVVQHVRTVVEKLHGADDAAAMPCFDASGGRKKLSAAWLIERAGYPKGYPEDG-PARLSTKHTLALTNRGSATTEDLVELARTVRNGVEKTFGVSLAPEPVWVGVSL</f>
        <v>#NAME?</v>
      </c>
    </row>
    <row r="996" spans="1:32" hidden="1" x14ac:dyDescent="0.35">
      <c r="A996">
        <v>1404</v>
      </c>
      <c r="B996" t="s">
        <v>2927</v>
      </c>
      <c r="C996" t="s">
        <v>72</v>
      </c>
      <c r="D996" t="s">
        <v>58</v>
      </c>
      <c r="E996">
        <v>719</v>
      </c>
      <c r="F996">
        <v>5</v>
      </c>
      <c r="G996">
        <v>5</v>
      </c>
      <c r="H996">
        <v>1</v>
      </c>
      <c r="I996">
        <v>1</v>
      </c>
      <c r="J996">
        <v>0.81168122270742404</v>
      </c>
      <c r="K996">
        <v>0.934634159007112</v>
      </c>
      <c r="L996">
        <v>0.86882931331933599</v>
      </c>
      <c r="M996">
        <v>0.60814249363867701</v>
      </c>
      <c r="N996">
        <v>1</v>
      </c>
      <c r="O996">
        <v>0.72417302798982197</v>
      </c>
      <c r="P996" t="s">
        <v>2795</v>
      </c>
      <c r="Q996" t="s">
        <v>2796</v>
      </c>
      <c r="R996" t="s">
        <v>235</v>
      </c>
      <c r="S996" t="s">
        <v>236</v>
      </c>
      <c r="T996" t="s">
        <v>2928</v>
      </c>
      <c r="U996" t="s">
        <v>2929</v>
      </c>
      <c r="V996" t="s">
        <v>2930</v>
      </c>
      <c r="W996" t="s">
        <v>2931</v>
      </c>
      <c r="X996" t="s">
        <v>2930</v>
      </c>
      <c r="Y996" t="s">
        <v>2932</v>
      </c>
      <c r="Z996" t="s">
        <v>2933</v>
      </c>
      <c r="AA996" t="s">
        <v>2934</v>
      </c>
      <c r="AB996" t="s">
        <v>2933</v>
      </c>
      <c r="AC996" t="s">
        <v>2804</v>
      </c>
      <c r="AD996" t="s">
        <v>546</v>
      </c>
      <c r="AE996" t="s">
        <v>2935</v>
      </c>
      <c r="AF996" t="s">
        <v>2936</v>
      </c>
    </row>
    <row r="997" spans="1:32" hidden="1" x14ac:dyDescent="0.35">
      <c r="A997">
        <v>3440</v>
      </c>
      <c r="B997" t="s">
        <v>7068</v>
      </c>
      <c r="C997" t="s">
        <v>72</v>
      </c>
      <c r="D997" t="s">
        <v>60</v>
      </c>
      <c r="E997">
        <v>985</v>
      </c>
      <c r="F997">
        <v>5</v>
      </c>
      <c r="G997">
        <v>5</v>
      </c>
      <c r="H997">
        <v>1</v>
      </c>
      <c r="I997">
        <v>1</v>
      </c>
      <c r="J997">
        <v>0.84101669573884896</v>
      </c>
      <c r="K997">
        <v>0.84737496804975498</v>
      </c>
      <c r="L997">
        <v>0.84418385966426601</v>
      </c>
      <c r="M997">
        <v>0.536082474226804</v>
      </c>
      <c r="N997">
        <v>1</v>
      </c>
      <c r="O997">
        <v>0.69319587628865997</v>
      </c>
      <c r="P997" t="s">
        <v>7069</v>
      </c>
      <c r="Q997" t="s">
        <v>7070</v>
      </c>
      <c r="R997" t="s">
        <v>157</v>
      </c>
      <c r="S997" t="s">
        <v>158</v>
      </c>
      <c r="T997" t="s">
        <v>7071</v>
      </c>
      <c r="U997" t="s">
        <v>7072</v>
      </c>
      <c r="V997" t="s">
        <v>7073</v>
      </c>
      <c r="W997" t="s">
        <v>7074</v>
      </c>
      <c r="X997" t="s">
        <v>7073</v>
      </c>
      <c r="Y997" t="s">
        <v>1357</v>
      </c>
      <c r="Z997" t="s">
        <v>2906</v>
      </c>
      <c r="AA997" t="s">
        <v>2907</v>
      </c>
      <c r="AB997" t="s">
        <v>2906</v>
      </c>
      <c r="AC997" t="s">
        <v>2908</v>
      </c>
      <c r="AD997" t="s">
        <v>7075</v>
      </c>
      <c r="AE997" t="s">
        <v>7076</v>
      </c>
      <c r="AF997" t="s">
        <v>7078</v>
      </c>
    </row>
    <row r="998" spans="1:32" hidden="1" x14ac:dyDescent="0.35">
      <c r="A998">
        <v>3441</v>
      </c>
      <c r="B998" t="s">
        <v>7068</v>
      </c>
      <c r="C998" t="s">
        <v>72</v>
      </c>
      <c r="D998" t="s">
        <v>62</v>
      </c>
      <c r="E998">
        <v>1021</v>
      </c>
      <c r="F998">
        <v>5</v>
      </c>
      <c r="G998">
        <v>5</v>
      </c>
      <c r="H998">
        <v>1</v>
      </c>
      <c r="I998">
        <v>1</v>
      </c>
      <c r="J998">
        <v>0.84101669573884896</v>
      </c>
      <c r="K998">
        <v>0.84737496804975498</v>
      </c>
      <c r="L998">
        <v>0.84418385966426601</v>
      </c>
      <c r="M998">
        <v>0.536082474226804</v>
      </c>
      <c r="N998">
        <v>1</v>
      </c>
      <c r="O998">
        <v>0.69319587628865997</v>
      </c>
      <c r="P998" t="s">
        <v>7069</v>
      </c>
      <c r="Q998" t="s">
        <v>7070</v>
      </c>
      <c r="R998" t="s">
        <v>157</v>
      </c>
      <c r="S998" t="s">
        <v>158</v>
      </c>
      <c r="T998" t="s">
        <v>7071</v>
      </c>
      <c r="U998" t="s">
        <v>7072</v>
      </c>
      <c r="V998" t="s">
        <v>7073</v>
      </c>
      <c r="W998" t="s">
        <v>7074</v>
      </c>
      <c r="X998" t="s">
        <v>7073</v>
      </c>
      <c r="Y998" t="s">
        <v>1357</v>
      </c>
      <c r="Z998" t="s">
        <v>2906</v>
      </c>
      <c r="AA998" t="s">
        <v>2907</v>
      </c>
      <c r="AB998" t="s">
        <v>2906</v>
      </c>
      <c r="AC998" t="s">
        <v>2908</v>
      </c>
      <c r="AD998" t="s">
        <v>7075</v>
      </c>
      <c r="AE998" t="s">
        <v>7076</v>
      </c>
      <c r="AF998" t="s">
        <v>7078</v>
      </c>
    </row>
    <row r="999" spans="1:32" hidden="1" x14ac:dyDescent="0.35">
      <c r="A999">
        <v>3442</v>
      </c>
      <c r="B999" t="s">
        <v>7068</v>
      </c>
      <c r="C999" t="s">
        <v>72</v>
      </c>
      <c r="D999" t="s">
        <v>34</v>
      </c>
      <c r="E999">
        <v>141</v>
      </c>
      <c r="F999">
        <v>5</v>
      </c>
      <c r="G999">
        <v>5</v>
      </c>
      <c r="H999">
        <v>1</v>
      </c>
      <c r="I999">
        <v>1</v>
      </c>
      <c r="J999">
        <v>0.84101669573884896</v>
      </c>
      <c r="K999">
        <v>0.84737496804975498</v>
      </c>
      <c r="L999">
        <v>0.84418385966426601</v>
      </c>
      <c r="M999">
        <v>0.536082474226804</v>
      </c>
      <c r="N999">
        <v>1</v>
      </c>
      <c r="O999">
        <v>0.69319587628865997</v>
      </c>
      <c r="P999" t="s">
        <v>7069</v>
      </c>
      <c r="Q999" t="s">
        <v>7070</v>
      </c>
      <c r="R999" t="s">
        <v>157</v>
      </c>
      <c r="S999" t="s">
        <v>158</v>
      </c>
      <c r="T999" t="s">
        <v>7071</v>
      </c>
      <c r="U999" t="s">
        <v>7072</v>
      </c>
      <c r="V999" t="s">
        <v>7073</v>
      </c>
      <c r="W999" t="s">
        <v>7074</v>
      </c>
      <c r="X999" t="s">
        <v>7073</v>
      </c>
      <c r="Y999" t="s">
        <v>1357</v>
      </c>
      <c r="Z999" t="s">
        <v>2906</v>
      </c>
      <c r="AA999" t="s">
        <v>2907</v>
      </c>
      <c r="AB999" t="s">
        <v>2906</v>
      </c>
      <c r="AC999" t="s">
        <v>2908</v>
      </c>
      <c r="AD999" t="s">
        <v>7075</v>
      </c>
      <c r="AE999" t="s">
        <v>7076</v>
      </c>
      <c r="AF999" t="s">
        <v>7079</v>
      </c>
    </row>
    <row r="1000" spans="1:32" hidden="1" x14ac:dyDescent="0.35">
      <c r="A1000">
        <v>3443</v>
      </c>
      <c r="B1000" t="s">
        <v>7068</v>
      </c>
      <c r="C1000" t="s">
        <v>72</v>
      </c>
      <c r="D1000" t="s">
        <v>45</v>
      </c>
      <c r="E1000">
        <v>1403</v>
      </c>
      <c r="F1000">
        <v>5</v>
      </c>
      <c r="G1000">
        <v>5</v>
      </c>
      <c r="H1000">
        <v>1</v>
      </c>
      <c r="I1000">
        <v>1</v>
      </c>
      <c r="J1000">
        <v>0.84101669573884896</v>
      </c>
      <c r="K1000">
        <v>0.84737496804975498</v>
      </c>
      <c r="L1000">
        <v>0.84418385966426601</v>
      </c>
      <c r="M1000">
        <v>0.536082474226804</v>
      </c>
      <c r="N1000">
        <v>1</v>
      </c>
      <c r="O1000">
        <v>0.69319587628865997</v>
      </c>
      <c r="P1000" t="s">
        <v>7069</v>
      </c>
      <c r="Q1000" t="s">
        <v>7070</v>
      </c>
      <c r="R1000" t="s">
        <v>157</v>
      </c>
      <c r="S1000" t="s">
        <v>158</v>
      </c>
      <c r="T1000" t="s">
        <v>7071</v>
      </c>
      <c r="U1000" t="s">
        <v>7072</v>
      </c>
      <c r="V1000" t="s">
        <v>7073</v>
      </c>
      <c r="W1000" t="s">
        <v>7074</v>
      </c>
      <c r="X1000" t="s">
        <v>7073</v>
      </c>
      <c r="Y1000" t="s">
        <v>1357</v>
      </c>
      <c r="Z1000" t="s">
        <v>2906</v>
      </c>
      <c r="AA1000" t="s">
        <v>2907</v>
      </c>
      <c r="AB1000" t="s">
        <v>2906</v>
      </c>
      <c r="AC1000" t="s">
        <v>2908</v>
      </c>
      <c r="AD1000" t="s">
        <v>7075</v>
      </c>
      <c r="AE1000" t="s">
        <v>7076</v>
      </c>
      <c r="AF1000" t="s">
        <v>7080</v>
      </c>
    </row>
    <row r="1001" spans="1:32" hidden="1" x14ac:dyDescent="0.35">
      <c r="A1001">
        <v>3644</v>
      </c>
      <c r="B1001" t="s">
        <v>7513</v>
      </c>
      <c r="C1001" t="s">
        <v>72</v>
      </c>
      <c r="D1001" t="s">
        <v>58</v>
      </c>
      <c r="E1001">
        <v>1712</v>
      </c>
      <c r="F1001">
        <v>5</v>
      </c>
      <c r="G1001">
        <v>5</v>
      </c>
      <c r="H1001">
        <v>1</v>
      </c>
      <c r="I1001">
        <v>1</v>
      </c>
      <c r="J1001">
        <v>0.72111182749480596</v>
      </c>
      <c r="K1001">
        <v>0.90879755203808299</v>
      </c>
      <c r="L1001">
        <v>0.80414858862988003</v>
      </c>
      <c r="M1001">
        <v>0.51650485436893201</v>
      </c>
      <c r="N1001">
        <v>0.98834951456310705</v>
      </c>
      <c r="O1001">
        <v>0.62427184466019403</v>
      </c>
      <c r="P1001" t="s">
        <v>2795</v>
      </c>
      <c r="Q1001" t="s">
        <v>2796</v>
      </c>
      <c r="R1001" t="s">
        <v>235</v>
      </c>
      <c r="S1001" t="s">
        <v>236</v>
      </c>
      <c r="T1001" t="s">
        <v>7514</v>
      </c>
      <c r="U1001" t="s">
        <v>7515</v>
      </c>
      <c r="V1001" t="s">
        <v>2930</v>
      </c>
      <c r="W1001" t="s">
        <v>2931</v>
      </c>
      <c r="X1001" t="s">
        <v>2930</v>
      </c>
      <c r="Y1001" t="s">
        <v>2932</v>
      </c>
      <c r="AD1001" t="s">
        <v>5476</v>
      </c>
      <c r="AE1001" t="s">
        <v>7516</v>
      </c>
      <c r="AF1001" t="s">
        <v>7517</v>
      </c>
    </row>
    <row r="1002" spans="1:32" hidden="1" x14ac:dyDescent="0.35">
      <c r="A1002">
        <v>3460</v>
      </c>
      <c r="B1002" t="s">
        <v>7117</v>
      </c>
      <c r="C1002" t="s">
        <v>72</v>
      </c>
      <c r="D1002" t="s">
        <v>60</v>
      </c>
      <c r="E1002">
        <v>2340</v>
      </c>
      <c r="F1002">
        <v>5</v>
      </c>
      <c r="G1002">
        <v>5</v>
      </c>
      <c r="H1002">
        <v>1</v>
      </c>
      <c r="I1002">
        <v>1</v>
      </c>
      <c r="J1002">
        <v>0.80554444888711196</v>
      </c>
      <c r="K1002">
        <v>0.72137923871838705</v>
      </c>
      <c r="L1002">
        <v>0.761142218185488</v>
      </c>
      <c r="M1002">
        <v>0.39440203562340997</v>
      </c>
      <c r="N1002">
        <v>1</v>
      </c>
      <c r="O1002">
        <v>0.59414758269720103</v>
      </c>
      <c r="P1002" t="s">
        <v>169</v>
      </c>
      <c r="Q1002" t="s">
        <v>170</v>
      </c>
      <c r="R1002" t="s">
        <v>157</v>
      </c>
      <c r="S1002" t="s">
        <v>158</v>
      </c>
      <c r="T1002" t="s">
        <v>159</v>
      </c>
      <c r="U1002" t="s">
        <v>160</v>
      </c>
      <c r="V1002" t="s">
        <v>161</v>
      </c>
      <c r="W1002" t="s">
        <v>162</v>
      </c>
      <c r="AD1002" t="s">
        <v>166</v>
      </c>
      <c r="AE1002" t="s">
        <v>167</v>
      </c>
      <c r="AF1002" t="s">
        <v>7118</v>
      </c>
    </row>
    <row r="1003" spans="1:32" hidden="1" x14ac:dyDescent="0.35">
      <c r="A1003">
        <v>3461</v>
      </c>
      <c r="B1003" t="s">
        <v>7117</v>
      </c>
      <c r="C1003" t="s">
        <v>72</v>
      </c>
      <c r="D1003" t="s">
        <v>62</v>
      </c>
      <c r="E1003">
        <v>2368</v>
      </c>
      <c r="F1003">
        <v>5</v>
      </c>
      <c r="G1003">
        <v>5</v>
      </c>
      <c r="H1003">
        <v>1</v>
      </c>
      <c r="I1003">
        <v>1</v>
      </c>
      <c r="J1003">
        <v>0.80554444888711196</v>
      </c>
      <c r="K1003">
        <v>0.72137923871838705</v>
      </c>
      <c r="L1003">
        <v>0.761142218185488</v>
      </c>
      <c r="M1003">
        <v>0.39440203562340997</v>
      </c>
      <c r="N1003">
        <v>1</v>
      </c>
      <c r="O1003">
        <v>0.59414758269720103</v>
      </c>
      <c r="P1003" t="s">
        <v>169</v>
      </c>
      <c r="Q1003" t="s">
        <v>170</v>
      </c>
      <c r="R1003" t="s">
        <v>157</v>
      </c>
      <c r="S1003" t="s">
        <v>158</v>
      </c>
      <c r="T1003" t="s">
        <v>159</v>
      </c>
      <c r="U1003" t="s">
        <v>160</v>
      </c>
      <c r="V1003" t="s">
        <v>161</v>
      </c>
      <c r="W1003" t="s">
        <v>162</v>
      </c>
      <c r="AD1003" t="s">
        <v>166</v>
      </c>
      <c r="AE1003" t="s">
        <v>167</v>
      </c>
      <c r="AF1003" t="s">
        <v>7118</v>
      </c>
    </row>
    <row r="1004" spans="1:32" hidden="1" x14ac:dyDescent="0.35">
      <c r="A1004">
        <v>3462</v>
      </c>
      <c r="B1004" t="s">
        <v>7117</v>
      </c>
      <c r="C1004" t="s">
        <v>72</v>
      </c>
      <c r="D1004" t="s">
        <v>34</v>
      </c>
      <c r="E1004">
        <v>684</v>
      </c>
      <c r="F1004">
        <v>5</v>
      </c>
      <c r="G1004">
        <v>5</v>
      </c>
      <c r="H1004">
        <v>1</v>
      </c>
      <c r="I1004">
        <v>1</v>
      </c>
      <c r="J1004">
        <v>0.80554444888711196</v>
      </c>
      <c r="K1004">
        <v>0.72137923871838705</v>
      </c>
      <c r="L1004">
        <v>0.761142218185488</v>
      </c>
      <c r="M1004">
        <v>0.39440203562340997</v>
      </c>
      <c r="N1004">
        <v>1</v>
      </c>
      <c r="O1004">
        <v>0.59414758269720103</v>
      </c>
      <c r="P1004" t="s">
        <v>169</v>
      </c>
      <c r="Q1004" t="s">
        <v>170</v>
      </c>
      <c r="R1004" t="s">
        <v>157</v>
      </c>
      <c r="S1004" t="s">
        <v>158</v>
      </c>
      <c r="T1004" t="s">
        <v>159</v>
      </c>
      <c r="U1004" t="s">
        <v>160</v>
      </c>
      <c r="V1004" t="s">
        <v>161</v>
      </c>
      <c r="W1004" t="s">
        <v>162</v>
      </c>
      <c r="AD1004" t="s">
        <v>166</v>
      </c>
      <c r="AE1004" t="s">
        <v>167</v>
      </c>
      <c r="AF1004" t="s">
        <v>7119</v>
      </c>
    </row>
    <row r="1005" spans="1:32" hidden="1" x14ac:dyDescent="0.35">
      <c r="A1005">
        <v>3463</v>
      </c>
      <c r="B1005" t="s">
        <v>7117</v>
      </c>
      <c r="C1005" t="s">
        <v>72</v>
      </c>
      <c r="D1005" t="s">
        <v>45</v>
      </c>
      <c r="E1005">
        <v>1950</v>
      </c>
      <c r="F1005">
        <v>5</v>
      </c>
      <c r="G1005">
        <v>5</v>
      </c>
      <c r="H1005">
        <v>1</v>
      </c>
      <c r="I1005">
        <v>1</v>
      </c>
      <c r="J1005">
        <v>0.80554444888711196</v>
      </c>
      <c r="K1005">
        <v>0.72137923871838705</v>
      </c>
      <c r="L1005">
        <v>0.761142218185488</v>
      </c>
      <c r="M1005">
        <v>0.39440203562340997</v>
      </c>
      <c r="N1005">
        <v>1</v>
      </c>
      <c r="O1005">
        <v>0.59414758269720103</v>
      </c>
      <c r="P1005" t="s">
        <v>169</v>
      </c>
      <c r="Q1005" t="s">
        <v>170</v>
      </c>
      <c r="R1005" t="s">
        <v>157</v>
      </c>
      <c r="S1005" t="s">
        <v>158</v>
      </c>
      <c r="T1005" t="s">
        <v>159</v>
      </c>
      <c r="U1005" t="s">
        <v>160</v>
      </c>
      <c r="V1005" t="s">
        <v>161</v>
      </c>
      <c r="W1005" t="s">
        <v>162</v>
      </c>
      <c r="AD1005" t="s">
        <v>166</v>
      </c>
      <c r="AE1005" t="s">
        <v>167</v>
      </c>
      <c r="AF1005" t="s">
        <v>7119</v>
      </c>
    </row>
    <row r="1006" spans="1:32" hidden="1" x14ac:dyDescent="0.35">
      <c r="A1006">
        <v>3779</v>
      </c>
      <c r="B1006" t="s">
        <v>7810</v>
      </c>
      <c r="C1006" t="s">
        <v>72</v>
      </c>
      <c r="D1006" t="s">
        <v>58</v>
      </c>
      <c r="E1006">
        <v>845</v>
      </c>
      <c r="F1006">
        <v>5</v>
      </c>
      <c r="G1006">
        <v>5</v>
      </c>
      <c r="H1006">
        <v>1</v>
      </c>
      <c r="I1006">
        <v>1</v>
      </c>
      <c r="J1006">
        <v>0.76801511637894004</v>
      </c>
      <c r="K1006">
        <v>0.94416589894408798</v>
      </c>
      <c r="L1006">
        <v>0.84702922911659895</v>
      </c>
      <c r="M1006">
        <v>0.57038834951456296</v>
      </c>
      <c r="N1006">
        <v>0.99514563106796095</v>
      </c>
      <c r="O1006">
        <v>0.68325242718446599</v>
      </c>
      <c r="P1006" t="s">
        <v>1734</v>
      </c>
      <c r="Q1006" t="s">
        <v>1735</v>
      </c>
      <c r="R1006" t="s">
        <v>235</v>
      </c>
      <c r="S1006" t="s">
        <v>236</v>
      </c>
      <c r="T1006" t="s">
        <v>7811</v>
      </c>
      <c r="U1006" t="s">
        <v>7812</v>
      </c>
      <c r="V1006" t="s">
        <v>7813</v>
      </c>
      <c r="W1006" t="s">
        <v>7814</v>
      </c>
      <c r="X1006" t="s">
        <v>7813</v>
      </c>
      <c r="Y1006" t="s">
        <v>2932</v>
      </c>
      <c r="Z1006" t="s">
        <v>7815</v>
      </c>
      <c r="AA1006" t="s">
        <v>7816</v>
      </c>
      <c r="AB1006" t="s">
        <v>7815</v>
      </c>
      <c r="AC1006" t="s">
        <v>7817</v>
      </c>
      <c r="AD1006" t="s">
        <v>7818</v>
      </c>
      <c r="AE1006" t="s">
        <v>7819</v>
      </c>
      <c r="AF1006" t="e">
        <f>----MLDSTVWPDHLMNNYGTPPITIDHGEGCYLVDSKGRRHIDMLAGIAVNALGYGHPAIVDAVSAQLARGSHVSNLFASEPPLALASKLREIVGEDS------SRVFFCNSGTEANEAAFKLARLTGRPTILAAEHGFHGRTMGSLALTGQPAKQAPFAPLPGGVEYYPYGDIDALRQRADL--DQVAAIFLEPIQGETGVIPAPDGFLKAVRELCDEHGILMVCDEVQTGVGRTGTFFAYQHERGVIPDIITMAKGLGGGLPIGAVIARGAAAELFTPGIHGTTFGGNLAVCAAALVVLDVVNTPEFLESVRDKEQHLRTAL-EALDGVDHVRGRGLMLGVVLKQPCAKEAVTEGFNHGVILNAPADNVLRLTPPLIIDQQQCDAAIDAISTTLQTV-------QSATN</f>
        <v>#NAME?</v>
      </c>
    </row>
    <row r="1007" spans="1:32" hidden="1" x14ac:dyDescent="0.35">
      <c r="A1007">
        <v>3540</v>
      </c>
      <c r="B1007" t="s">
        <v>7268</v>
      </c>
      <c r="C1007" t="s">
        <v>72</v>
      </c>
      <c r="D1007" t="s">
        <v>60</v>
      </c>
      <c r="E1007">
        <v>1753</v>
      </c>
      <c r="F1007">
        <v>5</v>
      </c>
      <c r="G1007">
        <v>5</v>
      </c>
      <c r="H1007">
        <v>1</v>
      </c>
      <c r="I1007">
        <v>1</v>
      </c>
      <c r="J1007">
        <v>0.85745494265428701</v>
      </c>
      <c r="K1007">
        <v>0.99511758085535196</v>
      </c>
      <c r="L1007">
        <v>0.92117148170815899</v>
      </c>
      <c r="M1007">
        <v>0.72282608695652195</v>
      </c>
      <c r="N1007">
        <v>1</v>
      </c>
      <c r="O1007">
        <v>0.79728260869565204</v>
      </c>
      <c r="P1007" t="s">
        <v>7069</v>
      </c>
      <c r="Q1007" t="s">
        <v>7070</v>
      </c>
      <c r="R1007" t="s">
        <v>157</v>
      </c>
      <c r="S1007" t="s">
        <v>158</v>
      </c>
      <c r="T1007" t="s">
        <v>7269</v>
      </c>
      <c r="U1007" t="s">
        <v>7270</v>
      </c>
      <c r="V1007" t="s">
        <v>7073</v>
      </c>
      <c r="W1007" t="s">
        <v>7074</v>
      </c>
      <c r="X1007" t="s">
        <v>7073</v>
      </c>
      <c r="Y1007" t="s">
        <v>1357</v>
      </c>
      <c r="AD1007" t="s">
        <v>1358</v>
      </c>
      <c r="AE1007" t="s">
        <v>7271</v>
      </c>
      <c r="AF1007" t="s">
        <v>7273</v>
      </c>
    </row>
    <row r="1008" spans="1:32" hidden="1" x14ac:dyDescent="0.35">
      <c r="A1008">
        <v>3541</v>
      </c>
      <c r="B1008" t="s">
        <v>7268</v>
      </c>
      <c r="C1008" t="s">
        <v>72</v>
      </c>
      <c r="D1008" t="s">
        <v>62</v>
      </c>
      <c r="E1008">
        <v>1789</v>
      </c>
      <c r="F1008">
        <v>5</v>
      </c>
      <c r="G1008">
        <v>5</v>
      </c>
      <c r="H1008">
        <v>1</v>
      </c>
      <c r="I1008">
        <v>1</v>
      </c>
      <c r="J1008">
        <v>0.85745494265428701</v>
      </c>
      <c r="K1008">
        <v>0.99511758085535196</v>
      </c>
      <c r="L1008">
        <v>0.92117148170815899</v>
      </c>
      <c r="M1008">
        <v>0.72282608695652195</v>
      </c>
      <c r="N1008">
        <v>1</v>
      </c>
      <c r="O1008">
        <v>0.79728260869565204</v>
      </c>
      <c r="P1008" t="s">
        <v>7069</v>
      </c>
      <c r="Q1008" t="s">
        <v>7070</v>
      </c>
      <c r="R1008" t="s">
        <v>157</v>
      </c>
      <c r="S1008" t="s">
        <v>158</v>
      </c>
      <c r="T1008" t="s">
        <v>7269</v>
      </c>
      <c r="U1008" t="s">
        <v>7270</v>
      </c>
      <c r="V1008" t="s">
        <v>7073</v>
      </c>
      <c r="W1008" t="s">
        <v>7074</v>
      </c>
      <c r="X1008" t="s">
        <v>7073</v>
      </c>
      <c r="Y1008" t="s">
        <v>1357</v>
      </c>
      <c r="AD1008" t="s">
        <v>1358</v>
      </c>
      <c r="AE1008" t="s">
        <v>7271</v>
      </c>
      <c r="AF1008" t="s">
        <v>7273</v>
      </c>
    </row>
    <row r="1009" spans="1:32" hidden="1" x14ac:dyDescent="0.35">
      <c r="A1009">
        <v>3542</v>
      </c>
      <c r="B1009" t="s">
        <v>7268</v>
      </c>
      <c r="C1009" t="s">
        <v>72</v>
      </c>
      <c r="D1009" t="s">
        <v>34</v>
      </c>
      <c r="E1009">
        <v>2120</v>
      </c>
      <c r="F1009">
        <v>5</v>
      </c>
      <c r="G1009">
        <v>5</v>
      </c>
      <c r="H1009">
        <v>1</v>
      </c>
      <c r="I1009">
        <v>1</v>
      </c>
      <c r="J1009">
        <v>0.85745494265428701</v>
      </c>
      <c r="K1009">
        <v>0.99511758085535196</v>
      </c>
      <c r="L1009">
        <v>0.92117148170815899</v>
      </c>
      <c r="M1009">
        <v>0.72282608695652195</v>
      </c>
      <c r="N1009">
        <v>1</v>
      </c>
      <c r="O1009">
        <v>0.79728260869565204</v>
      </c>
      <c r="P1009" t="s">
        <v>7069</v>
      </c>
      <c r="Q1009" t="s">
        <v>7070</v>
      </c>
      <c r="R1009" t="s">
        <v>157</v>
      </c>
      <c r="S1009" t="s">
        <v>158</v>
      </c>
      <c r="T1009" t="s">
        <v>7269</v>
      </c>
      <c r="U1009" t="s">
        <v>7270</v>
      </c>
      <c r="V1009" t="s">
        <v>7073</v>
      </c>
      <c r="W1009" t="s">
        <v>7074</v>
      </c>
      <c r="X1009" t="s">
        <v>7073</v>
      </c>
      <c r="Y1009" t="s">
        <v>1357</v>
      </c>
      <c r="AD1009" t="s">
        <v>1358</v>
      </c>
      <c r="AE1009" t="s">
        <v>7271</v>
      </c>
      <c r="AF1009" t="s">
        <v>7274</v>
      </c>
    </row>
    <row r="1010" spans="1:32" hidden="1" x14ac:dyDescent="0.35">
      <c r="A1010">
        <v>3543</v>
      </c>
      <c r="B1010" t="s">
        <v>7268</v>
      </c>
      <c r="C1010" t="s">
        <v>72</v>
      </c>
      <c r="D1010" t="s">
        <v>45</v>
      </c>
      <c r="E1010">
        <v>752</v>
      </c>
      <c r="F1010">
        <v>5</v>
      </c>
      <c r="G1010">
        <v>5</v>
      </c>
      <c r="H1010">
        <v>1</v>
      </c>
      <c r="I1010">
        <v>1</v>
      </c>
      <c r="J1010">
        <v>0.85745494265428701</v>
      </c>
      <c r="K1010">
        <v>0.99511758085535196</v>
      </c>
      <c r="L1010">
        <v>0.92117148170815899</v>
      </c>
      <c r="M1010">
        <v>0.72282608695652195</v>
      </c>
      <c r="N1010">
        <v>1</v>
      </c>
      <c r="O1010">
        <v>0.79728260869565204</v>
      </c>
      <c r="P1010" t="s">
        <v>7069</v>
      </c>
      <c r="Q1010" t="s">
        <v>7070</v>
      </c>
      <c r="R1010" t="s">
        <v>157</v>
      </c>
      <c r="S1010" t="s">
        <v>158</v>
      </c>
      <c r="T1010" t="s">
        <v>7269</v>
      </c>
      <c r="U1010" t="s">
        <v>7270</v>
      </c>
      <c r="V1010" t="s">
        <v>7073</v>
      </c>
      <c r="W1010" t="s">
        <v>7074</v>
      </c>
      <c r="X1010" t="s">
        <v>7073</v>
      </c>
      <c r="Y1010" t="s">
        <v>1357</v>
      </c>
      <c r="AD1010" t="s">
        <v>1358</v>
      </c>
      <c r="AE1010" t="s">
        <v>7271</v>
      </c>
      <c r="AF1010" t="s">
        <v>7275</v>
      </c>
    </row>
    <row r="1011" spans="1:32" hidden="1" x14ac:dyDescent="0.35">
      <c r="A1011">
        <v>4224</v>
      </c>
      <c r="B1011" t="s">
        <v>8760</v>
      </c>
      <c r="C1011" t="s">
        <v>72</v>
      </c>
      <c r="D1011" t="s">
        <v>58</v>
      </c>
      <c r="E1011">
        <v>961</v>
      </c>
      <c r="F1011">
        <v>5</v>
      </c>
      <c r="G1011">
        <v>5</v>
      </c>
      <c r="H1011">
        <v>1</v>
      </c>
      <c r="I1011">
        <v>1</v>
      </c>
      <c r="J1011">
        <v>0.92954545454545501</v>
      </c>
      <c r="K1011">
        <v>0.98626823194593505</v>
      </c>
      <c r="L1011">
        <v>0.95706712863808197</v>
      </c>
      <c r="M1011">
        <v>0.861259338313767</v>
      </c>
      <c r="N1011">
        <v>0.99679829242262497</v>
      </c>
      <c r="O1011">
        <v>0.90832443970117405</v>
      </c>
      <c r="P1011" t="s">
        <v>6031</v>
      </c>
      <c r="Q1011" t="s">
        <v>6032</v>
      </c>
      <c r="R1011" t="s">
        <v>652</v>
      </c>
      <c r="S1011" t="s">
        <v>653</v>
      </c>
      <c r="T1011" t="s">
        <v>8761</v>
      </c>
      <c r="U1011" t="s">
        <v>8762</v>
      </c>
      <c r="V1011" t="s">
        <v>8763</v>
      </c>
      <c r="W1011" t="s">
        <v>8764</v>
      </c>
      <c r="X1011" t="s">
        <v>8763</v>
      </c>
      <c r="Y1011" t="s">
        <v>8765</v>
      </c>
      <c r="Z1011" t="s">
        <v>8766</v>
      </c>
      <c r="AA1011" t="s">
        <v>8767</v>
      </c>
      <c r="AB1011" t="s">
        <v>8766</v>
      </c>
      <c r="AC1011" t="s">
        <v>8768</v>
      </c>
      <c r="AD1011" t="s">
        <v>84</v>
      </c>
      <c r="AE1011" t="s">
        <v>8769</v>
      </c>
      <c r="AF1011" t="s">
        <v>8770</v>
      </c>
    </row>
    <row r="1012" spans="1:32" hidden="1" x14ac:dyDescent="0.35">
      <c r="A1012">
        <v>3595</v>
      </c>
      <c r="B1012" t="s">
        <v>7393</v>
      </c>
      <c r="C1012" t="s">
        <v>72</v>
      </c>
      <c r="D1012" t="s">
        <v>60</v>
      </c>
      <c r="E1012">
        <v>2408</v>
      </c>
      <c r="F1012">
        <v>5</v>
      </c>
      <c r="G1012">
        <v>5</v>
      </c>
      <c r="H1012">
        <v>1</v>
      </c>
      <c r="I1012">
        <v>1</v>
      </c>
      <c r="J1012">
        <v>0.74622956741623803</v>
      </c>
      <c r="K1012">
        <v>0.94376859439428196</v>
      </c>
      <c r="L1012">
        <v>0.833454196401472</v>
      </c>
      <c r="M1012">
        <v>0.55612244897959195</v>
      </c>
      <c r="N1012">
        <v>0.99234693877550995</v>
      </c>
      <c r="O1012">
        <v>0.64693877551020396</v>
      </c>
      <c r="P1012" t="s">
        <v>363</v>
      </c>
      <c r="Q1012" t="s">
        <v>364</v>
      </c>
      <c r="R1012" t="s">
        <v>157</v>
      </c>
      <c r="S1012" t="s">
        <v>158</v>
      </c>
      <c r="V1012" t="s">
        <v>358</v>
      </c>
      <c r="W1012" t="s">
        <v>359</v>
      </c>
      <c r="AF1012" t="s">
        <v>7398</v>
      </c>
    </row>
    <row r="1013" spans="1:32" hidden="1" x14ac:dyDescent="0.35">
      <c r="A1013">
        <v>3596</v>
      </c>
      <c r="B1013" t="s">
        <v>7393</v>
      </c>
      <c r="C1013" t="s">
        <v>72</v>
      </c>
      <c r="D1013" t="s">
        <v>62</v>
      </c>
      <c r="E1013">
        <v>2435</v>
      </c>
      <c r="F1013">
        <v>5</v>
      </c>
      <c r="G1013">
        <v>5</v>
      </c>
      <c r="H1013">
        <v>1</v>
      </c>
      <c r="I1013">
        <v>1</v>
      </c>
      <c r="J1013">
        <v>0.74622956741623803</v>
      </c>
      <c r="K1013">
        <v>0.94376859439428196</v>
      </c>
      <c r="L1013">
        <v>0.833454196401472</v>
      </c>
      <c r="M1013">
        <v>0.55612244897959195</v>
      </c>
      <c r="N1013">
        <v>0.99234693877550995</v>
      </c>
      <c r="O1013">
        <v>0.64693877551020396</v>
      </c>
      <c r="P1013" t="s">
        <v>363</v>
      </c>
      <c r="Q1013" t="s">
        <v>364</v>
      </c>
      <c r="R1013" t="s">
        <v>157</v>
      </c>
      <c r="S1013" t="s">
        <v>158</v>
      </c>
      <c r="V1013" t="s">
        <v>358</v>
      </c>
      <c r="W1013" t="s">
        <v>359</v>
      </c>
      <c r="AF1013" t="s">
        <v>7399</v>
      </c>
    </row>
    <row r="1014" spans="1:32" hidden="1" x14ac:dyDescent="0.35">
      <c r="A1014">
        <v>3597</v>
      </c>
      <c r="B1014" t="s">
        <v>7393</v>
      </c>
      <c r="C1014" t="s">
        <v>72</v>
      </c>
      <c r="D1014" t="s">
        <v>34</v>
      </c>
      <c r="E1014">
        <v>1326</v>
      </c>
      <c r="F1014">
        <v>5</v>
      </c>
      <c r="G1014">
        <v>5</v>
      </c>
      <c r="H1014">
        <v>1</v>
      </c>
      <c r="I1014">
        <v>1</v>
      </c>
      <c r="J1014">
        <v>0.74622956741623803</v>
      </c>
      <c r="K1014">
        <v>0.94376859439428196</v>
      </c>
      <c r="L1014">
        <v>0.833454196401472</v>
      </c>
      <c r="M1014">
        <v>0.55612244897959195</v>
      </c>
      <c r="N1014">
        <v>0.99234693877550995</v>
      </c>
      <c r="O1014">
        <v>0.64693877551020396</v>
      </c>
      <c r="P1014" t="s">
        <v>363</v>
      </c>
      <c r="Q1014" t="s">
        <v>364</v>
      </c>
      <c r="R1014" t="s">
        <v>157</v>
      </c>
      <c r="S1014" t="s">
        <v>158</v>
      </c>
      <c r="V1014" t="s">
        <v>358</v>
      </c>
      <c r="W1014" t="s">
        <v>359</v>
      </c>
      <c r="AF1014" t="s">
        <v>7400</v>
      </c>
    </row>
    <row r="1015" spans="1:32" hidden="1" x14ac:dyDescent="0.35">
      <c r="A1015">
        <v>3598</v>
      </c>
      <c r="B1015" t="s">
        <v>7393</v>
      </c>
      <c r="C1015" t="s">
        <v>72</v>
      </c>
      <c r="D1015" t="s">
        <v>45</v>
      </c>
      <c r="E1015">
        <v>77</v>
      </c>
      <c r="F1015">
        <v>5</v>
      </c>
      <c r="G1015">
        <v>5</v>
      </c>
      <c r="H1015">
        <v>1</v>
      </c>
      <c r="I1015">
        <v>1</v>
      </c>
      <c r="J1015">
        <v>0.74622956741623803</v>
      </c>
      <c r="K1015">
        <v>0.94376859439428196</v>
      </c>
      <c r="L1015">
        <v>0.833454196401472</v>
      </c>
      <c r="M1015">
        <v>0.55612244897959195</v>
      </c>
      <c r="N1015">
        <v>0.99234693877550995</v>
      </c>
      <c r="O1015">
        <v>0.64693877551020396</v>
      </c>
      <c r="P1015" t="s">
        <v>363</v>
      </c>
      <c r="Q1015" t="s">
        <v>364</v>
      </c>
      <c r="R1015" t="s">
        <v>157</v>
      </c>
      <c r="S1015" t="s">
        <v>158</v>
      </c>
      <c r="V1015" t="s">
        <v>358</v>
      </c>
      <c r="W1015" t="s">
        <v>359</v>
      </c>
      <c r="AF1015" t="s">
        <v>7401</v>
      </c>
    </row>
    <row r="1016" spans="1:32" hidden="1" x14ac:dyDescent="0.35">
      <c r="A1016">
        <v>11832</v>
      </c>
      <c r="B1016" t="s">
        <v>24329</v>
      </c>
      <c r="C1016" t="s">
        <v>33</v>
      </c>
      <c r="D1016" t="s">
        <v>58</v>
      </c>
      <c r="E1016">
        <v>1377</v>
      </c>
      <c r="F1016">
        <v>1</v>
      </c>
      <c r="G1016">
        <v>1</v>
      </c>
      <c r="H1016">
        <v>1</v>
      </c>
      <c r="I1016">
        <v>0</v>
      </c>
      <c r="J1016">
        <v>1</v>
      </c>
      <c r="K1016">
        <v>1</v>
      </c>
      <c r="L1016">
        <v>1</v>
      </c>
      <c r="M1016">
        <v>0</v>
      </c>
      <c r="N1016">
        <v>0</v>
      </c>
      <c r="O1016">
        <v>0</v>
      </c>
      <c r="P1016" t="s">
        <v>15066</v>
      </c>
      <c r="Q1016" t="s">
        <v>15067</v>
      </c>
      <c r="R1016" t="s">
        <v>75</v>
      </c>
      <c r="S1016" t="s">
        <v>76</v>
      </c>
      <c r="T1016" t="s">
        <v>15068</v>
      </c>
      <c r="U1016" t="s">
        <v>15069</v>
      </c>
      <c r="V1016" t="s">
        <v>15070</v>
      </c>
      <c r="W1016" t="s">
        <v>15071</v>
      </c>
      <c r="X1016" t="s">
        <v>15070</v>
      </c>
      <c r="Y1016" t="s">
        <v>2750</v>
      </c>
      <c r="Z1016" t="s">
        <v>15072</v>
      </c>
      <c r="AA1016" t="s">
        <v>15073</v>
      </c>
      <c r="AB1016" t="s">
        <v>15072</v>
      </c>
      <c r="AC1016" t="s">
        <v>15074</v>
      </c>
      <c r="AD1016" t="s">
        <v>15075</v>
      </c>
      <c r="AE1016" t="s">
        <v>15076</v>
      </c>
      <c r="AF1016" t="s">
        <v>24330</v>
      </c>
    </row>
    <row r="1017" spans="1:32" hidden="1" x14ac:dyDescent="0.35">
      <c r="A1017">
        <v>3610</v>
      </c>
      <c r="B1017" t="s">
        <v>7426</v>
      </c>
      <c r="C1017" t="s">
        <v>72</v>
      </c>
      <c r="D1017" t="s">
        <v>60</v>
      </c>
      <c r="E1017">
        <v>1641</v>
      </c>
      <c r="F1017">
        <v>5</v>
      </c>
      <c r="G1017">
        <v>5</v>
      </c>
      <c r="H1017">
        <v>1</v>
      </c>
      <c r="I1017">
        <v>1</v>
      </c>
      <c r="J1017">
        <v>0.74601701469450898</v>
      </c>
      <c r="K1017">
        <v>0.97122506253432195</v>
      </c>
      <c r="L1017">
        <v>0.84385356188985705</v>
      </c>
      <c r="M1017">
        <v>0.51801801801801795</v>
      </c>
      <c r="N1017">
        <v>0.99549549549549599</v>
      </c>
      <c r="O1017">
        <v>0.66351351351351395</v>
      </c>
      <c r="P1017" t="s">
        <v>7427</v>
      </c>
      <c r="Q1017" t="s">
        <v>7428</v>
      </c>
      <c r="R1017" t="s">
        <v>157</v>
      </c>
      <c r="S1017" t="s">
        <v>158</v>
      </c>
      <c r="T1017" t="s">
        <v>7429</v>
      </c>
      <c r="U1017" t="s">
        <v>7430</v>
      </c>
      <c r="V1017" t="s">
        <v>7431</v>
      </c>
      <c r="W1017" t="s">
        <v>7432</v>
      </c>
      <c r="Z1017" t="s">
        <v>7433</v>
      </c>
      <c r="AA1017" t="s">
        <v>7434</v>
      </c>
      <c r="AB1017" t="s">
        <v>7433</v>
      </c>
      <c r="AC1017" t="s">
        <v>1065</v>
      </c>
      <c r="AD1017" t="s">
        <v>1140</v>
      </c>
      <c r="AE1017" t="s">
        <v>7435</v>
      </c>
      <c r="AF1017" t="s">
        <v>7437</v>
      </c>
    </row>
    <row r="1018" spans="1:32" hidden="1" x14ac:dyDescent="0.35">
      <c r="A1018">
        <v>3611</v>
      </c>
      <c r="B1018" t="s">
        <v>7426</v>
      </c>
      <c r="C1018" t="s">
        <v>72</v>
      </c>
      <c r="D1018" t="s">
        <v>62</v>
      </c>
      <c r="E1018">
        <v>1676</v>
      </c>
      <c r="F1018">
        <v>5</v>
      </c>
      <c r="G1018">
        <v>5</v>
      </c>
      <c r="H1018">
        <v>1</v>
      </c>
      <c r="I1018">
        <v>1</v>
      </c>
      <c r="J1018">
        <v>0.74601701469450898</v>
      </c>
      <c r="K1018">
        <v>0.97122506253432195</v>
      </c>
      <c r="L1018">
        <v>0.84385356188985705</v>
      </c>
      <c r="M1018">
        <v>0.51801801801801795</v>
      </c>
      <c r="N1018">
        <v>0.99549549549549599</v>
      </c>
      <c r="O1018">
        <v>0.66351351351351395</v>
      </c>
      <c r="P1018" t="s">
        <v>7427</v>
      </c>
      <c r="Q1018" t="s">
        <v>7428</v>
      </c>
      <c r="R1018" t="s">
        <v>157</v>
      </c>
      <c r="S1018" t="s">
        <v>158</v>
      </c>
      <c r="T1018" t="s">
        <v>7429</v>
      </c>
      <c r="U1018" t="s">
        <v>7430</v>
      </c>
      <c r="V1018" t="s">
        <v>7431</v>
      </c>
      <c r="W1018" t="s">
        <v>7432</v>
      </c>
      <c r="Z1018" t="s">
        <v>7433</v>
      </c>
      <c r="AA1018" t="s">
        <v>7434</v>
      </c>
      <c r="AB1018" t="s">
        <v>7433</v>
      </c>
      <c r="AC1018" t="s">
        <v>1065</v>
      </c>
      <c r="AD1018" t="s">
        <v>1140</v>
      </c>
      <c r="AE1018" t="s">
        <v>7435</v>
      </c>
      <c r="AF1018" t="s">
        <v>7438</v>
      </c>
    </row>
    <row r="1019" spans="1:32" hidden="1" x14ac:dyDescent="0.35">
      <c r="A1019">
        <v>3612</v>
      </c>
      <c r="B1019" t="s">
        <v>7426</v>
      </c>
      <c r="C1019" t="s">
        <v>72</v>
      </c>
      <c r="D1019" t="s">
        <v>34</v>
      </c>
      <c r="E1019">
        <v>763</v>
      </c>
      <c r="F1019">
        <v>5</v>
      </c>
      <c r="G1019">
        <v>5</v>
      </c>
      <c r="H1019">
        <v>1</v>
      </c>
      <c r="I1019">
        <v>1</v>
      </c>
      <c r="J1019">
        <v>0.74601701469450898</v>
      </c>
      <c r="K1019">
        <v>0.97122506253432195</v>
      </c>
      <c r="L1019">
        <v>0.84385356188985705</v>
      </c>
      <c r="M1019">
        <v>0.51801801801801795</v>
      </c>
      <c r="N1019">
        <v>0.99549549549549599</v>
      </c>
      <c r="O1019">
        <v>0.66351351351351395</v>
      </c>
      <c r="P1019" t="s">
        <v>7427</v>
      </c>
      <c r="Q1019" t="s">
        <v>7428</v>
      </c>
      <c r="R1019" t="s">
        <v>157</v>
      </c>
      <c r="S1019" t="s">
        <v>158</v>
      </c>
      <c r="T1019" t="s">
        <v>7429</v>
      </c>
      <c r="U1019" t="s">
        <v>7430</v>
      </c>
      <c r="V1019" t="s">
        <v>7431</v>
      </c>
      <c r="W1019" t="s">
        <v>7432</v>
      </c>
      <c r="Z1019" t="s">
        <v>7433</v>
      </c>
      <c r="AA1019" t="s">
        <v>7434</v>
      </c>
      <c r="AB1019" t="s">
        <v>7433</v>
      </c>
      <c r="AC1019" t="s">
        <v>1065</v>
      </c>
      <c r="AD1019" t="s">
        <v>1140</v>
      </c>
      <c r="AE1019" t="s">
        <v>7435</v>
      </c>
      <c r="AF1019" t="s">
        <v>7439</v>
      </c>
    </row>
    <row r="1020" spans="1:32" hidden="1" x14ac:dyDescent="0.35">
      <c r="A1020">
        <v>3613</v>
      </c>
      <c r="B1020" t="s">
        <v>7426</v>
      </c>
      <c r="C1020" t="s">
        <v>72</v>
      </c>
      <c r="D1020" t="s">
        <v>45</v>
      </c>
      <c r="E1020">
        <v>2029</v>
      </c>
      <c r="F1020">
        <v>5</v>
      </c>
      <c r="G1020">
        <v>5</v>
      </c>
      <c r="H1020">
        <v>1</v>
      </c>
      <c r="I1020">
        <v>1</v>
      </c>
      <c r="J1020">
        <v>0.74601701469450898</v>
      </c>
      <c r="K1020">
        <v>0.97122506253432195</v>
      </c>
      <c r="L1020">
        <v>0.84385356188985705</v>
      </c>
      <c r="M1020">
        <v>0.51801801801801795</v>
      </c>
      <c r="N1020">
        <v>0.99549549549549599</v>
      </c>
      <c r="O1020">
        <v>0.66351351351351395</v>
      </c>
      <c r="P1020" t="s">
        <v>7427</v>
      </c>
      <c r="Q1020" t="s">
        <v>7428</v>
      </c>
      <c r="R1020" t="s">
        <v>157</v>
      </c>
      <c r="S1020" t="s">
        <v>158</v>
      </c>
      <c r="T1020" t="s">
        <v>7429</v>
      </c>
      <c r="U1020" t="s">
        <v>7430</v>
      </c>
      <c r="V1020" t="s">
        <v>7431</v>
      </c>
      <c r="W1020" t="s">
        <v>7432</v>
      </c>
      <c r="Z1020" t="s">
        <v>7433</v>
      </c>
      <c r="AA1020" t="s">
        <v>7434</v>
      </c>
      <c r="AB1020" t="s">
        <v>7433</v>
      </c>
      <c r="AC1020" t="s">
        <v>1065</v>
      </c>
      <c r="AD1020" t="s">
        <v>1140</v>
      </c>
      <c r="AE1020" t="s">
        <v>7435</v>
      </c>
      <c r="AF1020" t="s">
        <v>7440</v>
      </c>
    </row>
    <row r="1021" spans="1:32" hidden="1" x14ac:dyDescent="0.35">
      <c r="A1021">
        <v>11630</v>
      </c>
      <c r="B1021" t="s">
        <v>23824</v>
      </c>
      <c r="C1021" t="s">
        <v>33</v>
      </c>
      <c r="D1021" t="s">
        <v>58</v>
      </c>
      <c r="E1021">
        <v>1270</v>
      </c>
      <c r="F1021">
        <v>1</v>
      </c>
      <c r="G1021">
        <v>1</v>
      </c>
      <c r="H1021">
        <v>1</v>
      </c>
      <c r="I1021">
        <v>0</v>
      </c>
      <c r="J1021">
        <v>1</v>
      </c>
      <c r="K1021">
        <v>1</v>
      </c>
      <c r="L1021">
        <v>1</v>
      </c>
      <c r="M1021">
        <v>0</v>
      </c>
      <c r="N1021">
        <v>0</v>
      </c>
      <c r="O1021">
        <v>0</v>
      </c>
      <c r="P1021" t="s">
        <v>21995</v>
      </c>
      <c r="Q1021" t="s">
        <v>21996</v>
      </c>
      <c r="R1021" t="s">
        <v>75</v>
      </c>
      <c r="S1021" t="s">
        <v>76</v>
      </c>
      <c r="V1021" t="s">
        <v>23825</v>
      </c>
      <c r="W1021" t="s">
        <v>23826</v>
      </c>
      <c r="AF1021" t="s">
        <v>23827</v>
      </c>
    </row>
    <row r="1022" spans="1:32" hidden="1" x14ac:dyDescent="0.35">
      <c r="A1022">
        <v>3685</v>
      </c>
      <c r="B1022" t="s">
        <v>7594</v>
      </c>
      <c r="C1022" t="s">
        <v>72</v>
      </c>
      <c r="D1022" t="s">
        <v>60</v>
      </c>
      <c r="E1022">
        <v>785</v>
      </c>
      <c r="F1022">
        <v>5</v>
      </c>
      <c r="G1022">
        <v>5</v>
      </c>
      <c r="H1022">
        <v>1</v>
      </c>
      <c r="I1022">
        <v>1</v>
      </c>
      <c r="J1022">
        <v>0.78355790550912496</v>
      </c>
      <c r="K1022">
        <v>0.925645768335567</v>
      </c>
      <c r="L1022">
        <v>0.84869588168964605</v>
      </c>
      <c r="M1022">
        <v>0.56446540880503104</v>
      </c>
      <c r="N1022">
        <v>0.99842767295597501</v>
      </c>
      <c r="O1022">
        <v>0.69355345911949695</v>
      </c>
      <c r="P1022" t="s">
        <v>7595</v>
      </c>
      <c r="Q1022" t="s">
        <v>7596</v>
      </c>
      <c r="R1022" t="s">
        <v>157</v>
      </c>
      <c r="S1022" t="s">
        <v>158</v>
      </c>
      <c r="V1022" t="s">
        <v>7597</v>
      </c>
      <c r="W1022" t="s">
        <v>7598</v>
      </c>
      <c r="AF1022" t="s">
        <v>7600</v>
      </c>
    </row>
    <row r="1023" spans="1:32" hidden="1" x14ac:dyDescent="0.35">
      <c r="A1023">
        <v>3686</v>
      </c>
      <c r="B1023" t="s">
        <v>7594</v>
      </c>
      <c r="C1023" t="s">
        <v>72</v>
      </c>
      <c r="D1023" t="s">
        <v>62</v>
      </c>
      <c r="E1023">
        <v>818</v>
      </c>
      <c r="F1023">
        <v>5</v>
      </c>
      <c r="G1023">
        <v>5</v>
      </c>
      <c r="H1023">
        <v>1</v>
      </c>
      <c r="I1023">
        <v>1</v>
      </c>
      <c r="J1023">
        <v>0.78355790550912496</v>
      </c>
      <c r="K1023">
        <v>0.925645768335567</v>
      </c>
      <c r="L1023">
        <v>0.84869588168964605</v>
      </c>
      <c r="M1023">
        <v>0.56446540880503104</v>
      </c>
      <c r="N1023">
        <v>0.99842767295597501</v>
      </c>
      <c r="O1023">
        <v>0.69355345911949695</v>
      </c>
      <c r="P1023" t="s">
        <v>7595</v>
      </c>
      <c r="Q1023" t="s">
        <v>7596</v>
      </c>
      <c r="R1023" t="s">
        <v>157</v>
      </c>
      <c r="S1023" t="s">
        <v>158</v>
      </c>
      <c r="V1023" t="s">
        <v>7597</v>
      </c>
      <c r="W1023" t="s">
        <v>7598</v>
      </c>
      <c r="AF1023" t="s">
        <v>7601</v>
      </c>
    </row>
    <row r="1024" spans="1:32" hidden="1" x14ac:dyDescent="0.35">
      <c r="A1024">
        <v>3687</v>
      </c>
      <c r="B1024" t="s">
        <v>7594</v>
      </c>
      <c r="C1024" t="s">
        <v>72</v>
      </c>
      <c r="D1024" t="s">
        <v>34</v>
      </c>
      <c r="E1024">
        <v>348</v>
      </c>
      <c r="F1024">
        <v>5</v>
      </c>
      <c r="G1024">
        <v>5</v>
      </c>
      <c r="H1024">
        <v>1</v>
      </c>
      <c r="I1024">
        <v>1</v>
      </c>
      <c r="J1024">
        <v>0.78355790550912496</v>
      </c>
      <c r="K1024">
        <v>0.925645768335567</v>
      </c>
      <c r="L1024">
        <v>0.84869588168964605</v>
      </c>
      <c r="M1024">
        <v>0.56446540880503104</v>
      </c>
      <c r="N1024">
        <v>0.99842767295597501</v>
      </c>
      <c r="O1024">
        <v>0.69355345911949695</v>
      </c>
      <c r="P1024" t="s">
        <v>7595</v>
      </c>
      <c r="Q1024" t="s">
        <v>7596</v>
      </c>
      <c r="R1024" t="s">
        <v>157</v>
      </c>
      <c r="S1024" t="s">
        <v>158</v>
      </c>
      <c r="V1024" t="s">
        <v>7597</v>
      </c>
      <c r="W1024" t="s">
        <v>7598</v>
      </c>
      <c r="AF1024" t="s">
        <v>7602</v>
      </c>
    </row>
    <row r="1025" spans="1:32" hidden="1" x14ac:dyDescent="0.35">
      <c r="A1025">
        <v>3688</v>
      </c>
      <c r="B1025" t="s">
        <v>7594</v>
      </c>
      <c r="C1025" t="s">
        <v>72</v>
      </c>
      <c r="D1025" t="s">
        <v>45</v>
      </c>
      <c r="E1025">
        <v>1610</v>
      </c>
      <c r="F1025">
        <v>5</v>
      </c>
      <c r="G1025">
        <v>5</v>
      </c>
      <c r="H1025">
        <v>1</v>
      </c>
      <c r="I1025">
        <v>1</v>
      </c>
      <c r="J1025">
        <v>0.78355790550912496</v>
      </c>
      <c r="K1025">
        <v>0.925645768335567</v>
      </c>
      <c r="L1025">
        <v>0.84869588168964605</v>
      </c>
      <c r="M1025">
        <v>0.56446540880503104</v>
      </c>
      <c r="N1025">
        <v>0.99842767295597501</v>
      </c>
      <c r="O1025">
        <v>0.69355345911949695</v>
      </c>
      <c r="P1025" t="s">
        <v>7595</v>
      </c>
      <c r="Q1025" t="s">
        <v>7596</v>
      </c>
      <c r="R1025" t="s">
        <v>157</v>
      </c>
      <c r="S1025" t="s">
        <v>158</v>
      </c>
      <c r="V1025" t="s">
        <v>7597</v>
      </c>
      <c r="W1025" t="s">
        <v>7598</v>
      </c>
      <c r="AF1025" t="s">
        <v>7603</v>
      </c>
    </row>
    <row r="1026" spans="1:32" hidden="1" x14ac:dyDescent="0.35">
      <c r="A1026">
        <v>10978</v>
      </c>
      <c r="B1026" t="s">
        <v>22146</v>
      </c>
      <c r="C1026" t="s">
        <v>33</v>
      </c>
      <c r="D1026" t="s">
        <v>58</v>
      </c>
      <c r="E1026">
        <v>1628</v>
      </c>
      <c r="F1026">
        <v>1</v>
      </c>
      <c r="G1026">
        <v>1</v>
      </c>
      <c r="H1026">
        <v>1</v>
      </c>
      <c r="I1026">
        <v>0</v>
      </c>
      <c r="J1026">
        <v>1</v>
      </c>
      <c r="K1026">
        <v>1</v>
      </c>
      <c r="L1026">
        <v>1</v>
      </c>
      <c r="M1026">
        <v>0</v>
      </c>
      <c r="N1026">
        <v>0</v>
      </c>
      <c r="O1026">
        <v>0</v>
      </c>
      <c r="P1026" t="s">
        <v>22147</v>
      </c>
      <c r="Q1026" t="s">
        <v>22148</v>
      </c>
      <c r="R1026" t="s">
        <v>75</v>
      </c>
      <c r="S1026" t="s">
        <v>76</v>
      </c>
      <c r="V1026" t="s">
        <v>12178</v>
      </c>
      <c r="W1026" t="s">
        <v>12179</v>
      </c>
      <c r="X1026" t="s">
        <v>12178</v>
      </c>
      <c r="Y1026" t="s">
        <v>2750</v>
      </c>
      <c r="AF1026" t="s">
        <v>22149</v>
      </c>
    </row>
    <row r="1027" spans="1:32" hidden="1" x14ac:dyDescent="0.35">
      <c r="A1027">
        <v>3715</v>
      </c>
      <c r="B1027" t="s">
        <v>7659</v>
      </c>
      <c r="C1027" t="s">
        <v>72</v>
      </c>
      <c r="D1027" t="s">
        <v>60</v>
      </c>
      <c r="E1027">
        <v>1669</v>
      </c>
      <c r="F1027">
        <v>5</v>
      </c>
      <c r="G1027">
        <v>5</v>
      </c>
      <c r="H1027">
        <v>1</v>
      </c>
      <c r="I1027">
        <v>1</v>
      </c>
      <c r="J1027">
        <v>0.78265341103873798</v>
      </c>
      <c r="K1027">
        <v>0.97593544477116501</v>
      </c>
      <c r="L1027">
        <v>0.86867285924200899</v>
      </c>
      <c r="M1027">
        <v>0.551839464882943</v>
      </c>
      <c r="N1027">
        <v>0.99665551839464905</v>
      </c>
      <c r="O1027">
        <v>0.67491638795986597</v>
      </c>
      <c r="P1027" t="s">
        <v>7660</v>
      </c>
      <c r="Q1027" t="s">
        <v>7661</v>
      </c>
      <c r="R1027" t="s">
        <v>157</v>
      </c>
      <c r="S1027" t="s">
        <v>158</v>
      </c>
      <c r="T1027" t="s">
        <v>7662</v>
      </c>
      <c r="U1027" t="s">
        <v>7663</v>
      </c>
      <c r="V1027" t="s">
        <v>7664</v>
      </c>
      <c r="W1027" t="s">
        <v>7665</v>
      </c>
      <c r="AD1027" t="s">
        <v>219</v>
      </c>
      <c r="AE1027" t="s">
        <v>7666</v>
      </c>
      <c r="AF1027" t="s">
        <v>7668</v>
      </c>
    </row>
    <row r="1028" spans="1:32" hidden="1" x14ac:dyDescent="0.35">
      <c r="A1028">
        <v>3716</v>
      </c>
      <c r="B1028" t="s">
        <v>7659</v>
      </c>
      <c r="C1028" t="s">
        <v>72</v>
      </c>
      <c r="D1028" t="s">
        <v>62</v>
      </c>
      <c r="E1028">
        <v>1704</v>
      </c>
      <c r="F1028">
        <v>5</v>
      </c>
      <c r="G1028">
        <v>5</v>
      </c>
      <c r="H1028">
        <v>1</v>
      </c>
      <c r="I1028">
        <v>1</v>
      </c>
      <c r="J1028">
        <v>0.78265341103873798</v>
      </c>
      <c r="K1028">
        <v>0.97593544477116501</v>
      </c>
      <c r="L1028">
        <v>0.86867285924200899</v>
      </c>
      <c r="M1028">
        <v>0.551839464882943</v>
      </c>
      <c r="N1028">
        <v>0.99665551839464905</v>
      </c>
      <c r="O1028">
        <v>0.67491638795986597</v>
      </c>
      <c r="P1028" t="s">
        <v>7660</v>
      </c>
      <c r="Q1028" t="s">
        <v>7661</v>
      </c>
      <c r="R1028" t="s">
        <v>157</v>
      </c>
      <c r="S1028" t="s">
        <v>158</v>
      </c>
      <c r="T1028" t="s">
        <v>7662</v>
      </c>
      <c r="U1028" t="s">
        <v>7663</v>
      </c>
      <c r="V1028" t="s">
        <v>7664</v>
      </c>
      <c r="W1028" t="s">
        <v>7665</v>
      </c>
      <c r="AD1028" t="s">
        <v>219</v>
      </c>
      <c r="AE1028" t="s">
        <v>7666</v>
      </c>
      <c r="AF1028" t="s">
        <v>7669</v>
      </c>
    </row>
    <row r="1029" spans="1:32" hidden="1" x14ac:dyDescent="0.35">
      <c r="A1029">
        <v>3717</v>
      </c>
      <c r="B1029" t="s">
        <v>7659</v>
      </c>
      <c r="C1029" t="s">
        <v>72</v>
      </c>
      <c r="D1029" t="s">
        <v>34</v>
      </c>
      <c r="E1029">
        <v>2064</v>
      </c>
      <c r="F1029">
        <v>5</v>
      </c>
      <c r="G1029">
        <v>5</v>
      </c>
      <c r="H1029">
        <v>1</v>
      </c>
      <c r="I1029">
        <v>1</v>
      </c>
      <c r="J1029">
        <v>0.78265341103873798</v>
      </c>
      <c r="K1029">
        <v>0.97593544477116501</v>
      </c>
      <c r="L1029">
        <v>0.86867285924200899</v>
      </c>
      <c r="M1029">
        <v>0.551839464882943</v>
      </c>
      <c r="N1029">
        <v>0.99665551839464905</v>
      </c>
      <c r="O1029">
        <v>0.67491638795986597</v>
      </c>
      <c r="P1029" t="s">
        <v>7660</v>
      </c>
      <c r="Q1029" t="s">
        <v>7661</v>
      </c>
      <c r="R1029" t="s">
        <v>157</v>
      </c>
      <c r="S1029" t="s">
        <v>158</v>
      </c>
      <c r="T1029" t="s">
        <v>7662</v>
      </c>
      <c r="U1029" t="s">
        <v>7663</v>
      </c>
      <c r="V1029" t="s">
        <v>7664</v>
      </c>
      <c r="W1029" t="s">
        <v>7665</v>
      </c>
      <c r="AD1029" t="s">
        <v>219</v>
      </c>
      <c r="AE1029" t="s">
        <v>7666</v>
      </c>
      <c r="AF1029" t="s">
        <v>7670</v>
      </c>
    </row>
    <row r="1030" spans="1:32" hidden="1" x14ac:dyDescent="0.35">
      <c r="A1030">
        <v>3718</v>
      </c>
      <c r="B1030" t="s">
        <v>7659</v>
      </c>
      <c r="C1030" t="s">
        <v>72</v>
      </c>
      <c r="D1030" t="s">
        <v>45</v>
      </c>
      <c r="E1030">
        <v>808</v>
      </c>
      <c r="F1030">
        <v>5</v>
      </c>
      <c r="G1030">
        <v>5</v>
      </c>
      <c r="H1030">
        <v>1</v>
      </c>
      <c r="I1030">
        <v>1</v>
      </c>
      <c r="J1030">
        <v>0.78265341103873798</v>
      </c>
      <c r="K1030">
        <v>0.97593544477116501</v>
      </c>
      <c r="L1030">
        <v>0.86867285924200899</v>
      </c>
      <c r="M1030">
        <v>0.551839464882943</v>
      </c>
      <c r="N1030">
        <v>0.99665551839464905</v>
      </c>
      <c r="O1030">
        <v>0.67491638795986597</v>
      </c>
      <c r="P1030" t="s">
        <v>7660</v>
      </c>
      <c r="Q1030" t="s">
        <v>7661</v>
      </c>
      <c r="R1030" t="s">
        <v>157</v>
      </c>
      <c r="S1030" t="s">
        <v>158</v>
      </c>
      <c r="T1030" t="s">
        <v>7662</v>
      </c>
      <c r="U1030" t="s">
        <v>7663</v>
      </c>
      <c r="V1030" t="s">
        <v>7664</v>
      </c>
      <c r="W1030" t="s">
        <v>7665</v>
      </c>
      <c r="AD1030" t="s">
        <v>219</v>
      </c>
      <c r="AE1030" t="s">
        <v>7666</v>
      </c>
      <c r="AF1030" t="s">
        <v>7671</v>
      </c>
    </row>
    <row r="1031" spans="1:32" hidden="1" x14ac:dyDescent="0.35">
      <c r="A1031">
        <v>11234</v>
      </c>
      <c r="B1031" t="s">
        <v>22826</v>
      </c>
      <c r="C1031" t="s">
        <v>33</v>
      </c>
      <c r="D1031" t="s">
        <v>58</v>
      </c>
      <c r="E1031">
        <v>1269</v>
      </c>
      <c r="F1031">
        <v>1</v>
      </c>
      <c r="G1031">
        <v>1</v>
      </c>
      <c r="H1031">
        <v>1</v>
      </c>
      <c r="I1031">
        <v>0</v>
      </c>
      <c r="J1031">
        <v>1</v>
      </c>
      <c r="K1031">
        <v>1</v>
      </c>
      <c r="L1031">
        <v>1</v>
      </c>
      <c r="M1031">
        <v>0</v>
      </c>
      <c r="N1031">
        <v>0</v>
      </c>
      <c r="O1031">
        <v>0</v>
      </c>
      <c r="P1031" t="s">
        <v>22827</v>
      </c>
      <c r="Q1031" t="s">
        <v>22828</v>
      </c>
      <c r="R1031" t="s">
        <v>75</v>
      </c>
      <c r="S1031" t="s">
        <v>76</v>
      </c>
      <c r="V1031" t="s">
        <v>12178</v>
      </c>
      <c r="W1031" t="s">
        <v>12179</v>
      </c>
      <c r="X1031" t="s">
        <v>12178</v>
      </c>
      <c r="Y1031" t="s">
        <v>2750</v>
      </c>
      <c r="AF1031" t="s">
        <v>22829</v>
      </c>
    </row>
    <row r="1032" spans="1:32" hidden="1" x14ac:dyDescent="0.35">
      <c r="A1032">
        <v>3760</v>
      </c>
      <c r="B1032" t="s">
        <v>7757</v>
      </c>
      <c r="C1032" t="s">
        <v>72</v>
      </c>
      <c r="D1032" t="s">
        <v>60</v>
      </c>
      <c r="E1032">
        <v>1428</v>
      </c>
      <c r="F1032">
        <v>5</v>
      </c>
      <c r="G1032">
        <v>5</v>
      </c>
      <c r="H1032">
        <v>1</v>
      </c>
      <c r="I1032">
        <v>1</v>
      </c>
      <c r="J1032">
        <v>0.79785478547854805</v>
      </c>
      <c r="K1032">
        <v>0.898494654585553</v>
      </c>
      <c r="L1032">
        <v>0.84518937308210496</v>
      </c>
      <c r="M1032">
        <v>0.584352078239609</v>
      </c>
      <c r="N1032">
        <v>0.99511002444987795</v>
      </c>
      <c r="O1032">
        <v>0.72298288508557496</v>
      </c>
      <c r="P1032" t="s">
        <v>7762</v>
      </c>
      <c r="Q1032" t="s">
        <v>364</v>
      </c>
      <c r="R1032" t="s">
        <v>157</v>
      </c>
      <c r="S1032" t="s">
        <v>158</v>
      </c>
      <c r="T1032" t="s">
        <v>7758</v>
      </c>
      <c r="U1032" t="s">
        <v>7759</v>
      </c>
      <c r="V1032" t="s">
        <v>358</v>
      </c>
      <c r="W1032" t="s">
        <v>359</v>
      </c>
      <c r="AD1032" t="s">
        <v>640</v>
      </c>
      <c r="AE1032" t="s">
        <v>7760</v>
      </c>
      <c r="AF1032" t="s">
        <v>7763</v>
      </c>
    </row>
    <row r="1033" spans="1:32" hidden="1" x14ac:dyDescent="0.35">
      <c r="A1033">
        <v>3761</v>
      </c>
      <c r="B1033" t="s">
        <v>7757</v>
      </c>
      <c r="C1033" t="s">
        <v>72</v>
      </c>
      <c r="D1033" t="s">
        <v>62</v>
      </c>
      <c r="E1033">
        <v>1463</v>
      </c>
      <c r="F1033">
        <v>5</v>
      </c>
      <c r="G1033">
        <v>5</v>
      </c>
      <c r="H1033">
        <v>1</v>
      </c>
      <c r="I1033">
        <v>1</v>
      </c>
      <c r="J1033">
        <v>0.79785478547854805</v>
      </c>
      <c r="K1033">
        <v>0.898494654585553</v>
      </c>
      <c r="L1033">
        <v>0.84518937308210496</v>
      </c>
      <c r="M1033">
        <v>0.584352078239609</v>
      </c>
      <c r="N1033">
        <v>0.99511002444987795</v>
      </c>
      <c r="O1033">
        <v>0.72298288508557496</v>
      </c>
      <c r="P1033" t="s">
        <v>7762</v>
      </c>
      <c r="Q1033" t="s">
        <v>364</v>
      </c>
      <c r="R1033" t="s">
        <v>157</v>
      </c>
      <c r="S1033" t="s">
        <v>158</v>
      </c>
      <c r="T1033" t="s">
        <v>7758</v>
      </c>
      <c r="U1033" t="s">
        <v>7759</v>
      </c>
      <c r="V1033" t="s">
        <v>358</v>
      </c>
      <c r="W1033" t="s">
        <v>359</v>
      </c>
      <c r="AD1033" t="s">
        <v>640</v>
      </c>
      <c r="AE1033" t="s">
        <v>7760</v>
      </c>
      <c r="AF1033" t="s">
        <v>7764</v>
      </c>
    </row>
    <row r="1034" spans="1:32" hidden="1" x14ac:dyDescent="0.35">
      <c r="A1034">
        <v>3762</v>
      </c>
      <c r="B1034" t="s">
        <v>7757</v>
      </c>
      <c r="C1034" t="s">
        <v>72</v>
      </c>
      <c r="D1034" t="s">
        <v>34</v>
      </c>
      <c r="E1034">
        <v>1854</v>
      </c>
      <c r="F1034">
        <v>5</v>
      </c>
      <c r="G1034">
        <v>5</v>
      </c>
      <c r="H1034">
        <v>1</v>
      </c>
      <c r="I1034">
        <v>1</v>
      </c>
      <c r="J1034">
        <v>0.79785478547854805</v>
      </c>
      <c r="K1034">
        <v>0.898494654585553</v>
      </c>
      <c r="L1034">
        <v>0.84518937308210496</v>
      </c>
      <c r="M1034">
        <v>0.584352078239609</v>
      </c>
      <c r="N1034">
        <v>0.99511002444987795</v>
      </c>
      <c r="O1034">
        <v>0.72298288508557496</v>
      </c>
      <c r="P1034" t="s">
        <v>354</v>
      </c>
      <c r="Q1034" t="s">
        <v>355</v>
      </c>
      <c r="R1034" t="s">
        <v>157</v>
      </c>
      <c r="S1034" t="s">
        <v>158</v>
      </c>
      <c r="T1034" t="s">
        <v>7758</v>
      </c>
      <c r="U1034" t="s">
        <v>7759</v>
      </c>
      <c r="V1034" t="s">
        <v>358</v>
      </c>
      <c r="W1034" t="s">
        <v>359</v>
      </c>
      <c r="AD1034" t="s">
        <v>640</v>
      </c>
      <c r="AE1034" t="s">
        <v>7760</v>
      </c>
      <c r="AF1034" t="s">
        <v>7765</v>
      </c>
    </row>
    <row r="1035" spans="1:32" hidden="1" x14ac:dyDescent="0.35">
      <c r="A1035">
        <v>3763</v>
      </c>
      <c r="B1035" t="s">
        <v>7757</v>
      </c>
      <c r="C1035" t="s">
        <v>72</v>
      </c>
      <c r="D1035" t="s">
        <v>45</v>
      </c>
      <c r="E1035">
        <v>1019</v>
      </c>
      <c r="F1035">
        <v>5</v>
      </c>
      <c r="G1035">
        <v>5</v>
      </c>
      <c r="H1035">
        <v>1</v>
      </c>
      <c r="I1035">
        <v>1</v>
      </c>
      <c r="J1035">
        <v>0.79785478547854805</v>
      </c>
      <c r="K1035">
        <v>0.898494654585553</v>
      </c>
      <c r="L1035">
        <v>0.84518937308210496</v>
      </c>
      <c r="M1035">
        <v>0.584352078239609</v>
      </c>
      <c r="N1035">
        <v>0.99511002444987795</v>
      </c>
      <c r="O1035">
        <v>0.72298288508557496</v>
      </c>
      <c r="P1035" t="s">
        <v>354</v>
      </c>
      <c r="Q1035" t="s">
        <v>355</v>
      </c>
      <c r="R1035" t="s">
        <v>157</v>
      </c>
      <c r="S1035" t="s">
        <v>158</v>
      </c>
      <c r="T1035" t="s">
        <v>7758</v>
      </c>
      <c r="U1035" t="s">
        <v>7759</v>
      </c>
      <c r="V1035" t="s">
        <v>358</v>
      </c>
      <c r="W1035" t="s">
        <v>359</v>
      </c>
      <c r="AD1035" t="s">
        <v>640</v>
      </c>
      <c r="AE1035" t="s">
        <v>7760</v>
      </c>
      <c r="AF1035" t="s">
        <v>7766</v>
      </c>
    </row>
    <row r="1036" spans="1:32" hidden="1" x14ac:dyDescent="0.35">
      <c r="A1036">
        <v>11363</v>
      </c>
      <c r="B1036" t="s">
        <v>23145</v>
      </c>
      <c r="C1036" t="s">
        <v>33</v>
      </c>
      <c r="D1036" t="s">
        <v>58</v>
      </c>
      <c r="E1036">
        <v>793</v>
      </c>
      <c r="F1036">
        <v>1</v>
      </c>
      <c r="G1036">
        <v>1</v>
      </c>
      <c r="H1036">
        <v>1</v>
      </c>
      <c r="I1036">
        <v>0</v>
      </c>
      <c r="J1036">
        <v>1</v>
      </c>
      <c r="K1036">
        <v>1</v>
      </c>
      <c r="L1036">
        <v>1</v>
      </c>
      <c r="M1036">
        <v>0</v>
      </c>
      <c r="N1036">
        <v>0</v>
      </c>
      <c r="O1036">
        <v>0</v>
      </c>
      <c r="R1036" t="s">
        <v>75</v>
      </c>
      <c r="S1036" t="s">
        <v>76</v>
      </c>
      <c r="V1036" t="s">
        <v>12178</v>
      </c>
      <c r="W1036" t="s">
        <v>12179</v>
      </c>
      <c r="X1036" t="s">
        <v>12178</v>
      </c>
      <c r="Y1036" t="s">
        <v>2750</v>
      </c>
      <c r="AF1036" t="s">
        <v>23146</v>
      </c>
    </row>
    <row r="1037" spans="1:32" hidden="1" x14ac:dyDescent="0.35">
      <c r="A1037">
        <v>3855</v>
      </c>
      <c r="B1037" t="s">
        <v>7949</v>
      </c>
      <c r="C1037" t="s">
        <v>72</v>
      </c>
      <c r="D1037" t="s">
        <v>60</v>
      </c>
      <c r="E1037">
        <v>1399</v>
      </c>
      <c r="F1037">
        <v>5</v>
      </c>
      <c r="G1037">
        <v>5</v>
      </c>
      <c r="H1037">
        <v>1</v>
      </c>
      <c r="I1037">
        <v>1</v>
      </c>
      <c r="J1037">
        <v>0.73943783410932895</v>
      </c>
      <c r="K1037">
        <v>0.95782251922462303</v>
      </c>
      <c r="L1037">
        <v>0.83458051404473199</v>
      </c>
      <c r="M1037">
        <v>0.52722772277227703</v>
      </c>
      <c r="N1037">
        <v>0.99752475247524797</v>
      </c>
      <c r="O1037">
        <v>0.65990099009901004</v>
      </c>
      <c r="P1037" t="s">
        <v>7950</v>
      </c>
      <c r="Q1037" t="s">
        <v>7951</v>
      </c>
      <c r="R1037" t="s">
        <v>157</v>
      </c>
      <c r="S1037" t="s">
        <v>158</v>
      </c>
      <c r="T1037" t="s">
        <v>7952</v>
      </c>
      <c r="U1037" t="s">
        <v>7953</v>
      </c>
      <c r="V1037" t="s">
        <v>7954</v>
      </c>
      <c r="W1037" t="s">
        <v>7955</v>
      </c>
      <c r="AD1037" t="s">
        <v>7956</v>
      </c>
      <c r="AE1037" t="s">
        <v>7957</v>
      </c>
      <c r="AF1037" t="s">
        <v>7959</v>
      </c>
    </row>
    <row r="1038" spans="1:32" hidden="1" x14ac:dyDescent="0.35">
      <c r="A1038">
        <v>3856</v>
      </c>
      <c r="B1038" t="s">
        <v>7949</v>
      </c>
      <c r="C1038" t="s">
        <v>72</v>
      </c>
      <c r="D1038" t="s">
        <v>62</v>
      </c>
      <c r="E1038">
        <v>1434</v>
      </c>
      <c r="F1038">
        <v>5</v>
      </c>
      <c r="G1038">
        <v>5</v>
      </c>
      <c r="H1038">
        <v>1</v>
      </c>
      <c r="I1038">
        <v>1</v>
      </c>
      <c r="J1038">
        <v>0.73943783410932895</v>
      </c>
      <c r="K1038">
        <v>0.95782251922462303</v>
      </c>
      <c r="L1038">
        <v>0.83458051404473199</v>
      </c>
      <c r="M1038">
        <v>0.52722772277227703</v>
      </c>
      <c r="N1038">
        <v>0.99752475247524797</v>
      </c>
      <c r="O1038">
        <v>0.65990099009901004</v>
      </c>
      <c r="P1038" t="s">
        <v>7950</v>
      </c>
      <c r="Q1038" t="s">
        <v>7951</v>
      </c>
      <c r="R1038" t="s">
        <v>157</v>
      </c>
      <c r="S1038" t="s">
        <v>158</v>
      </c>
      <c r="T1038" t="s">
        <v>7952</v>
      </c>
      <c r="U1038" t="s">
        <v>7953</v>
      </c>
      <c r="V1038" t="s">
        <v>7954</v>
      </c>
      <c r="W1038" t="s">
        <v>7955</v>
      </c>
      <c r="AD1038" t="s">
        <v>7956</v>
      </c>
      <c r="AE1038" t="s">
        <v>7957</v>
      </c>
      <c r="AF1038" t="s">
        <v>7960</v>
      </c>
    </row>
    <row r="1039" spans="1:32" hidden="1" x14ac:dyDescent="0.35">
      <c r="A1039">
        <v>3857</v>
      </c>
      <c r="B1039" t="s">
        <v>7949</v>
      </c>
      <c r="C1039" t="s">
        <v>72</v>
      </c>
      <c r="D1039" t="s">
        <v>34</v>
      </c>
      <c r="E1039">
        <v>1822</v>
      </c>
      <c r="F1039">
        <v>5</v>
      </c>
      <c r="G1039">
        <v>5</v>
      </c>
      <c r="H1039">
        <v>1</v>
      </c>
      <c r="I1039">
        <v>1</v>
      </c>
      <c r="J1039">
        <v>0.73943783410932895</v>
      </c>
      <c r="K1039">
        <v>0.95782251922462303</v>
      </c>
      <c r="L1039">
        <v>0.83458051404473199</v>
      </c>
      <c r="M1039">
        <v>0.52722772277227703</v>
      </c>
      <c r="N1039">
        <v>0.99752475247524797</v>
      </c>
      <c r="O1039">
        <v>0.65990099009901004</v>
      </c>
      <c r="P1039" t="s">
        <v>7950</v>
      </c>
      <c r="Q1039" t="s">
        <v>7951</v>
      </c>
      <c r="R1039" t="s">
        <v>157</v>
      </c>
      <c r="S1039" t="s">
        <v>158</v>
      </c>
      <c r="T1039" t="s">
        <v>7952</v>
      </c>
      <c r="U1039" t="s">
        <v>7953</v>
      </c>
      <c r="V1039" t="s">
        <v>7954</v>
      </c>
      <c r="W1039" t="s">
        <v>7955</v>
      </c>
      <c r="AD1039" t="s">
        <v>7956</v>
      </c>
      <c r="AE1039" t="s">
        <v>7957</v>
      </c>
      <c r="AF1039" t="s">
        <v>7961</v>
      </c>
    </row>
    <row r="1040" spans="1:32" hidden="1" x14ac:dyDescent="0.35">
      <c r="A1040">
        <v>3858</v>
      </c>
      <c r="B1040" t="s">
        <v>7949</v>
      </c>
      <c r="C1040" t="s">
        <v>72</v>
      </c>
      <c r="D1040" t="s">
        <v>45</v>
      </c>
      <c r="E1040">
        <v>1051</v>
      </c>
      <c r="F1040">
        <v>5</v>
      </c>
      <c r="G1040">
        <v>5</v>
      </c>
      <c r="H1040">
        <v>1</v>
      </c>
      <c r="I1040">
        <v>1</v>
      </c>
      <c r="J1040">
        <v>0.73943783410932895</v>
      </c>
      <c r="K1040">
        <v>0.95782251922462303</v>
      </c>
      <c r="L1040">
        <v>0.83458051404473199</v>
      </c>
      <c r="M1040">
        <v>0.52722772277227703</v>
      </c>
      <c r="N1040">
        <v>0.99752475247524797</v>
      </c>
      <c r="O1040">
        <v>0.65990099009901004</v>
      </c>
      <c r="P1040" t="s">
        <v>7950</v>
      </c>
      <c r="Q1040" t="s">
        <v>7951</v>
      </c>
      <c r="R1040" t="s">
        <v>157</v>
      </c>
      <c r="S1040" t="s">
        <v>158</v>
      </c>
      <c r="T1040" t="s">
        <v>7952</v>
      </c>
      <c r="U1040" t="s">
        <v>7953</v>
      </c>
      <c r="V1040" t="s">
        <v>7954</v>
      </c>
      <c r="W1040" t="s">
        <v>7955</v>
      </c>
      <c r="AD1040" t="s">
        <v>7956</v>
      </c>
      <c r="AE1040" t="s">
        <v>7957</v>
      </c>
      <c r="AF1040" t="s">
        <v>7961</v>
      </c>
    </row>
    <row r="1041" spans="1:32" hidden="1" x14ac:dyDescent="0.35">
      <c r="A1041">
        <v>11543</v>
      </c>
      <c r="B1041" t="s">
        <v>23591</v>
      </c>
      <c r="C1041" t="s">
        <v>33</v>
      </c>
      <c r="D1041" t="s">
        <v>58</v>
      </c>
      <c r="E1041">
        <v>1261</v>
      </c>
      <c r="F1041">
        <v>1</v>
      </c>
      <c r="G1041">
        <v>1</v>
      </c>
      <c r="H1041">
        <v>1</v>
      </c>
      <c r="I1041">
        <v>0</v>
      </c>
      <c r="J1041">
        <v>1</v>
      </c>
      <c r="K1041">
        <v>1</v>
      </c>
      <c r="L1041">
        <v>1</v>
      </c>
      <c r="M1041">
        <v>0</v>
      </c>
      <c r="N1041">
        <v>0</v>
      </c>
      <c r="O1041">
        <v>0</v>
      </c>
      <c r="P1041" t="s">
        <v>22147</v>
      </c>
      <c r="Q1041" t="s">
        <v>22148</v>
      </c>
      <c r="R1041" t="s">
        <v>75</v>
      </c>
      <c r="S1041" t="s">
        <v>76</v>
      </c>
      <c r="T1041" t="s">
        <v>23592</v>
      </c>
      <c r="U1041" t="s">
        <v>23593</v>
      </c>
      <c r="V1041" t="s">
        <v>12178</v>
      </c>
      <c r="W1041" t="s">
        <v>12179</v>
      </c>
      <c r="X1041" t="s">
        <v>12178</v>
      </c>
      <c r="Y1041" t="s">
        <v>2750</v>
      </c>
      <c r="Z1041" t="s">
        <v>23594</v>
      </c>
      <c r="AA1041" t="s">
        <v>23595</v>
      </c>
      <c r="AB1041" t="s">
        <v>23594</v>
      </c>
      <c r="AC1041" t="s">
        <v>23596</v>
      </c>
      <c r="AD1041" t="s">
        <v>1140</v>
      </c>
      <c r="AE1041" t="s">
        <v>23597</v>
      </c>
      <c r="AF1041" t="s">
        <v>23598</v>
      </c>
    </row>
    <row r="1042" spans="1:32" hidden="1" x14ac:dyDescent="0.35">
      <c r="A1042">
        <v>3960</v>
      </c>
      <c r="B1042" t="s">
        <v>8180</v>
      </c>
      <c r="C1042" t="s">
        <v>72</v>
      </c>
      <c r="D1042" t="s">
        <v>60</v>
      </c>
      <c r="E1042">
        <v>774</v>
      </c>
      <c r="F1042">
        <v>5</v>
      </c>
      <c r="G1042">
        <v>5</v>
      </c>
      <c r="H1042">
        <v>1</v>
      </c>
      <c r="I1042">
        <v>1</v>
      </c>
      <c r="J1042">
        <v>0.74974747474747505</v>
      </c>
      <c r="K1042">
        <v>0.95747381783560903</v>
      </c>
      <c r="L1042">
        <v>0.84097308319405895</v>
      </c>
      <c r="M1042">
        <v>0.54347826086956497</v>
      </c>
      <c r="N1042">
        <v>0.97101449275362295</v>
      </c>
      <c r="O1042">
        <v>0.66159420289855098</v>
      </c>
      <c r="P1042" t="s">
        <v>8181</v>
      </c>
      <c r="Q1042" t="s">
        <v>8182</v>
      </c>
      <c r="R1042" t="s">
        <v>157</v>
      </c>
      <c r="S1042" t="s">
        <v>158</v>
      </c>
      <c r="T1042" t="s">
        <v>8183</v>
      </c>
      <c r="U1042" t="s">
        <v>8184</v>
      </c>
      <c r="V1042" t="s">
        <v>8185</v>
      </c>
      <c r="W1042" t="s">
        <v>8186</v>
      </c>
      <c r="AD1042" t="s">
        <v>166</v>
      </c>
      <c r="AE1042" t="s">
        <v>2843</v>
      </c>
      <c r="AF1042" t="s">
        <v>8188</v>
      </c>
    </row>
    <row r="1043" spans="1:32" hidden="1" x14ac:dyDescent="0.35">
      <c r="A1043">
        <v>3961</v>
      </c>
      <c r="B1043" t="s">
        <v>8180</v>
      </c>
      <c r="C1043" t="s">
        <v>72</v>
      </c>
      <c r="D1043" t="s">
        <v>62</v>
      </c>
      <c r="E1043">
        <v>807</v>
      </c>
      <c r="F1043">
        <v>5</v>
      </c>
      <c r="G1043">
        <v>5</v>
      </c>
      <c r="H1043">
        <v>1</v>
      </c>
      <c r="I1043">
        <v>1</v>
      </c>
      <c r="J1043">
        <v>0.74974747474747505</v>
      </c>
      <c r="K1043">
        <v>0.95747381783560903</v>
      </c>
      <c r="L1043">
        <v>0.84097308319405895</v>
      </c>
      <c r="M1043">
        <v>0.54347826086956497</v>
      </c>
      <c r="N1043">
        <v>0.97101449275362295</v>
      </c>
      <c r="O1043">
        <v>0.66159420289855098</v>
      </c>
      <c r="P1043" t="s">
        <v>8181</v>
      </c>
      <c r="Q1043" t="s">
        <v>8182</v>
      </c>
      <c r="R1043" t="s">
        <v>157</v>
      </c>
      <c r="S1043" t="s">
        <v>158</v>
      </c>
      <c r="T1043" t="s">
        <v>8183</v>
      </c>
      <c r="U1043" t="s">
        <v>8184</v>
      </c>
      <c r="V1043" t="s">
        <v>8185</v>
      </c>
      <c r="W1043" t="s">
        <v>8186</v>
      </c>
      <c r="AD1043" t="s">
        <v>166</v>
      </c>
      <c r="AE1043" t="s">
        <v>2843</v>
      </c>
      <c r="AF1043" t="s">
        <v>8189</v>
      </c>
    </row>
    <row r="1044" spans="1:32" hidden="1" x14ac:dyDescent="0.35">
      <c r="A1044">
        <v>3962</v>
      </c>
      <c r="B1044" t="s">
        <v>8180</v>
      </c>
      <c r="C1044" t="s">
        <v>72</v>
      </c>
      <c r="D1044" t="s">
        <v>34</v>
      </c>
      <c r="E1044">
        <v>359</v>
      </c>
      <c r="F1044">
        <v>5</v>
      </c>
      <c r="G1044">
        <v>5</v>
      </c>
      <c r="H1044">
        <v>1</v>
      </c>
      <c r="I1044">
        <v>1</v>
      </c>
      <c r="J1044">
        <v>0.74974747474747505</v>
      </c>
      <c r="K1044">
        <v>0.95747381783560903</v>
      </c>
      <c r="L1044">
        <v>0.84097308319405895</v>
      </c>
      <c r="M1044">
        <v>0.54347826086956497</v>
      </c>
      <c r="N1044">
        <v>0.97101449275362295</v>
      </c>
      <c r="O1044">
        <v>0.66159420289855098</v>
      </c>
      <c r="P1044" t="s">
        <v>8181</v>
      </c>
      <c r="Q1044" t="s">
        <v>8182</v>
      </c>
      <c r="R1044" t="s">
        <v>157</v>
      </c>
      <c r="S1044" t="s">
        <v>158</v>
      </c>
      <c r="T1044" t="s">
        <v>8183</v>
      </c>
      <c r="U1044" t="s">
        <v>8184</v>
      </c>
      <c r="V1044" t="s">
        <v>8185</v>
      </c>
      <c r="W1044" t="s">
        <v>8186</v>
      </c>
      <c r="AD1044" t="s">
        <v>166</v>
      </c>
      <c r="AE1044" t="s">
        <v>2843</v>
      </c>
      <c r="AF1044" t="s">
        <v>8190</v>
      </c>
    </row>
    <row r="1045" spans="1:32" hidden="1" x14ac:dyDescent="0.35">
      <c r="A1045">
        <v>3963</v>
      </c>
      <c r="B1045" t="s">
        <v>8180</v>
      </c>
      <c r="C1045" t="s">
        <v>72</v>
      </c>
      <c r="D1045" t="s">
        <v>45</v>
      </c>
      <c r="E1045">
        <v>1621</v>
      </c>
      <c r="F1045">
        <v>5</v>
      </c>
      <c r="G1045">
        <v>5</v>
      </c>
      <c r="H1045">
        <v>1</v>
      </c>
      <c r="I1045">
        <v>1</v>
      </c>
      <c r="J1045">
        <v>0.74974747474747505</v>
      </c>
      <c r="K1045">
        <v>0.95747381783560903</v>
      </c>
      <c r="L1045">
        <v>0.84097308319405895</v>
      </c>
      <c r="M1045">
        <v>0.54347826086956497</v>
      </c>
      <c r="N1045">
        <v>0.97101449275362295</v>
      </c>
      <c r="O1045">
        <v>0.66159420289855098</v>
      </c>
      <c r="P1045" t="s">
        <v>8181</v>
      </c>
      <c r="Q1045" t="s">
        <v>8182</v>
      </c>
      <c r="R1045" t="s">
        <v>157</v>
      </c>
      <c r="S1045" t="s">
        <v>158</v>
      </c>
      <c r="T1045" t="s">
        <v>8183</v>
      </c>
      <c r="U1045" t="s">
        <v>8184</v>
      </c>
      <c r="V1045" t="s">
        <v>8185</v>
      </c>
      <c r="W1045" t="s">
        <v>8186</v>
      </c>
      <c r="AD1045" t="s">
        <v>166</v>
      </c>
      <c r="AE1045" t="s">
        <v>2843</v>
      </c>
      <c r="AF1045" t="s">
        <v>8191</v>
      </c>
    </row>
    <row r="1046" spans="1:32" hidden="1" x14ac:dyDescent="0.35">
      <c r="A1046">
        <v>6122</v>
      </c>
      <c r="B1046" t="s">
        <v>12585</v>
      </c>
      <c r="C1046" t="s">
        <v>68</v>
      </c>
      <c r="D1046" t="s">
        <v>58</v>
      </c>
      <c r="E1046">
        <v>1641</v>
      </c>
      <c r="F1046">
        <v>3</v>
      </c>
      <c r="G1046">
        <v>3</v>
      </c>
      <c r="H1046">
        <v>1</v>
      </c>
      <c r="I1046">
        <v>0</v>
      </c>
      <c r="J1046">
        <v>0.907881269191402</v>
      </c>
      <c r="K1046">
        <v>0.97247892275151304</v>
      </c>
      <c r="L1046">
        <v>0.93907050620685995</v>
      </c>
      <c r="M1046">
        <v>0.8</v>
      </c>
      <c r="N1046">
        <v>1</v>
      </c>
      <c r="O1046">
        <v>0.86666666666666703</v>
      </c>
      <c r="P1046" t="s">
        <v>12586</v>
      </c>
      <c r="Q1046" t="s">
        <v>12587</v>
      </c>
      <c r="R1046" t="s">
        <v>75</v>
      </c>
      <c r="S1046" t="s">
        <v>76</v>
      </c>
      <c r="T1046" t="s">
        <v>12588</v>
      </c>
      <c r="U1046" t="s">
        <v>12589</v>
      </c>
      <c r="V1046" t="s">
        <v>12590</v>
      </c>
      <c r="W1046" t="s">
        <v>12591</v>
      </c>
      <c r="AD1046" t="s">
        <v>2751</v>
      </c>
      <c r="AE1046" t="s">
        <v>10288</v>
      </c>
      <c r="AF1046" t="s">
        <v>12592</v>
      </c>
    </row>
    <row r="1047" spans="1:32" hidden="1" x14ac:dyDescent="0.35">
      <c r="A1047">
        <v>3980</v>
      </c>
      <c r="B1047" t="s">
        <v>8224</v>
      </c>
      <c r="C1047" t="s">
        <v>72</v>
      </c>
      <c r="D1047" t="s">
        <v>60</v>
      </c>
      <c r="E1047">
        <v>153</v>
      </c>
      <c r="F1047">
        <v>5</v>
      </c>
      <c r="G1047">
        <v>5</v>
      </c>
      <c r="H1047">
        <v>1</v>
      </c>
      <c r="I1047">
        <v>1</v>
      </c>
      <c r="J1047">
        <v>0.81556847545219602</v>
      </c>
      <c r="K1047">
        <v>0.95042534032523096</v>
      </c>
      <c r="L1047">
        <v>0.87784785984536595</v>
      </c>
      <c r="M1047">
        <v>0.64367816091954</v>
      </c>
      <c r="N1047">
        <v>0.99080459770114904</v>
      </c>
      <c r="O1047">
        <v>0.728275862068966</v>
      </c>
      <c r="P1047" t="s">
        <v>8225</v>
      </c>
      <c r="Q1047" t="s">
        <v>8226</v>
      </c>
      <c r="R1047" t="s">
        <v>157</v>
      </c>
      <c r="S1047" t="s">
        <v>158</v>
      </c>
      <c r="T1047" t="s">
        <v>8227</v>
      </c>
      <c r="U1047" t="s">
        <v>1393</v>
      </c>
      <c r="V1047" t="s">
        <v>8228</v>
      </c>
      <c r="W1047" t="s">
        <v>8229</v>
      </c>
      <c r="X1047" t="s">
        <v>8228</v>
      </c>
      <c r="Y1047" t="s">
        <v>1357</v>
      </c>
      <c r="AD1047" t="s">
        <v>219</v>
      </c>
      <c r="AE1047" t="s">
        <v>1396</v>
      </c>
      <c r="AF1047" t="s">
        <v>8230</v>
      </c>
    </row>
    <row r="1048" spans="1:32" hidden="1" x14ac:dyDescent="0.35">
      <c r="A1048">
        <v>3981</v>
      </c>
      <c r="B1048" t="s">
        <v>8224</v>
      </c>
      <c r="C1048" t="s">
        <v>72</v>
      </c>
      <c r="D1048" t="s">
        <v>62</v>
      </c>
      <c r="E1048">
        <v>229</v>
      </c>
      <c r="F1048">
        <v>5</v>
      </c>
      <c r="G1048">
        <v>5</v>
      </c>
      <c r="H1048">
        <v>1</v>
      </c>
      <c r="I1048">
        <v>1</v>
      </c>
      <c r="J1048">
        <v>0.81556847545219602</v>
      </c>
      <c r="K1048">
        <v>0.95042534032523096</v>
      </c>
      <c r="L1048">
        <v>0.87784785984536595</v>
      </c>
      <c r="M1048">
        <v>0.64367816091954</v>
      </c>
      <c r="N1048">
        <v>0.99080459770114904</v>
      </c>
      <c r="O1048">
        <v>0.728275862068966</v>
      </c>
      <c r="P1048" t="s">
        <v>8225</v>
      </c>
      <c r="Q1048" t="s">
        <v>8226</v>
      </c>
      <c r="R1048" t="s">
        <v>157</v>
      </c>
      <c r="S1048" t="s">
        <v>158</v>
      </c>
      <c r="T1048" t="s">
        <v>8227</v>
      </c>
      <c r="U1048" t="s">
        <v>1393</v>
      </c>
      <c r="V1048" t="s">
        <v>8228</v>
      </c>
      <c r="W1048" t="s">
        <v>8229</v>
      </c>
      <c r="X1048" t="s">
        <v>8228</v>
      </c>
      <c r="Y1048" t="s">
        <v>1357</v>
      </c>
      <c r="AD1048" t="s">
        <v>219</v>
      </c>
      <c r="AE1048" t="s">
        <v>1396</v>
      </c>
      <c r="AF1048" t="s">
        <v>8231</v>
      </c>
    </row>
    <row r="1049" spans="1:32" hidden="1" x14ac:dyDescent="0.35">
      <c r="A1049">
        <v>3982</v>
      </c>
      <c r="B1049" t="s">
        <v>8224</v>
      </c>
      <c r="C1049" t="s">
        <v>72</v>
      </c>
      <c r="D1049" t="s">
        <v>34</v>
      </c>
      <c r="E1049">
        <v>918</v>
      </c>
      <c r="F1049">
        <v>5</v>
      </c>
      <c r="G1049">
        <v>5</v>
      </c>
      <c r="H1049">
        <v>1</v>
      </c>
      <c r="I1049">
        <v>1</v>
      </c>
      <c r="J1049">
        <v>0.81556847545219602</v>
      </c>
      <c r="K1049">
        <v>0.95042534032523096</v>
      </c>
      <c r="L1049">
        <v>0.87784785984536595</v>
      </c>
      <c r="M1049">
        <v>0.64367816091954</v>
      </c>
      <c r="N1049">
        <v>0.99080459770114904</v>
      </c>
      <c r="O1049">
        <v>0.728275862068966</v>
      </c>
      <c r="P1049" t="s">
        <v>8225</v>
      </c>
      <c r="Q1049" t="s">
        <v>8226</v>
      </c>
      <c r="R1049" t="s">
        <v>157</v>
      </c>
      <c r="S1049" t="s">
        <v>158</v>
      </c>
      <c r="T1049" t="s">
        <v>8227</v>
      </c>
      <c r="U1049" t="s">
        <v>1393</v>
      </c>
      <c r="V1049" t="s">
        <v>8228</v>
      </c>
      <c r="W1049" t="s">
        <v>8229</v>
      </c>
      <c r="X1049" t="s">
        <v>8228</v>
      </c>
      <c r="Y1049" t="s">
        <v>1357</v>
      </c>
      <c r="AD1049" t="s">
        <v>219</v>
      </c>
      <c r="AE1049" t="s">
        <v>1396</v>
      </c>
      <c r="AF1049" t="e">
        <f>----MKFPRLRARTRAAIGLARLATFASRATGRGSGGMIGGLVAEKIDPQIMKNLGFGRPVALITGTNGKSTTTRMLATAIRSAHQVATNEGGDNMDAGIITALMAGQEASHVVLECDELHVPSVADRLQPSCLVLLNLSRDQLDRVGEINKIERALRQCVLNHPNMTVIANCDDVLVTSVAWEAKNVVWVSAGAGWKGDSVSCPRTGGRIIHHPDGT-WEAVQPLADGTIFRRPEPTWTITPEGIHTPTN---DIAPLALKLPGTANRGNATQAVAAAVECFGIPLDVAVSAVETVDDVAGRYSTLRLGNRDIHLLLAKNPAGWQEAMSMVDRTADGLVIAVNGQVADGEDLSWLWDVRFEDFGELAVKASGERGTDLAVRLTYADIQHELVHNMMDAVLACPEGRVEVLANYTAFRDLKRALVRRIE--AETH</f>
        <v>#NAME?</v>
      </c>
    </row>
    <row r="1050" spans="1:32" hidden="1" x14ac:dyDescent="0.35">
      <c r="A1050">
        <v>3983</v>
      </c>
      <c r="B1050" t="s">
        <v>8224</v>
      </c>
      <c r="C1050" t="s">
        <v>72</v>
      </c>
      <c r="D1050" t="s">
        <v>45</v>
      </c>
      <c r="E1050">
        <v>2174</v>
      </c>
      <c r="F1050">
        <v>5</v>
      </c>
      <c r="G1050">
        <v>5</v>
      </c>
      <c r="H1050">
        <v>1</v>
      </c>
      <c r="I1050">
        <v>1</v>
      </c>
      <c r="J1050">
        <v>0.81556847545219602</v>
      </c>
      <c r="K1050">
        <v>0.95042534032523096</v>
      </c>
      <c r="L1050">
        <v>0.87784785984536595</v>
      </c>
      <c r="M1050">
        <v>0.64367816091954</v>
      </c>
      <c r="N1050">
        <v>0.99080459770114904</v>
      </c>
      <c r="O1050">
        <v>0.728275862068966</v>
      </c>
      <c r="P1050" t="s">
        <v>8225</v>
      </c>
      <c r="Q1050" t="s">
        <v>8226</v>
      </c>
      <c r="R1050" t="s">
        <v>157</v>
      </c>
      <c r="S1050" t="s">
        <v>158</v>
      </c>
      <c r="T1050" t="s">
        <v>8227</v>
      </c>
      <c r="U1050" t="s">
        <v>1393</v>
      </c>
      <c r="V1050" t="s">
        <v>8228</v>
      </c>
      <c r="W1050" t="s">
        <v>8229</v>
      </c>
      <c r="X1050" t="s">
        <v>8228</v>
      </c>
      <c r="Y1050" t="s">
        <v>1357</v>
      </c>
      <c r="AD1050" t="s">
        <v>219</v>
      </c>
      <c r="AE1050" t="s">
        <v>1396</v>
      </c>
      <c r="AF1050" t="e">
        <f>----MKFPRLRARTRAAIGLARLATFASRATGRGSGGMIGGLVAEKIDPQIMKNLGFGRPVALITGTNGKSTTTRMLATAIRSAHQVATNEGGDNMDAGIITALMAGQEASHVVLECDELHVPSVADRLQPSCLVLLNLSRDQLDRVGEINKIERALRQCVLNHPTMTVIANCDDVLVTSVAWEAKNVVWVSAGAGWKGDSVSCPRTGGRIIHHPDGT-WEAVQPLADGTIFRRPEPTWTITPEGIHTPTN---DIAPLALKLPGTANRGNATQAVAAAVECFGIPLDVAMSAVETVDDVAGRYSTLRLGNRDIHLLLAKNPAGWQEAMSMVDRTADGLVIAVNGQVADGEDLSWLWDVRFEDFGELAVKASGERGTDLAVRLTYAEIQHELVHNMMDAILACPEGRVEVLANYTAFRDLKRALVRRIE--AETH</f>
        <v>#NAME?</v>
      </c>
    </row>
    <row r="1051" spans="1:32" hidden="1" x14ac:dyDescent="0.35">
      <c r="A1051">
        <v>10990</v>
      </c>
      <c r="B1051" t="s">
        <v>22179</v>
      </c>
      <c r="C1051" t="s">
        <v>33</v>
      </c>
      <c r="D1051" t="s">
        <v>58</v>
      </c>
      <c r="E1051">
        <v>252</v>
      </c>
      <c r="F1051">
        <v>1</v>
      </c>
      <c r="G1051">
        <v>1</v>
      </c>
      <c r="H1051">
        <v>1</v>
      </c>
      <c r="I1051">
        <v>0</v>
      </c>
      <c r="J1051">
        <v>1</v>
      </c>
      <c r="K1051">
        <v>1</v>
      </c>
      <c r="L1051">
        <v>1</v>
      </c>
      <c r="M1051">
        <v>0</v>
      </c>
      <c r="N1051">
        <v>0</v>
      </c>
      <c r="O1051">
        <v>0</v>
      </c>
      <c r="P1051" t="s">
        <v>6505</v>
      </c>
      <c r="Q1051" t="s">
        <v>6506</v>
      </c>
      <c r="R1051" t="s">
        <v>75</v>
      </c>
      <c r="S1051" t="s">
        <v>76</v>
      </c>
      <c r="V1051" t="s">
        <v>11224</v>
      </c>
      <c r="W1051" t="s">
        <v>11225</v>
      </c>
      <c r="X1051" t="s">
        <v>11224</v>
      </c>
      <c r="Y1051" t="s">
        <v>11226</v>
      </c>
      <c r="AF1051" t="s">
        <v>22180</v>
      </c>
    </row>
    <row r="1052" spans="1:32" hidden="1" x14ac:dyDescent="0.35">
      <c r="A1052">
        <v>4265</v>
      </c>
      <c r="B1052" t="s">
        <v>8863</v>
      </c>
      <c r="C1052" t="s">
        <v>72</v>
      </c>
      <c r="D1052" t="s">
        <v>60</v>
      </c>
      <c r="E1052">
        <v>1755</v>
      </c>
      <c r="F1052">
        <v>5</v>
      </c>
      <c r="G1052">
        <v>5</v>
      </c>
      <c r="H1052">
        <v>1</v>
      </c>
      <c r="I1052">
        <v>1</v>
      </c>
      <c r="J1052">
        <v>0.75669050051072495</v>
      </c>
      <c r="K1052">
        <v>0.96246616029578103</v>
      </c>
      <c r="L1052">
        <v>0.84726309959115498</v>
      </c>
      <c r="M1052">
        <v>0.55599214145383102</v>
      </c>
      <c r="N1052">
        <v>0.99803536345776001</v>
      </c>
      <c r="O1052">
        <v>0.68113948919449896</v>
      </c>
      <c r="P1052" t="s">
        <v>6293</v>
      </c>
      <c r="Q1052" t="s">
        <v>6294</v>
      </c>
      <c r="R1052" t="s">
        <v>157</v>
      </c>
      <c r="S1052" t="s">
        <v>158</v>
      </c>
      <c r="T1052" t="s">
        <v>8864</v>
      </c>
      <c r="U1052" t="s">
        <v>8865</v>
      </c>
      <c r="V1052" t="s">
        <v>8228</v>
      </c>
      <c r="W1052" t="s">
        <v>8229</v>
      </c>
      <c r="X1052" t="s">
        <v>8228</v>
      </c>
      <c r="Y1052" t="s">
        <v>1357</v>
      </c>
      <c r="AD1052" t="s">
        <v>2264</v>
      </c>
      <c r="AE1052" t="s">
        <v>8866</v>
      </c>
      <c r="AF1052" t="e">
        <f>--MVSAPSLGEL--ASLSGG---TIYQGQDVTVEAIGLVAQELAPGALFAAVPGTRVHGATFAADTEAAAILTDEAGVEILQKA-GETRPILVVPHVRSVLGKVSARVFGDPSQQLTMIGITGTSGKTTTSYLLEAGLMAEGHKVGLIGTTGTRIDGVAVPTKLTTPEAPKLQELFAQMRDEGVTHVVMEVSSHAIALGRVAGTHFTVGAFTNLSQDHLDFHHSMEEYFEAKAAFFRPG-P---EHSVVCVDDAWGRRMAEVAGVDTLTVSTGSEPAAVTTHNIVVEPDGSQRFEVLID-GAPIPVHLPVPGAFNVANAALALAAASAAGSD-PQVVAQGMSTIQVPGRMEKIDAGQDFLAVVDYAHKPAAVAAVLDTLRQQATGRIGVVLGAGGDRDAEKRPLMGTAAAERADLVIITDDNPRSEDPELIRNAIVAGTVDLPAEVRVIGDRAEAIRAAVSWAGPGDAIVIAGKGHETGQLVNGVTHHFDDREELLTAL-----KGEHS</f>
        <v>#NAME?</v>
      </c>
    </row>
    <row r="1053" spans="1:32" hidden="1" x14ac:dyDescent="0.35">
      <c r="A1053">
        <v>4266</v>
      </c>
      <c r="B1053" t="s">
        <v>8863</v>
      </c>
      <c r="C1053" t="s">
        <v>72</v>
      </c>
      <c r="D1053" t="s">
        <v>62</v>
      </c>
      <c r="E1053">
        <v>1791</v>
      </c>
      <c r="F1053">
        <v>5</v>
      </c>
      <c r="G1053">
        <v>5</v>
      </c>
      <c r="H1053">
        <v>1</v>
      </c>
      <c r="I1053">
        <v>1</v>
      </c>
      <c r="J1053">
        <v>0.75669050051072495</v>
      </c>
      <c r="K1053">
        <v>0.96246616029578103</v>
      </c>
      <c r="L1053">
        <v>0.84726309959115498</v>
      </c>
      <c r="M1053">
        <v>0.55599214145383102</v>
      </c>
      <c r="N1053">
        <v>0.99803536345776001</v>
      </c>
      <c r="O1053">
        <v>0.68113948919449896</v>
      </c>
      <c r="P1053" t="s">
        <v>6293</v>
      </c>
      <c r="Q1053" t="s">
        <v>6294</v>
      </c>
      <c r="R1053" t="s">
        <v>157</v>
      </c>
      <c r="S1053" t="s">
        <v>158</v>
      </c>
      <c r="T1053" t="s">
        <v>8864</v>
      </c>
      <c r="U1053" t="s">
        <v>8865</v>
      </c>
      <c r="V1053" t="s">
        <v>8228</v>
      </c>
      <c r="W1053" t="s">
        <v>8229</v>
      </c>
      <c r="X1053" t="s">
        <v>8228</v>
      </c>
      <c r="Y1053" t="s">
        <v>1357</v>
      </c>
      <c r="AD1053" t="s">
        <v>2264</v>
      </c>
      <c r="AE1053" t="s">
        <v>8866</v>
      </c>
      <c r="AF1053" t="e">
        <f>--MVSAPSLGEL--ASLSGG---TIYQGQDVTVEAIGLVAQELAPGALFAAVPGTRVHGATFAADTEAAAILTDEAGVEILQKA-GETRPILVVPHVRSVLGKVSARVFGDPSQQLTMIGITGTSGKTTTSYLLEAGLMAEGHKVGLIGTTGTRIDGVAVPTKLTTPEAPKLQELFAQMRDEGVTHVVMEVSSHAIALGRVAGTHFTVGAFTNLSQDHLDFHHSMEEYFEAKAAFFRPG-P---EHSVVCVDDAWGRRMAEVAGVDTLTVSTGSEPAAVTTRNVVVEPDGSQRFEVLID-GAPIPVHLPVPGAFNVANAALALAAASAAGSD-PQVVAQGMSTIQVPGRMEKIDAGQDFLAVVDYAHKPAAVAAVLDTLRQQATGRIGVVLGAGGDRDAEKRPLMGTAAAERADLVIITDDNPRSEDPELIRNAIVAGTVDLPAEVRVIGDRAEAIRAAVSWAGPGDAIVIAGKGHETGQLVNGVTHHFDDREELLAAL-----KGEHS</f>
        <v>#NAME?</v>
      </c>
    </row>
    <row r="1054" spans="1:32" hidden="1" x14ac:dyDescent="0.35">
      <c r="A1054">
        <v>4267</v>
      </c>
      <c r="B1054" t="s">
        <v>8863</v>
      </c>
      <c r="C1054" t="s">
        <v>72</v>
      </c>
      <c r="D1054" t="s">
        <v>34</v>
      </c>
      <c r="E1054">
        <v>2122</v>
      </c>
      <c r="F1054">
        <v>5</v>
      </c>
      <c r="G1054">
        <v>5</v>
      </c>
      <c r="H1054">
        <v>1</v>
      </c>
      <c r="I1054">
        <v>1</v>
      </c>
      <c r="J1054">
        <v>0.75669050051072495</v>
      </c>
      <c r="K1054">
        <v>0.96246616029578103</v>
      </c>
      <c r="L1054">
        <v>0.84726309959115498</v>
      </c>
      <c r="M1054">
        <v>0.55599214145383102</v>
      </c>
      <c r="N1054">
        <v>0.99803536345776001</v>
      </c>
      <c r="O1054">
        <v>0.68113948919449896</v>
      </c>
      <c r="P1054" t="s">
        <v>6293</v>
      </c>
      <c r="Q1054" t="s">
        <v>6294</v>
      </c>
      <c r="R1054" t="s">
        <v>157</v>
      </c>
      <c r="S1054" t="s">
        <v>158</v>
      </c>
      <c r="T1054" t="s">
        <v>8864</v>
      </c>
      <c r="U1054" t="s">
        <v>8865</v>
      </c>
      <c r="V1054" t="s">
        <v>8228</v>
      </c>
      <c r="W1054" t="s">
        <v>8229</v>
      </c>
      <c r="X1054" t="s">
        <v>8228</v>
      </c>
      <c r="Y1054" t="s">
        <v>1357</v>
      </c>
      <c r="AD1054" t="s">
        <v>2264</v>
      </c>
      <c r="AE1054" t="s">
        <v>8866</v>
      </c>
      <c r="AF1054" t="e">
        <f>-MAVTVLDVAQLIGARMQGG----TAEQAQVPITEVGLNSAELPAGALFAAVPGTRVHGARFAADTAAAAILTDEAGWGLLSAA-GETRPVLVVDDVRSVLGVAAAAVYGDPSSQLTVIGITGTSGKTTTSYMLEAGLLAAGYRVGLIGTTGTQINGRPVPTSLTTPEAPTLQALFVQMLAEGVTHVVMEVSSHALMLGRVLGVKFDVAGFTNLSQDHLDFHATMAEYFDAKALFFRPGSPTRAARAVVCVDDEWGEKMASVFGSGVRTLATRGQAGDYTVSAVQTVERGGQEFRLAAPSGAVVAATVPLPGRFNVANAALALALADTVGVD-MTALLPGLAGVGVPGRMEVVDCGQDFLAVVDYAHKPAAIKAVLATVRGQITGRIGLVVGAGGDRDHSKRPIMGAEAAAGADYVVVTDDNPRNEDPAAIRAQVLAGTVAGSAEVVEIGDRRAAIRQVVAWAKPGDAVIIAGKGHEVGQLIDGVMHHFDDREELRAAL-----EGRDQ</f>
        <v>#NAME?</v>
      </c>
    </row>
    <row r="1055" spans="1:32" hidden="1" x14ac:dyDescent="0.35">
      <c r="A1055">
        <v>4268</v>
      </c>
      <c r="B1055" t="s">
        <v>8863</v>
      </c>
      <c r="C1055" t="s">
        <v>72</v>
      </c>
      <c r="D1055" t="s">
        <v>45</v>
      </c>
      <c r="E1055">
        <v>750</v>
      </c>
      <c r="F1055">
        <v>5</v>
      </c>
      <c r="G1055">
        <v>5</v>
      </c>
      <c r="H1055">
        <v>1</v>
      </c>
      <c r="I1055">
        <v>1</v>
      </c>
      <c r="J1055">
        <v>0.75669050051072495</v>
      </c>
      <c r="K1055">
        <v>0.96246616029578103</v>
      </c>
      <c r="L1055">
        <v>0.84726309959115498</v>
      </c>
      <c r="M1055">
        <v>0.55599214145383102</v>
      </c>
      <c r="N1055">
        <v>0.99803536345776001</v>
      </c>
      <c r="O1055">
        <v>0.68113948919449896</v>
      </c>
      <c r="P1055" t="s">
        <v>6293</v>
      </c>
      <c r="Q1055" t="s">
        <v>6294</v>
      </c>
      <c r="R1055" t="s">
        <v>157</v>
      </c>
      <c r="S1055" t="s">
        <v>158</v>
      </c>
      <c r="T1055" t="s">
        <v>8864</v>
      </c>
      <c r="U1055" t="s">
        <v>8865</v>
      </c>
      <c r="V1055" t="s">
        <v>8228</v>
      </c>
      <c r="W1055" t="s">
        <v>8229</v>
      </c>
      <c r="X1055" t="s">
        <v>8228</v>
      </c>
      <c r="Y1055" t="s">
        <v>1357</v>
      </c>
      <c r="AD1055" t="s">
        <v>2264</v>
      </c>
      <c r="AE1055" t="s">
        <v>8866</v>
      </c>
      <c r="AF1055" t="e">
        <f>-MAVTVLDVAQLIGARMQGG----TAEQAQVPITEVGLNSAELPAGALFAAVPGTRVHGARFAADTAAAAILTDEAGWGLLSAA-GETRPVLVVDDVRSVLGVAAAAVYGDPSSQLTVIGITGTSGKTTTSYMLEAGLLAAGYRVGLIGTTGTQINGRPVPTSLTTPEAPTLQALFVQMLAEGVTHVVMEVSSHALMLGRVLGVKFDVAGFTNLSQDHLDFHATMAEYFDAKALFFRPGSPTRAARAVVCVDDEWGEKMASVFGSGVRTLATRGQAGDYTVSAVQTVERGGQEFRLAAPSGAVVAATVPLPGRFNVANAALALALADTVGVD-MTALLPGLAGVGVPGRMEVVDCGQDFLAVVDYAHKPAAIKAVLATVRGQITGRIGLVVGAGGDRDHSKRPIMGAEAAAGADYVVVTDDNPRNEDPAAIRAQVLAGTAAGSAEVVEIGDRRAAIRQVVAWAKPGDAVIIAGKGHEVGQLIDGVMHHFDDREELRAAL-----EGRDQ</f>
        <v>#NAME?</v>
      </c>
    </row>
    <row r="1056" spans="1:32" hidden="1" x14ac:dyDescent="0.35">
      <c r="A1056">
        <v>11117</v>
      </c>
      <c r="B1056" t="s">
        <v>22522</v>
      </c>
      <c r="C1056" t="s">
        <v>33</v>
      </c>
      <c r="D1056" t="s">
        <v>58</v>
      </c>
      <c r="E1056">
        <v>41</v>
      </c>
      <c r="F1056">
        <v>1</v>
      </c>
      <c r="G1056">
        <v>1</v>
      </c>
      <c r="H1056">
        <v>1</v>
      </c>
      <c r="I1056">
        <v>0</v>
      </c>
      <c r="J1056">
        <v>1</v>
      </c>
      <c r="K1056">
        <v>1</v>
      </c>
      <c r="L1056">
        <v>1</v>
      </c>
      <c r="M1056">
        <v>0</v>
      </c>
      <c r="N1056">
        <v>0</v>
      </c>
      <c r="O1056">
        <v>0</v>
      </c>
      <c r="P1056" t="s">
        <v>6505</v>
      </c>
      <c r="Q1056" t="s">
        <v>6506</v>
      </c>
      <c r="R1056" t="s">
        <v>75</v>
      </c>
      <c r="S1056" t="s">
        <v>76</v>
      </c>
      <c r="T1056" t="s">
        <v>22523</v>
      </c>
      <c r="U1056" t="s">
        <v>22524</v>
      </c>
      <c r="V1056" t="s">
        <v>11224</v>
      </c>
      <c r="W1056" t="s">
        <v>11225</v>
      </c>
      <c r="X1056" t="s">
        <v>11224</v>
      </c>
      <c r="Y1056" t="s">
        <v>11226</v>
      </c>
      <c r="Z1056" t="s">
        <v>22525</v>
      </c>
      <c r="AA1056" t="s">
        <v>22526</v>
      </c>
      <c r="AB1056" t="s">
        <v>22525</v>
      </c>
      <c r="AC1056" t="s">
        <v>22527</v>
      </c>
      <c r="AD1056" t="s">
        <v>84</v>
      </c>
      <c r="AE1056" t="s">
        <v>22528</v>
      </c>
      <c r="AF1056" t="s">
        <v>22529</v>
      </c>
    </row>
    <row r="1057" spans="1:32" hidden="1" x14ac:dyDescent="0.35">
      <c r="A1057">
        <v>4295</v>
      </c>
      <c r="B1057" t="s">
        <v>8932</v>
      </c>
      <c r="C1057" t="s">
        <v>72</v>
      </c>
      <c r="D1057" t="s">
        <v>60</v>
      </c>
      <c r="E1057">
        <v>2445</v>
      </c>
      <c r="F1057">
        <v>5</v>
      </c>
      <c r="G1057">
        <v>5</v>
      </c>
      <c r="H1057">
        <v>1</v>
      </c>
      <c r="I1057">
        <v>1</v>
      </c>
      <c r="J1057">
        <v>0.73792713922620701</v>
      </c>
      <c r="K1057">
        <v>0.78245909801626201</v>
      </c>
      <c r="L1057">
        <v>0.75954095034152302</v>
      </c>
      <c r="M1057">
        <v>0.44885177453027097</v>
      </c>
      <c r="N1057">
        <v>0.99791231732776597</v>
      </c>
      <c r="O1057">
        <v>0.58204592901878904</v>
      </c>
      <c r="P1057" t="s">
        <v>474</v>
      </c>
      <c r="Q1057" t="s">
        <v>475</v>
      </c>
      <c r="R1057" t="s">
        <v>157</v>
      </c>
      <c r="S1057" t="s">
        <v>158</v>
      </c>
      <c r="T1057" t="s">
        <v>8933</v>
      </c>
      <c r="U1057" t="s">
        <v>8934</v>
      </c>
      <c r="V1057" t="s">
        <v>478</v>
      </c>
      <c r="W1057" t="s">
        <v>479</v>
      </c>
      <c r="AD1057" t="s">
        <v>410</v>
      </c>
      <c r="AE1057" t="s">
        <v>8935</v>
      </c>
      <c r="AF1057" t="s">
        <v>8937</v>
      </c>
    </row>
    <row r="1058" spans="1:32" hidden="1" x14ac:dyDescent="0.35">
      <c r="A1058">
        <v>4296</v>
      </c>
      <c r="B1058" t="s">
        <v>8932</v>
      </c>
      <c r="C1058" t="s">
        <v>72</v>
      </c>
      <c r="D1058" t="s">
        <v>62</v>
      </c>
      <c r="E1058">
        <v>2471</v>
      </c>
      <c r="F1058">
        <v>5</v>
      </c>
      <c r="G1058">
        <v>5</v>
      </c>
      <c r="H1058">
        <v>1</v>
      </c>
      <c r="I1058">
        <v>1</v>
      </c>
      <c r="J1058">
        <v>0.73792713922620701</v>
      </c>
      <c r="K1058">
        <v>0.78245909801626201</v>
      </c>
      <c r="L1058">
        <v>0.75954095034152302</v>
      </c>
      <c r="M1058">
        <v>0.44885177453027097</v>
      </c>
      <c r="N1058">
        <v>0.99791231732776597</v>
      </c>
      <c r="O1058">
        <v>0.58204592901878904</v>
      </c>
      <c r="P1058" t="s">
        <v>474</v>
      </c>
      <c r="Q1058" t="s">
        <v>475</v>
      </c>
      <c r="R1058" t="s">
        <v>157</v>
      </c>
      <c r="S1058" t="s">
        <v>158</v>
      </c>
      <c r="T1058" t="s">
        <v>8933</v>
      </c>
      <c r="U1058" t="s">
        <v>8934</v>
      </c>
      <c r="V1058" t="s">
        <v>478</v>
      </c>
      <c r="W1058" t="s">
        <v>479</v>
      </c>
      <c r="AD1058" t="s">
        <v>410</v>
      </c>
      <c r="AE1058" t="s">
        <v>8935</v>
      </c>
      <c r="AF1058" t="s">
        <v>8938</v>
      </c>
    </row>
    <row r="1059" spans="1:32" hidden="1" x14ac:dyDescent="0.35">
      <c r="A1059">
        <v>4297</v>
      </c>
      <c r="B1059" t="s">
        <v>8932</v>
      </c>
      <c r="C1059" t="s">
        <v>72</v>
      </c>
      <c r="D1059" t="s">
        <v>34</v>
      </c>
      <c r="E1059">
        <v>1277</v>
      </c>
      <c r="F1059">
        <v>5</v>
      </c>
      <c r="G1059">
        <v>5</v>
      </c>
      <c r="H1059">
        <v>1</v>
      </c>
      <c r="I1059">
        <v>1</v>
      </c>
      <c r="J1059">
        <v>0.73792713922620701</v>
      </c>
      <c r="K1059">
        <v>0.78245909801626201</v>
      </c>
      <c r="L1059">
        <v>0.75954095034152302</v>
      </c>
      <c r="M1059">
        <v>0.44885177453027097</v>
      </c>
      <c r="N1059">
        <v>0.99791231732776597</v>
      </c>
      <c r="O1059">
        <v>0.58204592901878904</v>
      </c>
      <c r="P1059" t="s">
        <v>474</v>
      </c>
      <c r="Q1059" t="s">
        <v>475</v>
      </c>
      <c r="R1059" t="s">
        <v>157</v>
      </c>
      <c r="S1059" t="s">
        <v>158</v>
      </c>
      <c r="T1059" t="s">
        <v>8933</v>
      </c>
      <c r="U1059" t="s">
        <v>8934</v>
      </c>
      <c r="V1059" t="s">
        <v>478</v>
      </c>
      <c r="W1059" t="s">
        <v>479</v>
      </c>
      <c r="AD1059" t="s">
        <v>410</v>
      </c>
      <c r="AE1059" t="s">
        <v>8935</v>
      </c>
      <c r="AF1059" t="s">
        <v>8939</v>
      </c>
    </row>
    <row r="1060" spans="1:32" hidden="1" x14ac:dyDescent="0.35">
      <c r="A1060">
        <v>4298</v>
      </c>
      <c r="B1060" t="s">
        <v>8932</v>
      </c>
      <c r="C1060" t="s">
        <v>72</v>
      </c>
      <c r="D1060" t="s">
        <v>45</v>
      </c>
      <c r="E1060">
        <v>28</v>
      </c>
      <c r="F1060">
        <v>5</v>
      </c>
      <c r="G1060">
        <v>5</v>
      </c>
      <c r="H1060">
        <v>1</v>
      </c>
      <c r="I1060">
        <v>1</v>
      </c>
      <c r="J1060">
        <v>0.73792713922620701</v>
      </c>
      <c r="K1060">
        <v>0.78245909801626201</v>
      </c>
      <c r="L1060">
        <v>0.75954095034152302</v>
      </c>
      <c r="M1060">
        <v>0.44885177453027097</v>
      </c>
      <c r="N1060">
        <v>0.99791231732776597</v>
      </c>
      <c r="O1060">
        <v>0.58204592901878904</v>
      </c>
      <c r="P1060" t="s">
        <v>474</v>
      </c>
      <c r="Q1060" t="s">
        <v>475</v>
      </c>
      <c r="R1060" t="s">
        <v>157</v>
      </c>
      <c r="S1060" t="s">
        <v>158</v>
      </c>
      <c r="T1060" t="s">
        <v>8933</v>
      </c>
      <c r="U1060" t="s">
        <v>8934</v>
      </c>
      <c r="V1060" t="s">
        <v>478</v>
      </c>
      <c r="W1060" t="s">
        <v>479</v>
      </c>
      <c r="AD1060" t="s">
        <v>410</v>
      </c>
      <c r="AE1060" t="s">
        <v>8935</v>
      </c>
      <c r="AF1060" t="s">
        <v>8940</v>
      </c>
    </row>
    <row r="1061" spans="1:32" hidden="1" x14ac:dyDescent="0.35">
      <c r="A1061">
        <v>11129</v>
      </c>
      <c r="B1061" t="s">
        <v>22561</v>
      </c>
      <c r="C1061" t="s">
        <v>33</v>
      </c>
      <c r="D1061" t="s">
        <v>58</v>
      </c>
      <c r="E1061">
        <v>575</v>
      </c>
      <c r="F1061">
        <v>1</v>
      </c>
      <c r="G1061">
        <v>1</v>
      </c>
      <c r="H1061">
        <v>1</v>
      </c>
      <c r="I1061">
        <v>0</v>
      </c>
      <c r="J1061">
        <v>1</v>
      </c>
      <c r="K1061">
        <v>1</v>
      </c>
      <c r="L1061">
        <v>1</v>
      </c>
      <c r="M1061">
        <v>0</v>
      </c>
      <c r="N1061">
        <v>0</v>
      </c>
      <c r="O1061">
        <v>0</v>
      </c>
      <c r="P1061" t="s">
        <v>6505</v>
      </c>
      <c r="Q1061" t="s">
        <v>6506</v>
      </c>
      <c r="R1061" t="s">
        <v>75</v>
      </c>
      <c r="S1061" t="s">
        <v>76</v>
      </c>
      <c r="T1061" t="s">
        <v>22562</v>
      </c>
      <c r="U1061" t="s">
        <v>22563</v>
      </c>
      <c r="V1061" t="s">
        <v>11224</v>
      </c>
      <c r="W1061" t="s">
        <v>11225</v>
      </c>
      <c r="X1061" t="s">
        <v>11224</v>
      </c>
      <c r="Y1061" t="s">
        <v>11226</v>
      </c>
      <c r="Z1061" t="s">
        <v>8958</v>
      </c>
      <c r="AA1061" t="s">
        <v>8959</v>
      </c>
      <c r="AB1061" t="s">
        <v>8958</v>
      </c>
      <c r="AC1061" t="s">
        <v>244</v>
      </c>
      <c r="AD1061" t="s">
        <v>219</v>
      </c>
      <c r="AE1061" t="s">
        <v>22564</v>
      </c>
      <c r="AF1061" t="s">
        <v>22565</v>
      </c>
    </row>
    <row r="1062" spans="1:32" hidden="1" x14ac:dyDescent="0.35">
      <c r="A1062">
        <v>4300</v>
      </c>
      <c r="B1062" t="s">
        <v>8941</v>
      </c>
      <c r="C1062" t="s">
        <v>72</v>
      </c>
      <c r="D1062" t="s">
        <v>60</v>
      </c>
      <c r="E1062">
        <v>831</v>
      </c>
      <c r="F1062">
        <v>5</v>
      </c>
      <c r="G1062">
        <v>5</v>
      </c>
      <c r="H1062">
        <v>1</v>
      </c>
      <c r="I1062">
        <v>1</v>
      </c>
      <c r="J1062">
        <v>0.82112471467109405</v>
      </c>
      <c r="K1062">
        <v>0.856302181196826</v>
      </c>
      <c r="L1062">
        <v>0.838344593066359</v>
      </c>
      <c r="M1062">
        <v>0.58710801393728196</v>
      </c>
      <c r="N1062">
        <v>0.99825783972125404</v>
      </c>
      <c r="O1062">
        <v>0.72264808362369304</v>
      </c>
      <c r="P1062" t="s">
        <v>2233</v>
      </c>
      <c r="Q1062" t="s">
        <v>2234</v>
      </c>
      <c r="R1062" t="s">
        <v>157</v>
      </c>
      <c r="S1062" t="s">
        <v>158</v>
      </c>
      <c r="T1062" t="s">
        <v>8942</v>
      </c>
      <c r="U1062" t="s">
        <v>8943</v>
      </c>
      <c r="V1062" t="s">
        <v>8944</v>
      </c>
      <c r="W1062" t="s">
        <v>8945</v>
      </c>
      <c r="Z1062" t="s">
        <v>4799</v>
      </c>
      <c r="AA1062" t="s">
        <v>4800</v>
      </c>
      <c r="AB1062" t="s">
        <v>4799</v>
      </c>
      <c r="AC1062" t="s">
        <v>4023</v>
      </c>
      <c r="AD1062" t="s">
        <v>2870</v>
      </c>
      <c r="AE1062" t="s">
        <v>8946</v>
      </c>
      <c r="AF1062" t="s">
        <v>8948</v>
      </c>
    </row>
    <row r="1063" spans="1:32" hidden="1" x14ac:dyDescent="0.35">
      <c r="A1063">
        <v>4301</v>
      </c>
      <c r="B1063" t="s">
        <v>8941</v>
      </c>
      <c r="C1063" t="s">
        <v>72</v>
      </c>
      <c r="D1063" t="s">
        <v>62</v>
      </c>
      <c r="E1063">
        <v>864</v>
      </c>
      <c r="F1063">
        <v>5</v>
      </c>
      <c r="G1063">
        <v>5</v>
      </c>
      <c r="H1063">
        <v>1</v>
      </c>
      <c r="I1063">
        <v>1</v>
      </c>
      <c r="J1063">
        <v>0.82112471467109405</v>
      </c>
      <c r="K1063">
        <v>0.856302181196826</v>
      </c>
      <c r="L1063">
        <v>0.838344593066359</v>
      </c>
      <c r="M1063">
        <v>0.58710801393728196</v>
      </c>
      <c r="N1063">
        <v>0.99825783972125404</v>
      </c>
      <c r="O1063">
        <v>0.72264808362369304</v>
      </c>
      <c r="P1063" t="s">
        <v>2233</v>
      </c>
      <c r="Q1063" t="s">
        <v>2234</v>
      </c>
      <c r="R1063" t="s">
        <v>157</v>
      </c>
      <c r="S1063" t="s">
        <v>158</v>
      </c>
      <c r="T1063" t="s">
        <v>8942</v>
      </c>
      <c r="U1063" t="s">
        <v>8943</v>
      </c>
      <c r="V1063" t="s">
        <v>8944</v>
      </c>
      <c r="W1063" t="s">
        <v>8945</v>
      </c>
      <c r="Z1063" t="s">
        <v>4799</v>
      </c>
      <c r="AA1063" t="s">
        <v>4800</v>
      </c>
      <c r="AB1063" t="s">
        <v>4799</v>
      </c>
      <c r="AC1063" t="s">
        <v>4023</v>
      </c>
      <c r="AD1063" t="s">
        <v>2870</v>
      </c>
      <c r="AE1063" t="s">
        <v>8946</v>
      </c>
      <c r="AF1063" t="s">
        <v>8948</v>
      </c>
    </row>
    <row r="1064" spans="1:32" hidden="1" x14ac:dyDescent="0.35">
      <c r="A1064">
        <v>4302</v>
      </c>
      <c r="B1064" t="s">
        <v>8941</v>
      </c>
      <c r="C1064" t="s">
        <v>72</v>
      </c>
      <c r="D1064" t="s">
        <v>34</v>
      </c>
      <c r="E1064">
        <v>317</v>
      </c>
      <c r="F1064">
        <v>5</v>
      </c>
      <c r="G1064">
        <v>5</v>
      </c>
      <c r="H1064">
        <v>1</v>
      </c>
      <c r="I1064">
        <v>1</v>
      </c>
      <c r="J1064">
        <v>0.82112471467109405</v>
      </c>
      <c r="K1064">
        <v>0.856302181196826</v>
      </c>
      <c r="L1064">
        <v>0.838344593066359</v>
      </c>
      <c r="M1064">
        <v>0.58710801393728196</v>
      </c>
      <c r="N1064">
        <v>0.99825783972125404</v>
      </c>
      <c r="O1064">
        <v>0.72264808362369304</v>
      </c>
      <c r="P1064" t="s">
        <v>2233</v>
      </c>
      <c r="Q1064" t="s">
        <v>2234</v>
      </c>
      <c r="R1064" t="s">
        <v>157</v>
      </c>
      <c r="S1064" t="s">
        <v>158</v>
      </c>
      <c r="T1064" t="s">
        <v>8942</v>
      </c>
      <c r="U1064" t="s">
        <v>8943</v>
      </c>
      <c r="V1064" t="s">
        <v>8944</v>
      </c>
      <c r="W1064" t="s">
        <v>8945</v>
      </c>
      <c r="Z1064" t="s">
        <v>4799</v>
      </c>
      <c r="AA1064" t="s">
        <v>4800</v>
      </c>
      <c r="AB1064" t="s">
        <v>4799</v>
      </c>
      <c r="AC1064" t="s">
        <v>4023</v>
      </c>
      <c r="AD1064" t="s">
        <v>2870</v>
      </c>
      <c r="AE1064" t="s">
        <v>8946</v>
      </c>
      <c r="AF1064" t="s">
        <v>8949</v>
      </c>
    </row>
    <row r="1065" spans="1:32" hidden="1" x14ac:dyDescent="0.35">
      <c r="A1065">
        <v>4303</v>
      </c>
      <c r="B1065" t="s">
        <v>8941</v>
      </c>
      <c r="C1065" t="s">
        <v>72</v>
      </c>
      <c r="D1065" t="s">
        <v>45</v>
      </c>
      <c r="E1065">
        <v>1579</v>
      </c>
      <c r="F1065">
        <v>5</v>
      </c>
      <c r="G1065">
        <v>5</v>
      </c>
      <c r="H1065">
        <v>1</v>
      </c>
      <c r="I1065">
        <v>1</v>
      </c>
      <c r="J1065">
        <v>0.82112471467109405</v>
      </c>
      <c r="K1065">
        <v>0.856302181196826</v>
      </c>
      <c r="L1065">
        <v>0.838344593066359</v>
      </c>
      <c r="M1065">
        <v>0.58710801393728196</v>
      </c>
      <c r="N1065">
        <v>0.99825783972125404</v>
      </c>
      <c r="O1065">
        <v>0.72264808362369304</v>
      </c>
      <c r="P1065" t="s">
        <v>2233</v>
      </c>
      <c r="Q1065" t="s">
        <v>2234</v>
      </c>
      <c r="R1065" t="s">
        <v>157</v>
      </c>
      <c r="S1065" t="s">
        <v>158</v>
      </c>
      <c r="T1065" t="s">
        <v>8942</v>
      </c>
      <c r="U1065" t="s">
        <v>8943</v>
      </c>
      <c r="V1065" t="s">
        <v>8944</v>
      </c>
      <c r="W1065" t="s">
        <v>8945</v>
      </c>
      <c r="Z1065" t="s">
        <v>4799</v>
      </c>
      <c r="AA1065" t="s">
        <v>4800</v>
      </c>
      <c r="AB1065" t="s">
        <v>4799</v>
      </c>
      <c r="AC1065" t="s">
        <v>4023</v>
      </c>
      <c r="AD1065" t="s">
        <v>2870</v>
      </c>
      <c r="AE1065" t="s">
        <v>8946</v>
      </c>
      <c r="AF1065" t="s">
        <v>8950</v>
      </c>
    </row>
    <row r="1066" spans="1:32" hidden="1" x14ac:dyDescent="0.35">
      <c r="A1066">
        <v>11362</v>
      </c>
      <c r="B1066" t="s">
        <v>23143</v>
      </c>
      <c r="C1066" t="s">
        <v>33</v>
      </c>
      <c r="D1066" t="s">
        <v>58</v>
      </c>
      <c r="E1066">
        <v>581</v>
      </c>
      <c r="F1066">
        <v>1</v>
      </c>
      <c r="G1066">
        <v>1</v>
      </c>
      <c r="H1066">
        <v>1</v>
      </c>
      <c r="I1066">
        <v>0</v>
      </c>
      <c r="J1066">
        <v>1</v>
      </c>
      <c r="K1066">
        <v>1</v>
      </c>
      <c r="L1066">
        <v>1</v>
      </c>
      <c r="M1066">
        <v>0</v>
      </c>
      <c r="N1066">
        <v>0</v>
      </c>
      <c r="O1066">
        <v>0</v>
      </c>
      <c r="P1066" t="s">
        <v>6505</v>
      </c>
      <c r="Q1066" t="s">
        <v>6506</v>
      </c>
      <c r="R1066" t="s">
        <v>75</v>
      </c>
      <c r="S1066" t="s">
        <v>76</v>
      </c>
      <c r="V1066" t="s">
        <v>11224</v>
      </c>
      <c r="W1066" t="s">
        <v>11225</v>
      </c>
      <c r="X1066" t="s">
        <v>11224</v>
      </c>
      <c r="Y1066" t="s">
        <v>11226</v>
      </c>
      <c r="AF1066" t="s">
        <v>23144</v>
      </c>
    </row>
    <row r="1067" spans="1:32" hidden="1" x14ac:dyDescent="0.35">
      <c r="A1067">
        <v>4485</v>
      </c>
      <c r="B1067" t="s">
        <v>9333</v>
      </c>
      <c r="C1067" t="s">
        <v>72</v>
      </c>
      <c r="D1067" t="s">
        <v>60</v>
      </c>
      <c r="E1067">
        <v>2432</v>
      </c>
      <c r="F1067">
        <v>5</v>
      </c>
      <c r="G1067">
        <v>5</v>
      </c>
      <c r="H1067">
        <v>1</v>
      </c>
      <c r="I1067">
        <v>1</v>
      </c>
      <c r="J1067">
        <v>0.89436080632814496</v>
      </c>
      <c r="K1067">
        <v>0.95050894473307102</v>
      </c>
      <c r="L1067">
        <v>0.92158044842416198</v>
      </c>
      <c r="M1067">
        <v>0.77723970944309895</v>
      </c>
      <c r="N1067">
        <v>0.99515738498789297</v>
      </c>
      <c r="O1067">
        <v>0.83486682808716695</v>
      </c>
      <c r="P1067" t="s">
        <v>9334</v>
      </c>
      <c r="Q1067" t="s">
        <v>9335</v>
      </c>
      <c r="R1067" t="s">
        <v>157</v>
      </c>
      <c r="S1067" t="s">
        <v>158</v>
      </c>
      <c r="T1067" t="s">
        <v>9336</v>
      </c>
      <c r="U1067" t="s">
        <v>9337</v>
      </c>
      <c r="V1067" t="s">
        <v>9338</v>
      </c>
      <c r="W1067" t="s">
        <v>9339</v>
      </c>
      <c r="AD1067" t="s">
        <v>951</v>
      </c>
      <c r="AE1067" t="s">
        <v>9340</v>
      </c>
      <c r="AF1067" t="s">
        <v>9342</v>
      </c>
    </row>
    <row r="1068" spans="1:32" hidden="1" x14ac:dyDescent="0.35">
      <c r="A1068">
        <v>4486</v>
      </c>
      <c r="B1068" t="s">
        <v>9333</v>
      </c>
      <c r="C1068" t="s">
        <v>72</v>
      </c>
      <c r="D1068" t="s">
        <v>62</v>
      </c>
      <c r="E1068">
        <v>2459</v>
      </c>
      <c r="F1068">
        <v>5</v>
      </c>
      <c r="G1068">
        <v>5</v>
      </c>
      <c r="H1068">
        <v>1</v>
      </c>
      <c r="I1068">
        <v>1</v>
      </c>
      <c r="J1068">
        <v>0.89436080632814496</v>
      </c>
      <c r="K1068">
        <v>0.95050894473307102</v>
      </c>
      <c r="L1068">
        <v>0.92158044842416198</v>
      </c>
      <c r="M1068">
        <v>0.77723970944309895</v>
      </c>
      <c r="N1068">
        <v>0.99515738498789297</v>
      </c>
      <c r="O1068">
        <v>0.83486682808716695</v>
      </c>
      <c r="P1068" t="s">
        <v>9334</v>
      </c>
      <c r="Q1068" t="s">
        <v>9335</v>
      </c>
      <c r="R1068" t="s">
        <v>157</v>
      </c>
      <c r="S1068" t="s">
        <v>158</v>
      </c>
      <c r="T1068" t="s">
        <v>9336</v>
      </c>
      <c r="U1068" t="s">
        <v>9337</v>
      </c>
      <c r="V1068" t="s">
        <v>9338</v>
      </c>
      <c r="W1068" t="s">
        <v>9339</v>
      </c>
      <c r="AD1068" t="s">
        <v>951</v>
      </c>
      <c r="AE1068" t="s">
        <v>9340</v>
      </c>
      <c r="AF1068" t="s">
        <v>9343</v>
      </c>
    </row>
    <row r="1069" spans="1:32" hidden="1" x14ac:dyDescent="0.35">
      <c r="A1069">
        <v>4487</v>
      </c>
      <c r="B1069" t="s">
        <v>9333</v>
      </c>
      <c r="C1069" t="s">
        <v>72</v>
      </c>
      <c r="D1069" t="s">
        <v>34</v>
      </c>
      <c r="E1069">
        <v>1294</v>
      </c>
      <c r="F1069">
        <v>5</v>
      </c>
      <c r="G1069">
        <v>5</v>
      </c>
      <c r="H1069">
        <v>1</v>
      </c>
      <c r="I1069">
        <v>1</v>
      </c>
      <c r="J1069">
        <v>0.89436080632814496</v>
      </c>
      <c r="K1069">
        <v>0.95050894473307102</v>
      </c>
      <c r="L1069">
        <v>0.92158044842416198</v>
      </c>
      <c r="M1069">
        <v>0.77723970944309895</v>
      </c>
      <c r="N1069">
        <v>0.99515738498789297</v>
      </c>
      <c r="O1069">
        <v>0.83486682808716695</v>
      </c>
      <c r="P1069" t="s">
        <v>9334</v>
      </c>
      <c r="Q1069" t="s">
        <v>9335</v>
      </c>
      <c r="R1069" t="s">
        <v>157</v>
      </c>
      <c r="S1069" t="s">
        <v>158</v>
      </c>
      <c r="T1069" t="s">
        <v>9336</v>
      </c>
      <c r="U1069" t="s">
        <v>9337</v>
      </c>
      <c r="V1069" t="s">
        <v>9338</v>
      </c>
      <c r="W1069" t="s">
        <v>9339</v>
      </c>
      <c r="AD1069" t="s">
        <v>951</v>
      </c>
      <c r="AE1069" t="s">
        <v>9340</v>
      </c>
      <c r="AF1069" t="s">
        <v>9344</v>
      </c>
    </row>
    <row r="1070" spans="1:32" hidden="1" x14ac:dyDescent="0.35">
      <c r="A1070">
        <v>4488</v>
      </c>
      <c r="B1070" t="s">
        <v>9333</v>
      </c>
      <c r="C1070" t="s">
        <v>72</v>
      </c>
      <c r="D1070" t="s">
        <v>45</v>
      </c>
      <c r="E1070">
        <v>46</v>
      </c>
      <c r="F1070">
        <v>5</v>
      </c>
      <c r="G1070">
        <v>5</v>
      </c>
      <c r="H1070">
        <v>1</v>
      </c>
      <c r="I1070">
        <v>1</v>
      </c>
      <c r="J1070">
        <v>0.89436080632814496</v>
      </c>
      <c r="K1070">
        <v>0.95050894473307102</v>
      </c>
      <c r="L1070">
        <v>0.92158044842416198</v>
      </c>
      <c r="M1070">
        <v>0.77723970944309895</v>
      </c>
      <c r="N1070">
        <v>0.99515738498789297</v>
      </c>
      <c r="O1070">
        <v>0.83486682808716695</v>
      </c>
      <c r="P1070" t="s">
        <v>9334</v>
      </c>
      <c r="Q1070" t="s">
        <v>9335</v>
      </c>
      <c r="R1070" t="s">
        <v>157</v>
      </c>
      <c r="S1070" t="s">
        <v>158</v>
      </c>
      <c r="T1070" t="s">
        <v>9336</v>
      </c>
      <c r="U1070" t="s">
        <v>9337</v>
      </c>
      <c r="V1070" t="s">
        <v>9338</v>
      </c>
      <c r="W1070" t="s">
        <v>9339</v>
      </c>
      <c r="AD1070" t="s">
        <v>951</v>
      </c>
      <c r="AE1070" t="s">
        <v>9340</v>
      </c>
      <c r="AF1070" t="s">
        <v>9345</v>
      </c>
    </row>
    <row r="1071" spans="1:32" hidden="1" x14ac:dyDescent="0.35">
      <c r="A1071">
        <v>11387</v>
      </c>
      <c r="B1071" t="s">
        <v>23199</v>
      </c>
      <c r="C1071" t="s">
        <v>33</v>
      </c>
      <c r="D1071" t="s">
        <v>58</v>
      </c>
      <c r="E1071">
        <v>1363</v>
      </c>
      <c r="F1071">
        <v>1</v>
      </c>
      <c r="G1071">
        <v>1</v>
      </c>
      <c r="H1071">
        <v>1</v>
      </c>
      <c r="I1071">
        <v>0</v>
      </c>
      <c r="J1071">
        <v>1</v>
      </c>
      <c r="K1071">
        <v>1</v>
      </c>
      <c r="L1071">
        <v>1</v>
      </c>
      <c r="M1071">
        <v>0</v>
      </c>
      <c r="N1071">
        <v>0</v>
      </c>
      <c r="O1071">
        <v>0</v>
      </c>
      <c r="P1071" t="s">
        <v>6505</v>
      </c>
      <c r="Q1071" t="s">
        <v>6506</v>
      </c>
      <c r="R1071" t="s">
        <v>75</v>
      </c>
      <c r="S1071" t="s">
        <v>76</v>
      </c>
      <c r="T1071" t="s">
        <v>11229</v>
      </c>
      <c r="U1071" t="s">
        <v>11230</v>
      </c>
      <c r="V1071" t="s">
        <v>11224</v>
      </c>
      <c r="W1071" t="s">
        <v>11225</v>
      </c>
      <c r="X1071" t="s">
        <v>11224</v>
      </c>
      <c r="Y1071" t="s">
        <v>11226</v>
      </c>
      <c r="Z1071" t="s">
        <v>11231</v>
      </c>
      <c r="AA1071" t="s">
        <v>11232</v>
      </c>
      <c r="AB1071" t="s">
        <v>11231</v>
      </c>
      <c r="AC1071" t="s">
        <v>11233</v>
      </c>
      <c r="AD1071" t="s">
        <v>11234</v>
      </c>
      <c r="AE1071" t="s">
        <v>11235</v>
      </c>
      <c r="AF1071" t="s">
        <v>23200</v>
      </c>
    </row>
    <row r="1072" spans="1:32" hidden="1" x14ac:dyDescent="0.35">
      <c r="A1072">
        <v>11941</v>
      </c>
      <c r="B1072" t="s">
        <v>24636</v>
      </c>
      <c r="C1072" t="s">
        <v>10130</v>
      </c>
      <c r="D1072" t="s">
        <v>45</v>
      </c>
      <c r="E1072">
        <v>1179</v>
      </c>
      <c r="F1072">
        <v>1</v>
      </c>
      <c r="G1072">
        <v>1</v>
      </c>
      <c r="H1072">
        <v>1</v>
      </c>
      <c r="I1072">
        <v>0</v>
      </c>
      <c r="J1072">
        <v>1</v>
      </c>
      <c r="K1072">
        <v>1</v>
      </c>
      <c r="L1072">
        <v>1</v>
      </c>
      <c r="M1072">
        <v>0</v>
      </c>
      <c r="N1072">
        <v>0</v>
      </c>
      <c r="O1072">
        <v>0</v>
      </c>
      <c r="R1072" t="s">
        <v>157</v>
      </c>
      <c r="S1072" t="s">
        <v>158</v>
      </c>
      <c r="T1072" t="s">
        <v>2324</v>
      </c>
      <c r="U1072" t="s">
        <v>2325</v>
      </c>
      <c r="V1072" t="s">
        <v>2326</v>
      </c>
      <c r="W1072" t="s">
        <v>2327</v>
      </c>
      <c r="AD1072" t="s">
        <v>219</v>
      </c>
      <c r="AE1072" t="s">
        <v>2328</v>
      </c>
      <c r="AF1072" t="s">
        <v>24637</v>
      </c>
    </row>
    <row r="1073" spans="1:32" hidden="1" x14ac:dyDescent="0.35">
      <c r="A1073">
        <v>11267</v>
      </c>
      <c r="B1073" t="s">
        <v>22918</v>
      </c>
      <c r="C1073" t="s">
        <v>33</v>
      </c>
      <c r="D1073" t="s">
        <v>58</v>
      </c>
      <c r="E1073">
        <v>1053</v>
      </c>
      <c r="F1073">
        <v>1</v>
      </c>
      <c r="G1073">
        <v>1</v>
      </c>
      <c r="H1073">
        <v>1</v>
      </c>
      <c r="I1073">
        <v>0</v>
      </c>
      <c r="J1073">
        <v>1</v>
      </c>
      <c r="K1073">
        <v>1</v>
      </c>
      <c r="L1073">
        <v>1</v>
      </c>
      <c r="M1073">
        <v>0</v>
      </c>
      <c r="N1073">
        <v>0</v>
      </c>
      <c r="O1073">
        <v>0</v>
      </c>
      <c r="P1073" t="s">
        <v>10282</v>
      </c>
      <c r="Q1073" t="s">
        <v>10283</v>
      </c>
      <c r="R1073" t="s">
        <v>75</v>
      </c>
      <c r="S1073" t="s">
        <v>76</v>
      </c>
      <c r="V1073" t="s">
        <v>10286</v>
      </c>
      <c r="W1073" t="s">
        <v>10287</v>
      </c>
      <c r="AF1073" t="s">
        <v>22919</v>
      </c>
    </row>
    <row r="1074" spans="1:32" hidden="1" x14ac:dyDescent="0.35">
      <c r="A1074">
        <v>2824</v>
      </c>
      <c r="B1074" t="s">
        <v>5839</v>
      </c>
      <c r="C1074" t="s">
        <v>72</v>
      </c>
      <c r="D1074" t="s">
        <v>58</v>
      </c>
      <c r="E1074">
        <v>1881</v>
      </c>
      <c r="F1074">
        <v>5</v>
      </c>
      <c r="G1074">
        <v>5</v>
      </c>
      <c r="H1074">
        <v>1</v>
      </c>
      <c r="I1074">
        <v>1</v>
      </c>
      <c r="J1074">
        <v>0.81357234314980797</v>
      </c>
      <c r="K1074">
        <v>0.99114775061029903</v>
      </c>
      <c r="L1074">
        <v>0.89362378205877002</v>
      </c>
      <c r="M1074">
        <v>0.67005076142132003</v>
      </c>
      <c r="N1074">
        <v>1</v>
      </c>
      <c r="O1074">
        <v>0.75380710659898498</v>
      </c>
      <c r="P1074" t="s">
        <v>5840</v>
      </c>
      <c r="Q1074" t="s">
        <v>5841</v>
      </c>
      <c r="R1074" t="s">
        <v>5842</v>
      </c>
      <c r="S1074" t="s">
        <v>5843</v>
      </c>
      <c r="T1074" t="s">
        <v>5844</v>
      </c>
      <c r="U1074" t="s">
        <v>5845</v>
      </c>
      <c r="V1074" t="s">
        <v>5846</v>
      </c>
      <c r="W1074" t="s">
        <v>5847</v>
      </c>
      <c r="AD1074" t="s">
        <v>5848</v>
      </c>
      <c r="AE1074" t="s">
        <v>5849</v>
      </c>
      <c r="AF1074" t="s">
        <v>5850</v>
      </c>
    </row>
    <row r="1075" spans="1:32" hidden="1" x14ac:dyDescent="0.35">
      <c r="A1075">
        <v>2825</v>
      </c>
      <c r="B1075" t="s">
        <v>5839</v>
      </c>
      <c r="C1075" t="s">
        <v>72</v>
      </c>
      <c r="D1075" t="s">
        <v>60</v>
      </c>
      <c r="E1075">
        <v>2546</v>
      </c>
      <c r="F1075">
        <v>5</v>
      </c>
      <c r="G1075">
        <v>5</v>
      </c>
      <c r="H1075">
        <v>1</v>
      </c>
      <c r="I1075">
        <v>1</v>
      </c>
      <c r="J1075">
        <v>0.81357234314980797</v>
      </c>
      <c r="K1075">
        <v>0.99114775061029903</v>
      </c>
      <c r="L1075">
        <v>0.89362378205877002</v>
      </c>
      <c r="M1075">
        <v>0.67005076142132003</v>
      </c>
      <c r="N1075">
        <v>1</v>
      </c>
      <c r="O1075">
        <v>0.75380710659898498</v>
      </c>
      <c r="P1075" t="s">
        <v>5840</v>
      </c>
      <c r="Q1075" t="s">
        <v>5841</v>
      </c>
      <c r="R1075" t="s">
        <v>5842</v>
      </c>
      <c r="S1075" t="s">
        <v>5843</v>
      </c>
      <c r="T1075" t="s">
        <v>5844</v>
      </c>
      <c r="U1075" t="s">
        <v>5845</v>
      </c>
      <c r="V1075" t="s">
        <v>5846</v>
      </c>
      <c r="W1075" t="s">
        <v>5847</v>
      </c>
      <c r="AD1075" t="s">
        <v>5848</v>
      </c>
      <c r="AE1075" t="s">
        <v>5849</v>
      </c>
      <c r="AF1075" t="s">
        <v>5851</v>
      </c>
    </row>
    <row r="1076" spans="1:32" hidden="1" x14ac:dyDescent="0.35">
      <c r="A1076">
        <v>2826</v>
      </c>
      <c r="B1076" t="s">
        <v>5839</v>
      </c>
      <c r="C1076" t="s">
        <v>72</v>
      </c>
      <c r="D1076" t="s">
        <v>62</v>
      </c>
      <c r="E1076">
        <v>71</v>
      </c>
      <c r="F1076">
        <v>5</v>
      </c>
      <c r="G1076">
        <v>5</v>
      </c>
      <c r="H1076">
        <v>1</v>
      </c>
      <c r="I1076">
        <v>1</v>
      </c>
      <c r="J1076">
        <v>0.81357234314980797</v>
      </c>
      <c r="K1076">
        <v>0.99114775061029903</v>
      </c>
      <c r="L1076">
        <v>0.89362378205877002</v>
      </c>
      <c r="M1076">
        <v>0.67005076142132003</v>
      </c>
      <c r="N1076">
        <v>1</v>
      </c>
      <c r="O1076">
        <v>0.75380710659898498</v>
      </c>
      <c r="P1076" t="s">
        <v>5840</v>
      </c>
      <c r="Q1076" t="s">
        <v>5841</v>
      </c>
      <c r="R1076" t="s">
        <v>5842</v>
      </c>
      <c r="S1076" t="s">
        <v>5843</v>
      </c>
      <c r="T1076" t="s">
        <v>5844</v>
      </c>
      <c r="U1076" t="s">
        <v>5845</v>
      </c>
      <c r="V1076" t="s">
        <v>5846</v>
      </c>
      <c r="W1076" t="s">
        <v>5847</v>
      </c>
      <c r="AD1076" t="s">
        <v>5848</v>
      </c>
      <c r="AE1076" t="s">
        <v>5849</v>
      </c>
      <c r="AF1076" t="s">
        <v>5851</v>
      </c>
    </row>
    <row r="1077" spans="1:32" hidden="1" x14ac:dyDescent="0.35">
      <c r="A1077">
        <v>2827</v>
      </c>
      <c r="B1077" t="s">
        <v>5839</v>
      </c>
      <c r="C1077" t="s">
        <v>72</v>
      </c>
      <c r="D1077" t="s">
        <v>34</v>
      </c>
      <c r="E1077">
        <v>1099</v>
      </c>
      <c r="F1077">
        <v>5</v>
      </c>
      <c r="G1077">
        <v>5</v>
      </c>
      <c r="H1077">
        <v>1</v>
      </c>
      <c r="I1077">
        <v>1</v>
      </c>
      <c r="J1077">
        <v>0.81357234314980797</v>
      </c>
      <c r="K1077">
        <v>0.99114775061029903</v>
      </c>
      <c r="L1077">
        <v>0.89362378205877002</v>
      </c>
      <c r="M1077">
        <v>0.67005076142132003</v>
      </c>
      <c r="N1077">
        <v>1</v>
      </c>
      <c r="O1077">
        <v>0.75380710659898498</v>
      </c>
      <c r="P1077" t="s">
        <v>5840</v>
      </c>
      <c r="Q1077" t="s">
        <v>5841</v>
      </c>
      <c r="R1077" t="s">
        <v>5842</v>
      </c>
      <c r="S1077" t="s">
        <v>5843</v>
      </c>
      <c r="T1077" t="s">
        <v>5844</v>
      </c>
      <c r="U1077" t="s">
        <v>5845</v>
      </c>
      <c r="V1077" t="s">
        <v>5846</v>
      </c>
      <c r="W1077" t="s">
        <v>5847</v>
      </c>
      <c r="AD1077" t="s">
        <v>5848</v>
      </c>
      <c r="AE1077" t="s">
        <v>5849</v>
      </c>
      <c r="AF1077" t="s">
        <v>5852</v>
      </c>
    </row>
    <row r="1078" spans="1:32" hidden="1" x14ac:dyDescent="0.35">
      <c r="A1078">
        <v>2828</v>
      </c>
      <c r="B1078" t="s">
        <v>5839</v>
      </c>
      <c r="C1078" t="s">
        <v>72</v>
      </c>
      <c r="D1078" t="s">
        <v>45</v>
      </c>
      <c r="E1078">
        <v>2353</v>
      </c>
      <c r="F1078">
        <v>5</v>
      </c>
      <c r="G1078">
        <v>5</v>
      </c>
      <c r="H1078">
        <v>1</v>
      </c>
      <c r="I1078">
        <v>1</v>
      </c>
      <c r="J1078">
        <v>0.81357234314980797</v>
      </c>
      <c r="K1078">
        <v>0.99114775061029903</v>
      </c>
      <c r="L1078">
        <v>0.89362378205877002</v>
      </c>
      <c r="M1078">
        <v>0.67005076142132003</v>
      </c>
      <c r="N1078">
        <v>1</v>
      </c>
      <c r="O1078">
        <v>0.75380710659898498</v>
      </c>
      <c r="P1078" t="s">
        <v>5840</v>
      </c>
      <c r="Q1078" t="s">
        <v>5841</v>
      </c>
      <c r="R1078" t="s">
        <v>5842</v>
      </c>
      <c r="S1078" t="s">
        <v>5843</v>
      </c>
      <c r="T1078" t="s">
        <v>5844</v>
      </c>
      <c r="U1078" t="s">
        <v>5845</v>
      </c>
      <c r="V1078" t="s">
        <v>5846</v>
      </c>
      <c r="W1078" t="s">
        <v>5847</v>
      </c>
      <c r="AD1078" t="s">
        <v>5848</v>
      </c>
      <c r="AE1078" t="s">
        <v>5849</v>
      </c>
      <c r="AF1078" t="s">
        <v>5852</v>
      </c>
    </row>
    <row r="1079" spans="1:32" hidden="1" x14ac:dyDescent="0.35">
      <c r="A1079">
        <v>1064</v>
      </c>
      <c r="B1079" t="s">
        <v>2218</v>
      </c>
      <c r="C1079" t="s">
        <v>72</v>
      </c>
      <c r="D1079" t="s">
        <v>58</v>
      </c>
      <c r="E1079">
        <v>1838</v>
      </c>
      <c r="F1079">
        <v>5</v>
      </c>
      <c r="G1079">
        <v>5</v>
      </c>
      <c r="H1079">
        <v>1</v>
      </c>
      <c r="I1079">
        <v>1</v>
      </c>
      <c r="J1079">
        <v>0.77707879667715096</v>
      </c>
      <c r="K1079">
        <v>0.86091956441242501</v>
      </c>
      <c r="L1079">
        <v>0.81685349026162901</v>
      </c>
      <c r="M1079">
        <v>0.55327868852458995</v>
      </c>
      <c r="N1079">
        <v>1</v>
      </c>
      <c r="O1079">
        <v>0.67991803278688501</v>
      </c>
      <c r="P1079" t="s">
        <v>1891</v>
      </c>
      <c r="Q1079" t="s">
        <v>1892</v>
      </c>
      <c r="R1079" t="s">
        <v>2219</v>
      </c>
      <c r="S1079" t="s">
        <v>2220</v>
      </c>
      <c r="V1079" t="s">
        <v>2221</v>
      </c>
      <c r="W1079" t="s">
        <v>2222</v>
      </c>
      <c r="AF1079" t="s">
        <v>2223</v>
      </c>
    </row>
    <row r="1080" spans="1:32" hidden="1" x14ac:dyDescent="0.35">
      <c r="A1080">
        <v>1089</v>
      </c>
      <c r="B1080" t="s">
        <v>2257</v>
      </c>
      <c r="C1080" t="s">
        <v>72</v>
      </c>
      <c r="D1080" t="s">
        <v>58</v>
      </c>
      <c r="E1080">
        <v>809</v>
      </c>
      <c r="F1080">
        <v>5</v>
      </c>
      <c r="G1080">
        <v>5</v>
      </c>
      <c r="H1080">
        <v>1</v>
      </c>
      <c r="I1080">
        <v>1</v>
      </c>
      <c r="J1080">
        <v>0.77461115767905397</v>
      </c>
      <c r="K1080">
        <v>0.97043124779073697</v>
      </c>
      <c r="L1080">
        <v>0.86153421824352805</v>
      </c>
      <c r="M1080">
        <v>0.60162601626016299</v>
      </c>
      <c r="N1080">
        <v>1</v>
      </c>
      <c r="O1080">
        <v>0.70352303523035198</v>
      </c>
      <c r="P1080" t="s">
        <v>2258</v>
      </c>
      <c r="Q1080" t="s">
        <v>2259</v>
      </c>
      <c r="R1080" t="s">
        <v>2219</v>
      </c>
      <c r="S1080" t="s">
        <v>2220</v>
      </c>
      <c r="T1080" t="s">
        <v>2260</v>
      </c>
      <c r="U1080" t="s">
        <v>2261</v>
      </c>
      <c r="V1080" t="s">
        <v>2262</v>
      </c>
      <c r="W1080" t="s">
        <v>2263</v>
      </c>
      <c r="X1080" t="s">
        <v>2262</v>
      </c>
      <c r="Y1080" t="s">
        <v>1357</v>
      </c>
      <c r="AD1080" t="s">
        <v>2264</v>
      </c>
      <c r="AE1080" t="s">
        <v>2265</v>
      </c>
      <c r="AF1080" t="s">
        <v>2266</v>
      </c>
    </row>
    <row r="1081" spans="1:32" hidden="1" x14ac:dyDescent="0.35">
      <c r="A1081">
        <v>1090</v>
      </c>
      <c r="B1081" t="s">
        <v>2257</v>
      </c>
      <c r="C1081" t="s">
        <v>72</v>
      </c>
      <c r="D1081" t="s">
        <v>60</v>
      </c>
      <c r="E1081">
        <v>1121</v>
      </c>
      <c r="F1081">
        <v>5</v>
      </c>
      <c r="G1081">
        <v>5</v>
      </c>
      <c r="H1081">
        <v>1</v>
      </c>
      <c r="I1081">
        <v>1</v>
      </c>
      <c r="J1081">
        <v>0.77461115767905397</v>
      </c>
      <c r="K1081">
        <v>0.97043124779073697</v>
      </c>
      <c r="L1081">
        <v>0.86153421824352805</v>
      </c>
      <c r="M1081">
        <v>0.60162601626016299</v>
      </c>
      <c r="N1081">
        <v>1</v>
      </c>
      <c r="O1081">
        <v>0.70352303523035198</v>
      </c>
      <c r="P1081" t="s">
        <v>2258</v>
      </c>
      <c r="Q1081" t="s">
        <v>2259</v>
      </c>
      <c r="R1081" t="s">
        <v>2219</v>
      </c>
      <c r="S1081" t="s">
        <v>2220</v>
      </c>
      <c r="T1081" t="s">
        <v>2260</v>
      </c>
      <c r="U1081" t="s">
        <v>2261</v>
      </c>
      <c r="V1081" t="s">
        <v>2262</v>
      </c>
      <c r="W1081" t="s">
        <v>2263</v>
      </c>
      <c r="X1081" t="s">
        <v>2262</v>
      </c>
      <c r="Y1081" t="s">
        <v>1357</v>
      </c>
      <c r="AD1081" t="s">
        <v>2264</v>
      </c>
      <c r="AE1081" t="s">
        <v>2265</v>
      </c>
      <c r="AF1081" t="e">
        <f>--MSTTGSPTDRIRVAVIYGGRSSEHSVSCVSAGAVMAHLDTNKYEVIPVGISLDGAWMVGESDPEKLTIADRTLPKVEPRDQVRLSIDPSHRGEFRYISGHHTGELYATADVVFPVLHGRFGEDGTIQGFFELSSVPFVGAGVLASANAVDKEFTKKLLAAEGLPVAREVIL--RRRAELTEQEKDLLGLPVFVKPARGGSSIGVSKVTSWDDFPAAAELALQHDEKVLVESEVVGAEVECGVLQYPDGSVVASVPAQLMGTGDGDEGFYGFDTKYLDDIVTAQIPAPLDDATTELISSLAIEAFHALDGEGLARVDFFVTDNGPVVNEVNTMPGFTPISMYPQVFAASGVPYEDLLDIMIQRALSDQ</f>
        <v>#NAME?</v>
      </c>
    </row>
    <row r="1082" spans="1:32" hidden="1" x14ac:dyDescent="0.35">
      <c r="A1082">
        <v>1091</v>
      </c>
      <c r="B1082" t="s">
        <v>2257</v>
      </c>
      <c r="C1082" t="s">
        <v>72</v>
      </c>
      <c r="D1082" t="s">
        <v>62</v>
      </c>
      <c r="E1082">
        <v>1157</v>
      </c>
      <c r="F1082">
        <v>5</v>
      </c>
      <c r="G1082">
        <v>5</v>
      </c>
      <c r="H1082">
        <v>1</v>
      </c>
      <c r="I1082">
        <v>1</v>
      </c>
      <c r="J1082">
        <v>0.77461115767905397</v>
      </c>
      <c r="K1082">
        <v>0.97043124779073697</v>
      </c>
      <c r="L1082">
        <v>0.86153421824352805</v>
      </c>
      <c r="M1082">
        <v>0.60162601626016299</v>
      </c>
      <c r="N1082">
        <v>1</v>
      </c>
      <c r="O1082">
        <v>0.70352303523035198</v>
      </c>
      <c r="P1082" t="s">
        <v>2258</v>
      </c>
      <c r="Q1082" t="s">
        <v>2259</v>
      </c>
      <c r="R1082" t="s">
        <v>2219</v>
      </c>
      <c r="S1082" t="s">
        <v>2220</v>
      </c>
      <c r="T1082" t="s">
        <v>2260</v>
      </c>
      <c r="U1082" t="s">
        <v>2261</v>
      </c>
      <c r="V1082" t="s">
        <v>2262</v>
      </c>
      <c r="W1082" t="s">
        <v>2263</v>
      </c>
      <c r="X1082" t="s">
        <v>2262</v>
      </c>
      <c r="Y1082" t="s">
        <v>1357</v>
      </c>
      <c r="AD1082" t="s">
        <v>2264</v>
      </c>
      <c r="AE1082" t="s">
        <v>2265</v>
      </c>
      <c r="AF1082" t="e">
        <f>--MSTTGSPTDRIRVAVIYGGRSSEHSVSCVSAGAVMAHLDTNKYEVIPVGISLDGAWMVGESDPEKLTIADRTLPKVEPRDQVRLSIDPSHRGEFRYISGHHTGELYATADVVFPVLHGRFGEDGTIQGFFELSSVPFVGAGVLASANAVDKEFTKKLLAAEGLPVAREVIL--RRRAELTEQEKDLLGLPVFVKPARGGSSIGVSKVTSWDDFPAAAELALQHDEKVLVESEVVGAEVECGVLQYPDGSVVASVPAQLMGTGDGDEGFYGFDTKYLDDIVTAQIPAPLDDATTELISSLAIEAFHALDGEGLARVDFFVTDNGPVVNEVNTMPGFTPISMYPQVFAASGVPYEDLLDIMIQRALSDQ</f>
        <v>#NAME?</v>
      </c>
    </row>
    <row r="1083" spans="1:32" hidden="1" x14ac:dyDescent="0.35">
      <c r="A1083">
        <v>1092</v>
      </c>
      <c r="B1083" t="s">
        <v>2257</v>
      </c>
      <c r="C1083" t="s">
        <v>72</v>
      </c>
      <c r="D1083" t="s">
        <v>34</v>
      </c>
      <c r="E1083">
        <v>28</v>
      </c>
      <c r="F1083">
        <v>5</v>
      </c>
      <c r="G1083">
        <v>5</v>
      </c>
      <c r="H1083">
        <v>1</v>
      </c>
      <c r="I1083">
        <v>1</v>
      </c>
      <c r="J1083">
        <v>0.77461115767905397</v>
      </c>
      <c r="K1083">
        <v>0.97043124779073697</v>
      </c>
      <c r="L1083">
        <v>0.86153421824352805</v>
      </c>
      <c r="M1083">
        <v>0.60162601626016299</v>
      </c>
      <c r="N1083">
        <v>1</v>
      </c>
      <c r="O1083">
        <v>0.70352303523035198</v>
      </c>
      <c r="P1083" t="s">
        <v>2258</v>
      </c>
      <c r="Q1083" t="s">
        <v>2259</v>
      </c>
      <c r="R1083" t="s">
        <v>2219</v>
      </c>
      <c r="S1083" t="s">
        <v>2220</v>
      </c>
      <c r="T1083" t="s">
        <v>2260</v>
      </c>
      <c r="U1083" t="s">
        <v>2261</v>
      </c>
      <c r="V1083" t="s">
        <v>2262</v>
      </c>
      <c r="W1083" t="s">
        <v>2263</v>
      </c>
      <c r="X1083" t="s">
        <v>2262</v>
      </c>
      <c r="Y1083" t="s">
        <v>1357</v>
      </c>
      <c r="AD1083" t="s">
        <v>2264</v>
      </c>
      <c r="AE1083" t="s">
        <v>2265</v>
      </c>
      <c r="AF1083" t="s">
        <v>2267</v>
      </c>
    </row>
    <row r="1084" spans="1:32" hidden="1" x14ac:dyDescent="0.35">
      <c r="A1084">
        <v>1093</v>
      </c>
      <c r="B1084" t="s">
        <v>2257</v>
      </c>
      <c r="C1084" t="s">
        <v>72</v>
      </c>
      <c r="D1084" t="s">
        <v>45</v>
      </c>
      <c r="E1084">
        <v>1285</v>
      </c>
      <c r="F1084">
        <v>5</v>
      </c>
      <c r="G1084">
        <v>5</v>
      </c>
      <c r="H1084">
        <v>1</v>
      </c>
      <c r="I1084">
        <v>1</v>
      </c>
      <c r="J1084">
        <v>0.77461115767905397</v>
      </c>
      <c r="K1084">
        <v>0.97043124779073697</v>
      </c>
      <c r="L1084">
        <v>0.86153421824352805</v>
      </c>
      <c r="M1084">
        <v>0.60162601626016299</v>
      </c>
      <c r="N1084">
        <v>1</v>
      </c>
      <c r="O1084">
        <v>0.70352303523035198</v>
      </c>
      <c r="P1084" t="s">
        <v>2258</v>
      </c>
      <c r="Q1084" t="s">
        <v>2259</v>
      </c>
      <c r="R1084" t="s">
        <v>2219</v>
      </c>
      <c r="S1084" t="s">
        <v>2220</v>
      </c>
      <c r="T1084" t="s">
        <v>2260</v>
      </c>
      <c r="U1084" t="s">
        <v>2261</v>
      </c>
      <c r="V1084" t="s">
        <v>2262</v>
      </c>
      <c r="W1084" t="s">
        <v>2263</v>
      </c>
      <c r="X1084" t="s">
        <v>2262</v>
      </c>
      <c r="Y1084" t="s">
        <v>1357</v>
      </c>
      <c r="AD1084" t="s">
        <v>2264</v>
      </c>
      <c r="AE1084" t="s">
        <v>2265</v>
      </c>
      <c r="AF1084" t="s">
        <v>2267</v>
      </c>
    </row>
    <row r="1085" spans="1:32" hidden="1" x14ac:dyDescent="0.35">
      <c r="A1085">
        <v>4349</v>
      </c>
      <c r="B1085" t="s">
        <v>9062</v>
      </c>
      <c r="C1085" t="s">
        <v>72</v>
      </c>
      <c r="D1085" t="s">
        <v>58</v>
      </c>
      <c r="E1085">
        <v>1279</v>
      </c>
      <c r="F1085">
        <v>5</v>
      </c>
      <c r="G1085">
        <v>5</v>
      </c>
      <c r="H1085">
        <v>1</v>
      </c>
      <c r="I1085">
        <v>1</v>
      </c>
      <c r="J1085">
        <v>0.76110753380553797</v>
      </c>
      <c r="K1085">
        <v>0.81231741427535398</v>
      </c>
      <c r="L1085">
        <v>0.78587911625591</v>
      </c>
      <c r="M1085">
        <v>0.40609137055837602</v>
      </c>
      <c r="N1085">
        <v>0.99492385786801996</v>
      </c>
      <c r="O1085">
        <v>0.60456852791878202</v>
      </c>
      <c r="P1085" t="s">
        <v>9063</v>
      </c>
      <c r="Q1085" t="s">
        <v>9064</v>
      </c>
      <c r="R1085" t="s">
        <v>9065</v>
      </c>
      <c r="S1085" t="s">
        <v>9066</v>
      </c>
      <c r="T1085" t="s">
        <v>9067</v>
      </c>
      <c r="U1085" t="s">
        <v>9068</v>
      </c>
      <c r="V1085" t="s">
        <v>9069</v>
      </c>
      <c r="W1085" t="s">
        <v>9070</v>
      </c>
      <c r="AD1085" t="s">
        <v>546</v>
      </c>
      <c r="AE1085" t="s">
        <v>9071</v>
      </c>
      <c r="AF1085" t="s">
        <v>9072</v>
      </c>
    </row>
    <row r="1086" spans="1:32" hidden="1" x14ac:dyDescent="0.35">
      <c r="A1086">
        <v>4350</v>
      </c>
      <c r="B1086" t="s">
        <v>9062</v>
      </c>
      <c r="C1086" t="s">
        <v>72</v>
      </c>
      <c r="D1086" t="s">
        <v>60</v>
      </c>
      <c r="E1086">
        <v>1722</v>
      </c>
      <c r="F1086">
        <v>5</v>
      </c>
      <c r="G1086">
        <v>5</v>
      </c>
      <c r="H1086">
        <v>1</v>
      </c>
      <c r="I1086">
        <v>1</v>
      </c>
      <c r="J1086">
        <v>0.76110753380553797</v>
      </c>
      <c r="K1086">
        <v>0.81231741427535398</v>
      </c>
      <c r="L1086">
        <v>0.78587911625591</v>
      </c>
      <c r="M1086">
        <v>0.40609137055837602</v>
      </c>
      <c r="N1086">
        <v>0.99492385786801996</v>
      </c>
      <c r="O1086">
        <v>0.60456852791878202</v>
      </c>
      <c r="P1086" t="s">
        <v>9063</v>
      </c>
      <c r="Q1086" t="s">
        <v>9064</v>
      </c>
      <c r="R1086" t="s">
        <v>9065</v>
      </c>
      <c r="S1086" t="s">
        <v>9066</v>
      </c>
      <c r="T1086" t="s">
        <v>9067</v>
      </c>
      <c r="U1086" t="s">
        <v>9068</v>
      </c>
      <c r="V1086" t="s">
        <v>9069</v>
      </c>
      <c r="W1086" t="s">
        <v>9070</v>
      </c>
      <c r="AD1086" t="s">
        <v>546</v>
      </c>
      <c r="AE1086" t="s">
        <v>9071</v>
      </c>
      <c r="AF1086" t="s">
        <v>9073</v>
      </c>
    </row>
    <row r="1087" spans="1:32" hidden="1" x14ac:dyDescent="0.35">
      <c r="A1087">
        <v>4351</v>
      </c>
      <c r="B1087" t="s">
        <v>9062</v>
      </c>
      <c r="C1087" t="s">
        <v>72</v>
      </c>
      <c r="D1087" t="s">
        <v>62</v>
      </c>
      <c r="E1087">
        <v>1757</v>
      </c>
      <c r="F1087">
        <v>5</v>
      </c>
      <c r="G1087">
        <v>5</v>
      </c>
      <c r="H1087">
        <v>1</v>
      </c>
      <c r="I1087">
        <v>1</v>
      </c>
      <c r="J1087">
        <v>0.76110753380553797</v>
      </c>
      <c r="K1087">
        <v>0.81231741427535398</v>
      </c>
      <c r="L1087">
        <v>0.78587911625591</v>
      </c>
      <c r="M1087">
        <v>0.40609137055837602</v>
      </c>
      <c r="N1087">
        <v>0.99492385786801996</v>
      </c>
      <c r="O1087">
        <v>0.60456852791878202</v>
      </c>
      <c r="P1087" t="s">
        <v>9063</v>
      </c>
      <c r="Q1087" t="s">
        <v>9064</v>
      </c>
      <c r="R1087" t="s">
        <v>9065</v>
      </c>
      <c r="S1087" t="s">
        <v>9066</v>
      </c>
      <c r="T1087" t="s">
        <v>9067</v>
      </c>
      <c r="U1087" t="s">
        <v>9068</v>
      </c>
      <c r="V1087" t="s">
        <v>9069</v>
      </c>
      <c r="W1087" t="s">
        <v>9070</v>
      </c>
      <c r="AD1087" t="s">
        <v>546</v>
      </c>
      <c r="AE1087" t="s">
        <v>9071</v>
      </c>
      <c r="AF1087" t="s">
        <v>9074</v>
      </c>
    </row>
    <row r="1088" spans="1:32" hidden="1" x14ac:dyDescent="0.35">
      <c r="A1088">
        <v>4352</v>
      </c>
      <c r="B1088" t="s">
        <v>9062</v>
      </c>
      <c r="C1088" t="s">
        <v>72</v>
      </c>
      <c r="D1088" t="s">
        <v>34</v>
      </c>
      <c r="E1088">
        <v>2099</v>
      </c>
      <c r="F1088">
        <v>5</v>
      </c>
      <c r="G1088">
        <v>5</v>
      </c>
      <c r="H1088">
        <v>1</v>
      </c>
      <c r="I1088">
        <v>1</v>
      </c>
      <c r="J1088">
        <v>0.76110753380553797</v>
      </c>
      <c r="K1088">
        <v>0.81231741427535398</v>
      </c>
      <c r="L1088">
        <v>0.78587911625591</v>
      </c>
      <c r="M1088">
        <v>0.40609137055837602</v>
      </c>
      <c r="N1088">
        <v>0.99492385786801996</v>
      </c>
      <c r="O1088">
        <v>0.60456852791878202</v>
      </c>
      <c r="P1088" t="s">
        <v>9063</v>
      </c>
      <c r="Q1088" t="s">
        <v>9064</v>
      </c>
      <c r="R1088" t="s">
        <v>9065</v>
      </c>
      <c r="S1088" t="s">
        <v>9066</v>
      </c>
      <c r="T1088" t="s">
        <v>9067</v>
      </c>
      <c r="U1088" t="s">
        <v>9068</v>
      </c>
      <c r="V1088" t="s">
        <v>9069</v>
      </c>
      <c r="W1088" t="s">
        <v>9070</v>
      </c>
      <c r="AD1088" t="s">
        <v>546</v>
      </c>
      <c r="AE1088" t="s">
        <v>9071</v>
      </c>
      <c r="AF1088" t="e">
        <f>----------MVTIIVIVGVIDQVTKTLMVNMLADNKIIYIIGDWFRFRLLFNPGAAFSMGQGSTWLFTCFQLAFLIGVLWYSPKVR--------DRWIALGLALIGGGALGNLGDRLFRAPQFFLGHVVDFISVGDFAVFNIADSAITCGVAVFLIATLLEGRGQGQKTPPDKSLDDAANSSQGAQPATPVEEQQR</f>
        <v>#NAME?</v>
      </c>
    </row>
    <row r="1089" spans="1:32" hidden="1" x14ac:dyDescent="0.35">
      <c r="A1089">
        <v>4353</v>
      </c>
      <c r="B1089" t="s">
        <v>9062</v>
      </c>
      <c r="C1089" t="s">
        <v>72</v>
      </c>
      <c r="D1089" t="s">
        <v>45</v>
      </c>
      <c r="E1089">
        <v>773</v>
      </c>
      <c r="F1089">
        <v>5</v>
      </c>
      <c r="G1089">
        <v>5</v>
      </c>
      <c r="H1089">
        <v>1</v>
      </c>
      <c r="I1089">
        <v>1</v>
      </c>
      <c r="J1089">
        <v>0.76110753380553797</v>
      </c>
      <c r="K1089">
        <v>0.81231741427535398</v>
      </c>
      <c r="L1089">
        <v>0.78587911625591</v>
      </c>
      <c r="M1089">
        <v>0.40609137055837602</v>
      </c>
      <c r="N1089">
        <v>0.99492385786801996</v>
      </c>
      <c r="O1089">
        <v>0.60456852791878202</v>
      </c>
      <c r="P1089" t="s">
        <v>9063</v>
      </c>
      <c r="Q1089" t="s">
        <v>9064</v>
      </c>
      <c r="R1089" t="s">
        <v>9065</v>
      </c>
      <c r="S1089" t="s">
        <v>9066</v>
      </c>
      <c r="T1089" t="s">
        <v>9067</v>
      </c>
      <c r="U1089" t="s">
        <v>9068</v>
      </c>
      <c r="V1089" t="s">
        <v>9069</v>
      </c>
      <c r="W1089" t="s">
        <v>9070</v>
      </c>
      <c r="AD1089" t="s">
        <v>546</v>
      </c>
      <c r="AE1089" t="s">
        <v>9071</v>
      </c>
      <c r="AF1089" t="e">
        <f>----------MVTIIVIVGVIDQVTKTLMVNMLADNKIIYIIGDWFRFRLLFNPGAAFSMGQGSTWLFTCFQLAFLIGVLWYSPKVR--------DRWIALGLALIGGGALGNLGDRLFRAPQFFLGHVVDFISVGDFAVFNIADSAITCGVAVFLIATLLEGRGQGQKTPPEKSLDDAANSSQGAQPATPVEEQQR</f>
        <v>#NAME?</v>
      </c>
    </row>
    <row r="1090" spans="1:32" hidden="1" x14ac:dyDescent="0.35">
      <c r="A1090">
        <v>11921</v>
      </c>
      <c r="B1090" t="s">
        <v>24577</v>
      </c>
      <c r="C1090" t="s">
        <v>10130</v>
      </c>
      <c r="D1090" t="s">
        <v>58</v>
      </c>
      <c r="E1090">
        <v>1146</v>
      </c>
      <c r="F1090">
        <v>1</v>
      </c>
      <c r="G1090">
        <v>1</v>
      </c>
      <c r="H1090">
        <v>1</v>
      </c>
      <c r="I1090">
        <v>0</v>
      </c>
      <c r="J1090">
        <v>1</v>
      </c>
      <c r="K1090">
        <v>1</v>
      </c>
      <c r="L1090">
        <v>1</v>
      </c>
      <c r="M1090">
        <v>0</v>
      </c>
      <c r="N1090">
        <v>0</v>
      </c>
      <c r="O1090">
        <v>0</v>
      </c>
      <c r="P1090" t="s">
        <v>19292</v>
      </c>
      <c r="Q1090" t="s">
        <v>19293</v>
      </c>
      <c r="R1090" t="s">
        <v>19294</v>
      </c>
      <c r="S1090" t="s">
        <v>19295</v>
      </c>
      <c r="V1090" t="s">
        <v>19296</v>
      </c>
      <c r="W1090" t="s">
        <v>19297</v>
      </c>
      <c r="X1090" t="s">
        <v>19296</v>
      </c>
      <c r="Y1090" t="s">
        <v>2392</v>
      </c>
      <c r="AF1090" t="s">
        <v>24578</v>
      </c>
    </row>
    <row r="1091" spans="1:32" hidden="1" x14ac:dyDescent="0.35">
      <c r="A1091">
        <v>1499</v>
      </c>
      <c r="B1091" t="s">
        <v>3141</v>
      </c>
      <c r="C1091" t="s">
        <v>72</v>
      </c>
      <c r="D1091" t="s">
        <v>58</v>
      </c>
      <c r="E1091">
        <v>1495</v>
      </c>
      <c r="F1091">
        <v>5</v>
      </c>
      <c r="G1091">
        <v>5</v>
      </c>
      <c r="H1091">
        <v>1</v>
      </c>
      <c r="I1091">
        <v>1</v>
      </c>
      <c r="J1091">
        <v>0.71784232365145195</v>
      </c>
      <c r="K1091">
        <v>0.88149689667761899</v>
      </c>
      <c r="L1091">
        <v>0.79129652116254601</v>
      </c>
      <c r="M1091">
        <v>0.45783132530120502</v>
      </c>
      <c r="N1091">
        <v>1</v>
      </c>
      <c r="O1091">
        <v>0.60240963855421703</v>
      </c>
      <c r="P1091" t="s">
        <v>3142</v>
      </c>
      <c r="Q1091" t="s">
        <v>3143</v>
      </c>
      <c r="R1091" t="s">
        <v>75</v>
      </c>
      <c r="S1091" t="s">
        <v>76</v>
      </c>
      <c r="T1091" t="s">
        <v>3144</v>
      </c>
      <c r="U1091" t="s">
        <v>3145</v>
      </c>
      <c r="V1091" t="s">
        <v>3146</v>
      </c>
      <c r="W1091" t="s">
        <v>3147</v>
      </c>
      <c r="X1091" t="s">
        <v>3146</v>
      </c>
      <c r="Y1091" t="s">
        <v>875</v>
      </c>
      <c r="AD1091" t="s">
        <v>410</v>
      </c>
      <c r="AE1091" t="s">
        <v>563</v>
      </c>
      <c r="AF1091" t="e">
        <f>---MSTEDNTNTSAQVHTTRIPVRWSDFDRFNHLNNVSYIEVAQEARTAFAQDEFAARGLPIPAVFVRRTEVDYFRPILPDTTAVEIDTTVVQIGTTSFTTHQSIKDRNGTVCCTVDCVQIAVDLATSSPRAITKHELGVLTQVADSAVINEATSADDSAEASADD</f>
        <v>#NAME?</v>
      </c>
    </row>
    <row r="1092" spans="1:32" hidden="1" x14ac:dyDescent="0.35">
      <c r="A1092">
        <v>465</v>
      </c>
      <c r="B1092" t="s">
        <v>866</v>
      </c>
      <c r="C1092" t="s">
        <v>72</v>
      </c>
      <c r="D1092" t="s">
        <v>60</v>
      </c>
      <c r="E1092">
        <v>345</v>
      </c>
      <c r="F1092">
        <v>5</v>
      </c>
      <c r="G1092">
        <v>5</v>
      </c>
      <c r="H1092">
        <v>1</v>
      </c>
      <c r="I1092">
        <v>1</v>
      </c>
      <c r="J1092">
        <v>0.73917628085845399</v>
      </c>
      <c r="K1092">
        <v>0.88691045430720095</v>
      </c>
      <c r="L1092">
        <v>0.80633235225609601</v>
      </c>
      <c r="M1092">
        <v>0.51960784313725505</v>
      </c>
      <c r="N1092">
        <v>1</v>
      </c>
      <c r="O1092">
        <v>0.625</v>
      </c>
      <c r="P1092" t="s">
        <v>867</v>
      </c>
      <c r="Q1092" t="s">
        <v>868</v>
      </c>
      <c r="R1092" t="s">
        <v>869</v>
      </c>
      <c r="S1092" t="s">
        <v>870</v>
      </c>
      <c r="T1092" t="s">
        <v>871</v>
      </c>
      <c r="U1092" t="s">
        <v>872</v>
      </c>
      <c r="V1092" t="s">
        <v>873</v>
      </c>
      <c r="W1092" t="s">
        <v>874</v>
      </c>
      <c r="X1092" t="s">
        <v>873</v>
      </c>
      <c r="Y1092" t="s">
        <v>875</v>
      </c>
      <c r="Z1092" t="s">
        <v>876</v>
      </c>
      <c r="AA1092" t="s">
        <v>877</v>
      </c>
      <c r="AB1092" t="s">
        <v>876</v>
      </c>
      <c r="AC1092" t="s">
        <v>878</v>
      </c>
      <c r="AD1092" t="s">
        <v>219</v>
      </c>
      <c r="AE1092" t="s">
        <v>879</v>
      </c>
      <c r="AF1092" t="s">
        <v>881</v>
      </c>
    </row>
    <row r="1093" spans="1:32" hidden="1" x14ac:dyDescent="0.35">
      <c r="A1093">
        <v>466</v>
      </c>
      <c r="B1093" t="s">
        <v>866</v>
      </c>
      <c r="C1093" t="s">
        <v>72</v>
      </c>
      <c r="D1093" t="s">
        <v>62</v>
      </c>
      <c r="E1093">
        <v>425</v>
      </c>
      <c r="F1093">
        <v>5</v>
      </c>
      <c r="G1093">
        <v>5</v>
      </c>
      <c r="H1093">
        <v>1</v>
      </c>
      <c r="I1093">
        <v>1</v>
      </c>
      <c r="J1093">
        <v>0.73917628085845399</v>
      </c>
      <c r="K1093">
        <v>0.88691045430720095</v>
      </c>
      <c r="L1093">
        <v>0.80633235225609601</v>
      </c>
      <c r="M1093">
        <v>0.51960784313725505</v>
      </c>
      <c r="N1093">
        <v>1</v>
      </c>
      <c r="O1093">
        <v>0.625</v>
      </c>
      <c r="P1093" t="s">
        <v>867</v>
      </c>
      <c r="Q1093" t="s">
        <v>868</v>
      </c>
      <c r="R1093" t="s">
        <v>869</v>
      </c>
      <c r="S1093" t="s">
        <v>870</v>
      </c>
      <c r="T1093" t="s">
        <v>871</v>
      </c>
      <c r="U1093" t="s">
        <v>872</v>
      </c>
      <c r="V1093" t="s">
        <v>873</v>
      </c>
      <c r="W1093" t="s">
        <v>874</v>
      </c>
      <c r="X1093" t="s">
        <v>873</v>
      </c>
      <c r="Y1093" t="s">
        <v>875</v>
      </c>
      <c r="Z1093" t="s">
        <v>876</v>
      </c>
      <c r="AA1093" t="s">
        <v>877</v>
      </c>
      <c r="AB1093" t="s">
        <v>876</v>
      </c>
      <c r="AC1093" t="s">
        <v>878</v>
      </c>
      <c r="AD1093" t="s">
        <v>219</v>
      </c>
      <c r="AE1093" t="s">
        <v>879</v>
      </c>
      <c r="AF1093" t="s">
        <v>881</v>
      </c>
    </row>
    <row r="1094" spans="1:32" hidden="1" x14ac:dyDescent="0.35">
      <c r="A1094">
        <v>467</v>
      </c>
      <c r="B1094" t="s">
        <v>866</v>
      </c>
      <c r="C1094" t="s">
        <v>72</v>
      </c>
      <c r="D1094" t="s">
        <v>34</v>
      </c>
      <c r="E1094">
        <v>824</v>
      </c>
      <c r="F1094">
        <v>5</v>
      </c>
      <c r="G1094">
        <v>5</v>
      </c>
      <c r="H1094">
        <v>1</v>
      </c>
      <c r="I1094">
        <v>1</v>
      </c>
      <c r="J1094">
        <v>0.73917628085845399</v>
      </c>
      <c r="K1094">
        <v>0.88691045430720095</v>
      </c>
      <c r="L1094">
        <v>0.80633235225609601</v>
      </c>
      <c r="M1094">
        <v>0.51960784313725505</v>
      </c>
      <c r="N1094">
        <v>1</v>
      </c>
      <c r="O1094">
        <v>0.625</v>
      </c>
      <c r="P1094" t="s">
        <v>867</v>
      </c>
      <c r="Q1094" t="s">
        <v>868</v>
      </c>
      <c r="R1094" t="s">
        <v>869</v>
      </c>
      <c r="S1094" t="s">
        <v>870</v>
      </c>
      <c r="T1094" t="s">
        <v>871</v>
      </c>
      <c r="U1094" t="s">
        <v>872</v>
      </c>
      <c r="V1094" t="s">
        <v>873</v>
      </c>
      <c r="W1094" t="s">
        <v>874</v>
      </c>
      <c r="X1094" t="s">
        <v>873</v>
      </c>
      <c r="Y1094" t="s">
        <v>875</v>
      </c>
      <c r="Z1094" t="s">
        <v>876</v>
      </c>
      <c r="AA1094" t="s">
        <v>877</v>
      </c>
      <c r="AB1094" t="s">
        <v>876</v>
      </c>
      <c r="AC1094" t="s">
        <v>878</v>
      </c>
      <c r="AD1094" t="s">
        <v>219</v>
      </c>
      <c r="AE1094" t="s">
        <v>879</v>
      </c>
      <c r="AF1094" t="s">
        <v>882</v>
      </c>
    </row>
    <row r="1095" spans="1:32" hidden="1" x14ac:dyDescent="0.35">
      <c r="A1095">
        <v>468</v>
      </c>
      <c r="B1095" t="s">
        <v>866</v>
      </c>
      <c r="C1095" t="s">
        <v>72</v>
      </c>
      <c r="D1095" t="s">
        <v>45</v>
      </c>
      <c r="E1095">
        <v>2081</v>
      </c>
      <c r="F1095">
        <v>5</v>
      </c>
      <c r="G1095">
        <v>5</v>
      </c>
      <c r="H1095">
        <v>1</v>
      </c>
      <c r="I1095">
        <v>1</v>
      </c>
      <c r="J1095">
        <v>0.73917628085845399</v>
      </c>
      <c r="K1095">
        <v>0.88691045430720095</v>
      </c>
      <c r="L1095">
        <v>0.80633235225609601</v>
      </c>
      <c r="M1095">
        <v>0.51960784313725505</v>
      </c>
      <c r="N1095">
        <v>1</v>
      </c>
      <c r="O1095">
        <v>0.625</v>
      </c>
      <c r="P1095" t="s">
        <v>867</v>
      </c>
      <c r="Q1095" t="s">
        <v>868</v>
      </c>
      <c r="R1095" t="s">
        <v>869</v>
      </c>
      <c r="S1095" t="s">
        <v>870</v>
      </c>
      <c r="T1095" t="s">
        <v>871</v>
      </c>
      <c r="U1095" t="s">
        <v>872</v>
      </c>
      <c r="V1095" t="s">
        <v>873</v>
      </c>
      <c r="W1095" t="s">
        <v>874</v>
      </c>
      <c r="X1095" t="s">
        <v>873</v>
      </c>
      <c r="Y1095" t="s">
        <v>875</v>
      </c>
      <c r="Z1095" t="s">
        <v>876</v>
      </c>
      <c r="AA1095" t="s">
        <v>877</v>
      </c>
      <c r="AB1095" t="s">
        <v>876</v>
      </c>
      <c r="AC1095" t="s">
        <v>878</v>
      </c>
      <c r="AD1095" t="s">
        <v>219</v>
      </c>
      <c r="AE1095" t="s">
        <v>879</v>
      </c>
      <c r="AF1095" t="s">
        <v>883</v>
      </c>
    </row>
    <row r="1096" spans="1:32" hidden="1" x14ac:dyDescent="0.35">
      <c r="A1096">
        <v>11409</v>
      </c>
      <c r="B1096" t="s">
        <v>23253</v>
      </c>
      <c r="C1096" t="s">
        <v>33</v>
      </c>
      <c r="D1096" t="s">
        <v>58</v>
      </c>
      <c r="E1096">
        <v>1262</v>
      </c>
      <c r="F1096">
        <v>1</v>
      </c>
      <c r="G1096">
        <v>1</v>
      </c>
      <c r="H1096">
        <v>1</v>
      </c>
      <c r="I1096">
        <v>0</v>
      </c>
      <c r="J1096">
        <v>1</v>
      </c>
      <c r="K1096">
        <v>1</v>
      </c>
      <c r="L1096">
        <v>1</v>
      </c>
      <c r="M1096">
        <v>0</v>
      </c>
      <c r="N1096">
        <v>0</v>
      </c>
      <c r="O1096">
        <v>0</v>
      </c>
      <c r="P1096" t="s">
        <v>3142</v>
      </c>
      <c r="Q1096" t="s">
        <v>3143</v>
      </c>
      <c r="R1096" t="s">
        <v>75</v>
      </c>
      <c r="S1096" t="s">
        <v>76</v>
      </c>
      <c r="T1096" t="s">
        <v>3144</v>
      </c>
      <c r="U1096" t="s">
        <v>3145</v>
      </c>
      <c r="V1096" t="s">
        <v>3146</v>
      </c>
      <c r="W1096" t="s">
        <v>3147</v>
      </c>
      <c r="X1096" t="s">
        <v>3146</v>
      </c>
      <c r="Y1096" t="s">
        <v>875</v>
      </c>
      <c r="AD1096" t="s">
        <v>410</v>
      </c>
      <c r="AE1096" t="s">
        <v>563</v>
      </c>
      <c r="AF1096" t="s">
        <v>23254</v>
      </c>
    </row>
    <row r="1097" spans="1:32" hidden="1" x14ac:dyDescent="0.35">
      <c r="A1097">
        <v>555</v>
      </c>
      <c r="B1097" t="s">
        <v>1084</v>
      </c>
      <c r="C1097" t="s">
        <v>72</v>
      </c>
      <c r="D1097" t="s">
        <v>60</v>
      </c>
      <c r="E1097">
        <v>1790</v>
      </c>
      <c r="F1097">
        <v>5</v>
      </c>
      <c r="G1097">
        <v>5</v>
      </c>
      <c r="H1097">
        <v>1</v>
      </c>
      <c r="I1097">
        <v>1</v>
      </c>
      <c r="J1097">
        <v>0.79283444091303101</v>
      </c>
      <c r="K1097">
        <v>0.98615384615384505</v>
      </c>
      <c r="L1097">
        <v>0.87899031033949404</v>
      </c>
      <c r="M1097">
        <v>0.62678062678062696</v>
      </c>
      <c r="N1097">
        <v>1</v>
      </c>
      <c r="O1097">
        <v>0.71823361823361798</v>
      </c>
      <c r="P1097" t="s">
        <v>1085</v>
      </c>
      <c r="Q1097" t="s">
        <v>1086</v>
      </c>
      <c r="R1097" t="s">
        <v>869</v>
      </c>
      <c r="S1097" t="s">
        <v>870</v>
      </c>
      <c r="T1097" t="s">
        <v>1087</v>
      </c>
      <c r="U1097" t="s">
        <v>1088</v>
      </c>
      <c r="V1097" t="s">
        <v>1089</v>
      </c>
      <c r="W1097" t="s">
        <v>1090</v>
      </c>
      <c r="X1097" t="s">
        <v>1089</v>
      </c>
      <c r="Y1097" t="s">
        <v>1091</v>
      </c>
      <c r="Z1097" t="s">
        <v>1092</v>
      </c>
      <c r="AA1097" t="s">
        <v>1093</v>
      </c>
      <c r="AB1097" t="s">
        <v>1092</v>
      </c>
      <c r="AC1097" t="s">
        <v>1094</v>
      </c>
      <c r="AD1097" t="s">
        <v>219</v>
      </c>
      <c r="AE1097" t="s">
        <v>1095</v>
      </c>
      <c r="AF1097" t="s">
        <v>1096</v>
      </c>
    </row>
    <row r="1098" spans="1:32" hidden="1" x14ac:dyDescent="0.35">
      <c r="A1098">
        <v>556</v>
      </c>
      <c r="B1098" t="s">
        <v>1084</v>
      </c>
      <c r="C1098" t="s">
        <v>72</v>
      </c>
      <c r="D1098" t="s">
        <v>62</v>
      </c>
      <c r="E1098">
        <v>1826</v>
      </c>
      <c r="F1098">
        <v>5</v>
      </c>
      <c r="G1098">
        <v>5</v>
      </c>
      <c r="H1098">
        <v>1</v>
      </c>
      <c r="I1098">
        <v>1</v>
      </c>
      <c r="J1098">
        <v>0.79283444091303101</v>
      </c>
      <c r="K1098">
        <v>0.98615384615384505</v>
      </c>
      <c r="L1098">
        <v>0.87899031033949404</v>
      </c>
      <c r="M1098">
        <v>0.62678062678062696</v>
      </c>
      <c r="N1098">
        <v>1</v>
      </c>
      <c r="O1098">
        <v>0.71823361823361798</v>
      </c>
      <c r="P1098" t="s">
        <v>1085</v>
      </c>
      <c r="Q1098" t="s">
        <v>1086</v>
      </c>
      <c r="R1098" t="s">
        <v>869</v>
      </c>
      <c r="S1098" t="s">
        <v>870</v>
      </c>
      <c r="T1098" t="s">
        <v>1087</v>
      </c>
      <c r="U1098" t="s">
        <v>1088</v>
      </c>
      <c r="V1098" t="s">
        <v>1089</v>
      </c>
      <c r="W1098" t="s">
        <v>1090</v>
      </c>
      <c r="X1098" t="s">
        <v>1089</v>
      </c>
      <c r="Y1098" t="s">
        <v>1091</v>
      </c>
      <c r="Z1098" t="s">
        <v>1092</v>
      </c>
      <c r="AA1098" t="s">
        <v>1093</v>
      </c>
      <c r="AB1098" t="s">
        <v>1092</v>
      </c>
      <c r="AC1098" t="s">
        <v>1094</v>
      </c>
      <c r="AD1098" t="s">
        <v>219</v>
      </c>
      <c r="AE1098" t="s">
        <v>1095</v>
      </c>
      <c r="AF1098" t="s">
        <v>1096</v>
      </c>
    </row>
    <row r="1099" spans="1:32" hidden="1" x14ac:dyDescent="0.35">
      <c r="A1099">
        <v>557</v>
      </c>
      <c r="B1099" t="s">
        <v>1084</v>
      </c>
      <c r="C1099" t="s">
        <v>72</v>
      </c>
      <c r="D1099" t="s">
        <v>34</v>
      </c>
      <c r="E1099">
        <v>2157</v>
      </c>
      <c r="F1099">
        <v>5</v>
      </c>
      <c r="G1099">
        <v>5</v>
      </c>
      <c r="H1099">
        <v>1</v>
      </c>
      <c r="I1099">
        <v>1</v>
      </c>
      <c r="J1099">
        <v>0.79283444091303101</v>
      </c>
      <c r="K1099">
        <v>0.98615384615384505</v>
      </c>
      <c r="L1099">
        <v>0.87899031033949404</v>
      </c>
      <c r="M1099">
        <v>0.62678062678062696</v>
      </c>
      <c r="N1099">
        <v>1</v>
      </c>
      <c r="O1099">
        <v>0.71823361823361798</v>
      </c>
      <c r="P1099" t="s">
        <v>1085</v>
      </c>
      <c r="Q1099" t="s">
        <v>1086</v>
      </c>
      <c r="R1099" t="s">
        <v>869</v>
      </c>
      <c r="S1099" t="s">
        <v>870</v>
      </c>
      <c r="T1099" t="s">
        <v>1087</v>
      </c>
      <c r="U1099" t="s">
        <v>1088</v>
      </c>
      <c r="V1099" t="s">
        <v>1089</v>
      </c>
      <c r="W1099" t="s">
        <v>1090</v>
      </c>
      <c r="X1099" t="s">
        <v>1089</v>
      </c>
      <c r="Y1099" t="s">
        <v>1091</v>
      </c>
      <c r="Z1099" t="s">
        <v>1092</v>
      </c>
      <c r="AA1099" t="s">
        <v>1093</v>
      </c>
      <c r="AB1099" t="s">
        <v>1092</v>
      </c>
      <c r="AC1099" t="s">
        <v>1094</v>
      </c>
      <c r="AD1099" t="s">
        <v>219</v>
      </c>
      <c r="AE1099" t="s">
        <v>1095</v>
      </c>
      <c r="AF1099" t="s">
        <v>1097</v>
      </c>
    </row>
    <row r="1100" spans="1:32" hidden="1" x14ac:dyDescent="0.35">
      <c r="A1100">
        <v>558</v>
      </c>
      <c r="B1100" t="s">
        <v>1084</v>
      </c>
      <c r="C1100" t="s">
        <v>72</v>
      </c>
      <c r="D1100" t="s">
        <v>45</v>
      </c>
      <c r="E1100">
        <v>716</v>
      </c>
      <c r="F1100">
        <v>5</v>
      </c>
      <c r="G1100">
        <v>5</v>
      </c>
      <c r="H1100">
        <v>1</v>
      </c>
      <c r="I1100">
        <v>1</v>
      </c>
      <c r="J1100">
        <v>0.79283444091303101</v>
      </c>
      <c r="K1100">
        <v>0.98615384615384505</v>
      </c>
      <c r="L1100">
        <v>0.87899031033949404</v>
      </c>
      <c r="M1100">
        <v>0.62678062678062696</v>
      </c>
      <c r="N1100">
        <v>1</v>
      </c>
      <c r="O1100">
        <v>0.71823361823361798</v>
      </c>
      <c r="P1100" t="s">
        <v>1085</v>
      </c>
      <c r="Q1100" t="s">
        <v>1086</v>
      </c>
      <c r="R1100" t="s">
        <v>869</v>
      </c>
      <c r="S1100" t="s">
        <v>870</v>
      </c>
      <c r="T1100" t="s">
        <v>1087</v>
      </c>
      <c r="U1100" t="s">
        <v>1088</v>
      </c>
      <c r="V1100" t="s">
        <v>1089</v>
      </c>
      <c r="W1100" t="s">
        <v>1090</v>
      </c>
      <c r="X1100" t="s">
        <v>1089</v>
      </c>
      <c r="Y1100" t="s">
        <v>1091</v>
      </c>
      <c r="Z1100" t="s">
        <v>1092</v>
      </c>
      <c r="AA1100" t="s">
        <v>1093</v>
      </c>
      <c r="AB1100" t="s">
        <v>1092</v>
      </c>
      <c r="AC1100" t="s">
        <v>1094</v>
      </c>
      <c r="AD1100" t="s">
        <v>219</v>
      </c>
      <c r="AE1100" t="s">
        <v>1095</v>
      </c>
      <c r="AF1100" t="s">
        <v>1098</v>
      </c>
    </row>
    <row r="1101" spans="1:32" hidden="1" x14ac:dyDescent="0.35">
      <c r="A1101">
        <v>10847</v>
      </c>
      <c r="B1101" t="s">
        <v>21792</v>
      </c>
      <c r="C1101" t="s">
        <v>33</v>
      </c>
      <c r="D1101" t="s">
        <v>58</v>
      </c>
      <c r="E1101">
        <v>633</v>
      </c>
      <c r="F1101">
        <v>1</v>
      </c>
      <c r="G1101">
        <v>1</v>
      </c>
      <c r="H1101">
        <v>1</v>
      </c>
      <c r="I1101">
        <v>0</v>
      </c>
      <c r="J1101">
        <v>1</v>
      </c>
      <c r="K1101">
        <v>1</v>
      </c>
      <c r="L1101">
        <v>1</v>
      </c>
      <c r="M1101">
        <v>0</v>
      </c>
      <c r="N1101">
        <v>0</v>
      </c>
      <c r="O1101">
        <v>0</v>
      </c>
      <c r="P1101" t="s">
        <v>12586</v>
      </c>
      <c r="Q1101" t="s">
        <v>12587</v>
      </c>
      <c r="R1101" t="s">
        <v>516</v>
      </c>
      <c r="S1101" t="s">
        <v>517</v>
      </c>
      <c r="V1101" t="s">
        <v>15495</v>
      </c>
      <c r="W1101" t="s">
        <v>15496</v>
      </c>
      <c r="AF1101" t="s">
        <v>21793</v>
      </c>
    </row>
    <row r="1102" spans="1:32" hidden="1" x14ac:dyDescent="0.35">
      <c r="A1102">
        <v>575</v>
      </c>
      <c r="B1102" t="s">
        <v>1146</v>
      </c>
      <c r="C1102" t="s">
        <v>72</v>
      </c>
      <c r="D1102" t="s">
        <v>60</v>
      </c>
      <c r="E1102">
        <v>312</v>
      </c>
      <c r="F1102">
        <v>5</v>
      </c>
      <c r="G1102">
        <v>5</v>
      </c>
      <c r="H1102">
        <v>1</v>
      </c>
      <c r="I1102">
        <v>1</v>
      </c>
      <c r="J1102">
        <v>0.80494363429517002</v>
      </c>
      <c r="K1102">
        <v>0.91128738724481595</v>
      </c>
      <c r="L1102">
        <v>0.85482079296991897</v>
      </c>
      <c r="M1102">
        <v>0.61235955056179803</v>
      </c>
      <c r="N1102">
        <v>1</v>
      </c>
      <c r="O1102">
        <v>0.70898876404494404</v>
      </c>
      <c r="P1102" t="s">
        <v>1147</v>
      </c>
      <c r="Q1102" t="s">
        <v>1148</v>
      </c>
      <c r="R1102" t="s">
        <v>869</v>
      </c>
      <c r="S1102" t="s">
        <v>870</v>
      </c>
      <c r="T1102" t="s">
        <v>1149</v>
      </c>
      <c r="U1102" t="s">
        <v>1150</v>
      </c>
      <c r="V1102" t="s">
        <v>1151</v>
      </c>
      <c r="W1102" t="s">
        <v>1152</v>
      </c>
      <c r="X1102" t="s">
        <v>1151</v>
      </c>
      <c r="Y1102" t="s">
        <v>1153</v>
      </c>
      <c r="Z1102" t="s">
        <v>1154</v>
      </c>
      <c r="AA1102" t="s">
        <v>1155</v>
      </c>
      <c r="AB1102" t="s">
        <v>1154</v>
      </c>
      <c r="AC1102" t="s">
        <v>1156</v>
      </c>
      <c r="AD1102" t="s">
        <v>1157</v>
      </c>
      <c r="AE1102" t="s">
        <v>1158</v>
      </c>
      <c r="AF1102" t="s">
        <v>1160</v>
      </c>
    </row>
    <row r="1103" spans="1:32" hidden="1" x14ac:dyDescent="0.35">
      <c r="A1103">
        <v>576</v>
      </c>
      <c r="B1103" t="s">
        <v>1146</v>
      </c>
      <c r="C1103" t="s">
        <v>72</v>
      </c>
      <c r="D1103" t="s">
        <v>62</v>
      </c>
      <c r="E1103">
        <v>392</v>
      </c>
      <c r="F1103">
        <v>5</v>
      </c>
      <c r="G1103">
        <v>5</v>
      </c>
      <c r="H1103">
        <v>1</v>
      </c>
      <c r="I1103">
        <v>1</v>
      </c>
      <c r="J1103">
        <v>0.80494363429517002</v>
      </c>
      <c r="K1103">
        <v>0.91128738724481595</v>
      </c>
      <c r="L1103">
        <v>0.85482079296991897</v>
      </c>
      <c r="M1103">
        <v>0.61235955056179803</v>
      </c>
      <c r="N1103">
        <v>1</v>
      </c>
      <c r="O1103">
        <v>0.70898876404494404</v>
      </c>
      <c r="P1103" t="s">
        <v>1147</v>
      </c>
      <c r="Q1103" t="s">
        <v>1148</v>
      </c>
      <c r="R1103" t="s">
        <v>869</v>
      </c>
      <c r="S1103" t="s">
        <v>870</v>
      </c>
      <c r="T1103" t="s">
        <v>1149</v>
      </c>
      <c r="U1103" t="s">
        <v>1150</v>
      </c>
      <c r="V1103" t="s">
        <v>1151</v>
      </c>
      <c r="W1103" t="s">
        <v>1152</v>
      </c>
      <c r="X1103" t="s">
        <v>1151</v>
      </c>
      <c r="Y1103" t="s">
        <v>1153</v>
      </c>
      <c r="Z1103" t="s">
        <v>1154</v>
      </c>
      <c r="AA1103" t="s">
        <v>1155</v>
      </c>
      <c r="AB1103" t="s">
        <v>1154</v>
      </c>
      <c r="AC1103" t="s">
        <v>1156</v>
      </c>
      <c r="AD1103" t="s">
        <v>1157</v>
      </c>
      <c r="AE1103" t="s">
        <v>1158</v>
      </c>
      <c r="AF1103" t="s">
        <v>1160</v>
      </c>
    </row>
    <row r="1104" spans="1:32" hidden="1" x14ac:dyDescent="0.35">
      <c r="A1104">
        <v>577</v>
      </c>
      <c r="B1104" t="s">
        <v>1146</v>
      </c>
      <c r="C1104" t="s">
        <v>72</v>
      </c>
      <c r="D1104" t="s">
        <v>34</v>
      </c>
      <c r="E1104">
        <v>847</v>
      </c>
      <c r="F1104">
        <v>5</v>
      </c>
      <c r="G1104">
        <v>5</v>
      </c>
      <c r="H1104">
        <v>1</v>
      </c>
      <c r="I1104">
        <v>1</v>
      </c>
      <c r="J1104">
        <v>0.80494363429517002</v>
      </c>
      <c r="K1104">
        <v>0.91128738724481595</v>
      </c>
      <c r="L1104">
        <v>0.85482079296991897</v>
      </c>
      <c r="M1104">
        <v>0.61235955056179803</v>
      </c>
      <c r="N1104">
        <v>1</v>
      </c>
      <c r="O1104">
        <v>0.70898876404494404</v>
      </c>
      <c r="P1104" t="s">
        <v>1147</v>
      </c>
      <c r="Q1104" t="s">
        <v>1148</v>
      </c>
      <c r="R1104" t="s">
        <v>869</v>
      </c>
      <c r="S1104" t="s">
        <v>870</v>
      </c>
      <c r="T1104" t="s">
        <v>1149</v>
      </c>
      <c r="U1104" t="s">
        <v>1150</v>
      </c>
      <c r="V1104" t="s">
        <v>1151</v>
      </c>
      <c r="W1104" t="s">
        <v>1152</v>
      </c>
      <c r="X1104" t="s">
        <v>1151</v>
      </c>
      <c r="Y1104" t="s">
        <v>1153</v>
      </c>
      <c r="Z1104" t="s">
        <v>1154</v>
      </c>
      <c r="AA1104" t="s">
        <v>1155</v>
      </c>
      <c r="AB1104" t="s">
        <v>1154</v>
      </c>
      <c r="AC1104" t="s">
        <v>1156</v>
      </c>
      <c r="AD1104" t="s">
        <v>1157</v>
      </c>
      <c r="AE1104" t="s">
        <v>1158</v>
      </c>
      <c r="AF1104" t="s">
        <v>1161</v>
      </c>
    </row>
    <row r="1105" spans="1:32" hidden="1" x14ac:dyDescent="0.35">
      <c r="A1105">
        <v>578</v>
      </c>
      <c r="B1105" t="s">
        <v>1146</v>
      </c>
      <c r="C1105" t="s">
        <v>72</v>
      </c>
      <c r="D1105" t="s">
        <v>45</v>
      </c>
      <c r="E1105">
        <v>2104</v>
      </c>
      <c r="F1105">
        <v>5</v>
      </c>
      <c r="G1105">
        <v>5</v>
      </c>
      <c r="H1105">
        <v>1</v>
      </c>
      <c r="I1105">
        <v>1</v>
      </c>
      <c r="J1105">
        <v>0.80494363429517002</v>
      </c>
      <c r="K1105">
        <v>0.91128738724481595</v>
      </c>
      <c r="L1105">
        <v>0.85482079296991897</v>
      </c>
      <c r="M1105">
        <v>0.61235955056179803</v>
      </c>
      <c r="N1105">
        <v>1</v>
      </c>
      <c r="O1105">
        <v>0.70898876404494404</v>
      </c>
      <c r="P1105" t="s">
        <v>1147</v>
      </c>
      <c r="Q1105" t="s">
        <v>1148</v>
      </c>
      <c r="R1105" t="s">
        <v>869</v>
      </c>
      <c r="S1105" t="s">
        <v>870</v>
      </c>
      <c r="T1105" t="s">
        <v>1149</v>
      </c>
      <c r="U1105" t="s">
        <v>1150</v>
      </c>
      <c r="V1105" t="s">
        <v>1151</v>
      </c>
      <c r="W1105" t="s">
        <v>1152</v>
      </c>
      <c r="X1105" t="s">
        <v>1151</v>
      </c>
      <c r="Y1105" t="s">
        <v>1153</v>
      </c>
      <c r="Z1105" t="s">
        <v>1154</v>
      </c>
      <c r="AA1105" t="s">
        <v>1155</v>
      </c>
      <c r="AB1105" t="s">
        <v>1154</v>
      </c>
      <c r="AC1105" t="s">
        <v>1156</v>
      </c>
      <c r="AD1105" t="s">
        <v>1157</v>
      </c>
      <c r="AE1105" t="s">
        <v>1158</v>
      </c>
      <c r="AF1105" t="s">
        <v>1161</v>
      </c>
    </row>
    <row r="1106" spans="1:32" hidden="1" x14ac:dyDescent="0.35">
      <c r="A1106">
        <v>10973</v>
      </c>
      <c r="B1106" t="s">
        <v>22129</v>
      </c>
      <c r="C1106" t="s">
        <v>33</v>
      </c>
      <c r="D1106" t="s">
        <v>58</v>
      </c>
      <c r="E1106">
        <v>890</v>
      </c>
      <c r="F1106">
        <v>1</v>
      </c>
      <c r="G1106">
        <v>1</v>
      </c>
      <c r="H1106">
        <v>1</v>
      </c>
      <c r="I1106">
        <v>0</v>
      </c>
      <c r="J1106">
        <v>1</v>
      </c>
      <c r="K1106">
        <v>1</v>
      </c>
      <c r="L1106">
        <v>1</v>
      </c>
      <c r="M1106">
        <v>0</v>
      </c>
      <c r="N1106">
        <v>0</v>
      </c>
      <c r="O1106">
        <v>0</v>
      </c>
      <c r="P1106" t="s">
        <v>12586</v>
      </c>
      <c r="Q1106" t="s">
        <v>12587</v>
      </c>
      <c r="R1106" t="s">
        <v>516</v>
      </c>
      <c r="S1106" t="s">
        <v>517</v>
      </c>
      <c r="T1106" t="s">
        <v>15493</v>
      </c>
      <c r="U1106" t="s">
        <v>15494</v>
      </c>
      <c r="V1106" t="s">
        <v>15495</v>
      </c>
      <c r="W1106" t="s">
        <v>15496</v>
      </c>
      <c r="Z1106" t="s">
        <v>876</v>
      </c>
      <c r="AA1106" t="s">
        <v>877</v>
      </c>
      <c r="AB1106" t="s">
        <v>876</v>
      </c>
      <c r="AC1106" t="s">
        <v>878</v>
      </c>
      <c r="AD1106" t="s">
        <v>219</v>
      </c>
      <c r="AE1106" t="s">
        <v>15497</v>
      </c>
      <c r="AF1106" t="s">
        <v>22130</v>
      </c>
    </row>
    <row r="1107" spans="1:32" hidden="1" x14ac:dyDescent="0.35">
      <c r="A1107">
        <v>605</v>
      </c>
      <c r="B1107" t="s">
        <v>1222</v>
      </c>
      <c r="C1107" t="s">
        <v>72</v>
      </c>
      <c r="D1107" t="s">
        <v>60</v>
      </c>
      <c r="E1107">
        <v>333</v>
      </c>
      <c r="F1107">
        <v>5</v>
      </c>
      <c r="G1107">
        <v>5</v>
      </c>
      <c r="H1107">
        <v>1</v>
      </c>
      <c r="I1107">
        <v>1</v>
      </c>
      <c r="J1107">
        <v>0.80015054572826505</v>
      </c>
      <c r="K1107">
        <v>0.84823569749216099</v>
      </c>
      <c r="L1107">
        <v>0.82349177451099198</v>
      </c>
      <c r="M1107">
        <v>0.55312499999999998</v>
      </c>
      <c r="N1107">
        <v>1</v>
      </c>
      <c r="O1107">
        <v>0.6640625</v>
      </c>
      <c r="P1107" t="s">
        <v>1223</v>
      </c>
      <c r="Q1107" t="s">
        <v>1224</v>
      </c>
      <c r="R1107" t="s">
        <v>869</v>
      </c>
      <c r="S1107" t="s">
        <v>870</v>
      </c>
      <c r="T1107" t="s">
        <v>1225</v>
      </c>
      <c r="U1107" t="s">
        <v>1226</v>
      </c>
      <c r="V1107" t="s">
        <v>1227</v>
      </c>
      <c r="W1107" t="s">
        <v>1228</v>
      </c>
      <c r="X1107" t="s">
        <v>1227</v>
      </c>
      <c r="Y1107" t="s">
        <v>875</v>
      </c>
      <c r="Z1107" t="s">
        <v>1229</v>
      </c>
      <c r="AA1107" t="s">
        <v>1230</v>
      </c>
      <c r="AB1107" t="s">
        <v>1229</v>
      </c>
      <c r="AC1107" t="s">
        <v>1094</v>
      </c>
      <c r="AD1107" t="s">
        <v>1231</v>
      </c>
      <c r="AE1107" t="s">
        <v>1232</v>
      </c>
      <c r="AF1107" t="s">
        <v>1234</v>
      </c>
    </row>
    <row r="1108" spans="1:32" hidden="1" x14ac:dyDescent="0.35">
      <c r="A1108">
        <v>606</v>
      </c>
      <c r="B1108" t="s">
        <v>1222</v>
      </c>
      <c r="C1108" t="s">
        <v>72</v>
      </c>
      <c r="D1108" t="s">
        <v>62</v>
      </c>
      <c r="E1108">
        <v>413</v>
      </c>
      <c r="F1108">
        <v>5</v>
      </c>
      <c r="G1108">
        <v>5</v>
      </c>
      <c r="H1108">
        <v>1</v>
      </c>
      <c r="I1108">
        <v>1</v>
      </c>
      <c r="J1108">
        <v>0.80015054572826505</v>
      </c>
      <c r="K1108">
        <v>0.84823569749216099</v>
      </c>
      <c r="L1108">
        <v>0.82349177451099198</v>
      </c>
      <c r="M1108">
        <v>0.55312499999999998</v>
      </c>
      <c r="N1108">
        <v>1</v>
      </c>
      <c r="O1108">
        <v>0.6640625</v>
      </c>
      <c r="P1108" t="s">
        <v>1223</v>
      </c>
      <c r="Q1108" t="s">
        <v>1224</v>
      </c>
      <c r="R1108" t="s">
        <v>869</v>
      </c>
      <c r="S1108" t="s">
        <v>870</v>
      </c>
      <c r="T1108" t="s">
        <v>1225</v>
      </c>
      <c r="U1108" t="s">
        <v>1226</v>
      </c>
      <c r="V1108" t="s">
        <v>1227</v>
      </c>
      <c r="W1108" t="s">
        <v>1228</v>
      </c>
      <c r="X1108" t="s">
        <v>1227</v>
      </c>
      <c r="Y1108" t="s">
        <v>875</v>
      </c>
      <c r="Z1108" t="s">
        <v>1229</v>
      </c>
      <c r="AA1108" t="s">
        <v>1230</v>
      </c>
      <c r="AB1108" t="s">
        <v>1229</v>
      </c>
      <c r="AC1108" t="s">
        <v>1094</v>
      </c>
      <c r="AD1108" t="s">
        <v>1231</v>
      </c>
      <c r="AE1108" t="s">
        <v>1232</v>
      </c>
      <c r="AF1108" t="s">
        <v>1234</v>
      </c>
    </row>
    <row r="1109" spans="1:32" hidden="1" x14ac:dyDescent="0.35">
      <c r="A1109">
        <v>607</v>
      </c>
      <c r="B1109" t="s">
        <v>1222</v>
      </c>
      <c r="C1109" t="s">
        <v>72</v>
      </c>
      <c r="D1109" t="s">
        <v>34</v>
      </c>
      <c r="E1109">
        <v>829</v>
      </c>
      <c r="F1109">
        <v>5</v>
      </c>
      <c r="G1109">
        <v>5</v>
      </c>
      <c r="H1109">
        <v>1</v>
      </c>
      <c r="I1109">
        <v>1</v>
      </c>
      <c r="J1109">
        <v>0.80015054572826505</v>
      </c>
      <c r="K1109">
        <v>0.84823569749216099</v>
      </c>
      <c r="L1109">
        <v>0.82349177451099198</v>
      </c>
      <c r="M1109">
        <v>0.55312499999999998</v>
      </c>
      <c r="N1109">
        <v>1</v>
      </c>
      <c r="O1109">
        <v>0.6640625</v>
      </c>
      <c r="P1109" t="s">
        <v>1223</v>
      </c>
      <c r="Q1109" t="s">
        <v>1224</v>
      </c>
      <c r="R1109" t="s">
        <v>869</v>
      </c>
      <c r="S1109" t="s">
        <v>870</v>
      </c>
      <c r="T1109" t="s">
        <v>1225</v>
      </c>
      <c r="U1109" t="s">
        <v>1226</v>
      </c>
      <c r="V1109" t="s">
        <v>1227</v>
      </c>
      <c r="W1109" t="s">
        <v>1228</v>
      </c>
      <c r="X1109" t="s">
        <v>1227</v>
      </c>
      <c r="Y1109" t="s">
        <v>875</v>
      </c>
      <c r="Z1109" t="s">
        <v>1229</v>
      </c>
      <c r="AA1109" t="s">
        <v>1230</v>
      </c>
      <c r="AB1109" t="s">
        <v>1229</v>
      </c>
      <c r="AC1109" t="s">
        <v>1094</v>
      </c>
      <c r="AD1109" t="s">
        <v>1231</v>
      </c>
      <c r="AE1109" t="s">
        <v>1232</v>
      </c>
      <c r="AF1109" t="s">
        <v>1235</v>
      </c>
    </row>
    <row r="1110" spans="1:32" hidden="1" x14ac:dyDescent="0.35">
      <c r="A1110">
        <v>608</v>
      </c>
      <c r="B1110" t="s">
        <v>1222</v>
      </c>
      <c r="C1110" t="s">
        <v>72</v>
      </c>
      <c r="D1110" t="s">
        <v>45</v>
      </c>
      <c r="E1110">
        <v>2086</v>
      </c>
      <c r="F1110">
        <v>5</v>
      </c>
      <c r="G1110">
        <v>5</v>
      </c>
      <c r="H1110">
        <v>1</v>
      </c>
      <c r="I1110">
        <v>1</v>
      </c>
      <c r="J1110">
        <v>0.80015054572826505</v>
      </c>
      <c r="K1110">
        <v>0.84823569749216099</v>
      </c>
      <c r="L1110">
        <v>0.82349177451099198</v>
      </c>
      <c r="M1110">
        <v>0.55312499999999998</v>
      </c>
      <c r="N1110">
        <v>1</v>
      </c>
      <c r="O1110">
        <v>0.6640625</v>
      </c>
      <c r="P1110" t="s">
        <v>1223</v>
      </c>
      <c r="Q1110" t="s">
        <v>1224</v>
      </c>
      <c r="R1110" t="s">
        <v>869</v>
      </c>
      <c r="S1110" t="s">
        <v>870</v>
      </c>
      <c r="T1110" t="s">
        <v>1225</v>
      </c>
      <c r="U1110" t="s">
        <v>1226</v>
      </c>
      <c r="V1110" t="s">
        <v>1227</v>
      </c>
      <c r="W1110" t="s">
        <v>1228</v>
      </c>
      <c r="X1110" t="s">
        <v>1227</v>
      </c>
      <c r="Y1110" t="s">
        <v>875</v>
      </c>
      <c r="Z1110" t="s">
        <v>1229</v>
      </c>
      <c r="AA1110" t="s">
        <v>1230</v>
      </c>
      <c r="AB1110" t="s">
        <v>1229</v>
      </c>
      <c r="AC1110" t="s">
        <v>1094</v>
      </c>
      <c r="AD1110" t="s">
        <v>1231</v>
      </c>
      <c r="AE1110" t="s">
        <v>1232</v>
      </c>
      <c r="AF1110" t="s">
        <v>1236</v>
      </c>
    </row>
    <row r="1111" spans="1:32" hidden="1" x14ac:dyDescent="0.35">
      <c r="A1111">
        <v>10918</v>
      </c>
      <c r="B1111" t="s">
        <v>21994</v>
      </c>
      <c r="C1111" t="s">
        <v>33</v>
      </c>
      <c r="D1111" t="s">
        <v>58</v>
      </c>
      <c r="E1111">
        <v>1271</v>
      </c>
      <c r="F1111">
        <v>1</v>
      </c>
      <c r="G1111">
        <v>1</v>
      </c>
      <c r="H1111">
        <v>1</v>
      </c>
      <c r="I1111">
        <v>0</v>
      </c>
      <c r="J1111">
        <v>1</v>
      </c>
      <c r="K1111">
        <v>1</v>
      </c>
      <c r="L1111">
        <v>1</v>
      </c>
      <c r="M1111">
        <v>0</v>
      </c>
      <c r="N1111">
        <v>0</v>
      </c>
      <c r="O1111">
        <v>0</v>
      </c>
      <c r="P1111" t="s">
        <v>21995</v>
      </c>
      <c r="Q1111" t="s">
        <v>21996</v>
      </c>
      <c r="R1111" t="s">
        <v>75</v>
      </c>
      <c r="S1111" t="s">
        <v>76</v>
      </c>
      <c r="V1111" t="s">
        <v>21997</v>
      </c>
      <c r="W1111" t="s">
        <v>21998</v>
      </c>
      <c r="AF1111" t="s">
        <v>21999</v>
      </c>
    </row>
    <row r="1112" spans="1:32" hidden="1" x14ac:dyDescent="0.35">
      <c r="A1112">
        <v>650</v>
      </c>
      <c r="B1112" t="s">
        <v>1326</v>
      </c>
      <c r="C1112" t="s">
        <v>72</v>
      </c>
      <c r="D1112" t="s">
        <v>60</v>
      </c>
      <c r="E1112">
        <v>1789</v>
      </c>
      <c r="F1112">
        <v>5</v>
      </c>
      <c r="G1112">
        <v>5</v>
      </c>
      <c r="H1112">
        <v>1</v>
      </c>
      <c r="I1112">
        <v>1</v>
      </c>
      <c r="J1112">
        <v>0.756270342714915</v>
      </c>
      <c r="K1112">
        <v>0.94304347826086998</v>
      </c>
      <c r="L1112">
        <v>0.83939270745162298</v>
      </c>
      <c r="M1112">
        <v>0.54054054054054101</v>
      </c>
      <c r="N1112">
        <v>1</v>
      </c>
      <c r="O1112">
        <v>0.66756756756756797</v>
      </c>
      <c r="P1112" t="s">
        <v>1327</v>
      </c>
      <c r="Q1112" t="s">
        <v>1328</v>
      </c>
      <c r="R1112" t="s">
        <v>869</v>
      </c>
      <c r="S1112" t="s">
        <v>870</v>
      </c>
      <c r="T1112" t="s">
        <v>1329</v>
      </c>
      <c r="U1112" t="s">
        <v>1330</v>
      </c>
      <c r="V1112" t="s">
        <v>1331</v>
      </c>
      <c r="W1112" t="s">
        <v>1332</v>
      </c>
      <c r="X1112" t="s">
        <v>1331</v>
      </c>
      <c r="Y1112" t="s">
        <v>1091</v>
      </c>
      <c r="Z1112" t="s">
        <v>1092</v>
      </c>
      <c r="AA1112" t="s">
        <v>1093</v>
      </c>
      <c r="AB1112" t="s">
        <v>1092</v>
      </c>
      <c r="AC1112" t="s">
        <v>1094</v>
      </c>
      <c r="AD1112" t="s">
        <v>191</v>
      </c>
      <c r="AE1112" t="s">
        <v>1333</v>
      </c>
      <c r="AF1112" t="s">
        <v>1335</v>
      </c>
    </row>
    <row r="1113" spans="1:32" hidden="1" x14ac:dyDescent="0.35">
      <c r="A1113">
        <v>651</v>
      </c>
      <c r="B1113" t="s">
        <v>1326</v>
      </c>
      <c r="C1113" t="s">
        <v>72</v>
      </c>
      <c r="D1113" t="s">
        <v>62</v>
      </c>
      <c r="E1113">
        <v>1825</v>
      </c>
      <c r="F1113">
        <v>5</v>
      </c>
      <c r="G1113">
        <v>5</v>
      </c>
      <c r="H1113">
        <v>1</v>
      </c>
      <c r="I1113">
        <v>1</v>
      </c>
      <c r="J1113">
        <v>0.756270342714915</v>
      </c>
      <c r="K1113">
        <v>0.94304347826086998</v>
      </c>
      <c r="L1113">
        <v>0.83939270745162298</v>
      </c>
      <c r="M1113">
        <v>0.54054054054054101</v>
      </c>
      <c r="N1113">
        <v>1</v>
      </c>
      <c r="O1113">
        <v>0.66756756756756797</v>
      </c>
      <c r="P1113" t="s">
        <v>1327</v>
      </c>
      <c r="Q1113" t="s">
        <v>1328</v>
      </c>
      <c r="R1113" t="s">
        <v>869</v>
      </c>
      <c r="S1113" t="s">
        <v>870</v>
      </c>
      <c r="T1113" t="s">
        <v>1329</v>
      </c>
      <c r="U1113" t="s">
        <v>1330</v>
      </c>
      <c r="V1113" t="s">
        <v>1331</v>
      </c>
      <c r="W1113" t="s">
        <v>1332</v>
      </c>
      <c r="X1113" t="s">
        <v>1331</v>
      </c>
      <c r="Y1113" t="s">
        <v>1091</v>
      </c>
      <c r="Z1113" t="s">
        <v>1092</v>
      </c>
      <c r="AA1113" t="s">
        <v>1093</v>
      </c>
      <c r="AB1113" t="s">
        <v>1092</v>
      </c>
      <c r="AC1113" t="s">
        <v>1094</v>
      </c>
      <c r="AD1113" t="s">
        <v>191</v>
      </c>
      <c r="AE1113" t="s">
        <v>1333</v>
      </c>
      <c r="AF1113" t="s">
        <v>1335</v>
      </c>
    </row>
    <row r="1114" spans="1:32" hidden="1" x14ac:dyDescent="0.35">
      <c r="A1114">
        <v>652</v>
      </c>
      <c r="B1114" t="s">
        <v>1326</v>
      </c>
      <c r="C1114" t="s">
        <v>72</v>
      </c>
      <c r="D1114" t="s">
        <v>34</v>
      </c>
      <c r="E1114">
        <v>2156</v>
      </c>
      <c r="F1114">
        <v>5</v>
      </c>
      <c r="G1114">
        <v>5</v>
      </c>
      <c r="H1114">
        <v>1</v>
      </c>
      <c r="I1114">
        <v>1</v>
      </c>
      <c r="J1114">
        <v>0.756270342714915</v>
      </c>
      <c r="K1114">
        <v>0.94304347826086998</v>
      </c>
      <c r="L1114">
        <v>0.83939270745162298</v>
      </c>
      <c r="M1114">
        <v>0.54054054054054101</v>
      </c>
      <c r="N1114">
        <v>1</v>
      </c>
      <c r="O1114">
        <v>0.66756756756756797</v>
      </c>
      <c r="P1114" t="s">
        <v>1327</v>
      </c>
      <c r="Q1114" t="s">
        <v>1328</v>
      </c>
      <c r="R1114" t="s">
        <v>869</v>
      </c>
      <c r="S1114" t="s">
        <v>870</v>
      </c>
      <c r="T1114" t="s">
        <v>1329</v>
      </c>
      <c r="U1114" t="s">
        <v>1330</v>
      </c>
      <c r="V1114" t="s">
        <v>1331</v>
      </c>
      <c r="W1114" t="s">
        <v>1332</v>
      </c>
      <c r="X1114" t="s">
        <v>1331</v>
      </c>
      <c r="Y1114" t="s">
        <v>1091</v>
      </c>
      <c r="Z1114" t="s">
        <v>1092</v>
      </c>
      <c r="AA1114" t="s">
        <v>1093</v>
      </c>
      <c r="AB1114" t="s">
        <v>1092</v>
      </c>
      <c r="AC1114" t="s">
        <v>1094</v>
      </c>
      <c r="AD1114" t="s">
        <v>191</v>
      </c>
      <c r="AE1114" t="s">
        <v>1333</v>
      </c>
      <c r="AF1114" t="s">
        <v>1336</v>
      </c>
    </row>
    <row r="1115" spans="1:32" hidden="1" x14ac:dyDescent="0.35">
      <c r="A1115">
        <v>653</v>
      </c>
      <c r="B1115" t="s">
        <v>1326</v>
      </c>
      <c r="C1115" t="s">
        <v>72</v>
      </c>
      <c r="D1115" t="s">
        <v>45</v>
      </c>
      <c r="E1115">
        <v>717</v>
      </c>
      <c r="F1115">
        <v>5</v>
      </c>
      <c r="G1115">
        <v>5</v>
      </c>
      <c r="H1115">
        <v>1</v>
      </c>
      <c r="I1115">
        <v>1</v>
      </c>
      <c r="J1115">
        <v>0.756270342714915</v>
      </c>
      <c r="K1115">
        <v>0.94304347826086998</v>
      </c>
      <c r="L1115">
        <v>0.83939270745162298</v>
      </c>
      <c r="M1115">
        <v>0.54054054054054101</v>
      </c>
      <c r="N1115">
        <v>1</v>
      </c>
      <c r="O1115">
        <v>0.66756756756756797</v>
      </c>
      <c r="P1115" t="s">
        <v>1327</v>
      </c>
      <c r="Q1115" t="s">
        <v>1328</v>
      </c>
      <c r="R1115" t="s">
        <v>869</v>
      </c>
      <c r="S1115" t="s">
        <v>870</v>
      </c>
      <c r="T1115" t="s">
        <v>1329</v>
      </c>
      <c r="U1115" t="s">
        <v>1330</v>
      </c>
      <c r="V1115" t="s">
        <v>1331</v>
      </c>
      <c r="W1115" t="s">
        <v>1332</v>
      </c>
      <c r="X1115" t="s">
        <v>1331</v>
      </c>
      <c r="Y1115" t="s">
        <v>1091</v>
      </c>
      <c r="Z1115" t="s">
        <v>1092</v>
      </c>
      <c r="AA1115" t="s">
        <v>1093</v>
      </c>
      <c r="AB1115" t="s">
        <v>1092</v>
      </c>
      <c r="AC1115" t="s">
        <v>1094</v>
      </c>
      <c r="AD1115" t="s">
        <v>191</v>
      </c>
      <c r="AE1115" t="s">
        <v>1333</v>
      </c>
      <c r="AF1115" t="s">
        <v>1337</v>
      </c>
    </row>
    <row r="1116" spans="1:32" hidden="1" x14ac:dyDescent="0.35">
      <c r="A1116">
        <v>11017</v>
      </c>
      <c r="B1116" t="s">
        <v>22247</v>
      </c>
      <c r="C1116" t="s">
        <v>33</v>
      </c>
      <c r="D1116" t="s">
        <v>58</v>
      </c>
      <c r="E1116">
        <v>1627</v>
      </c>
      <c r="F1116">
        <v>1</v>
      </c>
      <c r="G1116">
        <v>1</v>
      </c>
      <c r="H1116">
        <v>1</v>
      </c>
      <c r="I1116">
        <v>0</v>
      </c>
      <c r="J1116">
        <v>1</v>
      </c>
      <c r="K1116">
        <v>1</v>
      </c>
      <c r="L1116">
        <v>1</v>
      </c>
      <c r="M1116">
        <v>0</v>
      </c>
      <c r="N1116">
        <v>0</v>
      </c>
      <c r="O1116">
        <v>0</v>
      </c>
      <c r="P1116" t="s">
        <v>3179</v>
      </c>
      <c r="Q1116" t="s">
        <v>3180</v>
      </c>
      <c r="R1116" t="s">
        <v>75</v>
      </c>
      <c r="S1116" t="s">
        <v>76</v>
      </c>
      <c r="V1116" t="s">
        <v>19233</v>
      </c>
      <c r="W1116" t="s">
        <v>19234</v>
      </c>
      <c r="AF1116" t="s">
        <v>22248</v>
      </c>
    </row>
    <row r="1117" spans="1:32" hidden="1" x14ac:dyDescent="0.35">
      <c r="A1117">
        <v>840</v>
      </c>
      <c r="B1117" t="s">
        <v>1733</v>
      </c>
      <c r="C1117" t="s">
        <v>72</v>
      </c>
      <c r="D1117" t="s">
        <v>60</v>
      </c>
      <c r="E1117">
        <v>318</v>
      </c>
      <c r="F1117">
        <v>5</v>
      </c>
      <c r="G1117">
        <v>5</v>
      </c>
      <c r="H1117">
        <v>1</v>
      </c>
      <c r="I1117">
        <v>1</v>
      </c>
      <c r="J1117">
        <v>0.83185185185185195</v>
      </c>
      <c r="K1117">
        <v>0.93175319631347997</v>
      </c>
      <c r="L1117">
        <v>0.87897301340633205</v>
      </c>
      <c r="M1117">
        <v>0.60640732265446196</v>
      </c>
      <c r="N1117">
        <v>1</v>
      </c>
      <c r="O1117">
        <v>0.731578947368421</v>
      </c>
      <c r="P1117" t="s">
        <v>1734</v>
      </c>
      <c r="Q1117" t="s">
        <v>1735</v>
      </c>
      <c r="R1117" t="s">
        <v>869</v>
      </c>
      <c r="S1117" t="s">
        <v>870</v>
      </c>
      <c r="T1117" t="s">
        <v>1736</v>
      </c>
      <c r="U1117" t="s">
        <v>1737</v>
      </c>
      <c r="V1117" t="s">
        <v>1738</v>
      </c>
      <c r="W1117" t="s">
        <v>1739</v>
      </c>
      <c r="X1117" t="s">
        <v>1738</v>
      </c>
      <c r="Y1117" t="s">
        <v>1153</v>
      </c>
      <c r="Z1117" t="s">
        <v>1740</v>
      </c>
      <c r="AA1117" t="s">
        <v>1741</v>
      </c>
      <c r="AB1117" t="s">
        <v>1740</v>
      </c>
      <c r="AC1117" t="s">
        <v>1742</v>
      </c>
      <c r="AD1117" t="s">
        <v>1743</v>
      </c>
      <c r="AE1117" t="s">
        <v>1744</v>
      </c>
      <c r="AF1117" t="s">
        <v>1746</v>
      </c>
    </row>
    <row r="1118" spans="1:32" hidden="1" x14ac:dyDescent="0.35">
      <c r="A1118">
        <v>841</v>
      </c>
      <c r="B1118" t="s">
        <v>1733</v>
      </c>
      <c r="C1118" t="s">
        <v>72</v>
      </c>
      <c r="D1118" t="s">
        <v>62</v>
      </c>
      <c r="E1118">
        <v>398</v>
      </c>
      <c r="F1118">
        <v>5</v>
      </c>
      <c r="G1118">
        <v>5</v>
      </c>
      <c r="H1118">
        <v>1</v>
      </c>
      <c r="I1118">
        <v>1</v>
      </c>
      <c r="J1118">
        <v>0.83185185185185195</v>
      </c>
      <c r="K1118">
        <v>0.93175319631347997</v>
      </c>
      <c r="L1118">
        <v>0.87897301340633205</v>
      </c>
      <c r="M1118">
        <v>0.60640732265446196</v>
      </c>
      <c r="N1118">
        <v>1</v>
      </c>
      <c r="O1118">
        <v>0.731578947368421</v>
      </c>
      <c r="P1118" t="s">
        <v>1734</v>
      </c>
      <c r="Q1118" t="s">
        <v>1735</v>
      </c>
      <c r="R1118" t="s">
        <v>869</v>
      </c>
      <c r="S1118" t="s">
        <v>870</v>
      </c>
      <c r="T1118" t="s">
        <v>1736</v>
      </c>
      <c r="U1118" t="s">
        <v>1737</v>
      </c>
      <c r="V1118" t="s">
        <v>1738</v>
      </c>
      <c r="W1118" t="s">
        <v>1739</v>
      </c>
      <c r="X1118" t="s">
        <v>1738</v>
      </c>
      <c r="Y1118" t="s">
        <v>1153</v>
      </c>
      <c r="Z1118" t="s">
        <v>1740</v>
      </c>
      <c r="AA1118" t="s">
        <v>1741</v>
      </c>
      <c r="AB1118" t="s">
        <v>1740</v>
      </c>
      <c r="AC1118" t="s">
        <v>1742</v>
      </c>
      <c r="AD1118" t="s">
        <v>1743</v>
      </c>
      <c r="AE1118" t="s">
        <v>1744</v>
      </c>
      <c r="AF1118" t="s">
        <v>1746</v>
      </c>
    </row>
    <row r="1119" spans="1:32" hidden="1" x14ac:dyDescent="0.35">
      <c r="A1119">
        <v>842</v>
      </c>
      <c r="B1119" t="s">
        <v>1733</v>
      </c>
      <c r="C1119" t="s">
        <v>72</v>
      </c>
      <c r="D1119" t="s">
        <v>34</v>
      </c>
      <c r="E1119">
        <v>838</v>
      </c>
      <c r="F1119">
        <v>5</v>
      </c>
      <c r="G1119">
        <v>5</v>
      </c>
      <c r="H1119">
        <v>1</v>
      </c>
      <c r="I1119">
        <v>1</v>
      </c>
      <c r="J1119">
        <v>0.83185185185185195</v>
      </c>
      <c r="K1119">
        <v>0.93175319631347997</v>
      </c>
      <c r="L1119">
        <v>0.87897301340633205</v>
      </c>
      <c r="M1119">
        <v>0.60640732265446196</v>
      </c>
      <c r="N1119">
        <v>1</v>
      </c>
      <c r="O1119">
        <v>0.731578947368421</v>
      </c>
      <c r="P1119" t="s">
        <v>1734</v>
      </c>
      <c r="Q1119" t="s">
        <v>1735</v>
      </c>
      <c r="R1119" t="s">
        <v>869</v>
      </c>
      <c r="S1119" t="s">
        <v>870</v>
      </c>
      <c r="T1119" t="s">
        <v>1736</v>
      </c>
      <c r="U1119" t="s">
        <v>1737</v>
      </c>
      <c r="V1119" t="s">
        <v>1738</v>
      </c>
      <c r="W1119" t="s">
        <v>1739</v>
      </c>
      <c r="X1119" t="s">
        <v>1738</v>
      </c>
      <c r="Y1119" t="s">
        <v>1153</v>
      </c>
      <c r="Z1119" t="s">
        <v>1740</v>
      </c>
      <c r="AA1119" t="s">
        <v>1741</v>
      </c>
      <c r="AB1119" t="s">
        <v>1740</v>
      </c>
      <c r="AC1119" t="s">
        <v>1742</v>
      </c>
      <c r="AD1119" t="s">
        <v>1743</v>
      </c>
      <c r="AE1119" t="s">
        <v>1744</v>
      </c>
      <c r="AF1119" t="s">
        <v>1747</v>
      </c>
    </row>
    <row r="1120" spans="1:32" hidden="1" x14ac:dyDescent="0.35">
      <c r="A1120">
        <v>843</v>
      </c>
      <c r="B1120" t="s">
        <v>1733</v>
      </c>
      <c r="C1120" t="s">
        <v>72</v>
      </c>
      <c r="D1120" t="s">
        <v>45</v>
      </c>
      <c r="E1120">
        <v>2095</v>
      </c>
      <c r="F1120">
        <v>5</v>
      </c>
      <c r="G1120">
        <v>5</v>
      </c>
      <c r="H1120">
        <v>1</v>
      </c>
      <c r="I1120">
        <v>1</v>
      </c>
      <c r="J1120">
        <v>0.83185185185185195</v>
      </c>
      <c r="K1120">
        <v>0.93175319631347997</v>
      </c>
      <c r="L1120">
        <v>0.87897301340633205</v>
      </c>
      <c r="M1120">
        <v>0.60640732265446196</v>
      </c>
      <c r="N1120">
        <v>1</v>
      </c>
      <c r="O1120">
        <v>0.731578947368421</v>
      </c>
      <c r="P1120" t="s">
        <v>1734</v>
      </c>
      <c r="Q1120" t="s">
        <v>1735</v>
      </c>
      <c r="R1120" t="s">
        <v>869</v>
      </c>
      <c r="S1120" t="s">
        <v>870</v>
      </c>
      <c r="T1120" t="s">
        <v>1736</v>
      </c>
      <c r="U1120" t="s">
        <v>1737</v>
      </c>
      <c r="V1120" t="s">
        <v>1738</v>
      </c>
      <c r="W1120" t="s">
        <v>1739</v>
      </c>
      <c r="X1120" t="s">
        <v>1738</v>
      </c>
      <c r="Y1120" t="s">
        <v>1153</v>
      </c>
      <c r="Z1120" t="s">
        <v>1740</v>
      </c>
      <c r="AA1120" t="s">
        <v>1741</v>
      </c>
      <c r="AB1120" t="s">
        <v>1740</v>
      </c>
      <c r="AC1120" t="s">
        <v>1742</v>
      </c>
      <c r="AD1120" t="s">
        <v>1743</v>
      </c>
      <c r="AE1120" t="s">
        <v>1744</v>
      </c>
      <c r="AF1120" t="s">
        <v>1748</v>
      </c>
    </row>
    <row r="1121" spans="1:32" hidden="1" x14ac:dyDescent="0.35">
      <c r="A1121">
        <v>11225</v>
      </c>
      <c r="B1121" t="s">
        <v>22808</v>
      </c>
      <c r="C1121" t="s">
        <v>33</v>
      </c>
      <c r="D1121" t="s">
        <v>58</v>
      </c>
      <c r="E1121">
        <v>333</v>
      </c>
      <c r="F1121">
        <v>1</v>
      </c>
      <c r="G1121">
        <v>1</v>
      </c>
      <c r="H1121">
        <v>1</v>
      </c>
      <c r="I1121">
        <v>0</v>
      </c>
      <c r="J1121">
        <v>1</v>
      </c>
      <c r="K1121">
        <v>1</v>
      </c>
      <c r="L1121">
        <v>1</v>
      </c>
      <c r="M1121">
        <v>0</v>
      </c>
      <c r="N1121">
        <v>0</v>
      </c>
      <c r="O1121">
        <v>0</v>
      </c>
      <c r="P1121" t="s">
        <v>3179</v>
      </c>
      <c r="Q1121" t="s">
        <v>3180</v>
      </c>
      <c r="R1121" t="s">
        <v>75</v>
      </c>
      <c r="S1121" t="s">
        <v>76</v>
      </c>
      <c r="V1121" t="s">
        <v>19233</v>
      </c>
      <c r="W1121" t="s">
        <v>19234</v>
      </c>
      <c r="AF1121" t="s">
        <v>22809</v>
      </c>
    </row>
    <row r="1122" spans="1:32" hidden="1" x14ac:dyDescent="0.35">
      <c r="A1122">
        <v>860</v>
      </c>
      <c r="B1122" t="s">
        <v>1791</v>
      </c>
      <c r="C1122" t="s">
        <v>72</v>
      </c>
      <c r="D1122" t="s">
        <v>60</v>
      </c>
      <c r="E1122">
        <v>581</v>
      </c>
      <c r="F1122">
        <v>5</v>
      </c>
      <c r="G1122">
        <v>5</v>
      </c>
      <c r="H1122">
        <v>1</v>
      </c>
      <c r="I1122">
        <v>1</v>
      </c>
      <c r="J1122">
        <v>0.91044984632578896</v>
      </c>
      <c r="K1122">
        <v>0.96482885535517005</v>
      </c>
      <c r="L1122">
        <v>0.93685091426825995</v>
      </c>
      <c r="M1122">
        <v>0.81616161616161598</v>
      </c>
      <c r="N1122">
        <v>1</v>
      </c>
      <c r="O1122">
        <v>0.87434343434343398</v>
      </c>
      <c r="P1122" t="s">
        <v>1792</v>
      </c>
      <c r="Q1122" t="s">
        <v>1793</v>
      </c>
      <c r="R1122" t="s">
        <v>869</v>
      </c>
      <c r="S1122" t="s">
        <v>870</v>
      </c>
      <c r="T1122" t="s">
        <v>1794</v>
      </c>
      <c r="U1122" t="s">
        <v>1795</v>
      </c>
      <c r="V1122" t="s">
        <v>1796</v>
      </c>
      <c r="W1122" t="s">
        <v>1797</v>
      </c>
      <c r="Z1122" t="s">
        <v>1798</v>
      </c>
      <c r="AA1122" t="s">
        <v>1799</v>
      </c>
      <c r="AB1122" t="s">
        <v>1798</v>
      </c>
      <c r="AC1122" t="s">
        <v>1800</v>
      </c>
      <c r="AD1122" t="s">
        <v>1801</v>
      </c>
      <c r="AE1122" t="s">
        <v>1802</v>
      </c>
      <c r="AF1122" t="s">
        <v>1804</v>
      </c>
    </row>
    <row r="1123" spans="1:32" hidden="1" x14ac:dyDescent="0.35">
      <c r="A1123">
        <v>861</v>
      </c>
      <c r="B1123" t="s">
        <v>1791</v>
      </c>
      <c r="C1123" t="s">
        <v>72</v>
      </c>
      <c r="D1123" t="s">
        <v>62</v>
      </c>
      <c r="E1123">
        <v>665</v>
      </c>
      <c r="F1123">
        <v>5</v>
      </c>
      <c r="G1123">
        <v>5</v>
      </c>
      <c r="H1123">
        <v>1</v>
      </c>
      <c r="I1123">
        <v>1</v>
      </c>
      <c r="J1123">
        <v>0.91044984632578896</v>
      </c>
      <c r="K1123">
        <v>0.96482885535517005</v>
      </c>
      <c r="L1123">
        <v>0.93685091426825995</v>
      </c>
      <c r="M1123">
        <v>0.81616161616161598</v>
      </c>
      <c r="N1123">
        <v>1</v>
      </c>
      <c r="O1123">
        <v>0.87434343434343398</v>
      </c>
      <c r="P1123" t="s">
        <v>1792</v>
      </c>
      <c r="Q1123" t="s">
        <v>1793</v>
      </c>
      <c r="R1123" t="s">
        <v>869</v>
      </c>
      <c r="S1123" t="s">
        <v>870</v>
      </c>
      <c r="T1123" t="s">
        <v>1794</v>
      </c>
      <c r="U1123" t="s">
        <v>1795</v>
      </c>
      <c r="V1123" t="s">
        <v>1796</v>
      </c>
      <c r="W1123" t="s">
        <v>1797</v>
      </c>
      <c r="Z1123" t="s">
        <v>1798</v>
      </c>
      <c r="AA1123" t="s">
        <v>1799</v>
      </c>
      <c r="AB1123" t="s">
        <v>1798</v>
      </c>
      <c r="AC1123" t="s">
        <v>1800</v>
      </c>
      <c r="AD1123" t="s">
        <v>1801</v>
      </c>
      <c r="AE1123" t="s">
        <v>1802</v>
      </c>
      <c r="AF1123" t="s">
        <v>1804</v>
      </c>
    </row>
    <row r="1124" spans="1:32" hidden="1" x14ac:dyDescent="0.35">
      <c r="A1124">
        <v>862</v>
      </c>
      <c r="B1124" t="s">
        <v>1791</v>
      </c>
      <c r="C1124" t="s">
        <v>72</v>
      </c>
      <c r="D1124" t="s">
        <v>34</v>
      </c>
      <c r="E1124">
        <v>511</v>
      </c>
      <c r="F1124">
        <v>5</v>
      </c>
      <c r="G1124">
        <v>5</v>
      </c>
      <c r="H1124">
        <v>1</v>
      </c>
      <c r="I1124">
        <v>1</v>
      </c>
      <c r="J1124">
        <v>0.91044984632578896</v>
      </c>
      <c r="K1124">
        <v>0.96482885535517005</v>
      </c>
      <c r="L1124">
        <v>0.93685091426825995</v>
      </c>
      <c r="M1124">
        <v>0.81616161616161598</v>
      </c>
      <c r="N1124">
        <v>1</v>
      </c>
      <c r="O1124">
        <v>0.87434343434343398</v>
      </c>
      <c r="P1124" t="s">
        <v>1792</v>
      </c>
      <c r="Q1124" t="s">
        <v>1793</v>
      </c>
      <c r="R1124" t="s">
        <v>869</v>
      </c>
      <c r="S1124" t="s">
        <v>870</v>
      </c>
      <c r="T1124" t="s">
        <v>1794</v>
      </c>
      <c r="U1124" t="s">
        <v>1795</v>
      </c>
      <c r="V1124" t="s">
        <v>1796</v>
      </c>
      <c r="W1124" t="s">
        <v>1797</v>
      </c>
      <c r="Z1124" t="s">
        <v>1798</v>
      </c>
      <c r="AA1124" t="s">
        <v>1799</v>
      </c>
      <c r="AB1124" t="s">
        <v>1798</v>
      </c>
      <c r="AC1124" t="s">
        <v>1800</v>
      </c>
      <c r="AD1124" t="s">
        <v>1801</v>
      </c>
      <c r="AE1124" t="s">
        <v>1802</v>
      </c>
      <c r="AF1124" t="s">
        <v>1805</v>
      </c>
    </row>
    <row r="1125" spans="1:32" hidden="1" x14ac:dyDescent="0.35">
      <c r="A1125">
        <v>863</v>
      </c>
      <c r="B1125" t="s">
        <v>1791</v>
      </c>
      <c r="C1125" t="s">
        <v>72</v>
      </c>
      <c r="D1125" t="s">
        <v>45</v>
      </c>
      <c r="E1125">
        <v>1776</v>
      </c>
      <c r="F1125">
        <v>5</v>
      </c>
      <c r="G1125">
        <v>5</v>
      </c>
      <c r="H1125">
        <v>1</v>
      </c>
      <c r="I1125">
        <v>1</v>
      </c>
      <c r="J1125">
        <v>0.91044984632578896</v>
      </c>
      <c r="K1125">
        <v>0.96482885535517005</v>
      </c>
      <c r="L1125">
        <v>0.93685091426825995</v>
      </c>
      <c r="M1125">
        <v>0.81616161616161598</v>
      </c>
      <c r="N1125">
        <v>1</v>
      </c>
      <c r="O1125">
        <v>0.87434343434343398</v>
      </c>
      <c r="P1125" t="s">
        <v>1792</v>
      </c>
      <c r="Q1125" t="s">
        <v>1793</v>
      </c>
      <c r="R1125" t="s">
        <v>869</v>
      </c>
      <c r="S1125" t="s">
        <v>870</v>
      </c>
      <c r="T1125" t="s">
        <v>1794</v>
      </c>
      <c r="U1125" t="s">
        <v>1795</v>
      </c>
      <c r="V1125" t="s">
        <v>1796</v>
      </c>
      <c r="W1125" t="s">
        <v>1797</v>
      </c>
      <c r="Z1125" t="s">
        <v>1798</v>
      </c>
      <c r="AA1125" t="s">
        <v>1799</v>
      </c>
      <c r="AB1125" t="s">
        <v>1798</v>
      </c>
      <c r="AC1125" t="s">
        <v>1800</v>
      </c>
      <c r="AD1125" t="s">
        <v>1801</v>
      </c>
      <c r="AE1125" t="s">
        <v>1802</v>
      </c>
      <c r="AF1125" t="s">
        <v>1805</v>
      </c>
    </row>
    <row r="1126" spans="1:32" hidden="1" x14ac:dyDescent="0.35">
      <c r="A1126">
        <v>4594</v>
      </c>
      <c r="B1126" t="s">
        <v>9608</v>
      </c>
      <c r="C1126" t="s">
        <v>72</v>
      </c>
      <c r="D1126" t="s">
        <v>58</v>
      </c>
      <c r="E1126">
        <v>1163</v>
      </c>
      <c r="F1126">
        <v>5</v>
      </c>
      <c r="G1126">
        <v>5</v>
      </c>
      <c r="H1126">
        <v>1</v>
      </c>
      <c r="I1126">
        <v>1</v>
      </c>
      <c r="J1126">
        <v>0.88578088578088598</v>
      </c>
      <c r="K1126">
        <v>0.95710916174170901</v>
      </c>
      <c r="L1126">
        <v>0.92006465845996499</v>
      </c>
      <c r="M1126">
        <v>0.74550128534704396</v>
      </c>
      <c r="N1126">
        <v>0.99228791773778902</v>
      </c>
      <c r="O1126">
        <v>0.82467866323907502</v>
      </c>
      <c r="P1126" t="s">
        <v>2848</v>
      </c>
      <c r="Q1126" t="s">
        <v>2849</v>
      </c>
      <c r="R1126" t="s">
        <v>224</v>
      </c>
      <c r="S1126" t="s">
        <v>225</v>
      </c>
      <c r="T1126" t="s">
        <v>9609</v>
      </c>
      <c r="U1126" t="s">
        <v>9610</v>
      </c>
      <c r="V1126" t="s">
        <v>9611</v>
      </c>
      <c r="W1126" t="s">
        <v>9612</v>
      </c>
      <c r="X1126" t="s">
        <v>9611</v>
      </c>
      <c r="Y1126" t="s">
        <v>1169</v>
      </c>
      <c r="AD1126" t="s">
        <v>1170</v>
      </c>
      <c r="AE1126" t="s">
        <v>9613</v>
      </c>
      <c r="AF1126" t="s">
        <v>9614</v>
      </c>
    </row>
    <row r="1127" spans="1:32" hidden="1" x14ac:dyDescent="0.35">
      <c r="A1127">
        <v>940</v>
      </c>
      <c r="B1127" t="s">
        <v>1946</v>
      </c>
      <c r="C1127" t="s">
        <v>72</v>
      </c>
      <c r="D1127" t="s">
        <v>60</v>
      </c>
      <c r="E1127">
        <v>1304</v>
      </c>
      <c r="F1127">
        <v>5</v>
      </c>
      <c r="G1127">
        <v>5</v>
      </c>
      <c r="H1127">
        <v>1</v>
      </c>
      <c r="I1127">
        <v>1</v>
      </c>
      <c r="J1127">
        <v>0.83488516449410299</v>
      </c>
      <c r="K1127">
        <v>0.93306982872200195</v>
      </c>
      <c r="L1127">
        <v>0.881251118299064</v>
      </c>
      <c r="M1127">
        <v>0.64935064935064901</v>
      </c>
      <c r="N1127">
        <v>1</v>
      </c>
      <c r="O1127">
        <v>0.77575757575757598</v>
      </c>
      <c r="P1127" t="s">
        <v>1947</v>
      </c>
      <c r="Q1127" t="s">
        <v>1948</v>
      </c>
      <c r="R1127" t="s">
        <v>869</v>
      </c>
      <c r="S1127" t="s">
        <v>870</v>
      </c>
      <c r="T1127" t="s">
        <v>1949</v>
      </c>
      <c r="U1127" t="s">
        <v>1950</v>
      </c>
      <c r="V1127" t="s">
        <v>1951</v>
      </c>
      <c r="W1127" t="s">
        <v>1952</v>
      </c>
      <c r="X1127" t="s">
        <v>1951</v>
      </c>
      <c r="Y1127" t="s">
        <v>1091</v>
      </c>
      <c r="Z1127" t="s">
        <v>1953</v>
      </c>
      <c r="AA1127" t="s">
        <v>1954</v>
      </c>
      <c r="AB1127" t="s">
        <v>1953</v>
      </c>
      <c r="AC1127" t="s">
        <v>878</v>
      </c>
      <c r="AD1127" t="s">
        <v>191</v>
      </c>
      <c r="AE1127" t="s">
        <v>1955</v>
      </c>
      <c r="AF1127" t="s">
        <v>1957</v>
      </c>
    </row>
    <row r="1128" spans="1:32" hidden="1" x14ac:dyDescent="0.35">
      <c r="A1128">
        <v>941</v>
      </c>
      <c r="B1128" t="s">
        <v>1946</v>
      </c>
      <c r="C1128" t="s">
        <v>72</v>
      </c>
      <c r="D1128" t="s">
        <v>62</v>
      </c>
      <c r="E1128">
        <v>1340</v>
      </c>
      <c r="F1128">
        <v>5</v>
      </c>
      <c r="G1128">
        <v>5</v>
      </c>
      <c r="H1128">
        <v>1</v>
      </c>
      <c r="I1128">
        <v>1</v>
      </c>
      <c r="J1128">
        <v>0.83488516449410299</v>
      </c>
      <c r="K1128">
        <v>0.93306982872200195</v>
      </c>
      <c r="L1128">
        <v>0.881251118299064</v>
      </c>
      <c r="M1128">
        <v>0.64935064935064901</v>
      </c>
      <c r="N1128">
        <v>1</v>
      </c>
      <c r="O1128">
        <v>0.77575757575757598</v>
      </c>
      <c r="P1128" t="s">
        <v>1947</v>
      </c>
      <c r="Q1128" t="s">
        <v>1948</v>
      </c>
      <c r="R1128" t="s">
        <v>869</v>
      </c>
      <c r="S1128" t="s">
        <v>870</v>
      </c>
      <c r="T1128" t="s">
        <v>1949</v>
      </c>
      <c r="U1128" t="s">
        <v>1950</v>
      </c>
      <c r="V1128" t="s">
        <v>1951</v>
      </c>
      <c r="W1128" t="s">
        <v>1952</v>
      </c>
      <c r="X1128" t="s">
        <v>1951</v>
      </c>
      <c r="Y1128" t="s">
        <v>1091</v>
      </c>
      <c r="Z1128" t="s">
        <v>1953</v>
      </c>
      <c r="AA1128" t="s">
        <v>1954</v>
      </c>
      <c r="AB1128" t="s">
        <v>1953</v>
      </c>
      <c r="AC1128" t="s">
        <v>878</v>
      </c>
      <c r="AD1128" t="s">
        <v>191</v>
      </c>
      <c r="AE1128" t="s">
        <v>1955</v>
      </c>
      <c r="AF1128" t="s">
        <v>1957</v>
      </c>
    </row>
    <row r="1129" spans="1:32" hidden="1" x14ac:dyDescent="0.35">
      <c r="A1129">
        <v>942</v>
      </c>
      <c r="B1129" t="s">
        <v>1946</v>
      </c>
      <c r="C1129" t="s">
        <v>72</v>
      </c>
      <c r="D1129" t="s">
        <v>34</v>
      </c>
      <c r="E1129">
        <v>1700</v>
      </c>
      <c r="F1129">
        <v>5</v>
      </c>
      <c r="G1129">
        <v>5</v>
      </c>
      <c r="H1129">
        <v>1</v>
      </c>
      <c r="I1129">
        <v>1</v>
      </c>
      <c r="J1129">
        <v>0.83488516449410299</v>
      </c>
      <c r="K1129">
        <v>0.93306982872200195</v>
      </c>
      <c r="L1129">
        <v>0.881251118299064</v>
      </c>
      <c r="M1129">
        <v>0.64935064935064901</v>
      </c>
      <c r="N1129">
        <v>1</v>
      </c>
      <c r="O1129">
        <v>0.77575757575757598</v>
      </c>
      <c r="P1129" t="s">
        <v>1947</v>
      </c>
      <c r="Q1129" t="s">
        <v>1948</v>
      </c>
      <c r="R1129" t="s">
        <v>869</v>
      </c>
      <c r="S1129" t="s">
        <v>870</v>
      </c>
      <c r="T1129" t="s">
        <v>1949</v>
      </c>
      <c r="U1129" t="s">
        <v>1950</v>
      </c>
      <c r="V1129" t="s">
        <v>1951</v>
      </c>
      <c r="W1129" t="s">
        <v>1952</v>
      </c>
      <c r="X1129" t="s">
        <v>1951</v>
      </c>
      <c r="Y1129" t="s">
        <v>1091</v>
      </c>
      <c r="Z1129" t="s">
        <v>1953</v>
      </c>
      <c r="AA1129" t="s">
        <v>1954</v>
      </c>
      <c r="AB1129" t="s">
        <v>1953</v>
      </c>
      <c r="AC1129" t="s">
        <v>878</v>
      </c>
      <c r="AD1129" t="s">
        <v>191</v>
      </c>
      <c r="AE1129" t="s">
        <v>1955</v>
      </c>
      <c r="AF1129" t="e">
        <f>----------MFEYLTDGNEIYRQSFALIRAEANLGAFTPDQAQVAVRMIHAAGQTDLARDIEFSPHLVTAARTALAAGKPILTDVFMVHSGITRTRLPHNNEALCFLRDNRVPGLAKQLGTTRTAAAVELWEPHLDGAVVAIGNAPTALFHLLNWLLADP----ARPRPAAILGIPVGFIGAAESKQALASAATAVGTEFLTVHGRRGGSAITCAAINALATEKEILEQP</f>
        <v>#NAME?</v>
      </c>
    </row>
    <row r="1130" spans="1:32" hidden="1" x14ac:dyDescent="0.35">
      <c r="A1130">
        <v>943</v>
      </c>
      <c r="B1130" t="s">
        <v>1946</v>
      </c>
      <c r="C1130" t="s">
        <v>72</v>
      </c>
      <c r="D1130" t="s">
        <v>45</v>
      </c>
      <c r="E1130">
        <v>1175</v>
      </c>
      <c r="F1130">
        <v>5</v>
      </c>
      <c r="G1130">
        <v>5</v>
      </c>
      <c r="H1130">
        <v>1</v>
      </c>
      <c r="I1130">
        <v>1</v>
      </c>
      <c r="J1130">
        <v>0.83488516449410299</v>
      </c>
      <c r="K1130">
        <v>0.93306982872200195</v>
      </c>
      <c r="L1130">
        <v>0.881251118299064</v>
      </c>
      <c r="M1130">
        <v>0.64935064935064901</v>
      </c>
      <c r="N1130">
        <v>1</v>
      </c>
      <c r="O1130">
        <v>0.77575757575757598</v>
      </c>
      <c r="P1130" t="s">
        <v>1947</v>
      </c>
      <c r="Q1130" t="s">
        <v>1948</v>
      </c>
      <c r="R1130" t="s">
        <v>869</v>
      </c>
      <c r="S1130" t="s">
        <v>870</v>
      </c>
      <c r="T1130" t="s">
        <v>1949</v>
      </c>
      <c r="U1130" t="s">
        <v>1950</v>
      </c>
      <c r="V1130" t="s">
        <v>1951</v>
      </c>
      <c r="W1130" t="s">
        <v>1952</v>
      </c>
      <c r="X1130" t="s">
        <v>1951</v>
      </c>
      <c r="Y1130" t="s">
        <v>1091</v>
      </c>
      <c r="Z1130" t="s">
        <v>1953</v>
      </c>
      <c r="AA1130" t="s">
        <v>1954</v>
      </c>
      <c r="AB1130" t="s">
        <v>1953</v>
      </c>
      <c r="AC1130" t="s">
        <v>878</v>
      </c>
      <c r="AD1130" t="s">
        <v>191</v>
      </c>
      <c r="AE1130" t="s">
        <v>1955</v>
      </c>
      <c r="AF1130" t="e">
        <f>----------MFEYLTDGNEIYRQSFALIRAEADLGAFTPDQAQVAVRMIHAAGQTDLARDIEFSPHLVTAARMALAVGKPILTDVFMVHSGITRTRLPHNNEALCFLRDDRVPGLAKQLGTTRTAAAVELWEPHLDGAVVAIGNAPTALFHLLNWLLADP----ARPRPAAILGIPVGFVGAAESKQALASAATAVGTEFLTVHGRRGGSAITCAAINALATEKEILEQS</f>
        <v>#NAME?</v>
      </c>
    </row>
    <row r="1131" spans="1:32" hidden="1" x14ac:dyDescent="0.35">
      <c r="A1131">
        <v>1549</v>
      </c>
      <c r="B1131" t="s">
        <v>3246</v>
      </c>
      <c r="C1131" t="s">
        <v>72</v>
      </c>
      <c r="D1131" t="s">
        <v>58</v>
      </c>
      <c r="E1131">
        <v>1680</v>
      </c>
      <c r="F1131">
        <v>5</v>
      </c>
      <c r="G1131">
        <v>5</v>
      </c>
      <c r="H1131">
        <v>1</v>
      </c>
      <c r="I1131">
        <v>1</v>
      </c>
      <c r="J1131">
        <v>0.73335516262824696</v>
      </c>
      <c r="K1131">
        <v>0.888257733504354</v>
      </c>
      <c r="L1131">
        <v>0.80340800959764602</v>
      </c>
      <c r="M1131">
        <v>0.51873198847262203</v>
      </c>
      <c r="N1131">
        <v>1</v>
      </c>
      <c r="O1131">
        <v>0.63717579250720502</v>
      </c>
      <c r="P1131" t="s">
        <v>3247</v>
      </c>
      <c r="Q1131" t="s">
        <v>3248</v>
      </c>
      <c r="R1131" t="s">
        <v>371</v>
      </c>
      <c r="S1131" t="s">
        <v>372</v>
      </c>
      <c r="T1131" t="s">
        <v>3249</v>
      </c>
      <c r="U1131" t="s">
        <v>3250</v>
      </c>
      <c r="V1131" t="s">
        <v>3251</v>
      </c>
      <c r="W1131" t="s">
        <v>3252</v>
      </c>
      <c r="AD1131" t="s">
        <v>3253</v>
      </c>
      <c r="AE1131" t="s">
        <v>3254</v>
      </c>
      <c r="AF1131" t="s">
        <v>3255</v>
      </c>
    </row>
    <row r="1132" spans="1:32" hidden="1" x14ac:dyDescent="0.35">
      <c r="A1132">
        <v>980</v>
      </c>
      <c r="B1132" t="s">
        <v>2033</v>
      </c>
      <c r="C1132" t="s">
        <v>72</v>
      </c>
      <c r="D1132" t="s">
        <v>60</v>
      </c>
      <c r="E1132">
        <v>1625</v>
      </c>
      <c r="F1132">
        <v>5</v>
      </c>
      <c r="G1132">
        <v>5</v>
      </c>
      <c r="H1132">
        <v>1</v>
      </c>
      <c r="I1132">
        <v>1</v>
      </c>
      <c r="J1132">
        <v>0.73938736131210803</v>
      </c>
      <c r="K1132">
        <v>0.73246846611332606</v>
      </c>
      <c r="L1132">
        <v>0.73591165155242899</v>
      </c>
      <c r="M1132">
        <v>0.326340326340326</v>
      </c>
      <c r="N1132">
        <v>1</v>
      </c>
      <c r="O1132">
        <v>0.54568764568764605</v>
      </c>
      <c r="P1132" t="s">
        <v>2034</v>
      </c>
      <c r="Q1132" t="s">
        <v>2035</v>
      </c>
      <c r="R1132" t="s">
        <v>869</v>
      </c>
      <c r="S1132" t="s">
        <v>870</v>
      </c>
      <c r="V1132" t="s">
        <v>2036</v>
      </c>
      <c r="W1132" t="s">
        <v>2037</v>
      </c>
      <c r="X1132" t="s">
        <v>2036</v>
      </c>
      <c r="Y1132" t="s">
        <v>2038</v>
      </c>
      <c r="AF1132" t="s">
        <v>2039</v>
      </c>
    </row>
    <row r="1133" spans="1:32" hidden="1" x14ac:dyDescent="0.35">
      <c r="A1133">
        <v>981</v>
      </c>
      <c r="B1133" t="s">
        <v>2033</v>
      </c>
      <c r="C1133" t="s">
        <v>72</v>
      </c>
      <c r="D1133" t="s">
        <v>62</v>
      </c>
      <c r="E1133">
        <v>1661</v>
      </c>
      <c r="F1133">
        <v>5</v>
      </c>
      <c r="G1133">
        <v>5</v>
      </c>
      <c r="H1133">
        <v>1</v>
      </c>
      <c r="I1133">
        <v>1</v>
      </c>
      <c r="J1133">
        <v>0.73938736131210803</v>
      </c>
      <c r="K1133">
        <v>0.73246846611332606</v>
      </c>
      <c r="L1133">
        <v>0.73591165155242899</v>
      </c>
      <c r="M1133">
        <v>0.326340326340326</v>
      </c>
      <c r="N1133">
        <v>1</v>
      </c>
      <c r="O1133">
        <v>0.54568764568764605</v>
      </c>
      <c r="P1133" t="s">
        <v>2034</v>
      </c>
      <c r="Q1133" t="s">
        <v>2035</v>
      </c>
      <c r="R1133" t="s">
        <v>869</v>
      </c>
      <c r="S1133" t="s">
        <v>870</v>
      </c>
      <c r="V1133" t="s">
        <v>2036</v>
      </c>
      <c r="W1133" t="s">
        <v>2037</v>
      </c>
      <c r="X1133" t="s">
        <v>2036</v>
      </c>
      <c r="Y1133" t="s">
        <v>2038</v>
      </c>
      <c r="AF1133" t="s">
        <v>2040</v>
      </c>
    </row>
    <row r="1134" spans="1:32" hidden="1" x14ac:dyDescent="0.35">
      <c r="A1134">
        <v>982</v>
      </c>
      <c r="B1134" t="s">
        <v>2033</v>
      </c>
      <c r="C1134" t="s">
        <v>72</v>
      </c>
      <c r="D1134" t="s">
        <v>34</v>
      </c>
      <c r="E1134">
        <v>596</v>
      </c>
      <c r="F1134">
        <v>5</v>
      </c>
      <c r="G1134">
        <v>5</v>
      </c>
      <c r="H1134">
        <v>1</v>
      </c>
      <c r="I1134">
        <v>1</v>
      </c>
      <c r="J1134">
        <v>0.73938736131210803</v>
      </c>
      <c r="K1134">
        <v>0.73246846611332606</v>
      </c>
      <c r="L1134">
        <v>0.73591165155242899</v>
      </c>
      <c r="M1134">
        <v>0.326340326340326</v>
      </c>
      <c r="N1134">
        <v>1</v>
      </c>
      <c r="O1134">
        <v>0.54568764568764605</v>
      </c>
      <c r="P1134" t="s">
        <v>2041</v>
      </c>
      <c r="Q1134" t="s">
        <v>2035</v>
      </c>
      <c r="R1134" t="s">
        <v>869</v>
      </c>
      <c r="S1134" t="s">
        <v>870</v>
      </c>
      <c r="V1134" t="s">
        <v>2036</v>
      </c>
      <c r="W1134" t="s">
        <v>2037</v>
      </c>
      <c r="X1134" t="s">
        <v>2036</v>
      </c>
      <c r="Y1134" t="s">
        <v>2038</v>
      </c>
      <c r="AF1134" t="s">
        <v>2042</v>
      </c>
    </row>
    <row r="1135" spans="1:32" hidden="1" x14ac:dyDescent="0.35">
      <c r="A1135">
        <v>983</v>
      </c>
      <c r="B1135" t="s">
        <v>2033</v>
      </c>
      <c r="C1135" t="s">
        <v>72</v>
      </c>
      <c r="D1135" t="s">
        <v>45</v>
      </c>
      <c r="E1135">
        <v>1863</v>
      </c>
      <c r="F1135">
        <v>5</v>
      </c>
      <c r="G1135">
        <v>5</v>
      </c>
      <c r="H1135">
        <v>1</v>
      </c>
      <c r="I1135">
        <v>1</v>
      </c>
      <c r="J1135">
        <v>0.73938736131210803</v>
      </c>
      <c r="K1135">
        <v>0.73246846611332606</v>
      </c>
      <c r="L1135">
        <v>0.73591165155242899</v>
      </c>
      <c r="M1135">
        <v>0.326340326340326</v>
      </c>
      <c r="N1135">
        <v>1</v>
      </c>
      <c r="O1135">
        <v>0.54568764568764605</v>
      </c>
      <c r="P1135" t="s">
        <v>2041</v>
      </c>
      <c r="Q1135" t="s">
        <v>2035</v>
      </c>
      <c r="R1135" t="s">
        <v>869</v>
      </c>
      <c r="S1135" t="s">
        <v>870</v>
      </c>
      <c r="V1135" t="s">
        <v>2036</v>
      </c>
      <c r="W1135" t="s">
        <v>2037</v>
      </c>
      <c r="X1135" t="s">
        <v>2036</v>
      </c>
      <c r="Y1135" t="s">
        <v>2038</v>
      </c>
      <c r="AF1135" t="s">
        <v>2042</v>
      </c>
    </row>
    <row r="1136" spans="1:32" hidden="1" x14ac:dyDescent="0.35">
      <c r="A1136">
        <v>649</v>
      </c>
      <c r="B1136" t="s">
        <v>1326</v>
      </c>
      <c r="C1136" t="s">
        <v>72</v>
      </c>
      <c r="D1136" t="s">
        <v>58</v>
      </c>
      <c r="E1136">
        <v>1333</v>
      </c>
      <c r="F1136">
        <v>5</v>
      </c>
      <c r="G1136">
        <v>5</v>
      </c>
      <c r="H1136">
        <v>1</v>
      </c>
      <c r="I1136">
        <v>1</v>
      </c>
      <c r="J1136">
        <v>0.756270342714915</v>
      </c>
      <c r="K1136">
        <v>0.94304347826086998</v>
      </c>
      <c r="L1136">
        <v>0.83939270745162298</v>
      </c>
      <c r="M1136">
        <v>0.54054054054054101</v>
      </c>
      <c r="N1136">
        <v>1</v>
      </c>
      <c r="O1136">
        <v>0.66756756756756797</v>
      </c>
      <c r="P1136" t="s">
        <v>1327</v>
      </c>
      <c r="Q1136" t="s">
        <v>1328</v>
      </c>
      <c r="R1136" t="s">
        <v>869</v>
      </c>
      <c r="S1136" t="s">
        <v>870</v>
      </c>
      <c r="T1136" t="s">
        <v>1329</v>
      </c>
      <c r="U1136" t="s">
        <v>1330</v>
      </c>
      <c r="V1136" t="s">
        <v>1331</v>
      </c>
      <c r="W1136" t="s">
        <v>1332</v>
      </c>
      <c r="X1136" t="s">
        <v>1331</v>
      </c>
      <c r="Y1136" t="s">
        <v>1091</v>
      </c>
      <c r="Z1136" t="s">
        <v>1092</v>
      </c>
      <c r="AA1136" t="s">
        <v>1093</v>
      </c>
      <c r="AB1136" t="s">
        <v>1092</v>
      </c>
      <c r="AC1136" t="s">
        <v>1094</v>
      </c>
      <c r="AD1136" t="s">
        <v>191</v>
      </c>
      <c r="AE1136" t="s">
        <v>1333</v>
      </c>
      <c r="AF1136" t="s">
        <v>1334</v>
      </c>
    </row>
    <row r="1137" spans="1:32" hidden="1" x14ac:dyDescent="0.35">
      <c r="A1137">
        <v>990</v>
      </c>
      <c r="B1137" t="s">
        <v>2053</v>
      </c>
      <c r="C1137" t="s">
        <v>72</v>
      </c>
      <c r="D1137" t="s">
        <v>60</v>
      </c>
      <c r="E1137">
        <v>1425</v>
      </c>
      <c r="F1137">
        <v>5</v>
      </c>
      <c r="G1137">
        <v>5</v>
      </c>
      <c r="H1137">
        <v>1</v>
      </c>
      <c r="I1137">
        <v>1</v>
      </c>
      <c r="J1137">
        <v>0.888622617824946</v>
      </c>
      <c r="K1137">
        <v>0.95885245901639604</v>
      </c>
      <c r="L1137">
        <v>0.92240268128088998</v>
      </c>
      <c r="M1137">
        <v>0.72459016393442599</v>
      </c>
      <c r="N1137">
        <v>1</v>
      </c>
      <c r="O1137">
        <v>0.83409836065573795</v>
      </c>
      <c r="P1137" t="s">
        <v>2054</v>
      </c>
      <c r="Q1137" t="s">
        <v>2055</v>
      </c>
      <c r="R1137" t="s">
        <v>869</v>
      </c>
      <c r="S1137" t="s">
        <v>870</v>
      </c>
      <c r="T1137" t="s">
        <v>2056</v>
      </c>
      <c r="U1137" t="s">
        <v>2057</v>
      </c>
      <c r="V1137" t="s">
        <v>2058</v>
      </c>
      <c r="W1137" t="s">
        <v>2059</v>
      </c>
      <c r="X1137" t="s">
        <v>2058</v>
      </c>
      <c r="Y1137" t="s">
        <v>2060</v>
      </c>
      <c r="Z1137" t="s">
        <v>2061</v>
      </c>
      <c r="AA1137" t="s">
        <v>2062</v>
      </c>
      <c r="AB1137" t="s">
        <v>2061</v>
      </c>
      <c r="AC1137" t="s">
        <v>1094</v>
      </c>
      <c r="AD1137" t="s">
        <v>219</v>
      </c>
      <c r="AE1137" t="s">
        <v>2063</v>
      </c>
      <c r="AF1137" t="s">
        <v>2065</v>
      </c>
    </row>
    <row r="1138" spans="1:32" hidden="1" x14ac:dyDescent="0.35">
      <c r="A1138">
        <v>991</v>
      </c>
      <c r="B1138" t="s">
        <v>2053</v>
      </c>
      <c r="C1138" t="s">
        <v>72</v>
      </c>
      <c r="D1138" t="s">
        <v>62</v>
      </c>
      <c r="E1138">
        <v>1460</v>
      </c>
      <c r="F1138">
        <v>5</v>
      </c>
      <c r="G1138">
        <v>5</v>
      </c>
      <c r="H1138">
        <v>1</v>
      </c>
      <c r="I1138">
        <v>1</v>
      </c>
      <c r="J1138">
        <v>0.888622617824946</v>
      </c>
      <c r="K1138">
        <v>0.95885245901639604</v>
      </c>
      <c r="L1138">
        <v>0.92240268128088998</v>
      </c>
      <c r="M1138">
        <v>0.72459016393442599</v>
      </c>
      <c r="N1138">
        <v>1</v>
      </c>
      <c r="O1138">
        <v>0.83409836065573795</v>
      </c>
      <c r="P1138" t="s">
        <v>2054</v>
      </c>
      <c r="Q1138" t="s">
        <v>2055</v>
      </c>
      <c r="R1138" t="s">
        <v>869</v>
      </c>
      <c r="S1138" t="s">
        <v>870</v>
      </c>
      <c r="T1138" t="s">
        <v>2056</v>
      </c>
      <c r="U1138" t="s">
        <v>2057</v>
      </c>
      <c r="V1138" t="s">
        <v>2058</v>
      </c>
      <c r="W1138" t="s">
        <v>2059</v>
      </c>
      <c r="X1138" t="s">
        <v>2058</v>
      </c>
      <c r="Y1138" t="s">
        <v>2060</v>
      </c>
      <c r="Z1138" t="s">
        <v>2061</v>
      </c>
      <c r="AA1138" t="s">
        <v>2062</v>
      </c>
      <c r="AB1138" t="s">
        <v>2061</v>
      </c>
      <c r="AC1138" t="s">
        <v>1094</v>
      </c>
      <c r="AD1138" t="s">
        <v>219</v>
      </c>
      <c r="AE1138" t="s">
        <v>2063</v>
      </c>
      <c r="AF1138" t="s">
        <v>2066</v>
      </c>
    </row>
    <row r="1139" spans="1:32" hidden="1" x14ac:dyDescent="0.35">
      <c r="A1139">
        <v>992</v>
      </c>
      <c r="B1139" t="s">
        <v>2053</v>
      </c>
      <c r="C1139" t="s">
        <v>72</v>
      </c>
      <c r="D1139" t="s">
        <v>34</v>
      </c>
      <c r="E1139">
        <v>1056</v>
      </c>
      <c r="F1139">
        <v>5</v>
      </c>
      <c r="G1139">
        <v>5</v>
      </c>
      <c r="H1139">
        <v>1</v>
      </c>
      <c r="I1139">
        <v>1</v>
      </c>
      <c r="J1139">
        <v>0.888622617824946</v>
      </c>
      <c r="K1139">
        <v>0.95885245901639604</v>
      </c>
      <c r="L1139">
        <v>0.92240268128088998</v>
      </c>
      <c r="M1139">
        <v>0.72459016393442599</v>
      </c>
      <c r="N1139">
        <v>1</v>
      </c>
      <c r="O1139">
        <v>0.83409836065573795</v>
      </c>
      <c r="P1139" t="s">
        <v>2054</v>
      </c>
      <c r="Q1139" t="s">
        <v>2055</v>
      </c>
      <c r="R1139" t="s">
        <v>869</v>
      </c>
      <c r="S1139" t="s">
        <v>870</v>
      </c>
      <c r="T1139" t="s">
        <v>2056</v>
      </c>
      <c r="U1139" t="s">
        <v>2057</v>
      </c>
      <c r="V1139" t="s">
        <v>2058</v>
      </c>
      <c r="W1139" t="s">
        <v>2059</v>
      </c>
      <c r="X1139" t="s">
        <v>2058</v>
      </c>
      <c r="Y1139" t="s">
        <v>2060</v>
      </c>
      <c r="Z1139" t="s">
        <v>2061</v>
      </c>
      <c r="AA1139" t="s">
        <v>2062</v>
      </c>
      <c r="AB1139" t="s">
        <v>2061</v>
      </c>
      <c r="AC1139" t="s">
        <v>1094</v>
      </c>
      <c r="AD1139" t="s">
        <v>219</v>
      </c>
      <c r="AE1139" t="s">
        <v>2063</v>
      </c>
      <c r="AF1139" t="s">
        <v>2067</v>
      </c>
    </row>
    <row r="1140" spans="1:32" hidden="1" x14ac:dyDescent="0.35">
      <c r="A1140">
        <v>993</v>
      </c>
      <c r="B1140" t="s">
        <v>2053</v>
      </c>
      <c r="C1140" t="s">
        <v>72</v>
      </c>
      <c r="D1140" t="s">
        <v>45</v>
      </c>
      <c r="E1140">
        <v>2312</v>
      </c>
      <c r="F1140">
        <v>5</v>
      </c>
      <c r="G1140">
        <v>5</v>
      </c>
      <c r="H1140">
        <v>1</v>
      </c>
      <c r="I1140">
        <v>1</v>
      </c>
      <c r="J1140">
        <v>0.888622617824946</v>
      </c>
      <c r="K1140">
        <v>0.95885245901639604</v>
      </c>
      <c r="L1140">
        <v>0.92240268128088998</v>
      </c>
      <c r="M1140">
        <v>0.72459016393442599</v>
      </c>
      <c r="N1140">
        <v>1</v>
      </c>
      <c r="O1140">
        <v>0.83409836065573795</v>
      </c>
      <c r="P1140" t="s">
        <v>2054</v>
      </c>
      <c r="Q1140" t="s">
        <v>2055</v>
      </c>
      <c r="R1140" t="s">
        <v>869</v>
      </c>
      <c r="S1140" t="s">
        <v>870</v>
      </c>
      <c r="T1140" t="s">
        <v>2056</v>
      </c>
      <c r="U1140" t="s">
        <v>2057</v>
      </c>
      <c r="V1140" t="s">
        <v>2058</v>
      </c>
      <c r="W1140" t="s">
        <v>2059</v>
      </c>
      <c r="X1140" t="s">
        <v>2058</v>
      </c>
      <c r="Y1140" t="s">
        <v>2060</v>
      </c>
      <c r="Z1140" t="s">
        <v>2061</v>
      </c>
      <c r="AA1140" t="s">
        <v>2062</v>
      </c>
      <c r="AB1140" t="s">
        <v>2061</v>
      </c>
      <c r="AC1140" t="s">
        <v>1094</v>
      </c>
      <c r="AD1140" t="s">
        <v>219</v>
      </c>
      <c r="AE1140" t="s">
        <v>2063</v>
      </c>
      <c r="AF1140" t="s">
        <v>2067</v>
      </c>
    </row>
    <row r="1141" spans="1:32" hidden="1" x14ac:dyDescent="0.35">
      <c r="A1141">
        <v>6428</v>
      </c>
      <c r="B1141" t="s">
        <v>13242</v>
      </c>
      <c r="C1141" t="s">
        <v>68</v>
      </c>
      <c r="D1141" t="s">
        <v>58</v>
      </c>
      <c r="E1141">
        <v>874</v>
      </c>
      <c r="F1141">
        <v>3</v>
      </c>
      <c r="G1141">
        <v>3</v>
      </c>
      <c r="H1141">
        <v>1</v>
      </c>
      <c r="I1141">
        <v>0</v>
      </c>
      <c r="J1141">
        <v>0.81045751633986896</v>
      </c>
      <c r="K1141">
        <v>0.95185642198613596</v>
      </c>
      <c r="L1141">
        <v>0.87548441273501598</v>
      </c>
      <c r="M1141">
        <v>0.61968680089485495</v>
      </c>
      <c r="N1141">
        <v>0.98434004474272896</v>
      </c>
      <c r="O1141">
        <v>0.74123788217747899</v>
      </c>
      <c r="P1141" t="s">
        <v>1734</v>
      </c>
      <c r="Q1141" t="s">
        <v>1735</v>
      </c>
      <c r="R1141" t="s">
        <v>869</v>
      </c>
      <c r="S1141" t="s">
        <v>870</v>
      </c>
      <c r="T1141" t="s">
        <v>13243</v>
      </c>
      <c r="U1141" t="s">
        <v>13244</v>
      </c>
      <c r="V1141" t="s">
        <v>13245</v>
      </c>
      <c r="W1141" t="s">
        <v>13246</v>
      </c>
      <c r="X1141" t="s">
        <v>13245</v>
      </c>
      <c r="Y1141" t="s">
        <v>2038</v>
      </c>
      <c r="Z1141" t="s">
        <v>13247</v>
      </c>
      <c r="AA1141" t="s">
        <v>13248</v>
      </c>
      <c r="AB1141" t="s">
        <v>13247</v>
      </c>
      <c r="AC1141" t="s">
        <v>878</v>
      </c>
      <c r="AD1141" t="s">
        <v>1743</v>
      </c>
      <c r="AE1141" t="s">
        <v>13249</v>
      </c>
      <c r="AF1141" t="s">
        <v>13250</v>
      </c>
    </row>
    <row r="1142" spans="1:32" hidden="1" x14ac:dyDescent="0.35">
      <c r="A1142">
        <v>1015</v>
      </c>
      <c r="B1142" t="s">
        <v>2111</v>
      </c>
      <c r="C1142" t="s">
        <v>72</v>
      </c>
      <c r="D1142" t="s">
        <v>60</v>
      </c>
      <c r="E1142">
        <v>772</v>
      </c>
      <c r="F1142">
        <v>5</v>
      </c>
      <c r="G1142">
        <v>5</v>
      </c>
      <c r="H1142">
        <v>1</v>
      </c>
      <c r="I1142">
        <v>1</v>
      </c>
      <c r="J1142">
        <v>0.78264649626152005</v>
      </c>
      <c r="K1142">
        <v>0.85827923332560596</v>
      </c>
      <c r="L1142">
        <v>0.818719851440593</v>
      </c>
      <c r="M1142">
        <v>0.50877192982456099</v>
      </c>
      <c r="N1142">
        <v>1</v>
      </c>
      <c r="O1142">
        <v>0.66315789473684195</v>
      </c>
      <c r="P1142" t="s">
        <v>2112</v>
      </c>
      <c r="Q1142" t="s">
        <v>2113</v>
      </c>
      <c r="R1142" t="s">
        <v>869</v>
      </c>
      <c r="S1142" t="s">
        <v>870</v>
      </c>
      <c r="V1142" t="s">
        <v>2114</v>
      </c>
      <c r="W1142" t="s">
        <v>2115</v>
      </c>
      <c r="X1142" t="s">
        <v>2114</v>
      </c>
      <c r="Y1142" t="s">
        <v>2116</v>
      </c>
      <c r="AF1142" t="e">
        <f>------------MSRLENDLEF-------------------LE---EPNAEDLRA------VEELGDRPAQRRALVVLVADHALSSGEDTDRLVTELLQEDGFAVDAVVRVQSKRSLICQAIETAVIGGADLVITVGGTGVGPRDKTPDATRAVLDKILPGISQALRASALACGAIDACTSRGVAGVSGSTVLVNLAPSRAAIRDGMATLGPLVHHVIDQLQDWSVDK</f>
        <v>#NAME?</v>
      </c>
    </row>
    <row r="1143" spans="1:32" hidden="1" x14ac:dyDescent="0.35">
      <c r="A1143">
        <v>1016</v>
      </c>
      <c r="B1143" t="s">
        <v>2111</v>
      </c>
      <c r="C1143" t="s">
        <v>72</v>
      </c>
      <c r="D1143" t="s">
        <v>62</v>
      </c>
      <c r="E1143">
        <v>805</v>
      </c>
      <c r="F1143">
        <v>5</v>
      </c>
      <c r="G1143">
        <v>5</v>
      </c>
      <c r="H1143">
        <v>1</v>
      </c>
      <c r="I1143">
        <v>1</v>
      </c>
      <c r="J1143">
        <v>0.78264649626152005</v>
      </c>
      <c r="K1143">
        <v>0.85827923332560596</v>
      </c>
      <c r="L1143">
        <v>0.818719851440593</v>
      </c>
      <c r="M1143">
        <v>0.50877192982456099</v>
      </c>
      <c r="N1143">
        <v>1</v>
      </c>
      <c r="O1143">
        <v>0.66315789473684195</v>
      </c>
      <c r="P1143" t="s">
        <v>2112</v>
      </c>
      <c r="Q1143" t="s">
        <v>2113</v>
      </c>
      <c r="R1143" t="s">
        <v>869</v>
      </c>
      <c r="S1143" t="s">
        <v>870</v>
      </c>
      <c r="V1143" t="s">
        <v>2114</v>
      </c>
      <c r="W1143" t="s">
        <v>2115</v>
      </c>
      <c r="X1143" t="s">
        <v>2114</v>
      </c>
      <c r="Y1143" t="s">
        <v>2116</v>
      </c>
      <c r="AF1143" t="e">
        <f>------------MSRLENDLEF-------------------LE---EPNAEDLRA------VEELGDRPAQRRALVVLVADHALSSGEDTDRLVTELLQEDGFAVDAVVRVQSKRSLICQAIETAVIGGADLVITVGGTGVGPRDKTPDATRAVLDKILPGISQALRASALACGAIDACTSRGVAGVSGSTVLVNLAPSRAAIRDGMATLGPLVHHVIDQLQDWSVDK</f>
        <v>#NAME?</v>
      </c>
    </row>
    <row r="1144" spans="1:32" hidden="1" x14ac:dyDescent="0.35">
      <c r="A1144">
        <v>1017</v>
      </c>
      <c r="B1144" t="s">
        <v>2111</v>
      </c>
      <c r="C1144" t="s">
        <v>72</v>
      </c>
      <c r="D1144" t="s">
        <v>34</v>
      </c>
      <c r="E1144">
        <v>361</v>
      </c>
      <c r="F1144">
        <v>5</v>
      </c>
      <c r="G1144">
        <v>5</v>
      </c>
      <c r="H1144">
        <v>1</v>
      </c>
      <c r="I1144">
        <v>1</v>
      </c>
      <c r="J1144">
        <v>0.78264649626152005</v>
      </c>
      <c r="K1144">
        <v>0.85827923332560596</v>
      </c>
      <c r="L1144">
        <v>0.818719851440593</v>
      </c>
      <c r="M1144">
        <v>0.50877192982456099</v>
      </c>
      <c r="N1144">
        <v>1</v>
      </c>
      <c r="O1144">
        <v>0.66315789473684195</v>
      </c>
      <c r="P1144" t="s">
        <v>2112</v>
      </c>
      <c r="Q1144" t="s">
        <v>2113</v>
      </c>
      <c r="R1144" t="s">
        <v>869</v>
      </c>
      <c r="S1144" t="s">
        <v>870</v>
      </c>
      <c r="V1144" t="s">
        <v>2114</v>
      </c>
      <c r="W1144" t="s">
        <v>2115</v>
      </c>
      <c r="X1144" t="s">
        <v>2114</v>
      </c>
      <c r="Y1144" t="s">
        <v>2116</v>
      </c>
      <c r="AF1144" t="s">
        <v>2118</v>
      </c>
    </row>
    <row r="1145" spans="1:32" hidden="1" x14ac:dyDescent="0.35">
      <c r="A1145">
        <v>1018</v>
      </c>
      <c r="B1145" t="s">
        <v>2111</v>
      </c>
      <c r="C1145" t="s">
        <v>72</v>
      </c>
      <c r="D1145" t="s">
        <v>45</v>
      </c>
      <c r="E1145">
        <v>1623</v>
      </c>
      <c r="F1145">
        <v>5</v>
      </c>
      <c r="G1145">
        <v>5</v>
      </c>
      <c r="H1145">
        <v>1</v>
      </c>
      <c r="I1145">
        <v>1</v>
      </c>
      <c r="J1145">
        <v>0.78264649626152005</v>
      </c>
      <c r="K1145">
        <v>0.85827923332560596</v>
      </c>
      <c r="L1145">
        <v>0.818719851440593</v>
      </c>
      <c r="M1145">
        <v>0.50877192982456099</v>
      </c>
      <c r="N1145">
        <v>1</v>
      </c>
      <c r="O1145">
        <v>0.66315789473684195</v>
      </c>
      <c r="P1145" t="s">
        <v>2112</v>
      </c>
      <c r="Q1145" t="s">
        <v>2113</v>
      </c>
      <c r="R1145" t="s">
        <v>869</v>
      </c>
      <c r="S1145" t="s">
        <v>870</v>
      </c>
      <c r="V1145" t="s">
        <v>2114</v>
      </c>
      <c r="W1145" t="s">
        <v>2115</v>
      </c>
      <c r="X1145" t="s">
        <v>2114</v>
      </c>
      <c r="Y1145" t="s">
        <v>2116</v>
      </c>
      <c r="AF1145" t="s">
        <v>2118</v>
      </c>
    </row>
    <row r="1146" spans="1:32" hidden="1" x14ac:dyDescent="0.35">
      <c r="A1146">
        <v>914</v>
      </c>
      <c r="B1146" t="s">
        <v>1900</v>
      </c>
      <c r="C1146" t="s">
        <v>72</v>
      </c>
      <c r="D1146" t="s">
        <v>58</v>
      </c>
      <c r="E1146">
        <v>147</v>
      </c>
      <c r="F1146">
        <v>5</v>
      </c>
      <c r="G1146">
        <v>5</v>
      </c>
      <c r="H1146">
        <v>1</v>
      </c>
      <c r="I1146">
        <v>1</v>
      </c>
      <c r="J1146">
        <v>0.80379456983971198</v>
      </c>
      <c r="K1146">
        <v>0.95534533521652998</v>
      </c>
      <c r="L1146">
        <v>0.87304186615469404</v>
      </c>
      <c r="M1146">
        <v>0.61985018726591801</v>
      </c>
      <c r="N1146">
        <v>1</v>
      </c>
      <c r="O1146">
        <v>0.71479400749063704</v>
      </c>
      <c r="P1146" t="s">
        <v>1901</v>
      </c>
      <c r="Q1146" t="s">
        <v>1902</v>
      </c>
      <c r="R1146" t="s">
        <v>1191</v>
      </c>
      <c r="S1146" t="s">
        <v>1192</v>
      </c>
      <c r="T1146" t="s">
        <v>1903</v>
      </c>
      <c r="U1146" t="s">
        <v>1904</v>
      </c>
      <c r="V1146" t="s">
        <v>1905</v>
      </c>
      <c r="W1146" t="s">
        <v>1906</v>
      </c>
      <c r="AD1146" t="s">
        <v>951</v>
      </c>
      <c r="AE1146" t="s">
        <v>1907</v>
      </c>
      <c r="AF1146" t="s">
        <v>1908</v>
      </c>
    </row>
    <row r="1147" spans="1:32" hidden="1" x14ac:dyDescent="0.35">
      <c r="A1147">
        <v>1050</v>
      </c>
      <c r="B1147" t="s">
        <v>2185</v>
      </c>
      <c r="C1147" t="s">
        <v>72</v>
      </c>
      <c r="D1147" t="s">
        <v>60</v>
      </c>
      <c r="E1147">
        <v>2425</v>
      </c>
      <c r="F1147">
        <v>5</v>
      </c>
      <c r="G1147">
        <v>5</v>
      </c>
      <c r="H1147">
        <v>1</v>
      </c>
      <c r="I1147">
        <v>1</v>
      </c>
      <c r="J1147">
        <v>0.85851829330090201</v>
      </c>
      <c r="K1147">
        <v>0.90795423754327798</v>
      </c>
      <c r="L1147">
        <v>0.88254451603440898</v>
      </c>
      <c r="M1147">
        <v>0.66849315068493198</v>
      </c>
      <c r="N1147">
        <v>1</v>
      </c>
      <c r="O1147">
        <v>0.761643835616438</v>
      </c>
      <c r="P1147" t="s">
        <v>1223</v>
      </c>
      <c r="Q1147" t="s">
        <v>1224</v>
      </c>
      <c r="R1147" t="s">
        <v>869</v>
      </c>
      <c r="S1147" t="s">
        <v>870</v>
      </c>
      <c r="T1147" t="s">
        <v>2186</v>
      </c>
      <c r="U1147" t="s">
        <v>2187</v>
      </c>
      <c r="V1147" t="s">
        <v>2188</v>
      </c>
      <c r="W1147" t="s">
        <v>2189</v>
      </c>
      <c r="X1147" t="s">
        <v>2188</v>
      </c>
      <c r="Y1147" t="s">
        <v>2190</v>
      </c>
      <c r="AD1147" t="s">
        <v>2191</v>
      </c>
      <c r="AE1147" t="s">
        <v>2192</v>
      </c>
      <c r="AF1147" t="s">
        <v>2194</v>
      </c>
    </row>
    <row r="1148" spans="1:32" hidden="1" x14ac:dyDescent="0.35">
      <c r="A1148">
        <v>1051</v>
      </c>
      <c r="B1148" t="s">
        <v>2185</v>
      </c>
      <c r="C1148" t="s">
        <v>72</v>
      </c>
      <c r="D1148" t="s">
        <v>62</v>
      </c>
      <c r="E1148">
        <v>2452</v>
      </c>
      <c r="F1148">
        <v>5</v>
      </c>
      <c r="G1148">
        <v>5</v>
      </c>
      <c r="H1148">
        <v>1</v>
      </c>
      <c r="I1148">
        <v>1</v>
      </c>
      <c r="J1148">
        <v>0.85851829330090201</v>
      </c>
      <c r="K1148">
        <v>0.90795423754327798</v>
      </c>
      <c r="L1148">
        <v>0.88254451603440898</v>
      </c>
      <c r="M1148">
        <v>0.66849315068493198</v>
      </c>
      <c r="N1148">
        <v>1</v>
      </c>
      <c r="O1148">
        <v>0.761643835616438</v>
      </c>
      <c r="P1148" t="s">
        <v>1223</v>
      </c>
      <c r="Q1148" t="s">
        <v>1224</v>
      </c>
      <c r="R1148" t="s">
        <v>869</v>
      </c>
      <c r="S1148" t="s">
        <v>870</v>
      </c>
      <c r="T1148" t="s">
        <v>2186</v>
      </c>
      <c r="U1148" t="s">
        <v>2187</v>
      </c>
      <c r="V1148" t="s">
        <v>2188</v>
      </c>
      <c r="W1148" t="s">
        <v>2189</v>
      </c>
      <c r="X1148" t="s">
        <v>2188</v>
      </c>
      <c r="Y1148" t="s">
        <v>2190</v>
      </c>
      <c r="AD1148" t="s">
        <v>2191</v>
      </c>
      <c r="AE1148" t="s">
        <v>2192</v>
      </c>
      <c r="AF1148" t="s">
        <v>2194</v>
      </c>
    </row>
    <row r="1149" spans="1:32" hidden="1" x14ac:dyDescent="0.35">
      <c r="A1149">
        <v>1052</v>
      </c>
      <c r="B1149" t="s">
        <v>2185</v>
      </c>
      <c r="C1149" t="s">
        <v>72</v>
      </c>
      <c r="D1149" t="s">
        <v>34</v>
      </c>
      <c r="E1149">
        <v>1301</v>
      </c>
      <c r="F1149">
        <v>5</v>
      </c>
      <c r="G1149">
        <v>5</v>
      </c>
      <c r="H1149">
        <v>1</v>
      </c>
      <c r="I1149">
        <v>1</v>
      </c>
      <c r="J1149">
        <v>0.85851829330090201</v>
      </c>
      <c r="K1149">
        <v>0.90795423754327798</v>
      </c>
      <c r="L1149">
        <v>0.88254451603440898</v>
      </c>
      <c r="M1149">
        <v>0.66849315068493198</v>
      </c>
      <c r="N1149">
        <v>1</v>
      </c>
      <c r="O1149">
        <v>0.761643835616438</v>
      </c>
      <c r="P1149" t="s">
        <v>1223</v>
      </c>
      <c r="Q1149" t="s">
        <v>1224</v>
      </c>
      <c r="R1149" t="s">
        <v>869</v>
      </c>
      <c r="S1149" t="s">
        <v>870</v>
      </c>
      <c r="T1149" t="s">
        <v>2186</v>
      </c>
      <c r="U1149" t="s">
        <v>2187</v>
      </c>
      <c r="V1149" t="s">
        <v>2188</v>
      </c>
      <c r="W1149" t="s">
        <v>2189</v>
      </c>
      <c r="X1149" t="s">
        <v>2188</v>
      </c>
      <c r="Y1149" t="s">
        <v>2190</v>
      </c>
      <c r="AD1149" t="s">
        <v>2191</v>
      </c>
      <c r="AE1149" t="s">
        <v>2192</v>
      </c>
      <c r="AF1149" t="s">
        <v>2195</v>
      </c>
    </row>
    <row r="1150" spans="1:32" hidden="1" x14ac:dyDescent="0.35">
      <c r="A1150">
        <v>1053</v>
      </c>
      <c r="B1150" t="s">
        <v>2185</v>
      </c>
      <c r="C1150" t="s">
        <v>72</v>
      </c>
      <c r="D1150" t="s">
        <v>45</v>
      </c>
      <c r="E1150">
        <v>53</v>
      </c>
      <c r="F1150">
        <v>5</v>
      </c>
      <c r="G1150">
        <v>5</v>
      </c>
      <c r="H1150">
        <v>1</v>
      </c>
      <c r="I1150">
        <v>1</v>
      </c>
      <c r="J1150">
        <v>0.85851829330090201</v>
      </c>
      <c r="K1150">
        <v>0.90795423754327798</v>
      </c>
      <c r="L1150">
        <v>0.88254451603440898</v>
      </c>
      <c r="M1150">
        <v>0.66849315068493198</v>
      </c>
      <c r="N1150">
        <v>1</v>
      </c>
      <c r="O1150">
        <v>0.761643835616438</v>
      </c>
      <c r="P1150" t="s">
        <v>1223</v>
      </c>
      <c r="Q1150" t="s">
        <v>1224</v>
      </c>
      <c r="R1150" t="s">
        <v>869</v>
      </c>
      <c r="S1150" t="s">
        <v>870</v>
      </c>
      <c r="T1150" t="s">
        <v>2186</v>
      </c>
      <c r="U1150" t="s">
        <v>2187</v>
      </c>
      <c r="V1150" t="s">
        <v>2188</v>
      </c>
      <c r="W1150" t="s">
        <v>2189</v>
      </c>
      <c r="X1150" t="s">
        <v>2188</v>
      </c>
      <c r="Y1150" t="s">
        <v>2190</v>
      </c>
      <c r="AD1150" t="s">
        <v>2191</v>
      </c>
      <c r="AE1150" t="s">
        <v>2192</v>
      </c>
      <c r="AF1150" t="s">
        <v>2195</v>
      </c>
    </row>
    <row r="1151" spans="1:32" hidden="1" x14ac:dyDescent="0.35">
      <c r="A1151">
        <v>829</v>
      </c>
      <c r="B1151" t="s">
        <v>1710</v>
      </c>
      <c r="C1151" t="s">
        <v>72</v>
      </c>
      <c r="D1151" t="s">
        <v>58</v>
      </c>
      <c r="E1151">
        <v>1573</v>
      </c>
      <c r="F1151">
        <v>5</v>
      </c>
      <c r="G1151">
        <v>5</v>
      </c>
      <c r="H1151">
        <v>1</v>
      </c>
      <c r="I1151">
        <v>1</v>
      </c>
      <c r="J1151">
        <v>0.81456270627062699</v>
      </c>
      <c r="K1151">
        <v>0.68756416625268901</v>
      </c>
      <c r="L1151">
        <v>0.74569483875444698</v>
      </c>
      <c r="M1151">
        <v>0.189090909090909</v>
      </c>
      <c r="N1151">
        <v>1</v>
      </c>
      <c r="O1151">
        <v>0.64490909090909099</v>
      </c>
      <c r="P1151" t="s">
        <v>1711</v>
      </c>
      <c r="Q1151" t="s">
        <v>1712</v>
      </c>
      <c r="R1151" t="s">
        <v>157</v>
      </c>
      <c r="S1151" t="s">
        <v>158</v>
      </c>
      <c r="T1151" t="s">
        <v>1713</v>
      </c>
      <c r="U1151" t="s">
        <v>1714</v>
      </c>
      <c r="V1151" t="s">
        <v>1715</v>
      </c>
      <c r="W1151" t="s">
        <v>1716</v>
      </c>
      <c r="X1151" t="s">
        <v>1715</v>
      </c>
      <c r="Y1151" t="s">
        <v>1357</v>
      </c>
      <c r="AD1151" t="s">
        <v>1717</v>
      </c>
      <c r="AE1151" t="s">
        <v>1718</v>
      </c>
      <c r="AF1151" t="s">
        <v>1719</v>
      </c>
    </row>
    <row r="1152" spans="1:32" hidden="1" x14ac:dyDescent="0.35">
      <c r="A1152">
        <v>1060</v>
      </c>
      <c r="B1152" t="s">
        <v>2207</v>
      </c>
      <c r="C1152" t="s">
        <v>72</v>
      </c>
      <c r="D1152" t="s">
        <v>60</v>
      </c>
      <c r="E1152">
        <v>1569</v>
      </c>
      <c r="F1152">
        <v>5</v>
      </c>
      <c r="G1152">
        <v>5</v>
      </c>
      <c r="H1152">
        <v>1</v>
      </c>
      <c r="I1152">
        <v>1</v>
      </c>
      <c r="J1152">
        <v>0.81020917290347305</v>
      </c>
      <c r="K1152">
        <v>0.96554781801300305</v>
      </c>
      <c r="L1152">
        <v>0.88108418328942895</v>
      </c>
      <c r="M1152">
        <v>0.61111111111111105</v>
      </c>
      <c r="N1152">
        <v>1</v>
      </c>
      <c r="O1152">
        <v>0.73388888888888903</v>
      </c>
      <c r="P1152" t="s">
        <v>2208</v>
      </c>
      <c r="Q1152" t="s">
        <v>2209</v>
      </c>
      <c r="R1152" t="s">
        <v>869</v>
      </c>
      <c r="S1152" t="s">
        <v>870</v>
      </c>
      <c r="T1152" t="s">
        <v>2210</v>
      </c>
      <c r="U1152" t="s">
        <v>2211</v>
      </c>
      <c r="V1152" t="s">
        <v>2212</v>
      </c>
      <c r="W1152" t="s">
        <v>2213</v>
      </c>
      <c r="AD1152" t="s">
        <v>219</v>
      </c>
      <c r="AE1152" t="s">
        <v>2214</v>
      </c>
      <c r="AF1152" t="s">
        <v>2216</v>
      </c>
    </row>
    <row r="1153" spans="1:32" hidden="1" x14ac:dyDescent="0.35">
      <c r="A1153">
        <v>1061</v>
      </c>
      <c r="B1153" t="s">
        <v>2207</v>
      </c>
      <c r="C1153" t="s">
        <v>72</v>
      </c>
      <c r="D1153" t="s">
        <v>62</v>
      </c>
      <c r="E1153">
        <v>1605</v>
      </c>
      <c r="F1153">
        <v>5</v>
      </c>
      <c r="G1153">
        <v>5</v>
      </c>
      <c r="H1153">
        <v>1</v>
      </c>
      <c r="I1153">
        <v>1</v>
      </c>
      <c r="J1153">
        <v>0.81020917290347305</v>
      </c>
      <c r="K1153">
        <v>0.96554781801300305</v>
      </c>
      <c r="L1153">
        <v>0.88108418328942895</v>
      </c>
      <c r="M1153">
        <v>0.61111111111111105</v>
      </c>
      <c r="N1153">
        <v>1</v>
      </c>
      <c r="O1153">
        <v>0.73388888888888903</v>
      </c>
      <c r="P1153" t="s">
        <v>2208</v>
      </c>
      <c r="Q1153" t="s">
        <v>2209</v>
      </c>
      <c r="R1153" t="s">
        <v>869</v>
      </c>
      <c r="S1153" t="s">
        <v>870</v>
      </c>
      <c r="T1153" t="s">
        <v>2210</v>
      </c>
      <c r="U1153" t="s">
        <v>2211</v>
      </c>
      <c r="V1153" t="s">
        <v>2212</v>
      </c>
      <c r="W1153" t="s">
        <v>2213</v>
      </c>
      <c r="AD1153" t="s">
        <v>219</v>
      </c>
      <c r="AE1153" t="s">
        <v>2214</v>
      </c>
      <c r="AF1153" t="s">
        <v>2216</v>
      </c>
    </row>
    <row r="1154" spans="1:32" hidden="1" x14ac:dyDescent="0.35">
      <c r="A1154">
        <v>1062</v>
      </c>
      <c r="B1154" t="s">
        <v>2207</v>
      </c>
      <c r="C1154" t="s">
        <v>72</v>
      </c>
      <c r="D1154" t="s">
        <v>34</v>
      </c>
      <c r="E1154">
        <v>1974</v>
      </c>
      <c r="F1154">
        <v>5</v>
      </c>
      <c r="G1154">
        <v>5</v>
      </c>
      <c r="H1154">
        <v>1</v>
      </c>
      <c r="I1154">
        <v>1</v>
      </c>
      <c r="J1154">
        <v>0.81020917290347305</v>
      </c>
      <c r="K1154">
        <v>0.96554781801300305</v>
      </c>
      <c r="L1154">
        <v>0.88108418328942895</v>
      </c>
      <c r="M1154">
        <v>0.61111111111111105</v>
      </c>
      <c r="N1154">
        <v>1</v>
      </c>
      <c r="O1154">
        <v>0.73388888888888903</v>
      </c>
      <c r="P1154" t="s">
        <v>2208</v>
      </c>
      <c r="Q1154" t="s">
        <v>2209</v>
      </c>
      <c r="R1154" t="s">
        <v>869</v>
      </c>
      <c r="S1154" t="s">
        <v>870</v>
      </c>
      <c r="T1154" t="s">
        <v>2210</v>
      </c>
      <c r="U1154" t="s">
        <v>2211</v>
      </c>
      <c r="V1154" t="s">
        <v>2212</v>
      </c>
      <c r="W1154" t="s">
        <v>2213</v>
      </c>
      <c r="AD1154" t="s">
        <v>219</v>
      </c>
      <c r="AE1154" t="s">
        <v>2214</v>
      </c>
      <c r="AF1154" t="s">
        <v>2217</v>
      </c>
    </row>
    <row r="1155" spans="1:32" hidden="1" x14ac:dyDescent="0.35">
      <c r="A1155">
        <v>1063</v>
      </c>
      <c r="B1155" t="s">
        <v>2207</v>
      </c>
      <c r="C1155" t="s">
        <v>72</v>
      </c>
      <c r="D1155" t="s">
        <v>45</v>
      </c>
      <c r="E1155">
        <v>899</v>
      </c>
      <c r="F1155">
        <v>5</v>
      </c>
      <c r="G1155">
        <v>5</v>
      </c>
      <c r="H1155">
        <v>1</v>
      </c>
      <c r="I1155">
        <v>1</v>
      </c>
      <c r="J1155">
        <v>0.81020917290347305</v>
      </c>
      <c r="K1155">
        <v>0.96554781801300305</v>
      </c>
      <c r="L1155">
        <v>0.88108418328942895</v>
      </c>
      <c r="M1155">
        <v>0.61111111111111105</v>
      </c>
      <c r="N1155">
        <v>1</v>
      </c>
      <c r="O1155">
        <v>0.73388888888888903</v>
      </c>
      <c r="P1155" t="s">
        <v>2208</v>
      </c>
      <c r="Q1155" t="s">
        <v>2209</v>
      </c>
      <c r="R1155" t="s">
        <v>869</v>
      </c>
      <c r="S1155" t="s">
        <v>870</v>
      </c>
      <c r="T1155" t="s">
        <v>2210</v>
      </c>
      <c r="U1155" t="s">
        <v>2211</v>
      </c>
      <c r="V1155" t="s">
        <v>2212</v>
      </c>
      <c r="W1155" t="s">
        <v>2213</v>
      </c>
      <c r="AD1155" t="s">
        <v>219</v>
      </c>
      <c r="AE1155" t="s">
        <v>2214</v>
      </c>
      <c r="AF1155" t="s">
        <v>2217</v>
      </c>
    </row>
    <row r="1156" spans="1:32" hidden="1" x14ac:dyDescent="0.35">
      <c r="A1156">
        <v>514</v>
      </c>
      <c r="B1156" t="s">
        <v>990</v>
      </c>
      <c r="C1156" t="s">
        <v>72</v>
      </c>
      <c r="D1156" t="s">
        <v>58</v>
      </c>
      <c r="E1156">
        <v>1032</v>
      </c>
      <c r="F1156">
        <v>5</v>
      </c>
      <c r="G1156">
        <v>5</v>
      </c>
      <c r="H1156">
        <v>1</v>
      </c>
      <c r="I1156">
        <v>1</v>
      </c>
      <c r="J1156">
        <v>0.84506249296250402</v>
      </c>
      <c r="K1156">
        <v>0.97322687880708603</v>
      </c>
      <c r="L1156">
        <v>0.90462777288570195</v>
      </c>
      <c r="M1156">
        <v>0.71960569550930997</v>
      </c>
      <c r="N1156">
        <v>1</v>
      </c>
      <c r="O1156">
        <v>0.79518072289156605</v>
      </c>
      <c r="P1156" t="s">
        <v>991</v>
      </c>
      <c r="Q1156" t="s">
        <v>992</v>
      </c>
      <c r="R1156" t="s">
        <v>224</v>
      </c>
      <c r="S1156" t="s">
        <v>225</v>
      </c>
      <c r="T1156" t="s">
        <v>993</v>
      </c>
      <c r="U1156" t="s">
        <v>994</v>
      </c>
      <c r="V1156" t="s">
        <v>995</v>
      </c>
      <c r="W1156" t="s">
        <v>996</v>
      </c>
      <c r="X1156" t="s">
        <v>995</v>
      </c>
      <c r="Y1156" t="s">
        <v>589</v>
      </c>
      <c r="AD1156" t="s">
        <v>997</v>
      </c>
      <c r="AE1156" t="s">
        <v>998</v>
      </c>
      <c r="AF1156" t="s">
        <v>999</v>
      </c>
    </row>
    <row r="1157" spans="1:32" hidden="1" x14ac:dyDescent="0.35">
      <c r="A1157">
        <v>1330</v>
      </c>
      <c r="B1157" t="s">
        <v>2757</v>
      </c>
      <c r="C1157" t="s">
        <v>72</v>
      </c>
      <c r="D1157" t="s">
        <v>60</v>
      </c>
      <c r="E1157">
        <v>1184</v>
      </c>
      <c r="F1157">
        <v>5</v>
      </c>
      <c r="G1157">
        <v>5</v>
      </c>
      <c r="H1157">
        <v>1</v>
      </c>
      <c r="I1157">
        <v>1</v>
      </c>
      <c r="J1157">
        <v>0.81196020553186798</v>
      </c>
      <c r="K1157">
        <v>0.98052276734778898</v>
      </c>
      <c r="L1157">
        <v>0.88831579406901096</v>
      </c>
      <c r="M1157">
        <v>0.65273311897106101</v>
      </c>
      <c r="N1157">
        <v>1</v>
      </c>
      <c r="O1157">
        <v>0.74726688102893901</v>
      </c>
      <c r="P1157" t="s">
        <v>2758</v>
      </c>
      <c r="Q1157" t="s">
        <v>2759</v>
      </c>
      <c r="R1157" t="s">
        <v>869</v>
      </c>
      <c r="S1157" t="s">
        <v>870</v>
      </c>
      <c r="T1157" t="s">
        <v>2760</v>
      </c>
      <c r="U1157" t="s">
        <v>2761</v>
      </c>
      <c r="V1157" t="s">
        <v>2762</v>
      </c>
      <c r="W1157" t="s">
        <v>2763</v>
      </c>
      <c r="AD1157" t="s">
        <v>219</v>
      </c>
      <c r="AE1157" t="s">
        <v>2764</v>
      </c>
      <c r="AF1157" t="s">
        <v>2766</v>
      </c>
    </row>
    <row r="1158" spans="1:32" hidden="1" x14ac:dyDescent="0.35">
      <c r="A1158">
        <v>1331</v>
      </c>
      <c r="B1158" t="s">
        <v>2757</v>
      </c>
      <c r="C1158" t="s">
        <v>72</v>
      </c>
      <c r="D1158" t="s">
        <v>62</v>
      </c>
      <c r="E1158">
        <v>1221</v>
      </c>
      <c r="F1158">
        <v>5</v>
      </c>
      <c r="G1158">
        <v>5</v>
      </c>
      <c r="H1158">
        <v>1</v>
      </c>
      <c r="I1158">
        <v>1</v>
      </c>
      <c r="J1158">
        <v>0.81196020553186798</v>
      </c>
      <c r="K1158">
        <v>0.98052276734778898</v>
      </c>
      <c r="L1158">
        <v>0.88831579406901096</v>
      </c>
      <c r="M1158">
        <v>0.65273311897106101</v>
      </c>
      <c r="N1158">
        <v>1</v>
      </c>
      <c r="O1158">
        <v>0.74726688102893901</v>
      </c>
      <c r="P1158" t="s">
        <v>2758</v>
      </c>
      <c r="Q1158" t="s">
        <v>2759</v>
      </c>
      <c r="R1158" t="s">
        <v>869</v>
      </c>
      <c r="S1158" t="s">
        <v>870</v>
      </c>
      <c r="T1158" t="s">
        <v>2760</v>
      </c>
      <c r="U1158" t="s">
        <v>2761</v>
      </c>
      <c r="V1158" t="s">
        <v>2762</v>
      </c>
      <c r="W1158" t="s">
        <v>2763</v>
      </c>
      <c r="AD1158" t="s">
        <v>219</v>
      </c>
      <c r="AE1158" t="s">
        <v>2764</v>
      </c>
      <c r="AF1158" t="s">
        <v>2767</v>
      </c>
    </row>
    <row r="1159" spans="1:32" hidden="1" x14ac:dyDescent="0.35">
      <c r="A1159">
        <v>1332</v>
      </c>
      <c r="B1159" t="s">
        <v>2757</v>
      </c>
      <c r="C1159" t="s">
        <v>72</v>
      </c>
      <c r="D1159" t="s">
        <v>34</v>
      </c>
      <c r="E1159">
        <v>1650</v>
      </c>
      <c r="F1159">
        <v>5</v>
      </c>
      <c r="G1159">
        <v>5</v>
      </c>
      <c r="H1159">
        <v>1</v>
      </c>
      <c r="I1159">
        <v>1</v>
      </c>
      <c r="J1159">
        <v>0.81196020553186798</v>
      </c>
      <c r="K1159">
        <v>0.98052276734778898</v>
      </c>
      <c r="L1159">
        <v>0.88831579406901096</v>
      </c>
      <c r="M1159">
        <v>0.65273311897106101</v>
      </c>
      <c r="N1159">
        <v>1</v>
      </c>
      <c r="O1159">
        <v>0.74726688102893901</v>
      </c>
      <c r="P1159" t="s">
        <v>2758</v>
      </c>
      <c r="Q1159" t="s">
        <v>2759</v>
      </c>
      <c r="R1159" t="s">
        <v>869</v>
      </c>
      <c r="S1159" t="s">
        <v>870</v>
      </c>
      <c r="T1159" t="s">
        <v>2760</v>
      </c>
      <c r="U1159" t="s">
        <v>2761</v>
      </c>
      <c r="V1159" t="s">
        <v>2762</v>
      </c>
      <c r="W1159" t="s">
        <v>2763</v>
      </c>
      <c r="AD1159" t="s">
        <v>219</v>
      </c>
      <c r="AE1159" t="s">
        <v>2764</v>
      </c>
      <c r="AF1159" t="s">
        <v>2768</v>
      </c>
    </row>
    <row r="1160" spans="1:32" hidden="1" x14ac:dyDescent="0.35">
      <c r="A1160">
        <v>1333</v>
      </c>
      <c r="B1160" t="s">
        <v>2757</v>
      </c>
      <c r="C1160" t="s">
        <v>72</v>
      </c>
      <c r="D1160" t="s">
        <v>45</v>
      </c>
      <c r="E1160">
        <v>1227</v>
      </c>
      <c r="F1160">
        <v>5</v>
      </c>
      <c r="G1160">
        <v>5</v>
      </c>
      <c r="H1160">
        <v>1</v>
      </c>
      <c r="I1160">
        <v>1</v>
      </c>
      <c r="J1160">
        <v>0.81196020553186798</v>
      </c>
      <c r="K1160">
        <v>0.98052276734778898</v>
      </c>
      <c r="L1160">
        <v>0.88831579406901096</v>
      </c>
      <c r="M1160">
        <v>0.65273311897106101</v>
      </c>
      <c r="N1160">
        <v>1</v>
      </c>
      <c r="O1160">
        <v>0.74726688102893901</v>
      </c>
      <c r="P1160" t="s">
        <v>2758</v>
      </c>
      <c r="Q1160" t="s">
        <v>2759</v>
      </c>
      <c r="R1160" t="s">
        <v>869</v>
      </c>
      <c r="S1160" t="s">
        <v>870</v>
      </c>
      <c r="T1160" t="s">
        <v>2760</v>
      </c>
      <c r="U1160" t="s">
        <v>2761</v>
      </c>
      <c r="V1160" t="s">
        <v>2762</v>
      </c>
      <c r="W1160" t="s">
        <v>2763</v>
      </c>
      <c r="AD1160" t="s">
        <v>219</v>
      </c>
      <c r="AE1160" t="s">
        <v>2764</v>
      </c>
      <c r="AF1160" t="s">
        <v>2768</v>
      </c>
    </row>
    <row r="1161" spans="1:32" hidden="1" x14ac:dyDescent="0.35">
      <c r="A1161">
        <v>4734</v>
      </c>
      <c r="B1161" t="s">
        <v>9909</v>
      </c>
      <c r="C1161" t="s">
        <v>10127</v>
      </c>
      <c r="D1161" t="s">
        <v>58</v>
      </c>
      <c r="E1161">
        <v>1426</v>
      </c>
      <c r="F1161">
        <v>5</v>
      </c>
      <c r="G1161">
        <v>5</v>
      </c>
      <c r="H1161">
        <v>1</v>
      </c>
      <c r="I1161">
        <v>1</v>
      </c>
      <c r="J1161">
        <v>0.73404129793510298</v>
      </c>
      <c r="K1161">
        <v>0.99124289597232595</v>
      </c>
      <c r="L1161">
        <v>0.84347057081717702</v>
      </c>
      <c r="M1161">
        <v>0.55438596491228098</v>
      </c>
      <c r="N1161">
        <v>0.98245614035087703</v>
      </c>
      <c r="O1161">
        <v>0.66596491228070198</v>
      </c>
      <c r="P1161" t="s">
        <v>9910</v>
      </c>
      <c r="Q1161" t="s">
        <v>9911</v>
      </c>
      <c r="R1161" t="s">
        <v>516</v>
      </c>
      <c r="S1161" t="s">
        <v>517</v>
      </c>
      <c r="T1161" t="s">
        <v>9912</v>
      </c>
      <c r="U1161" t="s">
        <v>9913</v>
      </c>
      <c r="V1161" t="s">
        <v>9914</v>
      </c>
      <c r="W1161" t="s">
        <v>9915</v>
      </c>
      <c r="AD1161" t="s">
        <v>219</v>
      </c>
      <c r="AE1161" t="s">
        <v>9916</v>
      </c>
      <c r="AF1161" t="s">
        <v>9917</v>
      </c>
    </row>
    <row r="1162" spans="1:32" hidden="1" x14ac:dyDescent="0.35">
      <c r="A1162">
        <v>1360</v>
      </c>
      <c r="B1162" t="s">
        <v>2820</v>
      </c>
      <c r="C1162" t="s">
        <v>72</v>
      </c>
      <c r="D1162" t="s">
        <v>60</v>
      </c>
      <c r="E1162">
        <v>1764</v>
      </c>
      <c r="F1162">
        <v>5</v>
      </c>
      <c r="G1162">
        <v>5</v>
      </c>
      <c r="H1162">
        <v>1</v>
      </c>
      <c r="I1162">
        <v>1</v>
      </c>
      <c r="J1162">
        <v>0.73152337858220196</v>
      </c>
      <c r="K1162">
        <v>0.96670110038176205</v>
      </c>
      <c r="L1162">
        <v>0.83282800806383195</v>
      </c>
      <c r="M1162">
        <v>0.51639344262295095</v>
      </c>
      <c r="N1162">
        <v>1</v>
      </c>
      <c r="O1162">
        <v>0.64918032786885205</v>
      </c>
      <c r="P1162" t="s">
        <v>2821</v>
      </c>
      <c r="Q1162" t="s">
        <v>2822</v>
      </c>
      <c r="R1162" t="s">
        <v>869</v>
      </c>
      <c r="S1162" t="s">
        <v>870</v>
      </c>
      <c r="T1162" t="s">
        <v>2823</v>
      </c>
      <c r="U1162" t="s">
        <v>2824</v>
      </c>
      <c r="V1162" t="s">
        <v>2825</v>
      </c>
      <c r="W1162" t="s">
        <v>2826</v>
      </c>
      <c r="X1162" t="s">
        <v>2825</v>
      </c>
      <c r="Y1162" t="s">
        <v>619</v>
      </c>
      <c r="Z1162" t="s">
        <v>2827</v>
      </c>
      <c r="AA1162" t="s">
        <v>2828</v>
      </c>
      <c r="AB1162" t="s">
        <v>2827</v>
      </c>
      <c r="AC1162" t="s">
        <v>2829</v>
      </c>
      <c r="AD1162" t="s">
        <v>2830</v>
      </c>
      <c r="AE1162" t="s">
        <v>2831</v>
      </c>
      <c r="AF1162" t="s">
        <v>2833</v>
      </c>
    </row>
    <row r="1163" spans="1:32" hidden="1" x14ac:dyDescent="0.35">
      <c r="A1163">
        <v>1361</v>
      </c>
      <c r="B1163" t="s">
        <v>2820</v>
      </c>
      <c r="C1163" t="s">
        <v>72</v>
      </c>
      <c r="D1163" t="s">
        <v>62</v>
      </c>
      <c r="E1163">
        <v>1800</v>
      </c>
      <c r="F1163">
        <v>5</v>
      </c>
      <c r="G1163">
        <v>5</v>
      </c>
      <c r="H1163">
        <v>1</v>
      </c>
      <c r="I1163">
        <v>1</v>
      </c>
      <c r="J1163">
        <v>0.73152337858220196</v>
      </c>
      <c r="K1163">
        <v>0.96670110038176205</v>
      </c>
      <c r="L1163">
        <v>0.83282800806383195</v>
      </c>
      <c r="M1163">
        <v>0.51639344262295095</v>
      </c>
      <c r="N1163">
        <v>1</v>
      </c>
      <c r="O1163">
        <v>0.64918032786885205</v>
      </c>
      <c r="P1163" t="s">
        <v>2821</v>
      </c>
      <c r="Q1163" t="s">
        <v>2822</v>
      </c>
      <c r="R1163" t="s">
        <v>869</v>
      </c>
      <c r="S1163" t="s">
        <v>870</v>
      </c>
      <c r="T1163" t="s">
        <v>2823</v>
      </c>
      <c r="U1163" t="s">
        <v>2824</v>
      </c>
      <c r="V1163" t="s">
        <v>2825</v>
      </c>
      <c r="W1163" t="s">
        <v>2826</v>
      </c>
      <c r="X1163" t="s">
        <v>2825</v>
      </c>
      <c r="Y1163" t="s">
        <v>619</v>
      </c>
      <c r="Z1163" t="s">
        <v>2827</v>
      </c>
      <c r="AA1163" t="s">
        <v>2828</v>
      </c>
      <c r="AB1163" t="s">
        <v>2827</v>
      </c>
      <c r="AC1163" t="s">
        <v>2829</v>
      </c>
      <c r="AD1163" t="s">
        <v>2830</v>
      </c>
      <c r="AE1163" t="s">
        <v>2831</v>
      </c>
      <c r="AF1163" t="s">
        <v>2833</v>
      </c>
    </row>
    <row r="1164" spans="1:32" hidden="1" x14ac:dyDescent="0.35">
      <c r="A1164">
        <v>1362</v>
      </c>
      <c r="B1164" t="s">
        <v>2820</v>
      </c>
      <c r="C1164" t="s">
        <v>72</v>
      </c>
      <c r="D1164" t="s">
        <v>34</v>
      </c>
      <c r="E1164">
        <v>2131</v>
      </c>
      <c r="F1164">
        <v>5</v>
      </c>
      <c r="G1164">
        <v>5</v>
      </c>
      <c r="H1164">
        <v>1</v>
      </c>
      <c r="I1164">
        <v>1</v>
      </c>
      <c r="J1164">
        <v>0.73152337858220196</v>
      </c>
      <c r="K1164">
        <v>0.96670110038176205</v>
      </c>
      <c r="L1164">
        <v>0.83282800806383195</v>
      </c>
      <c r="M1164">
        <v>0.51639344262295095</v>
      </c>
      <c r="N1164">
        <v>1</v>
      </c>
      <c r="O1164">
        <v>0.64918032786885205</v>
      </c>
      <c r="P1164" t="s">
        <v>2821</v>
      </c>
      <c r="Q1164" t="s">
        <v>2822</v>
      </c>
      <c r="R1164" t="s">
        <v>869</v>
      </c>
      <c r="S1164" t="s">
        <v>870</v>
      </c>
      <c r="T1164" t="s">
        <v>2823</v>
      </c>
      <c r="U1164" t="s">
        <v>2824</v>
      </c>
      <c r="V1164" t="s">
        <v>2825</v>
      </c>
      <c r="W1164" t="s">
        <v>2826</v>
      </c>
      <c r="X1164" t="s">
        <v>2825</v>
      </c>
      <c r="Y1164" t="s">
        <v>619</v>
      </c>
      <c r="Z1164" t="s">
        <v>2827</v>
      </c>
      <c r="AA1164" t="s">
        <v>2828</v>
      </c>
      <c r="AB1164" t="s">
        <v>2827</v>
      </c>
      <c r="AC1164" t="s">
        <v>2829</v>
      </c>
      <c r="AD1164" t="s">
        <v>2830</v>
      </c>
      <c r="AE1164" t="s">
        <v>2831</v>
      </c>
      <c r="AF1164" t="s">
        <v>2834</v>
      </c>
    </row>
    <row r="1165" spans="1:32" hidden="1" x14ac:dyDescent="0.35">
      <c r="A1165">
        <v>1363</v>
      </c>
      <c r="B1165" t="s">
        <v>2820</v>
      </c>
      <c r="C1165" t="s">
        <v>72</v>
      </c>
      <c r="D1165" t="s">
        <v>45</v>
      </c>
      <c r="E1165">
        <v>741</v>
      </c>
      <c r="F1165">
        <v>5</v>
      </c>
      <c r="G1165">
        <v>5</v>
      </c>
      <c r="H1165">
        <v>1</v>
      </c>
      <c r="I1165">
        <v>1</v>
      </c>
      <c r="J1165">
        <v>0.73152337858220196</v>
      </c>
      <c r="K1165">
        <v>0.96670110038176205</v>
      </c>
      <c r="L1165">
        <v>0.83282800806383195</v>
      </c>
      <c r="M1165">
        <v>0.51639344262295095</v>
      </c>
      <c r="N1165">
        <v>1</v>
      </c>
      <c r="O1165">
        <v>0.64918032786885205</v>
      </c>
      <c r="P1165" t="s">
        <v>2821</v>
      </c>
      <c r="Q1165" t="s">
        <v>2822</v>
      </c>
      <c r="R1165" t="s">
        <v>869</v>
      </c>
      <c r="S1165" t="s">
        <v>870</v>
      </c>
      <c r="T1165" t="s">
        <v>2823</v>
      </c>
      <c r="U1165" t="s">
        <v>2824</v>
      </c>
      <c r="V1165" t="s">
        <v>2825</v>
      </c>
      <c r="W1165" t="s">
        <v>2826</v>
      </c>
      <c r="X1165" t="s">
        <v>2825</v>
      </c>
      <c r="Y1165" t="s">
        <v>619</v>
      </c>
      <c r="Z1165" t="s">
        <v>2827</v>
      </c>
      <c r="AA1165" t="s">
        <v>2828</v>
      </c>
      <c r="AB1165" t="s">
        <v>2827</v>
      </c>
      <c r="AC1165" t="s">
        <v>2829</v>
      </c>
      <c r="AD1165" t="s">
        <v>2830</v>
      </c>
      <c r="AE1165" t="s">
        <v>2831</v>
      </c>
      <c r="AF1165" t="s">
        <v>2835</v>
      </c>
    </row>
    <row r="1166" spans="1:32" hidden="1" x14ac:dyDescent="0.35">
      <c r="A1166">
        <v>6452</v>
      </c>
      <c r="B1166" t="s">
        <v>13290</v>
      </c>
      <c r="C1166" t="s">
        <v>68</v>
      </c>
      <c r="D1166" t="s">
        <v>58</v>
      </c>
      <c r="E1166">
        <v>455</v>
      </c>
      <c r="F1166">
        <v>3</v>
      </c>
      <c r="G1166">
        <v>3</v>
      </c>
      <c r="H1166">
        <v>1</v>
      </c>
      <c r="I1166">
        <v>0</v>
      </c>
      <c r="J1166">
        <v>0.733723196881092</v>
      </c>
      <c r="K1166">
        <v>0.96363948694457102</v>
      </c>
      <c r="L1166">
        <v>0.83310968449975298</v>
      </c>
      <c r="M1166">
        <v>0.45270270270270302</v>
      </c>
      <c r="N1166">
        <v>0.99324324324324298</v>
      </c>
      <c r="O1166">
        <v>0.63400900900900903</v>
      </c>
      <c r="P1166" t="s">
        <v>9910</v>
      </c>
      <c r="Q1166" t="s">
        <v>9911</v>
      </c>
      <c r="R1166" t="s">
        <v>516</v>
      </c>
      <c r="S1166" t="s">
        <v>517</v>
      </c>
      <c r="T1166" t="s">
        <v>9912</v>
      </c>
      <c r="U1166" t="s">
        <v>9913</v>
      </c>
      <c r="V1166" t="s">
        <v>9914</v>
      </c>
      <c r="W1166" t="s">
        <v>9915</v>
      </c>
      <c r="AD1166" t="s">
        <v>219</v>
      </c>
      <c r="AE1166" t="s">
        <v>9916</v>
      </c>
      <c r="AF1166" t="s">
        <v>13291</v>
      </c>
    </row>
    <row r="1167" spans="1:32" hidden="1" x14ac:dyDescent="0.35">
      <c r="A1167">
        <v>1370</v>
      </c>
      <c r="B1167" t="s">
        <v>2847</v>
      </c>
      <c r="C1167" t="s">
        <v>72</v>
      </c>
      <c r="D1167" t="s">
        <v>60</v>
      </c>
      <c r="E1167">
        <v>1803</v>
      </c>
      <c r="F1167">
        <v>5</v>
      </c>
      <c r="G1167">
        <v>5</v>
      </c>
      <c r="H1167">
        <v>1</v>
      </c>
      <c r="I1167">
        <v>1</v>
      </c>
      <c r="J1167">
        <v>0.91263440860215095</v>
      </c>
      <c r="K1167">
        <v>0.99485228732338704</v>
      </c>
      <c r="L1167">
        <v>0.951971440563399</v>
      </c>
      <c r="M1167">
        <v>0.819484240687679</v>
      </c>
      <c r="N1167">
        <v>1</v>
      </c>
      <c r="O1167">
        <v>0.87679083094555899</v>
      </c>
      <c r="P1167" t="s">
        <v>2848</v>
      </c>
      <c r="Q1167" t="s">
        <v>2849</v>
      </c>
      <c r="R1167" t="s">
        <v>869</v>
      </c>
      <c r="S1167" t="s">
        <v>870</v>
      </c>
      <c r="T1167" t="s">
        <v>2850</v>
      </c>
      <c r="U1167" t="s">
        <v>2851</v>
      </c>
      <c r="V1167" t="s">
        <v>2852</v>
      </c>
      <c r="W1167" t="s">
        <v>2853</v>
      </c>
      <c r="X1167" t="s">
        <v>2852</v>
      </c>
      <c r="Y1167" t="s">
        <v>2854</v>
      </c>
      <c r="Z1167" t="s">
        <v>2855</v>
      </c>
      <c r="AA1167" t="s">
        <v>2856</v>
      </c>
      <c r="AB1167" t="s">
        <v>2855</v>
      </c>
      <c r="AC1167" t="s">
        <v>1156</v>
      </c>
      <c r="AD1167" t="s">
        <v>219</v>
      </c>
      <c r="AE1167" t="s">
        <v>2857</v>
      </c>
      <c r="AF1167" t="s">
        <v>2859</v>
      </c>
    </row>
    <row r="1168" spans="1:32" hidden="1" x14ac:dyDescent="0.35">
      <c r="A1168">
        <v>1371</v>
      </c>
      <c r="B1168" t="s">
        <v>2847</v>
      </c>
      <c r="C1168" t="s">
        <v>72</v>
      </c>
      <c r="D1168" t="s">
        <v>62</v>
      </c>
      <c r="E1168">
        <v>1839</v>
      </c>
      <c r="F1168">
        <v>5</v>
      </c>
      <c r="G1168">
        <v>5</v>
      </c>
      <c r="H1168">
        <v>1</v>
      </c>
      <c r="I1168">
        <v>1</v>
      </c>
      <c r="J1168">
        <v>0.91263440860215095</v>
      </c>
      <c r="K1168">
        <v>0.99485228732338704</v>
      </c>
      <c r="L1168">
        <v>0.951971440563399</v>
      </c>
      <c r="M1168">
        <v>0.819484240687679</v>
      </c>
      <c r="N1168">
        <v>1</v>
      </c>
      <c r="O1168">
        <v>0.87679083094555899</v>
      </c>
      <c r="P1168" t="s">
        <v>2848</v>
      </c>
      <c r="Q1168" t="s">
        <v>2849</v>
      </c>
      <c r="R1168" t="s">
        <v>869</v>
      </c>
      <c r="S1168" t="s">
        <v>870</v>
      </c>
      <c r="T1168" t="s">
        <v>2850</v>
      </c>
      <c r="U1168" t="s">
        <v>2851</v>
      </c>
      <c r="V1168" t="s">
        <v>2852</v>
      </c>
      <c r="W1168" t="s">
        <v>2853</v>
      </c>
      <c r="X1168" t="s">
        <v>2852</v>
      </c>
      <c r="Y1168" t="s">
        <v>2854</v>
      </c>
      <c r="Z1168" t="s">
        <v>2855</v>
      </c>
      <c r="AA1168" t="s">
        <v>2856</v>
      </c>
      <c r="AB1168" t="s">
        <v>2855</v>
      </c>
      <c r="AC1168" t="s">
        <v>1156</v>
      </c>
      <c r="AD1168" t="s">
        <v>219</v>
      </c>
      <c r="AE1168" t="s">
        <v>2857</v>
      </c>
      <c r="AF1168" t="s">
        <v>2859</v>
      </c>
    </row>
    <row r="1169" spans="1:32" hidden="1" x14ac:dyDescent="0.35">
      <c r="A1169">
        <v>1372</v>
      </c>
      <c r="B1169" t="s">
        <v>2847</v>
      </c>
      <c r="C1169" t="s">
        <v>72</v>
      </c>
      <c r="D1169" t="s">
        <v>34</v>
      </c>
      <c r="E1169">
        <v>2168</v>
      </c>
      <c r="F1169">
        <v>5</v>
      </c>
      <c r="G1169">
        <v>5</v>
      </c>
      <c r="H1169">
        <v>1</v>
      </c>
      <c r="I1169">
        <v>1</v>
      </c>
      <c r="J1169">
        <v>0.91263440860215095</v>
      </c>
      <c r="K1169">
        <v>0.99485228732338704</v>
      </c>
      <c r="L1169">
        <v>0.951971440563399</v>
      </c>
      <c r="M1169">
        <v>0.819484240687679</v>
      </c>
      <c r="N1169">
        <v>1</v>
      </c>
      <c r="O1169">
        <v>0.87679083094555899</v>
      </c>
      <c r="P1169" t="s">
        <v>2848</v>
      </c>
      <c r="Q1169" t="s">
        <v>2849</v>
      </c>
      <c r="R1169" t="s">
        <v>869</v>
      </c>
      <c r="S1169" t="s">
        <v>870</v>
      </c>
      <c r="T1169" t="s">
        <v>2850</v>
      </c>
      <c r="U1169" t="s">
        <v>2851</v>
      </c>
      <c r="V1169" t="s">
        <v>2852</v>
      </c>
      <c r="W1169" t="s">
        <v>2853</v>
      </c>
      <c r="X1169" t="s">
        <v>2852</v>
      </c>
      <c r="Y1169" t="s">
        <v>2854</v>
      </c>
      <c r="Z1169" t="s">
        <v>2855</v>
      </c>
      <c r="AA1169" t="s">
        <v>2856</v>
      </c>
      <c r="AB1169" t="s">
        <v>2855</v>
      </c>
      <c r="AC1169" t="s">
        <v>1156</v>
      </c>
      <c r="AD1169" t="s">
        <v>219</v>
      </c>
      <c r="AE1169" t="s">
        <v>2857</v>
      </c>
      <c r="AF1169" t="s">
        <v>2860</v>
      </c>
    </row>
    <row r="1170" spans="1:32" hidden="1" x14ac:dyDescent="0.35">
      <c r="A1170">
        <v>1373</v>
      </c>
      <c r="B1170" t="s">
        <v>2847</v>
      </c>
      <c r="C1170" t="s">
        <v>72</v>
      </c>
      <c r="D1170" t="s">
        <v>45</v>
      </c>
      <c r="E1170">
        <v>705</v>
      </c>
      <c r="F1170">
        <v>5</v>
      </c>
      <c r="G1170">
        <v>5</v>
      </c>
      <c r="H1170">
        <v>1</v>
      </c>
      <c r="I1170">
        <v>1</v>
      </c>
      <c r="J1170">
        <v>0.91263440860215095</v>
      </c>
      <c r="K1170">
        <v>0.99485228732338704</v>
      </c>
      <c r="L1170">
        <v>0.951971440563399</v>
      </c>
      <c r="M1170">
        <v>0.819484240687679</v>
      </c>
      <c r="N1170">
        <v>1</v>
      </c>
      <c r="O1170">
        <v>0.87679083094555899</v>
      </c>
      <c r="P1170" t="s">
        <v>2848</v>
      </c>
      <c r="Q1170" t="s">
        <v>2849</v>
      </c>
      <c r="R1170" t="s">
        <v>869</v>
      </c>
      <c r="S1170" t="s">
        <v>870</v>
      </c>
      <c r="T1170" t="s">
        <v>2850</v>
      </c>
      <c r="U1170" t="s">
        <v>2851</v>
      </c>
      <c r="V1170" t="s">
        <v>2852</v>
      </c>
      <c r="W1170" t="s">
        <v>2853</v>
      </c>
      <c r="X1170" t="s">
        <v>2852</v>
      </c>
      <c r="Y1170" t="s">
        <v>2854</v>
      </c>
      <c r="Z1170" t="s">
        <v>2855</v>
      </c>
      <c r="AA1170" t="s">
        <v>2856</v>
      </c>
      <c r="AB1170" t="s">
        <v>2855</v>
      </c>
      <c r="AC1170" t="s">
        <v>1156</v>
      </c>
      <c r="AD1170" t="s">
        <v>219</v>
      </c>
      <c r="AE1170" t="s">
        <v>2857</v>
      </c>
      <c r="AF1170" t="s">
        <v>2860</v>
      </c>
    </row>
    <row r="1171" spans="1:32" hidden="1" x14ac:dyDescent="0.35">
      <c r="A1171">
        <v>954</v>
      </c>
      <c r="B1171" t="s">
        <v>1980</v>
      </c>
      <c r="C1171" t="s">
        <v>72</v>
      </c>
      <c r="D1171" t="s">
        <v>58</v>
      </c>
      <c r="E1171">
        <v>1088</v>
      </c>
      <c r="F1171">
        <v>5</v>
      </c>
      <c r="G1171">
        <v>5</v>
      </c>
      <c r="H1171">
        <v>1</v>
      </c>
      <c r="I1171">
        <v>1</v>
      </c>
      <c r="J1171">
        <v>0.90639730639730598</v>
      </c>
      <c r="K1171">
        <v>1</v>
      </c>
      <c r="L1171">
        <v>0.95090074178735395</v>
      </c>
      <c r="M1171">
        <v>0.81313131313131304</v>
      </c>
      <c r="N1171">
        <v>1</v>
      </c>
      <c r="O1171">
        <v>0.87474747474747505</v>
      </c>
      <c r="P1171" t="s">
        <v>1981</v>
      </c>
      <c r="Q1171" t="s">
        <v>1982</v>
      </c>
      <c r="R1171" t="s">
        <v>138</v>
      </c>
      <c r="S1171" t="s">
        <v>139</v>
      </c>
      <c r="T1171" t="s">
        <v>1983</v>
      </c>
      <c r="U1171" t="s">
        <v>1984</v>
      </c>
      <c r="V1171" t="s">
        <v>1985</v>
      </c>
      <c r="W1171" t="s">
        <v>1986</v>
      </c>
      <c r="AD1171" t="s">
        <v>219</v>
      </c>
      <c r="AE1171" t="s">
        <v>1987</v>
      </c>
      <c r="AF1171" t="s">
        <v>1988</v>
      </c>
    </row>
    <row r="1172" spans="1:32" hidden="1" x14ac:dyDescent="0.35">
      <c r="A1172">
        <v>1445</v>
      </c>
      <c r="B1172" t="s">
        <v>3021</v>
      </c>
      <c r="C1172" t="s">
        <v>72</v>
      </c>
      <c r="D1172" t="s">
        <v>60</v>
      </c>
      <c r="E1172">
        <v>1524</v>
      </c>
      <c r="F1172">
        <v>5</v>
      </c>
      <c r="G1172">
        <v>5</v>
      </c>
      <c r="H1172">
        <v>1</v>
      </c>
      <c r="I1172">
        <v>1</v>
      </c>
      <c r="J1172">
        <v>0.74944855326326698</v>
      </c>
      <c r="K1172">
        <v>0.79618768328445699</v>
      </c>
      <c r="L1172">
        <v>0.77211143638342705</v>
      </c>
      <c r="M1172">
        <v>0.38123167155425203</v>
      </c>
      <c r="N1172">
        <v>1</v>
      </c>
      <c r="O1172">
        <v>0.57800586510263896</v>
      </c>
      <c r="P1172" t="s">
        <v>3022</v>
      </c>
      <c r="Q1172" t="s">
        <v>3023</v>
      </c>
      <c r="R1172" t="s">
        <v>869</v>
      </c>
      <c r="S1172" t="s">
        <v>870</v>
      </c>
      <c r="T1172" t="s">
        <v>3024</v>
      </c>
      <c r="U1172" t="s">
        <v>3025</v>
      </c>
      <c r="V1172" t="s">
        <v>3026</v>
      </c>
      <c r="W1172" t="s">
        <v>3027</v>
      </c>
      <c r="X1172" t="s">
        <v>3026</v>
      </c>
      <c r="Y1172" t="s">
        <v>3028</v>
      </c>
      <c r="Z1172" t="s">
        <v>3029</v>
      </c>
      <c r="AA1172" t="s">
        <v>3030</v>
      </c>
      <c r="AB1172" t="s">
        <v>3029</v>
      </c>
      <c r="AC1172" t="s">
        <v>1094</v>
      </c>
      <c r="AD1172" t="s">
        <v>191</v>
      </c>
      <c r="AE1172" t="s">
        <v>3031</v>
      </c>
      <c r="AF1172" t="s">
        <v>3033</v>
      </c>
    </row>
    <row r="1173" spans="1:32" hidden="1" x14ac:dyDescent="0.35">
      <c r="A1173">
        <v>1446</v>
      </c>
      <c r="B1173" t="s">
        <v>3021</v>
      </c>
      <c r="C1173" t="s">
        <v>72</v>
      </c>
      <c r="D1173" t="s">
        <v>62</v>
      </c>
      <c r="E1173">
        <v>1559</v>
      </c>
      <c r="F1173">
        <v>5</v>
      </c>
      <c r="G1173">
        <v>5</v>
      </c>
      <c r="H1173">
        <v>1</v>
      </c>
      <c r="I1173">
        <v>1</v>
      </c>
      <c r="J1173">
        <v>0.74944855326326698</v>
      </c>
      <c r="K1173">
        <v>0.79618768328445699</v>
      </c>
      <c r="L1173">
        <v>0.77211143638342705</v>
      </c>
      <c r="M1173">
        <v>0.38123167155425203</v>
      </c>
      <c r="N1173">
        <v>1</v>
      </c>
      <c r="O1173">
        <v>0.57800586510263896</v>
      </c>
      <c r="P1173" t="s">
        <v>3022</v>
      </c>
      <c r="Q1173" t="s">
        <v>3023</v>
      </c>
      <c r="R1173" t="s">
        <v>869</v>
      </c>
      <c r="S1173" t="s">
        <v>870</v>
      </c>
      <c r="T1173" t="s">
        <v>3024</v>
      </c>
      <c r="U1173" t="s">
        <v>3025</v>
      </c>
      <c r="V1173" t="s">
        <v>3026</v>
      </c>
      <c r="W1173" t="s">
        <v>3027</v>
      </c>
      <c r="X1173" t="s">
        <v>3026</v>
      </c>
      <c r="Y1173" t="s">
        <v>3028</v>
      </c>
      <c r="Z1173" t="s">
        <v>3029</v>
      </c>
      <c r="AA1173" t="s">
        <v>3030</v>
      </c>
      <c r="AB1173" t="s">
        <v>3029</v>
      </c>
      <c r="AC1173" t="s">
        <v>1094</v>
      </c>
      <c r="AD1173" t="s">
        <v>191</v>
      </c>
      <c r="AE1173" t="s">
        <v>3031</v>
      </c>
      <c r="AF1173" t="s">
        <v>3033</v>
      </c>
    </row>
    <row r="1174" spans="1:32" hidden="1" x14ac:dyDescent="0.35">
      <c r="A1174">
        <v>1447</v>
      </c>
      <c r="B1174" t="s">
        <v>3021</v>
      </c>
      <c r="C1174" t="s">
        <v>72</v>
      </c>
      <c r="D1174" t="s">
        <v>34</v>
      </c>
      <c r="E1174">
        <v>1952</v>
      </c>
      <c r="F1174">
        <v>5</v>
      </c>
      <c r="G1174">
        <v>5</v>
      </c>
      <c r="H1174">
        <v>1</v>
      </c>
      <c r="I1174">
        <v>1</v>
      </c>
      <c r="J1174">
        <v>0.74944855326326698</v>
      </c>
      <c r="K1174">
        <v>0.79618768328445699</v>
      </c>
      <c r="L1174">
        <v>0.77211143638342705</v>
      </c>
      <c r="M1174">
        <v>0.38123167155425203</v>
      </c>
      <c r="N1174">
        <v>1</v>
      </c>
      <c r="O1174">
        <v>0.57800586510263896</v>
      </c>
      <c r="P1174" t="s">
        <v>3034</v>
      </c>
      <c r="Q1174" t="s">
        <v>3035</v>
      </c>
      <c r="R1174" t="s">
        <v>869</v>
      </c>
      <c r="S1174" t="s">
        <v>870</v>
      </c>
      <c r="T1174" t="s">
        <v>3024</v>
      </c>
      <c r="U1174" t="s">
        <v>3025</v>
      </c>
      <c r="V1174" t="s">
        <v>3026</v>
      </c>
      <c r="W1174" t="s">
        <v>3027</v>
      </c>
      <c r="X1174" t="s">
        <v>3026</v>
      </c>
      <c r="Y1174" t="s">
        <v>3028</v>
      </c>
      <c r="Z1174" t="s">
        <v>3029</v>
      </c>
      <c r="AA1174" t="s">
        <v>3030</v>
      </c>
      <c r="AB1174" t="s">
        <v>3029</v>
      </c>
      <c r="AC1174" t="s">
        <v>1094</v>
      </c>
      <c r="AD1174" t="s">
        <v>191</v>
      </c>
      <c r="AE1174" t="s">
        <v>3031</v>
      </c>
      <c r="AF1174" t="s">
        <v>3036</v>
      </c>
    </row>
    <row r="1175" spans="1:32" hidden="1" x14ac:dyDescent="0.35">
      <c r="A1175">
        <v>1448</v>
      </c>
      <c r="B1175" t="s">
        <v>3021</v>
      </c>
      <c r="C1175" t="s">
        <v>72</v>
      </c>
      <c r="D1175" t="s">
        <v>45</v>
      </c>
      <c r="E1175">
        <v>921</v>
      </c>
      <c r="F1175">
        <v>5</v>
      </c>
      <c r="G1175">
        <v>5</v>
      </c>
      <c r="H1175">
        <v>1</v>
      </c>
      <c r="I1175">
        <v>1</v>
      </c>
      <c r="J1175">
        <v>0.74944855326326698</v>
      </c>
      <c r="K1175">
        <v>0.79618768328445699</v>
      </c>
      <c r="L1175">
        <v>0.77211143638342705</v>
      </c>
      <c r="M1175">
        <v>0.38123167155425203</v>
      </c>
      <c r="N1175">
        <v>1</v>
      </c>
      <c r="O1175">
        <v>0.57800586510263896</v>
      </c>
      <c r="P1175" t="s">
        <v>3034</v>
      </c>
      <c r="Q1175" t="s">
        <v>3035</v>
      </c>
      <c r="R1175" t="s">
        <v>869</v>
      </c>
      <c r="S1175" t="s">
        <v>870</v>
      </c>
      <c r="T1175" t="s">
        <v>3024</v>
      </c>
      <c r="U1175" t="s">
        <v>3025</v>
      </c>
      <c r="V1175" t="s">
        <v>3026</v>
      </c>
      <c r="W1175" t="s">
        <v>3027</v>
      </c>
      <c r="X1175" t="s">
        <v>3026</v>
      </c>
      <c r="Y1175" t="s">
        <v>3028</v>
      </c>
      <c r="Z1175" t="s">
        <v>3029</v>
      </c>
      <c r="AA1175" t="s">
        <v>3030</v>
      </c>
      <c r="AB1175" t="s">
        <v>3029</v>
      </c>
      <c r="AC1175" t="s">
        <v>1094</v>
      </c>
      <c r="AD1175" t="s">
        <v>191</v>
      </c>
      <c r="AE1175" t="s">
        <v>3031</v>
      </c>
      <c r="AF1175" t="s">
        <v>3036</v>
      </c>
    </row>
    <row r="1176" spans="1:32" hidden="1" x14ac:dyDescent="0.35">
      <c r="A1176">
        <v>1554</v>
      </c>
      <c r="B1176" t="s">
        <v>3259</v>
      </c>
      <c r="C1176" t="s">
        <v>72</v>
      </c>
      <c r="D1176" t="s">
        <v>58</v>
      </c>
      <c r="E1176">
        <v>1087</v>
      </c>
      <c r="F1176">
        <v>5</v>
      </c>
      <c r="G1176">
        <v>5</v>
      </c>
      <c r="H1176">
        <v>1</v>
      </c>
      <c r="I1176">
        <v>1</v>
      </c>
      <c r="J1176">
        <v>0.84329501915708804</v>
      </c>
      <c r="K1176">
        <v>1</v>
      </c>
      <c r="L1176">
        <v>0.91498648929536497</v>
      </c>
      <c r="M1176">
        <v>0.68390804597701105</v>
      </c>
      <c r="N1176">
        <v>1</v>
      </c>
      <c r="O1176">
        <v>0.78275862068965496</v>
      </c>
      <c r="P1176" t="s">
        <v>3260</v>
      </c>
      <c r="Q1176" t="s">
        <v>3261</v>
      </c>
      <c r="R1176" t="s">
        <v>342</v>
      </c>
      <c r="S1176" t="s">
        <v>343</v>
      </c>
      <c r="T1176" t="s">
        <v>3262</v>
      </c>
      <c r="U1176" t="s">
        <v>3263</v>
      </c>
      <c r="V1176" t="s">
        <v>3264</v>
      </c>
      <c r="W1176" t="s">
        <v>3265</v>
      </c>
      <c r="AD1176" t="s">
        <v>219</v>
      </c>
      <c r="AE1176" t="s">
        <v>1987</v>
      </c>
      <c r="AF1176" t="s">
        <v>3266</v>
      </c>
    </row>
    <row r="1177" spans="1:32" hidden="1" x14ac:dyDescent="0.35">
      <c r="A1177">
        <v>1665</v>
      </c>
      <c r="B1177" t="s">
        <v>3494</v>
      </c>
      <c r="C1177" t="s">
        <v>72</v>
      </c>
      <c r="D1177" t="s">
        <v>60</v>
      </c>
      <c r="E1177">
        <v>590</v>
      </c>
      <c r="F1177">
        <v>5</v>
      </c>
      <c r="G1177">
        <v>5</v>
      </c>
      <c r="H1177">
        <v>1</v>
      </c>
      <c r="I1177">
        <v>1</v>
      </c>
      <c r="J1177">
        <v>0.84362745098039205</v>
      </c>
      <c r="K1177">
        <v>0.92377275234418199</v>
      </c>
      <c r="L1177">
        <v>0.88188294974654902</v>
      </c>
      <c r="M1177">
        <v>0.61486486486486502</v>
      </c>
      <c r="N1177">
        <v>1</v>
      </c>
      <c r="O1177">
        <v>0.76351351351351304</v>
      </c>
      <c r="P1177" t="s">
        <v>3495</v>
      </c>
      <c r="Q1177" t="s">
        <v>3188</v>
      </c>
      <c r="R1177" t="s">
        <v>869</v>
      </c>
      <c r="S1177" t="s">
        <v>870</v>
      </c>
      <c r="V1177" t="s">
        <v>3496</v>
      </c>
      <c r="W1177" t="s">
        <v>3497</v>
      </c>
      <c r="AF1177" t="e">
        <f>------------MRGLIVDYCGVLDGPEEDQARWRSLLSAARNNGVATAVLSNDPGGPGAEPIRELEYHGIVDAVVLSGEIGADKPDPEAFRIAADTIDLPMRDCVMVDDSILNVRAAVDCGMVGVYYQQFDRAVVEVTGLFGIEGEF</f>
        <v>#NAME?</v>
      </c>
    </row>
    <row r="1178" spans="1:32" hidden="1" x14ac:dyDescent="0.35">
      <c r="A1178">
        <v>1666</v>
      </c>
      <c r="B1178" t="s">
        <v>3494</v>
      </c>
      <c r="C1178" t="s">
        <v>72</v>
      </c>
      <c r="D1178" t="s">
        <v>62</v>
      </c>
      <c r="E1178">
        <v>674</v>
      </c>
      <c r="F1178">
        <v>5</v>
      </c>
      <c r="G1178">
        <v>5</v>
      </c>
      <c r="H1178">
        <v>1</v>
      </c>
      <c r="I1178">
        <v>1</v>
      </c>
      <c r="J1178">
        <v>0.84362745098039205</v>
      </c>
      <c r="K1178">
        <v>0.92377275234418199</v>
      </c>
      <c r="L1178">
        <v>0.88188294974654902</v>
      </c>
      <c r="M1178">
        <v>0.61486486486486502</v>
      </c>
      <c r="N1178">
        <v>1</v>
      </c>
      <c r="O1178">
        <v>0.76351351351351304</v>
      </c>
      <c r="P1178" t="s">
        <v>3495</v>
      </c>
      <c r="Q1178" t="s">
        <v>3188</v>
      </c>
      <c r="R1178" t="s">
        <v>869</v>
      </c>
      <c r="S1178" t="s">
        <v>870</v>
      </c>
      <c r="V1178" t="s">
        <v>3496</v>
      </c>
      <c r="W1178" t="s">
        <v>3497</v>
      </c>
      <c r="AF1178" t="e">
        <f>------------MRGLIVDYCGVLDGPEEDQARWRSLLSAARNNGVATAVLSNDPGGPGAEPIRELEYHGIVDAVVLSGEIGADKPDPEAFRIAADTIDLPMRDCVMVDDSILNVRAAVDCGMVGVYYQQFDRAVVEVTGLFGIEGEF</f>
        <v>#NAME?</v>
      </c>
    </row>
    <row r="1179" spans="1:32" hidden="1" x14ac:dyDescent="0.35">
      <c r="A1179">
        <v>1667</v>
      </c>
      <c r="B1179" t="s">
        <v>3494</v>
      </c>
      <c r="C1179" t="s">
        <v>72</v>
      </c>
      <c r="D1179" t="s">
        <v>34</v>
      </c>
      <c r="E1179">
        <v>502</v>
      </c>
      <c r="F1179">
        <v>5</v>
      </c>
      <c r="G1179">
        <v>5</v>
      </c>
      <c r="H1179">
        <v>1</v>
      </c>
      <c r="I1179">
        <v>1</v>
      </c>
      <c r="J1179">
        <v>0.84362745098039205</v>
      </c>
      <c r="K1179">
        <v>0.92377275234418199</v>
      </c>
      <c r="L1179">
        <v>0.88188294974654902</v>
      </c>
      <c r="M1179">
        <v>0.61486486486486502</v>
      </c>
      <c r="N1179">
        <v>1</v>
      </c>
      <c r="O1179">
        <v>0.76351351351351304</v>
      </c>
      <c r="P1179" t="s">
        <v>3495</v>
      </c>
      <c r="Q1179" t="s">
        <v>3188</v>
      </c>
      <c r="R1179" t="s">
        <v>869</v>
      </c>
      <c r="S1179" t="s">
        <v>870</v>
      </c>
      <c r="V1179" t="s">
        <v>3496</v>
      </c>
      <c r="W1179" t="s">
        <v>3497</v>
      </c>
      <c r="AF1179" t="e">
        <f>------------MRGLIIDYVGVLDGTDEDQRRWRNLLETVRQVGIPTAVLSNDPGGPAADPIRVLETQGIVDAVLLSGEIGAEKPSKEAFQAAADALDLPMRDCVMVDDSILNVRGAVEAGLVGVYYQQFDRAIVEITGLLDIEGEF</f>
        <v>#NAME?</v>
      </c>
    </row>
    <row r="1180" spans="1:32" hidden="1" x14ac:dyDescent="0.35">
      <c r="A1180">
        <v>1668</v>
      </c>
      <c r="B1180" t="s">
        <v>3494</v>
      </c>
      <c r="C1180" t="s">
        <v>72</v>
      </c>
      <c r="D1180" t="s">
        <v>45</v>
      </c>
      <c r="E1180">
        <v>1767</v>
      </c>
      <c r="F1180">
        <v>5</v>
      </c>
      <c r="G1180">
        <v>5</v>
      </c>
      <c r="H1180">
        <v>1</v>
      </c>
      <c r="I1180">
        <v>1</v>
      </c>
      <c r="J1180">
        <v>0.84362745098039205</v>
      </c>
      <c r="K1180">
        <v>0.92377275234418199</v>
      </c>
      <c r="L1180">
        <v>0.88188294974654902</v>
      </c>
      <c r="M1180">
        <v>0.61486486486486502</v>
      </c>
      <c r="N1180">
        <v>1</v>
      </c>
      <c r="O1180">
        <v>0.76351351351351304</v>
      </c>
      <c r="P1180" t="s">
        <v>3495</v>
      </c>
      <c r="Q1180" t="s">
        <v>3188</v>
      </c>
      <c r="R1180" t="s">
        <v>869</v>
      </c>
      <c r="S1180" t="s">
        <v>870</v>
      </c>
      <c r="V1180" t="s">
        <v>3496</v>
      </c>
      <c r="W1180" t="s">
        <v>3497</v>
      </c>
      <c r="AF1180" t="e">
        <f>------------MRGLIIDYVGVLDGTDEDQRRWRNLLETVRQVGIPTAVLSNDPGGPAADPIRVLETQGIVDAVLLSGEIGAEKPSKEAFQAAADALDLPMRDCVMVDDSILNVRGAVEAGLVGVYYQQFDRAIVEITGLLDIEGEF</f>
        <v>#NAME?</v>
      </c>
    </row>
    <row r="1181" spans="1:32" hidden="1" x14ac:dyDescent="0.35">
      <c r="A1181">
        <v>11842</v>
      </c>
      <c r="B1181" t="s">
        <v>24351</v>
      </c>
      <c r="C1181" t="s">
        <v>33</v>
      </c>
      <c r="D1181" t="s">
        <v>58</v>
      </c>
      <c r="E1181">
        <v>256</v>
      </c>
      <c r="F1181">
        <v>1</v>
      </c>
      <c r="G1181">
        <v>1</v>
      </c>
      <c r="H1181">
        <v>1</v>
      </c>
      <c r="I1181">
        <v>0</v>
      </c>
      <c r="J1181">
        <v>1</v>
      </c>
      <c r="K1181">
        <v>1</v>
      </c>
      <c r="L1181">
        <v>1</v>
      </c>
      <c r="M1181">
        <v>0</v>
      </c>
      <c r="N1181">
        <v>0</v>
      </c>
      <c r="O1181">
        <v>0</v>
      </c>
      <c r="P1181" t="s">
        <v>7738</v>
      </c>
      <c r="Q1181" t="s">
        <v>7739</v>
      </c>
      <c r="R1181" t="s">
        <v>235</v>
      </c>
      <c r="S1181" t="s">
        <v>236</v>
      </c>
      <c r="T1181" t="s">
        <v>24352</v>
      </c>
      <c r="U1181" t="s">
        <v>24353</v>
      </c>
      <c r="V1181" t="s">
        <v>24354</v>
      </c>
      <c r="W1181" t="s">
        <v>24355</v>
      </c>
      <c r="AD1181" t="s">
        <v>166</v>
      </c>
      <c r="AE1181" t="s">
        <v>818</v>
      </c>
      <c r="AF1181" t="s">
        <v>24356</v>
      </c>
    </row>
    <row r="1182" spans="1:32" hidden="1" x14ac:dyDescent="0.35">
      <c r="A1182">
        <v>1695</v>
      </c>
      <c r="B1182" t="s">
        <v>3542</v>
      </c>
      <c r="C1182" t="s">
        <v>72</v>
      </c>
      <c r="D1182" t="s">
        <v>60</v>
      </c>
      <c r="E1182">
        <v>1567</v>
      </c>
      <c r="F1182">
        <v>5</v>
      </c>
      <c r="G1182">
        <v>5</v>
      </c>
      <c r="H1182">
        <v>1</v>
      </c>
      <c r="I1182">
        <v>1</v>
      </c>
      <c r="J1182">
        <v>0.89320388349514601</v>
      </c>
      <c r="K1182">
        <v>1</v>
      </c>
      <c r="L1182">
        <v>0.94358974358974401</v>
      </c>
      <c r="M1182">
        <v>0.77669902912621402</v>
      </c>
      <c r="N1182">
        <v>1</v>
      </c>
      <c r="O1182">
        <v>0.85242718446601995</v>
      </c>
      <c r="P1182" t="s">
        <v>3543</v>
      </c>
      <c r="Q1182" t="s">
        <v>3544</v>
      </c>
      <c r="R1182" t="s">
        <v>869</v>
      </c>
      <c r="S1182" t="s">
        <v>870</v>
      </c>
      <c r="T1182" t="s">
        <v>3545</v>
      </c>
      <c r="U1182" t="s">
        <v>3546</v>
      </c>
      <c r="V1182" t="s">
        <v>3547</v>
      </c>
      <c r="W1182" t="s">
        <v>3548</v>
      </c>
      <c r="X1182" t="s">
        <v>3547</v>
      </c>
      <c r="Y1182" t="s">
        <v>1091</v>
      </c>
      <c r="Z1182" t="s">
        <v>1092</v>
      </c>
      <c r="AA1182" t="s">
        <v>1093</v>
      </c>
      <c r="AB1182" t="s">
        <v>1092</v>
      </c>
      <c r="AC1182" t="s">
        <v>1094</v>
      </c>
      <c r="AD1182" t="s">
        <v>219</v>
      </c>
      <c r="AE1182" t="s">
        <v>3549</v>
      </c>
      <c r="AF1182" t="s">
        <v>3551</v>
      </c>
    </row>
    <row r="1183" spans="1:32" hidden="1" x14ac:dyDescent="0.35">
      <c r="A1183">
        <v>1696</v>
      </c>
      <c r="B1183" t="s">
        <v>3542</v>
      </c>
      <c r="C1183" t="s">
        <v>72</v>
      </c>
      <c r="D1183" t="s">
        <v>62</v>
      </c>
      <c r="E1183">
        <v>1603</v>
      </c>
      <c r="F1183">
        <v>5</v>
      </c>
      <c r="G1183">
        <v>5</v>
      </c>
      <c r="H1183">
        <v>1</v>
      </c>
      <c r="I1183">
        <v>1</v>
      </c>
      <c r="J1183">
        <v>0.89320388349514601</v>
      </c>
      <c r="K1183">
        <v>1</v>
      </c>
      <c r="L1183">
        <v>0.94358974358974401</v>
      </c>
      <c r="M1183">
        <v>0.77669902912621402</v>
      </c>
      <c r="N1183">
        <v>1</v>
      </c>
      <c r="O1183">
        <v>0.85242718446601995</v>
      </c>
      <c r="P1183" t="s">
        <v>3543</v>
      </c>
      <c r="Q1183" t="s">
        <v>3544</v>
      </c>
      <c r="R1183" t="s">
        <v>869</v>
      </c>
      <c r="S1183" t="s">
        <v>870</v>
      </c>
      <c r="T1183" t="s">
        <v>3545</v>
      </c>
      <c r="U1183" t="s">
        <v>3546</v>
      </c>
      <c r="V1183" t="s">
        <v>3547</v>
      </c>
      <c r="W1183" t="s">
        <v>3548</v>
      </c>
      <c r="X1183" t="s">
        <v>3547</v>
      </c>
      <c r="Y1183" t="s">
        <v>1091</v>
      </c>
      <c r="Z1183" t="s">
        <v>1092</v>
      </c>
      <c r="AA1183" t="s">
        <v>1093</v>
      </c>
      <c r="AB1183" t="s">
        <v>1092</v>
      </c>
      <c r="AC1183" t="s">
        <v>1094</v>
      </c>
      <c r="AD1183" t="s">
        <v>219</v>
      </c>
      <c r="AE1183" t="s">
        <v>3549</v>
      </c>
      <c r="AF1183" t="s">
        <v>3551</v>
      </c>
    </row>
    <row r="1184" spans="1:32" hidden="1" x14ac:dyDescent="0.35">
      <c r="A1184">
        <v>1697</v>
      </c>
      <c r="B1184" t="s">
        <v>3542</v>
      </c>
      <c r="C1184" t="s">
        <v>72</v>
      </c>
      <c r="D1184" t="s">
        <v>34</v>
      </c>
      <c r="E1184">
        <v>1973</v>
      </c>
      <c r="F1184">
        <v>5</v>
      </c>
      <c r="G1184">
        <v>5</v>
      </c>
      <c r="H1184">
        <v>1</v>
      </c>
      <c r="I1184">
        <v>1</v>
      </c>
      <c r="J1184">
        <v>0.89320388349514601</v>
      </c>
      <c r="K1184">
        <v>1</v>
      </c>
      <c r="L1184">
        <v>0.94358974358974401</v>
      </c>
      <c r="M1184">
        <v>0.77669902912621402</v>
      </c>
      <c r="N1184">
        <v>1</v>
      </c>
      <c r="O1184">
        <v>0.85242718446601995</v>
      </c>
      <c r="P1184" t="s">
        <v>3543</v>
      </c>
      <c r="Q1184" t="s">
        <v>3544</v>
      </c>
      <c r="R1184" t="s">
        <v>869</v>
      </c>
      <c r="S1184" t="s">
        <v>870</v>
      </c>
      <c r="T1184" t="s">
        <v>3545</v>
      </c>
      <c r="U1184" t="s">
        <v>3546</v>
      </c>
      <c r="V1184" t="s">
        <v>3547</v>
      </c>
      <c r="W1184" t="s">
        <v>3548</v>
      </c>
      <c r="X1184" t="s">
        <v>3547</v>
      </c>
      <c r="Y1184" t="s">
        <v>1091</v>
      </c>
      <c r="Z1184" t="s">
        <v>1092</v>
      </c>
      <c r="AA1184" t="s">
        <v>1093</v>
      </c>
      <c r="AB1184" t="s">
        <v>1092</v>
      </c>
      <c r="AC1184" t="s">
        <v>1094</v>
      </c>
      <c r="AD1184" t="s">
        <v>219</v>
      </c>
      <c r="AE1184" t="s">
        <v>3549</v>
      </c>
      <c r="AF1184" t="s">
        <v>3552</v>
      </c>
    </row>
    <row r="1185" spans="1:32" hidden="1" x14ac:dyDescent="0.35">
      <c r="A1185">
        <v>1698</v>
      </c>
      <c r="B1185" t="s">
        <v>3542</v>
      </c>
      <c r="C1185" t="s">
        <v>72</v>
      </c>
      <c r="D1185" t="s">
        <v>45</v>
      </c>
      <c r="E1185">
        <v>900</v>
      </c>
      <c r="F1185">
        <v>5</v>
      </c>
      <c r="G1185">
        <v>5</v>
      </c>
      <c r="H1185">
        <v>1</v>
      </c>
      <c r="I1185">
        <v>1</v>
      </c>
      <c r="J1185">
        <v>0.89320388349514601</v>
      </c>
      <c r="K1185">
        <v>1</v>
      </c>
      <c r="L1185">
        <v>0.94358974358974401</v>
      </c>
      <c r="M1185">
        <v>0.77669902912621402</v>
      </c>
      <c r="N1185">
        <v>1</v>
      </c>
      <c r="O1185">
        <v>0.85242718446601995</v>
      </c>
      <c r="P1185" t="s">
        <v>3543</v>
      </c>
      <c r="Q1185" t="s">
        <v>3544</v>
      </c>
      <c r="R1185" t="s">
        <v>869</v>
      </c>
      <c r="S1185" t="s">
        <v>870</v>
      </c>
      <c r="T1185" t="s">
        <v>3545</v>
      </c>
      <c r="U1185" t="s">
        <v>3546</v>
      </c>
      <c r="V1185" t="s">
        <v>3547</v>
      </c>
      <c r="W1185" t="s">
        <v>3548</v>
      </c>
      <c r="X1185" t="s">
        <v>3547</v>
      </c>
      <c r="Y1185" t="s">
        <v>1091</v>
      </c>
      <c r="Z1185" t="s">
        <v>1092</v>
      </c>
      <c r="AA1185" t="s">
        <v>1093</v>
      </c>
      <c r="AB1185" t="s">
        <v>1092</v>
      </c>
      <c r="AC1185" t="s">
        <v>1094</v>
      </c>
      <c r="AD1185" t="s">
        <v>219</v>
      </c>
      <c r="AE1185" t="s">
        <v>3549</v>
      </c>
      <c r="AF1185" t="s">
        <v>3552</v>
      </c>
    </row>
    <row r="1186" spans="1:32" hidden="1" x14ac:dyDescent="0.35">
      <c r="A1186">
        <v>11070</v>
      </c>
      <c r="B1186" t="s">
        <v>22394</v>
      </c>
      <c r="C1186" t="s">
        <v>33</v>
      </c>
      <c r="D1186" t="s">
        <v>58</v>
      </c>
      <c r="E1186">
        <v>1364</v>
      </c>
      <c r="F1186">
        <v>1</v>
      </c>
      <c r="G1186">
        <v>1</v>
      </c>
      <c r="H1186">
        <v>1</v>
      </c>
      <c r="I1186">
        <v>0</v>
      </c>
      <c r="J1186">
        <v>1</v>
      </c>
      <c r="K1186">
        <v>1</v>
      </c>
      <c r="L1186">
        <v>1</v>
      </c>
      <c r="M1186">
        <v>0</v>
      </c>
      <c r="N1186">
        <v>0</v>
      </c>
      <c r="O1186">
        <v>0</v>
      </c>
      <c r="P1186" t="s">
        <v>22395</v>
      </c>
      <c r="Q1186" t="s">
        <v>22396</v>
      </c>
      <c r="R1186" t="s">
        <v>235</v>
      </c>
      <c r="S1186" t="s">
        <v>236</v>
      </c>
      <c r="T1186" t="s">
        <v>22397</v>
      </c>
      <c r="U1186" t="s">
        <v>22398</v>
      </c>
      <c r="V1186" t="s">
        <v>22399</v>
      </c>
      <c r="W1186" t="s">
        <v>22400</v>
      </c>
      <c r="AD1186" t="s">
        <v>166</v>
      </c>
      <c r="AE1186" t="s">
        <v>818</v>
      </c>
      <c r="AF1186" t="s">
        <v>22401</v>
      </c>
    </row>
    <row r="1187" spans="1:32" hidden="1" x14ac:dyDescent="0.35">
      <c r="A1187">
        <v>1740</v>
      </c>
      <c r="B1187" t="s">
        <v>3627</v>
      </c>
      <c r="C1187" t="s">
        <v>72</v>
      </c>
      <c r="D1187" t="s">
        <v>60</v>
      </c>
      <c r="E1187">
        <v>350</v>
      </c>
      <c r="F1187">
        <v>5</v>
      </c>
      <c r="G1187">
        <v>5</v>
      </c>
      <c r="H1187">
        <v>1</v>
      </c>
      <c r="I1187">
        <v>1</v>
      </c>
      <c r="J1187">
        <v>0.77777777777777801</v>
      </c>
      <c r="K1187">
        <v>0.97366262119465696</v>
      </c>
      <c r="L1187">
        <v>0.86476610938330301</v>
      </c>
      <c r="M1187">
        <v>0.62790697674418605</v>
      </c>
      <c r="N1187">
        <v>1</v>
      </c>
      <c r="O1187">
        <v>0.72325581395348804</v>
      </c>
      <c r="P1187" t="s">
        <v>2821</v>
      </c>
      <c r="Q1187" t="s">
        <v>2822</v>
      </c>
      <c r="R1187" t="s">
        <v>869</v>
      </c>
      <c r="S1187" t="s">
        <v>870</v>
      </c>
      <c r="V1187" t="s">
        <v>2825</v>
      </c>
      <c r="W1187" t="s">
        <v>2826</v>
      </c>
      <c r="X1187" t="s">
        <v>2825</v>
      </c>
      <c r="Y1187" t="s">
        <v>619</v>
      </c>
      <c r="AF1187" t="s">
        <v>3629</v>
      </c>
    </row>
    <row r="1188" spans="1:32" hidden="1" x14ac:dyDescent="0.35">
      <c r="A1188">
        <v>1741</v>
      </c>
      <c r="B1188" t="s">
        <v>3627</v>
      </c>
      <c r="C1188" t="s">
        <v>72</v>
      </c>
      <c r="D1188" t="s">
        <v>62</v>
      </c>
      <c r="E1188">
        <v>430</v>
      </c>
      <c r="F1188">
        <v>5</v>
      </c>
      <c r="G1188">
        <v>5</v>
      </c>
      <c r="H1188">
        <v>1</v>
      </c>
      <c r="I1188">
        <v>1</v>
      </c>
      <c r="J1188">
        <v>0.77777777777777801</v>
      </c>
      <c r="K1188">
        <v>0.97366262119465696</v>
      </c>
      <c r="L1188">
        <v>0.86476610938330301</v>
      </c>
      <c r="M1188">
        <v>0.62790697674418605</v>
      </c>
      <c r="N1188">
        <v>1</v>
      </c>
      <c r="O1188">
        <v>0.72325581395348804</v>
      </c>
      <c r="P1188" t="s">
        <v>2821</v>
      </c>
      <c r="Q1188" t="s">
        <v>2822</v>
      </c>
      <c r="R1188" t="s">
        <v>869</v>
      </c>
      <c r="S1188" t="s">
        <v>870</v>
      </c>
      <c r="V1188" t="s">
        <v>2825</v>
      </c>
      <c r="W1188" t="s">
        <v>2826</v>
      </c>
      <c r="X1188" t="s">
        <v>2825</v>
      </c>
      <c r="Y1188" t="s">
        <v>619</v>
      </c>
      <c r="AF1188" t="s">
        <v>3629</v>
      </c>
    </row>
    <row r="1189" spans="1:32" hidden="1" x14ac:dyDescent="0.35">
      <c r="A1189">
        <v>1742</v>
      </c>
      <c r="B1189" t="s">
        <v>3627</v>
      </c>
      <c r="C1189" t="s">
        <v>72</v>
      </c>
      <c r="D1189" t="s">
        <v>34</v>
      </c>
      <c r="E1189">
        <v>819</v>
      </c>
      <c r="F1189">
        <v>5</v>
      </c>
      <c r="G1189">
        <v>5</v>
      </c>
      <c r="H1189">
        <v>1</v>
      </c>
      <c r="I1189">
        <v>1</v>
      </c>
      <c r="J1189">
        <v>0.77777777777777801</v>
      </c>
      <c r="K1189">
        <v>0.97366262119465696</v>
      </c>
      <c r="L1189">
        <v>0.86476610938330301</v>
      </c>
      <c r="M1189">
        <v>0.62790697674418605</v>
      </c>
      <c r="N1189">
        <v>1</v>
      </c>
      <c r="O1189">
        <v>0.72325581395348804</v>
      </c>
      <c r="P1189" t="s">
        <v>2821</v>
      </c>
      <c r="Q1189" t="s">
        <v>2822</v>
      </c>
      <c r="R1189" t="s">
        <v>869</v>
      </c>
      <c r="S1189" t="s">
        <v>870</v>
      </c>
      <c r="V1189" t="s">
        <v>2825</v>
      </c>
      <c r="W1189" t="s">
        <v>2826</v>
      </c>
      <c r="X1189" t="s">
        <v>2825</v>
      </c>
      <c r="Y1189" t="s">
        <v>619</v>
      </c>
      <c r="AF1189" t="s">
        <v>3630</v>
      </c>
    </row>
    <row r="1190" spans="1:32" hidden="1" x14ac:dyDescent="0.35">
      <c r="A1190">
        <v>1743</v>
      </c>
      <c r="B1190" t="s">
        <v>3627</v>
      </c>
      <c r="C1190" t="s">
        <v>72</v>
      </c>
      <c r="D1190" t="s">
        <v>45</v>
      </c>
      <c r="E1190">
        <v>2076</v>
      </c>
      <c r="F1190">
        <v>5</v>
      </c>
      <c r="G1190">
        <v>5</v>
      </c>
      <c r="H1190">
        <v>1</v>
      </c>
      <c r="I1190">
        <v>1</v>
      </c>
      <c r="J1190">
        <v>0.77777777777777801</v>
      </c>
      <c r="K1190">
        <v>0.97366262119465696</v>
      </c>
      <c r="L1190">
        <v>0.86476610938330301</v>
      </c>
      <c r="M1190">
        <v>0.62790697674418605</v>
      </c>
      <c r="N1190">
        <v>1</v>
      </c>
      <c r="O1190">
        <v>0.72325581395348804</v>
      </c>
      <c r="P1190" t="s">
        <v>2821</v>
      </c>
      <c r="Q1190" t="s">
        <v>2822</v>
      </c>
      <c r="R1190" t="s">
        <v>869</v>
      </c>
      <c r="S1190" t="s">
        <v>870</v>
      </c>
      <c r="V1190" t="s">
        <v>2825</v>
      </c>
      <c r="W1190" t="s">
        <v>2826</v>
      </c>
      <c r="X1190" t="s">
        <v>2825</v>
      </c>
      <c r="Y1190" t="s">
        <v>619</v>
      </c>
      <c r="AF1190" t="s">
        <v>3630</v>
      </c>
    </row>
    <row r="1191" spans="1:32" hidden="1" x14ac:dyDescent="0.35">
      <c r="A1191">
        <v>4614</v>
      </c>
      <c r="B1191" t="s">
        <v>9650</v>
      </c>
      <c r="C1191" t="s">
        <v>72</v>
      </c>
      <c r="D1191" t="s">
        <v>58</v>
      </c>
      <c r="E1191">
        <v>1485</v>
      </c>
      <c r="F1191">
        <v>5</v>
      </c>
      <c r="G1191">
        <v>5</v>
      </c>
      <c r="H1191">
        <v>1</v>
      </c>
      <c r="I1191">
        <v>1</v>
      </c>
      <c r="J1191">
        <v>0.749486015749253</v>
      </c>
      <c r="K1191">
        <v>0.97671773192677402</v>
      </c>
      <c r="L1191">
        <v>0.84814586041651097</v>
      </c>
      <c r="M1191">
        <v>0.58181818181818201</v>
      </c>
      <c r="N1191">
        <v>0.99090909090909096</v>
      </c>
      <c r="O1191">
        <v>0.67863636363636404</v>
      </c>
      <c r="P1191" t="s">
        <v>9651</v>
      </c>
      <c r="Q1191" t="s">
        <v>9652</v>
      </c>
      <c r="R1191" t="s">
        <v>235</v>
      </c>
      <c r="S1191" t="s">
        <v>236</v>
      </c>
      <c r="T1191" t="s">
        <v>9653</v>
      </c>
      <c r="U1191" t="s">
        <v>9654</v>
      </c>
      <c r="V1191" t="s">
        <v>9655</v>
      </c>
      <c r="W1191" t="s">
        <v>9656</v>
      </c>
      <c r="AD1191" t="s">
        <v>546</v>
      </c>
      <c r="AE1191" t="s">
        <v>9657</v>
      </c>
      <c r="AF1191" t="s">
        <v>9658</v>
      </c>
    </row>
    <row r="1192" spans="1:32" hidden="1" x14ac:dyDescent="0.35">
      <c r="A1192">
        <v>1770</v>
      </c>
      <c r="B1192" t="s">
        <v>3675</v>
      </c>
      <c r="C1192" t="s">
        <v>72</v>
      </c>
      <c r="D1192" t="s">
        <v>60</v>
      </c>
      <c r="E1192">
        <v>1142</v>
      </c>
      <c r="F1192">
        <v>5</v>
      </c>
      <c r="G1192">
        <v>5</v>
      </c>
      <c r="H1192">
        <v>1</v>
      </c>
      <c r="I1192">
        <v>1</v>
      </c>
      <c r="J1192">
        <v>0.74458204334365297</v>
      </c>
      <c r="K1192">
        <v>0.93064961354435105</v>
      </c>
      <c r="L1192">
        <v>0.82728258869831095</v>
      </c>
      <c r="M1192">
        <v>0.497607655502392</v>
      </c>
      <c r="N1192">
        <v>1</v>
      </c>
      <c r="O1192">
        <v>0.66363636363636402</v>
      </c>
      <c r="P1192" t="s">
        <v>3676</v>
      </c>
      <c r="Q1192" t="s">
        <v>3677</v>
      </c>
      <c r="R1192" t="s">
        <v>869</v>
      </c>
      <c r="S1192" t="s">
        <v>870</v>
      </c>
      <c r="T1192" t="s">
        <v>3678</v>
      </c>
      <c r="U1192" t="s">
        <v>3679</v>
      </c>
      <c r="V1192" t="s">
        <v>3680</v>
      </c>
      <c r="W1192" t="s">
        <v>3681</v>
      </c>
      <c r="X1192" t="s">
        <v>3680</v>
      </c>
      <c r="Y1192" t="s">
        <v>3682</v>
      </c>
      <c r="Z1192" t="s">
        <v>3683</v>
      </c>
      <c r="AA1192" t="s">
        <v>3684</v>
      </c>
      <c r="AB1192" t="s">
        <v>3683</v>
      </c>
      <c r="AC1192" t="s">
        <v>1094</v>
      </c>
      <c r="AD1192" t="s">
        <v>219</v>
      </c>
      <c r="AE1192" t="s">
        <v>3685</v>
      </c>
      <c r="AF1192" t="s">
        <v>3687</v>
      </c>
    </row>
    <row r="1193" spans="1:32" hidden="1" x14ac:dyDescent="0.35">
      <c r="A1193">
        <v>1771</v>
      </c>
      <c r="B1193" t="s">
        <v>3675</v>
      </c>
      <c r="C1193" t="s">
        <v>72</v>
      </c>
      <c r="D1193" t="s">
        <v>62</v>
      </c>
      <c r="E1193">
        <v>1179</v>
      </c>
      <c r="F1193">
        <v>5</v>
      </c>
      <c r="G1193">
        <v>5</v>
      </c>
      <c r="H1193">
        <v>1</v>
      </c>
      <c r="I1193">
        <v>1</v>
      </c>
      <c r="J1193">
        <v>0.74458204334365297</v>
      </c>
      <c r="K1193">
        <v>0.93064961354435105</v>
      </c>
      <c r="L1193">
        <v>0.82728258869831095</v>
      </c>
      <c r="M1193">
        <v>0.497607655502392</v>
      </c>
      <c r="N1193">
        <v>1</v>
      </c>
      <c r="O1193">
        <v>0.66363636363636402</v>
      </c>
      <c r="P1193" t="s">
        <v>3676</v>
      </c>
      <c r="Q1193" t="s">
        <v>3677</v>
      </c>
      <c r="R1193" t="s">
        <v>869</v>
      </c>
      <c r="S1193" t="s">
        <v>870</v>
      </c>
      <c r="T1193" t="s">
        <v>3678</v>
      </c>
      <c r="U1193" t="s">
        <v>3679</v>
      </c>
      <c r="V1193" t="s">
        <v>3680</v>
      </c>
      <c r="W1193" t="s">
        <v>3681</v>
      </c>
      <c r="X1193" t="s">
        <v>3680</v>
      </c>
      <c r="Y1193" t="s">
        <v>3682</v>
      </c>
      <c r="Z1193" t="s">
        <v>3683</v>
      </c>
      <c r="AA1193" t="s">
        <v>3684</v>
      </c>
      <c r="AB1193" t="s">
        <v>3683</v>
      </c>
      <c r="AC1193" t="s">
        <v>1094</v>
      </c>
      <c r="AD1193" t="s">
        <v>219</v>
      </c>
      <c r="AE1193" t="s">
        <v>3685</v>
      </c>
      <c r="AF1193" t="s">
        <v>3687</v>
      </c>
    </row>
    <row r="1194" spans="1:32" hidden="1" x14ac:dyDescent="0.35">
      <c r="A1194">
        <v>1772</v>
      </c>
      <c r="B1194" t="s">
        <v>3675</v>
      </c>
      <c r="C1194" t="s">
        <v>72</v>
      </c>
      <c r="D1194" t="s">
        <v>34</v>
      </c>
      <c r="E1194">
        <v>4</v>
      </c>
      <c r="F1194">
        <v>5</v>
      </c>
      <c r="G1194">
        <v>5</v>
      </c>
      <c r="H1194">
        <v>1</v>
      </c>
      <c r="I1194">
        <v>1</v>
      </c>
      <c r="J1194">
        <v>0.74458204334365297</v>
      </c>
      <c r="K1194">
        <v>0.93064961354435105</v>
      </c>
      <c r="L1194">
        <v>0.82728258869831095</v>
      </c>
      <c r="M1194">
        <v>0.497607655502392</v>
      </c>
      <c r="N1194">
        <v>1</v>
      </c>
      <c r="O1194">
        <v>0.66363636363636402</v>
      </c>
      <c r="P1194" t="s">
        <v>3676</v>
      </c>
      <c r="Q1194" t="s">
        <v>3677</v>
      </c>
      <c r="R1194" t="s">
        <v>869</v>
      </c>
      <c r="S1194" t="s">
        <v>870</v>
      </c>
      <c r="T1194" t="s">
        <v>3678</v>
      </c>
      <c r="U1194" t="s">
        <v>3679</v>
      </c>
      <c r="V1194" t="s">
        <v>3680</v>
      </c>
      <c r="W1194" t="s">
        <v>3681</v>
      </c>
      <c r="X1194" t="s">
        <v>3680</v>
      </c>
      <c r="Y1194" t="s">
        <v>3682</v>
      </c>
      <c r="Z1194" t="s">
        <v>3683</v>
      </c>
      <c r="AA1194" t="s">
        <v>3684</v>
      </c>
      <c r="AB1194" t="s">
        <v>3683</v>
      </c>
      <c r="AC1194" t="s">
        <v>1094</v>
      </c>
      <c r="AD1194" t="s">
        <v>219</v>
      </c>
      <c r="AE1194" t="s">
        <v>3685</v>
      </c>
      <c r="AF1194" t="s">
        <v>3688</v>
      </c>
    </row>
    <row r="1195" spans="1:32" hidden="1" x14ac:dyDescent="0.35">
      <c r="A1195">
        <v>1773</v>
      </c>
      <c r="B1195" t="s">
        <v>3675</v>
      </c>
      <c r="C1195" t="s">
        <v>72</v>
      </c>
      <c r="D1195" t="s">
        <v>45</v>
      </c>
      <c r="E1195">
        <v>1261</v>
      </c>
      <c r="F1195">
        <v>5</v>
      </c>
      <c r="G1195">
        <v>5</v>
      </c>
      <c r="H1195">
        <v>1</v>
      </c>
      <c r="I1195">
        <v>1</v>
      </c>
      <c r="J1195">
        <v>0.74458204334365297</v>
      </c>
      <c r="K1195">
        <v>0.93064961354435105</v>
      </c>
      <c r="L1195">
        <v>0.82728258869831095</v>
      </c>
      <c r="M1195">
        <v>0.497607655502392</v>
      </c>
      <c r="N1195">
        <v>1</v>
      </c>
      <c r="O1195">
        <v>0.66363636363636402</v>
      </c>
      <c r="P1195" t="s">
        <v>3676</v>
      </c>
      <c r="Q1195" t="s">
        <v>3677</v>
      </c>
      <c r="R1195" t="s">
        <v>869</v>
      </c>
      <c r="S1195" t="s">
        <v>870</v>
      </c>
      <c r="T1195" t="s">
        <v>3678</v>
      </c>
      <c r="U1195" t="s">
        <v>3679</v>
      </c>
      <c r="V1195" t="s">
        <v>3680</v>
      </c>
      <c r="W1195" t="s">
        <v>3681</v>
      </c>
      <c r="X1195" t="s">
        <v>3680</v>
      </c>
      <c r="Y1195" t="s">
        <v>3682</v>
      </c>
      <c r="Z1195" t="s">
        <v>3683</v>
      </c>
      <c r="AA1195" t="s">
        <v>3684</v>
      </c>
      <c r="AB1195" t="s">
        <v>3683</v>
      </c>
      <c r="AC1195" t="s">
        <v>1094</v>
      </c>
      <c r="AD1195" t="s">
        <v>219</v>
      </c>
      <c r="AE1195" t="s">
        <v>3685</v>
      </c>
      <c r="AF1195" t="s">
        <v>3689</v>
      </c>
    </row>
    <row r="1196" spans="1:32" hidden="1" x14ac:dyDescent="0.35">
      <c r="A1196">
        <v>11570</v>
      </c>
      <c r="B1196" t="s">
        <v>23667</v>
      </c>
      <c r="C1196" t="s">
        <v>33</v>
      </c>
      <c r="D1196" t="s">
        <v>58</v>
      </c>
      <c r="E1196">
        <v>136</v>
      </c>
      <c r="F1196">
        <v>1</v>
      </c>
      <c r="G1196">
        <v>1</v>
      </c>
      <c r="H1196">
        <v>1</v>
      </c>
      <c r="I1196">
        <v>0</v>
      </c>
      <c r="J1196">
        <v>1</v>
      </c>
      <c r="K1196">
        <v>1</v>
      </c>
      <c r="L1196">
        <v>1</v>
      </c>
      <c r="M1196">
        <v>0</v>
      </c>
      <c r="N1196">
        <v>0</v>
      </c>
      <c r="O1196">
        <v>0</v>
      </c>
      <c r="P1196" t="s">
        <v>9651</v>
      </c>
      <c r="Q1196" t="s">
        <v>9652</v>
      </c>
      <c r="R1196" t="s">
        <v>235</v>
      </c>
      <c r="S1196" t="s">
        <v>236</v>
      </c>
      <c r="V1196" t="s">
        <v>9655</v>
      </c>
      <c r="W1196" t="s">
        <v>9656</v>
      </c>
      <c r="AF1196" t="s">
        <v>23668</v>
      </c>
    </row>
    <row r="1197" spans="1:32" hidden="1" x14ac:dyDescent="0.35">
      <c r="A1197">
        <v>1805</v>
      </c>
      <c r="B1197" t="s">
        <v>3747</v>
      </c>
      <c r="C1197" t="s">
        <v>72</v>
      </c>
      <c r="D1197" t="s">
        <v>60</v>
      </c>
      <c r="E1197">
        <v>1577</v>
      </c>
      <c r="F1197">
        <v>5</v>
      </c>
      <c r="G1197">
        <v>5</v>
      </c>
      <c r="H1197">
        <v>1</v>
      </c>
      <c r="I1197">
        <v>1</v>
      </c>
      <c r="J1197">
        <v>0.82696613490064397</v>
      </c>
      <c r="K1197">
        <v>0.94528838598145304</v>
      </c>
      <c r="L1197">
        <v>0.88217744540718301</v>
      </c>
      <c r="M1197">
        <v>0.64356435643564402</v>
      </c>
      <c r="N1197">
        <v>1</v>
      </c>
      <c r="O1197">
        <v>0.75346534653465302</v>
      </c>
      <c r="P1197" t="s">
        <v>1390</v>
      </c>
      <c r="Q1197" t="s">
        <v>1391</v>
      </c>
      <c r="R1197" t="s">
        <v>869</v>
      </c>
      <c r="S1197" t="s">
        <v>870</v>
      </c>
      <c r="T1197" t="s">
        <v>3748</v>
      </c>
      <c r="U1197" t="s">
        <v>3749</v>
      </c>
      <c r="V1197" t="s">
        <v>3750</v>
      </c>
      <c r="W1197" t="s">
        <v>3751</v>
      </c>
      <c r="X1197" t="s">
        <v>3750</v>
      </c>
      <c r="Y1197" t="s">
        <v>1091</v>
      </c>
      <c r="Z1197" t="s">
        <v>1092</v>
      </c>
      <c r="AA1197" t="s">
        <v>1093</v>
      </c>
      <c r="AB1197" t="s">
        <v>1092</v>
      </c>
      <c r="AC1197" t="s">
        <v>1094</v>
      </c>
      <c r="AD1197" t="s">
        <v>219</v>
      </c>
      <c r="AE1197" t="s">
        <v>3752</v>
      </c>
      <c r="AF1197" t="s">
        <v>3754</v>
      </c>
    </row>
    <row r="1198" spans="1:32" hidden="1" x14ac:dyDescent="0.35">
      <c r="A1198">
        <v>1806</v>
      </c>
      <c r="B1198" t="s">
        <v>3747</v>
      </c>
      <c r="C1198" t="s">
        <v>72</v>
      </c>
      <c r="D1198" t="s">
        <v>62</v>
      </c>
      <c r="E1198">
        <v>1613</v>
      </c>
      <c r="F1198">
        <v>5</v>
      </c>
      <c r="G1198">
        <v>5</v>
      </c>
      <c r="H1198">
        <v>1</v>
      </c>
      <c r="I1198">
        <v>1</v>
      </c>
      <c r="J1198">
        <v>0.82696613490064397</v>
      </c>
      <c r="K1198">
        <v>0.94528838598145304</v>
      </c>
      <c r="L1198">
        <v>0.88217744540718301</v>
      </c>
      <c r="M1198">
        <v>0.64356435643564402</v>
      </c>
      <c r="N1198">
        <v>1</v>
      </c>
      <c r="O1198">
        <v>0.75346534653465302</v>
      </c>
      <c r="P1198" t="s">
        <v>1390</v>
      </c>
      <c r="Q1198" t="s">
        <v>1391</v>
      </c>
      <c r="R1198" t="s">
        <v>869</v>
      </c>
      <c r="S1198" t="s">
        <v>870</v>
      </c>
      <c r="T1198" t="s">
        <v>3748</v>
      </c>
      <c r="U1198" t="s">
        <v>3749</v>
      </c>
      <c r="V1198" t="s">
        <v>3750</v>
      </c>
      <c r="W1198" t="s">
        <v>3751</v>
      </c>
      <c r="X1198" t="s">
        <v>3750</v>
      </c>
      <c r="Y1198" t="s">
        <v>1091</v>
      </c>
      <c r="Z1198" t="s">
        <v>1092</v>
      </c>
      <c r="AA1198" t="s">
        <v>1093</v>
      </c>
      <c r="AB1198" t="s">
        <v>1092</v>
      </c>
      <c r="AC1198" t="s">
        <v>1094</v>
      </c>
      <c r="AD1198" t="s">
        <v>219</v>
      </c>
      <c r="AE1198" t="s">
        <v>3752</v>
      </c>
      <c r="AF1198" t="s">
        <v>3754</v>
      </c>
    </row>
    <row r="1199" spans="1:32" hidden="1" x14ac:dyDescent="0.35">
      <c r="A1199">
        <v>1807</v>
      </c>
      <c r="B1199" t="s">
        <v>3747</v>
      </c>
      <c r="C1199" t="s">
        <v>72</v>
      </c>
      <c r="D1199" t="s">
        <v>34</v>
      </c>
      <c r="E1199">
        <v>1979</v>
      </c>
      <c r="F1199">
        <v>5</v>
      </c>
      <c r="G1199">
        <v>5</v>
      </c>
      <c r="H1199">
        <v>1</v>
      </c>
      <c r="I1199">
        <v>1</v>
      </c>
      <c r="J1199">
        <v>0.82696613490064397</v>
      </c>
      <c r="K1199">
        <v>0.94528838598145304</v>
      </c>
      <c r="L1199">
        <v>0.88217744540718301</v>
      </c>
      <c r="M1199">
        <v>0.64356435643564402</v>
      </c>
      <c r="N1199">
        <v>1</v>
      </c>
      <c r="O1199">
        <v>0.75346534653465302</v>
      </c>
      <c r="P1199" t="s">
        <v>1390</v>
      </c>
      <c r="Q1199" t="s">
        <v>1391</v>
      </c>
      <c r="R1199" t="s">
        <v>869</v>
      </c>
      <c r="S1199" t="s">
        <v>870</v>
      </c>
      <c r="T1199" t="s">
        <v>3748</v>
      </c>
      <c r="U1199" t="s">
        <v>3749</v>
      </c>
      <c r="V1199" t="s">
        <v>3750</v>
      </c>
      <c r="W1199" t="s">
        <v>3751</v>
      </c>
      <c r="X1199" t="s">
        <v>3750</v>
      </c>
      <c r="Y1199" t="s">
        <v>1091</v>
      </c>
      <c r="Z1199" t="s">
        <v>1092</v>
      </c>
      <c r="AA1199" t="s">
        <v>1093</v>
      </c>
      <c r="AB1199" t="s">
        <v>1092</v>
      </c>
      <c r="AC1199" t="s">
        <v>1094</v>
      </c>
      <c r="AD1199" t="s">
        <v>219</v>
      </c>
      <c r="AE1199" t="s">
        <v>3752</v>
      </c>
      <c r="AF1199" t="s">
        <v>3755</v>
      </c>
    </row>
    <row r="1200" spans="1:32" hidden="1" x14ac:dyDescent="0.35">
      <c r="A1200">
        <v>1808</v>
      </c>
      <c r="B1200" t="s">
        <v>3747</v>
      </c>
      <c r="C1200" t="s">
        <v>72</v>
      </c>
      <c r="D1200" t="s">
        <v>45</v>
      </c>
      <c r="E1200">
        <v>894</v>
      </c>
      <c r="F1200">
        <v>5</v>
      </c>
      <c r="G1200">
        <v>5</v>
      </c>
      <c r="H1200">
        <v>1</v>
      </c>
      <c r="I1200">
        <v>1</v>
      </c>
      <c r="J1200">
        <v>0.82696613490064397</v>
      </c>
      <c r="K1200">
        <v>0.94528838598145304</v>
      </c>
      <c r="L1200">
        <v>0.88217744540718301</v>
      </c>
      <c r="M1200">
        <v>0.64356435643564402</v>
      </c>
      <c r="N1200">
        <v>1</v>
      </c>
      <c r="O1200">
        <v>0.75346534653465302</v>
      </c>
      <c r="P1200" t="s">
        <v>1390</v>
      </c>
      <c r="Q1200" t="s">
        <v>1391</v>
      </c>
      <c r="R1200" t="s">
        <v>869</v>
      </c>
      <c r="S1200" t="s">
        <v>870</v>
      </c>
      <c r="T1200" t="s">
        <v>3748</v>
      </c>
      <c r="U1200" t="s">
        <v>3749</v>
      </c>
      <c r="V1200" t="s">
        <v>3750</v>
      </c>
      <c r="W1200" t="s">
        <v>3751</v>
      </c>
      <c r="X1200" t="s">
        <v>3750</v>
      </c>
      <c r="Y1200" t="s">
        <v>1091</v>
      </c>
      <c r="Z1200" t="s">
        <v>1092</v>
      </c>
      <c r="AA1200" t="s">
        <v>1093</v>
      </c>
      <c r="AB1200" t="s">
        <v>1092</v>
      </c>
      <c r="AC1200" t="s">
        <v>1094</v>
      </c>
      <c r="AD1200" t="s">
        <v>219</v>
      </c>
      <c r="AE1200" t="s">
        <v>3752</v>
      </c>
      <c r="AF1200" t="s">
        <v>3756</v>
      </c>
    </row>
    <row r="1201" spans="1:32" hidden="1" x14ac:dyDescent="0.35">
      <c r="A1201">
        <v>274</v>
      </c>
      <c r="B1201" t="s">
        <v>473</v>
      </c>
      <c r="C1201" t="s">
        <v>72</v>
      </c>
      <c r="D1201" t="s">
        <v>58</v>
      </c>
      <c r="E1201">
        <v>334</v>
      </c>
      <c r="F1201">
        <v>5</v>
      </c>
      <c r="G1201">
        <v>7</v>
      </c>
      <c r="H1201">
        <v>2</v>
      </c>
      <c r="I1201">
        <v>0</v>
      </c>
      <c r="J1201">
        <v>0.69648025394454305</v>
      </c>
      <c r="K1201">
        <v>0.93816558733584798</v>
      </c>
      <c r="L1201">
        <v>0.79945611460142896</v>
      </c>
      <c r="M1201">
        <v>0.52110091743119302</v>
      </c>
      <c r="N1201">
        <v>0.99816513761467895</v>
      </c>
      <c r="O1201">
        <v>0.61738750546090004</v>
      </c>
      <c r="P1201" t="s">
        <v>474</v>
      </c>
      <c r="Q1201" t="s">
        <v>475</v>
      </c>
      <c r="R1201" t="s">
        <v>157</v>
      </c>
      <c r="S1201" t="s">
        <v>158</v>
      </c>
      <c r="T1201" t="s">
        <v>476</v>
      </c>
      <c r="U1201" t="s">
        <v>477</v>
      </c>
      <c r="V1201" t="s">
        <v>478</v>
      </c>
      <c r="W1201" t="s">
        <v>479</v>
      </c>
      <c r="AD1201" t="s">
        <v>410</v>
      </c>
      <c r="AE1201" t="s">
        <v>480</v>
      </c>
      <c r="AF1201" t="s">
        <v>481</v>
      </c>
    </row>
    <row r="1202" spans="1:32" hidden="1" x14ac:dyDescent="0.35">
      <c r="A1202">
        <v>1895</v>
      </c>
      <c r="B1202" t="s">
        <v>3919</v>
      </c>
      <c r="C1202" t="s">
        <v>72</v>
      </c>
      <c r="D1202" t="s">
        <v>60</v>
      </c>
      <c r="E1202">
        <v>1563</v>
      </c>
      <c r="F1202">
        <v>5</v>
      </c>
      <c r="G1202">
        <v>5</v>
      </c>
      <c r="H1202">
        <v>1</v>
      </c>
      <c r="I1202">
        <v>1</v>
      </c>
      <c r="J1202">
        <v>0.79367003367003397</v>
      </c>
      <c r="K1202">
        <v>0.94583223655347803</v>
      </c>
      <c r="L1202">
        <v>0.86309597392493898</v>
      </c>
      <c r="M1202">
        <v>0.61450381679389299</v>
      </c>
      <c r="N1202">
        <v>1</v>
      </c>
      <c r="O1202">
        <v>0.70305343511450402</v>
      </c>
      <c r="P1202" t="s">
        <v>3920</v>
      </c>
      <c r="Q1202" t="s">
        <v>3921</v>
      </c>
      <c r="R1202" t="s">
        <v>869</v>
      </c>
      <c r="S1202" t="s">
        <v>870</v>
      </c>
      <c r="T1202" t="s">
        <v>3922</v>
      </c>
      <c r="U1202" t="s">
        <v>3923</v>
      </c>
      <c r="V1202" t="s">
        <v>3924</v>
      </c>
      <c r="W1202" t="s">
        <v>3925</v>
      </c>
      <c r="X1202" t="s">
        <v>3924</v>
      </c>
      <c r="Y1202" t="s">
        <v>1091</v>
      </c>
      <c r="Z1202" t="s">
        <v>3926</v>
      </c>
      <c r="AA1202" t="s">
        <v>3927</v>
      </c>
      <c r="AB1202" t="s">
        <v>3926</v>
      </c>
      <c r="AC1202" t="s">
        <v>1742</v>
      </c>
      <c r="AD1202" t="s">
        <v>219</v>
      </c>
      <c r="AE1202" t="s">
        <v>3928</v>
      </c>
      <c r="AF1202" t="s">
        <v>3930</v>
      </c>
    </row>
    <row r="1203" spans="1:32" hidden="1" x14ac:dyDescent="0.35">
      <c r="A1203">
        <v>1896</v>
      </c>
      <c r="B1203" t="s">
        <v>3919</v>
      </c>
      <c r="C1203" t="s">
        <v>72</v>
      </c>
      <c r="D1203" t="s">
        <v>62</v>
      </c>
      <c r="E1203">
        <v>1599</v>
      </c>
      <c r="F1203">
        <v>5</v>
      </c>
      <c r="G1203">
        <v>5</v>
      </c>
      <c r="H1203">
        <v>1</v>
      </c>
      <c r="I1203">
        <v>1</v>
      </c>
      <c r="J1203">
        <v>0.79367003367003397</v>
      </c>
      <c r="K1203">
        <v>0.94583223655347803</v>
      </c>
      <c r="L1203">
        <v>0.86309597392493898</v>
      </c>
      <c r="M1203">
        <v>0.61450381679389299</v>
      </c>
      <c r="N1203">
        <v>1</v>
      </c>
      <c r="O1203">
        <v>0.70305343511450402</v>
      </c>
      <c r="P1203" t="s">
        <v>3920</v>
      </c>
      <c r="Q1203" t="s">
        <v>3921</v>
      </c>
      <c r="R1203" t="s">
        <v>869</v>
      </c>
      <c r="S1203" t="s">
        <v>870</v>
      </c>
      <c r="T1203" t="s">
        <v>3922</v>
      </c>
      <c r="U1203" t="s">
        <v>3923</v>
      </c>
      <c r="V1203" t="s">
        <v>3924</v>
      </c>
      <c r="W1203" t="s">
        <v>3925</v>
      </c>
      <c r="X1203" t="s">
        <v>3924</v>
      </c>
      <c r="Y1203" t="s">
        <v>1091</v>
      </c>
      <c r="Z1203" t="s">
        <v>3926</v>
      </c>
      <c r="AA1203" t="s">
        <v>3927</v>
      </c>
      <c r="AB1203" t="s">
        <v>3926</v>
      </c>
      <c r="AC1203" t="s">
        <v>1742</v>
      </c>
      <c r="AD1203" t="s">
        <v>219</v>
      </c>
      <c r="AE1203" t="s">
        <v>3928</v>
      </c>
      <c r="AF1203" t="s">
        <v>3930</v>
      </c>
    </row>
    <row r="1204" spans="1:32" hidden="1" x14ac:dyDescent="0.35">
      <c r="A1204">
        <v>1897</v>
      </c>
      <c r="B1204" t="s">
        <v>3919</v>
      </c>
      <c r="C1204" t="s">
        <v>72</v>
      </c>
      <c r="D1204" t="s">
        <v>34</v>
      </c>
      <c r="E1204">
        <v>1969</v>
      </c>
      <c r="F1204">
        <v>5</v>
      </c>
      <c r="G1204">
        <v>5</v>
      </c>
      <c r="H1204">
        <v>1</v>
      </c>
      <c r="I1204">
        <v>1</v>
      </c>
      <c r="J1204">
        <v>0.79367003367003397</v>
      </c>
      <c r="K1204">
        <v>0.94583223655347803</v>
      </c>
      <c r="L1204">
        <v>0.86309597392493898</v>
      </c>
      <c r="M1204">
        <v>0.61450381679389299</v>
      </c>
      <c r="N1204">
        <v>1</v>
      </c>
      <c r="O1204">
        <v>0.70305343511450402</v>
      </c>
      <c r="P1204" t="s">
        <v>3920</v>
      </c>
      <c r="Q1204" t="s">
        <v>3921</v>
      </c>
      <c r="R1204" t="s">
        <v>869</v>
      </c>
      <c r="S1204" t="s">
        <v>870</v>
      </c>
      <c r="T1204" t="s">
        <v>3922</v>
      </c>
      <c r="U1204" t="s">
        <v>3923</v>
      </c>
      <c r="V1204" t="s">
        <v>3924</v>
      </c>
      <c r="W1204" t="s">
        <v>3925</v>
      </c>
      <c r="X1204" t="s">
        <v>3924</v>
      </c>
      <c r="Y1204" t="s">
        <v>1091</v>
      </c>
      <c r="Z1204" t="s">
        <v>3926</v>
      </c>
      <c r="AA1204" t="s">
        <v>3927</v>
      </c>
      <c r="AB1204" t="s">
        <v>3926</v>
      </c>
      <c r="AC1204" t="s">
        <v>1742</v>
      </c>
      <c r="AD1204" t="s">
        <v>219</v>
      </c>
      <c r="AE1204" t="s">
        <v>3928</v>
      </c>
      <c r="AF1204" t="s">
        <v>3931</v>
      </c>
    </row>
    <row r="1205" spans="1:32" hidden="1" x14ac:dyDescent="0.35">
      <c r="A1205">
        <v>1898</v>
      </c>
      <c r="B1205" t="s">
        <v>3919</v>
      </c>
      <c r="C1205" t="s">
        <v>72</v>
      </c>
      <c r="D1205" t="s">
        <v>45</v>
      </c>
      <c r="E1205">
        <v>904</v>
      </c>
      <c r="F1205">
        <v>5</v>
      </c>
      <c r="G1205">
        <v>5</v>
      </c>
      <c r="H1205">
        <v>1</v>
      </c>
      <c r="I1205">
        <v>1</v>
      </c>
      <c r="J1205">
        <v>0.79367003367003397</v>
      </c>
      <c r="K1205">
        <v>0.94583223655347803</v>
      </c>
      <c r="L1205">
        <v>0.86309597392493898</v>
      </c>
      <c r="M1205">
        <v>0.61450381679389299</v>
      </c>
      <c r="N1205">
        <v>1</v>
      </c>
      <c r="O1205">
        <v>0.70305343511450402</v>
      </c>
      <c r="P1205" t="s">
        <v>3920</v>
      </c>
      <c r="Q1205" t="s">
        <v>3921</v>
      </c>
      <c r="R1205" t="s">
        <v>869</v>
      </c>
      <c r="S1205" t="s">
        <v>870</v>
      </c>
      <c r="T1205" t="s">
        <v>3922</v>
      </c>
      <c r="U1205" t="s">
        <v>3923</v>
      </c>
      <c r="V1205" t="s">
        <v>3924</v>
      </c>
      <c r="W1205" t="s">
        <v>3925</v>
      </c>
      <c r="X1205" t="s">
        <v>3924</v>
      </c>
      <c r="Y1205" t="s">
        <v>1091</v>
      </c>
      <c r="Z1205" t="s">
        <v>3926</v>
      </c>
      <c r="AA1205" t="s">
        <v>3927</v>
      </c>
      <c r="AB1205" t="s">
        <v>3926</v>
      </c>
      <c r="AC1205" t="s">
        <v>1742</v>
      </c>
      <c r="AD1205" t="s">
        <v>219</v>
      </c>
      <c r="AE1205" t="s">
        <v>3928</v>
      </c>
      <c r="AF1205" t="s">
        <v>3932</v>
      </c>
    </row>
    <row r="1206" spans="1:32" hidden="1" x14ac:dyDescent="0.35">
      <c r="A1206">
        <v>4294</v>
      </c>
      <c r="B1206" t="s">
        <v>8932</v>
      </c>
      <c r="C1206" t="s">
        <v>72</v>
      </c>
      <c r="D1206" t="s">
        <v>58</v>
      </c>
      <c r="E1206">
        <v>1818</v>
      </c>
      <c r="F1206">
        <v>5</v>
      </c>
      <c r="G1206">
        <v>5</v>
      </c>
      <c r="H1206">
        <v>1</v>
      </c>
      <c r="I1206">
        <v>1</v>
      </c>
      <c r="J1206">
        <v>0.73792713922620701</v>
      </c>
      <c r="K1206">
        <v>0.78245909801626201</v>
      </c>
      <c r="L1206">
        <v>0.75954095034152302</v>
      </c>
      <c r="M1206">
        <v>0.44885177453027097</v>
      </c>
      <c r="N1206">
        <v>0.99791231732776597</v>
      </c>
      <c r="O1206">
        <v>0.58204592901878904</v>
      </c>
      <c r="P1206" t="s">
        <v>474</v>
      </c>
      <c r="Q1206" t="s">
        <v>475</v>
      </c>
      <c r="R1206" t="s">
        <v>157</v>
      </c>
      <c r="S1206" t="s">
        <v>158</v>
      </c>
      <c r="T1206" t="s">
        <v>8933</v>
      </c>
      <c r="U1206" t="s">
        <v>8934</v>
      </c>
      <c r="V1206" t="s">
        <v>478</v>
      </c>
      <c r="W1206" t="s">
        <v>479</v>
      </c>
      <c r="AD1206" t="s">
        <v>410</v>
      </c>
      <c r="AE1206" t="s">
        <v>8935</v>
      </c>
      <c r="AF1206" t="s">
        <v>8936</v>
      </c>
    </row>
    <row r="1207" spans="1:32" hidden="1" x14ac:dyDescent="0.35">
      <c r="A1207">
        <v>2000</v>
      </c>
      <c r="B1207" t="s">
        <v>4141</v>
      </c>
      <c r="C1207" t="s">
        <v>72</v>
      </c>
      <c r="D1207" t="s">
        <v>60</v>
      </c>
      <c r="E1207">
        <v>348</v>
      </c>
      <c r="F1207">
        <v>5</v>
      </c>
      <c r="G1207">
        <v>5</v>
      </c>
      <c r="H1207">
        <v>1</v>
      </c>
      <c r="I1207">
        <v>1</v>
      </c>
      <c r="J1207">
        <v>0.835048599199543</v>
      </c>
      <c r="K1207">
        <v>0.87113844471778101</v>
      </c>
      <c r="L1207">
        <v>0.85271182964826298</v>
      </c>
      <c r="M1207">
        <v>0.57933579335793395</v>
      </c>
      <c r="N1207">
        <v>1</v>
      </c>
      <c r="O1207">
        <v>0.71586715867158701</v>
      </c>
      <c r="P1207" t="s">
        <v>4142</v>
      </c>
      <c r="Q1207" t="s">
        <v>4143</v>
      </c>
      <c r="R1207" t="s">
        <v>869</v>
      </c>
      <c r="S1207" t="s">
        <v>870</v>
      </c>
      <c r="T1207" t="s">
        <v>4144</v>
      </c>
      <c r="U1207" t="s">
        <v>4145</v>
      </c>
      <c r="V1207" t="s">
        <v>2036</v>
      </c>
      <c r="W1207" t="s">
        <v>2037</v>
      </c>
      <c r="X1207" t="s">
        <v>2036</v>
      </c>
      <c r="Y1207" t="s">
        <v>2038</v>
      </c>
      <c r="Z1207" t="s">
        <v>4146</v>
      </c>
      <c r="AA1207" t="s">
        <v>4147</v>
      </c>
      <c r="AB1207" t="s">
        <v>4146</v>
      </c>
      <c r="AC1207" t="s">
        <v>1742</v>
      </c>
      <c r="AD1207" t="s">
        <v>191</v>
      </c>
      <c r="AE1207" t="s">
        <v>4148</v>
      </c>
      <c r="AF1207" t="s">
        <v>4150</v>
      </c>
    </row>
    <row r="1208" spans="1:32" hidden="1" x14ac:dyDescent="0.35">
      <c r="A1208">
        <v>2001</v>
      </c>
      <c r="B1208" t="s">
        <v>4141</v>
      </c>
      <c r="C1208" t="s">
        <v>72</v>
      </c>
      <c r="D1208" t="s">
        <v>62</v>
      </c>
      <c r="E1208">
        <v>428</v>
      </c>
      <c r="F1208">
        <v>5</v>
      </c>
      <c r="G1208">
        <v>5</v>
      </c>
      <c r="H1208">
        <v>1</v>
      </c>
      <c r="I1208">
        <v>1</v>
      </c>
      <c r="J1208">
        <v>0.835048599199543</v>
      </c>
      <c r="K1208">
        <v>0.87113844471778101</v>
      </c>
      <c r="L1208">
        <v>0.85271182964826298</v>
      </c>
      <c r="M1208">
        <v>0.57933579335793395</v>
      </c>
      <c r="N1208">
        <v>1</v>
      </c>
      <c r="O1208">
        <v>0.71586715867158701</v>
      </c>
      <c r="P1208" t="s">
        <v>4142</v>
      </c>
      <c r="Q1208" t="s">
        <v>4143</v>
      </c>
      <c r="R1208" t="s">
        <v>869</v>
      </c>
      <c r="S1208" t="s">
        <v>870</v>
      </c>
      <c r="T1208" t="s">
        <v>4144</v>
      </c>
      <c r="U1208" t="s">
        <v>4145</v>
      </c>
      <c r="V1208" t="s">
        <v>2036</v>
      </c>
      <c r="W1208" t="s">
        <v>2037</v>
      </c>
      <c r="X1208" t="s">
        <v>2036</v>
      </c>
      <c r="Y1208" t="s">
        <v>2038</v>
      </c>
      <c r="Z1208" t="s">
        <v>4146</v>
      </c>
      <c r="AA1208" t="s">
        <v>4147</v>
      </c>
      <c r="AB1208" t="s">
        <v>4146</v>
      </c>
      <c r="AC1208" t="s">
        <v>1742</v>
      </c>
      <c r="AD1208" t="s">
        <v>191</v>
      </c>
      <c r="AE1208" t="s">
        <v>4148</v>
      </c>
      <c r="AF1208" t="s">
        <v>4150</v>
      </c>
    </row>
    <row r="1209" spans="1:32" hidden="1" x14ac:dyDescent="0.35">
      <c r="A1209">
        <v>2002</v>
      </c>
      <c r="B1209" t="s">
        <v>4141</v>
      </c>
      <c r="C1209" t="s">
        <v>72</v>
      </c>
      <c r="D1209" t="s">
        <v>34</v>
      </c>
      <c r="E1209">
        <v>821</v>
      </c>
      <c r="F1209">
        <v>5</v>
      </c>
      <c r="G1209">
        <v>5</v>
      </c>
      <c r="H1209">
        <v>1</v>
      </c>
      <c r="I1209">
        <v>1</v>
      </c>
      <c r="J1209">
        <v>0.835048599199543</v>
      </c>
      <c r="K1209">
        <v>0.87113844471778101</v>
      </c>
      <c r="L1209">
        <v>0.85271182964826298</v>
      </c>
      <c r="M1209">
        <v>0.57933579335793395</v>
      </c>
      <c r="N1209">
        <v>1</v>
      </c>
      <c r="O1209">
        <v>0.71586715867158701</v>
      </c>
      <c r="P1209" t="s">
        <v>4142</v>
      </c>
      <c r="Q1209" t="s">
        <v>4143</v>
      </c>
      <c r="R1209" t="s">
        <v>869</v>
      </c>
      <c r="S1209" t="s">
        <v>870</v>
      </c>
      <c r="T1209" t="s">
        <v>4144</v>
      </c>
      <c r="U1209" t="s">
        <v>4145</v>
      </c>
      <c r="V1209" t="s">
        <v>2036</v>
      </c>
      <c r="W1209" t="s">
        <v>2037</v>
      </c>
      <c r="X1209" t="s">
        <v>2036</v>
      </c>
      <c r="Y1209" t="s">
        <v>2038</v>
      </c>
      <c r="Z1209" t="s">
        <v>4146</v>
      </c>
      <c r="AA1209" t="s">
        <v>4147</v>
      </c>
      <c r="AB1209" t="s">
        <v>4146</v>
      </c>
      <c r="AC1209" t="s">
        <v>1742</v>
      </c>
      <c r="AD1209" t="s">
        <v>191</v>
      </c>
      <c r="AE1209" t="s">
        <v>4148</v>
      </c>
      <c r="AF1209" t="e">
        <f>--------------------------------MAKASLDKKPIEVRRMFDAVGKNYDITNTVLAAGLDARWRRRTRERLQLKPTDKVLDLAAGTAVSTVELAKSGAWCVACDFSQGMLAAGKNRAVPKVCGDGMHLPFADNTFDAVTISYGLRNIYDPTAALRELARVTKPGGRLTIAEFSTPVIPGLKQLYHNIALKALPAIAKLVSSDPESYEYLADSIRQWPNQEQLATMVNNHGWSHCGWQNLTGGIVALHSAIKPDATPIAPKAGN</f>
        <v>#NAME?</v>
      </c>
    </row>
    <row r="1210" spans="1:32" hidden="1" x14ac:dyDescent="0.35">
      <c r="A1210">
        <v>2003</v>
      </c>
      <c r="B1210" t="s">
        <v>4141</v>
      </c>
      <c r="C1210" t="s">
        <v>72</v>
      </c>
      <c r="D1210" t="s">
        <v>45</v>
      </c>
      <c r="E1210">
        <v>2078</v>
      </c>
      <c r="F1210">
        <v>5</v>
      </c>
      <c r="G1210">
        <v>5</v>
      </c>
      <c r="H1210">
        <v>1</v>
      </c>
      <c r="I1210">
        <v>1</v>
      </c>
      <c r="J1210">
        <v>0.835048599199543</v>
      </c>
      <c r="K1210">
        <v>0.87113844471778101</v>
      </c>
      <c r="L1210">
        <v>0.85271182964826298</v>
      </c>
      <c r="M1210">
        <v>0.57933579335793395</v>
      </c>
      <c r="N1210">
        <v>1</v>
      </c>
      <c r="O1210">
        <v>0.71586715867158701</v>
      </c>
      <c r="P1210" t="s">
        <v>4142</v>
      </c>
      <c r="Q1210" t="s">
        <v>4143</v>
      </c>
      <c r="R1210" t="s">
        <v>869</v>
      </c>
      <c r="S1210" t="s">
        <v>870</v>
      </c>
      <c r="T1210" t="s">
        <v>4144</v>
      </c>
      <c r="U1210" t="s">
        <v>4145</v>
      </c>
      <c r="V1210" t="s">
        <v>2036</v>
      </c>
      <c r="W1210" t="s">
        <v>2037</v>
      </c>
      <c r="X1210" t="s">
        <v>2036</v>
      </c>
      <c r="Y1210" t="s">
        <v>2038</v>
      </c>
      <c r="Z1210" t="s">
        <v>4146</v>
      </c>
      <c r="AA1210" t="s">
        <v>4147</v>
      </c>
      <c r="AB1210" t="s">
        <v>4146</v>
      </c>
      <c r="AC1210" t="s">
        <v>1742</v>
      </c>
      <c r="AD1210" t="s">
        <v>191</v>
      </c>
      <c r="AE1210" t="s">
        <v>4148</v>
      </c>
      <c r="AF1210" t="e">
        <f>--------------------------------MAKASLDKKPIEVRRMFDAVGKNYDITNTVLAAGLDARWRRRTRERLQLKPTDKVLDLAAGTAVSTVELAKSGAWCVACDFSQGMLAAGKNRAVPKVCGDGMHLPFADNTFDAVTISYGLRNIYDPTAALRELARVTKPGGRLTIAEFSTPVIPGLKQLYHNIALKTLPAIAKLVSSDPESYEYLADSIRQWPNQEQLATMVNNHGWSHCGWQNLTGGIVALHSAIKPDATPIAPKAGN</f>
        <v>#NAME?</v>
      </c>
    </row>
    <row r="1211" spans="1:32" hidden="1" x14ac:dyDescent="0.35">
      <c r="A1211">
        <v>4589</v>
      </c>
      <c r="B1211" t="s">
        <v>9595</v>
      </c>
      <c r="C1211" t="s">
        <v>72</v>
      </c>
      <c r="D1211" t="s">
        <v>58</v>
      </c>
      <c r="E1211">
        <v>1866</v>
      </c>
      <c r="F1211">
        <v>5</v>
      </c>
      <c r="G1211">
        <v>5</v>
      </c>
      <c r="H1211">
        <v>1</v>
      </c>
      <c r="I1211">
        <v>1</v>
      </c>
      <c r="J1211">
        <v>0.77577192463253397</v>
      </c>
      <c r="K1211">
        <v>0.95849858356940298</v>
      </c>
      <c r="L1211">
        <v>0.857509007293356</v>
      </c>
      <c r="M1211">
        <v>0.53541076487252104</v>
      </c>
      <c r="N1211">
        <v>0.99150141643059497</v>
      </c>
      <c r="O1211">
        <v>0.70679886685552396</v>
      </c>
      <c r="P1211" t="s">
        <v>9596</v>
      </c>
      <c r="Q1211" t="s">
        <v>9597</v>
      </c>
      <c r="R1211" t="s">
        <v>235</v>
      </c>
      <c r="S1211" t="s">
        <v>236</v>
      </c>
      <c r="T1211" t="s">
        <v>9598</v>
      </c>
      <c r="U1211" t="s">
        <v>9599</v>
      </c>
      <c r="V1211" t="s">
        <v>9600</v>
      </c>
      <c r="W1211" t="s">
        <v>9601</v>
      </c>
      <c r="X1211" t="s">
        <v>9600</v>
      </c>
      <c r="Y1211" t="s">
        <v>241</v>
      </c>
      <c r="Z1211" t="s">
        <v>242</v>
      </c>
      <c r="AA1211" t="s">
        <v>243</v>
      </c>
      <c r="AB1211" t="s">
        <v>242</v>
      </c>
      <c r="AC1211" t="s">
        <v>244</v>
      </c>
      <c r="AD1211" t="s">
        <v>219</v>
      </c>
      <c r="AE1211" t="s">
        <v>9602</v>
      </c>
      <c r="AF1211" t="s">
        <v>9603</v>
      </c>
    </row>
    <row r="1212" spans="1:32" hidden="1" x14ac:dyDescent="0.35">
      <c r="A1212">
        <v>2040</v>
      </c>
      <c r="B1212" t="s">
        <v>4233</v>
      </c>
      <c r="C1212" t="s">
        <v>72</v>
      </c>
      <c r="D1212" t="s">
        <v>60</v>
      </c>
      <c r="E1212">
        <v>2115</v>
      </c>
      <c r="F1212">
        <v>5</v>
      </c>
      <c r="G1212">
        <v>5</v>
      </c>
      <c r="H1212">
        <v>1</v>
      </c>
      <c r="I1212">
        <v>1</v>
      </c>
      <c r="J1212">
        <v>0.772293752980448</v>
      </c>
      <c r="K1212">
        <v>0.97782357992884195</v>
      </c>
      <c r="L1212">
        <v>0.86299018711011599</v>
      </c>
      <c r="M1212">
        <v>0.59090909090909105</v>
      </c>
      <c r="N1212">
        <v>1</v>
      </c>
      <c r="O1212">
        <v>0.69720279720279699</v>
      </c>
      <c r="P1212" t="s">
        <v>4234</v>
      </c>
      <c r="Q1212" t="s">
        <v>4235</v>
      </c>
      <c r="R1212" t="s">
        <v>869</v>
      </c>
      <c r="S1212" t="s">
        <v>870</v>
      </c>
      <c r="T1212" t="s">
        <v>4236</v>
      </c>
      <c r="U1212" t="s">
        <v>4237</v>
      </c>
      <c r="V1212" t="s">
        <v>4238</v>
      </c>
      <c r="W1212" t="s">
        <v>4239</v>
      </c>
      <c r="X1212" t="s">
        <v>4238</v>
      </c>
      <c r="Y1212" t="s">
        <v>4240</v>
      </c>
      <c r="Z1212" t="s">
        <v>4241</v>
      </c>
      <c r="AA1212" t="s">
        <v>4242</v>
      </c>
      <c r="AB1212" t="s">
        <v>4241</v>
      </c>
      <c r="AC1212" t="s">
        <v>878</v>
      </c>
      <c r="AD1212" t="s">
        <v>219</v>
      </c>
      <c r="AE1212" t="s">
        <v>4243</v>
      </c>
      <c r="AF1212" t="s">
        <v>4244</v>
      </c>
    </row>
    <row r="1213" spans="1:32" hidden="1" x14ac:dyDescent="0.35">
      <c r="A1213">
        <v>2041</v>
      </c>
      <c r="B1213" t="s">
        <v>4233</v>
      </c>
      <c r="C1213" t="s">
        <v>72</v>
      </c>
      <c r="D1213" t="s">
        <v>62</v>
      </c>
      <c r="E1213">
        <v>2150</v>
      </c>
      <c r="F1213">
        <v>5</v>
      </c>
      <c r="G1213">
        <v>5</v>
      </c>
      <c r="H1213">
        <v>1</v>
      </c>
      <c r="I1213">
        <v>1</v>
      </c>
      <c r="J1213">
        <v>0.772293752980448</v>
      </c>
      <c r="K1213">
        <v>0.97782357992884195</v>
      </c>
      <c r="L1213">
        <v>0.86299018711011599</v>
      </c>
      <c r="M1213">
        <v>0.59090909090909105</v>
      </c>
      <c r="N1213">
        <v>1</v>
      </c>
      <c r="O1213">
        <v>0.69720279720279699</v>
      </c>
      <c r="P1213" t="s">
        <v>4234</v>
      </c>
      <c r="Q1213" t="s">
        <v>4235</v>
      </c>
      <c r="R1213" t="s">
        <v>869</v>
      </c>
      <c r="S1213" t="s">
        <v>870</v>
      </c>
      <c r="T1213" t="s">
        <v>4236</v>
      </c>
      <c r="U1213" t="s">
        <v>4237</v>
      </c>
      <c r="V1213" t="s">
        <v>4238</v>
      </c>
      <c r="W1213" t="s">
        <v>4239</v>
      </c>
      <c r="X1213" t="s">
        <v>4238</v>
      </c>
      <c r="Y1213" t="s">
        <v>4240</v>
      </c>
      <c r="Z1213" t="s">
        <v>4241</v>
      </c>
      <c r="AA1213" t="s">
        <v>4242</v>
      </c>
      <c r="AB1213" t="s">
        <v>4241</v>
      </c>
      <c r="AC1213" t="s">
        <v>878</v>
      </c>
      <c r="AD1213" t="s">
        <v>219</v>
      </c>
      <c r="AE1213" t="s">
        <v>4243</v>
      </c>
      <c r="AF1213" t="s">
        <v>4245</v>
      </c>
    </row>
    <row r="1214" spans="1:32" hidden="1" x14ac:dyDescent="0.35">
      <c r="A1214">
        <v>2042</v>
      </c>
      <c r="B1214" t="s">
        <v>4233</v>
      </c>
      <c r="C1214" t="s">
        <v>72</v>
      </c>
      <c r="D1214" t="s">
        <v>34</v>
      </c>
      <c r="E1214">
        <v>2460</v>
      </c>
      <c r="F1214">
        <v>5</v>
      </c>
      <c r="G1214">
        <v>5</v>
      </c>
      <c r="H1214">
        <v>1</v>
      </c>
      <c r="I1214">
        <v>1</v>
      </c>
      <c r="J1214">
        <v>0.772293752980448</v>
      </c>
      <c r="K1214">
        <v>0.97782357992884195</v>
      </c>
      <c r="L1214">
        <v>0.86299018711011599</v>
      </c>
      <c r="M1214">
        <v>0.59090909090909105</v>
      </c>
      <c r="N1214">
        <v>1</v>
      </c>
      <c r="O1214">
        <v>0.69720279720279699</v>
      </c>
      <c r="P1214" t="s">
        <v>4234</v>
      </c>
      <c r="Q1214" t="s">
        <v>4235</v>
      </c>
      <c r="R1214" t="s">
        <v>869</v>
      </c>
      <c r="S1214" t="s">
        <v>870</v>
      </c>
      <c r="T1214" t="s">
        <v>4236</v>
      </c>
      <c r="U1214" t="s">
        <v>4237</v>
      </c>
      <c r="V1214" t="s">
        <v>4238</v>
      </c>
      <c r="W1214" t="s">
        <v>4239</v>
      </c>
      <c r="X1214" t="s">
        <v>4238</v>
      </c>
      <c r="Y1214" t="s">
        <v>4240</v>
      </c>
      <c r="Z1214" t="s">
        <v>4241</v>
      </c>
      <c r="AA1214" t="s">
        <v>4242</v>
      </c>
      <c r="AB1214" t="s">
        <v>4241</v>
      </c>
      <c r="AC1214" t="s">
        <v>878</v>
      </c>
      <c r="AD1214" t="s">
        <v>219</v>
      </c>
      <c r="AE1214" t="s">
        <v>4243</v>
      </c>
      <c r="AF1214" t="e">
        <f>--MDHAAHIKQEIINFLHVKPRVDAEEEITHRVQFLTDYLLYSHARGFVLGISGGQDSTLAGKLAQLAVEKLRAVGTDAEFWAMRLPYGVQFDEEDCEIALKFIQPDHTVTVNIKETTDAQARAVAEALGQEKLTDFNKGNIKARERMIAQYALAGEKKLLVIGTDHAAENVTGFFTKFGDGAADLVPLFGLSKRQGAQLLRHLGAPESTWRKVPTADLEEDRPALADEDALGVTYADIDTYVEN---TGLIPAEAQARIEHLWQIGHHKRHLPVIPQDTWWRQSR</f>
        <v>#NAME?</v>
      </c>
    </row>
    <row r="1215" spans="1:32" hidden="1" x14ac:dyDescent="0.35">
      <c r="A1215">
        <v>2043</v>
      </c>
      <c r="B1215" t="s">
        <v>4233</v>
      </c>
      <c r="C1215" t="s">
        <v>72</v>
      </c>
      <c r="D1215" t="s">
        <v>45</v>
      </c>
      <c r="E1215">
        <v>441</v>
      </c>
      <c r="F1215">
        <v>5</v>
      </c>
      <c r="G1215">
        <v>5</v>
      </c>
      <c r="H1215">
        <v>1</v>
      </c>
      <c r="I1215">
        <v>1</v>
      </c>
      <c r="J1215">
        <v>0.772293752980448</v>
      </c>
      <c r="K1215">
        <v>0.97782357992884195</v>
      </c>
      <c r="L1215">
        <v>0.86299018711011599</v>
      </c>
      <c r="M1215">
        <v>0.59090909090909105</v>
      </c>
      <c r="N1215">
        <v>1</v>
      </c>
      <c r="O1215">
        <v>0.69720279720279699</v>
      </c>
      <c r="P1215" t="s">
        <v>4234</v>
      </c>
      <c r="Q1215" t="s">
        <v>4235</v>
      </c>
      <c r="R1215" t="s">
        <v>869</v>
      </c>
      <c r="S1215" t="s">
        <v>870</v>
      </c>
      <c r="T1215" t="s">
        <v>4236</v>
      </c>
      <c r="U1215" t="s">
        <v>4237</v>
      </c>
      <c r="V1215" t="s">
        <v>4238</v>
      </c>
      <c r="W1215" t="s">
        <v>4239</v>
      </c>
      <c r="X1215" t="s">
        <v>4238</v>
      </c>
      <c r="Y1215" t="s">
        <v>4240</v>
      </c>
      <c r="Z1215" t="s">
        <v>4241</v>
      </c>
      <c r="AA1215" t="s">
        <v>4242</v>
      </c>
      <c r="AB1215" t="s">
        <v>4241</v>
      </c>
      <c r="AC1215" t="s">
        <v>878</v>
      </c>
      <c r="AD1215" t="s">
        <v>219</v>
      </c>
      <c r="AE1215" t="s">
        <v>4243</v>
      </c>
      <c r="AF1215" t="e">
        <f>--MDHAAHIKQEIINFLHVKPRVDAEEEITHRVQFLTDYLLYSHARGFVLGISGGQDSTLAGKLAQLAVEKLRAVGTDAEFWAMRLPYGVQFDEEDCEIALKFIQPDHTVTVNIKETTDAQARAVAEALGQEKLTDFNKGNIKARERMIAQYALAGEKKLLVIGTDHAAENVTGFFTKFGDGAADLVPLFGLSKRQGAQLLRHLGAPESTWRKVPTADLEEDRPALADEDALGVTYADIDTYVEN---TGLIPAEAQARIEHLWQIGHHKRHLPVIPQDTWWRQSR</f>
        <v>#NAME?</v>
      </c>
    </row>
    <row r="1216" spans="1:32" hidden="1" x14ac:dyDescent="0.35">
      <c r="A1216">
        <v>11204</v>
      </c>
      <c r="B1216" t="s">
        <v>22754</v>
      </c>
      <c r="C1216" t="s">
        <v>33</v>
      </c>
      <c r="D1216" t="s">
        <v>58</v>
      </c>
      <c r="E1216">
        <v>562</v>
      </c>
      <c r="F1216">
        <v>1</v>
      </c>
      <c r="G1216">
        <v>1</v>
      </c>
      <c r="H1216">
        <v>1</v>
      </c>
      <c r="I1216">
        <v>0</v>
      </c>
      <c r="J1216">
        <v>1</v>
      </c>
      <c r="K1216">
        <v>1</v>
      </c>
      <c r="L1216">
        <v>1</v>
      </c>
      <c r="M1216">
        <v>0</v>
      </c>
      <c r="N1216">
        <v>0</v>
      </c>
      <c r="O1216">
        <v>0</v>
      </c>
      <c r="P1216" t="s">
        <v>13476</v>
      </c>
      <c r="Q1216" t="s">
        <v>13477</v>
      </c>
      <c r="R1216" t="s">
        <v>1191</v>
      </c>
      <c r="S1216" t="s">
        <v>1192</v>
      </c>
      <c r="V1216" t="s">
        <v>13478</v>
      </c>
      <c r="W1216" t="s">
        <v>13479</v>
      </c>
      <c r="AF1216" t="s">
        <v>22755</v>
      </c>
    </row>
    <row r="1217" spans="1:32" hidden="1" x14ac:dyDescent="0.35">
      <c r="A1217">
        <v>2230</v>
      </c>
      <c r="B1217" t="s">
        <v>4636</v>
      </c>
      <c r="C1217" t="s">
        <v>72</v>
      </c>
      <c r="D1217" t="s">
        <v>60</v>
      </c>
      <c r="E1217">
        <v>1798</v>
      </c>
      <c r="F1217">
        <v>5</v>
      </c>
      <c r="G1217">
        <v>5</v>
      </c>
      <c r="H1217">
        <v>1</v>
      </c>
      <c r="I1217">
        <v>1</v>
      </c>
      <c r="J1217">
        <v>0.80780780780780803</v>
      </c>
      <c r="K1217">
        <v>0.91027674514663304</v>
      </c>
      <c r="L1217">
        <v>0.85598658195354504</v>
      </c>
      <c r="M1217">
        <v>0.58888888888888902</v>
      </c>
      <c r="N1217">
        <v>1</v>
      </c>
      <c r="O1217">
        <v>0.72888888888888903</v>
      </c>
      <c r="P1217" t="s">
        <v>4637</v>
      </c>
      <c r="Q1217" t="s">
        <v>4638</v>
      </c>
      <c r="R1217" t="s">
        <v>869</v>
      </c>
      <c r="S1217" t="s">
        <v>870</v>
      </c>
      <c r="T1217" t="s">
        <v>4639</v>
      </c>
      <c r="U1217" t="s">
        <v>4640</v>
      </c>
      <c r="V1217" t="s">
        <v>4641</v>
      </c>
      <c r="W1217" t="s">
        <v>4642</v>
      </c>
      <c r="X1217" t="s">
        <v>4641</v>
      </c>
      <c r="Y1217" t="s">
        <v>2854</v>
      </c>
      <c r="Z1217" t="s">
        <v>4643</v>
      </c>
      <c r="AA1217" t="s">
        <v>4644</v>
      </c>
      <c r="AB1217" t="s">
        <v>4643</v>
      </c>
      <c r="AC1217" t="s">
        <v>1094</v>
      </c>
      <c r="AD1217" t="s">
        <v>219</v>
      </c>
      <c r="AE1217" t="s">
        <v>4645</v>
      </c>
      <c r="AF1217" t="s">
        <v>4647</v>
      </c>
    </row>
    <row r="1218" spans="1:32" hidden="1" x14ac:dyDescent="0.35">
      <c r="A1218">
        <v>2231</v>
      </c>
      <c r="B1218" t="s">
        <v>4636</v>
      </c>
      <c r="C1218" t="s">
        <v>72</v>
      </c>
      <c r="D1218" t="s">
        <v>62</v>
      </c>
      <c r="E1218">
        <v>1834</v>
      </c>
      <c r="F1218">
        <v>5</v>
      </c>
      <c r="G1218">
        <v>5</v>
      </c>
      <c r="H1218">
        <v>1</v>
      </c>
      <c r="I1218">
        <v>1</v>
      </c>
      <c r="J1218">
        <v>0.80780780780780803</v>
      </c>
      <c r="K1218">
        <v>0.91027674514663304</v>
      </c>
      <c r="L1218">
        <v>0.85598658195354504</v>
      </c>
      <c r="M1218">
        <v>0.58888888888888902</v>
      </c>
      <c r="N1218">
        <v>1</v>
      </c>
      <c r="O1218">
        <v>0.72888888888888903</v>
      </c>
      <c r="P1218" t="s">
        <v>4637</v>
      </c>
      <c r="Q1218" t="s">
        <v>4638</v>
      </c>
      <c r="R1218" t="s">
        <v>869</v>
      </c>
      <c r="S1218" t="s">
        <v>870</v>
      </c>
      <c r="T1218" t="s">
        <v>4639</v>
      </c>
      <c r="U1218" t="s">
        <v>4640</v>
      </c>
      <c r="V1218" t="s">
        <v>4641</v>
      </c>
      <c r="W1218" t="s">
        <v>4642</v>
      </c>
      <c r="X1218" t="s">
        <v>4641</v>
      </c>
      <c r="Y1218" t="s">
        <v>2854</v>
      </c>
      <c r="Z1218" t="s">
        <v>4643</v>
      </c>
      <c r="AA1218" t="s">
        <v>4644</v>
      </c>
      <c r="AB1218" t="s">
        <v>4643</v>
      </c>
      <c r="AC1218" t="s">
        <v>1094</v>
      </c>
      <c r="AD1218" t="s">
        <v>219</v>
      </c>
      <c r="AE1218" t="s">
        <v>4645</v>
      </c>
      <c r="AF1218" t="s">
        <v>4647</v>
      </c>
    </row>
    <row r="1219" spans="1:32" hidden="1" x14ac:dyDescent="0.35">
      <c r="A1219">
        <v>2232</v>
      </c>
      <c r="B1219" t="s">
        <v>4636</v>
      </c>
      <c r="C1219" t="s">
        <v>72</v>
      </c>
      <c r="D1219" t="s">
        <v>34</v>
      </c>
      <c r="E1219">
        <v>2167</v>
      </c>
      <c r="F1219">
        <v>5</v>
      </c>
      <c r="G1219">
        <v>5</v>
      </c>
      <c r="H1219">
        <v>1</v>
      </c>
      <c r="I1219">
        <v>1</v>
      </c>
      <c r="J1219">
        <v>0.80780780780780803</v>
      </c>
      <c r="K1219">
        <v>0.91027674514663304</v>
      </c>
      <c r="L1219">
        <v>0.85598658195354504</v>
      </c>
      <c r="M1219">
        <v>0.58888888888888902</v>
      </c>
      <c r="N1219">
        <v>1</v>
      </c>
      <c r="O1219">
        <v>0.72888888888888903</v>
      </c>
      <c r="P1219" t="s">
        <v>4637</v>
      </c>
      <c r="Q1219" t="s">
        <v>4638</v>
      </c>
      <c r="R1219" t="s">
        <v>869</v>
      </c>
      <c r="S1219" t="s">
        <v>870</v>
      </c>
      <c r="T1219" t="s">
        <v>4639</v>
      </c>
      <c r="U1219" t="s">
        <v>4640</v>
      </c>
      <c r="V1219" t="s">
        <v>4641</v>
      </c>
      <c r="W1219" t="s">
        <v>4642</v>
      </c>
      <c r="X1219" t="s">
        <v>4641</v>
      </c>
      <c r="Y1219" t="s">
        <v>2854</v>
      </c>
      <c r="Z1219" t="s">
        <v>4643</v>
      </c>
      <c r="AA1219" t="s">
        <v>4644</v>
      </c>
      <c r="AB1219" t="s">
        <v>4643</v>
      </c>
      <c r="AC1219" t="s">
        <v>1094</v>
      </c>
      <c r="AD1219" t="s">
        <v>219</v>
      </c>
      <c r="AE1219" t="s">
        <v>4645</v>
      </c>
      <c r="AF1219" t="e">
        <f>---------MTAP---------RQPFFPADQSIRKDNDSPIAVQLLGTVDYLTAWDMQADLAAQRARGDIGDTIIVLEHPSIYTAGKRTQPEDRP-TNGLPVIDVDRGGRITWHGPGQLVAYPIIKLADPIDVVDYVRRVEEALIQVVRQAGVTTAGRIDGRSGVWVPGATPAEHRKIAALGIRITHGVTMHGLALNCDNTLEFYEHIIPCGISDAGVTTLSRELGRDVSVAEMIQPTLQALDDAFSGRLVVADHTFDSAPDPTKGLPRR</f>
        <v>#NAME?</v>
      </c>
    </row>
    <row r="1220" spans="1:32" hidden="1" x14ac:dyDescent="0.35">
      <c r="A1220">
        <v>2233</v>
      </c>
      <c r="B1220" t="s">
        <v>4636</v>
      </c>
      <c r="C1220" t="s">
        <v>72</v>
      </c>
      <c r="D1220" t="s">
        <v>45</v>
      </c>
      <c r="E1220">
        <v>706</v>
      </c>
      <c r="F1220">
        <v>5</v>
      </c>
      <c r="G1220">
        <v>5</v>
      </c>
      <c r="H1220">
        <v>1</v>
      </c>
      <c r="I1220">
        <v>1</v>
      </c>
      <c r="J1220">
        <v>0.80780780780780803</v>
      </c>
      <c r="K1220">
        <v>0.91027674514663304</v>
      </c>
      <c r="L1220">
        <v>0.85598658195354504</v>
      </c>
      <c r="M1220">
        <v>0.58888888888888902</v>
      </c>
      <c r="N1220">
        <v>1</v>
      </c>
      <c r="O1220">
        <v>0.72888888888888903</v>
      </c>
      <c r="P1220" t="s">
        <v>4637</v>
      </c>
      <c r="Q1220" t="s">
        <v>4638</v>
      </c>
      <c r="R1220" t="s">
        <v>869</v>
      </c>
      <c r="S1220" t="s">
        <v>870</v>
      </c>
      <c r="T1220" t="s">
        <v>4639</v>
      </c>
      <c r="U1220" t="s">
        <v>4640</v>
      </c>
      <c r="V1220" t="s">
        <v>4641</v>
      </c>
      <c r="W1220" t="s">
        <v>4642</v>
      </c>
      <c r="X1220" t="s">
        <v>4641</v>
      </c>
      <c r="Y1220" t="s">
        <v>2854</v>
      </c>
      <c r="Z1220" t="s">
        <v>4643</v>
      </c>
      <c r="AA1220" t="s">
        <v>4644</v>
      </c>
      <c r="AB1220" t="s">
        <v>4643</v>
      </c>
      <c r="AC1220" t="s">
        <v>1094</v>
      </c>
      <c r="AD1220" t="s">
        <v>219</v>
      </c>
      <c r="AE1220" t="s">
        <v>4645</v>
      </c>
      <c r="AF1220" t="e">
        <f>---------MTAP---------RQPFFPADQSIRQDNDSPIAVQLLGTVDYLAAWDMQADLAAQRARGDIGDTIIVLEHPSIYTAGKRTQPEDRP-TNGLPVIDVDRGGRITWHGPGQLVAYPIIKLADPIDVVDYVRRVEEALIQVVRQAGVTTAGRIDGRSGVWVPGATPAEHRKIAALGIRITHGVTMHGLALNCDNTLEFYEHIIPCGISDAGVTTLSRELDRDVSVAEMIQPTLQALDDAFSGRLVVADHTFDSAPDPTKGLPRR</f>
        <v>#NAME?</v>
      </c>
    </row>
    <row r="1221" spans="1:32" hidden="1" x14ac:dyDescent="0.35">
      <c r="A1221">
        <v>1119</v>
      </c>
      <c r="B1221" t="s">
        <v>2321</v>
      </c>
      <c r="C1221" t="s">
        <v>72</v>
      </c>
      <c r="D1221" t="s">
        <v>58</v>
      </c>
      <c r="E1221">
        <v>906</v>
      </c>
      <c r="F1221">
        <v>5</v>
      </c>
      <c r="G1221">
        <v>5</v>
      </c>
      <c r="H1221">
        <v>1</v>
      </c>
      <c r="I1221">
        <v>1</v>
      </c>
      <c r="J1221">
        <v>0.746187994595638</v>
      </c>
      <c r="K1221">
        <v>0.76117750008750895</v>
      </c>
      <c r="L1221">
        <v>0.75360821821254498</v>
      </c>
      <c r="M1221">
        <v>0.15887850467289699</v>
      </c>
      <c r="N1221">
        <v>1</v>
      </c>
      <c r="O1221">
        <v>0.48037383177570098</v>
      </c>
      <c r="P1221" t="s">
        <v>2322</v>
      </c>
      <c r="Q1221" t="s">
        <v>2323</v>
      </c>
      <c r="R1221" t="s">
        <v>157</v>
      </c>
      <c r="S1221" t="s">
        <v>158</v>
      </c>
      <c r="T1221" t="s">
        <v>2324</v>
      </c>
      <c r="U1221" t="s">
        <v>2325</v>
      </c>
      <c r="V1221" t="s">
        <v>2326</v>
      </c>
      <c r="W1221" t="s">
        <v>2327</v>
      </c>
      <c r="AD1221" t="s">
        <v>219</v>
      </c>
      <c r="AE1221" t="s">
        <v>2328</v>
      </c>
      <c r="AF1221" t="s">
        <v>2329</v>
      </c>
    </row>
    <row r="1222" spans="1:32" hidden="1" x14ac:dyDescent="0.35">
      <c r="A1222">
        <v>2265</v>
      </c>
      <c r="B1222" t="s">
        <v>4715</v>
      </c>
      <c r="C1222" t="s">
        <v>72</v>
      </c>
      <c r="D1222" t="s">
        <v>60</v>
      </c>
      <c r="E1222">
        <v>1849</v>
      </c>
      <c r="F1222">
        <v>5</v>
      </c>
      <c r="G1222">
        <v>5</v>
      </c>
      <c r="H1222">
        <v>1</v>
      </c>
      <c r="I1222">
        <v>1</v>
      </c>
      <c r="J1222">
        <v>0.74403183023872699</v>
      </c>
      <c r="K1222">
        <v>0.85937015350530099</v>
      </c>
      <c r="L1222">
        <v>0.79755264699380601</v>
      </c>
      <c r="M1222">
        <v>0.51404494382022503</v>
      </c>
      <c r="N1222">
        <v>1</v>
      </c>
      <c r="O1222">
        <v>0.62977528089887602</v>
      </c>
      <c r="P1222" t="s">
        <v>4716</v>
      </c>
      <c r="Q1222" t="s">
        <v>4717</v>
      </c>
      <c r="R1222" t="s">
        <v>869</v>
      </c>
      <c r="S1222" t="s">
        <v>870</v>
      </c>
      <c r="T1222" t="s">
        <v>4718</v>
      </c>
      <c r="U1222" t="s">
        <v>4719</v>
      </c>
      <c r="V1222" t="s">
        <v>4720</v>
      </c>
      <c r="W1222" t="s">
        <v>4721</v>
      </c>
      <c r="X1222" t="s">
        <v>4720</v>
      </c>
      <c r="Y1222" t="s">
        <v>1091</v>
      </c>
      <c r="Z1222" t="s">
        <v>1092</v>
      </c>
      <c r="AA1222" t="s">
        <v>1093</v>
      </c>
      <c r="AB1222" t="s">
        <v>1092</v>
      </c>
      <c r="AC1222" t="s">
        <v>1094</v>
      </c>
      <c r="AD1222" t="s">
        <v>219</v>
      </c>
      <c r="AE1222" t="s">
        <v>4722</v>
      </c>
      <c r="AF1222" t="e">
        <f>----MDHASGIAAGILADRLIKDPQRY-HPVALFGQYALWWERRLYRDNKVAGAVFAAVCVLPPTLVAAGVAKRAPRLATA------------VALWAALGGTSLERTGMRMAQALESG-DEDAARGWVPWLCSRDPELLDAPGMARAAVESVAENTSDAAIAPLVWAAVAGAPGVVAHRCVNTLDAMVGYRNERYRNFGWAAAKLDDAMAWVPARLTATVHTGFAALH--G---RGAAALRAWRDDAPSHPSPNAGPVEATAAAALGVRLGGPTAYAHGVEKRPYLG------EGP----------APTVQTVREAVRLSRWTQLA-----------VGAMAYVFKSTSSQVLKG</f>
        <v>#NAME?</v>
      </c>
    </row>
    <row r="1223" spans="1:32" hidden="1" x14ac:dyDescent="0.35">
      <c r="A1223">
        <v>2266</v>
      </c>
      <c r="B1223" t="s">
        <v>4715</v>
      </c>
      <c r="C1223" t="s">
        <v>72</v>
      </c>
      <c r="D1223" t="s">
        <v>62</v>
      </c>
      <c r="E1223">
        <v>1887</v>
      </c>
      <c r="F1223">
        <v>5</v>
      </c>
      <c r="G1223">
        <v>5</v>
      </c>
      <c r="H1223">
        <v>1</v>
      </c>
      <c r="I1223">
        <v>1</v>
      </c>
      <c r="J1223">
        <v>0.74403183023872699</v>
      </c>
      <c r="K1223">
        <v>0.85937015350530099</v>
      </c>
      <c r="L1223">
        <v>0.79755264699380601</v>
      </c>
      <c r="M1223">
        <v>0.51404494382022503</v>
      </c>
      <c r="N1223">
        <v>1</v>
      </c>
      <c r="O1223">
        <v>0.62977528089887602</v>
      </c>
      <c r="P1223" t="s">
        <v>4716</v>
      </c>
      <c r="Q1223" t="s">
        <v>4717</v>
      </c>
      <c r="R1223" t="s">
        <v>869</v>
      </c>
      <c r="S1223" t="s">
        <v>870</v>
      </c>
      <c r="T1223" t="s">
        <v>4718</v>
      </c>
      <c r="U1223" t="s">
        <v>4719</v>
      </c>
      <c r="V1223" t="s">
        <v>4720</v>
      </c>
      <c r="W1223" t="s">
        <v>4721</v>
      </c>
      <c r="X1223" t="s">
        <v>4720</v>
      </c>
      <c r="Y1223" t="s">
        <v>1091</v>
      </c>
      <c r="Z1223" t="s">
        <v>1092</v>
      </c>
      <c r="AA1223" t="s">
        <v>1093</v>
      </c>
      <c r="AB1223" t="s">
        <v>1092</v>
      </c>
      <c r="AC1223" t="s">
        <v>1094</v>
      </c>
      <c r="AD1223" t="s">
        <v>219</v>
      </c>
      <c r="AE1223" t="s">
        <v>4722</v>
      </c>
      <c r="AF1223" t="e">
        <f>----MDHASGIAAGILADRLIKDPQRY-HPVALFGQYALWWERRLYRDNKVAGAVFAAVCVLPPTLVAAGVAKRAPRLATA------------VALWAALGGTSLERTGMRMAQALESG-DEDAARGWVPWLCSRDPELLDAPGMARAAVESVAENTSDAAIAPLVWAAVAGAPGVVAHRCVNTLDAMVGYRNERYRNFGWAAAKLDDAMAWVPARLTATVHTGFAALH--G---RGAAALRAWRDDAPSHPSPNAGPVEATAAAALGVRLGGPTAYAHGVEKRPYLG------EGP----------APTVQTVREAVRLSRWTQLA-----------VGAMAYVFKSTSSQVLKG</f>
        <v>#NAME?</v>
      </c>
    </row>
    <row r="1224" spans="1:32" hidden="1" x14ac:dyDescent="0.35">
      <c r="A1224">
        <v>2267</v>
      </c>
      <c r="B1224" t="s">
        <v>4715</v>
      </c>
      <c r="C1224" t="s">
        <v>72</v>
      </c>
      <c r="D1224" t="s">
        <v>34</v>
      </c>
      <c r="E1224">
        <v>2204</v>
      </c>
      <c r="F1224">
        <v>5</v>
      </c>
      <c r="G1224">
        <v>5</v>
      </c>
      <c r="H1224">
        <v>1</v>
      </c>
      <c r="I1224">
        <v>1</v>
      </c>
      <c r="J1224">
        <v>0.74403183023872699</v>
      </c>
      <c r="K1224">
        <v>0.85937015350530099</v>
      </c>
      <c r="L1224">
        <v>0.79755264699380601</v>
      </c>
      <c r="M1224">
        <v>0.51404494382022503</v>
      </c>
      <c r="N1224">
        <v>1</v>
      </c>
      <c r="O1224">
        <v>0.62977528089887602</v>
      </c>
      <c r="P1224" t="s">
        <v>4716</v>
      </c>
      <c r="Q1224" t="s">
        <v>4717</v>
      </c>
      <c r="R1224" t="s">
        <v>869</v>
      </c>
      <c r="S1224" t="s">
        <v>870</v>
      </c>
      <c r="T1224" t="s">
        <v>4718</v>
      </c>
      <c r="U1224" t="s">
        <v>4719</v>
      </c>
      <c r="V1224" t="s">
        <v>4720</v>
      </c>
      <c r="W1224" t="s">
        <v>4721</v>
      </c>
      <c r="X1224" t="s">
        <v>4720</v>
      </c>
      <c r="Y1224" t="s">
        <v>1091</v>
      </c>
      <c r="Z1224" t="s">
        <v>1092</v>
      </c>
      <c r="AA1224" t="s">
        <v>1093</v>
      </c>
      <c r="AB1224" t="s">
        <v>1092</v>
      </c>
      <c r="AC1224" t="s">
        <v>1094</v>
      </c>
      <c r="AD1224" t="s">
        <v>219</v>
      </c>
      <c r="AE1224" t="s">
        <v>4722</v>
      </c>
      <c r="AF1224" t="s">
        <v>4724</v>
      </c>
    </row>
    <row r="1225" spans="1:32" hidden="1" x14ac:dyDescent="0.35">
      <c r="A1225">
        <v>2268</v>
      </c>
      <c r="B1225" t="s">
        <v>4715</v>
      </c>
      <c r="C1225" t="s">
        <v>72</v>
      </c>
      <c r="D1225" t="s">
        <v>45</v>
      </c>
      <c r="E1225">
        <v>670</v>
      </c>
      <c r="F1225">
        <v>5</v>
      </c>
      <c r="G1225">
        <v>5</v>
      </c>
      <c r="H1225">
        <v>1</v>
      </c>
      <c r="I1225">
        <v>1</v>
      </c>
      <c r="J1225">
        <v>0.74403183023872699</v>
      </c>
      <c r="K1225">
        <v>0.85937015350530099</v>
      </c>
      <c r="L1225">
        <v>0.79755264699380601</v>
      </c>
      <c r="M1225">
        <v>0.51404494382022503</v>
      </c>
      <c r="N1225">
        <v>1</v>
      </c>
      <c r="O1225">
        <v>0.62977528089887602</v>
      </c>
      <c r="P1225" t="s">
        <v>4716</v>
      </c>
      <c r="Q1225" t="s">
        <v>4717</v>
      </c>
      <c r="R1225" t="s">
        <v>869</v>
      </c>
      <c r="S1225" t="s">
        <v>870</v>
      </c>
      <c r="T1225" t="s">
        <v>4718</v>
      </c>
      <c r="U1225" t="s">
        <v>4719</v>
      </c>
      <c r="V1225" t="s">
        <v>4720</v>
      </c>
      <c r="W1225" t="s">
        <v>4721</v>
      </c>
      <c r="X1225" t="s">
        <v>4720</v>
      </c>
      <c r="Y1225" t="s">
        <v>1091</v>
      </c>
      <c r="Z1225" t="s">
        <v>1092</v>
      </c>
      <c r="AA1225" t="s">
        <v>1093</v>
      </c>
      <c r="AB1225" t="s">
        <v>1092</v>
      </c>
      <c r="AC1225" t="s">
        <v>1094</v>
      </c>
      <c r="AD1225" t="s">
        <v>219</v>
      </c>
      <c r="AE1225" t="s">
        <v>4722</v>
      </c>
      <c r="AF1225" t="s">
        <v>4725</v>
      </c>
    </row>
    <row r="1226" spans="1:32" hidden="1" x14ac:dyDescent="0.35">
      <c r="A1226">
        <v>11926</v>
      </c>
      <c r="B1226" t="s">
        <v>24593</v>
      </c>
      <c r="C1226" t="s">
        <v>10130</v>
      </c>
      <c r="D1226" t="s">
        <v>58</v>
      </c>
      <c r="E1226">
        <v>580</v>
      </c>
      <c r="F1226">
        <v>1</v>
      </c>
      <c r="G1226">
        <v>1</v>
      </c>
      <c r="H1226">
        <v>1</v>
      </c>
      <c r="I1226">
        <v>0</v>
      </c>
      <c r="J1226">
        <v>1</v>
      </c>
      <c r="K1226">
        <v>1</v>
      </c>
      <c r="L1226">
        <v>1</v>
      </c>
      <c r="M1226">
        <v>0</v>
      </c>
      <c r="N1226">
        <v>0</v>
      </c>
      <c r="O1226">
        <v>0</v>
      </c>
      <c r="P1226" t="s">
        <v>24594</v>
      </c>
      <c r="Q1226" t="s">
        <v>24595</v>
      </c>
      <c r="R1226" t="s">
        <v>113</v>
      </c>
      <c r="S1226" t="s">
        <v>114</v>
      </c>
      <c r="T1226" t="s">
        <v>24596</v>
      </c>
      <c r="U1226" t="s">
        <v>24597</v>
      </c>
      <c r="V1226" t="s">
        <v>13496</v>
      </c>
      <c r="W1226" t="s">
        <v>13497</v>
      </c>
      <c r="AD1226" t="s">
        <v>312</v>
      </c>
      <c r="AE1226" t="s">
        <v>20769</v>
      </c>
      <c r="AF1226" t="s">
        <v>24598</v>
      </c>
    </row>
    <row r="1227" spans="1:32" hidden="1" x14ac:dyDescent="0.35">
      <c r="A1227">
        <v>2280</v>
      </c>
      <c r="B1227" t="s">
        <v>4739</v>
      </c>
      <c r="C1227" t="s">
        <v>72</v>
      </c>
      <c r="D1227" t="s">
        <v>60</v>
      </c>
      <c r="E1227">
        <v>1307</v>
      </c>
      <c r="F1227">
        <v>5</v>
      </c>
      <c r="G1227">
        <v>5</v>
      </c>
      <c r="H1227">
        <v>1</v>
      </c>
      <c r="I1227">
        <v>1</v>
      </c>
      <c r="J1227">
        <v>0.79166666666666696</v>
      </c>
      <c r="K1227">
        <v>0.91611050097153202</v>
      </c>
      <c r="L1227">
        <v>0.84935454150082801</v>
      </c>
      <c r="M1227">
        <v>0.57677902621722799</v>
      </c>
      <c r="N1227">
        <v>1</v>
      </c>
      <c r="O1227">
        <v>0.71460674157303405</v>
      </c>
      <c r="P1227" t="s">
        <v>4740</v>
      </c>
      <c r="Q1227" t="s">
        <v>4741</v>
      </c>
      <c r="R1227" t="s">
        <v>869</v>
      </c>
      <c r="S1227" t="s">
        <v>870</v>
      </c>
      <c r="T1227" t="s">
        <v>4742</v>
      </c>
      <c r="U1227" t="s">
        <v>4743</v>
      </c>
      <c r="V1227" t="s">
        <v>4744</v>
      </c>
      <c r="W1227" t="s">
        <v>4745</v>
      </c>
      <c r="X1227" t="s">
        <v>4744</v>
      </c>
      <c r="Y1227" t="s">
        <v>1091</v>
      </c>
      <c r="Z1227" t="s">
        <v>1953</v>
      </c>
      <c r="AA1227" t="s">
        <v>1954</v>
      </c>
      <c r="AB1227" t="s">
        <v>1953</v>
      </c>
      <c r="AC1227" t="s">
        <v>878</v>
      </c>
      <c r="AD1227" t="s">
        <v>191</v>
      </c>
      <c r="AE1227" t="s">
        <v>4746</v>
      </c>
      <c r="AF1227" t="e">
        <f>--------------------MRALILGGTAESRELALLLLQSGWRVTSSLAGRVKEPKLPLGEVRIGGFGGPPGLARWLMDHEVDLVVDATHPFAEKISISAAEATRATGIPLIALHRPAWTPENYDEWIYVNDMEEAARIAE-RYHHIFLTIGRQKLAPFANDSHNLYVIRSVDPPEGPLPKRHRLILSRGPFSVQDEKQLMRDNQIDALVTKNSGGSLTYAKIVAARQLGIPVIMVQRPPLPGGSRITAVHAASDAYIAAHGLMG</f>
        <v>#NAME?</v>
      </c>
    </row>
    <row r="1228" spans="1:32" hidden="1" x14ac:dyDescent="0.35">
      <c r="A1228">
        <v>2281</v>
      </c>
      <c r="B1228" t="s">
        <v>4739</v>
      </c>
      <c r="C1228" t="s">
        <v>72</v>
      </c>
      <c r="D1228" t="s">
        <v>62</v>
      </c>
      <c r="E1228">
        <v>1343</v>
      </c>
      <c r="F1228">
        <v>5</v>
      </c>
      <c r="G1228">
        <v>5</v>
      </c>
      <c r="H1228">
        <v>1</v>
      </c>
      <c r="I1228">
        <v>1</v>
      </c>
      <c r="J1228">
        <v>0.79166666666666696</v>
      </c>
      <c r="K1228">
        <v>0.91611050097153202</v>
      </c>
      <c r="L1228">
        <v>0.84935454150082801</v>
      </c>
      <c r="M1228">
        <v>0.57677902621722799</v>
      </c>
      <c r="N1228">
        <v>1</v>
      </c>
      <c r="O1228">
        <v>0.71460674157303405</v>
      </c>
      <c r="P1228" t="s">
        <v>4740</v>
      </c>
      <c r="Q1228" t="s">
        <v>4741</v>
      </c>
      <c r="R1228" t="s">
        <v>869</v>
      </c>
      <c r="S1228" t="s">
        <v>870</v>
      </c>
      <c r="T1228" t="s">
        <v>4742</v>
      </c>
      <c r="U1228" t="s">
        <v>4743</v>
      </c>
      <c r="V1228" t="s">
        <v>4744</v>
      </c>
      <c r="W1228" t="s">
        <v>4745</v>
      </c>
      <c r="X1228" t="s">
        <v>4744</v>
      </c>
      <c r="Y1228" t="s">
        <v>1091</v>
      </c>
      <c r="Z1228" t="s">
        <v>1953</v>
      </c>
      <c r="AA1228" t="s">
        <v>1954</v>
      </c>
      <c r="AB1228" t="s">
        <v>1953</v>
      </c>
      <c r="AC1228" t="s">
        <v>878</v>
      </c>
      <c r="AD1228" t="s">
        <v>191</v>
      </c>
      <c r="AE1228" t="s">
        <v>4746</v>
      </c>
      <c r="AF1228" t="e">
        <f>--------------------MRALILGGTAESRELALLLLQSGWRVTSSLAGRVKEPKLPLGEVRIGGFGGPPGLARWLMDHEVDLVVDATHPFAEKISISAAEATRATGIPLIALHRPAWTPENYDEWIYVNDMEEAARIAE-RYHHIFLTIGRQKLAPFANDSHNLYVIRSVDPPEGPLPKRHRLILSRGPFSVQDEKQLMRDNQIDALVTKNSGGSLTYAKIVAARQLGIPVIMVQRPPLPGGSRITAVHAASDAYIAAHGLMG</f>
        <v>#NAME?</v>
      </c>
    </row>
    <row r="1229" spans="1:32" hidden="1" x14ac:dyDescent="0.35">
      <c r="A1229">
        <v>2282</v>
      </c>
      <c r="B1229" t="s">
        <v>4739</v>
      </c>
      <c r="C1229" t="s">
        <v>72</v>
      </c>
      <c r="D1229" t="s">
        <v>34</v>
      </c>
      <c r="E1229">
        <v>1703</v>
      </c>
      <c r="F1229">
        <v>5</v>
      </c>
      <c r="G1229">
        <v>5</v>
      </c>
      <c r="H1229">
        <v>1</v>
      </c>
      <c r="I1229">
        <v>1</v>
      </c>
      <c r="J1229">
        <v>0.79166666666666696</v>
      </c>
      <c r="K1229">
        <v>0.91611050097153202</v>
      </c>
      <c r="L1229">
        <v>0.84935454150082801</v>
      </c>
      <c r="M1229">
        <v>0.57677902621722799</v>
      </c>
      <c r="N1229">
        <v>1</v>
      </c>
      <c r="O1229">
        <v>0.71460674157303405</v>
      </c>
      <c r="P1229" t="s">
        <v>4740</v>
      </c>
      <c r="Q1229" t="s">
        <v>4741</v>
      </c>
      <c r="R1229" t="s">
        <v>869</v>
      </c>
      <c r="S1229" t="s">
        <v>870</v>
      </c>
      <c r="T1229" t="s">
        <v>4742</v>
      </c>
      <c r="U1229" t="s">
        <v>4743</v>
      </c>
      <c r="V1229" t="s">
        <v>4744</v>
      </c>
      <c r="W1229" t="s">
        <v>4745</v>
      </c>
      <c r="X1229" t="s">
        <v>4744</v>
      </c>
      <c r="Y1229" t="s">
        <v>1091</v>
      </c>
      <c r="Z1229" t="s">
        <v>1953</v>
      </c>
      <c r="AA1229" t="s">
        <v>1954</v>
      </c>
      <c r="AB1229" t="s">
        <v>1953</v>
      </c>
      <c r="AC1229" t="s">
        <v>878</v>
      </c>
      <c r="AD1229" t="s">
        <v>191</v>
      </c>
      <c r="AE1229" t="s">
        <v>4746</v>
      </c>
      <c r="AF1229" t="s">
        <v>4748</v>
      </c>
    </row>
    <row r="1230" spans="1:32" hidden="1" x14ac:dyDescent="0.35">
      <c r="A1230">
        <v>2283</v>
      </c>
      <c r="B1230" t="s">
        <v>4739</v>
      </c>
      <c r="C1230" t="s">
        <v>72</v>
      </c>
      <c r="D1230" t="s">
        <v>45</v>
      </c>
      <c r="E1230">
        <v>1172</v>
      </c>
      <c r="F1230">
        <v>5</v>
      </c>
      <c r="G1230">
        <v>5</v>
      </c>
      <c r="H1230">
        <v>1</v>
      </c>
      <c r="I1230">
        <v>1</v>
      </c>
      <c r="J1230">
        <v>0.79166666666666696</v>
      </c>
      <c r="K1230">
        <v>0.91611050097153202</v>
      </c>
      <c r="L1230">
        <v>0.84935454150082801</v>
      </c>
      <c r="M1230">
        <v>0.57677902621722799</v>
      </c>
      <c r="N1230">
        <v>1</v>
      </c>
      <c r="O1230">
        <v>0.71460674157303405</v>
      </c>
      <c r="P1230" t="s">
        <v>4740</v>
      </c>
      <c r="Q1230" t="s">
        <v>4741</v>
      </c>
      <c r="R1230" t="s">
        <v>869</v>
      </c>
      <c r="S1230" t="s">
        <v>870</v>
      </c>
      <c r="T1230" t="s">
        <v>4742</v>
      </c>
      <c r="U1230" t="s">
        <v>4743</v>
      </c>
      <c r="V1230" t="s">
        <v>4744</v>
      </c>
      <c r="W1230" t="s">
        <v>4745</v>
      </c>
      <c r="X1230" t="s">
        <v>4744</v>
      </c>
      <c r="Y1230" t="s">
        <v>1091</v>
      </c>
      <c r="Z1230" t="s">
        <v>1953</v>
      </c>
      <c r="AA1230" t="s">
        <v>1954</v>
      </c>
      <c r="AB1230" t="s">
        <v>1953</v>
      </c>
      <c r="AC1230" t="s">
        <v>878</v>
      </c>
      <c r="AD1230" t="s">
        <v>191</v>
      </c>
      <c r="AE1230" t="s">
        <v>4746</v>
      </c>
      <c r="AF1230" t="s">
        <v>4749</v>
      </c>
    </row>
    <row r="1231" spans="1:32" hidden="1" x14ac:dyDescent="0.35">
      <c r="A1231">
        <v>11391</v>
      </c>
      <c r="B1231" t="s">
        <v>23207</v>
      </c>
      <c r="C1231" t="s">
        <v>33</v>
      </c>
      <c r="D1231" t="s">
        <v>58</v>
      </c>
      <c r="E1231">
        <v>609</v>
      </c>
      <c r="F1231">
        <v>1</v>
      </c>
      <c r="G1231">
        <v>1</v>
      </c>
      <c r="H1231">
        <v>1</v>
      </c>
      <c r="I1231">
        <v>0</v>
      </c>
      <c r="J1231">
        <v>1</v>
      </c>
      <c r="K1231">
        <v>1</v>
      </c>
      <c r="L1231">
        <v>1</v>
      </c>
      <c r="M1231">
        <v>0</v>
      </c>
      <c r="N1231">
        <v>0</v>
      </c>
      <c r="O1231">
        <v>0</v>
      </c>
      <c r="P1231" t="s">
        <v>11362</v>
      </c>
      <c r="Q1231" t="s">
        <v>11363</v>
      </c>
      <c r="R1231" t="s">
        <v>235</v>
      </c>
      <c r="S1231" t="s">
        <v>236</v>
      </c>
      <c r="T1231" t="s">
        <v>11364</v>
      </c>
      <c r="U1231" t="s">
        <v>11365</v>
      </c>
      <c r="V1231" t="s">
        <v>11366</v>
      </c>
      <c r="W1231" t="s">
        <v>11367</v>
      </c>
      <c r="X1231" t="s">
        <v>11366</v>
      </c>
      <c r="Y1231" t="s">
        <v>4474</v>
      </c>
      <c r="Z1231" t="s">
        <v>5431</v>
      </c>
      <c r="AA1231" t="s">
        <v>5432</v>
      </c>
      <c r="AB1231" t="s">
        <v>5431</v>
      </c>
      <c r="AC1231" t="s">
        <v>860</v>
      </c>
      <c r="AD1231" t="s">
        <v>219</v>
      </c>
      <c r="AE1231" t="s">
        <v>11368</v>
      </c>
      <c r="AF1231" t="s">
        <v>23208</v>
      </c>
    </row>
    <row r="1232" spans="1:32" hidden="1" x14ac:dyDescent="0.35">
      <c r="A1232">
        <v>2475</v>
      </c>
      <c r="B1232" t="s">
        <v>5121</v>
      </c>
      <c r="C1232" t="s">
        <v>72</v>
      </c>
      <c r="D1232" t="s">
        <v>60</v>
      </c>
      <c r="E1232">
        <v>856</v>
      </c>
      <c r="F1232">
        <v>5</v>
      </c>
      <c r="G1232">
        <v>5</v>
      </c>
      <c r="H1232">
        <v>1</v>
      </c>
      <c r="I1232">
        <v>1</v>
      </c>
      <c r="J1232">
        <v>0.84661172161172205</v>
      </c>
      <c r="K1232">
        <v>0.94778966961377398</v>
      </c>
      <c r="L1232">
        <v>0.89434821867755299</v>
      </c>
      <c r="M1232">
        <v>0.69805194805194803</v>
      </c>
      <c r="N1232">
        <v>1</v>
      </c>
      <c r="O1232">
        <v>0.76428571428571401</v>
      </c>
      <c r="P1232" t="s">
        <v>5122</v>
      </c>
      <c r="Q1232" t="s">
        <v>5123</v>
      </c>
      <c r="R1232" t="s">
        <v>869</v>
      </c>
      <c r="S1232" t="s">
        <v>870</v>
      </c>
      <c r="T1232" t="s">
        <v>5124</v>
      </c>
      <c r="U1232" t="s">
        <v>5125</v>
      </c>
      <c r="V1232" t="s">
        <v>5126</v>
      </c>
      <c r="W1232" t="s">
        <v>5127</v>
      </c>
      <c r="X1232" t="s">
        <v>5126</v>
      </c>
      <c r="Y1232" t="s">
        <v>3682</v>
      </c>
      <c r="Z1232" t="s">
        <v>3683</v>
      </c>
      <c r="AA1232" t="s">
        <v>3684</v>
      </c>
      <c r="AB1232" t="s">
        <v>3683</v>
      </c>
      <c r="AC1232" t="s">
        <v>1094</v>
      </c>
      <c r="AD1232" t="s">
        <v>219</v>
      </c>
      <c r="AE1232" t="s">
        <v>5128</v>
      </c>
      <c r="AF1232" t="s">
        <v>5130</v>
      </c>
    </row>
    <row r="1233" spans="1:32" hidden="1" x14ac:dyDescent="0.35">
      <c r="A1233">
        <v>2476</v>
      </c>
      <c r="B1233" t="s">
        <v>5121</v>
      </c>
      <c r="C1233" t="s">
        <v>72</v>
      </c>
      <c r="D1233" t="s">
        <v>62</v>
      </c>
      <c r="E1233">
        <v>890</v>
      </c>
      <c r="F1233">
        <v>5</v>
      </c>
      <c r="G1233">
        <v>5</v>
      </c>
      <c r="H1233">
        <v>1</v>
      </c>
      <c r="I1233">
        <v>1</v>
      </c>
      <c r="J1233">
        <v>0.84661172161172205</v>
      </c>
      <c r="K1233">
        <v>0.94778966961377398</v>
      </c>
      <c r="L1233">
        <v>0.89434821867755299</v>
      </c>
      <c r="M1233">
        <v>0.69805194805194803</v>
      </c>
      <c r="N1233">
        <v>1</v>
      </c>
      <c r="O1233">
        <v>0.76428571428571401</v>
      </c>
      <c r="P1233" t="s">
        <v>5122</v>
      </c>
      <c r="Q1233" t="s">
        <v>5123</v>
      </c>
      <c r="R1233" t="s">
        <v>869</v>
      </c>
      <c r="S1233" t="s">
        <v>870</v>
      </c>
      <c r="T1233" t="s">
        <v>5124</v>
      </c>
      <c r="U1233" t="s">
        <v>5125</v>
      </c>
      <c r="V1233" t="s">
        <v>5126</v>
      </c>
      <c r="W1233" t="s">
        <v>5127</v>
      </c>
      <c r="X1233" t="s">
        <v>5126</v>
      </c>
      <c r="Y1233" t="s">
        <v>3682</v>
      </c>
      <c r="Z1233" t="s">
        <v>3683</v>
      </c>
      <c r="AA1233" t="s">
        <v>3684</v>
      </c>
      <c r="AB1233" t="s">
        <v>3683</v>
      </c>
      <c r="AC1233" t="s">
        <v>1094</v>
      </c>
      <c r="AD1233" t="s">
        <v>219</v>
      </c>
      <c r="AE1233" t="s">
        <v>5128</v>
      </c>
      <c r="AF1233" t="s">
        <v>5130</v>
      </c>
    </row>
    <row r="1234" spans="1:32" hidden="1" x14ac:dyDescent="0.35">
      <c r="A1234">
        <v>2477</v>
      </c>
      <c r="B1234" t="s">
        <v>5121</v>
      </c>
      <c r="C1234" t="s">
        <v>72</v>
      </c>
      <c r="D1234" t="s">
        <v>34</v>
      </c>
      <c r="E1234">
        <v>290</v>
      </c>
      <c r="F1234">
        <v>5</v>
      </c>
      <c r="G1234">
        <v>5</v>
      </c>
      <c r="H1234">
        <v>1</v>
      </c>
      <c r="I1234">
        <v>1</v>
      </c>
      <c r="J1234">
        <v>0.84661172161172205</v>
      </c>
      <c r="K1234">
        <v>0.94778966961377398</v>
      </c>
      <c r="L1234">
        <v>0.89434821867755299</v>
      </c>
      <c r="M1234">
        <v>0.69805194805194803</v>
      </c>
      <c r="N1234">
        <v>1</v>
      </c>
      <c r="O1234">
        <v>0.76428571428571401</v>
      </c>
      <c r="P1234" t="s">
        <v>5122</v>
      </c>
      <c r="Q1234" t="s">
        <v>5123</v>
      </c>
      <c r="R1234" t="s">
        <v>869</v>
      </c>
      <c r="S1234" t="s">
        <v>870</v>
      </c>
      <c r="T1234" t="s">
        <v>5124</v>
      </c>
      <c r="U1234" t="s">
        <v>5125</v>
      </c>
      <c r="V1234" t="s">
        <v>5126</v>
      </c>
      <c r="W1234" t="s">
        <v>5127</v>
      </c>
      <c r="X1234" t="s">
        <v>5126</v>
      </c>
      <c r="Y1234" t="s">
        <v>3682</v>
      </c>
      <c r="Z1234" t="s">
        <v>3683</v>
      </c>
      <c r="AA1234" t="s">
        <v>3684</v>
      </c>
      <c r="AB1234" t="s">
        <v>3683</v>
      </c>
      <c r="AC1234" t="s">
        <v>1094</v>
      </c>
      <c r="AD1234" t="s">
        <v>219</v>
      </c>
      <c r="AE1234" t="s">
        <v>5128</v>
      </c>
      <c r="AF1234" t="s">
        <v>5131</v>
      </c>
    </row>
    <row r="1235" spans="1:32" hidden="1" x14ac:dyDescent="0.35">
      <c r="A1235">
        <v>2478</v>
      </c>
      <c r="B1235" t="s">
        <v>5121</v>
      </c>
      <c r="C1235" t="s">
        <v>72</v>
      </c>
      <c r="D1235" t="s">
        <v>45</v>
      </c>
      <c r="E1235">
        <v>1552</v>
      </c>
      <c r="F1235">
        <v>5</v>
      </c>
      <c r="G1235">
        <v>5</v>
      </c>
      <c r="H1235">
        <v>1</v>
      </c>
      <c r="I1235">
        <v>1</v>
      </c>
      <c r="J1235">
        <v>0.84661172161172205</v>
      </c>
      <c r="K1235">
        <v>0.94778966961377398</v>
      </c>
      <c r="L1235">
        <v>0.89434821867755299</v>
      </c>
      <c r="M1235">
        <v>0.69805194805194803</v>
      </c>
      <c r="N1235">
        <v>1</v>
      </c>
      <c r="O1235">
        <v>0.76428571428571401</v>
      </c>
      <c r="P1235" t="s">
        <v>5122</v>
      </c>
      <c r="Q1235" t="s">
        <v>5123</v>
      </c>
      <c r="R1235" t="s">
        <v>869</v>
      </c>
      <c r="S1235" t="s">
        <v>870</v>
      </c>
      <c r="T1235" t="s">
        <v>5124</v>
      </c>
      <c r="U1235" t="s">
        <v>5125</v>
      </c>
      <c r="V1235" t="s">
        <v>5126</v>
      </c>
      <c r="W1235" t="s">
        <v>5127</v>
      </c>
      <c r="X1235" t="s">
        <v>5126</v>
      </c>
      <c r="Y1235" t="s">
        <v>3682</v>
      </c>
      <c r="Z1235" t="s">
        <v>3683</v>
      </c>
      <c r="AA1235" t="s">
        <v>3684</v>
      </c>
      <c r="AB1235" t="s">
        <v>3683</v>
      </c>
      <c r="AC1235" t="s">
        <v>1094</v>
      </c>
      <c r="AD1235" t="s">
        <v>219</v>
      </c>
      <c r="AE1235" t="s">
        <v>5128</v>
      </c>
      <c r="AF1235" t="s">
        <v>5132</v>
      </c>
    </row>
    <row r="1236" spans="1:32" hidden="1" x14ac:dyDescent="0.35">
      <c r="A1236">
        <v>819</v>
      </c>
      <c r="B1236" t="s">
        <v>1689</v>
      </c>
      <c r="C1236" t="s">
        <v>72</v>
      </c>
      <c r="D1236" t="s">
        <v>58</v>
      </c>
      <c r="E1236">
        <v>847</v>
      </c>
      <c r="F1236">
        <v>5</v>
      </c>
      <c r="G1236">
        <v>5</v>
      </c>
      <c r="H1236">
        <v>1</v>
      </c>
      <c r="I1236">
        <v>1</v>
      </c>
      <c r="J1236">
        <v>0.73184357541899403</v>
      </c>
      <c r="K1236">
        <v>0.94892794987817697</v>
      </c>
      <c r="L1236">
        <v>0.82636671695288899</v>
      </c>
      <c r="M1236">
        <v>0.48823529411764699</v>
      </c>
      <c r="N1236">
        <v>1</v>
      </c>
      <c r="O1236">
        <v>0.63882352941176501</v>
      </c>
      <c r="P1236" t="s">
        <v>1690</v>
      </c>
      <c r="Q1236" t="s">
        <v>1691</v>
      </c>
      <c r="R1236" t="s">
        <v>113</v>
      </c>
      <c r="S1236" t="s">
        <v>114</v>
      </c>
      <c r="T1236" t="s">
        <v>1692</v>
      </c>
      <c r="U1236" t="s">
        <v>1693</v>
      </c>
      <c r="V1236" t="s">
        <v>1694</v>
      </c>
      <c r="W1236" t="s">
        <v>1695</v>
      </c>
      <c r="AD1236" t="s">
        <v>312</v>
      </c>
      <c r="AE1236" t="s">
        <v>805</v>
      </c>
      <c r="AF1236" t="e">
        <f>---------MSSSRAARHQHILNLLEHHVVHNQQQLQSLLDEAGMAVTQATLSRDLDELGIIKVKPSDGSGARYAVPHSDAPITEGSSGPRDKLRKVLDDLLVSADFSGTMAVLKTPAGAAQFLASFIDRAALHNAVGCIAGDDTIFVLARSPYTGEQLAEQLRTGEGLE</f>
        <v>#NAME?</v>
      </c>
    </row>
    <row r="1237" spans="1:32" hidden="1" x14ac:dyDescent="0.35">
      <c r="A1237">
        <v>2485</v>
      </c>
      <c r="B1237" t="s">
        <v>5144</v>
      </c>
      <c r="C1237" t="s">
        <v>72</v>
      </c>
      <c r="D1237" t="s">
        <v>60</v>
      </c>
      <c r="E1237">
        <v>1904</v>
      </c>
      <c r="F1237">
        <v>5</v>
      </c>
      <c r="G1237">
        <v>5</v>
      </c>
      <c r="H1237">
        <v>1</v>
      </c>
      <c r="I1237">
        <v>1</v>
      </c>
      <c r="J1237">
        <v>0.805077143882311</v>
      </c>
      <c r="K1237">
        <v>0.97565409586959495</v>
      </c>
      <c r="L1237">
        <v>0.88219580292105804</v>
      </c>
      <c r="M1237">
        <v>0.64566929133858297</v>
      </c>
      <c r="N1237">
        <v>1</v>
      </c>
      <c r="O1237">
        <v>0.72729658792650898</v>
      </c>
      <c r="P1237" t="s">
        <v>2848</v>
      </c>
      <c r="Q1237" t="s">
        <v>2849</v>
      </c>
      <c r="R1237" t="s">
        <v>869</v>
      </c>
      <c r="S1237" t="s">
        <v>870</v>
      </c>
      <c r="T1237" t="s">
        <v>5145</v>
      </c>
      <c r="U1237" t="s">
        <v>5146</v>
      </c>
      <c r="V1237" t="s">
        <v>5147</v>
      </c>
      <c r="W1237" t="s">
        <v>5148</v>
      </c>
      <c r="X1237" t="s">
        <v>5147</v>
      </c>
      <c r="Y1237" t="s">
        <v>1153</v>
      </c>
      <c r="Z1237" t="s">
        <v>2355</v>
      </c>
      <c r="AA1237" t="s">
        <v>2356</v>
      </c>
      <c r="AB1237" t="s">
        <v>2355</v>
      </c>
      <c r="AC1237" t="s">
        <v>1094</v>
      </c>
      <c r="AD1237" t="s">
        <v>219</v>
      </c>
      <c r="AE1237" t="s">
        <v>5149</v>
      </c>
      <c r="AF1237" t="s">
        <v>5150</v>
      </c>
    </row>
    <row r="1238" spans="1:32" hidden="1" x14ac:dyDescent="0.35">
      <c r="A1238">
        <v>2486</v>
      </c>
      <c r="B1238" t="s">
        <v>5144</v>
      </c>
      <c r="C1238" t="s">
        <v>72</v>
      </c>
      <c r="D1238" t="s">
        <v>62</v>
      </c>
      <c r="E1238">
        <v>1944</v>
      </c>
      <c r="F1238">
        <v>5</v>
      </c>
      <c r="G1238">
        <v>5</v>
      </c>
      <c r="H1238">
        <v>1</v>
      </c>
      <c r="I1238">
        <v>1</v>
      </c>
      <c r="J1238">
        <v>0.805077143882311</v>
      </c>
      <c r="K1238">
        <v>0.97565409586959495</v>
      </c>
      <c r="L1238">
        <v>0.88219580292105804</v>
      </c>
      <c r="M1238">
        <v>0.64566929133858297</v>
      </c>
      <c r="N1238">
        <v>1</v>
      </c>
      <c r="O1238">
        <v>0.72729658792650898</v>
      </c>
      <c r="P1238" t="s">
        <v>2848</v>
      </c>
      <c r="Q1238" t="s">
        <v>2849</v>
      </c>
      <c r="R1238" t="s">
        <v>869</v>
      </c>
      <c r="S1238" t="s">
        <v>870</v>
      </c>
      <c r="T1238" t="s">
        <v>5145</v>
      </c>
      <c r="U1238" t="s">
        <v>5146</v>
      </c>
      <c r="V1238" t="s">
        <v>5147</v>
      </c>
      <c r="W1238" t="s">
        <v>5148</v>
      </c>
      <c r="X1238" t="s">
        <v>5147</v>
      </c>
      <c r="Y1238" t="s">
        <v>1153</v>
      </c>
      <c r="Z1238" t="s">
        <v>2355</v>
      </c>
      <c r="AA1238" t="s">
        <v>2356</v>
      </c>
      <c r="AB1238" t="s">
        <v>2355</v>
      </c>
      <c r="AC1238" t="s">
        <v>1094</v>
      </c>
      <c r="AD1238" t="s">
        <v>219</v>
      </c>
      <c r="AE1238" t="s">
        <v>5149</v>
      </c>
      <c r="AF1238" t="s">
        <v>5151</v>
      </c>
    </row>
    <row r="1239" spans="1:32" hidden="1" x14ac:dyDescent="0.35">
      <c r="A1239">
        <v>2487</v>
      </c>
      <c r="B1239" t="s">
        <v>5144</v>
      </c>
      <c r="C1239" t="s">
        <v>72</v>
      </c>
      <c r="D1239" t="s">
        <v>34</v>
      </c>
      <c r="E1239">
        <v>2256</v>
      </c>
      <c r="F1239">
        <v>5</v>
      </c>
      <c r="G1239">
        <v>5</v>
      </c>
      <c r="H1239">
        <v>1</v>
      </c>
      <c r="I1239">
        <v>1</v>
      </c>
      <c r="J1239">
        <v>0.805077143882311</v>
      </c>
      <c r="K1239">
        <v>0.97565409586959495</v>
      </c>
      <c r="L1239">
        <v>0.88219580292105804</v>
      </c>
      <c r="M1239">
        <v>0.64566929133858297</v>
      </c>
      <c r="N1239">
        <v>1</v>
      </c>
      <c r="O1239">
        <v>0.72729658792650898</v>
      </c>
      <c r="P1239" t="s">
        <v>2848</v>
      </c>
      <c r="Q1239" t="s">
        <v>2849</v>
      </c>
      <c r="R1239" t="s">
        <v>869</v>
      </c>
      <c r="S1239" t="s">
        <v>870</v>
      </c>
      <c r="T1239" t="s">
        <v>5145</v>
      </c>
      <c r="U1239" t="s">
        <v>5146</v>
      </c>
      <c r="V1239" t="s">
        <v>5147</v>
      </c>
      <c r="W1239" t="s">
        <v>5148</v>
      </c>
      <c r="X1239" t="s">
        <v>5147</v>
      </c>
      <c r="Y1239" t="s">
        <v>1153</v>
      </c>
      <c r="Z1239" t="s">
        <v>2355</v>
      </c>
      <c r="AA1239" t="s">
        <v>2356</v>
      </c>
      <c r="AB1239" t="s">
        <v>2355</v>
      </c>
      <c r="AC1239" t="s">
        <v>1094</v>
      </c>
      <c r="AD1239" t="s">
        <v>219</v>
      </c>
      <c r="AE1239" t="s">
        <v>5149</v>
      </c>
      <c r="AF1239" t="s">
        <v>5152</v>
      </c>
    </row>
    <row r="1240" spans="1:32" hidden="1" x14ac:dyDescent="0.35">
      <c r="A1240">
        <v>2488</v>
      </c>
      <c r="B1240" t="s">
        <v>5144</v>
      </c>
      <c r="C1240" t="s">
        <v>72</v>
      </c>
      <c r="D1240" t="s">
        <v>45</v>
      </c>
      <c r="E1240">
        <v>621</v>
      </c>
      <c r="F1240">
        <v>5</v>
      </c>
      <c r="G1240">
        <v>5</v>
      </c>
      <c r="H1240">
        <v>1</v>
      </c>
      <c r="I1240">
        <v>1</v>
      </c>
      <c r="J1240">
        <v>0.805077143882311</v>
      </c>
      <c r="K1240">
        <v>0.97565409586959495</v>
      </c>
      <c r="L1240">
        <v>0.88219580292105804</v>
      </c>
      <c r="M1240">
        <v>0.64566929133858297</v>
      </c>
      <c r="N1240">
        <v>1</v>
      </c>
      <c r="O1240">
        <v>0.72729658792650898</v>
      </c>
      <c r="P1240" t="s">
        <v>2848</v>
      </c>
      <c r="Q1240" t="s">
        <v>2849</v>
      </c>
      <c r="R1240" t="s">
        <v>869</v>
      </c>
      <c r="S1240" t="s">
        <v>870</v>
      </c>
      <c r="T1240" t="s">
        <v>5145</v>
      </c>
      <c r="U1240" t="s">
        <v>5146</v>
      </c>
      <c r="V1240" t="s">
        <v>5147</v>
      </c>
      <c r="W1240" t="s">
        <v>5148</v>
      </c>
      <c r="X1240" t="s">
        <v>5147</v>
      </c>
      <c r="Y1240" t="s">
        <v>1153</v>
      </c>
      <c r="Z1240" t="s">
        <v>2355</v>
      </c>
      <c r="AA1240" t="s">
        <v>2356</v>
      </c>
      <c r="AB1240" t="s">
        <v>2355</v>
      </c>
      <c r="AC1240" t="s">
        <v>1094</v>
      </c>
      <c r="AD1240" t="s">
        <v>219</v>
      </c>
      <c r="AE1240" t="s">
        <v>5149</v>
      </c>
      <c r="AF1240" t="s">
        <v>5152</v>
      </c>
    </row>
    <row r="1241" spans="1:32" hidden="1" x14ac:dyDescent="0.35">
      <c r="A1241">
        <v>4634</v>
      </c>
      <c r="B1241" t="s">
        <v>9688</v>
      </c>
      <c r="C1241" t="s">
        <v>10127</v>
      </c>
      <c r="D1241" t="s">
        <v>58</v>
      </c>
      <c r="E1241">
        <v>851</v>
      </c>
      <c r="F1241">
        <v>5</v>
      </c>
      <c r="G1241">
        <v>5</v>
      </c>
      <c r="H1241">
        <v>1</v>
      </c>
      <c r="I1241">
        <v>1</v>
      </c>
      <c r="J1241">
        <v>0.89469633361320999</v>
      </c>
      <c r="K1241">
        <v>0.98049128165967003</v>
      </c>
      <c r="L1241">
        <v>0.93563113119533503</v>
      </c>
      <c r="M1241">
        <v>0.79629629629629595</v>
      </c>
      <c r="N1241">
        <v>0.99794238683127601</v>
      </c>
      <c r="O1241">
        <v>0.86028806584362105</v>
      </c>
      <c r="P1241" t="s">
        <v>2503</v>
      </c>
      <c r="Q1241" t="s">
        <v>2504</v>
      </c>
      <c r="R1241" t="s">
        <v>235</v>
      </c>
      <c r="S1241" t="s">
        <v>236</v>
      </c>
      <c r="T1241" t="s">
        <v>9689</v>
      </c>
      <c r="U1241" t="s">
        <v>9690</v>
      </c>
      <c r="V1241" t="s">
        <v>9691</v>
      </c>
      <c r="W1241" t="s">
        <v>9692</v>
      </c>
      <c r="X1241" t="s">
        <v>9691</v>
      </c>
      <c r="Y1241" t="s">
        <v>2932</v>
      </c>
      <c r="Z1241" t="s">
        <v>6049</v>
      </c>
      <c r="AA1241" t="s">
        <v>6050</v>
      </c>
      <c r="AB1241" t="s">
        <v>6049</v>
      </c>
      <c r="AC1241" t="s">
        <v>6051</v>
      </c>
      <c r="AD1241" t="s">
        <v>6052</v>
      </c>
      <c r="AE1241" t="s">
        <v>9693</v>
      </c>
      <c r="AF1241" t="s">
        <v>9694</v>
      </c>
    </row>
    <row r="1242" spans="1:32" hidden="1" x14ac:dyDescent="0.35">
      <c r="A1242">
        <v>2580</v>
      </c>
      <c r="B1242" t="s">
        <v>5335</v>
      </c>
      <c r="C1242" t="s">
        <v>72</v>
      </c>
      <c r="D1242" t="s">
        <v>60</v>
      </c>
      <c r="E1242">
        <v>1372</v>
      </c>
      <c r="F1242">
        <v>5</v>
      </c>
      <c r="G1242">
        <v>5</v>
      </c>
      <c r="H1242">
        <v>1</v>
      </c>
      <c r="I1242">
        <v>1</v>
      </c>
      <c r="J1242">
        <v>0.85459162775456698</v>
      </c>
      <c r="K1242">
        <v>0.98767332813643705</v>
      </c>
      <c r="L1242">
        <v>0.91632569406789099</v>
      </c>
      <c r="M1242">
        <v>0.74271844660194197</v>
      </c>
      <c r="N1242">
        <v>1</v>
      </c>
      <c r="O1242">
        <v>0.80558252427184496</v>
      </c>
      <c r="P1242" t="s">
        <v>5336</v>
      </c>
      <c r="Q1242" t="s">
        <v>5337</v>
      </c>
      <c r="R1242" t="s">
        <v>869</v>
      </c>
      <c r="S1242" t="s">
        <v>870</v>
      </c>
      <c r="T1242" t="s">
        <v>5338</v>
      </c>
      <c r="U1242" t="s">
        <v>5339</v>
      </c>
      <c r="V1242" t="s">
        <v>5340</v>
      </c>
      <c r="W1242" t="s">
        <v>5341</v>
      </c>
      <c r="X1242" t="s">
        <v>5340</v>
      </c>
      <c r="Y1242" t="s">
        <v>2431</v>
      </c>
      <c r="Z1242" t="s">
        <v>5342</v>
      </c>
      <c r="AA1242" t="s">
        <v>5343</v>
      </c>
      <c r="AB1242" t="s">
        <v>5342</v>
      </c>
      <c r="AC1242" t="s">
        <v>5344</v>
      </c>
      <c r="AD1242" t="s">
        <v>951</v>
      </c>
      <c r="AE1242" t="s">
        <v>5345</v>
      </c>
      <c r="AF1242" t="s">
        <v>5347</v>
      </c>
    </row>
    <row r="1243" spans="1:32" hidden="1" x14ac:dyDescent="0.35">
      <c r="A1243">
        <v>2581</v>
      </c>
      <c r="B1243" t="s">
        <v>5335</v>
      </c>
      <c r="C1243" t="s">
        <v>72</v>
      </c>
      <c r="D1243" t="s">
        <v>62</v>
      </c>
      <c r="E1243">
        <v>1407</v>
      </c>
      <c r="F1243">
        <v>5</v>
      </c>
      <c r="G1243">
        <v>5</v>
      </c>
      <c r="H1243">
        <v>1</v>
      </c>
      <c r="I1243">
        <v>1</v>
      </c>
      <c r="J1243">
        <v>0.85459162775456698</v>
      </c>
      <c r="K1243">
        <v>0.98767332813643705</v>
      </c>
      <c r="L1243">
        <v>0.91632569406789099</v>
      </c>
      <c r="M1243">
        <v>0.74271844660194197</v>
      </c>
      <c r="N1243">
        <v>1</v>
      </c>
      <c r="O1243">
        <v>0.80558252427184496</v>
      </c>
      <c r="P1243" t="s">
        <v>5336</v>
      </c>
      <c r="Q1243" t="s">
        <v>5337</v>
      </c>
      <c r="R1243" t="s">
        <v>869</v>
      </c>
      <c r="S1243" t="s">
        <v>870</v>
      </c>
      <c r="T1243" t="s">
        <v>5338</v>
      </c>
      <c r="U1243" t="s">
        <v>5339</v>
      </c>
      <c r="V1243" t="s">
        <v>5340</v>
      </c>
      <c r="W1243" t="s">
        <v>5341</v>
      </c>
      <c r="X1243" t="s">
        <v>5340</v>
      </c>
      <c r="Y1243" t="s">
        <v>2431</v>
      </c>
      <c r="Z1243" t="s">
        <v>5342</v>
      </c>
      <c r="AA1243" t="s">
        <v>5343</v>
      </c>
      <c r="AB1243" t="s">
        <v>5342</v>
      </c>
      <c r="AC1243" t="s">
        <v>5344</v>
      </c>
      <c r="AD1243" t="s">
        <v>951</v>
      </c>
      <c r="AE1243" t="s">
        <v>5345</v>
      </c>
      <c r="AF1243" t="s">
        <v>5347</v>
      </c>
    </row>
    <row r="1244" spans="1:32" hidden="1" x14ac:dyDescent="0.35">
      <c r="A1244">
        <v>2582</v>
      </c>
      <c r="B1244" t="s">
        <v>5335</v>
      </c>
      <c r="C1244" t="s">
        <v>72</v>
      </c>
      <c r="D1244" t="s">
        <v>34</v>
      </c>
      <c r="E1244">
        <v>1799</v>
      </c>
      <c r="F1244">
        <v>5</v>
      </c>
      <c r="G1244">
        <v>5</v>
      </c>
      <c r="H1244">
        <v>1</v>
      </c>
      <c r="I1244">
        <v>1</v>
      </c>
      <c r="J1244">
        <v>0.85459162775456698</v>
      </c>
      <c r="K1244">
        <v>0.98767332813643705</v>
      </c>
      <c r="L1244">
        <v>0.91632569406789099</v>
      </c>
      <c r="M1244">
        <v>0.74271844660194197</v>
      </c>
      <c r="N1244">
        <v>1</v>
      </c>
      <c r="O1244">
        <v>0.80558252427184496</v>
      </c>
      <c r="P1244" t="s">
        <v>5336</v>
      </c>
      <c r="Q1244" t="s">
        <v>5337</v>
      </c>
      <c r="R1244" t="s">
        <v>869</v>
      </c>
      <c r="S1244" t="s">
        <v>870</v>
      </c>
      <c r="T1244" t="s">
        <v>5338</v>
      </c>
      <c r="U1244" t="s">
        <v>5339</v>
      </c>
      <c r="V1244" t="s">
        <v>5340</v>
      </c>
      <c r="W1244" t="s">
        <v>5341</v>
      </c>
      <c r="X1244" t="s">
        <v>5340</v>
      </c>
      <c r="Y1244" t="s">
        <v>2431</v>
      </c>
      <c r="Z1244" t="s">
        <v>5342</v>
      </c>
      <c r="AA1244" t="s">
        <v>5343</v>
      </c>
      <c r="AB1244" t="s">
        <v>5342</v>
      </c>
      <c r="AC1244" t="s">
        <v>5344</v>
      </c>
      <c r="AD1244" t="s">
        <v>951</v>
      </c>
      <c r="AE1244" t="s">
        <v>5345</v>
      </c>
      <c r="AF1244" t="s">
        <v>5348</v>
      </c>
    </row>
    <row r="1245" spans="1:32" hidden="1" x14ac:dyDescent="0.35">
      <c r="A1245">
        <v>2583</v>
      </c>
      <c r="B1245" t="s">
        <v>5335</v>
      </c>
      <c r="C1245" t="s">
        <v>72</v>
      </c>
      <c r="D1245" t="s">
        <v>45</v>
      </c>
      <c r="E1245">
        <v>1074</v>
      </c>
      <c r="F1245">
        <v>5</v>
      </c>
      <c r="G1245">
        <v>5</v>
      </c>
      <c r="H1245">
        <v>1</v>
      </c>
      <c r="I1245">
        <v>1</v>
      </c>
      <c r="J1245">
        <v>0.85459162775456698</v>
      </c>
      <c r="K1245">
        <v>0.98767332813643705</v>
      </c>
      <c r="L1245">
        <v>0.91632569406789099</v>
      </c>
      <c r="M1245">
        <v>0.74271844660194197</v>
      </c>
      <c r="N1245">
        <v>1</v>
      </c>
      <c r="O1245">
        <v>0.80558252427184496</v>
      </c>
      <c r="P1245" t="s">
        <v>5336</v>
      </c>
      <c r="Q1245" t="s">
        <v>5337</v>
      </c>
      <c r="R1245" t="s">
        <v>869</v>
      </c>
      <c r="S1245" t="s">
        <v>870</v>
      </c>
      <c r="T1245" t="s">
        <v>5338</v>
      </c>
      <c r="U1245" t="s">
        <v>5339</v>
      </c>
      <c r="V1245" t="s">
        <v>5340</v>
      </c>
      <c r="W1245" t="s">
        <v>5341</v>
      </c>
      <c r="X1245" t="s">
        <v>5340</v>
      </c>
      <c r="Y1245" t="s">
        <v>2431</v>
      </c>
      <c r="Z1245" t="s">
        <v>5342</v>
      </c>
      <c r="AA1245" t="s">
        <v>5343</v>
      </c>
      <c r="AB1245" t="s">
        <v>5342</v>
      </c>
      <c r="AC1245" t="s">
        <v>5344</v>
      </c>
      <c r="AD1245" t="s">
        <v>951</v>
      </c>
      <c r="AE1245" t="s">
        <v>5345</v>
      </c>
      <c r="AF1245" t="s">
        <v>5349</v>
      </c>
    </row>
    <row r="1246" spans="1:32" hidden="1" x14ac:dyDescent="0.35">
      <c r="A1246">
        <v>2929</v>
      </c>
      <c r="B1246" t="s">
        <v>6042</v>
      </c>
      <c r="C1246" t="s">
        <v>72</v>
      </c>
      <c r="D1246" t="s">
        <v>58</v>
      </c>
      <c r="E1246">
        <v>850</v>
      </c>
      <c r="F1246">
        <v>5</v>
      </c>
      <c r="G1246">
        <v>5</v>
      </c>
      <c r="H1246">
        <v>1</v>
      </c>
      <c r="I1246">
        <v>1</v>
      </c>
      <c r="J1246">
        <v>0.94080214351503</v>
      </c>
      <c r="K1246">
        <v>0.99774436090225704</v>
      </c>
      <c r="L1246">
        <v>0.968436951373562</v>
      </c>
      <c r="M1246">
        <v>0.88721804511278202</v>
      </c>
      <c r="N1246">
        <v>1</v>
      </c>
      <c r="O1246">
        <v>0.918546365914787</v>
      </c>
      <c r="P1246" t="s">
        <v>6043</v>
      </c>
      <c r="Q1246" t="s">
        <v>6044</v>
      </c>
      <c r="R1246" t="s">
        <v>235</v>
      </c>
      <c r="S1246" t="s">
        <v>236</v>
      </c>
      <c r="T1246" t="s">
        <v>6045</v>
      </c>
      <c r="U1246" t="s">
        <v>6046</v>
      </c>
      <c r="V1246" t="s">
        <v>6047</v>
      </c>
      <c r="W1246" t="s">
        <v>6048</v>
      </c>
      <c r="X1246" t="s">
        <v>6047</v>
      </c>
      <c r="Y1246" t="s">
        <v>2932</v>
      </c>
      <c r="Z1246" t="s">
        <v>6049</v>
      </c>
      <c r="AA1246" t="s">
        <v>6050</v>
      </c>
      <c r="AB1246" t="s">
        <v>6049</v>
      </c>
      <c r="AC1246" t="s">
        <v>6051</v>
      </c>
      <c r="AD1246" t="s">
        <v>6052</v>
      </c>
      <c r="AE1246" t="s">
        <v>6053</v>
      </c>
      <c r="AF1246" t="s">
        <v>6054</v>
      </c>
    </row>
    <row r="1247" spans="1:32" hidden="1" x14ac:dyDescent="0.35">
      <c r="A1247">
        <v>2600</v>
      </c>
      <c r="B1247" t="s">
        <v>5381</v>
      </c>
      <c r="C1247" t="s">
        <v>72</v>
      </c>
      <c r="D1247" t="s">
        <v>60</v>
      </c>
      <c r="E1247">
        <v>778</v>
      </c>
      <c r="F1247">
        <v>5</v>
      </c>
      <c r="G1247">
        <v>5</v>
      </c>
      <c r="H1247">
        <v>1</v>
      </c>
      <c r="I1247">
        <v>1</v>
      </c>
      <c r="J1247">
        <v>0.85660554771979303</v>
      </c>
      <c r="K1247">
        <v>0.95920627173448503</v>
      </c>
      <c r="L1247">
        <v>0.90500723144573503</v>
      </c>
      <c r="M1247">
        <v>0.70945945945945899</v>
      </c>
      <c r="N1247">
        <v>1</v>
      </c>
      <c r="O1247">
        <v>0.786036036036036</v>
      </c>
      <c r="P1247" t="s">
        <v>5382</v>
      </c>
      <c r="Q1247" t="s">
        <v>5383</v>
      </c>
      <c r="R1247" t="s">
        <v>869</v>
      </c>
      <c r="S1247" t="s">
        <v>870</v>
      </c>
      <c r="T1247" t="s">
        <v>5384</v>
      </c>
      <c r="U1247" t="s">
        <v>5385</v>
      </c>
      <c r="V1247" t="s">
        <v>5386</v>
      </c>
      <c r="W1247" t="s">
        <v>5387</v>
      </c>
      <c r="X1247" t="s">
        <v>5386</v>
      </c>
      <c r="Y1247" t="s">
        <v>2116</v>
      </c>
      <c r="Z1247" t="s">
        <v>5388</v>
      </c>
      <c r="AA1247" t="s">
        <v>5389</v>
      </c>
      <c r="AB1247" t="s">
        <v>5388</v>
      </c>
      <c r="AC1247" t="s">
        <v>1094</v>
      </c>
      <c r="AD1247" t="s">
        <v>219</v>
      </c>
      <c r="AE1247" t="s">
        <v>5390</v>
      </c>
      <c r="AF1247" t="s">
        <v>5392</v>
      </c>
    </row>
    <row r="1248" spans="1:32" hidden="1" x14ac:dyDescent="0.35">
      <c r="A1248">
        <v>2601</v>
      </c>
      <c r="B1248" t="s">
        <v>5381</v>
      </c>
      <c r="C1248" t="s">
        <v>72</v>
      </c>
      <c r="D1248" t="s">
        <v>62</v>
      </c>
      <c r="E1248">
        <v>811</v>
      </c>
      <c r="F1248">
        <v>5</v>
      </c>
      <c r="G1248">
        <v>5</v>
      </c>
      <c r="H1248">
        <v>1</v>
      </c>
      <c r="I1248">
        <v>1</v>
      </c>
      <c r="J1248">
        <v>0.85660554771979303</v>
      </c>
      <c r="K1248">
        <v>0.95920627173448503</v>
      </c>
      <c r="L1248">
        <v>0.90500723144573503</v>
      </c>
      <c r="M1248">
        <v>0.70945945945945899</v>
      </c>
      <c r="N1248">
        <v>1</v>
      </c>
      <c r="O1248">
        <v>0.786036036036036</v>
      </c>
      <c r="P1248" t="s">
        <v>5382</v>
      </c>
      <c r="Q1248" t="s">
        <v>5383</v>
      </c>
      <c r="R1248" t="s">
        <v>869</v>
      </c>
      <c r="S1248" t="s">
        <v>870</v>
      </c>
      <c r="T1248" t="s">
        <v>5384</v>
      </c>
      <c r="U1248" t="s">
        <v>5385</v>
      </c>
      <c r="V1248" t="s">
        <v>5386</v>
      </c>
      <c r="W1248" t="s">
        <v>5387</v>
      </c>
      <c r="X1248" t="s">
        <v>5386</v>
      </c>
      <c r="Y1248" t="s">
        <v>2116</v>
      </c>
      <c r="Z1248" t="s">
        <v>5388</v>
      </c>
      <c r="AA1248" t="s">
        <v>5389</v>
      </c>
      <c r="AB1248" t="s">
        <v>5388</v>
      </c>
      <c r="AC1248" t="s">
        <v>1094</v>
      </c>
      <c r="AD1248" t="s">
        <v>219</v>
      </c>
      <c r="AE1248" t="s">
        <v>5390</v>
      </c>
      <c r="AF1248" t="s">
        <v>5392</v>
      </c>
    </row>
    <row r="1249" spans="1:32" hidden="1" x14ac:dyDescent="0.35">
      <c r="A1249">
        <v>2602</v>
      </c>
      <c r="B1249" t="s">
        <v>5381</v>
      </c>
      <c r="C1249" t="s">
        <v>72</v>
      </c>
      <c r="D1249" t="s">
        <v>34</v>
      </c>
      <c r="E1249">
        <v>354</v>
      </c>
      <c r="F1249">
        <v>5</v>
      </c>
      <c r="G1249">
        <v>5</v>
      </c>
      <c r="H1249">
        <v>1</v>
      </c>
      <c r="I1249">
        <v>1</v>
      </c>
      <c r="J1249">
        <v>0.85660554771979303</v>
      </c>
      <c r="K1249">
        <v>0.95920627173448503</v>
      </c>
      <c r="L1249">
        <v>0.90500723144573503</v>
      </c>
      <c r="M1249">
        <v>0.70945945945945899</v>
      </c>
      <c r="N1249">
        <v>1</v>
      </c>
      <c r="O1249">
        <v>0.786036036036036</v>
      </c>
      <c r="P1249" t="s">
        <v>5382</v>
      </c>
      <c r="Q1249" t="s">
        <v>5383</v>
      </c>
      <c r="R1249" t="s">
        <v>869</v>
      </c>
      <c r="S1249" t="s">
        <v>870</v>
      </c>
      <c r="T1249" t="s">
        <v>5384</v>
      </c>
      <c r="U1249" t="s">
        <v>5385</v>
      </c>
      <c r="V1249" t="s">
        <v>5386</v>
      </c>
      <c r="W1249" t="s">
        <v>5387</v>
      </c>
      <c r="X1249" t="s">
        <v>5386</v>
      </c>
      <c r="Y1249" t="s">
        <v>2116</v>
      </c>
      <c r="Z1249" t="s">
        <v>5388</v>
      </c>
      <c r="AA1249" t="s">
        <v>5389</v>
      </c>
      <c r="AB1249" t="s">
        <v>5388</v>
      </c>
      <c r="AC1249" t="s">
        <v>1094</v>
      </c>
      <c r="AD1249" t="s">
        <v>219</v>
      </c>
      <c r="AE1249" t="s">
        <v>5390</v>
      </c>
      <c r="AF1249" t="s">
        <v>5393</v>
      </c>
    </row>
    <row r="1250" spans="1:32" hidden="1" x14ac:dyDescent="0.35">
      <c r="A1250">
        <v>2603</v>
      </c>
      <c r="B1250" t="s">
        <v>5381</v>
      </c>
      <c r="C1250" t="s">
        <v>72</v>
      </c>
      <c r="D1250" t="s">
        <v>45</v>
      </c>
      <c r="E1250">
        <v>1616</v>
      </c>
      <c r="F1250">
        <v>5</v>
      </c>
      <c r="G1250">
        <v>5</v>
      </c>
      <c r="H1250">
        <v>1</v>
      </c>
      <c r="I1250">
        <v>1</v>
      </c>
      <c r="J1250">
        <v>0.85660554771979303</v>
      </c>
      <c r="K1250">
        <v>0.95920627173448503</v>
      </c>
      <c r="L1250">
        <v>0.90500723144573503</v>
      </c>
      <c r="M1250">
        <v>0.70945945945945899</v>
      </c>
      <c r="N1250">
        <v>1</v>
      </c>
      <c r="O1250">
        <v>0.786036036036036</v>
      </c>
      <c r="P1250" t="s">
        <v>5382</v>
      </c>
      <c r="Q1250" t="s">
        <v>5383</v>
      </c>
      <c r="R1250" t="s">
        <v>869</v>
      </c>
      <c r="S1250" t="s">
        <v>870</v>
      </c>
      <c r="T1250" t="s">
        <v>5384</v>
      </c>
      <c r="U1250" t="s">
        <v>5385</v>
      </c>
      <c r="V1250" t="s">
        <v>5386</v>
      </c>
      <c r="W1250" t="s">
        <v>5387</v>
      </c>
      <c r="X1250" t="s">
        <v>5386</v>
      </c>
      <c r="Y1250" t="s">
        <v>2116</v>
      </c>
      <c r="Z1250" t="s">
        <v>5388</v>
      </c>
      <c r="AA1250" t="s">
        <v>5389</v>
      </c>
      <c r="AB1250" t="s">
        <v>5388</v>
      </c>
      <c r="AC1250" t="s">
        <v>1094</v>
      </c>
      <c r="AD1250" t="s">
        <v>219</v>
      </c>
      <c r="AE1250" t="s">
        <v>5390</v>
      </c>
      <c r="AF1250" t="s">
        <v>5393</v>
      </c>
    </row>
    <row r="1251" spans="1:32" hidden="1" x14ac:dyDescent="0.35">
      <c r="A1251">
        <v>3424</v>
      </c>
      <c r="B1251" t="s">
        <v>7026</v>
      </c>
      <c r="C1251" t="s">
        <v>72</v>
      </c>
      <c r="D1251" t="s">
        <v>58</v>
      </c>
      <c r="E1251">
        <v>754</v>
      </c>
      <c r="F1251">
        <v>5</v>
      </c>
      <c r="G1251">
        <v>5</v>
      </c>
      <c r="H1251">
        <v>1</v>
      </c>
      <c r="I1251">
        <v>1</v>
      </c>
      <c r="J1251">
        <v>0.84582803896654002</v>
      </c>
      <c r="K1251">
        <v>0.98911822068377797</v>
      </c>
      <c r="L1251">
        <v>0.911878394810829</v>
      </c>
      <c r="M1251">
        <v>0.71095152603231604</v>
      </c>
      <c r="N1251">
        <v>1</v>
      </c>
      <c r="O1251">
        <v>0.79353680430879703</v>
      </c>
      <c r="P1251" t="s">
        <v>7027</v>
      </c>
      <c r="Q1251" t="s">
        <v>7028</v>
      </c>
      <c r="R1251" t="s">
        <v>224</v>
      </c>
      <c r="S1251" t="s">
        <v>225</v>
      </c>
      <c r="T1251" t="s">
        <v>7029</v>
      </c>
      <c r="U1251" t="s">
        <v>7030</v>
      </c>
      <c r="V1251" t="s">
        <v>7031</v>
      </c>
      <c r="W1251" t="s">
        <v>7032</v>
      </c>
      <c r="X1251" t="s">
        <v>7031</v>
      </c>
      <c r="Y1251" t="s">
        <v>589</v>
      </c>
      <c r="AD1251" t="s">
        <v>7033</v>
      </c>
      <c r="AE1251" t="s">
        <v>7034</v>
      </c>
      <c r="AF1251" t="s">
        <v>7035</v>
      </c>
    </row>
    <row r="1252" spans="1:32" hidden="1" x14ac:dyDescent="0.35">
      <c r="A1252">
        <v>2760</v>
      </c>
      <c r="B1252" t="s">
        <v>5709</v>
      </c>
      <c r="C1252" t="s">
        <v>72</v>
      </c>
      <c r="D1252" t="s">
        <v>60</v>
      </c>
      <c r="E1252">
        <v>1302</v>
      </c>
      <c r="F1252">
        <v>5</v>
      </c>
      <c r="G1252">
        <v>5</v>
      </c>
      <c r="H1252">
        <v>1</v>
      </c>
      <c r="I1252">
        <v>1</v>
      </c>
      <c r="J1252">
        <v>0.86383204741138297</v>
      </c>
      <c r="K1252">
        <v>0.95423283772982603</v>
      </c>
      <c r="L1252">
        <v>0.90678491473015499</v>
      </c>
      <c r="M1252">
        <v>0.71382893685051996</v>
      </c>
      <c r="N1252">
        <v>1</v>
      </c>
      <c r="O1252">
        <v>0.79352517985611504</v>
      </c>
      <c r="P1252" t="s">
        <v>5710</v>
      </c>
      <c r="Q1252" t="s">
        <v>5711</v>
      </c>
      <c r="R1252" t="s">
        <v>869</v>
      </c>
      <c r="S1252" t="s">
        <v>870</v>
      </c>
      <c r="T1252" t="s">
        <v>5712</v>
      </c>
      <c r="U1252" t="s">
        <v>5713</v>
      </c>
      <c r="V1252" t="s">
        <v>5714</v>
      </c>
      <c r="W1252" t="s">
        <v>5715</v>
      </c>
      <c r="X1252" t="s">
        <v>5714</v>
      </c>
      <c r="Y1252" t="s">
        <v>1091</v>
      </c>
      <c r="Z1252" t="s">
        <v>5716</v>
      </c>
      <c r="AA1252" t="s">
        <v>5717</v>
      </c>
      <c r="AB1252" t="s">
        <v>5716</v>
      </c>
      <c r="AC1252" t="s">
        <v>1094</v>
      </c>
      <c r="AD1252" t="s">
        <v>219</v>
      </c>
      <c r="AE1252" t="s">
        <v>5718</v>
      </c>
      <c r="AF1252" t="s">
        <v>5720</v>
      </c>
    </row>
    <row r="1253" spans="1:32" hidden="1" x14ac:dyDescent="0.35">
      <c r="A1253">
        <v>2761</v>
      </c>
      <c r="B1253" t="s">
        <v>5709</v>
      </c>
      <c r="C1253" t="s">
        <v>72</v>
      </c>
      <c r="D1253" t="s">
        <v>62</v>
      </c>
      <c r="E1253">
        <v>1338</v>
      </c>
      <c r="F1253">
        <v>5</v>
      </c>
      <c r="G1253">
        <v>5</v>
      </c>
      <c r="H1253">
        <v>1</v>
      </c>
      <c r="I1253">
        <v>1</v>
      </c>
      <c r="J1253">
        <v>0.86383204741138297</v>
      </c>
      <c r="K1253">
        <v>0.95423283772982603</v>
      </c>
      <c r="L1253">
        <v>0.90678491473015499</v>
      </c>
      <c r="M1253">
        <v>0.71382893685051996</v>
      </c>
      <c r="N1253">
        <v>1</v>
      </c>
      <c r="O1253">
        <v>0.79352517985611504</v>
      </c>
      <c r="P1253" t="s">
        <v>5710</v>
      </c>
      <c r="Q1253" t="s">
        <v>5711</v>
      </c>
      <c r="R1253" t="s">
        <v>869</v>
      </c>
      <c r="S1253" t="s">
        <v>870</v>
      </c>
      <c r="T1253" t="s">
        <v>5712</v>
      </c>
      <c r="U1253" t="s">
        <v>5713</v>
      </c>
      <c r="V1253" t="s">
        <v>5714</v>
      </c>
      <c r="W1253" t="s">
        <v>5715</v>
      </c>
      <c r="X1253" t="s">
        <v>5714</v>
      </c>
      <c r="Y1253" t="s">
        <v>1091</v>
      </c>
      <c r="Z1253" t="s">
        <v>5716</v>
      </c>
      <c r="AA1253" t="s">
        <v>5717</v>
      </c>
      <c r="AB1253" t="s">
        <v>5716</v>
      </c>
      <c r="AC1253" t="s">
        <v>1094</v>
      </c>
      <c r="AD1253" t="s">
        <v>219</v>
      </c>
      <c r="AE1253" t="s">
        <v>5718</v>
      </c>
      <c r="AF1253" t="s">
        <v>5720</v>
      </c>
    </row>
    <row r="1254" spans="1:32" hidden="1" x14ac:dyDescent="0.35">
      <c r="A1254">
        <v>2762</v>
      </c>
      <c r="B1254" t="s">
        <v>5709</v>
      </c>
      <c r="C1254" t="s">
        <v>72</v>
      </c>
      <c r="D1254" t="s">
        <v>34</v>
      </c>
      <c r="E1254">
        <v>1698</v>
      </c>
      <c r="F1254">
        <v>5</v>
      </c>
      <c r="G1254">
        <v>5</v>
      </c>
      <c r="H1254">
        <v>1</v>
      </c>
      <c r="I1254">
        <v>1</v>
      </c>
      <c r="J1254">
        <v>0.86383204741138297</v>
      </c>
      <c r="K1254">
        <v>0.95423283772982603</v>
      </c>
      <c r="L1254">
        <v>0.90678491473015499</v>
      </c>
      <c r="M1254">
        <v>0.71382893685051996</v>
      </c>
      <c r="N1254">
        <v>1</v>
      </c>
      <c r="O1254">
        <v>0.79352517985611504</v>
      </c>
      <c r="P1254" t="s">
        <v>5710</v>
      </c>
      <c r="Q1254" t="s">
        <v>5711</v>
      </c>
      <c r="R1254" t="s">
        <v>869</v>
      </c>
      <c r="S1254" t="s">
        <v>870</v>
      </c>
      <c r="T1254" t="s">
        <v>5712</v>
      </c>
      <c r="U1254" t="s">
        <v>5713</v>
      </c>
      <c r="V1254" t="s">
        <v>5714</v>
      </c>
      <c r="W1254" t="s">
        <v>5715</v>
      </c>
      <c r="X1254" t="s">
        <v>5714</v>
      </c>
      <c r="Y1254" t="s">
        <v>1091</v>
      </c>
      <c r="Z1254" t="s">
        <v>5716</v>
      </c>
      <c r="AA1254" t="s">
        <v>5717</v>
      </c>
      <c r="AB1254" t="s">
        <v>5716</v>
      </c>
      <c r="AC1254" t="s">
        <v>1094</v>
      </c>
      <c r="AD1254" t="s">
        <v>219</v>
      </c>
      <c r="AE1254" t="s">
        <v>5718</v>
      </c>
      <c r="AF1254" t="s">
        <v>5721</v>
      </c>
    </row>
    <row r="1255" spans="1:32" hidden="1" x14ac:dyDescent="0.35">
      <c r="A1255">
        <v>2763</v>
      </c>
      <c r="B1255" t="s">
        <v>5709</v>
      </c>
      <c r="C1255" t="s">
        <v>72</v>
      </c>
      <c r="D1255" t="s">
        <v>45</v>
      </c>
      <c r="E1255">
        <v>1177</v>
      </c>
      <c r="F1255">
        <v>5</v>
      </c>
      <c r="G1255">
        <v>5</v>
      </c>
      <c r="H1255">
        <v>1</v>
      </c>
      <c r="I1255">
        <v>1</v>
      </c>
      <c r="J1255">
        <v>0.86383204741138297</v>
      </c>
      <c r="K1255">
        <v>0.95423283772982603</v>
      </c>
      <c r="L1255">
        <v>0.90678491473015499</v>
      </c>
      <c r="M1255">
        <v>0.71382893685051996</v>
      </c>
      <c r="N1255">
        <v>1</v>
      </c>
      <c r="O1255">
        <v>0.79352517985611504</v>
      </c>
      <c r="P1255" t="s">
        <v>5710</v>
      </c>
      <c r="Q1255" t="s">
        <v>5711</v>
      </c>
      <c r="R1255" t="s">
        <v>869</v>
      </c>
      <c r="S1255" t="s">
        <v>870</v>
      </c>
      <c r="T1255" t="s">
        <v>5712</v>
      </c>
      <c r="U1255" t="s">
        <v>5713</v>
      </c>
      <c r="V1255" t="s">
        <v>5714</v>
      </c>
      <c r="W1255" t="s">
        <v>5715</v>
      </c>
      <c r="X1255" t="s">
        <v>5714</v>
      </c>
      <c r="Y1255" t="s">
        <v>1091</v>
      </c>
      <c r="Z1255" t="s">
        <v>5716</v>
      </c>
      <c r="AA1255" t="s">
        <v>5717</v>
      </c>
      <c r="AB1255" t="s">
        <v>5716</v>
      </c>
      <c r="AC1255" t="s">
        <v>1094</v>
      </c>
      <c r="AD1255" t="s">
        <v>219</v>
      </c>
      <c r="AE1255" t="s">
        <v>5718</v>
      </c>
      <c r="AF1255" t="s">
        <v>5722</v>
      </c>
    </row>
    <row r="1256" spans="1:32" hidden="1" x14ac:dyDescent="0.35">
      <c r="A1256">
        <v>11674</v>
      </c>
      <c r="B1256" t="s">
        <v>23939</v>
      </c>
      <c r="C1256" t="s">
        <v>33</v>
      </c>
      <c r="D1256" t="s">
        <v>58</v>
      </c>
      <c r="E1256">
        <v>622</v>
      </c>
      <c r="F1256">
        <v>1</v>
      </c>
      <c r="G1256">
        <v>1</v>
      </c>
      <c r="H1256">
        <v>1</v>
      </c>
      <c r="I1256">
        <v>0</v>
      </c>
      <c r="J1256">
        <v>1</v>
      </c>
      <c r="K1256">
        <v>1</v>
      </c>
      <c r="L1256">
        <v>1</v>
      </c>
      <c r="M1256">
        <v>0</v>
      </c>
      <c r="N1256">
        <v>0</v>
      </c>
      <c r="O1256">
        <v>0</v>
      </c>
      <c r="P1256" t="s">
        <v>23940</v>
      </c>
      <c r="Q1256" t="s">
        <v>23941</v>
      </c>
      <c r="R1256" t="s">
        <v>516</v>
      </c>
      <c r="S1256" t="s">
        <v>517</v>
      </c>
      <c r="T1256" t="s">
        <v>23942</v>
      </c>
      <c r="U1256" t="s">
        <v>23943</v>
      </c>
      <c r="V1256" t="s">
        <v>23944</v>
      </c>
      <c r="W1256" t="s">
        <v>23945</v>
      </c>
      <c r="Z1256" t="s">
        <v>22138</v>
      </c>
      <c r="AA1256" t="s">
        <v>22139</v>
      </c>
      <c r="AB1256" t="s">
        <v>22138</v>
      </c>
      <c r="AC1256" t="s">
        <v>21973</v>
      </c>
      <c r="AD1256" t="s">
        <v>219</v>
      </c>
      <c r="AE1256" t="s">
        <v>23946</v>
      </c>
      <c r="AF1256" t="s">
        <v>23947</v>
      </c>
    </row>
    <row r="1257" spans="1:32" hidden="1" x14ac:dyDescent="0.35">
      <c r="A1257">
        <v>2805</v>
      </c>
      <c r="B1257" t="s">
        <v>5800</v>
      </c>
      <c r="C1257" t="s">
        <v>72</v>
      </c>
      <c r="D1257" t="s">
        <v>60</v>
      </c>
      <c r="E1257">
        <v>2141</v>
      </c>
      <c r="F1257">
        <v>5</v>
      </c>
      <c r="G1257">
        <v>5</v>
      </c>
      <c r="H1257">
        <v>1</v>
      </c>
      <c r="I1257">
        <v>1</v>
      </c>
      <c r="J1257">
        <v>0.82113821138211396</v>
      </c>
      <c r="K1257">
        <v>0.92938730955035098</v>
      </c>
      <c r="L1257">
        <v>0.87191580347699804</v>
      </c>
      <c r="M1257">
        <v>0.67788461538461497</v>
      </c>
      <c r="N1257">
        <v>1</v>
      </c>
      <c r="O1257">
        <v>0.75192307692307703</v>
      </c>
      <c r="P1257" t="s">
        <v>5801</v>
      </c>
      <c r="Q1257" t="s">
        <v>5802</v>
      </c>
      <c r="R1257" t="s">
        <v>869</v>
      </c>
      <c r="S1257" t="s">
        <v>870</v>
      </c>
      <c r="T1257" t="s">
        <v>5803</v>
      </c>
      <c r="U1257" t="s">
        <v>3546</v>
      </c>
      <c r="V1257" t="s">
        <v>5804</v>
      </c>
      <c r="W1257" t="s">
        <v>5805</v>
      </c>
      <c r="X1257" t="s">
        <v>5804</v>
      </c>
      <c r="Y1257" t="s">
        <v>1091</v>
      </c>
      <c r="Z1257" t="s">
        <v>1092</v>
      </c>
      <c r="AA1257" t="s">
        <v>1093</v>
      </c>
      <c r="AB1257" t="s">
        <v>1092</v>
      </c>
      <c r="AC1257" t="s">
        <v>1094</v>
      </c>
      <c r="AD1257" t="s">
        <v>219</v>
      </c>
      <c r="AE1257" t="s">
        <v>3549</v>
      </c>
      <c r="AF1257" t="s">
        <v>5807</v>
      </c>
    </row>
    <row r="1258" spans="1:32" hidden="1" x14ac:dyDescent="0.35">
      <c r="A1258">
        <v>2806</v>
      </c>
      <c r="B1258" t="s">
        <v>5800</v>
      </c>
      <c r="C1258" t="s">
        <v>72</v>
      </c>
      <c r="D1258" t="s">
        <v>62</v>
      </c>
      <c r="E1258">
        <v>2175</v>
      </c>
      <c r="F1258">
        <v>5</v>
      </c>
      <c r="G1258">
        <v>5</v>
      </c>
      <c r="H1258">
        <v>1</v>
      </c>
      <c r="I1258">
        <v>1</v>
      </c>
      <c r="J1258">
        <v>0.82113821138211396</v>
      </c>
      <c r="K1258">
        <v>0.92938730955035098</v>
      </c>
      <c r="L1258">
        <v>0.87191580347699804</v>
      </c>
      <c r="M1258">
        <v>0.67788461538461497</v>
      </c>
      <c r="N1258">
        <v>1</v>
      </c>
      <c r="O1258">
        <v>0.75192307692307703</v>
      </c>
      <c r="P1258" t="s">
        <v>5801</v>
      </c>
      <c r="Q1258" t="s">
        <v>5802</v>
      </c>
      <c r="R1258" t="s">
        <v>869</v>
      </c>
      <c r="S1258" t="s">
        <v>870</v>
      </c>
      <c r="T1258" t="s">
        <v>5803</v>
      </c>
      <c r="U1258" t="s">
        <v>3546</v>
      </c>
      <c r="V1258" t="s">
        <v>5804</v>
      </c>
      <c r="W1258" t="s">
        <v>5805</v>
      </c>
      <c r="X1258" t="s">
        <v>5804</v>
      </c>
      <c r="Y1258" t="s">
        <v>1091</v>
      </c>
      <c r="Z1258" t="s">
        <v>1092</v>
      </c>
      <c r="AA1258" t="s">
        <v>1093</v>
      </c>
      <c r="AB1258" t="s">
        <v>1092</v>
      </c>
      <c r="AC1258" t="s">
        <v>1094</v>
      </c>
      <c r="AD1258" t="s">
        <v>219</v>
      </c>
      <c r="AE1258" t="s">
        <v>3549</v>
      </c>
      <c r="AF1258" t="s">
        <v>5807</v>
      </c>
    </row>
    <row r="1259" spans="1:32" hidden="1" x14ac:dyDescent="0.35">
      <c r="A1259">
        <v>2807</v>
      </c>
      <c r="B1259" t="s">
        <v>5800</v>
      </c>
      <c r="C1259" t="s">
        <v>72</v>
      </c>
      <c r="D1259" t="s">
        <v>34</v>
      </c>
      <c r="E1259">
        <v>1642</v>
      </c>
      <c r="F1259">
        <v>5</v>
      </c>
      <c r="G1259">
        <v>5</v>
      </c>
      <c r="H1259">
        <v>1</v>
      </c>
      <c r="I1259">
        <v>1</v>
      </c>
      <c r="J1259">
        <v>0.82113821138211396</v>
      </c>
      <c r="K1259">
        <v>0.92938730955035098</v>
      </c>
      <c r="L1259">
        <v>0.87191580347699804</v>
      </c>
      <c r="M1259">
        <v>0.67788461538461497</v>
      </c>
      <c r="N1259">
        <v>1</v>
      </c>
      <c r="O1259">
        <v>0.75192307692307703</v>
      </c>
      <c r="P1259" t="s">
        <v>5801</v>
      </c>
      <c r="Q1259" t="s">
        <v>5802</v>
      </c>
      <c r="R1259" t="s">
        <v>869</v>
      </c>
      <c r="S1259" t="s">
        <v>870</v>
      </c>
      <c r="T1259" t="s">
        <v>5803</v>
      </c>
      <c r="U1259" t="s">
        <v>3546</v>
      </c>
      <c r="V1259" t="s">
        <v>5804</v>
      </c>
      <c r="W1259" t="s">
        <v>5805</v>
      </c>
      <c r="X1259" t="s">
        <v>5804</v>
      </c>
      <c r="Y1259" t="s">
        <v>1091</v>
      </c>
      <c r="Z1259" t="s">
        <v>1092</v>
      </c>
      <c r="AA1259" t="s">
        <v>1093</v>
      </c>
      <c r="AB1259" t="s">
        <v>1092</v>
      </c>
      <c r="AC1259" t="s">
        <v>1094</v>
      </c>
      <c r="AD1259" t="s">
        <v>219</v>
      </c>
      <c r="AE1259" t="s">
        <v>3549</v>
      </c>
      <c r="AF1259" t="s">
        <v>5808</v>
      </c>
    </row>
    <row r="1260" spans="1:32" hidden="1" x14ac:dyDescent="0.35">
      <c r="A1260">
        <v>2808</v>
      </c>
      <c r="B1260" t="s">
        <v>5800</v>
      </c>
      <c r="C1260" t="s">
        <v>72</v>
      </c>
      <c r="D1260" t="s">
        <v>45</v>
      </c>
      <c r="E1260">
        <v>389</v>
      </c>
      <c r="F1260">
        <v>5</v>
      </c>
      <c r="G1260">
        <v>5</v>
      </c>
      <c r="H1260">
        <v>1</v>
      </c>
      <c r="I1260">
        <v>1</v>
      </c>
      <c r="J1260">
        <v>0.82113821138211396</v>
      </c>
      <c r="K1260">
        <v>0.92938730955035098</v>
      </c>
      <c r="L1260">
        <v>0.87191580347699804</v>
      </c>
      <c r="M1260">
        <v>0.67788461538461497</v>
      </c>
      <c r="N1260">
        <v>1</v>
      </c>
      <c r="O1260">
        <v>0.75192307692307703</v>
      </c>
      <c r="P1260" t="s">
        <v>5801</v>
      </c>
      <c r="Q1260" t="s">
        <v>5802</v>
      </c>
      <c r="R1260" t="s">
        <v>869</v>
      </c>
      <c r="S1260" t="s">
        <v>870</v>
      </c>
      <c r="T1260" t="s">
        <v>5803</v>
      </c>
      <c r="U1260" t="s">
        <v>3546</v>
      </c>
      <c r="V1260" t="s">
        <v>5804</v>
      </c>
      <c r="W1260" t="s">
        <v>5805</v>
      </c>
      <c r="X1260" t="s">
        <v>5804</v>
      </c>
      <c r="Y1260" t="s">
        <v>1091</v>
      </c>
      <c r="Z1260" t="s">
        <v>1092</v>
      </c>
      <c r="AA1260" t="s">
        <v>1093</v>
      </c>
      <c r="AB1260" t="s">
        <v>1092</v>
      </c>
      <c r="AC1260" t="s">
        <v>1094</v>
      </c>
      <c r="AD1260" t="s">
        <v>219</v>
      </c>
      <c r="AE1260" t="s">
        <v>3549</v>
      </c>
      <c r="AF1260" t="s">
        <v>5809</v>
      </c>
    </row>
    <row r="1261" spans="1:32" hidden="1" x14ac:dyDescent="0.35">
      <c r="A1261">
        <v>1019</v>
      </c>
      <c r="B1261" t="s">
        <v>2119</v>
      </c>
      <c r="C1261" t="s">
        <v>72</v>
      </c>
      <c r="D1261" t="s">
        <v>58</v>
      </c>
      <c r="E1261">
        <v>1329</v>
      </c>
      <c r="F1261">
        <v>5</v>
      </c>
      <c r="G1261">
        <v>5</v>
      </c>
      <c r="H1261">
        <v>1</v>
      </c>
      <c r="I1261">
        <v>1</v>
      </c>
      <c r="J1261">
        <v>0.88494791666666694</v>
      </c>
      <c r="K1261">
        <v>1</v>
      </c>
      <c r="L1261">
        <v>0.938962725539499</v>
      </c>
      <c r="M1261">
        <v>0.80312499999999998</v>
      </c>
      <c r="N1261">
        <v>1</v>
      </c>
      <c r="O1261">
        <v>0.85203125000000002</v>
      </c>
      <c r="P1261" t="s">
        <v>2120</v>
      </c>
      <c r="Q1261" t="s">
        <v>2121</v>
      </c>
      <c r="R1261" t="s">
        <v>235</v>
      </c>
      <c r="S1261" t="s">
        <v>236</v>
      </c>
      <c r="T1261" t="s">
        <v>2122</v>
      </c>
      <c r="U1261" t="s">
        <v>2123</v>
      </c>
      <c r="V1261" t="s">
        <v>2124</v>
      </c>
      <c r="W1261" t="s">
        <v>2125</v>
      </c>
      <c r="X1261" t="s">
        <v>2124</v>
      </c>
      <c r="Y1261" t="s">
        <v>2126</v>
      </c>
      <c r="AD1261" t="s">
        <v>546</v>
      </c>
      <c r="AE1261" t="s">
        <v>2127</v>
      </c>
      <c r="AF1261" t="s">
        <v>2128</v>
      </c>
    </row>
    <row r="1262" spans="1:32" hidden="1" x14ac:dyDescent="0.35">
      <c r="A1262">
        <v>2970</v>
      </c>
      <c r="B1262" t="s">
        <v>6126</v>
      </c>
      <c r="C1262" t="s">
        <v>72</v>
      </c>
      <c r="D1262" t="s">
        <v>60</v>
      </c>
      <c r="E1262">
        <v>2294</v>
      </c>
      <c r="F1262">
        <v>5</v>
      </c>
      <c r="G1262">
        <v>5</v>
      </c>
      <c r="H1262">
        <v>1</v>
      </c>
      <c r="I1262">
        <v>1</v>
      </c>
      <c r="J1262">
        <v>0.89319371727748698</v>
      </c>
      <c r="K1262">
        <v>0.92645748323249399</v>
      </c>
      <c r="L1262">
        <v>0.90952156448011201</v>
      </c>
      <c r="M1262">
        <v>0.729468599033816</v>
      </c>
      <c r="N1262">
        <v>1</v>
      </c>
      <c r="O1262">
        <v>0.81835748792270502</v>
      </c>
      <c r="P1262" t="s">
        <v>6127</v>
      </c>
      <c r="Q1262" t="s">
        <v>6128</v>
      </c>
      <c r="R1262" t="s">
        <v>869</v>
      </c>
      <c r="S1262" t="s">
        <v>870</v>
      </c>
      <c r="T1262" t="s">
        <v>6129</v>
      </c>
      <c r="U1262" t="s">
        <v>6130</v>
      </c>
      <c r="V1262" t="s">
        <v>6131</v>
      </c>
      <c r="W1262" t="s">
        <v>6132</v>
      </c>
      <c r="X1262" t="s">
        <v>6131</v>
      </c>
      <c r="Y1262" t="s">
        <v>6133</v>
      </c>
      <c r="Z1262" t="s">
        <v>6134</v>
      </c>
      <c r="AA1262" t="s">
        <v>6135</v>
      </c>
      <c r="AB1262" t="s">
        <v>6134</v>
      </c>
      <c r="AC1262" t="s">
        <v>6136</v>
      </c>
      <c r="AD1262" t="s">
        <v>219</v>
      </c>
      <c r="AE1262" t="s">
        <v>6137</v>
      </c>
      <c r="AF1262" t="e">
        <f>---------------MPSGVFDRERAEAAVRELLIAVGEDPDREGLLETPARVARAYAEMFAGLHTEPTDVLNKTFSENHQELVLVRDIPIYSTCEHHLVPFFGVAHIGYIPGESGQVTGLSKLARLVDLFAKRPQVQERLTSQVADALVDKLGAQAVIVVIECEHLCMAMRGIRKPGAMTTTSAVRGGFKRNASSRAEALALIRGH</f>
        <v>#NAME?</v>
      </c>
    </row>
    <row r="1263" spans="1:32" hidden="1" x14ac:dyDescent="0.35">
      <c r="A1263">
        <v>2971</v>
      </c>
      <c r="B1263" t="s">
        <v>6126</v>
      </c>
      <c r="C1263" t="s">
        <v>72</v>
      </c>
      <c r="D1263" t="s">
        <v>62</v>
      </c>
      <c r="E1263">
        <v>2323</v>
      </c>
      <c r="F1263">
        <v>5</v>
      </c>
      <c r="G1263">
        <v>5</v>
      </c>
      <c r="H1263">
        <v>1</v>
      </c>
      <c r="I1263">
        <v>1</v>
      </c>
      <c r="J1263">
        <v>0.89319371727748698</v>
      </c>
      <c r="K1263">
        <v>0.92645748323249399</v>
      </c>
      <c r="L1263">
        <v>0.90952156448011201</v>
      </c>
      <c r="M1263">
        <v>0.729468599033816</v>
      </c>
      <c r="N1263">
        <v>1</v>
      </c>
      <c r="O1263">
        <v>0.81835748792270502</v>
      </c>
      <c r="P1263" t="s">
        <v>6127</v>
      </c>
      <c r="Q1263" t="s">
        <v>6128</v>
      </c>
      <c r="R1263" t="s">
        <v>869</v>
      </c>
      <c r="S1263" t="s">
        <v>870</v>
      </c>
      <c r="T1263" t="s">
        <v>6129</v>
      </c>
      <c r="U1263" t="s">
        <v>6130</v>
      </c>
      <c r="V1263" t="s">
        <v>6131</v>
      </c>
      <c r="W1263" t="s">
        <v>6132</v>
      </c>
      <c r="X1263" t="s">
        <v>6131</v>
      </c>
      <c r="Y1263" t="s">
        <v>6133</v>
      </c>
      <c r="Z1263" t="s">
        <v>6134</v>
      </c>
      <c r="AA1263" t="s">
        <v>6135</v>
      </c>
      <c r="AB1263" t="s">
        <v>6134</v>
      </c>
      <c r="AC1263" t="s">
        <v>6136</v>
      </c>
      <c r="AD1263" t="s">
        <v>219</v>
      </c>
      <c r="AE1263" t="s">
        <v>6137</v>
      </c>
      <c r="AF1263" t="e">
        <f>---------------MPSGVFDRERAEAAVRELLIAVGEDPDREGLLETPARVARAYAEMFAGLHTEPTDVLNKTFSEDHQELVLVRDIPIYSTCEHHLVPFFGVAHIGYIPGESGQVTGLSKLARLVDLFAKRPQVQERLTSQVADALVDKLGAQAVIVVIECEHLCMAMRGIRKPGAMTTTSAVRGGFKRNASSRAEALALIRGH</f>
        <v>#NAME?</v>
      </c>
    </row>
    <row r="1264" spans="1:32" hidden="1" x14ac:dyDescent="0.35">
      <c r="A1264">
        <v>2972</v>
      </c>
      <c r="B1264" t="s">
        <v>6126</v>
      </c>
      <c r="C1264" t="s">
        <v>72</v>
      </c>
      <c r="D1264" t="s">
        <v>34</v>
      </c>
      <c r="E1264">
        <v>1499</v>
      </c>
      <c r="F1264">
        <v>5</v>
      </c>
      <c r="G1264">
        <v>5</v>
      </c>
      <c r="H1264">
        <v>1</v>
      </c>
      <c r="I1264">
        <v>1</v>
      </c>
      <c r="J1264">
        <v>0.89319371727748698</v>
      </c>
      <c r="K1264">
        <v>0.92645748323249399</v>
      </c>
      <c r="L1264">
        <v>0.90952156448011201</v>
      </c>
      <c r="M1264">
        <v>0.729468599033816</v>
      </c>
      <c r="N1264">
        <v>1</v>
      </c>
      <c r="O1264">
        <v>0.81835748792270502</v>
      </c>
      <c r="P1264" t="s">
        <v>6127</v>
      </c>
      <c r="Q1264" t="s">
        <v>6128</v>
      </c>
      <c r="R1264" t="s">
        <v>869</v>
      </c>
      <c r="S1264" t="s">
        <v>870</v>
      </c>
      <c r="T1264" t="s">
        <v>6129</v>
      </c>
      <c r="U1264" t="s">
        <v>6130</v>
      </c>
      <c r="V1264" t="s">
        <v>6131</v>
      </c>
      <c r="W1264" t="s">
        <v>6132</v>
      </c>
      <c r="X1264" t="s">
        <v>6131</v>
      </c>
      <c r="Y1264" t="s">
        <v>6133</v>
      </c>
      <c r="Z1264" t="s">
        <v>6134</v>
      </c>
      <c r="AA1264" t="s">
        <v>6135</v>
      </c>
      <c r="AB1264" t="s">
        <v>6134</v>
      </c>
      <c r="AC1264" t="s">
        <v>6136</v>
      </c>
      <c r="AD1264" t="s">
        <v>219</v>
      </c>
      <c r="AE1264" t="s">
        <v>6137</v>
      </c>
      <c r="AF1264" t="s">
        <v>6139</v>
      </c>
    </row>
    <row r="1265" spans="1:32" hidden="1" x14ac:dyDescent="0.35">
      <c r="A1265">
        <v>2973</v>
      </c>
      <c r="B1265" t="s">
        <v>6126</v>
      </c>
      <c r="C1265" t="s">
        <v>72</v>
      </c>
      <c r="D1265" t="s">
        <v>45</v>
      </c>
      <c r="E1265">
        <v>249</v>
      </c>
      <c r="F1265">
        <v>5</v>
      </c>
      <c r="G1265">
        <v>5</v>
      </c>
      <c r="H1265">
        <v>1</v>
      </c>
      <c r="I1265">
        <v>1</v>
      </c>
      <c r="J1265">
        <v>0.89319371727748698</v>
      </c>
      <c r="K1265">
        <v>0.92645748323249399</v>
      </c>
      <c r="L1265">
        <v>0.90952156448011201</v>
      </c>
      <c r="M1265">
        <v>0.729468599033816</v>
      </c>
      <c r="N1265">
        <v>1</v>
      </c>
      <c r="O1265">
        <v>0.81835748792270502</v>
      </c>
      <c r="P1265" t="s">
        <v>6127</v>
      </c>
      <c r="Q1265" t="s">
        <v>6128</v>
      </c>
      <c r="R1265" t="s">
        <v>869</v>
      </c>
      <c r="S1265" t="s">
        <v>870</v>
      </c>
      <c r="T1265" t="s">
        <v>6129</v>
      </c>
      <c r="U1265" t="s">
        <v>6130</v>
      </c>
      <c r="V1265" t="s">
        <v>6131</v>
      </c>
      <c r="W1265" t="s">
        <v>6132</v>
      </c>
      <c r="X1265" t="s">
        <v>6131</v>
      </c>
      <c r="Y1265" t="s">
        <v>6133</v>
      </c>
      <c r="Z1265" t="s">
        <v>6134</v>
      </c>
      <c r="AA1265" t="s">
        <v>6135</v>
      </c>
      <c r="AB1265" t="s">
        <v>6134</v>
      </c>
      <c r="AC1265" t="s">
        <v>6136</v>
      </c>
      <c r="AD1265" t="s">
        <v>219</v>
      </c>
      <c r="AE1265" t="s">
        <v>6137</v>
      </c>
      <c r="AF1265" t="s">
        <v>6139</v>
      </c>
    </row>
    <row r="1266" spans="1:32" hidden="1" x14ac:dyDescent="0.35">
      <c r="A1266">
        <v>3999</v>
      </c>
      <c r="B1266" t="s">
        <v>8255</v>
      </c>
      <c r="C1266" t="s">
        <v>72</v>
      </c>
      <c r="D1266" t="s">
        <v>58</v>
      </c>
      <c r="E1266">
        <v>936</v>
      </c>
      <c r="F1266">
        <v>5</v>
      </c>
      <c r="G1266">
        <v>5</v>
      </c>
      <c r="H1266">
        <v>1</v>
      </c>
      <c r="I1266">
        <v>1</v>
      </c>
      <c r="J1266">
        <v>0.89678127788072204</v>
      </c>
      <c r="K1266">
        <v>0.93350725468999696</v>
      </c>
      <c r="L1266">
        <v>0.91477580050835405</v>
      </c>
      <c r="M1266">
        <v>0.76628352490421503</v>
      </c>
      <c r="N1266">
        <v>0.99233716475095801</v>
      </c>
      <c r="O1266">
        <v>0.84214559386973198</v>
      </c>
      <c r="P1266" t="s">
        <v>2503</v>
      </c>
      <c r="Q1266" t="s">
        <v>2504</v>
      </c>
      <c r="R1266" t="s">
        <v>235</v>
      </c>
      <c r="S1266" t="s">
        <v>236</v>
      </c>
      <c r="T1266" t="s">
        <v>8256</v>
      </c>
      <c r="U1266" t="s">
        <v>8257</v>
      </c>
      <c r="V1266" t="s">
        <v>8258</v>
      </c>
      <c r="W1266" t="s">
        <v>8259</v>
      </c>
      <c r="AD1266" t="s">
        <v>219</v>
      </c>
      <c r="AE1266" t="s">
        <v>8260</v>
      </c>
      <c r="AF1266" t="s">
        <v>8261</v>
      </c>
    </row>
    <row r="1267" spans="1:32" hidden="1" x14ac:dyDescent="0.35">
      <c r="A1267">
        <v>3150</v>
      </c>
      <c r="B1267" t="s">
        <v>6480</v>
      </c>
      <c r="C1267" t="s">
        <v>72</v>
      </c>
      <c r="D1267" t="s">
        <v>60</v>
      </c>
      <c r="E1267">
        <v>483</v>
      </c>
      <c r="F1267">
        <v>5</v>
      </c>
      <c r="G1267">
        <v>5</v>
      </c>
      <c r="H1267">
        <v>1</v>
      </c>
      <c r="I1267">
        <v>1</v>
      </c>
      <c r="J1267">
        <v>0.89487902278599996</v>
      </c>
      <c r="K1267">
        <v>0.98219915417147097</v>
      </c>
      <c r="L1267">
        <v>0.93650805816823002</v>
      </c>
      <c r="M1267">
        <v>0.78546712802768204</v>
      </c>
      <c r="N1267">
        <v>1</v>
      </c>
      <c r="O1267">
        <v>0.84809688581314902</v>
      </c>
      <c r="P1267" t="s">
        <v>6481</v>
      </c>
      <c r="Q1267" t="s">
        <v>6482</v>
      </c>
      <c r="R1267" t="s">
        <v>869</v>
      </c>
      <c r="S1267" t="s">
        <v>870</v>
      </c>
      <c r="T1267" t="s">
        <v>6483</v>
      </c>
      <c r="U1267" t="s">
        <v>6484</v>
      </c>
      <c r="V1267" t="s">
        <v>6485</v>
      </c>
      <c r="W1267" t="s">
        <v>6486</v>
      </c>
      <c r="Z1267" t="s">
        <v>6487</v>
      </c>
      <c r="AA1267" t="s">
        <v>6488</v>
      </c>
      <c r="AB1267" t="s">
        <v>6487</v>
      </c>
      <c r="AC1267" t="s">
        <v>6489</v>
      </c>
      <c r="AD1267" t="s">
        <v>2870</v>
      </c>
      <c r="AE1267" t="s">
        <v>6490</v>
      </c>
      <c r="AF1267" t="s">
        <v>6492</v>
      </c>
    </row>
    <row r="1268" spans="1:32" hidden="1" x14ac:dyDescent="0.35">
      <c r="A1268">
        <v>3151</v>
      </c>
      <c r="B1268" t="s">
        <v>6480</v>
      </c>
      <c r="C1268" t="s">
        <v>72</v>
      </c>
      <c r="D1268" t="s">
        <v>62</v>
      </c>
      <c r="E1268">
        <v>566</v>
      </c>
      <c r="F1268">
        <v>5</v>
      </c>
      <c r="G1268">
        <v>5</v>
      </c>
      <c r="H1268">
        <v>1</v>
      </c>
      <c r="I1268">
        <v>1</v>
      </c>
      <c r="J1268">
        <v>0.89487902278599996</v>
      </c>
      <c r="K1268">
        <v>0.98219915417147097</v>
      </c>
      <c r="L1268">
        <v>0.93650805816823002</v>
      </c>
      <c r="M1268">
        <v>0.78546712802768204</v>
      </c>
      <c r="N1268">
        <v>1</v>
      </c>
      <c r="O1268">
        <v>0.84809688581314902</v>
      </c>
      <c r="P1268" t="s">
        <v>6481</v>
      </c>
      <c r="Q1268" t="s">
        <v>6482</v>
      </c>
      <c r="R1268" t="s">
        <v>869</v>
      </c>
      <c r="S1268" t="s">
        <v>870</v>
      </c>
      <c r="T1268" t="s">
        <v>6483</v>
      </c>
      <c r="U1268" t="s">
        <v>6484</v>
      </c>
      <c r="V1268" t="s">
        <v>6485</v>
      </c>
      <c r="W1268" t="s">
        <v>6486</v>
      </c>
      <c r="Z1268" t="s">
        <v>6487</v>
      </c>
      <c r="AA1268" t="s">
        <v>6488</v>
      </c>
      <c r="AB1268" t="s">
        <v>6487</v>
      </c>
      <c r="AC1268" t="s">
        <v>6489</v>
      </c>
      <c r="AD1268" t="s">
        <v>2870</v>
      </c>
      <c r="AE1268" t="s">
        <v>6490</v>
      </c>
      <c r="AF1268" t="s">
        <v>6492</v>
      </c>
    </row>
    <row r="1269" spans="1:32" hidden="1" x14ac:dyDescent="0.35">
      <c r="A1269">
        <v>3152</v>
      </c>
      <c r="B1269" t="s">
        <v>6480</v>
      </c>
      <c r="C1269" t="s">
        <v>72</v>
      </c>
      <c r="D1269" t="s">
        <v>34</v>
      </c>
      <c r="E1269">
        <v>594</v>
      </c>
      <c r="F1269">
        <v>5</v>
      </c>
      <c r="G1269">
        <v>5</v>
      </c>
      <c r="H1269">
        <v>1</v>
      </c>
      <c r="I1269">
        <v>1</v>
      </c>
      <c r="J1269">
        <v>0.89487902278599996</v>
      </c>
      <c r="K1269">
        <v>0.98219915417147097</v>
      </c>
      <c r="L1269">
        <v>0.93650805816823002</v>
      </c>
      <c r="M1269">
        <v>0.78546712802768204</v>
      </c>
      <c r="N1269">
        <v>1</v>
      </c>
      <c r="O1269">
        <v>0.84809688581314902</v>
      </c>
      <c r="P1269" t="s">
        <v>6481</v>
      </c>
      <c r="Q1269" t="s">
        <v>6482</v>
      </c>
      <c r="R1269" t="s">
        <v>869</v>
      </c>
      <c r="S1269" t="s">
        <v>870</v>
      </c>
      <c r="T1269" t="s">
        <v>6483</v>
      </c>
      <c r="U1269" t="s">
        <v>6484</v>
      </c>
      <c r="V1269" t="s">
        <v>6485</v>
      </c>
      <c r="W1269" t="s">
        <v>6486</v>
      </c>
      <c r="Z1269" t="s">
        <v>6487</v>
      </c>
      <c r="AA1269" t="s">
        <v>6488</v>
      </c>
      <c r="AB1269" t="s">
        <v>6487</v>
      </c>
      <c r="AC1269" t="s">
        <v>6489</v>
      </c>
      <c r="AD1269" t="s">
        <v>2870</v>
      </c>
      <c r="AE1269" t="s">
        <v>6490</v>
      </c>
      <c r="AF1269" t="s">
        <v>6493</v>
      </c>
    </row>
    <row r="1270" spans="1:32" hidden="1" x14ac:dyDescent="0.35">
      <c r="A1270">
        <v>3153</v>
      </c>
      <c r="B1270" t="s">
        <v>6480</v>
      </c>
      <c r="C1270" t="s">
        <v>72</v>
      </c>
      <c r="D1270" t="s">
        <v>45</v>
      </c>
      <c r="E1270">
        <v>1861</v>
      </c>
      <c r="F1270">
        <v>5</v>
      </c>
      <c r="G1270">
        <v>5</v>
      </c>
      <c r="H1270">
        <v>1</v>
      </c>
      <c r="I1270">
        <v>1</v>
      </c>
      <c r="J1270">
        <v>0.89487902278599996</v>
      </c>
      <c r="K1270">
        <v>0.98219915417147097</v>
      </c>
      <c r="L1270">
        <v>0.93650805816823002</v>
      </c>
      <c r="M1270">
        <v>0.78546712802768204</v>
      </c>
      <c r="N1270">
        <v>1</v>
      </c>
      <c r="O1270">
        <v>0.84809688581314902</v>
      </c>
      <c r="P1270" t="s">
        <v>6481</v>
      </c>
      <c r="Q1270" t="s">
        <v>6482</v>
      </c>
      <c r="R1270" t="s">
        <v>869</v>
      </c>
      <c r="S1270" t="s">
        <v>870</v>
      </c>
      <c r="T1270" t="s">
        <v>6483</v>
      </c>
      <c r="U1270" t="s">
        <v>6484</v>
      </c>
      <c r="V1270" t="s">
        <v>6485</v>
      </c>
      <c r="W1270" t="s">
        <v>6486</v>
      </c>
      <c r="Z1270" t="s">
        <v>6487</v>
      </c>
      <c r="AA1270" t="s">
        <v>6488</v>
      </c>
      <c r="AB1270" t="s">
        <v>6487</v>
      </c>
      <c r="AC1270" t="s">
        <v>6489</v>
      </c>
      <c r="AD1270" t="s">
        <v>2870</v>
      </c>
      <c r="AE1270" t="s">
        <v>6490</v>
      </c>
      <c r="AF1270" t="s">
        <v>6494</v>
      </c>
    </row>
    <row r="1271" spans="1:32" hidden="1" x14ac:dyDescent="0.35">
      <c r="A1271">
        <v>569</v>
      </c>
      <c r="B1271" t="s">
        <v>1129</v>
      </c>
      <c r="C1271" t="s">
        <v>72</v>
      </c>
      <c r="D1271" t="s">
        <v>58</v>
      </c>
      <c r="E1271">
        <v>94</v>
      </c>
      <c r="F1271">
        <v>5</v>
      </c>
      <c r="G1271">
        <v>5</v>
      </c>
      <c r="H1271">
        <v>1</v>
      </c>
      <c r="I1271">
        <v>1</v>
      </c>
      <c r="J1271">
        <v>0.93800475059382404</v>
      </c>
      <c r="K1271">
        <v>1</v>
      </c>
      <c r="L1271">
        <v>0.96801078563549503</v>
      </c>
      <c r="M1271">
        <v>0.86460807600950096</v>
      </c>
      <c r="N1271">
        <v>1</v>
      </c>
      <c r="O1271">
        <v>0.91187648456057002</v>
      </c>
      <c r="P1271" t="s">
        <v>1130</v>
      </c>
      <c r="Q1271" t="s">
        <v>1131</v>
      </c>
      <c r="R1271" t="s">
        <v>235</v>
      </c>
      <c r="S1271" t="s">
        <v>236</v>
      </c>
      <c r="T1271" t="s">
        <v>1132</v>
      </c>
      <c r="U1271" t="s">
        <v>1133</v>
      </c>
      <c r="V1271" t="s">
        <v>1134</v>
      </c>
      <c r="W1271" t="s">
        <v>1135</v>
      </c>
      <c r="X1271" t="s">
        <v>1134</v>
      </c>
      <c r="Y1271" t="s">
        <v>1136</v>
      </c>
      <c r="Z1271" t="s">
        <v>1137</v>
      </c>
      <c r="AA1271" t="s">
        <v>1138</v>
      </c>
      <c r="AB1271" t="s">
        <v>1137</v>
      </c>
      <c r="AC1271" t="s">
        <v>1139</v>
      </c>
      <c r="AD1271" t="s">
        <v>1140</v>
      </c>
      <c r="AE1271" t="s">
        <v>1141</v>
      </c>
      <c r="AF1271" t="s">
        <v>1142</v>
      </c>
    </row>
    <row r="1272" spans="1:32" hidden="1" x14ac:dyDescent="0.35">
      <c r="A1272">
        <v>3250</v>
      </c>
      <c r="B1272" t="s">
        <v>6679</v>
      </c>
      <c r="C1272" t="s">
        <v>72</v>
      </c>
      <c r="D1272" t="s">
        <v>60</v>
      </c>
      <c r="E1272">
        <v>309</v>
      </c>
      <c r="F1272">
        <v>5</v>
      </c>
      <c r="G1272">
        <v>5</v>
      </c>
      <c r="H1272">
        <v>1</v>
      </c>
      <c r="I1272">
        <v>1</v>
      </c>
      <c r="J1272">
        <v>0.73663949275362295</v>
      </c>
      <c r="K1272">
        <v>0.97823255813953303</v>
      </c>
      <c r="L1272">
        <v>0.84041807672784996</v>
      </c>
      <c r="M1272">
        <v>0.53488372093023295</v>
      </c>
      <c r="N1272">
        <v>1</v>
      </c>
      <c r="O1272">
        <v>0.66445182724252505</v>
      </c>
      <c r="P1272" t="s">
        <v>6680</v>
      </c>
      <c r="Q1272" t="s">
        <v>6681</v>
      </c>
      <c r="R1272" t="s">
        <v>869</v>
      </c>
      <c r="S1272" t="s">
        <v>870</v>
      </c>
      <c r="T1272" t="s">
        <v>6682</v>
      </c>
      <c r="U1272" t="s">
        <v>6683</v>
      </c>
      <c r="V1272" t="s">
        <v>6684</v>
      </c>
      <c r="W1272" t="s">
        <v>6685</v>
      </c>
      <c r="X1272" t="s">
        <v>6684</v>
      </c>
      <c r="Y1272" t="s">
        <v>1153</v>
      </c>
      <c r="Z1272" t="s">
        <v>1154</v>
      </c>
      <c r="AA1272" t="s">
        <v>1155</v>
      </c>
      <c r="AB1272" t="s">
        <v>1154</v>
      </c>
      <c r="AC1272" t="s">
        <v>1156</v>
      </c>
      <c r="AD1272" t="s">
        <v>219</v>
      </c>
      <c r="AE1272" t="s">
        <v>6686</v>
      </c>
      <c r="AF1272" t="s">
        <v>6688</v>
      </c>
    </row>
    <row r="1273" spans="1:32" hidden="1" x14ac:dyDescent="0.35">
      <c r="A1273">
        <v>3251</v>
      </c>
      <c r="B1273" t="s">
        <v>6679</v>
      </c>
      <c r="C1273" t="s">
        <v>72</v>
      </c>
      <c r="D1273" t="s">
        <v>62</v>
      </c>
      <c r="E1273">
        <v>389</v>
      </c>
      <c r="F1273">
        <v>5</v>
      </c>
      <c r="G1273">
        <v>5</v>
      </c>
      <c r="H1273">
        <v>1</v>
      </c>
      <c r="I1273">
        <v>1</v>
      </c>
      <c r="J1273">
        <v>0.73663949275362295</v>
      </c>
      <c r="K1273">
        <v>0.97823255813953303</v>
      </c>
      <c r="L1273">
        <v>0.84041807672784996</v>
      </c>
      <c r="M1273">
        <v>0.53488372093023295</v>
      </c>
      <c r="N1273">
        <v>1</v>
      </c>
      <c r="O1273">
        <v>0.66445182724252505</v>
      </c>
      <c r="P1273" t="s">
        <v>6680</v>
      </c>
      <c r="Q1273" t="s">
        <v>6681</v>
      </c>
      <c r="R1273" t="s">
        <v>869</v>
      </c>
      <c r="S1273" t="s">
        <v>870</v>
      </c>
      <c r="T1273" t="s">
        <v>6682</v>
      </c>
      <c r="U1273" t="s">
        <v>6683</v>
      </c>
      <c r="V1273" t="s">
        <v>6684</v>
      </c>
      <c r="W1273" t="s">
        <v>6685</v>
      </c>
      <c r="X1273" t="s">
        <v>6684</v>
      </c>
      <c r="Y1273" t="s">
        <v>1153</v>
      </c>
      <c r="Z1273" t="s">
        <v>1154</v>
      </c>
      <c r="AA1273" t="s">
        <v>1155</v>
      </c>
      <c r="AB1273" t="s">
        <v>1154</v>
      </c>
      <c r="AC1273" t="s">
        <v>1156</v>
      </c>
      <c r="AD1273" t="s">
        <v>219</v>
      </c>
      <c r="AE1273" t="s">
        <v>6686</v>
      </c>
      <c r="AF1273" t="s">
        <v>6688</v>
      </c>
    </row>
    <row r="1274" spans="1:32" hidden="1" x14ac:dyDescent="0.35">
      <c r="A1274">
        <v>3252</v>
      </c>
      <c r="B1274" t="s">
        <v>6679</v>
      </c>
      <c r="C1274" t="s">
        <v>72</v>
      </c>
      <c r="D1274" t="s">
        <v>34</v>
      </c>
      <c r="E1274">
        <v>849</v>
      </c>
      <c r="F1274">
        <v>5</v>
      </c>
      <c r="G1274">
        <v>5</v>
      </c>
      <c r="H1274">
        <v>1</v>
      </c>
      <c r="I1274">
        <v>1</v>
      </c>
      <c r="J1274">
        <v>0.73663949275362295</v>
      </c>
      <c r="K1274">
        <v>0.97823255813953303</v>
      </c>
      <c r="L1274">
        <v>0.84041807672784996</v>
      </c>
      <c r="M1274">
        <v>0.53488372093023295</v>
      </c>
      <c r="N1274">
        <v>1</v>
      </c>
      <c r="O1274">
        <v>0.66445182724252505</v>
      </c>
      <c r="P1274" t="s">
        <v>6680</v>
      </c>
      <c r="Q1274" t="s">
        <v>6681</v>
      </c>
      <c r="R1274" t="s">
        <v>869</v>
      </c>
      <c r="S1274" t="s">
        <v>870</v>
      </c>
      <c r="T1274" t="s">
        <v>6682</v>
      </c>
      <c r="U1274" t="s">
        <v>6683</v>
      </c>
      <c r="V1274" t="s">
        <v>6684</v>
      </c>
      <c r="W1274" t="s">
        <v>6685</v>
      </c>
      <c r="X1274" t="s">
        <v>6684</v>
      </c>
      <c r="Y1274" t="s">
        <v>1153</v>
      </c>
      <c r="Z1274" t="s">
        <v>1154</v>
      </c>
      <c r="AA1274" t="s">
        <v>1155</v>
      </c>
      <c r="AB1274" t="s">
        <v>1154</v>
      </c>
      <c r="AC1274" t="s">
        <v>1156</v>
      </c>
      <c r="AD1274" t="s">
        <v>219</v>
      </c>
      <c r="AE1274" t="s">
        <v>6686</v>
      </c>
      <c r="AF1274" t="s">
        <v>6689</v>
      </c>
    </row>
    <row r="1275" spans="1:32" hidden="1" x14ac:dyDescent="0.35">
      <c r="A1275">
        <v>3253</v>
      </c>
      <c r="B1275" t="s">
        <v>6679</v>
      </c>
      <c r="C1275" t="s">
        <v>72</v>
      </c>
      <c r="D1275" t="s">
        <v>45</v>
      </c>
      <c r="E1275">
        <v>2106</v>
      </c>
      <c r="F1275">
        <v>5</v>
      </c>
      <c r="G1275">
        <v>5</v>
      </c>
      <c r="H1275">
        <v>1</v>
      </c>
      <c r="I1275">
        <v>1</v>
      </c>
      <c r="J1275">
        <v>0.73663949275362295</v>
      </c>
      <c r="K1275">
        <v>0.97823255813953303</v>
      </c>
      <c r="L1275">
        <v>0.84041807672784996</v>
      </c>
      <c r="M1275">
        <v>0.53488372093023295</v>
      </c>
      <c r="N1275">
        <v>1</v>
      </c>
      <c r="O1275">
        <v>0.66445182724252505</v>
      </c>
      <c r="P1275" t="s">
        <v>6680</v>
      </c>
      <c r="Q1275" t="s">
        <v>6681</v>
      </c>
      <c r="R1275" t="s">
        <v>869</v>
      </c>
      <c r="S1275" t="s">
        <v>870</v>
      </c>
      <c r="T1275" t="s">
        <v>6682</v>
      </c>
      <c r="U1275" t="s">
        <v>6683</v>
      </c>
      <c r="V1275" t="s">
        <v>6684</v>
      </c>
      <c r="W1275" t="s">
        <v>6685</v>
      </c>
      <c r="X1275" t="s">
        <v>6684</v>
      </c>
      <c r="Y1275" t="s">
        <v>1153</v>
      </c>
      <c r="Z1275" t="s">
        <v>1154</v>
      </c>
      <c r="AA1275" t="s">
        <v>1155</v>
      </c>
      <c r="AB1275" t="s">
        <v>1154</v>
      </c>
      <c r="AC1275" t="s">
        <v>1156</v>
      </c>
      <c r="AD1275" t="s">
        <v>219</v>
      </c>
      <c r="AE1275" t="s">
        <v>6686</v>
      </c>
      <c r="AF1275" t="s">
        <v>6689</v>
      </c>
    </row>
    <row r="1276" spans="1:32" hidden="1" x14ac:dyDescent="0.35">
      <c r="A1276">
        <v>4089</v>
      </c>
      <c r="B1276" t="s">
        <v>8459</v>
      </c>
      <c r="C1276" t="s">
        <v>72</v>
      </c>
      <c r="D1276" t="s">
        <v>58</v>
      </c>
      <c r="E1276">
        <v>1757</v>
      </c>
      <c r="F1276">
        <v>5</v>
      </c>
      <c r="G1276">
        <v>5</v>
      </c>
      <c r="H1276">
        <v>1</v>
      </c>
      <c r="I1276">
        <v>1</v>
      </c>
      <c r="J1276">
        <v>0.89238780064468104</v>
      </c>
      <c r="K1276">
        <v>0.930755866306479</v>
      </c>
      <c r="L1276">
        <v>0.91116810542898896</v>
      </c>
      <c r="M1276">
        <v>0.74712643678160895</v>
      </c>
      <c r="N1276">
        <v>0.99770114942528698</v>
      </c>
      <c r="O1276">
        <v>0.81655172413793098</v>
      </c>
      <c r="P1276" t="s">
        <v>3647</v>
      </c>
      <c r="Q1276" t="s">
        <v>3648</v>
      </c>
      <c r="R1276" t="s">
        <v>235</v>
      </c>
      <c r="S1276" t="s">
        <v>236</v>
      </c>
      <c r="T1276" t="s">
        <v>8460</v>
      </c>
      <c r="U1276" t="s">
        <v>8461</v>
      </c>
      <c r="V1276" t="s">
        <v>8462</v>
      </c>
      <c r="W1276" t="s">
        <v>8463</v>
      </c>
      <c r="X1276" t="s">
        <v>8462</v>
      </c>
      <c r="Y1276" t="s">
        <v>1108</v>
      </c>
      <c r="AD1276" t="s">
        <v>8464</v>
      </c>
      <c r="AE1276" t="s">
        <v>8465</v>
      </c>
      <c r="AF1276" t="s">
        <v>8466</v>
      </c>
    </row>
    <row r="1277" spans="1:32" hidden="1" x14ac:dyDescent="0.35">
      <c r="A1277">
        <v>3285</v>
      </c>
      <c r="B1277" t="s">
        <v>6753</v>
      </c>
      <c r="C1277" t="s">
        <v>72</v>
      </c>
      <c r="D1277" t="s">
        <v>60</v>
      </c>
      <c r="E1277">
        <v>1566</v>
      </c>
      <c r="F1277">
        <v>5</v>
      </c>
      <c r="G1277">
        <v>5</v>
      </c>
      <c r="H1277">
        <v>1</v>
      </c>
      <c r="I1277">
        <v>1</v>
      </c>
      <c r="J1277">
        <v>0.79949815729632201</v>
      </c>
      <c r="K1277">
        <v>0.894930163083827</v>
      </c>
      <c r="L1277">
        <v>0.84452674413975104</v>
      </c>
      <c r="M1277">
        <v>0.56576200417536504</v>
      </c>
      <c r="N1277">
        <v>1</v>
      </c>
      <c r="O1277">
        <v>0.68455114822547003</v>
      </c>
      <c r="P1277" t="s">
        <v>1390</v>
      </c>
      <c r="Q1277" t="s">
        <v>1391</v>
      </c>
      <c r="R1277" t="s">
        <v>869</v>
      </c>
      <c r="S1277" t="s">
        <v>870</v>
      </c>
      <c r="T1277" t="s">
        <v>6754</v>
      </c>
      <c r="U1277" t="s">
        <v>6755</v>
      </c>
      <c r="V1277" t="s">
        <v>6756</v>
      </c>
      <c r="W1277" t="s">
        <v>6757</v>
      </c>
      <c r="X1277" t="s">
        <v>6756</v>
      </c>
      <c r="Y1277" t="s">
        <v>1091</v>
      </c>
      <c r="Z1277" t="s">
        <v>1953</v>
      </c>
      <c r="AA1277" t="s">
        <v>1954</v>
      </c>
      <c r="AB1277" t="s">
        <v>1953</v>
      </c>
      <c r="AC1277" t="s">
        <v>878</v>
      </c>
      <c r="AD1277" t="s">
        <v>191</v>
      </c>
      <c r="AE1277" t="s">
        <v>6758</v>
      </c>
      <c r="AF1277" t="e">
        <f>-------MVTPGVCIAASASGTGKTTIATGLMAALARTHTVAPFKVGPDYIDPGYHALAAGRVGRNLDSVMCGTSLLGPLYVHGSQGADIGVVEGVMGLFDGRITDQVYTDYAPGSTAEVAATLGLPVVLVVDVRGMSQSVGAAVKGFATAADGVRVAGVILNKVGTSRHEAVCRSAVESQGIPVLGALPRVDKVEVPSRHLGLVTAAEHGSAAMQAVERMADLVAKHVDLDVVRGLASCSYAGPAWDPAAVVQR---------VPGDPV-----VAVAGGPAFTFAYAEHAELLEAAGAKVVHFDPLKDPLPHCDGLVIPGGFPEEHVENLSSRHDLQDAVRAHVAAGKPVHGECAGLLWLLESLDAYPMLGVIDTHAAMGRRLTLGYRDAVALTDSVLFRAGERITGHEFHHTALTSQEVAGWDSAWGWHAWDGRAVREGFSRGNVHASYMHYHPASLPQAVERFVRACVDARNSAS</f>
        <v>#NAME?</v>
      </c>
    </row>
    <row r="1278" spans="1:32" hidden="1" x14ac:dyDescent="0.35">
      <c r="A1278">
        <v>3286</v>
      </c>
      <c r="B1278" t="s">
        <v>6753</v>
      </c>
      <c r="C1278" t="s">
        <v>72</v>
      </c>
      <c r="D1278" t="s">
        <v>62</v>
      </c>
      <c r="E1278">
        <v>1602</v>
      </c>
      <c r="F1278">
        <v>5</v>
      </c>
      <c r="G1278">
        <v>5</v>
      </c>
      <c r="H1278">
        <v>1</v>
      </c>
      <c r="I1278">
        <v>1</v>
      </c>
      <c r="J1278">
        <v>0.79949815729632201</v>
      </c>
      <c r="K1278">
        <v>0.894930163083827</v>
      </c>
      <c r="L1278">
        <v>0.84452674413975104</v>
      </c>
      <c r="M1278">
        <v>0.56576200417536504</v>
      </c>
      <c r="N1278">
        <v>1</v>
      </c>
      <c r="O1278">
        <v>0.68455114822547003</v>
      </c>
      <c r="P1278" t="s">
        <v>1390</v>
      </c>
      <c r="Q1278" t="s">
        <v>1391</v>
      </c>
      <c r="R1278" t="s">
        <v>869</v>
      </c>
      <c r="S1278" t="s">
        <v>870</v>
      </c>
      <c r="T1278" t="s">
        <v>6754</v>
      </c>
      <c r="U1278" t="s">
        <v>6755</v>
      </c>
      <c r="V1278" t="s">
        <v>6756</v>
      </c>
      <c r="W1278" t="s">
        <v>6757</v>
      </c>
      <c r="X1278" t="s">
        <v>6756</v>
      </c>
      <c r="Y1278" t="s">
        <v>1091</v>
      </c>
      <c r="Z1278" t="s">
        <v>1953</v>
      </c>
      <c r="AA1278" t="s">
        <v>1954</v>
      </c>
      <c r="AB1278" t="s">
        <v>1953</v>
      </c>
      <c r="AC1278" t="s">
        <v>878</v>
      </c>
      <c r="AD1278" t="s">
        <v>191</v>
      </c>
      <c r="AE1278" t="s">
        <v>6758</v>
      </c>
      <c r="AF1278" t="e">
        <f>-------MVTPGVCIAASASGTGKTTIATGLMAALARTHTVAPFKVGPDYIDPGYHALAAGRVGRNLDSVMCGTSLLGPLYVHGSQGADIGVVEGVMGLFDGRITDQVYTDYAPGSTAEVAATLGLPVVLVVDVRGMSQSVGAAVKGFATAADGVRVAGVILNKVGTSRHEAVCRSAVESQGIPVLGALPRVDKVEVPSRHLGLVTAAEHGSAAMQAVERMADLVAKHVDLDVVRGLASCSYAGPAWDPAAVVQR---------VPGDPV-----VAVAGGPAFTFAYAEHAELLEAAGAKVVHFDPLKDPLPHCDGLVIPGGFPEEHVENLSSRHDLQDAVRAHVAAGKPVHGECAGLLWLLESLDAYPMLGVIDTHAAMGRRLTLGYRDAVALTDSVLFRAGERITGHEFHHTALTSQEVAGWDSAWGWHAWDGRAVREGFSRGNVHASYMHYHPASLPQAVERFVRACVDARNSAS</f>
        <v>#NAME?</v>
      </c>
    </row>
    <row r="1279" spans="1:32" hidden="1" x14ac:dyDescent="0.35">
      <c r="A1279">
        <v>3287</v>
      </c>
      <c r="B1279" t="s">
        <v>6753</v>
      </c>
      <c r="C1279" t="s">
        <v>72</v>
      </c>
      <c r="D1279" t="s">
        <v>34</v>
      </c>
      <c r="E1279">
        <v>1971</v>
      </c>
      <c r="F1279">
        <v>5</v>
      </c>
      <c r="G1279">
        <v>5</v>
      </c>
      <c r="H1279">
        <v>1</v>
      </c>
      <c r="I1279">
        <v>1</v>
      </c>
      <c r="J1279">
        <v>0.79949815729632201</v>
      </c>
      <c r="K1279">
        <v>0.894930163083827</v>
      </c>
      <c r="L1279">
        <v>0.84452674413975104</v>
      </c>
      <c r="M1279">
        <v>0.56576200417536504</v>
      </c>
      <c r="N1279">
        <v>1</v>
      </c>
      <c r="O1279">
        <v>0.68455114822547003</v>
      </c>
      <c r="P1279" t="s">
        <v>1390</v>
      </c>
      <c r="Q1279" t="s">
        <v>1391</v>
      </c>
      <c r="R1279" t="s">
        <v>869</v>
      </c>
      <c r="S1279" t="s">
        <v>870</v>
      </c>
      <c r="T1279" t="s">
        <v>6754</v>
      </c>
      <c r="U1279" t="s">
        <v>6755</v>
      </c>
      <c r="V1279" t="s">
        <v>6756</v>
      </c>
      <c r="W1279" t="s">
        <v>6757</v>
      </c>
      <c r="X1279" t="s">
        <v>6756</v>
      </c>
      <c r="Y1279" t="s">
        <v>1091</v>
      </c>
      <c r="Z1279" t="s">
        <v>1953</v>
      </c>
      <c r="AA1279" t="s">
        <v>1954</v>
      </c>
      <c r="AB1279" t="s">
        <v>1953</v>
      </c>
      <c r="AC1279" t="s">
        <v>878</v>
      </c>
      <c r="AD1279" t="s">
        <v>191</v>
      </c>
      <c r="AE1279" t="s">
        <v>6758</v>
      </c>
      <c r="AF1279" t="s">
        <v>6760</v>
      </c>
    </row>
    <row r="1280" spans="1:32" hidden="1" x14ac:dyDescent="0.35">
      <c r="A1280">
        <v>3288</v>
      </c>
      <c r="B1280" t="s">
        <v>6753</v>
      </c>
      <c r="C1280" t="s">
        <v>72</v>
      </c>
      <c r="D1280" t="s">
        <v>45</v>
      </c>
      <c r="E1280">
        <v>902</v>
      </c>
      <c r="F1280">
        <v>5</v>
      </c>
      <c r="G1280">
        <v>5</v>
      </c>
      <c r="H1280">
        <v>1</v>
      </c>
      <c r="I1280">
        <v>1</v>
      </c>
      <c r="J1280">
        <v>0.79949815729632201</v>
      </c>
      <c r="K1280">
        <v>0.894930163083827</v>
      </c>
      <c r="L1280">
        <v>0.84452674413975104</v>
      </c>
      <c r="M1280">
        <v>0.56576200417536504</v>
      </c>
      <c r="N1280">
        <v>1</v>
      </c>
      <c r="O1280">
        <v>0.68455114822547003</v>
      </c>
      <c r="P1280" t="s">
        <v>1390</v>
      </c>
      <c r="Q1280" t="s">
        <v>1391</v>
      </c>
      <c r="R1280" t="s">
        <v>869</v>
      </c>
      <c r="S1280" t="s">
        <v>870</v>
      </c>
      <c r="T1280" t="s">
        <v>6754</v>
      </c>
      <c r="U1280" t="s">
        <v>6755</v>
      </c>
      <c r="V1280" t="s">
        <v>6756</v>
      </c>
      <c r="W1280" t="s">
        <v>6757</v>
      </c>
      <c r="X1280" t="s">
        <v>6756</v>
      </c>
      <c r="Y1280" t="s">
        <v>1091</v>
      </c>
      <c r="Z1280" t="s">
        <v>1953</v>
      </c>
      <c r="AA1280" t="s">
        <v>1954</v>
      </c>
      <c r="AB1280" t="s">
        <v>1953</v>
      </c>
      <c r="AC1280" t="s">
        <v>878</v>
      </c>
      <c r="AD1280" t="s">
        <v>191</v>
      </c>
      <c r="AE1280" t="s">
        <v>6758</v>
      </c>
      <c r="AF1280" t="s">
        <v>6760</v>
      </c>
    </row>
    <row r="1281" spans="1:32" hidden="1" x14ac:dyDescent="0.35">
      <c r="A1281">
        <v>4234</v>
      </c>
      <c r="B1281" t="s">
        <v>8789</v>
      </c>
      <c r="C1281" t="s">
        <v>72</v>
      </c>
      <c r="D1281" t="s">
        <v>58</v>
      </c>
      <c r="E1281">
        <v>714</v>
      </c>
      <c r="F1281">
        <v>5</v>
      </c>
      <c r="G1281">
        <v>5</v>
      </c>
      <c r="H1281">
        <v>1</v>
      </c>
      <c r="I1281">
        <v>1</v>
      </c>
      <c r="J1281">
        <v>0.76594202898550701</v>
      </c>
      <c r="K1281">
        <v>0.95193798449612199</v>
      </c>
      <c r="L1281">
        <v>0.84887105687388098</v>
      </c>
      <c r="M1281">
        <v>0.56589147286821695</v>
      </c>
      <c r="N1281">
        <v>0.99741602067183499</v>
      </c>
      <c r="O1281">
        <v>0.68165374677002599</v>
      </c>
      <c r="P1281" t="s">
        <v>3647</v>
      </c>
      <c r="Q1281" t="s">
        <v>3648</v>
      </c>
      <c r="R1281" t="s">
        <v>235</v>
      </c>
      <c r="S1281" t="s">
        <v>236</v>
      </c>
      <c r="T1281" t="s">
        <v>8790</v>
      </c>
      <c r="U1281" t="s">
        <v>8791</v>
      </c>
      <c r="V1281" t="s">
        <v>8462</v>
      </c>
      <c r="W1281" t="s">
        <v>8463</v>
      </c>
      <c r="X1281" t="s">
        <v>8462</v>
      </c>
      <c r="Y1281" t="s">
        <v>1108</v>
      </c>
      <c r="Z1281" t="s">
        <v>8792</v>
      </c>
      <c r="AA1281" t="s">
        <v>8793</v>
      </c>
      <c r="AB1281" t="s">
        <v>8792</v>
      </c>
      <c r="AC1281" t="s">
        <v>8794</v>
      </c>
      <c r="AD1281" t="s">
        <v>8795</v>
      </c>
      <c r="AE1281" t="s">
        <v>8796</v>
      </c>
      <c r="AF1281" t="s">
        <v>8797</v>
      </c>
    </row>
    <row r="1282" spans="1:32" hidden="1" x14ac:dyDescent="0.35">
      <c r="A1282">
        <v>3345</v>
      </c>
      <c r="B1282" t="s">
        <v>6877</v>
      </c>
      <c r="C1282" t="s">
        <v>72</v>
      </c>
      <c r="D1282" t="s">
        <v>60</v>
      </c>
      <c r="E1282">
        <v>1986</v>
      </c>
      <c r="F1282">
        <v>5</v>
      </c>
      <c r="G1282">
        <v>5</v>
      </c>
      <c r="H1282">
        <v>1</v>
      </c>
      <c r="I1282">
        <v>1</v>
      </c>
      <c r="J1282">
        <v>0.85948717948717901</v>
      </c>
      <c r="K1282">
        <v>0.98105893425066903</v>
      </c>
      <c r="L1282">
        <v>0.91625802800168799</v>
      </c>
      <c r="M1282">
        <v>0.74446680080482897</v>
      </c>
      <c r="N1282">
        <v>1</v>
      </c>
      <c r="O1282">
        <v>0.80985915492957805</v>
      </c>
      <c r="P1282" t="s">
        <v>6878</v>
      </c>
      <c r="Q1282" t="s">
        <v>6879</v>
      </c>
      <c r="R1282" t="s">
        <v>869</v>
      </c>
      <c r="S1282" t="s">
        <v>870</v>
      </c>
      <c r="T1282" t="s">
        <v>6880</v>
      </c>
      <c r="U1282" t="s">
        <v>6881</v>
      </c>
      <c r="V1282" t="s">
        <v>6882</v>
      </c>
      <c r="W1282" t="s">
        <v>6883</v>
      </c>
      <c r="X1282" t="s">
        <v>6882</v>
      </c>
      <c r="Y1282" t="s">
        <v>6133</v>
      </c>
      <c r="Z1282" t="s">
        <v>6884</v>
      </c>
      <c r="AA1282" t="s">
        <v>6885</v>
      </c>
      <c r="AB1282" t="s">
        <v>6884</v>
      </c>
      <c r="AC1282" t="s">
        <v>878</v>
      </c>
      <c r="AD1282" t="s">
        <v>191</v>
      </c>
      <c r="AE1282" t="s">
        <v>6886</v>
      </c>
      <c r="AF1282" t="s">
        <v>6888</v>
      </c>
    </row>
    <row r="1283" spans="1:32" hidden="1" x14ac:dyDescent="0.35">
      <c r="A1283">
        <v>3346</v>
      </c>
      <c r="B1283" t="s">
        <v>6877</v>
      </c>
      <c r="C1283" t="s">
        <v>72</v>
      </c>
      <c r="D1283" t="s">
        <v>62</v>
      </c>
      <c r="E1283">
        <v>2027</v>
      </c>
      <c r="F1283">
        <v>5</v>
      </c>
      <c r="G1283">
        <v>5</v>
      </c>
      <c r="H1283">
        <v>1</v>
      </c>
      <c r="I1283">
        <v>1</v>
      </c>
      <c r="J1283">
        <v>0.85948717948717901</v>
      </c>
      <c r="K1283">
        <v>0.98105893425066903</v>
      </c>
      <c r="L1283">
        <v>0.91625802800168799</v>
      </c>
      <c r="M1283">
        <v>0.74446680080482897</v>
      </c>
      <c r="N1283">
        <v>1</v>
      </c>
      <c r="O1283">
        <v>0.80985915492957805</v>
      </c>
      <c r="P1283" t="s">
        <v>6878</v>
      </c>
      <c r="Q1283" t="s">
        <v>6879</v>
      </c>
      <c r="R1283" t="s">
        <v>869</v>
      </c>
      <c r="S1283" t="s">
        <v>870</v>
      </c>
      <c r="T1283" t="s">
        <v>6880</v>
      </c>
      <c r="U1283" t="s">
        <v>6881</v>
      </c>
      <c r="V1283" t="s">
        <v>6882</v>
      </c>
      <c r="W1283" t="s">
        <v>6883</v>
      </c>
      <c r="X1283" t="s">
        <v>6882</v>
      </c>
      <c r="Y1283" t="s">
        <v>6133</v>
      </c>
      <c r="Z1283" t="s">
        <v>6884</v>
      </c>
      <c r="AA1283" t="s">
        <v>6885</v>
      </c>
      <c r="AB1283" t="s">
        <v>6884</v>
      </c>
      <c r="AC1283" t="s">
        <v>878</v>
      </c>
      <c r="AD1283" t="s">
        <v>191</v>
      </c>
      <c r="AE1283" t="s">
        <v>6886</v>
      </c>
      <c r="AF1283" t="s">
        <v>6888</v>
      </c>
    </row>
    <row r="1284" spans="1:32" hidden="1" x14ac:dyDescent="0.35">
      <c r="A1284">
        <v>3347</v>
      </c>
      <c r="B1284" t="s">
        <v>6877</v>
      </c>
      <c r="C1284" t="s">
        <v>72</v>
      </c>
      <c r="D1284" t="s">
        <v>34</v>
      </c>
      <c r="E1284">
        <v>2341</v>
      </c>
      <c r="F1284">
        <v>5</v>
      </c>
      <c r="G1284">
        <v>5</v>
      </c>
      <c r="H1284">
        <v>1</v>
      </c>
      <c r="I1284">
        <v>1</v>
      </c>
      <c r="J1284">
        <v>0.85948717948717901</v>
      </c>
      <c r="K1284">
        <v>0.98105893425066903</v>
      </c>
      <c r="L1284">
        <v>0.91625802800168799</v>
      </c>
      <c r="M1284">
        <v>0.74446680080482897</v>
      </c>
      <c r="N1284">
        <v>1</v>
      </c>
      <c r="O1284">
        <v>0.80985915492957805</v>
      </c>
      <c r="P1284" t="s">
        <v>6878</v>
      </c>
      <c r="Q1284" t="s">
        <v>6879</v>
      </c>
      <c r="R1284" t="s">
        <v>869</v>
      </c>
      <c r="S1284" t="s">
        <v>870</v>
      </c>
      <c r="T1284" t="s">
        <v>6880</v>
      </c>
      <c r="U1284" t="s">
        <v>6881</v>
      </c>
      <c r="V1284" t="s">
        <v>6882</v>
      </c>
      <c r="W1284" t="s">
        <v>6883</v>
      </c>
      <c r="X1284" t="s">
        <v>6882</v>
      </c>
      <c r="Y1284" t="s">
        <v>6133</v>
      </c>
      <c r="Z1284" t="s">
        <v>6884</v>
      </c>
      <c r="AA1284" t="s">
        <v>6885</v>
      </c>
      <c r="AB1284" t="s">
        <v>6884</v>
      </c>
      <c r="AC1284" t="s">
        <v>878</v>
      </c>
      <c r="AD1284" t="s">
        <v>191</v>
      </c>
      <c r="AE1284" t="s">
        <v>6886</v>
      </c>
      <c r="AF1284" t="s">
        <v>6889</v>
      </c>
    </row>
    <row r="1285" spans="1:32" hidden="1" x14ac:dyDescent="0.35">
      <c r="A1285">
        <v>3348</v>
      </c>
      <c r="B1285" t="s">
        <v>6877</v>
      </c>
      <c r="C1285" t="s">
        <v>72</v>
      </c>
      <c r="D1285" t="s">
        <v>45</v>
      </c>
      <c r="E1285">
        <v>538</v>
      </c>
      <c r="F1285">
        <v>5</v>
      </c>
      <c r="G1285">
        <v>5</v>
      </c>
      <c r="H1285">
        <v>1</v>
      </c>
      <c r="I1285">
        <v>1</v>
      </c>
      <c r="J1285">
        <v>0.85948717948717901</v>
      </c>
      <c r="K1285">
        <v>0.98105893425066903</v>
      </c>
      <c r="L1285">
        <v>0.91625802800168799</v>
      </c>
      <c r="M1285">
        <v>0.74446680080482897</v>
      </c>
      <c r="N1285">
        <v>1</v>
      </c>
      <c r="O1285">
        <v>0.80985915492957805</v>
      </c>
      <c r="P1285" t="s">
        <v>6878</v>
      </c>
      <c r="Q1285" t="s">
        <v>6879</v>
      </c>
      <c r="R1285" t="s">
        <v>869</v>
      </c>
      <c r="S1285" t="s">
        <v>870</v>
      </c>
      <c r="T1285" t="s">
        <v>6880</v>
      </c>
      <c r="U1285" t="s">
        <v>6881</v>
      </c>
      <c r="V1285" t="s">
        <v>6882</v>
      </c>
      <c r="W1285" t="s">
        <v>6883</v>
      </c>
      <c r="X1285" t="s">
        <v>6882</v>
      </c>
      <c r="Y1285" t="s">
        <v>6133</v>
      </c>
      <c r="Z1285" t="s">
        <v>6884</v>
      </c>
      <c r="AA1285" t="s">
        <v>6885</v>
      </c>
      <c r="AB1285" t="s">
        <v>6884</v>
      </c>
      <c r="AC1285" t="s">
        <v>878</v>
      </c>
      <c r="AD1285" t="s">
        <v>191</v>
      </c>
      <c r="AE1285" t="s">
        <v>6886</v>
      </c>
      <c r="AF1285" t="s">
        <v>6890</v>
      </c>
    </row>
    <row r="1286" spans="1:32" hidden="1" x14ac:dyDescent="0.35">
      <c r="A1286">
        <v>11148</v>
      </c>
      <c r="B1286" t="s">
        <v>22613</v>
      </c>
      <c r="C1286" t="s">
        <v>33</v>
      </c>
      <c r="D1286" t="s">
        <v>58</v>
      </c>
      <c r="E1286">
        <v>1652</v>
      </c>
      <c r="F1286">
        <v>1</v>
      </c>
      <c r="G1286">
        <v>1</v>
      </c>
      <c r="H1286">
        <v>1</v>
      </c>
      <c r="I1286">
        <v>0</v>
      </c>
      <c r="J1286">
        <v>1</v>
      </c>
      <c r="K1286">
        <v>1</v>
      </c>
      <c r="L1286">
        <v>1</v>
      </c>
      <c r="M1286">
        <v>0</v>
      </c>
      <c r="N1286">
        <v>0</v>
      </c>
      <c r="O1286">
        <v>0</v>
      </c>
      <c r="P1286" t="s">
        <v>3647</v>
      </c>
      <c r="Q1286" t="s">
        <v>3648</v>
      </c>
      <c r="R1286" t="s">
        <v>235</v>
      </c>
      <c r="S1286" t="s">
        <v>236</v>
      </c>
      <c r="V1286" t="s">
        <v>8462</v>
      </c>
      <c r="W1286" t="s">
        <v>8463</v>
      </c>
      <c r="X1286" t="s">
        <v>8462</v>
      </c>
      <c r="Y1286" t="s">
        <v>1108</v>
      </c>
      <c r="AF1286" t="s">
        <v>22614</v>
      </c>
    </row>
    <row r="1287" spans="1:32" hidden="1" x14ac:dyDescent="0.35">
      <c r="A1287">
        <v>3355</v>
      </c>
      <c r="B1287" t="s">
        <v>6902</v>
      </c>
      <c r="C1287" t="s">
        <v>72</v>
      </c>
      <c r="D1287" t="s">
        <v>60</v>
      </c>
      <c r="E1287">
        <v>1960</v>
      </c>
      <c r="F1287">
        <v>5</v>
      </c>
      <c r="G1287">
        <v>5</v>
      </c>
      <c r="H1287">
        <v>1</v>
      </c>
      <c r="I1287">
        <v>1</v>
      </c>
      <c r="J1287">
        <v>0.84256861729673704</v>
      </c>
      <c r="K1287">
        <v>0.93068794128576504</v>
      </c>
      <c r="L1287">
        <v>0.884438800497926</v>
      </c>
      <c r="M1287">
        <v>0.68269230769230804</v>
      </c>
      <c r="N1287">
        <v>1</v>
      </c>
      <c r="O1287">
        <v>0.75288461538461504</v>
      </c>
      <c r="P1287" t="s">
        <v>6903</v>
      </c>
      <c r="Q1287" t="s">
        <v>6904</v>
      </c>
      <c r="R1287" t="s">
        <v>869</v>
      </c>
      <c r="S1287" t="s">
        <v>870</v>
      </c>
      <c r="T1287" t="s">
        <v>6905</v>
      </c>
      <c r="U1287" t="s">
        <v>6906</v>
      </c>
      <c r="V1287" t="s">
        <v>6907</v>
      </c>
      <c r="W1287" t="s">
        <v>6908</v>
      </c>
      <c r="X1287" t="s">
        <v>6907</v>
      </c>
      <c r="Y1287" t="s">
        <v>4240</v>
      </c>
      <c r="Z1287" t="s">
        <v>4241</v>
      </c>
      <c r="AA1287" t="s">
        <v>4242</v>
      </c>
      <c r="AB1287" t="s">
        <v>4241</v>
      </c>
      <c r="AC1287" t="s">
        <v>878</v>
      </c>
      <c r="AD1287" t="s">
        <v>219</v>
      </c>
      <c r="AE1287" t="s">
        <v>6909</v>
      </c>
      <c r="AF1287" t="e">
        <f>---------------MGGTFDPIHNGHLVAASEVANMFDLDEVVFVPTGEPWQKSGKKVSAAEDRYLMTVIATASNPRFKVSRVDIDRSGPTYTVDTLRDLRRFYPGAELFFITGADALASIVTWRDWEDMFEHARFVGVTRPGYELDDAILPEVHRERVSLVDIPAMAISSTDCRERAASKRPVWYLVPDGVVQYIAKHGLYVSTSG</f>
        <v>#NAME?</v>
      </c>
    </row>
    <row r="1288" spans="1:32" hidden="1" x14ac:dyDescent="0.35">
      <c r="A1288">
        <v>3356</v>
      </c>
      <c r="B1288" t="s">
        <v>6902</v>
      </c>
      <c r="C1288" t="s">
        <v>72</v>
      </c>
      <c r="D1288" t="s">
        <v>62</v>
      </c>
      <c r="E1288">
        <v>2001</v>
      </c>
      <c r="F1288">
        <v>5</v>
      </c>
      <c r="G1288">
        <v>5</v>
      </c>
      <c r="H1288">
        <v>1</v>
      </c>
      <c r="I1288">
        <v>1</v>
      </c>
      <c r="J1288">
        <v>0.84256861729673704</v>
      </c>
      <c r="K1288">
        <v>0.93068794128576504</v>
      </c>
      <c r="L1288">
        <v>0.884438800497926</v>
      </c>
      <c r="M1288">
        <v>0.68269230769230804</v>
      </c>
      <c r="N1288">
        <v>1</v>
      </c>
      <c r="O1288">
        <v>0.75288461538461504</v>
      </c>
      <c r="P1288" t="s">
        <v>6903</v>
      </c>
      <c r="Q1288" t="s">
        <v>6904</v>
      </c>
      <c r="R1288" t="s">
        <v>869</v>
      </c>
      <c r="S1288" t="s">
        <v>870</v>
      </c>
      <c r="T1288" t="s">
        <v>6905</v>
      </c>
      <c r="U1288" t="s">
        <v>6906</v>
      </c>
      <c r="V1288" t="s">
        <v>6907</v>
      </c>
      <c r="W1288" t="s">
        <v>6908</v>
      </c>
      <c r="X1288" t="s">
        <v>6907</v>
      </c>
      <c r="Y1288" t="s">
        <v>4240</v>
      </c>
      <c r="Z1288" t="s">
        <v>4241</v>
      </c>
      <c r="AA1288" t="s">
        <v>4242</v>
      </c>
      <c r="AB1288" t="s">
        <v>4241</v>
      </c>
      <c r="AC1288" t="s">
        <v>878</v>
      </c>
      <c r="AD1288" t="s">
        <v>219</v>
      </c>
      <c r="AE1288" t="s">
        <v>6909</v>
      </c>
      <c r="AF1288" t="e">
        <f>---------------MGGTFDPIHNGHLVAASEVANMFDLDEVVFVPTGEPWQKSGKKVSAAEDRYLMTVIATASNPRFKVSRVDIDRSGPTYTVDTLRDLRRFYPGAELFFITGADALASIVTWRDWEDMFEHARFVGVTRPGYELDDAILPEVHRERVSLVDIPAMAISSTDCRERAASKRPVWYLVPDGVVQYIAKHGLYVSTSG</f>
        <v>#NAME?</v>
      </c>
    </row>
    <row r="1289" spans="1:32" hidden="1" x14ac:dyDescent="0.35">
      <c r="A1289">
        <v>3357</v>
      </c>
      <c r="B1289" t="s">
        <v>6902</v>
      </c>
      <c r="C1289" t="s">
        <v>72</v>
      </c>
      <c r="D1289" t="s">
        <v>34</v>
      </c>
      <c r="E1289">
        <v>2318</v>
      </c>
      <c r="F1289">
        <v>5</v>
      </c>
      <c r="G1289">
        <v>5</v>
      </c>
      <c r="H1289">
        <v>1</v>
      </c>
      <c r="I1289">
        <v>1</v>
      </c>
      <c r="J1289">
        <v>0.84256861729673704</v>
      </c>
      <c r="K1289">
        <v>0.93068794128576504</v>
      </c>
      <c r="L1289">
        <v>0.884438800497926</v>
      </c>
      <c r="M1289">
        <v>0.68269230769230804</v>
      </c>
      <c r="N1289">
        <v>1</v>
      </c>
      <c r="O1289">
        <v>0.75288461538461504</v>
      </c>
      <c r="P1289" t="s">
        <v>6903</v>
      </c>
      <c r="Q1289" t="s">
        <v>6904</v>
      </c>
      <c r="R1289" t="s">
        <v>869</v>
      </c>
      <c r="S1289" t="s">
        <v>870</v>
      </c>
      <c r="T1289" t="s">
        <v>6905</v>
      </c>
      <c r="U1289" t="s">
        <v>6906</v>
      </c>
      <c r="V1289" t="s">
        <v>6907</v>
      </c>
      <c r="W1289" t="s">
        <v>6908</v>
      </c>
      <c r="X1289" t="s">
        <v>6907</v>
      </c>
      <c r="Y1289" t="s">
        <v>4240</v>
      </c>
      <c r="Z1289" t="s">
        <v>4241</v>
      </c>
      <c r="AA1289" t="s">
        <v>4242</v>
      </c>
      <c r="AB1289" t="s">
        <v>4241</v>
      </c>
      <c r="AC1289" t="s">
        <v>878</v>
      </c>
      <c r="AD1289" t="s">
        <v>219</v>
      </c>
      <c r="AE1289" t="s">
        <v>6909</v>
      </c>
      <c r="AF1289" t="s">
        <v>6911</v>
      </c>
    </row>
    <row r="1290" spans="1:32" hidden="1" x14ac:dyDescent="0.35">
      <c r="A1290">
        <v>3358</v>
      </c>
      <c r="B1290" t="s">
        <v>6902</v>
      </c>
      <c r="C1290" t="s">
        <v>72</v>
      </c>
      <c r="D1290" t="s">
        <v>45</v>
      </c>
      <c r="E1290">
        <v>560</v>
      </c>
      <c r="F1290">
        <v>5</v>
      </c>
      <c r="G1290">
        <v>5</v>
      </c>
      <c r="H1290">
        <v>1</v>
      </c>
      <c r="I1290">
        <v>1</v>
      </c>
      <c r="J1290">
        <v>0.84256861729673704</v>
      </c>
      <c r="K1290">
        <v>0.93068794128576504</v>
      </c>
      <c r="L1290">
        <v>0.884438800497926</v>
      </c>
      <c r="M1290">
        <v>0.68269230769230804</v>
      </c>
      <c r="N1290">
        <v>1</v>
      </c>
      <c r="O1290">
        <v>0.75288461538461504</v>
      </c>
      <c r="P1290" t="s">
        <v>6903</v>
      </c>
      <c r="Q1290" t="s">
        <v>6904</v>
      </c>
      <c r="R1290" t="s">
        <v>869</v>
      </c>
      <c r="S1290" t="s">
        <v>870</v>
      </c>
      <c r="T1290" t="s">
        <v>6905</v>
      </c>
      <c r="U1290" t="s">
        <v>6906</v>
      </c>
      <c r="V1290" t="s">
        <v>6907</v>
      </c>
      <c r="W1290" t="s">
        <v>6908</v>
      </c>
      <c r="X1290" t="s">
        <v>6907</v>
      </c>
      <c r="Y1290" t="s">
        <v>4240</v>
      </c>
      <c r="Z1290" t="s">
        <v>4241</v>
      </c>
      <c r="AA1290" t="s">
        <v>4242</v>
      </c>
      <c r="AB1290" t="s">
        <v>4241</v>
      </c>
      <c r="AC1290" t="s">
        <v>878</v>
      </c>
      <c r="AD1290" t="s">
        <v>219</v>
      </c>
      <c r="AE1290" t="s">
        <v>6909</v>
      </c>
      <c r="AF1290" t="s">
        <v>6912</v>
      </c>
    </row>
    <row r="1291" spans="1:32" hidden="1" x14ac:dyDescent="0.35">
      <c r="A1291">
        <v>11423</v>
      </c>
      <c r="B1291" t="s">
        <v>23283</v>
      </c>
      <c r="C1291" t="s">
        <v>33</v>
      </c>
      <c r="D1291" t="s">
        <v>58</v>
      </c>
      <c r="E1291">
        <v>852</v>
      </c>
      <c r="F1291">
        <v>1</v>
      </c>
      <c r="G1291">
        <v>1</v>
      </c>
      <c r="H1291">
        <v>1</v>
      </c>
      <c r="I1291">
        <v>0</v>
      </c>
      <c r="J1291">
        <v>1</v>
      </c>
      <c r="K1291">
        <v>1</v>
      </c>
      <c r="L1291">
        <v>1</v>
      </c>
      <c r="M1291">
        <v>0</v>
      </c>
      <c r="N1291">
        <v>0</v>
      </c>
      <c r="O1291">
        <v>0</v>
      </c>
      <c r="P1291" t="s">
        <v>3647</v>
      </c>
      <c r="Q1291" t="s">
        <v>3648</v>
      </c>
      <c r="R1291" t="s">
        <v>235</v>
      </c>
      <c r="S1291" t="s">
        <v>236</v>
      </c>
      <c r="T1291" t="s">
        <v>23284</v>
      </c>
      <c r="U1291" t="s">
        <v>23285</v>
      </c>
      <c r="V1291" t="s">
        <v>8462</v>
      </c>
      <c r="W1291" t="s">
        <v>8463</v>
      </c>
      <c r="X1291" t="s">
        <v>8462</v>
      </c>
      <c r="Y1291" t="s">
        <v>1108</v>
      </c>
      <c r="Z1291" t="s">
        <v>2933</v>
      </c>
      <c r="AA1291" t="s">
        <v>2934</v>
      </c>
      <c r="AB1291" t="s">
        <v>2933</v>
      </c>
      <c r="AC1291" t="s">
        <v>2804</v>
      </c>
      <c r="AD1291" t="s">
        <v>1743</v>
      </c>
      <c r="AE1291" t="s">
        <v>23286</v>
      </c>
      <c r="AF1291" t="s">
        <v>23287</v>
      </c>
    </row>
    <row r="1292" spans="1:32" hidden="1" x14ac:dyDescent="0.35">
      <c r="A1292">
        <v>3390</v>
      </c>
      <c r="B1292" t="s">
        <v>6962</v>
      </c>
      <c r="C1292" t="s">
        <v>72</v>
      </c>
      <c r="D1292" t="s">
        <v>60</v>
      </c>
      <c r="E1292">
        <v>1308</v>
      </c>
      <c r="F1292">
        <v>5</v>
      </c>
      <c r="G1292">
        <v>5</v>
      </c>
      <c r="H1292">
        <v>1</v>
      </c>
      <c r="I1292">
        <v>1</v>
      </c>
      <c r="J1292">
        <v>0.86705577172503201</v>
      </c>
      <c r="K1292">
        <v>1</v>
      </c>
      <c r="L1292">
        <v>0.928794720389024</v>
      </c>
      <c r="M1292">
        <v>0.76653696498054502</v>
      </c>
      <c r="N1292">
        <v>1</v>
      </c>
      <c r="O1292">
        <v>0.82373540856031102</v>
      </c>
      <c r="P1292" t="s">
        <v>3920</v>
      </c>
      <c r="Q1292" t="s">
        <v>3921</v>
      </c>
      <c r="R1292" t="s">
        <v>869</v>
      </c>
      <c r="S1292" t="s">
        <v>870</v>
      </c>
      <c r="T1292" t="s">
        <v>6963</v>
      </c>
      <c r="U1292" t="s">
        <v>6964</v>
      </c>
      <c r="V1292" t="s">
        <v>6965</v>
      </c>
      <c r="W1292" t="s">
        <v>6966</v>
      </c>
      <c r="X1292" t="s">
        <v>6965</v>
      </c>
      <c r="Y1292" t="s">
        <v>1091</v>
      </c>
      <c r="Z1292" t="s">
        <v>1953</v>
      </c>
      <c r="AA1292" t="s">
        <v>1954</v>
      </c>
      <c r="AB1292" t="s">
        <v>1953</v>
      </c>
      <c r="AC1292" t="s">
        <v>878</v>
      </c>
      <c r="AD1292" t="s">
        <v>191</v>
      </c>
      <c r="AE1292" t="s">
        <v>6967</v>
      </c>
      <c r="AF1292" t="s">
        <v>6969</v>
      </c>
    </row>
    <row r="1293" spans="1:32" hidden="1" x14ac:dyDescent="0.35">
      <c r="A1293">
        <v>3391</v>
      </c>
      <c r="B1293" t="s">
        <v>6962</v>
      </c>
      <c r="C1293" t="s">
        <v>72</v>
      </c>
      <c r="D1293" t="s">
        <v>62</v>
      </c>
      <c r="E1293">
        <v>1344</v>
      </c>
      <c r="F1293">
        <v>5</v>
      </c>
      <c r="G1293">
        <v>5</v>
      </c>
      <c r="H1293">
        <v>1</v>
      </c>
      <c r="I1293">
        <v>1</v>
      </c>
      <c r="J1293">
        <v>0.86705577172503201</v>
      </c>
      <c r="K1293">
        <v>1</v>
      </c>
      <c r="L1293">
        <v>0.928794720389024</v>
      </c>
      <c r="M1293">
        <v>0.76653696498054502</v>
      </c>
      <c r="N1293">
        <v>1</v>
      </c>
      <c r="O1293">
        <v>0.82373540856031102</v>
      </c>
      <c r="P1293" t="s">
        <v>3920</v>
      </c>
      <c r="Q1293" t="s">
        <v>3921</v>
      </c>
      <c r="R1293" t="s">
        <v>869</v>
      </c>
      <c r="S1293" t="s">
        <v>870</v>
      </c>
      <c r="T1293" t="s">
        <v>6963</v>
      </c>
      <c r="U1293" t="s">
        <v>6964</v>
      </c>
      <c r="V1293" t="s">
        <v>6965</v>
      </c>
      <c r="W1293" t="s">
        <v>6966</v>
      </c>
      <c r="X1293" t="s">
        <v>6965</v>
      </c>
      <c r="Y1293" t="s">
        <v>1091</v>
      </c>
      <c r="Z1293" t="s">
        <v>1953</v>
      </c>
      <c r="AA1293" t="s">
        <v>1954</v>
      </c>
      <c r="AB1293" t="s">
        <v>1953</v>
      </c>
      <c r="AC1293" t="s">
        <v>878</v>
      </c>
      <c r="AD1293" t="s">
        <v>191</v>
      </c>
      <c r="AE1293" t="s">
        <v>6967</v>
      </c>
      <c r="AF1293" t="s">
        <v>6969</v>
      </c>
    </row>
    <row r="1294" spans="1:32" hidden="1" x14ac:dyDescent="0.35">
      <c r="A1294">
        <v>3392</v>
      </c>
      <c r="B1294" t="s">
        <v>6962</v>
      </c>
      <c r="C1294" t="s">
        <v>72</v>
      </c>
      <c r="D1294" t="s">
        <v>34</v>
      </c>
      <c r="E1294">
        <v>1704</v>
      </c>
      <c r="F1294">
        <v>5</v>
      </c>
      <c r="G1294">
        <v>5</v>
      </c>
      <c r="H1294">
        <v>1</v>
      </c>
      <c r="I1294">
        <v>1</v>
      </c>
      <c r="J1294">
        <v>0.86705577172503201</v>
      </c>
      <c r="K1294">
        <v>1</v>
      </c>
      <c r="L1294">
        <v>0.928794720389024</v>
      </c>
      <c r="M1294">
        <v>0.76653696498054502</v>
      </c>
      <c r="N1294">
        <v>1</v>
      </c>
      <c r="O1294">
        <v>0.82373540856031102</v>
      </c>
      <c r="P1294" t="s">
        <v>3920</v>
      </c>
      <c r="Q1294" t="s">
        <v>3921</v>
      </c>
      <c r="R1294" t="s">
        <v>869</v>
      </c>
      <c r="S1294" t="s">
        <v>870</v>
      </c>
      <c r="T1294" t="s">
        <v>6963</v>
      </c>
      <c r="U1294" t="s">
        <v>6964</v>
      </c>
      <c r="V1294" t="s">
        <v>6965</v>
      </c>
      <c r="W1294" t="s">
        <v>6966</v>
      </c>
      <c r="X1294" t="s">
        <v>6965</v>
      </c>
      <c r="Y1294" t="s">
        <v>1091</v>
      </c>
      <c r="Z1294" t="s">
        <v>1953</v>
      </c>
      <c r="AA1294" t="s">
        <v>1954</v>
      </c>
      <c r="AB1294" t="s">
        <v>1953</v>
      </c>
      <c r="AC1294" t="s">
        <v>878</v>
      </c>
      <c r="AD1294" t="s">
        <v>191</v>
      </c>
      <c r="AE1294" t="s">
        <v>6967</v>
      </c>
      <c r="AF1294" t="s">
        <v>6970</v>
      </c>
    </row>
    <row r="1295" spans="1:32" hidden="1" x14ac:dyDescent="0.35">
      <c r="A1295">
        <v>3393</v>
      </c>
      <c r="B1295" t="s">
        <v>6962</v>
      </c>
      <c r="C1295" t="s">
        <v>72</v>
      </c>
      <c r="D1295" t="s">
        <v>45</v>
      </c>
      <c r="E1295">
        <v>1171</v>
      </c>
      <c r="F1295">
        <v>5</v>
      </c>
      <c r="G1295">
        <v>5</v>
      </c>
      <c r="H1295">
        <v>1</v>
      </c>
      <c r="I1295">
        <v>1</v>
      </c>
      <c r="J1295">
        <v>0.86705577172503201</v>
      </c>
      <c r="K1295">
        <v>1</v>
      </c>
      <c r="L1295">
        <v>0.928794720389024</v>
      </c>
      <c r="M1295">
        <v>0.76653696498054502</v>
      </c>
      <c r="N1295">
        <v>1</v>
      </c>
      <c r="O1295">
        <v>0.82373540856031102</v>
      </c>
      <c r="P1295" t="s">
        <v>3920</v>
      </c>
      <c r="Q1295" t="s">
        <v>3921</v>
      </c>
      <c r="R1295" t="s">
        <v>869</v>
      </c>
      <c r="S1295" t="s">
        <v>870</v>
      </c>
      <c r="T1295" t="s">
        <v>6963</v>
      </c>
      <c r="U1295" t="s">
        <v>6964</v>
      </c>
      <c r="V1295" t="s">
        <v>6965</v>
      </c>
      <c r="W1295" t="s">
        <v>6966</v>
      </c>
      <c r="X1295" t="s">
        <v>6965</v>
      </c>
      <c r="Y1295" t="s">
        <v>1091</v>
      </c>
      <c r="Z1295" t="s">
        <v>1953</v>
      </c>
      <c r="AA1295" t="s">
        <v>1954</v>
      </c>
      <c r="AB1295" t="s">
        <v>1953</v>
      </c>
      <c r="AC1295" t="s">
        <v>878</v>
      </c>
      <c r="AD1295" t="s">
        <v>191</v>
      </c>
      <c r="AE1295" t="s">
        <v>6967</v>
      </c>
      <c r="AF1295" t="s">
        <v>6971</v>
      </c>
    </row>
    <row r="1296" spans="1:32" hidden="1" x14ac:dyDescent="0.35">
      <c r="A1296">
        <v>2444</v>
      </c>
      <c r="B1296" t="s">
        <v>5062</v>
      </c>
      <c r="C1296" t="s">
        <v>72</v>
      </c>
      <c r="D1296" t="s">
        <v>58</v>
      </c>
      <c r="E1296">
        <v>95</v>
      </c>
      <c r="F1296">
        <v>5</v>
      </c>
      <c r="G1296">
        <v>5</v>
      </c>
      <c r="H1296">
        <v>1</v>
      </c>
      <c r="I1296">
        <v>1</v>
      </c>
      <c r="J1296">
        <v>0.87251189435867604</v>
      </c>
      <c r="K1296">
        <v>0.98660025174732502</v>
      </c>
      <c r="L1296">
        <v>0.92605543611754104</v>
      </c>
      <c r="M1296">
        <v>0.77298850574712596</v>
      </c>
      <c r="N1296">
        <v>1</v>
      </c>
      <c r="O1296">
        <v>0.823850574712644</v>
      </c>
      <c r="P1296" t="s">
        <v>5063</v>
      </c>
      <c r="Q1296" t="s">
        <v>5064</v>
      </c>
      <c r="R1296" t="s">
        <v>235</v>
      </c>
      <c r="S1296" t="s">
        <v>236</v>
      </c>
      <c r="T1296" t="s">
        <v>5065</v>
      </c>
      <c r="U1296" t="s">
        <v>5066</v>
      </c>
      <c r="V1296" t="s">
        <v>5067</v>
      </c>
      <c r="W1296" t="s">
        <v>5068</v>
      </c>
      <c r="X1296" t="s">
        <v>5067</v>
      </c>
      <c r="Y1296" t="s">
        <v>1136</v>
      </c>
      <c r="Z1296" t="s">
        <v>1137</v>
      </c>
      <c r="AA1296" t="s">
        <v>1138</v>
      </c>
      <c r="AB1296" t="s">
        <v>1137</v>
      </c>
      <c r="AC1296" t="s">
        <v>1139</v>
      </c>
      <c r="AD1296" t="s">
        <v>1140</v>
      </c>
      <c r="AE1296" t="s">
        <v>5069</v>
      </c>
      <c r="AF1296" t="s">
        <v>5070</v>
      </c>
    </row>
    <row r="1297" spans="1:32" hidden="1" x14ac:dyDescent="0.35">
      <c r="A1297">
        <v>3545</v>
      </c>
      <c r="B1297" t="s">
        <v>7276</v>
      </c>
      <c r="C1297" t="s">
        <v>72</v>
      </c>
      <c r="D1297" t="s">
        <v>60</v>
      </c>
      <c r="E1297">
        <v>316</v>
      </c>
      <c r="F1297">
        <v>5</v>
      </c>
      <c r="G1297">
        <v>5</v>
      </c>
      <c r="H1297">
        <v>1</v>
      </c>
      <c r="I1297">
        <v>1</v>
      </c>
      <c r="J1297">
        <v>0.83469174503657295</v>
      </c>
      <c r="K1297">
        <v>0.87440202662896405</v>
      </c>
      <c r="L1297">
        <v>0.85408555758668603</v>
      </c>
      <c r="M1297">
        <v>0.61246612466124695</v>
      </c>
      <c r="N1297">
        <v>1</v>
      </c>
      <c r="O1297">
        <v>0.71382113821138204</v>
      </c>
      <c r="P1297" t="s">
        <v>7277</v>
      </c>
      <c r="Q1297" t="s">
        <v>7278</v>
      </c>
      <c r="R1297" t="s">
        <v>869</v>
      </c>
      <c r="S1297" t="s">
        <v>870</v>
      </c>
      <c r="T1297" t="s">
        <v>7279</v>
      </c>
      <c r="U1297" t="s">
        <v>7280</v>
      </c>
      <c r="V1297" t="s">
        <v>7281</v>
      </c>
      <c r="W1297" t="s">
        <v>7282</v>
      </c>
      <c r="X1297" t="s">
        <v>7281</v>
      </c>
      <c r="Y1297" t="s">
        <v>1153</v>
      </c>
      <c r="Z1297" t="s">
        <v>7283</v>
      </c>
      <c r="AA1297" t="s">
        <v>7284</v>
      </c>
      <c r="AB1297" t="s">
        <v>7283</v>
      </c>
      <c r="AC1297" t="s">
        <v>1742</v>
      </c>
      <c r="AD1297" t="s">
        <v>219</v>
      </c>
      <c r="AE1297" t="s">
        <v>7285</v>
      </c>
      <c r="AF1297" t="s">
        <v>7287</v>
      </c>
    </row>
    <row r="1298" spans="1:32" hidden="1" x14ac:dyDescent="0.35">
      <c r="A1298">
        <v>3546</v>
      </c>
      <c r="B1298" t="s">
        <v>7276</v>
      </c>
      <c r="C1298" t="s">
        <v>72</v>
      </c>
      <c r="D1298" t="s">
        <v>62</v>
      </c>
      <c r="E1298">
        <v>396</v>
      </c>
      <c r="F1298">
        <v>5</v>
      </c>
      <c r="G1298">
        <v>5</v>
      </c>
      <c r="H1298">
        <v>1</v>
      </c>
      <c r="I1298">
        <v>1</v>
      </c>
      <c r="J1298">
        <v>0.83469174503657295</v>
      </c>
      <c r="K1298">
        <v>0.87440202662896405</v>
      </c>
      <c r="L1298">
        <v>0.85408555758668603</v>
      </c>
      <c r="M1298">
        <v>0.61246612466124695</v>
      </c>
      <c r="N1298">
        <v>1</v>
      </c>
      <c r="O1298">
        <v>0.71382113821138204</v>
      </c>
      <c r="P1298" t="s">
        <v>7277</v>
      </c>
      <c r="Q1298" t="s">
        <v>7278</v>
      </c>
      <c r="R1298" t="s">
        <v>869</v>
      </c>
      <c r="S1298" t="s">
        <v>870</v>
      </c>
      <c r="T1298" t="s">
        <v>7279</v>
      </c>
      <c r="U1298" t="s">
        <v>7280</v>
      </c>
      <c r="V1298" t="s">
        <v>7281</v>
      </c>
      <c r="W1298" t="s">
        <v>7282</v>
      </c>
      <c r="X1298" t="s">
        <v>7281</v>
      </c>
      <c r="Y1298" t="s">
        <v>1153</v>
      </c>
      <c r="Z1298" t="s">
        <v>7283</v>
      </c>
      <c r="AA1298" t="s">
        <v>7284</v>
      </c>
      <c r="AB1298" t="s">
        <v>7283</v>
      </c>
      <c r="AC1298" t="s">
        <v>1742</v>
      </c>
      <c r="AD1298" t="s">
        <v>219</v>
      </c>
      <c r="AE1298" t="s">
        <v>7285</v>
      </c>
      <c r="AF1298" t="s">
        <v>7287</v>
      </c>
    </row>
    <row r="1299" spans="1:32" hidden="1" x14ac:dyDescent="0.35">
      <c r="A1299">
        <v>3547</v>
      </c>
      <c r="B1299" t="s">
        <v>7276</v>
      </c>
      <c r="C1299" t="s">
        <v>72</v>
      </c>
      <c r="D1299" t="s">
        <v>34</v>
      </c>
      <c r="E1299">
        <v>842</v>
      </c>
      <c r="F1299">
        <v>5</v>
      </c>
      <c r="G1299">
        <v>5</v>
      </c>
      <c r="H1299">
        <v>1</v>
      </c>
      <c r="I1299">
        <v>1</v>
      </c>
      <c r="J1299">
        <v>0.83469174503657295</v>
      </c>
      <c r="K1299">
        <v>0.87440202662896405</v>
      </c>
      <c r="L1299">
        <v>0.85408555758668603</v>
      </c>
      <c r="M1299">
        <v>0.61246612466124695</v>
      </c>
      <c r="N1299">
        <v>1</v>
      </c>
      <c r="O1299">
        <v>0.71382113821138204</v>
      </c>
      <c r="P1299" t="s">
        <v>7277</v>
      </c>
      <c r="Q1299" t="s">
        <v>7278</v>
      </c>
      <c r="R1299" t="s">
        <v>869</v>
      </c>
      <c r="S1299" t="s">
        <v>870</v>
      </c>
      <c r="T1299" t="s">
        <v>7279</v>
      </c>
      <c r="U1299" t="s">
        <v>7280</v>
      </c>
      <c r="V1299" t="s">
        <v>7281</v>
      </c>
      <c r="W1299" t="s">
        <v>7282</v>
      </c>
      <c r="X1299" t="s">
        <v>7281</v>
      </c>
      <c r="Y1299" t="s">
        <v>1153</v>
      </c>
      <c r="Z1299" t="s">
        <v>7283</v>
      </c>
      <c r="AA1299" t="s">
        <v>7284</v>
      </c>
      <c r="AB1299" t="s">
        <v>7283</v>
      </c>
      <c r="AC1299" t="s">
        <v>1742</v>
      </c>
      <c r="AD1299" t="s">
        <v>219</v>
      </c>
      <c r="AE1299" t="s">
        <v>7285</v>
      </c>
      <c r="AF1299" t="e">
        <f>-------------------------------------MRQAGRSLPEYRQVRAGIDMLDSCFMPELLAEITLQPVRRHDVDAAILFSDIVVPLKAAGVDVEIVSGRGPVVAQPILSMSDVDKLPVLDSDIDGVMAGIGIIIDNLTSSQALIGFAGAPFTLASYLVEGGPSRNHEKTKAMMHAQPETWHALMQKLTPTITHFLSMQISAGIDAMQLFDSWAGFLTERDYREYVLPYSMEIFAAIA--GAGIPRIHFGVGTGELLGAMSQAGADVTGVDWRVPLDVAARRIHHAVGPKSVQGNLDPALLCAGEEVVRAEVTRICAEADRAISAGHAIGHIFNLGHGVLPTTDPEMITRAVSLVHEITPPQT</f>
        <v>#NAME?</v>
      </c>
    </row>
    <row r="1300" spans="1:32" hidden="1" x14ac:dyDescent="0.35">
      <c r="A1300">
        <v>3548</v>
      </c>
      <c r="B1300" t="s">
        <v>7276</v>
      </c>
      <c r="C1300" t="s">
        <v>72</v>
      </c>
      <c r="D1300" t="s">
        <v>45</v>
      </c>
      <c r="E1300">
        <v>2099</v>
      </c>
      <c r="F1300">
        <v>5</v>
      </c>
      <c r="G1300">
        <v>5</v>
      </c>
      <c r="H1300">
        <v>1</v>
      </c>
      <c r="I1300">
        <v>1</v>
      </c>
      <c r="J1300">
        <v>0.83469174503657295</v>
      </c>
      <c r="K1300">
        <v>0.87440202662896405</v>
      </c>
      <c r="L1300">
        <v>0.85408555758668603</v>
      </c>
      <c r="M1300">
        <v>0.61246612466124695</v>
      </c>
      <c r="N1300">
        <v>1</v>
      </c>
      <c r="O1300">
        <v>0.71382113821138204</v>
      </c>
      <c r="P1300" t="s">
        <v>7277</v>
      </c>
      <c r="Q1300" t="s">
        <v>7278</v>
      </c>
      <c r="R1300" t="s">
        <v>869</v>
      </c>
      <c r="S1300" t="s">
        <v>870</v>
      </c>
      <c r="T1300" t="s">
        <v>7279</v>
      </c>
      <c r="U1300" t="s">
        <v>7280</v>
      </c>
      <c r="V1300" t="s">
        <v>7281</v>
      </c>
      <c r="W1300" t="s">
        <v>7282</v>
      </c>
      <c r="X1300" t="s">
        <v>7281</v>
      </c>
      <c r="Y1300" t="s">
        <v>1153</v>
      </c>
      <c r="Z1300" t="s">
        <v>7283</v>
      </c>
      <c r="AA1300" t="s">
        <v>7284</v>
      </c>
      <c r="AB1300" t="s">
        <v>7283</v>
      </c>
      <c r="AC1300" t="s">
        <v>1742</v>
      </c>
      <c r="AD1300" t="s">
        <v>219</v>
      </c>
      <c r="AE1300" t="s">
        <v>7285</v>
      </c>
      <c r="AF1300" t="e">
        <f>-------------------------------------MRQAGRSLPEYRQVRAGIDMLDSCFMPELLAEITLQPVRRHDVDAAILFSDIVVPLKAAGVDVEIVSGRGPVVAQPILSMSDVDKLPVLDSDIDGVMAGVGIIIDNLTSSQALIGFAGAPFTLASYLVEGGPSRNHEKTKAMMHAQPETWHALMRKLTPTITHFLSMQISAGIDAMQLFDSWAGFLTERDYREYVLPYSMEIFAAIA--GAGIPRIHFGVGTGELLGAMSQAGADVTGVDWRVPLDVAARRIHHAVGPKSVQGNLDPALLCAGEEVVRAEAARICAEADRAISAGHAIGHIFNLGHGVLPTTDPEMITRAVSLVHEITPPQI</f>
        <v>#NAME?</v>
      </c>
    </row>
    <row r="1301" spans="1:32" hidden="1" x14ac:dyDescent="0.35">
      <c r="A1301">
        <v>1294</v>
      </c>
      <c r="B1301" t="s">
        <v>2680</v>
      </c>
      <c r="C1301" t="s">
        <v>72</v>
      </c>
      <c r="D1301" t="s">
        <v>58</v>
      </c>
      <c r="E1301">
        <v>933</v>
      </c>
      <c r="F1301">
        <v>5</v>
      </c>
      <c r="G1301">
        <v>5</v>
      </c>
      <c r="H1301">
        <v>1</v>
      </c>
      <c r="I1301">
        <v>1</v>
      </c>
      <c r="J1301">
        <v>0.749123685528292</v>
      </c>
      <c r="K1301">
        <v>0.93556983081267298</v>
      </c>
      <c r="L1301">
        <v>0.832029699086969</v>
      </c>
      <c r="M1301">
        <v>0.54205607476635498</v>
      </c>
      <c r="N1301">
        <v>1</v>
      </c>
      <c r="O1301">
        <v>0.64719626168224298</v>
      </c>
      <c r="P1301" t="s">
        <v>2681</v>
      </c>
      <c r="Q1301" t="s">
        <v>2682</v>
      </c>
      <c r="R1301" t="s">
        <v>235</v>
      </c>
      <c r="S1301" t="s">
        <v>236</v>
      </c>
      <c r="T1301" t="s">
        <v>2683</v>
      </c>
      <c r="U1301" t="s">
        <v>2684</v>
      </c>
      <c r="V1301" t="s">
        <v>2685</v>
      </c>
      <c r="W1301" t="s">
        <v>2686</v>
      </c>
      <c r="AD1301" t="s">
        <v>2687</v>
      </c>
      <c r="AE1301" t="s">
        <v>2688</v>
      </c>
      <c r="AF1301" t="s">
        <v>2689</v>
      </c>
    </row>
    <row r="1302" spans="1:32" hidden="1" x14ac:dyDescent="0.35">
      <c r="A1302">
        <v>3550</v>
      </c>
      <c r="B1302" t="s">
        <v>7288</v>
      </c>
      <c r="C1302" t="s">
        <v>72</v>
      </c>
      <c r="D1302" t="s">
        <v>60</v>
      </c>
      <c r="E1302">
        <v>1130</v>
      </c>
      <c r="F1302">
        <v>5</v>
      </c>
      <c r="G1302">
        <v>5</v>
      </c>
      <c r="H1302">
        <v>1</v>
      </c>
      <c r="I1302">
        <v>1</v>
      </c>
      <c r="J1302">
        <v>0.806893598801113</v>
      </c>
      <c r="K1302">
        <v>0.97353380503144604</v>
      </c>
      <c r="L1302">
        <v>0.88241530522998002</v>
      </c>
      <c r="M1302">
        <v>0.625</v>
      </c>
      <c r="N1302">
        <v>1</v>
      </c>
      <c r="O1302">
        <v>0.72250000000000003</v>
      </c>
      <c r="P1302" t="s">
        <v>6903</v>
      </c>
      <c r="Q1302" t="s">
        <v>6904</v>
      </c>
      <c r="R1302" t="s">
        <v>869</v>
      </c>
      <c r="S1302" t="s">
        <v>870</v>
      </c>
      <c r="T1302" t="s">
        <v>7289</v>
      </c>
      <c r="U1302" t="s">
        <v>7290</v>
      </c>
      <c r="V1302" t="s">
        <v>7291</v>
      </c>
      <c r="W1302" t="s">
        <v>7292</v>
      </c>
      <c r="X1302" t="s">
        <v>7291</v>
      </c>
      <c r="Y1302" t="s">
        <v>3682</v>
      </c>
      <c r="Z1302" t="s">
        <v>3683</v>
      </c>
      <c r="AA1302" t="s">
        <v>3684</v>
      </c>
      <c r="AB1302" t="s">
        <v>3683</v>
      </c>
      <c r="AC1302" t="s">
        <v>1094</v>
      </c>
      <c r="AD1302" t="s">
        <v>219</v>
      </c>
      <c r="AE1302" t="s">
        <v>7293</v>
      </c>
      <c r="AF1302" t="s">
        <v>7295</v>
      </c>
    </row>
    <row r="1303" spans="1:32" hidden="1" x14ac:dyDescent="0.35">
      <c r="A1303">
        <v>3551</v>
      </c>
      <c r="B1303" t="s">
        <v>7288</v>
      </c>
      <c r="C1303" t="s">
        <v>72</v>
      </c>
      <c r="D1303" t="s">
        <v>62</v>
      </c>
      <c r="E1303">
        <v>1166</v>
      </c>
      <c r="F1303">
        <v>5</v>
      </c>
      <c r="G1303">
        <v>5</v>
      </c>
      <c r="H1303">
        <v>1</v>
      </c>
      <c r="I1303">
        <v>1</v>
      </c>
      <c r="J1303">
        <v>0.806893598801113</v>
      </c>
      <c r="K1303">
        <v>0.97353380503144604</v>
      </c>
      <c r="L1303">
        <v>0.88241530522998002</v>
      </c>
      <c r="M1303">
        <v>0.625</v>
      </c>
      <c r="N1303">
        <v>1</v>
      </c>
      <c r="O1303">
        <v>0.72250000000000003</v>
      </c>
      <c r="P1303" t="s">
        <v>6903</v>
      </c>
      <c r="Q1303" t="s">
        <v>6904</v>
      </c>
      <c r="R1303" t="s">
        <v>869</v>
      </c>
      <c r="S1303" t="s">
        <v>870</v>
      </c>
      <c r="T1303" t="s">
        <v>7289</v>
      </c>
      <c r="U1303" t="s">
        <v>7290</v>
      </c>
      <c r="V1303" t="s">
        <v>7291</v>
      </c>
      <c r="W1303" t="s">
        <v>7292</v>
      </c>
      <c r="X1303" t="s">
        <v>7291</v>
      </c>
      <c r="Y1303" t="s">
        <v>3682</v>
      </c>
      <c r="Z1303" t="s">
        <v>3683</v>
      </c>
      <c r="AA1303" t="s">
        <v>3684</v>
      </c>
      <c r="AB1303" t="s">
        <v>3683</v>
      </c>
      <c r="AC1303" t="s">
        <v>1094</v>
      </c>
      <c r="AD1303" t="s">
        <v>219</v>
      </c>
      <c r="AE1303" t="s">
        <v>7293</v>
      </c>
      <c r="AF1303" t="s">
        <v>7296</v>
      </c>
    </row>
    <row r="1304" spans="1:32" hidden="1" x14ac:dyDescent="0.35">
      <c r="A1304">
        <v>3552</v>
      </c>
      <c r="B1304" t="s">
        <v>7288</v>
      </c>
      <c r="C1304" t="s">
        <v>72</v>
      </c>
      <c r="D1304" t="s">
        <v>34</v>
      </c>
      <c r="E1304">
        <v>18</v>
      </c>
      <c r="F1304">
        <v>5</v>
      </c>
      <c r="G1304">
        <v>5</v>
      </c>
      <c r="H1304">
        <v>1</v>
      </c>
      <c r="I1304">
        <v>1</v>
      </c>
      <c r="J1304">
        <v>0.806893598801113</v>
      </c>
      <c r="K1304">
        <v>0.97353380503144604</v>
      </c>
      <c r="L1304">
        <v>0.88241530522998002</v>
      </c>
      <c r="M1304">
        <v>0.625</v>
      </c>
      <c r="N1304">
        <v>1</v>
      </c>
      <c r="O1304">
        <v>0.72250000000000003</v>
      </c>
      <c r="P1304" t="s">
        <v>6903</v>
      </c>
      <c r="Q1304" t="s">
        <v>6904</v>
      </c>
      <c r="R1304" t="s">
        <v>869</v>
      </c>
      <c r="S1304" t="s">
        <v>870</v>
      </c>
      <c r="T1304" t="s">
        <v>7289</v>
      </c>
      <c r="U1304" t="s">
        <v>7290</v>
      </c>
      <c r="V1304" t="s">
        <v>7291</v>
      </c>
      <c r="W1304" t="s">
        <v>7292</v>
      </c>
      <c r="X1304" t="s">
        <v>7291</v>
      </c>
      <c r="Y1304" t="s">
        <v>3682</v>
      </c>
      <c r="Z1304" t="s">
        <v>3683</v>
      </c>
      <c r="AA1304" t="s">
        <v>3684</v>
      </c>
      <c r="AB1304" t="s">
        <v>3683</v>
      </c>
      <c r="AC1304" t="s">
        <v>1094</v>
      </c>
      <c r="AD1304" t="s">
        <v>219</v>
      </c>
      <c r="AE1304" t="s">
        <v>7293</v>
      </c>
      <c r="AF1304" t="s">
        <v>7297</v>
      </c>
    </row>
    <row r="1305" spans="1:32" hidden="1" x14ac:dyDescent="0.35">
      <c r="A1305">
        <v>3553</v>
      </c>
      <c r="B1305" t="s">
        <v>7288</v>
      </c>
      <c r="C1305" t="s">
        <v>72</v>
      </c>
      <c r="D1305" t="s">
        <v>45</v>
      </c>
      <c r="E1305">
        <v>1274</v>
      </c>
      <c r="F1305">
        <v>5</v>
      </c>
      <c r="G1305">
        <v>5</v>
      </c>
      <c r="H1305">
        <v>1</v>
      </c>
      <c r="I1305">
        <v>1</v>
      </c>
      <c r="J1305">
        <v>0.806893598801113</v>
      </c>
      <c r="K1305">
        <v>0.97353380503144604</v>
      </c>
      <c r="L1305">
        <v>0.88241530522998002</v>
      </c>
      <c r="M1305">
        <v>0.625</v>
      </c>
      <c r="N1305">
        <v>1</v>
      </c>
      <c r="O1305">
        <v>0.72250000000000003</v>
      </c>
      <c r="P1305" t="s">
        <v>6903</v>
      </c>
      <c r="Q1305" t="s">
        <v>6904</v>
      </c>
      <c r="R1305" t="s">
        <v>869</v>
      </c>
      <c r="S1305" t="s">
        <v>870</v>
      </c>
      <c r="T1305" t="s">
        <v>7289</v>
      </c>
      <c r="U1305" t="s">
        <v>7290</v>
      </c>
      <c r="V1305" t="s">
        <v>7291</v>
      </c>
      <c r="W1305" t="s">
        <v>7292</v>
      </c>
      <c r="X1305" t="s">
        <v>7291</v>
      </c>
      <c r="Y1305" t="s">
        <v>3682</v>
      </c>
      <c r="Z1305" t="s">
        <v>3683</v>
      </c>
      <c r="AA1305" t="s">
        <v>3684</v>
      </c>
      <c r="AB1305" t="s">
        <v>3683</v>
      </c>
      <c r="AC1305" t="s">
        <v>1094</v>
      </c>
      <c r="AD1305" t="s">
        <v>219</v>
      </c>
      <c r="AE1305" t="s">
        <v>7293</v>
      </c>
      <c r="AF1305" t="s">
        <v>7297</v>
      </c>
    </row>
    <row r="1306" spans="1:32" hidden="1" x14ac:dyDescent="0.35">
      <c r="A1306">
        <v>4759</v>
      </c>
      <c r="B1306" t="s">
        <v>9974</v>
      </c>
      <c r="C1306" t="s">
        <v>10127</v>
      </c>
      <c r="D1306" t="s">
        <v>58</v>
      </c>
      <c r="E1306">
        <v>1035</v>
      </c>
      <c r="F1306">
        <v>5</v>
      </c>
      <c r="G1306">
        <v>5</v>
      </c>
      <c r="H1306">
        <v>1</v>
      </c>
      <c r="I1306">
        <v>1</v>
      </c>
      <c r="J1306">
        <v>0.91547398551944803</v>
      </c>
      <c r="K1306">
        <v>0.98663882455044505</v>
      </c>
      <c r="L1306">
        <v>0.94972513953704896</v>
      </c>
      <c r="M1306">
        <v>0.82724252491694406</v>
      </c>
      <c r="N1306">
        <v>0.99667774086378702</v>
      </c>
      <c r="O1306">
        <v>0.87674418604651205</v>
      </c>
      <c r="P1306" t="s">
        <v>7548</v>
      </c>
      <c r="Q1306" t="s">
        <v>7549</v>
      </c>
      <c r="R1306" t="s">
        <v>224</v>
      </c>
      <c r="S1306" t="s">
        <v>225</v>
      </c>
      <c r="T1306" t="s">
        <v>9975</v>
      </c>
      <c r="U1306" t="s">
        <v>9976</v>
      </c>
      <c r="V1306" t="s">
        <v>9977</v>
      </c>
      <c r="W1306" t="s">
        <v>9978</v>
      </c>
      <c r="X1306" t="s">
        <v>9977</v>
      </c>
      <c r="Y1306" t="s">
        <v>589</v>
      </c>
      <c r="AD1306" t="s">
        <v>7033</v>
      </c>
      <c r="AE1306" t="s">
        <v>9979</v>
      </c>
      <c r="AF1306" t="s">
        <v>9980</v>
      </c>
    </row>
    <row r="1307" spans="1:32" hidden="1" x14ac:dyDescent="0.35">
      <c r="A1307">
        <v>3590</v>
      </c>
      <c r="B1307" t="s">
        <v>7380</v>
      </c>
      <c r="C1307" t="s">
        <v>72</v>
      </c>
      <c r="D1307" t="s">
        <v>60</v>
      </c>
      <c r="E1307">
        <v>912</v>
      </c>
      <c r="F1307">
        <v>5</v>
      </c>
      <c r="G1307">
        <v>5</v>
      </c>
      <c r="H1307">
        <v>1</v>
      </c>
      <c r="I1307">
        <v>1</v>
      </c>
      <c r="J1307">
        <v>0.76642819289878095</v>
      </c>
      <c r="K1307">
        <v>0.97923151750973003</v>
      </c>
      <c r="L1307">
        <v>0.85985904116316303</v>
      </c>
      <c r="M1307">
        <v>0.54085603112840497</v>
      </c>
      <c r="N1307">
        <v>0.99610894941634198</v>
      </c>
      <c r="O1307">
        <v>0.65797665369649805</v>
      </c>
      <c r="P1307" t="s">
        <v>7381</v>
      </c>
      <c r="Q1307" t="s">
        <v>7382</v>
      </c>
      <c r="R1307" t="s">
        <v>869</v>
      </c>
      <c r="S1307" t="s">
        <v>870</v>
      </c>
      <c r="T1307" t="s">
        <v>7383</v>
      </c>
      <c r="U1307" t="s">
        <v>7384</v>
      </c>
      <c r="V1307" t="s">
        <v>7385</v>
      </c>
      <c r="W1307" t="s">
        <v>7386</v>
      </c>
      <c r="AD1307" t="s">
        <v>439</v>
      </c>
      <c r="AE1307" t="s">
        <v>7387</v>
      </c>
      <c r="AF1307" t="s">
        <v>7389</v>
      </c>
    </row>
    <row r="1308" spans="1:32" hidden="1" x14ac:dyDescent="0.35">
      <c r="A1308">
        <v>3591</v>
      </c>
      <c r="B1308" t="s">
        <v>7380</v>
      </c>
      <c r="C1308" t="s">
        <v>72</v>
      </c>
      <c r="D1308" t="s">
        <v>62</v>
      </c>
      <c r="E1308">
        <v>948</v>
      </c>
      <c r="F1308">
        <v>5</v>
      </c>
      <c r="G1308">
        <v>5</v>
      </c>
      <c r="H1308">
        <v>1</v>
      </c>
      <c r="I1308">
        <v>1</v>
      </c>
      <c r="J1308">
        <v>0.76642819289878095</v>
      </c>
      <c r="K1308">
        <v>0.97923151750973003</v>
      </c>
      <c r="L1308">
        <v>0.85985904116316303</v>
      </c>
      <c r="M1308">
        <v>0.54085603112840497</v>
      </c>
      <c r="N1308">
        <v>0.99610894941634198</v>
      </c>
      <c r="O1308">
        <v>0.65797665369649805</v>
      </c>
      <c r="P1308" t="s">
        <v>7381</v>
      </c>
      <c r="Q1308" t="s">
        <v>7382</v>
      </c>
      <c r="R1308" t="s">
        <v>869</v>
      </c>
      <c r="S1308" t="s">
        <v>870</v>
      </c>
      <c r="T1308" t="s">
        <v>7383</v>
      </c>
      <c r="U1308" t="s">
        <v>7384</v>
      </c>
      <c r="V1308" t="s">
        <v>7385</v>
      </c>
      <c r="W1308" t="s">
        <v>7386</v>
      </c>
      <c r="AD1308" t="s">
        <v>439</v>
      </c>
      <c r="AE1308" t="s">
        <v>7387</v>
      </c>
      <c r="AF1308" t="s">
        <v>7390</v>
      </c>
    </row>
    <row r="1309" spans="1:32" hidden="1" x14ac:dyDescent="0.35">
      <c r="A1309">
        <v>3592</v>
      </c>
      <c r="B1309" t="s">
        <v>7380</v>
      </c>
      <c r="C1309" t="s">
        <v>72</v>
      </c>
      <c r="D1309" t="s">
        <v>34</v>
      </c>
      <c r="E1309">
        <v>246</v>
      </c>
      <c r="F1309">
        <v>5</v>
      </c>
      <c r="G1309">
        <v>5</v>
      </c>
      <c r="H1309">
        <v>1</v>
      </c>
      <c r="I1309">
        <v>1</v>
      </c>
      <c r="J1309">
        <v>0.76642819289878095</v>
      </c>
      <c r="K1309">
        <v>0.97923151750973003</v>
      </c>
      <c r="L1309">
        <v>0.85985904116316303</v>
      </c>
      <c r="M1309">
        <v>0.54085603112840497</v>
      </c>
      <c r="N1309">
        <v>0.99610894941634198</v>
      </c>
      <c r="O1309">
        <v>0.65797665369649805</v>
      </c>
      <c r="P1309" t="s">
        <v>7381</v>
      </c>
      <c r="Q1309" t="s">
        <v>7382</v>
      </c>
      <c r="R1309" t="s">
        <v>869</v>
      </c>
      <c r="S1309" t="s">
        <v>870</v>
      </c>
      <c r="T1309" t="s">
        <v>7383</v>
      </c>
      <c r="U1309" t="s">
        <v>7384</v>
      </c>
      <c r="V1309" t="s">
        <v>7385</v>
      </c>
      <c r="W1309" t="s">
        <v>7386</v>
      </c>
      <c r="AD1309" t="s">
        <v>439</v>
      </c>
      <c r="AE1309" t="s">
        <v>7387</v>
      </c>
      <c r="AF1309" t="s">
        <v>7391</v>
      </c>
    </row>
    <row r="1310" spans="1:32" hidden="1" x14ac:dyDescent="0.35">
      <c r="A1310">
        <v>3593</v>
      </c>
      <c r="B1310" t="s">
        <v>7380</v>
      </c>
      <c r="C1310" t="s">
        <v>72</v>
      </c>
      <c r="D1310" t="s">
        <v>45</v>
      </c>
      <c r="E1310">
        <v>1509</v>
      </c>
      <c r="F1310">
        <v>5</v>
      </c>
      <c r="G1310">
        <v>5</v>
      </c>
      <c r="H1310">
        <v>1</v>
      </c>
      <c r="I1310">
        <v>1</v>
      </c>
      <c r="J1310">
        <v>0.76642819289878095</v>
      </c>
      <c r="K1310">
        <v>0.97923151750973003</v>
      </c>
      <c r="L1310">
        <v>0.85985904116316303</v>
      </c>
      <c r="M1310">
        <v>0.54085603112840497</v>
      </c>
      <c r="N1310">
        <v>0.99610894941634198</v>
      </c>
      <c r="O1310">
        <v>0.65797665369649805</v>
      </c>
      <c r="P1310" t="s">
        <v>7381</v>
      </c>
      <c r="Q1310" t="s">
        <v>7382</v>
      </c>
      <c r="R1310" t="s">
        <v>869</v>
      </c>
      <c r="S1310" t="s">
        <v>870</v>
      </c>
      <c r="T1310" t="s">
        <v>7383</v>
      </c>
      <c r="U1310" t="s">
        <v>7384</v>
      </c>
      <c r="V1310" t="s">
        <v>7385</v>
      </c>
      <c r="W1310" t="s">
        <v>7386</v>
      </c>
      <c r="AD1310" t="s">
        <v>439</v>
      </c>
      <c r="AE1310" t="s">
        <v>7387</v>
      </c>
      <c r="AF1310" t="s">
        <v>7392</v>
      </c>
    </row>
    <row r="1311" spans="1:32" hidden="1" x14ac:dyDescent="0.35">
      <c r="A1311">
        <v>331</v>
      </c>
      <c r="B1311" t="s">
        <v>582</v>
      </c>
      <c r="C1311" t="s">
        <v>72</v>
      </c>
      <c r="D1311" t="s">
        <v>58</v>
      </c>
      <c r="E1311">
        <v>769</v>
      </c>
      <c r="F1311">
        <v>5</v>
      </c>
      <c r="G1311">
        <v>6</v>
      </c>
      <c r="H1311">
        <v>2</v>
      </c>
      <c r="I1311">
        <v>0</v>
      </c>
      <c r="J1311">
        <v>0.92261185006045998</v>
      </c>
      <c r="K1311">
        <v>0.74860993741163395</v>
      </c>
      <c r="L1311">
        <v>0.82655265088868402</v>
      </c>
      <c r="M1311">
        <v>1.6032064128256501E-2</v>
      </c>
      <c r="N1311">
        <v>1</v>
      </c>
      <c r="O1311">
        <v>0.59959919839679399</v>
      </c>
      <c r="P1311" t="s">
        <v>583</v>
      </c>
      <c r="Q1311" t="s">
        <v>584</v>
      </c>
      <c r="R1311" t="s">
        <v>224</v>
      </c>
      <c r="S1311" t="s">
        <v>225</v>
      </c>
      <c r="T1311" t="s">
        <v>585</v>
      </c>
      <c r="U1311" t="s">
        <v>586</v>
      </c>
      <c r="V1311" t="s">
        <v>587</v>
      </c>
      <c r="W1311" t="s">
        <v>588</v>
      </c>
      <c r="X1311" t="s">
        <v>587</v>
      </c>
      <c r="Y1311" t="s">
        <v>589</v>
      </c>
      <c r="AD1311" t="s">
        <v>590</v>
      </c>
      <c r="AE1311" t="s">
        <v>591</v>
      </c>
      <c r="AF1311" t="s">
        <v>592</v>
      </c>
    </row>
    <row r="1312" spans="1:32" hidden="1" x14ac:dyDescent="0.35">
      <c r="A1312">
        <v>3860</v>
      </c>
      <c r="B1312" t="s">
        <v>7962</v>
      </c>
      <c r="C1312" t="s">
        <v>72</v>
      </c>
      <c r="D1312" t="s">
        <v>60</v>
      </c>
      <c r="E1312">
        <v>2409</v>
      </c>
      <c r="F1312">
        <v>5</v>
      </c>
      <c r="G1312">
        <v>5</v>
      </c>
      <c r="H1312">
        <v>1</v>
      </c>
      <c r="I1312">
        <v>1</v>
      </c>
      <c r="J1312">
        <v>0.75302727877578202</v>
      </c>
      <c r="K1312">
        <v>0.90515154663273301</v>
      </c>
      <c r="L1312">
        <v>0.822111337566519</v>
      </c>
      <c r="M1312">
        <v>0.57194244604316502</v>
      </c>
      <c r="N1312">
        <v>0.99640287769784197</v>
      </c>
      <c r="O1312">
        <v>0.66618705035971204</v>
      </c>
      <c r="P1312" t="s">
        <v>2041</v>
      </c>
      <c r="Q1312" t="s">
        <v>2035</v>
      </c>
      <c r="R1312" t="s">
        <v>869</v>
      </c>
      <c r="S1312" t="s">
        <v>870</v>
      </c>
      <c r="V1312" t="s">
        <v>7964</v>
      </c>
      <c r="W1312" t="s">
        <v>7965</v>
      </c>
      <c r="X1312" t="s">
        <v>7964</v>
      </c>
      <c r="Y1312" t="s">
        <v>2190</v>
      </c>
      <c r="AF1312" t="s">
        <v>7966</v>
      </c>
    </row>
    <row r="1313" spans="1:32" hidden="1" x14ac:dyDescent="0.35">
      <c r="A1313">
        <v>3861</v>
      </c>
      <c r="B1313" t="s">
        <v>7962</v>
      </c>
      <c r="C1313" t="s">
        <v>72</v>
      </c>
      <c r="D1313" t="s">
        <v>62</v>
      </c>
      <c r="E1313">
        <v>2436</v>
      </c>
      <c r="F1313">
        <v>5</v>
      </c>
      <c r="G1313">
        <v>5</v>
      </c>
      <c r="H1313">
        <v>1</v>
      </c>
      <c r="I1313">
        <v>1</v>
      </c>
      <c r="J1313">
        <v>0.75302727877578202</v>
      </c>
      <c r="K1313">
        <v>0.90515154663273301</v>
      </c>
      <c r="L1313">
        <v>0.822111337566519</v>
      </c>
      <c r="M1313">
        <v>0.57194244604316502</v>
      </c>
      <c r="N1313">
        <v>0.99640287769784197</v>
      </c>
      <c r="O1313">
        <v>0.66618705035971204</v>
      </c>
      <c r="P1313" t="s">
        <v>2041</v>
      </c>
      <c r="Q1313" t="s">
        <v>2035</v>
      </c>
      <c r="R1313" t="s">
        <v>869</v>
      </c>
      <c r="S1313" t="s">
        <v>870</v>
      </c>
      <c r="V1313" t="s">
        <v>7964</v>
      </c>
      <c r="W1313" t="s">
        <v>7965</v>
      </c>
      <c r="X1313" t="s">
        <v>7964</v>
      </c>
      <c r="Y1313" t="s">
        <v>2190</v>
      </c>
      <c r="AF1313" t="s">
        <v>7967</v>
      </c>
    </row>
    <row r="1314" spans="1:32" hidden="1" x14ac:dyDescent="0.35">
      <c r="A1314">
        <v>3862</v>
      </c>
      <c r="B1314" t="s">
        <v>7962</v>
      </c>
      <c r="C1314" t="s">
        <v>72</v>
      </c>
      <c r="D1314" t="s">
        <v>34</v>
      </c>
      <c r="E1314">
        <v>1325</v>
      </c>
      <c r="F1314">
        <v>5</v>
      </c>
      <c r="G1314">
        <v>5</v>
      </c>
      <c r="H1314">
        <v>1</v>
      </c>
      <c r="I1314">
        <v>1</v>
      </c>
      <c r="J1314">
        <v>0.75302727877578202</v>
      </c>
      <c r="K1314">
        <v>0.90515154663273301</v>
      </c>
      <c r="L1314">
        <v>0.822111337566519</v>
      </c>
      <c r="M1314">
        <v>0.57194244604316502</v>
      </c>
      <c r="N1314">
        <v>0.99640287769784197</v>
      </c>
      <c r="O1314">
        <v>0.66618705035971204</v>
      </c>
      <c r="P1314" t="s">
        <v>2041</v>
      </c>
      <c r="Q1314" t="s">
        <v>2035</v>
      </c>
      <c r="R1314" t="s">
        <v>869</v>
      </c>
      <c r="S1314" t="s">
        <v>870</v>
      </c>
      <c r="V1314" t="s">
        <v>7964</v>
      </c>
      <c r="W1314" t="s">
        <v>7965</v>
      </c>
      <c r="X1314" t="s">
        <v>7964</v>
      </c>
      <c r="Y1314" t="s">
        <v>2190</v>
      </c>
      <c r="AF1314" t="e">
        <f>---------MNTRLFHTRRRATLRRSIQLLLDVRKEQSDPDYFYSRLAKDTCELVTALHRDTHGCGLSGT-----RVLDVGGGPGYFAAEFAAQGADYIGLEPDVGEMSAAGITVANSVRGDGMALPFRNNSFDVVYSSNVAEHIPHPWVMGKEMLRVCKPGGLVILSYTVWLGPFGGHETGFWAHYLGGNFARDNYTKRHGHKPKNVFGISLFDVSCSSGIRWAS----QTNAKVVTLFPRYHPKWAWWFVSMPVFREFFVSNLVIVLQKATPNEGR</f>
        <v>#NAME?</v>
      </c>
    </row>
    <row r="1315" spans="1:32" hidden="1" x14ac:dyDescent="0.35">
      <c r="A1315">
        <v>3863</v>
      </c>
      <c r="B1315" t="s">
        <v>7962</v>
      </c>
      <c r="C1315" t="s">
        <v>72</v>
      </c>
      <c r="D1315" t="s">
        <v>45</v>
      </c>
      <c r="E1315">
        <v>76</v>
      </c>
      <c r="F1315">
        <v>5</v>
      </c>
      <c r="G1315">
        <v>5</v>
      </c>
      <c r="H1315">
        <v>1</v>
      </c>
      <c r="I1315">
        <v>1</v>
      </c>
      <c r="J1315">
        <v>0.75302727877578202</v>
      </c>
      <c r="K1315">
        <v>0.90515154663273301</v>
      </c>
      <c r="L1315">
        <v>0.822111337566519</v>
      </c>
      <c r="M1315">
        <v>0.57194244604316502</v>
      </c>
      <c r="N1315">
        <v>0.99640287769784197</v>
      </c>
      <c r="O1315">
        <v>0.66618705035971204</v>
      </c>
      <c r="P1315" t="s">
        <v>2041</v>
      </c>
      <c r="Q1315" t="s">
        <v>2035</v>
      </c>
      <c r="R1315" t="s">
        <v>869</v>
      </c>
      <c r="S1315" t="s">
        <v>870</v>
      </c>
      <c r="V1315" t="s">
        <v>7964</v>
      </c>
      <c r="W1315" t="s">
        <v>7965</v>
      </c>
      <c r="X1315" t="s">
        <v>7964</v>
      </c>
      <c r="Y1315" t="s">
        <v>2190</v>
      </c>
      <c r="AF1315" t="e">
        <f>---------MNTRLFHTRRRATLRRSIQLLLDVRKEQSDPDYFYSRLAKDTCELVTALHRDTHGCGLSGT-----RVLDVGGGPGYFAAEFAAQGADYIGLEPDVGEMSAAGITVANSVRGDGMALPFRNNSFDVVYSSNVAEHIPHPWVMGEEMLRVCKPGGLVILSYTVWLGPFGGHETGFWAHYLGGNFARDNYTKKHGHKPKNVFGISLFDVSCSSGIRWAS----QTNTKVVTLFPRYHPKWAWWFVSMPVFREFFVSNLVIVLQKATPNEGR</f>
        <v>#NAME?</v>
      </c>
    </row>
    <row r="1316" spans="1:32" hidden="1" x14ac:dyDescent="0.35">
      <c r="A1316">
        <v>11360</v>
      </c>
      <c r="B1316" t="s">
        <v>23139</v>
      </c>
      <c r="C1316" t="s">
        <v>33</v>
      </c>
      <c r="D1316" t="s">
        <v>58</v>
      </c>
      <c r="E1316">
        <v>1814</v>
      </c>
      <c r="F1316">
        <v>1</v>
      </c>
      <c r="G1316">
        <v>1</v>
      </c>
      <c r="H1316">
        <v>1</v>
      </c>
      <c r="I1316">
        <v>0</v>
      </c>
      <c r="J1316">
        <v>1</v>
      </c>
      <c r="K1316">
        <v>1</v>
      </c>
      <c r="L1316">
        <v>1</v>
      </c>
      <c r="M1316">
        <v>0</v>
      </c>
      <c r="N1316">
        <v>0</v>
      </c>
      <c r="O1316">
        <v>0</v>
      </c>
      <c r="P1316" t="s">
        <v>583</v>
      </c>
      <c r="Q1316" t="s">
        <v>584</v>
      </c>
      <c r="R1316" t="s">
        <v>224</v>
      </c>
      <c r="S1316" t="s">
        <v>225</v>
      </c>
      <c r="V1316" t="s">
        <v>587</v>
      </c>
      <c r="W1316" t="s">
        <v>588</v>
      </c>
      <c r="X1316" t="s">
        <v>587</v>
      </c>
      <c r="Y1316" t="s">
        <v>589</v>
      </c>
      <c r="AF1316" t="s">
        <v>23140</v>
      </c>
    </row>
    <row r="1317" spans="1:32" hidden="1" x14ac:dyDescent="0.35">
      <c r="A1317">
        <v>3870</v>
      </c>
      <c r="B1317" t="s">
        <v>7979</v>
      </c>
      <c r="C1317" t="s">
        <v>72</v>
      </c>
      <c r="D1317" t="s">
        <v>60</v>
      </c>
      <c r="E1317">
        <v>2096</v>
      </c>
      <c r="F1317">
        <v>5</v>
      </c>
      <c r="G1317">
        <v>5</v>
      </c>
      <c r="H1317">
        <v>1</v>
      </c>
      <c r="I1317">
        <v>1</v>
      </c>
      <c r="J1317">
        <v>0.86069991649586297</v>
      </c>
      <c r="K1317">
        <v>0.92649314462627597</v>
      </c>
      <c r="L1317">
        <v>0.89238548376316396</v>
      </c>
      <c r="M1317">
        <v>0.69327731092436995</v>
      </c>
      <c r="N1317">
        <v>0.997899159663866</v>
      </c>
      <c r="O1317">
        <v>0.77962184873949603</v>
      </c>
      <c r="P1317" t="s">
        <v>7980</v>
      </c>
      <c r="Q1317" t="s">
        <v>7981</v>
      </c>
      <c r="R1317" t="s">
        <v>869</v>
      </c>
      <c r="S1317" t="s">
        <v>870</v>
      </c>
      <c r="T1317" t="s">
        <v>7982</v>
      </c>
      <c r="U1317" t="s">
        <v>7983</v>
      </c>
      <c r="V1317" t="s">
        <v>7984</v>
      </c>
      <c r="W1317" t="s">
        <v>7985</v>
      </c>
      <c r="X1317" t="s">
        <v>7984</v>
      </c>
      <c r="Y1317" t="s">
        <v>4240</v>
      </c>
      <c r="AD1317" t="s">
        <v>219</v>
      </c>
      <c r="AE1317" t="s">
        <v>7986</v>
      </c>
      <c r="AF1317" t="s">
        <v>7988</v>
      </c>
    </row>
    <row r="1318" spans="1:32" hidden="1" x14ac:dyDescent="0.35">
      <c r="A1318">
        <v>3871</v>
      </c>
      <c r="B1318" t="s">
        <v>7979</v>
      </c>
      <c r="C1318" t="s">
        <v>72</v>
      </c>
      <c r="D1318" t="s">
        <v>62</v>
      </c>
      <c r="E1318">
        <v>2131</v>
      </c>
      <c r="F1318">
        <v>5</v>
      </c>
      <c r="G1318">
        <v>5</v>
      </c>
      <c r="H1318">
        <v>1</v>
      </c>
      <c r="I1318">
        <v>1</v>
      </c>
      <c r="J1318">
        <v>0.86069991649586297</v>
      </c>
      <c r="K1318">
        <v>0.92649314462627597</v>
      </c>
      <c r="L1318">
        <v>0.89238548376316396</v>
      </c>
      <c r="M1318">
        <v>0.69327731092436995</v>
      </c>
      <c r="N1318">
        <v>0.997899159663866</v>
      </c>
      <c r="O1318">
        <v>0.77962184873949603</v>
      </c>
      <c r="P1318" t="s">
        <v>7980</v>
      </c>
      <c r="Q1318" t="s">
        <v>7981</v>
      </c>
      <c r="R1318" t="s">
        <v>869</v>
      </c>
      <c r="S1318" t="s">
        <v>870</v>
      </c>
      <c r="T1318" t="s">
        <v>7982</v>
      </c>
      <c r="U1318" t="s">
        <v>7983</v>
      </c>
      <c r="V1318" t="s">
        <v>7984</v>
      </c>
      <c r="W1318" t="s">
        <v>7985</v>
      </c>
      <c r="X1318" t="s">
        <v>7984</v>
      </c>
      <c r="Y1318" t="s">
        <v>4240</v>
      </c>
      <c r="AD1318" t="s">
        <v>219</v>
      </c>
      <c r="AE1318" t="s">
        <v>7986</v>
      </c>
      <c r="AF1318" t="s">
        <v>7989</v>
      </c>
    </row>
    <row r="1319" spans="1:32" hidden="1" x14ac:dyDescent="0.35">
      <c r="A1319">
        <v>3872</v>
      </c>
      <c r="B1319" t="s">
        <v>7979</v>
      </c>
      <c r="C1319" t="s">
        <v>72</v>
      </c>
      <c r="D1319" t="s">
        <v>34</v>
      </c>
      <c r="E1319">
        <v>2449</v>
      </c>
      <c r="F1319">
        <v>5</v>
      </c>
      <c r="G1319">
        <v>5</v>
      </c>
      <c r="H1319">
        <v>1</v>
      </c>
      <c r="I1319">
        <v>1</v>
      </c>
      <c r="J1319">
        <v>0.86069991649586297</v>
      </c>
      <c r="K1319">
        <v>0.92649314462627597</v>
      </c>
      <c r="L1319">
        <v>0.89238548376316396</v>
      </c>
      <c r="M1319">
        <v>0.69327731092436995</v>
      </c>
      <c r="N1319">
        <v>0.997899159663866</v>
      </c>
      <c r="O1319">
        <v>0.77962184873949603</v>
      </c>
      <c r="P1319" t="s">
        <v>7980</v>
      </c>
      <c r="Q1319" t="s">
        <v>7981</v>
      </c>
      <c r="R1319" t="s">
        <v>869</v>
      </c>
      <c r="S1319" t="s">
        <v>870</v>
      </c>
      <c r="T1319" t="s">
        <v>7982</v>
      </c>
      <c r="U1319" t="s">
        <v>7983</v>
      </c>
      <c r="V1319" t="s">
        <v>7984</v>
      </c>
      <c r="W1319" t="s">
        <v>7985</v>
      </c>
      <c r="X1319" t="s">
        <v>7984</v>
      </c>
      <c r="Y1319" t="s">
        <v>4240</v>
      </c>
      <c r="AD1319" t="s">
        <v>219</v>
      </c>
      <c r="AE1319" t="s">
        <v>7986</v>
      </c>
      <c r="AF1319" t="s">
        <v>7990</v>
      </c>
    </row>
    <row r="1320" spans="1:32" hidden="1" x14ac:dyDescent="0.35">
      <c r="A1320">
        <v>3873</v>
      </c>
      <c r="B1320" t="s">
        <v>7979</v>
      </c>
      <c r="C1320" t="s">
        <v>72</v>
      </c>
      <c r="D1320" t="s">
        <v>45</v>
      </c>
      <c r="E1320">
        <v>453</v>
      </c>
      <c r="F1320">
        <v>5</v>
      </c>
      <c r="G1320">
        <v>5</v>
      </c>
      <c r="H1320">
        <v>1</v>
      </c>
      <c r="I1320">
        <v>1</v>
      </c>
      <c r="J1320">
        <v>0.86069991649586297</v>
      </c>
      <c r="K1320">
        <v>0.92649314462627597</v>
      </c>
      <c r="L1320">
        <v>0.89238548376316396</v>
      </c>
      <c r="M1320">
        <v>0.69327731092436995</v>
      </c>
      <c r="N1320">
        <v>0.997899159663866</v>
      </c>
      <c r="O1320">
        <v>0.77962184873949603</v>
      </c>
      <c r="P1320" t="s">
        <v>7980</v>
      </c>
      <c r="Q1320" t="s">
        <v>7981</v>
      </c>
      <c r="R1320" t="s">
        <v>869</v>
      </c>
      <c r="S1320" t="s">
        <v>870</v>
      </c>
      <c r="T1320" t="s">
        <v>7982</v>
      </c>
      <c r="U1320" t="s">
        <v>7983</v>
      </c>
      <c r="V1320" t="s">
        <v>7984</v>
      </c>
      <c r="W1320" t="s">
        <v>7985</v>
      </c>
      <c r="X1320" t="s">
        <v>7984</v>
      </c>
      <c r="Y1320" t="s">
        <v>4240</v>
      </c>
      <c r="AD1320" t="s">
        <v>219</v>
      </c>
      <c r="AE1320" t="s">
        <v>7986</v>
      </c>
      <c r="AF1320" t="s">
        <v>7991</v>
      </c>
    </row>
    <row r="1321" spans="1:32" hidden="1" x14ac:dyDescent="0.35">
      <c r="A1321">
        <v>3699</v>
      </c>
      <c r="B1321" t="s">
        <v>7625</v>
      </c>
      <c r="C1321" t="s">
        <v>72</v>
      </c>
      <c r="D1321" t="s">
        <v>58</v>
      </c>
      <c r="E1321">
        <v>776</v>
      </c>
      <c r="F1321">
        <v>5</v>
      </c>
      <c r="G1321">
        <v>5</v>
      </c>
      <c r="H1321">
        <v>1</v>
      </c>
      <c r="I1321">
        <v>1</v>
      </c>
      <c r="J1321">
        <v>0.91837956495709405</v>
      </c>
      <c r="K1321">
        <v>0.98844087907633305</v>
      </c>
      <c r="L1321">
        <v>0.95212310876190398</v>
      </c>
      <c r="M1321">
        <v>0.84615384615384603</v>
      </c>
      <c r="N1321">
        <v>0.99605522682445802</v>
      </c>
      <c r="O1321">
        <v>0.89250493096646899</v>
      </c>
      <c r="P1321" t="s">
        <v>7626</v>
      </c>
      <c r="Q1321" t="s">
        <v>7627</v>
      </c>
      <c r="R1321" t="s">
        <v>224</v>
      </c>
      <c r="S1321" t="s">
        <v>225</v>
      </c>
      <c r="T1321" t="s">
        <v>7628</v>
      </c>
      <c r="U1321" t="s">
        <v>7629</v>
      </c>
      <c r="V1321" t="s">
        <v>7630</v>
      </c>
      <c r="W1321" t="s">
        <v>7631</v>
      </c>
      <c r="X1321" t="s">
        <v>7630</v>
      </c>
      <c r="Y1321" t="s">
        <v>589</v>
      </c>
      <c r="AD1321" t="s">
        <v>5050</v>
      </c>
      <c r="AE1321" t="s">
        <v>5051</v>
      </c>
      <c r="AF1321" t="s">
        <v>7632</v>
      </c>
    </row>
    <row r="1322" spans="1:32" hidden="1" x14ac:dyDescent="0.35">
      <c r="A1322">
        <v>3900</v>
      </c>
      <c r="B1322" t="s">
        <v>8031</v>
      </c>
      <c r="C1322" t="s">
        <v>72</v>
      </c>
      <c r="D1322" t="s">
        <v>60</v>
      </c>
      <c r="E1322">
        <v>1699</v>
      </c>
      <c r="F1322">
        <v>5</v>
      </c>
      <c r="G1322">
        <v>5</v>
      </c>
      <c r="H1322">
        <v>1</v>
      </c>
      <c r="I1322">
        <v>1</v>
      </c>
      <c r="J1322">
        <v>0.89403383793410496</v>
      </c>
      <c r="K1322">
        <v>0.97686552072800903</v>
      </c>
      <c r="L1322">
        <v>0.93361604577864199</v>
      </c>
      <c r="M1322">
        <v>0.802898550724638</v>
      </c>
      <c r="N1322">
        <v>0.99420289855072497</v>
      </c>
      <c r="O1322">
        <v>0.84956521739130397</v>
      </c>
      <c r="P1322" t="s">
        <v>2848</v>
      </c>
      <c r="Q1322" t="s">
        <v>2849</v>
      </c>
      <c r="R1322" t="s">
        <v>869</v>
      </c>
      <c r="S1322" t="s">
        <v>870</v>
      </c>
      <c r="T1322" t="s">
        <v>8032</v>
      </c>
      <c r="U1322" t="s">
        <v>8033</v>
      </c>
      <c r="V1322" t="s">
        <v>8034</v>
      </c>
      <c r="W1322" t="s">
        <v>8035</v>
      </c>
      <c r="X1322" t="s">
        <v>8034</v>
      </c>
      <c r="Y1322" t="s">
        <v>2038</v>
      </c>
      <c r="Z1322" t="s">
        <v>8036</v>
      </c>
      <c r="AA1322" t="s">
        <v>8037</v>
      </c>
      <c r="AB1322" t="s">
        <v>8036</v>
      </c>
      <c r="AC1322" t="s">
        <v>1156</v>
      </c>
      <c r="AD1322" t="s">
        <v>219</v>
      </c>
      <c r="AE1322" t="s">
        <v>8038</v>
      </c>
      <c r="AF1322" t="s">
        <v>8040</v>
      </c>
    </row>
    <row r="1323" spans="1:32" hidden="1" x14ac:dyDescent="0.35">
      <c r="A1323">
        <v>3901</v>
      </c>
      <c r="B1323" t="s">
        <v>8031</v>
      </c>
      <c r="C1323" t="s">
        <v>72</v>
      </c>
      <c r="D1323" t="s">
        <v>62</v>
      </c>
      <c r="E1323">
        <v>1734</v>
      </c>
      <c r="F1323">
        <v>5</v>
      </c>
      <c r="G1323">
        <v>5</v>
      </c>
      <c r="H1323">
        <v>1</v>
      </c>
      <c r="I1323">
        <v>1</v>
      </c>
      <c r="J1323">
        <v>0.89403383793410496</v>
      </c>
      <c r="K1323">
        <v>0.97686552072800903</v>
      </c>
      <c r="L1323">
        <v>0.93361604577864199</v>
      </c>
      <c r="M1323">
        <v>0.802898550724638</v>
      </c>
      <c r="N1323">
        <v>0.99420289855072497</v>
      </c>
      <c r="O1323">
        <v>0.84956521739130397</v>
      </c>
      <c r="P1323" t="s">
        <v>2848</v>
      </c>
      <c r="Q1323" t="s">
        <v>2849</v>
      </c>
      <c r="R1323" t="s">
        <v>869</v>
      </c>
      <c r="S1323" t="s">
        <v>870</v>
      </c>
      <c r="T1323" t="s">
        <v>8032</v>
      </c>
      <c r="U1323" t="s">
        <v>8033</v>
      </c>
      <c r="V1323" t="s">
        <v>8034</v>
      </c>
      <c r="W1323" t="s">
        <v>8035</v>
      </c>
      <c r="X1323" t="s">
        <v>8034</v>
      </c>
      <c r="Y1323" t="s">
        <v>2038</v>
      </c>
      <c r="Z1323" t="s">
        <v>8036</v>
      </c>
      <c r="AA1323" t="s">
        <v>8037</v>
      </c>
      <c r="AB1323" t="s">
        <v>8036</v>
      </c>
      <c r="AC1323" t="s">
        <v>1156</v>
      </c>
      <c r="AD1323" t="s">
        <v>219</v>
      </c>
      <c r="AE1323" t="s">
        <v>8038</v>
      </c>
      <c r="AF1323" t="s">
        <v>8041</v>
      </c>
    </row>
    <row r="1324" spans="1:32" hidden="1" x14ac:dyDescent="0.35">
      <c r="A1324">
        <v>3902</v>
      </c>
      <c r="B1324" t="s">
        <v>8031</v>
      </c>
      <c r="C1324" t="s">
        <v>72</v>
      </c>
      <c r="D1324" t="s">
        <v>34</v>
      </c>
      <c r="E1324">
        <v>1036</v>
      </c>
      <c r="F1324">
        <v>5</v>
      </c>
      <c r="G1324">
        <v>5</v>
      </c>
      <c r="H1324">
        <v>1</v>
      </c>
      <c r="I1324">
        <v>1</v>
      </c>
      <c r="J1324">
        <v>0.89403383793410496</v>
      </c>
      <c r="K1324">
        <v>0.97686552072800903</v>
      </c>
      <c r="L1324">
        <v>0.93361604577864199</v>
      </c>
      <c r="M1324">
        <v>0.802898550724638</v>
      </c>
      <c r="N1324">
        <v>0.99420289855072497</v>
      </c>
      <c r="O1324">
        <v>0.84956521739130397</v>
      </c>
      <c r="P1324" t="s">
        <v>2848</v>
      </c>
      <c r="Q1324" t="s">
        <v>2849</v>
      </c>
      <c r="R1324" t="s">
        <v>869</v>
      </c>
      <c r="S1324" t="s">
        <v>870</v>
      </c>
      <c r="T1324" t="s">
        <v>8032</v>
      </c>
      <c r="U1324" t="s">
        <v>8033</v>
      </c>
      <c r="V1324" t="s">
        <v>8034</v>
      </c>
      <c r="W1324" t="s">
        <v>8035</v>
      </c>
      <c r="X1324" t="s">
        <v>8034</v>
      </c>
      <c r="Y1324" t="s">
        <v>2038</v>
      </c>
      <c r="Z1324" t="s">
        <v>8036</v>
      </c>
      <c r="AA1324" t="s">
        <v>8037</v>
      </c>
      <c r="AB1324" t="s">
        <v>8036</v>
      </c>
      <c r="AC1324" t="s">
        <v>1156</v>
      </c>
      <c r="AD1324" t="s">
        <v>219</v>
      </c>
      <c r="AE1324" t="s">
        <v>8038</v>
      </c>
      <c r="AF1324" t="s">
        <v>8042</v>
      </c>
    </row>
    <row r="1325" spans="1:32" hidden="1" x14ac:dyDescent="0.35">
      <c r="A1325">
        <v>3903</v>
      </c>
      <c r="B1325" t="s">
        <v>8031</v>
      </c>
      <c r="C1325" t="s">
        <v>72</v>
      </c>
      <c r="D1325" t="s">
        <v>45</v>
      </c>
      <c r="E1325">
        <v>2291</v>
      </c>
      <c r="F1325">
        <v>5</v>
      </c>
      <c r="G1325">
        <v>5</v>
      </c>
      <c r="H1325">
        <v>1</v>
      </c>
      <c r="I1325">
        <v>1</v>
      </c>
      <c r="J1325">
        <v>0.89403383793410496</v>
      </c>
      <c r="K1325">
        <v>0.97686552072800903</v>
      </c>
      <c r="L1325">
        <v>0.93361604577864199</v>
      </c>
      <c r="M1325">
        <v>0.802898550724638</v>
      </c>
      <c r="N1325">
        <v>0.99420289855072497</v>
      </c>
      <c r="O1325">
        <v>0.84956521739130397</v>
      </c>
      <c r="P1325" t="s">
        <v>2848</v>
      </c>
      <c r="Q1325" t="s">
        <v>2849</v>
      </c>
      <c r="R1325" t="s">
        <v>869</v>
      </c>
      <c r="S1325" t="s">
        <v>870</v>
      </c>
      <c r="T1325" t="s">
        <v>8032</v>
      </c>
      <c r="U1325" t="s">
        <v>8033</v>
      </c>
      <c r="V1325" t="s">
        <v>8034</v>
      </c>
      <c r="W1325" t="s">
        <v>8035</v>
      </c>
      <c r="X1325" t="s">
        <v>8034</v>
      </c>
      <c r="Y1325" t="s">
        <v>2038</v>
      </c>
      <c r="Z1325" t="s">
        <v>8036</v>
      </c>
      <c r="AA1325" t="s">
        <v>8037</v>
      </c>
      <c r="AB1325" t="s">
        <v>8036</v>
      </c>
      <c r="AC1325" t="s">
        <v>1156</v>
      </c>
      <c r="AD1325" t="s">
        <v>219</v>
      </c>
      <c r="AE1325" t="s">
        <v>8038</v>
      </c>
      <c r="AF1325" t="s">
        <v>8043</v>
      </c>
    </row>
    <row r="1326" spans="1:32" hidden="1" x14ac:dyDescent="0.35">
      <c r="A1326">
        <v>2434</v>
      </c>
      <c r="B1326" t="s">
        <v>5043</v>
      </c>
      <c r="C1326" t="s">
        <v>72</v>
      </c>
      <c r="D1326" t="s">
        <v>58</v>
      </c>
      <c r="E1326">
        <v>768</v>
      </c>
      <c r="F1326">
        <v>5</v>
      </c>
      <c r="G1326">
        <v>5</v>
      </c>
      <c r="H1326">
        <v>1</v>
      </c>
      <c r="I1326">
        <v>1</v>
      </c>
      <c r="J1326">
        <v>0.87079037800687298</v>
      </c>
      <c r="K1326">
        <v>0.97996289424860805</v>
      </c>
      <c r="L1326">
        <v>0.92215669360995001</v>
      </c>
      <c r="M1326">
        <v>0.74747474747474796</v>
      </c>
      <c r="N1326">
        <v>1</v>
      </c>
      <c r="O1326">
        <v>0.83838383838383801</v>
      </c>
      <c r="P1326" t="s">
        <v>5044</v>
      </c>
      <c r="Q1326" t="s">
        <v>5045</v>
      </c>
      <c r="R1326" t="s">
        <v>224</v>
      </c>
      <c r="S1326" t="s">
        <v>225</v>
      </c>
      <c r="T1326" t="s">
        <v>5046</v>
      </c>
      <c r="U1326" t="s">
        <v>5047</v>
      </c>
      <c r="V1326" t="s">
        <v>5048</v>
      </c>
      <c r="W1326" t="s">
        <v>5049</v>
      </c>
      <c r="X1326" t="s">
        <v>5048</v>
      </c>
      <c r="Y1326" t="s">
        <v>589</v>
      </c>
      <c r="AD1326" t="s">
        <v>5050</v>
      </c>
      <c r="AE1326" t="s">
        <v>5051</v>
      </c>
      <c r="AF1326" t="s">
        <v>5052</v>
      </c>
    </row>
    <row r="1327" spans="1:32" hidden="1" x14ac:dyDescent="0.35">
      <c r="A1327">
        <v>4170</v>
      </c>
      <c r="B1327" t="s">
        <v>8632</v>
      </c>
      <c r="C1327" t="s">
        <v>72</v>
      </c>
      <c r="D1327" t="s">
        <v>60</v>
      </c>
      <c r="E1327">
        <v>910</v>
      </c>
      <c r="F1327">
        <v>5</v>
      </c>
      <c r="G1327">
        <v>5</v>
      </c>
      <c r="H1327">
        <v>1</v>
      </c>
      <c r="I1327">
        <v>1</v>
      </c>
      <c r="J1327">
        <v>0.78738738738738701</v>
      </c>
      <c r="K1327">
        <v>0.88437916235015701</v>
      </c>
      <c r="L1327">
        <v>0.83306966300056395</v>
      </c>
      <c r="M1327">
        <v>0.49356223175965702</v>
      </c>
      <c r="N1327">
        <v>0.99570815450643801</v>
      </c>
      <c r="O1327">
        <v>0.64120171673819704</v>
      </c>
      <c r="P1327" t="s">
        <v>8633</v>
      </c>
      <c r="Q1327" t="s">
        <v>8634</v>
      </c>
      <c r="R1327" t="s">
        <v>869</v>
      </c>
      <c r="S1327" t="s">
        <v>870</v>
      </c>
      <c r="T1327" t="s">
        <v>8635</v>
      </c>
      <c r="U1327" t="s">
        <v>7384</v>
      </c>
      <c r="V1327" t="s">
        <v>8636</v>
      </c>
      <c r="W1327" t="s">
        <v>8637</v>
      </c>
      <c r="AD1327" t="s">
        <v>166</v>
      </c>
      <c r="AE1327" t="s">
        <v>8638</v>
      </c>
      <c r="AF1327" t="s">
        <v>8640</v>
      </c>
    </row>
    <row r="1328" spans="1:32" hidden="1" x14ac:dyDescent="0.35">
      <c r="A1328">
        <v>4171</v>
      </c>
      <c r="B1328" t="s">
        <v>8632</v>
      </c>
      <c r="C1328" t="s">
        <v>72</v>
      </c>
      <c r="D1328" t="s">
        <v>62</v>
      </c>
      <c r="E1328">
        <v>946</v>
      </c>
      <c r="F1328">
        <v>5</v>
      </c>
      <c r="G1328">
        <v>5</v>
      </c>
      <c r="H1328">
        <v>1</v>
      </c>
      <c r="I1328">
        <v>1</v>
      </c>
      <c r="J1328">
        <v>0.78738738738738701</v>
      </c>
      <c r="K1328">
        <v>0.88437916235015701</v>
      </c>
      <c r="L1328">
        <v>0.83306966300056395</v>
      </c>
      <c r="M1328">
        <v>0.49356223175965702</v>
      </c>
      <c r="N1328">
        <v>0.99570815450643801</v>
      </c>
      <c r="O1328">
        <v>0.64120171673819704</v>
      </c>
      <c r="P1328" t="s">
        <v>8633</v>
      </c>
      <c r="Q1328" t="s">
        <v>8634</v>
      </c>
      <c r="R1328" t="s">
        <v>869</v>
      </c>
      <c r="S1328" t="s">
        <v>870</v>
      </c>
      <c r="T1328" t="s">
        <v>8635</v>
      </c>
      <c r="U1328" t="s">
        <v>7384</v>
      </c>
      <c r="V1328" t="s">
        <v>8636</v>
      </c>
      <c r="W1328" t="s">
        <v>8637</v>
      </c>
      <c r="AD1328" t="s">
        <v>166</v>
      </c>
      <c r="AE1328" t="s">
        <v>8638</v>
      </c>
      <c r="AF1328" t="s">
        <v>8641</v>
      </c>
    </row>
    <row r="1329" spans="1:32" hidden="1" x14ac:dyDescent="0.35">
      <c r="A1329">
        <v>4172</v>
      </c>
      <c r="B1329" t="s">
        <v>8632</v>
      </c>
      <c r="C1329" t="s">
        <v>72</v>
      </c>
      <c r="D1329" t="s">
        <v>34</v>
      </c>
      <c r="E1329">
        <v>248</v>
      </c>
      <c r="F1329">
        <v>5</v>
      </c>
      <c r="G1329">
        <v>5</v>
      </c>
      <c r="H1329">
        <v>1</v>
      </c>
      <c r="I1329">
        <v>1</v>
      </c>
      <c r="J1329">
        <v>0.78738738738738701</v>
      </c>
      <c r="K1329">
        <v>0.88437916235015701</v>
      </c>
      <c r="L1329">
        <v>0.83306966300056395</v>
      </c>
      <c r="M1329">
        <v>0.49356223175965702</v>
      </c>
      <c r="N1329">
        <v>0.99570815450643801</v>
      </c>
      <c r="O1329">
        <v>0.64120171673819704</v>
      </c>
      <c r="P1329" t="s">
        <v>8633</v>
      </c>
      <c r="Q1329" t="s">
        <v>8634</v>
      </c>
      <c r="R1329" t="s">
        <v>869</v>
      </c>
      <c r="S1329" t="s">
        <v>870</v>
      </c>
      <c r="T1329" t="s">
        <v>8635</v>
      </c>
      <c r="U1329" t="s">
        <v>7384</v>
      </c>
      <c r="V1329" t="s">
        <v>8636</v>
      </c>
      <c r="W1329" t="s">
        <v>8637</v>
      </c>
      <c r="AD1329" t="s">
        <v>166</v>
      </c>
      <c r="AE1329" t="s">
        <v>8638</v>
      </c>
      <c r="AF1329" t="s">
        <v>8642</v>
      </c>
    </row>
    <row r="1330" spans="1:32" hidden="1" x14ac:dyDescent="0.35">
      <c r="A1330">
        <v>4173</v>
      </c>
      <c r="B1330" t="s">
        <v>8632</v>
      </c>
      <c r="C1330" t="s">
        <v>72</v>
      </c>
      <c r="D1330" t="s">
        <v>45</v>
      </c>
      <c r="E1330">
        <v>1511</v>
      </c>
      <c r="F1330">
        <v>5</v>
      </c>
      <c r="G1330">
        <v>5</v>
      </c>
      <c r="H1330">
        <v>1</v>
      </c>
      <c r="I1330">
        <v>1</v>
      </c>
      <c r="J1330">
        <v>0.78738738738738701</v>
      </c>
      <c r="K1330">
        <v>0.88437916235015701</v>
      </c>
      <c r="L1330">
        <v>0.83306966300056395</v>
      </c>
      <c r="M1330">
        <v>0.49356223175965702</v>
      </c>
      <c r="N1330">
        <v>0.99570815450643801</v>
      </c>
      <c r="O1330">
        <v>0.64120171673819704</v>
      </c>
      <c r="P1330" t="s">
        <v>8633</v>
      </c>
      <c r="Q1330" t="s">
        <v>8634</v>
      </c>
      <c r="R1330" t="s">
        <v>869</v>
      </c>
      <c r="S1330" t="s">
        <v>870</v>
      </c>
      <c r="T1330" t="s">
        <v>8635</v>
      </c>
      <c r="U1330" t="s">
        <v>7384</v>
      </c>
      <c r="V1330" t="s">
        <v>8636</v>
      </c>
      <c r="W1330" t="s">
        <v>8637</v>
      </c>
      <c r="AD1330" t="s">
        <v>166</v>
      </c>
      <c r="AE1330" t="s">
        <v>8638</v>
      </c>
      <c r="AF1330" t="s">
        <v>8643</v>
      </c>
    </row>
    <row r="1331" spans="1:32" hidden="1" x14ac:dyDescent="0.35">
      <c r="A1331">
        <v>2689</v>
      </c>
      <c r="B1331" t="s">
        <v>5560</v>
      </c>
      <c r="C1331" t="s">
        <v>72</v>
      </c>
      <c r="D1331" t="s">
        <v>58</v>
      </c>
      <c r="E1331">
        <v>937</v>
      </c>
      <c r="F1331">
        <v>5</v>
      </c>
      <c r="G1331">
        <v>5</v>
      </c>
      <c r="H1331">
        <v>1</v>
      </c>
      <c r="I1331">
        <v>1</v>
      </c>
      <c r="J1331">
        <v>0.84740104911778702</v>
      </c>
      <c r="K1331">
        <v>0.97792663476874198</v>
      </c>
      <c r="L1331">
        <v>0.90799702823635597</v>
      </c>
      <c r="M1331">
        <v>0.70979020979021001</v>
      </c>
      <c r="N1331">
        <v>1</v>
      </c>
      <c r="O1331">
        <v>0.79580419580419604</v>
      </c>
      <c r="P1331" t="s">
        <v>5561</v>
      </c>
      <c r="Q1331" t="s">
        <v>5562</v>
      </c>
      <c r="R1331" t="s">
        <v>235</v>
      </c>
      <c r="S1331" t="s">
        <v>236</v>
      </c>
      <c r="T1331" t="s">
        <v>5563</v>
      </c>
      <c r="U1331" t="s">
        <v>5564</v>
      </c>
      <c r="V1331" t="s">
        <v>5565</v>
      </c>
      <c r="W1331" t="s">
        <v>5566</v>
      </c>
      <c r="X1331" t="s">
        <v>5565</v>
      </c>
      <c r="Y1331" t="s">
        <v>857</v>
      </c>
      <c r="Z1331" t="s">
        <v>858</v>
      </c>
      <c r="AA1331" t="s">
        <v>859</v>
      </c>
      <c r="AB1331" t="s">
        <v>858</v>
      </c>
      <c r="AC1331" t="s">
        <v>860</v>
      </c>
      <c r="AD1331" t="s">
        <v>219</v>
      </c>
      <c r="AE1331" t="s">
        <v>5567</v>
      </c>
      <c r="AF1331" t="s">
        <v>5568</v>
      </c>
    </row>
    <row r="1332" spans="1:32" hidden="1" x14ac:dyDescent="0.35">
      <c r="A1332">
        <v>4275</v>
      </c>
      <c r="B1332" t="s">
        <v>8881</v>
      </c>
      <c r="C1332" t="s">
        <v>72</v>
      </c>
      <c r="D1332" t="s">
        <v>60</v>
      </c>
      <c r="E1332">
        <v>1250</v>
      </c>
      <c r="F1332">
        <v>5</v>
      </c>
      <c r="G1332">
        <v>5</v>
      </c>
      <c r="H1332">
        <v>1</v>
      </c>
      <c r="I1332">
        <v>1</v>
      </c>
      <c r="J1332">
        <v>0.74408065112837596</v>
      </c>
      <c r="K1332">
        <v>0.88784760548335195</v>
      </c>
      <c r="L1332">
        <v>0.80963145495433397</v>
      </c>
      <c r="M1332">
        <v>0.47445255474452602</v>
      </c>
      <c r="N1332">
        <v>0.99513381995133798</v>
      </c>
      <c r="O1332">
        <v>0.65717761557177601</v>
      </c>
      <c r="P1332" t="s">
        <v>8882</v>
      </c>
      <c r="Q1332" t="s">
        <v>8883</v>
      </c>
      <c r="R1332" t="s">
        <v>869</v>
      </c>
      <c r="S1332" t="s">
        <v>870</v>
      </c>
      <c r="T1332" t="s">
        <v>8884</v>
      </c>
      <c r="U1332" t="s">
        <v>8885</v>
      </c>
      <c r="V1332" t="s">
        <v>8886</v>
      </c>
      <c r="W1332" t="s">
        <v>8887</v>
      </c>
      <c r="X1332" t="s">
        <v>8886</v>
      </c>
      <c r="Y1332" t="s">
        <v>1153</v>
      </c>
      <c r="Z1332" t="s">
        <v>7283</v>
      </c>
      <c r="AA1332" t="s">
        <v>7284</v>
      </c>
      <c r="AB1332" t="s">
        <v>7283</v>
      </c>
      <c r="AC1332" t="s">
        <v>1742</v>
      </c>
      <c r="AD1332" t="s">
        <v>191</v>
      </c>
      <c r="AE1332" t="s">
        <v>8888</v>
      </c>
      <c r="AF1332" t="s">
        <v>8890</v>
      </c>
    </row>
    <row r="1333" spans="1:32" hidden="1" x14ac:dyDescent="0.35">
      <c r="A1333">
        <v>4276</v>
      </c>
      <c r="B1333" t="s">
        <v>8881</v>
      </c>
      <c r="C1333" t="s">
        <v>72</v>
      </c>
      <c r="D1333" t="s">
        <v>62</v>
      </c>
      <c r="E1333">
        <v>1287</v>
      </c>
      <c r="F1333">
        <v>5</v>
      </c>
      <c r="G1333">
        <v>5</v>
      </c>
      <c r="H1333">
        <v>1</v>
      </c>
      <c r="I1333">
        <v>1</v>
      </c>
      <c r="J1333">
        <v>0.74408065112837596</v>
      </c>
      <c r="K1333">
        <v>0.88784760548335195</v>
      </c>
      <c r="L1333">
        <v>0.80963145495433397</v>
      </c>
      <c r="M1333">
        <v>0.47445255474452602</v>
      </c>
      <c r="N1333">
        <v>0.99513381995133798</v>
      </c>
      <c r="O1333">
        <v>0.65717761557177601</v>
      </c>
      <c r="P1333" t="s">
        <v>8882</v>
      </c>
      <c r="Q1333" t="s">
        <v>8883</v>
      </c>
      <c r="R1333" t="s">
        <v>869</v>
      </c>
      <c r="S1333" t="s">
        <v>870</v>
      </c>
      <c r="T1333" t="s">
        <v>8884</v>
      </c>
      <c r="U1333" t="s">
        <v>8885</v>
      </c>
      <c r="V1333" t="s">
        <v>8886</v>
      </c>
      <c r="W1333" t="s">
        <v>8887</v>
      </c>
      <c r="X1333" t="s">
        <v>8886</v>
      </c>
      <c r="Y1333" t="s">
        <v>1153</v>
      </c>
      <c r="Z1333" t="s">
        <v>7283</v>
      </c>
      <c r="AA1333" t="s">
        <v>7284</v>
      </c>
      <c r="AB1333" t="s">
        <v>7283</v>
      </c>
      <c r="AC1333" t="s">
        <v>1742</v>
      </c>
      <c r="AD1333" t="s">
        <v>191</v>
      </c>
      <c r="AE1333" t="s">
        <v>8888</v>
      </c>
      <c r="AF1333" t="s">
        <v>8891</v>
      </c>
    </row>
    <row r="1334" spans="1:32" hidden="1" x14ac:dyDescent="0.35">
      <c r="A1334">
        <v>4277</v>
      </c>
      <c r="B1334" t="s">
        <v>8881</v>
      </c>
      <c r="C1334" t="s">
        <v>72</v>
      </c>
      <c r="D1334" t="s">
        <v>34</v>
      </c>
      <c r="E1334">
        <v>1753</v>
      </c>
      <c r="F1334">
        <v>5</v>
      </c>
      <c r="G1334">
        <v>5</v>
      </c>
      <c r="H1334">
        <v>1</v>
      </c>
      <c r="I1334">
        <v>1</v>
      </c>
      <c r="J1334">
        <v>0.74408065112837596</v>
      </c>
      <c r="K1334">
        <v>0.88784760548335195</v>
      </c>
      <c r="L1334">
        <v>0.80963145495433397</v>
      </c>
      <c r="M1334">
        <v>0.47445255474452602</v>
      </c>
      <c r="N1334">
        <v>0.99513381995133798</v>
      </c>
      <c r="O1334">
        <v>0.65717761557177601</v>
      </c>
      <c r="P1334" t="s">
        <v>8882</v>
      </c>
      <c r="Q1334" t="s">
        <v>8883</v>
      </c>
      <c r="R1334" t="s">
        <v>869</v>
      </c>
      <c r="S1334" t="s">
        <v>870</v>
      </c>
      <c r="T1334" t="s">
        <v>8884</v>
      </c>
      <c r="U1334" t="s">
        <v>8885</v>
      </c>
      <c r="V1334" t="s">
        <v>8886</v>
      </c>
      <c r="W1334" t="s">
        <v>8887</v>
      </c>
      <c r="X1334" t="s">
        <v>8886</v>
      </c>
      <c r="Y1334" t="s">
        <v>1153</v>
      </c>
      <c r="Z1334" t="s">
        <v>7283</v>
      </c>
      <c r="AA1334" t="s">
        <v>7284</v>
      </c>
      <c r="AB1334" t="s">
        <v>7283</v>
      </c>
      <c r="AC1334" t="s">
        <v>1742</v>
      </c>
      <c r="AD1334" t="s">
        <v>191</v>
      </c>
      <c r="AE1334" t="s">
        <v>8888</v>
      </c>
      <c r="AF1334" t="s">
        <v>8892</v>
      </c>
    </row>
    <row r="1335" spans="1:32" hidden="1" x14ac:dyDescent="0.35">
      <c r="A1335">
        <v>4278</v>
      </c>
      <c r="B1335" t="s">
        <v>8881</v>
      </c>
      <c r="C1335" t="s">
        <v>72</v>
      </c>
      <c r="D1335" t="s">
        <v>45</v>
      </c>
      <c r="E1335">
        <v>1120</v>
      </c>
      <c r="F1335">
        <v>5</v>
      </c>
      <c r="G1335">
        <v>5</v>
      </c>
      <c r="H1335">
        <v>1</v>
      </c>
      <c r="I1335">
        <v>1</v>
      </c>
      <c r="J1335">
        <v>0.74408065112837596</v>
      </c>
      <c r="K1335">
        <v>0.88784760548335195</v>
      </c>
      <c r="L1335">
        <v>0.80963145495433397</v>
      </c>
      <c r="M1335">
        <v>0.47445255474452602</v>
      </c>
      <c r="N1335">
        <v>0.99513381995133798</v>
      </c>
      <c r="O1335">
        <v>0.65717761557177601</v>
      </c>
      <c r="P1335" t="s">
        <v>8882</v>
      </c>
      <c r="Q1335" t="s">
        <v>8883</v>
      </c>
      <c r="R1335" t="s">
        <v>869</v>
      </c>
      <c r="S1335" t="s">
        <v>870</v>
      </c>
      <c r="T1335" t="s">
        <v>8884</v>
      </c>
      <c r="U1335" t="s">
        <v>8885</v>
      </c>
      <c r="V1335" t="s">
        <v>8886</v>
      </c>
      <c r="W1335" t="s">
        <v>8887</v>
      </c>
      <c r="X1335" t="s">
        <v>8886</v>
      </c>
      <c r="Y1335" t="s">
        <v>1153</v>
      </c>
      <c r="Z1335" t="s">
        <v>7283</v>
      </c>
      <c r="AA1335" t="s">
        <v>7284</v>
      </c>
      <c r="AB1335" t="s">
        <v>7283</v>
      </c>
      <c r="AC1335" t="s">
        <v>1742</v>
      </c>
      <c r="AD1335" t="s">
        <v>191</v>
      </c>
      <c r="AE1335" t="s">
        <v>8888</v>
      </c>
      <c r="AF1335" t="s">
        <v>8893</v>
      </c>
    </row>
    <row r="1336" spans="1:32" hidden="1" x14ac:dyDescent="0.35">
      <c r="A1336">
        <v>1694</v>
      </c>
      <c r="B1336" t="s">
        <v>3542</v>
      </c>
      <c r="C1336" t="s">
        <v>72</v>
      </c>
      <c r="D1336" t="s">
        <v>58</v>
      </c>
      <c r="E1336">
        <v>1143</v>
      </c>
      <c r="F1336">
        <v>5</v>
      </c>
      <c r="G1336">
        <v>5</v>
      </c>
      <c r="H1336">
        <v>1</v>
      </c>
      <c r="I1336">
        <v>1</v>
      </c>
      <c r="J1336">
        <v>0.89320388349514601</v>
      </c>
      <c r="K1336">
        <v>1</v>
      </c>
      <c r="L1336">
        <v>0.94358974358974401</v>
      </c>
      <c r="M1336">
        <v>0.77669902912621402</v>
      </c>
      <c r="N1336">
        <v>1</v>
      </c>
      <c r="O1336">
        <v>0.85242718446601995</v>
      </c>
      <c r="P1336" t="s">
        <v>3543</v>
      </c>
      <c r="Q1336" t="s">
        <v>3544</v>
      </c>
      <c r="R1336" t="s">
        <v>869</v>
      </c>
      <c r="S1336" t="s">
        <v>870</v>
      </c>
      <c r="T1336" t="s">
        <v>3545</v>
      </c>
      <c r="U1336" t="s">
        <v>3546</v>
      </c>
      <c r="V1336" t="s">
        <v>3547</v>
      </c>
      <c r="W1336" t="s">
        <v>3548</v>
      </c>
      <c r="X1336" t="s">
        <v>3547</v>
      </c>
      <c r="Y1336" t="s">
        <v>1091</v>
      </c>
      <c r="Z1336" t="s">
        <v>1092</v>
      </c>
      <c r="AA1336" t="s">
        <v>1093</v>
      </c>
      <c r="AB1336" t="s">
        <v>1092</v>
      </c>
      <c r="AC1336" t="s">
        <v>1094</v>
      </c>
      <c r="AD1336" t="s">
        <v>219</v>
      </c>
      <c r="AE1336" t="s">
        <v>3549</v>
      </c>
      <c r="AF1336" t="s">
        <v>3550</v>
      </c>
    </row>
    <row r="1337" spans="1:32" hidden="1" x14ac:dyDescent="0.35">
      <c r="A1337">
        <v>4320</v>
      </c>
      <c r="B1337" t="s">
        <v>8991</v>
      </c>
      <c r="C1337" t="s">
        <v>72</v>
      </c>
      <c r="D1337" t="s">
        <v>60</v>
      </c>
      <c r="E1337">
        <v>733</v>
      </c>
      <c r="F1337">
        <v>5</v>
      </c>
      <c r="G1337">
        <v>5</v>
      </c>
      <c r="H1337">
        <v>1</v>
      </c>
      <c r="I1337">
        <v>1</v>
      </c>
      <c r="J1337">
        <v>0.78342826145918099</v>
      </c>
      <c r="K1337">
        <v>0.94401414677276996</v>
      </c>
      <c r="L1337">
        <v>0.85625704020548599</v>
      </c>
      <c r="M1337">
        <v>0.57471264367816099</v>
      </c>
      <c r="N1337">
        <v>0.99616858237547901</v>
      </c>
      <c r="O1337">
        <v>0.7</v>
      </c>
      <c r="P1337" t="s">
        <v>3920</v>
      </c>
      <c r="Q1337" t="s">
        <v>3921</v>
      </c>
      <c r="R1337" t="s">
        <v>869</v>
      </c>
      <c r="S1337" t="s">
        <v>870</v>
      </c>
      <c r="T1337" t="s">
        <v>8992</v>
      </c>
      <c r="U1337" t="s">
        <v>8993</v>
      </c>
      <c r="V1337" t="s">
        <v>8994</v>
      </c>
      <c r="W1337" t="s">
        <v>8995</v>
      </c>
      <c r="X1337" t="s">
        <v>8994</v>
      </c>
      <c r="Y1337" t="s">
        <v>1091</v>
      </c>
      <c r="Z1337" t="s">
        <v>5716</v>
      </c>
      <c r="AA1337" t="s">
        <v>5717</v>
      </c>
      <c r="AB1337" t="s">
        <v>5716</v>
      </c>
      <c r="AC1337" t="s">
        <v>1094</v>
      </c>
      <c r="AD1337" t="s">
        <v>219</v>
      </c>
      <c r="AE1337" t="s">
        <v>8996</v>
      </c>
      <c r="AF1337" t="s">
        <v>8998</v>
      </c>
    </row>
    <row r="1338" spans="1:32" hidden="1" x14ac:dyDescent="0.35">
      <c r="A1338">
        <v>4321</v>
      </c>
      <c r="B1338" t="s">
        <v>8991</v>
      </c>
      <c r="C1338" t="s">
        <v>72</v>
      </c>
      <c r="D1338" t="s">
        <v>62</v>
      </c>
      <c r="E1338">
        <v>765</v>
      </c>
      <c r="F1338">
        <v>5</v>
      </c>
      <c r="G1338">
        <v>5</v>
      </c>
      <c r="H1338">
        <v>1</v>
      </c>
      <c r="I1338">
        <v>1</v>
      </c>
      <c r="J1338">
        <v>0.78342826145918099</v>
      </c>
      <c r="K1338">
        <v>0.94401414677276996</v>
      </c>
      <c r="L1338">
        <v>0.85625704020548599</v>
      </c>
      <c r="M1338">
        <v>0.57471264367816099</v>
      </c>
      <c r="N1338">
        <v>0.99616858237547901</v>
      </c>
      <c r="O1338">
        <v>0.7</v>
      </c>
      <c r="P1338" t="s">
        <v>3920</v>
      </c>
      <c r="Q1338" t="s">
        <v>3921</v>
      </c>
      <c r="R1338" t="s">
        <v>869</v>
      </c>
      <c r="S1338" t="s">
        <v>870</v>
      </c>
      <c r="T1338" t="s">
        <v>8992</v>
      </c>
      <c r="U1338" t="s">
        <v>8993</v>
      </c>
      <c r="V1338" t="s">
        <v>8994</v>
      </c>
      <c r="W1338" t="s">
        <v>8995</v>
      </c>
      <c r="X1338" t="s">
        <v>8994</v>
      </c>
      <c r="Y1338" t="s">
        <v>1091</v>
      </c>
      <c r="Z1338" t="s">
        <v>5716</v>
      </c>
      <c r="AA1338" t="s">
        <v>5717</v>
      </c>
      <c r="AB1338" t="s">
        <v>5716</v>
      </c>
      <c r="AC1338" t="s">
        <v>1094</v>
      </c>
      <c r="AD1338" t="s">
        <v>219</v>
      </c>
      <c r="AE1338" t="s">
        <v>8996</v>
      </c>
      <c r="AF1338" t="s">
        <v>8999</v>
      </c>
    </row>
    <row r="1339" spans="1:32" hidden="1" x14ac:dyDescent="0.35">
      <c r="A1339">
        <v>4322</v>
      </c>
      <c r="B1339" t="s">
        <v>8991</v>
      </c>
      <c r="C1339" t="s">
        <v>72</v>
      </c>
      <c r="D1339" t="s">
        <v>34</v>
      </c>
      <c r="E1339">
        <v>403</v>
      </c>
      <c r="F1339">
        <v>5</v>
      </c>
      <c r="G1339">
        <v>5</v>
      </c>
      <c r="H1339">
        <v>1</v>
      </c>
      <c r="I1339">
        <v>1</v>
      </c>
      <c r="J1339">
        <v>0.78342826145918099</v>
      </c>
      <c r="K1339">
        <v>0.94401414677276996</v>
      </c>
      <c r="L1339">
        <v>0.85625704020548599</v>
      </c>
      <c r="M1339">
        <v>0.57471264367816099</v>
      </c>
      <c r="N1339">
        <v>0.99616858237547901</v>
      </c>
      <c r="O1339">
        <v>0.7</v>
      </c>
      <c r="P1339" t="s">
        <v>3920</v>
      </c>
      <c r="Q1339" t="s">
        <v>3921</v>
      </c>
      <c r="R1339" t="s">
        <v>869</v>
      </c>
      <c r="S1339" t="s">
        <v>870</v>
      </c>
      <c r="T1339" t="s">
        <v>8992</v>
      </c>
      <c r="U1339" t="s">
        <v>8993</v>
      </c>
      <c r="V1339" t="s">
        <v>8994</v>
      </c>
      <c r="W1339" t="s">
        <v>8995</v>
      </c>
      <c r="X1339" t="s">
        <v>8994</v>
      </c>
      <c r="Y1339" t="s">
        <v>1091</v>
      </c>
      <c r="Z1339" t="s">
        <v>5716</v>
      </c>
      <c r="AA1339" t="s">
        <v>5717</v>
      </c>
      <c r="AB1339" t="s">
        <v>5716</v>
      </c>
      <c r="AC1339" t="s">
        <v>1094</v>
      </c>
      <c r="AD1339" t="s">
        <v>219</v>
      </c>
      <c r="AE1339" t="s">
        <v>8996</v>
      </c>
      <c r="AF1339" t="s">
        <v>9000</v>
      </c>
    </row>
    <row r="1340" spans="1:32" hidden="1" x14ac:dyDescent="0.35">
      <c r="A1340">
        <v>4323</v>
      </c>
      <c r="B1340" t="s">
        <v>8991</v>
      </c>
      <c r="C1340" t="s">
        <v>72</v>
      </c>
      <c r="D1340" t="s">
        <v>45</v>
      </c>
      <c r="E1340">
        <v>1664</v>
      </c>
      <c r="F1340">
        <v>5</v>
      </c>
      <c r="G1340">
        <v>5</v>
      </c>
      <c r="H1340">
        <v>1</v>
      </c>
      <c r="I1340">
        <v>1</v>
      </c>
      <c r="J1340">
        <v>0.78342826145918099</v>
      </c>
      <c r="K1340">
        <v>0.94401414677276996</v>
      </c>
      <c r="L1340">
        <v>0.85625704020548599</v>
      </c>
      <c r="M1340">
        <v>0.57471264367816099</v>
      </c>
      <c r="N1340">
        <v>0.99616858237547901</v>
      </c>
      <c r="O1340">
        <v>0.7</v>
      </c>
      <c r="P1340" t="s">
        <v>3920</v>
      </c>
      <c r="Q1340" t="s">
        <v>3921</v>
      </c>
      <c r="R1340" t="s">
        <v>869</v>
      </c>
      <c r="S1340" t="s">
        <v>870</v>
      </c>
      <c r="T1340" t="s">
        <v>8992</v>
      </c>
      <c r="U1340" t="s">
        <v>8993</v>
      </c>
      <c r="V1340" t="s">
        <v>8994</v>
      </c>
      <c r="W1340" t="s">
        <v>8995</v>
      </c>
      <c r="X1340" t="s">
        <v>8994</v>
      </c>
      <c r="Y1340" t="s">
        <v>1091</v>
      </c>
      <c r="Z1340" t="s">
        <v>5716</v>
      </c>
      <c r="AA1340" t="s">
        <v>5717</v>
      </c>
      <c r="AB1340" t="s">
        <v>5716</v>
      </c>
      <c r="AC1340" t="s">
        <v>1094</v>
      </c>
      <c r="AD1340" t="s">
        <v>219</v>
      </c>
      <c r="AE1340" t="s">
        <v>8996</v>
      </c>
      <c r="AF1340" t="s">
        <v>9001</v>
      </c>
    </row>
    <row r="1341" spans="1:32" hidden="1" x14ac:dyDescent="0.35">
      <c r="A1341">
        <v>11924</v>
      </c>
      <c r="B1341" t="s">
        <v>24589</v>
      </c>
      <c r="C1341" t="s">
        <v>10130</v>
      </c>
      <c r="D1341" t="s">
        <v>58</v>
      </c>
      <c r="E1341">
        <v>129</v>
      </c>
      <c r="F1341">
        <v>1</v>
      </c>
      <c r="G1341">
        <v>1</v>
      </c>
      <c r="H1341">
        <v>1</v>
      </c>
      <c r="I1341">
        <v>0</v>
      </c>
      <c r="J1341">
        <v>1</v>
      </c>
      <c r="K1341">
        <v>1</v>
      </c>
      <c r="L1341">
        <v>1</v>
      </c>
      <c r="M1341">
        <v>0</v>
      </c>
      <c r="N1341">
        <v>0</v>
      </c>
      <c r="O1341">
        <v>0</v>
      </c>
      <c r="P1341" t="s">
        <v>6973</v>
      </c>
      <c r="Q1341" t="s">
        <v>6974</v>
      </c>
      <c r="R1341" t="s">
        <v>371</v>
      </c>
      <c r="S1341" t="s">
        <v>372</v>
      </c>
      <c r="T1341" t="s">
        <v>20590</v>
      </c>
      <c r="U1341" t="s">
        <v>20591</v>
      </c>
      <c r="V1341" t="s">
        <v>20592</v>
      </c>
      <c r="W1341" t="s">
        <v>20593</v>
      </c>
      <c r="AD1341" t="s">
        <v>410</v>
      </c>
      <c r="AE1341" t="s">
        <v>603</v>
      </c>
      <c r="AF1341" t="s">
        <v>24590</v>
      </c>
    </row>
    <row r="1342" spans="1:32" hidden="1" x14ac:dyDescent="0.35">
      <c r="A1342">
        <v>4455</v>
      </c>
      <c r="B1342" t="s">
        <v>9268</v>
      </c>
      <c r="C1342" t="s">
        <v>72</v>
      </c>
      <c r="D1342" t="s">
        <v>60</v>
      </c>
      <c r="E1342">
        <v>937</v>
      </c>
      <c r="F1342">
        <v>5</v>
      </c>
      <c r="G1342">
        <v>5</v>
      </c>
      <c r="H1342">
        <v>1</v>
      </c>
      <c r="I1342">
        <v>1</v>
      </c>
      <c r="J1342">
        <v>0.80124223602484501</v>
      </c>
      <c r="K1342">
        <v>0.97605332605332695</v>
      </c>
      <c r="L1342">
        <v>0.88005075366531205</v>
      </c>
      <c r="M1342">
        <v>0.59932659932659904</v>
      </c>
      <c r="N1342">
        <v>0.99663299663299698</v>
      </c>
      <c r="O1342">
        <v>0.73265993265993301</v>
      </c>
      <c r="P1342" t="s">
        <v>2034</v>
      </c>
      <c r="Q1342" t="s">
        <v>2035</v>
      </c>
      <c r="R1342" t="s">
        <v>869</v>
      </c>
      <c r="S1342" t="s">
        <v>870</v>
      </c>
      <c r="T1342" t="s">
        <v>9269</v>
      </c>
      <c r="U1342" t="s">
        <v>9270</v>
      </c>
      <c r="V1342" t="s">
        <v>2036</v>
      </c>
      <c r="W1342" t="s">
        <v>2037</v>
      </c>
      <c r="X1342" t="s">
        <v>2036</v>
      </c>
      <c r="Y1342" t="s">
        <v>2038</v>
      </c>
      <c r="AD1342" t="s">
        <v>1170</v>
      </c>
      <c r="AE1342" t="s">
        <v>9271</v>
      </c>
      <c r="AF1342" t="s">
        <v>9273</v>
      </c>
    </row>
    <row r="1343" spans="1:32" hidden="1" x14ac:dyDescent="0.35">
      <c r="A1343">
        <v>4456</v>
      </c>
      <c r="B1343" t="s">
        <v>9268</v>
      </c>
      <c r="C1343" t="s">
        <v>72</v>
      </c>
      <c r="D1343" t="s">
        <v>62</v>
      </c>
      <c r="E1343">
        <v>973</v>
      </c>
      <c r="F1343">
        <v>5</v>
      </c>
      <c r="G1343">
        <v>5</v>
      </c>
      <c r="H1343">
        <v>1</v>
      </c>
      <c r="I1343">
        <v>1</v>
      </c>
      <c r="J1343">
        <v>0.80124223602484501</v>
      </c>
      <c r="K1343">
        <v>0.97605332605332695</v>
      </c>
      <c r="L1343">
        <v>0.88005075366531205</v>
      </c>
      <c r="M1343">
        <v>0.59932659932659904</v>
      </c>
      <c r="N1343">
        <v>0.99663299663299698</v>
      </c>
      <c r="O1343">
        <v>0.73265993265993301</v>
      </c>
      <c r="P1343" t="s">
        <v>2034</v>
      </c>
      <c r="Q1343" t="s">
        <v>2035</v>
      </c>
      <c r="R1343" t="s">
        <v>869</v>
      </c>
      <c r="S1343" t="s">
        <v>870</v>
      </c>
      <c r="T1343" t="s">
        <v>9269</v>
      </c>
      <c r="U1343" t="s">
        <v>9270</v>
      </c>
      <c r="V1343" t="s">
        <v>2036</v>
      </c>
      <c r="W1343" t="s">
        <v>2037</v>
      </c>
      <c r="X1343" t="s">
        <v>2036</v>
      </c>
      <c r="Y1343" t="s">
        <v>2038</v>
      </c>
      <c r="AD1343" t="s">
        <v>1170</v>
      </c>
      <c r="AE1343" t="s">
        <v>9271</v>
      </c>
      <c r="AF1343" t="s">
        <v>9274</v>
      </c>
    </row>
    <row r="1344" spans="1:32" hidden="1" x14ac:dyDescent="0.35">
      <c r="A1344">
        <v>4457</v>
      </c>
      <c r="B1344" t="s">
        <v>9268</v>
      </c>
      <c r="C1344" t="s">
        <v>72</v>
      </c>
      <c r="D1344" t="s">
        <v>34</v>
      </c>
      <c r="E1344">
        <v>225</v>
      </c>
      <c r="F1344">
        <v>5</v>
      </c>
      <c r="G1344">
        <v>5</v>
      </c>
      <c r="H1344">
        <v>1</v>
      </c>
      <c r="I1344">
        <v>1</v>
      </c>
      <c r="J1344">
        <v>0.80124223602484501</v>
      </c>
      <c r="K1344">
        <v>0.97605332605332695</v>
      </c>
      <c r="L1344">
        <v>0.88005075366531205</v>
      </c>
      <c r="M1344">
        <v>0.59932659932659904</v>
      </c>
      <c r="N1344">
        <v>0.99663299663299698</v>
      </c>
      <c r="O1344">
        <v>0.73265993265993301</v>
      </c>
      <c r="P1344" t="s">
        <v>2041</v>
      </c>
      <c r="Q1344" t="s">
        <v>2035</v>
      </c>
      <c r="R1344" t="s">
        <v>869</v>
      </c>
      <c r="S1344" t="s">
        <v>870</v>
      </c>
      <c r="T1344" t="s">
        <v>9269</v>
      </c>
      <c r="U1344" t="s">
        <v>9270</v>
      </c>
      <c r="V1344" t="s">
        <v>2036</v>
      </c>
      <c r="W1344" t="s">
        <v>2037</v>
      </c>
      <c r="X1344" t="s">
        <v>2036</v>
      </c>
      <c r="Y1344" t="s">
        <v>2038</v>
      </c>
      <c r="AD1344" t="s">
        <v>1170</v>
      </c>
      <c r="AE1344" t="s">
        <v>9271</v>
      </c>
      <c r="AF1344" t="s">
        <v>9275</v>
      </c>
    </row>
    <row r="1345" spans="1:32" hidden="1" x14ac:dyDescent="0.35">
      <c r="A1345">
        <v>4458</v>
      </c>
      <c r="B1345" t="s">
        <v>9268</v>
      </c>
      <c r="C1345" t="s">
        <v>72</v>
      </c>
      <c r="D1345" t="s">
        <v>45</v>
      </c>
      <c r="E1345">
        <v>1488</v>
      </c>
      <c r="F1345">
        <v>5</v>
      </c>
      <c r="G1345">
        <v>5</v>
      </c>
      <c r="H1345">
        <v>1</v>
      </c>
      <c r="I1345">
        <v>1</v>
      </c>
      <c r="J1345">
        <v>0.80124223602484501</v>
      </c>
      <c r="K1345">
        <v>0.97605332605332695</v>
      </c>
      <c r="L1345">
        <v>0.88005075366531205</v>
      </c>
      <c r="M1345">
        <v>0.59932659932659904</v>
      </c>
      <c r="N1345">
        <v>0.99663299663299698</v>
      </c>
      <c r="O1345">
        <v>0.73265993265993301</v>
      </c>
      <c r="P1345" t="s">
        <v>2041</v>
      </c>
      <c r="Q1345" t="s">
        <v>2035</v>
      </c>
      <c r="R1345" t="s">
        <v>869</v>
      </c>
      <c r="S1345" t="s">
        <v>870</v>
      </c>
      <c r="T1345" t="s">
        <v>9269</v>
      </c>
      <c r="U1345" t="s">
        <v>9270</v>
      </c>
      <c r="V1345" t="s">
        <v>2036</v>
      </c>
      <c r="W1345" t="s">
        <v>2037</v>
      </c>
      <c r="X1345" t="s">
        <v>2036</v>
      </c>
      <c r="Y1345" t="s">
        <v>2038</v>
      </c>
      <c r="AD1345" t="s">
        <v>1170</v>
      </c>
      <c r="AE1345" t="s">
        <v>9271</v>
      </c>
      <c r="AF1345" t="s">
        <v>9276</v>
      </c>
    </row>
    <row r="1346" spans="1:32" hidden="1" x14ac:dyDescent="0.35">
      <c r="A1346">
        <v>11707</v>
      </c>
      <c r="B1346" t="s">
        <v>24026</v>
      </c>
      <c r="C1346" t="s">
        <v>33</v>
      </c>
      <c r="D1346" t="s">
        <v>58</v>
      </c>
      <c r="E1346">
        <v>1863</v>
      </c>
      <c r="F1346">
        <v>1</v>
      </c>
      <c r="G1346">
        <v>1</v>
      </c>
      <c r="H1346">
        <v>1</v>
      </c>
      <c r="I1346">
        <v>0</v>
      </c>
      <c r="J1346">
        <v>1</v>
      </c>
      <c r="K1346">
        <v>1</v>
      </c>
      <c r="L1346">
        <v>1</v>
      </c>
      <c r="M1346">
        <v>0</v>
      </c>
      <c r="N1346">
        <v>0</v>
      </c>
      <c r="O1346">
        <v>0</v>
      </c>
      <c r="P1346" t="s">
        <v>15932</v>
      </c>
      <c r="Q1346" t="s">
        <v>15933</v>
      </c>
      <c r="R1346" t="s">
        <v>138</v>
      </c>
      <c r="S1346" t="s">
        <v>139</v>
      </c>
      <c r="T1346" t="s">
        <v>15081</v>
      </c>
      <c r="U1346" t="s">
        <v>15082</v>
      </c>
      <c r="V1346" t="s">
        <v>15934</v>
      </c>
      <c r="W1346" t="s">
        <v>15935</v>
      </c>
      <c r="AD1346" t="s">
        <v>410</v>
      </c>
      <c r="AE1346" t="s">
        <v>15083</v>
      </c>
      <c r="AF1346" t="s">
        <v>24027</v>
      </c>
    </row>
    <row r="1347" spans="1:32" hidden="1" x14ac:dyDescent="0.35">
      <c r="A1347">
        <v>4510</v>
      </c>
      <c r="B1347" t="s">
        <v>9388</v>
      </c>
      <c r="C1347" t="s">
        <v>72</v>
      </c>
      <c r="D1347" t="s">
        <v>60</v>
      </c>
      <c r="E1347">
        <v>2292</v>
      </c>
      <c r="F1347">
        <v>5</v>
      </c>
      <c r="G1347">
        <v>5</v>
      </c>
      <c r="H1347">
        <v>1</v>
      </c>
      <c r="I1347">
        <v>1</v>
      </c>
      <c r="J1347">
        <v>0.77554842161583704</v>
      </c>
      <c r="K1347">
        <v>0.92630182421227103</v>
      </c>
      <c r="L1347">
        <v>0.84424809934805201</v>
      </c>
      <c r="M1347">
        <v>0.57777777777777795</v>
      </c>
      <c r="N1347">
        <v>0.98518518518518505</v>
      </c>
      <c r="O1347">
        <v>0.68518518518518501</v>
      </c>
      <c r="P1347" t="s">
        <v>9389</v>
      </c>
      <c r="Q1347" t="s">
        <v>9390</v>
      </c>
      <c r="R1347" t="s">
        <v>869</v>
      </c>
      <c r="S1347" t="s">
        <v>870</v>
      </c>
      <c r="T1347" t="s">
        <v>9391</v>
      </c>
      <c r="U1347" t="s">
        <v>9392</v>
      </c>
      <c r="V1347" t="s">
        <v>9393</v>
      </c>
      <c r="W1347" t="s">
        <v>9394</v>
      </c>
      <c r="X1347" t="s">
        <v>9393</v>
      </c>
      <c r="Y1347" t="s">
        <v>6133</v>
      </c>
      <c r="Z1347" t="s">
        <v>9395</v>
      </c>
      <c r="AA1347" t="s">
        <v>9396</v>
      </c>
      <c r="AB1347" t="s">
        <v>9395</v>
      </c>
      <c r="AC1347" t="s">
        <v>878</v>
      </c>
      <c r="AD1347" t="s">
        <v>9397</v>
      </c>
      <c r="AE1347" t="s">
        <v>9398</v>
      </c>
      <c r="AF1347" t="s">
        <v>9400</v>
      </c>
    </row>
    <row r="1348" spans="1:32" hidden="1" x14ac:dyDescent="0.35">
      <c r="A1348">
        <v>4511</v>
      </c>
      <c r="B1348" t="s">
        <v>9388</v>
      </c>
      <c r="C1348" t="s">
        <v>72</v>
      </c>
      <c r="D1348" t="s">
        <v>62</v>
      </c>
      <c r="E1348">
        <v>2321</v>
      </c>
      <c r="F1348">
        <v>5</v>
      </c>
      <c r="G1348">
        <v>5</v>
      </c>
      <c r="H1348">
        <v>1</v>
      </c>
      <c r="I1348">
        <v>1</v>
      </c>
      <c r="J1348">
        <v>0.77554842161583704</v>
      </c>
      <c r="K1348">
        <v>0.92630182421227103</v>
      </c>
      <c r="L1348">
        <v>0.84424809934805201</v>
      </c>
      <c r="M1348">
        <v>0.57777777777777795</v>
      </c>
      <c r="N1348">
        <v>0.98518518518518505</v>
      </c>
      <c r="O1348">
        <v>0.68518518518518501</v>
      </c>
      <c r="P1348" t="s">
        <v>9389</v>
      </c>
      <c r="Q1348" t="s">
        <v>9390</v>
      </c>
      <c r="R1348" t="s">
        <v>869</v>
      </c>
      <c r="S1348" t="s">
        <v>870</v>
      </c>
      <c r="T1348" t="s">
        <v>9391</v>
      </c>
      <c r="U1348" t="s">
        <v>9392</v>
      </c>
      <c r="V1348" t="s">
        <v>9393</v>
      </c>
      <c r="W1348" t="s">
        <v>9394</v>
      </c>
      <c r="X1348" t="s">
        <v>9393</v>
      </c>
      <c r="Y1348" t="s">
        <v>6133</v>
      </c>
      <c r="Z1348" t="s">
        <v>9395</v>
      </c>
      <c r="AA1348" t="s">
        <v>9396</v>
      </c>
      <c r="AB1348" t="s">
        <v>9395</v>
      </c>
      <c r="AC1348" t="s">
        <v>878</v>
      </c>
      <c r="AD1348" t="s">
        <v>9397</v>
      </c>
      <c r="AE1348" t="s">
        <v>9398</v>
      </c>
      <c r="AF1348" t="s">
        <v>9401</v>
      </c>
    </row>
    <row r="1349" spans="1:32" hidden="1" x14ac:dyDescent="0.35">
      <c r="A1349">
        <v>4512</v>
      </c>
      <c r="B1349" t="s">
        <v>9388</v>
      </c>
      <c r="C1349" t="s">
        <v>72</v>
      </c>
      <c r="D1349" t="s">
        <v>34</v>
      </c>
      <c r="E1349">
        <v>1501</v>
      </c>
      <c r="F1349">
        <v>5</v>
      </c>
      <c r="G1349">
        <v>5</v>
      </c>
      <c r="H1349">
        <v>1</v>
      </c>
      <c r="I1349">
        <v>1</v>
      </c>
      <c r="J1349">
        <v>0.77554842161583704</v>
      </c>
      <c r="K1349">
        <v>0.92630182421227103</v>
      </c>
      <c r="L1349">
        <v>0.84424809934805201</v>
      </c>
      <c r="M1349">
        <v>0.57777777777777795</v>
      </c>
      <c r="N1349">
        <v>0.98518518518518505</v>
      </c>
      <c r="O1349">
        <v>0.68518518518518501</v>
      </c>
      <c r="P1349" t="s">
        <v>9389</v>
      </c>
      <c r="Q1349" t="s">
        <v>9390</v>
      </c>
      <c r="R1349" t="s">
        <v>869</v>
      </c>
      <c r="S1349" t="s">
        <v>870</v>
      </c>
      <c r="T1349" t="s">
        <v>9391</v>
      </c>
      <c r="U1349" t="s">
        <v>9392</v>
      </c>
      <c r="V1349" t="s">
        <v>9393</v>
      </c>
      <c r="W1349" t="s">
        <v>9394</v>
      </c>
      <c r="X1349" t="s">
        <v>9393</v>
      </c>
      <c r="Y1349" t="s">
        <v>6133</v>
      </c>
      <c r="Z1349" t="s">
        <v>9395</v>
      </c>
      <c r="AA1349" t="s">
        <v>9396</v>
      </c>
      <c r="AB1349" t="s">
        <v>9395</v>
      </c>
      <c r="AC1349" t="s">
        <v>878</v>
      </c>
      <c r="AD1349" t="s">
        <v>9397</v>
      </c>
      <c r="AE1349" t="s">
        <v>9398</v>
      </c>
      <c r="AF1349" t="s">
        <v>9402</v>
      </c>
    </row>
    <row r="1350" spans="1:32" hidden="1" x14ac:dyDescent="0.35">
      <c r="A1350">
        <v>4513</v>
      </c>
      <c r="B1350" t="s">
        <v>9388</v>
      </c>
      <c r="C1350" t="s">
        <v>72</v>
      </c>
      <c r="D1350" t="s">
        <v>45</v>
      </c>
      <c r="E1350">
        <v>251</v>
      </c>
      <c r="F1350">
        <v>5</v>
      </c>
      <c r="G1350">
        <v>5</v>
      </c>
      <c r="H1350">
        <v>1</v>
      </c>
      <c r="I1350">
        <v>1</v>
      </c>
      <c r="J1350">
        <v>0.77554842161583704</v>
      </c>
      <c r="K1350">
        <v>0.92630182421227103</v>
      </c>
      <c r="L1350">
        <v>0.84424809934805201</v>
      </c>
      <c r="M1350">
        <v>0.57777777777777795</v>
      </c>
      <c r="N1350">
        <v>0.98518518518518505</v>
      </c>
      <c r="O1350">
        <v>0.68518518518518501</v>
      </c>
      <c r="P1350" t="s">
        <v>9389</v>
      </c>
      <c r="Q1350" t="s">
        <v>9390</v>
      </c>
      <c r="R1350" t="s">
        <v>869</v>
      </c>
      <c r="S1350" t="s">
        <v>870</v>
      </c>
      <c r="T1350" t="s">
        <v>9391</v>
      </c>
      <c r="U1350" t="s">
        <v>9392</v>
      </c>
      <c r="V1350" t="s">
        <v>9393</v>
      </c>
      <c r="W1350" t="s">
        <v>9394</v>
      </c>
      <c r="X1350" t="s">
        <v>9393</v>
      </c>
      <c r="Y1350" t="s">
        <v>6133</v>
      </c>
      <c r="Z1350" t="s">
        <v>9395</v>
      </c>
      <c r="AA1350" t="s">
        <v>9396</v>
      </c>
      <c r="AB1350" t="s">
        <v>9395</v>
      </c>
      <c r="AC1350" t="s">
        <v>878</v>
      </c>
      <c r="AD1350" t="s">
        <v>9397</v>
      </c>
      <c r="AE1350" t="s">
        <v>9398</v>
      </c>
      <c r="AF1350" t="s">
        <v>9403</v>
      </c>
    </row>
    <row r="1351" spans="1:32" hidden="1" x14ac:dyDescent="0.35">
      <c r="A1351">
        <v>4299</v>
      </c>
      <c r="B1351" t="s">
        <v>8941</v>
      </c>
      <c r="C1351" t="s">
        <v>72</v>
      </c>
      <c r="D1351" t="s">
        <v>58</v>
      </c>
      <c r="E1351">
        <v>645</v>
      </c>
      <c r="F1351">
        <v>5</v>
      </c>
      <c r="G1351">
        <v>5</v>
      </c>
      <c r="H1351">
        <v>1</v>
      </c>
      <c r="I1351">
        <v>1</v>
      </c>
      <c r="J1351">
        <v>0.82112471467109405</v>
      </c>
      <c r="K1351">
        <v>0.856302181196826</v>
      </c>
      <c r="L1351">
        <v>0.838344593066359</v>
      </c>
      <c r="M1351">
        <v>0.58710801393728196</v>
      </c>
      <c r="N1351">
        <v>0.99825783972125404</v>
      </c>
      <c r="O1351">
        <v>0.72264808362369304</v>
      </c>
      <c r="P1351" t="s">
        <v>2233</v>
      </c>
      <c r="Q1351" t="s">
        <v>2234</v>
      </c>
      <c r="R1351" t="s">
        <v>157</v>
      </c>
      <c r="S1351" t="s">
        <v>158</v>
      </c>
      <c r="T1351" t="s">
        <v>8942</v>
      </c>
      <c r="U1351" t="s">
        <v>8943</v>
      </c>
      <c r="V1351" t="s">
        <v>8944</v>
      </c>
      <c r="W1351" t="s">
        <v>8945</v>
      </c>
      <c r="Z1351" t="s">
        <v>4799</v>
      </c>
      <c r="AA1351" t="s">
        <v>4800</v>
      </c>
      <c r="AB1351" t="s">
        <v>4799</v>
      </c>
      <c r="AC1351" t="s">
        <v>4023</v>
      </c>
      <c r="AD1351" t="s">
        <v>2870</v>
      </c>
      <c r="AE1351" t="s">
        <v>8946</v>
      </c>
      <c r="AF1351" t="s">
        <v>8947</v>
      </c>
    </row>
    <row r="1352" spans="1:32" hidden="1" x14ac:dyDescent="0.35">
      <c r="A1352">
        <v>4550</v>
      </c>
      <c r="B1352" t="s">
        <v>9503</v>
      </c>
      <c r="C1352" t="s">
        <v>72</v>
      </c>
      <c r="D1352" t="s">
        <v>60</v>
      </c>
      <c r="E1352">
        <v>1373</v>
      </c>
      <c r="F1352">
        <v>5</v>
      </c>
      <c r="G1352">
        <v>5</v>
      </c>
      <c r="H1352">
        <v>1</v>
      </c>
      <c r="I1352">
        <v>1</v>
      </c>
      <c r="J1352">
        <v>0.76456705729166696</v>
      </c>
      <c r="K1352">
        <v>0.94537520886325199</v>
      </c>
      <c r="L1352">
        <v>0.84541186656834899</v>
      </c>
      <c r="M1352">
        <v>0.55299539170506895</v>
      </c>
      <c r="N1352">
        <v>0.99308755760368705</v>
      </c>
      <c r="O1352">
        <v>0.68364055299539195</v>
      </c>
      <c r="P1352" t="s">
        <v>9504</v>
      </c>
      <c r="Q1352" t="s">
        <v>9505</v>
      </c>
      <c r="R1352" t="s">
        <v>869</v>
      </c>
      <c r="S1352" t="s">
        <v>870</v>
      </c>
      <c r="T1352" t="s">
        <v>9506</v>
      </c>
      <c r="U1352" t="s">
        <v>9507</v>
      </c>
      <c r="V1352" t="s">
        <v>9508</v>
      </c>
      <c r="W1352" t="s">
        <v>9509</v>
      </c>
      <c r="X1352" t="s">
        <v>9508</v>
      </c>
      <c r="Y1352" t="s">
        <v>3682</v>
      </c>
      <c r="Z1352" t="s">
        <v>9510</v>
      </c>
      <c r="AA1352" t="s">
        <v>9511</v>
      </c>
      <c r="AB1352" t="s">
        <v>9510</v>
      </c>
      <c r="AC1352" t="s">
        <v>878</v>
      </c>
      <c r="AD1352" t="s">
        <v>191</v>
      </c>
      <c r="AE1352" t="s">
        <v>9512</v>
      </c>
      <c r="AF1352" t="e">
        <f>------------MTGLNIVVGVAGGIAAYKACHLVRFFTERGHSVTVVPTESALKFVGAATFEALSGNPVSTSVFDAVDQVQHVRVGQAADLVVIAPATADLMARMAAGRADDLLTATCLVATCPVVVAPAMHTEMWWNPATQDNVATLRRRAITVLEPAHGRLTGTDSGPGRLLEPGQIGEAALAVYAGAQIPRDLEGRKVLITAGGTQENLDPVRFIGNRSSGRQGFALAEIAAHRGAEVTVVAANTD-DLPNPAGETVVHRVLSARDMADKV-----GEIAGEQDVIIMAAAVADVRPAHQAAVKLKKGADSQALGQLELVENPDILAGLTEIRSTGIWEKNPVIVGFAAETGDDGATPLDHAVAKLQRKGCDLLMCNEVGAGKVFGQDTNSGWIVFPDGRMVDVLPGSKLEVAAQIMDEVVEL-MPPLSS</f>
        <v>#NAME?</v>
      </c>
    </row>
    <row r="1353" spans="1:32" hidden="1" x14ac:dyDescent="0.35">
      <c r="A1353">
        <v>4551</v>
      </c>
      <c r="B1353" t="s">
        <v>9503</v>
      </c>
      <c r="C1353" t="s">
        <v>72</v>
      </c>
      <c r="D1353" t="s">
        <v>62</v>
      </c>
      <c r="E1353">
        <v>1408</v>
      </c>
      <c r="F1353">
        <v>5</v>
      </c>
      <c r="G1353">
        <v>5</v>
      </c>
      <c r="H1353">
        <v>1</v>
      </c>
      <c r="I1353">
        <v>1</v>
      </c>
      <c r="J1353">
        <v>0.76456705729166696</v>
      </c>
      <c r="K1353">
        <v>0.94537520886325199</v>
      </c>
      <c r="L1353">
        <v>0.84541186656834899</v>
      </c>
      <c r="M1353">
        <v>0.55299539170506895</v>
      </c>
      <c r="N1353">
        <v>0.99308755760368705</v>
      </c>
      <c r="O1353">
        <v>0.68364055299539195</v>
      </c>
      <c r="P1353" t="s">
        <v>9504</v>
      </c>
      <c r="Q1353" t="s">
        <v>9505</v>
      </c>
      <c r="R1353" t="s">
        <v>869</v>
      </c>
      <c r="S1353" t="s">
        <v>870</v>
      </c>
      <c r="T1353" t="s">
        <v>9506</v>
      </c>
      <c r="U1353" t="s">
        <v>9507</v>
      </c>
      <c r="V1353" t="s">
        <v>9508</v>
      </c>
      <c r="W1353" t="s">
        <v>9509</v>
      </c>
      <c r="X1353" t="s">
        <v>9508</v>
      </c>
      <c r="Y1353" t="s">
        <v>3682</v>
      </c>
      <c r="Z1353" t="s">
        <v>9510</v>
      </c>
      <c r="AA1353" t="s">
        <v>9511</v>
      </c>
      <c r="AB1353" t="s">
        <v>9510</v>
      </c>
      <c r="AC1353" t="s">
        <v>878</v>
      </c>
      <c r="AD1353" t="s">
        <v>191</v>
      </c>
      <c r="AE1353" t="s">
        <v>9512</v>
      </c>
      <c r="AF1353" t="e">
        <f>------------MTGLNIVVGVAGGIAAYKACHLVRFFTKRGHSVTVVPTESALKFVGAATFEALSGNPVSTSVFDAVDQVQHVRVGQAADLVVIAPATADLMARMASGRADDLLTATCLVATCPVVVAPAMHTEMWWNPATQDNVATLRRRAITVLEPAHGRLTGTDSGPGRLLEPGQIGEAALAVYAGAQIPRDLEGRKVLITAGGTQENLDPVRFIGNRSSGRQGFALAEIAAHRGAEVTVVAANTD-DLPNPAGETVVHRVLSARDMADKV-----GEVAGEQDVIIMAAAVADVRPAHQAAVKLKKGADSQALGQLELVENPDILAGLTEIRSTGIWEKNPVIVGFAAETGDDGATPLDHAVAKLQRKGCDLLMCNEVGAGKVFGQDTNSGWIVFPDGRMVDVLPGSKLEVAAQIMDEVVEL-MPPLSS</f>
        <v>#NAME?</v>
      </c>
    </row>
    <row r="1354" spans="1:32" hidden="1" x14ac:dyDescent="0.35">
      <c r="A1354">
        <v>4552</v>
      </c>
      <c r="B1354" t="s">
        <v>9503</v>
      </c>
      <c r="C1354" t="s">
        <v>72</v>
      </c>
      <c r="D1354" t="s">
        <v>34</v>
      </c>
      <c r="E1354">
        <v>1800</v>
      </c>
      <c r="F1354">
        <v>5</v>
      </c>
      <c r="G1354">
        <v>5</v>
      </c>
      <c r="H1354">
        <v>1</v>
      </c>
      <c r="I1354">
        <v>1</v>
      </c>
      <c r="J1354">
        <v>0.76456705729166696</v>
      </c>
      <c r="K1354">
        <v>0.94537520886325199</v>
      </c>
      <c r="L1354">
        <v>0.84541186656834899</v>
      </c>
      <c r="M1354">
        <v>0.55299539170506895</v>
      </c>
      <c r="N1354">
        <v>0.99308755760368705</v>
      </c>
      <c r="O1354">
        <v>0.68364055299539195</v>
      </c>
      <c r="P1354" t="s">
        <v>9504</v>
      </c>
      <c r="Q1354" t="s">
        <v>9505</v>
      </c>
      <c r="R1354" t="s">
        <v>869</v>
      </c>
      <c r="S1354" t="s">
        <v>870</v>
      </c>
      <c r="T1354" t="s">
        <v>9506</v>
      </c>
      <c r="U1354" t="s">
        <v>9507</v>
      </c>
      <c r="V1354" t="s">
        <v>9508</v>
      </c>
      <c r="W1354" t="s">
        <v>9509</v>
      </c>
      <c r="X1354" t="s">
        <v>9508</v>
      </c>
      <c r="Y1354" t="s">
        <v>3682</v>
      </c>
      <c r="Z1354" t="s">
        <v>9510</v>
      </c>
      <c r="AA1354" t="s">
        <v>9511</v>
      </c>
      <c r="AB1354" t="s">
        <v>9510</v>
      </c>
      <c r="AC1354" t="s">
        <v>878</v>
      </c>
      <c r="AD1354" t="s">
        <v>191</v>
      </c>
      <c r="AE1354" t="s">
        <v>9512</v>
      </c>
      <c r="AF1354" t="e">
        <f>-----------MENQKKIVVGVTGGIAAYKACHIVRAFKEAGDDVTVVPTEMALRFVGKATFEALSGNPVSTTVFDAVDEVQHVAVGKQADLIVVAPATADFMARVAAGRADDLLTATILVATCPVVFAPAMHTEMWLNPATQANVHILRSRNIVVLEPDHGRLTGADIGPGRMLEPNHIVELARTVYDGESLQPTLVGKTLLVTAGGTREPIDPVRYIGNHSSGRQGLAIADIAVQRGATVFVVAGHTESDI--PSGATVV-RVESAREMRDEV-----ERLSGGADIIVMAAAVADFRPEYVAESKLKKGTHTDALSTIHLVENPDILRSVVDKRELRELSEHAIIVGFAAETGDDVGTVLDYARAKLAKKGCDLLMCNDVSGGKVFGQANNRGFLLARNGAIINIADGSKHVVAAQILDVIEALNQADLPD</f>
        <v>#NAME?</v>
      </c>
    </row>
    <row r="1355" spans="1:32" hidden="1" x14ac:dyDescent="0.35">
      <c r="A1355">
        <v>4553</v>
      </c>
      <c r="B1355" t="s">
        <v>9503</v>
      </c>
      <c r="C1355" t="s">
        <v>72</v>
      </c>
      <c r="D1355" t="s">
        <v>45</v>
      </c>
      <c r="E1355">
        <v>1073</v>
      </c>
      <c r="F1355">
        <v>5</v>
      </c>
      <c r="G1355">
        <v>5</v>
      </c>
      <c r="H1355">
        <v>1</v>
      </c>
      <c r="I1355">
        <v>1</v>
      </c>
      <c r="J1355">
        <v>0.76456705729166696</v>
      </c>
      <c r="K1355">
        <v>0.94537520886325199</v>
      </c>
      <c r="L1355">
        <v>0.84541186656834899</v>
      </c>
      <c r="M1355">
        <v>0.55299539170506895</v>
      </c>
      <c r="N1355">
        <v>0.99308755760368705</v>
      </c>
      <c r="O1355">
        <v>0.68364055299539195</v>
      </c>
      <c r="P1355" t="s">
        <v>9504</v>
      </c>
      <c r="Q1355" t="s">
        <v>9505</v>
      </c>
      <c r="R1355" t="s">
        <v>869</v>
      </c>
      <c r="S1355" t="s">
        <v>870</v>
      </c>
      <c r="T1355" t="s">
        <v>9506</v>
      </c>
      <c r="U1355" t="s">
        <v>9507</v>
      </c>
      <c r="V1355" t="s">
        <v>9508</v>
      </c>
      <c r="W1355" t="s">
        <v>9509</v>
      </c>
      <c r="X1355" t="s">
        <v>9508</v>
      </c>
      <c r="Y1355" t="s">
        <v>3682</v>
      </c>
      <c r="Z1355" t="s">
        <v>9510</v>
      </c>
      <c r="AA1355" t="s">
        <v>9511</v>
      </c>
      <c r="AB1355" t="s">
        <v>9510</v>
      </c>
      <c r="AC1355" t="s">
        <v>878</v>
      </c>
      <c r="AD1355" t="s">
        <v>191</v>
      </c>
      <c r="AE1355" t="s">
        <v>9512</v>
      </c>
      <c r="AF1355" t="e">
        <f>-----------MENQKKIVVGVTGGIAAYKACHIVRAFKEAGDDVTVVPTEMALRFVGKATFEALSGNPVSTTVFDAVDEVQHVAVGKQADLIVVAPATADFMARVAAGRADDLLTATILVATCPVVFAPAMHTEMWLNPATQANVHILRSRNIVVLEPDHGRLTGADIGPGRMLEPNHIVELARTVYDGESLQPTLVGKTLLVTAGGTREPIDPVRYIGNRSSGRQGLAIADIAVQRGATVFVVAGHTESDI--PSGATVV-RVESAREMRDEV-----ERLSGGADIIVMAAAVADFRPEHVAESKLKKGTHTDALSTIHLVENPDVLRSVVDKRELRELSEHAIIVGFAAETGDDVGTVLDYARAKLAKKGCDLLMCNDVSGGKVFGQANNRGFLLARNGAIINIADGSKHVVAAQILDVIEALNQADLPD</f>
        <v>#NAME?</v>
      </c>
    </row>
    <row r="1356" spans="1:32" hidden="1" x14ac:dyDescent="0.35">
      <c r="A1356">
        <v>1789</v>
      </c>
      <c r="B1356" t="s">
        <v>3717</v>
      </c>
      <c r="C1356" t="s">
        <v>72</v>
      </c>
      <c r="D1356" t="s">
        <v>58</v>
      </c>
      <c r="E1356">
        <v>815</v>
      </c>
      <c r="F1356">
        <v>5</v>
      </c>
      <c r="G1356">
        <v>5</v>
      </c>
      <c r="H1356">
        <v>1</v>
      </c>
      <c r="I1356">
        <v>1</v>
      </c>
      <c r="J1356">
        <v>0.76746366619784301</v>
      </c>
      <c r="K1356">
        <v>0.88796296296296295</v>
      </c>
      <c r="L1356">
        <v>0.82332771383401204</v>
      </c>
      <c r="M1356">
        <v>0.469135802469136</v>
      </c>
      <c r="N1356">
        <v>1</v>
      </c>
      <c r="O1356">
        <v>0.64444444444444404</v>
      </c>
      <c r="P1356" t="s">
        <v>3718</v>
      </c>
      <c r="Q1356" t="s">
        <v>3719</v>
      </c>
      <c r="R1356" t="s">
        <v>75</v>
      </c>
      <c r="S1356" t="s">
        <v>76</v>
      </c>
      <c r="V1356" t="s">
        <v>3720</v>
      </c>
      <c r="W1356" t="s">
        <v>3721</v>
      </c>
      <c r="X1356" t="s">
        <v>3720</v>
      </c>
      <c r="Y1356" t="s">
        <v>2750</v>
      </c>
      <c r="AF1356" t="s">
        <v>3722</v>
      </c>
    </row>
    <row r="1357" spans="1:32" hidden="1" x14ac:dyDescent="0.35">
      <c r="A1357">
        <v>4580</v>
      </c>
      <c r="B1357" t="s">
        <v>9575</v>
      </c>
      <c r="C1357" t="s">
        <v>72</v>
      </c>
      <c r="D1357" t="s">
        <v>60</v>
      </c>
      <c r="E1357">
        <v>1070</v>
      </c>
      <c r="F1357">
        <v>5</v>
      </c>
      <c r="G1357">
        <v>5</v>
      </c>
      <c r="H1357">
        <v>1</v>
      </c>
      <c r="I1357">
        <v>1</v>
      </c>
      <c r="J1357">
        <v>0.88466628852335005</v>
      </c>
      <c r="K1357">
        <v>0.99605372561560401</v>
      </c>
      <c r="L1357">
        <v>0.93706149345535505</v>
      </c>
      <c r="M1357">
        <v>0.78154425612052703</v>
      </c>
      <c r="N1357">
        <v>0.99435028248587598</v>
      </c>
      <c r="O1357">
        <v>0.84519774011299398</v>
      </c>
      <c r="P1357" t="s">
        <v>9576</v>
      </c>
      <c r="Q1357" t="s">
        <v>9577</v>
      </c>
      <c r="R1357" t="s">
        <v>869</v>
      </c>
      <c r="S1357" t="s">
        <v>870</v>
      </c>
      <c r="T1357" t="s">
        <v>9578</v>
      </c>
      <c r="U1357" t="s">
        <v>9579</v>
      </c>
      <c r="V1357" t="s">
        <v>9580</v>
      </c>
      <c r="W1357" t="s">
        <v>9581</v>
      </c>
      <c r="X1357" t="s">
        <v>9580</v>
      </c>
      <c r="Y1357" t="s">
        <v>2454</v>
      </c>
      <c r="Z1357" t="s">
        <v>8451</v>
      </c>
      <c r="AA1357" t="s">
        <v>8452</v>
      </c>
      <c r="AB1357" t="s">
        <v>8451</v>
      </c>
      <c r="AC1357" t="s">
        <v>7049</v>
      </c>
      <c r="AD1357" t="s">
        <v>9582</v>
      </c>
      <c r="AE1357" t="s">
        <v>9583</v>
      </c>
      <c r="AF1357" t="s">
        <v>9585</v>
      </c>
    </row>
    <row r="1358" spans="1:32" hidden="1" x14ac:dyDescent="0.35">
      <c r="A1358">
        <v>4581</v>
      </c>
      <c r="B1358" t="s">
        <v>9575</v>
      </c>
      <c r="C1358" t="s">
        <v>72</v>
      </c>
      <c r="D1358" t="s">
        <v>62</v>
      </c>
      <c r="E1358">
        <v>1106</v>
      </c>
      <c r="F1358">
        <v>5</v>
      </c>
      <c r="G1358">
        <v>5</v>
      </c>
      <c r="H1358">
        <v>1</v>
      </c>
      <c r="I1358">
        <v>1</v>
      </c>
      <c r="J1358">
        <v>0.88466628852335005</v>
      </c>
      <c r="K1358">
        <v>0.99605372561560401</v>
      </c>
      <c r="L1358">
        <v>0.93706149345535505</v>
      </c>
      <c r="M1358">
        <v>0.78154425612052703</v>
      </c>
      <c r="N1358">
        <v>0.99435028248587598</v>
      </c>
      <c r="O1358">
        <v>0.84519774011299398</v>
      </c>
      <c r="P1358" t="s">
        <v>9576</v>
      </c>
      <c r="Q1358" t="s">
        <v>9577</v>
      </c>
      <c r="R1358" t="s">
        <v>869</v>
      </c>
      <c r="S1358" t="s">
        <v>870</v>
      </c>
      <c r="T1358" t="s">
        <v>9578</v>
      </c>
      <c r="U1358" t="s">
        <v>9579</v>
      </c>
      <c r="V1358" t="s">
        <v>9580</v>
      </c>
      <c r="W1358" t="s">
        <v>9581</v>
      </c>
      <c r="X1358" t="s">
        <v>9580</v>
      </c>
      <c r="Y1358" t="s">
        <v>2454</v>
      </c>
      <c r="Z1358" t="s">
        <v>8451</v>
      </c>
      <c r="AA1358" t="s">
        <v>8452</v>
      </c>
      <c r="AB1358" t="s">
        <v>8451</v>
      </c>
      <c r="AC1358" t="s">
        <v>7049</v>
      </c>
      <c r="AD1358" t="s">
        <v>9582</v>
      </c>
      <c r="AE1358" t="s">
        <v>9583</v>
      </c>
      <c r="AF1358" t="s">
        <v>9586</v>
      </c>
    </row>
    <row r="1359" spans="1:32" hidden="1" x14ac:dyDescent="0.35">
      <c r="A1359">
        <v>4582</v>
      </c>
      <c r="B1359" t="s">
        <v>9575</v>
      </c>
      <c r="C1359" t="s">
        <v>72</v>
      </c>
      <c r="D1359" t="s">
        <v>34</v>
      </c>
      <c r="E1359">
        <v>50</v>
      </c>
      <c r="F1359">
        <v>5</v>
      </c>
      <c r="G1359">
        <v>5</v>
      </c>
      <c r="H1359">
        <v>1</v>
      </c>
      <c r="I1359">
        <v>1</v>
      </c>
      <c r="J1359">
        <v>0.88466628852335005</v>
      </c>
      <c r="K1359">
        <v>0.99605372561560401</v>
      </c>
      <c r="L1359">
        <v>0.93706149345535505</v>
      </c>
      <c r="M1359">
        <v>0.78154425612052703</v>
      </c>
      <c r="N1359">
        <v>0.99435028248587598</v>
      </c>
      <c r="O1359">
        <v>0.84519774011299398</v>
      </c>
      <c r="P1359" t="s">
        <v>9576</v>
      </c>
      <c r="Q1359" t="s">
        <v>9577</v>
      </c>
      <c r="R1359" t="s">
        <v>869</v>
      </c>
      <c r="S1359" t="s">
        <v>870</v>
      </c>
      <c r="T1359" t="s">
        <v>9578</v>
      </c>
      <c r="U1359" t="s">
        <v>9579</v>
      </c>
      <c r="V1359" t="s">
        <v>9580</v>
      </c>
      <c r="W1359" t="s">
        <v>9581</v>
      </c>
      <c r="X1359" t="s">
        <v>9580</v>
      </c>
      <c r="Y1359" t="s">
        <v>2454</v>
      </c>
      <c r="Z1359" t="s">
        <v>8451</v>
      </c>
      <c r="AA1359" t="s">
        <v>8452</v>
      </c>
      <c r="AB1359" t="s">
        <v>8451</v>
      </c>
      <c r="AC1359" t="s">
        <v>7049</v>
      </c>
      <c r="AD1359" t="s">
        <v>9582</v>
      </c>
      <c r="AE1359" t="s">
        <v>9583</v>
      </c>
      <c r="AF1359" t="s">
        <v>9587</v>
      </c>
    </row>
    <row r="1360" spans="1:32" hidden="1" x14ac:dyDescent="0.35">
      <c r="A1360">
        <v>4583</v>
      </c>
      <c r="B1360" t="s">
        <v>9575</v>
      </c>
      <c r="C1360" t="s">
        <v>72</v>
      </c>
      <c r="D1360" t="s">
        <v>45</v>
      </c>
      <c r="E1360">
        <v>1308</v>
      </c>
      <c r="F1360">
        <v>5</v>
      </c>
      <c r="G1360">
        <v>5</v>
      </c>
      <c r="H1360">
        <v>1</v>
      </c>
      <c r="I1360">
        <v>1</v>
      </c>
      <c r="J1360">
        <v>0.88466628852335005</v>
      </c>
      <c r="K1360">
        <v>0.99605372561560401</v>
      </c>
      <c r="L1360">
        <v>0.93706149345535505</v>
      </c>
      <c r="M1360">
        <v>0.78154425612052703</v>
      </c>
      <c r="N1360">
        <v>0.99435028248587598</v>
      </c>
      <c r="O1360">
        <v>0.84519774011299398</v>
      </c>
      <c r="P1360" t="s">
        <v>9576</v>
      </c>
      <c r="Q1360" t="s">
        <v>9577</v>
      </c>
      <c r="R1360" t="s">
        <v>869</v>
      </c>
      <c r="S1360" t="s">
        <v>870</v>
      </c>
      <c r="T1360" t="s">
        <v>9578</v>
      </c>
      <c r="U1360" t="s">
        <v>9579</v>
      </c>
      <c r="V1360" t="s">
        <v>9580</v>
      </c>
      <c r="W1360" t="s">
        <v>9581</v>
      </c>
      <c r="X1360" t="s">
        <v>9580</v>
      </c>
      <c r="Y1360" t="s">
        <v>2454</v>
      </c>
      <c r="Z1360" t="s">
        <v>8451</v>
      </c>
      <c r="AA1360" t="s">
        <v>8452</v>
      </c>
      <c r="AB1360" t="s">
        <v>8451</v>
      </c>
      <c r="AC1360" t="s">
        <v>7049</v>
      </c>
      <c r="AD1360" t="s">
        <v>9582</v>
      </c>
      <c r="AE1360" t="s">
        <v>9583</v>
      </c>
      <c r="AF1360" t="s">
        <v>9588</v>
      </c>
    </row>
    <row r="1361" spans="1:32" hidden="1" x14ac:dyDescent="0.35">
      <c r="A1361">
        <v>2709</v>
      </c>
      <c r="B1361" t="s">
        <v>5600</v>
      </c>
      <c r="C1361" t="s">
        <v>72</v>
      </c>
      <c r="D1361" t="s">
        <v>58</v>
      </c>
      <c r="E1361">
        <v>405</v>
      </c>
      <c r="F1361">
        <v>5</v>
      </c>
      <c r="G1361">
        <v>5</v>
      </c>
      <c r="H1361">
        <v>1</v>
      </c>
      <c r="I1361">
        <v>1</v>
      </c>
      <c r="J1361">
        <v>0.83333333333333304</v>
      </c>
      <c r="K1361">
        <v>0.97742236438757701</v>
      </c>
      <c r="L1361">
        <v>0.89964498028622297</v>
      </c>
      <c r="M1361">
        <v>0.73170731707317105</v>
      </c>
      <c r="N1361">
        <v>1</v>
      </c>
      <c r="O1361">
        <v>0.79430894308943101</v>
      </c>
      <c r="P1361" t="s">
        <v>3718</v>
      </c>
      <c r="Q1361" t="s">
        <v>3719</v>
      </c>
      <c r="R1361" t="s">
        <v>75</v>
      </c>
      <c r="S1361" t="s">
        <v>76</v>
      </c>
      <c r="T1361" t="s">
        <v>5601</v>
      </c>
      <c r="U1361" t="s">
        <v>5602</v>
      </c>
      <c r="V1361" t="s">
        <v>3720</v>
      </c>
      <c r="W1361" t="s">
        <v>3721</v>
      </c>
      <c r="X1361" t="s">
        <v>3720</v>
      </c>
      <c r="Y1361" t="s">
        <v>2750</v>
      </c>
      <c r="AD1361" t="s">
        <v>219</v>
      </c>
      <c r="AE1361" t="s">
        <v>4475</v>
      </c>
      <c r="AF1361" t="s">
        <v>5603</v>
      </c>
    </row>
    <row r="1362" spans="1:32" hidden="1" x14ac:dyDescent="0.35">
      <c r="A1362">
        <v>3899</v>
      </c>
      <c r="B1362" t="s">
        <v>8031</v>
      </c>
      <c r="C1362" t="s">
        <v>72</v>
      </c>
      <c r="D1362" t="s">
        <v>58</v>
      </c>
      <c r="E1362">
        <v>1219</v>
      </c>
      <c r="F1362">
        <v>5</v>
      </c>
      <c r="G1362">
        <v>5</v>
      </c>
      <c r="H1362">
        <v>1</v>
      </c>
      <c r="I1362">
        <v>1</v>
      </c>
      <c r="J1362">
        <v>0.89403383793410496</v>
      </c>
      <c r="K1362">
        <v>0.97686552072800903</v>
      </c>
      <c r="L1362">
        <v>0.93361604577864199</v>
      </c>
      <c r="M1362">
        <v>0.802898550724638</v>
      </c>
      <c r="N1362">
        <v>0.99420289855072497</v>
      </c>
      <c r="O1362">
        <v>0.84956521739130397</v>
      </c>
      <c r="P1362" t="s">
        <v>2848</v>
      </c>
      <c r="Q1362" t="s">
        <v>2849</v>
      </c>
      <c r="R1362" t="s">
        <v>869</v>
      </c>
      <c r="S1362" t="s">
        <v>870</v>
      </c>
      <c r="T1362" t="s">
        <v>8032</v>
      </c>
      <c r="U1362" t="s">
        <v>8033</v>
      </c>
      <c r="V1362" t="s">
        <v>8034</v>
      </c>
      <c r="W1362" t="s">
        <v>8035</v>
      </c>
      <c r="X1362" t="s">
        <v>8034</v>
      </c>
      <c r="Y1362" t="s">
        <v>2038</v>
      </c>
      <c r="Z1362" t="s">
        <v>8036</v>
      </c>
      <c r="AA1362" t="s">
        <v>8037</v>
      </c>
      <c r="AB1362" t="s">
        <v>8036</v>
      </c>
      <c r="AC1362" t="s">
        <v>1156</v>
      </c>
      <c r="AD1362" t="s">
        <v>219</v>
      </c>
      <c r="AE1362" t="s">
        <v>8038</v>
      </c>
      <c r="AF1362" t="s">
        <v>8039</v>
      </c>
    </row>
    <row r="1363" spans="1:32" hidden="1" x14ac:dyDescent="0.35">
      <c r="A1363">
        <v>2309</v>
      </c>
      <c r="B1363" t="s">
        <v>4805</v>
      </c>
      <c r="C1363" t="s">
        <v>72</v>
      </c>
      <c r="D1363" t="s">
        <v>58</v>
      </c>
      <c r="E1363">
        <v>450</v>
      </c>
      <c r="F1363">
        <v>5</v>
      </c>
      <c r="G1363">
        <v>5</v>
      </c>
      <c r="H1363">
        <v>1</v>
      </c>
      <c r="I1363">
        <v>1</v>
      </c>
      <c r="J1363">
        <v>0.85304470256951803</v>
      </c>
      <c r="K1363">
        <v>0.92156844307576902</v>
      </c>
      <c r="L1363">
        <v>0.88598360758244699</v>
      </c>
      <c r="M1363">
        <v>0.68280871670702203</v>
      </c>
      <c r="N1363">
        <v>1</v>
      </c>
      <c r="O1363">
        <v>0.77336561743341403</v>
      </c>
      <c r="P1363" t="s">
        <v>4806</v>
      </c>
      <c r="Q1363" t="s">
        <v>4807</v>
      </c>
      <c r="R1363" t="s">
        <v>4808</v>
      </c>
      <c r="S1363" t="s">
        <v>4809</v>
      </c>
      <c r="T1363" t="s">
        <v>4810</v>
      </c>
      <c r="U1363" t="s">
        <v>4811</v>
      </c>
      <c r="V1363" t="s">
        <v>4812</v>
      </c>
      <c r="W1363" t="s">
        <v>4813</v>
      </c>
      <c r="X1363" t="s">
        <v>4812</v>
      </c>
      <c r="Y1363" t="s">
        <v>2454</v>
      </c>
      <c r="Z1363" t="s">
        <v>4814</v>
      </c>
      <c r="AA1363" t="s">
        <v>4815</v>
      </c>
      <c r="AB1363" t="s">
        <v>4814</v>
      </c>
      <c r="AC1363" t="s">
        <v>4816</v>
      </c>
      <c r="AD1363" t="s">
        <v>4817</v>
      </c>
      <c r="AE1363" t="s">
        <v>4818</v>
      </c>
      <c r="AF1363" t="s">
        <v>4819</v>
      </c>
    </row>
    <row r="1364" spans="1:32" hidden="1" x14ac:dyDescent="0.35">
      <c r="A1364">
        <v>2310</v>
      </c>
      <c r="B1364" t="s">
        <v>4805</v>
      </c>
      <c r="C1364" t="s">
        <v>72</v>
      </c>
      <c r="D1364" t="s">
        <v>60</v>
      </c>
      <c r="E1364">
        <v>720</v>
      </c>
      <c r="F1364">
        <v>5</v>
      </c>
      <c r="G1364">
        <v>5</v>
      </c>
      <c r="H1364">
        <v>1</v>
      </c>
      <c r="I1364">
        <v>1</v>
      </c>
      <c r="J1364">
        <v>0.85304470256951803</v>
      </c>
      <c r="K1364">
        <v>0.92156844307576902</v>
      </c>
      <c r="L1364">
        <v>0.88598360758244699</v>
      </c>
      <c r="M1364">
        <v>0.68280871670702203</v>
      </c>
      <c r="N1364">
        <v>1</v>
      </c>
      <c r="O1364">
        <v>0.77336561743341403</v>
      </c>
      <c r="P1364" t="s">
        <v>4806</v>
      </c>
      <c r="Q1364" t="s">
        <v>4807</v>
      </c>
      <c r="R1364" t="s">
        <v>4808</v>
      </c>
      <c r="S1364" t="s">
        <v>4809</v>
      </c>
      <c r="T1364" t="s">
        <v>4810</v>
      </c>
      <c r="U1364" t="s">
        <v>4811</v>
      </c>
      <c r="V1364" t="s">
        <v>4812</v>
      </c>
      <c r="W1364" t="s">
        <v>4813</v>
      </c>
      <c r="X1364" t="s">
        <v>4812</v>
      </c>
      <c r="Y1364" t="s">
        <v>2454</v>
      </c>
      <c r="Z1364" t="s">
        <v>4814</v>
      </c>
      <c r="AA1364" t="s">
        <v>4815</v>
      </c>
      <c r="AB1364" t="s">
        <v>4814</v>
      </c>
      <c r="AC1364" t="s">
        <v>4816</v>
      </c>
      <c r="AD1364" t="s">
        <v>4817</v>
      </c>
      <c r="AE1364" t="s">
        <v>4818</v>
      </c>
      <c r="AF1364" t="s">
        <v>4820</v>
      </c>
    </row>
    <row r="1365" spans="1:32" hidden="1" x14ac:dyDescent="0.35">
      <c r="A1365">
        <v>2311</v>
      </c>
      <c r="B1365" t="s">
        <v>4805</v>
      </c>
      <c r="C1365" t="s">
        <v>72</v>
      </c>
      <c r="D1365" t="s">
        <v>62</v>
      </c>
      <c r="E1365">
        <v>751</v>
      </c>
      <c r="F1365">
        <v>5</v>
      </c>
      <c r="G1365">
        <v>5</v>
      </c>
      <c r="H1365">
        <v>1</v>
      </c>
      <c r="I1365">
        <v>1</v>
      </c>
      <c r="J1365">
        <v>0.85304470256951803</v>
      </c>
      <c r="K1365">
        <v>0.92156844307576902</v>
      </c>
      <c r="L1365">
        <v>0.88598360758244699</v>
      </c>
      <c r="M1365">
        <v>0.68280871670702203</v>
      </c>
      <c r="N1365">
        <v>1</v>
      </c>
      <c r="O1365">
        <v>0.77336561743341403</v>
      </c>
      <c r="P1365" t="s">
        <v>4806</v>
      </c>
      <c r="Q1365" t="s">
        <v>4807</v>
      </c>
      <c r="R1365" t="s">
        <v>4808</v>
      </c>
      <c r="S1365" t="s">
        <v>4809</v>
      </c>
      <c r="T1365" t="s">
        <v>4810</v>
      </c>
      <c r="U1365" t="s">
        <v>4811</v>
      </c>
      <c r="V1365" t="s">
        <v>4812</v>
      </c>
      <c r="W1365" t="s">
        <v>4813</v>
      </c>
      <c r="X1365" t="s">
        <v>4812</v>
      </c>
      <c r="Y1365" t="s">
        <v>2454</v>
      </c>
      <c r="Z1365" t="s">
        <v>4814</v>
      </c>
      <c r="AA1365" t="s">
        <v>4815</v>
      </c>
      <c r="AB1365" t="s">
        <v>4814</v>
      </c>
      <c r="AC1365" t="s">
        <v>4816</v>
      </c>
      <c r="AD1365" t="s">
        <v>4817</v>
      </c>
      <c r="AE1365" t="s">
        <v>4818</v>
      </c>
      <c r="AF1365" t="s">
        <v>4820</v>
      </c>
    </row>
    <row r="1366" spans="1:32" hidden="1" x14ac:dyDescent="0.35">
      <c r="A1366">
        <v>2312</v>
      </c>
      <c r="B1366" t="s">
        <v>4805</v>
      </c>
      <c r="C1366" t="s">
        <v>72</v>
      </c>
      <c r="D1366" t="s">
        <v>34</v>
      </c>
      <c r="E1366">
        <v>417</v>
      </c>
      <c r="F1366">
        <v>5</v>
      </c>
      <c r="G1366">
        <v>5</v>
      </c>
      <c r="H1366">
        <v>1</v>
      </c>
      <c r="I1366">
        <v>1</v>
      </c>
      <c r="J1366">
        <v>0.85304470256951803</v>
      </c>
      <c r="K1366">
        <v>0.92156844307576902</v>
      </c>
      <c r="L1366">
        <v>0.88598360758244699</v>
      </c>
      <c r="M1366">
        <v>0.68280871670702203</v>
      </c>
      <c r="N1366">
        <v>1</v>
      </c>
      <c r="O1366">
        <v>0.77336561743341403</v>
      </c>
      <c r="P1366" t="s">
        <v>4806</v>
      </c>
      <c r="Q1366" t="s">
        <v>4807</v>
      </c>
      <c r="R1366" t="s">
        <v>4808</v>
      </c>
      <c r="S1366" t="s">
        <v>4809</v>
      </c>
      <c r="T1366" t="s">
        <v>4810</v>
      </c>
      <c r="U1366" t="s">
        <v>4811</v>
      </c>
      <c r="V1366" t="s">
        <v>4812</v>
      </c>
      <c r="W1366" t="s">
        <v>4813</v>
      </c>
      <c r="X1366" t="s">
        <v>4812</v>
      </c>
      <c r="Y1366" t="s">
        <v>2454</v>
      </c>
      <c r="Z1366" t="s">
        <v>4814</v>
      </c>
      <c r="AA1366" t="s">
        <v>4815</v>
      </c>
      <c r="AB1366" t="s">
        <v>4814</v>
      </c>
      <c r="AC1366" t="s">
        <v>4816</v>
      </c>
      <c r="AD1366" t="s">
        <v>4817</v>
      </c>
      <c r="AE1366" t="s">
        <v>4818</v>
      </c>
      <c r="AF1366" t="s">
        <v>4821</v>
      </c>
    </row>
    <row r="1367" spans="1:32" hidden="1" x14ac:dyDescent="0.35">
      <c r="A1367">
        <v>2313</v>
      </c>
      <c r="B1367" t="s">
        <v>4805</v>
      </c>
      <c r="C1367" t="s">
        <v>72</v>
      </c>
      <c r="D1367" t="s">
        <v>45</v>
      </c>
      <c r="E1367">
        <v>1679</v>
      </c>
      <c r="F1367">
        <v>5</v>
      </c>
      <c r="G1367">
        <v>5</v>
      </c>
      <c r="H1367">
        <v>1</v>
      </c>
      <c r="I1367">
        <v>1</v>
      </c>
      <c r="J1367">
        <v>0.85304470256951803</v>
      </c>
      <c r="K1367">
        <v>0.92156844307576902</v>
      </c>
      <c r="L1367">
        <v>0.88598360758244699</v>
      </c>
      <c r="M1367">
        <v>0.68280871670702203</v>
      </c>
      <c r="N1367">
        <v>1</v>
      </c>
      <c r="O1367">
        <v>0.77336561743341403</v>
      </c>
      <c r="P1367" t="s">
        <v>4806</v>
      </c>
      <c r="Q1367" t="s">
        <v>4807</v>
      </c>
      <c r="R1367" t="s">
        <v>4808</v>
      </c>
      <c r="S1367" t="s">
        <v>4809</v>
      </c>
      <c r="T1367" t="s">
        <v>4810</v>
      </c>
      <c r="U1367" t="s">
        <v>4811</v>
      </c>
      <c r="V1367" t="s">
        <v>4812</v>
      </c>
      <c r="W1367" t="s">
        <v>4813</v>
      </c>
      <c r="X1367" t="s">
        <v>4812</v>
      </c>
      <c r="Y1367" t="s">
        <v>2454</v>
      </c>
      <c r="Z1367" t="s">
        <v>4814</v>
      </c>
      <c r="AA1367" t="s">
        <v>4815</v>
      </c>
      <c r="AB1367" t="s">
        <v>4814</v>
      </c>
      <c r="AC1367" t="s">
        <v>4816</v>
      </c>
      <c r="AD1367" t="s">
        <v>4817</v>
      </c>
      <c r="AE1367" t="s">
        <v>4818</v>
      </c>
      <c r="AF1367" t="s">
        <v>4822</v>
      </c>
    </row>
    <row r="1368" spans="1:32" hidden="1" x14ac:dyDescent="0.35">
      <c r="A1368">
        <v>3519</v>
      </c>
      <c r="B1368" t="s">
        <v>7229</v>
      </c>
      <c r="C1368" t="s">
        <v>72</v>
      </c>
      <c r="D1368" t="s">
        <v>58</v>
      </c>
      <c r="E1368">
        <v>911</v>
      </c>
      <c r="F1368">
        <v>5</v>
      </c>
      <c r="G1368">
        <v>5</v>
      </c>
      <c r="H1368">
        <v>1</v>
      </c>
      <c r="I1368">
        <v>1</v>
      </c>
      <c r="J1368">
        <v>0.80634984561686096</v>
      </c>
      <c r="K1368">
        <v>0.91645035078251602</v>
      </c>
      <c r="L1368">
        <v>0.85788195336110895</v>
      </c>
      <c r="M1368">
        <v>0.58715596330275199</v>
      </c>
      <c r="N1368">
        <v>1</v>
      </c>
      <c r="O1368">
        <v>0.72788990825688105</v>
      </c>
      <c r="P1368" t="s">
        <v>3920</v>
      </c>
      <c r="Q1368" t="s">
        <v>3921</v>
      </c>
      <c r="R1368" t="s">
        <v>7230</v>
      </c>
      <c r="S1368" t="s">
        <v>7231</v>
      </c>
      <c r="T1368" t="s">
        <v>7232</v>
      </c>
      <c r="U1368" t="s">
        <v>7233</v>
      </c>
      <c r="V1368" t="s">
        <v>7234</v>
      </c>
      <c r="W1368" t="s">
        <v>7235</v>
      </c>
      <c r="X1368" t="s">
        <v>7234</v>
      </c>
      <c r="Y1368" t="s">
        <v>7236</v>
      </c>
      <c r="Z1368" t="s">
        <v>1953</v>
      </c>
      <c r="AA1368" t="s">
        <v>1954</v>
      </c>
      <c r="AB1368" t="s">
        <v>1953</v>
      </c>
      <c r="AC1368" t="s">
        <v>878</v>
      </c>
      <c r="AD1368" t="s">
        <v>191</v>
      </c>
      <c r="AE1368" t="s">
        <v>7237</v>
      </c>
      <c r="AF1368" t="s">
        <v>7238</v>
      </c>
    </row>
    <row r="1369" spans="1:32" hidden="1" x14ac:dyDescent="0.35">
      <c r="A1369">
        <v>3520</v>
      </c>
      <c r="B1369" t="s">
        <v>7229</v>
      </c>
      <c r="C1369" t="s">
        <v>72</v>
      </c>
      <c r="D1369" t="s">
        <v>60</v>
      </c>
      <c r="E1369">
        <v>1305</v>
      </c>
      <c r="F1369">
        <v>5</v>
      </c>
      <c r="G1369">
        <v>5</v>
      </c>
      <c r="H1369">
        <v>1</v>
      </c>
      <c r="I1369">
        <v>1</v>
      </c>
      <c r="J1369">
        <v>0.80634984561686096</v>
      </c>
      <c r="K1369">
        <v>0.91645035078251602</v>
      </c>
      <c r="L1369">
        <v>0.85788195336110895</v>
      </c>
      <c r="M1369">
        <v>0.58715596330275199</v>
      </c>
      <c r="N1369">
        <v>1</v>
      </c>
      <c r="O1369">
        <v>0.72788990825688105</v>
      </c>
      <c r="P1369" t="s">
        <v>3920</v>
      </c>
      <c r="Q1369" t="s">
        <v>3921</v>
      </c>
      <c r="R1369" t="s">
        <v>7230</v>
      </c>
      <c r="S1369" t="s">
        <v>7231</v>
      </c>
      <c r="T1369" t="s">
        <v>7232</v>
      </c>
      <c r="U1369" t="s">
        <v>7233</v>
      </c>
      <c r="V1369" t="s">
        <v>7234</v>
      </c>
      <c r="W1369" t="s">
        <v>7235</v>
      </c>
      <c r="X1369" t="s">
        <v>7234</v>
      </c>
      <c r="Y1369" t="s">
        <v>7236</v>
      </c>
      <c r="Z1369" t="s">
        <v>1953</v>
      </c>
      <c r="AA1369" t="s">
        <v>1954</v>
      </c>
      <c r="AB1369" t="s">
        <v>1953</v>
      </c>
      <c r="AC1369" t="s">
        <v>878</v>
      </c>
      <c r="AD1369" t="s">
        <v>191</v>
      </c>
      <c r="AE1369" t="s">
        <v>7237</v>
      </c>
      <c r="AF1369" t="s">
        <v>7239</v>
      </c>
    </row>
    <row r="1370" spans="1:32" hidden="1" x14ac:dyDescent="0.35">
      <c r="A1370">
        <v>3521</v>
      </c>
      <c r="B1370" t="s">
        <v>7229</v>
      </c>
      <c r="C1370" t="s">
        <v>72</v>
      </c>
      <c r="D1370" t="s">
        <v>62</v>
      </c>
      <c r="E1370">
        <v>1341</v>
      </c>
      <c r="F1370">
        <v>5</v>
      </c>
      <c r="G1370">
        <v>5</v>
      </c>
      <c r="H1370">
        <v>1</v>
      </c>
      <c r="I1370">
        <v>1</v>
      </c>
      <c r="J1370">
        <v>0.80634984561686096</v>
      </c>
      <c r="K1370">
        <v>0.91645035078251602</v>
      </c>
      <c r="L1370">
        <v>0.85788195336110895</v>
      </c>
      <c r="M1370">
        <v>0.58715596330275199</v>
      </c>
      <c r="N1370">
        <v>1</v>
      </c>
      <c r="O1370">
        <v>0.72788990825688105</v>
      </c>
      <c r="P1370" t="s">
        <v>3920</v>
      </c>
      <c r="Q1370" t="s">
        <v>3921</v>
      </c>
      <c r="R1370" t="s">
        <v>7230</v>
      </c>
      <c r="S1370" t="s">
        <v>7231</v>
      </c>
      <c r="T1370" t="s">
        <v>7232</v>
      </c>
      <c r="U1370" t="s">
        <v>7233</v>
      </c>
      <c r="V1370" t="s">
        <v>7234</v>
      </c>
      <c r="W1370" t="s">
        <v>7235</v>
      </c>
      <c r="X1370" t="s">
        <v>7234</v>
      </c>
      <c r="Y1370" t="s">
        <v>7236</v>
      </c>
      <c r="Z1370" t="s">
        <v>1953</v>
      </c>
      <c r="AA1370" t="s">
        <v>1954</v>
      </c>
      <c r="AB1370" t="s">
        <v>1953</v>
      </c>
      <c r="AC1370" t="s">
        <v>878</v>
      </c>
      <c r="AD1370" t="s">
        <v>191</v>
      </c>
      <c r="AE1370" t="s">
        <v>7237</v>
      </c>
      <c r="AF1370" t="s">
        <v>7239</v>
      </c>
    </row>
    <row r="1371" spans="1:32" hidden="1" x14ac:dyDescent="0.35">
      <c r="A1371">
        <v>3522</v>
      </c>
      <c r="B1371" t="s">
        <v>7229</v>
      </c>
      <c r="C1371" t="s">
        <v>72</v>
      </c>
      <c r="D1371" t="s">
        <v>34</v>
      </c>
      <c r="E1371">
        <v>1701</v>
      </c>
      <c r="F1371">
        <v>5</v>
      </c>
      <c r="G1371">
        <v>5</v>
      </c>
      <c r="H1371">
        <v>1</v>
      </c>
      <c r="I1371">
        <v>1</v>
      </c>
      <c r="J1371">
        <v>0.80634984561686096</v>
      </c>
      <c r="K1371">
        <v>0.91645035078251602</v>
      </c>
      <c r="L1371">
        <v>0.85788195336110895</v>
      </c>
      <c r="M1371">
        <v>0.58715596330275199</v>
      </c>
      <c r="N1371">
        <v>1</v>
      </c>
      <c r="O1371">
        <v>0.72788990825688105</v>
      </c>
      <c r="P1371" t="s">
        <v>3920</v>
      </c>
      <c r="Q1371" t="s">
        <v>3921</v>
      </c>
      <c r="R1371" t="s">
        <v>7230</v>
      </c>
      <c r="S1371" t="s">
        <v>7231</v>
      </c>
      <c r="T1371" t="s">
        <v>7232</v>
      </c>
      <c r="U1371" t="s">
        <v>7233</v>
      </c>
      <c r="V1371" t="s">
        <v>7234</v>
      </c>
      <c r="W1371" t="s">
        <v>7235</v>
      </c>
      <c r="X1371" t="s">
        <v>7234</v>
      </c>
      <c r="Y1371" t="s">
        <v>7236</v>
      </c>
      <c r="Z1371" t="s">
        <v>1953</v>
      </c>
      <c r="AA1371" t="s">
        <v>1954</v>
      </c>
      <c r="AB1371" t="s">
        <v>1953</v>
      </c>
      <c r="AC1371" t="s">
        <v>878</v>
      </c>
      <c r="AD1371" t="s">
        <v>191</v>
      </c>
      <c r="AE1371" t="s">
        <v>7237</v>
      </c>
      <c r="AF1371" t="s">
        <v>7240</v>
      </c>
    </row>
    <row r="1372" spans="1:32" hidden="1" x14ac:dyDescent="0.35">
      <c r="A1372">
        <v>3523</v>
      </c>
      <c r="B1372" t="s">
        <v>7229</v>
      </c>
      <c r="C1372" t="s">
        <v>72</v>
      </c>
      <c r="D1372" t="s">
        <v>45</v>
      </c>
      <c r="E1372">
        <v>1174</v>
      </c>
      <c r="F1372">
        <v>5</v>
      </c>
      <c r="G1372">
        <v>5</v>
      </c>
      <c r="H1372">
        <v>1</v>
      </c>
      <c r="I1372">
        <v>1</v>
      </c>
      <c r="J1372">
        <v>0.80634984561686096</v>
      </c>
      <c r="K1372">
        <v>0.91645035078251602</v>
      </c>
      <c r="L1372">
        <v>0.85788195336110895</v>
      </c>
      <c r="M1372">
        <v>0.58715596330275199</v>
      </c>
      <c r="N1372">
        <v>1</v>
      </c>
      <c r="O1372">
        <v>0.72788990825688105</v>
      </c>
      <c r="P1372" t="s">
        <v>3920</v>
      </c>
      <c r="Q1372" t="s">
        <v>3921</v>
      </c>
      <c r="R1372" t="s">
        <v>7230</v>
      </c>
      <c r="S1372" t="s">
        <v>7231</v>
      </c>
      <c r="T1372" t="s">
        <v>7232</v>
      </c>
      <c r="U1372" t="s">
        <v>7233</v>
      </c>
      <c r="V1372" t="s">
        <v>7234</v>
      </c>
      <c r="W1372" t="s">
        <v>7235</v>
      </c>
      <c r="X1372" t="s">
        <v>7234</v>
      </c>
      <c r="Y1372" t="s">
        <v>7236</v>
      </c>
      <c r="Z1372" t="s">
        <v>1953</v>
      </c>
      <c r="AA1372" t="s">
        <v>1954</v>
      </c>
      <c r="AB1372" t="s">
        <v>1953</v>
      </c>
      <c r="AC1372" t="s">
        <v>878</v>
      </c>
      <c r="AD1372" t="s">
        <v>191</v>
      </c>
      <c r="AE1372" t="s">
        <v>7237</v>
      </c>
      <c r="AF1372" t="s">
        <v>7241</v>
      </c>
    </row>
    <row r="1373" spans="1:32" hidden="1" x14ac:dyDescent="0.35">
      <c r="A1373">
        <v>319</v>
      </c>
      <c r="B1373" t="s">
        <v>554</v>
      </c>
      <c r="C1373" t="s">
        <v>72</v>
      </c>
      <c r="D1373" t="s">
        <v>60</v>
      </c>
      <c r="E1373">
        <v>1550</v>
      </c>
      <c r="F1373">
        <v>4</v>
      </c>
      <c r="G1373">
        <v>6</v>
      </c>
      <c r="H1373">
        <v>2</v>
      </c>
      <c r="I1373">
        <v>0</v>
      </c>
      <c r="J1373">
        <v>0.72920489296636104</v>
      </c>
      <c r="K1373">
        <v>0.94578841637665301</v>
      </c>
      <c r="L1373">
        <v>0.82349408452655104</v>
      </c>
      <c r="M1373">
        <v>0.54545454545454497</v>
      </c>
      <c r="N1373">
        <v>1</v>
      </c>
      <c r="O1373">
        <v>0.67316017316017296</v>
      </c>
      <c r="P1373" t="s">
        <v>555</v>
      </c>
      <c r="Q1373" t="s">
        <v>556</v>
      </c>
      <c r="R1373" t="s">
        <v>557</v>
      </c>
      <c r="S1373" t="s">
        <v>558</v>
      </c>
      <c r="T1373" t="s">
        <v>559</v>
      </c>
      <c r="U1373" t="s">
        <v>560</v>
      </c>
      <c r="V1373" t="s">
        <v>561</v>
      </c>
      <c r="W1373" t="s">
        <v>562</v>
      </c>
      <c r="AD1373" t="s">
        <v>410</v>
      </c>
      <c r="AE1373" t="s">
        <v>563</v>
      </c>
      <c r="AF1373" t="s">
        <v>564</v>
      </c>
    </row>
    <row r="1374" spans="1:32" hidden="1" x14ac:dyDescent="0.35">
      <c r="A1374">
        <v>320</v>
      </c>
      <c r="B1374" t="s">
        <v>554</v>
      </c>
      <c r="C1374" t="s">
        <v>72</v>
      </c>
      <c r="D1374" t="s">
        <v>60</v>
      </c>
      <c r="E1374">
        <v>1662</v>
      </c>
      <c r="F1374">
        <v>4</v>
      </c>
      <c r="G1374">
        <v>6</v>
      </c>
      <c r="H1374">
        <v>2</v>
      </c>
      <c r="I1374">
        <v>0</v>
      </c>
      <c r="J1374">
        <v>0.72920489296636104</v>
      </c>
      <c r="K1374">
        <v>0.94578841637665301</v>
      </c>
      <c r="L1374">
        <v>0.82349408452655104</v>
      </c>
      <c r="M1374">
        <v>0.54545454545454497</v>
      </c>
      <c r="N1374">
        <v>1</v>
      </c>
      <c r="O1374">
        <v>0.67316017316017296</v>
      </c>
      <c r="P1374" t="s">
        <v>555</v>
      </c>
      <c r="Q1374" t="s">
        <v>556</v>
      </c>
      <c r="R1374" t="s">
        <v>557</v>
      </c>
      <c r="S1374" t="s">
        <v>558</v>
      </c>
      <c r="T1374" t="s">
        <v>559</v>
      </c>
      <c r="U1374" t="s">
        <v>560</v>
      </c>
      <c r="V1374" t="s">
        <v>561</v>
      </c>
      <c r="W1374" t="s">
        <v>562</v>
      </c>
      <c r="AD1374" t="s">
        <v>410</v>
      </c>
      <c r="AE1374" t="s">
        <v>563</v>
      </c>
      <c r="AF1374" t="s">
        <v>565</v>
      </c>
    </row>
    <row r="1375" spans="1:32" hidden="1" x14ac:dyDescent="0.35">
      <c r="A1375">
        <v>321</v>
      </c>
      <c r="B1375" t="s">
        <v>554</v>
      </c>
      <c r="C1375" t="s">
        <v>72</v>
      </c>
      <c r="D1375" t="s">
        <v>62</v>
      </c>
      <c r="E1375">
        <v>1585</v>
      </c>
      <c r="F1375">
        <v>4</v>
      </c>
      <c r="G1375">
        <v>6</v>
      </c>
      <c r="H1375">
        <v>2</v>
      </c>
      <c r="I1375">
        <v>0</v>
      </c>
      <c r="J1375">
        <v>0.72920489296636104</v>
      </c>
      <c r="K1375">
        <v>0.94578841637665301</v>
      </c>
      <c r="L1375">
        <v>0.82349408452655104</v>
      </c>
      <c r="M1375">
        <v>0.54545454545454497</v>
      </c>
      <c r="N1375">
        <v>1</v>
      </c>
      <c r="O1375">
        <v>0.67316017316017296</v>
      </c>
      <c r="P1375" t="s">
        <v>555</v>
      </c>
      <c r="Q1375" t="s">
        <v>556</v>
      </c>
      <c r="R1375" t="s">
        <v>557</v>
      </c>
      <c r="S1375" t="s">
        <v>558</v>
      </c>
      <c r="T1375" t="s">
        <v>559</v>
      </c>
      <c r="U1375" t="s">
        <v>560</v>
      </c>
      <c r="V1375" t="s">
        <v>561</v>
      </c>
      <c r="W1375" t="s">
        <v>562</v>
      </c>
      <c r="AD1375" t="s">
        <v>410</v>
      </c>
      <c r="AE1375" t="s">
        <v>563</v>
      </c>
      <c r="AF1375" t="s">
        <v>566</v>
      </c>
    </row>
    <row r="1376" spans="1:32" hidden="1" x14ac:dyDescent="0.35">
      <c r="A1376">
        <v>322</v>
      </c>
      <c r="B1376" t="s">
        <v>554</v>
      </c>
      <c r="C1376" t="s">
        <v>72</v>
      </c>
      <c r="D1376" t="s">
        <v>62</v>
      </c>
      <c r="E1376">
        <v>1697</v>
      </c>
      <c r="F1376">
        <v>4</v>
      </c>
      <c r="G1376">
        <v>6</v>
      </c>
      <c r="H1376">
        <v>2</v>
      </c>
      <c r="I1376">
        <v>0</v>
      </c>
      <c r="J1376">
        <v>0.72920489296636104</v>
      </c>
      <c r="K1376">
        <v>0.94578841637665301</v>
      </c>
      <c r="L1376">
        <v>0.82349408452655104</v>
      </c>
      <c r="M1376">
        <v>0.54545454545454497</v>
      </c>
      <c r="N1376">
        <v>1</v>
      </c>
      <c r="O1376">
        <v>0.67316017316017296</v>
      </c>
      <c r="P1376" t="s">
        <v>555</v>
      </c>
      <c r="Q1376" t="s">
        <v>556</v>
      </c>
      <c r="R1376" t="s">
        <v>557</v>
      </c>
      <c r="S1376" t="s">
        <v>558</v>
      </c>
      <c r="T1376" t="s">
        <v>559</v>
      </c>
      <c r="U1376" t="s">
        <v>560</v>
      </c>
      <c r="V1376" t="s">
        <v>561</v>
      </c>
      <c r="W1376" t="s">
        <v>562</v>
      </c>
      <c r="AD1376" t="s">
        <v>410</v>
      </c>
      <c r="AE1376" t="s">
        <v>563</v>
      </c>
      <c r="AF1376" t="s">
        <v>567</v>
      </c>
    </row>
    <row r="1377" spans="1:32" hidden="1" x14ac:dyDescent="0.35">
      <c r="A1377">
        <v>323</v>
      </c>
      <c r="B1377" t="s">
        <v>554</v>
      </c>
      <c r="C1377" t="s">
        <v>72</v>
      </c>
      <c r="D1377" t="s">
        <v>34</v>
      </c>
      <c r="E1377">
        <v>585</v>
      </c>
      <c r="F1377">
        <v>4</v>
      </c>
      <c r="G1377">
        <v>6</v>
      </c>
      <c r="H1377">
        <v>2</v>
      </c>
      <c r="I1377">
        <v>0</v>
      </c>
      <c r="J1377">
        <v>0.72920489296636104</v>
      </c>
      <c r="K1377">
        <v>0.94578841637665301</v>
      </c>
      <c r="L1377">
        <v>0.82349408452655104</v>
      </c>
      <c r="M1377">
        <v>0.54545454545454497</v>
      </c>
      <c r="N1377">
        <v>1</v>
      </c>
      <c r="O1377">
        <v>0.67316017316017296</v>
      </c>
      <c r="P1377" t="s">
        <v>555</v>
      </c>
      <c r="Q1377" t="s">
        <v>556</v>
      </c>
      <c r="R1377" t="s">
        <v>557</v>
      </c>
      <c r="S1377" t="s">
        <v>558</v>
      </c>
      <c r="T1377" t="s">
        <v>559</v>
      </c>
      <c r="U1377" t="s">
        <v>560</v>
      </c>
      <c r="V1377" t="s">
        <v>561</v>
      </c>
      <c r="W1377" t="s">
        <v>562</v>
      </c>
      <c r="AD1377" t="s">
        <v>410</v>
      </c>
      <c r="AE1377" t="s">
        <v>563</v>
      </c>
      <c r="AF1377" t="s">
        <v>568</v>
      </c>
    </row>
    <row r="1378" spans="1:32" hidden="1" x14ac:dyDescent="0.35">
      <c r="A1378">
        <v>324</v>
      </c>
      <c r="B1378" t="s">
        <v>554</v>
      </c>
      <c r="C1378" t="s">
        <v>72</v>
      </c>
      <c r="D1378" t="s">
        <v>45</v>
      </c>
      <c r="E1378">
        <v>1851</v>
      </c>
      <c r="F1378">
        <v>4</v>
      </c>
      <c r="G1378">
        <v>6</v>
      </c>
      <c r="H1378">
        <v>2</v>
      </c>
      <c r="I1378">
        <v>0</v>
      </c>
      <c r="J1378">
        <v>0.72920489296636104</v>
      </c>
      <c r="K1378">
        <v>0.94578841637665301</v>
      </c>
      <c r="L1378">
        <v>0.82349408452655104</v>
      </c>
      <c r="M1378">
        <v>0.54545454545454497</v>
      </c>
      <c r="N1378">
        <v>1</v>
      </c>
      <c r="O1378">
        <v>0.67316017316017296</v>
      </c>
      <c r="P1378" t="s">
        <v>555</v>
      </c>
      <c r="Q1378" t="s">
        <v>556</v>
      </c>
      <c r="R1378" t="s">
        <v>557</v>
      </c>
      <c r="S1378" t="s">
        <v>558</v>
      </c>
      <c r="T1378" t="s">
        <v>559</v>
      </c>
      <c r="U1378" t="s">
        <v>560</v>
      </c>
      <c r="V1378" t="s">
        <v>561</v>
      </c>
      <c r="W1378" t="s">
        <v>562</v>
      </c>
      <c r="AD1378" t="s">
        <v>410</v>
      </c>
      <c r="AE1378" t="s">
        <v>563</v>
      </c>
      <c r="AF1378" t="s">
        <v>568</v>
      </c>
    </row>
    <row r="1379" spans="1:32" hidden="1" x14ac:dyDescent="0.35">
      <c r="A1379">
        <v>11892</v>
      </c>
      <c r="B1379" t="s">
        <v>24487</v>
      </c>
      <c r="C1379" t="s">
        <v>10130</v>
      </c>
      <c r="D1379" t="s">
        <v>58</v>
      </c>
      <c r="E1379">
        <v>579</v>
      </c>
      <c r="F1379">
        <v>1</v>
      </c>
      <c r="G1379">
        <v>1</v>
      </c>
      <c r="H1379">
        <v>1</v>
      </c>
      <c r="I1379">
        <v>0</v>
      </c>
      <c r="J1379">
        <v>1</v>
      </c>
      <c r="K1379">
        <v>1</v>
      </c>
      <c r="L1379">
        <v>1</v>
      </c>
      <c r="M1379">
        <v>0</v>
      </c>
      <c r="N1379">
        <v>0</v>
      </c>
      <c r="O1379">
        <v>0</v>
      </c>
      <c r="P1379" t="s">
        <v>6446</v>
      </c>
      <c r="Q1379" t="s">
        <v>2952</v>
      </c>
      <c r="R1379" t="s">
        <v>15141</v>
      </c>
      <c r="S1379" t="s">
        <v>15142</v>
      </c>
      <c r="T1379" t="s">
        <v>24488</v>
      </c>
      <c r="U1379" t="s">
        <v>24489</v>
      </c>
      <c r="V1379" t="s">
        <v>24490</v>
      </c>
      <c r="W1379" t="s">
        <v>24491</v>
      </c>
      <c r="X1379" t="s">
        <v>24490</v>
      </c>
      <c r="Y1379" t="s">
        <v>2190</v>
      </c>
      <c r="AD1379" t="s">
        <v>245</v>
      </c>
      <c r="AE1379" t="s">
        <v>24492</v>
      </c>
      <c r="AF1379" t="s">
        <v>24493</v>
      </c>
    </row>
    <row r="1380" spans="1:32" hidden="1" x14ac:dyDescent="0.35">
      <c r="A1380">
        <v>3514</v>
      </c>
      <c r="B1380" t="s">
        <v>7214</v>
      </c>
      <c r="C1380" t="s">
        <v>72</v>
      </c>
      <c r="D1380" t="s">
        <v>58</v>
      </c>
      <c r="E1380">
        <v>1359</v>
      </c>
      <c r="F1380">
        <v>5</v>
      </c>
      <c r="G1380">
        <v>5</v>
      </c>
      <c r="H1380">
        <v>1</v>
      </c>
      <c r="I1380">
        <v>1</v>
      </c>
      <c r="J1380">
        <v>0.78785158587672099</v>
      </c>
      <c r="K1380">
        <v>0.82934953807094902</v>
      </c>
      <c r="L1380">
        <v>0.80806813591661297</v>
      </c>
      <c r="M1380">
        <v>0.404358353510896</v>
      </c>
      <c r="N1380">
        <v>1</v>
      </c>
      <c r="O1380">
        <v>0.63656174334140403</v>
      </c>
      <c r="P1380" t="s">
        <v>7215</v>
      </c>
      <c r="Q1380" t="s">
        <v>7216</v>
      </c>
      <c r="R1380" t="s">
        <v>7217</v>
      </c>
      <c r="S1380" t="s">
        <v>7218</v>
      </c>
      <c r="T1380" t="s">
        <v>7219</v>
      </c>
      <c r="U1380" t="s">
        <v>7220</v>
      </c>
      <c r="V1380" t="s">
        <v>7221</v>
      </c>
      <c r="W1380" t="s">
        <v>7222</v>
      </c>
      <c r="X1380" t="s">
        <v>7221</v>
      </c>
      <c r="Y1380" t="s">
        <v>6133</v>
      </c>
      <c r="Z1380" t="s">
        <v>7223</v>
      </c>
      <c r="AA1380" t="s">
        <v>7224</v>
      </c>
      <c r="AB1380" t="s">
        <v>7223</v>
      </c>
      <c r="AC1380" t="s">
        <v>878</v>
      </c>
      <c r="AD1380" t="s">
        <v>219</v>
      </c>
      <c r="AE1380" t="s">
        <v>6137</v>
      </c>
      <c r="AF1380" t="s">
        <v>7225</v>
      </c>
    </row>
    <row r="1381" spans="1:32" hidden="1" x14ac:dyDescent="0.35">
      <c r="A1381">
        <v>3515</v>
      </c>
      <c r="B1381" t="s">
        <v>7214</v>
      </c>
      <c r="C1381" t="s">
        <v>72</v>
      </c>
      <c r="D1381" t="s">
        <v>60</v>
      </c>
      <c r="E1381">
        <v>1843</v>
      </c>
      <c r="F1381">
        <v>5</v>
      </c>
      <c r="G1381">
        <v>5</v>
      </c>
      <c r="H1381">
        <v>1</v>
      </c>
      <c r="I1381">
        <v>1</v>
      </c>
      <c r="J1381">
        <v>0.78785158587672099</v>
      </c>
      <c r="K1381">
        <v>0.82934953807094902</v>
      </c>
      <c r="L1381">
        <v>0.80806813591661297</v>
      </c>
      <c r="M1381">
        <v>0.404358353510896</v>
      </c>
      <c r="N1381">
        <v>1</v>
      </c>
      <c r="O1381">
        <v>0.63656174334140403</v>
      </c>
      <c r="P1381" t="s">
        <v>7215</v>
      </c>
      <c r="Q1381" t="s">
        <v>7216</v>
      </c>
      <c r="R1381" t="s">
        <v>7217</v>
      </c>
      <c r="S1381" t="s">
        <v>7218</v>
      </c>
      <c r="T1381" t="s">
        <v>7219</v>
      </c>
      <c r="U1381" t="s">
        <v>7220</v>
      </c>
      <c r="V1381" t="s">
        <v>7221</v>
      </c>
      <c r="W1381" t="s">
        <v>7222</v>
      </c>
      <c r="X1381" t="s">
        <v>7221</v>
      </c>
      <c r="Y1381" t="s">
        <v>6133</v>
      </c>
      <c r="Z1381" t="s">
        <v>7223</v>
      </c>
      <c r="AA1381" t="s">
        <v>7224</v>
      </c>
      <c r="AB1381" t="s">
        <v>7223</v>
      </c>
      <c r="AC1381" t="s">
        <v>878</v>
      </c>
      <c r="AD1381" t="s">
        <v>219</v>
      </c>
      <c r="AE1381" t="s">
        <v>6137</v>
      </c>
      <c r="AF1381" t="s">
        <v>7226</v>
      </c>
    </row>
    <row r="1382" spans="1:32" hidden="1" x14ac:dyDescent="0.35">
      <c r="A1382">
        <v>3516</v>
      </c>
      <c r="B1382" t="s">
        <v>7214</v>
      </c>
      <c r="C1382" t="s">
        <v>72</v>
      </c>
      <c r="D1382" t="s">
        <v>62</v>
      </c>
      <c r="E1382">
        <v>1881</v>
      </c>
      <c r="F1382">
        <v>5</v>
      </c>
      <c r="G1382">
        <v>5</v>
      </c>
      <c r="H1382">
        <v>1</v>
      </c>
      <c r="I1382">
        <v>1</v>
      </c>
      <c r="J1382">
        <v>0.78785158587672099</v>
      </c>
      <c r="K1382">
        <v>0.82934953807094902</v>
      </c>
      <c r="L1382">
        <v>0.80806813591661297</v>
      </c>
      <c r="M1382">
        <v>0.404358353510896</v>
      </c>
      <c r="N1382">
        <v>1</v>
      </c>
      <c r="O1382">
        <v>0.63656174334140403</v>
      </c>
      <c r="P1382" t="s">
        <v>7215</v>
      </c>
      <c r="Q1382" t="s">
        <v>7216</v>
      </c>
      <c r="R1382" t="s">
        <v>7217</v>
      </c>
      <c r="S1382" t="s">
        <v>7218</v>
      </c>
      <c r="T1382" t="s">
        <v>7219</v>
      </c>
      <c r="U1382" t="s">
        <v>7220</v>
      </c>
      <c r="V1382" t="s">
        <v>7221</v>
      </c>
      <c r="W1382" t="s">
        <v>7222</v>
      </c>
      <c r="X1382" t="s">
        <v>7221</v>
      </c>
      <c r="Y1382" t="s">
        <v>6133</v>
      </c>
      <c r="Z1382" t="s">
        <v>7223</v>
      </c>
      <c r="AA1382" t="s">
        <v>7224</v>
      </c>
      <c r="AB1382" t="s">
        <v>7223</v>
      </c>
      <c r="AC1382" t="s">
        <v>878</v>
      </c>
      <c r="AD1382" t="s">
        <v>219</v>
      </c>
      <c r="AE1382" t="s">
        <v>6137</v>
      </c>
      <c r="AF1382" t="s">
        <v>7226</v>
      </c>
    </row>
    <row r="1383" spans="1:32" hidden="1" x14ac:dyDescent="0.35">
      <c r="A1383">
        <v>3517</v>
      </c>
      <c r="B1383" t="s">
        <v>7214</v>
      </c>
      <c r="C1383" t="s">
        <v>72</v>
      </c>
      <c r="D1383" t="s">
        <v>34</v>
      </c>
      <c r="E1383">
        <v>2197</v>
      </c>
      <c r="F1383">
        <v>5</v>
      </c>
      <c r="G1383">
        <v>5</v>
      </c>
      <c r="H1383">
        <v>1</v>
      </c>
      <c r="I1383">
        <v>1</v>
      </c>
      <c r="J1383">
        <v>0.78785158587672099</v>
      </c>
      <c r="K1383">
        <v>0.82934953807094902</v>
      </c>
      <c r="L1383">
        <v>0.80806813591661297</v>
      </c>
      <c r="M1383">
        <v>0.404358353510896</v>
      </c>
      <c r="N1383">
        <v>1</v>
      </c>
      <c r="O1383">
        <v>0.63656174334140403</v>
      </c>
      <c r="P1383" t="s">
        <v>7215</v>
      </c>
      <c r="Q1383" t="s">
        <v>7216</v>
      </c>
      <c r="R1383" t="s">
        <v>7217</v>
      </c>
      <c r="S1383" t="s">
        <v>7218</v>
      </c>
      <c r="T1383" t="s">
        <v>7219</v>
      </c>
      <c r="U1383" t="s">
        <v>7220</v>
      </c>
      <c r="V1383" t="s">
        <v>7221</v>
      </c>
      <c r="W1383" t="s">
        <v>7222</v>
      </c>
      <c r="X1383" t="s">
        <v>7221</v>
      </c>
      <c r="Y1383" t="s">
        <v>6133</v>
      </c>
      <c r="Z1383" t="s">
        <v>7223</v>
      </c>
      <c r="AA1383" t="s">
        <v>7224</v>
      </c>
      <c r="AB1383" t="s">
        <v>7223</v>
      </c>
      <c r="AC1383" t="s">
        <v>878</v>
      </c>
      <c r="AD1383" t="s">
        <v>219</v>
      </c>
      <c r="AE1383" t="s">
        <v>6137</v>
      </c>
      <c r="AF1383" t="s">
        <v>7227</v>
      </c>
    </row>
    <row r="1384" spans="1:32" hidden="1" x14ac:dyDescent="0.35">
      <c r="A1384">
        <v>3518</v>
      </c>
      <c r="B1384" t="s">
        <v>7214</v>
      </c>
      <c r="C1384" t="s">
        <v>72</v>
      </c>
      <c r="D1384" t="s">
        <v>45</v>
      </c>
      <c r="E1384">
        <v>677</v>
      </c>
      <c r="F1384">
        <v>5</v>
      </c>
      <c r="G1384">
        <v>5</v>
      </c>
      <c r="H1384">
        <v>1</v>
      </c>
      <c r="I1384">
        <v>1</v>
      </c>
      <c r="J1384">
        <v>0.78785158587672099</v>
      </c>
      <c r="K1384">
        <v>0.82934953807094902</v>
      </c>
      <c r="L1384">
        <v>0.80806813591661297</v>
      </c>
      <c r="M1384">
        <v>0.404358353510896</v>
      </c>
      <c r="N1384">
        <v>1</v>
      </c>
      <c r="O1384">
        <v>0.63656174334140403</v>
      </c>
      <c r="P1384" t="s">
        <v>7215</v>
      </c>
      <c r="Q1384" t="s">
        <v>7216</v>
      </c>
      <c r="R1384" t="s">
        <v>7217</v>
      </c>
      <c r="S1384" t="s">
        <v>7218</v>
      </c>
      <c r="T1384" t="s">
        <v>7219</v>
      </c>
      <c r="U1384" t="s">
        <v>7220</v>
      </c>
      <c r="V1384" t="s">
        <v>7221</v>
      </c>
      <c r="W1384" t="s">
        <v>7222</v>
      </c>
      <c r="X1384" t="s">
        <v>7221</v>
      </c>
      <c r="Y1384" t="s">
        <v>6133</v>
      </c>
      <c r="Z1384" t="s">
        <v>7223</v>
      </c>
      <c r="AA1384" t="s">
        <v>7224</v>
      </c>
      <c r="AB1384" t="s">
        <v>7223</v>
      </c>
      <c r="AC1384" t="s">
        <v>878</v>
      </c>
      <c r="AD1384" t="s">
        <v>219</v>
      </c>
      <c r="AE1384" t="s">
        <v>6137</v>
      </c>
      <c r="AF1384" t="s">
        <v>7228</v>
      </c>
    </row>
    <row r="1385" spans="1:32" hidden="1" x14ac:dyDescent="0.35">
      <c r="A1385">
        <v>4174</v>
      </c>
      <c r="B1385" t="s">
        <v>8644</v>
      </c>
      <c r="C1385" t="s">
        <v>72</v>
      </c>
      <c r="D1385" t="s">
        <v>58</v>
      </c>
      <c r="E1385">
        <v>1662</v>
      </c>
      <c r="F1385">
        <v>5</v>
      </c>
      <c r="G1385">
        <v>5</v>
      </c>
      <c r="H1385">
        <v>1</v>
      </c>
      <c r="I1385">
        <v>1</v>
      </c>
      <c r="J1385">
        <v>0.74713896457765705</v>
      </c>
      <c r="K1385">
        <v>0.96165885918985905</v>
      </c>
      <c r="L1385">
        <v>0.84093366030619898</v>
      </c>
      <c r="M1385">
        <v>0.55497382198952905</v>
      </c>
      <c r="N1385">
        <v>0.99476439790575899</v>
      </c>
      <c r="O1385">
        <v>0.66910994764397902</v>
      </c>
      <c r="P1385" t="s">
        <v>8645</v>
      </c>
      <c r="Q1385" t="s">
        <v>8646</v>
      </c>
      <c r="R1385" t="s">
        <v>8647</v>
      </c>
      <c r="S1385" t="s">
        <v>8648</v>
      </c>
      <c r="T1385" t="s">
        <v>8649</v>
      </c>
      <c r="U1385" t="s">
        <v>8650</v>
      </c>
      <c r="V1385" t="s">
        <v>8651</v>
      </c>
      <c r="W1385" t="s">
        <v>8652</v>
      </c>
      <c r="X1385" t="s">
        <v>8651</v>
      </c>
      <c r="Y1385" t="s">
        <v>5826</v>
      </c>
      <c r="AD1385" t="s">
        <v>219</v>
      </c>
      <c r="AE1385" t="s">
        <v>8653</v>
      </c>
      <c r="AF1385" t="s">
        <v>8654</v>
      </c>
    </row>
    <row r="1386" spans="1:32" hidden="1" x14ac:dyDescent="0.35">
      <c r="A1386">
        <v>4175</v>
      </c>
      <c r="B1386" t="s">
        <v>8644</v>
      </c>
      <c r="C1386" t="s">
        <v>72</v>
      </c>
      <c r="D1386" t="s">
        <v>60</v>
      </c>
      <c r="E1386">
        <v>2040</v>
      </c>
      <c r="F1386">
        <v>5</v>
      </c>
      <c r="G1386">
        <v>5</v>
      </c>
      <c r="H1386">
        <v>1</v>
      </c>
      <c r="I1386">
        <v>1</v>
      </c>
      <c r="J1386">
        <v>0.74713896457765705</v>
      </c>
      <c r="K1386">
        <v>0.96165885918985905</v>
      </c>
      <c r="L1386">
        <v>0.84093366030619898</v>
      </c>
      <c r="M1386">
        <v>0.55497382198952905</v>
      </c>
      <c r="N1386">
        <v>0.99476439790575899</v>
      </c>
      <c r="O1386">
        <v>0.66910994764397902</v>
      </c>
      <c r="P1386" t="s">
        <v>8645</v>
      </c>
      <c r="Q1386" t="s">
        <v>8646</v>
      </c>
      <c r="R1386" t="s">
        <v>8647</v>
      </c>
      <c r="S1386" t="s">
        <v>8648</v>
      </c>
      <c r="T1386" t="s">
        <v>8649</v>
      </c>
      <c r="U1386" t="s">
        <v>8650</v>
      </c>
      <c r="V1386" t="s">
        <v>8651</v>
      </c>
      <c r="W1386" t="s">
        <v>8652</v>
      </c>
      <c r="X1386" t="s">
        <v>8651</v>
      </c>
      <c r="Y1386" t="s">
        <v>5826</v>
      </c>
      <c r="AD1386" t="s">
        <v>219</v>
      </c>
      <c r="AE1386" t="s">
        <v>8653</v>
      </c>
      <c r="AF1386" t="s">
        <v>8655</v>
      </c>
    </row>
    <row r="1387" spans="1:32" hidden="1" x14ac:dyDescent="0.35">
      <c r="A1387">
        <v>4176</v>
      </c>
      <c r="B1387" t="s">
        <v>8644</v>
      </c>
      <c r="C1387" t="s">
        <v>72</v>
      </c>
      <c r="D1387" t="s">
        <v>62</v>
      </c>
      <c r="E1387">
        <v>2079</v>
      </c>
      <c r="F1387">
        <v>5</v>
      </c>
      <c r="G1387">
        <v>5</v>
      </c>
      <c r="H1387">
        <v>1</v>
      </c>
      <c r="I1387">
        <v>1</v>
      </c>
      <c r="J1387">
        <v>0.74713896457765705</v>
      </c>
      <c r="K1387">
        <v>0.96165885918985905</v>
      </c>
      <c r="L1387">
        <v>0.84093366030619898</v>
      </c>
      <c r="M1387">
        <v>0.55497382198952905</v>
      </c>
      <c r="N1387">
        <v>0.99476439790575899</v>
      </c>
      <c r="O1387">
        <v>0.66910994764397902</v>
      </c>
      <c r="P1387" t="s">
        <v>8645</v>
      </c>
      <c r="Q1387" t="s">
        <v>8646</v>
      </c>
      <c r="R1387" t="s">
        <v>8647</v>
      </c>
      <c r="S1387" t="s">
        <v>8648</v>
      </c>
      <c r="T1387" t="s">
        <v>8649</v>
      </c>
      <c r="U1387" t="s">
        <v>8650</v>
      </c>
      <c r="V1387" t="s">
        <v>8651</v>
      </c>
      <c r="W1387" t="s">
        <v>8652</v>
      </c>
      <c r="X1387" t="s">
        <v>8651</v>
      </c>
      <c r="Y1387" t="s">
        <v>5826</v>
      </c>
      <c r="AD1387" t="s">
        <v>219</v>
      </c>
      <c r="AE1387" t="s">
        <v>8653</v>
      </c>
      <c r="AF1387" t="s">
        <v>8656</v>
      </c>
    </row>
    <row r="1388" spans="1:32" hidden="1" x14ac:dyDescent="0.35">
      <c r="A1388">
        <v>4177</v>
      </c>
      <c r="B1388" t="s">
        <v>8644</v>
      </c>
      <c r="C1388" t="s">
        <v>72</v>
      </c>
      <c r="D1388" t="s">
        <v>34</v>
      </c>
      <c r="E1388">
        <v>2403</v>
      </c>
      <c r="F1388">
        <v>5</v>
      </c>
      <c r="G1388">
        <v>5</v>
      </c>
      <c r="H1388">
        <v>1</v>
      </c>
      <c r="I1388">
        <v>1</v>
      </c>
      <c r="J1388">
        <v>0.74713896457765705</v>
      </c>
      <c r="K1388">
        <v>0.96165885918985905</v>
      </c>
      <c r="L1388">
        <v>0.84093366030619898</v>
      </c>
      <c r="M1388">
        <v>0.55497382198952905</v>
      </c>
      <c r="N1388">
        <v>0.99476439790575899</v>
      </c>
      <c r="O1388">
        <v>0.66910994764397902</v>
      </c>
      <c r="P1388" t="s">
        <v>8645</v>
      </c>
      <c r="Q1388" t="s">
        <v>8646</v>
      </c>
      <c r="R1388" t="s">
        <v>8647</v>
      </c>
      <c r="S1388" t="s">
        <v>8648</v>
      </c>
      <c r="T1388" t="s">
        <v>8649</v>
      </c>
      <c r="U1388" t="s">
        <v>8650</v>
      </c>
      <c r="V1388" t="s">
        <v>8651</v>
      </c>
      <c r="W1388" t="s">
        <v>8652</v>
      </c>
      <c r="X1388" t="s">
        <v>8651</v>
      </c>
      <c r="Y1388" t="s">
        <v>5826</v>
      </c>
      <c r="AD1388" t="s">
        <v>219</v>
      </c>
      <c r="AE1388" t="s">
        <v>8653</v>
      </c>
      <c r="AF1388" t="s">
        <v>8657</v>
      </c>
    </row>
    <row r="1389" spans="1:32" hidden="1" x14ac:dyDescent="0.35">
      <c r="A1389">
        <v>4178</v>
      </c>
      <c r="B1389" t="s">
        <v>8644</v>
      </c>
      <c r="C1389" t="s">
        <v>72</v>
      </c>
      <c r="D1389" t="s">
        <v>45</v>
      </c>
      <c r="E1389">
        <v>495</v>
      </c>
      <c r="F1389">
        <v>5</v>
      </c>
      <c r="G1389">
        <v>5</v>
      </c>
      <c r="H1389">
        <v>1</v>
      </c>
      <c r="I1389">
        <v>1</v>
      </c>
      <c r="J1389">
        <v>0.74713896457765705</v>
      </c>
      <c r="K1389">
        <v>0.96165885918985905</v>
      </c>
      <c r="L1389">
        <v>0.84093366030619898</v>
      </c>
      <c r="M1389">
        <v>0.55497382198952905</v>
      </c>
      <c r="N1389">
        <v>0.99476439790575899</v>
      </c>
      <c r="O1389">
        <v>0.66910994764397902</v>
      </c>
      <c r="P1389" t="s">
        <v>8645</v>
      </c>
      <c r="Q1389" t="s">
        <v>8646</v>
      </c>
      <c r="R1389" t="s">
        <v>8647</v>
      </c>
      <c r="S1389" t="s">
        <v>8648</v>
      </c>
      <c r="T1389" t="s">
        <v>8649</v>
      </c>
      <c r="U1389" t="s">
        <v>8650</v>
      </c>
      <c r="V1389" t="s">
        <v>8651</v>
      </c>
      <c r="W1389" t="s">
        <v>8652</v>
      </c>
      <c r="X1389" t="s">
        <v>8651</v>
      </c>
      <c r="Y1389" t="s">
        <v>5826</v>
      </c>
      <c r="AD1389" t="s">
        <v>219</v>
      </c>
      <c r="AE1389" t="s">
        <v>8653</v>
      </c>
      <c r="AF1389" t="s">
        <v>8658</v>
      </c>
    </row>
    <row r="1390" spans="1:32" hidden="1" x14ac:dyDescent="0.35">
      <c r="A1390">
        <v>4474</v>
      </c>
      <c r="B1390" t="s">
        <v>9315</v>
      </c>
      <c r="C1390" t="s">
        <v>72</v>
      </c>
      <c r="D1390" t="s">
        <v>58</v>
      </c>
      <c r="E1390">
        <v>1440</v>
      </c>
      <c r="F1390">
        <v>5</v>
      </c>
      <c r="G1390">
        <v>5</v>
      </c>
      <c r="H1390">
        <v>1</v>
      </c>
      <c r="I1390">
        <v>1</v>
      </c>
      <c r="J1390">
        <v>0.74905736060970696</v>
      </c>
      <c r="K1390">
        <v>0.95400875250448502</v>
      </c>
      <c r="L1390">
        <v>0.839200865599812</v>
      </c>
      <c r="M1390">
        <v>0.557339449541284</v>
      </c>
      <c r="N1390">
        <v>0.98394495412843996</v>
      </c>
      <c r="O1390">
        <v>0.65642201834862401</v>
      </c>
      <c r="P1390" t="s">
        <v>4551</v>
      </c>
      <c r="Q1390" t="s">
        <v>4552</v>
      </c>
      <c r="R1390" t="s">
        <v>8647</v>
      </c>
      <c r="S1390" t="s">
        <v>8648</v>
      </c>
      <c r="V1390" t="s">
        <v>9316</v>
      </c>
      <c r="W1390" t="s">
        <v>9317</v>
      </c>
      <c r="X1390" t="s">
        <v>9316</v>
      </c>
      <c r="Y1390" t="s">
        <v>875</v>
      </c>
      <c r="AF1390" t="e">
        <f>-MNSTV--SIRRFGHTVINHTVEVPWDHFASGEQQVLSVFAREIVADGNEDAPCVLYLQGGPGFPAPRPVGASGWVGELLKHYRVVLLDQRGTGRS-------NAQVLDAQHLKLLRADQIVEDAEAVRRELGVDQWALFGQSFGGFCINTYSSRHPESISHAMLTGGLPDISAGVDEVYRRTFAQVAARSEQFYAQFPFAEVAIREVCHHLDNAEELLPTGERLSSRRFRTIGIALGRGTGFDTLGYLLEDPFVVVGGEKRLRQDFLVDVGARVSFAGHPLYALVHEAIYGGTVPG--ATAWSAHRVREQVEGFEEQADPRTAGK-FYLTGEHIFPWQFDEDPALREHKQAAEELAAFDQWTSLYDAATLKDRA-PVAAAAVYLDDIFVPFSLSMATADQWRDLRPWVTNQFQHDGIGQDGAGIVGRLREMILER</f>
        <v>#NAME?</v>
      </c>
    </row>
    <row r="1391" spans="1:32" hidden="1" x14ac:dyDescent="0.35">
      <c r="A1391">
        <v>4475</v>
      </c>
      <c r="B1391" t="s">
        <v>9315</v>
      </c>
      <c r="C1391" t="s">
        <v>72</v>
      </c>
      <c r="D1391" t="s">
        <v>60</v>
      </c>
      <c r="E1391">
        <v>1922</v>
      </c>
      <c r="F1391">
        <v>5</v>
      </c>
      <c r="G1391">
        <v>5</v>
      </c>
      <c r="H1391">
        <v>1</v>
      </c>
      <c r="I1391">
        <v>1</v>
      </c>
      <c r="J1391">
        <v>0.74905736060970696</v>
      </c>
      <c r="K1391">
        <v>0.95400875250448502</v>
      </c>
      <c r="L1391">
        <v>0.839200865599812</v>
      </c>
      <c r="M1391">
        <v>0.557339449541284</v>
      </c>
      <c r="N1391">
        <v>0.98394495412843996</v>
      </c>
      <c r="O1391">
        <v>0.65642201834862401</v>
      </c>
      <c r="P1391" t="s">
        <v>4551</v>
      </c>
      <c r="Q1391" t="s">
        <v>4552</v>
      </c>
      <c r="R1391" t="s">
        <v>8647</v>
      </c>
      <c r="S1391" t="s">
        <v>8648</v>
      </c>
      <c r="V1391" t="s">
        <v>9316</v>
      </c>
      <c r="W1391" t="s">
        <v>9317</v>
      </c>
      <c r="X1391" t="s">
        <v>9316</v>
      </c>
      <c r="Y1391" t="s">
        <v>875</v>
      </c>
      <c r="AF1391" t="s">
        <v>9318</v>
      </c>
    </row>
    <row r="1392" spans="1:32" hidden="1" x14ac:dyDescent="0.35">
      <c r="A1392">
        <v>4476</v>
      </c>
      <c r="B1392" t="s">
        <v>9315</v>
      </c>
      <c r="C1392" t="s">
        <v>72</v>
      </c>
      <c r="D1392" t="s">
        <v>62</v>
      </c>
      <c r="E1392">
        <v>1962</v>
      </c>
      <c r="F1392">
        <v>5</v>
      </c>
      <c r="G1392">
        <v>5</v>
      </c>
      <c r="H1392">
        <v>1</v>
      </c>
      <c r="I1392">
        <v>1</v>
      </c>
      <c r="J1392">
        <v>0.74905736060970696</v>
      </c>
      <c r="K1392">
        <v>0.95400875250448502</v>
      </c>
      <c r="L1392">
        <v>0.839200865599812</v>
      </c>
      <c r="M1392">
        <v>0.557339449541284</v>
      </c>
      <c r="N1392">
        <v>0.98394495412843996</v>
      </c>
      <c r="O1392">
        <v>0.65642201834862401</v>
      </c>
      <c r="P1392" t="s">
        <v>4551</v>
      </c>
      <c r="Q1392" t="s">
        <v>4552</v>
      </c>
      <c r="R1392" t="s">
        <v>8647</v>
      </c>
      <c r="S1392" t="s">
        <v>8648</v>
      </c>
      <c r="V1392" t="s">
        <v>9316</v>
      </c>
      <c r="W1392" t="s">
        <v>9317</v>
      </c>
      <c r="X1392" t="s">
        <v>9316</v>
      </c>
      <c r="Y1392" t="s">
        <v>875</v>
      </c>
      <c r="AF1392" t="s">
        <v>9319</v>
      </c>
    </row>
    <row r="1393" spans="1:32" hidden="1" x14ac:dyDescent="0.35">
      <c r="A1393">
        <v>4477</v>
      </c>
      <c r="B1393" t="s">
        <v>9315</v>
      </c>
      <c r="C1393" t="s">
        <v>72</v>
      </c>
      <c r="D1393" t="s">
        <v>34</v>
      </c>
      <c r="E1393">
        <v>2290</v>
      </c>
      <c r="F1393">
        <v>5</v>
      </c>
      <c r="G1393">
        <v>5</v>
      </c>
      <c r="H1393">
        <v>1</v>
      </c>
      <c r="I1393">
        <v>1</v>
      </c>
      <c r="J1393">
        <v>0.74905736060970696</v>
      </c>
      <c r="K1393">
        <v>0.95400875250448502</v>
      </c>
      <c r="L1393">
        <v>0.839200865599812</v>
      </c>
      <c r="M1393">
        <v>0.557339449541284</v>
      </c>
      <c r="N1393">
        <v>0.98394495412843996</v>
      </c>
      <c r="O1393">
        <v>0.65642201834862401</v>
      </c>
      <c r="P1393" t="s">
        <v>4551</v>
      </c>
      <c r="Q1393" t="s">
        <v>4552</v>
      </c>
      <c r="R1393" t="s">
        <v>8647</v>
      </c>
      <c r="S1393" t="s">
        <v>8648</v>
      </c>
      <c r="V1393" t="s">
        <v>9316</v>
      </c>
      <c r="W1393" t="s">
        <v>9317</v>
      </c>
      <c r="X1393" t="s">
        <v>9316</v>
      </c>
      <c r="Y1393" t="s">
        <v>875</v>
      </c>
      <c r="AF1393" t="s">
        <v>9320</v>
      </c>
    </row>
    <row r="1394" spans="1:32" hidden="1" x14ac:dyDescent="0.35">
      <c r="A1394">
        <v>4478</v>
      </c>
      <c r="B1394" t="s">
        <v>9315</v>
      </c>
      <c r="C1394" t="s">
        <v>72</v>
      </c>
      <c r="D1394" t="s">
        <v>45</v>
      </c>
      <c r="E1394">
        <v>587</v>
      </c>
      <c r="F1394">
        <v>5</v>
      </c>
      <c r="G1394">
        <v>5</v>
      </c>
      <c r="H1394">
        <v>1</v>
      </c>
      <c r="I1394">
        <v>1</v>
      </c>
      <c r="J1394">
        <v>0.74905736060970696</v>
      </c>
      <c r="K1394">
        <v>0.95400875250448502</v>
      </c>
      <c r="L1394">
        <v>0.839200865599812</v>
      </c>
      <c r="M1394">
        <v>0.557339449541284</v>
      </c>
      <c r="N1394">
        <v>0.98394495412843996</v>
      </c>
      <c r="O1394">
        <v>0.65642201834862401</v>
      </c>
      <c r="P1394" t="s">
        <v>4551</v>
      </c>
      <c r="Q1394" t="s">
        <v>4552</v>
      </c>
      <c r="R1394" t="s">
        <v>8647</v>
      </c>
      <c r="S1394" t="s">
        <v>8648</v>
      </c>
      <c r="V1394" t="s">
        <v>9316</v>
      </c>
      <c r="W1394" t="s">
        <v>9317</v>
      </c>
      <c r="X1394" t="s">
        <v>9316</v>
      </c>
      <c r="Y1394" t="s">
        <v>875</v>
      </c>
      <c r="AF1394" t="s">
        <v>9321</v>
      </c>
    </row>
    <row r="1395" spans="1:32" hidden="1" x14ac:dyDescent="0.35">
      <c r="A1395">
        <v>11895</v>
      </c>
      <c r="B1395" t="s">
        <v>24498</v>
      </c>
      <c r="C1395" t="s">
        <v>10130</v>
      </c>
      <c r="D1395" t="s">
        <v>58</v>
      </c>
      <c r="E1395">
        <v>1860</v>
      </c>
      <c r="F1395">
        <v>1</v>
      </c>
      <c r="G1395">
        <v>1</v>
      </c>
      <c r="H1395">
        <v>1</v>
      </c>
      <c r="I1395">
        <v>0</v>
      </c>
      <c r="J1395">
        <v>1</v>
      </c>
      <c r="K1395">
        <v>1</v>
      </c>
      <c r="L1395">
        <v>1</v>
      </c>
      <c r="M1395">
        <v>0</v>
      </c>
      <c r="N1395">
        <v>0</v>
      </c>
      <c r="O1395">
        <v>0</v>
      </c>
      <c r="P1395" t="s">
        <v>14058</v>
      </c>
      <c r="Q1395" t="s">
        <v>3188</v>
      </c>
      <c r="R1395" t="s">
        <v>8647</v>
      </c>
      <c r="S1395" t="s">
        <v>8648</v>
      </c>
      <c r="V1395" t="s">
        <v>14061</v>
      </c>
      <c r="W1395" t="s">
        <v>14062</v>
      </c>
      <c r="AF1395" t="s">
        <v>24499</v>
      </c>
    </row>
    <row r="1396" spans="1:32" hidden="1" x14ac:dyDescent="0.35">
      <c r="A1396">
        <v>4524</v>
      </c>
      <c r="B1396" t="s">
        <v>9432</v>
      </c>
      <c r="C1396" t="s">
        <v>72</v>
      </c>
      <c r="D1396" t="s">
        <v>58</v>
      </c>
      <c r="E1396">
        <v>1066</v>
      </c>
      <c r="F1396">
        <v>5</v>
      </c>
      <c r="G1396">
        <v>5</v>
      </c>
      <c r="H1396">
        <v>1</v>
      </c>
      <c r="I1396">
        <v>1</v>
      </c>
      <c r="J1396">
        <v>0.798522307473714</v>
      </c>
      <c r="K1396">
        <v>0.98581356593270497</v>
      </c>
      <c r="L1396">
        <v>0.88233850491910604</v>
      </c>
      <c r="M1396">
        <v>0.626050420168067</v>
      </c>
      <c r="N1396">
        <v>0.995798319327731</v>
      </c>
      <c r="O1396">
        <v>0.74369747899159699</v>
      </c>
      <c r="P1396" t="s">
        <v>9433</v>
      </c>
      <c r="Q1396" t="s">
        <v>9434</v>
      </c>
      <c r="R1396" t="s">
        <v>9435</v>
      </c>
      <c r="S1396" t="s">
        <v>9436</v>
      </c>
      <c r="T1396" t="s">
        <v>9437</v>
      </c>
      <c r="U1396" t="s">
        <v>9438</v>
      </c>
      <c r="V1396" t="s">
        <v>9439</v>
      </c>
      <c r="W1396" t="s">
        <v>9440</v>
      </c>
      <c r="Z1396" t="s">
        <v>9441</v>
      </c>
      <c r="AA1396" t="s">
        <v>9442</v>
      </c>
      <c r="AB1396" t="s">
        <v>9441</v>
      </c>
      <c r="AC1396" t="s">
        <v>1094</v>
      </c>
      <c r="AD1396" t="s">
        <v>219</v>
      </c>
      <c r="AE1396" t="s">
        <v>9443</v>
      </c>
      <c r="AF1396" t="s">
        <v>9444</v>
      </c>
    </row>
    <row r="1397" spans="1:32" hidden="1" x14ac:dyDescent="0.35">
      <c r="A1397">
        <v>4525</v>
      </c>
      <c r="B1397" t="s">
        <v>9432</v>
      </c>
      <c r="C1397" t="s">
        <v>72</v>
      </c>
      <c r="D1397" t="s">
        <v>60</v>
      </c>
      <c r="E1397">
        <v>1438</v>
      </c>
      <c r="F1397">
        <v>5</v>
      </c>
      <c r="G1397">
        <v>5</v>
      </c>
      <c r="H1397">
        <v>1</v>
      </c>
      <c r="I1397">
        <v>1</v>
      </c>
      <c r="J1397">
        <v>0.798522307473714</v>
      </c>
      <c r="K1397">
        <v>0.98581356593270497</v>
      </c>
      <c r="L1397">
        <v>0.88233850491910604</v>
      </c>
      <c r="M1397">
        <v>0.626050420168067</v>
      </c>
      <c r="N1397">
        <v>0.995798319327731</v>
      </c>
      <c r="O1397">
        <v>0.74369747899159699</v>
      </c>
      <c r="P1397" t="s">
        <v>9433</v>
      </c>
      <c r="Q1397" t="s">
        <v>9434</v>
      </c>
      <c r="R1397" t="s">
        <v>9435</v>
      </c>
      <c r="S1397" t="s">
        <v>9436</v>
      </c>
      <c r="T1397" t="s">
        <v>9437</v>
      </c>
      <c r="U1397" t="s">
        <v>9438</v>
      </c>
      <c r="V1397" t="s">
        <v>9439</v>
      </c>
      <c r="W1397" t="s">
        <v>9440</v>
      </c>
      <c r="Z1397" t="s">
        <v>9441</v>
      </c>
      <c r="AA1397" t="s">
        <v>9442</v>
      </c>
      <c r="AB1397" t="s">
        <v>9441</v>
      </c>
      <c r="AC1397" t="s">
        <v>1094</v>
      </c>
      <c r="AD1397" t="s">
        <v>219</v>
      </c>
      <c r="AE1397" t="s">
        <v>9443</v>
      </c>
      <c r="AF1397" t="s">
        <v>9445</v>
      </c>
    </row>
    <row r="1398" spans="1:32" hidden="1" x14ac:dyDescent="0.35">
      <c r="A1398">
        <v>4526</v>
      </c>
      <c r="B1398" t="s">
        <v>9432</v>
      </c>
      <c r="C1398" t="s">
        <v>72</v>
      </c>
      <c r="D1398" t="s">
        <v>62</v>
      </c>
      <c r="E1398">
        <v>1473</v>
      </c>
      <c r="F1398">
        <v>5</v>
      </c>
      <c r="G1398">
        <v>5</v>
      </c>
      <c r="H1398">
        <v>1</v>
      </c>
      <c r="I1398">
        <v>1</v>
      </c>
      <c r="J1398">
        <v>0.798522307473714</v>
      </c>
      <c r="K1398">
        <v>0.98581356593270497</v>
      </c>
      <c r="L1398">
        <v>0.88233850491910604</v>
      </c>
      <c r="M1398">
        <v>0.626050420168067</v>
      </c>
      <c r="N1398">
        <v>0.995798319327731</v>
      </c>
      <c r="O1398">
        <v>0.74369747899159699</v>
      </c>
      <c r="P1398" t="s">
        <v>9433</v>
      </c>
      <c r="Q1398" t="s">
        <v>9434</v>
      </c>
      <c r="R1398" t="s">
        <v>9435</v>
      </c>
      <c r="S1398" t="s">
        <v>9436</v>
      </c>
      <c r="T1398" t="s">
        <v>9437</v>
      </c>
      <c r="U1398" t="s">
        <v>9438</v>
      </c>
      <c r="V1398" t="s">
        <v>9439</v>
      </c>
      <c r="W1398" t="s">
        <v>9440</v>
      </c>
      <c r="Z1398" t="s">
        <v>9441</v>
      </c>
      <c r="AA1398" t="s">
        <v>9442</v>
      </c>
      <c r="AB1398" t="s">
        <v>9441</v>
      </c>
      <c r="AC1398" t="s">
        <v>1094</v>
      </c>
      <c r="AD1398" t="s">
        <v>219</v>
      </c>
      <c r="AE1398" t="s">
        <v>9443</v>
      </c>
      <c r="AF1398" t="s">
        <v>9446</v>
      </c>
    </row>
    <row r="1399" spans="1:32" hidden="1" x14ac:dyDescent="0.35">
      <c r="A1399">
        <v>4527</v>
      </c>
      <c r="B1399" t="s">
        <v>9432</v>
      </c>
      <c r="C1399" t="s">
        <v>72</v>
      </c>
      <c r="D1399" t="s">
        <v>34</v>
      </c>
      <c r="E1399">
        <v>1865</v>
      </c>
      <c r="F1399">
        <v>5</v>
      </c>
      <c r="G1399">
        <v>5</v>
      </c>
      <c r="H1399">
        <v>1</v>
      </c>
      <c r="I1399">
        <v>1</v>
      </c>
      <c r="J1399">
        <v>0.798522307473714</v>
      </c>
      <c r="K1399">
        <v>0.98581356593270497</v>
      </c>
      <c r="L1399">
        <v>0.88233850491910604</v>
      </c>
      <c r="M1399">
        <v>0.626050420168067</v>
      </c>
      <c r="N1399">
        <v>0.995798319327731</v>
      </c>
      <c r="O1399">
        <v>0.74369747899159699</v>
      </c>
      <c r="P1399" t="s">
        <v>9433</v>
      </c>
      <c r="Q1399" t="s">
        <v>9434</v>
      </c>
      <c r="R1399" t="s">
        <v>9435</v>
      </c>
      <c r="S1399" t="s">
        <v>9436</v>
      </c>
      <c r="T1399" t="s">
        <v>9437</v>
      </c>
      <c r="U1399" t="s">
        <v>9438</v>
      </c>
      <c r="V1399" t="s">
        <v>9439</v>
      </c>
      <c r="W1399" t="s">
        <v>9440</v>
      </c>
      <c r="Z1399" t="s">
        <v>9441</v>
      </c>
      <c r="AA1399" t="s">
        <v>9442</v>
      </c>
      <c r="AB1399" t="s">
        <v>9441</v>
      </c>
      <c r="AC1399" t="s">
        <v>1094</v>
      </c>
      <c r="AD1399" t="s">
        <v>219</v>
      </c>
      <c r="AE1399" t="s">
        <v>9443</v>
      </c>
      <c r="AF1399" t="s">
        <v>9447</v>
      </c>
    </row>
    <row r="1400" spans="1:32" hidden="1" x14ac:dyDescent="0.35">
      <c r="A1400">
        <v>4528</v>
      </c>
      <c r="B1400" t="s">
        <v>9432</v>
      </c>
      <c r="C1400" t="s">
        <v>72</v>
      </c>
      <c r="D1400" t="s">
        <v>45</v>
      </c>
      <c r="E1400">
        <v>1008</v>
      </c>
      <c r="F1400">
        <v>5</v>
      </c>
      <c r="G1400">
        <v>5</v>
      </c>
      <c r="H1400">
        <v>1</v>
      </c>
      <c r="I1400">
        <v>1</v>
      </c>
      <c r="J1400">
        <v>0.798522307473714</v>
      </c>
      <c r="K1400">
        <v>0.98581356593270497</v>
      </c>
      <c r="L1400">
        <v>0.88233850491910604</v>
      </c>
      <c r="M1400">
        <v>0.626050420168067</v>
      </c>
      <c r="N1400">
        <v>0.995798319327731</v>
      </c>
      <c r="O1400">
        <v>0.74369747899159699</v>
      </c>
      <c r="P1400" t="s">
        <v>9433</v>
      </c>
      <c r="Q1400" t="s">
        <v>9434</v>
      </c>
      <c r="R1400" t="s">
        <v>9435</v>
      </c>
      <c r="S1400" t="s">
        <v>9436</v>
      </c>
      <c r="T1400" t="s">
        <v>9437</v>
      </c>
      <c r="U1400" t="s">
        <v>9438</v>
      </c>
      <c r="V1400" t="s">
        <v>9439</v>
      </c>
      <c r="W1400" t="s">
        <v>9440</v>
      </c>
      <c r="Z1400" t="s">
        <v>9441</v>
      </c>
      <c r="AA1400" t="s">
        <v>9442</v>
      </c>
      <c r="AB1400" t="s">
        <v>9441</v>
      </c>
      <c r="AC1400" t="s">
        <v>1094</v>
      </c>
      <c r="AD1400" t="s">
        <v>219</v>
      </c>
      <c r="AE1400" t="s">
        <v>9443</v>
      </c>
      <c r="AF1400" t="s">
        <v>9448</v>
      </c>
    </row>
    <row r="1401" spans="1:32" hidden="1" x14ac:dyDescent="0.35">
      <c r="A1401">
        <v>2059</v>
      </c>
      <c r="B1401" t="s">
        <v>4279</v>
      </c>
      <c r="C1401" t="s">
        <v>72</v>
      </c>
      <c r="D1401" t="s">
        <v>58</v>
      </c>
      <c r="E1401">
        <v>983</v>
      </c>
      <c r="F1401">
        <v>5</v>
      </c>
      <c r="G1401">
        <v>5</v>
      </c>
      <c r="H1401">
        <v>1</v>
      </c>
      <c r="I1401">
        <v>1</v>
      </c>
      <c r="J1401">
        <v>0.87173553719008301</v>
      </c>
      <c r="K1401">
        <v>0.97616974632007703</v>
      </c>
      <c r="L1401">
        <v>0.92100159655435099</v>
      </c>
      <c r="M1401">
        <v>0.73225806451612896</v>
      </c>
      <c r="N1401">
        <v>1</v>
      </c>
      <c r="O1401">
        <v>0.80064516129032204</v>
      </c>
      <c r="P1401" t="s">
        <v>1223</v>
      </c>
      <c r="Q1401" t="s">
        <v>1224</v>
      </c>
      <c r="R1401" t="s">
        <v>4280</v>
      </c>
      <c r="S1401" t="s">
        <v>4281</v>
      </c>
      <c r="T1401" t="s">
        <v>4282</v>
      </c>
      <c r="U1401" t="s">
        <v>4283</v>
      </c>
      <c r="V1401" t="s">
        <v>4284</v>
      </c>
      <c r="W1401" t="s">
        <v>4285</v>
      </c>
      <c r="Z1401" t="s">
        <v>4286</v>
      </c>
      <c r="AA1401" t="s">
        <v>4287</v>
      </c>
      <c r="AB1401" t="s">
        <v>4286</v>
      </c>
      <c r="AC1401" t="s">
        <v>729</v>
      </c>
      <c r="AD1401" t="s">
        <v>4288</v>
      </c>
      <c r="AE1401" t="s">
        <v>4289</v>
      </c>
      <c r="AF1401" t="s">
        <v>4290</v>
      </c>
    </row>
    <row r="1402" spans="1:32" hidden="1" x14ac:dyDescent="0.35">
      <c r="A1402">
        <v>2060</v>
      </c>
      <c r="B1402" t="s">
        <v>4279</v>
      </c>
      <c r="C1402" t="s">
        <v>72</v>
      </c>
      <c r="D1402" t="s">
        <v>60</v>
      </c>
      <c r="E1402">
        <v>1226</v>
      </c>
      <c r="F1402">
        <v>5</v>
      </c>
      <c r="G1402">
        <v>5</v>
      </c>
      <c r="H1402">
        <v>1</v>
      </c>
      <c r="I1402">
        <v>1</v>
      </c>
      <c r="J1402">
        <v>0.87173553719008301</v>
      </c>
      <c r="K1402">
        <v>0.97616974632007703</v>
      </c>
      <c r="L1402">
        <v>0.92100159655435099</v>
      </c>
      <c r="M1402">
        <v>0.73225806451612896</v>
      </c>
      <c r="N1402">
        <v>1</v>
      </c>
      <c r="O1402">
        <v>0.80064516129032204</v>
      </c>
      <c r="P1402" t="s">
        <v>1223</v>
      </c>
      <c r="Q1402" t="s">
        <v>1224</v>
      </c>
      <c r="R1402" t="s">
        <v>4280</v>
      </c>
      <c r="S1402" t="s">
        <v>4281</v>
      </c>
      <c r="T1402" t="s">
        <v>4282</v>
      </c>
      <c r="U1402" t="s">
        <v>4283</v>
      </c>
      <c r="V1402" t="s">
        <v>4284</v>
      </c>
      <c r="W1402" t="s">
        <v>4285</v>
      </c>
      <c r="Z1402" t="s">
        <v>4286</v>
      </c>
      <c r="AA1402" t="s">
        <v>4287</v>
      </c>
      <c r="AB1402" t="s">
        <v>4286</v>
      </c>
      <c r="AC1402" t="s">
        <v>729</v>
      </c>
      <c r="AD1402" t="s">
        <v>4288</v>
      </c>
      <c r="AE1402" t="s">
        <v>4289</v>
      </c>
      <c r="AF1402" t="s">
        <v>4291</v>
      </c>
    </row>
    <row r="1403" spans="1:32" hidden="1" x14ac:dyDescent="0.35">
      <c r="A1403">
        <v>2061</v>
      </c>
      <c r="B1403" t="s">
        <v>4279</v>
      </c>
      <c r="C1403" t="s">
        <v>72</v>
      </c>
      <c r="D1403" t="s">
        <v>62</v>
      </c>
      <c r="E1403">
        <v>1263</v>
      </c>
      <c r="F1403">
        <v>5</v>
      </c>
      <c r="G1403">
        <v>5</v>
      </c>
      <c r="H1403">
        <v>1</v>
      </c>
      <c r="I1403">
        <v>1</v>
      </c>
      <c r="J1403">
        <v>0.87173553719008301</v>
      </c>
      <c r="K1403">
        <v>0.97616974632007703</v>
      </c>
      <c r="L1403">
        <v>0.92100159655435099</v>
      </c>
      <c r="M1403">
        <v>0.73225806451612896</v>
      </c>
      <c r="N1403">
        <v>1</v>
      </c>
      <c r="O1403">
        <v>0.80064516129032204</v>
      </c>
      <c r="P1403" t="s">
        <v>1223</v>
      </c>
      <c r="Q1403" t="s">
        <v>1224</v>
      </c>
      <c r="R1403" t="s">
        <v>4280</v>
      </c>
      <c r="S1403" t="s">
        <v>4281</v>
      </c>
      <c r="T1403" t="s">
        <v>4282</v>
      </c>
      <c r="U1403" t="s">
        <v>4283</v>
      </c>
      <c r="V1403" t="s">
        <v>4284</v>
      </c>
      <c r="W1403" t="s">
        <v>4285</v>
      </c>
      <c r="Z1403" t="s">
        <v>4286</v>
      </c>
      <c r="AA1403" t="s">
        <v>4287</v>
      </c>
      <c r="AB1403" t="s">
        <v>4286</v>
      </c>
      <c r="AC1403" t="s">
        <v>729</v>
      </c>
      <c r="AD1403" t="s">
        <v>4288</v>
      </c>
      <c r="AE1403" t="s">
        <v>4289</v>
      </c>
      <c r="AF1403" t="s">
        <v>4291</v>
      </c>
    </row>
    <row r="1404" spans="1:32" hidden="1" x14ac:dyDescent="0.35">
      <c r="A1404">
        <v>2062</v>
      </c>
      <c r="B1404" t="s">
        <v>4279</v>
      </c>
      <c r="C1404" t="s">
        <v>72</v>
      </c>
      <c r="D1404" t="s">
        <v>34</v>
      </c>
      <c r="E1404">
        <v>1777</v>
      </c>
      <c r="F1404">
        <v>5</v>
      </c>
      <c r="G1404">
        <v>5</v>
      </c>
      <c r="H1404">
        <v>1</v>
      </c>
      <c r="I1404">
        <v>1</v>
      </c>
      <c r="J1404">
        <v>0.87173553719008301</v>
      </c>
      <c r="K1404">
        <v>0.97616974632007703</v>
      </c>
      <c r="L1404">
        <v>0.92100159655435099</v>
      </c>
      <c r="M1404">
        <v>0.73225806451612896</v>
      </c>
      <c r="N1404">
        <v>1</v>
      </c>
      <c r="O1404">
        <v>0.80064516129032204</v>
      </c>
      <c r="P1404" t="s">
        <v>1223</v>
      </c>
      <c r="Q1404" t="s">
        <v>1224</v>
      </c>
      <c r="R1404" t="s">
        <v>4280</v>
      </c>
      <c r="S1404" t="s">
        <v>4281</v>
      </c>
      <c r="T1404" t="s">
        <v>4282</v>
      </c>
      <c r="U1404" t="s">
        <v>4283</v>
      </c>
      <c r="V1404" t="s">
        <v>4284</v>
      </c>
      <c r="W1404" t="s">
        <v>4285</v>
      </c>
      <c r="Z1404" t="s">
        <v>4286</v>
      </c>
      <c r="AA1404" t="s">
        <v>4287</v>
      </c>
      <c r="AB1404" t="s">
        <v>4286</v>
      </c>
      <c r="AC1404" t="s">
        <v>729</v>
      </c>
      <c r="AD1404" t="s">
        <v>4288</v>
      </c>
      <c r="AE1404" t="s">
        <v>4289</v>
      </c>
      <c r="AF1404" t="s">
        <v>4292</v>
      </c>
    </row>
    <row r="1405" spans="1:32" hidden="1" x14ac:dyDescent="0.35">
      <c r="A1405">
        <v>2063</v>
      </c>
      <c r="B1405" t="s">
        <v>4279</v>
      </c>
      <c r="C1405" t="s">
        <v>72</v>
      </c>
      <c r="D1405" t="s">
        <v>45</v>
      </c>
      <c r="E1405">
        <v>1096</v>
      </c>
      <c r="F1405">
        <v>5</v>
      </c>
      <c r="G1405">
        <v>5</v>
      </c>
      <c r="H1405">
        <v>1</v>
      </c>
      <c r="I1405">
        <v>1</v>
      </c>
      <c r="J1405">
        <v>0.87173553719008301</v>
      </c>
      <c r="K1405">
        <v>0.97616974632007703</v>
      </c>
      <c r="L1405">
        <v>0.92100159655435099</v>
      </c>
      <c r="M1405">
        <v>0.73225806451612896</v>
      </c>
      <c r="N1405">
        <v>1</v>
      </c>
      <c r="O1405">
        <v>0.80064516129032204</v>
      </c>
      <c r="P1405" t="s">
        <v>1223</v>
      </c>
      <c r="Q1405" t="s">
        <v>1224</v>
      </c>
      <c r="R1405" t="s">
        <v>4280</v>
      </c>
      <c r="S1405" t="s">
        <v>4281</v>
      </c>
      <c r="T1405" t="s">
        <v>4282</v>
      </c>
      <c r="U1405" t="s">
        <v>4283</v>
      </c>
      <c r="V1405" t="s">
        <v>4284</v>
      </c>
      <c r="W1405" t="s">
        <v>4285</v>
      </c>
      <c r="Z1405" t="s">
        <v>4286</v>
      </c>
      <c r="AA1405" t="s">
        <v>4287</v>
      </c>
      <c r="AB1405" t="s">
        <v>4286</v>
      </c>
      <c r="AC1405" t="s">
        <v>729</v>
      </c>
      <c r="AD1405" t="s">
        <v>4288</v>
      </c>
      <c r="AE1405" t="s">
        <v>4289</v>
      </c>
      <c r="AF1405" t="s">
        <v>4293</v>
      </c>
    </row>
    <row r="1406" spans="1:32" hidden="1" x14ac:dyDescent="0.35">
      <c r="A1406">
        <v>3629</v>
      </c>
      <c r="B1406" t="s">
        <v>7481</v>
      </c>
      <c r="C1406" t="s">
        <v>72</v>
      </c>
      <c r="D1406" t="s">
        <v>58</v>
      </c>
      <c r="E1406">
        <v>1068</v>
      </c>
      <c r="F1406">
        <v>5</v>
      </c>
      <c r="G1406">
        <v>5</v>
      </c>
      <c r="H1406">
        <v>1</v>
      </c>
      <c r="I1406">
        <v>1</v>
      </c>
      <c r="J1406">
        <v>0.81601969720781597</v>
      </c>
      <c r="K1406">
        <v>0.94719450930446403</v>
      </c>
      <c r="L1406">
        <v>0.876727709911577</v>
      </c>
      <c r="M1406">
        <v>0.62109955423477003</v>
      </c>
      <c r="N1406">
        <v>0.99851411589896</v>
      </c>
      <c r="O1406">
        <v>0.72748885586924195</v>
      </c>
      <c r="P1406" t="s">
        <v>7482</v>
      </c>
      <c r="Q1406" t="s">
        <v>7483</v>
      </c>
      <c r="R1406" t="s">
        <v>4280</v>
      </c>
      <c r="S1406" t="s">
        <v>4281</v>
      </c>
      <c r="T1406" t="s">
        <v>7484</v>
      </c>
      <c r="U1406" t="s">
        <v>7485</v>
      </c>
      <c r="V1406" t="s">
        <v>7486</v>
      </c>
      <c r="W1406" t="s">
        <v>7487</v>
      </c>
      <c r="X1406" t="s">
        <v>7486</v>
      </c>
      <c r="Y1406" t="s">
        <v>2060</v>
      </c>
      <c r="Z1406" t="s">
        <v>891</v>
      </c>
      <c r="AA1406" t="s">
        <v>892</v>
      </c>
      <c r="AB1406" t="s">
        <v>891</v>
      </c>
      <c r="AC1406" t="s">
        <v>893</v>
      </c>
      <c r="AD1406" t="s">
        <v>245</v>
      </c>
      <c r="AE1406" t="s">
        <v>7488</v>
      </c>
      <c r="AF1406" t="s">
        <v>7489</v>
      </c>
    </row>
    <row r="1407" spans="1:32" hidden="1" x14ac:dyDescent="0.35">
      <c r="A1407">
        <v>3630</v>
      </c>
      <c r="B1407" t="s">
        <v>7481</v>
      </c>
      <c r="C1407" t="s">
        <v>72</v>
      </c>
      <c r="D1407" t="s">
        <v>60</v>
      </c>
      <c r="E1407">
        <v>1442</v>
      </c>
      <c r="F1407">
        <v>5</v>
      </c>
      <c r="G1407">
        <v>5</v>
      </c>
      <c r="H1407">
        <v>1</v>
      </c>
      <c r="I1407">
        <v>1</v>
      </c>
      <c r="J1407">
        <v>0.81601969720781597</v>
      </c>
      <c r="K1407">
        <v>0.94719450930446403</v>
      </c>
      <c r="L1407">
        <v>0.876727709911577</v>
      </c>
      <c r="M1407">
        <v>0.62109955423477003</v>
      </c>
      <c r="N1407">
        <v>0.99851411589896</v>
      </c>
      <c r="O1407">
        <v>0.72748885586924195</v>
      </c>
      <c r="P1407" t="s">
        <v>7482</v>
      </c>
      <c r="Q1407" t="s">
        <v>7483</v>
      </c>
      <c r="R1407" t="s">
        <v>4280</v>
      </c>
      <c r="S1407" t="s">
        <v>4281</v>
      </c>
      <c r="T1407" t="s">
        <v>7484</v>
      </c>
      <c r="U1407" t="s">
        <v>7485</v>
      </c>
      <c r="V1407" t="s">
        <v>7486</v>
      </c>
      <c r="W1407" t="s">
        <v>7487</v>
      </c>
      <c r="X1407" t="s">
        <v>7486</v>
      </c>
      <c r="Y1407" t="s">
        <v>2060</v>
      </c>
      <c r="Z1407" t="s">
        <v>891</v>
      </c>
      <c r="AA1407" t="s">
        <v>892</v>
      </c>
      <c r="AB1407" t="s">
        <v>891</v>
      </c>
      <c r="AC1407" t="s">
        <v>893</v>
      </c>
      <c r="AD1407" t="s">
        <v>245</v>
      </c>
      <c r="AE1407" t="s">
        <v>7488</v>
      </c>
      <c r="AF1407" t="s">
        <v>7490</v>
      </c>
    </row>
    <row r="1408" spans="1:32" hidden="1" x14ac:dyDescent="0.35">
      <c r="A1408">
        <v>3631</v>
      </c>
      <c r="B1408" t="s">
        <v>7481</v>
      </c>
      <c r="C1408" t="s">
        <v>72</v>
      </c>
      <c r="D1408" t="s">
        <v>62</v>
      </c>
      <c r="E1408">
        <v>1477</v>
      </c>
      <c r="F1408">
        <v>5</v>
      </c>
      <c r="G1408">
        <v>5</v>
      </c>
      <c r="H1408">
        <v>1</v>
      </c>
      <c r="I1408">
        <v>1</v>
      </c>
      <c r="J1408">
        <v>0.81601969720781597</v>
      </c>
      <c r="K1408">
        <v>0.94719450930446403</v>
      </c>
      <c r="L1408">
        <v>0.876727709911577</v>
      </c>
      <c r="M1408">
        <v>0.62109955423477003</v>
      </c>
      <c r="N1408">
        <v>0.99851411589896</v>
      </c>
      <c r="O1408">
        <v>0.72748885586924195</v>
      </c>
      <c r="P1408" t="s">
        <v>7482</v>
      </c>
      <c r="Q1408" t="s">
        <v>7483</v>
      </c>
      <c r="R1408" t="s">
        <v>4280</v>
      </c>
      <c r="S1408" t="s">
        <v>4281</v>
      </c>
      <c r="T1408" t="s">
        <v>7484</v>
      </c>
      <c r="U1408" t="s">
        <v>7485</v>
      </c>
      <c r="V1408" t="s">
        <v>7486</v>
      </c>
      <c r="W1408" t="s">
        <v>7487</v>
      </c>
      <c r="X1408" t="s">
        <v>7486</v>
      </c>
      <c r="Y1408" t="s">
        <v>2060</v>
      </c>
      <c r="Z1408" t="s">
        <v>891</v>
      </c>
      <c r="AA1408" t="s">
        <v>892</v>
      </c>
      <c r="AB1408" t="s">
        <v>891</v>
      </c>
      <c r="AC1408" t="s">
        <v>893</v>
      </c>
      <c r="AD1408" t="s">
        <v>245</v>
      </c>
      <c r="AE1408" t="s">
        <v>7488</v>
      </c>
      <c r="AF1408" t="s">
        <v>7491</v>
      </c>
    </row>
    <row r="1409" spans="1:32" hidden="1" x14ac:dyDescent="0.35">
      <c r="A1409">
        <v>3632</v>
      </c>
      <c r="B1409" t="s">
        <v>7481</v>
      </c>
      <c r="C1409" t="s">
        <v>72</v>
      </c>
      <c r="D1409" t="s">
        <v>34</v>
      </c>
      <c r="E1409">
        <v>1872</v>
      </c>
      <c r="F1409">
        <v>5</v>
      </c>
      <c r="G1409">
        <v>5</v>
      </c>
      <c r="H1409">
        <v>1</v>
      </c>
      <c r="I1409">
        <v>1</v>
      </c>
      <c r="J1409">
        <v>0.81601969720781597</v>
      </c>
      <c r="K1409">
        <v>0.94719450930446403</v>
      </c>
      <c r="L1409">
        <v>0.876727709911577</v>
      </c>
      <c r="M1409">
        <v>0.62109955423477003</v>
      </c>
      <c r="N1409">
        <v>0.99851411589896</v>
      </c>
      <c r="O1409">
        <v>0.72748885586924195</v>
      </c>
      <c r="P1409" t="s">
        <v>7482</v>
      </c>
      <c r="Q1409" t="s">
        <v>7483</v>
      </c>
      <c r="R1409" t="s">
        <v>4280</v>
      </c>
      <c r="S1409" t="s">
        <v>4281</v>
      </c>
      <c r="T1409" t="s">
        <v>7484</v>
      </c>
      <c r="U1409" t="s">
        <v>7485</v>
      </c>
      <c r="V1409" t="s">
        <v>7486</v>
      </c>
      <c r="W1409" t="s">
        <v>7487</v>
      </c>
      <c r="X1409" t="s">
        <v>7486</v>
      </c>
      <c r="Y1409" t="s">
        <v>2060</v>
      </c>
      <c r="Z1409" t="s">
        <v>891</v>
      </c>
      <c r="AA1409" t="s">
        <v>892</v>
      </c>
      <c r="AB1409" t="s">
        <v>891</v>
      </c>
      <c r="AC1409" t="s">
        <v>893</v>
      </c>
      <c r="AD1409" t="s">
        <v>245</v>
      </c>
      <c r="AE1409" t="s">
        <v>7488</v>
      </c>
      <c r="AF1409" t="s">
        <v>7492</v>
      </c>
    </row>
    <row r="1410" spans="1:32" hidden="1" x14ac:dyDescent="0.35">
      <c r="A1410">
        <v>3633</v>
      </c>
      <c r="B1410" t="s">
        <v>7481</v>
      </c>
      <c r="C1410" t="s">
        <v>72</v>
      </c>
      <c r="D1410" t="s">
        <v>45</v>
      </c>
      <c r="E1410">
        <v>1001</v>
      </c>
      <c r="F1410">
        <v>5</v>
      </c>
      <c r="G1410">
        <v>5</v>
      </c>
      <c r="H1410">
        <v>1</v>
      </c>
      <c r="I1410">
        <v>1</v>
      </c>
      <c r="J1410">
        <v>0.81601969720781597</v>
      </c>
      <c r="K1410">
        <v>0.94719450930446403</v>
      </c>
      <c r="L1410">
        <v>0.876727709911577</v>
      </c>
      <c r="M1410">
        <v>0.62109955423477003</v>
      </c>
      <c r="N1410">
        <v>0.99851411589896</v>
      </c>
      <c r="O1410">
        <v>0.72748885586924195</v>
      </c>
      <c r="P1410" t="s">
        <v>7482</v>
      </c>
      <c r="Q1410" t="s">
        <v>7483</v>
      </c>
      <c r="R1410" t="s">
        <v>4280</v>
      </c>
      <c r="S1410" t="s">
        <v>4281</v>
      </c>
      <c r="T1410" t="s">
        <v>7484</v>
      </c>
      <c r="U1410" t="s">
        <v>7485</v>
      </c>
      <c r="V1410" t="s">
        <v>7486</v>
      </c>
      <c r="W1410" t="s">
        <v>7487</v>
      </c>
      <c r="X1410" t="s">
        <v>7486</v>
      </c>
      <c r="Y1410" t="s">
        <v>2060</v>
      </c>
      <c r="Z1410" t="s">
        <v>891</v>
      </c>
      <c r="AA1410" t="s">
        <v>892</v>
      </c>
      <c r="AB1410" t="s">
        <v>891</v>
      </c>
      <c r="AC1410" t="s">
        <v>893</v>
      </c>
      <c r="AD1410" t="s">
        <v>245</v>
      </c>
      <c r="AE1410" t="s">
        <v>7488</v>
      </c>
      <c r="AF1410" t="s">
        <v>7493</v>
      </c>
    </row>
    <row r="1411" spans="1:32" hidden="1" x14ac:dyDescent="0.35">
      <c r="A1411">
        <v>6128</v>
      </c>
      <c r="B1411" t="s">
        <v>12597</v>
      </c>
      <c r="C1411" t="s">
        <v>68</v>
      </c>
      <c r="D1411" t="s">
        <v>58</v>
      </c>
      <c r="E1411">
        <v>1456</v>
      </c>
      <c r="F1411">
        <v>3</v>
      </c>
      <c r="G1411">
        <v>3</v>
      </c>
      <c r="H1411">
        <v>1</v>
      </c>
      <c r="I1411">
        <v>0</v>
      </c>
      <c r="J1411">
        <v>0.79856115107913705</v>
      </c>
      <c r="K1411">
        <v>0.93345515456068195</v>
      </c>
      <c r="L1411">
        <v>0.860755202222381</v>
      </c>
      <c r="M1411">
        <v>0.50251256281406997</v>
      </c>
      <c r="N1411">
        <v>1</v>
      </c>
      <c r="O1411">
        <v>0.66834170854271402</v>
      </c>
      <c r="P1411" t="s">
        <v>12598</v>
      </c>
      <c r="Q1411" t="s">
        <v>12599</v>
      </c>
      <c r="R1411" t="s">
        <v>869</v>
      </c>
      <c r="S1411" t="s">
        <v>870</v>
      </c>
      <c r="T1411" t="s">
        <v>12600</v>
      </c>
      <c r="U1411" t="s">
        <v>12601</v>
      </c>
      <c r="V1411" t="s">
        <v>12602</v>
      </c>
      <c r="W1411" t="s">
        <v>12603</v>
      </c>
      <c r="AD1411" t="s">
        <v>12295</v>
      </c>
      <c r="AE1411" t="s">
        <v>12604</v>
      </c>
      <c r="AF1411" t="s">
        <v>12605</v>
      </c>
    </row>
    <row r="1412" spans="1:32" hidden="1" x14ac:dyDescent="0.35">
      <c r="A1412">
        <v>90</v>
      </c>
      <c r="B1412" t="s">
        <v>135</v>
      </c>
      <c r="C1412" t="s">
        <v>72</v>
      </c>
      <c r="D1412" t="s">
        <v>60</v>
      </c>
      <c r="E1412">
        <v>247</v>
      </c>
      <c r="F1412">
        <v>5</v>
      </c>
      <c r="G1412">
        <v>9</v>
      </c>
      <c r="H1412">
        <v>3</v>
      </c>
      <c r="I1412">
        <v>0</v>
      </c>
      <c r="J1412">
        <v>0.76615384615384596</v>
      </c>
      <c r="K1412">
        <v>0.957725560755044</v>
      </c>
      <c r="L1412">
        <v>0.85129518804108195</v>
      </c>
      <c r="M1412">
        <v>0.51086956521739102</v>
      </c>
      <c r="N1412">
        <v>1</v>
      </c>
      <c r="O1412">
        <v>0.69067028985507295</v>
      </c>
      <c r="P1412" t="s">
        <v>136</v>
      </c>
      <c r="Q1412" t="s">
        <v>137</v>
      </c>
      <c r="R1412" t="s">
        <v>138</v>
      </c>
      <c r="S1412" t="s">
        <v>139</v>
      </c>
      <c r="T1412" t="s">
        <v>140</v>
      </c>
      <c r="U1412" t="s">
        <v>141</v>
      </c>
      <c r="V1412" t="s">
        <v>142</v>
      </c>
      <c r="W1412" t="s">
        <v>143</v>
      </c>
      <c r="Z1412" t="s">
        <v>144</v>
      </c>
      <c r="AA1412" t="s">
        <v>145</v>
      </c>
      <c r="AB1412" t="s">
        <v>144</v>
      </c>
      <c r="AC1412" t="s">
        <v>146</v>
      </c>
      <c r="AD1412" t="s">
        <v>147</v>
      </c>
      <c r="AE1412" t="s">
        <v>148</v>
      </c>
      <c r="AF1412" t="s">
        <v>150</v>
      </c>
    </row>
    <row r="1413" spans="1:32" hidden="1" x14ac:dyDescent="0.35">
      <c r="A1413">
        <v>91</v>
      </c>
      <c r="B1413" t="s">
        <v>135</v>
      </c>
      <c r="C1413" t="s">
        <v>72</v>
      </c>
      <c r="D1413" t="s">
        <v>60</v>
      </c>
      <c r="E1413">
        <v>248</v>
      </c>
      <c r="F1413">
        <v>5</v>
      </c>
      <c r="G1413">
        <v>9</v>
      </c>
      <c r="H1413">
        <v>3</v>
      </c>
      <c r="I1413">
        <v>0</v>
      </c>
      <c r="J1413">
        <v>0.76615384615384596</v>
      </c>
      <c r="K1413">
        <v>0.957725560755044</v>
      </c>
      <c r="L1413">
        <v>0.85129518804108195</v>
      </c>
      <c r="M1413">
        <v>0.51086956521739102</v>
      </c>
      <c r="N1413">
        <v>1</v>
      </c>
      <c r="O1413">
        <v>0.69067028985507295</v>
      </c>
      <c r="P1413" t="s">
        <v>136</v>
      </c>
      <c r="Q1413" t="s">
        <v>137</v>
      </c>
      <c r="R1413" t="s">
        <v>138</v>
      </c>
      <c r="S1413" t="s">
        <v>139</v>
      </c>
      <c r="T1413" t="s">
        <v>140</v>
      </c>
      <c r="U1413" t="s">
        <v>141</v>
      </c>
      <c r="V1413" t="s">
        <v>142</v>
      </c>
      <c r="W1413" t="s">
        <v>143</v>
      </c>
      <c r="Z1413" t="s">
        <v>144</v>
      </c>
      <c r="AA1413" t="s">
        <v>145</v>
      </c>
      <c r="AB1413" t="s">
        <v>144</v>
      </c>
      <c r="AC1413" t="s">
        <v>146</v>
      </c>
      <c r="AD1413" t="s">
        <v>147</v>
      </c>
      <c r="AE1413" t="s">
        <v>148</v>
      </c>
      <c r="AF1413" t="s">
        <v>151</v>
      </c>
    </row>
    <row r="1414" spans="1:32" hidden="1" x14ac:dyDescent="0.35">
      <c r="A1414">
        <v>92</v>
      </c>
      <c r="B1414" t="s">
        <v>135</v>
      </c>
      <c r="C1414" t="s">
        <v>72</v>
      </c>
      <c r="D1414" t="s">
        <v>60</v>
      </c>
      <c r="E1414">
        <v>249</v>
      </c>
      <c r="F1414">
        <v>5</v>
      </c>
      <c r="G1414">
        <v>9</v>
      </c>
      <c r="H1414">
        <v>3</v>
      </c>
      <c r="I1414">
        <v>0</v>
      </c>
      <c r="J1414">
        <v>0.76615384615384596</v>
      </c>
      <c r="K1414">
        <v>0.957725560755044</v>
      </c>
      <c r="L1414">
        <v>0.85129518804108195</v>
      </c>
      <c r="M1414">
        <v>0.51086956521739102</v>
      </c>
      <c r="N1414">
        <v>1</v>
      </c>
      <c r="O1414">
        <v>0.69067028985507295</v>
      </c>
      <c r="P1414" t="s">
        <v>136</v>
      </c>
      <c r="Q1414" t="s">
        <v>137</v>
      </c>
      <c r="R1414" t="s">
        <v>138</v>
      </c>
      <c r="S1414" t="s">
        <v>139</v>
      </c>
      <c r="T1414" t="s">
        <v>140</v>
      </c>
      <c r="U1414" t="s">
        <v>141</v>
      </c>
      <c r="V1414" t="s">
        <v>142</v>
      </c>
      <c r="W1414" t="s">
        <v>143</v>
      </c>
      <c r="Z1414" t="s">
        <v>144</v>
      </c>
      <c r="AA1414" t="s">
        <v>145</v>
      </c>
      <c r="AB1414" t="s">
        <v>144</v>
      </c>
      <c r="AC1414" t="s">
        <v>146</v>
      </c>
      <c r="AD1414" t="s">
        <v>147</v>
      </c>
      <c r="AE1414" t="s">
        <v>148</v>
      </c>
      <c r="AF1414" t="s">
        <v>152</v>
      </c>
    </row>
    <row r="1415" spans="1:32" hidden="1" x14ac:dyDescent="0.35">
      <c r="A1415">
        <v>93</v>
      </c>
      <c r="B1415" t="s">
        <v>135</v>
      </c>
      <c r="C1415" t="s">
        <v>72</v>
      </c>
      <c r="D1415" t="s">
        <v>62</v>
      </c>
      <c r="E1415">
        <v>325</v>
      </c>
      <c r="F1415">
        <v>5</v>
      </c>
      <c r="G1415">
        <v>9</v>
      </c>
      <c r="H1415">
        <v>3</v>
      </c>
      <c r="I1415">
        <v>0</v>
      </c>
      <c r="J1415">
        <v>0.76615384615384596</v>
      </c>
      <c r="K1415">
        <v>0.957725560755044</v>
      </c>
      <c r="L1415">
        <v>0.85129518804108195</v>
      </c>
      <c r="M1415">
        <v>0.51086956521739102</v>
      </c>
      <c r="N1415">
        <v>1</v>
      </c>
      <c r="O1415">
        <v>0.69067028985507295</v>
      </c>
      <c r="P1415" t="s">
        <v>136</v>
      </c>
      <c r="Q1415" t="s">
        <v>137</v>
      </c>
      <c r="R1415" t="s">
        <v>138</v>
      </c>
      <c r="S1415" t="s">
        <v>139</v>
      </c>
      <c r="T1415" t="s">
        <v>140</v>
      </c>
      <c r="U1415" t="s">
        <v>141</v>
      </c>
      <c r="V1415" t="s">
        <v>142</v>
      </c>
      <c r="W1415" t="s">
        <v>143</v>
      </c>
      <c r="Z1415" t="s">
        <v>144</v>
      </c>
      <c r="AA1415" t="s">
        <v>145</v>
      </c>
      <c r="AB1415" t="s">
        <v>144</v>
      </c>
      <c r="AC1415" t="s">
        <v>146</v>
      </c>
      <c r="AD1415" t="s">
        <v>147</v>
      </c>
      <c r="AE1415" t="s">
        <v>148</v>
      </c>
      <c r="AF1415" t="s">
        <v>150</v>
      </c>
    </row>
    <row r="1416" spans="1:32" hidden="1" x14ac:dyDescent="0.35">
      <c r="A1416">
        <v>94</v>
      </c>
      <c r="B1416" t="s">
        <v>135</v>
      </c>
      <c r="C1416" t="s">
        <v>72</v>
      </c>
      <c r="D1416" t="s">
        <v>62</v>
      </c>
      <c r="E1416">
        <v>326</v>
      </c>
      <c r="F1416">
        <v>5</v>
      </c>
      <c r="G1416">
        <v>9</v>
      </c>
      <c r="H1416">
        <v>3</v>
      </c>
      <c r="I1416">
        <v>0</v>
      </c>
      <c r="J1416">
        <v>0.76615384615384596</v>
      </c>
      <c r="K1416">
        <v>0.957725560755044</v>
      </c>
      <c r="L1416">
        <v>0.85129518804108195</v>
      </c>
      <c r="M1416">
        <v>0.51086956521739102</v>
      </c>
      <c r="N1416">
        <v>1</v>
      </c>
      <c r="O1416">
        <v>0.69067028985507295</v>
      </c>
      <c r="P1416" t="s">
        <v>136</v>
      </c>
      <c r="Q1416" t="s">
        <v>137</v>
      </c>
      <c r="R1416" t="s">
        <v>138</v>
      </c>
      <c r="S1416" t="s">
        <v>139</v>
      </c>
      <c r="T1416" t="s">
        <v>140</v>
      </c>
      <c r="U1416" t="s">
        <v>141</v>
      </c>
      <c r="V1416" t="s">
        <v>142</v>
      </c>
      <c r="W1416" t="s">
        <v>143</v>
      </c>
      <c r="Z1416" t="s">
        <v>144</v>
      </c>
      <c r="AA1416" t="s">
        <v>145</v>
      </c>
      <c r="AB1416" t="s">
        <v>144</v>
      </c>
      <c r="AC1416" t="s">
        <v>146</v>
      </c>
      <c r="AD1416" t="s">
        <v>147</v>
      </c>
      <c r="AE1416" t="s">
        <v>148</v>
      </c>
      <c r="AF1416" t="s">
        <v>151</v>
      </c>
    </row>
    <row r="1417" spans="1:32" hidden="1" x14ac:dyDescent="0.35">
      <c r="A1417">
        <v>95</v>
      </c>
      <c r="B1417" t="s">
        <v>135</v>
      </c>
      <c r="C1417" t="s">
        <v>72</v>
      </c>
      <c r="D1417" t="s">
        <v>62</v>
      </c>
      <c r="E1417">
        <v>327</v>
      </c>
      <c r="F1417">
        <v>5</v>
      </c>
      <c r="G1417">
        <v>9</v>
      </c>
      <c r="H1417">
        <v>3</v>
      </c>
      <c r="I1417">
        <v>0</v>
      </c>
      <c r="J1417">
        <v>0.76615384615384596</v>
      </c>
      <c r="K1417">
        <v>0.957725560755044</v>
      </c>
      <c r="L1417">
        <v>0.85129518804108195</v>
      </c>
      <c r="M1417">
        <v>0.51086956521739102</v>
      </c>
      <c r="N1417">
        <v>1</v>
      </c>
      <c r="O1417">
        <v>0.69067028985507295</v>
      </c>
      <c r="P1417" t="s">
        <v>136</v>
      </c>
      <c r="Q1417" t="s">
        <v>137</v>
      </c>
      <c r="R1417" t="s">
        <v>138</v>
      </c>
      <c r="S1417" t="s">
        <v>139</v>
      </c>
      <c r="T1417" t="s">
        <v>140</v>
      </c>
      <c r="U1417" t="s">
        <v>141</v>
      </c>
      <c r="V1417" t="s">
        <v>142</v>
      </c>
      <c r="W1417" t="s">
        <v>143</v>
      </c>
      <c r="Z1417" t="s">
        <v>144</v>
      </c>
      <c r="AA1417" t="s">
        <v>145</v>
      </c>
      <c r="AB1417" t="s">
        <v>144</v>
      </c>
      <c r="AC1417" t="s">
        <v>146</v>
      </c>
      <c r="AD1417" t="s">
        <v>147</v>
      </c>
      <c r="AE1417" t="s">
        <v>148</v>
      </c>
      <c r="AF1417" t="s">
        <v>152</v>
      </c>
    </row>
    <row r="1418" spans="1:32" hidden="1" x14ac:dyDescent="0.35">
      <c r="A1418">
        <v>96</v>
      </c>
      <c r="B1418" t="s">
        <v>135</v>
      </c>
      <c r="C1418" t="s">
        <v>72</v>
      </c>
      <c r="D1418" t="s">
        <v>34</v>
      </c>
      <c r="E1418">
        <v>876</v>
      </c>
      <c r="F1418">
        <v>5</v>
      </c>
      <c r="G1418">
        <v>9</v>
      </c>
      <c r="H1418">
        <v>3</v>
      </c>
      <c r="I1418">
        <v>0</v>
      </c>
      <c r="J1418">
        <v>0.76615384615384596</v>
      </c>
      <c r="K1418">
        <v>0.957725560755044</v>
      </c>
      <c r="L1418">
        <v>0.85129518804108195</v>
      </c>
      <c r="M1418">
        <v>0.51086956521739102</v>
      </c>
      <c r="N1418">
        <v>1</v>
      </c>
      <c r="O1418">
        <v>0.69067028985507295</v>
      </c>
      <c r="P1418" t="s">
        <v>136</v>
      </c>
      <c r="Q1418" t="s">
        <v>137</v>
      </c>
      <c r="R1418" t="s">
        <v>138</v>
      </c>
      <c r="S1418" t="s">
        <v>139</v>
      </c>
      <c r="T1418" t="s">
        <v>140</v>
      </c>
      <c r="U1418" t="s">
        <v>141</v>
      </c>
      <c r="V1418" t="s">
        <v>142</v>
      </c>
      <c r="W1418" t="s">
        <v>143</v>
      </c>
      <c r="Z1418" t="s">
        <v>144</v>
      </c>
      <c r="AA1418" t="s">
        <v>145</v>
      </c>
      <c r="AB1418" t="s">
        <v>144</v>
      </c>
      <c r="AC1418" t="s">
        <v>146</v>
      </c>
      <c r="AD1418" t="s">
        <v>147</v>
      </c>
      <c r="AE1418" t="s">
        <v>148</v>
      </c>
      <c r="AF1418" t="s">
        <v>153</v>
      </c>
    </row>
    <row r="1419" spans="1:32" hidden="1" x14ac:dyDescent="0.35">
      <c r="A1419">
        <v>97</v>
      </c>
      <c r="B1419" t="s">
        <v>135</v>
      </c>
      <c r="C1419" t="s">
        <v>72</v>
      </c>
      <c r="D1419" t="s">
        <v>45</v>
      </c>
      <c r="E1419">
        <v>2133</v>
      </c>
      <c r="F1419">
        <v>5</v>
      </c>
      <c r="G1419">
        <v>9</v>
      </c>
      <c r="H1419">
        <v>3</v>
      </c>
      <c r="I1419">
        <v>0</v>
      </c>
      <c r="J1419">
        <v>0.76615384615384596</v>
      </c>
      <c r="K1419">
        <v>0.957725560755044</v>
      </c>
      <c r="L1419">
        <v>0.85129518804108195</v>
      </c>
      <c r="M1419">
        <v>0.51086956521739102</v>
      </c>
      <c r="N1419">
        <v>1</v>
      </c>
      <c r="O1419">
        <v>0.69067028985507295</v>
      </c>
      <c r="P1419" t="s">
        <v>136</v>
      </c>
      <c r="Q1419" t="s">
        <v>137</v>
      </c>
      <c r="R1419" t="s">
        <v>138</v>
      </c>
      <c r="S1419" t="s">
        <v>139</v>
      </c>
      <c r="T1419" t="s">
        <v>140</v>
      </c>
      <c r="U1419" t="s">
        <v>141</v>
      </c>
      <c r="V1419" t="s">
        <v>142</v>
      </c>
      <c r="W1419" t="s">
        <v>143</v>
      </c>
      <c r="Z1419" t="s">
        <v>144</v>
      </c>
      <c r="AA1419" t="s">
        <v>145</v>
      </c>
      <c r="AB1419" t="s">
        <v>144</v>
      </c>
      <c r="AC1419" t="s">
        <v>146</v>
      </c>
      <c r="AD1419" t="s">
        <v>147</v>
      </c>
      <c r="AE1419" t="s">
        <v>148</v>
      </c>
      <c r="AF1419" t="s">
        <v>153</v>
      </c>
    </row>
    <row r="1420" spans="1:32" hidden="1" x14ac:dyDescent="0.35">
      <c r="A1420">
        <v>4664</v>
      </c>
      <c r="B1420" t="s">
        <v>9748</v>
      </c>
      <c r="C1420" t="s">
        <v>10127</v>
      </c>
      <c r="D1420" t="s">
        <v>58</v>
      </c>
      <c r="E1420">
        <v>325</v>
      </c>
      <c r="F1420">
        <v>5</v>
      </c>
      <c r="G1420">
        <v>5</v>
      </c>
      <c r="H1420">
        <v>1</v>
      </c>
      <c r="I1420">
        <v>1</v>
      </c>
      <c r="J1420">
        <v>0.76666666666666705</v>
      </c>
      <c r="K1420">
        <v>0.84212062065022297</v>
      </c>
      <c r="L1420">
        <v>0.80262420551810298</v>
      </c>
      <c r="M1420">
        <v>0.50783699059561105</v>
      </c>
      <c r="N1420">
        <v>0.99686520376175503</v>
      </c>
      <c r="O1420">
        <v>0.67021943573667697</v>
      </c>
      <c r="P1420" t="s">
        <v>9749</v>
      </c>
      <c r="Q1420" t="s">
        <v>9750</v>
      </c>
      <c r="R1420" t="s">
        <v>869</v>
      </c>
      <c r="S1420" t="s">
        <v>870</v>
      </c>
      <c r="T1420" t="s">
        <v>9751</v>
      </c>
      <c r="U1420" t="s">
        <v>9752</v>
      </c>
      <c r="V1420" t="s">
        <v>9753</v>
      </c>
      <c r="W1420" t="s">
        <v>9754</v>
      </c>
      <c r="X1420" t="s">
        <v>9753</v>
      </c>
      <c r="Y1420" t="s">
        <v>2038</v>
      </c>
      <c r="AD1420" t="s">
        <v>5644</v>
      </c>
      <c r="AE1420" t="s">
        <v>9755</v>
      </c>
      <c r="AF1420" t="s">
        <v>9756</v>
      </c>
    </row>
    <row r="1421" spans="1:32" hidden="1" x14ac:dyDescent="0.35">
      <c r="A1421">
        <v>535</v>
      </c>
      <c r="B1421" t="s">
        <v>1035</v>
      </c>
      <c r="C1421" t="s">
        <v>72</v>
      </c>
      <c r="D1421" t="s">
        <v>60</v>
      </c>
      <c r="E1421">
        <v>1229</v>
      </c>
      <c r="F1421">
        <v>5</v>
      </c>
      <c r="G1421">
        <v>5</v>
      </c>
      <c r="H1421">
        <v>1</v>
      </c>
      <c r="I1421">
        <v>1</v>
      </c>
      <c r="J1421">
        <v>0.72559925837637396</v>
      </c>
      <c r="K1421">
        <v>0.96147670439589095</v>
      </c>
      <c r="L1421">
        <v>0.82704845430838803</v>
      </c>
      <c r="M1421">
        <v>0.488549618320611</v>
      </c>
      <c r="N1421">
        <v>1</v>
      </c>
      <c r="O1421">
        <v>0.62213740458015299</v>
      </c>
      <c r="P1421" t="s">
        <v>1041</v>
      </c>
      <c r="Q1421" t="s">
        <v>1042</v>
      </c>
      <c r="R1421" t="s">
        <v>138</v>
      </c>
      <c r="S1421" t="s">
        <v>139</v>
      </c>
      <c r="V1421" t="s">
        <v>1038</v>
      </c>
      <c r="W1421" t="s">
        <v>1039</v>
      </c>
      <c r="AF1421" t="e">
        <f>-------MHNTFPAGTFTPDTRRASAVGMVLSQASIESRLFLRHGEQQLLSIVIPLGMLIGLSTLPLLDSENPVNLVFPLTLGVSIMSAGFTGQAISVAFDRRYGALKRIGASGVPPWTIIFGKVVAVIAVCCFQALILGITAGILGWRPTFIGFGLAAIVFVIGVAAFTTLGLLVGGTLNSELVLALANLLWFIMVAAASYALIRSGDAIPHWLLAVPSVALADAMSQAFLGHLPLLNLGILVVWCAGGAAAATRLFKFTS</f>
        <v>#NAME?</v>
      </c>
    </row>
    <row r="1422" spans="1:32" hidden="1" x14ac:dyDescent="0.35">
      <c r="A1422">
        <v>536</v>
      </c>
      <c r="B1422" t="s">
        <v>1035</v>
      </c>
      <c r="C1422" t="s">
        <v>72</v>
      </c>
      <c r="D1422" t="s">
        <v>62</v>
      </c>
      <c r="E1422">
        <v>1266</v>
      </c>
      <c r="F1422">
        <v>5</v>
      </c>
      <c r="G1422">
        <v>5</v>
      </c>
      <c r="H1422">
        <v>1</v>
      </c>
      <c r="I1422">
        <v>1</v>
      </c>
      <c r="J1422">
        <v>0.72559925837637396</v>
      </c>
      <c r="K1422">
        <v>0.96147670439589095</v>
      </c>
      <c r="L1422">
        <v>0.82704845430838803</v>
      </c>
      <c r="M1422">
        <v>0.488549618320611</v>
      </c>
      <c r="N1422">
        <v>1</v>
      </c>
      <c r="O1422">
        <v>0.62213740458015299</v>
      </c>
      <c r="P1422" t="s">
        <v>1041</v>
      </c>
      <c r="Q1422" t="s">
        <v>1042</v>
      </c>
      <c r="R1422" t="s">
        <v>138</v>
      </c>
      <c r="S1422" t="s">
        <v>139</v>
      </c>
      <c r="V1422" t="s">
        <v>1038</v>
      </c>
      <c r="W1422" t="s">
        <v>1039</v>
      </c>
      <c r="AF1422" t="e">
        <f>-------MHNTFPAGTFTPDTRRASAVGMVLSQASIESRLFLRHGEQQLLSIVIPLGMLIGLSTLPLLDSENPVNLVFPLTLGVSIMSAGFTGQAISVAFDRRYGALKRIGASGVPPWTIIFGKVVAVIAVCCFQALILGITAGILGWRPTFIGFGLAAIVFVIGVAAFTTLGLLVGGTLNSELVLALANLLWFIMVAAASYALIRSGDAIPHWLLAVPSVALADAMSQAFLGHLPLLNLGILVVWCAGGAAAATRLFKFTS</f>
        <v>#NAME?</v>
      </c>
    </row>
    <row r="1423" spans="1:32" hidden="1" x14ac:dyDescent="0.35">
      <c r="A1423">
        <v>537</v>
      </c>
      <c r="B1423" t="s">
        <v>1035</v>
      </c>
      <c r="C1423" t="s">
        <v>72</v>
      </c>
      <c r="D1423" t="s">
        <v>34</v>
      </c>
      <c r="E1423">
        <v>1773</v>
      </c>
      <c r="F1423">
        <v>5</v>
      </c>
      <c r="G1423">
        <v>5</v>
      </c>
      <c r="H1423">
        <v>1</v>
      </c>
      <c r="I1423">
        <v>1</v>
      </c>
      <c r="J1423">
        <v>0.72559925837637396</v>
      </c>
      <c r="K1423">
        <v>0.96147670439589095</v>
      </c>
      <c r="L1423">
        <v>0.82704845430838803</v>
      </c>
      <c r="M1423">
        <v>0.488549618320611</v>
      </c>
      <c r="N1423">
        <v>1</v>
      </c>
      <c r="O1423">
        <v>0.62213740458015299</v>
      </c>
      <c r="P1423" t="s">
        <v>1041</v>
      </c>
      <c r="Q1423" t="s">
        <v>1042</v>
      </c>
      <c r="R1423" t="s">
        <v>138</v>
      </c>
      <c r="S1423" t="s">
        <v>139</v>
      </c>
      <c r="V1423" t="s">
        <v>1038</v>
      </c>
      <c r="W1423" t="s">
        <v>1039</v>
      </c>
      <c r="AF1423" t="e">
        <f>---------MTFPAGTFRPDPHRASTRTMLRAQAIIEAKLFLRHGEQLLLSFIIPVCMLVAITLLPVIEQDDPMRVGFPIVLAVAAMSSGFTGEAISLAFDRRYGALKRTGASGVPAGIIIVGKILGLVAVAIIQIIVLTTIALLLGWSPTPEGILTGVLVFLTGITAFTSLGMLMGGTLSSELVLGFANLIWVLLAGGASYLLVNHDTFPPI-LTAVPSVALASGLLDSFDGIFPGMALISLAGWTIIGVTAATRWFKFAD</f>
        <v>#NAME?</v>
      </c>
    </row>
    <row r="1424" spans="1:32" hidden="1" x14ac:dyDescent="0.35">
      <c r="A1424">
        <v>538</v>
      </c>
      <c r="B1424" t="s">
        <v>1035</v>
      </c>
      <c r="C1424" t="s">
        <v>72</v>
      </c>
      <c r="D1424" t="s">
        <v>45</v>
      </c>
      <c r="E1424">
        <v>1100</v>
      </c>
      <c r="F1424">
        <v>5</v>
      </c>
      <c r="G1424">
        <v>5</v>
      </c>
      <c r="H1424">
        <v>1</v>
      </c>
      <c r="I1424">
        <v>1</v>
      </c>
      <c r="J1424">
        <v>0.72559925837637396</v>
      </c>
      <c r="K1424">
        <v>0.96147670439589095</v>
      </c>
      <c r="L1424">
        <v>0.82704845430838803</v>
      </c>
      <c r="M1424">
        <v>0.488549618320611</v>
      </c>
      <c r="N1424">
        <v>1</v>
      </c>
      <c r="O1424">
        <v>0.62213740458015299</v>
      </c>
      <c r="P1424" t="s">
        <v>1041</v>
      </c>
      <c r="Q1424" t="s">
        <v>1042</v>
      </c>
      <c r="R1424" t="s">
        <v>138</v>
      </c>
      <c r="S1424" t="s">
        <v>139</v>
      </c>
      <c r="V1424" t="s">
        <v>1038</v>
      </c>
      <c r="W1424" t="s">
        <v>1039</v>
      </c>
      <c r="AF1424" t="e">
        <f>---------MTFPAGTFRPDPHRASTRTMLRAQAIIEAKLFLRHGEQLLLSFIIPVCMLVAITLLPVIEQDDPMRVGFPIVLAVAAMSSGFTGEAISLAFDRRYGALKRTGASGVPAGIIIVGKILGLVAVAIIQIIVLTTIALLLGWSPTPEGILTGVLVFLTGITAFTSLGMLMGGTLSSELVLGFANLIWVLLAGGASYLLVNHDTFPPI-LTAVPSVALASGLLDSFDGIFPGMALISLAGWTIIGVTAATRWFKFAD</f>
        <v>#NAME?</v>
      </c>
    </row>
    <row r="1425" spans="1:32" hidden="1" x14ac:dyDescent="0.35">
      <c r="A1425">
        <v>11588</v>
      </c>
      <c r="B1425" t="s">
        <v>23713</v>
      </c>
      <c r="C1425" t="s">
        <v>33</v>
      </c>
      <c r="D1425" t="s">
        <v>58</v>
      </c>
      <c r="E1425">
        <v>93</v>
      </c>
      <c r="F1425">
        <v>1</v>
      </c>
      <c r="G1425">
        <v>1</v>
      </c>
      <c r="H1425">
        <v>1</v>
      </c>
      <c r="I1425">
        <v>0</v>
      </c>
      <c r="J1425">
        <v>1</v>
      </c>
      <c r="K1425">
        <v>1</v>
      </c>
      <c r="L1425">
        <v>1</v>
      </c>
      <c r="M1425">
        <v>0</v>
      </c>
      <c r="N1425">
        <v>0</v>
      </c>
      <c r="O1425">
        <v>0</v>
      </c>
      <c r="P1425" t="s">
        <v>17973</v>
      </c>
      <c r="Q1425" t="s">
        <v>17974</v>
      </c>
      <c r="R1425" t="s">
        <v>235</v>
      </c>
      <c r="S1425" t="s">
        <v>236</v>
      </c>
      <c r="T1425" t="s">
        <v>17975</v>
      </c>
      <c r="U1425" t="s">
        <v>17976</v>
      </c>
      <c r="V1425" t="s">
        <v>17977</v>
      </c>
      <c r="W1425" t="s">
        <v>17978</v>
      </c>
      <c r="AD1425" t="s">
        <v>166</v>
      </c>
      <c r="AE1425" t="s">
        <v>818</v>
      </c>
      <c r="AF1425" t="s">
        <v>23714</v>
      </c>
    </row>
    <row r="1426" spans="1:32" hidden="1" x14ac:dyDescent="0.35">
      <c r="A1426">
        <v>955</v>
      </c>
      <c r="B1426" t="s">
        <v>1980</v>
      </c>
      <c r="C1426" t="s">
        <v>72</v>
      </c>
      <c r="D1426" t="s">
        <v>60</v>
      </c>
      <c r="E1426">
        <v>1472</v>
      </c>
      <c r="F1426">
        <v>5</v>
      </c>
      <c r="G1426">
        <v>5</v>
      </c>
      <c r="H1426">
        <v>1</v>
      </c>
      <c r="I1426">
        <v>1</v>
      </c>
      <c r="J1426">
        <v>0.90639730639730598</v>
      </c>
      <c r="K1426">
        <v>1</v>
      </c>
      <c r="L1426">
        <v>0.95090074178735395</v>
      </c>
      <c r="M1426">
        <v>0.81313131313131304</v>
      </c>
      <c r="N1426">
        <v>1</v>
      </c>
      <c r="O1426">
        <v>0.87474747474747505</v>
      </c>
      <c r="P1426" t="s">
        <v>1981</v>
      </c>
      <c r="Q1426" t="s">
        <v>1982</v>
      </c>
      <c r="R1426" t="s">
        <v>138</v>
      </c>
      <c r="S1426" t="s">
        <v>139</v>
      </c>
      <c r="T1426" t="s">
        <v>1983</v>
      </c>
      <c r="U1426" t="s">
        <v>1984</v>
      </c>
      <c r="V1426" t="s">
        <v>1985</v>
      </c>
      <c r="W1426" t="s">
        <v>1986</v>
      </c>
      <c r="AD1426" t="s">
        <v>219</v>
      </c>
      <c r="AE1426" t="s">
        <v>1987</v>
      </c>
      <c r="AF1426" t="s">
        <v>1989</v>
      </c>
    </row>
    <row r="1427" spans="1:32" hidden="1" x14ac:dyDescent="0.35">
      <c r="A1427">
        <v>956</v>
      </c>
      <c r="B1427" t="s">
        <v>1980</v>
      </c>
      <c r="C1427" t="s">
        <v>72</v>
      </c>
      <c r="D1427" t="s">
        <v>62</v>
      </c>
      <c r="E1427">
        <v>1507</v>
      </c>
      <c r="F1427">
        <v>5</v>
      </c>
      <c r="G1427">
        <v>5</v>
      </c>
      <c r="H1427">
        <v>1</v>
      </c>
      <c r="I1427">
        <v>1</v>
      </c>
      <c r="J1427">
        <v>0.90639730639730598</v>
      </c>
      <c r="K1427">
        <v>1</v>
      </c>
      <c r="L1427">
        <v>0.95090074178735395</v>
      </c>
      <c r="M1427">
        <v>0.81313131313131304</v>
      </c>
      <c r="N1427">
        <v>1</v>
      </c>
      <c r="O1427">
        <v>0.87474747474747505</v>
      </c>
      <c r="P1427" t="s">
        <v>1981</v>
      </c>
      <c r="Q1427" t="s">
        <v>1982</v>
      </c>
      <c r="R1427" t="s">
        <v>138</v>
      </c>
      <c r="S1427" t="s">
        <v>139</v>
      </c>
      <c r="T1427" t="s">
        <v>1983</v>
      </c>
      <c r="U1427" t="s">
        <v>1984</v>
      </c>
      <c r="V1427" t="s">
        <v>1985</v>
      </c>
      <c r="W1427" t="s">
        <v>1986</v>
      </c>
      <c r="AD1427" t="s">
        <v>219</v>
      </c>
      <c r="AE1427" t="s">
        <v>1987</v>
      </c>
      <c r="AF1427" t="s">
        <v>1989</v>
      </c>
    </row>
    <row r="1428" spans="1:32" hidden="1" x14ac:dyDescent="0.35">
      <c r="A1428">
        <v>957</v>
      </c>
      <c r="B1428" t="s">
        <v>1980</v>
      </c>
      <c r="C1428" t="s">
        <v>72</v>
      </c>
      <c r="D1428" t="s">
        <v>34</v>
      </c>
      <c r="E1428">
        <v>906</v>
      </c>
      <c r="F1428">
        <v>5</v>
      </c>
      <c r="G1428">
        <v>5</v>
      </c>
      <c r="H1428">
        <v>1</v>
      </c>
      <c r="I1428">
        <v>1</v>
      </c>
      <c r="J1428">
        <v>0.90639730639730598</v>
      </c>
      <c r="K1428">
        <v>1</v>
      </c>
      <c r="L1428">
        <v>0.95090074178735395</v>
      </c>
      <c r="M1428">
        <v>0.81313131313131304</v>
      </c>
      <c r="N1428">
        <v>1</v>
      </c>
      <c r="O1428">
        <v>0.87474747474747505</v>
      </c>
      <c r="P1428" t="s">
        <v>1981</v>
      </c>
      <c r="Q1428" t="s">
        <v>1982</v>
      </c>
      <c r="R1428" t="s">
        <v>138</v>
      </c>
      <c r="S1428" t="s">
        <v>139</v>
      </c>
      <c r="T1428" t="s">
        <v>1983</v>
      </c>
      <c r="U1428" t="s">
        <v>1984</v>
      </c>
      <c r="V1428" t="s">
        <v>1985</v>
      </c>
      <c r="W1428" t="s">
        <v>1986</v>
      </c>
      <c r="AD1428" t="s">
        <v>219</v>
      </c>
      <c r="AE1428" t="s">
        <v>1987</v>
      </c>
      <c r="AF1428" t="s">
        <v>1990</v>
      </c>
    </row>
    <row r="1429" spans="1:32" hidden="1" x14ac:dyDescent="0.35">
      <c r="A1429">
        <v>958</v>
      </c>
      <c r="B1429" t="s">
        <v>1980</v>
      </c>
      <c r="C1429" t="s">
        <v>72</v>
      </c>
      <c r="D1429" t="s">
        <v>45</v>
      </c>
      <c r="E1429">
        <v>2162</v>
      </c>
      <c r="F1429">
        <v>5</v>
      </c>
      <c r="G1429">
        <v>5</v>
      </c>
      <c r="H1429">
        <v>1</v>
      </c>
      <c r="I1429">
        <v>1</v>
      </c>
      <c r="J1429">
        <v>0.90639730639730598</v>
      </c>
      <c r="K1429">
        <v>1</v>
      </c>
      <c r="L1429">
        <v>0.95090074178735395</v>
      </c>
      <c r="M1429">
        <v>0.81313131313131304</v>
      </c>
      <c r="N1429">
        <v>1</v>
      </c>
      <c r="O1429">
        <v>0.87474747474747505</v>
      </c>
      <c r="P1429" t="s">
        <v>1981</v>
      </c>
      <c r="Q1429" t="s">
        <v>1982</v>
      </c>
      <c r="R1429" t="s">
        <v>138</v>
      </c>
      <c r="S1429" t="s">
        <v>139</v>
      </c>
      <c r="T1429" t="s">
        <v>1983</v>
      </c>
      <c r="U1429" t="s">
        <v>1984</v>
      </c>
      <c r="V1429" t="s">
        <v>1985</v>
      </c>
      <c r="W1429" t="s">
        <v>1986</v>
      </c>
      <c r="AD1429" t="s">
        <v>219</v>
      </c>
      <c r="AE1429" t="s">
        <v>1987</v>
      </c>
      <c r="AF1429" t="s">
        <v>1990</v>
      </c>
    </row>
    <row r="1430" spans="1:32" hidden="1" x14ac:dyDescent="0.35">
      <c r="A1430">
        <v>11918</v>
      </c>
      <c r="B1430" t="s">
        <v>24571</v>
      </c>
      <c r="C1430" t="s">
        <v>10130</v>
      </c>
      <c r="D1430" t="s">
        <v>58</v>
      </c>
      <c r="E1430">
        <v>807</v>
      </c>
      <c r="F1430">
        <v>1</v>
      </c>
      <c r="G1430">
        <v>1</v>
      </c>
      <c r="H1430">
        <v>1</v>
      </c>
      <c r="I1430">
        <v>0</v>
      </c>
      <c r="J1430">
        <v>1</v>
      </c>
      <c r="K1430">
        <v>1</v>
      </c>
      <c r="L1430">
        <v>1</v>
      </c>
      <c r="M1430">
        <v>0</v>
      </c>
      <c r="N1430">
        <v>0</v>
      </c>
      <c r="O1430">
        <v>0</v>
      </c>
      <c r="P1430" t="s">
        <v>8002</v>
      </c>
      <c r="Q1430" t="s">
        <v>8003</v>
      </c>
      <c r="R1430" t="s">
        <v>14254</v>
      </c>
      <c r="S1430" t="s">
        <v>14255</v>
      </c>
      <c r="T1430" t="s">
        <v>14256</v>
      </c>
      <c r="U1430" t="s">
        <v>14257</v>
      </c>
      <c r="V1430" t="s">
        <v>14258</v>
      </c>
      <c r="W1430" t="s">
        <v>14259</v>
      </c>
      <c r="AD1430" t="s">
        <v>8300</v>
      </c>
      <c r="AE1430" t="s">
        <v>14260</v>
      </c>
      <c r="AF1430" t="s">
        <v>24572</v>
      </c>
    </row>
    <row r="1431" spans="1:32" hidden="1" x14ac:dyDescent="0.35">
      <c r="A1431">
        <v>1195</v>
      </c>
      <c r="B1431" t="s">
        <v>2495</v>
      </c>
      <c r="C1431" t="s">
        <v>72</v>
      </c>
      <c r="D1431" t="s">
        <v>60</v>
      </c>
      <c r="E1431">
        <v>1857</v>
      </c>
      <c r="F1431">
        <v>5</v>
      </c>
      <c r="G1431">
        <v>5</v>
      </c>
      <c r="H1431">
        <v>1</v>
      </c>
      <c r="I1431">
        <v>1</v>
      </c>
      <c r="J1431">
        <v>0.73287671232876705</v>
      </c>
      <c r="K1431">
        <v>0.87261545055180301</v>
      </c>
      <c r="L1431">
        <v>0.79666479514950395</v>
      </c>
      <c r="M1431">
        <v>0.47712418300653597</v>
      </c>
      <c r="N1431">
        <v>1</v>
      </c>
      <c r="O1431">
        <v>0.642483660130719</v>
      </c>
      <c r="P1431" t="s">
        <v>2496</v>
      </c>
      <c r="Q1431" t="s">
        <v>2497</v>
      </c>
      <c r="R1431" t="s">
        <v>138</v>
      </c>
      <c r="S1431" t="s">
        <v>139</v>
      </c>
      <c r="V1431" t="s">
        <v>2498</v>
      </c>
      <c r="W1431" t="s">
        <v>2499</v>
      </c>
      <c r="AF1431" t="e">
        <f>---------------------------MNELDALQQWPAHNVAAGVVNGANTSTTG--DVHRVFELASVTKPIVAYGVLVAVEEGVFDLDTPLGPAGSTVRHLLAHASGVGFASREPERAPGERRIYSSAGFEILADAIGEESGIDFPDYLREAVFDPLGMRDTNLYGSAGHGATSTVHDLLLFVAEVLQPTLLDAQTVADAASVQFPDLSGIVPGYGMFKPCPWGLGFEVKGSKG-ASREHWTGTLLPPDTIGHFGQSGTFLWVHRPSMRAMAVLTDYAFGTWAKPLWSETNDAIWRRMNE---G</f>
        <v>#NAME?</v>
      </c>
    </row>
    <row r="1432" spans="1:32" hidden="1" x14ac:dyDescent="0.35">
      <c r="A1432">
        <v>1196</v>
      </c>
      <c r="B1432" t="s">
        <v>2495</v>
      </c>
      <c r="C1432" t="s">
        <v>72</v>
      </c>
      <c r="D1432" t="s">
        <v>62</v>
      </c>
      <c r="E1432">
        <v>1895</v>
      </c>
      <c r="F1432">
        <v>5</v>
      </c>
      <c r="G1432">
        <v>5</v>
      </c>
      <c r="H1432">
        <v>1</v>
      </c>
      <c r="I1432">
        <v>1</v>
      </c>
      <c r="J1432">
        <v>0.73287671232876705</v>
      </c>
      <c r="K1432">
        <v>0.87261545055180301</v>
      </c>
      <c r="L1432">
        <v>0.79666479514950395</v>
      </c>
      <c r="M1432">
        <v>0.47712418300653597</v>
      </c>
      <c r="N1432">
        <v>1</v>
      </c>
      <c r="O1432">
        <v>0.642483660130719</v>
      </c>
      <c r="P1432" t="s">
        <v>2496</v>
      </c>
      <c r="Q1432" t="s">
        <v>2497</v>
      </c>
      <c r="R1432" t="s">
        <v>138</v>
      </c>
      <c r="S1432" t="s">
        <v>139</v>
      </c>
      <c r="V1432" t="s">
        <v>2498</v>
      </c>
      <c r="W1432" t="s">
        <v>2499</v>
      </c>
      <c r="AF1432" t="e">
        <f>---------------------------MNELDALQQWPAHNVAAGVVNGANTSTTG--DVHRVFELASVTKPIVAYGVLVAVEEGVFDLDTPLGPAGSTVRHLLAHASGVGFASREPERAPGERRIYSSAGFEILADAIGEESGIDFPDYLREAVFDPLGMRDTNLYGSAGHGATSTVHDLLLFVAEVLQPTLLDAQTVADAASVQFPELSGIVPGYGMFKPCPWGLGFEVKGSKG-ASREHWTGTLLPPDTIGHFGQSGTFLWVHRPSMRAMAVLTDYAFGTWAKPLWSETNDAIWRRMNE---G</f>
        <v>#NAME?</v>
      </c>
    </row>
    <row r="1433" spans="1:32" hidden="1" x14ac:dyDescent="0.35">
      <c r="A1433">
        <v>1197</v>
      </c>
      <c r="B1433" t="s">
        <v>2495</v>
      </c>
      <c r="C1433" t="s">
        <v>72</v>
      </c>
      <c r="D1433" t="s">
        <v>34</v>
      </c>
      <c r="E1433">
        <v>2217</v>
      </c>
      <c r="F1433">
        <v>5</v>
      </c>
      <c r="G1433">
        <v>5</v>
      </c>
      <c r="H1433">
        <v>1</v>
      </c>
      <c r="I1433">
        <v>1</v>
      </c>
      <c r="J1433">
        <v>0.73287671232876705</v>
      </c>
      <c r="K1433">
        <v>0.87261545055180301</v>
      </c>
      <c r="L1433">
        <v>0.79666479514950395</v>
      </c>
      <c r="M1433">
        <v>0.47712418300653597</v>
      </c>
      <c r="N1433">
        <v>1</v>
      </c>
      <c r="O1433">
        <v>0.642483660130719</v>
      </c>
      <c r="P1433" t="s">
        <v>2496</v>
      </c>
      <c r="Q1433" t="s">
        <v>2497</v>
      </c>
      <c r="R1433" t="s">
        <v>138</v>
      </c>
      <c r="S1433" t="s">
        <v>139</v>
      </c>
      <c r="V1433" t="s">
        <v>2498</v>
      </c>
      <c r="W1433" t="s">
        <v>2499</v>
      </c>
      <c r="AF1433" t="s">
        <v>2501</v>
      </c>
    </row>
    <row r="1434" spans="1:32" hidden="1" x14ac:dyDescent="0.35">
      <c r="A1434">
        <v>1198</v>
      </c>
      <c r="B1434" t="s">
        <v>2495</v>
      </c>
      <c r="C1434" t="s">
        <v>72</v>
      </c>
      <c r="D1434" t="s">
        <v>45</v>
      </c>
      <c r="E1434">
        <v>659</v>
      </c>
      <c r="F1434">
        <v>5</v>
      </c>
      <c r="G1434">
        <v>5</v>
      </c>
      <c r="H1434">
        <v>1</v>
      </c>
      <c r="I1434">
        <v>1</v>
      </c>
      <c r="J1434">
        <v>0.73287671232876705</v>
      </c>
      <c r="K1434">
        <v>0.87261545055180301</v>
      </c>
      <c r="L1434">
        <v>0.79666479514950395</v>
      </c>
      <c r="M1434">
        <v>0.47712418300653597</v>
      </c>
      <c r="N1434">
        <v>1</v>
      </c>
      <c r="O1434">
        <v>0.642483660130719</v>
      </c>
      <c r="P1434" t="s">
        <v>2496</v>
      </c>
      <c r="Q1434" t="s">
        <v>2497</v>
      </c>
      <c r="R1434" t="s">
        <v>138</v>
      </c>
      <c r="S1434" t="s">
        <v>139</v>
      </c>
      <c r="V1434" t="s">
        <v>2498</v>
      </c>
      <c r="W1434" t="s">
        <v>2499</v>
      </c>
      <c r="AF1434" t="s">
        <v>2501</v>
      </c>
    </row>
    <row r="1435" spans="1:32" hidden="1" x14ac:dyDescent="0.35">
      <c r="A1435">
        <v>11087</v>
      </c>
      <c r="B1435" t="s">
        <v>22443</v>
      </c>
      <c r="C1435" t="s">
        <v>33</v>
      </c>
      <c r="D1435" t="s">
        <v>58</v>
      </c>
      <c r="E1435">
        <v>1499</v>
      </c>
      <c r="F1435">
        <v>1</v>
      </c>
      <c r="G1435">
        <v>1</v>
      </c>
      <c r="H1435">
        <v>1</v>
      </c>
      <c r="I1435">
        <v>0</v>
      </c>
      <c r="J1435">
        <v>1</v>
      </c>
      <c r="K1435">
        <v>1</v>
      </c>
      <c r="L1435">
        <v>1</v>
      </c>
      <c r="M1435">
        <v>0</v>
      </c>
      <c r="N1435">
        <v>0</v>
      </c>
      <c r="O1435">
        <v>0</v>
      </c>
      <c r="P1435" t="s">
        <v>22444</v>
      </c>
      <c r="Q1435" t="s">
        <v>22445</v>
      </c>
      <c r="R1435" t="s">
        <v>342</v>
      </c>
      <c r="S1435" t="s">
        <v>343</v>
      </c>
      <c r="V1435" t="s">
        <v>22446</v>
      </c>
      <c r="W1435" t="s">
        <v>22447</v>
      </c>
      <c r="AF1435" t="s">
        <v>22448</v>
      </c>
    </row>
    <row r="1436" spans="1:32" hidden="1" x14ac:dyDescent="0.35">
      <c r="A1436">
        <v>1545</v>
      </c>
      <c r="B1436" t="s">
        <v>3231</v>
      </c>
      <c r="C1436" t="s">
        <v>72</v>
      </c>
      <c r="D1436" t="s">
        <v>60</v>
      </c>
      <c r="E1436">
        <v>2400</v>
      </c>
      <c r="F1436">
        <v>5</v>
      </c>
      <c r="G1436">
        <v>5</v>
      </c>
      <c r="H1436">
        <v>1</v>
      </c>
      <c r="I1436">
        <v>1</v>
      </c>
      <c r="J1436">
        <v>0.720566094549834</v>
      </c>
      <c r="K1436">
        <v>0.97154472296735195</v>
      </c>
      <c r="L1436">
        <v>0.82744248126287401</v>
      </c>
      <c r="M1436">
        <v>0.487719298245614</v>
      </c>
      <c r="N1436">
        <v>1</v>
      </c>
      <c r="O1436">
        <v>0.64350877192982503</v>
      </c>
      <c r="P1436" t="s">
        <v>3232</v>
      </c>
      <c r="Q1436" t="s">
        <v>3233</v>
      </c>
      <c r="R1436" t="s">
        <v>138</v>
      </c>
      <c r="S1436" t="s">
        <v>139</v>
      </c>
      <c r="T1436" t="s">
        <v>3234</v>
      </c>
      <c r="U1436" t="s">
        <v>3235</v>
      </c>
      <c r="V1436" t="s">
        <v>3236</v>
      </c>
      <c r="W1436" t="s">
        <v>3237</v>
      </c>
      <c r="Z1436" t="s">
        <v>3238</v>
      </c>
      <c r="AA1436" t="s">
        <v>3239</v>
      </c>
      <c r="AB1436" t="s">
        <v>3238</v>
      </c>
      <c r="AC1436" t="s">
        <v>3240</v>
      </c>
      <c r="AD1436" t="s">
        <v>3241</v>
      </c>
      <c r="AE1436" t="s">
        <v>3242</v>
      </c>
      <c r="AF1436" t="s">
        <v>3243</v>
      </c>
    </row>
    <row r="1437" spans="1:32" hidden="1" x14ac:dyDescent="0.35">
      <c r="A1437">
        <v>1546</v>
      </c>
      <c r="B1437" t="s">
        <v>3231</v>
      </c>
      <c r="C1437" t="s">
        <v>72</v>
      </c>
      <c r="D1437" t="s">
        <v>62</v>
      </c>
      <c r="E1437">
        <v>2427</v>
      </c>
      <c r="F1437">
        <v>5</v>
      </c>
      <c r="G1437">
        <v>5</v>
      </c>
      <c r="H1437">
        <v>1</v>
      </c>
      <c r="I1437">
        <v>1</v>
      </c>
      <c r="J1437">
        <v>0.720566094549834</v>
      </c>
      <c r="K1437">
        <v>0.97154472296735195</v>
      </c>
      <c r="L1437">
        <v>0.82744248126287401</v>
      </c>
      <c r="M1437">
        <v>0.487719298245614</v>
      </c>
      <c r="N1437">
        <v>1</v>
      </c>
      <c r="O1437">
        <v>0.64350877192982503</v>
      </c>
      <c r="P1437" t="s">
        <v>3232</v>
      </c>
      <c r="Q1437" t="s">
        <v>3233</v>
      </c>
      <c r="R1437" t="s">
        <v>138</v>
      </c>
      <c r="S1437" t="s">
        <v>139</v>
      </c>
      <c r="T1437" t="s">
        <v>3234</v>
      </c>
      <c r="U1437" t="s">
        <v>3235</v>
      </c>
      <c r="V1437" t="s">
        <v>3236</v>
      </c>
      <c r="W1437" t="s">
        <v>3237</v>
      </c>
      <c r="Z1437" t="s">
        <v>3238</v>
      </c>
      <c r="AA1437" t="s">
        <v>3239</v>
      </c>
      <c r="AB1437" t="s">
        <v>3238</v>
      </c>
      <c r="AC1437" t="s">
        <v>3240</v>
      </c>
      <c r="AD1437" t="s">
        <v>3241</v>
      </c>
      <c r="AE1437" t="s">
        <v>3242</v>
      </c>
      <c r="AF1437" t="s">
        <v>3244</v>
      </c>
    </row>
    <row r="1438" spans="1:32" hidden="1" x14ac:dyDescent="0.35">
      <c r="A1438">
        <v>1547</v>
      </c>
      <c r="B1438" t="s">
        <v>3231</v>
      </c>
      <c r="C1438" t="s">
        <v>72</v>
      </c>
      <c r="D1438" t="s">
        <v>34</v>
      </c>
      <c r="E1438">
        <v>1340</v>
      </c>
      <c r="F1438">
        <v>5</v>
      </c>
      <c r="G1438">
        <v>5</v>
      </c>
      <c r="H1438">
        <v>1</v>
      </c>
      <c r="I1438">
        <v>1</v>
      </c>
      <c r="J1438">
        <v>0.720566094549834</v>
      </c>
      <c r="K1438">
        <v>0.97154472296735195</v>
      </c>
      <c r="L1438">
        <v>0.82744248126287401</v>
      </c>
      <c r="M1438">
        <v>0.487719298245614</v>
      </c>
      <c r="N1438">
        <v>1</v>
      </c>
      <c r="O1438">
        <v>0.64350877192982503</v>
      </c>
      <c r="P1438" t="s">
        <v>3232</v>
      </c>
      <c r="Q1438" t="s">
        <v>3233</v>
      </c>
      <c r="R1438" t="s">
        <v>138</v>
      </c>
      <c r="S1438" t="s">
        <v>139</v>
      </c>
      <c r="T1438" t="s">
        <v>3234</v>
      </c>
      <c r="U1438" t="s">
        <v>3235</v>
      </c>
      <c r="V1438" t="s">
        <v>3236</v>
      </c>
      <c r="W1438" t="s">
        <v>3237</v>
      </c>
      <c r="Z1438" t="s">
        <v>3238</v>
      </c>
      <c r="AA1438" t="s">
        <v>3239</v>
      </c>
      <c r="AB1438" t="s">
        <v>3238</v>
      </c>
      <c r="AC1438" t="s">
        <v>3240</v>
      </c>
      <c r="AD1438" t="s">
        <v>3241</v>
      </c>
      <c r="AE1438" t="s">
        <v>3242</v>
      </c>
      <c r="AF1438" t="s">
        <v>3245</v>
      </c>
    </row>
    <row r="1439" spans="1:32" hidden="1" x14ac:dyDescent="0.35">
      <c r="A1439">
        <v>1548</v>
      </c>
      <c r="B1439" t="s">
        <v>3231</v>
      </c>
      <c r="C1439" t="s">
        <v>72</v>
      </c>
      <c r="D1439" t="s">
        <v>45</v>
      </c>
      <c r="E1439">
        <v>91</v>
      </c>
      <c r="F1439">
        <v>5</v>
      </c>
      <c r="G1439">
        <v>5</v>
      </c>
      <c r="H1439">
        <v>1</v>
      </c>
      <c r="I1439">
        <v>1</v>
      </c>
      <c r="J1439">
        <v>0.720566094549834</v>
      </c>
      <c r="K1439">
        <v>0.97154472296735195</v>
      </c>
      <c r="L1439">
        <v>0.82744248126287401</v>
      </c>
      <c r="M1439">
        <v>0.487719298245614</v>
      </c>
      <c r="N1439">
        <v>1</v>
      </c>
      <c r="O1439">
        <v>0.64350877192982503</v>
      </c>
      <c r="P1439" t="s">
        <v>3232</v>
      </c>
      <c r="Q1439" t="s">
        <v>3233</v>
      </c>
      <c r="R1439" t="s">
        <v>138</v>
      </c>
      <c r="S1439" t="s">
        <v>139</v>
      </c>
      <c r="T1439" t="s">
        <v>3234</v>
      </c>
      <c r="U1439" t="s">
        <v>3235</v>
      </c>
      <c r="V1439" t="s">
        <v>3236</v>
      </c>
      <c r="W1439" t="s">
        <v>3237</v>
      </c>
      <c r="Z1439" t="s">
        <v>3238</v>
      </c>
      <c r="AA1439" t="s">
        <v>3239</v>
      </c>
      <c r="AB1439" t="s">
        <v>3238</v>
      </c>
      <c r="AC1439" t="s">
        <v>3240</v>
      </c>
      <c r="AD1439" t="s">
        <v>3241</v>
      </c>
      <c r="AE1439" t="s">
        <v>3242</v>
      </c>
      <c r="AF1439" t="s">
        <v>3245</v>
      </c>
    </row>
    <row r="1440" spans="1:32" hidden="1" x14ac:dyDescent="0.35">
      <c r="A1440">
        <v>974</v>
      </c>
      <c r="B1440" t="s">
        <v>2021</v>
      </c>
      <c r="C1440" t="s">
        <v>72</v>
      </c>
      <c r="D1440" t="s">
        <v>58</v>
      </c>
      <c r="E1440">
        <v>113</v>
      </c>
      <c r="F1440">
        <v>5</v>
      </c>
      <c r="G1440">
        <v>5</v>
      </c>
      <c r="H1440">
        <v>1</v>
      </c>
      <c r="I1440">
        <v>1</v>
      </c>
      <c r="J1440">
        <v>0.95389133627019096</v>
      </c>
      <c r="K1440">
        <v>1</v>
      </c>
      <c r="L1440">
        <v>0.97640162332782199</v>
      </c>
      <c r="M1440">
        <v>0.91189427312775295</v>
      </c>
      <c r="N1440">
        <v>1</v>
      </c>
      <c r="O1440">
        <v>0.93392070484581502</v>
      </c>
      <c r="P1440" t="s">
        <v>2022</v>
      </c>
      <c r="Q1440" t="s">
        <v>2023</v>
      </c>
      <c r="R1440" t="s">
        <v>1191</v>
      </c>
      <c r="S1440" t="s">
        <v>1192</v>
      </c>
      <c r="T1440" t="s">
        <v>2024</v>
      </c>
      <c r="U1440" t="s">
        <v>2025</v>
      </c>
      <c r="V1440" t="s">
        <v>2026</v>
      </c>
      <c r="W1440" t="s">
        <v>2027</v>
      </c>
      <c r="AD1440" t="s">
        <v>2028</v>
      </c>
      <c r="AE1440" t="s">
        <v>2029</v>
      </c>
      <c r="AF1440" t="s">
        <v>2030</v>
      </c>
    </row>
    <row r="1441" spans="1:32" hidden="1" x14ac:dyDescent="0.35">
      <c r="A1441">
        <v>1775</v>
      </c>
      <c r="B1441" t="s">
        <v>3690</v>
      </c>
      <c r="C1441" t="s">
        <v>72</v>
      </c>
      <c r="D1441" t="s">
        <v>60</v>
      </c>
      <c r="E1441">
        <v>1230</v>
      </c>
      <c r="F1441">
        <v>5</v>
      </c>
      <c r="G1441">
        <v>5</v>
      </c>
      <c r="H1441">
        <v>1</v>
      </c>
      <c r="I1441">
        <v>1</v>
      </c>
      <c r="J1441">
        <v>0.73666554847366705</v>
      </c>
      <c r="K1441">
        <v>0.86129483941983997</v>
      </c>
      <c r="L1441">
        <v>0.79412010471067995</v>
      </c>
      <c r="M1441">
        <v>0.52840909090909105</v>
      </c>
      <c r="N1441">
        <v>1</v>
      </c>
      <c r="O1441">
        <v>0.63948863636363595</v>
      </c>
      <c r="P1441" t="s">
        <v>169</v>
      </c>
      <c r="Q1441" t="s">
        <v>170</v>
      </c>
      <c r="R1441" t="s">
        <v>138</v>
      </c>
      <c r="S1441" t="s">
        <v>139</v>
      </c>
      <c r="T1441" t="s">
        <v>3691</v>
      </c>
      <c r="U1441" t="s">
        <v>3692</v>
      </c>
      <c r="V1441" t="s">
        <v>3693</v>
      </c>
      <c r="W1441" t="s">
        <v>3694</v>
      </c>
      <c r="AD1441" t="s">
        <v>166</v>
      </c>
      <c r="AE1441" t="s">
        <v>3695</v>
      </c>
      <c r="AF1441" t="s">
        <v>3697</v>
      </c>
    </row>
    <row r="1442" spans="1:32" hidden="1" x14ac:dyDescent="0.35">
      <c r="A1442">
        <v>1776</v>
      </c>
      <c r="B1442" t="s">
        <v>3690</v>
      </c>
      <c r="C1442" t="s">
        <v>72</v>
      </c>
      <c r="D1442" t="s">
        <v>62</v>
      </c>
      <c r="E1442">
        <v>1267</v>
      </c>
      <c r="F1442">
        <v>5</v>
      </c>
      <c r="G1442">
        <v>5</v>
      </c>
      <c r="H1442">
        <v>1</v>
      </c>
      <c r="I1442">
        <v>1</v>
      </c>
      <c r="J1442">
        <v>0.73666554847366705</v>
      </c>
      <c r="K1442">
        <v>0.86129483941983997</v>
      </c>
      <c r="L1442">
        <v>0.79412010471067995</v>
      </c>
      <c r="M1442">
        <v>0.52840909090909105</v>
      </c>
      <c r="N1442">
        <v>1</v>
      </c>
      <c r="O1442">
        <v>0.63948863636363595</v>
      </c>
      <c r="P1442" t="s">
        <v>169</v>
      </c>
      <c r="Q1442" t="s">
        <v>170</v>
      </c>
      <c r="R1442" t="s">
        <v>138</v>
      </c>
      <c r="S1442" t="s">
        <v>139</v>
      </c>
      <c r="T1442" t="s">
        <v>3691</v>
      </c>
      <c r="U1442" t="s">
        <v>3692</v>
      </c>
      <c r="V1442" t="s">
        <v>3693</v>
      </c>
      <c r="W1442" t="s">
        <v>3694</v>
      </c>
      <c r="AD1442" t="s">
        <v>166</v>
      </c>
      <c r="AE1442" t="s">
        <v>3695</v>
      </c>
      <c r="AF1442" t="s">
        <v>3697</v>
      </c>
    </row>
    <row r="1443" spans="1:32" hidden="1" x14ac:dyDescent="0.35">
      <c r="A1443">
        <v>1777</v>
      </c>
      <c r="B1443" t="s">
        <v>3690</v>
      </c>
      <c r="C1443" t="s">
        <v>72</v>
      </c>
      <c r="D1443" t="s">
        <v>34</v>
      </c>
      <c r="E1443">
        <v>1772</v>
      </c>
      <c r="F1443">
        <v>5</v>
      </c>
      <c r="G1443">
        <v>5</v>
      </c>
      <c r="H1443">
        <v>1</v>
      </c>
      <c r="I1443">
        <v>1</v>
      </c>
      <c r="J1443">
        <v>0.73666554847366705</v>
      </c>
      <c r="K1443">
        <v>0.86129483941983997</v>
      </c>
      <c r="L1443">
        <v>0.79412010471067995</v>
      </c>
      <c r="M1443">
        <v>0.52840909090909105</v>
      </c>
      <c r="N1443">
        <v>1</v>
      </c>
      <c r="O1443">
        <v>0.63948863636363595</v>
      </c>
      <c r="P1443" t="s">
        <v>169</v>
      </c>
      <c r="Q1443" t="s">
        <v>170</v>
      </c>
      <c r="R1443" t="s">
        <v>138</v>
      </c>
      <c r="S1443" t="s">
        <v>139</v>
      </c>
      <c r="T1443" t="s">
        <v>3691</v>
      </c>
      <c r="U1443" t="s">
        <v>3692</v>
      </c>
      <c r="V1443" t="s">
        <v>3693</v>
      </c>
      <c r="W1443" t="s">
        <v>3694</v>
      </c>
      <c r="AD1443" t="s">
        <v>166</v>
      </c>
      <c r="AE1443" t="s">
        <v>3695</v>
      </c>
      <c r="AF1443" t="e">
        <f>----------------------------------MSFPYALELVDVVKRFGDHTAVDNVSFTVETGTIMALLGPNGAGKTTTIEMCEGFQRPDSGKISVLGMSPATEPDKVRAQVGIMLQDSGSYSGIRVREMLELTASYSRDPLKPEWLLELFGLQNVQRTTYRRLSGGQKQRLNLAVALISRPRLVFVDEPTAGMDAQSRLLVWDLLRALRSDGVTVILTTHLMDEAQALADRVTIVDRGRVVAQGTPAELQAATA---TTIHFETDGDVDLSRGEW---------QKLGVSATKPRTYVLHTT--PRPEVVAKLAQQAASDGVLITHLDTHARSLEDAFLDITGRTLRS</f>
        <v>#NAME?</v>
      </c>
    </row>
    <row r="1444" spans="1:32" hidden="1" x14ac:dyDescent="0.35">
      <c r="A1444">
        <v>1778</v>
      </c>
      <c r="B1444" t="s">
        <v>3690</v>
      </c>
      <c r="C1444" t="s">
        <v>72</v>
      </c>
      <c r="D1444" t="s">
        <v>45</v>
      </c>
      <c r="E1444">
        <v>1101</v>
      </c>
      <c r="F1444">
        <v>5</v>
      </c>
      <c r="G1444">
        <v>5</v>
      </c>
      <c r="H1444">
        <v>1</v>
      </c>
      <c r="I1444">
        <v>1</v>
      </c>
      <c r="J1444">
        <v>0.73666554847366705</v>
      </c>
      <c r="K1444">
        <v>0.86129483941983997</v>
      </c>
      <c r="L1444">
        <v>0.79412010471067995</v>
      </c>
      <c r="M1444">
        <v>0.52840909090909105</v>
      </c>
      <c r="N1444">
        <v>1</v>
      </c>
      <c r="O1444">
        <v>0.63948863636363595</v>
      </c>
      <c r="P1444" t="s">
        <v>169</v>
      </c>
      <c r="Q1444" t="s">
        <v>170</v>
      </c>
      <c r="R1444" t="s">
        <v>138</v>
      </c>
      <c r="S1444" t="s">
        <v>139</v>
      </c>
      <c r="T1444" t="s">
        <v>3691</v>
      </c>
      <c r="U1444" t="s">
        <v>3692</v>
      </c>
      <c r="V1444" t="s">
        <v>3693</v>
      </c>
      <c r="W1444" t="s">
        <v>3694</v>
      </c>
      <c r="AD1444" t="s">
        <v>166</v>
      </c>
      <c r="AE1444" t="s">
        <v>3695</v>
      </c>
      <c r="AF1444" t="e">
        <f>----------------------------------MSFPYALELVDVVKRFGDHTAVDNVSFTVETGTIMALLGPNGAGKTTTIEMCEGFQRPDSGKISVLGMSPATEPDKVRAQVGIMLQDSGSYSGIRVREMLELTASYSRDPLAPDWLLELFGLQNVQRTTYRRLSGGQKQRLNLAVALISRPRLVFVDEPTAGMDAQSRLLVWDLLRALRSDGVTVILTTHLMDEAQALADRVTIVDRGRVVAQGTPAELQAATA---TTIHFETDGDVDLSRGEW---------QKLGVSATKPRTYVLHTT--PRPEVVAKLAQQAAADGVLITHLDTHARSLEDAFLDITGRTLRS</f>
        <v>#NAME?</v>
      </c>
    </row>
    <row r="1445" spans="1:32" hidden="1" x14ac:dyDescent="0.35">
      <c r="A1445">
        <v>769</v>
      </c>
      <c r="B1445" t="s">
        <v>1571</v>
      </c>
      <c r="C1445" t="s">
        <v>72</v>
      </c>
      <c r="D1445" t="s">
        <v>58</v>
      </c>
      <c r="E1445">
        <v>1679</v>
      </c>
      <c r="F1445">
        <v>5</v>
      </c>
      <c r="G1445">
        <v>5</v>
      </c>
      <c r="H1445">
        <v>1</v>
      </c>
      <c r="I1445">
        <v>1</v>
      </c>
      <c r="J1445">
        <v>0.74351851851851802</v>
      </c>
      <c r="K1445">
        <v>0.86190096554167805</v>
      </c>
      <c r="L1445">
        <v>0.79834502492583403</v>
      </c>
      <c r="M1445">
        <v>0.38967136150234699</v>
      </c>
      <c r="N1445">
        <v>1</v>
      </c>
      <c r="O1445">
        <v>0.58262910798122103</v>
      </c>
      <c r="P1445" t="s">
        <v>1572</v>
      </c>
      <c r="Q1445" t="s">
        <v>1573</v>
      </c>
      <c r="R1445" t="s">
        <v>342</v>
      </c>
      <c r="S1445" t="s">
        <v>343</v>
      </c>
      <c r="T1445" t="s">
        <v>1574</v>
      </c>
      <c r="U1445" t="s">
        <v>1575</v>
      </c>
      <c r="V1445" t="s">
        <v>1576</v>
      </c>
      <c r="W1445" t="s">
        <v>1577</v>
      </c>
      <c r="AD1445" t="s">
        <v>219</v>
      </c>
      <c r="AE1445" t="s">
        <v>1578</v>
      </c>
      <c r="AF1445" t="e">
        <f>---MFLMRDAERTPHAIWEALQAGNRRFMNFEETRPNQDHRRRVELTAGQEPHAVVLACSDSRVPVEMIFDQGLGDIFVIRTAGEIIDLAVLGSLEYAVQGLHVPLIVVLGHESCGAV-AATQAALDGHEIPGGFQRVLIEKVSPSILEARAMGKTTTEEFEAHHVAETVDQIMSRSPEIKAAVAKGRMGIVGVRYRLSDGLAEPVVEIGVEA</f>
        <v>#NAME?</v>
      </c>
    </row>
    <row r="1446" spans="1:32" hidden="1" x14ac:dyDescent="0.35">
      <c r="A1446">
        <v>2300</v>
      </c>
      <c r="B1446" t="s">
        <v>4782</v>
      </c>
      <c r="C1446" t="s">
        <v>72</v>
      </c>
      <c r="D1446" t="s">
        <v>60</v>
      </c>
      <c r="E1446">
        <v>444</v>
      </c>
      <c r="F1446">
        <v>5</v>
      </c>
      <c r="G1446">
        <v>5</v>
      </c>
      <c r="H1446">
        <v>1</v>
      </c>
      <c r="I1446">
        <v>1</v>
      </c>
      <c r="J1446">
        <v>0.77115384615384597</v>
      </c>
      <c r="K1446">
        <v>0.99047619047618995</v>
      </c>
      <c r="L1446">
        <v>0.86716223943442305</v>
      </c>
      <c r="M1446">
        <v>0.63809523809523805</v>
      </c>
      <c r="N1446">
        <v>1</v>
      </c>
      <c r="O1446">
        <v>0.72</v>
      </c>
      <c r="P1446" t="s">
        <v>4783</v>
      </c>
      <c r="Q1446" t="s">
        <v>4784</v>
      </c>
      <c r="R1446" t="s">
        <v>138</v>
      </c>
      <c r="S1446" t="s">
        <v>139</v>
      </c>
      <c r="T1446" t="s">
        <v>4785</v>
      </c>
      <c r="U1446" t="s">
        <v>4786</v>
      </c>
      <c r="V1446" t="s">
        <v>4787</v>
      </c>
      <c r="W1446" t="s">
        <v>4788</v>
      </c>
      <c r="AD1446" t="s">
        <v>4789</v>
      </c>
      <c r="AE1446" t="s">
        <v>4790</v>
      </c>
      <c r="AF1446" t="s">
        <v>4792</v>
      </c>
    </row>
    <row r="1447" spans="1:32" hidden="1" x14ac:dyDescent="0.35">
      <c r="A1447">
        <v>2301</v>
      </c>
      <c r="B1447" t="s">
        <v>4782</v>
      </c>
      <c r="C1447" t="s">
        <v>72</v>
      </c>
      <c r="D1447" t="s">
        <v>62</v>
      </c>
      <c r="E1447">
        <v>525</v>
      </c>
      <c r="F1447">
        <v>5</v>
      </c>
      <c r="G1447">
        <v>5</v>
      </c>
      <c r="H1447">
        <v>1</v>
      </c>
      <c r="I1447">
        <v>1</v>
      </c>
      <c r="J1447">
        <v>0.77115384615384597</v>
      </c>
      <c r="K1447">
        <v>0.99047619047618995</v>
      </c>
      <c r="L1447">
        <v>0.86716223943442305</v>
      </c>
      <c r="M1447">
        <v>0.63809523809523805</v>
      </c>
      <c r="N1447">
        <v>1</v>
      </c>
      <c r="O1447">
        <v>0.72</v>
      </c>
      <c r="P1447" t="s">
        <v>4783</v>
      </c>
      <c r="Q1447" t="s">
        <v>4784</v>
      </c>
      <c r="R1447" t="s">
        <v>138</v>
      </c>
      <c r="S1447" t="s">
        <v>139</v>
      </c>
      <c r="T1447" t="s">
        <v>4785</v>
      </c>
      <c r="U1447" t="s">
        <v>4786</v>
      </c>
      <c r="V1447" t="s">
        <v>4787</v>
      </c>
      <c r="W1447" t="s">
        <v>4788</v>
      </c>
      <c r="AD1447" t="s">
        <v>4789</v>
      </c>
      <c r="AE1447" t="s">
        <v>4790</v>
      </c>
      <c r="AF1447" t="s">
        <v>4792</v>
      </c>
    </row>
    <row r="1448" spans="1:32" hidden="1" x14ac:dyDescent="0.35">
      <c r="A1448">
        <v>2302</v>
      </c>
      <c r="B1448" t="s">
        <v>4782</v>
      </c>
      <c r="C1448" t="s">
        <v>72</v>
      </c>
      <c r="D1448" t="s">
        <v>34</v>
      </c>
      <c r="E1448">
        <v>642</v>
      </c>
      <c r="F1448">
        <v>5</v>
      </c>
      <c r="G1448">
        <v>5</v>
      </c>
      <c r="H1448">
        <v>1</v>
      </c>
      <c r="I1448">
        <v>1</v>
      </c>
      <c r="J1448">
        <v>0.77115384615384597</v>
      </c>
      <c r="K1448">
        <v>0.99047619047618995</v>
      </c>
      <c r="L1448">
        <v>0.86716223943442305</v>
      </c>
      <c r="M1448">
        <v>0.63809523809523805</v>
      </c>
      <c r="N1448">
        <v>1</v>
      </c>
      <c r="O1448">
        <v>0.72</v>
      </c>
      <c r="P1448" t="s">
        <v>4783</v>
      </c>
      <c r="Q1448" t="s">
        <v>4784</v>
      </c>
      <c r="R1448" t="s">
        <v>138</v>
      </c>
      <c r="S1448" t="s">
        <v>139</v>
      </c>
      <c r="T1448" t="s">
        <v>4785</v>
      </c>
      <c r="U1448" t="s">
        <v>4786</v>
      </c>
      <c r="V1448" t="s">
        <v>4787</v>
      </c>
      <c r="W1448" t="s">
        <v>4788</v>
      </c>
      <c r="AD1448" t="s">
        <v>4789</v>
      </c>
      <c r="AE1448" t="s">
        <v>4790</v>
      </c>
      <c r="AF1448" t="s">
        <v>4793</v>
      </c>
    </row>
    <row r="1449" spans="1:32" hidden="1" x14ac:dyDescent="0.35">
      <c r="A1449">
        <v>2303</v>
      </c>
      <c r="B1449" t="s">
        <v>4782</v>
      </c>
      <c r="C1449" t="s">
        <v>72</v>
      </c>
      <c r="D1449" t="s">
        <v>45</v>
      </c>
      <c r="E1449">
        <v>1908</v>
      </c>
      <c r="F1449">
        <v>5</v>
      </c>
      <c r="G1449">
        <v>5</v>
      </c>
      <c r="H1449">
        <v>1</v>
      </c>
      <c r="I1449">
        <v>1</v>
      </c>
      <c r="J1449">
        <v>0.77115384615384597</v>
      </c>
      <c r="K1449">
        <v>0.99047619047618995</v>
      </c>
      <c r="L1449">
        <v>0.86716223943442305</v>
      </c>
      <c r="M1449">
        <v>0.63809523809523805</v>
      </c>
      <c r="N1449">
        <v>1</v>
      </c>
      <c r="O1449">
        <v>0.72</v>
      </c>
      <c r="P1449" t="s">
        <v>4783</v>
      </c>
      <c r="Q1449" t="s">
        <v>4784</v>
      </c>
      <c r="R1449" t="s">
        <v>138</v>
      </c>
      <c r="S1449" t="s">
        <v>139</v>
      </c>
      <c r="T1449" t="s">
        <v>4785</v>
      </c>
      <c r="U1449" t="s">
        <v>4786</v>
      </c>
      <c r="V1449" t="s">
        <v>4787</v>
      </c>
      <c r="W1449" t="s">
        <v>4788</v>
      </c>
      <c r="AD1449" t="s">
        <v>4789</v>
      </c>
      <c r="AE1449" t="s">
        <v>4790</v>
      </c>
      <c r="AF1449" t="s">
        <v>4793</v>
      </c>
    </row>
    <row r="1450" spans="1:32" hidden="1" x14ac:dyDescent="0.35">
      <c r="A1450">
        <v>11739</v>
      </c>
      <c r="B1450" t="s">
        <v>24113</v>
      </c>
      <c r="C1450" t="s">
        <v>33</v>
      </c>
      <c r="D1450" t="s">
        <v>58</v>
      </c>
      <c r="E1450">
        <v>1404</v>
      </c>
      <c r="F1450">
        <v>1</v>
      </c>
      <c r="G1450">
        <v>1</v>
      </c>
      <c r="H1450">
        <v>1</v>
      </c>
      <c r="I1450">
        <v>0</v>
      </c>
      <c r="J1450">
        <v>1</v>
      </c>
      <c r="K1450">
        <v>1</v>
      </c>
      <c r="L1450">
        <v>1</v>
      </c>
      <c r="M1450">
        <v>0</v>
      </c>
      <c r="N1450">
        <v>0</v>
      </c>
      <c r="O1450">
        <v>0</v>
      </c>
      <c r="P1450" t="s">
        <v>10846</v>
      </c>
      <c r="Q1450" t="s">
        <v>10847</v>
      </c>
      <c r="R1450" t="s">
        <v>75</v>
      </c>
      <c r="S1450" t="s">
        <v>76</v>
      </c>
      <c r="V1450" t="s">
        <v>10850</v>
      </c>
      <c r="W1450" t="s">
        <v>10851</v>
      </c>
      <c r="AF1450" t="s">
        <v>24114</v>
      </c>
    </row>
    <row r="1451" spans="1:32" hidden="1" x14ac:dyDescent="0.35">
      <c r="A1451">
        <v>2770</v>
      </c>
      <c r="B1451" t="s">
        <v>5740</v>
      </c>
      <c r="C1451" t="s">
        <v>72</v>
      </c>
      <c r="D1451" t="s">
        <v>60</v>
      </c>
      <c r="E1451">
        <v>2424</v>
      </c>
      <c r="F1451">
        <v>5</v>
      </c>
      <c r="G1451">
        <v>5</v>
      </c>
      <c r="H1451">
        <v>1</v>
      </c>
      <c r="I1451">
        <v>1</v>
      </c>
      <c r="J1451">
        <v>0.75142576204523104</v>
      </c>
      <c r="K1451">
        <v>0.94384246363354996</v>
      </c>
      <c r="L1451">
        <v>0.83671425175507597</v>
      </c>
      <c r="M1451">
        <v>0.58611111111111103</v>
      </c>
      <c r="N1451">
        <v>1</v>
      </c>
      <c r="O1451">
        <v>0.67777777777777803</v>
      </c>
      <c r="P1451" t="s">
        <v>136</v>
      </c>
      <c r="Q1451" t="s">
        <v>137</v>
      </c>
      <c r="R1451" t="s">
        <v>138</v>
      </c>
      <c r="S1451" t="s">
        <v>139</v>
      </c>
      <c r="T1451" t="s">
        <v>140</v>
      </c>
      <c r="U1451" t="s">
        <v>141</v>
      </c>
      <c r="V1451" t="s">
        <v>142</v>
      </c>
      <c r="W1451" t="s">
        <v>143</v>
      </c>
      <c r="Z1451" t="s">
        <v>144</v>
      </c>
      <c r="AA1451" t="s">
        <v>145</v>
      </c>
      <c r="AB1451" t="s">
        <v>144</v>
      </c>
      <c r="AC1451" t="s">
        <v>146</v>
      </c>
      <c r="AD1451" t="s">
        <v>147</v>
      </c>
      <c r="AE1451" t="s">
        <v>148</v>
      </c>
      <c r="AF1451" t="s">
        <v>5742</v>
      </c>
    </row>
    <row r="1452" spans="1:32" hidden="1" x14ac:dyDescent="0.35">
      <c r="A1452">
        <v>2771</v>
      </c>
      <c r="B1452" t="s">
        <v>5740</v>
      </c>
      <c r="C1452" t="s">
        <v>72</v>
      </c>
      <c r="D1452" t="s">
        <v>62</v>
      </c>
      <c r="E1452">
        <v>2451</v>
      </c>
      <c r="F1452">
        <v>5</v>
      </c>
      <c r="G1452">
        <v>5</v>
      </c>
      <c r="H1452">
        <v>1</v>
      </c>
      <c r="I1452">
        <v>1</v>
      </c>
      <c r="J1452">
        <v>0.75142576204523104</v>
      </c>
      <c r="K1452">
        <v>0.94384246363354996</v>
      </c>
      <c r="L1452">
        <v>0.83671425175507597</v>
      </c>
      <c r="M1452">
        <v>0.58611111111111103</v>
      </c>
      <c r="N1452">
        <v>1</v>
      </c>
      <c r="O1452">
        <v>0.67777777777777803</v>
      </c>
      <c r="P1452" t="s">
        <v>136</v>
      </c>
      <c r="Q1452" t="s">
        <v>137</v>
      </c>
      <c r="R1452" t="s">
        <v>138</v>
      </c>
      <c r="S1452" t="s">
        <v>139</v>
      </c>
      <c r="T1452" t="s">
        <v>140</v>
      </c>
      <c r="U1452" t="s">
        <v>141</v>
      </c>
      <c r="V1452" t="s">
        <v>142</v>
      </c>
      <c r="W1452" t="s">
        <v>143</v>
      </c>
      <c r="Z1452" t="s">
        <v>144</v>
      </c>
      <c r="AA1452" t="s">
        <v>145</v>
      </c>
      <c r="AB1452" t="s">
        <v>144</v>
      </c>
      <c r="AC1452" t="s">
        <v>146</v>
      </c>
      <c r="AD1452" t="s">
        <v>147</v>
      </c>
      <c r="AE1452" t="s">
        <v>148</v>
      </c>
      <c r="AF1452" t="s">
        <v>5742</v>
      </c>
    </row>
    <row r="1453" spans="1:32" hidden="1" x14ac:dyDescent="0.35">
      <c r="A1453">
        <v>2772</v>
      </c>
      <c r="B1453" t="s">
        <v>5740</v>
      </c>
      <c r="C1453" t="s">
        <v>72</v>
      </c>
      <c r="D1453" t="s">
        <v>34</v>
      </c>
      <c r="E1453">
        <v>1303</v>
      </c>
      <c r="F1453">
        <v>5</v>
      </c>
      <c r="G1453">
        <v>5</v>
      </c>
      <c r="H1453">
        <v>1</v>
      </c>
      <c r="I1453">
        <v>1</v>
      </c>
      <c r="J1453">
        <v>0.75142576204523104</v>
      </c>
      <c r="K1453">
        <v>0.94384246363354996</v>
      </c>
      <c r="L1453">
        <v>0.83671425175507597</v>
      </c>
      <c r="M1453">
        <v>0.58611111111111103</v>
      </c>
      <c r="N1453">
        <v>1</v>
      </c>
      <c r="O1453">
        <v>0.67777777777777803</v>
      </c>
      <c r="P1453" t="s">
        <v>136</v>
      </c>
      <c r="Q1453" t="s">
        <v>137</v>
      </c>
      <c r="R1453" t="s">
        <v>138</v>
      </c>
      <c r="S1453" t="s">
        <v>139</v>
      </c>
      <c r="T1453" t="s">
        <v>140</v>
      </c>
      <c r="U1453" t="s">
        <v>141</v>
      </c>
      <c r="V1453" t="s">
        <v>142</v>
      </c>
      <c r="W1453" t="s">
        <v>143</v>
      </c>
      <c r="Z1453" t="s">
        <v>144</v>
      </c>
      <c r="AA1453" t="s">
        <v>145</v>
      </c>
      <c r="AB1453" t="s">
        <v>144</v>
      </c>
      <c r="AC1453" t="s">
        <v>146</v>
      </c>
      <c r="AD1453" t="s">
        <v>147</v>
      </c>
      <c r="AE1453" t="s">
        <v>148</v>
      </c>
      <c r="AF1453" t="e">
        <f>-----------------MKFMTRAI-KKVAAAVTAVAAASVLAVAGQGVATAGPRDWLRPDATGACEWDGVGFWVQRCDVFSPAMNRNITVQIQPAQRGGNAGFYLLDGARATERANAWTTDSNAPELYANHNITLVMPVGGQGTFYQDWLRPANY----TGDGPLFKWETFLTKELPAYLEGNFGVARNNNSIAGLSMGGTAALNLAARNPAMFKQAMSWSGYLTMSGPGMSTLVRLAMLDLGGFNVNNMYGSMFNPNRYENDPFWNMGALRGKDVYISAASGFWSADDIMRYEVKDRITGSILEAFSLYTTTLWEAKARAEGVNVTVNYPAAGIHNWLQWNYQLNLTKNRVLDVMQAW</f>
        <v>#NAME?</v>
      </c>
    </row>
    <row r="1454" spans="1:32" hidden="1" x14ac:dyDescent="0.35">
      <c r="A1454">
        <v>2773</v>
      </c>
      <c r="B1454" t="s">
        <v>5740</v>
      </c>
      <c r="C1454" t="s">
        <v>72</v>
      </c>
      <c r="D1454" t="s">
        <v>45</v>
      </c>
      <c r="E1454">
        <v>55</v>
      </c>
      <c r="F1454">
        <v>5</v>
      </c>
      <c r="G1454">
        <v>5</v>
      </c>
      <c r="H1454">
        <v>1</v>
      </c>
      <c r="I1454">
        <v>1</v>
      </c>
      <c r="J1454">
        <v>0.75142576204523104</v>
      </c>
      <c r="K1454">
        <v>0.94384246363354996</v>
      </c>
      <c r="L1454">
        <v>0.83671425175507597</v>
      </c>
      <c r="M1454">
        <v>0.58611111111111103</v>
      </c>
      <c r="N1454">
        <v>1</v>
      </c>
      <c r="O1454">
        <v>0.67777777777777803</v>
      </c>
      <c r="P1454" t="s">
        <v>136</v>
      </c>
      <c r="Q1454" t="s">
        <v>137</v>
      </c>
      <c r="R1454" t="s">
        <v>138</v>
      </c>
      <c r="S1454" t="s">
        <v>139</v>
      </c>
      <c r="T1454" t="s">
        <v>140</v>
      </c>
      <c r="U1454" t="s">
        <v>141</v>
      </c>
      <c r="V1454" t="s">
        <v>142</v>
      </c>
      <c r="W1454" t="s">
        <v>143</v>
      </c>
      <c r="Z1454" t="s">
        <v>144</v>
      </c>
      <c r="AA1454" t="s">
        <v>145</v>
      </c>
      <c r="AB1454" t="s">
        <v>144</v>
      </c>
      <c r="AC1454" t="s">
        <v>146</v>
      </c>
      <c r="AD1454" t="s">
        <v>147</v>
      </c>
      <c r="AE1454" t="s">
        <v>148</v>
      </c>
      <c r="AF1454" t="e">
        <f>-----------------MKFMTRAI-KKVAAAVTAVAAASVLAVAGQGVATAGPRDWLRPDATGACEWDGVGFWVQRCDVFSPAMNRNITVQIQPAQRGGNAGFYLLDGARATERANAWTTDSNAPELYANHNITLVMPVGGQGTFYQDWLRPANY----TGDGPLFKWETFLTKELPAYLEGNFGVARNNNSIAGLSMGGTAALNLAARNPAMFKQAMSWSGYLTMSGPGMSTLVRLAMLDLGGFNVNNMYGSMFNPNRYENDPFWNMGALRGKDVYISAASGFWSADDIMRYEVKDRITGSILEAFSLYTTTLWEAKARAEGVNVTVNYPAAGIHNWLQWNYQLNLTKNRVLDVMQAW</f>
        <v>#NAME?</v>
      </c>
    </row>
    <row r="1455" spans="1:32" hidden="1" x14ac:dyDescent="0.35">
      <c r="A1455">
        <v>3324</v>
      </c>
      <c r="B1455" t="s">
        <v>6832</v>
      </c>
      <c r="C1455" t="s">
        <v>72</v>
      </c>
      <c r="D1455" t="s">
        <v>58</v>
      </c>
      <c r="E1455">
        <v>98</v>
      </c>
      <c r="F1455">
        <v>5</v>
      </c>
      <c r="G1455">
        <v>5</v>
      </c>
      <c r="H1455">
        <v>1</v>
      </c>
      <c r="I1455">
        <v>1</v>
      </c>
      <c r="J1455">
        <v>0.80962629622383098</v>
      </c>
      <c r="K1455">
        <v>0.97214665942422596</v>
      </c>
      <c r="L1455">
        <v>0.88347451538205102</v>
      </c>
      <c r="M1455">
        <v>0.63688212927756604</v>
      </c>
      <c r="N1455">
        <v>1</v>
      </c>
      <c r="O1455">
        <v>0.74353612167300398</v>
      </c>
      <c r="P1455" t="s">
        <v>6833</v>
      </c>
      <c r="Q1455" t="s">
        <v>6834</v>
      </c>
      <c r="R1455" t="s">
        <v>342</v>
      </c>
      <c r="S1455" t="s">
        <v>343</v>
      </c>
      <c r="T1455" t="s">
        <v>6835</v>
      </c>
      <c r="U1455" t="s">
        <v>6836</v>
      </c>
      <c r="V1455" t="s">
        <v>6837</v>
      </c>
      <c r="W1455" t="s">
        <v>6838</v>
      </c>
      <c r="Z1455" t="s">
        <v>6839</v>
      </c>
      <c r="AA1455" t="s">
        <v>6840</v>
      </c>
      <c r="AB1455" t="s">
        <v>6839</v>
      </c>
      <c r="AC1455" t="s">
        <v>4023</v>
      </c>
      <c r="AD1455" t="s">
        <v>796</v>
      </c>
      <c r="AE1455" t="s">
        <v>6841</v>
      </c>
      <c r="AF1455" t="s">
        <v>6842</v>
      </c>
    </row>
    <row r="1456" spans="1:32" hidden="1" x14ac:dyDescent="0.35">
      <c r="A1456">
        <v>2775</v>
      </c>
      <c r="B1456" t="s">
        <v>5743</v>
      </c>
      <c r="C1456" t="s">
        <v>72</v>
      </c>
      <c r="D1456" t="s">
        <v>60</v>
      </c>
      <c r="E1456">
        <v>2322</v>
      </c>
      <c r="F1456">
        <v>5</v>
      </c>
      <c r="G1456">
        <v>5</v>
      </c>
      <c r="H1456">
        <v>1</v>
      </c>
      <c r="I1456">
        <v>1</v>
      </c>
      <c r="J1456">
        <v>0.78778942769768501</v>
      </c>
      <c r="K1456">
        <v>0.98462887566551804</v>
      </c>
      <c r="L1456">
        <v>0.87527895303640502</v>
      </c>
      <c r="M1456">
        <v>0.61290322580645196</v>
      </c>
      <c r="N1456">
        <v>1</v>
      </c>
      <c r="O1456">
        <v>0.73193548387096796</v>
      </c>
      <c r="P1456" t="s">
        <v>169</v>
      </c>
      <c r="Q1456" t="s">
        <v>170</v>
      </c>
      <c r="R1456" t="s">
        <v>138</v>
      </c>
      <c r="S1456" t="s">
        <v>139</v>
      </c>
      <c r="T1456" t="s">
        <v>3691</v>
      </c>
      <c r="U1456" t="s">
        <v>3692</v>
      </c>
      <c r="V1456" t="s">
        <v>3693</v>
      </c>
      <c r="W1456" t="s">
        <v>3694</v>
      </c>
      <c r="AD1456" t="s">
        <v>166</v>
      </c>
      <c r="AE1456" t="s">
        <v>3695</v>
      </c>
      <c r="AF1456" t="s">
        <v>5745</v>
      </c>
    </row>
    <row r="1457" spans="1:32" hidden="1" x14ac:dyDescent="0.35">
      <c r="A1457">
        <v>2776</v>
      </c>
      <c r="B1457" t="s">
        <v>5743</v>
      </c>
      <c r="C1457" t="s">
        <v>72</v>
      </c>
      <c r="D1457" t="s">
        <v>62</v>
      </c>
      <c r="E1457">
        <v>2350</v>
      </c>
      <c r="F1457">
        <v>5</v>
      </c>
      <c r="G1457">
        <v>5</v>
      </c>
      <c r="H1457">
        <v>1</v>
      </c>
      <c r="I1457">
        <v>1</v>
      </c>
      <c r="J1457">
        <v>0.78778942769768501</v>
      </c>
      <c r="K1457">
        <v>0.98462887566551804</v>
      </c>
      <c r="L1457">
        <v>0.87527895303640502</v>
      </c>
      <c r="M1457">
        <v>0.61290322580645196</v>
      </c>
      <c r="N1457">
        <v>1</v>
      </c>
      <c r="O1457">
        <v>0.73193548387096796</v>
      </c>
      <c r="P1457" t="s">
        <v>169</v>
      </c>
      <c r="Q1457" t="s">
        <v>170</v>
      </c>
      <c r="R1457" t="s">
        <v>138</v>
      </c>
      <c r="S1457" t="s">
        <v>139</v>
      </c>
      <c r="T1457" t="s">
        <v>3691</v>
      </c>
      <c r="U1457" t="s">
        <v>3692</v>
      </c>
      <c r="V1457" t="s">
        <v>3693</v>
      </c>
      <c r="W1457" t="s">
        <v>3694</v>
      </c>
      <c r="AD1457" t="s">
        <v>166</v>
      </c>
      <c r="AE1457" t="s">
        <v>3695</v>
      </c>
      <c r="AF1457" t="s">
        <v>5745</v>
      </c>
    </row>
    <row r="1458" spans="1:32" hidden="1" x14ac:dyDescent="0.35">
      <c r="A1458">
        <v>2777</v>
      </c>
      <c r="B1458" t="s">
        <v>5743</v>
      </c>
      <c r="C1458" t="s">
        <v>72</v>
      </c>
      <c r="D1458" t="s">
        <v>34</v>
      </c>
      <c r="E1458">
        <v>1470</v>
      </c>
      <c r="F1458">
        <v>5</v>
      </c>
      <c r="G1458">
        <v>5</v>
      </c>
      <c r="H1458">
        <v>1</v>
      </c>
      <c r="I1458">
        <v>1</v>
      </c>
      <c r="J1458">
        <v>0.78778942769768501</v>
      </c>
      <c r="K1458">
        <v>0.98462887566551804</v>
      </c>
      <c r="L1458">
        <v>0.87527895303640502</v>
      </c>
      <c r="M1458">
        <v>0.61290322580645196</v>
      </c>
      <c r="N1458">
        <v>1</v>
      </c>
      <c r="O1458">
        <v>0.73193548387096796</v>
      </c>
      <c r="P1458" t="s">
        <v>169</v>
      </c>
      <c r="Q1458" t="s">
        <v>170</v>
      </c>
      <c r="R1458" t="s">
        <v>138</v>
      </c>
      <c r="S1458" t="s">
        <v>139</v>
      </c>
      <c r="T1458" t="s">
        <v>3691</v>
      </c>
      <c r="U1458" t="s">
        <v>3692</v>
      </c>
      <c r="V1458" t="s">
        <v>3693</v>
      </c>
      <c r="W1458" t="s">
        <v>3694</v>
      </c>
      <c r="AD1458" t="s">
        <v>166</v>
      </c>
      <c r="AE1458" t="s">
        <v>3695</v>
      </c>
      <c r="AF1458" t="s">
        <v>5746</v>
      </c>
    </row>
    <row r="1459" spans="1:32" hidden="1" x14ac:dyDescent="0.35">
      <c r="A1459">
        <v>2778</v>
      </c>
      <c r="B1459" t="s">
        <v>5743</v>
      </c>
      <c r="C1459" t="s">
        <v>72</v>
      </c>
      <c r="D1459" t="s">
        <v>45</v>
      </c>
      <c r="E1459">
        <v>221</v>
      </c>
      <c r="F1459">
        <v>5</v>
      </c>
      <c r="G1459">
        <v>5</v>
      </c>
      <c r="H1459">
        <v>1</v>
      </c>
      <c r="I1459">
        <v>1</v>
      </c>
      <c r="J1459">
        <v>0.78778942769768501</v>
      </c>
      <c r="K1459">
        <v>0.98462887566551804</v>
      </c>
      <c r="L1459">
        <v>0.87527895303640502</v>
      </c>
      <c r="M1459">
        <v>0.61290322580645196</v>
      </c>
      <c r="N1459">
        <v>1</v>
      </c>
      <c r="O1459">
        <v>0.73193548387096796</v>
      </c>
      <c r="P1459" t="s">
        <v>169</v>
      </c>
      <c r="Q1459" t="s">
        <v>170</v>
      </c>
      <c r="R1459" t="s">
        <v>138</v>
      </c>
      <c r="S1459" t="s">
        <v>139</v>
      </c>
      <c r="T1459" t="s">
        <v>3691</v>
      </c>
      <c r="U1459" t="s">
        <v>3692</v>
      </c>
      <c r="V1459" t="s">
        <v>3693</v>
      </c>
      <c r="W1459" t="s">
        <v>3694</v>
      </c>
      <c r="AD1459" t="s">
        <v>166</v>
      </c>
      <c r="AE1459" t="s">
        <v>3695</v>
      </c>
      <c r="AF1459" t="s">
        <v>5747</v>
      </c>
    </row>
    <row r="1460" spans="1:32" hidden="1" x14ac:dyDescent="0.35">
      <c r="A1460">
        <v>6335</v>
      </c>
      <c r="B1460" t="s">
        <v>13058</v>
      </c>
      <c r="C1460" t="s">
        <v>68</v>
      </c>
      <c r="D1460" t="s">
        <v>58</v>
      </c>
      <c r="E1460">
        <v>693</v>
      </c>
      <c r="F1460">
        <v>3</v>
      </c>
      <c r="G1460">
        <v>3</v>
      </c>
      <c r="H1460">
        <v>1</v>
      </c>
      <c r="I1460">
        <v>0</v>
      </c>
      <c r="J1460">
        <v>0.78795766094048203</v>
      </c>
      <c r="K1460">
        <v>0.952809912969654</v>
      </c>
      <c r="L1460">
        <v>0.86257795882315802</v>
      </c>
      <c r="M1460">
        <v>0.54829123328380402</v>
      </c>
      <c r="N1460">
        <v>0.98216939078751897</v>
      </c>
      <c r="O1460">
        <v>0.69390787518573604</v>
      </c>
      <c r="P1460" t="s">
        <v>11715</v>
      </c>
      <c r="Q1460" t="s">
        <v>11716</v>
      </c>
      <c r="R1460" t="s">
        <v>342</v>
      </c>
      <c r="S1460" t="s">
        <v>343</v>
      </c>
      <c r="T1460" t="s">
        <v>13059</v>
      </c>
      <c r="U1460" t="s">
        <v>13060</v>
      </c>
      <c r="V1460" t="s">
        <v>11719</v>
      </c>
      <c r="W1460" t="s">
        <v>11720</v>
      </c>
      <c r="AD1460" t="s">
        <v>410</v>
      </c>
      <c r="AE1460" t="s">
        <v>563</v>
      </c>
      <c r="AF1460" t="s">
        <v>13061</v>
      </c>
    </row>
    <row r="1461" spans="1:32" hidden="1" x14ac:dyDescent="0.35">
      <c r="A1461">
        <v>2815</v>
      </c>
      <c r="B1461" t="s">
        <v>5821</v>
      </c>
      <c r="C1461" t="s">
        <v>72</v>
      </c>
      <c r="D1461" t="s">
        <v>60</v>
      </c>
      <c r="E1461">
        <v>205</v>
      </c>
      <c r="F1461">
        <v>5</v>
      </c>
      <c r="G1461">
        <v>5</v>
      </c>
      <c r="H1461">
        <v>1</v>
      </c>
      <c r="I1461">
        <v>1</v>
      </c>
      <c r="J1461">
        <v>0.86902379364020499</v>
      </c>
      <c r="K1461">
        <v>0.98621906587661301</v>
      </c>
      <c r="L1461">
        <v>0.92391983032518399</v>
      </c>
      <c r="M1461">
        <v>0.75</v>
      </c>
      <c r="N1461">
        <v>1</v>
      </c>
      <c r="O1461">
        <v>0.81381578947368405</v>
      </c>
      <c r="P1461" t="s">
        <v>5822</v>
      </c>
      <c r="Q1461" t="s">
        <v>5823</v>
      </c>
      <c r="R1461" t="s">
        <v>138</v>
      </c>
      <c r="S1461" t="s">
        <v>139</v>
      </c>
      <c r="V1461" t="s">
        <v>5824</v>
      </c>
      <c r="W1461" t="s">
        <v>5825</v>
      </c>
      <c r="X1461" t="s">
        <v>5824</v>
      </c>
      <c r="Y1461" t="s">
        <v>5826</v>
      </c>
      <c r="AF1461" t="e">
        <f>-MHSTRLAELGITLPDVAAPVAAYVPALQVGNQVWTSGQLPFVDGVLPATGKVGAEISPEDAATYARQAVLNALAAVDALVGIDAVTRVLKIVGFVASAEGFTGQPAVVNGASHLVGEIFGDAGAHVRSAVGVAELPLSSPVEVELVVEIAH</f>
        <v>#NAME?</v>
      </c>
    </row>
    <row r="1462" spans="1:32" hidden="1" x14ac:dyDescent="0.35">
      <c r="A1462">
        <v>2816</v>
      </c>
      <c r="B1462" t="s">
        <v>5821</v>
      </c>
      <c r="C1462" t="s">
        <v>72</v>
      </c>
      <c r="D1462" t="s">
        <v>62</v>
      </c>
      <c r="E1462">
        <v>282</v>
      </c>
      <c r="F1462">
        <v>5</v>
      </c>
      <c r="G1462">
        <v>5</v>
      </c>
      <c r="H1462">
        <v>1</v>
      </c>
      <c r="I1462">
        <v>1</v>
      </c>
      <c r="J1462">
        <v>0.86902379364020499</v>
      </c>
      <c r="K1462">
        <v>0.98621906587661301</v>
      </c>
      <c r="L1462">
        <v>0.92391983032518399</v>
      </c>
      <c r="M1462">
        <v>0.75</v>
      </c>
      <c r="N1462">
        <v>1</v>
      </c>
      <c r="O1462">
        <v>0.81381578947368405</v>
      </c>
      <c r="P1462" t="s">
        <v>5822</v>
      </c>
      <c r="Q1462" t="s">
        <v>5823</v>
      </c>
      <c r="R1462" t="s">
        <v>138</v>
      </c>
      <c r="S1462" t="s">
        <v>139</v>
      </c>
      <c r="V1462" t="s">
        <v>5824</v>
      </c>
      <c r="W1462" t="s">
        <v>5825</v>
      </c>
      <c r="X1462" t="s">
        <v>5824</v>
      </c>
      <c r="Y1462" t="s">
        <v>5826</v>
      </c>
      <c r="AF1462" t="e">
        <f>-MHSTRLAELGITLPDVAAPVAAYVPALQVGNQVWTSGQLPFVDGVLPATGKVGAEISPEDAATYARQAVLNALAAVDALVGIDAVTRVLKIVGFVASAEGFTGQPAVVNGASHLVGEIFGDAGAHVRSAVGVAELPLSSPVEVELVVEIAH</f>
        <v>#NAME?</v>
      </c>
    </row>
    <row r="1463" spans="1:32" hidden="1" x14ac:dyDescent="0.35">
      <c r="A1463">
        <v>2817</v>
      </c>
      <c r="B1463" t="s">
        <v>5821</v>
      </c>
      <c r="C1463" t="s">
        <v>72</v>
      </c>
      <c r="D1463" t="s">
        <v>34</v>
      </c>
      <c r="E1463">
        <v>1229</v>
      </c>
      <c r="F1463">
        <v>5</v>
      </c>
      <c r="G1463">
        <v>5</v>
      </c>
      <c r="H1463">
        <v>1</v>
      </c>
      <c r="I1463">
        <v>1</v>
      </c>
      <c r="J1463">
        <v>0.86902379364020499</v>
      </c>
      <c r="K1463">
        <v>0.98621906587661301</v>
      </c>
      <c r="L1463">
        <v>0.92391983032518399</v>
      </c>
      <c r="M1463">
        <v>0.75</v>
      </c>
      <c r="N1463">
        <v>1</v>
      </c>
      <c r="O1463">
        <v>0.81381578947368405</v>
      </c>
      <c r="P1463" t="s">
        <v>5822</v>
      </c>
      <c r="Q1463" t="s">
        <v>5823</v>
      </c>
      <c r="R1463" t="s">
        <v>138</v>
      </c>
      <c r="S1463" t="s">
        <v>139</v>
      </c>
      <c r="V1463" t="s">
        <v>5824</v>
      </c>
      <c r="W1463" t="s">
        <v>5825</v>
      </c>
      <c r="X1463" t="s">
        <v>5824</v>
      </c>
      <c r="Y1463" t="s">
        <v>5826</v>
      </c>
      <c r="AF1463" t="s">
        <v>5828</v>
      </c>
    </row>
    <row r="1464" spans="1:32" hidden="1" x14ac:dyDescent="0.35">
      <c r="A1464">
        <v>2818</v>
      </c>
      <c r="B1464" t="s">
        <v>5821</v>
      </c>
      <c r="C1464" t="s">
        <v>72</v>
      </c>
      <c r="D1464" t="s">
        <v>45</v>
      </c>
      <c r="E1464">
        <v>2472</v>
      </c>
      <c r="F1464">
        <v>5</v>
      </c>
      <c r="G1464">
        <v>5</v>
      </c>
      <c r="H1464">
        <v>1</v>
      </c>
      <c r="I1464">
        <v>1</v>
      </c>
      <c r="J1464">
        <v>0.86902379364020499</v>
      </c>
      <c r="K1464">
        <v>0.98621906587661301</v>
      </c>
      <c r="L1464">
        <v>0.92391983032518399</v>
      </c>
      <c r="M1464">
        <v>0.75</v>
      </c>
      <c r="N1464">
        <v>1</v>
      </c>
      <c r="O1464">
        <v>0.81381578947368405</v>
      </c>
      <c r="P1464" t="s">
        <v>5822</v>
      </c>
      <c r="Q1464" t="s">
        <v>5823</v>
      </c>
      <c r="R1464" t="s">
        <v>138</v>
      </c>
      <c r="S1464" t="s">
        <v>139</v>
      </c>
      <c r="V1464" t="s">
        <v>5824</v>
      </c>
      <c r="W1464" t="s">
        <v>5825</v>
      </c>
      <c r="X1464" t="s">
        <v>5824</v>
      </c>
      <c r="Y1464" t="s">
        <v>5826</v>
      </c>
      <c r="AF1464" t="s">
        <v>5829</v>
      </c>
    </row>
    <row r="1465" spans="1:32" hidden="1" x14ac:dyDescent="0.35">
      <c r="A1465">
        <v>10979</v>
      </c>
      <c r="B1465" t="s">
        <v>22150</v>
      </c>
      <c r="C1465" t="s">
        <v>33</v>
      </c>
      <c r="D1465" t="s">
        <v>58</v>
      </c>
      <c r="E1465">
        <v>423</v>
      </c>
      <c r="F1465">
        <v>1</v>
      </c>
      <c r="G1465">
        <v>1</v>
      </c>
      <c r="H1465">
        <v>1</v>
      </c>
      <c r="I1465">
        <v>0</v>
      </c>
      <c r="J1465">
        <v>1</v>
      </c>
      <c r="K1465">
        <v>1</v>
      </c>
      <c r="L1465">
        <v>1</v>
      </c>
      <c r="M1465">
        <v>0</v>
      </c>
      <c r="N1465">
        <v>0</v>
      </c>
      <c r="O1465">
        <v>0</v>
      </c>
      <c r="P1465" t="s">
        <v>11715</v>
      </c>
      <c r="Q1465" t="s">
        <v>11716</v>
      </c>
      <c r="R1465" t="s">
        <v>342</v>
      </c>
      <c r="S1465" t="s">
        <v>343</v>
      </c>
      <c r="T1465" t="s">
        <v>22151</v>
      </c>
      <c r="U1465" t="s">
        <v>22152</v>
      </c>
      <c r="V1465" t="s">
        <v>11719</v>
      </c>
      <c r="W1465" t="s">
        <v>11720</v>
      </c>
      <c r="AD1465" t="s">
        <v>219</v>
      </c>
      <c r="AE1465" t="s">
        <v>22153</v>
      </c>
      <c r="AF1465" t="s">
        <v>22154</v>
      </c>
    </row>
    <row r="1466" spans="1:32" hidden="1" x14ac:dyDescent="0.35">
      <c r="A1466">
        <v>2860</v>
      </c>
      <c r="B1466" t="s">
        <v>5908</v>
      </c>
      <c r="C1466" t="s">
        <v>72</v>
      </c>
      <c r="D1466" t="s">
        <v>60</v>
      </c>
      <c r="E1466">
        <v>1532</v>
      </c>
      <c r="F1466">
        <v>5</v>
      </c>
      <c r="G1466">
        <v>5</v>
      </c>
      <c r="H1466">
        <v>1</v>
      </c>
      <c r="I1466">
        <v>1</v>
      </c>
      <c r="J1466">
        <v>0.76054025818968696</v>
      </c>
      <c r="K1466">
        <v>0.91214235063242999</v>
      </c>
      <c r="L1466">
        <v>0.829471144372388</v>
      </c>
      <c r="M1466">
        <v>0.50101419878296105</v>
      </c>
      <c r="N1466">
        <v>1</v>
      </c>
      <c r="O1466">
        <v>0.63955375253549696</v>
      </c>
      <c r="P1466" t="s">
        <v>5909</v>
      </c>
      <c r="Q1466" t="s">
        <v>5910</v>
      </c>
      <c r="R1466" t="s">
        <v>138</v>
      </c>
      <c r="S1466" t="s">
        <v>139</v>
      </c>
      <c r="T1466" t="s">
        <v>5911</v>
      </c>
      <c r="U1466" t="s">
        <v>5912</v>
      </c>
      <c r="V1466" t="s">
        <v>5913</v>
      </c>
      <c r="W1466" t="s">
        <v>5914</v>
      </c>
      <c r="AD1466" t="s">
        <v>166</v>
      </c>
      <c r="AE1466" t="s">
        <v>5915</v>
      </c>
      <c r="AF1466" t="s">
        <v>5917</v>
      </c>
    </row>
    <row r="1467" spans="1:32" hidden="1" x14ac:dyDescent="0.35">
      <c r="A1467">
        <v>2861</v>
      </c>
      <c r="B1467" t="s">
        <v>5908</v>
      </c>
      <c r="C1467" t="s">
        <v>72</v>
      </c>
      <c r="D1467" t="s">
        <v>62</v>
      </c>
      <c r="E1467">
        <v>1567</v>
      </c>
      <c r="F1467">
        <v>5</v>
      </c>
      <c r="G1467">
        <v>5</v>
      </c>
      <c r="H1467">
        <v>1</v>
      </c>
      <c r="I1467">
        <v>1</v>
      </c>
      <c r="J1467">
        <v>0.76054025818968696</v>
      </c>
      <c r="K1467">
        <v>0.91214235063242999</v>
      </c>
      <c r="L1467">
        <v>0.829471144372388</v>
      </c>
      <c r="M1467">
        <v>0.50101419878296105</v>
      </c>
      <c r="N1467">
        <v>1</v>
      </c>
      <c r="O1467">
        <v>0.63955375253549696</v>
      </c>
      <c r="P1467" t="s">
        <v>5909</v>
      </c>
      <c r="Q1467" t="s">
        <v>5910</v>
      </c>
      <c r="R1467" t="s">
        <v>138</v>
      </c>
      <c r="S1467" t="s">
        <v>139</v>
      </c>
      <c r="T1467" t="s">
        <v>5911</v>
      </c>
      <c r="U1467" t="s">
        <v>5912</v>
      </c>
      <c r="V1467" t="s">
        <v>5913</v>
      </c>
      <c r="W1467" t="s">
        <v>5914</v>
      </c>
      <c r="AD1467" t="s">
        <v>166</v>
      </c>
      <c r="AE1467" t="s">
        <v>5915</v>
      </c>
      <c r="AF1467" t="s">
        <v>5917</v>
      </c>
    </row>
    <row r="1468" spans="1:32" hidden="1" x14ac:dyDescent="0.35">
      <c r="A1468">
        <v>2862</v>
      </c>
      <c r="B1468" t="s">
        <v>5908</v>
      </c>
      <c r="C1468" t="s">
        <v>72</v>
      </c>
      <c r="D1468" t="s">
        <v>34</v>
      </c>
      <c r="E1468">
        <v>1956</v>
      </c>
      <c r="F1468">
        <v>5</v>
      </c>
      <c r="G1468">
        <v>5</v>
      </c>
      <c r="H1468">
        <v>1</v>
      </c>
      <c r="I1468">
        <v>1</v>
      </c>
      <c r="J1468">
        <v>0.76054025818968696</v>
      </c>
      <c r="K1468">
        <v>0.91214235063242999</v>
      </c>
      <c r="L1468">
        <v>0.829471144372388</v>
      </c>
      <c r="M1468">
        <v>0.50101419878296105</v>
      </c>
      <c r="N1468">
        <v>1</v>
      </c>
      <c r="O1468">
        <v>0.63955375253549696</v>
      </c>
      <c r="P1468" t="s">
        <v>5909</v>
      </c>
      <c r="Q1468" t="s">
        <v>5910</v>
      </c>
      <c r="R1468" t="s">
        <v>138</v>
      </c>
      <c r="S1468" t="s">
        <v>139</v>
      </c>
      <c r="T1468" t="s">
        <v>5911</v>
      </c>
      <c r="U1468" t="s">
        <v>5912</v>
      </c>
      <c r="V1468" t="s">
        <v>5913</v>
      </c>
      <c r="W1468" t="s">
        <v>5914</v>
      </c>
      <c r="AD1468" t="s">
        <v>166</v>
      </c>
      <c r="AE1468" t="s">
        <v>5915</v>
      </c>
      <c r="AF1468" t="s">
        <v>5918</v>
      </c>
    </row>
    <row r="1469" spans="1:32" hidden="1" x14ac:dyDescent="0.35">
      <c r="A1469">
        <v>2863</v>
      </c>
      <c r="B1469" t="s">
        <v>5908</v>
      </c>
      <c r="C1469" t="s">
        <v>72</v>
      </c>
      <c r="D1469" t="s">
        <v>45</v>
      </c>
      <c r="E1469">
        <v>917</v>
      </c>
      <c r="F1469">
        <v>5</v>
      </c>
      <c r="G1469">
        <v>5</v>
      </c>
      <c r="H1469">
        <v>1</v>
      </c>
      <c r="I1469">
        <v>1</v>
      </c>
      <c r="J1469">
        <v>0.76054025818968696</v>
      </c>
      <c r="K1469">
        <v>0.91214235063242999</v>
      </c>
      <c r="L1469">
        <v>0.829471144372388</v>
      </c>
      <c r="M1469">
        <v>0.50101419878296105</v>
      </c>
      <c r="N1469">
        <v>1</v>
      </c>
      <c r="O1469">
        <v>0.63955375253549696</v>
      </c>
      <c r="P1469" t="s">
        <v>5909</v>
      </c>
      <c r="Q1469" t="s">
        <v>5910</v>
      </c>
      <c r="R1469" t="s">
        <v>138</v>
      </c>
      <c r="S1469" t="s">
        <v>139</v>
      </c>
      <c r="T1469" t="s">
        <v>5911</v>
      </c>
      <c r="U1469" t="s">
        <v>5912</v>
      </c>
      <c r="V1469" t="s">
        <v>5913</v>
      </c>
      <c r="W1469" t="s">
        <v>5914</v>
      </c>
      <c r="AD1469" t="s">
        <v>166</v>
      </c>
      <c r="AE1469" t="s">
        <v>5915</v>
      </c>
      <c r="AF1469" t="s">
        <v>5919</v>
      </c>
    </row>
    <row r="1470" spans="1:32" hidden="1" x14ac:dyDescent="0.35">
      <c r="A1470">
        <v>11305</v>
      </c>
      <c r="B1470" t="s">
        <v>23019</v>
      </c>
      <c r="C1470" t="s">
        <v>33</v>
      </c>
      <c r="D1470" t="s">
        <v>58</v>
      </c>
      <c r="E1470">
        <v>1841</v>
      </c>
      <c r="F1470">
        <v>1</v>
      </c>
      <c r="G1470">
        <v>1</v>
      </c>
      <c r="H1470">
        <v>1</v>
      </c>
      <c r="I1470">
        <v>0</v>
      </c>
      <c r="J1470">
        <v>1</v>
      </c>
      <c r="K1470">
        <v>1</v>
      </c>
      <c r="L1470">
        <v>1</v>
      </c>
      <c r="M1470">
        <v>0</v>
      </c>
      <c r="N1470">
        <v>0</v>
      </c>
      <c r="O1470">
        <v>0</v>
      </c>
      <c r="P1470" t="s">
        <v>11715</v>
      </c>
      <c r="Q1470" t="s">
        <v>11716</v>
      </c>
      <c r="R1470" t="s">
        <v>342</v>
      </c>
      <c r="S1470" t="s">
        <v>343</v>
      </c>
      <c r="T1470" t="s">
        <v>11717</v>
      </c>
      <c r="U1470" t="s">
        <v>11718</v>
      </c>
      <c r="V1470" t="s">
        <v>11719</v>
      </c>
      <c r="W1470" t="s">
        <v>11720</v>
      </c>
      <c r="AD1470" t="s">
        <v>219</v>
      </c>
      <c r="AE1470" t="s">
        <v>11721</v>
      </c>
      <c r="AF1470" t="s">
        <v>23020</v>
      </c>
    </row>
    <row r="1471" spans="1:32" hidden="1" x14ac:dyDescent="0.35">
      <c r="A1471">
        <v>3490</v>
      </c>
      <c r="B1471" t="s">
        <v>7172</v>
      </c>
      <c r="C1471" t="s">
        <v>72</v>
      </c>
      <c r="D1471" t="s">
        <v>60</v>
      </c>
      <c r="E1471">
        <v>445</v>
      </c>
      <c r="F1471">
        <v>5</v>
      </c>
      <c r="G1471">
        <v>5</v>
      </c>
      <c r="H1471">
        <v>1</v>
      </c>
      <c r="I1471">
        <v>1</v>
      </c>
      <c r="J1471">
        <v>0.75473684210526304</v>
      </c>
      <c r="K1471">
        <v>0.98958333333333404</v>
      </c>
      <c r="L1471">
        <v>0.85635081278837399</v>
      </c>
      <c r="M1471">
        <v>0.59375</v>
      </c>
      <c r="N1471">
        <v>1</v>
      </c>
      <c r="O1471">
        <v>0.70104166666666701</v>
      </c>
      <c r="P1471" t="s">
        <v>4783</v>
      </c>
      <c r="Q1471" t="s">
        <v>4784</v>
      </c>
      <c r="R1471" t="s">
        <v>138</v>
      </c>
      <c r="S1471" t="s">
        <v>139</v>
      </c>
      <c r="T1471" t="s">
        <v>4785</v>
      </c>
      <c r="U1471" t="s">
        <v>4786</v>
      </c>
      <c r="V1471" t="s">
        <v>4787</v>
      </c>
      <c r="W1471" t="s">
        <v>4788</v>
      </c>
      <c r="AD1471" t="s">
        <v>4789</v>
      </c>
      <c r="AE1471" t="s">
        <v>4790</v>
      </c>
      <c r="AF1471" t="e">
        <f>-MDQIKYQFGDIETAAADIRATAGSMNALLDDLKQQLHPMVSTWEGDSASAYQTAQAKWDSAAAELNTILETIASTVQEGNDRMSEVNRMAAASWG</f>
        <v>#NAME?</v>
      </c>
    </row>
    <row r="1472" spans="1:32" hidden="1" x14ac:dyDescent="0.35">
      <c r="A1472">
        <v>3491</v>
      </c>
      <c r="B1472" t="s">
        <v>7172</v>
      </c>
      <c r="C1472" t="s">
        <v>72</v>
      </c>
      <c r="D1472" t="s">
        <v>62</v>
      </c>
      <c r="E1472">
        <v>526</v>
      </c>
      <c r="F1472">
        <v>5</v>
      </c>
      <c r="G1472">
        <v>5</v>
      </c>
      <c r="H1472">
        <v>1</v>
      </c>
      <c r="I1472">
        <v>1</v>
      </c>
      <c r="J1472">
        <v>0.75473684210526304</v>
      </c>
      <c r="K1472">
        <v>0.98958333333333404</v>
      </c>
      <c r="L1472">
        <v>0.85635081278837399</v>
      </c>
      <c r="M1472">
        <v>0.59375</v>
      </c>
      <c r="N1472">
        <v>1</v>
      </c>
      <c r="O1472">
        <v>0.70104166666666701</v>
      </c>
      <c r="P1472" t="s">
        <v>4783</v>
      </c>
      <c r="Q1472" t="s">
        <v>4784</v>
      </c>
      <c r="R1472" t="s">
        <v>138</v>
      </c>
      <c r="S1472" t="s">
        <v>139</v>
      </c>
      <c r="T1472" t="s">
        <v>4785</v>
      </c>
      <c r="U1472" t="s">
        <v>4786</v>
      </c>
      <c r="V1472" t="s">
        <v>4787</v>
      </c>
      <c r="W1472" t="s">
        <v>4788</v>
      </c>
      <c r="AD1472" t="s">
        <v>4789</v>
      </c>
      <c r="AE1472" t="s">
        <v>4790</v>
      </c>
      <c r="AF1472" t="e">
        <f>-MDQIKYQFGDIETAAADIRATAGSMNALLDDLKQQLRPMVSTWEGDSASAYQTAQAKWDSAAAELNTILETIASTVQEGNDRMSEVNRMAAASWG</f>
        <v>#NAME?</v>
      </c>
    </row>
    <row r="1473" spans="1:32" hidden="1" x14ac:dyDescent="0.35">
      <c r="A1473">
        <v>4334</v>
      </c>
      <c r="B1473" t="s">
        <v>9025</v>
      </c>
      <c r="C1473" t="s">
        <v>72</v>
      </c>
      <c r="D1473" t="s">
        <v>58</v>
      </c>
      <c r="E1473">
        <v>1165</v>
      </c>
      <c r="F1473">
        <v>5</v>
      </c>
      <c r="G1473">
        <v>5</v>
      </c>
      <c r="H1473">
        <v>1</v>
      </c>
      <c r="I1473">
        <v>1</v>
      </c>
      <c r="J1473">
        <v>0.80635674697432402</v>
      </c>
      <c r="K1473">
        <v>0.82037747304821995</v>
      </c>
      <c r="L1473">
        <v>0.81330668810669104</v>
      </c>
      <c r="M1473">
        <v>0.51086956521739102</v>
      </c>
      <c r="N1473">
        <v>0.99184782608695699</v>
      </c>
      <c r="O1473">
        <v>0.65652173913043499</v>
      </c>
      <c r="P1473" t="s">
        <v>9026</v>
      </c>
      <c r="Q1473" t="s">
        <v>9027</v>
      </c>
      <c r="R1473" t="s">
        <v>75</v>
      </c>
      <c r="S1473" t="s">
        <v>76</v>
      </c>
      <c r="T1473" t="s">
        <v>9028</v>
      </c>
      <c r="U1473" t="s">
        <v>9029</v>
      </c>
      <c r="V1473" t="s">
        <v>9030</v>
      </c>
      <c r="W1473" t="s">
        <v>9031</v>
      </c>
      <c r="X1473" t="s">
        <v>9030</v>
      </c>
      <c r="Y1473" t="s">
        <v>2392</v>
      </c>
      <c r="Z1473" t="s">
        <v>9032</v>
      </c>
      <c r="AA1473" t="s">
        <v>9033</v>
      </c>
      <c r="AB1473" t="s">
        <v>9032</v>
      </c>
      <c r="AC1473" t="s">
        <v>2395</v>
      </c>
      <c r="AD1473" t="s">
        <v>245</v>
      </c>
      <c r="AE1473" t="s">
        <v>9034</v>
      </c>
      <c r="AF1473" t="e">
        <f>---------------------------------------------MVKTTP--LKPKNSAGRDLKAAIGVGVGLGALVLVCIFIIP-GWYPLVAIAVALGTWEVATRLKESEDYRVSPAVLIGGGQLMVWLSWHFGASGVAAGFVTSVLAVMFSGLFVNG--------------------------------RYETPVNYLRDTSMSMYVLTWIPLFGSFAAMLSRFER-DGIGGSMFIVTFMLCVIASDVGGYAAGVLFGSHPMAPAVSPKKSWEGFAGSVLSGAAVGAVAVHFLLHDALWLGVLLGIGLVICATLGDLVESQFKRELGIKDMSRMLPGHGGLMDRLDGLLPSAMVTWLVLS-VIAA</f>
        <v>#NAME?</v>
      </c>
    </row>
    <row r="1474" spans="1:32" hidden="1" x14ac:dyDescent="0.35">
      <c r="A1474">
        <v>11959</v>
      </c>
      <c r="B1474" t="s">
        <v>24687</v>
      </c>
      <c r="C1474" t="s">
        <v>10130</v>
      </c>
      <c r="D1474" t="s">
        <v>34</v>
      </c>
      <c r="E1474">
        <v>36</v>
      </c>
      <c r="F1474">
        <v>1</v>
      </c>
      <c r="G1474">
        <v>1</v>
      </c>
      <c r="H1474">
        <v>1</v>
      </c>
      <c r="I1474">
        <v>0</v>
      </c>
      <c r="J1474">
        <v>1</v>
      </c>
      <c r="K1474">
        <v>1</v>
      </c>
      <c r="L1474">
        <v>1</v>
      </c>
      <c r="M1474">
        <v>0</v>
      </c>
      <c r="N1474">
        <v>0</v>
      </c>
      <c r="O1474">
        <v>0</v>
      </c>
      <c r="P1474" t="s">
        <v>24688</v>
      </c>
      <c r="Q1474" t="s">
        <v>24689</v>
      </c>
      <c r="R1474" t="s">
        <v>138</v>
      </c>
      <c r="S1474" t="s">
        <v>139</v>
      </c>
      <c r="T1474" t="s">
        <v>18898</v>
      </c>
      <c r="U1474" t="s">
        <v>16384</v>
      </c>
      <c r="V1474" t="s">
        <v>18899</v>
      </c>
      <c r="W1474" t="s">
        <v>18900</v>
      </c>
      <c r="AD1474" t="s">
        <v>14829</v>
      </c>
      <c r="AE1474" t="s">
        <v>18901</v>
      </c>
      <c r="AF1474" t="s">
        <v>24690</v>
      </c>
    </row>
    <row r="1475" spans="1:32" hidden="1" x14ac:dyDescent="0.35">
      <c r="A1475">
        <v>2479</v>
      </c>
      <c r="B1475" t="s">
        <v>5133</v>
      </c>
      <c r="C1475" t="s">
        <v>72</v>
      </c>
      <c r="D1475" t="s">
        <v>58</v>
      </c>
      <c r="E1475">
        <v>1793</v>
      </c>
      <c r="F1475">
        <v>5</v>
      </c>
      <c r="G1475">
        <v>5</v>
      </c>
      <c r="H1475">
        <v>1</v>
      </c>
      <c r="I1475">
        <v>1</v>
      </c>
      <c r="J1475">
        <v>0.75988218880793701</v>
      </c>
      <c r="K1475">
        <v>0.95647565666557099</v>
      </c>
      <c r="L1475">
        <v>0.84691990944118201</v>
      </c>
      <c r="M1475">
        <v>0.58518518518518503</v>
      </c>
      <c r="N1475">
        <v>1</v>
      </c>
      <c r="O1475">
        <v>0.692888888888889</v>
      </c>
      <c r="P1475" t="s">
        <v>5134</v>
      </c>
      <c r="Q1475" t="s">
        <v>5135</v>
      </c>
      <c r="R1475" t="s">
        <v>5136</v>
      </c>
      <c r="S1475" t="s">
        <v>5137</v>
      </c>
      <c r="T1475" t="s">
        <v>140</v>
      </c>
      <c r="U1475" t="s">
        <v>141</v>
      </c>
      <c r="V1475" t="s">
        <v>5138</v>
      </c>
      <c r="W1475" t="s">
        <v>5139</v>
      </c>
      <c r="Z1475" t="s">
        <v>144</v>
      </c>
      <c r="AA1475" t="s">
        <v>145</v>
      </c>
      <c r="AB1475" t="s">
        <v>144</v>
      </c>
      <c r="AC1475" t="s">
        <v>146</v>
      </c>
      <c r="AD1475" t="s">
        <v>147</v>
      </c>
      <c r="AE1475" t="s">
        <v>148</v>
      </c>
      <c r="AF1475" t="s">
        <v>5140</v>
      </c>
    </row>
    <row r="1476" spans="1:32" hidden="1" x14ac:dyDescent="0.35">
      <c r="A1476">
        <v>2480</v>
      </c>
      <c r="B1476" t="s">
        <v>5133</v>
      </c>
      <c r="C1476" t="s">
        <v>72</v>
      </c>
      <c r="D1476" t="s">
        <v>60</v>
      </c>
      <c r="E1476">
        <v>2423</v>
      </c>
      <c r="F1476">
        <v>5</v>
      </c>
      <c r="G1476">
        <v>5</v>
      </c>
      <c r="H1476">
        <v>1</v>
      </c>
      <c r="I1476">
        <v>1</v>
      </c>
      <c r="J1476">
        <v>0.75988218880793701</v>
      </c>
      <c r="K1476">
        <v>0.95647565666557099</v>
      </c>
      <c r="L1476">
        <v>0.84691990944118201</v>
      </c>
      <c r="M1476">
        <v>0.58518518518518503</v>
      </c>
      <c r="N1476">
        <v>1</v>
      </c>
      <c r="O1476">
        <v>0.692888888888889</v>
      </c>
      <c r="P1476" t="s">
        <v>5134</v>
      </c>
      <c r="Q1476" t="s">
        <v>5135</v>
      </c>
      <c r="R1476" t="s">
        <v>5136</v>
      </c>
      <c r="S1476" t="s">
        <v>5137</v>
      </c>
      <c r="T1476" t="s">
        <v>140</v>
      </c>
      <c r="U1476" t="s">
        <v>141</v>
      </c>
      <c r="V1476" t="s">
        <v>5138</v>
      </c>
      <c r="W1476" t="s">
        <v>5139</v>
      </c>
      <c r="Z1476" t="s">
        <v>144</v>
      </c>
      <c r="AA1476" t="s">
        <v>145</v>
      </c>
      <c r="AB1476" t="s">
        <v>144</v>
      </c>
      <c r="AC1476" t="s">
        <v>146</v>
      </c>
      <c r="AD1476" t="s">
        <v>147</v>
      </c>
      <c r="AE1476" t="s">
        <v>148</v>
      </c>
      <c r="AF1476" t="s">
        <v>5141</v>
      </c>
    </row>
    <row r="1477" spans="1:32" hidden="1" x14ac:dyDescent="0.35">
      <c r="A1477">
        <v>2481</v>
      </c>
      <c r="B1477" t="s">
        <v>5133</v>
      </c>
      <c r="C1477" t="s">
        <v>72</v>
      </c>
      <c r="D1477" t="s">
        <v>62</v>
      </c>
      <c r="E1477">
        <v>2450</v>
      </c>
      <c r="F1477">
        <v>5</v>
      </c>
      <c r="G1477">
        <v>5</v>
      </c>
      <c r="H1477">
        <v>1</v>
      </c>
      <c r="I1477">
        <v>1</v>
      </c>
      <c r="J1477">
        <v>0.75988218880793701</v>
      </c>
      <c r="K1477">
        <v>0.95647565666557099</v>
      </c>
      <c r="L1477">
        <v>0.84691990944118201</v>
      </c>
      <c r="M1477">
        <v>0.58518518518518503</v>
      </c>
      <c r="N1477">
        <v>1</v>
      </c>
      <c r="O1477">
        <v>0.692888888888889</v>
      </c>
      <c r="P1477" t="s">
        <v>5134</v>
      </c>
      <c r="Q1477" t="s">
        <v>5135</v>
      </c>
      <c r="R1477" t="s">
        <v>5136</v>
      </c>
      <c r="S1477" t="s">
        <v>5137</v>
      </c>
      <c r="T1477" t="s">
        <v>140</v>
      </c>
      <c r="U1477" t="s">
        <v>141</v>
      </c>
      <c r="V1477" t="s">
        <v>5138</v>
      </c>
      <c r="W1477" t="s">
        <v>5139</v>
      </c>
      <c r="Z1477" t="s">
        <v>144</v>
      </c>
      <c r="AA1477" t="s">
        <v>145</v>
      </c>
      <c r="AB1477" t="s">
        <v>144</v>
      </c>
      <c r="AC1477" t="s">
        <v>146</v>
      </c>
      <c r="AD1477" t="s">
        <v>147</v>
      </c>
      <c r="AE1477" t="s">
        <v>148</v>
      </c>
      <c r="AF1477" t="s">
        <v>5141</v>
      </c>
    </row>
    <row r="1478" spans="1:32" hidden="1" x14ac:dyDescent="0.35">
      <c r="A1478">
        <v>2482</v>
      </c>
      <c r="B1478" t="s">
        <v>5133</v>
      </c>
      <c r="C1478" t="s">
        <v>72</v>
      </c>
      <c r="D1478" t="s">
        <v>34</v>
      </c>
      <c r="E1478">
        <v>1304</v>
      </c>
      <c r="F1478">
        <v>5</v>
      </c>
      <c r="G1478">
        <v>5</v>
      </c>
      <c r="H1478">
        <v>1</v>
      </c>
      <c r="I1478">
        <v>1</v>
      </c>
      <c r="J1478">
        <v>0.75988218880793701</v>
      </c>
      <c r="K1478">
        <v>0.95647565666557099</v>
      </c>
      <c r="L1478">
        <v>0.84691990944118201</v>
      </c>
      <c r="M1478">
        <v>0.58518518518518503</v>
      </c>
      <c r="N1478">
        <v>1</v>
      </c>
      <c r="O1478">
        <v>0.692888888888889</v>
      </c>
      <c r="P1478" t="s">
        <v>5134</v>
      </c>
      <c r="Q1478" t="s">
        <v>5135</v>
      </c>
      <c r="R1478" t="s">
        <v>5136</v>
      </c>
      <c r="S1478" t="s">
        <v>5137</v>
      </c>
      <c r="T1478" t="s">
        <v>140</v>
      </c>
      <c r="U1478" t="s">
        <v>141</v>
      </c>
      <c r="V1478" t="s">
        <v>5138</v>
      </c>
      <c r="W1478" t="s">
        <v>5139</v>
      </c>
      <c r="Z1478" t="s">
        <v>144</v>
      </c>
      <c r="AA1478" t="s">
        <v>145</v>
      </c>
      <c r="AB1478" t="s">
        <v>144</v>
      </c>
      <c r="AC1478" t="s">
        <v>146</v>
      </c>
      <c r="AD1478" t="s">
        <v>147</v>
      </c>
      <c r="AE1478" t="s">
        <v>148</v>
      </c>
      <c r="AF1478" t="s">
        <v>5142</v>
      </c>
    </row>
    <row r="1479" spans="1:32" hidden="1" x14ac:dyDescent="0.35">
      <c r="A1479">
        <v>2483</v>
      </c>
      <c r="B1479" t="s">
        <v>5133</v>
      </c>
      <c r="C1479" t="s">
        <v>72</v>
      </c>
      <c r="D1479" t="s">
        <v>45</v>
      </c>
      <c r="E1479">
        <v>56</v>
      </c>
      <c r="F1479">
        <v>5</v>
      </c>
      <c r="G1479">
        <v>5</v>
      </c>
      <c r="H1479">
        <v>1</v>
      </c>
      <c r="I1479">
        <v>1</v>
      </c>
      <c r="J1479">
        <v>0.75988218880793701</v>
      </c>
      <c r="K1479">
        <v>0.95647565666557099</v>
      </c>
      <c r="L1479">
        <v>0.84691990944118201</v>
      </c>
      <c r="M1479">
        <v>0.58518518518518503</v>
      </c>
      <c r="N1479">
        <v>1</v>
      </c>
      <c r="O1479">
        <v>0.692888888888889</v>
      </c>
      <c r="P1479" t="s">
        <v>5134</v>
      </c>
      <c r="Q1479" t="s">
        <v>5135</v>
      </c>
      <c r="R1479" t="s">
        <v>5136</v>
      </c>
      <c r="S1479" t="s">
        <v>5137</v>
      </c>
      <c r="T1479" t="s">
        <v>140</v>
      </c>
      <c r="U1479" t="s">
        <v>141</v>
      </c>
      <c r="V1479" t="s">
        <v>5138</v>
      </c>
      <c r="W1479" t="s">
        <v>5139</v>
      </c>
      <c r="Z1479" t="s">
        <v>144</v>
      </c>
      <c r="AA1479" t="s">
        <v>145</v>
      </c>
      <c r="AB1479" t="s">
        <v>144</v>
      </c>
      <c r="AC1479" t="s">
        <v>146</v>
      </c>
      <c r="AD1479" t="s">
        <v>147</v>
      </c>
      <c r="AE1479" t="s">
        <v>148</v>
      </c>
      <c r="AF1479" t="s">
        <v>5143</v>
      </c>
    </row>
    <row r="1480" spans="1:32" hidden="1" x14ac:dyDescent="0.35">
      <c r="A1480">
        <v>4359</v>
      </c>
      <c r="B1480" t="s">
        <v>9088</v>
      </c>
      <c r="C1480" t="s">
        <v>72</v>
      </c>
      <c r="D1480" t="s">
        <v>58</v>
      </c>
      <c r="E1480">
        <v>790</v>
      </c>
      <c r="F1480">
        <v>5</v>
      </c>
      <c r="G1480">
        <v>5</v>
      </c>
      <c r="H1480">
        <v>1</v>
      </c>
      <c r="I1480">
        <v>1</v>
      </c>
      <c r="J1480">
        <v>0.74732167638079405</v>
      </c>
      <c r="K1480">
        <v>0.955775520743676</v>
      </c>
      <c r="L1480">
        <v>0.83879154473611395</v>
      </c>
      <c r="M1480">
        <v>0.54689984101748801</v>
      </c>
      <c r="N1480">
        <v>0.998410174880763</v>
      </c>
      <c r="O1480">
        <v>0.66391096979332298</v>
      </c>
      <c r="P1480" t="s">
        <v>9089</v>
      </c>
      <c r="Q1480" t="s">
        <v>9090</v>
      </c>
      <c r="R1480" t="s">
        <v>9091</v>
      </c>
      <c r="S1480" t="s">
        <v>9092</v>
      </c>
      <c r="V1480" t="s">
        <v>9093</v>
      </c>
      <c r="W1480" t="s">
        <v>9094</v>
      </c>
      <c r="AF1480" t="s">
        <v>9095</v>
      </c>
    </row>
    <row r="1481" spans="1:32" hidden="1" x14ac:dyDescent="0.35">
      <c r="A1481">
        <v>4360</v>
      </c>
      <c r="B1481" t="s">
        <v>9088</v>
      </c>
      <c r="C1481" t="s">
        <v>72</v>
      </c>
      <c r="D1481" t="s">
        <v>60</v>
      </c>
      <c r="E1481">
        <v>1068</v>
      </c>
      <c r="F1481">
        <v>5</v>
      </c>
      <c r="G1481">
        <v>5</v>
      </c>
      <c r="H1481">
        <v>1</v>
      </c>
      <c r="I1481">
        <v>1</v>
      </c>
      <c r="J1481">
        <v>0.74732167638079405</v>
      </c>
      <c r="K1481">
        <v>0.955775520743676</v>
      </c>
      <c r="L1481">
        <v>0.83879154473611395</v>
      </c>
      <c r="M1481">
        <v>0.54689984101748801</v>
      </c>
      <c r="N1481">
        <v>0.998410174880763</v>
      </c>
      <c r="O1481">
        <v>0.66391096979332298</v>
      </c>
      <c r="P1481" t="s">
        <v>9089</v>
      </c>
      <c r="Q1481" t="s">
        <v>9090</v>
      </c>
      <c r="R1481" t="s">
        <v>9091</v>
      </c>
      <c r="S1481" t="s">
        <v>9092</v>
      </c>
      <c r="V1481" t="s">
        <v>9093</v>
      </c>
      <c r="W1481" t="s">
        <v>9094</v>
      </c>
      <c r="AF1481" t="s">
        <v>9096</v>
      </c>
    </row>
    <row r="1482" spans="1:32" hidden="1" x14ac:dyDescent="0.35">
      <c r="A1482">
        <v>4361</v>
      </c>
      <c r="B1482" t="s">
        <v>9088</v>
      </c>
      <c r="C1482" t="s">
        <v>72</v>
      </c>
      <c r="D1482" t="s">
        <v>62</v>
      </c>
      <c r="E1482">
        <v>1104</v>
      </c>
      <c r="F1482">
        <v>5</v>
      </c>
      <c r="G1482">
        <v>5</v>
      </c>
      <c r="H1482">
        <v>1</v>
      </c>
      <c r="I1482">
        <v>1</v>
      </c>
      <c r="J1482">
        <v>0.74732167638079405</v>
      </c>
      <c r="K1482">
        <v>0.955775520743676</v>
      </c>
      <c r="L1482">
        <v>0.83879154473611395</v>
      </c>
      <c r="M1482">
        <v>0.54689984101748801</v>
      </c>
      <c r="N1482">
        <v>0.998410174880763</v>
      </c>
      <c r="O1482">
        <v>0.66391096979332298</v>
      </c>
      <c r="P1482" t="s">
        <v>9089</v>
      </c>
      <c r="Q1482" t="s">
        <v>9090</v>
      </c>
      <c r="R1482" t="s">
        <v>9091</v>
      </c>
      <c r="S1482" t="s">
        <v>9092</v>
      </c>
      <c r="V1482" t="s">
        <v>9093</v>
      </c>
      <c r="W1482" t="s">
        <v>9094</v>
      </c>
      <c r="AF1482" t="s">
        <v>9097</v>
      </c>
    </row>
    <row r="1483" spans="1:32" hidden="1" x14ac:dyDescent="0.35">
      <c r="A1483">
        <v>4362</v>
      </c>
      <c r="B1483" t="s">
        <v>9088</v>
      </c>
      <c r="C1483" t="s">
        <v>72</v>
      </c>
      <c r="D1483" t="s">
        <v>34</v>
      </c>
      <c r="E1483">
        <v>52</v>
      </c>
      <c r="F1483">
        <v>5</v>
      </c>
      <c r="G1483">
        <v>5</v>
      </c>
      <c r="H1483">
        <v>1</v>
      </c>
      <c r="I1483">
        <v>1</v>
      </c>
      <c r="J1483">
        <v>0.74732167638079405</v>
      </c>
      <c r="K1483">
        <v>0.955775520743676</v>
      </c>
      <c r="L1483">
        <v>0.83879154473611395</v>
      </c>
      <c r="M1483">
        <v>0.54689984101748801</v>
      </c>
      <c r="N1483">
        <v>0.998410174880763</v>
      </c>
      <c r="O1483">
        <v>0.66391096979332298</v>
      </c>
      <c r="P1483" t="s">
        <v>9089</v>
      </c>
      <c r="Q1483" t="s">
        <v>9090</v>
      </c>
      <c r="R1483" t="s">
        <v>9091</v>
      </c>
      <c r="S1483" t="s">
        <v>9092</v>
      </c>
      <c r="V1483" t="s">
        <v>9093</v>
      </c>
      <c r="W1483" t="s">
        <v>9094</v>
      </c>
      <c r="AF1483" t="s">
        <v>9098</v>
      </c>
    </row>
    <row r="1484" spans="1:32" hidden="1" x14ac:dyDescent="0.35">
      <c r="A1484">
        <v>4363</v>
      </c>
      <c r="B1484" t="s">
        <v>9088</v>
      </c>
      <c r="C1484" t="s">
        <v>72</v>
      </c>
      <c r="D1484" t="s">
        <v>45</v>
      </c>
      <c r="E1484">
        <v>1310</v>
      </c>
      <c r="F1484">
        <v>5</v>
      </c>
      <c r="G1484">
        <v>5</v>
      </c>
      <c r="H1484">
        <v>1</v>
      </c>
      <c r="I1484">
        <v>1</v>
      </c>
      <c r="J1484">
        <v>0.74732167638079405</v>
      </c>
      <c r="K1484">
        <v>0.955775520743676</v>
      </c>
      <c r="L1484">
        <v>0.83879154473611395</v>
      </c>
      <c r="M1484">
        <v>0.54689984101748801</v>
      </c>
      <c r="N1484">
        <v>0.998410174880763</v>
      </c>
      <c r="O1484">
        <v>0.66391096979332298</v>
      </c>
      <c r="P1484" t="s">
        <v>9089</v>
      </c>
      <c r="Q1484" t="s">
        <v>9090</v>
      </c>
      <c r="R1484" t="s">
        <v>9091</v>
      </c>
      <c r="S1484" t="s">
        <v>9092</v>
      </c>
      <c r="V1484" t="s">
        <v>9093</v>
      </c>
      <c r="W1484" t="s">
        <v>9094</v>
      </c>
      <c r="AF1484" t="s">
        <v>9099</v>
      </c>
    </row>
    <row r="1485" spans="1:32" hidden="1" x14ac:dyDescent="0.35">
      <c r="A1485">
        <v>11927</v>
      </c>
      <c r="B1485" t="s">
        <v>24599</v>
      </c>
      <c r="C1485" t="s">
        <v>10130</v>
      </c>
      <c r="D1485" t="s">
        <v>58</v>
      </c>
      <c r="E1485">
        <v>392</v>
      </c>
      <c r="F1485">
        <v>1</v>
      </c>
      <c r="G1485">
        <v>1</v>
      </c>
      <c r="H1485">
        <v>1</v>
      </c>
      <c r="I1485">
        <v>0</v>
      </c>
      <c r="J1485">
        <v>1</v>
      </c>
      <c r="K1485">
        <v>1</v>
      </c>
      <c r="L1485">
        <v>1</v>
      </c>
      <c r="M1485">
        <v>0</v>
      </c>
      <c r="N1485">
        <v>0</v>
      </c>
      <c r="O1485">
        <v>0</v>
      </c>
      <c r="P1485" t="s">
        <v>18896</v>
      </c>
      <c r="Q1485" t="s">
        <v>18897</v>
      </c>
      <c r="R1485" t="s">
        <v>24600</v>
      </c>
      <c r="S1485" t="s">
        <v>24601</v>
      </c>
      <c r="T1485" t="s">
        <v>24602</v>
      </c>
      <c r="U1485" t="s">
        <v>24603</v>
      </c>
      <c r="V1485" t="s">
        <v>24604</v>
      </c>
      <c r="W1485" t="s">
        <v>24605</v>
      </c>
      <c r="AD1485" t="s">
        <v>14829</v>
      </c>
      <c r="AE1485" t="s">
        <v>24606</v>
      </c>
      <c r="AF1485" t="s">
        <v>24607</v>
      </c>
    </row>
    <row r="1486" spans="1:32" hidden="1" x14ac:dyDescent="0.35">
      <c r="A1486">
        <v>1274</v>
      </c>
      <c r="B1486" t="s">
        <v>2641</v>
      </c>
      <c r="C1486" t="s">
        <v>72</v>
      </c>
      <c r="D1486" t="s">
        <v>58</v>
      </c>
      <c r="E1486">
        <v>411</v>
      </c>
      <c r="F1486">
        <v>5</v>
      </c>
      <c r="G1486">
        <v>5</v>
      </c>
      <c r="H1486">
        <v>1</v>
      </c>
      <c r="I1486">
        <v>1</v>
      </c>
      <c r="J1486">
        <v>0.85768143261074503</v>
      </c>
      <c r="K1486">
        <v>0.93051405807093901</v>
      </c>
      <c r="L1486">
        <v>0.89261452067131697</v>
      </c>
      <c r="M1486">
        <v>0.65938864628821003</v>
      </c>
      <c r="N1486">
        <v>1</v>
      </c>
      <c r="O1486">
        <v>0.76157205240174697</v>
      </c>
      <c r="P1486" t="s">
        <v>169</v>
      </c>
      <c r="Q1486" t="s">
        <v>170</v>
      </c>
      <c r="R1486" t="s">
        <v>1474</v>
      </c>
      <c r="S1486" t="s">
        <v>1475</v>
      </c>
      <c r="T1486" t="s">
        <v>2642</v>
      </c>
      <c r="U1486" t="s">
        <v>2643</v>
      </c>
      <c r="V1486" t="s">
        <v>2644</v>
      </c>
      <c r="W1486" t="s">
        <v>2645</v>
      </c>
      <c r="AD1486" t="s">
        <v>1966</v>
      </c>
      <c r="AE1486" t="s">
        <v>2646</v>
      </c>
      <c r="AF1486" t="s">
        <v>2647</v>
      </c>
    </row>
    <row r="1487" spans="1:32" hidden="1" x14ac:dyDescent="0.35">
      <c r="A1487">
        <v>362</v>
      </c>
      <c r="B1487" t="s">
        <v>649</v>
      </c>
      <c r="C1487" t="s">
        <v>72</v>
      </c>
      <c r="D1487" t="s">
        <v>60</v>
      </c>
      <c r="E1487">
        <v>1005</v>
      </c>
      <c r="F1487">
        <v>5</v>
      </c>
      <c r="G1487">
        <v>6</v>
      </c>
      <c r="H1487">
        <v>2</v>
      </c>
      <c r="I1487">
        <v>0</v>
      </c>
      <c r="J1487">
        <v>0.74729126832377302</v>
      </c>
      <c r="K1487">
        <v>0.73894788401253697</v>
      </c>
      <c r="L1487">
        <v>0.74309615730529699</v>
      </c>
      <c r="M1487">
        <v>7.8125E-2</v>
      </c>
      <c r="N1487">
        <v>0.98750000000000004</v>
      </c>
      <c r="O1487">
        <v>0.456666666666667</v>
      </c>
      <c r="P1487" t="s">
        <v>650</v>
      </c>
      <c r="Q1487" t="s">
        <v>651</v>
      </c>
      <c r="R1487" t="s">
        <v>652</v>
      </c>
      <c r="S1487" t="s">
        <v>653</v>
      </c>
      <c r="T1487" t="s">
        <v>654</v>
      </c>
      <c r="U1487" t="s">
        <v>655</v>
      </c>
      <c r="V1487" t="s">
        <v>656</v>
      </c>
      <c r="W1487" t="s">
        <v>657</v>
      </c>
      <c r="AD1487" t="s">
        <v>658</v>
      </c>
      <c r="AE1487" t="s">
        <v>659</v>
      </c>
      <c r="AF1487" t="s">
        <v>661</v>
      </c>
    </row>
    <row r="1488" spans="1:32" hidden="1" x14ac:dyDescent="0.35">
      <c r="A1488">
        <v>363</v>
      </c>
      <c r="B1488" t="s">
        <v>649</v>
      </c>
      <c r="C1488" t="s">
        <v>72</v>
      </c>
      <c r="D1488" t="s">
        <v>62</v>
      </c>
      <c r="E1488">
        <v>1041</v>
      </c>
      <c r="F1488">
        <v>5</v>
      </c>
      <c r="G1488">
        <v>6</v>
      </c>
      <c r="H1488">
        <v>2</v>
      </c>
      <c r="I1488">
        <v>0</v>
      </c>
      <c r="J1488">
        <v>0.74729126832377302</v>
      </c>
      <c r="K1488">
        <v>0.73894788401253697</v>
      </c>
      <c r="L1488">
        <v>0.74309615730529699</v>
      </c>
      <c r="M1488">
        <v>7.8125E-2</v>
      </c>
      <c r="N1488">
        <v>0.98750000000000004</v>
      </c>
      <c r="O1488">
        <v>0.456666666666667</v>
      </c>
      <c r="P1488" t="s">
        <v>650</v>
      </c>
      <c r="Q1488" t="s">
        <v>651</v>
      </c>
      <c r="R1488" t="s">
        <v>652</v>
      </c>
      <c r="S1488" t="s">
        <v>653</v>
      </c>
      <c r="T1488" t="s">
        <v>654</v>
      </c>
      <c r="U1488" t="s">
        <v>655</v>
      </c>
      <c r="V1488" t="s">
        <v>656</v>
      </c>
      <c r="W1488" t="s">
        <v>657</v>
      </c>
      <c r="AD1488" t="s">
        <v>658</v>
      </c>
      <c r="AE1488" t="s">
        <v>659</v>
      </c>
      <c r="AF1488" t="s">
        <v>662</v>
      </c>
    </row>
    <row r="1489" spans="1:32" hidden="1" x14ac:dyDescent="0.35">
      <c r="A1489">
        <v>364</v>
      </c>
      <c r="B1489" t="s">
        <v>649</v>
      </c>
      <c r="C1489" t="s">
        <v>72</v>
      </c>
      <c r="D1489" t="s">
        <v>34</v>
      </c>
      <c r="E1489">
        <v>118</v>
      </c>
      <c r="F1489">
        <v>5</v>
      </c>
      <c r="G1489">
        <v>6</v>
      </c>
      <c r="H1489">
        <v>2</v>
      </c>
      <c r="I1489">
        <v>0</v>
      </c>
      <c r="J1489">
        <v>0.74729126832377302</v>
      </c>
      <c r="K1489">
        <v>0.73894788401253697</v>
      </c>
      <c r="L1489">
        <v>0.74309615730529699</v>
      </c>
      <c r="M1489">
        <v>7.8125E-2</v>
      </c>
      <c r="N1489">
        <v>0.98750000000000004</v>
      </c>
      <c r="O1489">
        <v>0.456666666666667</v>
      </c>
      <c r="P1489" t="s">
        <v>650</v>
      </c>
      <c r="Q1489" t="s">
        <v>651</v>
      </c>
      <c r="R1489" t="s">
        <v>652</v>
      </c>
      <c r="S1489" t="s">
        <v>653</v>
      </c>
      <c r="T1489" t="s">
        <v>654</v>
      </c>
      <c r="U1489" t="s">
        <v>655</v>
      </c>
      <c r="V1489" t="s">
        <v>656</v>
      </c>
      <c r="W1489" t="s">
        <v>657</v>
      </c>
      <c r="AD1489" t="s">
        <v>658</v>
      </c>
      <c r="AE1489" t="s">
        <v>659</v>
      </c>
      <c r="AF1489" t="s">
        <v>663</v>
      </c>
    </row>
    <row r="1490" spans="1:32" hidden="1" x14ac:dyDescent="0.35">
      <c r="A1490">
        <v>365</v>
      </c>
      <c r="B1490" t="s">
        <v>649</v>
      </c>
      <c r="C1490" t="s">
        <v>72</v>
      </c>
      <c r="D1490" t="s">
        <v>45</v>
      </c>
      <c r="E1490">
        <v>1380</v>
      </c>
      <c r="F1490">
        <v>5</v>
      </c>
      <c r="G1490">
        <v>6</v>
      </c>
      <c r="H1490">
        <v>2</v>
      </c>
      <c r="I1490">
        <v>0</v>
      </c>
      <c r="J1490">
        <v>0.74729126832377302</v>
      </c>
      <c r="K1490">
        <v>0.73894788401253697</v>
      </c>
      <c r="L1490">
        <v>0.74309615730529699</v>
      </c>
      <c r="M1490">
        <v>7.8125E-2</v>
      </c>
      <c r="N1490">
        <v>0.98750000000000004</v>
      </c>
      <c r="O1490">
        <v>0.456666666666667</v>
      </c>
      <c r="P1490" t="s">
        <v>650</v>
      </c>
      <c r="Q1490" t="s">
        <v>651</v>
      </c>
      <c r="R1490" t="s">
        <v>652</v>
      </c>
      <c r="S1490" t="s">
        <v>653</v>
      </c>
      <c r="T1490" t="s">
        <v>654</v>
      </c>
      <c r="U1490" t="s">
        <v>655</v>
      </c>
      <c r="V1490" t="s">
        <v>656</v>
      </c>
      <c r="W1490" t="s">
        <v>657</v>
      </c>
      <c r="AD1490" t="s">
        <v>658</v>
      </c>
      <c r="AE1490" t="s">
        <v>659</v>
      </c>
      <c r="AF1490" t="e">
        <f>------------------------------------------------------------------------------------------------------------------------------------------------------------------------------------MTVTKFVPAVKGDRPDLTNAKVVVAGGRGVDSEENFHTEVEALADALGGAVGATRDVVDLGWYDPIYQIGQTGVTVSPDVYIGLGVSGAIQHTSGMQTAKKIIVINNDDDAPFFHIADLGVVGDLHEIVPLIVEELAKRK</f>
        <v>#NAME?</v>
      </c>
    </row>
    <row r="1491" spans="1:32" hidden="1" x14ac:dyDescent="0.35">
      <c r="A1491">
        <v>366</v>
      </c>
      <c r="B1491" t="s">
        <v>649</v>
      </c>
      <c r="C1491" t="s">
        <v>72</v>
      </c>
      <c r="D1491" t="s">
        <v>45</v>
      </c>
      <c r="E1491">
        <v>1381</v>
      </c>
      <c r="F1491">
        <v>5</v>
      </c>
      <c r="G1491">
        <v>6</v>
      </c>
      <c r="H1491">
        <v>2</v>
      </c>
      <c r="I1491">
        <v>0</v>
      </c>
      <c r="J1491">
        <v>0.74729126832377302</v>
      </c>
      <c r="K1491">
        <v>0.73894788401253697</v>
      </c>
      <c r="L1491">
        <v>0.74309615730529699</v>
      </c>
      <c r="M1491">
        <v>7.8125E-2</v>
      </c>
      <c r="N1491">
        <v>0.98750000000000004</v>
      </c>
      <c r="O1491">
        <v>0.456666666666667</v>
      </c>
      <c r="P1491" t="s">
        <v>664</v>
      </c>
      <c r="Q1491" t="s">
        <v>665</v>
      </c>
      <c r="R1491" t="s">
        <v>652</v>
      </c>
      <c r="S1491" t="s">
        <v>653</v>
      </c>
      <c r="V1491" t="s">
        <v>656</v>
      </c>
      <c r="W1491" t="s">
        <v>657</v>
      </c>
      <c r="AF1491" t="s">
        <v>666</v>
      </c>
    </row>
    <row r="1492" spans="1:32" hidden="1" x14ac:dyDescent="0.35">
      <c r="A1492">
        <v>3399</v>
      </c>
      <c r="B1492" t="s">
        <v>6984</v>
      </c>
      <c r="C1492" t="s">
        <v>72</v>
      </c>
      <c r="D1492" t="s">
        <v>58</v>
      </c>
      <c r="E1492">
        <v>1292</v>
      </c>
      <c r="F1492">
        <v>5</v>
      </c>
      <c r="G1492">
        <v>5</v>
      </c>
      <c r="H1492">
        <v>1</v>
      </c>
      <c r="I1492">
        <v>1</v>
      </c>
      <c r="J1492">
        <v>0.81036455778976602</v>
      </c>
      <c r="K1492">
        <v>0.91351216990136697</v>
      </c>
      <c r="L1492">
        <v>0.85885246167129203</v>
      </c>
      <c r="M1492">
        <v>0.62583518930957704</v>
      </c>
      <c r="N1492">
        <v>1</v>
      </c>
      <c r="O1492">
        <v>0.72026726057906498</v>
      </c>
      <c r="P1492" t="s">
        <v>6985</v>
      </c>
      <c r="Q1492" t="s">
        <v>6986</v>
      </c>
      <c r="R1492" t="s">
        <v>1474</v>
      </c>
      <c r="S1492" t="s">
        <v>1475</v>
      </c>
      <c r="T1492" t="s">
        <v>6987</v>
      </c>
      <c r="U1492" t="s">
        <v>6988</v>
      </c>
      <c r="V1492" t="s">
        <v>6989</v>
      </c>
      <c r="W1492" t="s">
        <v>6990</v>
      </c>
      <c r="AD1492" t="s">
        <v>6991</v>
      </c>
      <c r="AE1492" t="s">
        <v>6992</v>
      </c>
      <c r="AF1492" t="s">
        <v>6993</v>
      </c>
    </row>
    <row r="1493" spans="1:32" hidden="1" x14ac:dyDescent="0.35">
      <c r="A1493">
        <v>404</v>
      </c>
      <c r="B1493" t="s">
        <v>720</v>
      </c>
      <c r="C1493" t="s">
        <v>72</v>
      </c>
      <c r="D1493" t="s">
        <v>60</v>
      </c>
      <c r="E1493">
        <v>2105</v>
      </c>
      <c r="F1493">
        <v>5</v>
      </c>
      <c r="G1493">
        <v>6</v>
      </c>
      <c r="H1493">
        <v>2</v>
      </c>
      <c r="I1493">
        <v>0</v>
      </c>
      <c r="J1493">
        <v>0.90637931034482799</v>
      </c>
      <c r="K1493">
        <v>0.752248573067684</v>
      </c>
      <c r="L1493">
        <v>0.82215251495973296</v>
      </c>
      <c r="M1493">
        <v>8.5324232081911297E-2</v>
      </c>
      <c r="N1493">
        <v>0.99829351535836197</v>
      </c>
      <c r="O1493">
        <v>0.58270762229806605</v>
      </c>
      <c r="P1493" t="s">
        <v>721</v>
      </c>
      <c r="Q1493" t="s">
        <v>722</v>
      </c>
      <c r="R1493" t="s">
        <v>652</v>
      </c>
      <c r="S1493" t="s">
        <v>653</v>
      </c>
      <c r="T1493" t="s">
        <v>723</v>
      </c>
      <c r="U1493" t="s">
        <v>724</v>
      </c>
      <c r="V1493" t="s">
        <v>725</v>
      </c>
      <c r="W1493" t="s">
        <v>726</v>
      </c>
      <c r="Z1493" t="s">
        <v>727</v>
      </c>
      <c r="AA1493" t="s">
        <v>728</v>
      </c>
      <c r="AB1493" t="s">
        <v>727</v>
      </c>
      <c r="AC1493" t="s">
        <v>729</v>
      </c>
      <c r="AD1493" t="s">
        <v>219</v>
      </c>
      <c r="AE1493" t="s">
        <v>730</v>
      </c>
      <c r="AF1493" t="s">
        <v>732</v>
      </c>
    </row>
    <row r="1494" spans="1:32" hidden="1" x14ac:dyDescent="0.35">
      <c r="A1494">
        <v>405</v>
      </c>
      <c r="B1494" t="s">
        <v>720</v>
      </c>
      <c r="C1494" t="s">
        <v>72</v>
      </c>
      <c r="D1494" t="s">
        <v>62</v>
      </c>
      <c r="E1494">
        <v>2140</v>
      </c>
      <c r="F1494">
        <v>5</v>
      </c>
      <c r="G1494">
        <v>6</v>
      </c>
      <c r="H1494">
        <v>2</v>
      </c>
      <c r="I1494">
        <v>0</v>
      </c>
      <c r="J1494">
        <v>0.90637931034482799</v>
      </c>
      <c r="K1494">
        <v>0.752248573067684</v>
      </c>
      <c r="L1494">
        <v>0.82215251495973296</v>
      </c>
      <c r="M1494">
        <v>8.5324232081911297E-2</v>
      </c>
      <c r="N1494">
        <v>0.99829351535836197</v>
      </c>
      <c r="O1494">
        <v>0.58270762229806605</v>
      </c>
      <c r="P1494" t="s">
        <v>721</v>
      </c>
      <c r="Q1494" t="s">
        <v>722</v>
      </c>
      <c r="R1494" t="s">
        <v>652</v>
      </c>
      <c r="S1494" t="s">
        <v>653</v>
      </c>
      <c r="T1494" t="s">
        <v>723</v>
      </c>
      <c r="U1494" t="s">
        <v>724</v>
      </c>
      <c r="V1494" t="s">
        <v>725</v>
      </c>
      <c r="W1494" t="s">
        <v>726</v>
      </c>
      <c r="Z1494" t="s">
        <v>727</v>
      </c>
      <c r="AA1494" t="s">
        <v>728</v>
      </c>
      <c r="AB1494" t="s">
        <v>727</v>
      </c>
      <c r="AC1494" t="s">
        <v>729</v>
      </c>
      <c r="AD1494" t="s">
        <v>219</v>
      </c>
      <c r="AE1494" t="s">
        <v>730</v>
      </c>
      <c r="AF1494" t="s">
        <v>733</v>
      </c>
    </row>
    <row r="1495" spans="1:32" hidden="1" x14ac:dyDescent="0.35">
      <c r="A1495">
        <v>406</v>
      </c>
      <c r="B1495" t="s">
        <v>720</v>
      </c>
      <c r="C1495" t="s">
        <v>72</v>
      </c>
      <c r="D1495" t="s">
        <v>34</v>
      </c>
      <c r="E1495">
        <v>2453</v>
      </c>
      <c r="F1495">
        <v>5</v>
      </c>
      <c r="G1495">
        <v>6</v>
      </c>
      <c r="H1495">
        <v>2</v>
      </c>
      <c r="I1495">
        <v>0</v>
      </c>
      <c r="J1495">
        <v>0.90637931034482799</v>
      </c>
      <c r="K1495">
        <v>0.752248573067684</v>
      </c>
      <c r="L1495">
        <v>0.82215251495973296</v>
      </c>
      <c r="M1495">
        <v>8.5324232081911297E-2</v>
      </c>
      <c r="N1495">
        <v>0.99829351535836197</v>
      </c>
      <c r="O1495">
        <v>0.58270762229806605</v>
      </c>
      <c r="P1495" t="s">
        <v>721</v>
      </c>
      <c r="Q1495" t="s">
        <v>722</v>
      </c>
      <c r="R1495" t="s">
        <v>652</v>
      </c>
      <c r="S1495" t="s">
        <v>653</v>
      </c>
      <c r="T1495" t="s">
        <v>723</v>
      </c>
      <c r="U1495" t="s">
        <v>724</v>
      </c>
      <c r="V1495" t="s">
        <v>725</v>
      </c>
      <c r="W1495" t="s">
        <v>726</v>
      </c>
      <c r="Z1495" t="s">
        <v>727</v>
      </c>
      <c r="AA1495" t="s">
        <v>728</v>
      </c>
      <c r="AB1495" t="s">
        <v>727</v>
      </c>
      <c r="AC1495" t="s">
        <v>729</v>
      </c>
      <c r="AD1495" t="s">
        <v>219</v>
      </c>
      <c r="AE1495" t="s">
        <v>730</v>
      </c>
      <c r="AF1495" t="s">
        <v>734</v>
      </c>
    </row>
    <row r="1496" spans="1:32" hidden="1" x14ac:dyDescent="0.35">
      <c r="A1496">
        <v>407</v>
      </c>
      <c r="B1496" t="s">
        <v>720</v>
      </c>
      <c r="C1496" t="s">
        <v>72</v>
      </c>
      <c r="D1496" t="s">
        <v>45</v>
      </c>
      <c r="E1496">
        <v>449</v>
      </c>
      <c r="F1496">
        <v>5</v>
      </c>
      <c r="G1496">
        <v>6</v>
      </c>
      <c r="H1496">
        <v>2</v>
      </c>
      <c r="I1496">
        <v>0</v>
      </c>
      <c r="J1496">
        <v>0.90637931034482799</v>
      </c>
      <c r="K1496">
        <v>0.752248573067684</v>
      </c>
      <c r="L1496">
        <v>0.82215251495973296</v>
      </c>
      <c r="M1496">
        <v>8.5324232081911297E-2</v>
      </c>
      <c r="N1496">
        <v>0.99829351535836197</v>
      </c>
      <c r="O1496">
        <v>0.58270762229806605</v>
      </c>
      <c r="P1496" t="s">
        <v>721</v>
      </c>
      <c r="Q1496" t="s">
        <v>722</v>
      </c>
      <c r="R1496" t="s">
        <v>652</v>
      </c>
      <c r="S1496" t="s">
        <v>653</v>
      </c>
      <c r="T1496" t="s">
        <v>723</v>
      </c>
      <c r="U1496" t="s">
        <v>724</v>
      </c>
      <c r="V1496" t="s">
        <v>725</v>
      </c>
      <c r="W1496" t="s">
        <v>726</v>
      </c>
      <c r="Z1496" t="s">
        <v>727</v>
      </c>
      <c r="AA1496" t="s">
        <v>728</v>
      </c>
      <c r="AB1496" t="s">
        <v>727</v>
      </c>
      <c r="AC1496" t="s">
        <v>729</v>
      </c>
      <c r="AD1496" t="s">
        <v>219</v>
      </c>
      <c r="AE1496" t="s">
        <v>730</v>
      </c>
      <c r="AF1496" t="s">
        <v>735</v>
      </c>
    </row>
    <row r="1497" spans="1:32" hidden="1" x14ac:dyDescent="0.35">
      <c r="A1497">
        <v>408</v>
      </c>
      <c r="B1497" t="s">
        <v>720</v>
      </c>
      <c r="C1497" t="s">
        <v>72</v>
      </c>
      <c r="D1497" t="s">
        <v>45</v>
      </c>
      <c r="E1497">
        <v>448</v>
      </c>
      <c r="F1497">
        <v>5</v>
      </c>
      <c r="G1497">
        <v>6</v>
      </c>
      <c r="H1497">
        <v>2</v>
      </c>
      <c r="I1497">
        <v>0</v>
      </c>
      <c r="J1497">
        <v>0.90637931034482799</v>
      </c>
      <c r="K1497">
        <v>0.752248573067684</v>
      </c>
      <c r="L1497">
        <v>0.82215251495973296</v>
      </c>
      <c r="M1497">
        <v>8.5324232081911297E-2</v>
      </c>
      <c r="N1497">
        <v>0.99829351535836197</v>
      </c>
      <c r="O1497">
        <v>0.58270762229806605</v>
      </c>
      <c r="P1497" t="s">
        <v>721</v>
      </c>
      <c r="Q1497" t="s">
        <v>722</v>
      </c>
      <c r="R1497" t="s">
        <v>652</v>
      </c>
      <c r="S1497" t="s">
        <v>653</v>
      </c>
      <c r="V1497" t="s">
        <v>725</v>
      </c>
      <c r="W1497" t="s">
        <v>726</v>
      </c>
      <c r="AF1497" t="s">
        <v>736</v>
      </c>
    </row>
    <row r="1498" spans="1:32" hidden="1" x14ac:dyDescent="0.35">
      <c r="A1498">
        <v>11427</v>
      </c>
      <c r="B1498" t="s">
        <v>23295</v>
      </c>
      <c r="C1498" t="s">
        <v>33</v>
      </c>
      <c r="D1498" t="s">
        <v>58</v>
      </c>
      <c r="E1498">
        <v>655</v>
      </c>
      <c r="F1498">
        <v>1</v>
      </c>
      <c r="G1498">
        <v>1</v>
      </c>
      <c r="H1498">
        <v>1</v>
      </c>
      <c r="I1498">
        <v>0</v>
      </c>
      <c r="J1498">
        <v>1</v>
      </c>
      <c r="K1498">
        <v>1</v>
      </c>
      <c r="L1498">
        <v>1</v>
      </c>
      <c r="M1498">
        <v>0</v>
      </c>
      <c r="N1498">
        <v>0</v>
      </c>
      <c r="O1498">
        <v>0</v>
      </c>
      <c r="P1498" t="s">
        <v>15149</v>
      </c>
      <c r="Q1498" t="s">
        <v>15150</v>
      </c>
      <c r="R1498" t="s">
        <v>1474</v>
      </c>
      <c r="S1498" t="s">
        <v>1475</v>
      </c>
      <c r="T1498" t="s">
        <v>15151</v>
      </c>
      <c r="U1498" t="s">
        <v>15152</v>
      </c>
      <c r="V1498" t="s">
        <v>15153</v>
      </c>
      <c r="W1498" t="s">
        <v>15154</v>
      </c>
      <c r="AD1498" t="s">
        <v>1480</v>
      </c>
      <c r="AE1498" t="s">
        <v>6364</v>
      </c>
      <c r="AF1498" t="s">
        <v>23296</v>
      </c>
    </row>
    <row r="1499" spans="1:32" hidden="1" x14ac:dyDescent="0.35">
      <c r="A1499">
        <v>530</v>
      </c>
      <c r="B1499" t="s">
        <v>1025</v>
      </c>
      <c r="C1499" t="s">
        <v>72</v>
      </c>
      <c r="D1499" t="s">
        <v>60</v>
      </c>
      <c r="E1499">
        <v>798</v>
      </c>
      <c r="F1499">
        <v>5</v>
      </c>
      <c r="G1499">
        <v>5</v>
      </c>
      <c r="H1499">
        <v>1</v>
      </c>
      <c r="I1499">
        <v>1</v>
      </c>
      <c r="J1499">
        <v>0.77449168207024</v>
      </c>
      <c r="K1499">
        <v>0.91425722831505396</v>
      </c>
      <c r="L1499">
        <v>0.83859076295842006</v>
      </c>
      <c r="M1499">
        <v>0.57983193277310896</v>
      </c>
      <c r="N1499">
        <v>1</v>
      </c>
      <c r="O1499">
        <v>0.69411764705882395</v>
      </c>
      <c r="P1499" t="s">
        <v>1026</v>
      </c>
      <c r="Q1499" t="s">
        <v>1027</v>
      </c>
      <c r="R1499" t="s">
        <v>652</v>
      </c>
      <c r="S1499" t="s">
        <v>653</v>
      </c>
      <c r="V1499" t="s">
        <v>1028</v>
      </c>
      <c r="W1499" t="s">
        <v>1029</v>
      </c>
      <c r="AF1499" t="s">
        <v>1031</v>
      </c>
    </row>
    <row r="1500" spans="1:32" hidden="1" x14ac:dyDescent="0.35">
      <c r="A1500">
        <v>531</v>
      </c>
      <c r="B1500" t="s">
        <v>1025</v>
      </c>
      <c r="C1500" t="s">
        <v>72</v>
      </c>
      <c r="D1500" t="s">
        <v>62</v>
      </c>
      <c r="E1500">
        <v>831</v>
      </c>
      <c r="F1500">
        <v>5</v>
      </c>
      <c r="G1500">
        <v>5</v>
      </c>
      <c r="H1500">
        <v>1</v>
      </c>
      <c r="I1500">
        <v>1</v>
      </c>
      <c r="J1500">
        <v>0.77449168207024</v>
      </c>
      <c r="K1500">
        <v>0.91425722831505396</v>
      </c>
      <c r="L1500">
        <v>0.83859076295842006</v>
      </c>
      <c r="M1500">
        <v>0.57983193277310896</v>
      </c>
      <c r="N1500">
        <v>1</v>
      </c>
      <c r="O1500">
        <v>0.69411764705882395</v>
      </c>
      <c r="P1500" t="s">
        <v>1026</v>
      </c>
      <c r="Q1500" t="s">
        <v>1027</v>
      </c>
      <c r="R1500" t="s">
        <v>652</v>
      </c>
      <c r="S1500" t="s">
        <v>653</v>
      </c>
      <c r="V1500" t="s">
        <v>1028</v>
      </c>
      <c r="W1500" t="s">
        <v>1029</v>
      </c>
      <c r="AF1500" t="s">
        <v>1031</v>
      </c>
    </row>
    <row r="1501" spans="1:32" hidden="1" x14ac:dyDescent="0.35">
      <c r="A1501">
        <v>532</v>
      </c>
      <c r="B1501" t="s">
        <v>1025</v>
      </c>
      <c r="C1501" t="s">
        <v>72</v>
      </c>
      <c r="D1501" t="s">
        <v>34</v>
      </c>
      <c r="E1501">
        <v>337</v>
      </c>
      <c r="F1501">
        <v>5</v>
      </c>
      <c r="G1501">
        <v>5</v>
      </c>
      <c r="H1501">
        <v>1</v>
      </c>
      <c r="I1501">
        <v>1</v>
      </c>
      <c r="J1501">
        <v>0.77449168207024</v>
      </c>
      <c r="K1501">
        <v>0.91425722831505396</v>
      </c>
      <c r="L1501">
        <v>0.83859076295842006</v>
      </c>
      <c r="M1501">
        <v>0.57983193277310896</v>
      </c>
      <c r="N1501">
        <v>1</v>
      </c>
      <c r="O1501">
        <v>0.69411764705882395</v>
      </c>
      <c r="P1501" t="s">
        <v>1026</v>
      </c>
      <c r="Q1501" t="s">
        <v>1027</v>
      </c>
      <c r="R1501" t="s">
        <v>652</v>
      </c>
      <c r="S1501" t="s">
        <v>653</v>
      </c>
      <c r="T1501" t="s">
        <v>1032</v>
      </c>
      <c r="U1501" t="s">
        <v>1033</v>
      </c>
      <c r="V1501" t="s">
        <v>1028</v>
      </c>
      <c r="W1501" t="s">
        <v>1029</v>
      </c>
      <c r="AD1501" t="s">
        <v>219</v>
      </c>
      <c r="AE1501" t="s">
        <v>1034</v>
      </c>
      <c r="AF1501" t="e">
        <f>-----------MILINVKFRVKPEHTATFLTDIDWFTTATRAEPGNLFFDWYQSPADPGEFILVEGFHDDAAEPHVNSEHFQRACRELPGYLVETPEIINTLIAGKTVWDRMAEFQVKN</f>
        <v>#NAME?</v>
      </c>
    </row>
    <row r="1502" spans="1:32" hidden="1" x14ac:dyDescent="0.35">
      <c r="A1502">
        <v>533</v>
      </c>
      <c r="B1502" t="s">
        <v>1025</v>
      </c>
      <c r="C1502" t="s">
        <v>72</v>
      </c>
      <c r="D1502" t="s">
        <v>45</v>
      </c>
      <c r="E1502">
        <v>1599</v>
      </c>
      <c r="F1502">
        <v>5</v>
      </c>
      <c r="G1502">
        <v>5</v>
      </c>
      <c r="H1502">
        <v>1</v>
      </c>
      <c r="I1502">
        <v>1</v>
      </c>
      <c r="J1502">
        <v>0.77449168207024</v>
      </c>
      <c r="K1502">
        <v>0.91425722831505396</v>
      </c>
      <c r="L1502">
        <v>0.83859076295842006</v>
      </c>
      <c r="M1502">
        <v>0.57983193277310896</v>
      </c>
      <c r="N1502">
        <v>1</v>
      </c>
      <c r="O1502">
        <v>0.69411764705882395</v>
      </c>
      <c r="P1502" t="s">
        <v>1026</v>
      </c>
      <c r="Q1502" t="s">
        <v>1027</v>
      </c>
      <c r="R1502" t="s">
        <v>652</v>
      </c>
      <c r="S1502" t="s">
        <v>653</v>
      </c>
      <c r="T1502" t="s">
        <v>1032</v>
      </c>
      <c r="U1502" t="s">
        <v>1033</v>
      </c>
      <c r="V1502" t="s">
        <v>1028</v>
      </c>
      <c r="W1502" t="s">
        <v>1029</v>
      </c>
      <c r="AD1502" t="s">
        <v>219</v>
      </c>
      <c r="AE1502" t="s">
        <v>1034</v>
      </c>
      <c r="AF1502" t="e">
        <f>-----------MILINVKFRVKPEHTATFLTDIDWFTTATRAEPGNLFFDWYQSPADPGEFILVEGFHDDAAEPHVNSEHFQRACRELPGYLVETPEIINTLIAGKTVWDRMAEFQVKN</f>
        <v>#NAME?</v>
      </c>
    </row>
    <row r="1503" spans="1:32" hidden="1" x14ac:dyDescent="0.35">
      <c r="A1503">
        <v>2659</v>
      </c>
      <c r="B1503" t="s">
        <v>5493</v>
      </c>
      <c r="C1503" t="s">
        <v>72</v>
      </c>
      <c r="D1503" t="s">
        <v>58</v>
      </c>
      <c r="E1503">
        <v>412</v>
      </c>
      <c r="F1503">
        <v>5</v>
      </c>
      <c r="G1503">
        <v>5</v>
      </c>
      <c r="H1503">
        <v>1</v>
      </c>
      <c r="I1503">
        <v>1</v>
      </c>
      <c r="J1503">
        <v>0.82744444444444398</v>
      </c>
      <c r="K1503">
        <v>0.99339508481661898</v>
      </c>
      <c r="L1503">
        <v>0.90285742467762298</v>
      </c>
      <c r="M1503">
        <v>0.67549668874172197</v>
      </c>
      <c r="N1503">
        <v>1</v>
      </c>
      <c r="O1503">
        <v>0.75728476821192003</v>
      </c>
      <c r="P1503" t="s">
        <v>5494</v>
      </c>
      <c r="Q1503" t="s">
        <v>5495</v>
      </c>
      <c r="R1503" t="s">
        <v>1474</v>
      </c>
      <c r="S1503" t="s">
        <v>1475</v>
      </c>
      <c r="T1503" t="s">
        <v>5496</v>
      </c>
      <c r="U1503" t="s">
        <v>5497</v>
      </c>
      <c r="V1503" t="s">
        <v>5498</v>
      </c>
      <c r="W1503" t="s">
        <v>5499</v>
      </c>
      <c r="AD1503" t="s">
        <v>1966</v>
      </c>
      <c r="AE1503" t="s">
        <v>2646</v>
      </c>
      <c r="AF1503" t="s">
        <v>5500</v>
      </c>
    </row>
    <row r="1504" spans="1:32" hidden="1" x14ac:dyDescent="0.35">
      <c r="A1504">
        <v>855</v>
      </c>
      <c r="B1504" t="s">
        <v>1775</v>
      </c>
      <c r="C1504" t="s">
        <v>72</v>
      </c>
      <c r="D1504" t="s">
        <v>60</v>
      </c>
      <c r="E1504">
        <v>721</v>
      </c>
      <c r="F1504">
        <v>5</v>
      </c>
      <c r="G1504">
        <v>5</v>
      </c>
      <c r="H1504">
        <v>1</v>
      </c>
      <c r="I1504">
        <v>1</v>
      </c>
      <c r="J1504">
        <v>0.88066418373680899</v>
      </c>
      <c r="K1504">
        <v>0.994453037724503</v>
      </c>
      <c r="L1504">
        <v>0.934106052366934</v>
      </c>
      <c r="M1504">
        <v>0.76620370370370405</v>
      </c>
      <c r="N1504">
        <v>1</v>
      </c>
      <c r="O1504">
        <v>0.83935185185185202</v>
      </c>
      <c r="P1504" t="s">
        <v>1776</v>
      </c>
      <c r="Q1504" t="s">
        <v>1777</v>
      </c>
      <c r="R1504" t="s">
        <v>652</v>
      </c>
      <c r="S1504" t="s">
        <v>653</v>
      </c>
      <c r="T1504" t="s">
        <v>1778</v>
      </c>
      <c r="U1504" t="s">
        <v>1779</v>
      </c>
      <c r="V1504" t="s">
        <v>1780</v>
      </c>
      <c r="W1504" t="s">
        <v>1781</v>
      </c>
      <c r="X1504" t="s">
        <v>1780</v>
      </c>
      <c r="Y1504" t="s">
        <v>1782</v>
      </c>
      <c r="Z1504" t="s">
        <v>1783</v>
      </c>
      <c r="AA1504" t="s">
        <v>1784</v>
      </c>
      <c r="AB1504" t="s">
        <v>1783</v>
      </c>
      <c r="AC1504" t="s">
        <v>1785</v>
      </c>
      <c r="AD1504" t="s">
        <v>245</v>
      </c>
      <c r="AE1504" t="s">
        <v>1786</v>
      </c>
      <c r="AF1504" t="s">
        <v>1788</v>
      </c>
    </row>
    <row r="1505" spans="1:32" hidden="1" x14ac:dyDescent="0.35">
      <c r="A1505">
        <v>856</v>
      </c>
      <c r="B1505" t="s">
        <v>1775</v>
      </c>
      <c r="C1505" t="s">
        <v>72</v>
      </c>
      <c r="D1505" t="s">
        <v>62</v>
      </c>
      <c r="E1505">
        <v>752</v>
      </c>
      <c r="F1505">
        <v>5</v>
      </c>
      <c r="G1505">
        <v>5</v>
      </c>
      <c r="H1505">
        <v>1</v>
      </c>
      <c r="I1505">
        <v>1</v>
      </c>
      <c r="J1505">
        <v>0.88066418373680899</v>
      </c>
      <c r="K1505">
        <v>0.994453037724503</v>
      </c>
      <c r="L1505">
        <v>0.934106052366934</v>
      </c>
      <c r="M1505">
        <v>0.76620370370370405</v>
      </c>
      <c r="N1505">
        <v>1</v>
      </c>
      <c r="O1505">
        <v>0.83935185185185202</v>
      </c>
      <c r="P1505" t="s">
        <v>1776</v>
      </c>
      <c r="Q1505" t="s">
        <v>1777</v>
      </c>
      <c r="R1505" t="s">
        <v>652</v>
      </c>
      <c r="S1505" t="s">
        <v>653</v>
      </c>
      <c r="T1505" t="s">
        <v>1778</v>
      </c>
      <c r="U1505" t="s">
        <v>1779</v>
      </c>
      <c r="V1505" t="s">
        <v>1780</v>
      </c>
      <c r="W1505" t="s">
        <v>1781</v>
      </c>
      <c r="X1505" t="s">
        <v>1780</v>
      </c>
      <c r="Y1505" t="s">
        <v>1782</v>
      </c>
      <c r="Z1505" t="s">
        <v>1783</v>
      </c>
      <c r="AA1505" t="s">
        <v>1784</v>
      </c>
      <c r="AB1505" t="s">
        <v>1783</v>
      </c>
      <c r="AC1505" t="s">
        <v>1785</v>
      </c>
      <c r="AD1505" t="s">
        <v>245</v>
      </c>
      <c r="AE1505" t="s">
        <v>1786</v>
      </c>
      <c r="AF1505" t="s">
        <v>1788</v>
      </c>
    </row>
    <row r="1506" spans="1:32" hidden="1" x14ac:dyDescent="0.35">
      <c r="A1506">
        <v>857</v>
      </c>
      <c r="B1506" t="s">
        <v>1775</v>
      </c>
      <c r="C1506" t="s">
        <v>72</v>
      </c>
      <c r="D1506" t="s">
        <v>34</v>
      </c>
      <c r="E1506">
        <v>416</v>
      </c>
      <c r="F1506">
        <v>5</v>
      </c>
      <c r="G1506">
        <v>5</v>
      </c>
      <c r="H1506">
        <v>1</v>
      </c>
      <c r="I1506">
        <v>1</v>
      </c>
      <c r="J1506">
        <v>0.88066418373680899</v>
      </c>
      <c r="K1506">
        <v>0.994453037724503</v>
      </c>
      <c r="L1506">
        <v>0.934106052366934</v>
      </c>
      <c r="M1506">
        <v>0.76620370370370405</v>
      </c>
      <c r="N1506">
        <v>1</v>
      </c>
      <c r="O1506">
        <v>0.83935185185185202</v>
      </c>
      <c r="P1506" t="s">
        <v>1776</v>
      </c>
      <c r="Q1506" t="s">
        <v>1777</v>
      </c>
      <c r="R1506" t="s">
        <v>652</v>
      </c>
      <c r="S1506" t="s">
        <v>653</v>
      </c>
      <c r="T1506" t="s">
        <v>1778</v>
      </c>
      <c r="U1506" t="s">
        <v>1779</v>
      </c>
      <c r="V1506" t="s">
        <v>1780</v>
      </c>
      <c r="W1506" t="s">
        <v>1781</v>
      </c>
      <c r="X1506" t="s">
        <v>1780</v>
      </c>
      <c r="Y1506" t="s">
        <v>1782</v>
      </c>
      <c r="Z1506" t="s">
        <v>1783</v>
      </c>
      <c r="AA1506" t="s">
        <v>1784</v>
      </c>
      <c r="AB1506" t="s">
        <v>1783</v>
      </c>
      <c r="AC1506" t="s">
        <v>1785</v>
      </c>
      <c r="AD1506" t="s">
        <v>245</v>
      </c>
      <c r="AE1506" t="s">
        <v>1786</v>
      </c>
      <c r="AF1506" t="s">
        <v>1789</v>
      </c>
    </row>
    <row r="1507" spans="1:32" hidden="1" x14ac:dyDescent="0.35">
      <c r="A1507">
        <v>858</v>
      </c>
      <c r="B1507" t="s">
        <v>1775</v>
      </c>
      <c r="C1507" t="s">
        <v>72</v>
      </c>
      <c r="D1507" t="s">
        <v>45</v>
      </c>
      <c r="E1507">
        <v>1678</v>
      </c>
      <c r="F1507">
        <v>5</v>
      </c>
      <c r="G1507">
        <v>5</v>
      </c>
      <c r="H1507">
        <v>1</v>
      </c>
      <c r="I1507">
        <v>1</v>
      </c>
      <c r="J1507">
        <v>0.88066418373680899</v>
      </c>
      <c r="K1507">
        <v>0.994453037724503</v>
      </c>
      <c r="L1507">
        <v>0.934106052366934</v>
      </c>
      <c r="M1507">
        <v>0.76620370370370405</v>
      </c>
      <c r="N1507">
        <v>1</v>
      </c>
      <c r="O1507">
        <v>0.83935185185185202</v>
      </c>
      <c r="P1507" t="s">
        <v>1776</v>
      </c>
      <c r="Q1507" t="s">
        <v>1777</v>
      </c>
      <c r="R1507" t="s">
        <v>652</v>
      </c>
      <c r="S1507" t="s">
        <v>653</v>
      </c>
      <c r="T1507" t="s">
        <v>1778</v>
      </c>
      <c r="U1507" t="s">
        <v>1779</v>
      </c>
      <c r="V1507" t="s">
        <v>1780</v>
      </c>
      <c r="W1507" t="s">
        <v>1781</v>
      </c>
      <c r="X1507" t="s">
        <v>1780</v>
      </c>
      <c r="Y1507" t="s">
        <v>1782</v>
      </c>
      <c r="Z1507" t="s">
        <v>1783</v>
      </c>
      <c r="AA1507" t="s">
        <v>1784</v>
      </c>
      <c r="AB1507" t="s">
        <v>1783</v>
      </c>
      <c r="AC1507" t="s">
        <v>1785</v>
      </c>
      <c r="AD1507" t="s">
        <v>245</v>
      </c>
      <c r="AE1507" t="s">
        <v>1786</v>
      </c>
      <c r="AF1507" t="s">
        <v>1790</v>
      </c>
    </row>
    <row r="1508" spans="1:32" hidden="1" x14ac:dyDescent="0.35">
      <c r="A1508">
        <v>11554</v>
      </c>
      <c r="B1508" t="s">
        <v>23624</v>
      </c>
      <c r="C1508" t="s">
        <v>33</v>
      </c>
      <c r="D1508" t="s">
        <v>58</v>
      </c>
      <c r="E1508">
        <v>1290</v>
      </c>
      <c r="F1508">
        <v>1</v>
      </c>
      <c r="G1508">
        <v>1</v>
      </c>
      <c r="H1508">
        <v>1</v>
      </c>
      <c r="I1508">
        <v>0</v>
      </c>
      <c r="J1508">
        <v>1</v>
      </c>
      <c r="K1508">
        <v>1</v>
      </c>
      <c r="L1508">
        <v>1</v>
      </c>
      <c r="M1508">
        <v>0</v>
      </c>
      <c r="N1508">
        <v>0</v>
      </c>
      <c r="O1508">
        <v>0</v>
      </c>
      <c r="P1508" t="s">
        <v>15570</v>
      </c>
      <c r="Q1508" t="s">
        <v>15571</v>
      </c>
      <c r="R1508" t="s">
        <v>1474</v>
      </c>
      <c r="S1508" t="s">
        <v>1475</v>
      </c>
      <c r="T1508" t="s">
        <v>15572</v>
      </c>
      <c r="U1508" t="s">
        <v>15573</v>
      </c>
      <c r="V1508" t="s">
        <v>15574</v>
      </c>
      <c r="W1508" t="s">
        <v>15575</v>
      </c>
      <c r="AD1508" t="s">
        <v>1480</v>
      </c>
      <c r="AE1508" t="s">
        <v>1481</v>
      </c>
      <c r="AF1508" t="s">
        <v>23625</v>
      </c>
    </row>
    <row r="1509" spans="1:32" hidden="1" x14ac:dyDescent="0.35">
      <c r="A1509">
        <v>1200</v>
      </c>
      <c r="B1509" t="s">
        <v>2502</v>
      </c>
      <c r="C1509" t="s">
        <v>72</v>
      </c>
      <c r="D1509" t="s">
        <v>60</v>
      </c>
      <c r="E1509">
        <v>872</v>
      </c>
      <c r="F1509">
        <v>5</v>
      </c>
      <c r="G1509">
        <v>5</v>
      </c>
      <c r="H1509">
        <v>1</v>
      </c>
      <c r="I1509">
        <v>1</v>
      </c>
      <c r="J1509">
        <v>0.93099742046431599</v>
      </c>
      <c r="K1509">
        <v>0.99615112442675802</v>
      </c>
      <c r="L1509">
        <v>0.96247290297630805</v>
      </c>
      <c r="M1509">
        <v>0.88436830835117797</v>
      </c>
      <c r="N1509">
        <v>1</v>
      </c>
      <c r="O1509">
        <v>0.91584582441113505</v>
      </c>
      <c r="P1509" t="s">
        <v>2503</v>
      </c>
      <c r="Q1509" t="s">
        <v>2504</v>
      </c>
      <c r="R1509" t="s">
        <v>652</v>
      </c>
      <c r="S1509" t="s">
        <v>653</v>
      </c>
      <c r="T1509" t="s">
        <v>2505</v>
      </c>
      <c r="U1509" t="s">
        <v>2506</v>
      </c>
      <c r="V1509" t="s">
        <v>2507</v>
      </c>
      <c r="W1509" t="s">
        <v>2508</v>
      </c>
      <c r="X1509" t="s">
        <v>2507</v>
      </c>
      <c r="Y1509" t="s">
        <v>1782</v>
      </c>
      <c r="Z1509" t="s">
        <v>2509</v>
      </c>
      <c r="AA1509" t="s">
        <v>2510</v>
      </c>
      <c r="AB1509" t="s">
        <v>2509</v>
      </c>
      <c r="AC1509" t="s">
        <v>2511</v>
      </c>
      <c r="AD1509" t="s">
        <v>951</v>
      </c>
      <c r="AE1509" t="s">
        <v>2512</v>
      </c>
      <c r="AF1509" t="s">
        <v>2514</v>
      </c>
    </row>
    <row r="1510" spans="1:32" hidden="1" x14ac:dyDescent="0.35">
      <c r="A1510">
        <v>1201</v>
      </c>
      <c r="B1510" t="s">
        <v>2502</v>
      </c>
      <c r="C1510" t="s">
        <v>72</v>
      </c>
      <c r="D1510" t="s">
        <v>62</v>
      </c>
      <c r="E1510">
        <v>906</v>
      </c>
      <c r="F1510">
        <v>5</v>
      </c>
      <c r="G1510">
        <v>5</v>
      </c>
      <c r="H1510">
        <v>1</v>
      </c>
      <c r="I1510">
        <v>1</v>
      </c>
      <c r="J1510">
        <v>0.93099742046431599</v>
      </c>
      <c r="K1510">
        <v>0.99615112442675802</v>
      </c>
      <c r="L1510">
        <v>0.96247290297630805</v>
      </c>
      <c r="M1510">
        <v>0.88436830835117797</v>
      </c>
      <c r="N1510">
        <v>1</v>
      </c>
      <c r="O1510">
        <v>0.91584582441113505</v>
      </c>
      <c r="P1510" t="s">
        <v>2503</v>
      </c>
      <c r="Q1510" t="s">
        <v>2504</v>
      </c>
      <c r="R1510" t="s">
        <v>652</v>
      </c>
      <c r="S1510" t="s">
        <v>653</v>
      </c>
      <c r="T1510" t="s">
        <v>2505</v>
      </c>
      <c r="U1510" t="s">
        <v>2506</v>
      </c>
      <c r="V1510" t="s">
        <v>2507</v>
      </c>
      <c r="W1510" t="s">
        <v>2508</v>
      </c>
      <c r="X1510" t="s">
        <v>2507</v>
      </c>
      <c r="Y1510" t="s">
        <v>1782</v>
      </c>
      <c r="Z1510" t="s">
        <v>2509</v>
      </c>
      <c r="AA1510" t="s">
        <v>2510</v>
      </c>
      <c r="AB1510" t="s">
        <v>2509</v>
      </c>
      <c r="AC1510" t="s">
        <v>2511</v>
      </c>
      <c r="AD1510" t="s">
        <v>951</v>
      </c>
      <c r="AE1510" t="s">
        <v>2512</v>
      </c>
      <c r="AF1510" t="s">
        <v>2514</v>
      </c>
    </row>
    <row r="1511" spans="1:32" hidden="1" x14ac:dyDescent="0.35">
      <c r="A1511">
        <v>1202</v>
      </c>
      <c r="B1511" t="s">
        <v>2502</v>
      </c>
      <c r="C1511" t="s">
        <v>72</v>
      </c>
      <c r="D1511" t="s">
        <v>34</v>
      </c>
      <c r="E1511">
        <v>284</v>
      </c>
      <c r="F1511">
        <v>5</v>
      </c>
      <c r="G1511">
        <v>5</v>
      </c>
      <c r="H1511">
        <v>1</v>
      </c>
      <c r="I1511">
        <v>1</v>
      </c>
      <c r="J1511">
        <v>0.93099742046431599</v>
      </c>
      <c r="K1511">
        <v>0.99615112442675802</v>
      </c>
      <c r="L1511">
        <v>0.96247290297630805</v>
      </c>
      <c r="M1511">
        <v>0.88436830835117797</v>
      </c>
      <c r="N1511">
        <v>1</v>
      </c>
      <c r="O1511">
        <v>0.91584582441113505</v>
      </c>
      <c r="P1511" t="s">
        <v>2503</v>
      </c>
      <c r="Q1511" t="s">
        <v>2504</v>
      </c>
      <c r="R1511" t="s">
        <v>652</v>
      </c>
      <c r="S1511" t="s">
        <v>653</v>
      </c>
      <c r="T1511" t="s">
        <v>2505</v>
      </c>
      <c r="U1511" t="s">
        <v>2506</v>
      </c>
      <c r="V1511" t="s">
        <v>2507</v>
      </c>
      <c r="W1511" t="s">
        <v>2508</v>
      </c>
      <c r="X1511" t="s">
        <v>2507</v>
      </c>
      <c r="Y1511" t="s">
        <v>1782</v>
      </c>
      <c r="Z1511" t="s">
        <v>2509</v>
      </c>
      <c r="AA1511" t="s">
        <v>2510</v>
      </c>
      <c r="AB1511" t="s">
        <v>2509</v>
      </c>
      <c r="AC1511" t="s">
        <v>2511</v>
      </c>
      <c r="AD1511" t="s">
        <v>951</v>
      </c>
      <c r="AE1511" t="s">
        <v>2512</v>
      </c>
      <c r="AF1511" t="s">
        <v>2515</v>
      </c>
    </row>
    <row r="1512" spans="1:32" hidden="1" x14ac:dyDescent="0.35">
      <c r="A1512">
        <v>1203</v>
      </c>
      <c r="B1512" t="s">
        <v>2502</v>
      </c>
      <c r="C1512" t="s">
        <v>72</v>
      </c>
      <c r="D1512" t="s">
        <v>45</v>
      </c>
      <c r="E1512">
        <v>1546</v>
      </c>
      <c r="F1512">
        <v>5</v>
      </c>
      <c r="G1512">
        <v>5</v>
      </c>
      <c r="H1512">
        <v>1</v>
      </c>
      <c r="I1512">
        <v>1</v>
      </c>
      <c r="J1512">
        <v>0.93099742046431599</v>
      </c>
      <c r="K1512">
        <v>0.99615112442675802</v>
      </c>
      <c r="L1512">
        <v>0.96247290297630805</v>
      </c>
      <c r="M1512">
        <v>0.88436830835117797</v>
      </c>
      <c r="N1512">
        <v>1</v>
      </c>
      <c r="O1512">
        <v>0.91584582441113505</v>
      </c>
      <c r="P1512" t="s">
        <v>2503</v>
      </c>
      <c r="Q1512" t="s">
        <v>2504</v>
      </c>
      <c r="R1512" t="s">
        <v>652</v>
      </c>
      <c r="S1512" t="s">
        <v>653</v>
      </c>
      <c r="T1512" t="s">
        <v>2505</v>
      </c>
      <c r="U1512" t="s">
        <v>2506</v>
      </c>
      <c r="V1512" t="s">
        <v>2507</v>
      </c>
      <c r="W1512" t="s">
        <v>2508</v>
      </c>
      <c r="X1512" t="s">
        <v>2507</v>
      </c>
      <c r="Y1512" t="s">
        <v>1782</v>
      </c>
      <c r="Z1512" t="s">
        <v>2509</v>
      </c>
      <c r="AA1512" t="s">
        <v>2510</v>
      </c>
      <c r="AB1512" t="s">
        <v>2509</v>
      </c>
      <c r="AC1512" t="s">
        <v>2511</v>
      </c>
      <c r="AD1512" t="s">
        <v>951</v>
      </c>
      <c r="AE1512" t="s">
        <v>2512</v>
      </c>
      <c r="AF1512" t="s">
        <v>2515</v>
      </c>
    </row>
    <row r="1513" spans="1:32" hidden="1" x14ac:dyDescent="0.35">
      <c r="A1513">
        <v>11885</v>
      </c>
      <c r="B1513" t="s">
        <v>24462</v>
      </c>
      <c r="C1513" t="s">
        <v>10130</v>
      </c>
      <c r="D1513" t="s">
        <v>58</v>
      </c>
      <c r="E1513">
        <v>1293</v>
      </c>
      <c r="F1513">
        <v>1</v>
      </c>
      <c r="G1513">
        <v>1</v>
      </c>
      <c r="H1513">
        <v>1</v>
      </c>
      <c r="I1513">
        <v>0</v>
      </c>
      <c r="J1513">
        <v>1</v>
      </c>
      <c r="K1513">
        <v>1</v>
      </c>
      <c r="L1513">
        <v>1</v>
      </c>
      <c r="M1513">
        <v>0</v>
      </c>
      <c r="N1513">
        <v>0</v>
      </c>
      <c r="O1513">
        <v>0</v>
      </c>
      <c r="P1513" t="s">
        <v>13626</v>
      </c>
      <c r="Q1513" t="s">
        <v>13627</v>
      </c>
      <c r="R1513" t="s">
        <v>1474</v>
      </c>
      <c r="S1513" t="s">
        <v>1475</v>
      </c>
      <c r="T1513" t="s">
        <v>13628</v>
      </c>
      <c r="U1513" t="s">
        <v>13629</v>
      </c>
      <c r="V1513" t="s">
        <v>13630</v>
      </c>
      <c r="W1513" t="s">
        <v>13631</v>
      </c>
      <c r="AD1513" t="s">
        <v>13632</v>
      </c>
      <c r="AE1513" t="s">
        <v>13633</v>
      </c>
      <c r="AF1513" t="s">
        <v>24463</v>
      </c>
    </row>
    <row r="1514" spans="1:32" hidden="1" x14ac:dyDescent="0.35">
      <c r="A1514">
        <v>1415</v>
      </c>
      <c r="B1514" t="s">
        <v>2950</v>
      </c>
      <c r="C1514" t="s">
        <v>72</v>
      </c>
      <c r="D1514" t="s">
        <v>60</v>
      </c>
      <c r="E1514">
        <v>254</v>
      </c>
      <c r="F1514">
        <v>5</v>
      </c>
      <c r="G1514">
        <v>5</v>
      </c>
      <c r="H1514">
        <v>1</v>
      </c>
      <c r="I1514">
        <v>1</v>
      </c>
      <c r="J1514">
        <v>0.91073209654897302</v>
      </c>
      <c r="K1514">
        <v>0.994653502235464</v>
      </c>
      <c r="L1514">
        <v>0.95084466893062303</v>
      </c>
      <c r="M1514">
        <v>0.82589285714285698</v>
      </c>
      <c r="N1514">
        <v>1</v>
      </c>
      <c r="O1514">
        <v>0.87886904761904705</v>
      </c>
      <c r="P1514" t="s">
        <v>2951</v>
      </c>
      <c r="Q1514" t="s">
        <v>2952</v>
      </c>
      <c r="R1514" t="s">
        <v>652</v>
      </c>
      <c r="S1514" t="s">
        <v>653</v>
      </c>
      <c r="T1514" t="s">
        <v>2953</v>
      </c>
      <c r="U1514" t="s">
        <v>2954</v>
      </c>
      <c r="V1514" t="s">
        <v>2955</v>
      </c>
      <c r="W1514" t="s">
        <v>2956</v>
      </c>
      <c r="X1514" t="s">
        <v>2955</v>
      </c>
      <c r="Y1514" t="s">
        <v>1782</v>
      </c>
      <c r="Z1514" t="s">
        <v>1702</v>
      </c>
      <c r="AA1514" t="s">
        <v>1703</v>
      </c>
      <c r="AB1514" t="s">
        <v>1702</v>
      </c>
      <c r="AC1514" t="s">
        <v>1704</v>
      </c>
      <c r="AD1514" t="s">
        <v>1140</v>
      </c>
      <c r="AE1514" t="s">
        <v>2957</v>
      </c>
      <c r="AF1514" t="s">
        <v>2959</v>
      </c>
    </row>
    <row r="1515" spans="1:32" hidden="1" x14ac:dyDescent="0.35">
      <c r="A1515">
        <v>1416</v>
      </c>
      <c r="B1515" t="s">
        <v>2950</v>
      </c>
      <c r="C1515" t="s">
        <v>72</v>
      </c>
      <c r="D1515" t="s">
        <v>62</v>
      </c>
      <c r="E1515">
        <v>332</v>
      </c>
      <c r="F1515">
        <v>5</v>
      </c>
      <c r="G1515">
        <v>5</v>
      </c>
      <c r="H1515">
        <v>1</v>
      </c>
      <c r="I1515">
        <v>1</v>
      </c>
      <c r="J1515">
        <v>0.91073209654897302</v>
      </c>
      <c r="K1515">
        <v>0.994653502235464</v>
      </c>
      <c r="L1515">
        <v>0.95084466893062303</v>
      </c>
      <c r="M1515">
        <v>0.82589285714285698</v>
      </c>
      <c r="N1515">
        <v>1</v>
      </c>
      <c r="O1515">
        <v>0.87886904761904705</v>
      </c>
      <c r="P1515" t="s">
        <v>2951</v>
      </c>
      <c r="Q1515" t="s">
        <v>2952</v>
      </c>
      <c r="R1515" t="s">
        <v>652</v>
      </c>
      <c r="S1515" t="s">
        <v>653</v>
      </c>
      <c r="T1515" t="s">
        <v>2953</v>
      </c>
      <c r="U1515" t="s">
        <v>2954</v>
      </c>
      <c r="V1515" t="s">
        <v>2955</v>
      </c>
      <c r="W1515" t="s">
        <v>2956</v>
      </c>
      <c r="X1515" t="s">
        <v>2955</v>
      </c>
      <c r="Y1515" t="s">
        <v>1782</v>
      </c>
      <c r="Z1515" t="s">
        <v>1702</v>
      </c>
      <c r="AA1515" t="s">
        <v>1703</v>
      </c>
      <c r="AB1515" t="s">
        <v>1702</v>
      </c>
      <c r="AC1515" t="s">
        <v>1704</v>
      </c>
      <c r="AD1515" t="s">
        <v>1140</v>
      </c>
      <c r="AE1515" t="s">
        <v>2957</v>
      </c>
      <c r="AF1515" t="s">
        <v>2959</v>
      </c>
    </row>
    <row r="1516" spans="1:32" hidden="1" x14ac:dyDescent="0.35">
      <c r="A1516">
        <v>1417</v>
      </c>
      <c r="B1516" t="s">
        <v>2950</v>
      </c>
      <c r="C1516" t="s">
        <v>72</v>
      </c>
      <c r="D1516" t="s">
        <v>34</v>
      </c>
      <c r="E1516">
        <v>872</v>
      </c>
      <c r="F1516">
        <v>5</v>
      </c>
      <c r="G1516">
        <v>5</v>
      </c>
      <c r="H1516">
        <v>1</v>
      </c>
      <c r="I1516">
        <v>1</v>
      </c>
      <c r="J1516">
        <v>0.91073209654897302</v>
      </c>
      <c r="K1516">
        <v>0.994653502235464</v>
      </c>
      <c r="L1516">
        <v>0.95084466893062303</v>
      </c>
      <c r="M1516">
        <v>0.82589285714285698</v>
      </c>
      <c r="N1516">
        <v>1</v>
      </c>
      <c r="O1516">
        <v>0.87886904761904705</v>
      </c>
      <c r="P1516" t="s">
        <v>2951</v>
      </c>
      <c r="Q1516" t="s">
        <v>2952</v>
      </c>
      <c r="R1516" t="s">
        <v>652</v>
      </c>
      <c r="S1516" t="s">
        <v>653</v>
      </c>
      <c r="T1516" t="s">
        <v>2953</v>
      </c>
      <c r="U1516" t="s">
        <v>2954</v>
      </c>
      <c r="V1516" t="s">
        <v>2955</v>
      </c>
      <c r="W1516" t="s">
        <v>2956</v>
      </c>
      <c r="X1516" t="s">
        <v>2955</v>
      </c>
      <c r="Y1516" t="s">
        <v>1782</v>
      </c>
      <c r="Z1516" t="s">
        <v>1702</v>
      </c>
      <c r="AA1516" t="s">
        <v>1703</v>
      </c>
      <c r="AB1516" t="s">
        <v>1702</v>
      </c>
      <c r="AC1516" t="s">
        <v>1704</v>
      </c>
      <c r="AD1516" t="s">
        <v>1140</v>
      </c>
      <c r="AE1516" t="s">
        <v>2957</v>
      </c>
      <c r="AF1516" t="s">
        <v>2960</v>
      </c>
    </row>
    <row r="1517" spans="1:32" hidden="1" x14ac:dyDescent="0.35">
      <c r="A1517">
        <v>1418</v>
      </c>
      <c r="B1517" t="s">
        <v>2950</v>
      </c>
      <c r="C1517" t="s">
        <v>72</v>
      </c>
      <c r="D1517" t="s">
        <v>45</v>
      </c>
      <c r="E1517">
        <v>2129</v>
      </c>
      <c r="F1517">
        <v>5</v>
      </c>
      <c r="G1517">
        <v>5</v>
      </c>
      <c r="H1517">
        <v>1</v>
      </c>
      <c r="I1517">
        <v>1</v>
      </c>
      <c r="J1517">
        <v>0.91073209654897302</v>
      </c>
      <c r="K1517">
        <v>0.994653502235464</v>
      </c>
      <c r="L1517">
        <v>0.95084466893062303</v>
      </c>
      <c r="M1517">
        <v>0.82589285714285698</v>
      </c>
      <c r="N1517">
        <v>1</v>
      </c>
      <c r="O1517">
        <v>0.87886904761904705</v>
      </c>
      <c r="P1517" t="s">
        <v>2951</v>
      </c>
      <c r="Q1517" t="s">
        <v>2952</v>
      </c>
      <c r="R1517" t="s">
        <v>652</v>
      </c>
      <c r="S1517" t="s">
        <v>653</v>
      </c>
      <c r="T1517" t="s">
        <v>2953</v>
      </c>
      <c r="U1517" t="s">
        <v>2954</v>
      </c>
      <c r="V1517" t="s">
        <v>2955</v>
      </c>
      <c r="W1517" t="s">
        <v>2956</v>
      </c>
      <c r="X1517" t="s">
        <v>2955</v>
      </c>
      <c r="Y1517" t="s">
        <v>1782</v>
      </c>
      <c r="Z1517" t="s">
        <v>1702</v>
      </c>
      <c r="AA1517" t="s">
        <v>1703</v>
      </c>
      <c r="AB1517" t="s">
        <v>1702</v>
      </c>
      <c r="AC1517" t="s">
        <v>1704</v>
      </c>
      <c r="AD1517" t="s">
        <v>1140</v>
      </c>
      <c r="AE1517" t="s">
        <v>2957</v>
      </c>
      <c r="AF1517" t="s">
        <v>2960</v>
      </c>
    </row>
    <row r="1518" spans="1:32" hidden="1" x14ac:dyDescent="0.35">
      <c r="A1518">
        <v>719</v>
      </c>
      <c r="B1518" t="s">
        <v>1471</v>
      </c>
      <c r="C1518" t="s">
        <v>72</v>
      </c>
      <c r="D1518" t="s">
        <v>58</v>
      </c>
      <c r="E1518">
        <v>1288</v>
      </c>
      <c r="F1518">
        <v>5</v>
      </c>
      <c r="G1518">
        <v>5</v>
      </c>
      <c r="H1518">
        <v>1</v>
      </c>
      <c r="I1518">
        <v>1</v>
      </c>
      <c r="J1518">
        <v>0.74511708211934802</v>
      </c>
      <c r="K1518">
        <v>0.841507308377897</v>
      </c>
      <c r="L1518">
        <v>0.79038425723953198</v>
      </c>
      <c r="M1518">
        <v>0.48</v>
      </c>
      <c r="N1518">
        <v>1</v>
      </c>
      <c r="O1518">
        <v>0.64480000000000004</v>
      </c>
      <c r="P1518" t="s">
        <v>1472</v>
      </c>
      <c r="Q1518" t="s">
        <v>1473</v>
      </c>
      <c r="R1518" t="s">
        <v>1474</v>
      </c>
      <c r="S1518" t="s">
        <v>1475</v>
      </c>
      <c r="T1518" t="s">
        <v>1476</v>
      </c>
      <c r="U1518" t="s">
        <v>1477</v>
      </c>
      <c r="V1518" t="s">
        <v>1478</v>
      </c>
      <c r="W1518" t="s">
        <v>1479</v>
      </c>
      <c r="AD1518" t="s">
        <v>1480</v>
      </c>
      <c r="AE1518" t="s">
        <v>1481</v>
      </c>
      <c r="AF1518" t="s">
        <v>1482</v>
      </c>
    </row>
    <row r="1519" spans="1:32" hidden="1" x14ac:dyDescent="0.35">
      <c r="A1519">
        <v>1480</v>
      </c>
      <c r="B1519" t="s">
        <v>3101</v>
      </c>
      <c r="C1519" t="s">
        <v>72</v>
      </c>
      <c r="D1519" t="s">
        <v>60</v>
      </c>
      <c r="E1519">
        <v>251</v>
      </c>
      <c r="F1519">
        <v>5</v>
      </c>
      <c r="G1519">
        <v>5</v>
      </c>
      <c r="H1519">
        <v>1</v>
      </c>
      <c r="I1519">
        <v>1</v>
      </c>
      <c r="J1519">
        <v>0.92042328042328003</v>
      </c>
      <c r="K1519">
        <v>0.953978087324858</v>
      </c>
      <c r="L1519">
        <v>0.93690034129921496</v>
      </c>
      <c r="M1519">
        <v>0.82258064516129004</v>
      </c>
      <c r="N1519">
        <v>1</v>
      </c>
      <c r="O1519">
        <v>0.86250000000000004</v>
      </c>
      <c r="P1519" t="s">
        <v>182</v>
      </c>
      <c r="Q1519" t="s">
        <v>183</v>
      </c>
      <c r="R1519" t="s">
        <v>652</v>
      </c>
      <c r="S1519" t="s">
        <v>653</v>
      </c>
      <c r="T1519" t="s">
        <v>3102</v>
      </c>
      <c r="U1519" t="s">
        <v>3103</v>
      </c>
      <c r="V1519" t="s">
        <v>3104</v>
      </c>
      <c r="W1519" t="s">
        <v>3105</v>
      </c>
      <c r="X1519" t="s">
        <v>3104</v>
      </c>
      <c r="Y1519" t="s">
        <v>3106</v>
      </c>
      <c r="Z1519" t="s">
        <v>3107</v>
      </c>
      <c r="AA1519" t="s">
        <v>3108</v>
      </c>
      <c r="AB1519" t="s">
        <v>3107</v>
      </c>
      <c r="AC1519" t="s">
        <v>3109</v>
      </c>
      <c r="AD1519" t="s">
        <v>3110</v>
      </c>
      <c r="AE1519" t="s">
        <v>3111</v>
      </c>
      <c r="AF1519" t="s">
        <v>3112</v>
      </c>
    </row>
    <row r="1520" spans="1:32" hidden="1" x14ac:dyDescent="0.35">
      <c r="A1520">
        <v>1481</v>
      </c>
      <c r="B1520" t="s">
        <v>3101</v>
      </c>
      <c r="C1520" t="s">
        <v>72</v>
      </c>
      <c r="D1520" t="s">
        <v>62</v>
      </c>
      <c r="E1520">
        <v>329</v>
      </c>
      <c r="F1520">
        <v>5</v>
      </c>
      <c r="G1520">
        <v>5</v>
      </c>
      <c r="H1520">
        <v>1</v>
      </c>
      <c r="I1520">
        <v>1</v>
      </c>
      <c r="J1520">
        <v>0.92042328042328003</v>
      </c>
      <c r="K1520">
        <v>0.953978087324858</v>
      </c>
      <c r="L1520">
        <v>0.93690034129921496</v>
      </c>
      <c r="M1520">
        <v>0.82258064516129004</v>
      </c>
      <c r="N1520">
        <v>1</v>
      </c>
      <c r="O1520">
        <v>0.86250000000000004</v>
      </c>
      <c r="P1520" t="s">
        <v>182</v>
      </c>
      <c r="Q1520" t="s">
        <v>183</v>
      </c>
      <c r="R1520" t="s">
        <v>652</v>
      </c>
      <c r="S1520" t="s">
        <v>653</v>
      </c>
      <c r="T1520" t="s">
        <v>3102</v>
      </c>
      <c r="U1520" t="s">
        <v>3103</v>
      </c>
      <c r="V1520" t="s">
        <v>3104</v>
      </c>
      <c r="W1520" t="s">
        <v>3105</v>
      </c>
      <c r="X1520" t="s">
        <v>3104</v>
      </c>
      <c r="Y1520" t="s">
        <v>3106</v>
      </c>
      <c r="Z1520" t="s">
        <v>3107</v>
      </c>
      <c r="AA1520" t="s">
        <v>3108</v>
      </c>
      <c r="AB1520" t="s">
        <v>3107</v>
      </c>
      <c r="AC1520" t="s">
        <v>3109</v>
      </c>
      <c r="AD1520" t="s">
        <v>3110</v>
      </c>
      <c r="AE1520" t="s">
        <v>3111</v>
      </c>
      <c r="AF1520" t="s">
        <v>3112</v>
      </c>
    </row>
    <row r="1521" spans="1:32" hidden="1" x14ac:dyDescent="0.35">
      <c r="A1521">
        <v>1482</v>
      </c>
      <c r="B1521" t="s">
        <v>3101</v>
      </c>
      <c r="C1521" t="s">
        <v>72</v>
      </c>
      <c r="D1521" t="s">
        <v>34</v>
      </c>
      <c r="E1521">
        <v>874</v>
      </c>
      <c r="F1521">
        <v>5</v>
      </c>
      <c r="G1521">
        <v>5</v>
      </c>
      <c r="H1521">
        <v>1</v>
      </c>
      <c r="I1521">
        <v>1</v>
      </c>
      <c r="J1521">
        <v>0.92042328042328003</v>
      </c>
      <c r="K1521">
        <v>0.953978087324858</v>
      </c>
      <c r="L1521">
        <v>0.93690034129921496</v>
      </c>
      <c r="M1521">
        <v>0.82258064516129004</v>
      </c>
      <c r="N1521">
        <v>1</v>
      </c>
      <c r="O1521">
        <v>0.86250000000000004</v>
      </c>
      <c r="P1521" t="s">
        <v>182</v>
      </c>
      <c r="Q1521" t="s">
        <v>183</v>
      </c>
      <c r="R1521" t="s">
        <v>652</v>
      </c>
      <c r="S1521" t="s">
        <v>653</v>
      </c>
      <c r="T1521" t="s">
        <v>3102</v>
      </c>
      <c r="U1521" t="s">
        <v>3103</v>
      </c>
      <c r="V1521" t="s">
        <v>3104</v>
      </c>
      <c r="W1521" t="s">
        <v>3105</v>
      </c>
      <c r="X1521" t="s">
        <v>3104</v>
      </c>
      <c r="Y1521" t="s">
        <v>3106</v>
      </c>
      <c r="Z1521" t="s">
        <v>3107</v>
      </c>
      <c r="AA1521" t="s">
        <v>3108</v>
      </c>
      <c r="AB1521" t="s">
        <v>3107</v>
      </c>
      <c r="AC1521" t="s">
        <v>3109</v>
      </c>
      <c r="AD1521" t="s">
        <v>3110</v>
      </c>
      <c r="AE1521" t="s">
        <v>3111</v>
      </c>
      <c r="AF1521" t="s">
        <v>3113</v>
      </c>
    </row>
    <row r="1522" spans="1:32" hidden="1" x14ac:dyDescent="0.35">
      <c r="A1522">
        <v>1483</v>
      </c>
      <c r="B1522" t="s">
        <v>3101</v>
      </c>
      <c r="C1522" t="s">
        <v>72</v>
      </c>
      <c r="D1522" t="s">
        <v>45</v>
      </c>
      <c r="E1522">
        <v>2131</v>
      </c>
      <c r="F1522">
        <v>5</v>
      </c>
      <c r="G1522">
        <v>5</v>
      </c>
      <c r="H1522">
        <v>1</v>
      </c>
      <c r="I1522">
        <v>1</v>
      </c>
      <c r="J1522">
        <v>0.92042328042328003</v>
      </c>
      <c r="K1522">
        <v>0.953978087324858</v>
      </c>
      <c r="L1522">
        <v>0.93690034129921496</v>
      </c>
      <c r="M1522">
        <v>0.82258064516129004</v>
      </c>
      <c r="N1522">
        <v>1</v>
      </c>
      <c r="O1522">
        <v>0.86250000000000004</v>
      </c>
      <c r="P1522" t="s">
        <v>182</v>
      </c>
      <c r="Q1522" t="s">
        <v>183</v>
      </c>
      <c r="R1522" t="s">
        <v>652</v>
      </c>
      <c r="S1522" t="s">
        <v>653</v>
      </c>
      <c r="T1522" t="s">
        <v>3102</v>
      </c>
      <c r="U1522" t="s">
        <v>3103</v>
      </c>
      <c r="V1522" t="s">
        <v>3104</v>
      </c>
      <c r="W1522" t="s">
        <v>3105</v>
      </c>
      <c r="X1522" t="s">
        <v>3104</v>
      </c>
      <c r="Y1522" t="s">
        <v>3106</v>
      </c>
      <c r="Z1522" t="s">
        <v>3107</v>
      </c>
      <c r="AA1522" t="s">
        <v>3108</v>
      </c>
      <c r="AB1522" t="s">
        <v>3107</v>
      </c>
      <c r="AC1522" t="s">
        <v>3109</v>
      </c>
      <c r="AD1522" t="s">
        <v>3110</v>
      </c>
      <c r="AE1522" t="s">
        <v>3111</v>
      </c>
      <c r="AF1522" t="s">
        <v>3113</v>
      </c>
    </row>
    <row r="1523" spans="1:32" hidden="1" x14ac:dyDescent="0.35">
      <c r="A1523">
        <v>924</v>
      </c>
      <c r="B1523" t="s">
        <v>1922</v>
      </c>
      <c r="C1523" t="s">
        <v>72</v>
      </c>
      <c r="D1523" t="s">
        <v>58</v>
      </c>
      <c r="E1523">
        <v>1196</v>
      </c>
      <c r="F1523">
        <v>5</v>
      </c>
      <c r="G1523">
        <v>5</v>
      </c>
      <c r="H1523">
        <v>1</v>
      </c>
      <c r="I1523">
        <v>1</v>
      </c>
      <c r="J1523">
        <v>0.77553710293923805</v>
      </c>
      <c r="K1523">
        <v>0.91089193161599902</v>
      </c>
      <c r="L1523">
        <v>0.83778264636259203</v>
      </c>
      <c r="M1523">
        <v>0.55555555555555602</v>
      </c>
      <c r="N1523">
        <v>1</v>
      </c>
      <c r="O1523">
        <v>0.68279569892473102</v>
      </c>
      <c r="R1523" t="s">
        <v>1474</v>
      </c>
      <c r="S1523" t="s">
        <v>1475</v>
      </c>
      <c r="V1523" t="s">
        <v>1478</v>
      </c>
      <c r="W1523" t="s">
        <v>1479</v>
      </c>
      <c r="AF1523" t="e">
        <f>----MYRVFESLNEMVQIVDQAYGVPMTANCMVPRNEMQLLLDDLRNALPAELDDAQDVLDHQDEIIDEASERARTLVDDAEAEAEQTLAEAKNNAELTIEDAHARATSMVSNAQDEAQRIVDDARREAEAVKSRAEAEAERLIASGNDHYERSINEALAEQHRLVSEAEVVRRANEEAHRIVDAAHAESNQLRGKCDEFVDSKLAEFEASMSAVIRQISADRSALRRGAGAS--------------RGQSAERRTHRGYDADGY--------DSGYDS</f>
        <v>#NAME?</v>
      </c>
    </row>
    <row r="1524" spans="1:32" hidden="1" x14ac:dyDescent="0.35">
      <c r="A1524">
        <v>1485</v>
      </c>
      <c r="B1524" t="s">
        <v>3114</v>
      </c>
      <c r="C1524" t="s">
        <v>72</v>
      </c>
      <c r="D1524" t="s">
        <v>60</v>
      </c>
      <c r="E1524">
        <v>799</v>
      </c>
      <c r="F1524">
        <v>5</v>
      </c>
      <c r="G1524">
        <v>5</v>
      </c>
      <c r="H1524">
        <v>1</v>
      </c>
      <c r="I1524">
        <v>1</v>
      </c>
      <c r="J1524">
        <v>0.90536723163841804</v>
      </c>
      <c r="K1524">
        <v>0.93178170836928098</v>
      </c>
      <c r="L1524">
        <v>0.91838457669531803</v>
      </c>
      <c r="M1524">
        <v>0.77704918032786896</v>
      </c>
      <c r="N1524">
        <v>1</v>
      </c>
      <c r="O1524">
        <v>0.83737704918032796</v>
      </c>
      <c r="P1524" t="s">
        <v>3115</v>
      </c>
      <c r="Q1524" t="s">
        <v>3116</v>
      </c>
      <c r="R1524" t="s">
        <v>652</v>
      </c>
      <c r="S1524" t="s">
        <v>653</v>
      </c>
      <c r="T1524" t="s">
        <v>3117</v>
      </c>
      <c r="U1524" t="s">
        <v>3118</v>
      </c>
      <c r="V1524" t="s">
        <v>3119</v>
      </c>
      <c r="W1524" t="s">
        <v>3120</v>
      </c>
      <c r="AD1524" t="s">
        <v>3121</v>
      </c>
      <c r="AE1524" t="s">
        <v>3122</v>
      </c>
      <c r="AF1524" t="s">
        <v>3124</v>
      </c>
    </row>
    <row r="1525" spans="1:32" hidden="1" x14ac:dyDescent="0.35">
      <c r="A1525">
        <v>1486</v>
      </c>
      <c r="B1525" t="s">
        <v>3114</v>
      </c>
      <c r="C1525" t="s">
        <v>72</v>
      </c>
      <c r="D1525" t="s">
        <v>62</v>
      </c>
      <c r="E1525">
        <v>832</v>
      </c>
      <c r="F1525">
        <v>5</v>
      </c>
      <c r="G1525">
        <v>5</v>
      </c>
      <c r="H1525">
        <v>1</v>
      </c>
      <c r="I1525">
        <v>1</v>
      </c>
      <c r="J1525">
        <v>0.90536723163841804</v>
      </c>
      <c r="K1525">
        <v>0.93178170836928098</v>
      </c>
      <c r="L1525">
        <v>0.91838457669531803</v>
      </c>
      <c r="M1525">
        <v>0.77704918032786896</v>
      </c>
      <c r="N1525">
        <v>1</v>
      </c>
      <c r="O1525">
        <v>0.83737704918032796</v>
      </c>
      <c r="P1525" t="s">
        <v>3115</v>
      </c>
      <c r="Q1525" t="s">
        <v>3116</v>
      </c>
      <c r="R1525" t="s">
        <v>652</v>
      </c>
      <c r="S1525" t="s">
        <v>653</v>
      </c>
      <c r="T1525" t="s">
        <v>3117</v>
      </c>
      <c r="U1525" t="s">
        <v>3118</v>
      </c>
      <c r="V1525" t="s">
        <v>3119</v>
      </c>
      <c r="W1525" t="s">
        <v>3120</v>
      </c>
      <c r="AD1525" t="s">
        <v>3121</v>
      </c>
      <c r="AE1525" t="s">
        <v>3122</v>
      </c>
      <c r="AF1525" t="s">
        <v>3124</v>
      </c>
    </row>
    <row r="1526" spans="1:32" hidden="1" x14ac:dyDescent="0.35">
      <c r="A1526">
        <v>1487</v>
      </c>
      <c r="B1526" t="s">
        <v>3114</v>
      </c>
      <c r="C1526" t="s">
        <v>72</v>
      </c>
      <c r="D1526" t="s">
        <v>34</v>
      </c>
      <c r="E1526">
        <v>336</v>
      </c>
      <c r="F1526">
        <v>5</v>
      </c>
      <c r="G1526">
        <v>5</v>
      </c>
      <c r="H1526">
        <v>1</v>
      </c>
      <c r="I1526">
        <v>1</v>
      </c>
      <c r="J1526">
        <v>0.90536723163841804</v>
      </c>
      <c r="K1526">
        <v>0.93178170836928098</v>
      </c>
      <c r="L1526">
        <v>0.91838457669531803</v>
      </c>
      <c r="M1526">
        <v>0.77704918032786896</v>
      </c>
      <c r="N1526">
        <v>1</v>
      </c>
      <c r="O1526">
        <v>0.83737704918032796</v>
      </c>
      <c r="P1526" t="s">
        <v>3115</v>
      </c>
      <c r="Q1526" t="s">
        <v>3116</v>
      </c>
      <c r="R1526" t="s">
        <v>652</v>
      </c>
      <c r="S1526" t="s">
        <v>653</v>
      </c>
      <c r="T1526" t="s">
        <v>3117</v>
      </c>
      <c r="U1526" t="s">
        <v>3118</v>
      </c>
      <c r="V1526" t="s">
        <v>3119</v>
      </c>
      <c r="W1526" t="s">
        <v>3120</v>
      </c>
      <c r="AD1526" t="s">
        <v>3121</v>
      </c>
      <c r="AE1526" t="s">
        <v>3122</v>
      </c>
      <c r="AF1526" t="s">
        <v>3125</v>
      </c>
    </row>
    <row r="1527" spans="1:32" hidden="1" x14ac:dyDescent="0.35">
      <c r="A1527">
        <v>1488</v>
      </c>
      <c r="B1527" t="s">
        <v>3114</v>
      </c>
      <c r="C1527" t="s">
        <v>72</v>
      </c>
      <c r="D1527" t="s">
        <v>45</v>
      </c>
      <c r="E1527">
        <v>1598</v>
      </c>
      <c r="F1527">
        <v>5</v>
      </c>
      <c r="G1527">
        <v>5</v>
      </c>
      <c r="H1527">
        <v>1</v>
      </c>
      <c r="I1527">
        <v>1</v>
      </c>
      <c r="J1527">
        <v>0.90536723163841804</v>
      </c>
      <c r="K1527">
        <v>0.93178170836928098</v>
      </c>
      <c r="L1527">
        <v>0.91838457669531803</v>
      </c>
      <c r="M1527">
        <v>0.77704918032786896</v>
      </c>
      <c r="N1527">
        <v>1</v>
      </c>
      <c r="O1527">
        <v>0.83737704918032796</v>
      </c>
      <c r="P1527" t="s">
        <v>3115</v>
      </c>
      <c r="Q1527" t="s">
        <v>3116</v>
      </c>
      <c r="R1527" t="s">
        <v>652</v>
      </c>
      <c r="S1527" t="s">
        <v>653</v>
      </c>
      <c r="T1527" t="s">
        <v>3117</v>
      </c>
      <c r="U1527" t="s">
        <v>3118</v>
      </c>
      <c r="V1527" t="s">
        <v>3119</v>
      </c>
      <c r="W1527" t="s">
        <v>3120</v>
      </c>
      <c r="AD1527" t="s">
        <v>3121</v>
      </c>
      <c r="AE1527" t="s">
        <v>3122</v>
      </c>
      <c r="AF1527" t="s">
        <v>3125</v>
      </c>
    </row>
    <row r="1528" spans="1:32" hidden="1" x14ac:dyDescent="0.35">
      <c r="A1528">
        <v>2009</v>
      </c>
      <c r="B1528" t="s">
        <v>4166</v>
      </c>
      <c r="C1528" t="s">
        <v>72</v>
      </c>
      <c r="D1528" t="s">
        <v>58</v>
      </c>
      <c r="E1528">
        <v>1321</v>
      </c>
      <c r="F1528">
        <v>5</v>
      </c>
      <c r="G1528">
        <v>5</v>
      </c>
      <c r="H1528">
        <v>1</v>
      </c>
      <c r="I1528">
        <v>1</v>
      </c>
      <c r="J1528">
        <v>0.73875629160578005</v>
      </c>
      <c r="K1528">
        <v>0.96897746579629995</v>
      </c>
      <c r="L1528">
        <v>0.83834871352572304</v>
      </c>
      <c r="M1528">
        <v>0.56132075471698095</v>
      </c>
      <c r="N1528">
        <v>1</v>
      </c>
      <c r="O1528">
        <v>0.68066037735849005</v>
      </c>
      <c r="P1528" t="s">
        <v>4167</v>
      </c>
      <c r="Q1528" t="s">
        <v>4168</v>
      </c>
      <c r="R1528" t="s">
        <v>157</v>
      </c>
      <c r="S1528" t="s">
        <v>158</v>
      </c>
      <c r="T1528" t="s">
        <v>4169</v>
      </c>
      <c r="U1528" t="s">
        <v>4170</v>
      </c>
      <c r="V1528" t="s">
        <v>4171</v>
      </c>
      <c r="W1528" t="s">
        <v>4172</v>
      </c>
      <c r="AD1528" t="s">
        <v>4173</v>
      </c>
      <c r="AE1528" t="s">
        <v>4174</v>
      </c>
      <c r="AF1528" t="s">
        <v>4175</v>
      </c>
    </row>
    <row r="1529" spans="1:32" hidden="1" x14ac:dyDescent="0.35">
      <c r="A1529">
        <v>1575</v>
      </c>
      <c r="B1529" t="s">
        <v>3301</v>
      </c>
      <c r="C1529" t="s">
        <v>72</v>
      </c>
      <c r="D1529" t="s">
        <v>60</v>
      </c>
      <c r="E1529">
        <v>973</v>
      </c>
      <c r="F1529">
        <v>5</v>
      </c>
      <c r="G1529">
        <v>5</v>
      </c>
      <c r="H1529">
        <v>1</v>
      </c>
      <c r="I1529">
        <v>1</v>
      </c>
      <c r="J1529">
        <v>0.86664084688871701</v>
      </c>
      <c r="K1529">
        <v>0.98376444929117002</v>
      </c>
      <c r="L1529">
        <v>0.92149590928303204</v>
      </c>
      <c r="M1529">
        <v>0.748571428571429</v>
      </c>
      <c r="N1529">
        <v>1</v>
      </c>
      <c r="O1529">
        <v>0.82019047619047603</v>
      </c>
      <c r="P1529" t="s">
        <v>3302</v>
      </c>
      <c r="Q1529" t="s">
        <v>3303</v>
      </c>
      <c r="R1529" t="s">
        <v>652</v>
      </c>
      <c r="S1529" t="s">
        <v>653</v>
      </c>
      <c r="T1529" t="s">
        <v>3304</v>
      </c>
      <c r="U1529" t="s">
        <v>3305</v>
      </c>
      <c r="V1529" t="s">
        <v>3306</v>
      </c>
      <c r="W1529" t="s">
        <v>3307</v>
      </c>
      <c r="AD1529" t="s">
        <v>410</v>
      </c>
      <c r="AE1529" t="s">
        <v>3308</v>
      </c>
      <c r="AF1529" t="s">
        <v>3310</v>
      </c>
    </row>
    <row r="1530" spans="1:32" hidden="1" x14ac:dyDescent="0.35">
      <c r="A1530">
        <v>1576</v>
      </c>
      <c r="B1530" t="s">
        <v>3301</v>
      </c>
      <c r="C1530" t="s">
        <v>72</v>
      </c>
      <c r="D1530" t="s">
        <v>62</v>
      </c>
      <c r="E1530">
        <v>1009</v>
      </c>
      <c r="F1530">
        <v>5</v>
      </c>
      <c r="G1530">
        <v>5</v>
      </c>
      <c r="H1530">
        <v>1</v>
      </c>
      <c r="I1530">
        <v>1</v>
      </c>
      <c r="J1530">
        <v>0.86664084688871701</v>
      </c>
      <c r="K1530">
        <v>0.98376444929117002</v>
      </c>
      <c r="L1530">
        <v>0.92149590928303204</v>
      </c>
      <c r="M1530">
        <v>0.748571428571429</v>
      </c>
      <c r="N1530">
        <v>1</v>
      </c>
      <c r="O1530">
        <v>0.82019047619047603</v>
      </c>
      <c r="P1530" t="s">
        <v>3302</v>
      </c>
      <c r="Q1530" t="s">
        <v>3303</v>
      </c>
      <c r="R1530" t="s">
        <v>652</v>
      </c>
      <c r="S1530" t="s">
        <v>653</v>
      </c>
      <c r="T1530" t="s">
        <v>3304</v>
      </c>
      <c r="U1530" t="s">
        <v>3305</v>
      </c>
      <c r="V1530" t="s">
        <v>3306</v>
      </c>
      <c r="W1530" t="s">
        <v>3307</v>
      </c>
      <c r="AD1530" t="s">
        <v>410</v>
      </c>
      <c r="AE1530" t="s">
        <v>3308</v>
      </c>
      <c r="AF1530" t="s">
        <v>3310</v>
      </c>
    </row>
    <row r="1531" spans="1:32" hidden="1" x14ac:dyDescent="0.35">
      <c r="A1531">
        <v>1577</v>
      </c>
      <c r="B1531" t="s">
        <v>3301</v>
      </c>
      <c r="C1531" t="s">
        <v>72</v>
      </c>
      <c r="D1531" t="s">
        <v>34</v>
      </c>
      <c r="E1531">
        <v>175</v>
      </c>
      <c r="F1531">
        <v>5</v>
      </c>
      <c r="G1531">
        <v>5</v>
      </c>
      <c r="H1531">
        <v>1</v>
      </c>
      <c r="I1531">
        <v>1</v>
      </c>
      <c r="J1531">
        <v>0.86664084688871701</v>
      </c>
      <c r="K1531">
        <v>0.98376444929117002</v>
      </c>
      <c r="L1531">
        <v>0.92149590928303204</v>
      </c>
      <c r="M1531">
        <v>0.748571428571429</v>
      </c>
      <c r="N1531">
        <v>1</v>
      </c>
      <c r="O1531">
        <v>0.82019047619047603</v>
      </c>
      <c r="P1531" t="s">
        <v>3302</v>
      </c>
      <c r="Q1531" t="s">
        <v>3303</v>
      </c>
      <c r="R1531" t="s">
        <v>652</v>
      </c>
      <c r="S1531" t="s">
        <v>653</v>
      </c>
      <c r="T1531" t="s">
        <v>3304</v>
      </c>
      <c r="U1531" t="s">
        <v>3305</v>
      </c>
      <c r="V1531" t="s">
        <v>3306</v>
      </c>
      <c r="W1531" t="s">
        <v>3307</v>
      </c>
      <c r="AD1531" t="s">
        <v>410</v>
      </c>
      <c r="AE1531" t="s">
        <v>3308</v>
      </c>
      <c r="AF1531" t="s">
        <v>3311</v>
      </c>
    </row>
    <row r="1532" spans="1:32" hidden="1" x14ac:dyDescent="0.35">
      <c r="A1532">
        <v>1578</v>
      </c>
      <c r="B1532" t="s">
        <v>3301</v>
      </c>
      <c r="C1532" t="s">
        <v>72</v>
      </c>
      <c r="D1532" t="s">
        <v>45</v>
      </c>
      <c r="E1532">
        <v>1436</v>
      </c>
      <c r="F1532">
        <v>5</v>
      </c>
      <c r="G1532">
        <v>5</v>
      </c>
      <c r="H1532">
        <v>1</v>
      </c>
      <c r="I1532">
        <v>1</v>
      </c>
      <c r="J1532">
        <v>0.86664084688871701</v>
      </c>
      <c r="K1532">
        <v>0.98376444929117002</v>
      </c>
      <c r="L1532">
        <v>0.92149590928303204</v>
      </c>
      <c r="M1532">
        <v>0.748571428571429</v>
      </c>
      <c r="N1532">
        <v>1</v>
      </c>
      <c r="O1532">
        <v>0.82019047619047603</v>
      </c>
      <c r="P1532" t="s">
        <v>3302</v>
      </c>
      <c r="Q1532" t="s">
        <v>3303</v>
      </c>
      <c r="R1532" t="s">
        <v>652</v>
      </c>
      <c r="S1532" t="s">
        <v>653</v>
      </c>
      <c r="T1532" t="s">
        <v>3304</v>
      </c>
      <c r="U1532" t="s">
        <v>3305</v>
      </c>
      <c r="V1532" t="s">
        <v>3306</v>
      </c>
      <c r="W1532" t="s">
        <v>3307</v>
      </c>
      <c r="AD1532" t="s">
        <v>410</v>
      </c>
      <c r="AE1532" t="s">
        <v>3308</v>
      </c>
      <c r="AF1532" t="s">
        <v>3312</v>
      </c>
    </row>
    <row r="1533" spans="1:32" hidden="1" x14ac:dyDescent="0.35">
      <c r="A1533">
        <v>6233</v>
      </c>
      <c r="B1533" t="s">
        <v>12838</v>
      </c>
      <c r="C1533" t="s">
        <v>68</v>
      </c>
      <c r="D1533" t="s">
        <v>58</v>
      </c>
      <c r="E1533">
        <v>1320</v>
      </c>
      <c r="F1533">
        <v>3</v>
      </c>
      <c r="G1533">
        <v>3</v>
      </c>
      <c r="H1533">
        <v>1</v>
      </c>
      <c r="I1533">
        <v>0</v>
      </c>
      <c r="J1533">
        <v>0.759148369926813</v>
      </c>
      <c r="K1533">
        <v>0.955595579205891</v>
      </c>
      <c r="L1533">
        <v>0.84611912656736699</v>
      </c>
      <c r="M1533">
        <v>0.52571428571428602</v>
      </c>
      <c r="N1533">
        <v>0.99142857142857099</v>
      </c>
      <c r="O1533">
        <v>0.68190476190476201</v>
      </c>
      <c r="P1533" t="s">
        <v>4167</v>
      </c>
      <c r="Q1533" t="s">
        <v>4168</v>
      </c>
      <c r="R1533" t="s">
        <v>157</v>
      </c>
      <c r="S1533" t="s">
        <v>158</v>
      </c>
      <c r="T1533" t="s">
        <v>4169</v>
      </c>
      <c r="U1533" t="s">
        <v>4170</v>
      </c>
      <c r="V1533" t="s">
        <v>4171</v>
      </c>
      <c r="W1533" t="s">
        <v>4172</v>
      </c>
      <c r="AD1533" t="s">
        <v>4173</v>
      </c>
      <c r="AE1533" t="s">
        <v>4174</v>
      </c>
      <c r="AF1533" t="s">
        <v>12839</v>
      </c>
    </row>
    <row r="1534" spans="1:32" hidden="1" x14ac:dyDescent="0.35">
      <c r="A1534">
        <v>1620</v>
      </c>
      <c r="B1534" t="s">
        <v>3388</v>
      </c>
      <c r="C1534" t="s">
        <v>72</v>
      </c>
      <c r="D1534" t="s">
        <v>60</v>
      </c>
      <c r="E1534">
        <v>990</v>
      </c>
      <c r="F1534">
        <v>5</v>
      </c>
      <c r="G1534">
        <v>5</v>
      </c>
      <c r="H1534">
        <v>1</v>
      </c>
      <c r="I1534">
        <v>1</v>
      </c>
      <c r="J1534">
        <v>0.76372549019607805</v>
      </c>
      <c r="K1534">
        <v>1</v>
      </c>
      <c r="L1534">
        <v>0.86603668704836001</v>
      </c>
      <c r="M1534">
        <v>0.58823529411764697</v>
      </c>
      <c r="N1534">
        <v>1</v>
      </c>
      <c r="O1534">
        <v>0.70147058823529396</v>
      </c>
      <c r="P1534" t="s">
        <v>3389</v>
      </c>
      <c r="Q1534" t="s">
        <v>3390</v>
      </c>
      <c r="R1534" t="s">
        <v>652</v>
      </c>
      <c r="S1534" t="s">
        <v>653</v>
      </c>
      <c r="T1534" t="s">
        <v>3391</v>
      </c>
      <c r="U1534" t="s">
        <v>3392</v>
      </c>
      <c r="V1534" t="s">
        <v>3393</v>
      </c>
      <c r="W1534" t="s">
        <v>3394</v>
      </c>
      <c r="X1534" t="s">
        <v>3393</v>
      </c>
      <c r="Y1534" t="s">
        <v>3395</v>
      </c>
      <c r="Z1534" t="s">
        <v>3396</v>
      </c>
      <c r="AA1534" t="s">
        <v>3397</v>
      </c>
      <c r="AB1534" t="s">
        <v>3396</v>
      </c>
      <c r="AC1534" t="s">
        <v>729</v>
      </c>
      <c r="AD1534" t="s">
        <v>3398</v>
      </c>
      <c r="AE1534" t="s">
        <v>3399</v>
      </c>
      <c r="AF1534" t="s">
        <v>3401</v>
      </c>
    </row>
    <row r="1535" spans="1:32" hidden="1" x14ac:dyDescent="0.35">
      <c r="A1535">
        <v>1621</v>
      </c>
      <c r="B1535" t="s">
        <v>3388</v>
      </c>
      <c r="C1535" t="s">
        <v>72</v>
      </c>
      <c r="D1535" t="s">
        <v>62</v>
      </c>
      <c r="E1535">
        <v>1026</v>
      </c>
      <c r="F1535">
        <v>5</v>
      </c>
      <c r="G1535">
        <v>5</v>
      </c>
      <c r="H1535">
        <v>1</v>
      </c>
      <c r="I1535">
        <v>1</v>
      </c>
      <c r="J1535">
        <v>0.76372549019607805</v>
      </c>
      <c r="K1535">
        <v>1</v>
      </c>
      <c r="L1535">
        <v>0.86603668704836001</v>
      </c>
      <c r="M1535">
        <v>0.58823529411764697</v>
      </c>
      <c r="N1535">
        <v>1</v>
      </c>
      <c r="O1535">
        <v>0.70147058823529396</v>
      </c>
      <c r="P1535" t="s">
        <v>3389</v>
      </c>
      <c r="Q1535" t="s">
        <v>3390</v>
      </c>
      <c r="R1535" t="s">
        <v>652</v>
      </c>
      <c r="S1535" t="s">
        <v>653</v>
      </c>
      <c r="T1535" t="s">
        <v>3391</v>
      </c>
      <c r="U1535" t="s">
        <v>3392</v>
      </c>
      <c r="V1535" t="s">
        <v>3393</v>
      </c>
      <c r="W1535" t="s">
        <v>3394</v>
      </c>
      <c r="X1535" t="s">
        <v>3393</v>
      </c>
      <c r="Y1535" t="s">
        <v>3395</v>
      </c>
      <c r="Z1535" t="s">
        <v>3396</v>
      </c>
      <c r="AA1535" t="s">
        <v>3397</v>
      </c>
      <c r="AB1535" t="s">
        <v>3396</v>
      </c>
      <c r="AC1535" t="s">
        <v>729</v>
      </c>
      <c r="AD1535" t="s">
        <v>3398</v>
      </c>
      <c r="AE1535" t="s">
        <v>3399</v>
      </c>
      <c r="AF1535" t="s">
        <v>3401</v>
      </c>
    </row>
    <row r="1536" spans="1:32" hidden="1" x14ac:dyDescent="0.35">
      <c r="A1536">
        <v>1622</v>
      </c>
      <c r="B1536" t="s">
        <v>3388</v>
      </c>
      <c r="C1536" t="s">
        <v>72</v>
      </c>
      <c r="D1536" t="s">
        <v>34</v>
      </c>
      <c r="E1536">
        <v>136</v>
      </c>
      <c r="F1536">
        <v>5</v>
      </c>
      <c r="G1536">
        <v>5</v>
      </c>
      <c r="H1536">
        <v>1</v>
      </c>
      <c r="I1536">
        <v>1</v>
      </c>
      <c r="J1536">
        <v>0.76372549019607805</v>
      </c>
      <c r="K1536">
        <v>1</v>
      </c>
      <c r="L1536">
        <v>0.86603668704836001</v>
      </c>
      <c r="M1536">
        <v>0.58823529411764697</v>
      </c>
      <c r="N1536">
        <v>1</v>
      </c>
      <c r="O1536">
        <v>0.70147058823529396</v>
      </c>
      <c r="P1536" t="s">
        <v>3389</v>
      </c>
      <c r="Q1536" t="s">
        <v>3390</v>
      </c>
      <c r="R1536" t="s">
        <v>652</v>
      </c>
      <c r="S1536" t="s">
        <v>653</v>
      </c>
      <c r="T1536" t="s">
        <v>3391</v>
      </c>
      <c r="U1536" t="s">
        <v>3392</v>
      </c>
      <c r="V1536" t="s">
        <v>3393</v>
      </c>
      <c r="W1536" t="s">
        <v>3394</v>
      </c>
      <c r="X1536" t="s">
        <v>3393</v>
      </c>
      <c r="Y1536" t="s">
        <v>3395</v>
      </c>
      <c r="Z1536" t="s">
        <v>3396</v>
      </c>
      <c r="AA1536" t="s">
        <v>3397</v>
      </c>
      <c r="AB1536" t="s">
        <v>3396</v>
      </c>
      <c r="AC1536" t="s">
        <v>729</v>
      </c>
      <c r="AD1536" t="s">
        <v>3398</v>
      </c>
      <c r="AE1536" t="s">
        <v>3399</v>
      </c>
      <c r="AF1536" t="s">
        <v>3402</v>
      </c>
    </row>
    <row r="1537" spans="1:32" hidden="1" x14ac:dyDescent="0.35">
      <c r="A1537">
        <v>1623</v>
      </c>
      <c r="B1537" t="s">
        <v>3388</v>
      </c>
      <c r="C1537" t="s">
        <v>72</v>
      </c>
      <c r="D1537" t="s">
        <v>45</v>
      </c>
      <c r="E1537">
        <v>1398</v>
      </c>
      <c r="F1537">
        <v>5</v>
      </c>
      <c r="G1537">
        <v>5</v>
      </c>
      <c r="H1537">
        <v>1</v>
      </c>
      <c r="I1537">
        <v>1</v>
      </c>
      <c r="J1537">
        <v>0.76372549019607805</v>
      </c>
      <c r="K1537">
        <v>1</v>
      </c>
      <c r="L1537">
        <v>0.86603668704836001</v>
      </c>
      <c r="M1537">
        <v>0.58823529411764697</v>
      </c>
      <c r="N1537">
        <v>1</v>
      </c>
      <c r="O1537">
        <v>0.70147058823529396</v>
      </c>
      <c r="P1537" t="s">
        <v>3389</v>
      </c>
      <c r="Q1537" t="s">
        <v>3390</v>
      </c>
      <c r="R1537" t="s">
        <v>652</v>
      </c>
      <c r="S1537" t="s">
        <v>653</v>
      </c>
      <c r="T1537" t="s">
        <v>3391</v>
      </c>
      <c r="U1537" t="s">
        <v>3392</v>
      </c>
      <c r="V1537" t="s">
        <v>3393</v>
      </c>
      <c r="W1537" t="s">
        <v>3394</v>
      </c>
      <c r="X1537" t="s">
        <v>3393</v>
      </c>
      <c r="Y1537" t="s">
        <v>3395</v>
      </c>
      <c r="Z1537" t="s">
        <v>3396</v>
      </c>
      <c r="AA1537" t="s">
        <v>3397</v>
      </c>
      <c r="AB1537" t="s">
        <v>3396</v>
      </c>
      <c r="AC1537" t="s">
        <v>729</v>
      </c>
      <c r="AD1537" t="s">
        <v>3398</v>
      </c>
      <c r="AE1537" t="s">
        <v>3399</v>
      </c>
      <c r="AF1537" t="s">
        <v>3402</v>
      </c>
    </row>
    <row r="1538" spans="1:32" hidden="1" x14ac:dyDescent="0.35">
      <c r="A1538">
        <v>10891</v>
      </c>
      <c r="B1538" t="s">
        <v>21909</v>
      </c>
      <c r="C1538" t="s">
        <v>33</v>
      </c>
      <c r="D1538" t="s">
        <v>58</v>
      </c>
      <c r="E1538">
        <v>1520</v>
      </c>
      <c r="F1538">
        <v>1</v>
      </c>
      <c r="G1538">
        <v>1</v>
      </c>
      <c r="H1538">
        <v>1</v>
      </c>
      <c r="I1538">
        <v>0</v>
      </c>
      <c r="J1538">
        <v>1</v>
      </c>
      <c r="K1538">
        <v>1</v>
      </c>
      <c r="L1538">
        <v>1</v>
      </c>
      <c r="M1538">
        <v>0</v>
      </c>
      <c r="N1538">
        <v>0</v>
      </c>
      <c r="O1538">
        <v>0</v>
      </c>
      <c r="P1538" t="s">
        <v>4167</v>
      </c>
      <c r="Q1538" t="s">
        <v>4168</v>
      </c>
      <c r="R1538" t="s">
        <v>157</v>
      </c>
      <c r="S1538" t="s">
        <v>158</v>
      </c>
      <c r="T1538" t="s">
        <v>4169</v>
      </c>
      <c r="U1538" t="s">
        <v>4170</v>
      </c>
      <c r="V1538" t="s">
        <v>4171</v>
      </c>
      <c r="W1538" t="s">
        <v>4172</v>
      </c>
      <c r="AD1538" t="s">
        <v>4173</v>
      </c>
      <c r="AE1538" t="s">
        <v>4174</v>
      </c>
      <c r="AF1538" t="s">
        <v>21910</v>
      </c>
    </row>
    <row r="1539" spans="1:32" hidden="1" x14ac:dyDescent="0.35">
      <c r="A1539">
        <v>1625</v>
      </c>
      <c r="B1539" t="s">
        <v>3403</v>
      </c>
      <c r="C1539" t="s">
        <v>72</v>
      </c>
      <c r="D1539" t="s">
        <v>60</v>
      </c>
      <c r="E1539">
        <v>1988</v>
      </c>
      <c r="F1539">
        <v>5</v>
      </c>
      <c r="G1539">
        <v>5</v>
      </c>
      <c r="H1539">
        <v>1</v>
      </c>
      <c r="I1539">
        <v>1</v>
      </c>
      <c r="J1539">
        <v>0.87394612379189796</v>
      </c>
      <c r="K1539">
        <v>0.99448607833883795</v>
      </c>
      <c r="L1539">
        <v>0.930327846349567</v>
      </c>
      <c r="M1539">
        <v>0.73312883435582799</v>
      </c>
      <c r="N1539">
        <v>1</v>
      </c>
      <c r="O1539">
        <v>0.82638036809815996</v>
      </c>
      <c r="P1539" t="s">
        <v>3404</v>
      </c>
      <c r="Q1539" t="s">
        <v>3405</v>
      </c>
      <c r="R1539" t="s">
        <v>652</v>
      </c>
      <c r="S1539" t="s">
        <v>653</v>
      </c>
      <c r="T1539" t="s">
        <v>3406</v>
      </c>
      <c r="U1539" t="s">
        <v>3407</v>
      </c>
      <c r="V1539" t="s">
        <v>3408</v>
      </c>
      <c r="W1539" t="s">
        <v>3409</v>
      </c>
      <c r="X1539" t="s">
        <v>3408</v>
      </c>
      <c r="Y1539" t="s">
        <v>1782</v>
      </c>
      <c r="Z1539" t="s">
        <v>3410</v>
      </c>
      <c r="AA1539" t="s">
        <v>3411</v>
      </c>
      <c r="AB1539" t="s">
        <v>3410</v>
      </c>
      <c r="AC1539" t="s">
        <v>3412</v>
      </c>
      <c r="AD1539" t="s">
        <v>1066</v>
      </c>
      <c r="AE1539" t="s">
        <v>3413</v>
      </c>
      <c r="AF1539" t="s">
        <v>3415</v>
      </c>
    </row>
    <row r="1540" spans="1:32" hidden="1" x14ac:dyDescent="0.35">
      <c r="A1540">
        <v>1626</v>
      </c>
      <c r="B1540" t="s">
        <v>3403</v>
      </c>
      <c r="C1540" t="s">
        <v>72</v>
      </c>
      <c r="D1540" t="s">
        <v>62</v>
      </c>
      <c r="E1540">
        <v>2029</v>
      </c>
      <c r="F1540">
        <v>5</v>
      </c>
      <c r="G1540">
        <v>5</v>
      </c>
      <c r="H1540">
        <v>1</v>
      </c>
      <c r="I1540">
        <v>1</v>
      </c>
      <c r="J1540">
        <v>0.87394612379189796</v>
      </c>
      <c r="K1540">
        <v>0.99448607833883795</v>
      </c>
      <c r="L1540">
        <v>0.930327846349567</v>
      </c>
      <c r="M1540">
        <v>0.73312883435582799</v>
      </c>
      <c r="N1540">
        <v>1</v>
      </c>
      <c r="O1540">
        <v>0.82638036809815996</v>
      </c>
      <c r="P1540" t="s">
        <v>3404</v>
      </c>
      <c r="Q1540" t="s">
        <v>3405</v>
      </c>
      <c r="R1540" t="s">
        <v>652</v>
      </c>
      <c r="S1540" t="s">
        <v>653</v>
      </c>
      <c r="T1540" t="s">
        <v>3406</v>
      </c>
      <c r="U1540" t="s">
        <v>3407</v>
      </c>
      <c r="V1540" t="s">
        <v>3408</v>
      </c>
      <c r="W1540" t="s">
        <v>3409</v>
      </c>
      <c r="X1540" t="s">
        <v>3408</v>
      </c>
      <c r="Y1540" t="s">
        <v>1782</v>
      </c>
      <c r="Z1540" t="s">
        <v>3410</v>
      </c>
      <c r="AA1540" t="s">
        <v>3411</v>
      </c>
      <c r="AB1540" t="s">
        <v>3410</v>
      </c>
      <c r="AC1540" t="s">
        <v>3412</v>
      </c>
      <c r="AD1540" t="s">
        <v>1066</v>
      </c>
      <c r="AE1540" t="s">
        <v>3413</v>
      </c>
      <c r="AF1540" t="s">
        <v>3415</v>
      </c>
    </row>
    <row r="1541" spans="1:32" hidden="1" x14ac:dyDescent="0.35">
      <c r="A1541">
        <v>1627</v>
      </c>
      <c r="B1541" t="s">
        <v>3403</v>
      </c>
      <c r="C1541" t="s">
        <v>72</v>
      </c>
      <c r="D1541" t="s">
        <v>34</v>
      </c>
      <c r="E1541">
        <v>2343</v>
      </c>
      <c r="F1541">
        <v>5</v>
      </c>
      <c r="G1541">
        <v>5</v>
      </c>
      <c r="H1541">
        <v>1</v>
      </c>
      <c r="I1541">
        <v>1</v>
      </c>
      <c r="J1541">
        <v>0.87394612379189796</v>
      </c>
      <c r="K1541">
        <v>0.99448607833883795</v>
      </c>
      <c r="L1541">
        <v>0.930327846349567</v>
      </c>
      <c r="M1541">
        <v>0.73312883435582799</v>
      </c>
      <c r="N1541">
        <v>1</v>
      </c>
      <c r="O1541">
        <v>0.82638036809815996</v>
      </c>
      <c r="P1541" t="s">
        <v>3404</v>
      </c>
      <c r="Q1541" t="s">
        <v>3405</v>
      </c>
      <c r="R1541" t="s">
        <v>652</v>
      </c>
      <c r="S1541" t="s">
        <v>653</v>
      </c>
      <c r="T1541" t="s">
        <v>3406</v>
      </c>
      <c r="U1541" t="s">
        <v>3407</v>
      </c>
      <c r="V1541" t="s">
        <v>3408</v>
      </c>
      <c r="W1541" t="s">
        <v>3409</v>
      </c>
      <c r="X1541" t="s">
        <v>3408</v>
      </c>
      <c r="Y1541" t="s">
        <v>1782</v>
      </c>
      <c r="Z1541" t="s">
        <v>3410</v>
      </c>
      <c r="AA1541" t="s">
        <v>3411</v>
      </c>
      <c r="AB1541" t="s">
        <v>3410</v>
      </c>
      <c r="AC1541" t="s">
        <v>3412</v>
      </c>
      <c r="AD1541" t="s">
        <v>1066</v>
      </c>
      <c r="AE1541" t="s">
        <v>3413</v>
      </c>
      <c r="AF1541" t="s">
        <v>3416</v>
      </c>
    </row>
    <row r="1542" spans="1:32" hidden="1" x14ac:dyDescent="0.35">
      <c r="A1542">
        <v>1628</v>
      </c>
      <c r="B1542" t="s">
        <v>3403</v>
      </c>
      <c r="C1542" t="s">
        <v>72</v>
      </c>
      <c r="D1542" t="s">
        <v>45</v>
      </c>
      <c r="E1542">
        <v>536</v>
      </c>
      <c r="F1542">
        <v>5</v>
      </c>
      <c r="G1542">
        <v>5</v>
      </c>
      <c r="H1542">
        <v>1</v>
      </c>
      <c r="I1542">
        <v>1</v>
      </c>
      <c r="J1542">
        <v>0.87394612379189796</v>
      </c>
      <c r="K1542">
        <v>0.99448607833883795</v>
      </c>
      <c r="L1542">
        <v>0.930327846349567</v>
      </c>
      <c r="M1542">
        <v>0.73312883435582799</v>
      </c>
      <c r="N1542">
        <v>1</v>
      </c>
      <c r="O1542">
        <v>0.82638036809815996</v>
      </c>
      <c r="P1542" t="s">
        <v>3404</v>
      </c>
      <c r="Q1542" t="s">
        <v>3405</v>
      </c>
      <c r="R1542" t="s">
        <v>652</v>
      </c>
      <c r="S1542" t="s">
        <v>653</v>
      </c>
      <c r="T1542" t="s">
        <v>3406</v>
      </c>
      <c r="U1542" t="s">
        <v>3407</v>
      </c>
      <c r="V1542" t="s">
        <v>3408</v>
      </c>
      <c r="W1542" t="s">
        <v>3409</v>
      </c>
      <c r="X1542" t="s">
        <v>3408</v>
      </c>
      <c r="Y1542" t="s">
        <v>1782</v>
      </c>
      <c r="Z1542" t="s">
        <v>3410</v>
      </c>
      <c r="AA1542" t="s">
        <v>3411</v>
      </c>
      <c r="AB1542" t="s">
        <v>3410</v>
      </c>
      <c r="AC1542" t="s">
        <v>3412</v>
      </c>
      <c r="AD1542" t="s">
        <v>1066</v>
      </c>
      <c r="AE1542" t="s">
        <v>3413</v>
      </c>
      <c r="AF1542" t="s">
        <v>3416</v>
      </c>
    </row>
    <row r="1543" spans="1:32" hidden="1" x14ac:dyDescent="0.35">
      <c r="A1543">
        <v>3684</v>
      </c>
      <c r="B1543" t="s">
        <v>7594</v>
      </c>
      <c r="C1543" t="s">
        <v>72</v>
      </c>
      <c r="D1543" t="s">
        <v>58</v>
      </c>
      <c r="E1543">
        <v>565</v>
      </c>
      <c r="F1543">
        <v>5</v>
      </c>
      <c r="G1543">
        <v>5</v>
      </c>
      <c r="H1543">
        <v>1</v>
      </c>
      <c r="I1543">
        <v>1</v>
      </c>
      <c r="J1543">
        <v>0.78355790550912496</v>
      </c>
      <c r="K1543">
        <v>0.925645768335567</v>
      </c>
      <c r="L1543">
        <v>0.84869588168964605</v>
      </c>
      <c r="M1543">
        <v>0.56446540880503104</v>
      </c>
      <c r="N1543">
        <v>0.99842767295597501</v>
      </c>
      <c r="O1543">
        <v>0.69355345911949695</v>
      </c>
      <c r="P1543" t="s">
        <v>7595</v>
      </c>
      <c r="Q1543" t="s">
        <v>7596</v>
      </c>
      <c r="R1543" t="s">
        <v>157</v>
      </c>
      <c r="S1543" t="s">
        <v>158</v>
      </c>
      <c r="V1543" t="s">
        <v>7597</v>
      </c>
      <c r="W1543" t="s">
        <v>7598</v>
      </c>
      <c r="AF1543" t="s">
        <v>7599</v>
      </c>
    </row>
    <row r="1544" spans="1:32" hidden="1" x14ac:dyDescent="0.35">
      <c r="A1544">
        <v>1630</v>
      </c>
      <c r="B1544" t="s">
        <v>3417</v>
      </c>
      <c r="C1544" t="s">
        <v>72</v>
      </c>
      <c r="D1544" t="s">
        <v>60</v>
      </c>
      <c r="E1544">
        <v>1795</v>
      </c>
      <c r="F1544">
        <v>5</v>
      </c>
      <c r="G1544">
        <v>5</v>
      </c>
      <c r="H1544">
        <v>1</v>
      </c>
      <c r="I1544">
        <v>1</v>
      </c>
      <c r="J1544">
        <v>0.82004401557474205</v>
      </c>
      <c r="K1544">
        <v>0.87515797179625399</v>
      </c>
      <c r="L1544">
        <v>0.846705068541174</v>
      </c>
      <c r="M1544">
        <v>0.58479532163742698</v>
      </c>
      <c r="N1544">
        <v>1</v>
      </c>
      <c r="O1544">
        <v>0.70979532163742698</v>
      </c>
      <c r="P1544" t="s">
        <v>3418</v>
      </c>
      <c r="Q1544" t="s">
        <v>3419</v>
      </c>
      <c r="R1544" t="s">
        <v>652</v>
      </c>
      <c r="S1544" t="s">
        <v>653</v>
      </c>
      <c r="T1544" t="s">
        <v>3420</v>
      </c>
      <c r="U1544" t="s">
        <v>3421</v>
      </c>
      <c r="V1544" t="s">
        <v>3422</v>
      </c>
      <c r="W1544" t="s">
        <v>3423</v>
      </c>
      <c r="X1544" t="s">
        <v>3422</v>
      </c>
      <c r="Y1544" t="s">
        <v>3424</v>
      </c>
      <c r="Z1544" t="s">
        <v>3425</v>
      </c>
      <c r="AA1544" t="s">
        <v>3426</v>
      </c>
      <c r="AB1544" t="s">
        <v>3425</v>
      </c>
      <c r="AC1544" t="s">
        <v>2106</v>
      </c>
      <c r="AD1544" t="s">
        <v>1140</v>
      </c>
      <c r="AE1544" t="s">
        <v>3427</v>
      </c>
      <c r="AF1544" t="s">
        <v>3429</v>
      </c>
    </row>
    <row r="1545" spans="1:32" hidden="1" x14ac:dyDescent="0.35">
      <c r="A1545">
        <v>1631</v>
      </c>
      <c r="B1545" t="s">
        <v>3417</v>
      </c>
      <c r="C1545" t="s">
        <v>72</v>
      </c>
      <c r="D1545" t="s">
        <v>62</v>
      </c>
      <c r="E1545">
        <v>1831</v>
      </c>
      <c r="F1545">
        <v>5</v>
      </c>
      <c r="G1545">
        <v>5</v>
      </c>
      <c r="H1545">
        <v>1</v>
      </c>
      <c r="I1545">
        <v>1</v>
      </c>
      <c r="J1545">
        <v>0.82004401557474205</v>
      </c>
      <c r="K1545">
        <v>0.87515797179625399</v>
      </c>
      <c r="L1545">
        <v>0.846705068541174</v>
      </c>
      <c r="M1545">
        <v>0.58479532163742698</v>
      </c>
      <c r="N1545">
        <v>1</v>
      </c>
      <c r="O1545">
        <v>0.70979532163742698</v>
      </c>
      <c r="P1545" t="s">
        <v>3418</v>
      </c>
      <c r="Q1545" t="s">
        <v>3419</v>
      </c>
      <c r="R1545" t="s">
        <v>652</v>
      </c>
      <c r="S1545" t="s">
        <v>653</v>
      </c>
      <c r="T1545" t="s">
        <v>3420</v>
      </c>
      <c r="U1545" t="s">
        <v>3421</v>
      </c>
      <c r="V1545" t="s">
        <v>3422</v>
      </c>
      <c r="W1545" t="s">
        <v>3423</v>
      </c>
      <c r="X1545" t="s">
        <v>3422</v>
      </c>
      <c r="Y1545" t="s">
        <v>3424</v>
      </c>
      <c r="Z1545" t="s">
        <v>3425</v>
      </c>
      <c r="AA1545" t="s">
        <v>3426</v>
      </c>
      <c r="AB1545" t="s">
        <v>3425</v>
      </c>
      <c r="AC1545" t="s">
        <v>2106</v>
      </c>
      <c r="AD1545" t="s">
        <v>1140</v>
      </c>
      <c r="AE1545" t="s">
        <v>3427</v>
      </c>
      <c r="AF1545" t="s">
        <v>3429</v>
      </c>
    </row>
    <row r="1546" spans="1:32" hidden="1" x14ac:dyDescent="0.35">
      <c r="A1546">
        <v>1632</v>
      </c>
      <c r="B1546" t="s">
        <v>3417</v>
      </c>
      <c r="C1546" t="s">
        <v>72</v>
      </c>
      <c r="D1546" t="s">
        <v>34</v>
      </c>
      <c r="E1546">
        <v>2162</v>
      </c>
      <c r="F1546">
        <v>5</v>
      </c>
      <c r="G1546">
        <v>5</v>
      </c>
      <c r="H1546">
        <v>1</v>
      </c>
      <c r="I1546">
        <v>1</v>
      </c>
      <c r="J1546">
        <v>0.82004401557474205</v>
      </c>
      <c r="K1546">
        <v>0.87515797179625399</v>
      </c>
      <c r="L1546">
        <v>0.846705068541174</v>
      </c>
      <c r="M1546">
        <v>0.58479532163742698</v>
      </c>
      <c r="N1546">
        <v>1</v>
      </c>
      <c r="O1546">
        <v>0.70979532163742698</v>
      </c>
      <c r="P1546" t="s">
        <v>3418</v>
      </c>
      <c r="Q1546" t="s">
        <v>3419</v>
      </c>
      <c r="R1546" t="s">
        <v>652</v>
      </c>
      <c r="S1546" t="s">
        <v>653</v>
      </c>
      <c r="T1546" t="s">
        <v>3420</v>
      </c>
      <c r="U1546" t="s">
        <v>3421</v>
      </c>
      <c r="V1546" t="s">
        <v>3422</v>
      </c>
      <c r="W1546" t="s">
        <v>3423</v>
      </c>
      <c r="X1546" t="s">
        <v>3422</v>
      </c>
      <c r="Y1546" t="s">
        <v>3424</v>
      </c>
      <c r="Z1546" t="s">
        <v>3425</v>
      </c>
      <c r="AA1546" t="s">
        <v>3426</v>
      </c>
      <c r="AB1546" t="s">
        <v>3425</v>
      </c>
      <c r="AC1546" t="s">
        <v>2106</v>
      </c>
      <c r="AD1546" t="s">
        <v>1140</v>
      </c>
      <c r="AE1546" t="s">
        <v>3427</v>
      </c>
      <c r="AF1546" t="s">
        <v>3430</v>
      </c>
    </row>
    <row r="1547" spans="1:32" hidden="1" x14ac:dyDescent="0.35">
      <c r="A1547">
        <v>1633</v>
      </c>
      <c r="B1547" t="s">
        <v>3417</v>
      </c>
      <c r="C1547" t="s">
        <v>72</v>
      </c>
      <c r="D1547" t="s">
        <v>45</v>
      </c>
      <c r="E1547">
        <v>711</v>
      </c>
      <c r="F1547">
        <v>5</v>
      </c>
      <c r="G1547">
        <v>5</v>
      </c>
      <c r="H1547">
        <v>1</v>
      </c>
      <c r="I1547">
        <v>1</v>
      </c>
      <c r="J1547">
        <v>0.82004401557474205</v>
      </c>
      <c r="K1547">
        <v>0.87515797179625399</v>
      </c>
      <c r="L1547">
        <v>0.846705068541174</v>
      </c>
      <c r="M1547">
        <v>0.58479532163742698</v>
      </c>
      <c r="N1547">
        <v>1</v>
      </c>
      <c r="O1547">
        <v>0.70979532163742698</v>
      </c>
      <c r="P1547" t="s">
        <v>3418</v>
      </c>
      <c r="Q1547" t="s">
        <v>3419</v>
      </c>
      <c r="R1547" t="s">
        <v>652</v>
      </c>
      <c r="S1547" t="s">
        <v>653</v>
      </c>
      <c r="T1547" t="s">
        <v>3420</v>
      </c>
      <c r="U1547" t="s">
        <v>3421</v>
      </c>
      <c r="V1547" t="s">
        <v>3422</v>
      </c>
      <c r="W1547" t="s">
        <v>3423</v>
      </c>
      <c r="X1547" t="s">
        <v>3422</v>
      </c>
      <c r="Y1547" t="s">
        <v>3424</v>
      </c>
      <c r="Z1547" t="s">
        <v>3425</v>
      </c>
      <c r="AA1547" t="s">
        <v>3426</v>
      </c>
      <c r="AB1547" t="s">
        <v>3425</v>
      </c>
      <c r="AC1547" t="s">
        <v>2106</v>
      </c>
      <c r="AD1547" t="s">
        <v>1140</v>
      </c>
      <c r="AE1547" t="s">
        <v>3427</v>
      </c>
      <c r="AF1547" t="s">
        <v>3431</v>
      </c>
    </row>
    <row r="1548" spans="1:32" hidden="1" x14ac:dyDescent="0.35">
      <c r="A1548">
        <v>499</v>
      </c>
      <c r="B1548" t="s">
        <v>956</v>
      </c>
      <c r="C1548" t="s">
        <v>72</v>
      </c>
      <c r="D1548" t="s">
        <v>58</v>
      </c>
      <c r="E1548">
        <v>534</v>
      </c>
      <c r="F1548">
        <v>5</v>
      </c>
      <c r="G1548">
        <v>5</v>
      </c>
      <c r="H1548">
        <v>1</v>
      </c>
      <c r="I1548">
        <v>1</v>
      </c>
      <c r="J1548">
        <v>0.81947261663285997</v>
      </c>
      <c r="K1548">
        <v>0.96721025043680697</v>
      </c>
      <c r="L1548">
        <v>0.887233352228332</v>
      </c>
      <c r="M1548">
        <v>0.63725490196078405</v>
      </c>
      <c r="N1548">
        <v>1</v>
      </c>
      <c r="O1548">
        <v>0.76274509803921597</v>
      </c>
      <c r="P1548" t="s">
        <v>957</v>
      </c>
      <c r="Q1548" t="s">
        <v>958</v>
      </c>
      <c r="R1548" t="s">
        <v>235</v>
      </c>
      <c r="S1548" t="s">
        <v>236</v>
      </c>
      <c r="T1548" t="s">
        <v>959</v>
      </c>
      <c r="U1548" t="s">
        <v>960</v>
      </c>
      <c r="V1548" t="s">
        <v>961</v>
      </c>
      <c r="W1548" t="s">
        <v>962</v>
      </c>
      <c r="X1548" t="s">
        <v>961</v>
      </c>
      <c r="Y1548" t="s">
        <v>241</v>
      </c>
      <c r="Z1548" t="s">
        <v>963</v>
      </c>
      <c r="AA1548" t="s">
        <v>964</v>
      </c>
      <c r="AB1548" t="s">
        <v>963</v>
      </c>
      <c r="AC1548" t="s">
        <v>965</v>
      </c>
      <c r="AD1548" t="s">
        <v>219</v>
      </c>
      <c r="AE1548" t="s">
        <v>966</v>
      </c>
      <c r="AF1548" t="s">
        <v>967</v>
      </c>
    </row>
    <row r="1549" spans="1:32" hidden="1" x14ac:dyDescent="0.35">
      <c r="A1549">
        <v>1700</v>
      </c>
      <c r="B1549" t="s">
        <v>3553</v>
      </c>
      <c r="C1549" t="s">
        <v>72</v>
      </c>
      <c r="D1549" t="s">
        <v>60</v>
      </c>
      <c r="E1549">
        <v>974</v>
      </c>
      <c r="F1549">
        <v>5</v>
      </c>
      <c r="G1549">
        <v>5</v>
      </c>
      <c r="H1549">
        <v>1</v>
      </c>
      <c r="I1549">
        <v>1</v>
      </c>
      <c r="J1549">
        <v>0.89578544061302701</v>
      </c>
      <c r="K1549">
        <v>1</v>
      </c>
      <c r="L1549">
        <v>0.94502829426030699</v>
      </c>
      <c r="M1549">
        <v>0.75862068965517204</v>
      </c>
      <c r="N1549">
        <v>1</v>
      </c>
      <c r="O1549">
        <v>0.840613026819923</v>
      </c>
      <c r="P1549" t="s">
        <v>3554</v>
      </c>
      <c r="Q1549" t="s">
        <v>3555</v>
      </c>
      <c r="R1549" t="s">
        <v>652</v>
      </c>
      <c r="S1549" t="s">
        <v>653</v>
      </c>
      <c r="T1549" t="s">
        <v>3556</v>
      </c>
      <c r="U1549" t="s">
        <v>3557</v>
      </c>
      <c r="V1549" t="s">
        <v>3558</v>
      </c>
      <c r="W1549" t="s">
        <v>3559</v>
      </c>
      <c r="AD1549" t="s">
        <v>410</v>
      </c>
      <c r="AE1549" t="s">
        <v>3308</v>
      </c>
      <c r="AF1549" t="s">
        <v>3561</v>
      </c>
    </row>
    <row r="1550" spans="1:32" hidden="1" x14ac:dyDescent="0.35">
      <c r="A1550">
        <v>1701</v>
      </c>
      <c r="B1550" t="s">
        <v>3553</v>
      </c>
      <c r="C1550" t="s">
        <v>72</v>
      </c>
      <c r="D1550" t="s">
        <v>62</v>
      </c>
      <c r="E1550">
        <v>1010</v>
      </c>
      <c r="F1550">
        <v>5</v>
      </c>
      <c r="G1550">
        <v>5</v>
      </c>
      <c r="H1550">
        <v>1</v>
      </c>
      <c r="I1550">
        <v>1</v>
      </c>
      <c r="J1550">
        <v>0.89578544061302701</v>
      </c>
      <c r="K1550">
        <v>1</v>
      </c>
      <c r="L1550">
        <v>0.94502829426030699</v>
      </c>
      <c r="M1550">
        <v>0.75862068965517204</v>
      </c>
      <c r="N1550">
        <v>1</v>
      </c>
      <c r="O1550">
        <v>0.840613026819923</v>
      </c>
      <c r="P1550" t="s">
        <v>3554</v>
      </c>
      <c r="Q1550" t="s">
        <v>3555</v>
      </c>
      <c r="R1550" t="s">
        <v>652</v>
      </c>
      <c r="S1550" t="s">
        <v>653</v>
      </c>
      <c r="T1550" t="s">
        <v>3556</v>
      </c>
      <c r="U1550" t="s">
        <v>3557</v>
      </c>
      <c r="V1550" t="s">
        <v>3558</v>
      </c>
      <c r="W1550" t="s">
        <v>3559</v>
      </c>
      <c r="AD1550" t="s">
        <v>410</v>
      </c>
      <c r="AE1550" t="s">
        <v>3308</v>
      </c>
      <c r="AF1550" t="s">
        <v>3561</v>
      </c>
    </row>
    <row r="1551" spans="1:32" hidden="1" x14ac:dyDescent="0.35">
      <c r="A1551">
        <v>1702</v>
      </c>
      <c r="B1551" t="s">
        <v>3553</v>
      </c>
      <c r="C1551" t="s">
        <v>72</v>
      </c>
      <c r="D1551" t="s">
        <v>34</v>
      </c>
      <c r="E1551">
        <v>174</v>
      </c>
      <c r="F1551">
        <v>5</v>
      </c>
      <c r="G1551">
        <v>5</v>
      </c>
      <c r="H1551">
        <v>1</v>
      </c>
      <c r="I1551">
        <v>1</v>
      </c>
      <c r="J1551">
        <v>0.89578544061302701</v>
      </c>
      <c r="K1551">
        <v>1</v>
      </c>
      <c r="L1551">
        <v>0.94502829426030699</v>
      </c>
      <c r="M1551">
        <v>0.75862068965517204</v>
      </c>
      <c r="N1551">
        <v>1</v>
      </c>
      <c r="O1551">
        <v>0.840613026819923</v>
      </c>
      <c r="P1551" t="s">
        <v>3554</v>
      </c>
      <c r="Q1551" t="s">
        <v>3555</v>
      </c>
      <c r="R1551" t="s">
        <v>652</v>
      </c>
      <c r="S1551" t="s">
        <v>653</v>
      </c>
      <c r="T1551" t="s">
        <v>3556</v>
      </c>
      <c r="U1551" t="s">
        <v>3557</v>
      </c>
      <c r="V1551" t="s">
        <v>3558</v>
      </c>
      <c r="W1551" t="s">
        <v>3559</v>
      </c>
      <c r="AD1551" t="s">
        <v>410</v>
      </c>
      <c r="AE1551" t="s">
        <v>3308</v>
      </c>
      <c r="AF1551" t="s">
        <v>3562</v>
      </c>
    </row>
    <row r="1552" spans="1:32" hidden="1" x14ac:dyDescent="0.35">
      <c r="A1552">
        <v>1703</v>
      </c>
      <c r="B1552" t="s">
        <v>3553</v>
      </c>
      <c r="C1552" t="s">
        <v>72</v>
      </c>
      <c r="D1552" t="s">
        <v>45</v>
      </c>
      <c r="E1552">
        <v>1435</v>
      </c>
      <c r="F1552">
        <v>5</v>
      </c>
      <c r="G1552">
        <v>5</v>
      </c>
      <c r="H1552">
        <v>1</v>
      </c>
      <c r="I1552">
        <v>1</v>
      </c>
      <c r="J1552">
        <v>0.89578544061302701</v>
      </c>
      <c r="K1552">
        <v>1</v>
      </c>
      <c r="L1552">
        <v>0.94502829426030699</v>
      </c>
      <c r="M1552">
        <v>0.75862068965517204</v>
      </c>
      <c r="N1552">
        <v>1</v>
      </c>
      <c r="O1552">
        <v>0.840613026819923</v>
      </c>
      <c r="P1552" t="s">
        <v>3554</v>
      </c>
      <c r="Q1552" t="s">
        <v>3555</v>
      </c>
      <c r="R1552" t="s">
        <v>652</v>
      </c>
      <c r="S1552" t="s">
        <v>653</v>
      </c>
      <c r="T1552" t="s">
        <v>3556</v>
      </c>
      <c r="U1552" t="s">
        <v>3557</v>
      </c>
      <c r="V1552" t="s">
        <v>3558</v>
      </c>
      <c r="W1552" t="s">
        <v>3559</v>
      </c>
      <c r="AD1552" t="s">
        <v>410</v>
      </c>
      <c r="AE1552" t="s">
        <v>3308</v>
      </c>
      <c r="AF1552" t="s">
        <v>3562</v>
      </c>
    </row>
    <row r="1553" spans="1:32" hidden="1" x14ac:dyDescent="0.35">
      <c r="A1553">
        <v>4354</v>
      </c>
      <c r="B1553" t="s">
        <v>9075</v>
      </c>
      <c r="C1553" t="s">
        <v>72</v>
      </c>
      <c r="D1553" t="s">
        <v>58</v>
      </c>
      <c r="E1553">
        <v>1027</v>
      </c>
      <c r="F1553">
        <v>5</v>
      </c>
      <c r="G1553">
        <v>5</v>
      </c>
      <c r="H1553">
        <v>1</v>
      </c>
      <c r="I1553">
        <v>1</v>
      </c>
      <c r="J1553">
        <v>0.86920586230402197</v>
      </c>
      <c r="K1553">
        <v>0.95052795691305003</v>
      </c>
      <c r="L1553">
        <v>0.90804980784294798</v>
      </c>
      <c r="M1553">
        <v>0.72815533980582503</v>
      </c>
      <c r="N1553">
        <v>0.99514563106796095</v>
      </c>
      <c r="O1553">
        <v>0.80072815533980601</v>
      </c>
      <c r="P1553" t="s">
        <v>9076</v>
      </c>
      <c r="Q1553" t="s">
        <v>9077</v>
      </c>
      <c r="R1553" t="s">
        <v>235</v>
      </c>
      <c r="S1553" t="s">
        <v>236</v>
      </c>
      <c r="T1553" t="s">
        <v>9078</v>
      </c>
      <c r="U1553" t="s">
        <v>9079</v>
      </c>
      <c r="V1553" t="s">
        <v>9080</v>
      </c>
      <c r="W1553" t="s">
        <v>9081</v>
      </c>
      <c r="X1553" t="s">
        <v>9080</v>
      </c>
      <c r="Y1553" t="s">
        <v>241</v>
      </c>
      <c r="Z1553" t="s">
        <v>2139</v>
      </c>
      <c r="AA1553" t="s">
        <v>2140</v>
      </c>
      <c r="AB1553" t="s">
        <v>2139</v>
      </c>
      <c r="AC1553" t="s">
        <v>244</v>
      </c>
      <c r="AD1553" t="s">
        <v>219</v>
      </c>
      <c r="AE1553" t="s">
        <v>9082</v>
      </c>
      <c r="AF1553" t="s">
        <v>9083</v>
      </c>
    </row>
    <row r="1554" spans="1:32" hidden="1" x14ac:dyDescent="0.35">
      <c r="A1554">
        <v>1860</v>
      </c>
      <c r="B1554" t="s">
        <v>3848</v>
      </c>
      <c r="C1554" t="s">
        <v>72</v>
      </c>
      <c r="D1554" t="s">
        <v>60</v>
      </c>
      <c r="E1554">
        <v>1778</v>
      </c>
      <c r="F1554">
        <v>5</v>
      </c>
      <c r="G1554">
        <v>5</v>
      </c>
      <c r="H1554">
        <v>1</v>
      </c>
      <c r="I1554">
        <v>1</v>
      </c>
      <c r="J1554">
        <v>0.90919220055710304</v>
      </c>
      <c r="K1554">
        <v>0.991737171515361</v>
      </c>
      <c r="L1554">
        <v>0.94867249103661699</v>
      </c>
      <c r="M1554">
        <v>0.80662983425414403</v>
      </c>
      <c r="N1554">
        <v>1</v>
      </c>
      <c r="O1554">
        <v>0.86169429097605899</v>
      </c>
      <c r="P1554" t="s">
        <v>3849</v>
      </c>
      <c r="Q1554" t="s">
        <v>3850</v>
      </c>
      <c r="R1554" t="s">
        <v>652</v>
      </c>
      <c r="S1554" t="s">
        <v>653</v>
      </c>
      <c r="T1554" t="s">
        <v>3851</v>
      </c>
      <c r="U1554" t="s">
        <v>3852</v>
      </c>
      <c r="V1554" t="s">
        <v>3853</v>
      </c>
      <c r="W1554" t="s">
        <v>3854</v>
      </c>
      <c r="Z1554" t="s">
        <v>3855</v>
      </c>
      <c r="AA1554" t="s">
        <v>3856</v>
      </c>
      <c r="AB1554" t="s">
        <v>3855</v>
      </c>
      <c r="AC1554" t="s">
        <v>729</v>
      </c>
      <c r="AD1554" t="s">
        <v>219</v>
      </c>
      <c r="AE1554" t="s">
        <v>3857</v>
      </c>
      <c r="AF1554" t="s">
        <v>3859</v>
      </c>
    </row>
    <row r="1555" spans="1:32" hidden="1" x14ac:dyDescent="0.35">
      <c r="A1555">
        <v>1861</v>
      </c>
      <c r="B1555" t="s">
        <v>3848</v>
      </c>
      <c r="C1555" t="s">
        <v>72</v>
      </c>
      <c r="D1555" t="s">
        <v>62</v>
      </c>
      <c r="E1555">
        <v>1814</v>
      </c>
      <c r="F1555">
        <v>5</v>
      </c>
      <c r="G1555">
        <v>5</v>
      </c>
      <c r="H1555">
        <v>1</v>
      </c>
      <c r="I1555">
        <v>1</v>
      </c>
      <c r="J1555">
        <v>0.90919220055710304</v>
      </c>
      <c r="K1555">
        <v>0.991737171515361</v>
      </c>
      <c r="L1555">
        <v>0.94867249103661699</v>
      </c>
      <c r="M1555">
        <v>0.80662983425414403</v>
      </c>
      <c r="N1555">
        <v>1</v>
      </c>
      <c r="O1555">
        <v>0.86169429097605899</v>
      </c>
      <c r="P1555" t="s">
        <v>3849</v>
      </c>
      <c r="Q1555" t="s">
        <v>3850</v>
      </c>
      <c r="R1555" t="s">
        <v>652</v>
      </c>
      <c r="S1555" t="s">
        <v>653</v>
      </c>
      <c r="T1555" t="s">
        <v>3851</v>
      </c>
      <c r="U1555" t="s">
        <v>3852</v>
      </c>
      <c r="V1555" t="s">
        <v>3853</v>
      </c>
      <c r="W1555" t="s">
        <v>3854</v>
      </c>
      <c r="Z1555" t="s">
        <v>3855</v>
      </c>
      <c r="AA1555" t="s">
        <v>3856</v>
      </c>
      <c r="AB1555" t="s">
        <v>3855</v>
      </c>
      <c r="AC1555" t="s">
        <v>729</v>
      </c>
      <c r="AD1555" t="s">
        <v>219</v>
      </c>
      <c r="AE1555" t="s">
        <v>3857</v>
      </c>
      <c r="AF1555" t="s">
        <v>3859</v>
      </c>
    </row>
    <row r="1556" spans="1:32" hidden="1" x14ac:dyDescent="0.35">
      <c r="A1556">
        <v>1862</v>
      </c>
      <c r="B1556" t="s">
        <v>3848</v>
      </c>
      <c r="C1556" t="s">
        <v>72</v>
      </c>
      <c r="D1556" t="s">
        <v>34</v>
      </c>
      <c r="E1556">
        <v>2147</v>
      </c>
      <c r="F1556">
        <v>5</v>
      </c>
      <c r="G1556">
        <v>5</v>
      </c>
      <c r="H1556">
        <v>1</v>
      </c>
      <c r="I1556">
        <v>1</v>
      </c>
      <c r="J1556">
        <v>0.90919220055710304</v>
      </c>
      <c r="K1556">
        <v>0.991737171515361</v>
      </c>
      <c r="L1556">
        <v>0.94867249103661699</v>
      </c>
      <c r="M1556">
        <v>0.80662983425414403</v>
      </c>
      <c r="N1556">
        <v>1</v>
      </c>
      <c r="O1556">
        <v>0.86169429097605899</v>
      </c>
      <c r="P1556" t="s">
        <v>3849</v>
      </c>
      <c r="Q1556" t="s">
        <v>3850</v>
      </c>
      <c r="R1556" t="s">
        <v>652</v>
      </c>
      <c r="S1556" t="s">
        <v>653</v>
      </c>
      <c r="T1556" t="s">
        <v>3851</v>
      </c>
      <c r="U1556" t="s">
        <v>3852</v>
      </c>
      <c r="V1556" t="s">
        <v>3853</v>
      </c>
      <c r="W1556" t="s">
        <v>3854</v>
      </c>
      <c r="Z1556" t="s">
        <v>3855</v>
      </c>
      <c r="AA1556" t="s">
        <v>3856</v>
      </c>
      <c r="AB1556" t="s">
        <v>3855</v>
      </c>
      <c r="AC1556" t="s">
        <v>729</v>
      </c>
      <c r="AD1556" t="s">
        <v>219</v>
      </c>
      <c r="AE1556" t="s">
        <v>3857</v>
      </c>
      <c r="AF1556" t="s">
        <v>3860</v>
      </c>
    </row>
    <row r="1557" spans="1:32" hidden="1" x14ac:dyDescent="0.35">
      <c r="A1557">
        <v>1863</v>
      </c>
      <c r="B1557" t="s">
        <v>3848</v>
      </c>
      <c r="C1557" t="s">
        <v>72</v>
      </c>
      <c r="D1557" t="s">
        <v>45</v>
      </c>
      <c r="E1557">
        <v>726</v>
      </c>
      <c r="F1557">
        <v>5</v>
      </c>
      <c r="G1557">
        <v>5</v>
      </c>
      <c r="H1557">
        <v>1</v>
      </c>
      <c r="I1557">
        <v>1</v>
      </c>
      <c r="J1557">
        <v>0.90919220055710304</v>
      </c>
      <c r="K1557">
        <v>0.991737171515361</v>
      </c>
      <c r="L1557">
        <v>0.94867249103661699</v>
      </c>
      <c r="M1557">
        <v>0.80662983425414403</v>
      </c>
      <c r="N1557">
        <v>1</v>
      </c>
      <c r="O1557">
        <v>0.86169429097605899</v>
      </c>
      <c r="P1557" t="s">
        <v>3849</v>
      </c>
      <c r="Q1557" t="s">
        <v>3850</v>
      </c>
      <c r="R1557" t="s">
        <v>652</v>
      </c>
      <c r="S1557" t="s">
        <v>653</v>
      </c>
      <c r="T1557" t="s">
        <v>3851</v>
      </c>
      <c r="U1557" t="s">
        <v>3852</v>
      </c>
      <c r="V1557" t="s">
        <v>3853</v>
      </c>
      <c r="W1557" t="s">
        <v>3854</v>
      </c>
      <c r="Z1557" t="s">
        <v>3855</v>
      </c>
      <c r="AA1557" t="s">
        <v>3856</v>
      </c>
      <c r="AB1557" t="s">
        <v>3855</v>
      </c>
      <c r="AC1557" t="s">
        <v>729</v>
      </c>
      <c r="AD1557" t="s">
        <v>219</v>
      </c>
      <c r="AE1557" t="s">
        <v>3857</v>
      </c>
      <c r="AF1557" t="s">
        <v>3860</v>
      </c>
    </row>
    <row r="1558" spans="1:32" hidden="1" x14ac:dyDescent="0.35">
      <c r="A1558">
        <v>2464</v>
      </c>
      <c r="B1558" t="s">
        <v>5102</v>
      </c>
      <c r="C1558" t="s">
        <v>72</v>
      </c>
      <c r="D1558" t="s">
        <v>58</v>
      </c>
      <c r="E1558">
        <v>871</v>
      </c>
      <c r="F1558">
        <v>5</v>
      </c>
      <c r="G1558">
        <v>5</v>
      </c>
      <c r="H1558">
        <v>1</v>
      </c>
      <c r="I1558">
        <v>1</v>
      </c>
      <c r="J1558">
        <v>0.80850277264325299</v>
      </c>
      <c r="K1558">
        <v>0.95710347592912803</v>
      </c>
      <c r="L1558">
        <v>0.87654970027534096</v>
      </c>
      <c r="M1558">
        <v>0.61837455830388699</v>
      </c>
      <c r="N1558">
        <v>1</v>
      </c>
      <c r="O1558">
        <v>0.72932862190812697</v>
      </c>
      <c r="P1558" t="s">
        <v>5103</v>
      </c>
      <c r="Q1558" t="s">
        <v>5104</v>
      </c>
      <c r="R1558" t="s">
        <v>371</v>
      </c>
      <c r="S1558" t="s">
        <v>372</v>
      </c>
      <c r="T1558" t="s">
        <v>5105</v>
      </c>
      <c r="U1558" t="s">
        <v>5106</v>
      </c>
      <c r="V1558" t="s">
        <v>5107</v>
      </c>
      <c r="W1558" t="s">
        <v>5108</v>
      </c>
      <c r="AD1558" t="s">
        <v>1480</v>
      </c>
      <c r="AE1558" t="s">
        <v>5109</v>
      </c>
      <c r="AF1558" t="s">
        <v>5110</v>
      </c>
    </row>
    <row r="1559" spans="1:32" hidden="1" x14ac:dyDescent="0.35">
      <c r="A1559">
        <v>1875</v>
      </c>
      <c r="B1559" t="s">
        <v>3880</v>
      </c>
      <c r="C1559" t="s">
        <v>72</v>
      </c>
      <c r="D1559" t="s">
        <v>60</v>
      </c>
      <c r="E1559">
        <v>1779</v>
      </c>
      <c r="F1559">
        <v>5</v>
      </c>
      <c r="G1559">
        <v>5</v>
      </c>
      <c r="H1559">
        <v>1</v>
      </c>
      <c r="I1559">
        <v>1</v>
      </c>
      <c r="J1559">
        <v>0.87650028971111704</v>
      </c>
      <c r="K1559">
        <v>0.98705557161439095</v>
      </c>
      <c r="L1559">
        <v>0.92849858964315601</v>
      </c>
      <c r="M1559">
        <v>0.76715686274509798</v>
      </c>
      <c r="N1559">
        <v>1</v>
      </c>
      <c r="O1559">
        <v>0.82794117647058796</v>
      </c>
      <c r="P1559" t="s">
        <v>3881</v>
      </c>
      <c r="Q1559" t="s">
        <v>3882</v>
      </c>
      <c r="R1559" t="s">
        <v>652</v>
      </c>
      <c r="S1559" t="s">
        <v>653</v>
      </c>
      <c r="T1559" t="s">
        <v>3883</v>
      </c>
      <c r="U1559" t="s">
        <v>3884</v>
      </c>
      <c r="V1559" t="s">
        <v>3885</v>
      </c>
      <c r="W1559" t="s">
        <v>3886</v>
      </c>
      <c r="Z1559" t="s">
        <v>3855</v>
      </c>
      <c r="AA1559" t="s">
        <v>3856</v>
      </c>
      <c r="AB1559" t="s">
        <v>3855</v>
      </c>
      <c r="AC1559" t="s">
        <v>729</v>
      </c>
      <c r="AD1559" t="s">
        <v>219</v>
      </c>
      <c r="AE1559" t="s">
        <v>3857</v>
      </c>
      <c r="AF1559" t="s">
        <v>3888</v>
      </c>
    </row>
    <row r="1560" spans="1:32" hidden="1" x14ac:dyDescent="0.35">
      <c r="A1560">
        <v>1876</v>
      </c>
      <c r="B1560" t="s">
        <v>3880</v>
      </c>
      <c r="C1560" t="s">
        <v>72</v>
      </c>
      <c r="D1560" t="s">
        <v>62</v>
      </c>
      <c r="E1560">
        <v>1815</v>
      </c>
      <c r="F1560">
        <v>5</v>
      </c>
      <c r="G1560">
        <v>5</v>
      </c>
      <c r="H1560">
        <v>1</v>
      </c>
      <c r="I1560">
        <v>1</v>
      </c>
      <c r="J1560">
        <v>0.87650028971111704</v>
      </c>
      <c r="K1560">
        <v>0.98705557161439095</v>
      </c>
      <c r="L1560">
        <v>0.92849858964315601</v>
      </c>
      <c r="M1560">
        <v>0.76715686274509798</v>
      </c>
      <c r="N1560">
        <v>1</v>
      </c>
      <c r="O1560">
        <v>0.82794117647058796</v>
      </c>
      <c r="P1560" t="s">
        <v>3881</v>
      </c>
      <c r="Q1560" t="s">
        <v>3882</v>
      </c>
      <c r="R1560" t="s">
        <v>652</v>
      </c>
      <c r="S1560" t="s">
        <v>653</v>
      </c>
      <c r="T1560" t="s">
        <v>3883</v>
      </c>
      <c r="U1560" t="s">
        <v>3884</v>
      </c>
      <c r="V1560" t="s">
        <v>3885</v>
      </c>
      <c r="W1560" t="s">
        <v>3886</v>
      </c>
      <c r="Z1560" t="s">
        <v>3855</v>
      </c>
      <c r="AA1560" t="s">
        <v>3856</v>
      </c>
      <c r="AB1560" t="s">
        <v>3855</v>
      </c>
      <c r="AC1560" t="s">
        <v>729</v>
      </c>
      <c r="AD1560" t="s">
        <v>219</v>
      </c>
      <c r="AE1560" t="s">
        <v>3857</v>
      </c>
      <c r="AF1560" t="s">
        <v>3888</v>
      </c>
    </row>
    <row r="1561" spans="1:32" hidden="1" x14ac:dyDescent="0.35">
      <c r="A1561">
        <v>1877</v>
      </c>
      <c r="B1561" t="s">
        <v>3880</v>
      </c>
      <c r="C1561" t="s">
        <v>72</v>
      </c>
      <c r="D1561" t="s">
        <v>34</v>
      </c>
      <c r="E1561">
        <v>2148</v>
      </c>
      <c r="F1561">
        <v>5</v>
      </c>
      <c r="G1561">
        <v>5</v>
      </c>
      <c r="H1561">
        <v>1</v>
      </c>
      <c r="I1561">
        <v>1</v>
      </c>
      <c r="J1561">
        <v>0.87650028971111704</v>
      </c>
      <c r="K1561">
        <v>0.98705557161439095</v>
      </c>
      <c r="L1561">
        <v>0.92849858964315601</v>
      </c>
      <c r="M1561">
        <v>0.76715686274509798</v>
      </c>
      <c r="N1561">
        <v>1</v>
      </c>
      <c r="O1561">
        <v>0.82794117647058796</v>
      </c>
      <c r="P1561" t="s">
        <v>3881</v>
      </c>
      <c r="Q1561" t="s">
        <v>3882</v>
      </c>
      <c r="R1561" t="s">
        <v>652</v>
      </c>
      <c r="S1561" t="s">
        <v>653</v>
      </c>
      <c r="T1561" t="s">
        <v>3883</v>
      </c>
      <c r="U1561" t="s">
        <v>3884</v>
      </c>
      <c r="V1561" t="s">
        <v>3885</v>
      </c>
      <c r="W1561" t="s">
        <v>3886</v>
      </c>
      <c r="Z1561" t="s">
        <v>3855</v>
      </c>
      <c r="AA1561" t="s">
        <v>3856</v>
      </c>
      <c r="AB1561" t="s">
        <v>3855</v>
      </c>
      <c r="AC1561" t="s">
        <v>729</v>
      </c>
      <c r="AD1561" t="s">
        <v>219</v>
      </c>
      <c r="AE1561" t="s">
        <v>3857</v>
      </c>
      <c r="AF1561" t="s">
        <v>3889</v>
      </c>
    </row>
    <row r="1562" spans="1:32" hidden="1" x14ac:dyDescent="0.35">
      <c r="A1562">
        <v>1878</v>
      </c>
      <c r="B1562" t="s">
        <v>3880</v>
      </c>
      <c r="C1562" t="s">
        <v>72</v>
      </c>
      <c r="D1562" t="s">
        <v>45</v>
      </c>
      <c r="E1562">
        <v>725</v>
      </c>
      <c r="F1562">
        <v>5</v>
      </c>
      <c r="G1562">
        <v>5</v>
      </c>
      <c r="H1562">
        <v>1</v>
      </c>
      <c r="I1562">
        <v>1</v>
      </c>
      <c r="J1562">
        <v>0.87650028971111704</v>
      </c>
      <c r="K1562">
        <v>0.98705557161439095</v>
      </c>
      <c r="L1562">
        <v>0.92849858964315601</v>
      </c>
      <c r="M1562">
        <v>0.76715686274509798</v>
      </c>
      <c r="N1562">
        <v>1</v>
      </c>
      <c r="O1562">
        <v>0.82794117647058796</v>
      </c>
      <c r="P1562" t="s">
        <v>3881</v>
      </c>
      <c r="Q1562" t="s">
        <v>3882</v>
      </c>
      <c r="R1562" t="s">
        <v>652</v>
      </c>
      <c r="S1562" t="s">
        <v>653</v>
      </c>
      <c r="T1562" t="s">
        <v>3883</v>
      </c>
      <c r="U1562" t="s">
        <v>3884</v>
      </c>
      <c r="V1562" t="s">
        <v>3885</v>
      </c>
      <c r="W1562" t="s">
        <v>3886</v>
      </c>
      <c r="Z1562" t="s">
        <v>3855</v>
      </c>
      <c r="AA1562" t="s">
        <v>3856</v>
      </c>
      <c r="AB1562" t="s">
        <v>3855</v>
      </c>
      <c r="AC1562" t="s">
        <v>729</v>
      </c>
      <c r="AD1562" t="s">
        <v>219</v>
      </c>
      <c r="AE1562" t="s">
        <v>3857</v>
      </c>
      <c r="AF1562" t="s">
        <v>3889</v>
      </c>
    </row>
    <row r="1563" spans="1:32" hidden="1" x14ac:dyDescent="0.35">
      <c r="A1563" s="2">
        <v>4189</v>
      </c>
      <c r="B1563" s="2" t="s">
        <v>8679</v>
      </c>
      <c r="C1563" s="2" t="s">
        <v>72</v>
      </c>
      <c r="D1563" s="2" t="s">
        <v>58</v>
      </c>
      <c r="E1563" s="2">
        <v>0</v>
      </c>
      <c r="F1563" s="2">
        <v>5</v>
      </c>
      <c r="G1563" s="2">
        <v>5</v>
      </c>
      <c r="H1563" s="2">
        <v>1</v>
      </c>
      <c r="I1563" s="2">
        <v>1</v>
      </c>
      <c r="J1563" s="2">
        <v>0.72910256410256402</v>
      </c>
      <c r="K1563" s="2">
        <v>0.86545640528682299</v>
      </c>
      <c r="L1563" s="2">
        <v>0.79144954351264296</v>
      </c>
      <c r="M1563" s="2">
        <v>0.485245901639344</v>
      </c>
      <c r="N1563" s="2">
        <v>0.99344262295081998</v>
      </c>
      <c r="O1563" s="2">
        <v>0.61803278688524599</v>
      </c>
      <c r="P1563" s="2" t="s">
        <v>8680</v>
      </c>
      <c r="Q1563" s="2" t="s">
        <v>8681</v>
      </c>
      <c r="R1563" s="2" t="s">
        <v>371</v>
      </c>
      <c r="S1563" s="2" t="s">
        <v>372</v>
      </c>
      <c r="T1563" s="2" t="s">
        <v>8682</v>
      </c>
      <c r="U1563" s="2" t="s">
        <v>8683</v>
      </c>
      <c r="V1563" s="2" t="s">
        <v>8684</v>
      </c>
      <c r="W1563" s="2" t="s">
        <v>8685</v>
      </c>
      <c r="X1563" s="2"/>
      <c r="Y1563" s="2"/>
      <c r="Z1563" s="2"/>
      <c r="AA1563" s="2"/>
      <c r="AB1563" s="2"/>
      <c r="AC1563" s="2"/>
      <c r="AD1563" s="2" t="s">
        <v>8686</v>
      </c>
      <c r="AE1563" s="2" t="s">
        <v>8687</v>
      </c>
      <c r="AF1563" s="2" t="e">
        <f>--------------VTTNNEDLRATWTQALDNLVALGNNPQS-GIPPLSAQLRAIASIATPVAVIPGFFIVSVPHAYARDQLEGQLSPHLETVLSQRMGQPCGLIVQIAAAAQPTEGYHPQPT---------AQPHTQHPAAPVAPTEPAQQPQP----------TPTPQPSDATVNPAYWDNLPLPNNGAPAQSTLTPA-----------------------------PEPTPEPEQPTTPDTPTISTVTQATTPTPA-ASTSENTLNPKYTFDSFVKGPSNEFAQAAAFAVAESPAINYNPLFIWGGSGLGKTHLLHAAGNYAQVLQPGLRIRYVSSEEFTNDYINSVRDDRQESFKRRYRNLDILMVDDIQFLQGKEGTQEEFFHTFNALHQANKQIILSSDRPPKQLTTLTDRLRTRFEGGLITDIQPPDLETRIAILMKKAAIDNTVVGRDVLEFIASCFASSIRELEGALIRIAAYSSLINK-PIDVELAKIALRDMIPGVRNVKPDAATIMEATATYFKISPDALRGTGKTRAVAHARQIAMYLCRELTDLSLPKIGENFGGKDHTTVMYADRKIRKEMTEKRDTYDEIQEITQQIMNHAPLG</f>
        <v>#NAME?</v>
      </c>
    </row>
    <row r="1564" spans="1:32" hidden="1" x14ac:dyDescent="0.35">
      <c r="A1564">
        <v>1885</v>
      </c>
      <c r="B1564" t="s">
        <v>3900</v>
      </c>
      <c r="C1564" t="s">
        <v>72</v>
      </c>
      <c r="D1564" t="s">
        <v>60</v>
      </c>
      <c r="E1564">
        <v>1784</v>
      </c>
      <c r="F1564">
        <v>5</v>
      </c>
      <c r="G1564">
        <v>5</v>
      </c>
      <c r="H1564">
        <v>1</v>
      </c>
      <c r="I1564">
        <v>1</v>
      </c>
      <c r="J1564">
        <v>0.81324466611249702</v>
      </c>
      <c r="K1564">
        <v>0.90828508771929595</v>
      </c>
      <c r="L1564">
        <v>0.85814143061208004</v>
      </c>
      <c r="M1564">
        <v>0.59750000000000003</v>
      </c>
      <c r="N1564">
        <v>1</v>
      </c>
      <c r="O1564">
        <v>0.73199999999999998</v>
      </c>
      <c r="P1564" t="s">
        <v>3901</v>
      </c>
      <c r="Q1564" t="s">
        <v>3902</v>
      </c>
      <c r="R1564" t="s">
        <v>652</v>
      </c>
      <c r="S1564" t="s">
        <v>653</v>
      </c>
      <c r="T1564" t="s">
        <v>3903</v>
      </c>
      <c r="U1564" t="s">
        <v>3904</v>
      </c>
      <c r="V1564" t="s">
        <v>3905</v>
      </c>
      <c r="W1564" t="s">
        <v>3906</v>
      </c>
      <c r="Z1564" t="s">
        <v>727</v>
      </c>
      <c r="AA1564" t="s">
        <v>728</v>
      </c>
      <c r="AB1564" t="s">
        <v>727</v>
      </c>
      <c r="AC1564" t="s">
        <v>729</v>
      </c>
      <c r="AD1564" t="s">
        <v>219</v>
      </c>
      <c r="AE1564" t="s">
        <v>730</v>
      </c>
      <c r="AF1564" t="s">
        <v>3908</v>
      </c>
    </row>
    <row r="1565" spans="1:32" hidden="1" x14ac:dyDescent="0.35">
      <c r="A1565">
        <v>1886</v>
      </c>
      <c r="B1565" t="s">
        <v>3900</v>
      </c>
      <c r="C1565" t="s">
        <v>72</v>
      </c>
      <c r="D1565" t="s">
        <v>62</v>
      </c>
      <c r="E1565">
        <v>1820</v>
      </c>
      <c r="F1565">
        <v>5</v>
      </c>
      <c r="G1565">
        <v>5</v>
      </c>
      <c r="H1565">
        <v>1</v>
      </c>
      <c r="I1565">
        <v>1</v>
      </c>
      <c r="J1565">
        <v>0.81324466611249702</v>
      </c>
      <c r="K1565">
        <v>0.90828508771929595</v>
      </c>
      <c r="L1565">
        <v>0.85814143061208004</v>
      </c>
      <c r="M1565">
        <v>0.59750000000000003</v>
      </c>
      <c r="N1565">
        <v>1</v>
      </c>
      <c r="O1565">
        <v>0.73199999999999998</v>
      </c>
      <c r="P1565" t="s">
        <v>3901</v>
      </c>
      <c r="Q1565" t="s">
        <v>3902</v>
      </c>
      <c r="R1565" t="s">
        <v>652</v>
      </c>
      <c r="S1565" t="s">
        <v>653</v>
      </c>
      <c r="T1565" t="s">
        <v>3903</v>
      </c>
      <c r="U1565" t="s">
        <v>3904</v>
      </c>
      <c r="V1565" t="s">
        <v>3905</v>
      </c>
      <c r="W1565" t="s">
        <v>3906</v>
      </c>
      <c r="Z1565" t="s">
        <v>727</v>
      </c>
      <c r="AA1565" t="s">
        <v>728</v>
      </c>
      <c r="AB1565" t="s">
        <v>727</v>
      </c>
      <c r="AC1565" t="s">
        <v>729</v>
      </c>
      <c r="AD1565" t="s">
        <v>219</v>
      </c>
      <c r="AE1565" t="s">
        <v>730</v>
      </c>
      <c r="AF1565" t="s">
        <v>3908</v>
      </c>
    </row>
    <row r="1566" spans="1:32" hidden="1" x14ac:dyDescent="0.35">
      <c r="A1566">
        <v>1887</v>
      </c>
      <c r="B1566" t="s">
        <v>3900</v>
      </c>
      <c r="C1566" t="s">
        <v>72</v>
      </c>
      <c r="D1566" t="s">
        <v>34</v>
      </c>
      <c r="E1566">
        <v>2152</v>
      </c>
      <c r="F1566">
        <v>5</v>
      </c>
      <c r="G1566">
        <v>5</v>
      </c>
      <c r="H1566">
        <v>1</v>
      </c>
      <c r="I1566">
        <v>1</v>
      </c>
      <c r="J1566">
        <v>0.81324466611249702</v>
      </c>
      <c r="K1566">
        <v>0.90828508771929595</v>
      </c>
      <c r="L1566">
        <v>0.85814143061208004</v>
      </c>
      <c r="M1566">
        <v>0.59750000000000003</v>
      </c>
      <c r="N1566">
        <v>1</v>
      </c>
      <c r="O1566">
        <v>0.73199999999999998</v>
      </c>
      <c r="P1566" t="s">
        <v>3901</v>
      </c>
      <c r="Q1566" t="s">
        <v>3902</v>
      </c>
      <c r="R1566" t="s">
        <v>652</v>
      </c>
      <c r="S1566" t="s">
        <v>653</v>
      </c>
      <c r="T1566" t="s">
        <v>3903</v>
      </c>
      <c r="U1566" t="s">
        <v>3904</v>
      </c>
      <c r="V1566" t="s">
        <v>3905</v>
      </c>
      <c r="W1566" t="s">
        <v>3906</v>
      </c>
      <c r="Z1566" t="s">
        <v>727</v>
      </c>
      <c r="AA1566" t="s">
        <v>728</v>
      </c>
      <c r="AB1566" t="s">
        <v>727</v>
      </c>
      <c r="AC1566" t="s">
        <v>729</v>
      </c>
      <c r="AD1566" t="s">
        <v>219</v>
      </c>
      <c r="AE1566" t="s">
        <v>730</v>
      </c>
      <c r="AF1566" t="s">
        <v>3909</v>
      </c>
    </row>
    <row r="1567" spans="1:32" hidden="1" x14ac:dyDescent="0.35">
      <c r="A1567">
        <v>1888</v>
      </c>
      <c r="B1567" t="s">
        <v>3900</v>
      </c>
      <c r="C1567" t="s">
        <v>72</v>
      </c>
      <c r="D1567" t="s">
        <v>45</v>
      </c>
      <c r="E1567">
        <v>721</v>
      </c>
      <c r="F1567">
        <v>5</v>
      </c>
      <c r="G1567">
        <v>5</v>
      </c>
      <c r="H1567">
        <v>1</v>
      </c>
      <c r="I1567">
        <v>1</v>
      </c>
      <c r="J1567">
        <v>0.81324466611249702</v>
      </c>
      <c r="K1567">
        <v>0.90828508771929595</v>
      </c>
      <c r="L1567">
        <v>0.85814143061208004</v>
      </c>
      <c r="M1567">
        <v>0.59750000000000003</v>
      </c>
      <c r="N1567">
        <v>1</v>
      </c>
      <c r="O1567">
        <v>0.73199999999999998</v>
      </c>
      <c r="P1567" t="s">
        <v>3901</v>
      </c>
      <c r="Q1567" t="s">
        <v>3902</v>
      </c>
      <c r="R1567" t="s">
        <v>652</v>
      </c>
      <c r="S1567" t="s">
        <v>653</v>
      </c>
      <c r="T1567" t="s">
        <v>3903</v>
      </c>
      <c r="U1567" t="s">
        <v>3904</v>
      </c>
      <c r="V1567" t="s">
        <v>3905</v>
      </c>
      <c r="W1567" t="s">
        <v>3906</v>
      </c>
      <c r="Z1567" t="s">
        <v>727</v>
      </c>
      <c r="AA1567" t="s">
        <v>728</v>
      </c>
      <c r="AB1567" t="s">
        <v>727</v>
      </c>
      <c r="AC1567" t="s">
        <v>729</v>
      </c>
      <c r="AD1567" t="s">
        <v>219</v>
      </c>
      <c r="AE1567" t="s">
        <v>730</v>
      </c>
      <c r="AF1567" t="s">
        <v>3910</v>
      </c>
    </row>
    <row r="1568" spans="1:32" hidden="1" x14ac:dyDescent="0.35">
      <c r="A1568">
        <v>3809</v>
      </c>
      <c r="B1568" t="s">
        <v>7871</v>
      </c>
      <c r="C1568" t="s">
        <v>72</v>
      </c>
      <c r="D1568" t="s">
        <v>58</v>
      </c>
      <c r="E1568">
        <v>873</v>
      </c>
      <c r="F1568">
        <v>5</v>
      </c>
      <c r="G1568">
        <v>5</v>
      </c>
      <c r="H1568">
        <v>1</v>
      </c>
      <c r="I1568">
        <v>1</v>
      </c>
      <c r="J1568">
        <v>0.78726138032305404</v>
      </c>
      <c r="K1568">
        <v>0.93361882104149996</v>
      </c>
      <c r="L1568">
        <v>0.85421639596515997</v>
      </c>
      <c r="M1568">
        <v>0.55897435897435899</v>
      </c>
      <c r="N1568">
        <v>0.98974358974359</v>
      </c>
      <c r="O1568">
        <v>0.69179487179487198</v>
      </c>
      <c r="P1568" t="s">
        <v>7872</v>
      </c>
      <c r="Q1568" t="s">
        <v>7873</v>
      </c>
      <c r="R1568" t="s">
        <v>113</v>
      </c>
      <c r="S1568" t="s">
        <v>114</v>
      </c>
      <c r="T1568" t="s">
        <v>7874</v>
      </c>
      <c r="U1568" t="s">
        <v>7875</v>
      </c>
      <c r="V1568" t="s">
        <v>7876</v>
      </c>
      <c r="W1568" t="s">
        <v>7877</v>
      </c>
      <c r="AD1568" t="s">
        <v>1480</v>
      </c>
      <c r="AE1568" t="s">
        <v>5109</v>
      </c>
      <c r="AF1568" t="s">
        <v>7878</v>
      </c>
    </row>
    <row r="1569" spans="1:32" hidden="1" x14ac:dyDescent="0.35">
      <c r="A1569">
        <v>2070</v>
      </c>
      <c r="B1569" t="s">
        <v>4304</v>
      </c>
      <c r="C1569" t="s">
        <v>72</v>
      </c>
      <c r="D1569" t="s">
        <v>60</v>
      </c>
      <c r="E1569">
        <v>992</v>
      </c>
      <c r="F1569">
        <v>5</v>
      </c>
      <c r="G1569">
        <v>5</v>
      </c>
      <c r="H1569">
        <v>1</v>
      </c>
      <c r="I1569">
        <v>1</v>
      </c>
      <c r="J1569">
        <v>0.87226650316779097</v>
      </c>
      <c r="K1569">
        <v>0.99755726909438802</v>
      </c>
      <c r="L1569">
        <v>0.93071422422857697</v>
      </c>
      <c r="M1569">
        <v>0.76758409785932702</v>
      </c>
      <c r="N1569">
        <v>1</v>
      </c>
      <c r="O1569">
        <v>0.83058103975535202</v>
      </c>
      <c r="P1569" t="s">
        <v>4305</v>
      </c>
      <c r="Q1569" t="s">
        <v>4306</v>
      </c>
      <c r="R1569" t="s">
        <v>652</v>
      </c>
      <c r="S1569" t="s">
        <v>653</v>
      </c>
      <c r="T1569" t="s">
        <v>4307</v>
      </c>
      <c r="U1569" t="s">
        <v>4308</v>
      </c>
      <c r="V1569" t="s">
        <v>4309</v>
      </c>
      <c r="W1569" t="s">
        <v>4310</v>
      </c>
      <c r="X1569" t="s">
        <v>4309</v>
      </c>
      <c r="Y1569" t="s">
        <v>3395</v>
      </c>
      <c r="Z1569" t="s">
        <v>3396</v>
      </c>
      <c r="AA1569" t="s">
        <v>3397</v>
      </c>
      <c r="AB1569" t="s">
        <v>3396</v>
      </c>
      <c r="AC1569" t="s">
        <v>729</v>
      </c>
      <c r="AD1569" t="s">
        <v>3398</v>
      </c>
      <c r="AE1569" t="s">
        <v>3399</v>
      </c>
      <c r="AF1569" t="s">
        <v>4312</v>
      </c>
    </row>
    <row r="1570" spans="1:32" hidden="1" x14ac:dyDescent="0.35">
      <c r="A1570">
        <v>2071</v>
      </c>
      <c r="B1570" t="s">
        <v>4304</v>
      </c>
      <c r="C1570" t="s">
        <v>72</v>
      </c>
      <c r="D1570" t="s">
        <v>62</v>
      </c>
      <c r="E1570">
        <v>1028</v>
      </c>
      <c r="F1570">
        <v>5</v>
      </c>
      <c r="G1570">
        <v>5</v>
      </c>
      <c r="H1570">
        <v>1</v>
      </c>
      <c r="I1570">
        <v>1</v>
      </c>
      <c r="J1570">
        <v>0.87226650316779097</v>
      </c>
      <c r="K1570">
        <v>0.99755726909438802</v>
      </c>
      <c r="L1570">
        <v>0.93071422422857697</v>
      </c>
      <c r="M1570">
        <v>0.76758409785932702</v>
      </c>
      <c r="N1570">
        <v>1</v>
      </c>
      <c r="O1570">
        <v>0.83058103975535202</v>
      </c>
      <c r="P1570" t="s">
        <v>4305</v>
      </c>
      <c r="Q1570" t="s">
        <v>4306</v>
      </c>
      <c r="R1570" t="s">
        <v>652</v>
      </c>
      <c r="S1570" t="s">
        <v>653</v>
      </c>
      <c r="T1570" t="s">
        <v>4307</v>
      </c>
      <c r="U1570" t="s">
        <v>4308</v>
      </c>
      <c r="V1570" t="s">
        <v>4309</v>
      </c>
      <c r="W1570" t="s">
        <v>4310</v>
      </c>
      <c r="X1570" t="s">
        <v>4309</v>
      </c>
      <c r="Y1570" t="s">
        <v>3395</v>
      </c>
      <c r="Z1570" t="s">
        <v>3396</v>
      </c>
      <c r="AA1570" t="s">
        <v>3397</v>
      </c>
      <c r="AB1570" t="s">
        <v>3396</v>
      </c>
      <c r="AC1570" t="s">
        <v>729</v>
      </c>
      <c r="AD1570" t="s">
        <v>3398</v>
      </c>
      <c r="AE1570" t="s">
        <v>3399</v>
      </c>
      <c r="AF1570" t="s">
        <v>4312</v>
      </c>
    </row>
    <row r="1571" spans="1:32" hidden="1" x14ac:dyDescent="0.35">
      <c r="A1571">
        <v>2072</v>
      </c>
      <c r="B1571" t="s">
        <v>4304</v>
      </c>
      <c r="C1571" t="s">
        <v>72</v>
      </c>
      <c r="D1571" t="s">
        <v>34</v>
      </c>
      <c r="E1571">
        <v>134</v>
      </c>
      <c r="F1571">
        <v>5</v>
      </c>
      <c r="G1571">
        <v>5</v>
      </c>
      <c r="H1571">
        <v>1</v>
      </c>
      <c r="I1571">
        <v>1</v>
      </c>
      <c r="J1571">
        <v>0.87226650316779097</v>
      </c>
      <c r="K1571">
        <v>0.99755726909438802</v>
      </c>
      <c r="L1571">
        <v>0.93071422422857697</v>
      </c>
      <c r="M1571">
        <v>0.76758409785932702</v>
      </c>
      <c r="N1571">
        <v>1</v>
      </c>
      <c r="O1571">
        <v>0.83058103975535202</v>
      </c>
      <c r="P1571" t="s">
        <v>4305</v>
      </c>
      <c r="Q1571" t="s">
        <v>4306</v>
      </c>
      <c r="R1571" t="s">
        <v>652</v>
      </c>
      <c r="S1571" t="s">
        <v>653</v>
      </c>
      <c r="T1571" t="s">
        <v>4307</v>
      </c>
      <c r="U1571" t="s">
        <v>4308</v>
      </c>
      <c r="V1571" t="s">
        <v>4309</v>
      </c>
      <c r="W1571" t="s">
        <v>4310</v>
      </c>
      <c r="X1571" t="s">
        <v>4309</v>
      </c>
      <c r="Y1571" t="s">
        <v>3395</v>
      </c>
      <c r="Z1571" t="s">
        <v>3396</v>
      </c>
      <c r="AA1571" t="s">
        <v>3397</v>
      </c>
      <c r="AB1571" t="s">
        <v>3396</v>
      </c>
      <c r="AC1571" t="s">
        <v>729</v>
      </c>
      <c r="AD1571" t="s">
        <v>3398</v>
      </c>
      <c r="AE1571" t="s">
        <v>3399</v>
      </c>
      <c r="AF1571" t="s">
        <v>4313</v>
      </c>
    </row>
    <row r="1572" spans="1:32" hidden="1" x14ac:dyDescent="0.35">
      <c r="A1572">
        <v>2073</v>
      </c>
      <c r="B1572" t="s">
        <v>4304</v>
      </c>
      <c r="C1572" t="s">
        <v>72</v>
      </c>
      <c r="D1572" t="s">
        <v>45</v>
      </c>
      <c r="E1572">
        <v>1396</v>
      </c>
      <c r="F1572">
        <v>5</v>
      </c>
      <c r="G1572">
        <v>5</v>
      </c>
      <c r="H1572">
        <v>1</v>
      </c>
      <c r="I1572">
        <v>1</v>
      </c>
      <c r="J1572">
        <v>0.87226650316779097</v>
      </c>
      <c r="K1572">
        <v>0.99755726909438802</v>
      </c>
      <c r="L1572">
        <v>0.93071422422857697</v>
      </c>
      <c r="M1572">
        <v>0.76758409785932702</v>
      </c>
      <c r="N1572">
        <v>1</v>
      </c>
      <c r="O1572">
        <v>0.83058103975535202</v>
      </c>
      <c r="P1572" t="s">
        <v>4305</v>
      </c>
      <c r="Q1572" t="s">
        <v>4306</v>
      </c>
      <c r="R1572" t="s">
        <v>652</v>
      </c>
      <c r="S1572" t="s">
        <v>653</v>
      </c>
      <c r="T1572" t="s">
        <v>4307</v>
      </c>
      <c r="U1572" t="s">
        <v>4308</v>
      </c>
      <c r="V1572" t="s">
        <v>4309</v>
      </c>
      <c r="W1572" t="s">
        <v>4310</v>
      </c>
      <c r="X1572" t="s">
        <v>4309</v>
      </c>
      <c r="Y1572" t="s">
        <v>3395</v>
      </c>
      <c r="Z1572" t="s">
        <v>3396</v>
      </c>
      <c r="AA1572" t="s">
        <v>3397</v>
      </c>
      <c r="AB1572" t="s">
        <v>3396</v>
      </c>
      <c r="AC1572" t="s">
        <v>729</v>
      </c>
      <c r="AD1572" t="s">
        <v>3398</v>
      </c>
      <c r="AE1572" t="s">
        <v>3399</v>
      </c>
      <c r="AF1572" t="s">
        <v>4313</v>
      </c>
    </row>
    <row r="1573" spans="1:32" hidden="1" x14ac:dyDescent="0.35">
      <c r="A1573">
        <v>3729</v>
      </c>
      <c r="B1573" t="s">
        <v>7692</v>
      </c>
      <c r="C1573" t="s">
        <v>72</v>
      </c>
      <c r="D1573" t="s">
        <v>58</v>
      </c>
      <c r="E1573">
        <v>1192</v>
      </c>
      <c r="F1573">
        <v>5</v>
      </c>
      <c r="G1573">
        <v>5</v>
      </c>
      <c r="H1573">
        <v>1</v>
      </c>
      <c r="I1573">
        <v>1</v>
      </c>
      <c r="J1573">
        <v>0.74771609276177098</v>
      </c>
      <c r="K1573">
        <v>0.95690451495459405</v>
      </c>
      <c r="L1573">
        <v>0.83947466295913598</v>
      </c>
      <c r="M1573">
        <v>0.55583543240973998</v>
      </c>
      <c r="N1573">
        <v>0.99580184718723797</v>
      </c>
      <c r="O1573">
        <v>0.66935348446683496</v>
      </c>
      <c r="P1573" t="s">
        <v>448</v>
      </c>
      <c r="Q1573" t="s">
        <v>449</v>
      </c>
      <c r="R1573" t="s">
        <v>1474</v>
      </c>
      <c r="S1573" t="s">
        <v>1475</v>
      </c>
      <c r="T1573" t="s">
        <v>7693</v>
      </c>
      <c r="U1573" t="s">
        <v>7694</v>
      </c>
      <c r="V1573" t="s">
        <v>7695</v>
      </c>
      <c r="W1573" t="s">
        <v>7696</v>
      </c>
      <c r="AD1573" t="s">
        <v>1480</v>
      </c>
      <c r="AE1573" t="s">
        <v>5109</v>
      </c>
      <c r="AF1573" t="s">
        <v>7697</v>
      </c>
    </row>
    <row r="1574" spans="1:32" hidden="1" x14ac:dyDescent="0.35">
      <c r="A1574">
        <v>2150</v>
      </c>
      <c r="B1574" t="s">
        <v>4467</v>
      </c>
      <c r="C1574" t="s">
        <v>72</v>
      </c>
      <c r="D1574" t="s">
        <v>60</v>
      </c>
      <c r="E1574">
        <v>626</v>
      </c>
      <c r="F1574">
        <v>5</v>
      </c>
      <c r="G1574">
        <v>5</v>
      </c>
      <c r="H1574">
        <v>1</v>
      </c>
      <c r="I1574">
        <v>1</v>
      </c>
      <c r="J1574">
        <v>0.92264921171171199</v>
      </c>
      <c r="K1574">
        <v>0.93536163009209805</v>
      </c>
      <c r="L1574">
        <v>0.92896193203266897</v>
      </c>
      <c r="M1574">
        <v>0.78937007874015797</v>
      </c>
      <c r="N1574">
        <v>1</v>
      </c>
      <c r="O1574">
        <v>0.85964566929133901</v>
      </c>
      <c r="P1574" t="s">
        <v>4468</v>
      </c>
      <c r="Q1574" t="s">
        <v>4469</v>
      </c>
      <c r="R1574" t="s">
        <v>652</v>
      </c>
      <c r="S1574" t="s">
        <v>653</v>
      </c>
      <c r="T1574" t="s">
        <v>4470</v>
      </c>
      <c r="U1574" t="s">
        <v>4471</v>
      </c>
      <c r="V1574" t="s">
        <v>4472</v>
      </c>
      <c r="W1574" t="s">
        <v>4473</v>
      </c>
      <c r="X1574" t="s">
        <v>4472</v>
      </c>
      <c r="Y1574" t="s">
        <v>4474</v>
      </c>
      <c r="AD1574" t="s">
        <v>219</v>
      </c>
      <c r="AE1574" t="s">
        <v>4475</v>
      </c>
      <c r="AF1574" t="s">
        <v>4477</v>
      </c>
    </row>
    <row r="1575" spans="1:32" hidden="1" x14ac:dyDescent="0.35">
      <c r="A1575">
        <v>2151</v>
      </c>
      <c r="B1575" t="s">
        <v>4467</v>
      </c>
      <c r="C1575" t="s">
        <v>72</v>
      </c>
      <c r="D1575" t="s">
        <v>62</v>
      </c>
      <c r="E1575">
        <v>710</v>
      </c>
      <c r="F1575">
        <v>5</v>
      </c>
      <c r="G1575">
        <v>5</v>
      </c>
      <c r="H1575">
        <v>1</v>
      </c>
      <c r="I1575">
        <v>1</v>
      </c>
      <c r="J1575">
        <v>0.92264921171171199</v>
      </c>
      <c r="K1575">
        <v>0.93536163009209805</v>
      </c>
      <c r="L1575">
        <v>0.92896193203266897</v>
      </c>
      <c r="M1575">
        <v>0.78937007874015797</v>
      </c>
      <c r="N1575">
        <v>1</v>
      </c>
      <c r="O1575">
        <v>0.85964566929133901</v>
      </c>
      <c r="P1575" t="s">
        <v>4468</v>
      </c>
      <c r="Q1575" t="s">
        <v>4469</v>
      </c>
      <c r="R1575" t="s">
        <v>652</v>
      </c>
      <c r="S1575" t="s">
        <v>653</v>
      </c>
      <c r="T1575" t="s">
        <v>4470</v>
      </c>
      <c r="U1575" t="s">
        <v>4471</v>
      </c>
      <c r="V1575" t="s">
        <v>4472</v>
      </c>
      <c r="W1575" t="s">
        <v>4473</v>
      </c>
      <c r="X1575" t="s">
        <v>4472</v>
      </c>
      <c r="Y1575" t="s">
        <v>4474</v>
      </c>
      <c r="AD1575" t="s">
        <v>219</v>
      </c>
      <c r="AE1575" t="s">
        <v>4475</v>
      </c>
      <c r="AF1575" t="s">
        <v>4477</v>
      </c>
    </row>
    <row r="1576" spans="1:32" hidden="1" x14ac:dyDescent="0.35">
      <c r="A1576">
        <v>2152</v>
      </c>
      <c r="B1576" t="s">
        <v>4467</v>
      </c>
      <c r="C1576" t="s">
        <v>72</v>
      </c>
      <c r="D1576" t="s">
        <v>34</v>
      </c>
      <c r="E1576">
        <v>461</v>
      </c>
      <c r="F1576">
        <v>5</v>
      </c>
      <c r="G1576">
        <v>5</v>
      </c>
      <c r="H1576">
        <v>1</v>
      </c>
      <c r="I1576">
        <v>1</v>
      </c>
      <c r="J1576">
        <v>0.92264921171171199</v>
      </c>
      <c r="K1576">
        <v>0.93536163009209805</v>
      </c>
      <c r="L1576">
        <v>0.92896193203266897</v>
      </c>
      <c r="M1576">
        <v>0.78937007874015797</v>
      </c>
      <c r="N1576">
        <v>1</v>
      </c>
      <c r="O1576">
        <v>0.85964566929133901</v>
      </c>
      <c r="P1576" t="s">
        <v>4468</v>
      </c>
      <c r="Q1576" t="s">
        <v>4469</v>
      </c>
      <c r="R1576" t="s">
        <v>652</v>
      </c>
      <c r="S1576" t="s">
        <v>653</v>
      </c>
      <c r="T1576" t="s">
        <v>4470</v>
      </c>
      <c r="U1576" t="s">
        <v>4471</v>
      </c>
      <c r="V1576" t="s">
        <v>4472</v>
      </c>
      <c r="W1576" t="s">
        <v>4473</v>
      </c>
      <c r="X1576" t="s">
        <v>4472</v>
      </c>
      <c r="Y1576" t="s">
        <v>4474</v>
      </c>
      <c r="AD1576" t="s">
        <v>219</v>
      </c>
      <c r="AE1576" t="s">
        <v>4475</v>
      </c>
      <c r="AF1576" t="s">
        <v>4478</v>
      </c>
    </row>
    <row r="1577" spans="1:32" hidden="1" x14ac:dyDescent="0.35">
      <c r="A1577">
        <v>2153</v>
      </c>
      <c r="B1577" t="s">
        <v>4467</v>
      </c>
      <c r="C1577" t="s">
        <v>72</v>
      </c>
      <c r="D1577" t="s">
        <v>45</v>
      </c>
      <c r="E1577">
        <v>1724</v>
      </c>
      <c r="F1577">
        <v>5</v>
      </c>
      <c r="G1577">
        <v>5</v>
      </c>
      <c r="H1577">
        <v>1</v>
      </c>
      <c r="I1577">
        <v>1</v>
      </c>
      <c r="J1577">
        <v>0.92264921171171199</v>
      </c>
      <c r="K1577">
        <v>0.93536163009209805</v>
      </c>
      <c r="L1577">
        <v>0.92896193203266897</v>
      </c>
      <c r="M1577">
        <v>0.78937007874015797</v>
      </c>
      <c r="N1577">
        <v>1</v>
      </c>
      <c r="O1577">
        <v>0.85964566929133901</v>
      </c>
      <c r="P1577" t="s">
        <v>4468</v>
      </c>
      <c r="Q1577" t="s">
        <v>4469</v>
      </c>
      <c r="R1577" t="s">
        <v>652</v>
      </c>
      <c r="S1577" t="s">
        <v>653</v>
      </c>
      <c r="T1577" t="s">
        <v>4470</v>
      </c>
      <c r="U1577" t="s">
        <v>4471</v>
      </c>
      <c r="V1577" t="s">
        <v>4472</v>
      </c>
      <c r="W1577" t="s">
        <v>4473</v>
      </c>
      <c r="X1577" t="s">
        <v>4472</v>
      </c>
      <c r="Y1577" t="s">
        <v>4474</v>
      </c>
      <c r="AD1577" t="s">
        <v>219</v>
      </c>
      <c r="AE1577" t="s">
        <v>4475</v>
      </c>
      <c r="AF1577" t="s">
        <v>4479</v>
      </c>
    </row>
    <row r="1578" spans="1:32" hidden="1" x14ac:dyDescent="0.35">
      <c r="A1578">
        <v>4394</v>
      </c>
      <c r="B1578" t="s">
        <v>9150</v>
      </c>
      <c r="C1578" t="s">
        <v>72</v>
      </c>
      <c r="D1578" t="s">
        <v>58</v>
      </c>
      <c r="E1578">
        <v>1882</v>
      </c>
      <c r="F1578">
        <v>5</v>
      </c>
      <c r="G1578">
        <v>5</v>
      </c>
      <c r="H1578">
        <v>1</v>
      </c>
      <c r="I1578">
        <v>1</v>
      </c>
      <c r="J1578">
        <v>0.75424688561721398</v>
      </c>
      <c r="K1578">
        <v>0.77823305980578406</v>
      </c>
      <c r="L1578">
        <v>0.76605225849249003</v>
      </c>
      <c r="M1578">
        <v>0.43551797040169099</v>
      </c>
      <c r="N1578">
        <v>0.99154334038055003</v>
      </c>
      <c r="O1578">
        <v>0.59196617336152202</v>
      </c>
      <c r="P1578" t="s">
        <v>9151</v>
      </c>
      <c r="Q1578" t="s">
        <v>9152</v>
      </c>
      <c r="R1578" t="s">
        <v>1474</v>
      </c>
      <c r="S1578" t="s">
        <v>1475</v>
      </c>
      <c r="T1578" t="s">
        <v>9153</v>
      </c>
      <c r="U1578" t="s">
        <v>9154</v>
      </c>
      <c r="V1578" t="s">
        <v>9155</v>
      </c>
      <c r="W1578" t="s">
        <v>9156</v>
      </c>
      <c r="AD1578" t="s">
        <v>9157</v>
      </c>
      <c r="AE1578" t="s">
        <v>9158</v>
      </c>
      <c r="AF1578" t="s">
        <v>9159</v>
      </c>
    </row>
    <row r="1579" spans="1:32" hidden="1" x14ac:dyDescent="0.35">
      <c r="A1579">
        <v>2205</v>
      </c>
      <c r="B1579" t="s">
        <v>4588</v>
      </c>
      <c r="C1579" t="s">
        <v>72</v>
      </c>
      <c r="D1579" t="s">
        <v>60</v>
      </c>
      <c r="E1579">
        <v>2303</v>
      </c>
      <c r="F1579">
        <v>5</v>
      </c>
      <c r="G1579">
        <v>5</v>
      </c>
      <c r="H1579">
        <v>1</v>
      </c>
      <c r="I1579">
        <v>1</v>
      </c>
      <c r="J1579">
        <v>0.94856312199485604</v>
      </c>
      <c r="K1579">
        <v>0.99698996655518202</v>
      </c>
      <c r="L1579">
        <v>0.97217384695262998</v>
      </c>
      <c r="M1579">
        <v>0.87959866220735805</v>
      </c>
      <c r="N1579">
        <v>1</v>
      </c>
      <c r="O1579">
        <v>0.91638795986622101</v>
      </c>
      <c r="P1579" t="s">
        <v>3115</v>
      </c>
      <c r="Q1579" t="s">
        <v>3116</v>
      </c>
      <c r="R1579" t="s">
        <v>652</v>
      </c>
      <c r="S1579" t="s">
        <v>653</v>
      </c>
      <c r="T1579" t="s">
        <v>3117</v>
      </c>
      <c r="U1579" t="s">
        <v>3118</v>
      </c>
      <c r="V1579" t="s">
        <v>3119</v>
      </c>
      <c r="W1579" t="s">
        <v>3120</v>
      </c>
      <c r="AD1579" t="s">
        <v>3121</v>
      </c>
      <c r="AE1579" t="s">
        <v>3122</v>
      </c>
      <c r="AF1579" t="s">
        <v>4590</v>
      </c>
    </row>
    <row r="1580" spans="1:32" hidden="1" x14ac:dyDescent="0.35">
      <c r="A1580">
        <v>2206</v>
      </c>
      <c r="B1580" t="s">
        <v>4588</v>
      </c>
      <c r="C1580" t="s">
        <v>72</v>
      </c>
      <c r="D1580" t="s">
        <v>62</v>
      </c>
      <c r="E1580">
        <v>2332</v>
      </c>
      <c r="F1580">
        <v>5</v>
      </c>
      <c r="G1580">
        <v>5</v>
      </c>
      <c r="H1580">
        <v>1</v>
      </c>
      <c r="I1580">
        <v>1</v>
      </c>
      <c r="J1580">
        <v>0.94856312199485604</v>
      </c>
      <c r="K1580">
        <v>0.99698996655518202</v>
      </c>
      <c r="L1580">
        <v>0.97217384695262998</v>
      </c>
      <c r="M1580">
        <v>0.87959866220735805</v>
      </c>
      <c r="N1580">
        <v>1</v>
      </c>
      <c r="O1580">
        <v>0.91638795986622101</v>
      </c>
      <c r="P1580" t="s">
        <v>3115</v>
      </c>
      <c r="Q1580" t="s">
        <v>3116</v>
      </c>
      <c r="R1580" t="s">
        <v>652</v>
      </c>
      <c r="S1580" t="s">
        <v>653</v>
      </c>
      <c r="T1580" t="s">
        <v>3117</v>
      </c>
      <c r="U1580" t="s">
        <v>3118</v>
      </c>
      <c r="V1580" t="s">
        <v>3119</v>
      </c>
      <c r="W1580" t="s">
        <v>3120</v>
      </c>
      <c r="AD1580" t="s">
        <v>3121</v>
      </c>
      <c r="AE1580" t="s">
        <v>3122</v>
      </c>
      <c r="AF1580" t="s">
        <v>4590</v>
      </c>
    </row>
    <row r="1581" spans="1:32" hidden="1" x14ac:dyDescent="0.35">
      <c r="A1581">
        <v>2207</v>
      </c>
      <c r="B1581" t="s">
        <v>4588</v>
      </c>
      <c r="C1581" t="s">
        <v>72</v>
      </c>
      <c r="D1581" t="s">
        <v>34</v>
      </c>
      <c r="E1581">
        <v>1489</v>
      </c>
      <c r="F1581">
        <v>5</v>
      </c>
      <c r="G1581">
        <v>5</v>
      </c>
      <c r="H1581">
        <v>1</v>
      </c>
      <c r="I1581">
        <v>1</v>
      </c>
      <c r="J1581">
        <v>0.94856312199485604</v>
      </c>
      <c r="K1581">
        <v>0.99698996655518202</v>
      </c>
      <c r="L1581">
        <v>0.97217384695262998</v>
      </c>
      <c r="M1581">
        <v>0.87959866220735805</v>
      </c>
      <c r="N1581">
        <v>1</v>
      </c>
      <c r="O1581">
        <v>0.91638795986622101</v>
      </c>
      <c r="P1581" t="s">
        <v>3115</v>
      </c>
      <c r="Q1581" t="s">
        <v>3116</v>
      </c>
      <c r="R1581" t="s">
        <v>652</v>
      </c>
      <c r="S1581" t="s">
        <v>653</v>
      </c>
      <c r="T1581" t="s">
        <v>3117</v>
      </c>
      <c r="U1581" t="s">
        <v>3118</v>
      </c>
      <c r="V1581" t="s">
        <v>3119</v>
      </c>
      <c r="W1581" t="s">
        <v>3120</v>
      </c>
      <c r="AD1581" t="s">
        <v>3121</v>
      </c>
      <c r="AE1581" t="s">
        <v>3122</v>
      </c>
      <c r="AF1581" t="s">
        <v>4591</v>
      </c>
    </row>
    <row r="1582" spans="1:32" hidden="1" x14ac:dyDescent="0.35">
      <c r="A1582">
        <v>2208</v>
      </c>
      <c r="B1582" t="s">
        <v>4588</v>
      </c>
      <c r="C1582" t="s">
        <v>72</v>
      </c>
      <c r="D1582" t="s">
        <v>45</v>
      </c>
      <c r="E1582">
        <v>239</v>
      </c>
      <c r="F1582">
        <v>5</v>
      </c>
      <c r="G1582">
        <v>5</v>
      </c>
      <c r="H1582">
        <v>1</v>
      </c>
      <c r="I1582">
        <v>1</v>
      </c>
      <c r="J1582">
        <v>0.94856312199485604</v>
      </c>
      <c r="K1582">
        <v>0.99698996655518202</v>
      </c>
      <c r="L1582">
        <v>0.97217384695262998</v>
      </c>
      <c r="M1582">
        <v>0.87959866220735805</v>
      </c>
      <c r="N1582">
        <v>1</v>
      </c>
      <c r="O1582">
        <v>0.91638795986622101</v>
      </c>
      <c r="P1582" t="s">
        <v>3115</v>
      </c>
      <c r="Q1582" t="s">
        <v>3116</v>
      </c>
      <c r="R1582" t="s">
        <v>652</v>
      </c>
      <c r="S1582" t="s">
        <v>653</v>
      </c>
      <c r="T1582" t="s">
        <v>3117</v>
      </c>
      <c r="U1582" t="s">
        <v>3118</v>
      </c>
      <c r="V1582" t="s">
        <v>3119</v>
      </c>
      <c r="W1582" t="s">
        <v>3120</v>
      </c>
      <c r="AD1582" t="s">
        <v>3121</v>
      </c>
      <c r="AE1582" t="s">
        <v>3122</v>
      </c>
      <c r="AF1582" t="s">
        <v>4591</v>
      </c>
    </row>
    <row r="1583" spans="1:32" hidden="1" x14ac:dyDescent="0.35">
      <c r="A1583">
        <v>854</v>
      </c>
      <c r="B1583" t="s">
        <v>1775</v>
      </c>
      <c r="C1583" t="s">
        <v>72</v>
      </c>
      <c r="D1583" t="s">
        <v>58</v>
      </c>
      <c r="E1583">
        <v>452</v>
      </c>
      <c r="F1583">
        <v>5</v>
      </c>
      <c r="G1583">
        <v>5</v>
      </c>
      <c r="H1583">
        <v>1</v>
      </c>
      <c r="I1583">
        <v>1</v>
      </c>
      <c r="J1583">
        <v>0.88066418373680899</v>
      </c>
      <c r="K1583">
        <v>0.994453037724503</v>
      </c>
      <c r="L1583">
        <v>0.934106052366934</v>
      </c>
      <c r="M1583">
        <v>0.76620370370370405</v>
      </c>
      <c r="N1583">
        <v>1</v>
      </c>
      <c r="O1583">
        <v>0.83935185185185202</v>
      </c>
      <c r="P1583" t="s">
        <v>1776</v>
      </c>
      <c r="Q1583" t="s">
        <v>1777</v>
      </c>
      <c r="R1583" t="s">
        <v>652</v>
      </c>
      <c r="S1583" t="s">
        <v>653</v>
      </c>
      <c r="T1583" t="s">
        <v>1778</v>
      </c>
      <c r="U1583" t="s">
        <v>1779</v>
      </c>
      <c r="V1583" t="s">
        <v>1780</v>
      </c>
      <c r="W1583" t="s">
        <v>1781</v>
      </c>
      <c r="X1583" t="s">
        <v>1780</v>
      </c>
      <c r="Y1583" t="s">
        <v>1782</v>
      </c>
      <c r="Z1583" t="s">
        <v>1783</v>
      </c>
      <c r="AA1583" t="s">
        <v>1784</v>
      </c>
      <c r="AB1583" t="s">
        <v>1783</v>
      </c>
      <c r="AC1583" t="s">
        <v>1785</v>
      </c>
      <c r="AD1583" t="s">
        <v>245</v>
      </c>
      <c r="AE1583" t="s">
        <v>1786</v>
      </c>
      <c r="AF1583" t="s">
        <v>1787</v>
      </c>
    </row>
    <row r="1584" spans="1:32" hidden="1" x14ac:dyDescent="0.35">
      <c r="A1584">
        <v>2210</v>
      </c>
      <c r="B1584" t="s">
        <v>4592</v>
      </c>
      <c r="C1584" t="s">
        <v>72</v>
      </c>
      <c r="D1584" t="s">
        <v>60</v>
      </c>
      <c r="E1584">
        <v>255</v>
      </c>
      <c r="F1584">
        <v>5</v>
      </c>
      <c r="G1584">
        <v>5</v>
      </c>
      <c r="H1584">
        <v>1</v>
      </c>
      <c r="I1584">
        <v>1</v>
      </c>
      <c r="J1584">
        <v>0.91405622489959804</v>
      </c>
      <c r="K1584">
        <v>1</v>
      </c>
      <c r="L1584">
        <v>0.95509861519093597</v>
      </c>
      <c r="M1584">
        <v>0.83534136546184701</v>
      </c>
      <c r="N1584">
        <v>1</v>
      </c>
      <c r="O1584">
        <v>0.88995983935742995</v>
      </c>
      <c r="P1584" t="s">
        <v>4593</v>
      </c>
      <c r="Q1584" t="s">
        <v>4594</v>
      </c>
      <c r="R1584" t="s">
        <v>652</v>
      </c>
      <c r="S1584" t="s">
        <v>653</v>
      </c>
      <c r="T1584" t="s">
        <v>4595</v>
      </c>
      <c r="U1584" t="s">
        <v>4596</v>
      </c>
      <c r="V1584" t="s">
        <v>4597</v>
      </c>
      <c r="W1584" t="s">
        <v>4598</v>
      </c>
      <c r="X1584" t="s">
        <v>4597</v>
      </c>
      <c r="Y1584" t="s">
        <v>1782</v>
      </c>
      <c r="Z1584" t="s">
        <v>1702</v>
      </c>
      <c r="AA1584" t="s">
        <v>1703</v>
      </c>
      <c r="AB1584" t="s">
        <v>1702</v>
      </c>
      <c r="AC1584" t="s">
        <v>1704</v>
      </c>
      <c r="AD1584" t="s">
        <v>1140</v>
      </c>
      <c r="AE1584" t="s">
        <v>2957</v>
      </c>
      <c r="AF1584" t="s">
        <v>4600</v>
      </c>
    </row>
    <row r="1585" spans="1:32" hidden="1" x14ac:dyDescent="0.35">
      <c r="A1585">
        <v>2211</v>
      </c>
      <c r="B1585" t="s">
        <v>4592</v>
      </c>
      <c r="C1585" t="s">
        <v>72</v>
      </c>
      <c r="D1585" t="s">
        <v>62</v>
      </c>
      <c r="E1585">
        <v>333</v>
      </c>
      <c r="F1585">
        <v>5</v>
      </c>
      <c r="G1585">
        <v>5</v>
      </c>
      <c r="H1585">
        <v>1</v>
      </c>
      <c r="I1585">
        <v>1</v>
      </c>
      <c r="J1585">
        <v>0.91405622489959804</v>
      </c>
      <c r="K1585">
        <v>1</v>
      </c>
      <c r="L1585">
        <v>0.95509861519093597</v>
      </c>
      <c r="M1585">
        <v>0.83534136546184701</v>
      </c>
      <c r="N1585">
        <v>1</v>
      </c>
      <c r="O1585">
        <v>0.88995983935742995</v>
      </c>
      <c r="P1585" t="s">
        <v>4593</v>
      </c>
      <c r="Q1585" t="s">
        <v>4594</v>
      </c>
      <c r="R1585" t="s">
        <v>652</v>
      </c>
      <c r="S1585" t="s">
        <v>653</v>
      </c>
      <c r="T1585" t="s">
        <v>4595</v>
      </c>
      <c r="U1585" t="s">
        <v>4596</v>
      </c>
      <c r="V1585" t="s">
        <v>4597</v>
      </c>
      <c r="W1585" t="s">
        <v>4598</v>
      </c>
      <c r="X1585" t="s">
        <v>4597</v>
      </c>
      <c r="Y1585" t="s">
        <v>1782</v>
      </c>
      <c r="Z1585" t="s">
        <v>1702</v>
      </c>
      <c r="AA1585" t="s">
        <v>1703</v>
      </c>
      <c r="AB1585" t="s">
        <v>1702</v>
      </c>
      <c r="AC1585" t="s">
        <v>1704</v>
      </c>
      <c r="AD1585" t="s">
        <v>1140</v>
      </c>
      <c r="AE1585" t="s">
        <v>2957</v>
      </c>
      <c r="AF1585" t="s">
        <v>4600</v>
      </c>
    </row>
    <row r="1586" spans="1:32" hidden="1" x14ac:dyDescent="0.35">
      <c r="A1586">
        <v>2212</v>
      </c>
      <c r="B1586" t="s">
        <v>4592</v>
      </c>
      <c r="C1586" t="s">
        <v>72</v>
      </c>
      <c r="D1586" t="s">
        <v>34</v>
      </c>
      <c r="E1586">
        <v>871</v>
      </c>
      <c r="F1586">
        <v>5</v>
      </c>
      <c r="G1586">
        <v>5</v>
      </c>
      <c r="H1586">
        <v>1</v>
      </c>
      <c r="I1586">
        <v>1</v>
      </c>
      <c r="J1586">
        <v>0.91405622489959804</v>
      </c>
      <c r="K1586">
        <v>1</v>
      </c>
      <c r="L1586">
        <v>0.95509861519093597</v>
      </c>
      <c r="M1586">
        <v>0.83534136546184701</v>
      </c>
      <c r="N1586">
        <v>1</v>
      </c>
      <c r="O1586">
        <v>0.88995983935742995</v>
      </c>
      <c r="P1586" t="s">
        <v>4593</v>
      </c>
      <c r="Q1586" t="s">
        <v>4594</v>
      </c>
      <c r="R1586" t="s">
        <v>652</v>
      </c>
      <c r="S1586" t="s">
        <v>653</v>
      </c>
      <c r="T1586" t="s">
        <v>4595</v>
      </c>
      <c r="U1586" t="s">
        <v>4596</v>
      </c>
      <c r="V1586" t="s">
        <v>4597</v>
      </c>
      <c r="W1586" t="s">
        <v>4598</v>
      </c>
      <c r="X1586" t="s">
        <v>4597</v>
      </c>
      <c r="Y1586" t="s">
        <v>1782</v>
      </c>
      <c r="Z1586" t="s">
        <v>1702</v>
      </c>
      <c r="AA1586" t="s">
        <v>1703</v>
      </c>
      <c r="AB1586" t="s">
        <v>1702</v>
      </c>
      <c r="AC1586" t="s">
        <v>1704</v>
      </c>
      <c r="AD1586" t="s">
        <v>1140</v>
      </c>
      <c r="AE1586" t="s">
        <v>2957</v>
      </c>
      <c r="AF1586" t="s">
        <v>4601</v>
      </c>
    </row>
    <row r="1587" spans="1:32" hidden="1" x14ac:dyDescent="0.35">
      <c r="A1587">
        <v>2213</v>
      </c>
      <c r="B1587" t="s">
        <v>4592</v>
      </c>
      <c r="C1587" t="s">
        <v>72</v>
      </c>
      <c r="D1587" t="s">
        <v>45</v>
      </c>
      <c r="E1587">
        <v>2128</v>
      </c>
      <c r="F1587">
        <v>5</v>
      </c>
      <c r="G1587">
        <v>5</v>
      </c>
      <c r="H1587">
        <v>1</v>
      </c>
      <c r="I1587">
        <v>1</v>
      </c>
      <c r="J1587">
        <v>0.91405622489959804</v>
      </c>
      <c r="K1587">
        <v>1</v>
      </c>
      <c r="L1587">
        <v>0.95509861519093597</v>
      </c>
      <c r="M1587">
        <v>0.83534136546184701</v>
      </c>
      <c r="N1587">
        <v>1</v>
      </c>
      <c r="O1587">
        <v>0.88995983935742995</v>
      </c>
      <c r="P1587" t="s">
        <v>4593</v>
      </c>
      <c r="Q1587" t="s">
        <v>4594</v>
      </c>
      <c r="R1587" t="s">
        <v>652</v>
      </c>
      <c r="S1587" t="s">
        <v>653</v>
      </c>
      <c r="T1587" t="s">
        <v>4595</v>
      </c>
      <c r="U1587" t="s">
        <v>4596</v>
      </c>
      <c r="V1587" t="s">
        <v>4597</v>
      </c>
      <c r="W1587" t="s">
        <v>4598</v>
      </c>
      <c r="X1587" t="s">
        <v>4597</v>
      </c>
      <c r="Y1587" t="s">
        <v>1782</v>
      </c>
      <c r="Z1587" t="s">
        <v>1702</v>
      </c>
      <c r="AA1587" t="s">
        <v>1703</v>
      </c>
      <c r="AB1587" t="s">
        <v>1702</v>
      </c>
      <c r="AC1587" t="s">
        <v>1704</v>
      </c>
      <c r="AD1587" t="s">
        <v>1140</v>
      </c>
      <c r="AE1587" t="s">
        <v>2957</v>
      </c>
      <c r="AF1587" t="s">
        <v>4601</v>
      </c>
    </row>
    <row r="1588" spans="1:32" hidden="1" x14ac:dyDescent="0.35">
      <c r="A1588">
        <v>2099</v>
      </c>
      <c r="B1588" t="s">
        <v>4366</v>
      </c>
      <c r="C1588" t="s">
        <v>72</v>
      </c>
      <c r="D1588" t="s">
        <v>58</v>
      </c>
      <c r="E1588">
        <v>789</v>
      </c>
      <c r="F1588">
        <v>5</v>
      </c>
      <c r="G1588">
        <v>5</v>
      </c>
      <c r="H1588">
        <v>1</v>
      </c>
      <c r="I1588">
        <v>1</v>
      </c>
      <c r="J1588">
        <v>0.74642970485560101</v>
      </c>
      <c r="K1588">
        <v>0.85589019607842898</v>
      </c>
      <c r="L1588">
        <v>0.79742112180622204</v>
      </c>
      <c r="M1588">
        <v>0.432</v>
      </c>
      <c r="N1588">
        <v>1</v>
      </c>
      <c r="O1588">
        <v>0.60240000000000005</v>
      </c>
      <c r="P1588" t="s">
        <v>4367</v>
      </c>
      <c r="Q1588" t="s">
        <v>4368</v>
      </c>
      <c r="R1588" t="s">
        <v>342</v>
      </c>
      <c r="S1588" t="s">
        <v>343</v>
      </c>
      <c r="T1588" t="s">
        <v>4369</v>
      </c>
      <c r="U1588" t="s">
        <v>4370</v>
      </c>
      <c r="V1588" t="s">
        <v>4371</v>
      </c>
      <c r="W1588" t="s">
        <v>4372</v>
      </c>
      <c r="AD1588" t="s">
        <v>166</v>
      </c>
      <c r="AE1588" t="s">
        <v>818</v>
      </c>
      <c r="AF1588" t="s">
        <v>4373</v>
      </c>
    </row>
    <row r="1589" spans="1:32" hidden="1" x14ac:dyDescent="0.35">
      <c r="A1589">
        <v>2215</v>
      </c>
      <c r="B1589" t="s">
        <v>4602</v>
      </c>
      <c r="C1589" t="s">
        <v>72</v>
      </c>
      <c r="D1589" t="s">
        <v>60</v>
      </c>
      <c r="E1589">
        <v>993</v>
      </c>
      <c r="F1589">
        <v>5</v>
      </c>
      <c r="G1589">
        <v>5</v>
      </c>
      <c r="H1589">
        <v>1</v>
      </c>
      <c r="I1589">
        <v>1</v>
      </c>
      <c r="J1589">
        <v>0.97726957726957697</v>
      </c>
      <c r="K1589">
        <v>0.99792531120332395</v>
      </c>
      <c r="L1589">
        <v>0.98748943987019</v>
      </c>
      <c r="M1589">
        <v>0.95643153526971003</v>
      </c>
      <c r="N1589">
        <v>1</v>
      </c>
      <c r="O1589">
        <v>0.96680497925311204</v>
      </c>
      <c r="P1589" t="s">
        <v>4603</v>
      </c>
      <c r="Q1589" t="s">
        <v>4604</v>
      </c>
      <c r="R1589" t="s">
        <v>652</v>
      </c>
      <c r="S1589" t="s">
        <v>653</v>
      </c>
      <c r="T1589" t="s">
        <v>4605</v>
      </c>
      <c r="U1589" t="s">
        <v>4606</v>
      </c>
      <c r="V1589" t="s">
        <v>4607</v>
      </c>
      <c r="W1589" t="s">
        <v>4608</v>
      </c>
      <c r="X1589" t="s">
        <v>4607</v>
      </c>
      <c r="Y1589" t="s">
        <v>3395</v>
      </c>
      <c r="Z1589" t="s">
        <v>3396</v>
      </c>
      <c r="AA1589" t="s">
        <v>3397</v>
      </c>
      <c r="AB1589" t="s">
        <v>3396</v>
      </c>
      <c r="AC1589" t="s">
        <v>729</v>
      </c>
      <c r="AD1589" t="s">
        <v>4609</v>
      </c>
      <c r="AE1589" t="s">
        <v>4610</v>
      </c>
      <c r="AF1589" t="s">
        <v>4612</v>
      </c>
    </row>
    <row r="1590" spans="1:32" hidden="1" x14ac:dyDescent="0.35">
      <c r="A1590">
        <v>2216</v>
      </c>
      <c r="B1590" t="s">
        <v>4602</v>
      </c>
      <c r="C1590" t="s">
        <v>72</v>
      </c>
      <c r="D1590" t="s">
        <v>62</v>
      </c>
      <c r="E1590">
        <v>1029</v>
      </c>
      <c r="F1590">
        <v>5</v>
      </c>
      <c r="G1590">
        <v>5</v>
      </c>
      <c r="H1590">
        <v>1</v>
      </c>
      <c r="I1590">
        <v>1</v>
      </c>
      <c r="J1590">
        <v>0.97726957726957697</v>
      </c>
      <c r="K1590">
        <v>0.99792531120332395</v>
      </c>
      <c r="L1590">
        <v>0.98748943987019</v>
      </c>
      <c r="M1590">
        <v>0.95643153526971003</v>
      </c>
      <c r="N1590">
        <v>1</v>
      </c>
      <c r="O1590">
        <v>0.96680497925311204</v>
      </c>
      <c r="P1590" t="s">
        <v>4603</v>
      </c>
      <c r="Q1590" t="s">
        <v>4604</v>
      </c>
      <c r="R1590" t="s">
        <v>652</v>
      </c>
      <c r="S1590" t="s">
        <v>653</v>
      </c>
      <c r="T1590" t="s">
        <v>4605</v>
      </c>
      <c r="U1590" t="s">
        <v>4606</v>
      </c>
      <c r="V1590" t="s">
        <v>4607</v>
      </c>
      <c r="W1590" t="s">
        <v>4608</v>
      </c>
      <c r="X1590" t="s">
        <v>4607</v>
      </c>
      <c r="Y1590" t="s">
        <v>3395</v>
      </c>
      <c r="Z1590" t="s">
        <v>3396</v>
      </c>
      <c r="AA1590" t="s">
        <v>3397</v>
      </c>
      <c r="AB1590" t="s">
        <v>3396</v>
      </c>
      <c r="AC1590" t="s">
        <v>729</v>
      </c>
      <c r="AD1590" t="s">
        <v>4609</v>
      </c>
      <c r="AE1590" t="s">
        <v>4610</v>
      </c>
      <c r="AF1590" t="s">
        <v>4612</v>
      </c>
    </row>
    <row r="1591" spans="1:32" hidden="1" x14ac:dyDescent="0.35">
      <c r="A1591">
        <v>2217</v>
      </c>
      <c r="B1591" t="s">
        <v>4602</v>
      </c>
      <c r="C1591" t="s">
        <v>72</v>
      </c>
      <c r="D1591" t="s">
        <v>34</v>
      </c>
      <c r="E1591">
        <v>133</v>
      </c>
      <c r="F1591">
        <v>5</v>
      </c>
      <c r="G1591">
        <v>5</v>
      </c>
      <c r="H1591">
        <v>1</v>
      </c>
      <c r="I1591">
        <v>1</v>
      </c>
      <c r="J1591">
        <v>0.97726957726957697</v>
      </c>
      <c r="K1591">
        <v>0.99792531120332395</v>
      </c>
      <c r="L1591">
        <v>0.98748943987019</v>
      </c>
      <c r="M1591">
        <v>0.95643153526971003</v>
      </c>
      <c r="N1591">
        <v>1</v>
      </c>
      <c r="O1591">
        <v>0.96680497925311204</v>
      </c>
      <c r="P1591" t="s">
        <v>4603</v>
      </c>
      <c r="Q1591" t="s">
        <v>4604</v>
      </c>
      <c r="R1591" t="s">
        <v>652</v>
      </c>
      <c r="S1591" t="s">
        <v>653</v>
      </c>
      <c r="T1591" t="s">
        <v>4605</v>
      </c>
      <c r="U1591" t="s">
        <v>4606</v>
      </c>
      <c r="V1591" t="s">
        <v>4607</v>
      </c>
      <c r="W1591" t="s">
        <v>4608</v>
      </c>
      <c r="X1591" t="s">
        <v>4607</v>
      </c>
      <c r="Y1591" t="s">
        <v>3395</v>
      </c>
      <c r="Z1591" t="s">
        <v>3396</v>
      </c>
      <c r="AA1591" t="s">
        <v>3397</v>
      </c>
      <c r="AB1591" t="s">
        <v>3396</v>
      </c>
      <c r="AC1591" t="s">
        <v>729</v>
      </c>
      <c r="AD1591" t="s">
        <v>4609</v>
      </c>
      <c r="AE1591" t="s">
        <v>4610</v>
      </c>
      <c r="AF1591" t="s">
        <v>4613</v>
      </c>
    </row>
    <row r="1592" spans="1:32" hidden="1" x14ac:dyDescent="0.35">
      <c r="A1592">
        <v>2218</v>
      </c>
      <c r="B1592" t="s">
        <v>4602</v>
      </c>
      <c r="C1592" t="s">
        <v>72</v>
      </c>
      <c r="D1592" t="s">
        <v>45</v>
      </c>
      <c r="E1592">
        <v>1395</v>
      </c>
      <c r="F1592">
        <v>5</v>
      </c>
      <c r="G1592">
        <v>5</v>
      </c>
      <c r="H1592">
        <v>1</v>
      </c>
      <c r="I1592">
        <v>1</v>
      </c>
      <c r="J1592">
        <v>0.97726957726957697</v>
      </c>
      <c r="K1592">
        <v>0.99792531120332395</v>
      </c>
      <c r="L1592">
        <v>0.98748943987019</v>
      </c>
      <c r="M1592">
        <v>0.95643153526971003</v>
      </c>
      <c r="N1592">
        <v>1</v>
      </c>
      <c r="O1592">
        <v>0.96680497925311204</v>
      </c>
      <c r="P1592" t="s">
        <v>4603</v>
      </c>
      <c r="Q1592" t="s">
        <v>4604</v>
      </c>
      <c r="R1592" t="s">
        <v>652</v>
      </c>
      <c r="S1592" t="s">
        <v>653</v>
      </c>
      <c r="T1592" t="s">
        <v>4605</v>
      </c>
      <c r="U1592" t="s">
        <v>4606</v>
      </c>
      <c r="V1592" t="s">
        <v>4607</v>
      </c>
      <c r="W1592" t="s">
        <v>4608</v>
      </c>
      <c r="X1592" t="s">
        <v>4607</v>
      </c>
      <c r="Y1592" t="s">
        <v>3395</v>
      </c>
      <c r="Z1592" t="s">
        <v>3396</v>
      </c>
      <c r="AA1592" t="s">
        <v>3397</v>
      </c>
      <c r="AB1592" t="s">
        <v>3396</v>
      </c>
      <c r="AC1592" t="s">
        <v>729</v>
      </c>
      <c r="AD1592" t="s">
        <v>4609</v>
      </c>
      <c r="AE1592" t="s">
        <v>4610</v>
      </c>
      <c r="AF1592" t="s">
        <v>4613</v>
      </c>
    </row>
    <row r="1593" spans="1:32" hidden="1" x14ac:dyDescent="0.35">
      <c r="A1593">
        <v>2804</v>
      </c>
      <c r="B1593" t="s">
        <v>5800</v>
      </c>
      <c r="C1593" t="s">
        <v>72</v>
      </c>
      <c r="D1593" t="s">
        <v>58</v>
      </c>
      <c r="E1593">
        <v>1615</v>
      </c>
      <c r="F1593">
        <v>5</v>
      </c>
      <c r="G1593">
        <v>5</v>
      </c>
      <c r="H1593">
        <v>1</v>
      </c>
      <c r="I1593">
        <v>1</v>
      </c>
      <c r="J1593">
        <v>0.82113821138211396</v>
      </c>
      <c r="K1593">
        <v>0.92938730955035098</v>
      </c>
      <c r="L1593">
        <v>0.87191580347699804</v>
      </c>
      <c r="M1593">
        <v>0.67788461538461497</v>
      </c>
      <c r="N1593">
        <v>1</v>
      </c>
      <c r="O1593">
        <v>0.75192307692307703</v>
      </c>
      <c r="P1593" t="s">
        <v>5801</v>
      </c>
      <c r="Q1593" t="s">
        <v>5802</v>
      </c>
      <c r="R1593" t="s">
        <v>869</v>
      </c>
      <c r="S1593" t="s">
        <v>870</v>
      </c>
      <c r="T1593" t="s">
        <v>5803</v>
      </c>
      <c r="U1593" t="s">
        <v>3546</v>
      </c>
      <c r="V1593" t="s">
        <v>5804</v>
      </c>
      <c r="W1593" t="s">
        <v>5805</v>
      </c>
      <c r="X1593" t="s">
        <v>5804</v>
      </c>
      <c r="Y1593" t="s">
        <v>1091</v>
      </c>
      <c r="Z1593" t="s">
        <v>1092</v>
      </c>
      <c r="AA1593" t="s">
        <v>1093</v>
      </c>
      <c r="AB1593" t="s">
        <v>1092</v>
      </c>
      <c r="AC1593" t="s">
        <v>1094</v>
      </c>
      <c r="AD1593" t="s">
        <v>219</v>
      </c>
      <c r="AE1593" t="s">
        <v>3549</v>
      </c>
      <c r="AF1593" t="s">
        <v>5806</v>
      </c>
    </row>
    <row r="1594" spans="1:32" hidden="1" x14ac:dyDescent="0.35">
      <c r="A1594">
        <v>2260</v>
      </c>
      <c r="B1594" t="s">
        <v>4701</v>
      </c>
      <c r="C1594" t="s">
        <v>72</v>
      </c>
      <c r="D1594" t="s">
        <v>60</v>
      </c>
      <c r="E1594">
        <v>2410</v>
      </c>
      <c r="F1594">
        <v>5</v>
      </c>
      <c r="G1594">
        <v>5</v>
      </c>
      <c r="H1594">
        <v>1</v>
      </c>
      <c r="I1594">
        <v>1</v>
      </c>
      <c r="J1594">
        <v>0.87517847336628196</v>
      </c>
      <c r="K1594">
        <v>0.995088427683117</v>
      </c>
      <c r="L1594">
        <v>0.93128950794725296</v>
      </c>
      <c r="M1594">
        <v>0.76065573770491801</v>
      </c>
      <c r="N1594">
        <v>1</v>
      </c>
      <c r="O1594">
        <v>0.83196721311475397</v>
      </c>
      <c r="P1594" t="s">
        <v>4702</v>
      </c>
      <c r="Q1594" t="s">
        <v>4703</v>
      </c>
      <c r="R1594" t="s">
        <v>652</v>
      </c>
      <c r="S1594" t="s">
        <v>653</v>
      </c>
      <c r="T1594" t="s">
        <v>4704</v>
      </c>
      <c r="U1594" t="s">
        <v>4705</v>
      </c>
      <c r="V1594" t="s">
        <v>4706</v>
      </c>
      <c r="W1594" t="s">
        <v>4707</v>
      </c>
      <c r="X1594" t="s">
        <v>4706</v>
      </c>
      <c r="Y1594" t="s">
        <v>3369</v>
      </c>
      <c r="Z1594" t="s">
        <v>4708</v>
      </c>
      <c r="AA1594" t="s">
        <v>4709</v>
      </c>
      <c r="AB1594" t="s">
        <v>4708</v>
      </c>
      <c r="AC1594" t="s">
        <v>2106</v>
      </c>
      <c r="AD1594" t="s">
        <v>796</v>
      </c>
      <c r="AE1594" t="s">
        <v>4710</v>
      </c>
      <c r="AF1594" t="s">
        <v>4712</v>
      </c>
    </row>
    <row r="1595" spans="1:32" hidden="1" x14ac:dyDescent="0.35">
      <c r="A1595">
        <v>2261</v>
      </c>
      <c r="B1595" t="s">
        <v>4701</v>
      </c>
      <c r="C1595" t="s">
        <v>72</v>
      </c>
      <c r="D1595" t="s">
        <v>62</v>
      </c>
      <c r="E1595">
        <v>2437</v>
      </c>
      <c r="F1595">
        <v>5</v>
      </c>
      <c r="G1595">
        <v>5</v>
      </c>
      <c r="H1595">
        <v>1</v>
      </c>
      <c r="I1595">
        <v>1</v>
      </c>
      <c r="J1595">
        <v>0.87517847336628196</v>
      </c>
      <c r="K1595">
        <v>0.995088427683117</v>
      </c>
      <c r="L1595">
        <v>0.93128950794725296</v>
      </c>
      <c r="M1595">
        <v>0.76065573770491801</v>
      </c>
      <c r="N1595">
        <v>1</v>
      </c>
      <c r="O1595">
        <v>0.83196721311475397</v>
      </c>
      <c r="P1595" t="s">
        <v>4702</v>
      </c>
      <c r="Q1595" t="s">
        <v>4703</v>
      </c>
      <c r="R1595" t="s">
        <v>652</v>
      </c>
      <c r="S1595" t="s">
        <v>653</v>
      </c>
      <c r="T1595" t="s">
        <v>4704</v>
      </c>
      <c r="U1595" t="s">
        <v>4705</v>
      </c>
      <c r="V1595" t="s">
        <v>4706</v>
      </c>
      <c r="W1595" t="s">
        <v>4707</v>
      </c>
      <c r="X1595" t="s">
        <v>4706</v>
      </c>
      <c r="Y1595" t="s">
        <v>3369</v>
      </c>
      <c r="Z1595" t="s">
        <v>4708</v>
      </c>
      <c r="AA1595" t="s">
        <v>4709</v>
      </c>
      <c r="AB1595" t="s">
        <v>4708</v>
      </c>
      <c r="AC1595" t="s">
        <v>2106</v>
      </c>
      <c r="AD1595" t="s">
        <v>796</v>
      </c>
      <c r="AE1595" t="s">
        <v>4710</v>
      </c>
      <c r="AF1595" t="s">
        <v>4713</v>
      </c>
    </row>
    <row r="1596" spans="1:32" hidden="1" x14ac:dyDescent="0.35">
      <c r="A1596">
        <v>2262</v>
      </c>
      <c r="B1596" t="s">
        <v>4701</v>
      </c>
      <c r="C1596" t="s">
        <v>72</v>
      </c>
      <c r="D1596" t="s">
        <v>34</v>
      </c>
      <c r="E1596">
        <v>1322</v>
      </c>
      <c r="F1596">
        <v>5</v>
      </c>
      <c r="G1596">
        <v>5</v>
      </c>
      <c r="H1596">
        <v>1</v>
      </c>
      <c r="I1596">
        <v>1</v>
      </c>
      <c r="J1596">
        <v>0.87517847336628196</v>
      </c>
      <c r="K1596">
        <v>0.995088427683117</v>
      </c>
      <c r="L1596">
        <v>0.93128950794725296</v>
      </c>
      <c r="M1596">
        <v>0.76065573770491801</v>
      </c>
      <c r="N1596">
        <v>1</v>
      </c>
      <c r="O1596">
        <v>0.83196721311475397</v>
      </c>
      <c r="P1596" t="s">
        <v>4702</v>
      </c>
      <c r="Q1596" t="s">
        <v>4703</v>
      </c>
      <c r="R1596" t="s">
        <v>652</v>
      </c>
      <c r="S1596" t="s">
        <v>653</v>
      </c>
      <c r="T1596" t="s">
        <v>4704</v>
      </c>
      <c r="U1596" t="s">
        <v>4705</v>
      </c>
      <c r="V1596" t="s">
        <v>4706</v>
      </c>
      <c r="W1596" t="s">
        <v>4707</v>
      </c>
      <c r="X1596" t="s">
        <v>4706</v>
      </c>
      <c r="Y1596" t="s">
        <v>3369</v>
      </c>
      <c r="Z1596" t="s">
        <v>4708</v>
      </c>
      <c r="AA1596" t="s">
        <v>4709</v>
      </c>
      <c r="AB1596" t="s">
        <v>4708</v>
      </c>
      <c r="AC1596" t="s">
        <v>2106</v>
      </c>
      <c r="AD1596" t="s">
        <v>796</v>
      </c>
      <c r="AE1596" t="s">
        <v>4710</v>
      </c>
      <c r="AF1596" t="s">
        <v>4714</v>
      </c>
    </row>
    <row r="1597" spans="1:32" hidden="1" x14ac:dyDescent="0.35">
      <c r="A1597">
        <v>2263</v>
      </c>
      <c r="B1597" t="s">
        <v>4701</v>
      </c>
      <c r="C1597" t="s">
        <v>72</v>
      </c>
      <c r="D1597" t="s">
        <v>45</v>
      </c>
      <c r="E1597">
        <v>74</v>
      </c>
      <c r="F1597">
        <v>5</v>
      </c>
      <c r="G1597">
        <v>5</v>
      </c>
      <c r="H1597">
        <v>1</v>
      </c>
      <c r="I1597">
        <v>1</v>
      </c>
      <c r="J1597">
        <v>0.87517847336628196</v>
      </c>
      <c r="K1597">
        <v>0.995088427683117</v>
      </c>
      <c r="L1597">
        <v>0.93128950794725296</v>
      </c>
      <c r="M1597">
        <v>0.76065573770491801</v>
      </c>
      <c r="N1597">
        <v>1</v>
      </c>
      <c r="O1597">
        <v>0.83196721311475397</v>
      </c>
      <c r="P1597" t="s">
        <v>4702</v>
      </c>
      <c r="Q1597" t="s">
        <v>4703</v>
      </c>
      <c r="R1597" t="s">
        <v>652</v>
      </c>
      <c r="S1597" t="s">
        <v>653</v>
      </c>
      <c r="T1597" t="s">
        <v>4704</v>
      </c>
      <c r="U1597" t="s">
        <v>4705</v>
      </c>
      <c r="V1597" t="s">
        <v>4706</v>
      </c>
      <c r="W1597" t="s">
        <v>4707</v>
      </c>
      <c r="X1597" t="s">
        <v>4706</v>
      </c>
      <c r="Y1597" t="s">
        <v>3369</v>
      </c>
      <c r="Z1597" t="s">
        <v>4708</v>
      </c>
      <c r="AA1597" t="s">
        <v>4709</v>
      </c>
      <c r="AB1597" t="s">
        <v>4708</v>
      </c>
      <c r="AC1597" t="s">
        <v>2106</v>
      </c>
      <c r="AD1597" t="s">
        <v>796</v>
      </c>
      <c r="AE1597" t="s">
        <v>4710</v>
      </c>
      <c r="AF1597" t="s">
        <v>4714</v>
      </c>
    </row>
    <row r="1598" spans="1:32" hidden="1" x14ac:dyDescent="0.35">
      <c r="A1598">
        <v>2264</v>
      </c>
      <c r="B1598" t="s">
        <v>4715</v>
      </c>
      <c r="C1598" t="s">
        <v>72</v>
      </c>
      <c r="D1598" t="s">
        <v>58</v>
      </c>
      <c r="E1598">
        <v>1368</v>
      </c>
      <c r="F1598">
        <v>5</v>
      </c>
      <c r="G1598">
        <v>5</v>
      </c>
      <c r="H1598">
        <v>1</v>
      </c>
      <c r="I1598">
        <v>1</v>
      </c>
      <c r="J1598">
        <v>0.74403183023872699</v>
      </c>
      <c r="K1598">
        <v>0.85937015350530099</v>
      </c>
      <c r="L1598">
        <v>0.79755264699380601</v>
      </c>
      <c r="M1598">
        <v>0.51404494382022503</v>
      </c>
      <c r="N1598">
        <v>1</v>
      </c>
      <c r="O1598">
        <v>0.62977528089887602</v>
      </c>
      <c r="P1598" t="s">
        <v>4716</v>
      </c>
      <c r="Q1598" t="s">
        <v>4717</v>
      </c>
      <c r="R1598" t="s">
        <v>869</v>
      </c>
      <c r="S1598" t="s">
        <v>870</v>
      </c>
      <c r="T1598" t="s">
        <v>4718</v>
      </c>
      <c r="U1598" t="s">
        <v>4719</v>
      </c>
      <c r="V1598" t="s">
        <v>4720</v>
      </c>
      <c r="W1598" t="s">
        <v>4721</v>
      </c>
      <c r="X1598" t="s">
        <v>4720</v>
      </c>
      <c r="Y1598" t="s">
        <v>1091</v>
      </c>
      <c r="Z1598" t="s">
        <v>1092</v>
      </c>
      <c r="AA1598" t="s">
        <v>1093</v>
      </c>
      <c r="AB1598" t="s">
        <v>1092</v>
      </c>
      <c r="AC1598" t="s">
        <v>1094</v>
      </c>
      <c r="AD1598" t="s">
        <v>219</v>
      </c>
      <c r="AE1598" t="s">
        <v>4722</v>
      </c>
      <c r="AF1598" t="s">
        <v>4723</v>
      </c>
    </row>
    <row r="1599" spans="1:32" hidden="1" x14ac:dyDescent="0.35">
      <c r="A1599">
        <v>2385</v>
      </c>
      <c r="B1599" t="s">
        <v>4950</v>
      </c>
      <c r="C1599" t="s">
        <v>72</v>
      </c>
      <c r="D1599" t="s">
        <v>60</v>
      </c>
      <c r="E1599">
        <v>2299</v>
      </c>
      <c r="F1599">
        <v>5</v>
      </c>
      <c r="G1599">
        <v>5</v>
      </c>
      <c r="H1599">
        <v>1</v>
      </c>
      <c r="I1599">
        <v>1</v>
      </c>
      <c r="J1599">
        <v>0.92785911309144897</v>
      </c>
      <c r="K1599">
        <v>0.99430379746835496</v>
      </c>
      <c r="L1599">
        <v>0.959933036470629</v>
      </c>
      <c r="M1599">
        <v>0.841772151898734</v>
      </c>
      <c r="N1599">
        <v>1</v>
      </c>
      <c r="O1599">
        <v>0.89493670886075904</v>
      </c>
      <c r="P1599" t="s">
        <v>4951</v>
      </c>
      <c r="Q1599" t="s">
        <v>4952</v>
      </c>
      <c r="R1599" t="s">
        <v>652</v>
      </c>
      <c r="S1599" t="s">
        <v>653</v>
      </c>
      <c r="T1599" t="s">
        <v>4953</v>
      </c>
      <c r="U1599" t="s">
        <v>4954</v>
      </c>
      <c r="V1599" t="s">
        <v>4955</v>
      </c>
      <c r="W1599" t="s">
        <v>4956</v>
      </c>
      <c r="AD1599" t="s">
        <v>219</v>
      </c>
      <c r="AE1599" t="s">
        <v>4957</v>
      </c>
      <c r="AF1599" t="s">
        <v>4959</v>
      </c>
    </row>
    <row r="1600" spans="1:32" hidden="1" x14ac:dyDescent="0.35">
      <c r="A1600">
        <v>2386</v>
      </c>
      <c r="B1600" t="s">
        <v>4950</v>
      </c>
      <c r="C1600" t="s">
        <v>72</v>
      </c>
      <c r="D1600" t="s">
        <v>62</v>
      </c>
      <c r="E1600">
        <v>2328</v>
      </c>
      <c r="F1600">
        <v>5</v>
      </c>
      <c r="G1600">
        <v>5</v>
      </c>
      <c r="H1600">
        <v>1</v>
      </c>
      <c r="I1600">
        <v>1</v>
      </c>
      <c r="J1600">
        <v>0.92785911309144897</v>
      </c>
      <c r="K1600">
        <v>0.99430379746835496</v>
      </c>
      <c r="L1600">
        <v>0.959933036470629</v>
      </c>
      <c r="M1600">
        <v>0.841772151898734</v>
      </c>
      <c r="N1600">
        <v>1</v>
      </c>
      <c r="O1600">
        <v>0.89493670886075904</v>
      </c>
      <c r="P1600" t="s">
        <v>4951</v>
      </c>
      <c r="Q1600" t="s">
        <v>4952</v>
      </c>
      <c r="R1600" t="s">
        <v>652</v>
      </c>
      <c r="S1600" t="s">
        <v>653</v>
      </c>
      <c r="T1600" t="s">
        <v>4953</v>
      </c>
      <c r="U1600" t="s">
        <v>4954</v>
      </c>
      <c r="V1600" t="s">
        <v>4955</v>
      </c>
      <c r="W1600" t="s">
        <v>4956</v>
      </c>
      <c r="AD1600" t="s">
        <v>219</v>
      </c>
      <c r="AE1600" t="s">
        <v>4957</v>
      </c>
      <c r="AF1600" t="s">
        <v>4959</v>
      </c>
    </row>
    <row r="1601" spans="1:32" hidden="1" x14ac:dyDescent="0.35">
      <c r="A1601">
        <v>2387</v>
      </c>
      <c r="B1601" t="s">
        <v>4950</v>
      </c>
      <c r="C1601" t="s">
        <v>72</v>
      </c>
      <c r="D1601" t="s">
        <v>34</v>
      </c>
      <c r="E1601">
        <v>1493</v>
      </c>
      <c r="F1601">
        <v>5</v>
      </c>
      <c r="G1601">
        <v>5</v>
      </c>
      <c r="H1601">
        <v>1</v>
      </c>
      <c r="I1601">
        <v>1</v>
      </c>
      <c r="J1601">
        <v>0.92785911309144897</v>
      </c>
      <c r="K1601">
        <v>0.99430379746835496</v>
      </c>
      <c r="L1601">
        <v>0.959933036470629</v>
      </c>
      <c r="M1601">
        <v>0.841772151898734</v>
      </c>
      <c r="N1601">
        <v>1</v>
      </c>
      <c r="O1601">
        <v>0.89493670886075904</v>
      </c>
      <c r="P1601" t="s">
        <v>4951</v>
      </c>
      <c r="Q1601" t="s">
        <v>4952</v>
      </c>
      <c r="R1601" t="s">
        <v>652</v>
      </c>
      <c r="S1601" t="s">
        <v>653</v>
      </c>
      <c r="T1601" t="s">
        <v>4953</v>
      </c>
      <c r="U1601" t="s">
        <v>4954</v>
      </c>
      <c r="V1601" t="s">
        <v>4955</v>
      </c>
      <c r="W1601" t="s">
        <v>4956</v>
      </c>
      <c r="AD1601" t="s">
        <v>219</v>
      </c>
      <c r="AE1601" t="s">
        <v>4957</v>
      </c>
      <c r="AF1601" t="s">
        <v>4960</v>
      </c>
    </row>
    <row r="1602" spans="1:32" hidden="1" x14ac:dyDescent="0.35">
      <c r="A1602">
        <v>2388</v>
      </c>
      <c r="B1602" t="s">
        <v>4950</v>
      </c>
      <c r="C1602" t="s">
        <v>72</v>
      </c>
      <c r="D1602" t="s">
        <v>45</v>
      </c>
      <c r="E1602">
        <v>243</v>
      </c>
      <c r="F1602">
        <v>5</v>
      </c>
      <c r="G1602">
        <v>5</v>
      </c>
      <c r="H1602">
        <v>1</v>
      </c>
      <c r="I1602">
        <v>1</v>
      </c>
      <c r="J1602">
        <v>0.92785911309144897</v>
      </c>
      <c r="K1602">
        <v>0.99430379746835496</v>
      </c>
      <c r="L1602">
        <v>0.959933036470629</v>
      </c>
      <c r="M1602">
        <v>0.841772151898734</v>
      </c>
      <c r="N1602">
        <v>1</v>
      </c>
      <c r="O1602">
        <v>0.89493670886075904</v>
      </c>
      <c r="P1602" t="s">
        <v>4951</v>
      </c>
      <c r="Q1602" t="s">
        <v>4952</v>
      </c>
      <c r="R1602" t="s">
        <v>652</v>
      </c>
      <c r="S1602" t="s">
        <v>653</v>
      </c>
      <c r="T1602" t="s">
        <v>4953</v>
      </c>
      <c r="U1602" t="s">
        <v>4954</v>
      </c>
      <c r="V1602" t="s">
        <v>4955</v>
      </c>
      <c r="W1602" t="s">
        <v>4956</v>
      </c>
      <c r="AD1602" t="s">
        <v>219</v>
      </c>
      <c r="AE1602" t="s">
        <v>4957</v>
      </c>
      <c r="AF1602" t="s">
        <v>4960</v>
      </c>
    </row>
    <row r="1603" spans="1:32" hidden="1" x14ac:dyDescent="0.35">
      <c r="A1603">
        <v>2759</v>
      </c>
      <c r="B1603" t="s">
        <v>5709</v>
      </c>
      <c r="C1603" t="s">
        <v>72</v>
      </c>
      <c r="D1603" t="s">
        <v>58</v>
      </c>
      <c r="E1603">
        <v>908</v>
      </c>
      <c r="F1603">
        <v>5</v>
      </c>
      <c r="G1603">
        <v>5</v>
      </c>
      <c r="H1603">
        <v>1</v>
      </c>
      <c r="I1603">
        <v>1</v>
      </c>
      <c r="J1603">
        <v>0.86383204741138297</v>
      </c>
      <c r="K1603">
        <v>0.95423283772982603</v>
      </c>
      <c r="L1603">
        <v>0.90678491473015499</v>
      </c>
      <c r="M1603">
        <v>0.71382893685051996</v>
      </c>
      <c r="N1603">
        <v>1</v>
      </c>
      <c r="O1603">
        <v>0.79352517985611504</v>
      </c>
      <c r="P1603" t="s">
        <v>5710</v>
      </c>
      <c r="Q1603" t="s">
        <v>5711</v>
      </c>
      <c r="R1603" t="s">
        <v>869</v>
      </c>
      <c r="S1603" t="s">
        <v>870</v>
      </c>
      <c r="T1603" t="s">
        <v>5712</v>
      </c>
      <c r="U1603" t="s">
        <v>5713</v>
      </c>
      <c r="V1603" t="s">
        <v>5714</v>
      </c>
      <c r="W1603" t="s">
        <v>5715</v>
      </c>
      <c r="X1603" t="s">
        <v>5714</v>
      </c>
      <c r="Y1603" t="s">
        <v>1091</v>
      </c>
      <c r="Z1603" t="s">
        <v>5716</v>
      </c>
      <c r="AA1603" t="s">
        <v>5717</v>
      </c>
      <c r="AB1603" t="s">
        <v>5716</v>
      </c>
      <c r="AC1603" t="s">
        <v>1094</v>
      </c>
      <c r="AD1603" t="s">
        <v>219</v>
      </c>
      <c r="AE1603" t="s">
        <v>5718</v>
      </c>
      <c r="AF1603" t="s">
        <v>5719</v>
      </c>
    </row>
    <row r="1604" spans="1:32" hidden="1" x14ac:dyDescent="0.35">
      <c r="A1604">
        <v>2450</v>
      </c>
      <c r="B1604" t="s">
        <v>5074</v>
      </c>
      <c r="C1604" t="s">
        <v>72</v>
      </c>
      <c r="D1604" t="s">
        <v>60</v>
      </c>
      <c r="E1604">
        <v>989</v>
      </c>
      <c r="F1604">
        <v>5</v>
      </c>
      <c r="G1604">
        <v>5</v>
      </c>
      <c r="H1604">
        <v>1</v>
      </c>
      <c r="I1604">
        <v>1</v>
      </c>
      <c r="J1604">
        <v>0.774048005775131</v>
      </c>
      <c r="K1604">
        <v>0.95782599309153804</v>
      </c>
      <c r="L1604">
        <v>0.85618618943094105</v>
      </c>
      <c r="M1604">
        <v>0.54922279792746098</v>
      </c>
      <c r="N1604">
        <v>1</v>
      </c>
      <c r="O1604">
        <v>0.70259067357512905</v>
      </c>
      <c r="P1604" t="s">
        <v>1925</v>
      </c>
      <c r="Q1604" t="s">
        <v>1926</v>
      </c>
      <c r="R1604" t="s">
        <v>652</v>
      </c>
      <c r="S1604" t="s">
        <v>653</v>
      </c>
      <c r="T1604" t="s">
        <v>5075</v>
      </c>
      <c r="U1604" t="s">
        <v>5076</v>
      </c>
      <c r="V1604" t="s">
        <v>5077</v>
      </c>
      <c r="W1604" t="s">
        <v>5078</v>
      </c>
      <c r="X1604" t="s">
        <v>5077</v>
      </c>
      <c r="Y1604" t="s">
        <v>3395</v>
      </c>
      <c r="Z1604" t="s">
        <v>3396</v>
      </c>
      <c r="AA1604" t="s">
        <v>3397</v>
      </c>
      <c r="AB1604" t="s">
        <v>3396</v>
      </c>
      <c r="AC1604" t="s">
        <v>729</v>
      </c>
      <c r="AD1604" t="s">
        <v>3398</v>
      </c>
      <c r="AE1604" t="s">
        <v>3399</v>
      </c>
      <c r="AF1604" t="s">
        <v>5080</v>
      </c>
    </row>
    <row r="1605" spans="1:32" hidden="1" x14ac:dyDescent="0.35">
      <c r="A1605">
        <v>2451</v>
      </c>
      <c r="B1605" t="s">
        <v>5074</v>
      </c>
      <c r="C1605" t="s">
        <v>72</v>
      </c>
      <c r="D1605" t="s">
        <v>62</v>
      </c>
      <c r="E1605">
        <v>1025</v>
      </c>
      <c r="F1605">
        <v>5</v>
      </c>
      <c r="G1605">
        <v>5</v>
      </c>
      <c r="H1605">
        <v>1</v>
      </c>
      <c r="I1605">
        <v>1</v>
      </c>
      <c r="J1605">
        <v>0.774048005775131</v>
      </c>
      <c r="K1605">
        <v>0.95782599309153804</v>
      </c>
      <c r="L1605">
        <v>0.85618618943094105</v>
      </c>
      <c r="M1605">
        <v>0.54922279792746098</v>
      </c>
      <c r="N1605">
        <v>1</v>
      </c>
      <c r="O1605">
        <v>0.70259067357512905</v>
      </c>
      <c r="P1605" t="s">
        <v>1925</v>
      </c>
      <c r="Q1605" t="s">
        <v>1926</v>
      </c>
      <c r="R1605" t="s">
        <v>652</v>
      </c>
      <c r="S1605" t="s">
        <v>653</v>
      </c>
      <c r="T1605" t="s">
        <v>5075</v>
      </c>
      <c r="U1605" t="s">
        <v>5076</v>
      </c>
      <c r="V1605" t="s">
        <v>5077</v>
      </c>
      <c r="W1605" t="s">
        <v>5078</v>
      </c>
      <c r="X1605" t="s">
        <v>5077</v>
      </c>
      <c r="Y1605" t="s">
        <v>3395</v>
      </c>
      <c r="Z1605" t="s">
        <v>3396</v>
      </c>
      <c r="AA1605" t="s">
        <v>3397</v>
      </c>
      <c r="AB1605" t="s">
        <v>3396</v>
      </c>
      <c r="AC1605" t="s">
        <v>729</v>
      </c>
      <c r="AD1605" t="s">
        <v>3398</v>
      </c>
      <c r="AE1605" t="s">
        <v>3399</v>
      </c>
      <c r="AF1605" t="s">
        <v>5080</v>
      </c>
    </row>
    <row r="1606" spans="1:32" hidden="1" x14ac:dyDescent="0.35">
      <c r="A1606">
        <v>2452</v>
      </c>
      <c r="B1606" t="s">
        <v>5074</v>
      </c>
      <c r="C1606" t="s">
        <v>72</v>
      </c>
      <c r="D1606" t="s">
        <v>34</v>
      </c>
      <c r="E1606">
        <v>137</v>
      </c>
      <c r="F1606">
        <v>5</v>
      </c>
      <c r="G1606">
        <v>5</v>
      </c>
      <c r="H1606">
        <v>1</v>
      </c>
      <c r="I1606">
        <v>1</v>
      </c>
      <c r="J1606">
        <v>0.774048005775131</v>
      </c>
      <c r="K1606">
        <v>0.95782599309153804</v>
      </c>
      <c r="L1606">
        <v>0.85618618943094105</v>
      </c>
      <c r="M1606">
        <v>0.54922279792746098</v>
      </c>
      <c r="N1606">
        <v>1</v>
      </c>
      <c r="O1606">
        <v>0.70259067357512905</v>
      </c>
      <c r="P1606" t="s">
        <v>1925</v>
      </c>
      <c r="Q1606" t="s">
        <v>1926</v>
      </c>
      <c r="R1606" t="s">
        <v>652</v>
      </c>
      <c r="S1606" t="s">
        <v>653</v>
      </c>
      <c r="T1606" t="s">
        <v>5075</v>
      </c>
      <c r="U1606" t="s">
        <v>5076</v>
      </c>
      <c r="V1606" t="s">
        <v>5077</v>
      </c>
      <c r="W1606" t="s">
        <v>5078</v>
      </c>
      <c r="X1606" t="s">
        <v>5077</v>
      </c>
      <c r="Y1606" t="s">
        <v>3395</v>
      </c>
      <c r="Z1606" t="s">
        <v>3396</v>
      </c>
      <c r="AA1606" t="s">
        <v>3397</v>
      </c>
      <c r="AB1606" t="s">
        <v>3396</v>
      </c>
      <c r="AC1606" t="s">
        <v>729</v>
      </c>
      <c r="AD1606" t="s">
        <v>3398</v>
      </c>
      <c r="AE1606" t="s">
        <v>3399</v>
      </c>
      <c r="AF1606" t="e">
        <f>---MISYLAEG-SSSG-----AINPLLPTTYDIGWSIVVLLVVGLLFWKLVLPSFLKTLAEREELIKSGIENAEKAQNEAKAVLEKYNKKLADARIEAAEIREAAQEKGKQIEAEMKAKATEESARIIENGEKHLAAQRELVVAELRREMGQNAISLAEALVGEQLSENVKRSGSIDRFLDDLDSISAKSAGK</f>
        <v>#NAME?</v>
      </c>
    </row>
    <row r="1607" spans="1:32" hidden="1" x14ac:dyDescent="0.35">
      <c r="A1607">
        <v>2453</v>
      </c>
      <c r="B1607" t="s">
        <v>5074</v>
      </c>
      <c r="C1607" t="s">
        <v>72</v>
      </c>
      <c r="D1607" t="s">
        <v>45</v>
      </c>
      <c r="E1607">
        <v>1399</v>
      </c>
      <c r="F1607">
        <v>5</v>
      </c>
      <c r="G1607">
        <v>5</v>
      </c>
      <c r="H1607">
        <v>1</v>
      </c>
      <c r="I1607">
        <v>1</v>
      </c>
      <c r="J1607">
        <v>0.774048005775131</v>
      </c>
      <c r="K1607">
        <v>0.95782599309153804</v>
      </c>
      <c r="L1607">
        <v>0.85618618943094105</v>
      </c>
      <c r="M1607">
        <v>0.54922279792746098</v>
      </c>
      <c r="N1607">
        <v>1</v>
      </c>
      <c r="O1607">
        <v>0.70259067357512905</v>
      </c>
      <c r="P1607" t="s">
        <v>1925</v>
      </c>
      <c r="Q1607" t="s">
        <v>1926</v>
      </c>
      <c r="R1607" t="s">
        <v>652</v>
      </c>
      <c r="S1607" t="s">
        <v>653</v>
      </c>
      <c r="T1607" t="s">
        <v>5075</v>
      </c>
      <c r="U1607" t="s">
        <v>5076</v>
      </c>
      <c r="V1607" t="s">
        <v>5077</v>
      </c>
      <c r="W1607" t="s">
        <v>5078</v>
      </c>
      <c r="X1607" t="s">
        <v>5077</v>
      </c>
      <c r="Y1607" t="s">
        <v>3395</v>
      </c>
      <c r="Z1607" t="s">
        <v>3396</v>
      </c>
      <c r="AA1607" t="s">
        <v>3397</v>
      </c>
      <c r="AB1607" t="s">
        <v>3396</v>
      </c>
      <c r="AC1607" t="s">
        <v>729</v>
      </c>
      <c r="AD1607" t="s">
        <v>3398</v>
      </c>
      <c r="AE1607" t="s">
        <v>3399</v>
      </c>
      <c r="AF1607" t="e">
        <f>---MISYLAEG-SSSG-----AINPLLPTTYDIGWSIVVLLVVGLLFWKLVLPSFLKTLAEREELIKSGIENAEKAQNEAKAVLEKYNKKLADARIEAAEIREAAQEKGKQIEAEMKAKATEESARIIENGEKHLAAQRELVVAELRREMGQNAISLAEALVGEQLSENVKRSGSIDRFLDDLDSISAKSAGK</f>
        <v>#NAME?</v>
      </c>
    </row>
    <row r="1608" spans="1:32" hidden="1" x14ac:dyDescent="0.35">
      <c r="A1608">
        <v>11654</v>
      </c>
      <c r="B1608" t="s">
        <v>23888</v>
      </c>
      <c r="C1608" t="s">
        <v>33</v>
      </c>
      <c r="D1608" t="s">
        <v>58</v>
      </c>
      <c r="E1608">
        <v>1335</v>
      </c>
      <c r="F1608">
        <v>1</v>
      </c>
      <c r="G1608">
        <v>1</v>
      </c>
      <c r="H1608">
        <v>1</v>
      </c>
      <c r="I1608">
        <v>0</v>
      </c>
      <c r="J1608">
        <v>1</v>
      </c>
      <c r="K1608">
        <v>1</v>
      </c>
      <c r="L1608">
        <v>1</v>
      </c>
      <c r="M1608">
        <v>0</v>
      </c>
      <c r="N1608">
        <v>0</v>
      </c>
      <c r="O1608">
        <v>0</v>
      </c>
      <c r="P1608" t="s">
        <v>14921</v>
      </c>
      <c r="Q1608" t="s">
        <v>14922</v>
      </c>
      <c r="R1608" t="s">
        <v>869</v>
      </c>
      <c r="S1608" t="s">
        <v>870</v>
      </c>
      <c r="T1608" t="s">
        <v>14923</v>
      </c>
      <c r="U1608" t="s">
        <v>14924</v>
      </c>
      <c r="V1608" t="s">
        <v>14925</v>
      </c>
      <c r="W1608" t="s">
        <v>14926</v>
      </c>
      <c r="X1608" t="s">
        <v>14925</v>
      </c>
      <c r="Y1608" t="s">
        <v>1091</v>
      </c>
      <c r="Z1608" t="s">
        <v>1092</v>
      </c>
      <c r="AA1608" t="s">
        <v>1093</v>
      </c>
      <c r="AB1608" t="s">
        <v>1092</v>
      </c>
      <c r="AC1608" t="s">
        <v>1094</v>
      </c>
      <c r="AD1608" t="s">
        <v>219</v>
      </c>
      <c r="AE1608" t="s">
        <v>14927</v>
      </c>
      <c r="AF1608" t="s">
        <v>23889</v>
      </c>
    </row>
    <row r="1609" spans="1:32" hidden="1" x14ac:dyDescent="0.35">
      <c r="A1609">
        <v>2455</v>
      </c>
      <c r="B1609" t="s">
        <v>5081</v>
      </c>
      <c r="C1609" t="s">
        <v>72</v>
      </c>
      <c r="D1609" t="s">
        <v>60</v>
      </c>
      <c r="E1609">
        <v>528</v>
      </c>
      <c r="F1609">
        <v>5</v>
      </c>
      <c r="G1609">
        <v>5</v>
      </c>
      <c r="H1609">
        <v>1</v>
      </c>
      <c r="I1609">
        <v>1</v>
      </c>
      <c r="J1609">
        <v>0.77356740169842297</v>
      </c>
      <c r="K1609">
        <v>0.92986406955095402</v>
      </c>
      <c r="L1609">
        <v>0.84454531263024701</v>
      </c>
      <c r="M1609">
        <v>0.57142857142857095</v>
      </c>
      <c r="N1609">
        <v>1</v>
      </c>
      <c r="O1609">
        <v>0.670436507936508</v>
      </c>
      <c r="P1609" t="s">
        <v>5082</v>
      </c>
      <c r="Q1609" t="s">
        <v>5083</v>
      </c>
      <c r="R1609" t="s">
        <v>652</v>
      </c>
      <c r="S1609" t="s">
        <v>653</v>
      </c>
      <c r="T1609" t="s">
        <v>5084</v>
      </c>
      <c r="U1609" t="s">
        <v>5085</v>
      </c>
      <c r="V1609" t="s">
        <v>5086</v>
      </c>
      <c r="W1609" t="s">
        <v>5087</v>
      </c>
      <c r="AD1609" t="s">
        <v>1157</v>
      </c>
      <c r="AE1609" t="s">
        <v>5088</v>
      </c>
      <c r="AF1609" t="s">
        <v>5090</v>
      </c>
    </row>
    <row r="1610" spans="1:32" hidden="1" x14ac:dyDescent="0.35">
      <c r="A1610">
        <v>2456</v>
      </c>
      <c r="B1610" t="s">
        <v>5081</v>
      </c>
      <c r="C1610" t="s">
        <v>72</v>
      </c>
      <c r="D1610" t="s">
        <v>62</v>
      </c>
      <c r="E1610">
        <v>612</v>
      </c>
      <c r="F1610">
        <v>5</v>
      </c>
      <c r="G1610">
        <v>5</v>
      </c>
      <c r="H1610">
        <v>1</v>
      </c>
      <c r="I1610">
        <v>1</v>
      </c>
      <c r="J1610">
        <v>0.77356740169842297</v>
      </c>
      <c r="K1610">
        <v>0.92986406955095402</v>
      </c>
      <c r="L1610">
        <v>0.84454531263024701</v>
      </c>
      <c r="M1610">
        <v>0.57142857142857095</v>
      </c>
      <c r="N1610">
        <v>1</v>
      </c>
      <c r="O1610">
        <v>0.670436507936508</v>
      </c>
      <c r="P1610" t="s">
        <v>5082</v>
      </c>
      <c r="Q1610" t="s">
        <v>5083</v>
      </c>
      <c r="R1610" t="s">
        <v>652</v>
      </c>
      <c r="S1610" t="s">
        <v>653</v>
      </c>
      <c r="T1610" t="s">
        <v>5084</v>
      </c>
      <c r="U1610" t="s">
        <v>5085</v>
      </c>
      <c r="V1610" t="s">
        <v>5086</v>
      </c>
      <c r="W1610" t="s">
        <v>5087</v>
      </c>
      <c r="AD1610" t="s">
        <v>1157</v>
      </c>
      <c r="AE1610" t="s">
        <v>5088</v>
      </c>
      <c r="AF1610" t="s">
        <v>5090</v>
      </c>
    </row>
    <row r="1611" spans="1:32" hidden="1" x14ac:dyDescent="0.35">
      <c r="A1611">
        <v>2457</v>
      </c>
      <c r="B1611" t="s">
        <v>5081</v>
      </c>
      <c r="C1611" t="s">
        <v>72</v>
      </c>
      <c r="D1611" t="s">
        <v>34</v>
      </c>
      <c r="E1611">
        <v>1669</v>
      </c>
      <c r="F1611">
        <v>5</v>
      </c>
      <c r="G1611">
        <v>5</v>
      </c>
      <c r="H1611">
        <v>1</v>
      </c>
      <c r="I1611">
        <v>1</v>
      </c>
      <c r="J1611">
        <v>0.77356740169842297</v>
      </c>
      <c r="K1611">
        <v>0.92986406955095402</v>
      </c>
      <c r="L1611">
        <v>0.84454531263024701</v>
      </c>
      <c r="M1611">
        <v>0.57142857142857095</v>
      </c>
      <c r="N1611">
        <v>1</v>
      </c>
      <c r="O1611">
        <v>0.670436507936508</v>
      </c>
      <c r="P1611" t="s">
        <v>5082</v>
      </c>
      <c r="Q1611" t="s">
        <v>5083</v>
      </c>
      <c r="R1611" t="s">
        <v>652</v>
      </c>
      <c r="S1611" t="s">
        <v>653</v>
      </c>
      <c r="T1611" t="s">
        <v>5084</v>
      </c>
      <c r="U1611" t="s">
        <v>5085</v>
      </c>
      <c r="V1611" t="s">
        <v>5086</v>
      </c>
      <c r="W1611" t="s">
        <v>5087</v>
      </c>
      <c r="AD1611" t="s">
        <v>1157</v>
      </c>
      <c r="AE1611" t="s">
        <v>5088</v>
      </c>
      <c r="AF1611" t="s">
        <v>5091</v>
      </c>
    </row>
    <row r="1612" spans="1:32" hidden="1" x14ac:dyDescent="0.35">
      <c r="A1612">
        <v>2458</v>
      </c>
      <c r="B1612" t="s">
        <v>5081</v>
      </c>
      <c r="C1612" t="s">
        <v>72</v>
      </c>
      <c r="D1612" t="s">
        <v>45</v>
      </c>
      <c r="E1612">
        <v>1207</v>
      </c>
      <c r="F1612">
        <v>5</v>
      </c>
      <c r="G1612">
        <v>5</v>
      </c>
      <c r="H1612">
        <v>1</v>
      </c>
      <c r="I1612">
        <v>1</v>
      </c>
      <c r="J1612">
        <v>0.77356740169842297</v>
      </c>
      <c r="K1612">
        <v>0.92986406955095402</v>
      </c>
      <c r="L1612">
        <v>0.84454531263024701</v>
      </c>
      <c r="M1612">
        <v>0.57142857142857095</v>
      </c>
      <c r="N1612">
        <v>1</v>
      </c>
      <c r="O1612">
        <v>0.670436507936508</v>
      </c>
      <c r="P1612" t="s">
        <v>5082</v>
      </c>
      <c r="Q1612" t="s">
        <v>5083</v>
      </c>
      <c r="R1612" t="s">
        <v>652</v>
      </c>
      <c r="S1612" t="s">
        <v>653</v>
      </c>
      <c r="T1612" t="s">
        <v>5084</v>
      </c>
      <c r="U1612" t="s">
        <v>5085</v>
      </c>
      <c r="V1612" t="s">
        <v>5086</v>
      </c>
      <c r="W1612" t="s">
        <v>5087</v>
      </c>
      <c r="AD1612" t="s">
        <v>1157</v>
      </c>
      <c r="AE1612" t="s">
        <v>5088</v>
      </c>
      <c r="AF1612" t="s">
        <v>5092</v>
      </c>
    </row>
    <row r="1613" spans="1:32" hidden="1" x14ac:dyDescent="0.35">
      <c r="A1613">
        <v>1804</v>
      </c>
      <c r="B1613" t="s">
        <v>3747</v>
      </c>
      <c r="C1613" t="s">
        <v>72</v>
      </c>
      <c r="D1613" t="s">
        <v>58</v>
      </c>
      <c r="E1613">
        <v>1156</v>
      </c>
      <c r="F1613">
        <v>5</v>
      </c>
      <c r="G1613">
        <v>5</v>
      </c>
      <c r="H1613">
        <v>1</v>
      </c>
      <c r="I1613">
        <v>1</v>
      </c>
      <c r="J1613">
        <v>0.82696613490064397</v>
      </c>
      <c r="K1613">
        <v>0.94528838598145304</v>
      </c>
      <c r="L1613">
        <v>0.88217744540718301</v>
      </c>
      <c r="M1613">
        <v>0.64356435643564402</v>
      </c>
      <c r="N1613">
        <v>1</v>
      </c>
      <c r="O1613">
        <v>0.75346534653465302</v>
      </c>
      <c r="P1613" t="s">
        <v>1390</v>
      </c>
      <c r="Q1613" t="s">
        <v>1391</v>
      </c>
      <c r="R1613" t="s">
        <v>869</v>
      </c>
      <c r="S1613" t="s">
        <v>870</v>
      </c>
      <c r="T1613" t="s">
        <v>3748</v>
      </c>
      <c r="U1613" t="s">
        <v>3749</v>
      </c>
      <c r="V1613" t="s">
        <v>3750</v>
      </c>
      <c r="W1613" t="s">
        <v>3751</v>
      </c>
      <c r="X1613" t="s">
        <v>3750</v>
      </c>
      <c r="Y1613" t="s">
        <v>1091</v>
      </c>
      <c r="Z1613" t="s">
        <v>1092</v>
      </c>
      <c r="AA1613" t="s">
        <v>1093</v>
      </c>
      <c r="AB1613" t="s">
        <v>1092</v>
      </c>
      <c r="AC1613" t="s">
        <v>1094</v>
      </c>
      <c r="AD1613" t="s">
        <v>219</v>
      </c>
      <c r="AE1613" t="s">
        <v>3752</v>
      </c>
      <c r="AF1613" t="s">
        <v>3753</v>
      </c>
    </row>
    <row r="1614" spans="1:32" hidden="1" x14ac:dyDescent="0.35">
      <c r="A1614">
        <v>2460</v>
      </c>
      <c r="B1614" t="s">
        <v>5093</v>
      </c>
      <c r="C1614" t="s">
        <v>72</v>
      </c>
      <c r="D1614" t="s">
        <v>60</v>
      </c>
      <c r="E1614">
        <v>991</v>
      </c>
      <c r="F1614">
        <v>5</v>
      </c>
      <c r="G1614">
        <v>5</v>
      </c>
      <c r="H1614">
        <v>1</v>
      </c>
      <c r="I1614">
        <v>1</v>
      </c>
      <c r="J1614">
        <v>0.93081876724931001</v>
      </c>
      <c r="K1614">
        <v>0.99362824865567101</v>
      </c>
      <c r="L1614">
        <v>0.96119853014797496</v>
      </c>
      <c r="M1614">
        <v>0.85191956124314405</v>
      </c>
      <c r="N1614">
        <v>1</v>
      </c>
      <c r="O1614">
        <v>0.90310786106032903</v>
      </c>
      <c r="P1614" t="s">
        <v>4603</v>
      </c>
      <c r="Q1614" t="s">
        <v>4604</v>
      </c>
      <c r="R1614" t="s">
        <v>652</v>
      </c>
      <c r="S1614" t="s">
        <v>653</v>
      </c>
      <c r="T1614" t="s">
        <v>5094</v>
      </c>
      <c r="U1614" t="s">
        <v>5095</v>
      </c>
      <c r="V1614" t="s">
        <v>5096</v>
      </c>
      <c r="W1614" t="s">
        <v>5097</v>
      </c>
      <c r="X1614" t="s">
        <v>5096</v>
      </c>
      <c r="Y1614" t="s">
        <v>3395</v>
      </c>
      <c r="Z1614" t="s">
        <v>3396</v>
      </c>
      <c r="AA1614" t="s">
        <v>3397</v>
      </c>
      <c r="AB1614" t="s">
        <v>3396</v>
      </c>
      <c r="AC1614" t="s">
        <v>729</v>
      </c>
      <c r="AD1614" t="s">
        <v>4609</v>
      </c>
      <c r="AE1614" t="s">
        <v>4610</v>
      </c>
      <c r="AF1614" t="s">
        <v>5099</v>
      </c>
    </row>
    <row r="1615" spans="1:32" hidden="1" x14ac:dyDescent="0.35">
      <c r="A1615">
        <v>2461</v>
      </c>
      <c r="B1615" t="s">
        <v>5093</v>
      </c>
      <c r="C1615" t="s">
        <v>72</v>
      </c>
      <c r="D1615" t="s">
        <v>62</v>
      </c>
      <c r="E1615">
        <v>1027</v>
      </c>
      <c r="F1615">
        <v>5</v>
      </c>
      <c r="G1615">
        <v>5</v>
      </c>
      <c r="H1615">
        <v>1</v>
      </c>
      <c r="I1615">
        <v>1</v>
      </c>
      <c r="J1615">
        <v>0.93081876724931001</v>
      </c>
      <c r="K1615">
        <v>0.99362824865567101</v>
      </c>
      <c r="L1615">
        <v>0.96119853014797496</v>
      </c>
      <c r="M1615">
        <v>0.85191956124314405</v>
      </c>
      <c r="N1615">
        <v>1</v>
      </c>
      <c r="O1615">
        <v>0.90310786106032903</v>
      </c>
      <c r="P1615" t="s">
        <v>4603</v>
      </c>
      <c r="Q1615" t="s">
        <v>4604</v>
      </c>
      <c r="R1615" t="s">
        <v>652</v>
      </c>
      <c r="S1615" t="s">
        <v>653</v>
      </c>
      <c r="T1615" t="s">
        <v>5094</v>
      </c>
      <c r="U1615" t="s">
        <v>5095</v>
      </c>
      <c r="V1615" t="s">
        <v>5096</v>
      </c>
      <c r="W1615" t="s">
        <v>5097</v>
      </c>
      <c r="X1615" t="s">
        <v>5096</v>
      </c>
      <c r="Y1615" t="s">
        <v>3395</v>
      </c>
      <c r="Z1615" t="s">
        <v>3396</v>
      </c>
      <c r="AA1615" t="s">
        <v>3397</v>
      </c>
      <c r="AB1615" t="s">
        <v>3396</v>
      </c>
      <c r="AC1615" t="s">
        <v>729</v>
      </c>
      <c r="AD1615" t="s">
        <v>4609</v>
      </c>
      <c r="AE1615" t="s">
        <v>4610</v>
      </c>
      <c r="AF1615" t="s">
        <v>5099</v>
      </c>
    </row>
    <row r="1616" spans="1:32" hidden="1" x14ac:dyDescent="0.35">
      <c r="A1616">
        <v>2462</v>
      </c>
      <c r="B1616" t="s">
        <v>5093</v>
      </c>
      <c r="C1616" t="s">
        <v>72</v>
      </c>
      <c r="D1616" t="s">
        <v>34</v>
      </c>
      <c r="E1616">
        <v>135</v>
      </c>
      <c r="F1616">
        <v>5</v>
      </c>
      <c r="G1616">
        <v>5</v>
      </c>
      <c r="H1616">
        <v>1</v>
      </c>
      <c r="I1616">
        <v>1</v>
      </c>
      <c r="J1616">
        <v>0.93081876724931001</v>
      </c>
      <c r="K1616">
        <v>0.99362824865567101</v>
      </c>
      <c r="L1616">
        <v>0.96119853014797496</v>
      </c>
      <c r="M1616">
        <v>0.85191956124314405</v>
      </c>
      <c r="N1616">
        <v>1</v>
      </c>
      <c r="O1616">
        <v>0.90310786106032903</v>
      </c>
      <c r="P1616" t="s">
        <v>4603</v>
      </c>
      <c r="Q1616" t="s">
        <v>4604</v>
      </c>
      <c r="R1616" t="s">
        <v>652</v>
      </c>
      <c r="S1616" t="s">
        <v>653</v>
      </c>
      <c r="T1616" t="s">
        <v>5094</v>
      </c>
      <c r="U1616" t="s">
        <v>5095</v>
      </c>
      <c r="V1616" t="s">
        <v>5096</v>
      </c>
      <c r="W1616" t="s">
        <v>5097</v>
      </c>
      <c r="X1616" t="s">
        <v>5096</v>
      </c>
      <c r="Y1616" t="s">
        <v>3395</v>
      </c>
      <c r="Z1616" t="s">
        <v>3396</v>
      </c>
      <c r="AA1616" t="s">
        <v>3397</v>
      </c>
      <c r="AB1616" t="s">
        <v>3396</v>
      </c>
      <c r="AC1616" t="s">
        <v>729</v>
      </c>
      <c r="AD1616" t="s">
        <v>4609</v>
      </c>
      <c r="AE1616" t="s">
        <v>4610</v>
      </c>
      <c r="AF1616" t="s">
        <v>5100</v>
      </c>
    </row>
    <row r="1617" spans="1:32" hidden="1" x14ac:dyDescent="0.35">
      <c r="A1617">
        <v>2463</v>
      </c>
      <c r="B1617" t="s">
        <v>5093</v>
      </c>
      <c r="C1617" t="s">
        <v>72</v>
      </c>
      <c r="D1617" t="s">
        <v>45</v>
      </c>
      <c r="E1617">
        <v>1397</v>
      </c>
      <c r="F1617">
        <v>5</v>
      </c>
      <c r="G1617">
        <v>5</v>
      </c>
      <c r="H1617">
        <v>1</v>
      </c>
      <c r="I1617">
        <v>1</v>
      </c>
      <c r="J1617">
        <v>0.93081876724931001</v>
      </c>
      <c r="K1617">
        <v>0.99362824865567101</v>
      </c>
      <c r="L1617">
        <v>0.96119853014797496</v>
      </c>
      <c r="M1617">
        <v>0.85191956124314405</v>
      </c>
      <c r="N1617">
        <v>1</v>
      </c>
      <c r="O1617">
        <v>0.90310786106032903</v>
      </c>
      <c r="P1617" t="s">
        <v>4603</v>
      </c>
      <c r="Q1617" t="s">
        <v>4604</v>
      </c>
      <c r="R1617" t="s">
        <v>652</v>
      </c>
      <c r="S1617" t="s">
        <v>653</v>
      </c>
      <c r="T1617" t="s">
        <v>5094</v>
      </c>
      <c r="U1617" t="s">
        <v>5095</v>
      </c>
      <c r="V1617" t="s">
        <v>5096</v>
      </c>
      <c r="W1617" t="s">
        <v>5097</v>
      </c>
      <c r="X1617" t="s">
        <v>5096</v>
      </c>
      <c r="Y1617" t="s">
        <v>3395</v>
      </c>
      <c r="Z1617" t="s">
        <v>3396</v>
      </c>
      <c r="AA1617" t="s">
        <v>3397</v>
      </c>
      <c r="AB1617" t="s">
        <v>3396</v>
      </c>
      <c r="AC1617" t="s">
        <v>729</v>
      </c>
      <c r="AD1617" t="s">
        <v>4609</v>
      </c>
      <c r="AE1617" t="s">
        <v>4610</v>
      </c>
      <c r="AF1617" t="s">
        <v>5101</v>
      </c>
    </row>
    <row r="1618" spans="1:32" hidden="1" x14ac:dyDescent="0.35">
      <c r="A1618">
        <v>3284</v>
      </c>
      <c r="B1618" t="s">
        <v>6753</v>
      </c>
      <c r="C1618" t="s">
        <v>72</v>
      </c>
      <c r="D1618" t="s">
        <v>58</v>
      </c>
      <c r="E1618">
        <v>1142</v>
      </c>
      <c r="F1618">
        <v>5</v>
      </c>
      <c r="G1618">
        <v>5</v>
      </c>
      <c r="H1618">
        <v>1</v>
      </c>
      <c r="I1618">
        <v>1</v>
      </c>
      <c r="J1618">
        <v>0.79949815729632201</v>
      </c>
      <c r="K1618">
        <v>0.894930163083827</v>
      </c>
      <c r="L1618">
        <v>0.84452674413975104</v>
      </c>
      <c r="M1618">
        <v>0.56576200417536504</v>
      </c>
      <c r="N1618">
        <v>1</v>
      </c>
      <c r="O1618">
        <v>0.68455114822547003</v>
      </c>
      <c r="P1618" t="s">
        <v>1390</v>
      </c>
      <c r="Q1618" t="s">
        <v>1391</v>
      </c>
      <c r="R1618" t="s">
        <v>869</v>
      </c>
      <c r="S1618" t="s">
        <v>870</v>
      </c>
      <c r="T1618" t="s">
        <v>6754</v>
      </c>
      <c r="U1618" t="s">
        <v>6755</v>
      </c>
      <c r="V1618" t="s">
        <v>6756</v>
      </c>
      <c r="W1618" t="s">
        <v>6757</v>
      </c>
      <c r="X1618" t="s">
        <v>6756</v>
      </c>
      <c r="Y1618" t="s">
        <v>1091</v>
      </c>
      <c r="Z1618" t="s">
        <v>1953</v>
      </c>
      <c r="AA1618" t="s">
        <v>1954</v>
      </c>
      <c r="AB1618" t="s">
        <v>1953</v>
      </c>
      <c r="AC1618" t="s">
        <v>878</v>
      </c>
      <c r="AD1618" t="s">
        <v>191</v>
      </c>
      <c r="AE1618" t="s">
        <v>6758</v>
      </c>
      <c r="AF1618" t="s">
        <v>6759</v>
      </c>
    </row>
    <row r="1619" spans="1:32" hidden="1" x14ac:dyDescent="0.35">
      <c r="A1619">
        <v>2725</v>
      </c>
      <c r="B1619" t="s">
        <v>5626</v>
      </c>
      <c r="C1619" t="s">
        <v>72</v>
      </c>
      <c r="D1619" t="s">
        <v>60</v>
      </c>
      <c r="E1619">
        <v>987</v>
      </c>
      <c r="F1619">
        <v>5</v>
      </c>
      <c r="G1619">
        <v>5</v>
      </c>
      <c r="H1619">
        <v>1</v>
      </c>
      <c r="I1619">
        <v>1</v>
      </c>
      <c r="J1619">
        <v>0.85879806468041797</v>
      </c>
      <c r="K1619">
        <v>0.97361149642124201</v>
      </c>
      <c r="L1619">
        <v>0.91260784338461598</v>
      </c>
      <c r="M1619">
        <v>0.67657992565055802</v>
      </c>
      <c r="N1619">
        <v>1</v>
      </c>
      <c r="O1619">
        <v>0.77063197026022301</v>
      </c>
      <c r="P1619" t="s">
        <v>5627</v>
      </c>
      <c r="Q1619" t="s">
        <v>5628</v>
      </c>
      <c r="R1619" t="s">
        <v>652</v>
      </c>
      <c r="S1619" t="s">
        <v>653</v>
      </c>
      <c r="T1619" t="s">
        <v>5629</v>
      </c>
      <c r="U1619" t="s">
        <v>5630</v>
      </c>
      <c r="V1619" t="s">
        <v>5631</v>
      </c>
      <c r="W1619" t="s">
        <v>5632</v>
      </c>
      <c r="X1619" t="s">
        <v>5631</v>
      </c>
      <c r="Y1619" t="s">
        <v>3395</v>
      </c>
      <c r="Z1619" t="s">
        <v>3396</v>
      </c>
      <c r="AA1619" t="s">
        <v>3397</v>
      </c>
      <c r="AB1619" t="s">
        <v>3396</v>
      </c>
      <c r="AC1619" t="s">
        <v>729</v>
      </c>
      <c r="AD1619" t="s">
        <v>5633</v>
      </c>
      <c r="AE1619" t="s">
        <v>5634</v>
      </c>
      <c r="AF1619" t="s">
        <v>5636</v>
      </c>
    </row>
    <row r="1620" spans="1:32" hidden="1" x14ac:dyDescent="0.35">
      <c r="A1620">
        <v>2726</v>
      </c>
      <c r="B1620" t="s">
        <v>5626</v>
      </c>
      <c r="C1620" t="s">
        <v>72</v>
      </c>
      <c r="D1620" t="s">
        <v>62</v>
      </c>
      <c r="E1620">
        <v>1023</v>
      </c>
      <c r="F1620">
        <v>5</v>
      </c>
      <c r="G1620">
        <v>5</v>
      </c>
      <c r="H1620">
        <v>1</v>
      </c>
      <c r="I1620">
        <v>1</v>
      </c>
      <c r="J1620">
        <v>0.85879806468041797</v>
      </c>
      <c r="K1620">
        <v>0.97361149642124201</v>
      </c>
      <c r="L1620">
        <v>0.91260784338461598</v>
      </c>
      <c r="M1620">
        <v>0.67657992565055802</v>
      </c>
      <c r="N1620">
        <v>1</v>
      </c>
      <c r="O1620">
        <v>0.77063197026022301</v>
      </c>
      <c r="P1620" t="s">
        <v>5627</v>
      </c>
      <c r="Q1620" t="s">
        <v>5628</v>
      </c>
      <c r="R1620" t="s">
        <v>652</v>
      </c>
      <c r="S1620" t="s">
        <v>653</v>
      </c>
      <c r="T1620" t="s">
        <v>5629</v>
      </c>
      <c r="U1620" t="s">
        <v>5630</v>
      </c>
      <c r="V1620" t="s">
        <v>5631</v>
      </c>
      <c r="W1620" t="s">
        <v>5632</v>
      </c>
      <c r="X1620" t="s">
        <v>5631</v>
      </c>
      <c r="Y1620" t="s">
        <v>3395</v>
      </c>
      <c r="Z1620" t="s">
        <v>3396</v>
      </c>
      <c r="AA1620" t="s">
        <v>3397</v>
      </c>
      <c r="AB1620" t="s">
        <v>3396</v>
      </c>
      <c r="AC1620" t="s">
        <v>729</v>
      </c>
      <c r="AD1620" t="s">
        <v>5633</v>
      </c>
      <c r="AE1620" t="s">
        <v>5634</v>
      </c>
      <c r="AF1620" t="s">
        <v>5636</v>
      </c>
    </row>
    <row r="1621" spans="1:32" hidden="1" x14ac:dyDescent="0.35">
      <c r="A1621">
        <v>2727</v>
      </c>
      <c r="B1621" t="s">
        <v>5626</v>
      </c>
      <c r="C1621" t="s">
        <v>72</v>
      </c>
      <c r="D1621" t="s">
        <v>34</v>
      </c>
      <c r="E1621">
        <v>139</v>
      </c>
      <c r="F1621">
        <v>5</v>
      </c>
      <c r="G1621">
        <v>5</v>
      </c>
      <c r="H1621">
        <v>1</v>
      </c>
      <c r="I1621">
        <v>1</v>
      </c>
      <c r="J1621">
        <v>0.85879806468041797</v>
      </c>
      <c r="K1621">
        <v>0.97361149642124201</v>
      </c>
      <c r="L1621">
        <v>0.91260784338461598</v>
      </c>
      <c r="M1621">
        <v>0.67657992565055802</v>
      </c>
      <c r="N1621">
        <v>1</v>
      </c>
      <c r="O1621">
        <v>0.77063197026022301</v>
      </c>
      <c r="P1621" t="s">
        <v>5627</v>
      </c>
      <c r="Q1621" t="s">
        <v>5628</v>
      </c>
      <c r="R1621" t="s">
        <v>652</v>
      </c>
      <c r="S1621" t="s">
        <v>653</v>
      </c>
      <c r="T1621" t="s">
        <v>5629</v>
      </c>
      <c r="U1621" t="s">
        <v>5630</v>
      </c>
      <c r="V1621" t="s">
        <v>5631</v>
      </c>
      <c r="W1621" t="s">
        <v>5632</v>
      </c>
      <c r="X1621" t="s">
        <v>5631</v>
      </c>
      <c r="Y1621" t="s">
        <v>3395</v>
      </c>
      <c r="Z1621" t="s">
        <v>3396</v>
      </c>
      <c r="AA1621" t="s">
        <v>3397</v>
      </c>
      <c r="AB1621" t="s">
        <v>3396</v>
      </c>
      <c r="AC1621" t="s">
        <v>729</v>
      </c>
      <c r="AD1621" t="s">
        <v>5633</v>
      </c>
      <c r="AE1621" t="s">
        <v>5634</v>
      </c>
      <c r="AF1621" t="s">
        <v>5637</v>
      </c>
    </row>
    <row r="1622" spans="1:32" hidden="1" x14ac:dyDescent="0.35">
      <c r="A1622">
        <v>2728</v>
      </c>
      <c r="B1622" t="s">
        <v>5626</v>
      </c>
      <c r="C1622" t="s">
        <v>72</v>
      </c>
      <c r="D1622" t="s">
        <v>45</v>
      </c>
      <c r="E1622">
        <v>1401</v>
      </c>
      <c r="F1622">
        <v>5</v>
      </c>
      <c r="G1622">
        <v>5</v>
      </c>
      <c r="H1622">
        <v>1</v>
      </c>
      <c r="I1622">
        <v>1</v>
      </c>
      <c r="J1622">
        <v>0.85879806468041797</v>
      </c>
      <c r="K1622">
        <v>0.97361149642124201</v>
      </c>
      <c r="L1622">
        <v>0.91260784338461598</v>
      </c>
      <c r="M1622">
        <v>0.67657992565055802</v>
      </c>
      <c r="N1622">
        <v>1</v>
      </c>
      <c r="O1622">
        <v>0.77063197026022301</v>
      </c>
      <c r="P1622" t="s">
        <v>5627</v>
      </c>
      <c r="Q1622" t="s">
        <v>5628</v>
      </c>
      <c r="R1622" t="s">
        <v>652</v>
      </c>
      <c r="S1622" t="s">
        <v>653</v>
      </c>
      <c r="T1622" t="s">
        <v>5629</v>
      </c>
      <c r="U1622" t="s">
        <v>5630</v>
      </c>
      <c r="V1622" t="s">
        <v>5631</v>
      </c>
      <c r="W1622" t="s">
        <v>5632</v>
      </c>
      <c r="X1622" t="s">
        <v>5631</v>
      </c>
      <c r="Y1622" t="s">
        <v>3395</v>
      </c>
      <c r="Z1622" t="s">
        <v>3396</v>
      </c>
      <c r="AA1622" t="s">
        <v>3397</v>
      </c>
      <c r="AB1622" t="s">
        <v>3396</v>
      </c>
      <c r="AC1622" t="s">
        <v>729</v>
      </c>
      <c r="AD1622" t="s">
        <v>5633</v>
      </c>
      <c r="AE1622" t="s">
        <v>5634</v>
      </c>
      <c r="AF1622" t="s">
        <v>5638</v>
      </c>
    </row>
    <row r="1623" spans="1:32" hidden="1" x14ac:dyDescent="0.35">
      <c r="A1623">
        <v>1764</v>
      </c>
      <c r="B1623" t="s">
        <v>3666</v>
      </c>
      <c r="C1623" t="s">
        <v>72</v>
      </c>
      <c r="D1623" t="s">
        <v>58</v>
      </c>
      <c r="E1623">
        <v>440</v>
      </c>
      <c r="F1623">
        <v>5</v>
      </c>
      <c r="G1623">
        <v>5</v>
      </c>
      <c r="H1623">
        <v>1</v>
      </c>
      <c r="I1623">
        <v>1</v>
      </c>
      <c r="J1623">
        <v>0.80098726942062903</v>
      </c>
      <c r="K1623">
        <v>0.95827067669172905</v>
      </c>
      <c r="L1623">
        <v>0.87259814785585099</v>
      </c>
      <c r="M1623">
        <v>0.57462686567164201</v>
      </c>
      <c r="N1623">
        <v>1</v>
      </c>
      <c r="O1623">
        <v>0.69850746268656705</v>
      </c>
      <c r="P1623" t="s">
        <v>3667</v>
      </c>
      <c r="Q1623" t="s">
        <v>3668</v>
      </c>
      <c r="R1623" t="s">
        <v>113</v>
      </c>
      <c r="S1623" t="s">
        <v>114</v>
      </c>
      <c r="T1623" t="s">
        <v>3669</v>
      </c>
      <c r="U1623" t="s">
        <v>3670</v>
      </c>
      <c r="V1623" t="s">
        <v>3671</v>
      </c>
      <c r="W1623" t="s">
        <v>3672</v>
      </c>
      <c r="AD1623" t="s">
        <v>410</v>
      </c>
      <c r="AE1623" t="s">
        <v>3673</v>
      </c>
      <c r="AF1623" t="e">
        <f>--MPIGKVKWYDLERGFGFVSNPGEEDCFLPKSVLPEGIDDLYPGQRIEFDFVAGRKGPQVLRMEVLDPP------KHKVHKYSADQLGSMVADLVTLLETTVQPGLAAGRYPEKKVGRQVAEILRVVATELDA</f>
        <v>#NAME?</v>
      </c>
    </row>
    <row r="1624" spans="1:32" hidden="1" x14ac:dyDescent="0.35">
      <c r="A1624">
        <v>2830</v>
      </c>
      <c r="B1624" t="s">
        <v>5853</v>
      </c>
      <c r="C1624" t="s">
        <v>72</v>
      </c>
      <c r="D1624" t="s">
        <v>60</v>
      </c>
      <c r="E1624">
        <v>1120</v>
      </c>
      <c r="F1624">
        <v>5</v>
      </c>
      <c r="G1624">
        <v>5</v>
      </c>
      <c r="H1624">
        <v>1</v>
      </c>
      <c r="I1624">
        <v>1</v>
      </c>
      <c r="J1624">
        <v>0.83038303830382998</v>
      </c>
      <c r="K1624">
        <v>0.97774021045368698</v>
      </c>
      <c r="L1624">
        <v>0.89805701816650996</v>
      </c>
      <c r="M1624">
        <v>0.689149560117302</v>
      </c>
      <c r="N1624">
        <v>1</v>
      </c>
      <c r="O1624">
        <v>0.76598240469208201</v>
      </c>
      <c r="P1624" t="s">
        <v>5862</v>
      </c>
      <c r="Q1624" t="s">
        <v>5863</v>
      </c>
      <c r="R1624" t="s">
        <v>652</v>
      </c>
      <c r="S1624" t="s">
        <v>653</v>
      </c>
      <c r="T1624" t="s">
        <v>5856</v>
      </c>
      <c r="U1624" t="s">
        <v>5857</v>
      </c>
      <c r="V1624" t="s">
        <v>5858</v>
      </c>
      <c r="W1624" t="s">
        <v>5859</v>
      </c>
      <c r="X1624" t="s">
        <v>5858</v>
      </c>
      <c r="Y1624" t="s">
        <v>619</v>
      </c>
      <c r="AD1624" t="s">
        <v>219</v>
      </c>
      <c r="AE1624" t="s">
        <v>5860</v>
      </c>
      <c r="AF1624" t="s">
        <v>5864</v>
      </c>
    </row>
    <row r="1625" spans="1:32" hidden="1" x14ac:dyDescent="0.35">
      <c r="A1625">
        <v>2831</v>
      </c>
      <c r="B1625" t="s">
        <v>5853</v>
      </c>
      <c r="C1625" t="s">
        <v>72</v>
      </c>
      <c r="D1625" t="s">
        <v>62</v>
      </c>
      <c r="E1625">
        <v>1156</v>
      </c>
      <c r="F1625">
        <v>5</v>
      </c>
      <c r="G1625">
        <v>5</v>
      </c>
      <c r="H1625">
        <v>1</v>
      </c>
      <c r="I1625">
        <v>1</v>
      </c>
      <c r="J1625">
        <v>0.83038303830382998</v>
      </c>
      <c r="K1625">
        <v>0.97774021045368698</v>
      </c>
      <c r="L1625">
        <v>0.89805701816650996</v>
      </c>
      <c r="M1625">
        <v>0.689149560117302</v>
      </c>
      <c r="N1625">
        <v>1</v>
      </c>
      <c r="O1625">
        <v>0.76598240469208201</v>
      </c>
      <c r="P1625" t="s">
        <v>5862</v>
      </c>
      <c r="Q1625" t="s">
        <v>5863</v>
      </c>
      <c r="R1625" t="s">
        <v>652</v>
      </c>
      <c r="S1625" t="s">
        <v>653</v>
      </c>
      <c r="T1625" t="s">
        <v>5856</v>
      </c>
      <c r="U1625" t="s">
        <v>5857</v>
      </c>
      <c r="V1625" t="s">
        <v>5858</v>
      </c>
      <c r="W1625" t="s">
        <v>5859</v>
      </c>
      <c r="X1625" t="s">
        <v>5858</v>
      </c>
      <c r="Y1625" t="s">
        <v>619</v>
      </c>
      <c r="AD1625" t="s">
        <v>219</v>
      </c>
      <c r="AE1625" t="s">
        <v>5860</v>
      </c>
      <c r="AF1625" t="s">
        <v>5864</v>
      </c>
    </row>
    <row r="1626" spans="1:32" hidden="1" x14ac:dyDescent="0.35">
      <c r="A1626">
        <v>2832</v>
      </c>
      <c r="B1626" t="s">
        <v>5853</v>
      </c>
      <c r="C1626" t="s">
        <v>72</v>
      </c>
      <c r="D1626" t="s">
        <v>34</v>
      </c>
      <c r="E1626">
        <v>29</v>
      </c>
      <c r="F1626">
        <v>5</v>
      </c>
      <c r="G1626">
        <v>5</v>
      </c>
      <c r="H1626">
        <v>1</v>
      </c>
      <c r="I1626">
        <v>1</v>
      </c>
      <c r="J1626">
        <v>0.83038303830382998</v>
      </c>
      <c r="K1626">
        <v>0.97774021045368698</v>
      </c>
      <c r="L1626">
        <v>0.89805701816650996</v>
      </c>
      <c r="M1626">
        <v>0.689149560117302</v>
      </c>
      <c r="N1626">
        <v>1</v>
      </c>
      <c r="O1626">
        <v>0.76598240469208201</v>
      </c>
      <c r="P1626" t="s">
        <v>5862</v>
      </c>
      <c r="Q1626" t="s">
        <v>5863</v>
      </c>
      <c r="R1626" t="s">
        <v>652</v>
      </c>
      <c r="S1626" t="s">
        <v>653</v>
      </c>
      <c r="T1626" t="s">
        <v>5856</v>
      </c>
      <c r="U1626" t="s">
        <v>5857</v>
      </c>
      <c r="V1626" t="s">
        <v>5858</v>
      </c>
      <c r="W1626" t="s">
        <v>5859</v>
      </c>
      <c r="X1626" t="s">
        <v>5858</v>
      </c>
      <c r="Y1626" t="s">
        <v>619</v>
      </c>
      <c r="AD1626" t="s">
        <v>219</v>
      </c>
      <c r="AE1626" t="s">
        <v>5860</v>
      </c>
      <c r="AF1626" t="s">
        <v>5865</v>
      </c>
    </row>
    <row r="1627" spans="1:32" hidden="1" x14ac:dyDescent="0.35">
      <c r="A1627">
        <v>2833</v>
      </c>
      <c r="B1627" t="s">
        <v>5853</v>
      </c>
      <c r="C1627" t="s">
        <v>72</v>
      </c>
      <c r="D1627" t="s">
        <v>45</v>
      </c>
      <c r="E1627">
        <v>1286</v>
      </c>
      <c r="F1627">
        <v>5</v>
      </c>
      <c r="G1627">
        <v>5</v>
      </c>
      <c r="H1627">
        <v>1</v>
      </c>
      <c r="I1627">
        <v>1</v>
      </c>
      <c r="J1627">
        <v>0.83038303830382998</v>
      </c>
      <c r="K1627">
        <v>0.97774021045368698</v>
      </c>
      <c r="L1627">
        <v>0.89805701816650996</v>
      </c>
      <c r="M1627">
        <v>0.689149560117302</v>
      </c>
      <c r="N1627">
        <v>1</v>
      </c>
      <c r="O1627">
        <v>0.76598240469208201</v>
      </c>
      <c r="P1627" t="s">
        <v>5862</v>
      </c>
      <c r="Q1627" t="s">
        <v>5863</v>
      </c>
      <c r="R1627" t="s">
        <v>652</v>
      </c>
      <c r="S1627" t="s">
        <v>653</v>
      </c>
      <c r="T1627" t="s">
        <v>5856</v>
      </c>
      <c r="U1627" t="s">
        <v>5857</v>
      </c>
      <c r="V1627" t="s">
        <v>5858</v>
      </c>
      <c r="W1627" t="s">
        <v>5859</v>
      </c>
      <c r="X1627" t="s">
        <v>5858</v>
      </c>
      <c r="Y1627" t="s">
        <v>619</v>
      </c>
      <c r="AD1627" t="s">
        <v>219</v>
      </c>
      <c r="AE1627" t="s">
        <v>5860</v>
      </c>
      <c r="AF1627" t="s">
        <v>5866</v>
      </c>
    </row>
    <row r="1628" spans="1:32" hidden="1" x14ac:dyDescent="0.35">
      <c r="A1628">
        <v>6113</v>
      </c>
      <c r="B1628" t="s">
        <v>12568</v>
      </c>
      <c r="C1628" t="s">
        <v>68</v>
      </c>
      <c r="D1628" t="s">
        <v>58</v>
      </c>
      <c r="E1628">
        <v>130</v>
      </c>
      <c r="F1628">
        <v>3</v>
      </c>
      <c r="G1628">
        <v>3</v>
      </c>
      <c r="H1628">
        <v>1</v>
      </c>
      <c r="I1628">
        <v>0</v>
      </c>
      <c r="J1628">
        <v>0.88448844884488498</v>
      </c>
      <c r="K1628">
        <v>0.99019607843137303</v>
      </c>
      <c r="L1628">
        <v>0.93436200141528203</v>
      </c>
      <c r="M1628">
        <v>0.76470588235294101</v>
      </c>
      <c r="N1628">
        <v>1</v>
      </c>
      <c r="O1628">
        <v>0.84313725490196101</v>
      </c>
      <c r="P1628" t="s">
        <v>3667</v>
      </c>
      <c r="Q1628" t="s">
        <v>3668</v>
      </c>
      <c r="R1628" t="s">
        <v>113</v>
      </c>
      <c r="S1628" t="s">
        <v>114</v>
      </c>
      <c r="T1628" t="s">
        <v>3669</v>
      </c>
      <c r="U1628" t="s">
        <v>3670</v>
      </c>
      <c r="V1628" t="s">
        <v>3671</v>
      </c>
      <c r="W1628" t="s">
        <v>3672</v>
      </c>
      <c r="AD1628" t="s">
        <v>410</v>
      </c>
      <c r="AE1628" t="s">
        <v>3673</v>
      </c>
      <c r="AF1628" t="s">
        <v>12569</v>
      </c>
    </row>
    <row r="1629" spans="1:32" hidden="1" x14ac:dyDescent="0.35">
      <c r="A1629">
        <v>2915</v>
      </c>
      <c r="B1629" t="s">
        <v>6007</v>
      </c>
      <c r="C1629" t="s">
        <v>72</v>
      </c>
      <c r="D1629" t="s">
        <v>60</v>
      </c>
      <c r="E1629">
        <v>2449</v>
      </c>
      <c r="F1629">
        <v>5</v>
      </c>
      <c r="G1629">
        <v>5</v>
      </c>
      <c r="H1629">
        <v>1</v>
      </c>
      <c r="I1629">
        <v>1</v>
      </c>
      <c r="J1629">
        <v>0.881195443112887</v>
      </c>
      <c r="K1629">
        <v>0.79612577625185399</v>
      </c>
      <c r="L1629">
        <v>0.83650334602401499</v>
      </c>
      <c r="M1629">
        <v>0.168195718654434</v>
      </c>
      <c r="N1629">
        <v>1</v>
      </c>
      <c r="O1629">
        <v>0.58256880733944905</v>
      </c>
      <c r="P1629" t="s">
        <v>6008</v>
      </c>
      <c r="Q1629" t="s">
        <v>6009</v>
      </c>
      <c r="R1629" t="s">
        <v>652</v>
      </c>
      <c r="S1629" t="s">
        <v>653</v>
      </c>
      <c r="T1629" t="s">
        <v>6010</v>
      </c>
      <c r="U1629" t="s">
        <v>6011</v>
      </c>
      <c r="V1629" t="s">
        <v>3408</v>
      </c>
      <c r="W1629" t="s">
        <v>3409</v>
      </c>
      <c r="X1629" t="s">
        <v>3408</v>
      </c>
      <c r="Y1629" t="s">
        <v>1782</v>
      </c>
      <c r="AD1629" t="s">
        <v>6012</v>
      </c>
      <c r="AE1629" t="s">
        <v>6013</v>
      </c>
      <c r="AF1629" t="s">
        <v>6015</v>
      </c>
    </row>
    <row r="1630" spans="1:32" hidden="1" x14ac:dyDescent="0.35">
      <c r="A1630">
        <v>2916</v>
      </c>
      <c r="B1630" t="s">
        <v>6007</v>
      </c>
      <c r="C1630" t="s">
        <v>72</v>
      </c>
      <c r="D1630" t="s">
        <v>62</v>
      </c>
      <c r="E1630">
        <v>2475</v>
      </c>
      <c r="F1630">
        <v>5</v>
      </c>
      <c r="G1630">
        <v>5</v>
      </c>
      <c r="H1630">
        <v>1</v>
      </c>
      <c r="I1630">
        <v>1</v>
      </c>
      <c r="J1630">
        <v>0.881195443112887</v>
      </c>
      <c r="K1630">
        <v>0.79612577625185399</v>
      </c>
      <c r="L1630">
        <v>0.83650334602401499</v>
      </c>
      <c r="M1630">
        <v>0.168195718654434</v>
      </c>
      <c r="N1630">
        <v>1</v>
      </c>
      <c r="O1630">
        <v>0.58256880733944905</v>
      </c>
      <c r="P1630" t="s">
        <v>6008</v>
      </c>
      <c r="Q1630" t="s">
        <v>6009</v>
      </c>
      <c r="R1630" t="s">
        <v>652</v>
      </c>
      <c r="S1630" t="s">
        <v>653</v>
      </c>
      <c r="T1630" t="s">
        <v>6010</v>
      </c>
      <c r="U1630" t="s">
        <v>6011</v>
      </c>
      <c r="V1630" t="s">
        <v>3408</v>
      </c>
      <c r="W1630" t="s">
        <v>3409</v>
      </c>
      <c r="X1630" t="s">
        <v>3408</v>
      </c>
      <c r="Y1630" t="s">
        <v>1782</v>
      </c>
      <c r="AD1630" t="s">
        <v>6012</v>
      </c>
      <c r="AE1630" t="s">
        <v>6013</v>
      </c>
      <c r="AF1630" t="s">
        <v>6015</v>
      </c>
    </row>
    <row r="1631" spans="1:32" hidden="1" x14ac:dyDescent="0.35">
      <c r="A1631">
        <v>2917</v>
      </c>
      <c r="B1631" t="s">
        <v>6007</v>
      </c>
      <c r="C1631" t="s">
        <v>72</v>
      </c>
      <c r="D1631" t="s">
        <v>34</v>
      </c>
      <c r="E1631">
        <v>1261</v>
      </c>
      <c r="F1631">
        <v>5</v>
      </c>
      <c r="G1631">
        <v>5</v>
      </c>
      <c r="H1631">
        <v>1</v>
      </c>
      <c r="I1631">
        <v>1</v>
      </c>
      <c r="J1631">
        <v>0.881195443112887</v>
      </c>
      <c r="K1631">
        <v>0.79612577625185399</v>
      </c>
      <c r="L1631">
        <v>0.83650334602401499</v>
      </c>
      <c r="M1631">
        <v>0.168195718654434</v>
      </c>
      <c r="N1631">
        <v>1</v>
      </c>
      <c r="O1631">
        <v>0.58256880733944905</v>
      </c>
      <c r="P1631" t="s">
        <v>6008</v>
      </c>
      <c r="Q1631" t="s">
        <v>6009</v>
      </c>
      <c r="R1631" t="s">
        <v>652</v>
      </c>
      <c r="S1631" t="s">
        <v>653</v>
      </c>
      <c r="T1631" t="s">
        <v>6010</v>
      </c>
      <c r="U1631" t="s">
        <v>6011</v>
      </c>
      <c r="V1631" t="s">
        <v>3408</v>
      </c>
      <c r="W1631" t="s">
        <v>3409</v>
      </c>
      <c r="X1631" t="s">
        <v>3408</v>
      </c>
      <c r="Y1631" t="s">
        <v>1782</v>
      </c>
      <c r="AD1631" t="s">
        <v>6012</v>
      </c>
      <c r="AE1631" t="s">
        <v>6013</v>
      </c>
      <c r="AF1631" t="s">
        <v>6016</v>
      </c>
    </row>
    <row r="1632" spans="1:32" hidden="1" x14ac:dyDescent="0.35">
      <c r="A1632">
        <v>2918</v>
      </c>
      <c r="B1632" t="s">
        <v>6007</v>
      </c>
      <c r="C1632" t="s">
        <v>72</v>
      </c>
      <c r="D1632" t="s">
        <v>45</v>
      </c>
      <c r="E1632">
        <v>2503</v>
      </c>
      <c r="F1632">
        <v>5</v>
      </c>
      <c r="G1632">
        <v>5</v>
      </c>
      <c r="H1632">
        <v>1</v>
      </c>
      <c r="I1632">
        <v>1</v>
      </c>
      <c r="J1632">
        <v>0.881195443112887</v>
      </c>
      <c r="K1632">
        <v>0.79612577625185399</v>
      </c>
      <c r="L1632">
        <v>0.83650334602401499</v>
      </c>
      <c r="M1632">
        <v>0.168195718654434</v>
      </c>
      <c r="N1632">
        <v>1</v>
      </c>
      <c r="O1632">
        <v>0.58256880733944905</v>
      </c>
      <c r="P1632" t="s">
        <v>6008</v>
      </c>
      <c r="Q1632" t="s">
        <v>6009</v>
      </c>
      <c r="R1632" t="s">
        <v>652</v>
      </c>
      <c r="S1632" t="s">
        <v>653</v>
      </c>
      <c r="V1632" t="s">
        <v>3408</v>
      </c>
      <c r="W1632" t="s">
        <v>3409</v>
      </c>
      <c r="X1632" t="s">
        <v>3408</v>
      </c>
      <c r="Y1632" t="s">
        <v>1782</v>
      </c>
      <c r="AF1632" t="s">
        <v>6017</v>
      </c>
    </row>
    <row r="1633" spans="1:32" hidden="1" x14ac:dyDescent="0.35">
      <c r="A1633">
        <v>3069</v>
      </c>
      <c r="B1633" t="s">
        <v>6342</v>
      </c>
      <c r="C1633" t="s">
        <v>72</v>
      </c>
      <c r="D1633" t="s">
        <v>58</v>
      </c>
      <c r="E1633">
        <v>1840</v>
      </c>
      <c r="F1633">
        <v>5</v>
      </c>
      <c r="G1633">
        <v>5</v>
      </c>
      <c r="H1633">
        <v>1</v>
      </c>
      <c r="I1633">
        <v>1</v>
      </c>
      <c r="J1633">
        <v>0.71637885923600197</v>
      </c>
      <c r="K1633">
        <v>0.952645861601085</v>
      </c>
      <c r="L1633">
        <v>0.81778939169625098</v>
      </c>
      <c r="M1633">
        <v>0.44776119402985098</v>
      </c>
      <c r="N1633">
        <v>1</v>
      </c>
      <c r="O1633">
        <v>0.61492537313432805</v>
      </c>
      <c r="P1633" t="s">
        <v>6343</v>
      </c>
      <c r="Q1633" t="s">
        <v>6344</v>
      </c>
      <c r="R1633" t="s">
        <v>342</v>
      </c>
      <c r="S1633" t="s">
        <v>343</v>
      </c>
      <c r="V1633" t="s">
        <v>6345</v>
      </c>
      <c r="W1633" t="s">
        <v>6346</v>
      </c>
      <c r="AF1633" t="s">
        <v>6347</v>
      </c>
    </row>
    <row r="1634" spans="1:32" hidden="1" x14ac:dyDescent="0.35">
      <c r="A1634">
        <v>2975</v>
      </c>
      <c r="B1634" t="s">
        <v>6140</v>
      </c>
      <c r="C1634" t="s">
        <v>72</v>
      </c>
      <c r="D1634" t="s">
        <v>60</v>
      </c>
      <c r="E1634">
        <v>2224</v>
      </c>
      <c r="F1634">
        <v>5</v>
      </c>
      <c r="G1634">
        <v>5</v>
      </c>
      <c r="H1634">
        <v>1</v>
      </c>
      <c r="I1634">
        <v>1</v>
      </c>
      <c r="J1634">
        <v>0.91829371816638405</v>
      </c>
      <c r="K1634">
        <v>0.98793051811919697</v>
      </c>
      <c r="L1634">
        <v>0.95184015763170204</v>
      </c>
      <c r="M1634">
        <v>0.81132075471698095</v>
      </c>
      <c r="N1634">
        <v>1</v>
      </c>
      <c r="O1634">
        <v>0.87735849056603799</v>
      </c>
      <c r="P1634" t="s">
        <v>6141</v>
      </c>
      <c r="Q1634" t="s">
        <v>6142</v>
      </c>
      <c r="R1634" t="s">
        <v>652</v>
      </c>
      <c r="S1634" t="s">
        <v>653</v>
      </c>
      <c r="T1634" t="s">
        <v>6143</v>
      </c>
      <c r="U1634" t="s">
        <v>6144</v>
      </c>
      <c r="V1634" t="s">
        <v>6145</v>
      </c>
      <c r="W1634" t="s">
        <v>6146</v>
      </c>
      <c r="AD1634" t="s">
        <v>439</v>
      </c>
      <c r="AE1634" t="s">
        <v>6147</v>
      </c>
      <c r="AF1634" t="s">
        <v>6149</v>
      </c>
    </row>
    <row r="1635" spans="1:32" hidden="1" x14ac:dyDescent="0.35">
      <c r="A1635">
        <v>2976</v>
      </c>
      <c r="B1635" t="s">
        <v>6140</v>
      </c>
      <c r="C1635" t="s">
        <v>72</v>
      </c>
      <c r="D1635" t="s">
        <v>62</v>
      </c>
      <c r="E1635">
        <v>2254</v>
      </c>
      <c r="F1635">
        <v>5</v>
      </c>
      <c r="G1635">
        <v>5</v>
      </c>
      <c r="H1635">
        <v>1</v>
      </c>
      <c r="I1635">
        <v>1</v>
      </c>
      <c r="J1635">
        <v>0.91829371816638405</v>
      </c>
      <c r="K1635">
        <v>0.98793051811919697</v>
      </c>
      <c r="L1635">
        <v>0.95184015763170204</v>
      </c>
      <c r="M1635">
        <v>0.81132075471698095</v>
      </c>
      <c r="N1635">
        <v>1</v>
      </c>
      <c r="O1635">
        <v>0.87735849056603799</v>
      </c>
      <c r="P1635" t="s">
        <v>6141</v>
      </c>
      <c r="Q1635" t="s">
        <v>6142</v>
      </c>
      <c r="R1635" t="s">
        <v>652</v>
      </c>
      <c r="S1635" t="s">
        <v>653</v>
      </c>
      <c r="T1635" t="s">
        <v>6143</v>
      </c>
      <c r="U1635" t="s">
        <v>6144</v>
      </c>
      <c r="V1635" t="s">
        <v>6145</v>
      </c>
      <c r="W1635" t="s">
        <v>6146</v>
      </c>
      <c r="AD1635" t="s">
        <v>439</v>
      </c>
      <c r="AE1635" t="s">
        <v>6147</v>
      </c>
      <c r="AF1635" t="s">
        <v>6150</v>
      </c>
    </row>
    <row r="1636" spans="1:32" hidden="1" x14ac:dyDescent="0.35">
      <c r="A1636">
        <v>2977</v>
      </c>
      <c r="B1636" t="s">
        <v>6140</v>
      </c>
      <c r="C1636" t="s">
        <v>72</v>
      </c>
      <c r="D1636" t="s">
        <v>34</v>
      </c>
      <c r="E1636">
        <v>591</v>
      </c>
      <c r="F1636">
        <v>5</v>
      </c>
      <c r="G1636">
        <v>5</v>
      </c>
      <c r="H1636">
        <v>1</v>
      </c>
      <c r="I1636">
        <v>1</v>
      </c>
      <c r="J1636">
        <v>0.91829371816638405</v>
      </c>
      <c r="K1636">
        <v>0.98793051811919697</v>
      </c>
      <c r="L1636">
        <v>0.95184015763170204</v>
      </c>
      <c r="M1636">
        <v>0.81132075471698095</v>
      </c>
      <c r="N1636">
        <v>1</v>
      </c>
      <c r="O1636">
        <v>0.87735849056603799</v>
      </c>
      <c r="P1636" t="s">
        <v>6141</v>
      </c>
      <c r="Q1636" t="s">
        <v>6142</v>
      </c>
      <c r="R1636" t="s">
        <v>652</v>
      </c>
      <c r="S1636" t="s">
        <v>653</v>
      </c>
      <c r="T1636" t="s">
        <v>6143</v>
      </c>
      <c r="U1636" t="s">
        <v>6144</v>
      </c>
      <c r="V1636" t="s">
        <v>6145</v>
      </c>
      <c r="W1636" t="s">
        <v>6146</v>
      </c>
      <c r="AD1636" t="s">
        <v>439</v>
      </c>
      <c r="AE1636" t="s">
        <v>6147</v>
      </c>
      <c r="AF1636" t="s">
        <v>6151</v>
      </c>
    </row>
    <row r="1637" spans="1:32" hidden="1" x14ac:dyDescent="0.35">
      <c r="A1637">
        <v>2978</v>
      </c>
      <c r="B1637" t="s">
        <v>6140</v>
      </c>
      <c r="C1637" t="s">
        <v>72</v>
      </c>
      <c r="D1637" t="s">
        <v>45</v>
      </c>
      <c r="E1637">
        <v>1858</v>
      </c>
      <c r="F1637">
        <v>5</v>
      </c>
      <c r="G1637">
        <v>5</v>
      </c>
      <c r="H1637">
        <v>1</v>
      </c>
      <c r="I1637">
        <v>1</v>
      </c>
      <c r="J1637">
        <v>0.91829371816638405</v>
      </c>
      <c r="K1637">
        <v>0.98793051811919697</v>
      </c>
      <c r="L1637">
        <v>0.95184015763170204</v>
      </c>
      <c r="M1637">
        <v>0.81132075471698095</v>
      </c>
      <c r="N1637">
        <v>1</v>
      </c>
      <c r="O1637">
        <v>0.87735849056603799</v>
      </c>
      <c r="P1637" t="s">
        <v>6141</v>
      </c>
      <c r="Q1637" t="s">
        <v>6142</v>
      </c>
      <c r="R1637" t="s">
        <v>652</v>
      </c>
      <c r="S1637" t="s">
        <v>653</v>
      </c>
      <c r="T1637" t="s">
        <v>6143</v>
      </c>
      <c r="U1637" t="s">
        <v>6144</v>
      </c>
      <c r="V1637" t="s">
        <v>6145</v>
      </c>
      <c r="W1637" t="s">
        <v>6146</v>
      </c>
      <c r="AD1637" t="s">
        <v>439</v>
      </c>
      <c r="AE1637" t="s">
        <v>6147</v>
      </c>
      <c r="AF1637" t="s">
        <v>6151</v>
      </c>
    </row>
    <row r="1638" spans="1:32" hidden="1" x14ac:dyDescent="0.35">
      <c r="A1638">
        <v>11533</v>
      </c>
      <c r="B1638" t="s">
        <v>23566</v>
      </c>
      <c r="C1638" t="s">
        <v>33</v>
      </c>
      <c r="D1638" t="s">
        <v>58</v>
      </c>
      <c r="E1638">
        <v>422</v>
      </c>
      <c r="F1638">
        <v>1</v>
      </c>
      <c r="G1638">
        <v>1</v>
      </c>
      <c r="H1638">
        <v>1</v>
      </c>
      <c r="I1638">
        <v>0</v>
      </c>
      <c r="J1638">
        <v>1</v>
      </c>
      <c r="K1638">
        <v>1</v>
      </c>
      <c r="L1638">
        <v>1</v>
      </c>
      <c r="M1638">
        <v>0</v>
      </c>
      <c r="N1638">
        <v>0</v>
      </c>
      <c r="O1638">
        <v>0</v>
      </c>
      <c r="P1638" t="s">
        <v>6343</v>
      </c>
      <c r="Q1638" t="s">
        <v>6344</v>
      </c>
      <c r="R1638" t="s">
        <v>342</v>
      </c>
      <c r="S1638" t="s">
        <v>343</v>
      </c>
      <c r="T1638" t="s">
        <v>6348</v>
      </c>
      <c r="U1638" t="s">
        <v>6349</v>
      </c>
      <c r="V1638" t="s">
        <v>6345</v>
      </c>
      <c r="W1638" t="s">
        <v>6346</v>
      </c>
      <c r="AF1638" t="s">
        <v>23567</v>
      </c>
    </row>
    <row r="1639" spans="1:32" hidden="1" x14ac:dyDescent="0.35">
      <c r="A1639">
        <v>2985</v>
      </c>
      <c r="B1639" t="s">
        <v>6162</v>
      </c>
      <c r="C1639" t="s">
        <v>72</v>
      </c>
      <c r="D1639" t="s">
        <v>60</v>
      </c>
      <c r="E1639">
        <v>526</v>
      </c>
      <c r="F1639">
        <v>5</v>
      </c>
      <c r="G1639">
        <v>5</v>
      </c>
      <c r="H1639">
        <v>1</v>
      </c>
      <c r="I1639">
        <v>1</v>
      </c>
      <c r="J1639">
        <v>0.88041091037902897</v>
      </c>
      <c r="K1639">
        <v>0.98245909801626297</v>
      </c>
      <c r="L1639">
        <v>0.92863989972092098</v>
      </c>
      <c r="M1639">
        <v>0.76826722338204601</v>
      </c>
      <c r="N1639">
        <v>1</v>
      </c>
      <c r="O1639">
        <v>0.83173277661795397</v>
      </c>
      <c r="P1639" t="s">
        <v>182</v>
      </c>
      <c r="Q1639" t="s">
        <v>183</v>
      </c>
      <c r="R1639" t="s">
        <v>652</v>
      </c>
      <c r="S1639" t="s">
        <v>653</v>
      </c>
      <c r="T1639" t="s">
        <v>6163</v>
      </c>
      <c r="U1639" t="s">
        <v>6164</v>
      </c>
      <c r="V1639" t="s">
        <v>3104</v>
      </c>
      <c r="W1639" t="s">
        <v>3105</v>
      </c>
      <c r="X1639" t="s">
        <v>3104</v>
      </c>
      <c r="Y1639" t="s">
        <v>3106</v>
      </c>
      <c r="AD1639" t="s">
        <v>219</v>
      </c>
      <c r="AE1639" t="s">
        <v>6165</v>
      </c>
      <c r="AF1639" t="s">
        <v>6167</v>
      </c>
    </row>
    <row r="1640" spans="1:32" hidden="1" x14ac:dyDescent="0.35">
      <c r="A1640">
        <v>2986</v>
      </c>
      <c r="B1640" t="s">
        <v>6162</v>
      </c>
      <c r="C1640" t="s">
        <v>72</v>
      </c>
      <c r="D1640" t="s">
        <v>62</v>
      </c>
      <c r="E1640">
        <v>610</v>
      </c>
      <c r="F1640">
        <v>5</v>
      </c>
      <c r="G1640">
        <v>5</v>
      </c>
      <c r="H1640">
        <v>1</v>
      </c>
      <c r="I1640">
        <v>1</v>
      </c>
      <c r="J1640">
        <v>0.88041091037902897</v>
      </c>
      <c r="K1640">
        <v>0.98245909801626297</v>
      </c>
      <c r="L1640">
        <v>0.92863989972092098</v>
      </c>
      <c r="M1640">
        <v>0.76826722338204601</v>
      </c>
      <c r="N1640">
        <v>1</v>
      </c>
      <c r="O1640">
        <v>0.83173277661795397</v>
      </c>
      <c r="P1640" t="s">
        <v>182</v>
      </c>
      <c r="Q1640" t="s">
        <v>183</v>
      </c>
      <c r="R1640" t="s">
        <v>652</v>
      </c>
      <c r="S1640" t="s">
        <v>653</v>
      </c>
      <c r="T1640" t="s">
        <v>6163</v>
      </c>
      <c r="U1640" t="s">
        <v>6164</v>
      </c>
      <c r="V1640" t="s">
        <v>3104</v>
      </c>
      <c r="W1640" t="s">
        <v>3105</v>
      </c>
      <c r="X1640" t="s">
        <v>3104</v>
      </c>
      <c r="Y1640" t="s">
        <v>3106</v>
      </c>
      <c r="AD1640" t="s">
        <v>219</v>
      </c>
      <c r="AE1640" t="s">
        <v>6165</v>
      </c>
      <c r="AF1640" t="s">
        <v>6167</v>
      </c>
    </row>
    <row r="1641" spans="1:32" hidden="1" x14ac:dyDescent="0.35">
      <c r="A1641">
        <v>2987</v>
      </c>
      <c r="B1641" t="s">
        <v>6162</v>
      </c>
      <c r="C1641" t="s">
        <v>72</v>
      </c>
      <c r="D1641" t="s">
        <v>34</v>
      </c>
      <c r="E1641">
        <v>569</v>
      </c>
      <c r="F1641">
        <v>5</v>
      </c>
      <c r="G1641">
        <v>5</v>
      </c>
      <c r="H1641">
        <v>1</v>
      </c>
      <c r="I1641">
        <v>1</v>
      </c>
      <c r="J1641">
        <v>0.88041091037902897</v>
      </c>
      <c r="K1641">
        <v>0.98245909801626297</v>
      </c>
      <c r="L1641">
        <v>0.92863989972092098</v>
      </c>
      <c r="M1641">
        <v>0.76826722338204601</v>
      </c>
      <c r="N1641">
        <v>1</v>
      </c>
      <c r="O1641">
        <v>0.83173277661795397</v>
      </c>
      <c r="P1641" t="s">
        <v>182</v>
      </c>
      <c r="Q1641" t="s">
        <v>183</v>
      </c>
      <c r="R1641" t="s">
        <v>652</v>
      </c>
      <c r="S1641" t="s">
        <v>653</v>
      </c>
      <c r="T1641" t="s">
        <v>6163</v>
      </c>
      <c r="U1641" t="s">
        <v>6164</v>
      </c>
      <c r="V1641" t="s">
        <v>3104</v>
      </c>
      <c r="W1641" t="s">
        <v>3105</v>
      </c>
      <c r="X1641" t="s">
        <v>3104</v>
      </c>
      <c r="Y1641" t="s">
        <v>3106</v>
      </c>
      <c r="AD1641" t="s">
        <v>219</v>
      </c>
      <c r="AE1641" t="s">
        <v>6165</v>
      </c>
      <c r="AF1641" t="s">
        <v>6168</v>
      </c>
    </row>
    <row r="1642" spans="1:32" hidden="1" x14ac:dyDescent="0.35">
      <c r="A1642">
        <v>2988</v>
      </c>
      <c r="B1642" t="s">
        <v>6162</v>
      </c>
      <c r="C1642" t="s">
        <v>72</v>
      </c>
      <c r="D1642" t="s">
        <v>45</v>
      </c>
      <c r="E1642">
        <v>1835</v>
      </c>
      <c r="F1642">
        <v>5</v>
      </c>
      <c r="G1642">
        <v>5</v>
      </c>
      <c r="H1642">
        <v>1</v>
      </c>
      <c r="I1642">
        <v>1</v>
      </c>
      <c r="J1642">
        <v>0.88041091037902897</v>
      </c>
      <c r="K1642">
        <v>0.98245909801626297</v>
      </c>
      <c r="L1642">
        <v>0.92863989972092098</v>
      </c>
      <c r="M1642">
        <v>0.76826722338204601</v>
      </c>
      <c r="N1642">
        <v>1</v>
      </c>
      <c r="O1642">
        <v>0.83173277661795397</v>
      </c>
      <c r="P1642" t="s">
        <v>182</v>
      </c>
      <c r="Q1642" t="s">
        <v>183</v>
      </c>
      <c r="R1642" t="s">
        <v>652</v>
      </c>
      <c r="S1642" t="s">
        <v>653</v>
      </c>
      <c r="T1642" t="s">
        <v>6163</v>
      </c>
      <c r="U1642" t="s">
        <v>6164</v>
      </c>
      <c r="V1642" t="s">
        <v>3104</v>
      </c>
      <c r="W1642" t="s">
        <v>3105</v>
      </c>
      <c r="X1642" t="s">
        <v>3104</v>
      </c>
      <c r="Y1642" t="s">
        <v>3106</v>
      </c>
      <c r="AD1642" t="s">
        <v>219</v>
      </c>
      <c r="AE1642" t="s">
        <v>6165</v>
      </c>
      <c r="AF1642" t="s">
        <v>6169</v>
      </c>
    </row>
    <row r="1643" spans="1:32" hidden="1" x14ac:dyDescent="0.35">
      <c r="A1643">
        <v>1644</v>
      </c>
      <c r="B1643" t="s">
        <v>3451</v>
      </c>
      <c r="C1643" t="s">
        <v>72</v>
      </c>
      <c r="D1643" t="s">
        <v>58</v>
      </c>
      <c r="E1643">
        <v>1291</v>
      </c>
      <c r="F1643">
        <v>5</v>
      </c>
      <c r="G1643">
        <v>5</v>
      </c>
      <c r="H1643">
        <v>1</v>
      </c>
      <c r="I1643">
        <v>1</v>
      </c>
      <c r="J1643">
        <v>0.76639519931418798</v>
      </c>
      <c r="K1643">
        <v>0.94946905591504804</v>
      </c>
      <c r="L1643">
        <v>0.848165609992793</v>
      </c>
      <c r="M1643">
        <v>0.55284552845528501</v>
      </c>
      <c r="N1643">
        <v>1</v>
      </c>
      <c r="O1643">
        <v>0.67195121951219505</v>
      </c>
      <c r="P1643" t="s">
        <v>3452</v>
      </c>
      <c r="Q1643" t="s">
        <v>3453</v>
      </c>
      <c r="R1643" t="s">
        <v>342</v>
      </c>
      <c r="S1643" t="s">
        <v>343</v>
      </c>
      <c r="T1643" t="s">
        <v>3454</v>
      </c>
      <c r="U1643" t="s">
        <v>3455</v>
      </c>
      <c r="V1643" t="s">
        <v>3456</v>
      </c>
      <c r="W1643" t="s">
        <v>3457</v>
      </c>
      <c r="Z1643" t="s">
        <v>3458</v>
      </c>
      <c r="AA1643" t="s">
        <v>3459</v>
      </c>
      <c r="AB1643" t="s">
        <v>3458</v>
      </c>
      <c r="AC1643" t="s">
        <v>3460</v>
      </c>
      <c r="AD1643" t="s">
        <v>3461</v>
      </c>
      <c r="AE1643" t="s">
        <v>3462</v>
      </c>
      <c r="AF1643" t="e">
        <f>---MDRPVRKVFTSRRGGVSAVPYDSFNLGDHVGDDPQAVVANRARLAEVLGLQ--RLVWMEQMHTNTVTVVDGSTD-NPVAATDAIVTTERGLGLCVLVADCTPVLLSDHDAGVVAAVHAGRLGARNGIVARTVDTMVGLGANPEKIHALLGPAASGERYELPEAMARDVDNHLPGSYCTTLKGTPGVDIRAGLAYQLYTKGVSNIDIDRRCTIEDPEFFSHRREGVTGRQAGVIWLT-----EQ</f>
        <v>#NAME?</v>
      </c>
    </row>
    <row r="1644" spans="1:32" hidden="1" x14ac:dyDescent="0.35">
      <c r="A1644">
        <v>3050</v>
      </c>
      <c r="B1644" t="s">
        <v>6304</v>
      </c>
      <c r="C1644" t="s">
        <v>72</v>
      </c>
      <c r="D1644" t="s">
        <v>60</v>
      </c>
      <c r="E1644">
        <v>103</v>
      </c>
      <c r="F1644">
        <v>5</v>
      </c>
      <c r="G1644">
        <v>5</v>
      </c>
      <c r="H1644">
        <v>1</v>
      </c>
      <c r="I1644">
        <v>1</v>
      </c>
      <c r="J1644">
        <v>0.925600835945664</v>
      </c>
      <c r="K1644">
        <v>0.97495074608254495</v>
      </c>
      <c r="L1644">
        <v>0.94963507869312602</v>
      </c>
      <c r="M1644">
        <v>0.83910386965376804</v>
      </c>
      <c r="N1644">
        <v>1</v>
      </c>
      <c r="O1644">
        <v>0.884725050916497</v>
      </c>
      <c r="P1644" t="s">
        <v>6305</v>
      </c>
      <c r="Q1644" t="s">
        <v>6306</v>
      </c>
      <c r="R1644" t="s">
        <v>652</v>
      </c>
      <c r="S1644" t="s">
        <v>653</v>
      </c>
      <c r="T1644" t="s">
        <v>6307</v>
      </c>
      <c r="U1644" t="s">
        <v>6308</v>
      </c>
      <c r="V1644" t="s">
        <v>6309</v>
      </c>
      <c r="W1644" t="s">
        <v>6310</v>
      </c>
      <c r="AD1644" t="s">
        <v>219</v>
      </c>
      <c r="AE1644" t="s">
        <v>6311</v>
      </c>
      <c r="AF1644" t="s">
        <v>6313</v>
      </c>
    </row>
    <row r="1645" spans="1:32" hidden="1" x14ac:dyDescent="0.35">
      <c r="A1645">
        <v>3051</v>
      </c>
      <c r="B1645" t="s">
        <v>6304</v>
      </c>
      <c r="C1645" t="s">
        <v>72</v>
      </c>
      <c r="D1645" t="s">
        <v>62</v>
      </c>
      <c r="E1645">
        <v>175</v>
      </c>
      <c r="F1645">
        <v>5</v>
      </c>
      <c r="G1645">
        <v>5</v>
      </c>
      <c r="H1645">
        <v>1</v>
      </c>
      <c r="I1645">
        <v>1</v>
      </c>
      <c r="J1645">
        <v>0.925600835945664</v>
      </c>
      <c r="K1645">
        <v>0.97495074608254495</v>
      </c>
      <c r="L1645">
        <v>0.94963507869312602</v>
      </c>
      <c r="M1645">
        <v>0.83910386965376804</v>
      </c>
      <c r="N1645">
        <v>1</v>
      </c>
      <c r="O1645">
        <v>0.884725050916497</v>
      </c>
      <c r="P1645" t="s">
        <v>6305</v>
      </c>
      <c r="Q1645" t="s">
        <v>6306</v>
      </c>
      <c r="R1645" t="s">
        <v>652</v>
      </c>
      <c r="S1645" t="s">
        <v>653</v>
      </c>
      <c r="T1645" t="s">
        <v>6307</v>
      </c>
      <c r="U1645" t="s">
        <v>6308</v>
      </c>
      <c r="V1645" t="s">
        <v>6309</v>
      </c>
      <c r="W1645" t="s">
        <v>6310</v>
      </c>
      <c r="AD1645" t="s">
        <v>219</v>
      </c>
      <c r="AE1645" t="s">
        <v>6311</v>
      </c>
      <c r="AF1645" t="s">
        <v>6314</v>
      </c>
    </row>
    <row r="1646" spans="1:32" hidden="1" x14ac:dyDescent="0.35">
      <c r="A1646">
        <v>3052</v>
      </c>
      <c r="B1646" t="s">
        <v>6304</v>
      </c>
      <c r="C1646" t="s">
        <v>72</v>
      </c>
      <c r="D1646" t="s">
        <v>34</v>
      </c>
      <c r="E1646">
        <v>965</v>
      </c>
      <c r="F1646">
        <v>5</v>
      </c>
      <c r="G1646">
        <v>5</v>
      </c>
      <c r="H1646">
        <v>1</v>
      </c>
      <c r="I1646">
        <v>1</v>
      </c>
      <c r="J1646">
        <v>0.925600835945664</v>
      </c>
      <c r="K1646">
        <v>0.97495074608254495</v>
      </c>
      <c r="L1646">
        <v>0.94963507869312602</v>
      </c>
      <c r="M1646">
        <v>0.83910386965376804</v>
      </c>
      <c r="N1646">
        <v>1</v>
      </c>
      <c r="O1646">
        <v>0.884725050916497</v>
      </c>
      <c r="P1646" t="s">
        <v>6305</v>
      </c>
      <c r="Q1646" t="s">
        <v>6306</v>
      </c>
      <c r="R1646" t="s">
        <v>652</v>
      </c>
      <c r="S1646" t="s">
        <v>653</v>
      </c>
      <c r="T1646" t="s">
        <v>6307</v>
      </c>
      <c r="U1646" t="s">
        <v>6308</v>
      </c>
      <c r="V1646" t="s">
        <v>6309</v>
      </c>
      <c r="W1646" t="s">
        <v>6310</v>
      </c>
      <c r="AD1646" t="s">
        <v>219</v>
      </c>
      <c r="AE1646" t="s">
        <v>6311</v>
      </c>
      <c r="AF1646" t="s">
        <v>6315</v>
      </c>
    </row>
    <row r="1647" spans="1:32" hidden="1" x14ac:dyDescent="0.35">
      <c r="A1647">
        <v>3053</v>
      </c>
      <c r="B1647" t="s">
        <v>6304</v>
      </c>
      <c r="C1647" t="s">
        <v>72</v>
      </c>
      <c r="D1647" t="s">
        <v>45</v>
      </c>
      <c r="E1647">
        <v>2221</v>
      </c>
      <c r="F1647">
        <v>5</v>
      </c>
      <c r="G1647">
        <v>5</v>
      </c>
      <c r="H1647">
        <v>1</v>
      </c>
      <c r="I1647">
        <v>1</v>
      </c>
      <c r="J1647">
        <v>0.925600835945664</v>
      </c>
      <c r="K1647">
        <v>0.97495074608254495</v>
      </c>
      <c r="L1647">
        <v>0.94963507869312602</v>
      </c>
      <c r="M1647">
        <v>0.83910386965376804</v>
      </c>
      <c r="N1647">
        <v>1</v>
      </c>
      <c r="O1647">
        <v>0.884725050916497</v>
      </c>
      <c r="P1647" t="s">
        <v>6305</v>
      </c>
      <c r="Q1647" t="s">
        <v>6306</v>
      </c>
      <c r="R1647" t="s">
        <v>652</v>
      </c>
      <c r="S1647" t="s">
        <v>653</v>
      </c>
      <c r="T1647" t="s">
        <v>6307</v>
      </c>
      <c r="U1647" t="s">
        <v>6308</v>
      </c>
      <c r="V1647" t="s">
        <v>6309</v>
      </c>
      <c r="W1647" t="s">
        <v>6310</v>
      </c>
      <c r="AD1647" t="s">
        <v>219</v>
      </c>
      <c r="AE1647" t="s">
        <v>6311</v>
      </c>
      <c r="AF1647" t="s">
        <v>6315</v>
      </c>
    </row>
    <row r="1648" spans="1:32" hidden="1" x14ac:dyDescent="0.35">
      <c r="A1648">
        <v>11940</v>
      </c>
      <c r="B1648" t="s">
        <v>24634</v>
      </c>
      <c r="C1648" t="s">
        <v>10130</v>
      </c>
      <c r="D1648" t="s">
        <v>58</v>
      </c>
      <c r="E1648">
        <v>1062</v>
      </c>
      <c r="F1648">
        <v>1</v>
      </c>
      <c r="G1648">
        <v>1</v>
      </c>
      <c r="H1648">
        <v>1</v>
      </c>
      <c r="I1648">
        <v>0</v>
      </c>
      <c r="J1648">
        <v>1</v>
      </c>
      <c r="K1648">
        <v>1</v>
      </c>
      <c r="L1648">
        <v>1</v>
      </c>
      <c r="M1648">
        <v>0</v>
      </c>
      <c r="N1648">
        <v>0</v>
      </c>
      <c r="O1648">
        <v>0</v>
      </c>
      <c r="P1648" t="s">
        <v>14389</v>
      </c>
      <c r="Q1648" t="s">
        <v>14390</v>
      </c>
      <c r="R1648" t="s">
        <v>342</v>
      </c>
      <c r="S1648" t="s">
        <v>343</v>
      </c>
      <c r="T1648" t="s">
        <v>14391</v>
      </c>
      <c r="U1648" t="s">
        <v>14392</v>
      </c>
      <c r="V1648" t="s">
        <v>14393</v>
      </c>
      <c r="W1648" t="s">
        <v>14394</v>
      </c>
      <c r="AD1648" t="s">
        <v>941</v>
      </c>
      <c r="AE1648" t="s">
        <v>13439</v>
      </c>
      <c r="AF1648" t="s">
        <v>24635</v>
      </c>
    </row>
    <row r="1649" spans="1:32" hidden="1" x14ac:dyDescent="0.35">
      <c r="A1649">
        <v>3130</v>
      </c>
      <c r="B1649" t="s">
        <v>6445</v>
      </c>
      <c r="C1649" t="s">
        <v>72</v>
      </c>
      <c r="D1649" t="s">
        <v>60</v>
      </c>
      <c r="E1649">
        <v>349</v>
      </c>
      <c r="F1649">
        <v>5</v>
      </c>
      <c r="G1649">
        <v>5</v>
      </c>
      <c r="H1649">
        <v>1</v>
      </c>
      <c r="I1649">
        <v>1</v>
      </c>
      <c r="J1649">
        <v>0.74936120789779304</v>
      </c>
      <c r="K1649">
        <v>0.87052295409182001</v>
      </c>
      <c r="L1649">
        <v>0.80541084071070101</v>
      </c>
      <c r="M1649">
        <v>0.50898203592814395</v>
      </c>
      <c r="N1649">
        <v>1</v>
      </c>
      <c r="O1649">
        <v>0.65249500998003995</v>
      </c>
      <c r="P1649" t="s">
        <v>6446</v>
      </c>
      <c r="Q1649" t="s">
        <v>2952</v>
      </c>
      <c r="R1649" t="s">
        <v>652</v>
      </c>
      <c r="S1649" t="s">
        <v>653</v>
      </c>
      <c r="T1649" t="s">
        <v>6447</v>
      </c>
      <c r="U1649" t="s">
        <v>6448</v>
      </c>
      <c r="V1649" t="s">
        <v>6449</v>
      </c>
      <c r="W1649" t="s">
        <v>6450</v>
      </c>
      <c r="AD1649" t="s">
        <v>219</v>
      </c>
      <c r="AE1649" t="s">
        <v>6451</v>
      </c>
      <c r="AF1649" t="e">
        <f>---------------MNTVTPP------PAAP------YTACDVLIVGAGPAGSAAAFHAANRGYDVLLIDAATFPRDKTCGDGLTPRAMHELAALGVAHDI-ASRYTSRGLKLHGFGGSVTAPWPT----SPFGTTGSAMPRTELDDLLRRHANAQPAVTMWDNATAL-----TPE------------TQHGRITEVTVRHQGVEKQ----ITCRFVIIADGVRSPFGKKLGRTWHKGDVYGIAARSYCTTPLSHDPWIHSHLELRDSD-GVIQPGYGWIFPLGNGSVNLGCGALSTDARPAKVNTKKLLELYASQQ---RAAWSLGQTTSVASALLPMGGAVSNVSGPNWALIGDAAACVNPLNGEGIDYGLETARMAVGMLDD--AKDLTLLWPYLLRSAYGDTFLLARTLARVLTYPRFLGAVGPVGFRGPQSRILMPLAVRLMGNLVTDSDRDLVARTWHAAGR-------ARRAF-SHRP---------LWESTL</f>
        <v>#NAME?</v>
      </c>
    </row>
    <row r="1650" spans="1:32" hidden="1" x14ac:dyDescent="0.35">
      <c r="A1650">
        <v>3131</v>
      </c>
      <c r="B1650" t="s">
        <v>6445</v>
      </c>
      <c r="C1650" t="s">
        <v>72</v>
      </c>
      <c r="D1650" t="s">
        <v>62</v>
      </c>
      <c r="E1650">
        <v>429</v>
      </c>
      <c r="F1650">
        <v>5</v>
      </c>
      <c r="G1650">
        <v>5</v>
      </c>
      <c r="H1650">
        <v>1</v>
      </c>
      <c r="I1650">
        <v>1</v>
      </c>
      <c r="J1650">
        <v>0.74936120789779304</v>
      </c>
      <c r="K1650">
        <v>0.87052295409182001</v>
      </c>
      <c r="L1650">
        <v>0.80541084071070101</v>
      </c>
      <c r="M1650">
        <v>0.50898203592814395</v>
      </c>
      <c r="N1650">
        <v>1</v>
      </c>
      <c r="O1650">
        <v>0.65249500998003995</v>
      </c>
      <c r="P1650" t="s">
        <v>6446</v>
      </c>
      <c r="Q1650" t="s">
        <v>2952</v>
      </c>
      <c r="R1650" t="s">
        <v>652</v>
      </c>
      <c r="S1650" t="s">
        <v>653</v>
      </c>
      <c r="T1650" t="s">
        <v>6447</v>
      </c>
      <c r="U1650" t="s">
        <v>6448</v>
      </c>
      <c r="V1650" t="s">
        <v>6449</v>
      </c>
      <c r="W1650" t="s">
        <v>6450</v>
      </c>
      <c r="AD1650" t="s">
        <v>219</v>
      </c>
      <c r="AE1650" t="s">
        <v>6451</v>
      </c>
      <c r="AF1650" t="e">
        <f>---------------MNTVTPP------PAAP------YTACDVLIVGAGPAGSAAAFHAANRGYDVLLIDAATFPRDKTCGDGLTPRAMHELAALGVAHDI-ASRYTSRGLKLHGFGGSVTAPWPT----SPFGTTGSAMPRTELDDLLRRHANAQPAVTMWDNATAL-----TPE------------TQHGRITEVTVRHQGVEKQ----ITCRFVIIADGVRSPFGKKLGRTWHKGDVYGIAARSYCTTPLSHDPWIHSHLELRDSD-GVIQPGYGWIFPLGNGSVNLGCGALSTDARPAKVNTKKLLELYASQQ---RAAWSLGQTTSVASALLPMGGAVSNVSGPNWALIGDAAACVNPLNGEGIDYGLETARMAVGMLDD--AKDLTLLWPYLLRSAYGDTFLLARTLARVLTYPRFLGAVGPVGFRGPQSRILMPLAVRLMGNLVTDSDRDLVARTWHAAGR-------ARRAF-SHRP---------LWESTL</f>
        <v>#NAME?</v>
      </c>
    </row>
    <row r="1651" spans="1:32" hidden="1" x14ac:dyDescent="0.35">
      <c r="A1651">
        <v>3132</v>
      </c>
      <c r="B1651" t="s">
        <v>6445</v>
      </c>
      <c r="C1651" t="s">
        <v>72</v>
      </c>
      <c r="D1651" t="s">
        <v>34</v>
      </c>
      <c r="E1651">
        <v>820</v>
      </c>
      <c r="F1651">
        <v>5</v>
      </c>
      <c r="G1651">
        <v>5</v>
      </c>
      <c r="H1651">
        <v>1</v>
      </c>
      <c r="I1651">
        <v>1</v>
      </c>
      <c r="J1651">
        <v>0.74936120789779304</v>
      </c>
      <c r="K1651">
        <v>0.87052295409182001</v>
      </c>
      <c r="L1651">
        <v>0.80541084071070101</v>
      </c>
      <c r="M1651">
        <v>0.50898203592814395</v>
      </c>
      <c r="N1651">
        <v>1</v>
      </c>
      <c r="O1651">
        <v>0.65249500998003995</v>
      </c>
      <c r="P1651" t="s">
        <v>6446</v>
      </c>
      <c r="Q1651" t="s">
        <v>2952</v>
      </c>
      <c r="R1651" t="s">
        <v>652</v>
      </c>
      <c r="S1651" t="s">
        <v>653</v>
      </c>
      <c r="T1651" t="s">
        <v>6447</v>
      </c>
      <c r="U1651" t="s">
        <v>6448</v>
      </c>
      <c r="V1651" t="s">
        <v>6449</v>
      </c>
      <c r="W1651" t="s">
        <v>6450</v>
      </c>
      <c r="AD1651" t="s">
        <v>219</v>
      </c>
      <c r="AE1651" t="s">
        <v>6451</v>
      </c>
      <c r="AF1651" t="s">
        <v>6453</v>
      </c>
    </row>
    <row r="1652" spans="1:32" hidden="1" x14ac:dyDescent="0.35">
      <c r="A1652">
        <v>3133</v>
      </c>
      <c r="B1652" t="s">
        <v>6445</v>
      </c>
      <c r="C1652" t="s">
        <v>72</v>
      </c>
      <c r="D1652" t="s">
        <v>45</v>
      </c>
      <c r="E1652">
        <v>2077</v>
      </c>
      <c r="F1652">
        <v>5</v>
      </c>
      <c r="G1652">
        <v>5</v>
      </c>
      <c r="H1652">
        <v>1</v>
      </c>
      <c r="I1652">
        <v>1</v>
      </c>
      <c r="J1652">
        <v>0.74936120789779304</v>
      </c>
      <c r="K1652">
        <v>0.87052295409182001</v>
      </c>
      <c r="L1652">
        <v>0.80541084071070101</v>
      </c>
      <c r="M1652">
        <v>0.50898203592814395</v>
      </c>
      <c r="N1652">
        <v>1</v>
      </c>
      <c r="O1652">
        <v>0.65249500998003995</v>
      </c>
      <c r="P1652" t="s">
        <v>6446</v>
      </c>
      <c r="Q1652" t="s">
        <v>2952</v>
      </c>
      <c r="R1652" t="s">
        <v>652</v>
      </c>
      <c r="S1652" t="s">
        <v>653</v>
      </c>
      <c r="T1652" t="s">
        <v>6447</v>
      </c>
      <c r="U1652" t="s">
        <v>6448</v>
      </c>
      <c r="V1652" t="s">
        <v>6449</v>
      </c>
      <c r="W1652" t="s">
        <v>6450</v>
      </c>
      <c r="AD1652" t="s">
        <v>219</v>
      </c>
      <c r="AE1652" t="s">
        <v>6451</v>
      </c>
      <c r="AF1652" t="s">
        <v>6454</v>
      </c>
    </row>
    <row r="1653" spans="1:32" hidden="1" x14ac:dyDescent="0.35">
      <c r="A1653">
        <v>11170</v>
      </c>
      <c r="B1653" t="s">
        <v>22663</v>
      </c>
      <c r="C1653" t="s">
        <v>33</v>
      </c>
      <c r="D1653" t="s">
        <v>58</v>
      </c>
      <c r="E1653">
        <v>1675</v>
      </c>
      <c r="F1653">
        <v>1</v>
      </c>
      <c r="G1653">
        <v>1</v>
      </c>
      <c r="H1653">
        <v>1</v>
      </c>
      <c r="I1653">
        <v>0</v>
      </c>
      <c r="J1653">
        <v>1</v>
      </c>
      <c r="K1653">
        <v>1</v>
      </c>
      <c r="L1653">
        <v>1</v>
      </c>
      <c r="M1653">
        <v>0</v>
      </c>
      <c r="N1653">
        <v>0</v>
      </c>
      <c r="O1653">
        <v>0</v>
      </c>
      <c r="R1653" t="s">
        <v>342</v>
      </c>
      <c r="S1653" t="s">
        <v>343</v>
      </c>
      <c r="V1653" t="s">
        <v>14393</v>
      </c>
      <c r="W1653" t="s">
        <v>14394</v>
      </c>
      <c r="AF1653" t="s">
        <v>22664</v>
      </c>
    </row>
    <row r="1654" spans="1:32" hidden="1" x14ac:dyDescent="0.35">
      <c r="A1654">
        <v>3225</v>
      </c>
      <c r="B1654" t="s">
        <v>6625</v>
      </c>
      <c r="C1654" t="s">
        <v>72</v>
      </c>
      <c r="D1654" t="s">
        <v>60</v>
      </c>
      <c r="E1654">
        <v>2188</v>
      </c>
      <c r="F1654">
        <v>5</v>
      </c>
      <c r="G1654">
        <v>5</v>
      </c>
      <c r="H1654">
        <v>1</v>
      </c>
      <c r="I1654">
        <v>1</v>
      </c>
      <c r="J1654">
        <v>0.92495049504950499</v>
      </c>
      <c r="K1654">
        <v>1</v>
      </c>
      <c r="L1654">
        <v>0.96101224153893605</v>
      </c>
      <c r="M1654">
        <v>0.83366336633663396</v>
      </c>
      <c r="N1654">
        <v>1</v>
      </c>
      <c r="O1654">
        <v>0.89603960396039595</v>
      </c>
      <c r="P1654" t="s">
        <v>6626</v>
      </c>
      <c r="Q1654" t="s">
        <v>6627</v>
      </c>
      <c r="R1654" t="s">
        <v>652</v>
      </c>
      <c r="S1654" t="s">
        <v>653</v>
      </c>
      <c r="T1654" t="s">
        <v>6628</v>
      </c>
      <c r="U1654" t="s">
        <v>6629</v>
      </c>
      <c r="V1654" t="s">
        <v>6630</v>
      </c>
      <c r="W1654" t="s">
        <v>6631</v>
      </c>
      <c r="Z1654" t="s">
        <v>6632</v>
      </c>
      <c r="AA1654" t="s">
        <v>6633</v>
      </c>
      <c r="AB1654" t="s">
        <v>6632</v>
      </c>
      <c r="AC1654" t="s">
        <v>6027</v>
      </c>
      <c r="AD1654" t="s">
        <v>951</v>
      </c>
      <c r="AE1654" t="s">
        <v>6634</v>
      </c>
      <c r="AF1654" t="s">
        <v>6636</v>
      </c>
    </row>
    <row r="1655" spans="1:32" hidden="1" x14ac:dyDescent="0.35">
      <c r="A1655">
        <v>3226</v>
      </c>
      <c r="B1655" t="s">
        <v>6625</v>
      </c>
      <c r="C1655" t="s">
        <v>72</v>
      </c>
      <c r="D1655" t="s">
        <v>62</v>
      </c>
      <c r="E1655">
        <v>2222</v>
      </c>
      <c r="F1655">
        <v>5</v>
      </c>
      <c r="G1655">
        <v>5</v>
      </c>
      <c r="H1655">
        <v>1</v>
      </c>
      <c r="I1655">
        <v>1</v>
      </c>
      <c r="J1655">
        <v>0.92495049504950499</v>
      </c>
      <c r="K1655">
        <v>1</v>
      </c>
      <c r="L1655">
        <v>0.96101224153893605</v>
      </c>
      <c r="M1655">
        <v>0.83366336633663396</v>
      </c>
      <c r="N1655">
        <v>1</v>
      </c>
      <c r="O1655">
        <v>0.89603960396039595</v>
      </c>
      <c r="P1655" t="s">
        <v>6626</v>
      </c>
      <c r="Q1655" t="s">
        <v>6627</v>
      </c>
      <c r="R1655" t="s">
        <v>652</v>
      </c>
      <c r="S1655" t="s">
        <v>653</v>
      </c>
      <c r="T1655" t="s">
        <v>6628</v>
      </c>
      <c r="U1655" t="s">
        <v>6629</v>
      </c>
      <c r="V1655" t="s">
        <v>6630</v>
      </c>
      <c r="W1655" t="s">
        <v>6631</v>
      </c>
      <c r="Z1655" t="s">
        <v>6632</v>
      </c>
      <c r="AA1655" t="s">
        <v>6633</v>
      </c>
      <c r="AB1655" t="s">
        <v>6632</v>
      </c>
      <c r="AC1655" t="s">
        <v>6027</v>
      </c>
      <c r="AD1655" t="s">
        <v>951</v>
      </c>
      <c r="AE1655" t="s">
        <v>6634</v>
      </c>
      <c r="AF1655" t="s">
        <v>6637</v>
      </c>
    </row>
    <row r="1656" spans="1:32" hidden="1" x14ac:dyDescent="0.35">
      <c r="A1656">
        <v>3227</v>
      </c>
      <c r="B1656" t="s">
        <v>6625</v>
      </c>
      <c r="C1656" t="s">
        <v>72</v>
      </c>
      <c r="D1656" t="s">
        <v>34</v>
      </c>
      <c r="E1656">
        <v>1583</v>
      </c>
      <c r="F1656">
        <v>5</v>
      </c>
      <c r="G1656">
        <v>5</v>
      </c>
      <c r="H1656">
        <v>1</v>
      </c>
      <c r="I1656">
        <v>1</v>
      </c>
      <c r="J1656">
        <v>0.92495049504950499</v>
      </c>
      <c r="K1656">
        <v>1</v>
      </c>
      <c r="L1656">
        <v>0.96101224153893605</v>
      </c>
      <c r="M1656">
        <v>0.83366336633663396</v>
      </c>
      <c r="N1656">
        <v>1</v>
      </c>
      <c r="O1656">
        <v>0.89603960396039595</v>
      </c>
      <c r="P1656" t="s">
        <v>6626</v>
      </c>
      <c r="Q1656" t="s">
        <v>6627</v>
      </c>
      <c r="R1656" t="s">
        <v>652</v>
      </c>
      <c r="S1656" t="s">
        <v>653</v>
      </c>
      <c r="T1656" t="s">
        <v>6628</v>
      </c>
      <c r="U1656" t="s">
        <v>6629</v>
      </c>
      <c r="V1656" t="s">
        <v>6630</v>
      </c>
      <c r="W1656" t="s">
        <v>6631</v>
      </c>
      <c r="Z1656" t="s">
        <v>6632</v>
      </c>
      <c r="AA1656" t="s">
        <v>6633</v>
      </c>
      <c r="AB1656" t="s">
        <v>6632</v>
      </c>
      <c r="AC1656" t="s">
        <v>6027</v>
      </c>
      <c r="AD1656" t="s">
        <v>951</v>
      </c>
      <c r="AE1656" t="s">
        <v>6634</v>
      </c>
      <c r="AF1656" t="s">
        <v>6638</v>
      </c>
    </row>
    <row r="1657" spans="1:32" hidden="1" x14ac:dyDescent="0.35">
      <c r="A1657">
        <v>3228</v>
      </c>
      <c r="B1657" t="s">
        <v>6625</v>
      </c>
      <c r="C1657" t="s">
        <v>72</v>
      </c>
      <c r="D1657" t="s">
        <v>45</v>
      </c>
      <c r="E1657">
        <v>333</v>
      </c>
      <c r="F1657">
        <v>5</v>
      </c>
      <c r="G1657">
        <v>5</v>
      </c>
      <c r="H1657">
        <v>1</v>
      </c>
      <c r="I1657">
        <v>1</v>
      </c>
      <c r="J1657">
        <v>0.92495049504950499</v>
      </c>
      <c r="K1657">
        <v>1</v>
      </c>
      <c r="L1657">
        <v>0.96101224153893605</v>
      </c>
      <c r="M1657">
        <v>0.83366336633663396</v>
      </c>
      <c r="N1657">
        <v>1</v>
      </c>
      <c r="O1657">
        <v>0.89603960396039595</v>
      </c>
      <c r="P1657" t="s">
        <v>6626</v>
      </c>
      <c r="Q1657" t="s">
        <v>6627</v>
      </c>
      <c r="R1657" t="s">
        <v>652</v>
      </c>
      <c r="S1657" t="s">
        <v>653</v>
      </c>
      <c r="T1657" t="s">
        <v>6628</v>
      </c>
      <c r="U1657" t="s">
        <v>6629</v>
      </c>
      <c r="V1657" t="s">
        <v>6630</v>
      </c>
      <c r="W1657" t="s">
        <v>6631</v>
      </c>
      <c r="Z1657" t="s">
        <v>6632</v>
      </c>
      <c r="AA1657" t="s">
        <v>6633</v>
      </c>
      <c r="AB1657" t="s">
        <v>6632</v>
      </c>
      <c r="AC1657" t="s">
        <v>6027</v>
      </c>
      <c r="AD1657" t="s">
        <v>951</v>
      </c>
      <c r="AE1657" t="s">
        <v>6634</v>
      </c>
      <c r="AF1657" t="s">
        <v>6638</v>
      </c>
    </row>
    <row r="1658" spans="1:32" hidden="1" x14ac:dyDescent="0.35">
      <c r="A1658">
        <v>11284</v>
      </c>
      <c r="B1658" t="s">
        <v>22960</v>
      </c>
      <c r="C1658" t="s">
        <v>33</v>
      </c>
      <c r="D1658" t="s">
        <v>58</v>
      </c>
      <c r="E1658">
        <v>1063</v>
      </c>
      <c r="F1658">
        <v>1</v>
      </c>
      <c r="G1658">
        <v>1</v>
      </c>
      <c r="H1658">
        <v>1</v>
      </c>
      <c r="I1658">
        <v>0</v>
      </c>
      <c r="J1658">
        <v>1</v>
      </c>
      <c r="K1658">
        <v>1</v>
      </c>
      <c r="L1658">
        <v>1</v>
      </c>
      <c r="M1658">
        <v>0</v>
      </c>
      <c r="N1658">
        <v>0</v>
      </c>
      <c r="O1658">
        <v>0</v>
      </c>
      <c r="P1658" t="s">
        <v>16738</v>
      </c>
      <c r="Q1658" t="s">
        <v>16739</v>
      </c>
      <c r="R1658" t="s">
        <v>342</v>
      </c>
      <c r="S1658" t="s">
        <v>343</v>
      </c>
      <c r="T1658" t="s">
        <v>16740</v>
      </c>
      <c r="U1658" t="s">
        <v>16741</v>
      </c>
      <c r="V1658" t="s">
        <v>16742</v>
      </c>
      <c r="W1658" t="s">
        <v>16743</v>
      </c>
      <c r="AD1658" t="s">
        <v>166</v>
      </c>
      <c r="AE1658" t="s">
        <v>10202</v>
      </c>
      <c r="AF1658" t="s">
        <v>22961</v>
      </c>
    </row>
    <row r="1659" spans="1:32" hidden="1" x14ac:dyDescent="0.35">
      <c r="A1659">
        <v>3255</v>
      </c>
      <c r="B1659" t="s">
        <v>6690</v>
      </c>
      <c r="C1659" t="s">
        <v>72</v>
      </c>
      <c r="D1659" t="s">
        <v>60</v>
      </c>
      <c r="E1659">
        <v>1780</v>
      </c>
      <c r="F1659">
        <v>5</v>
      </c>
      <c r="G1659">
        <v>5</v>
      </c>
      <c r="H1659">
        <v>1</v>
      </c>
      <c r="I1659">
        <v>1</v>
      </c>
      <c r="J1659">
        <v>0.87946685051131801</v>
      </c>
      <c r="K1659">
        <v>0.98358353510895902</v>
      </c>
      <c r="L1659">
        <v>0.92861590917098602</v>
      </c>
      <c r="M1659">
        <v>0.74915254237288098</v>
      </c>
      <c r="N1659">
        <v>1</v>
      </c>
      <c r="O1659">
        <v>0.82813559322033903</v>
      </c>
      <c r="P1659" t="s">
        <v>6691</v>
      </c>
      <c r="Q1659" t="s">
        <v>6692</v>
      </c>
      <c r="R1659" t="s">
        <v>652</v>
      </c>
      <c r="S1659" t="s">
        <v>653</v>
      </c>
      <c r="T1659" t="s">
        <v>6693</v>
      </c>
      <c r="U1659" t="s">
        <v>6694</v>
      </c>
      <c r="V1659" t="s">
        <v>6695</v>
      </c>
      <c r="W1659" t="s">
        <v>6696</v>
      </c>
      <c r="Z1659" t="s">
        <v>3855</v>
      </c>
      <c r="AA1659" t="s">
        <v>3856</v>
      </c>
      <c r="AB1659" t="s">
        <v>3855</v>
      </c>
      <c r="AC1659" t="s">
        <v>729</v>
      </c>
      <c r="AD1659" t="s">
        <v>219</v>
      </c>
      <c r="AE1659" t="s">
        <v>3857</v>
      </c>
      <c r="AF1659" t="s">
        <v>6698</v>
      </c>
    </row>
    <row r="1660" spans="1:32" hidden="1" x14ac:dyDescent="0.35">
      <c r="A1660">
        <v>2484</v>
      </c>
      <c r="B1660" t="s">
        <v>5144</v>
      </c>
      <c r="C1660" t="s">
        <v>72</v>
      </c>
      <c r="D1660" t="s">
        <v>58</v>
      </c>
      <c r="E1660">
        <v>1399</v>
      </c>
      <c r="F1660">
        <v>5</v>
      </c>
      <c r="G1660">
        <v>5</v>
      </c>
      <c r="H1660">
        <v>1</v>
      </c>
      <c r="I1660">
        <v>1</v>
      </c>
      <c r="J1660">
        <v>0.805077143882311</v>
      </c>
      <c r="K1660">
        <v>0.97565409586959495</v>
      </c>
      <c r="L1660">
        <v>0.88219580292105804</v>
      </c>
      <c r="M1660">
        <v>0.64566929133858297</v>
      </c>
      <c r="N1660">
        <v>1</v>
      </c>
      <c r="O1660">
        <v>0.72729658792650898</v>
      </c>
      <c r="P1660" t="s">
        <v>2848</v>
      </c>
      <c r="Q1660" t="s">
        <v>2849</v>
      </c>
      <c r="R1660" t="s">
        <v>869</v>
      </c>
      <c r="S1660" t="s">
        <v>870</v>
      </c>
      <c r="T1660" t="s">
        <v>5145</v>
      </c>
      <c r="U1660" t="s">
        <v>5146</v>
      </c>
      <c r="V1660" t="s">
        <v>5147</v>
      </c>
      <c r="W1660" t="s">
        <v>5148</v>
      </c>
      <c r="X1660" t="s">
        <v>5147</v>
      </c>
      <c r="Y1660" t="s">
        <v>1153</v>
      </c>
      <c r="Z1660" t="s">
        <v>2355</v>
      </c>
      <c r="AA1660" t="s">
        <v>2356</v>
      </c>
      <c r="AB1660" t="s">
        <v>2355</v>
      </c>
      <c r="AC1660" t="s">
        <v>1094</v>
      </c>
      <c r="AD1660" t="s">
        <v>219</v>
      </c>
      <c r="AE1660" t="s">
        <v>5149</v>
      </c>
      <c r="AF1660" t="e">
        <f>--MTFGVYVHVPFCSSRCGYCDFNTYTPSELGGS-SPDSYLDALEKELDAAAQT--YPLGPADTVFIGGGTPSLIGAAGLERVLRAVRNSFGVAAHAEITTEANPESTSQEFFDHIRAVGYNRVSLGMQSASPTVLRILERRHTPGRAFQAIAEAHATGFEHLNLDVIYGTPGESDDDLRATLDAVLDAPVDHVSAYSLIVEDGTAMARKVRKGIIPQPDEDTYADRYAMIDQALSTAGFDWYEVSNWAKPGGQCLHNLGYWRDHDYYGAGPGAHSHIGNTRFYNVKHPATYAAQATQ---PQAGSEELTPHDRHTEALMLGLRLREGIREEIIGAGARDVIADYINRGLLARTHGRLHVTDAGRLLADGIIADILVAEGQ</f>
        <v>#NAME?</v>
      </c>
    </row>
    <row r="1661" spans="1:32" hidden="1" x14ac:dyDescent="0.35">
      <c r="A1661">
        <v>3260</v>
      </c>
      <c r="B1661" t="s">
        <v>6705</v>
      </c>
      <c r="C1661" t="s">
        <v>72</v>
      </c>
      <c r="D1661" t="s">
        <v>60</v>
      </c>
      <c r="E1661">
        <v>972</v>
      </c>
      <c r="F1661">
        <v>5</v>
      </c>
      <c r="G1661">
        <v>5</v>
      </c>
      <c r="H1661">
        <v>1</v>
      </c>
      <c r="I1661">
        <v>1</v>
      </c>
      <c r="J1661">
        <v>0.80285893810870201</v>
      </c>
      <c r="K1661">
        <v>0.92231884057971103</v>
      </c>
      <c r="L1661">
        <v>0.85845289000701597</v>
      </c>
      <c r="M1661">
        <v>0.60606060606060597</v>
      </c>
      <c r="N1661">
        <v>1</v>
      </c>
      <c r="O1661">
        <v>0.70692640692640696</v>
      </c>
      <c r="P1661" t="s">
        <v>3302</v>
      </c>
      <c r="Q1661" t="s">
        <v>3303</v>
      </c>
      <c r="R1661" t="s">
        <v>652</v>
      </c>
      <c r="S1661" t="s">
        <v>653</v>
      </c>
      <c r="T1661" t="s">
        <v>6706</v>
      </c>
      <c r="U1661" t="s">
        <v>6707</v>
      </c>
      <c r="V1661" t="s">
        <v>6708</v>
      </c>
      <c r="W1661" t="s">
        <v>6709</v>
      </c>
      <c r="AD1661" t="s">
        <v>410</v>
      </c>
      <c r="AE1661" t="s">
        <v>3308</v>
      </c>
      <c r="AF1661" t="s">
        <v>6711</v>
      </c>
    </row>
    <row r="1662" spans="1:32" hidden="1" x14ac:dyDescent="0.35">
      <c r="A1662">
        <v>3261</v>
      </c>
      <c r="B1662" t="s">
        <v>6705</v>
      </c>
      <c r="C1662" t="s">
        <v>72</v>
      </c>
      <c r="D1662" t="s">
        <v>62</v>
      </c>
      <c r="E1662">
        <v>1008</v>
      </c>
      <c r="F1662">
        <v>5</v>
      </c>
      <c r="G1662">
        <v>5</v>
      </c>
      <c r="H1662">
        <v>1</v>
      </c>
      <c r="I1662">
        <v>1</v>
      </c>
      <c r="J1662">
        <v>0.80285893810870201</v>
      </c>
      <c r="K1662">
        <v>0.92231884057971103</v>
      </c>
      <c r="L1662">
        <v>0.85845289000701597</v>
      </c>
      <c r="M1662">
        <v>0.60606060606060597</v>
      </c>
      <c r="N1662">
        <v>1</v>
      </c>
      <c r="O1662">
        <v>0.70692640692640696</v>
      </c>
      <c r="P1662" t="s">
        <v>3302</v>
      </c>
      <c r="Q1662" t="s">
        <v>3303</v>
      </c>
      <c r="R1662" t="s">
        <v>652</v>
      </c>
      <c r="S1662" t="s">
        <v>653</v>
      </c>
      <c r="T1662" t="s">
        <v>6706</v>
      </c>
      <c r="U1662" t="s">
        <v>6707</v>
      </c>
      <c r="V1662" t="s">
        <v>6708</v>
      </c>
      <c r="W1662" t="s">
        <v>6709</v>
      </c>
      <c r="AD1662" t="s">
        <v>410</v>
      </c>
      <c r="AE1662" t="s">
        <v>3308</v>
      </c>
      <c r="AF1662" t="s">
        <v>6711</v>
      </c>
    </row>
    <row r="1663" spans="1:32" hidden="1" x14ac:dyDescent="0.35">
      <c r="A1663">
        <v>3262</v>
      </c>
      <c r="B1663" t="s">
        <v>6705</v>
      </c>
      <c r="C1663" t="s">
        <v>72</v>
      </c>
      <c r="D1663" t="s">
        <v>34</v>
      </c>
      <c r="E1663">
        <v>176</v>
      </c>
      <c r="F1663">
        <v>5</v>
      </c>
      <c r="G1663">
        <v>5</v>
      </c>
      <c r="H1663">
        <v>1</v>
      </c>
      <c r="I1663">
        <v>1</v>
      </c>
      <c r="J1663">
        <v>0.80285893810870201</v>
      </c>
      <c r="K1663">
        <v>0.92231884057971103</v>
      </c>
      <c r="L1663">
        <v>0.85845289000701597</v>
      </c>
      <c r="M1663">
        <v>0.60606060606060597</v>
      </c>
      <c r="N1663">
        <v>1</v>
      </c>
      <c r="O1663">
        <v>0.70692640692640696</v>
      </c>
      <c r="P1663" t="s">
        <v>3302</v>
      </c>
      <c r="Q1663" t="s">
        <v>3303</v>
      </c>
      <c r="R1663" t="s">
        <v>652</v>
      </c>
      <c r="S1663" t="s">
        <v>653</v>
      </c>
      <c r="T1663" t="s">
        <v>6706</v>
      </c>
      <c r="U1663" t="s">
        <v>6707</v>
      </c>
      <c r="V1663" t="s">
        <v>6708</v>
      </c>
      <c r="W1663" t="s">
        <v>6709</v>
      </c>
      <c r="AD1663" t="s">
        <v>410</v>
      </c>
      <c r="AE1663" t="s">
        <v>3308</v>
      </c>
      <c r="AF1663" t="s">
        <v>6712</v>
      </c>
    </row>
    <row r="1664" spans="1:32" hidden="1" x14ac:dyDescent="0.35">
      <c r="A1664">
        <v>3263</v>
      </c>
      <c r="B1664" t="s">
        <v>6705</v>
      </c>
      <c r="C1664" t="s">
        <v>72</v>
      </c>
      <c r="D1664" t="s">
        <v>45</v>
      </c>
      <c r="E1664">
        <v>1437</v>
      </c>
      <c r="F1664">
        <v>5</v>
      </c>
      <c r="G1664">
        <v>5</v>
      </c>
      <c r="H1664">
        <v>1</v>
      </c>
      <c r="I1664">
        <v>1</v>
      </c>
      <c r="J1664">
        <v>0.80285893810870201</v>
      </c>
      <c r="K1664">
        <v>0.92231884057971103</v>
      </c>
      <c r="L1664">
        <v>0.85845289000701597</v>
      </c>
      <c r="M1664">
        <v>0.60606060606060597</v>
      </c>
      <c r="N1664">
        <v>1</v>
      </c>
      <c r="O1664">
        <v>0.70692640692640696</v>
      </c>
      <c r="P1664" t="s">
        <v>3302</v>
      </c>
      <c r="Q1664" t="s">
        <v>3303</v>
      </c>
      <c r="R1664" t="s">
        <v>652</v>
      </c>
      <c r="S1664" t="s">
        <v>653</v>
      </c>
      <c r="T1664" t="s">
        <v>6706</v>
      </c>
      <c r="U1664" t="s">
        <v>6707</v>
      </c>
      <c r="V1664" t="s">
        <v>6708</v>
      </c>
      <c r="W1664" t="s">
        <v>6709</v>
      </c>
      <c r="AD1664" t="s">
        <v>410</v>
      </c>
      <c r="AE1664" t="s">
        <v>3308</v>
      </c>
      <c r="AF1664" t="s">
        <v>6713</v>
      </c>
    </row>
    <row r="1665" spans="1:32" hidden="1" x14ac:dyDescent="0.35">
      <c r="A1665">
        <v>11027</v>
      </c>
      <c r="B1665" t="s">
        <v>22269</v>
      </c>
      <c r="C1665" t="s">
        <v>33</v>
      </c>
      <c r="D1665" t="s">
        <v>58</v>
      </c>
      <c r="E1665">
        <v>744</v>
      </c>
      <c r="F1665">
        <v>1</v>
      </c>
      <c r="G1665">
        <v>1</v>
      </c>
      <c r="H1665">
        <v>1</v>
      </c>
      <c r="I1665">
        <v>0</v>
      </c>
      <c r="J1665">
        <v>1</v>
      </c>
      <c r="K1665">
        <v>1</v>
      </c>
      <c r="L1665">
        <v>1</v>
      </c>
      <c r="M1665">
        <v>0</v>
      </c>
      <c r="N1665">
        <v>0</v>
      </c>
      <c r="O1665">
        <v>0</v>
      </c>
      <c r="P1665" t="s">
        <v>15407</v>
      </c>
      <c r="Q1665" t="s">
        <v>15408</v>
      </c>
      <c r="R1665" t="s">
        <v>138</v>
      </c>
      <c r="S1665" t="s">
        <v>139</v>
      </c>
      <c r="V1665" t="s">
        <v>15409</v>
      </c>
      <c r="W1665" t="s">
        <v>15410</v>
      </c>
      <c r="X1665" t="s">
        <v>15409</v>
      </c>
      <c r="Y1665" t="s">
        <v>15411</v>
      </c>
      <c r="AF1665" t="s">
        <v>22270</v>
      </c>
    </row>
    <row r="1666" spans="1:32" hidden="1" x14ac:dyDescent="0.35">
      <c r="A1666">
        <v>3275</v>
      </c>
      <c r="B1666" t="s">
        <v>6735</v>
      </c>
      <c r="C1666" t="s">
        <v>72</v>
      </c>
      <c r="D1666" t="s">
        <v>60</v>
      </c>
      <c r="E1666">
        <v>988</v>
      </c>
      <c r="F1666">
        <v>5</v>
      </c>
      <c r="G1666">
        <v>5</v>
      </c>
      <c r="H1666">
        <v>1</v>
      </c>
      <c r="I1666">
        <v>1</v>
      </c>
      <c r="J1666">
        <v>0.88834555827220896</v>
      </c>
      <c r="K1666">
        <v>0.88938756428237498</v>
      </c>
      <c r="L1666">
        <v>0.88886625589497303</v>
      </c>
      <c r="M1666">
        <v>0.61290322580645196</v>
      </c>
      <c r="N1666">
        <v>1</v>
      </c>
      <c r="O1666">
        <v>0.76989247311828002</v>
      </c>
      <c r="P1666" t="s">
        <v>6736</v>
      </c>
      <c r="Q1666" t="s">
        <v>6737</v>
      </c>
      <c r="R1666" t="s">
        <v>652</v>
      </c>
      <c r="S1666" t="s">
        <v>653</v>
      </c>
      <c r="T1666" t="s">
        <v>6738</v>
      </c>
      <c r="U1666" t="s">
        <v>6739</v>
      </c>
      <c r="V1666" t="s">
        <v>6740</v>
      </c>
      <c r="W1666" t="s">
        <v>6741</v>
      </c>
      <c r="X1666" t="s">
        <v>6740</v>
      </c>
      <c r="Y1666" t="s">
        <v>3395</v>
      </c>
      <c r="Z1666" t="s">
        <v>3396</v>
      </c>
      <c r="AA1666" t="s">
        <v>3397</v>
      </c>
      <c r="AB1666" t="s">
        <v>3396</v>
      </c>
      <c r="AC1666" t="s">
        <v>729</v>
      </c>
      <c r="AD1666" t="s">
        <v>3398</v>
      </c>
      <c r="AE1666" t="s">
        <v>3399</v>
      </c>
      <c r="AF1666" t="e">
        <f>------------MNDVILAQAAESGITGNIATIGYGIATIGPGIGIGILVGKALEGMARQPEMAGQLRTTMFLGIAFVEALALIGLVAGFIFT</f>
        <v>#NAME?</v>
      </c>
    </row>
    <row r="1667" spans="1:32" hidden="1" x14ac:dyDescent="0.35">
      <c r="A1667">
        <v>3276</v>
      </c>
      <c r="B1667" t="s">
        <v>6735</v>
      </c>
      <c r="C1667" t="s">
        <v>72</v>
      </c>
      <c r="D1667" t="s">
        <v>62</v>
      </c>
      <c r="E1667">
        <v>1024</v>
      </c>
      <c r="F1667">
        <v>5</v>
      </c>
      <c r="G1667">
        <v>5</v>
      </c>
      <c r="H1667">
        <v>1</v>
      </c>
      <c r="I1667">
        <v>1</v>
      </c>
      <c r="J1667">
        <v>0.88834555827220896</v>
      </c>
      <c r="K1667">
        <v>0.88938756428237498</v>
      </c>
      <c r="L1667">
        <v>0.88886625589497303</v>
      </c>
      <c r="M1667">
        <v>0.61290322580645196</v>
      </c>
      <c r="N1667">
        <v>1</v>
      </c>
      <c r="O1667">
        <v>0.76989247311828002</v>
      </c>
      <c r="P1667" t="s">
        <v>6736</v>
      </c>
      <c r="Q1667" t="s">
        <v>6737</v>
      </c>
      <c r="R1667" t="s">
        <v>652</v>
      </c>
      <c r="S1667" t="s">
        <v>653</v>
      </c>
      <c r="T1667" t="s">
        <v>6738</v>
      </c>
      <c r="U1667" t="s">
        <v>6739</v>
      </c>
      <c r="V1667" t="s">
        <v>6740</v>
      </c>
      <c r="W1667" t="s">
        <v>6741</v>
      </c>
      <c r="X1667" t="s">
        <v>6740</v>
      </c>
      <c r="Y1667" t="s">
        <v>3395</v>
      </c>
      <c r="Z1667" t="s">
        <v>3396</v>
      </c>
      <c r="AA1667" t="s">
        <v>3397</v>
      </c>
      <c r="AB1667" t="s">
        <v>3396</v>
      </c>
      <c r="AC1667" t="s">
        <v>729</v>
      </c>
      <c r="AD1667" t="s">
        <v>3398</v>
      </c>
      <c r="AE1667" t="s">
        <v>3399</v>
      </c>
      <c r="AF1667" t="e">
        <f>------------MNDVILAQAAESGITGNIATIGYGIATIGPGIGIGILVGKALEGMARQPEMAGQLRTTMFLGIAFVEALALIGLVAGFIFT</f>
        <v>#NAME?</v>
      </c>
    </row>
    <row r="1668" spans="1:32" hidden="1" x14ac:dyDescent="0.35">
      <c r="A1668">
        <v>3277</v>
      </c>
      <c r="B1668" t="s">
        <v>6735</v>
      </c>
      <c r="C1668" t="s">
        <v>72</v>
      </c>
      <c r="D1668" t="s">
        <v>34</v>
      </c>
      <c r="E1668">
        <v>138</v>
      </c>
      <c r="F1668">
        <v>5</v>
      </c>
      <c r="G1668">
        <v>5</v>
      </c>
      <c r="H1668">
        <v>1</v>
      </c>
      <c r="I1668">
        <v>1</v>
      </c>
      <c r="J1668">
        <v>0.88834555827220896</v>
      </c>
      <c r="K1668">
        <v>0.88938756428237498</v>
      </c>
      <c r="L1668">
        <v>0.88886625589497303</v>
      </c>
      <c r="M1668">
        <v>0.61290322580645196</v>
      </c>
      <c r="N1668">
        <v>1</v>
      </c>
      <c r="O1668">
        <v>0.76989247311828002</v>
      </c>
      <c r="P1668" t="s">
        <v>6736</v>
      </c>
      <c r="Q1668" t="s">
        <v>6737</v>
      </c>
      <c r="R1668" t="s">
        <v>652</v>
      </c>
      <c r="S1668" t="s">
        <v>653</v>
      </c>
      <c r="T1668" t="s">
        <v>6738</v>
      </c>
      <c r="U1668" t="s">
        <v>6739</v>
      </c>
      <c r="V1668" t="s">
        <v>6740</v>
      </c>
      <c r="W1668" t="s">
        <v>6741</v>
      </c>
      <c r="X1668" t="s">
        <v>6740</v>
      </c>
      <c r="Y1668" t="s">
        <v>3395</v>
      </c>
      <c r="Z1668" t="s">
        <v>3396</v>
      </c>
      <c r="AA1668" t="s">
        <v>3397</v>
      </c>
      <c r="AB1668" t="s">
        <v>3396</v>
      </c>
      <c r="AC1668" t="s">
        <v>729</v>
      </c>
      <c r="AD1668" t="s">
        <v>3398</v>
      </c>
      <c r="AE1668" t="s">
        <v>3399</v>
      </c>
      <c r="AF1668" t="s">
        <v>6742</v>
      </c>
    </row>
    <row r="1669" spans="1:32" hidden="1" x14ac:dyDescent="0.35">
      <c r="A1669">
        <v>3278</v>
      </c>
      <c r="B1669" t="s">
        <v>6735</v>
      </c>
      <c r="C1669" t="s">
        <v>72</v>
      </c>
      <c r="D1669" t="s">
        <v>45</v>
      </c>
      <c r="E1669">
        <v>1400</v>
      </c>
      <c r="F1669">
        <v>5</v>
      </c>
      <c r="G1669">
        <v>5</v>
      </c>
      <c r="H1669">
        <v>1</v>
      </c>
      <c r="I1669">
        <v>1</v>
      </c>
      <c r="J1669">
        <v>0.88834555827220896</v>
      </c>
      <c r="K1669">
        <v>0.88938756428237498</v>
      </c>
      <c r="L1669">
        <v>0.88886625589497303</v>
      </c>
      <c r="M1669">
        <v>0.61290322580645196</v>
      </c>
      <c r="N1669">
        <v>1</v>
      </c>
      <c r="O1669">
        <v>0.76989247311828002</v>
      </c>
      <c r="P1669" t="s">
        <v>6736</v>
      </c>
      <c r="Q1669" t="s">
        <v>6737</v>
      </c>
      <c r="R1669" t="s">
        <v>652</v>
      </c>
      <c r="S1669" t="s">
        <v>653</v>
      </c>
      <c r="T1669" t="s">
        <v>6738</v>
      </c>
      <c r="U1669" t="s">
        <v>6739</v>
      </c>
      <c r="V1669" t="s">
        <v>6740</v>
      </c>
      <c r="W1669" t="s">
        <v>6741</v>
      </c>
      <c r="X1669" t="s">
        <v>6740</v>
      </c>
      <c r="Y1669" t="s">
        <v>3395</v>
      </c>
      <c r="Z1669" t="s">
        <v>3396</v>
      </c>
      <c r="AA1669" t="s">
        <v>3397</v>
      </c>
      <c r="AB1669" t="s">
        <v>3396</v>
      </c>
      <c r="AC1669" t="s">
        <v>729</v>
      </c>
      <c r="AD1669" t="s">
        <v>3398</v>
      </c>
      <c r="AE1669" t="s">
        <v>3399</v>
      </c>
      <c r="AF1669" t="s">
        <v>6742</v>
      </c>
    </row>
    <row r="1670" spans="1:32" hidden="1" x14ac:dyDescent="0.35">
      <c r="A1670">
        <v>11912</v>
      </c>
      <c r="B1670" t="s">
        <v>24553</v>
      </c>
      <c r="C1670" t="s">
        <v>10130</v>
      </c>
      <c r="D1670" t="s">
        <v>58</v>
      </c>
      <c r="E1670">
        <v>1263</v>
      </c>
      <c r="F1670">
        <v>1</v>
      </c>
      <c r="G1670">
        <v>1</v>
      </c>
      <c r="H1670">
        <v>1</v>
      </c>
      <c r="I1670">
        <v>0</v>
      </c>
      <c r="J1670">
        <v>1</v>
      </c>
      <c r="K1670">
        <v>1</v>
      </c>
      <c r="L1670">
        <v>1</v>
      </c>
      <c r="M1670">
        <v>0</v>
      </c>
      <c r="N1670">
        <v>0</v>
      </c>
      <c r="O1670">
        <v>0</v>
      </c>
      <c r="P1670" t="s">
        <v>23557</v>
      </c>
      <c r="Q1670" t="s">
        <v>23558</v>
      </c>
      <c r="R1670" t="s">
        <v>75</v>
      </c>
      <c r="S1670" t="s">
        <v>76</v>
      </c>
      <c r="V1670" t="s">
        <v>23559</v>
      </c>
      <c r="W1670" t="s">
        <v>23560</v>
      </c>
      <c r="AF1670" t="s">
        <v>24554</v>
      </c>
    </row>
    <row r="1671" spans="1:32" hidden="1" x14ac:dyDescent="0.35">
      <c r="A1671">
        <v>3420</v>
      </c>
      <c r="B1671" t="s">
        <v>7020</v>
      </c>
      <c r="C1671" t="s">
        <v>72</v>
      </c>
      <c r="D1671" t="s">
        <v>60</v>
      </c>
      <c r="E1671">
        <v>1572</v>
      </c>
      <c r="F1671">
        <v>5</v>
      </c>
      <c r="G1671">
        <v>5</v>
      </c>
      <c r="H1671">
        <v>1</v>
      </c>
      <c r="I1671">
        <v>1</v>
      </c>
      <c r="J1671">
        <v>0.79301423027166895</v>
      </c>
      <c r="K1671">
        <v>0.99106224491663497</v>
      </c>
      <c r="L1671">
        <v>0.88104571102640195</v>
      </c>
      <c r="M1671">
        <v>0.63888888888888895</v>
      </c>
      <c r="N1671">
        <v>1</v>
      </c>
      <c r="O1671">
        <v>0.73418803418803402</v>
      </c>
      <c r="P1671" t="s">
        <v>182</v>
      </c>
      <c r="Q1671" t="s">
        <v>183</v>
      </c>
      <c r="R1671" t="s">
        <v>652</v>
      </c>
      <c r="S1671" t="s">
        <v>653</v>
      </c>
      <c r="T1671" t="s">
        <v>7021</v>
      </c>
      <c r="U1671" t="s">
        <v>7022</v>
      </c>
      <c r="V1671" t="s">
        <v>3104</v>
      </c>
      <c r="W1671" t="s">
        <v>3105</v>
      </c>
      <c r="X1671" t="s">
        <v>3104</v>
      </c>
      <c r="Y1671" t="s">
        <v>3106</v>
      </c>
      <c r="AD1671" t="s">
        <v>219</v>
      </c>
      <c r="AE1671" t="s">
        <v>7023</v>
      </c>
      <c r="AF1671" t="s">
        <v>7025</v>
      </c>
    </row>
    <row r="1672" spans="1:32" hidden="1" x14ac:dyDescent="0.35">
      <c r="A1672">
        <v>3421</v>
      </c>
      <c r="B1672" t="s">
        <v>7020</v>
      </c>
      <c r="C1672" t="s">
        <v>72</v>
      </c>
      <c r="D1672" t="s">
        <v>62</v>
      </c>
      <c r="E1672">
        <v>1608</v>
      </c>
      <c r="F1672">
        <v>5</v>
      </c>
      <c r="G1672">
        <v>5</v>
      </c>
      <c r="H1672">
        <v>1</v>
      </c>
      <c r="I1672">
        <v>1</v>
      </c>
      <c r="J1672">
        <v>0.79301423027166895</v>
      </c>
      <c r="K1672">
        <v>0.99106224491663497</v>
      </c>
      <c r="L1672">
        <v>0.88104571102640195</v>
      </c>
      <c r="M1672">
        <v>0.63888888888888895</v>
      </c>
      <c r="N1672">
        <v>1</v>
      </c>
      <c r="O1672">
        <v>0.73418803418803402</v>
      </c>
      <c r="P1672" t="s">
        <v>182</v>
      </c>
      <c r="Q1672" t="s">
        <v>183</v>
      </c>
      <c r="R1672" t="s">
        <v>652</v>
      </c>
      <c r="S1672" t="s">
        <v>653</v>
      </c>
      <c r="T1672" t="s">
        <v>7021</v>
      </c>
      <c r="U1672" t="s">
        <v>7022</v>
      </c>
      <c r="V1672" t="s">
        <v>3104</v>
      </c>
      <c r="W1672" t="s">
        <v>3105</v>
      </c>
      <c r="X1672" t="s">
        <v>3104</v>
      </c>
      <c r="Y1672" t="s">
        <v>3106</v>
      </c>
      <c r="AD1672" t="s">
        <v>219</v>
      </c>
      <c r="AE1672" t="s">
        <v>7023</v>
      </c>
      <c r="AF1672" t="s">
        <v>7025</v>
      </c>
    </row>
    <row r="1673" spans="1:32" hidden="1" x14ac:dyDescent="0.35">
      <c r="A1673">
        <v>3422</v>
      </c>
      <c r="B1673" t="s">
        <v>7020</v>
      </c>
      <c r="C1673" t="s">
        <v>72</v>
      </c>
      <c r="D1673" t="s">
        <v>34</v>
      </c>
      <c r="E1673">
        <v>1977</v>
      </c>
      <c r="F1673">
        <v>5</v>
      </c>
      <c r="G1673">
        <v>5</v>
      </c>
      <c r="H1673">
        <v>1</v>
      </c>
      <c r="I1673">
        <v>1</v>
      </c>
      <c r="J1673">
        <v>0.79301423027166895</v>
      </c>
      <c r="K1673">
        <v>0.99106224491663497</v>
      </c>
      <c r="L1673">
        <v>0.88104571102640195</v>
      </c>
      <c r="M1673">
        <v>0.63888888888888895</v>
      </c>
      <c r="N1673">
        <v>1</v>
      </c>
      <c r="O1673">
        <v>0.73418803418803402</v>
      </c>
      <c r="P1673" t="s">
        <v>182</v>
      </c>
      <c r="Q1673" t="s">
        <v>183</v>
      </c>
      <c r="R1673" t="s">
        <v>652</v>
      </c>
      <c r="S1673" t="s">
        <v>653</v>
      </c>
      <c r="T1673" t="s">
        <v>7021</v>
      </c>
      <c r="U1673" t="s">
        <v>7022</v>
      </c>
      <c r="V1673" t="s">
        <v>3104</v>
      </c>
      <c r="W1673" t="s">
        <v>3105</v>
      </c>
      <c r="X1673" t="s">
        <v>3104</v>
      </c>
      <c r="Y1673" t="s">
        <v>3106</v>
      </c>
      <c r="AD1673" t="s">
        <v>219</v>
      </c>
      <c r="AE1673" t="s">
        <v>7023</v>
      </c>
      <c r="AF1673" t="e">
        <f>---MTNIRVDK-HYDLIIIGAGSGNSIPGPEFDDKSIAIIEKGKFGGTCLNVGCIPTKMFVYTSEVAETIRTSGKYNISAQLTDVAWPEIVKRVFSDRIDPIAAGGEAYRRGPETPNIDVYDHHAVFVGPKILSTGQGAEKRIISGDIIVIATGSRPAIPEVITKSGITYYTNENIMRLPKLPKSMIVMGGSFIALEMSHMFKALGVDVTLVNRSNRLLKRFDTDISDRITRAMSEAMTTHLGVTFTDLTEDESG-ITATLSNGSTIHGEVILIATGRIPNGDLMDLDKAGIDMVGDRIKVNKYGETTAPGVWALGDVSSPYQLKHVANAEMRTIRHNILHPDELRELPHENVPAAVFTHPQIGVVGLTEKEARDQGINVTVKVQKYGDVAYGWAMNDTENFAKLIADKDTGKLVGAHIIGPQAATLVQQLVTIMSFGLDVRAAARDQYWIHPALPELIENALLGLEF</f>
        <v>#NAME?</v>
      </c>
    </row>
    <row r="1674" spans="1:32" hidden="1" x14ac:dyDescent="0.35">
      <c r="A1674">
        <v>3423</v>
      </c>
      <c r="B1674" t="s">
        <v>7020</v>
      </c>
      <c r="C1674" t="s">
        <v>72</v>
      </c>
      <c r="D1674" t="s">
        <v>45</v>
      </c>
      <c r="E1674">
        <v>896</v>
      </c>
      <c r="F1674">
        <v>5</v>
      </c>
      <c r="G1674">
        <v>5</v>
      </c>
      <c r="H1674">
        <v>1</v>
      </c>
      <c r="I1674">
        <v>1</v>
      </c>
      <c r="J1674">
        <v>0.79301423027166895</v>
      </c>
      <c r="K1674">
        <v>0.99106224491663497</v>
      </c>
      <c r="L1674">
        <v>0.88104571102640195</v>
      </c>
      <c r="M1674">
        <v>0.63888888888888895</v>
      </c>
      <c r="N1674">
        <v>1</v>
      </c>
      <c r="O1674">
        <v>0.73418803418803402</v>
      </c>
      <c r="P1674" t="s">
        <v>182</v>
      </c>
      <c r="Q1674" t="s">
        <v>183</v>
      </c>
      <c r="R1674" t="s">
        <v>652</v>
      </c>
      <c r="S1674" t="s">
        <v>653</v>
      </c>
      <c r="T1674" t="s">
        <v>7021</v>
      </c>
      <c r="U1674" t="s">
        <v>7022</v>
      </c>
      <c r="V1674" t="s">
        <v>3104</v>
      </c>
      <c r="W1674" t="s">
        <v>3105</v>
      </c>
      <c r="X1674" t="s">
        <v>3104</v>
      </c>
      <c r="Y1674" t="s">
        <v>3106</v>
      </c>
      <c r="AD1674" t="s">
        <v>219</v>
      </c>
      <c r="AE1674" t="s">
        <v>7023</v>
      </c>
      <c r="AF1674" t="e">
        <f>---MTNIRVDK-HYDLIIIGAGSGNSIPGPEFDDKSIAIIEKGKFGGTCLNVGCIPTKMFVYTSEVAETIRTSGKYNISAQLTDVAWSEIVKRVFSDRIDPIAAGGEAYRRGPETPNIDVYDHHAVFVGPKILSTGQGAEKRIISGDIIVIATGSRPAIPEVITKSGITYYTNENIMRLPKLPKSMIVMGGSFIALEMSHMFKALGVDVTLVNRSNRLLKRFDTDISDRITRATSEAMTTHLGVTFTDLTEDESG-ITATLSNGSTIHGEVMLIATGRIPNGDLMDLDKAGIDMVGDRIKVNKYGETTAPGVWALGDVSSPYQLKHVANAEMRTIRHNILHPDELRELPHENVPAAVFTHPQIGVVGLTEKEARDQGINVTVKVQKYGDVAYGWAMNDTENFAKLIADKDTGKLVGAHIIGPQAATLVQQLVTIMSFGLDVRAAARDQYWIHPALPELIENALLGLEF</f>
        <v>#NAME?</v>
      </c>
    </row>
    <row r="1675" spans="1:32" hidden="1" x14ac:dyDescent="0.35">
      <c r="A1675">
        <v>11530</v>
      </c>
      <c r="B1675" t="s">
        <v>23556</v>
      </c>
      <c r="C1675" t="s">
        <v>33</v>
      </c>
      <c r="D1675" t="s">
        <v>58</v>
      </c>
      <c r="E1675">
        <v>612</v>
      </c>
      <c r="F1675">
        <v>1</v>
      </c>
      <c r="G1675">
        <v>1</v>
      </c>
      <c r="H1675">
        <v>1</v>
      </c>
      <c r="I1675">
        <v>0</v>
      </c>
      <c r="J1675">
        <v>1</v>
      </c>
      <c r="K1675">
        <v>1</v>
      </c>
      <c r="L1675">
        <v>1</v>
      </c>
      <c r="M1675">
        <v>0</v>
      </c>
      <c r="N1675">
        <v>0</v>
      </c>
      <c r="O1675">
        <v>0</v>
      </c>
      <c r="P1675" t="s">
        <v>23557</v>
      </c>
      <c r="Q1675" t="s">
        <v>23558</v>
      </c>
      <c r="R1675" t="s">
        <v>75</v>
      </c>
      <c r="S1675" t="s">
        <v>76</v>
      </c>
      <c r="V1675" t="s">
        <v>23559</v>
      </c>
      <c r="W1675" t="s">
        <v>23560</v>
      </c>
      <c r="AF1675" t="s">
        <v>23561</v>
      </c>
    </row>
    <row r="1676" spans="1:32" hidden="1" x14ac:dyDescent="0.35">
      <c r="A1676">
        <v>3450</v>
      </c>
      <c r="B1676" t="s">
        <v>7093</v>
      </c>
      <c r="C1676" t="s">
        <v>72</v>
      </c>
      <c r="D1676" t="s">
        <v>60</v>
      </c>
      <c r="E1676">
        <v>994</v>
      </c>
      <c r="F1676">
        <v>5</v>
      </c>
      <c r="G1676">
        <v>5</v>
      </c>
      <c r="H1676">
        <v>1</v>
      </c>
      <c r="I1676">
        <v>1</v>
      </c>
      <c r="J1676">
        <v>0.792682926829268</v>
      </c>
      <c r="K1676">
        <v>1</v>
      </c>
      <c r="L1676">
        <v>0.88435374149659896</v>
      </c>
      <c r="M1676">
        <v>0.57723577235772405</v>
      </c>
      <c r="N1676">
        <v>1</v>
      </c>
      <c r="O1676">
        <v>0.71951219512195097</v>
      </c>
      <c r="P1676" t="s">
        <v>7094</v>
      </c>
      <c r="Q1676" t="s">
        <v>7095</v>
      </c>
      <c r="R1676" t="s">
        <v>652</v>
      </c>
      <c r="S1676" t="s">
        <v>653</v>
      </c>
      <c r="T1676" t="s">
        <v>7096</v>
      </c>
      <c r="U1676" t="s">
        <v>7097</v>
      </c>
      <c r="V1676" t="s">
        <v>7098</v>
      </c>
      <c r="W1676" t="s">
        <v>7099</v>
      </c>
      <c r="X1676" t="s">
        <v>7098</v>
      </c>
      <c r="Y1676" t="s">
        <v>3395</v>
      </c>
      <c r="Z1676" t="s">
        <v>3396</v>
      </c>
      <c r="AA1676" t="s">
        <v>3397</v>
      </c>
      <c r="AB1676" t="s">
        <v>3396</v>
      </c>
      <c r="AC1676" t="s">
        <v>729</v>
      </c>
      <c r="AD1676" t="s">
        <v>3398</v>
      </c>
      <c r="AE1676" t="s">
        <v>3399</v>
      </c>
      <c r="AF1676" t="s">
        <v>7101</v>
      </c>
    </row>
    <row r="1677" spans="1:32" hidden="1" x14ac:dyDescent="0.35">
      <c r="A1677">
        <v>3451</v>
      </c>
      <c r="B1677" t="s">
        <v>7093</v>
      </c>
      <c r="C1677" t="s">
        <v>72</v>
      </c>
      <c r="D1677" t="s">
        <v>62</v>
      </c>
      <c r="E1677">
        <v>1030</v>
      </c>
      <c r="F1677">
        <v>5</v>
      </c>
      <c r="G1677">
        <v>5</v>
      </c>
      <c r="H1677">
        <v>1</v>
      </c>
      <c r="I1677">
        <v>1</v>
      </c>
      <c r="J1677">
        <v>0.792682926829268</v>
      </c>
      <c r="K1677">
        <v>1</v>
      </c>
      <c r="L1677">
        <v>0.88435374149659896</v>
      </c>
      <c r="M1677">
        <v>0.57723577235772405</v>
      </c>
      <c r="N1677">
        <v>1</v>
      </c>
      <c r="O1677">
        <v>0.71951219512195097</v>
      </c>
      <c r="P1677" t="s">
        <v>7094</v>
      </c>
      <c r="Q1677" t="s">
        <v>7095</v>
      </c>
      <c r="R1677" t="s">
        <v>652</v>
      </c>
      <c r="S1677" t="s">
        <v>653</v>
      </c>
      <c r="T1677" t="s">
        <v>7096</v>
      </c>
      <c r="U1677" t="s">
        <v>7097</v>
      </c>
      <c r="V1677" t="s">
        <v>7098</v>
      </c>
      <c r="W1677" t="s">
        <v>7099</v>
      </c>
      <c r="X1677" t="s">
        <v>7098</v>
      </c>
      <c r="Y1677" t="s">
        <v>3395</v>
      </c>
      <c r="Z1677" t="s">
        <v>3396</v>
      </c>
      <c r="AA1677" t="s">
        <v>3397</v>
      </c>
      <c r="AB1677" t="s">
        <v>3396</v>
      </c>
      <c r="AC1677" t="s">
        <v>729</v>
      </c>
      <c r="AD1677" t="s">
        <v>3398</v>
      </c>
      <c r="AE1677" t="s">
        <v>3399</v>
      </c>
      <c r="AF1677" t="s">
        <v>7101</v>
      </c>
    </row>
    <row r="1678" spans="1:32" hidden="1" x14ac:dyDescent="0.35">
      <c r="A1678">
        <v>3452</v>
      </c>
      <c r="B1678" t="s">
        <v>7093</v>
      </c>
      <c r="C1678" t="s">
        <v>72</v>
      </c>
      <c r="D1678" t="s">
        <v>34</v>
      </c>
      <c r="E1678">
        <v>132</v>
      </c>
      <c r="F1678">
        <v>5</v>
      </c>
      <c r="G1678">
        <v>5</v>
      </c>
      <c r="H1678">
        <v>1</v>
      </c>
      <c r="I1678">
        <v>1</v>
      </c>
      <c r="J1678">
        <v>0.792682926829268</v>
      </c>
      <c r="K1678">
        <v>1</v>
      </c>
      <c r="L1678">
        <v>0.88435374149659896</v>
      </c>
      <c r="M1678">
        <v>0.57723577235772405</v>
      </c>
      <c r="N1678">
        <v>1</v>
      </c>
      <c r="O1678">
        <v>0.71951219512195097</v>
      </c>
      <c r="P1678" t="s">
        <v>7094</v>
      </c>
      <c r="Q1678" t="s">
        <v>7095</v>
      </c>
      <c r="R1678" t="s">
        <v>652</v>
      </c>
      <c r="S1678" t="s">
        <v>653</v>
      </c>
      <c r="T1678" t="s">
        <v>7096</v>
      </c>
      <c r="U1678" t="s">
        <v>7097</v>
      </c>
      <c r="V1678" t="s">
        <v>7098</v>
      </c>
      <c r="W1678" t="s">
        <v>7099</v>
      </c>
      <c r="X1678" t="s">
        <v>7098</v>
      </c>
      <c r="Y1678" t="s">
        <v>3395</v>
      </c>
      <c r="Z1678" t="s">
        <v>3396</v>
      </c>
      <c r="AA1678" t="s">
        <v>3397</v>
      </c>
      <c r="AB1678" t="s">
        <v>3396</v>
      </c>
      <c r="AC1678" t="s">
        <v>729</v>
      </c>
      <c r="AD1678" t="s">
        <v>3398</v>
      </c>
      <c r="AE1678" t="s">
        <v>3399</v>
      </c>
      <c r="AF1678" t="s">
        <v>7102</v>
      </c>
    </row>
    <row r="1679" spans="1:32" hidden="1" x14ac:dyDescent="0.35">
      <c r="A1679">
        <v>3453</v>
      </c>
      <c r="B1679" t="s">
        <v>7093</v>
      </c>
      <c r="C1679" t="s">
        <v>72</v>
      </c>
      <c r="D1679" t="s">
        <v>45</v>
      </c>
      <c r="E1679">
        <v>1394</v>
      </c>
      <c r="F1679">
        <v>5</v>
      </c>
      <c r="G1679">
        <v>5</v>
      </c>
      <c r="H1679">
        <v>1</v>
      </c>
      <c r="I1679">
        <v>1</v>
      </c>
      <c r="J1679">
        <v>0.792682926829268</v>
      </c>
      <c r="K1679">
        <v>1</v>
      </c>
      <c r="L1679">
        <v>0.88435374149659896</v>
      </c>
      <c r="M1679">
        <v>0.57723577235772405</v>
      </c>
      <c r="N1679">
        <v>1</v>
      </c>
      <c r="O1679">
        <v>0.71951219512195097</v>
      </c>
      <c r="P1679" t="s">
        <v>7094</v>
      </c>
      <c r="Q1679" t="s">
        <v>7095</v>
      </c>
      <c r="R1679" t="s">
        <v>652</v>
      </c>
      <c r="S1679" t="s">
        <v>653</v>
      </c>
      <c r="T1679" t="s">
        <v>7096</v>
      </c>
      <c r="U1679" t="s">
        <v>7097</v>
      </c>
      <c r="V1679" t="s">
        <v>7098</v>
      </c>
      <c r="W1679" t="s">
        <v>7099</v>
      </c>
      <c r="X1679" t="s">
        <v>7098</v>
      </c>
      <c r="Y1679" t="s">
        <v>3395</v>
      </c>
      <c r="Z1679" t="s">
        <v>3396</v>
      </c>
      <c r="AA1679" t="s">
        <v>3397</v>
      </c>
      <c r="AB1679" t="s">
        <v>3396</v>
      </c>
      <c r="AC1679" t="s">
        <v>729</v>
      </c>
      <c r="AD1679" t="s">
        <v>3398</v>
      </c>
      <c r="AE1679" t="s">
        <v>3399</v>
      </c>
      <c r="AF1679" t="s">
        <v>7103</v>
      </c>
    </row>
    <row r="1680" spans="1:32" hidden="1" x14ac:dyDescent="0.35">
      <c r="A1680">
        <v>1194</v>
      </c>
      <c r="B1680" t="s">
        <v>2495</v>
      </c>
      <c r="C1680" t="s">
        <v>72</v>
      </c>
      <c r="D1680" t="s">
        <v>58</v>
      </c>
      <c r="E1680">
        <v>1378</v>
      </c>
      <c r="F1680">
        <v>5</v>
      </c>
      <c r="G1680">
        <v>5</v>
      </c>
      <c r="H1680">
        <v>1</v>
      </c>
      <c r="I1680">
        <v>1</v>
      </c>
      <c r="J1680">
        <v>0.73287671232876705</v>
      </c>
      <c r="K1680">
        <v>0.87261545055180301</v>
      </c>
      <c r="L1680">
        <v>0.79666479514950395</v>
      </c>
      <c r="M1680">
        <v>0.47712418300653597</v>
      </c>
      <c r="N1680">
        <v>1</v>
      </c>
      <c r="O1680">
        <v>0.642483660130719</v>
      </c>
      <c r="P1680" t="s">
        <v>2496</v>
      </c>
      <c r="Q1680" t="s">
        <v>2497</v>
      </c>
      <c r="R1680" t="s">
        <v>138</v>
      </c>
      <c r="S1680" t="s">
        <v>139</v>
      </c>
      <c r="V1680" t="s">
        <v>2498</v>
      </c>
      <c r="W1680" t="s">
        <v>2499</v>
      </c>
      <c r="AF1680" t="s">
        <v>2500</v>
      </c>
    </row>
    <row r="1681" spans="1:32" hidden="1" x14ac:dyDescent="0.35">
      <c r="A1681">
        <v>3765</v>
      </c>
      <c r="B1681" t="s">
        <v>7767</v>
      </c>
      <c r="C1681" t="s">
        <v>72</v>
      </c>
      <c r="D1681" t="s">
        <v>60</v>
      </c>
      <c r="E1681">
        <v>2327</v>
      </c>
      <c r="F1681">
        <v>5</v>
      </c>
      <c r="G1681">
        <v>5</v>
      </c>
      <c r="H1681">
        <v>1</v>
      </c>
      <c r="I1681">
        <v>1</v>
      </c>
      <c r="J1681">
        <v>0.80317946474148605</v>
      </c>
      <c r="K1681">
        <v>0.95159043659043197</v>
      </c>
      <c r="L1681">
        <v>0.87110896640488</v>
      </c>
      <c r="M1681">
        <v>0.656964656964657</v>
      </c>
      <c r="N1681">
        <v>0.99792099792099798</v>
      </c>
      <c r="O1681">
        <v>0.74116424116424096</v>
      </c>
      <c r="P1681" t="s">
        <v>7768</v>
      </c>
      <c r="Q1681" t="s">
        <v>7769</v>
      </c>
      <c r="R1681" t="s">
        <v>652</v>
      </c>
      <c r="S1681" t="s">
        <v>653</v>
      </c>
      <c r="T1681" t="s">
        <v>7770</v>
      </c>
      <c r="U1681" t="s">
        <v>7771</v>
      </c>
      <c r="V1681" t="s">
        <v>7772</v>
      </c>
      <c r="W1681" t="s">
        <v>7773</v>
      </c>
      <c r="Z1681" t="s">
        <v>7779</v>
      </c>
      <c r="AA1681" t="s">
        <v>7780</v>
      </c>
      <c r="AB1681" t="s">
        <v>7779</v>
      </c>
      <c r="AC1681" t="s">
        <v>7781</v>
      </c>
      <c r="AD1681" t="s">
        <v>590</v>
      </c>
      <c r="AE1681" t="s">
        <v>7777</v>
      </c>
      <c r="AF1681" t="e">
        <f>----MTGNARSVLVTTIGRNFDDIDISALATSLGCVPRDLVTDSL---VLEDVVAADPLAGDSPVLLRGIGNIDFDARAASALGIPLLLLIDAP-GPHVDVTLQEVSALGAVVAAAVTAAE------AADVDKVKAALQVDVEPVMSAVVFETWLLKKAKGYNSHIVLPEGDDDRILQAADELLKRDICRLTILGDPEAIRARAAELGLDLSKATLSNP--LTDPRAEEFAEKFTELRKSKGMTLEEARETMKDISYYATMMIHMGLADGMVSGAAHTTAHTIKPSFQIIKTVPGASVVSSIFLMVLRGRLWAFGDCAVNPNPTAEQLGEIAVVSAKTASQFGIDPRVAILSYSTGTSGFGPDVDRAAAALEMAKKLDPELHVDGPLQFDAAVDPVVAAKKMPESTVAGQANVFIFPDLDAGNIGYKTAQRTGHALAVGPILQGLNKPVNDLSRGATVADIVNTVAITAIQ------AGDK</f>
        <v>#NAME?</v>
      </c>
    </row>
    <row r="1682" spans="1:32" hidden="1" x14ac:dyDescent="0.35">
      <c r="A1682">
        <v>3766</v>
      </c>
      <c r="B1682" t="s">
        <v>7767</v>
      </c>
      <c r="C1682" t="s">
        <v>72</v>
      </c>
      <c r="D1682" t="s">
        <v>62</v>
      </c>
      <c r="E1682">
        <v>2355</v>
      </c>
      <c r="F1682">
        <v>5</v>
      </c>
      <c r="G1682">
        <v>5</v>
      </c>
      <c r="H1682">
        <v>1</v>
      </c>
      <c r="I1682">
        <v>1</v>
      </c>
      <c r="J1682">
        <v>0.80317946474148605</v>
      </c>
      <c r="K1682">
        <v>0.95159043659043197</v>
      </c>
      <c r="L1682">
        <v>0.87110896640488</v>
      </c>
      <c r="M1682">
        <v>0.656964656964657</v>
      </c>
      <c r="N1682">
        <v>0.99792099792099798</v>
      </c>
      <c r="O1682">
        <v>0.74116424116424096</v>
      </c>
      <c r="P1682" t="s">
        <v>7768</v>
      </c>
      <c r="Q1682" t="s">
        <v>7769</v>
      </c>
      <c r="R1682" t="s">
        <v>652</v>
      </c>
      <c r="S1682" t="s">
        <v>653</v>
      </c>
      <c r="T1682" t="s">
        <v>7770</v>
      </c>
      <c r="U1682" t="s">
        <v>7771</v>
      </c>
      <c r="V1682" t="s">
        <v>7772</v>
      </c>
      <c r="W1682" t="s">
        <v>7773</v>
      </c>
      <c r="Z1682" t="s">
        <v>7779</v>
      </c>
      <c r="AA1682" t="s">
        <v>7780</v>
      </c>
      <c r="AB1682" t="s">
        <v>7779</v>
      </c>
      <c r="AC1682" t="s">
        <v>7781</v>
      </c>
      <c r="AD1682" t="s">
        <v>590</v>
      </c>
      <c r="AE1682" t="s">
        <v>7777</v>
      </c>
      <c r="AF1682" t="e">
        <f>----MTGNARSVLVTTIGRNFDDIDISALATSLGCVPRDLVTDSL---VLEDVVAADPLAGDSPVLLRGIGNIDFDARAASALGIPLLLLIDAP-GPHVDVTLQEVSALGAVVAAAVTAAE------AADVDKVKAALQVDVEPVMSAVVFETWLLKKAKGYNSHIVLPEGDDDRILQAADELLKRDICRLTILGDPEAIRARAVELGLDLSKATLSNP--LTDPRAEEFAEQFTELRKSKGMTLEEARETMKDISYYATMMIHLGLADGMVSGAAHTTAHTIKPSFQIIKTVPGASVVSSIFLMVLRGRLWAFGDCAVNPNPTAEQLGEIAVVSAKTASQFGIDPRVAILSYSTGTSGFGPDVDRAAAALEVAKKLDPELHVDGPLQFDAAVDPVVAAKKMPESTVAGQANVFIFPDLDAGNIGYKTAQRTGHALAVGPILQGLNKPVNDLSRGATVADIVNTVAITAIQ------AGDK</f>
        <v>#NAME?</v>
      </c>
    </row>
    <row r="1683" spans="1:32" hidden="1" x14ac:dyDescent="0.35">
      <c r="A1683">
        <v>3767</v>
      </c>
      <c r="B1683" t="s">
        <v>7767</v>
      </c>
      <c r="C1683" t="s">
        <v>72</v>
      </c>
      <c r="D1683" t="s">
        <v>34</v>
      </c>
      <c r="E1683">
        <v>1463</v>
      </c>
      <c r="F1683">
        <v>5</v>
      </c>
      <c r="G1683">
        <v>5</v>
      </c>
      <c r="H1683">
        <v>1</v>
      </c>
      <c r="I1683">
        <v>1</v>
      </c>
      <c r="J1683">
        <v>0.80317946474148605</v>
      </c>
      <c r="K1683">
        <v>0.95159043659043197</v>
      </c>
      <c r="L1683">
        <v>0.87110896640488</v>
      </c>
      <c r="M1683">
        <v>0.656964656964657</v>
      </c>
      <c r="N1683">
        <v>0.99792099792099798</v>
      </c>
      <c r="O1683">
        <v>0.74116424116424096</v>
      </c>
      <c r="P1683" t="s">
        <v>7768</v>
      </c>
      <c r="Q1683" t="s">
        <v>7769</v>
      </c>
      <c r="R1683" t="s">
        <v>652</v>
      </c>
      <c r="S1683" t="s">
        <v>653</v>
      </c>
      <c r="T1683" t="s">
        <v>7770</v>
      </c>
      <c r="U1683" t="s">
        <v>7771</v>
      </c>
      <c r="V1683" t="s">
        <v>7772</v>
      </c>
      <c r="W1683" t="s">
        <v>7773</v>
      </c>
      <c r="Z1683" t="s">
        <v>7774</v>
      </c>
      <c r="AA1683" t="s">
        <v>7775</v>
      </c>
      <c r="AB1683" t="s">
        <v>7774</v>
      </c>
      <c r="AC1683" t="s">
        <v>7776</v>
      </c>
      <c r="AD1683" t="s">
        <v>590</v>
      </c>
      <c r="AE1683" t="s">
        <v>7777</v>
      </c>
      <c r="AF1683" t="s">
        <v>7782</v>
      </c>
    </row>
    <row r="1684" spans="1:32" hidden="1" x14ac:dyDescent="0.35">
      <c r="A1684">
        <v>3768</v>
      </c>
      <c r="B1684" t="s">
        <v>7767</v>
      </c>
      <c r="C1684" t="s">
        <v>72</v>
      </c>
      <c r="D1684" t="s">
        <v>45</v>
      </c>
      <c r="E1684">
        <v>214</v>
      </c>
      <c r="F1684">
        <v>5</v>
      </c>
      <c r="G1684">
        <v>5</v>
      </c>
      <c r="H1684">
        <v>1</v>
      </c>
      <c r="I1684">
        <v>1</v>
      </c>
      <c r="J1684">
        <v>0.80317946474148605</v>
      </c>
      <c r="K1684">
        <v>0.95159043659043197</v>
      </c>
      <c r="L1684">
        <v>0.87110896640488</v>
      </c>
      <c r="M1684">
        <v>0.656964656964657</v>
      </c>
      <c r="N1684">
        <v>0.99792099792099798</v>
      </c>
      <c r="O1684">
        <v>0.74116424116424096</v>
      </c>
      <c r="P1684" t="s">
        <v>7768</v>
      </c>
      <c r="Q1684" t="s">
        <v>7769</v>
      </c>
      <c r="R1684" t="s">
        <v>652</v>
      </c>
      <c r="S1684" t="s">
        <v>653</v>
      </c>
      <c r="T1684" t="s">
        <v>7770</v>
      </c>
      <c r="U1684" t="s">
        <v>7771</v>
      </c>
      <c r="V1684" t="s">
        <v>7772</v>
      </c>
      <c r="W1684" t="s">
        <v>7773</v>
      </c>
      <c r="Z1684" t="s">
        <v>7774</v>
      </c>
      <c r="AA1684" t="s">
        <v>7775</v>
      </c>
      <c r="AB1684" t="s">
        <v>7774</v>
      </c>
      <c r="AC1684" t="s">
        <v>7776</v>
      </c>
      <c r="AD1684" t="s">
        <v>590</v>
      </c>
      <c r="AE1684" t="s">
        <v>7777</v>
      </c>
      <c r="AF1684" t="s">
        <v>7782</v>
      </c>
    </row>
    <row r="1685" spans="1:32" hidden="1" x14ac:dyDescent="0.35">
      <c r="A1685">
        <v>11089</v>
      </c>
      <c r="B1685" t="s">
        <v>22451</v>
      </c>
      <c r="C1685" t="s">
        <v>33</v>
      </c>
      <c r="D1685" t="s">
        <v>58</v>
      </c>
      <c r="E1685">
        <v>898</v>
      </c>
      <c r="F1685">
        <v>1</v>
      </c>
      <c r="G1685">
        <v>1</v>
      </c>
      <c r="H1685">
        <v>1</v>
      </c>
      <c r="I1685">
        <v>0</v>
      </c>
      <c r="J1685">
        <v>1</v>
      </c>
      <c r="K1685">
        <v>1</v>
      </c>
      <c r="L1685">
        <v>1</v>
      </c>
      <c r="M1685">
        <v>0</v>
      </c>
      <c r="N1685">
        <v>0</v>
      </c>
      <c r="O1685">
        <v>0</v>
      </c>
      <c r="P1685" t="s">
        <v>17739</v>
      </c>
      <c r="Q1685" t="s">
        <v>17740</v>
      </c>
      <c r="R1685" t="s">
        <v>75</v>
      </c>
      <c r="S1685" t="s">
        <v>76</v>
      </c>
      <c r="V1685" t="s">
        <v>17741</v>
      </c>
      <c r="W1685" t="s">
        <v>17742</v>
      </c>
      <c r="AF1685" t="s">
        <v>22452</v>
      </c>
    </row>
    <row r="1686" spans="1:32" hidden="1" x14ac:dyDescent="0.35">
      <c r="A1686">
        <v>3785</v>
      </c>
      <c r="B1686" t="s">
        <v>7823</v>
      </c>
      <c r="C1686" t="s">
        <v>72</v>
      </c>
      <c r="D1686" t="s">
        <v>60</v>
      </c>
      <c r="E1686">
        <v>2522</v>
      </c>
      <c r="F1686">
        <v>5</v>
      </c>
      <c r="G1686">
        <v>5</v>
      </c>
      <c r="H1686">
        <v>1</v>
      </c>
      <c r="I1686">
        <v>1</v>
      </c>
      <c r="J1686">
        <v>0.82466747279322805</v>
      </c>
      <c r="K1686">
        <v>0.95015343245808104</v>
      </c>
      <c r="L1686">
        <v>0.88297430754013695</v>
      </c>
      <c r="M1686">
        <v>0.62155963302752304</v>
      </c>
      <c r="N1686">
        <v>0.99770642201834903</v>
      </c>
      <c r="O1686">
        <v>0.72958715596330304</v>
      </c>
      <c r="P1686" t="s">
        <v>6141</v>
      </c>
      <c r="Q1686" t="s">
        <v>6142</v>
      </c>
      <c r="R1686" t="s">
        <v>652</v>
      </c>
      <c r="S1686" t="s">
        <v>653</v>
      </c>
      <c r="V1686" t="s">
        <v>6145</v>
      </c>
      <c r="W1686" t="s">
        <v>6146</v>
      </c>
      <c r="AF1686" t="s">
        <v>7825</v>
      </c>
    </row>
    <row r="1687" spans="1:32" hidden="1" x14ac:dyDescent="0.35">
      <c r="A1687">
        <v>3786</v>
      </c>
      <c r="B1687" t="s">
        <v>7823</v>
      </c>
      <c r="C1687" t="s">
        <v>72</v>
      </c>
      <c r="D1687" t="s">
        <v>62</v>
      </c>
      <c r="E1687">
        <v>47</v>
      </c>
      <c r="F1687">
        <v>5</v>
      </c>
      <c r="G1687">
        <v>5</v>
      </c>
      <c r="H1687">
        <v>1</v>
      </c>
      <c r="I1687">
        <v>1</v>
      </c>
      <c r="J1687">
        <v>0.82466747279322805</v>
      </c>
      <c r="K1687">
        <v>0.95015343245808104</v>
      </c>
      <c r="L1687">
        <v>0.88297430754013695</v>
      </c>
      <c r="M1687">
        <v>0.62155963302752304</v>
      </c>
      <c r="N1687">
        <v>0.99770642201834903</v>
      </c>
      <c r="O1687">
        <v>0.72958715596330304</v>
      </c>
      <c r="P1687" t="s">
        <v>6141</v>
      </c>
      <c r="Q1687" t="s">
        <v>6142</v>
      </c>
      <c r="R1687" t="s">
        <v>652</v>
      </c>
      <c r="S1687" t="s">
        <v>653</v>
      </c>
      <c r="V1687" t="s">
        <v>6145</v>
      </c>
      <c r="W1687" t="s">
        <v>6146</v>
      </c>
      <c r="AF1687" t="s">
        <v>7826</v>
      </c>
    </row>
    <row r="1688" spans="1:32" hidden="1" x14ac:dyDescent="0.35">
      <c r="A1688">
        <v>3787</v>
      </c>
      <c r="B1688" t="s">
        <v>7823</v>
      </c>
      <c r="C1688" t="s">
        <v>72</v>
      </c>
      <c r="D1688" t="s">
        <v>34</v>
      </c>
      <c r="E1688">
        <v>1121</v>
      </c>
      <c r="F1688">
        <v>5</v>
      </c>
      <c r="G1688">
        <v>5</v>
      </c>
      <c r="H1688">
        <v>1</v>
      </c>
      <c r="I1688">
        <v>1</v>
      </c>
      <c r="J1688">
        <v>0.82466747279322805</v>
      </c>
      <c r="K1688">
        <v>0.95015343245808104</v>
      </c>
      <c r="L1688">
        <v>0.88297430754013695</v>
      </c>
      <c r="M1688">
        <v>0.62155963302752304</v>
      </c>
      <c r="N1688">
        <v>0.99770642201834903</v>
      </c>
      <c r="O1688">
        <v>0.72958715596330304</v>
      </c>
      <c r="P1688" t="s">
        <v>6141</v>
      </c>
      <c r="Q1688" t="s">
        <v>6142</v>
      </c>
      <c r="R1688" t="s">
        <v>652</v>
      </c>
      <c r="S1688" t="s">
        <v>653</v>
      </c>
      <c r="V1688" t="s">
        <v>6145</v>
      </c>
      <c r="W1688" t="s">
        <v>6146</v>
      </c>
      <c r="AF1688" t="s">
        <v>7827</v>
      </c>
    </row>
    <row r="1689" spans="1:32" hidden="1" x14ac:dyDescent="0.35">
      <c r="A1689">
        <v>3788</v>
      </c>
      <c r="B1689" t="s">
        <v>7823</v>
      </c>
      <c r="C1689" t="s">
        <v>72</v>
      </c>
      <c r="D1689" t="s">
        <v>45</v>
      </c>
      <c r="E1689">
        <v>2374</v>
      </c>
      <c r="F1689">
        <v>5</v>
      </c>
      <c r="G1689">
        <v>5</v>
      </c>
      <c r="H1689">
        <v>1</v>
      </c>
      <c r="I1689">
        <v>1</v>
      </c>
      <c r="J1689">
        <v>0.82466747279322805</v>
      </c>
      <c r="K1689">
        <v>0.95015343245808104</v>
      </c>
      <c r="L1689">
        <v>0.88297430754013695</v>
      </c>
      <c r="M1689">
        <v>0.62155963302752304</v>
      </c>
      <c r="N1689">
        <v>0.99770642201834903</v>
      </c>
      <c r="O1689">
        <v>0.72958715596330304</v>
      </c>
      <c r="P1689" t="s">
        <v>6141</v>
      </c>
      <c r="Q1689" t="s">
        <v>6142</v>
      </c>
      <c r="R1689" t="s">
        <v>652</v>
      </c>
      <c r="S1689" t="s">
        <v>653</v>
      </c>
      <c r="V1689" t="s">
        <v>6145</v>
      </c>
      <c r="W1689" t="s">
        <v>6146</v>
      </c>
      <c r="AF1689" t="s">
        <v>7828</v>
      </c>
    </row>
    <row r="1690" spans="1:32" hidden="1" x14ac:dyDescent="0.35">
      <c r="A1690">
        <v>4674</v>
      </c>
      <c r="B1690" t="s">
        <v>9771</v>
      </c>
      <c r="C1690" t="s">
        <v>10127</v>
      </c>
      <c r="D1690" t="s">
        <v>58</v>
      </c>
      <c r="E1690">
        <v>1492</v>
      </c>
      <c r="F1690">
        <v>5</v>
      </c>
      <c r="G1690">
        <v>5</v>
      </c>
      <c r="H1690">
        <v>1</v>
      </c>
      <c r="I1690">
        <v>1</v>
      </c>
      <c r="J1690">
        <v>0.83302477298774602</v>
      </c>
      <c r="K1690">
        <v>0.97718734519553596</v>
      </c>
      <c r="L1690">
        <v>0.89936561380989599</v>
      </c>
      <c r="M1690">
        <v>0.68475452196382403</v>
      </c>
      <c r="N1690">
        <v>0.98966408268733896</v>
      </c>
      <c r="O1690">
        <v>0.76330749354005201</v>
      </c>
      <c r="P1690" t="s">
        <v>7882</v>
      </c>
      <c r="Q1690" t="s">
        <v>7883</v>
      </c>
      <c r="R1690" t="s">
        <v>235</v>
      </c>
      <c r="S1690" t="s">
        <v>236</v>
      </c>
      <c r="T1690" t="s">
        <v>9772</v>
      </c>
      <c r="U1690" t="s">
        <v>9773</v>
      </c>
      <c r="V1690" t="s">
        <v>9774</v>
      </c>
      <c r="W1690" t="s">
        <v>9775</v>
      </c>
      <c r="X1690" t="s">
        <v>9774</v>
      </c>
      <c r="Y1690" t="s">
        <v>2431</v>
      </c>
      <c r="Z1690" t="s">
        <v>4557</v>
      </c>
      <c r="AA1690" t="s">
        <v>4558</v>
      </c>
      <c r="AB1690" t="s">
        <v>4557</v>
      </c>
      <c r="AC1690" t="s">
        <v>1800</v>
      </c>
      <c r="AD1690" t="s">
        <v>951</v>
      </c>
      <c r="AE1690" t="s">
        <v>9776</v>
      </c>
      <c r="AF1690" t="s">
        <v>9777</v>
      </c>
    </row>
    <row r="1691" spans="1:32" hidden="1" x14ac:dyDescent="0.35">
      <c r="A1691">
        <v>3865</v>
      </c>
      <c r="B1691" t="s">
        <v>7968</v>
      </c>
      <c r="C1691" t="s">
        <v>72</v>
      </c>
      <c r="D1691" t="s">
        <v>60</v>
      </c>
      <c r="E1691">
        <v>1287</v>
      </c>
      <c r="F1691">
        <v>5</v>
      </c>
      <c r="G1691">
        <v>5</v>
      </c>
      <c r="H1691">
        <v>1</v>
      </c>
      <c r="I1691">
        <v>1</v>
      </c>
      <c r="J1691">
        <v>0.83139236797773397</v>
      </c>
      <c r="K1691">
        <v>0.95361130847433995</v>
      </c>
      <c r="L1691">
        <v>0.88831768174132797</v>
      </c>
      <c r="M1691">
        <v>0.67991631799163199</v>
      </c>
      <c r="N1691">
        <v>0.99581589958159</v>
      </c>
      <c r="O1691">
        <v>0.75732217573221705</v>
      </c>
      <c r="P1691" t="s">
        <v>182</v>
      </c>
      <c r="Q1691" t="s">
        <v>183</v>
      </c>
      <c r="R1691" t="s">
        <v>652</v>
      </c>
      <c r="S1691" t="s">
        <v>653</v>
      </c>
      <c r="T1691" t="s">
        <v>7969</v>
      </c>
      <c r="U1691" t="s">
        <v>7970</v>
      </c>
      <c r="V1691" t="s">
        <v>7971</v>
      </c>
      <c r="W1691" t="s">
        <v>7972</v>
      </c>
      <c r="AD1691" t="s">
        <v>219</v>
      </c>
      <c r="AE1691" t="s">
        <v>7973</v>
      </c>
      <c r="AF1691" t="s">
        <v>7975</v>
      </c>
    </row>
    <row r="1692" spans="1:32" hidden="1" x14ac:dyDescent="0.35">
      <c r="A1692">
        <v>3866</v>
      </c>
      <c r="B1692" t="s">
        <v>7968</v>
      </c>
      <c r="C1692" t="s">
        <v>72</v>
      </c>
      <c r="D1692" t="s">
        <v>62</v>
      </c>
      <c r="E1692">
        <v>1323</v>
      </c>
      <c r="F1692">
        <v>5</v>
      </c>
      <c r="G1692">
        <v>5</v>
      </c>
      <c r="H1692">
        <v>1</v>
      </c>
      <c r="I1692">
        <v>1</v>
      </c>
      <c r="J1692">
        <v>0.83139236797773397</v>
      </c>
      <c r="K1692">
        <v>0.95361130847433995</v>
      </c>
      <c r="L1692">
        <v>0.88831768174132797</v>
      </c>
      <c r="M1692">
        <v>0.67991631799163199</v>
      </c>
      <c r="N1692">
        <v>0.99581589958159</v>
      </c>
      <c r="O1692">
        <v>0.75732217573221705</v>
      </c>
      <c r="P1692" t="s">
        <v>182</v>
      </c>
      <c r="Q1692" t="s">
        <v>183</v>
      </c>
      <c r="R1692" t="s">
        <v>652</v>
      </c>
      <c r="S1692" t="s">
        <v>653</v>
      </c>
      <c r="T1692" t="s">
        <v>7969</v>
      </c>
      <c r="U1692" t="s">
        <v>7970</v>
      </c>
      <c r="V1692" t="s">
        <v>7971</v>
      </c>
      <c r="W1692" t="s">
        <v>7972</v>
      </c>
      <c r="AD1692" t="s">
        <v>219</v>
      </c>
      <c r="AE1692" t="s">
        <v>7973</v>
      </c>
      <c r="AF1692" t="s">
        <v>7976</v>
      </c>
    </row>
    <row r="1693" spans="1:32" hidden="1" x14ac:dyDescent="0.35">
      <c r="A1693">
        <v>3867</v>
      </c>
      <c r="B1693" t="s">
        <v>7968</v>
      </c>
      <c r="C1693" t="s">
        <v>72</v>
      </c>
      <c r="D1693" t="s">
        <v>34</v>
      </c>
      <c r="E1693">
        <v>1686</v>
      </c>
      <c r="F1693">
        <v>5</v>
      </c>
      <c r="G1693">
        <v>5</v>
      </c>
      <c r="H1693">
        <v>1</v>
      </c>
      <c r="I1693">
        <v>1</v>
      </c>
      <c r="J1693">
        <v>0.83139236797773397</v>
      </c>
      <c r="K1693">
        <v>0.95361130847433995</v>
      </c>
      <c r="L1693">
        <v>0.88831768174132797</v>
      </c>
      <c r="M1693">
        <v>0.67991631799163199</v>
      </c>
      <c r="N1693">
        <v>0.99581589958159</v>
      </c>
      <c r="O1693">
        <v>0.75732217573221705</v>
      </c>
      <c r="P1693" t="s">
        <v>182</v>
      </c>
      <c r="Q1693" t="s">
        <v>183</v>
      </c>
      <c r="R1693" t="s">
        <v>652</v>
      </c>
      <c r="S1693" t="s">
        <v>653</v>
      </c>
      <c r="T1693" t="s">
        <v>7969</v>
      </c>
      <c r="U1693" t="s">
        <v>7970</v>
      </c>
      <c r="V1693" t="s">
        <v>7971</v>
      </c>
      <c r="W1693" t="s">
        <v>7972</v>
      </c>
      <c r="AD1693" t="s">
        <v>219</v>
      </c>
      <c r="AE1693" t="s">
        <v>7973</v>
      </c>
      <c r="AF1693" t="s">
        <v>7977</v>
      </c>
    </row>
    <row r="1694" spans="1:32" hidden="1" x14ac:dyDescent="0.35">
      <c r="A1694">
        <v>3868</v>
      </c>
      <c r="B1694" t="s">
        <v>7968</v>
      </c>
      <c r="C1694" t="s">
        <v>72</v>
      </c>
      <c r="D1694" t="s">
        <v>45</v>
      </c>
      <c r="E1694">
        <v>1190</v>
      </c>
      <c r="F1694">
        <v>5</v>
      </c>
      <c r="G1694">
        <v>5</v>
      </c>
      <c r="H1694">
        <v>1</v>
      </c>
      <c r="I1694">
        <v>1</v>
      </c>
      <c r="J1694">
        <v>0.83139236797773397</v>
      </c>
      <c r="K1694">
        <v>0.95361130847433995</v>
      </c>
      <c r="L1694">
        <v>0.88831768174132797</v>
      </c>
      <c r="M1694">
        <v>0.67991631799163199</v>
      </c>
      <c r="N1694">
        <v>0.99581589958159</v>
      </c>
      <c r="O1694">
        <v>0.75732217573221705</v>
      </c>
      <c r="P1694" t="s">
        <v>182</v>
      </c>
      <c r="Q1694" t="s">
        <v>183</v>
      </c>
      <c r="R1694" t="s">
        <v>652</v>
      </c>
      <c r="S1694" t="s">
        <v>653</v>
      </c>
      <c r="T1694" t="s">
        <v>7969</v>
      </c>
      <c r="U1694" t="s">
        <v>7970</v>
      </c>
      <c r="V1694" t="s">
        <v>7971</v>
      </c>
      <c r="W1694" t="s">
        <v>7972</v>
      </c>
      <c r="AD1694" t="s">
        <v>219</v>
      </c>
      <c r="AE1694" t="s">
        <v>7973</v>
      </c>
      <c r="AF1694" t="s">
        <v>7978</v>
      </c>
    </row>
    <row r="1695" spans="1:32" hidden="1" x14ac:dyDescent="0.35">
      <c r="A1695">
        <v>4684</v>
      </c>
      <c r="B1695" t="s">
        <v>9799</v>
      </c>
      <c r="C1695" t="s">
        <v>10127</v>
      </c>
      <c r="D1695" t="s">
        <v>58</v>
      </c>
      <c r="E1695">
        <v>758</v>
      </c>
      <c r="F1695">
        <v>5</v>
      </c>
      <c r="G1695">
        <v>5</v>
      </c>
      <c r="H1695">
        <v>1</v>
      </c>
      <c r="I1695">
        <v>1</v>
      </c>
      <c r="J1695">
        <v>0.75934872070137804</v>
      </c>
      <c r="K1695">
        <v>0.91584447960113302</v>
      </c>
      <c r="L1695">
        <v>0.83028672014780602</v>
      </c>
      <c r="M1695">
        <v>0.52322738386308099</v>
      </c>
      <c r="N1695">
        <v>0.99511002444987795</v>
      </c>
      <c r="O1695">
        <v>0.67383863080684603</v>
      </c>
      <c r="P1695" t="s">
        <v>4806</v>
      </c>
      <c r="Q1695" t="s">
        <v>4807</v>
      </c>
      <c r="R1695" t="s">
        <v>235</v>
      </c>
      <c r="S1695" t="s">
        <v>236</v>
      </c>
      <c r="T1695" t="s">
        <v>9800</v>
      </c>
      <c r="U1695" t="s">
        <v>9801</v>
      </c>
      <c r="V1695" t="s">
        <v>9802</v>
      </c>
      <c r="W1695" t="s">
        <v>9803</v>
      </c>
      <c r="AD1695" t="s">
        <v>9804</v>
      </c>
      <c r="AE1695" t="s">
        <v>9805</v>
      </c>
      <c r="AF1695" t="s">
        <v>9806</v>
      </c>
    </row>
    <row r="1696" spans="1:32" hidden="1" x14ac:dyDescent="0.35">
      <c r="A1696">
        <v>3990</v>
      </c>
      <c r="B1696" t="s">
        <v>8243</v>
      </c>
      <c r="C1696" t="s">
        <v>72</v>
      </c>
      <c r="D1696" t="s">
        <v>60</v>
      </c>
      <c r="E1696">
        <v>1781</v>
      </c>
      <c r="F1696">
        <v>5</v>
      </c>
      <c r="G1696">
        <v>5</v>
      </c>
      <c r="H1696">
        <v>1</v>
      </c>
      <c r="I1696">
        <v>1</v>
      </c>
      <c r="J1696">
        <v>0.90709459459459496</v>
      </c>
      <c r="K1696">
        <v>0.84047619047618904</v>
      </c>
      <c r="L1696">
        <v>0.87251562658222004</v>
      </c>
      <c r="M1696">
        <v>0.62672811059907796</v>
      </c>
      <c r="N1696">
        <v>0.995391705069124</v>
      </c>
      <c r="O1696">
        <v>0.75345622119815703</v>
      </c>
      <c r="P1696" t="s">
        <v>8244</v>
      </c>
      <c r="Q1696" t="s">
        <v>8245</v>
      </c>
      <c r="R1696" t="s">
        <v>652</v>
      </c>
      <c r="S1696" t="s">
        <v>653</v>
      </c>
      <c r="T1696" t="s">
        <v>8246</v>
      </c>
      <c r="U1696" t="s">
        <v>8247</v>
      </c>
      <c r="V1696" t="s">
        <v>8248</v>
      </c>
      <c r="W1696" t="s">
        <v>8249</v>
      </c>
      <c r="Z1696" t="s">
        <v>727</v>
      </c>
      <c r="AA1696" t="s">
        <v>728</v>
      </c>
      <c r="AB1696" t="s">
        <v>727</v>
      </c>
      <c r="AC1696" t="s">
        <v>729</v>
      </c>
      <c r="AD1696" t="s">
        <v>219</v>
      </c>
      <c r="AE1696" t="s">
        <v>730</v>
      </c>
      <c r="AF1696" t="s">
        <v>8251</v>
      </c>
    </row>
    <row r="1697" spans="1:32" hidden="1" x14ac:dyDescent="0.35">
      <c r="A1697">
        <v>3991</v>
      </c>
      <c r="B1697" t="s">
        <v>8243</v>
      </c>
      <c r="C1697" t="s">
        <v>72</v>
      </c>
      <c r="D1697" t="s">
        <v>62</v>
      </c>
      <c r="E1697">
        <v>1817</v>
      </c>
      <c r="F1697">
        <v>5</v>
      </c>
      <c r="G1697">
        <v>5</v>
      </c>
      <c r="H1697">
        <v>1</v>
      </c>
      <c r="I1697">
        <v>1</v>
      </c>
      <c r="J1697">
        <v>0.90709459459459496</v>
      </c>
      <c r="K1697">
        <v>0.84047619047618904</v>
      </c>
      <c r="L1697">
        <v>0.87251562658222004</v>
      </c>
      <c r="M1697">
        <v>0.62672811059907796</v>
      </c>
      <c r="N1697">
        <v>0.995391705069124</v>
      </c>
      <c r="O1697">
        <v>0.75345622119815703</v>
      </c>
      <c r="P1697" t="s">
        <v>8244</v>
      </c>
      <c r="Q1697" t="s">
        <v>8245</v>
      </c>
      <c r="R1697" t="s">
        <v>652</v>
      </c>
      <c r="S1697" t="s">
        <v>653</v>
      </c>
      <c r="T1697" t="s">
        <v>8246</v>
      </c>
      <c r="U1697" t="s">
        <v>8247</v>
      </c>
      <c r="V1697" t="s">
        <v>8248</v>
      </c>
      <c r="W1697" t="s">
        <v>8249</v>
      </c>
      <c r="Z1697" t="s">
        <v>727</v>
      </c>
      <c r="AA1697" t="s">
        <v>728</v>
      </c>
      <c r="AB1697" t="s">
        <v>727</v>
      </c>
      <c r="AC1697" t="s">
        <v>729</v>
      </c>
      <c r="AD1697" t="s">
        <v>219</v>
      </c>
      <c r="AE1697" t="s">
        <v>730</v>
      </c>
      <c r="AF1697" t="e">
        <f>---------------------MTAPQRVAALNRPNMVSVGTIVFLSQELMFFAGLFAMYFVSRANGQGE-TWDYGASHLNVPYALTITIILVASSFTAQAGVFAAERGDVFALRRWYAISALMGTVFLVGQGYEYYHLVEHGLTIQSSVYGSVFYITTGFHAAHVLAGVLAFVVVLLRVAKGKFTPAQATAAMVVSYYWHFVDVVWIGLFATIYFIQ</f>
        <v>#NAME?</v>
      </c>
    </row>
    <row r="1698" spans="1:32" hidden="1" x14ac:dyDescent="0.35">
      <c r="A1698">
        <v>3992</v>
      </c>
      <c r="B1698" t="s">
        <v>8243</v>
      </c>
      <c r="C1698" t="s">
        <v>72</v>
      </c>
      <c r="D1698" t="s">
        <v>34</v>
      </c>
      <c r="E1698">
        <v>2150</v>
      </c>
      <c r="F1698">
        <v>5</v>
      </c>
      <c r="G1698">
        <v>5</v>
      </c>
      <c r="H1698">
        <v>1</v>
      </c>
      <c r="I1698">
        <v>1</v>
      </c>
      <c r="J1698">
        <v>0.90709459459459496</v>
      </c>
      <c r="K1698">
        <v>0.84047619047618904</v>
      </c>
      <c r="L1698">
        <v>0.87251562658222004</v>
      </c>
      <c r="M1698">
        <v>0.62672811059907796</v>
      </c>
      <c r="N1698">
        <v>0.995391705069124</v>
      </c>
      <c r="O1698">
        <v>0.75345622119815703</v>
      </c>
      <c r="P1698" t="s">
        <v>8244</v>
      </c>
      <c r="Q1698" t="s">
        <v>8245</v>
      </c>
      <c r="R1698" t="s">
        <v>652</v>
      </c>
      <c r="S1698" t="s">
        <v>653</v>
      </c>
      <c r="T1698" t="s">
        <v>8246</v>
      </c>
      <c r="U1698" t="s">
        <v>8247</v>
      </c>
      <c r="V1698" t="s">
        <v>8248</v>
      </c>
      <c r="W1698" t="s">
        <v>8249</v>
      </c>
      <c r="Z1698" t="s">
        <v>727</v>
      </c>
      <c r="AA1698" t="s">
        <v>728</v>
      </c>
      <c r="AB1698" t="s">
        <v>727</v>
      </c>
      <c r="AC1698" t="s">
        <v>729</v>
      </c>
      <c r="AD1698" t="s">
        <v>219</v>
      </c>
      <c r="AE1698" t="s">
        <v>730</v>
      </c>
      <c r="AF1698" t="e">
        <f>-------------------------------------------------MFFAGLFAMYFTSRANGIGNGSWKEGAAHLNVPYAMVITAILISSSVTAQFGVFAAERGDVFGLRRWYLLTIVLGATFLVGQGYEYYHLIEHGLTIPSSVYGSAFYITTGFHAAHVLAGVLAFVVVMLRIAKAKFTPAQATAAMVVSYYWHFVDVVWIGLFITIYFIQ</f>
        <v>#NAME?</v>
      </c>
    </row>
    <row r="1699" spans="1:32" hidden="1" x14ac:dyDescent="0.35">
      <c r="A1699">
        <v>3993</v>
      </c>
      <c r="B1699" t="s">
        <v>8243</v>
      </c>
      <c r="C1699" t="s">
        <v>72</v>
      </c>
      <c r="D1699" t="s">
        <v>45</v>
      </c>
      <c r="E1699">
        <v>723</v>
      </c>
      <c r="F1699">
        <v>5</v>
      </c>
      <c r="G1699">
        <v>5</v>
      </c>
      <c r="H1699">
        <v>1</v>
      </c>
      <c r="I1699">
        <v>1</v>
      </c>
      <c r="J1699">
        <v>0.90709459459459496</v>
      </c>
      <c r="K1699">
        <v>0.84047619047618904</v>
      </c>
      <c r="L1699">
        <v>0.87251562658222004</v>
      </c>
      <c r="M1699">
        <v>0.62672811059907796</v>
      </c>
      <c r="N1699">
        <v>0.995391705069124</v>
      </c>
      <c r="O1699">
        <v>0.75345622119815703</v>
      </c>
      <c r="P1699" t="s">
        <v>8244</v>
      </c>
      <c r="Q1699" t="s">
        <v>8245</v>
      </c>
      <c r="R1699" t="s">
        <v>652</v>
      </c>
      <c r="S1699" t="s">
        <v>653</v>
      </c>
      <c r="T1699" t="s">
        <v>8246</v>
      </c>
      <c r="U1699" t="s">
        <v>8247</v>
      </c>
      <c r="V1699" t="s">
        <v>8248</v>
      </c>
      <c r="W1699" t="s">
        <v>8249</v>
      </c>
      <c r="Z1699" t="s">
        <v>727</v>
      </c>
      <c r="AA1699" t="s">
        <v>728</v>
      </c>
      <c r="AB1699" t="s">
        <v>727</v>
      </c>
      <c r="AC1699" t="s">
        <v>729</v>
      </c>
      <c r="AD1699" t="s">
        <v>219</v>
      </c>
      <c r="AE1699" t="s">
        <v>730</v>
      </c>
      <c r="AF1699" t="e">
        <f>-------------------------------------------------MFFAGLFAMYFTSRANGIGNGSWKEGAAHLNVPYAMVITAILISSSVTAQLGVFAAERGDVFGLRRWYLLTIVLGATFLVGQGYEYYHLIEHGLTIPSSVYGSAFYITTGFHAAHVLAGVLAFVVVMLRIAKAKFTPAQATAAMVVSYYWHFVDVVWIGLFITIYFIQ</f>
        <v>#NAME?</v>
      </c>
    </row>
    <row r="1700" spans="1:32" hidden="1" x14ac:dyDescent="0.35">
      <c r="A1700">
        <v>2704</v>
      </c>
      <c r="B1700" t="s">
        <v>5591</v>
      </c>
      <c r="C1700" t="s">
        <v>72</v>
      </c>
      <c r="D1700" t="s">
        <v>58</v>
      </c>
      <c r="E1700">
        <v>1618</v>
      </c>
      <c r="F1700">
        <v>5</v>
      </c>
      <c r="G1700">
        <v>5</v>
      </c>
      <c r="H1700">
        <v>1</v>
      </c>
      <c r="I1700">
        <v>1</v>
      </c>
      <c r="J1700">
        <v>0.86516613076098603</v>
      </c>
      <c r="K1700">
        <v>0.99049469892757502</v>
      </c>
      <c r="L1700">
        <v>0.92359816244465298</v>
      </c>
      <c r="M1700">
        <v>0.75796178343949006</v>
      </c>
      <c r="N1700">
        <v>1</v>
      </c>
      <c r="O1700">
        <v>0.82101910828025504</v>
      </c>
      <c r="P1700" t="s">
        <v>233</v>
      </c>
      <c r="Q1700" t="s">
        <v>234</v>
      </c>
      <c r="R1700" t="s">
        <v>235</v>
      </c>
      <c r="S1700" t="s">
        <v>236</v>
      </c>
      <c r="T1700" t="s">
        <v>5592</v>
      </c>
      <c r="U1700" t="s">
        <v>5593</v>
      </c>
      <c r="V1700" t="s">
        <v>5594</v>
      </c>
      <c r="W1700" t="s">
        <v>5595</v>
      </c>
      <c r="X1700" t="s">
        <v>5594</v>
      </c>
      <c r="Y1700" t="s">
        <v>4418</v>
      </c>
      <c r="Z1700" t="s">
        <v>4419</v>
      </c>
      <c r="AA1700" t="s">
        <v>4420</v>
      </c>
      <c r="AB1700" t="s">
        <v>4419</v>
      </c>
      <c r="AC1700" t="s">
        <v>1800</v>
      </c>
      <c r="AD1700" t="s">
        <v>245</v>
      </c>
      <c r="AE1700" t="s">
        <v>5596</v>
      </c>
      <c r="AF1700" t="s">
        <v>5597</v>
      </c>
    </row>
    <row r="1701" spans="1:32" hidden="1" x14ac:dyDescent="0.35">
      <c r="A1701">
        <v>4010</v>
      </c>
      <c r="B1701" t="s">
        <v>8279</v>
      </c>
      <c r="C1701" t="s">
        <v>72</v>
      </c>
      <c r="D1701" t="s">
        <v>60</v>
      </c>
      <c r="E1701">
        <v>65</v>
      </c>
      <c r="F1701">
        <v>5</v>
      </c>
      <c r="G1701">
        <v>5</v>
      </c>
      <c r="H1701">
        <v>1</v>
      </c>
      <c r="I1701">
        <v>1</v>
      </c>
      <c r="J1701">
        <v>0.72057548968625396</v>
      </c>
      <c r="K1701">
        <v>0.95791044776119405</v>
      </c>
      <c r="L1701">
        <v>0.82246359599627294</v>
      </c>
      <c r="M1701">
        <v>0.49253731343283602</v>
      </c>
      <c r="N1701">
        <v>0.99502487562189101</v>
      </c>
      <c r="O1701">
        <v>0.65771144278606997</v>
      </c>
      <c r="P1701" t="s">
        <v>8280</v>
      </c>
      <c r="Q1701" t="s">
        <v>8281</v>
      </c>
      <c r="R1701" t="s">
        <v>652</v>
      </c>
      <c r="S1701" t="s">
        <v>653</v>
      </c>
      <c r="V1701" t="s">
        <v>8282</v>
      </c>
      <c r="W1701" t="s">
        <v>8283</v>
      </c>
      <c r="X1701" t="s">
        <v>8282</v>
      </c>
      <c r="Y1701" t="s">
        <v>5826</v>
      </c>
      <c r="AF1701" t="s">
        <v>8285</v>
      </c>
    </row>
    <row r="1702" spans="1:32" hidden="1" x14ac:dyDescent="0.35">
      <c r="A1702">
        <v>4011</v>
      </c>
      <c r="B1702" t="s">
        <v>8279</v>
      </c>
      <c r="C1702" t="s">
        <v>72</v>
      </c>
      <c r="D1702" t="s">
        <v>62</v>
      </c>
      <c r="E1702">
        <v>138</v>
      </c>
      <c r="F1702">
        <v>5</v>
      </c>
      <c r="G1702">
        <v>5</v>
      </c>
      <c r="H1702">
        <v>1</v>
      </c>
      <c r="I1702">
        <v>1</v>
      </c>
      <c r="J1702">
        <v>0.72057548968625396</v>
      </c>
      <c r="K1702">
        <v>0.95791044776119405</v>
      </c>
      <c r="L1702">
        <v>0.82246359599627294</v>
      </c>
      <c r="M1702">
        <v>0.49253731343283602</v>
      </c>
      <c r="N1702">
        <v>0.99502487562189101</v>
      </c>
      <c r="O1702">
        <v>0.65771144278606997</v>
      </c>
      <c r="P1702" t="s">
        <v>8280</v>
      </c>
      <c r="Q1702" t="s">
        <v>8281</v>
      </c>
      <c r="R1702" t="s">
        <v>652</v>
      </c>
      <c r="S1702" t="s">
        <v>653</v>
      </c>
      <c r="V1702" t="s">
        <v>8282</v>
      </c>
      <c r="W1702" t="s">
        <v>8283</v>
      </c>
      <c r="X1702" t="s">
        <v>8282</v>
      </c>
      <c r="Y1702" t="s">
        <v>5826</v>
      </c>
      <c r="AF1702" t="s">
        <v>8286</v>
      </c>
    </row>
    <row r="1703" spans="1:32" hidden="1" x14ac:dyDescent="0.35">
      <c r="A1703">
        <v>4012</v>
      </c>
      <c r="B1703" t="s">
        <v>8279</v>
      </c>
      <c r="C1703" t="s">
        <v>72</v>
      </c>
      <c r="D1703" t="s">
        <v>34</v>
      </c>
      <c r="E1703">
        <v>1005</v>
      </c>
      <c r="F1703">
        <v>5</v>
      </c>
      <c r="G1703">
        <v>5</v>
      </c>
      <c r="H1703">
        <v>1</v>
      </c>
      <c r="I1703">
        <v>1</v>
      </c>
      <c r="J1703">
        <v>0.72057548968625396</v>
      </c>
      <c r="K1703">
        <v>0.95791044776119405</v>
      </c>
      <c r="L1703">
        <v>0.82246359599627294</v>
      </c>
      <c r="M1703">
        <v>0.49253731343283602</v>
      </c>
      <c r="N1703">
        <v>0.99502487562189101</v>
      </c>
      <c r="O1703">
        <v>0.65771144278606997</v>
      </c>
      <c r="P1703" t="s">
        <v>8280</v>
      </c>
      <c r="Q1703" t="s">
        <v>8281</v>
      </c>
      <c r="R1703" t="s">
        <v>652</v>
      </c>
      <c r="S1703" t="s">
        <v>653</v>
      </c>
      <c r="V1703" t="s">
        <v>8282</v>
      </c>
      <c r="W1703" t="s">
        <v>8283</v>
      </c>
      <c r="X1703" t="s">
        <v>8282</v>
      </c>
      <c r="Y1703" t="s">
        <v>5826</v>
      </c>
      <c r="AF1703" t="s">
        <v>8287</v>
      </c>
    </row>
    <row r="1704" spans="1:32" hidden="1" x14ac:dyDescent="0.35">
      <c r="A1704">
        <v>4013</v>
      </c>
      <c r="B1704" t="s">
        <v>8279</v>
      </c>
      <c r="C1704" t="s">
        <v>72</v>
      </c>
      <c r="D1704" t="s">
        <v>45</v>
      </c>
      <c r="E1704">
        <v>2259</v>
      </c>
      <c r="F1704">
        <v>5</v>
      </c>
      <c r="G1704">
        <v>5</v>
      </c>
      <c r="H1704">
        <v>1</v>
      </c>
      <c r="I1704">
        <v>1</v>
      </c>
      <c r="J1704">
        <v>0.72057548968625396</v>
      </c>
      <c r="K1704">
        <v>0.95791044776119405</v>
      </c>
      <c r="L1704">
        <v>0.82246359599627294</v>
      </c>
      <c r="M1704">
        <v>0.49253731343283602</v>
      </c>
      <c r="N1704">
        <v>0.99502487562189101</v>
      </c>
      <c r="O1704">
        <v>0.65771144278606997</v>
      </c>
      <c r="P1704" t="s">
        <v>8280</v>
      </c>
      <c r="Q1704" t="s">
        <v>8281</v>
      </c>
      <c r="R1704" t="s">
        <v>652</v>
      </c>
      <c r="S1704" t="s">
        <v>653</v>
      </c>
      <c r="V1704" t="s">
        <v>8282</v>
      </c>
      <c r="W1704" t="s">
        <v>8283</v>
      </c>
      <c r="X1704" t="s">
        <v>8282</v>
      </c>
      <c r="Y1704" t="s">
        <v>5826</v>
      </c>
      <c r="AF1704" t="s">
        <v>8288</v>
      </c>
    </row>
    <row r="1705" spans="1:32" hidden="1" x14ac:dyDescent="0.35">
      <c r="A1705">
        <v>3599</v>
      </c>
      <c r="B1705" t="s">
        <v>7402</v>
      </c>
      <c r="C1705" t="s">
        <v>72</v>
      </c>
      <c r="D1705" t="s">
        <v>58</v>
      </c>
      <c r="E1705">
        <v>942</v>
      </c>
      <c r="F1705">
        <v>5</v>
      </c>
      <c r="G1705">
        <v>5</v>
      </c>
      <c r="H1705">
        <v>1</v>
      </c>
      <c r="I1705">
        <v>1</v>
      </c>
      <c r="J1705">
        <v>0.80184331797234998</v>
      </c>
      <c r="K1705">
        <v>0.95366521255666503</v>
      </c>
      <c r="L1705">
        <v>0.87118924798480701</v>
      </c>
      <c r="M1705">
        <v>0.61200923787528905</v>
      </c>
      <c r="N1705">
        <v>0.99538106235565804</v>
      </c>
      <c r="O1705">
        <v>0.73510392609699804</v>
      </c>
      <c r="P1705" t="s">
        <v>7403</v>
      </c>
      <c r="Q1705" t="s">
        <v>7404</v>
      </c>
      <c r="R1705" t="s">
        <v>224</v>
      </c>
      <c r="S1705" t="s">
        <v>225</v>
      </c>
      <c r="T1705" t="s">
        <v>7405</v>
      </c>
      <c r="U1705" t="s">
        <v>7406</v>
      </c>
      <c r="V1705" t="s">
        <v>7407</v>
      </c>
      <c r="W1705" t="s">
        <v>7408</v>
      </c>
      <c r="X1705" t="s">
        <v>7407</v>
      </c>
      <c r="Y1705" t="s">
        <v>589</v>
      </c>
      <c r="AD1705" t="s">
        <v>219</v>
      </c>
      <c r="AE1705" t="s">
        <v>7409</v>
      </c>
      <c r="AF1705" t="s">
        <v>7410</v>
      </c>
    </row>
    <row r="1706" spans="1:32" hidden="1" x14ac:dyDescent="0.35">
      <c r="A1706">
        <v>4025</v>
      </c>
      <c r="B1706" t="s">
        <v>8307</v>
      </c>
      <c r="C1706" t="s">
        <v>72</v>
      </c>
      <c r="D1706" t="s">
        <v>60</v>
      </c>
      <c r="E1706">
        <v>2326</v>
      </c>
      <c r="F1706">
        <v>5</v>
      </c>
      <c r="G1706">
        <v>5</v>
      </c>
      <c r="H1706">
        <v>1</v>
      </c>
      <c r="I1706">
        <v>1</v>
      </c>
      <c r="J1706">
        <v>0.85630743525480402</v>
      </c>
      <c r="K1706">
        <v>0.97136549759658397</v>
      </c>
      <c r="L1706">
        <v>0.91021482344135696</v>
      </c>
      <c r="M1706">
        <v>0.72262773722627704</v>
      </c>
      <c r="N1706">
        <v>0.99756690997566899</v>
      </c>
      <c r="O1706">
        <v>0.79464720194647198</v>
      </c>
      <c r="P1706" t="s">
        <v>8308</v>
      </c>
      <c r="Q1706" t="s">
        <v>8309</v>
      </c>
      <c r="R1706" t="s">
        <v>652</v>
      </c>
      <c r="S1706" t="s">
        <v>653</v>
      </c>
      <c r="T1706" t="s">
        <v>8310</v>
      </c>
      <c r="U1706" t="s">
        <v>8311</v>
      </c>
      <c r="V1706" t="s">
        <v>8312</v>
      </c>
      <c r="W1706" t="s">
        <v>8313</v>
      </c>
      <c r="Z1706" t="s">
        <v>7774</v>
      </c>
      <c r="AA1706" t="s">
        <v>7775</v>
      </c>
      <c r="AB1706" t="s">
        <v>7774</v>
      </c>
      <c r="AC1706" t="s">
        <v>7776</v>
      </c>
      <c r="AD1706" t="s">
        <v>590</v>
      </c>
      <c r="AE1706" t="s">
        <v>8314</v>
      </c>
      <c r="AF1706" t="s">
        <v>8316</v>
      </c>
    </row>
    <row r="1707" spans="1:32" hidden="1" x14ac:dyDescent="0.35">
      <c r="A1707">
        <v>4026</v>
      </c>
      <c r="B1707" t="s">
        <v>8307</v>
      </c>
      <c r="C1707" t="s">
        <v>72</v>
      </c>
      <c r="D1707" t="s">
        <v>62</v>
      </c>
      <c r="E1707">
        <v>2354</v>
      </c>
      <c r="F1707">
        <v>5</v>
      </c>
      <c r="G1707">
        <v>5</v>
      </c>
      <c r="H1707">
        <v>1</v>
      </c>
      <c r="I1707">
        <v>1</v>
      </c>
      <c r="J1707">
        <v>0.85630743525480402</v>
      </c>
      <c r="K1707">
        <v>0.97136549759658397</v>
      </c>
      <c r="L1707">
        <v>0.91021482344135696</v>
      </c>
      <c r="M1707">
        <v>0.72262773722627704</v>
      </c>
      <c r="N1707">
        <v>0.99756690997566899</v>
      </c>
      <c r="O1707">
        <v>0.79464720194647198</v>
      </c>
      <c r="P1707" t="s">
        <v>8308</v>
      </c>
      <c r="Q1707" t="s">
        <v>8309</v>
      </c>
      <c r="R1707" t="s">
        <v>652</v>
      </c>
      <c r="S1707" t="s">
        <v>653</v>
      </c>
      <c r="T1707" t="s">
        <v>8310</v>
      </c>
      <c r="U1707" t="s">
        <v>8311</v>
      </c>
      <c r="V1707" t="s">
        <v>8312</v>
      </c>
      <c r="W1707" t="s">
        <v>8313</v>
      </c>
      <c r="Z1707" t="s">
        <v>7774</v>
      </c>
      <c r="AA1707" t="s">
        <v>7775</v>
      </c>
      <c r="AB1707" t="s">
        <v>7774</v>
      </c>
      <c r="AC1707" t="s">
        <v>7776</v>
      </c>
      <c r="AD1707" t="s">
        <v>590</v>
      </c>
      <c r="AE1707" t="s">
        <v>8314</v>
      </c>
      <c r="AF1707" t="s">
        <v>8317</v>
      </c>
    </row>
    <row r="1708" spans="1:32" hidden="1" x14ac:dyDescent="0.35">
      <c r="A1708">
        <v>4027</v>
      </c>
      <c r="B1708" t="s">
        <v>8307</v>
      </c>
      <c r="C1708" t="s">
        <v>72</v>
      </c>
      <c r="D1708" t="s">
        <v>34</v>
      </c>
      <c r="E1708">
        <v>1464</v>
      </c>
      <c r="F1708">
        <v>5</v>
      </c>
      <c r="G1708">
        <v>5</v>
      </c>
      <c r="H1708">
        <v>1</v>
      </c>
      <c r="I1708">
        <v>1</v>
      </c>
      <c r="J1708">
        <v>0.85630743525480402</v>
      </c>
      <c r="K1708">
        <v>0.97136549759658397</v>
      </c>
      <c r="L1708">
        <v>0.91021482344135696</v>
      </c>
      <c r="M1708">
        <v>0.72262773722627704</v>
      </c>
      <c r="N1708">
        <v>0.99756690997566899</v>
      </c>
      <c r="O1708">
        <v>0.79464720194647198</v>
      </c>
      <c r="P1708" t="s">
        <v>8308</v>
      </c>
      <c r="Q1708" t="s">
        <v>8309</v>
      </c>
      <c r="R1708" t="s">
        <v>652</v>
      </c>
      <c r="S1708" t="s">
        <v>653</v>
      </c>
      <c r="T1708" t="s">
        <v>8310</v>
      </c>
      <c r="U1708" t="s">
        <v>8311</v>
      </c>
      <c r="V1708" t="s">
        <v>8312</v>
      </c>
      <c r="W1708" t="s">
        <v>8313</v>
      </c>
      <c r="Z1708" t="s">
        <v>7774</v>
      </c>
      <c r="AA1708" t="s">
        <v>7775</v>
      </c>
      <c r="AB1708" t="s">
        <v>7774</v>
      </c>
      <c r="AC1708" t="s">
        <v>7776</v>
      </c>
      <c r="AD1708" t="s">
        <v>590</v>
      </c>
      <c r="AE1708" t="s">
        <v>8314</v>
      </c>
      <c r="AF1708" t="s">
        <v>8318</v>
      </c>
    </row>
    <row r="1709" spans="1:32" hidden="1" x14ac:dyDescent="0.35">
      <c r="A1709">
        <v>4028</v>
      </c>
      <c r="B1709" t="s">
        <v>8307</v>
      </c>
      <c r="C1709" t="s">
        <v>72</v>
      </c>
      <c r="D1709" t="s">
        <v>45</v>
      </c>
      <c r="E1709">
        <v>215</v>
      </c>
      <c r="F1709">
        <v>5</v>
      </c>
      <c r="G1709">
        <v>5</v>
      </c>
      <c r="H1709">
        <v>1</v>
      </c>
      <c r="I1709">
        <v>1</v>
      </c>
      <c r="J1709">
        <v>0.85630743525480402</v>
      </c>
      <c r="K1709">
        <v>0.97136549759658397</v>
      </c>
      <c r="L1709">
        <v>0.91021482344135696</v>
      </c>
      <c r="M1709">
        <v>0.72262773722627704</v>
      </c>
      <c r="N1709">
        <v>0.99756690997566899</v>
      </c>
      <c r="O1709">
        <v>0.79464720194647198</v>
      </c>
      <c r="P1709" t="s">
        <v>8308</v>
      </c>
      <c r="Q1709" t="s">
        <v>8309</v>
      </c>
      <c r="R1709" t="s">
        <v>652</v>
      </c>
      <c r="S1709" t="s">
        <v>653</v>
      </c>
      <c r="T1709" t="s">
        <v>8310</v>
      </c>
      <c r="U1709" t="s">
        <v>8311</v>
      </c>
      <c r="V1709" t="s">
        <v>8312</v>
      </c>
      <c r="W1709" t="s">
        <v>8313</v>
      </c>
      <c r="Z1709" t="s">
        <v>7774</v>
      </c>
      <c r="AA1709" t="s">
        <v>7775</v>
      </c>
      <c r="AB1709" t="s">
        <v>7774</v>
      </c>
      <c r="AC1709" t="s">
        <v>7776</v>
      </c>
      <c r="AD1709" t="s">
        <v>590</v>
      </c>
      <c r="AE1709" t="s">
        <v>8314</v>
      </c>
      <c r="AF1709" t="s">
        <v>8318</v>
      </c>
    </row>
    <row r="1710" spans="1:32" hidden="1" x14ac:dyDescent="0.35">
      <c r="A1710">
        <v>3834</v>
      </c>
      <c r="B1710" t="s">
        <v>7920</v>
      </c>
      <c r="C1710" t="s">
        <v>72</v>
      </c>
      <c r="D1710" t="s">
        <v>58</v>
      </c>
      <c r="E1710">
        <v>1671</v>
      </c>
      <c r="F1710">
        <v>5</v>
      </c>
      <c r="G1710">
        <v>5</v>
      </c>
      <c r="H1710">
        <v>1</v>
      </c>
      <c r="I1710">
        <v>1</v>
      </c>
      <c r="J1710">
        <v>0.79766160262138797</v>
      </c>
      <c r="K1710">
        <v>0.91383438477969603</v>
      </c>
      <c r="L1710">
        <v>0.85180521048230795</v>
      </c>
      <c r="M1710">
        <v>0.58739837398373995</v>
      </c>
      <c r="N1710">
        <v>0.99593495934959397</v>
      </c>
      <c r="O1710">
        <v>0.70670731707317103</v>
      </c>
      <c r="P1710" t="s">
        <v>7403</v>
      </c>
      <c r="Q1710" t="s">
        <v>7404</v>
      </c>
      <c r="R1710" t="s">
        <v>224</v>
      </c>
      <c r="S1710" t="s">
        <v>225</v>
      </c>
      <c r="T1710" t="s">
        <v>7921</v>
      </c>
      <c r="U1710" t="s">
        <v>7922</v>
      </c>
      <c r="V1710" t="s">
        <v>7407</v>
      </c>
      <c r="W1710" t="s">
        <v>7408</v>
      </c>
      <c r="X1710" t="s">
        <v>7407</v>
      </c>
      <c r="Y1710" t="s">
        <v>589</v>
      </c>
      <c r="AD1710" t="s">
        <v>997</v>
      </c>
      <c r="AE1710" t="s">
        <v>7923</v>
      </c>
      <c r="AF1710" t="s">
        <v>7924</v>
      </c>
    </row>
    <row r="1711" spans="1:32" hidden="1" x14ac:dyDescent="0.35">
      <c r="A1711">
        <v>4225</v>
      </c>
      <c r="B1711" t="s">
        <v>8760</v>
      </c>
      <c r="C1711" t="s">
        <v>72</v>
      </c>
      <c r="D1711" t="s">
        <v>60</v>
      </c>
      <c r="E1711">
        <v>1246</v>
      </c>
      <c r="F1711">
        <v>5</v>
      </c>
      <c r="G1711">
        <v>5</v>
      </c>
      <c r="H1711">
        <v>1</v>
      </c>
      <c r="I1711">
        <v>1</v>
      </c>
      <c r="J1711">
        <v>0.92954545454545501</v>
      </c>
      <c r="K1711">
        <v>0.98626823194593505</v>
      </c>
      <c r="L1711">
        <v>0.95706712863808197</v>
      </c>
      <c r="M1711">
        <v>0.861259338313767</v>
      </c>
      <c r="N1711">
        <v>0.99679829242262497</v>
      </c>
      <c r="O1711">
        <v>0.90832443970117405</v>
      </c>
      <c r="P1711" t="s">
        <v>6031</v>
      </c>
      <c r="Q1711" t="s">
        <v>6032</v>
      </c>
      <c r="R1711" t="s">
        <v>652</v>
      </c>
      <c r="S1711" t="s">
        <v>653</v>
      </c>
      <c r="T1711" t="s">
        <v>8761</v>
      </c>
      <c r="U1711" t="s">
        <v>8762</v>
      </c>
      <c r="V1711" t="s">
        <v>8763</v>
      </c>
      <c r="W1711" t="s">
        <v>8764</v>
      </c>
      <c r="X1711" t="s">
        <v>8763</v>
      </c>
      <c r="Y1711" t="s">
        <v>8765</v>
      </c>
      <c r="Z1711" t="s">
        <v>8766</v>
      </c>
      <c r="AA1711" t="s">
        <v>8767</v>
      </c>
      <c r="AB1711" t="s">
        <v>8766</v>
      </c>
      <c r="AC1711" t="s">
        <v>8768</v>
      </c>
      <c r="AD1711" t="s">
        <v>84</v>
      </c>
      <c r="AE1711" t="s">
        <v>8769</v>
      </c>
      <c r="AF1711" t="s">
        <v>8771</v>
      </c>
    </row>
    <row r="1712" spans="1:32" hidden="1" x14ac:dyDescent="0.35">
      <c r="A1712">
        <v>4226</v>
      </c>
      <c r="B1712" t="s">
        <v>8760</v>
      </c>
      <c r="C1712" t="s">
        <v>72</v>
      </c>
      <c r="D1712" t="s">
        <v>62</v>
      </c>
      <c r="E1712">
        <v>1283</v>
      </c>
      <c r="F1712">
        <v>5</v>
      </c>
      <c r="G1712">
        <v>5</v>
      </c>
      <c r="H1712">
        <v>1</v>
      </c>
      <c r="I1712">
        <v>1</v>
      </c>
      <c r="J1712">
        <v>0.92954545454545501</v>
      </c>
      <c r="K1712">
        <v>0.98626823194593505</v>
      </c>
      <c r="L1712">
        <v>0.95706712863808197</v>
      </c>
      <c r="M1712">
        <v>0.861259338313767</v>
      </c>
      <c r="N1712">
        <v>0.99679829242262497</v>
      </c>
      <c r="O1712">
        <v>0.90832443970117405</v>
      </c>
      <c r="P1712" t="s">
        <v>6031</v>
      </c>
      <c r="Q1712" t="s">
        <v>6032</v>
      </c>
      <c r="R1712" t="s">
        <v>652</v>
      </c>
      <c r="S1712" t="s">
        <v>653</v>
      </c>
      <c r="T1712" t="s">
        <v>8761</v>
      </c>
      <c r="U1712" t="s">
        <v>8762</v>
      </c>
      <c r="V1712" t="s">
        <v>8763</v>
      </c>
      <c r="W1712" t="s">
        <v>8764</v>
      </c>
      <c r="X1712" t="s">
        <v>8763</v>
      </c>
      <c r="Y1712" t="s">
        <v>8765</v>
      </c>
      <c r="Z1712" t="s">
        <v>8766</v>
      </c>
      <c r="AA1712" t="s">
        <v>8767</v>
      </c>
      <c r="AB1712" t="s">
        <v>8766</v>
      </c>
      <c r="AC1712" t="s">
        <v>8768</v>
      </c>
      <c r="AD1712" t="s">
        <v>84</v>
      </c>
      <c r="AE1712" t="s">
        <v>8769</v>
      </c>
      <c r="AF1712" t="s">
        <v>8772</v>
      </c>
    </row>
    <row r="1713" spans="1:32" hidden="1" x14ac:dyDescent="0.35">
      <c r="A1713">
        <v>4227</v>
      </c>
      <c r="B1713" t="s">
        <v>8760</v>
      </c>
      <c r="C1713" t="s">
        <v>72</v>
      </c>
      <c r="D1713" t="s">
        <v>34</v>
      </c>
      <c r="E1713">
        <v>1756</v>
      </c>
      <c r="F1713">
        <v>5</v>
      </c>
      <c r="G1713">
        <v>5</v>
      </c>
      <c r="H1713">
        <v>1</v>
      </c>
      <c r="I1713">
        <v>1</v>
      </c>
      <c r="J1713">
        <v>0.92954545454545501</v>
      </c>
      <c r="K1713">
        <v>0.98626823194593505</v>
      </c>
      <c r="L1713">
        <v>0.95706712863808197</v>
      </c>
      <c r="M1713">
        <v>0.861259338313767</v>
      </c>
      <c r="N1713">
        <v>0.99679829242262497</v>
      </c>
      <c r="O1713">
        <v>0.90832443970117405</v>
      </c>
      <c r="P1713" t="s">
        <v>6031</v>
      </c>
      <c r="Q1713" t="s">
        <v>6032</v>
      </c>
      <c r="R1713" t="s">
        <v>652</v>
      </c>
      <c r="S1713" t="s">
        <v>653</v>
      </c>
      <c r="T1713" t="s">
        <v>8761</v>
      </c>
      <c r="U1713" t="s">
        <v>8762</v>
      </c>
      <c r="V1713" t="s">
        <v>8763</v>
      </c>
      <c r="W1713" t="s">
        <v>8764</v>
      </c>
      <c r="X1713" t="s">
        <v>8763</v>
      </c>
      <c r="Y1713" t="s">
        <v>8765</v>
      </c>
      <c r="Z1713" t="s">
        <v>8766</v>
      </c>
      <c r="AA1713" t="s">
        <v>8767</v>
      </c>
      <c r="AB1713" t="s">
        <v>8766</v>
      </c>
      <c r="AC1713" t="s">
        <v>8768</v>
      </c>
      <c r="AD1713" t="s">
        <v>84</v>
      </c>
      <c r="AE1713" t="s">
        <v>8769</v>
      </c>
      <c r="AF1713" t="s">
        <v>8773</v>
      </c>
    </row>
    <row r="1714" spans="1:32" hidden="1" x14ac:dyDescent="0.35">
      <c r="A1714">
        <v>4228</v>
      </c>
      <c r="B1714" t="s">
        <v>8760</v>
      </c>
      <c r="C1714" t="s">
        <v>72</v>
      </c>
      <c r="D1714" t="s">
        <v>45</v>
      </c>
      <c r="E1714">
        <v>1117</v>
      </c>
      <c r="F1714">
        <v>5</v>
      </c>
      <c r="G1714">
        <v>5</v>
      </c>
      <c r="H1714">
        <v>1</v>
      </c>
      <c r="I1714">
        <v>1</v>
      </c>
      <c r="J1714">
        <v>0.92954545454545501</v>
      </c>
      <c r="K1714">
        <v>0.98626823194593505</v>
      </c>
      <c r="L1714">
        <v>0.95706712863808197</v>
      </c>
      <c r="M1714">
        <v>0.861259338313767</v>
      </c>
      <c r="N1714">
        <v>0.99679829242262497</v>
      </c>
      <c r="O1714">
        <v>0.90832443970117405</v>
      </c>
      <c r="P1714" t="s">
        <v>6031</v>
      </c>
      <c r="Q1714" t="s">
        <v>6032</v>
      </c>
      <c r="R1714" t="s">
        <v>652</v>
      </c>
      <c r="S1714" t="s">
        <v>653</v>
      </c>
      <c r="T1714" t="s">
        <v>8761</v>
      </c>
      <c r="U1714" t="s">
        <v>8762</v>
      </c>
      <c r="V1714" t="s">
        <v>8763</v>
      </c>
      <c r="W1714" t="s">
        <v>8764</v>
      </c>
      <c r="X1714" t="s">
        <v>8763</v>
      </c>
      <c r="Y1714" t="s">
        <v>8765</v>
      </c>
      <c r="Z1714" t="s">
        <v>8766</v>
      </c>
      <c r="AA1714" t="s">
        <v>8767</v>
      </c>
      <c r="AB1714" t="s">
        <v>8766</v>
      </c>
      <c r="AC1714" t="s">
        <v>8768</v>
      </c>
      <c r="AD1714" t="s">
        <v>84</v>
      </c>
      <c r="AE1714" t="s">
        <v>8769</v>
      </c>
      <c r="AF1714" t="s">
        <v>8774</v>
      </c>
    </row>
    <row r="1715" spans="1:32" hidden="1" x14ac:dyDescent="0.35">
      <c r="A1715">
        <v>11890</v>
      </c>
      <c r="B1715" t="s">
        <v>24476</v>
      </c>
      <c r="C1715" t="s">
        <v>10130</v>
      </c>
      <c r="D1715" t="s">
        <v>58</v>
      </c>
      <c r="E1715">
        <v>365</v>
      </c>
      <c r="F1715">
        <v>1</v>
      </c>
      <c r="G1715">
        <v>1</v>
      </c>
      <c r="H1715">
        <v>1</v>
      </c>
      <c r="I1715">
        <v>0</v>
      </c>
      <c r="J1715">
        <v>1</v>
      </c>
      <c r="K1715">
        <v>1</v>
      </c>
      <c r="L1715">
        <v>1</v>
      </c>
      <c r="M1715">
        <v>0</v>
      </c>
      <c r="N1715">
        <v>0</v>
      </c>
      <c r="O1715">
        <v>0</v>
      </c>
      <c r="P1715" t="s">
        <v>24477</v>
      </c>
      <c r="Q1715" t="s">
        <v>24478</v>
      </c>
      <c r="R1715" t="s">
        <v>224</v>
      </c>
      <c r="S1715" t="s">
        <v>225</v>
      </c>
      <c r="T1715" t="s">
        <v>24479</v>
      </c>
      <c r="U1715" t="s">
        <v>24480</v>
      </c>
      <c r="V1715" t="s">
        <v>24481</v>
      </c>
      <c r="W1715" t="s">
        <v>24482</v>
      </c>
      <c r="AD1715" t="s">
        <v>1717</v>
      </c>
      <c r="AE1715" t="s">
        <v>24483</v>
      </c>
      <c r="AF1715" t="s">
        <v>24484</v>
      </c>
    </row>
    <row r="1716" spans="1:32" hidden="1" x14ac:dyDescent="0.35">
      <c r="A1716">
        <v>4290</v>
      </c>
      <c r="B1716" t="s">
        <v>8920</v>
      </c>
      <c r="C1716" t="s">
        <v>72</v>
      </c>
      <c r="D1716" t="s">
        <v>60</v>
      </c>
      <c r="E1716">
        <v>2388</v>
      </c>
      <c r="F1716">
        <v>5</v>
      </c>
      <c r="G1716">
        <v>5</v>
      </c>
      <c r="H1716">
        <v>1</v>
      </c>
      <c r="I1716">
        <v>1</v>
      </c>
      <c r="J1716">
        <v>0.77084725625603301</v>
      </c>
      <c r="K1716">
        <v>0.85233478963724796</v>
      </c>
      <c r="L1716">
        <v>0.80954559060793496</v>
      </c>
      <c r="M1716">
        <v>0.50652985074626899</v>
      </c>
      <c r="N1716">
        <v>0.98880597014925398</v>
      </c>
      <c r="O1716">
        <v>0.65671641791044799</v>
      </c>
      <c r="P1716" t="s">
        <v>3554</v>
      </c>
      <c r="Q1716" t="s">
        <v>3555</v>
      </c>
      <c r="R1716" t="s">
        <v>652</v>
      </c>
      <c r="S1716" t="s">
        <v>653</v>
      </c>
      <c r="T1716" t="s">
        <v>8921</v>
      </c>
      <c r="U1716" t="s">
        <v>8922</v>
      </c>
      <c r="V1716" t="s">
        <v>3558</v>
      </c>
      <c r="W1716" t="s">
        <v>3559</v>
      </c>
      <c r="Z1716" t="s">
        <v>8923</v>
      </c>
      <c r="AA1716" t="s">
        <v>8924</v>
      </c>
      <c r="AB1716" t="s">
        <v>8923</v>
      </c>
      <c r="AC1716" t="s">
        <v>8925</v>
      </c>
      <c r="AD1716" t="s">
        <v>219</v>
      </c>
      <c r="AE1716" t="s">
        <v>8926</v>
      </c>
      <c r="AF1716" t="s">
        <v>8928</v>
      </c>
    </row>
    <row r="1717" spans="1:32" hidden="1" x14ac:dyDescent="0.35">
      <c r="A1717">
        <v>4291</v>
      </c>
      <c r="B1717" t="s">
        <v>8920</v>
      </c>
      <c r="C1717" t="s">
        <v>72</v>
      </c>
      <c r="D1717" t="s">
        <v>62</v>
      </c>
      <c r="E1717">
        <v>2416</v>
      </c>
      <c r="F1717">
        <v>5</v>
      </c>
      <c r="G1717">
        <v>5</v>
      </c>
      <c r="H1717">
        <v>1</v>
      </c>
      <c r="I1717">
        <v>1</v>
      </c>
      <c r="J1717">
        <v>0.77084725625603301</v>
      </c>
      <c r="K1717">
        <v>0.85233478963724796</v>
      </c>
      <c r="L1717">
        <v>0.80954559060793496</v>
      </c>
      <c r="M1717">
        <v>0.50652985074626899</v>
      </c>
      <c r="N1717">
        <v>0.98880597014925398</v>
      </c>
      <c r="O1717">
        <v>0.65671641791044799</v>
      </c>
      <c r="P1717" t="s">
        <v>3554</v>
      </c>
      <c r="Q1717" t="s">
        <v>3555</v>
      </c>
      <c r="R1717" t="s">
        <v>652</v>
      </c>
      <c r="S1717" t="s">
        <v>653</v>
      </c>
      <c r="T1717" t="s">
        <v>8921</v>
      </c>
      <c r="U1717" t="s">
        <v>8922</v>
      </c>
      <c r="V1717" t="s">
        <v>3558</v>
      </c>
      <c r="W1717" t="s">
        <v>3559</v>
      </c>
      <c r="Z1717" t="s">
        <v>8923</v>
      </c>
      <c r="AA1717" t="s">
        <v>8924</v>
      </c>
      <c r="AB1717" t="s">
        <v>8923</v>
      </c>
      <c r="AC1717" t="s">
        <v>8925</v>
      </c>
      <c r="AD1717" t="s">
        <v>219</v>
      </c>
      <c r="AE1717" t="s">
        <v>8926</v>
      </c>
      <c r="AF1717" t="s">
        <v>8929</v>
      </c>
    </row>
    <row r="1718" spans="1:32" hidden="1" x14ac:dyDescent="0.35">
      <c r="A1718">
        <v>4292</v>
      </c>
      <c r="B1718" t="s">
        <v>8920</v>
      </c>
      <c r="C1718" t="s">
        <v>72</v>
      </c>
      <c r="D1718" t="s">
        <v>34</v>
      </c>
      <c r="E1718">
        <v>1360</v>
      </c>
      <c r="F1718">
        <v>5</v>
      </c>
      <c r="G1718">
        <v>5</v>
      </c>
      <c r="H1718">
        <v>1</v>
      </c>
      <c r="I1718">
        <v>1</v>
      </c>
      <c r="J1718">
        <v>0.77084725625603301</v>
      </c>
      <c r="K1718">
        <v>0.85233478963724796</v>
      </c>
      <c r="L1718">
        <v>0.80954559060793496</v>
      </c>
      <c r="M1718">
        <v>0.50652985074626899</v>
      </c>
      <c r="N1718">
        <v>0.98880597014925398</v>
      </c>
      <c r="O1718">
        <v>0.65671641791044799</v>
      </c>
      <c r="P1718" t="s">
        <v>3554</v>
      </c>
      <c r="Q1718" t="s">
        <v>3555</v>
      </c>
      <c r="R1718" t="s">
        <v>652</v>
      </c>
      <c r="S1718" t="s">
        <v>653</v>
      </c>
      <c r="T1718" t="s">
        <v>8921</v>
      </c>
      <c r="U1718" t="s">
        <v>8922</v>
      </c>
      <c r="V1718" t="s">
        <v>3558</v>
      </c>
      <c r="W1718" t="s">
        <v>3559</v>
      </c>
      <c r="Z1718" t="s">
        <v>8923</v>
      </c>
      <c r="AA1718" t="s">
        <v>8924</v>
      </c>
      <c r="AB1718" t="s">
        <v>8923</v>
      </c>
      <c r="AC1718" t="s">
        <v>8925</v>
      </c>
      <c r="AD1718" t="s">
        <v>219</v>
      </c>
      <c r="AE1718" t="s">
        <v>8926</v>
      </c>
      <c r="AF1718" t="s">
        <v>8930</v>
      </c>
    </row>
    <row r="1719" spans="1:32" hidden="1" x14ac:dyDescent="0.35">
      <c r="A1719">
        <v>4293</v>
      </c>
      <c r="B1719" t="s">
        <v>8920</v>
      </c>
      <c r="C1719" t="s">
        <v>72</v>
      </c>
      <c r="D1719" t="s">
        <v>45</v>
      </c>
      <c r="E1719">
        <v>109</v>
      </c>
      <c r="F1719">
        <v>5</v>
      </c>
      <c r="G1719">
        <v>5</v>
      </c>
      <c r="H1719">
        <v>1</v>
      </c>
      <c r="I1719">
        <v>1</v>
      </c>
      <c r="J1719">
        <v>0.77084725625603301</v>
      </c>
      <c r="K1719">
        <v>0.85233478963724796</v>
      </c>
      <c r="L1719">
        <v>0.80954559060793496</v>
      </c>
      <c r="M1719">
        <v>0.50652985074626899</v>
      </c>
      <c r="N1719">
        <v>0.98880597014925398</v>
      </c>
      <c r="O1719">
        <v>0.65671641791044799</v>
      </c>
      <c r="P1719" t="s">
        <v>3554</v>
      </c>
      <c r="Q1719" t="s">
        <v>3555</v>
      </c>
      <c r="R1719" t="s">
        <v>652</v>
      </c>
      <c r="S1719" t="s">
        <v>653</v>
      </c>
      <c r="T1719" t="s">
        <v>8921</v>
      </c>
      <c r="U1719" t="s">
        <v>8922</v>
      </c>
      <c r="V1719" t="s">
        <v>3558</v>
      </c>
      <c r="W1719" t="s">
        <v>3559</v>
      </c>
      <c r="Z1719" t="s">
        <v>8923</v>
      </c>
      <c r="AA1719" t="s">
        <v>8924</v>
      </c>
      <c r="AB1719" t="s">
        <v>8923</v>
      </c>
      <c r="AC1719" t="s">
        <v>8925</v>
      </c>
      <c r="AD1719" t="s">
        <v>219</v>
      </c>
      <c r="AE1719" t="s">
        <v>8926</v>
      </c>
      <c r="AF1719" t="s">
        <v>8931</v>
      </c>
    </row>
    <row r="1720" spans="1:32" hidden="1" x14ac:dyDescent="0.35">
      <c r="A1720">
        <v>1859</v>
      </c>
      <c r="B1720" t="s">
        <v>3848</v>
      </c>
      <c r="C1720" t="s">
        <v>72</v>
      </c>
      <c r="D1720" t="s">
        <v>58</v>
      </c>
      <c r="E1720">
        <v>1323</v>
      </c>
      <c r="F1720">
        <v>5</v>
      </c>
      <c r="G1720">
        <v>5</v>
      </c>
      <c r="H1720">
        <v>1</v>
      </c>
      <c r="I1720">
        <v>1</v>
      </c>
      <c r="J1720">
        <v>0.90919220055710304</v>
      </c>
      <c r="K1720">
        <v>0.991737171515361</v>
      </c>
      <c r="L1720">
        <v>0.94867249103661699</v>
      </c>
      <c r="M1720">
        <v>0.80662983425414403</v>
      </c>
      <c r="N1720">
        <v>1</v>
      </c>
      <c r="O1720">
        <v>0.86169429097605899</v>
      </c>
      <c r="P1720" t="s">
        <v>3849</v>
      </c>
      <c r="Q1720" t="s">
        <v>3850</v>
      </c>
      <c r="R1720" t="s">
        <v>652</v>
      </c>
      <c r="S1720" t="s">
        <v>653</v>
      </c>
      <c r="T1720" t="s">
        <v>3851</v>
      </c>
      <c r="U1720" t="s">
        <v>3852</v>
      </c>
      <c r="V1720" t="s">
        <v>3853</v>
      </c>
      <c r="W1720" t="s">
        <v>3854</v>
      </c>
      <c r="Z1720" t="s">
        <v>3855</v>
      </c>
      <c r="AA1720" t="s">
        <v>3856</v>
      </c>
      <c r="AB1720" t="s">
        <v>3855</v>
      </c>
      <c r="AC1720" t="s">
        <v>729</v>
      </c>
      <c r="AD1720" t="s">
        <v>219</v>
      </c>
      <c r="AE1720" t="s">
        <v>3857</v>
      </c>
      <c r="AF1720" t="s">
        <v>3858</v>
      </c>
    </row>
    <row r="1721" spans="1:32" hidden="1" x14ac:dyDescent="0.35">
      <c r="A1721">
        <v>4450</v>
      </c>
      <c r="B1721" t="s">
        <v>9258</v>
      </c>
      <c r="C1721" t="s">
        <v>72</v>
      </c>
      <c r="D1721" t="s">
        <v>60</v>
      </c>
      <c r="E1721">
        <v>1004</v>
      </c>
      <c r="F1721">
        <v>5</v>
      </c>
      <c r="G1721">
        <v>5</v>
      </c>
      <c r="H1721">
        <v>1</v>
      </c>
      <c r="I1721">
        <v>1</v>
      </c>
      <c r="J1721">
        <v>0.75960920426790102</v>
      </c>
      <c r="K1721">
        <v>0.96098719537381005</v>
      </c>
      <c r="L1721">
        <v>0.84851359556668604</v>
      </c>
      <c r="M1721">
        <v>0.54444444444444395</v>
      </c>
      <c r="N1721">
        <v>0.99629629629629601</v>
      </c>
      <c r="O1721">
        <v>0.67333333333333301</v>
      </c>
      <c r="P1721" t="s">
        <v>664</v>
      </c>
      <c r="Q1721" t="s">
        <v>665</v>
      </c>
      <c r="R1721" t="s">
        <v>652</v>
      </c>
      <c r="S1721" t="s">
        <v>653</v>
      </c>
      <c r="T1721" t="s">
        <v>9259</v>
      </c>
      <c r="U1721" t="s">
        <v>9260</v>
      </c>
      <c r="V1721" t="s">
        <v>9261</v>
      </c>
      <c r="W1721" t="s">
        <v>9262</v>
      </c>
      <c r="AD1721" t="s">
        <v>410</v>
      </c>
      <c r="AE1721" t="s">
        <v>829</v>
      </c>
      <c r="AF1721" t="s">
        <v>9264</v>
      </c>
    </row>
    <row r="1722" spans="1:32" hidden="1" x14ac:dyDescent="0.35">
      <c r="A1722">
        <v>4451</v>
      </c>
      <c r="B1722" t="s">
        <v>9258</v>
      </c>
      <c r="C1722" t="s">
        <v>72</v>
      </c>
      <c r="D1722" t="s">
        <v>62</v>
      </c>
      <c r="E1722">
        <v>1040</v>
      </c>
      <c r="F1722">
        <v>5</v>
      </c>
      <c r="G1722">
        <v>5</v>
      </c>
      <c r="H1722">
        <v>1</v>
      </c>
      <c r="I1722">
        <v>1</v>
      </c>
      <c r="J1722">
        <v>0.75960920426790102</v>
      </c>
      <c r="K1722">
        <v>0.96098719537381005</v>
      </c>
      <c r="L1722">
        <v>0.84851359556668604</v>
      </c>
      <c r="M1722">
        <v>0.54444444444444395</v>
      </c>
      <c r="N1722">
        <v>0.99629629629629601</v>
      </c>
      <c r="O1722">
        <v>0.67333333333333301</v>
      </c>
      <c r="P1722" t="s">
        <v>664</v>
      </c>
      <c r="Q1722" t="s">
        <v>665</v>
      </c>
      <c r="R1722" t="s">
        <v>652</v>
      </c>
      <c r="S1722" t="s">
        <v>653</v>
      </c>
      <c r="T1722" t="s">
        <v>9259</v>
      </c>
      <c r="U1722" t="s">
        <v>9260</v>
      </c>
      <c r="V1722" t="s">
        <v>9261</v>
      </c>
      <c r="W1722" t="s">
        <v>9262</v>
      </c>
      <c r="AD1722" t="s">
        <v>410</v>
      </c>
      <c r="AE1722" t="s">
        <v>829</v>
      </c>
      <c r="AF1722" t="s">
        <v>9265</v>
      </c>
    </row>
    <row r="1723" spans="1:32" hidden="1" x14ac:dyDescent="0.35">
      <c r="A1723">
        <v>4452</v>
      </c>
      <c r="B1723" t="s">
        <v>9258</v>
      </c>
      <c r="C1723" t="s">
        <v>72</v>
      </c>
      <c r="D1723" t="s">
        <v>34</v>
      </c>
      <c r="E1723">
        <v>119</v>
      </c>
      <c r="F1723">
        <v>5</v>
      </c>
      <c r="G1723">
        <v>5</v>
      </c>
      <c r="H1723">
        <v>1</v>
      </c>
      <c r="I1723">
        <v>1</v>
      </c>
      <c r="J1723">
        <v>0.75960920426790102</v>
      </c>
      <c r="K1723">
        <v>0.96098719537381005</v>
      </c>
      <c r="L1723">
        <v>0.84851359556668604</v>
      </c>
      <c r="M1723">
        <v>0.54444444444444395</v>
      </c>
      <c r="N1723">
        <v>0.99629629629629601</v>
      </c>
      <c r="O1723">
        <v>0.67333333333333301</v>
      </c>
      <c r="P1723" t="s">
        <v>664</v>
      </c>
      <c r="Q1723" t="s">
        <v>665</v>
      </c>
      <c r="R1723" t="s">
        <v>652</v>
      </c>
      <c r="S1723" t="s">
        <v>653</v>
      </c>
      <c r="T1723" t="s">
        <v>9259</v>
      </c>
      <c r="U1723" t="s">
        <v>9260</v>
      </c>
      <c r="V1723" t="s">
        <v>9261</v>
      </c>
      <c r="W1723" t="s">
        <v>9262</v>
      </c>
      <c r="AD1723" t="s">
        <v>410</v>
      </c>
      <c r="AE1723" t="s">
        <v>829</v>
      </c>
      <c r="AF1723" t="s">
        <v>9266</v>
      </c>
    </row>
    <row r="1724" spans="1:32" hidden="1" x14ac:dyDescent="0.35">
      <c r="A1724">
        <v>4453</v>
      </c>
      <c r="B1724" t="s">
        <v>9258</v>
      </c>
      <c r="C1724" t="s">
        <v>72</v>
      </c>
      <c r="D1724" t="s">
        <v>45</v>
      </c>
      <c r="E1724">
        <v>1382</v>
      </c>
      <c r="F1724">
        <v>5</v>
      </c>
      <c r="G1724">
        <v>5</v>
      </c>
      <c r="H1724">
        <v>1</v>
      </c>
      <c r="I1724">
        <v>1</v>
      </c>
      <c r="J1724">
        <v>0.75960920426790102</v>
      </c>
      <c r="K1724">
        <v>0.96098719537381005</v>
      </c>
      <c r="L1724">
        <v>0.84851359556668604</v>
      </c>
      <c r="M1724">
        <v>0.54444444444444395</v>
      </c>
      <c r="N1724">
        <v>0.99629629629629601</v>
      </c>
      <c r="O1724">
        <v>0.67333333333333301</v>
      </c>
      <c r="P1724" t="s">
        <v>664</v>
      </c>
      <c r="Q1724" t="s">
        <v>665</v>
      </c>
      <c r="R1724" t="s">
        <v>652</v>
      </c>
      <c r="S1724" t="s">
        <v>653</v>
      </c>
      <c r="T1724" t="s">
        <v>9259</v>
      </c>
      <c r="U1724" t="s">
        <v>9260</v>
      </c>
      <c r="V1724" t="s">
        <v>9261</v>
      </c>
      <c r="W1724" t="s">
        <v>9262</v>
      </c>
      <c r="AD1724" t="s">
        <v>410</v>
      </c>
      <c r="AE1724" t="s">
        <v>829</v>
      </c>
      <c r="AF1724" t="s">
        <v>9267</v>
      </c>
    </row>
    <row r="1725" spans="1:32" hidden="1" x14ac:dyDescent="0.35">
      <c r="A1725">
        <v>3254</v>
      </c>
      <c r="B1725" t="s">
        <v>6690</v>
      </c>
      <c r="C1725" t="s">
        <v>72</v>
      </c>
      <c r="D1725" t="s">
        <v>58</v>
      </c>
      <c r="E1725">
        <v>1325</v>
      </c>
      <c r="F1725">
        <v>5</v>
      </c>
      <c r="G1725">
        <v>5</v>
      </c>
      <c r="H1725">
        <v>1</v>
      </c>
      <c r="I1725">
        <v>1</v>
      </c>
      <c r="J1725">
        <v>0.87946685051131801</v>
      </c>
      <c r="K1725">
        <v>0.98358353510895902</v>
      </c>
      <c r="L1725">
        <v>0.92861590917098602</v>
      </c>
      <c r="M1725">
        <v>0.74915254237288098</v>
      </c>
      <c r="N1725">
        <v>1</v>
      </c>
      <c r="O1725">
        <v>0.82813559322033903</v>
      </c>
      <c r="P1725" t="s">
        <v>6691</v>
      </c>
      <c r="Q1725" t="s">
        <v>6692</v>
      </c>
      <c r="R1725" t="s">
        <v>652</v>
      </c>
      <c r="S1725" t="s">
        <v>653</v>
      </c>
      <c r="T1725" t="s">
        <v>6693</v>
      </c>
      <c r="U1725" t="s">
        <v>6694</v>
      </c>
      <c r="V1725" t="s">
        <v>6695</v>
      </c>
      <c r="W1725" t="s">
        <v>6696</v>
      </c>
      <c r="Z1725" t="s">
        <v>3855</v>
      </c>
      <c r="AA1725" t="s">
        <v>3856</v>
      </c>
      <c r="AB1725" t="s">
        <v>3855</v>
      </c>
      <c r="AC1725" t="s">
        <v>729</v>
      </c>
      <c r="AD1725" t="s">
        <v>219</v>
      </c>
      <c r="AE1725" t="s">
        <v>3857</v>
      </c>
      <c r="AF1725" t="s">
        <v>6697</v>
      </c>
    </row>
    <row r="1726" spans="1:32" hidden="1" x14ac:dyDescent="0.35">
      <c r="A1726">
        <v>4520</v>
      </c>
      <c r="B1726" t="s">
        <v>9414</v>
      </c>
      <c r="C1726" t="s">
        <v>72</v>
      </c>
      <c r="D1726" t="s">
        <v>60</v>
      </c>
      <c r="E1726">
        <v>87</v>
      </c>
      <c r="F1726">
        <v>5</v>
      </c>
      <c r="G1726">
        <v>5</v>
      </c>
      <c r="H1726">
        <v>1</v>
      </c>
      <c r="I1726">
        <v>1</v>
      </c>
      <c r="J1726">
        <v>0.820812248605164</v>
      </c>
      <c r="K1726">
        <v>0.70067212853961003</v>
      </c>
      <c r="L1726">
        <v>0.75599891001291497</v>
      </c>
      <c r="M1726">
        <v>0.32962138084632497</v>
      </c>
      <c r="N1726">
        <v>0.99331848552338498</v>
      </c>
      <c r="O1726">
        <v>0.57616926503340804</v>
      </c>
      <c r="P1726" t="s">
        <v>5019</v>
      </c>
      <c r="Q1726" t="s">
        <v>5020</v>
      </c>
      <c r="R1726" t="s">
        <v>652</v>
      </c>
      <c r="S1726" t="s">
        <v>653</v>
      </c>
      <c r="T1726" t="s">
        <v>9418</v>
      </c>
      <c r="U1726" t="s">
        <v>9419</v>
      </c>
      <c r="V1726" t="s">
        <v>9415</v>
      </c>
      <c r="W1726" t="s">
        <v>9416</v>
      </c>
      <c r="X1726" t="s">
        <v>9415</v>
      </c>
      <c r="Y1726" t="s">
        <v>5826</v>
      </c>
      <c r="Z1726" t="s">
        <v>9420</v>
      </c>
      <c r="AA1726" t="s">
        <v>9421</v>
      </c>
      <c r="AB1726" t="s">
        <v>9420</v>
      </c>
      <c r="AC1726" t="s">
        <v>2304</v>
      </c>
      <c r="AD1726" t="s">
        <v>245</v>
      </c>
      <c r="AE1726" t="s">
        <v>9422</v>
      </c>
      <c r="AF1726" t="s">
        <v>9423</v>
      </c>
    </row>
    <row r="1727" spans="1:32" hidden="1" x14ac:dyDescent="0.35">
      <c r="A1727">
        <v>4521</v>
      </c>
      <c r="B1727" t="s">
        <v>9414</v>
      </c>
      <c r="C1727" t="s">
        <v>72</v>
      </c>
      <c r="D1727" t="s">
        <v>62</v>
      </c>
      <c r="E1727">
        <v>158</v>
      </c>
      <c r="F1727">
        <v>5</v>
      </c>
      <c r="G1727">
        <v>5</v>
      </c>
      <c r="H1727">
        <v>1</v>
      </c>
      <c r="I1727">
        <v>1</v>
      </c>
      <c r="J1727">
        <v>0.820812248605164</v>
      </c>
      <c r="K1727">
        <v>0.70067212853961003</v>
      </c>
      <c r="L1727">
        <v>0.75599891001291497</v>
      </c>
      <c r="M1727">
        <v>0.32962138084632497</v>
      </c>
      <c r="N1727">
        <v>0.99331848552338498</v>
      </c>
      <c r="O1727">
        <v>0.57616926503340804</v>
      </c>
      <c r="P1727" t="s">
        <v>5019</v>
      </c>
      <c r="Q1727" t="s">
        <v>5020</v>
      </c>
      <c r="R1727" t="s">
        <v>652</v>
      </c>
      <c r="S1727" t="s">
        <v>653</v>
      </c>
      <c r="V1727" t="s">
        <v>9415</v>
      </c>
      <c r="W1727" t="s">
        <v>9416</v>
      </c>
      <c r="X1727" t="s">
        <v>9415</v>
      </c>
      <c r="Y1727" t="s">
        <v>5826</v>
      </c>
      <c r="AF1727" t="s">
        <v>9424</v>
      </c>
    </row>
    <row r="1728" spans="1:32" hidden="1" x14ac:dyDescent="0.35">
      <c r="A1728">
        <v>4522</v>
      </c>
      <c r="B1728" t="s">
        <v>9414</v>
      </c>
      <c r="C1728" t="s">
        <v>72</v>
      </c>
      <c r="D1728" t="s">
        <v>34</v>
      </c>
      <c r="E1728">
        <v>981</v>
      </c>
      <c r="F1728">
        <v>5</v>
      </c>
      <c r="G1728">
        <v>5</v>
      </c>
      <c r="H1728">
        <v>1</v>
      </c>
      <c r="I1728">
        <v>1</v>
      </c>
      <c r="J1728">
        <v>0.820812248605164</v>
      </c>
      <c r="K1728">
        <v>0.70067212853961003</v>
      </c>
      <c r="L1728">
        <v>0.75599891001291497</v>
      </c>
      <c r="M1728">
        <v>0.32962138084632497</v>
      </c>
      <c r="N1728">
        <v>0.99331848552338498</v>
      </c>
      <c r="O1728">
        <v>0.57616926503340804</v>
      </c>
      <c r="P1728" t="s">
        <v>9425</v>
      </c>
      <c r="Q1728" t="s">
        <v>9426</v>
      </c>
      <c r="R1728" t="s">
        <v>652</v>
      </c>
      <c r="S1728" t="s">
        <v>653</v>
      </c>
      <c r="T1728" t="s">
        <v>9427</v>
      </c>
      <c r="U1728" t="s">
        <v>9428</v>
      </c>
      <c r="V1728" t="s">
        <v>9415</v>
      </c>
      <c r="W1728" t="s">
        <v>9416</v>
      </c>
      <c r="X1728" t="s">
        <v>9415</v>
      </c>
      <c r="Y1728" t="s">
        <v>5826</v>
      </c>
      <c r="AD1728" t="s">
        <v>1437</v>
      </c>
      <c r="AE1728" t="s">
        <v>9429</v>
      </c>
      <c r="AF1728" t="s">
        <v>9430</v>
      </c>
    </row>
    <row r="1729" spans="1:32" hidden="1" x14ac:dyDescent="0.35">
      <c r="A1729">
        <v>4523</v>
      </c>
      <c r="B1729" t="s">
        <v>9414</v>
      </c>
      <c r="C1729" t="s">
        <v>72</v>
      </c>
      <c r="D1729" t="s">
        <v>45</v>
      </c>
      <c r="E1729">
        <v>2236</v>
      </c>
      <c r="F1729">
        <v>5</v>
      </c>
      <c r="G1729">
        <v>5</v>
      </c>
      <c r="H1729">
        <v>1</v>
      </c>
      <c r="I1729">
        <v>1</v>
      </c>
      <c r="J1729">
        <v>0.820812248605164</v>
      </c>
      <c r="K1729">
        <v>0.70067212853961003</v>
      </c>
      <c r="L1729">
        <v>0.75599891001291497</v>
      </c>
      <c r="M1729">
        <v>0.32962138084632497</v>
      </c>
      <c r="N1729">
        <v>0.99331848552338498</v>
      </c>
      <c r="O1729">
        <v>0.57616926503340804</v>
      </c>
      <c r="P1729" t="s">
        <v>9425</v>
      </c>
      <c r="Q1729" t="s">
        <v>9426</v>
      </c>
      <c r="R1729" t="s">
        <v>652</v>
      </c>
      <c r="S1729" t="s">
        <v>653</v>
      </c>
      <c r="T1729" t="s">
        <v>9427</v>
      </c>
      <c r="U1729" t="s">
        <v>9428</v>
      </c>
      <c r="V1729" t="s">
        <v>9415</v>
      </c>
      <c r="W1729" t="s">
        <v>9416</v>
      </c>
      <c r="X1729" t="s">
        <v>9415</v>
      </c>
      <c r="Y1729" t="s">
        <v>5826</v>
      </c>
      <c r="AD1729" t="s">
        <v>1437</v>
      </c>
      <c r="AE1729" t="s">
        <v>9429</v>
      </c>
      <c r="AF1729" t="s">
        <v>9431</v>
      </c>
    </row>
    <row r="1730" spans="1:32" hidden="1" x14ac:dyDescent="0.35">
      <c r="A1730">
        <v>288</v>
      </c>
      <c r="B1730" t="s">
        <v>494</v>
      </c>
      <c r="C1730" t="s">
        <v>72</v>
      </c>
      <c r="D1730" t="s">
        <v>58</v>
      </c>
      <c r="E1730">
        <v>439</v>
      </c>
      <c r="F1730">
        <v>5</v>
      </c>
      <c r="G1730">
        <v>7</v>
      </c>
      <c r="H1730">
        <v>2</v>
      </c>
      <c r="I1730">
        <v>0</v>
      </c>
      <c r="J1730">
        <v>0.73968105065666001</v>
      </c>
      <c r="K1730">
        <v>0.73599414449323797</v>
      </c>
      <c r="L1730">
        <v>0.73783299179276196</v>
      </c>
      <c r="M1730">
        <v>0.357594936708861</v>
      </c>
      <c r="N1730">
        <v>0.996835443037975</v>
      </c>
      <c r="O1730">
        <v>0.63713080168776404</v>
      </c>
      <c r="P1730" t="s">
        <v>495</v>
      </c>
      <c r="Q1730" t="s">
        <v>496</v>
      </c>
      <c r="R1730" t="s">
        <v>342</v>
      </c>
      <c r="S1730" t="s">
        <v>343</v>
      </c>
      <c r="T1730" t="s">
        <v>497</v>
      </c>
      <c r="U1730" t="s">
        <v>498</v>
      </c>
      <c r="V1730" t="s">
        <v>499</v>
      </c>
      <c r="W1730" t="s">
        <v>500</v>
      </c>
      <c r="AD1730" t="s">
        <v>410</v>
      </c>
      <c r="AE1730" t="s">
        <v>501</v>
      </c>
      <c r="AF1730" t="s">
        <v>502</v>
      </c>
    </row>
    <row r="1731" spans="1:32" hidden="1" x14ac:dyDescent="0.35">
      <c r="A1731">
        <v>4535</v>
      </c>
      <c r="B1731" t="s">
        <v>9462</v>
      </c>
      <c r="C1731" t="s">
        <v>72</v>
      </c>
      <c r="D1731" t="s">
        <v>60</v>
      </c>
      <c r="E1731">
        <v>1853</v>
      </c>
      <c r="F1731">
        <v>5</v>
      </c>
      <c r="G1731">
        <v>5</v>
      </c>
      <c r="H1731">
        <v>1</v>
      </c>
      <c r="I1731">
        <v>1</v>
      </c>
      <c r="J1731">
        <v>0.89666043476667001</v>
      </c>
      <c r="K1731">
        <v>0.99704428813526502</v>
      </c>
      <c r="L1731">
        <v>0.94419172542485996</v>
      </c>
      <c r="M1731">
        <v>0.80921052631578905</v>
      </c>
      <c r="N1731">
        <v>0.99780701754386003</v>
      </c>
      <c r="O1731">
        <v>0.85997807017543804</v>
      </c>
      <c r="P1731" t="s">
        <v>9463</v>
      </c>
      <c r="Q1731" t="s">
        <v>9464</v>
      </c>
      <c r="R1731" t="s">
        <v>652</v>
      </c>
      <c r="S1731" t="s">
        <v>653</v>
      </c>
      <c r="T1731" t="s">
        <v>9465</v>
      </c>
      <c r="U1731" t="s">
        <v>9466</v>
      </c>
      <c r="V1731" t="s">
        <v>9467</v>
      </c>
      <c r="W1731" t="s">
        <v>9468</v>
      </c>
      <c r="X1731" t="s">
        <v>9467</v>
      </c>
      <c r="Y1731" t="s">
        <v>3424</v>
      </c>
      <c r="Z1731" t="s">
        <v>3425</v>
      </c>
      <c r="AA1731" t="s">
        <v>3426</v>
      </c>
      <c r="AB1731" t="s">
        <v>3425</v>
      </c>
      <c r="AC1731" t="s">
        <v>2106</v>
      </c>
      <c r="AD1731" t="s">
        <v>1140</v>
      </c>
      <c r="AE1731" t="s">
        <v>9469</v>
      </c>
      <c r="AF1731" t="s">
        <v>9471</v>
      </c>
    </row>
    <row r="1732" spans="1:32" hidden="1" x14ac:dyDescent="0.35">
      <c r="A1732">
        <v>4536</v>
      </c>
      <c r="B1732" t="s">
        <v>9462</v>
      </c>
      <c r="C1732" t="s">
        <v>72</v>
      </c>
      <c r="D1732" t="s">
        <v>62</v>
      </c>
      <c r="E1732">
        <v>1891</v>
      </c>
      <c r="F1732">
        <v>5</v>
      </c>
      <c r="G1732">
        <v>5</v>
      </c>
      <c r="H1732">
        <v>1</v>
      </c>
      <c r="I1732">
        <v>1</v>
      </c>
      <c r="J1732">
        <v>0.89666043476667001</v>
      </c>
      <c r="K1732">
        <v>0.99704428813526502</v>
      </c>
      <c r="L1732">
        <v>0.94419172542485996</v>
      </c>
      <c r="M1732">
        <v>0.80921052631578905</v>
      </c>
      <c r="N1732">
        <v>0.99780701754386003</v>
      </c>
      <c r="O1732">
        <v>0.85997807017543804</v>
      </c>
      <c r="P1732" t="s">
        <v>9463</v>
      </c>
      <c r="Q1732" t="s">
        <v>9464</v>
      </c>
      <c r="R1732" t="s">
        <v>652</v>
      </c>
      <c r="S1732" t="s">
        <v>653</v>
      </c>
      <c r="T1732" t="s">
        <v>9465</v>
      </c>
      <c r="U1732" t="s">
        <v>9466</v>
      </c>
      <c r="V1732" t="s">
        <v>9467</v>
      </c>
      <c r="W1732" t="s">
        <v>9468</v>
      </c>
      <c r="X1732" t="s">
        <v>9467</v>
      </c>
      <c r="Y1732" t="s">
        <v>3424</v>
      </c>
      <c r="Z1732" t="s">
        <v>3425</v>
      </c>
      <c r="AA1732" t="s">
        <v>3426</v>
      </c>
      <c r="AB1732" t="s">
        <v>3425</v>
      </c>
      <c r="AC1732" t="s">
        <v>2106</v>
      </c>
      <c r="AD1732" t="s">
        <v>1140</v>
      </c>
      <c r="AE1732" t="s">
        <v>9469</v>
      </c>
      <c r="AF1732" t="s">
        <v>9472</v>
      </c>
    </row>
    <row r="1733" spans="1:32" hidden="1" x14ac:dyDescent="0.35">
      <c r="A1733">
        <v>4537</v>
      </c>
      <c r="B1733" t="s">
        <v>9462</v>
      </c>
      <c r="C1733" t="s">
        <v>72</v>
      </c>
      <c r="D1733" t="s">
        <v>34</v>
      </c>
      <c r="E1733">
        <v>2206</v>
      </c>
      <c r="F1733">
        <v>5</v>
      </c>
      <c r="G1733">
        <v>5</v>
      </c>
      <c r="H1733">
        <v>1</v>
      </c>
      <c r="I1733">
        <v>1</v>
      </c>
      <c r="J1733">
        <v>0.89666043476667001</v>
      </c>
      <c r="K1733">
        <v>0.99704428813526502</v>
      </c>
      <c r="L1733">
        <v>0.94419172542485996</v>
      </c>
      <c r="M1733">
        <v>0.80921052631578905</v>
      </c>
      <c r="N1733">
        <v>0.99780701754386003</v>
      </c>
      <c r="O1733">
        <v>0.85997807017543804</v>
      </c>
      <c r="P1733" t="s">
        <v>9463</v>
      </c>
      <c r="Q1733" t="s">
        <v>9464</v>
      </c>
      <c r="R1733" t="s">
        <v>652</v>
      </c>
      <c r="S1733" t="s">
        <v>653</v>
      </c>
      <c r="T1733" t="s">
        <v>9465</v>
      </c>
      <c r="U1733" t="s">
        <v>9466</v>
      </c>
      <c r="V1733" t="s">
        <v>9467</v>
      </c>
      <c r="W1733" t="s">
        <v>9468</v>
      </c>
      <c r="X1733" t="s">
        <v>9467</v>
      </c>
      <c r="Y1733" t="s">
        <v>3424</v>
      </c>
      <c r="Z1733" t="s">
        <v>3425</v>
      </c>
      <c r="AA1733" t="s">
        <v>3426</v>
      </c>
      <c r="AB1733" t="s">
        <v>3425</v>
      </c>
      <c r="AC1733" t="s">
        <v>2106</v>
      </c>
      <c r="AD1733" t="s">
        <v>1140</v>
      </c>
      <c r="AE1733" t="s">
        <v>9469</v>
      </c>
      <c r="AF1733" t="s">
        <v>9473</v>
      </c>
    </row>
    <row r="1734" spans="1:32" hidden="1" x14ac:dyDescent="0.35">
      <c r="A1734">
        <v>4538</v>
      </c>
      <c r="B1734" t="s">
        <v>9462</v>
      </c>
      <c r="C1734" t="s">
        <v>72</v>
      </c>
      <c r="D1734" t="s">
        <v>45</v>
      </c>
      <c r="E1734">
        <v>668</v>
      </c>
      <c r="F1734">
        <v>5</v>
      </c>
      <c r="G1734">
        <v>5</v>
      </c>
      <c r="H1734">
        <v>1</v>
      </c>
      <c r="I1734">
        <v>1</v>
      </c>
      <c r="J1734">
        <v>0.89666043476667001</v>
      </c>
      <c r="K1734">
        <v>0.99704428813526502</v>
      </c>
      <c r="L1734">
        <v>0.94419172542485996</v>
      </c>
      <c r="M1734">
        <v>0.80921052631578905</v>
      </c>
      <c r="N1734">
        <v>0.99780701754386003</v>
      </c>
      <c r="O1734">
        <v>0.85997807017543804</v>
      </c>
      <c r="P1734" t="s">
        <v>9463</v>
      </c>
      <c r="Q1734" t="s">
        <v>9464</v>
      </c>
      <c r="R1734" t="s">
        <v>652</v>
      </c>
      <c r="S1734" t="s">
        <v>653</v>
      </c>
      <c r="T1734" t="s">
        <v>9465</v>
      </c>
      <c r="U1734" t="s">
        <v>9466</v>
      </c>
      <c r="V1734" t="s">
        <v>9467</v>
      </c>
      <c r="W1734" t="s">
        <v>9468</v>
      </c>
      <c r="X1734" t="s">
        <v>9467</v>
      </c>
      <c r="Y1734" t="s">
        <v>3424</v>
      </c>
      <c r="Z1734" t="s">
        <v>3425</v>
      </c>
      <c r="AA1734" t="s">
        <v>3426</v>
      </c>
      <c r="AB1734" t="s">
        <v>3425</v>
      </c>
      <c r="AC1734" t="s">
        <v>2106</v>
      </c>
      <c r="AD1734" t="s">
        <v>1140</v>
      </c>
      <c r="AE1734" t="s">
        <v>9469</v>
      </c>
      <c r="AF1734" t="s">
        <v>9474</v>
      </c>
    </row>
    <row r="1735" spans="1:32" hidden="1" x14ac:dyDescent="0.35">
      <c r="A1735">
        <v>11685</v>
      </c>
      <c r="B1735" t="s">
        <v>23968</v>
      </c>
      <c r="C1735" t="s">
        <v>33</v>
      </c>
      <c r="D1735" t="s">
        <v>58</v>
      </c>
      <c r="E1735">
        <v>1700</v>
      </c>
      <c r="F1735">
        <v>1</v>
      </c>
      <c r="G1735">
        <v>1</v>
      </c>
      <c r="H1735">
        <v>1</v>
      </c>
      <c r="I1735">
        <v>0</v>
      </c>
      <c r="J1735">
        <v>1</v>
      </c>
      <c r="K1735">
        <v>1</v>
      </c>
      <c r="L1735">
        <v>1</v>
      </c>
      <c r="M1735">
        <v>0</v>
      </c>
      <c r="N1735">
        <v>0</v>
      </c>
      <c r="O1735">
        <v>0</v>
      </c>
      <c r="P1735" t="s">
        <v>16012</v>
      </c>
      <c r="Q1735" t="s">
        <v>16013</v>
      </c>
      <c r="R1735" t="s">
        <v>157</v>
      </c>
      <c r="S1735" t="s">
        <v>158</v>
      </c>
      <c r="T1735" t="s">
        <v>16014</v>
      </c>
      <c r="U1735" t="s">
        <v>16015</v>
      </c>
      <c r="V1735" t="s">
        <v>16016</v>
      </c>
      <c r="W1735" t="s">
        <v>16017</v>
      </c>
      <c r="AD1735" t="s">
        <v>16018</v>
      </c>
      <c r="AE1735" t="s">
        <v>16019</v>
      </c>
      <c r="AF1735" t="s">
        <v>23969</v>
      </c>
    </row>
    <row r="1736" spans="1:32" hidden="1" x14ac:dyDescent="0.35">
      <c r="A1736">
        <v>11390</v>
      </c>
      <c r="B1736" t="s">
        <v>23205</v>
      </c>
      <c r="C1736" t="s">
        <v>33</v>
      </c>
      <c r="D1736" t="s">
        <v>58</v>
      </c>
      <c r="E1736">
        <v>1523</v>
      </c>
      <c r="F1736">
        <v>1</v>
      </c>
      <c r="G1736">
        <v>1</v>
      </c>
      <c r="H1736">
        <v>1</v>
      </c>
      <c r="I1736">
        <v>0</v>
      </c>
      <c r="J1736">
        <v>1</v>
      </c>
      <c r="K1736">
        <v>1</v>
      </c>
      <c r="L1736">
        <v>1</v>
      </c>
      <c r="M1736">
        <v>0</v>
      </c>
      <c r="N1736">
        <v>0</v>
      </c>
      <c r="O1736">
        <v>0</v>
      </c>
      <c r="P1736" t="s">
        <v>16156</v>
      </c>
      <c r="Q1736" t="s">
        <v>16157</v>
      </c>
      <c r="R1736" t="s">
        <v>157</v>
      </c>
      <c r="S1736" t="s">
        <v>158</v>
      </c>
      <c r="T1736" t="s">
        <v>16158</v>
      </c>
      <c r="U1736" t="s">
        <v>16159</v>
      </c>
      <c r="V1736" t="s">
        <v>16160</v>
      </c>
      <c r="W1736" t="s">
        <v>16161</v>
      </c>
      <c r="AD1736" t="s">
        <v>16018</v>
      </c>
      <c r="AE1736" t="s">
        <v>16162</v>
      </c>
      <c r="AF1736" t="s">
        <v>23206</v>
      </c>
    </row>
    <row r="1737" spans="1:32" hidden="1" x14ac:dyDescent="0.35">
      <c r="A1737">
        <v>2559</v>
      </c>
      <c r="B1737" t="s">
        <v>5292</v>
      </c>
      <c r="C1737" t="s">
        <v>72</v>
      </c>
      <c r="D1737" t="s">
        <v>58</v>
      </c>
      <c r="E1737">
        <v>795</v>
      </c>
      <c r="F1737">
        <v>5</v>
      </c>
      <c r="G1737">
        <v>5</v>
      </c>
      <c r="H1737">
        <v>1</v>
      </c>
      <c r="I1737">
        <v>1</v>
      </c>
      <c r="J1737">
        <v>0.92949852507374597</v>
      </c>
      <c r="K1737">
        <v>0.98842002966600295</v>
      </c>
      <c r="L1737">
        <v>0.95805419626128496</v>
      </c>
      <c r="M1737">
        <v>0.86297376093294498</v>
      </c>
      <c r="N1737">
        <v>1</v>
      </c>
      <c r="O1737">
        <v>0.90291545189504396</v>
      </c>
      <c r="P1737" t="s">
        <v>5293</v>
      </c>
      <c r="Q1737" t="s">
        <v>5294</v>
      </c>
      <c r="R1737" t="s">
        <v>5295</v>
      </c>
      <c r="S1737" t="s">
        <v>5296</v>
      </c>
      <c r="T1737" t="s">
        <v>5297</v>
      </c>
      <c r="U1737" t="s">
        <v>5298</v>
      </c>
      <c r="V1737" t="s">
        <v>5299</v>
      </c>
      <c r="W1737" t="s">
        <v>5300</v>
      </c>
      <c r="X1737" t="s">
        <v>5299</v>
      </c>
      <c r="Y1737" t="s">
        <v>1782</v>
      </c>
      <c r="Z1737" t="s">
        <v>2868</v>
      </c>
      <c r="AA1737" t="s">
        <v>2869</v>
      </c>
      <c r="AB1737" t="s">
        <v>2868</v>
      </c>
      <c r="AC1737" t="s">
        <v>1111</v>
      </c>
      <c r="AD1737" t="s">
        <v>245</v>
      </c>
      <c r="AE1737" t="s">
        <v>5301</v>
      </c>
      <c r="AF1737" t="s">
        <v>5302</v>
      </c>
    </row>
    <row r="1738" spans="1:32" hidden="1" x14ac:dyDescent="0.35">
      <c r="A1738">
        <v>2560</v>
      </c>
      <c r="B1738" t="s">
        <v>5292</v>
      </c>
      <c r="C1738" t="s">
        <v>72</v>
      </c>
      <c r="D1738" t="s">
        <v>60</v>
      </c>
      <c r="E1738">
        <v>1077</v>
      </c>
      <c r="F1738">
        <v>5</v>
      </c>
      <c r="G1738">
        <v>5</v>
      </c>
      <c r="H1738">
        <v>1</v>
      </c>
      <c r="I1738">
        <v>1</v>
      </c>
      <c r="J1738">
        <v>0.92949852507374597</v>
      </c>
      <c r="K1738">
        <v>0.98842002966600295</v>
      </c>
      <c r="L1738">
        <v>0.95805419626128496</v>
      </c>
      <c r="M1738">
        <v>0.86297376093294498</v>
      </c>
      <c r="N1738">
        <v>1</v>
      </c>
      <c r="O1738">
        <v>0.90291545189504396</v>
      </c>
      <c r="P1738" t="s">
        <v>5293</v>
      </c>
      <c r="Q1738" t="s">
        <v>5294</v>
      </c>
      <c r="R1738" t="s">
        <v>5295</v>
      </c>
      <c r="S1738" t="s">
        <v>5296</v>
      </c>
      <c r="T1738" t="s">
        <v>5297</v>
      </c>
      <c r="U1738" t="s">
        <v>5298</v>
      </c>
      <c r="V1738" t="s">
        <v>5299</v>
      </c>
      <c r="W1738" t="s">
        <v>5300</v>
      </c>
      <c r="X1738" t="s">
        <v>5299</v>
      </c>
      <c r="Y1738" t="s">
        <v>1782</v>
      </c>
      <c r="Z1738" t="s">
        <v>2868</v>
      </c>
      <c r="AA1738" t="s">
        <v>2869</v>
      </c>
      <c r="AB1738" t="s">
        <v>2868</v>
      </c>
      <c r="AC1738" t="s">
        <v>1111</v>
      </c>
      <c r="AD1738" t="s">
        <v>245</v>
      </c>
      <c r="AE1738" t="s">
        <v>5301</v>
      </c>
      <c r="AF1738" t="s">
        <v>5303</v>
      </c>
    </row>
    <row r="1739" spans="1:32" hidden="1" x14ac:dyDescent="0.35">
      <c r="A1739">
        <v>2561</v>
      </c>
      <c r="B1739" t="s">
        <v>5292</v>
      </c>
      <c r="C1739" t="s">
        <v>72</v>
      </c>
      <c r="D1739" t="s">
        <v>62</v>
      </c>
      <c r="E1739">
        <v>1113</v>
      </c>
      <c r="F1739">
        <v>5</v>
      </c>
      <c r="G1739">
        <v>5</v>
      </c>
      <c r="H1739">
        <v>1</v>
      </c>
      <c r="I1739">
        <v>1</v>
      </c>
      <c r="J1739">
        <v>0.92949852507374597</v>
      </c>
      <c r="K1739">
        <v>0.98842002966600295</v>
      </c>
      <c r="L1739">
        <v>0.95805419626128496</v>
      </c>
      <c r="M1739">
        <v>0.86297376093294498</v>
      </c>
      <c r="N1739">
        <v>1</v>
      </c>
      <c r="O1739">
        <v>0.90291545189504396</v>
      </c>
      <c r="P1739" t="s">
        <v>5293</v>
      </c>
      <c r="Q1739" t="s">
        <v>5294</v>
      </c>
      <c r="R1739" t="s">
        <v>5295</v>
      </c>
      <c r="S1739" t="s">
        <v>5296</v>
      </c>
      <c r="T1739" t="s">
        <v>5297</v>
      </c>
      <c r="U1739" t="s">
        <v>5298</v>
      </c>
      <c r="V1739" t="s">
        <v>5299</v>
      </c>
      <c r="W1739" t="s">
        <v>5300</v>
      </c>
      <c r="X1739" t="s">
        <v>5299</v>
      </c>
      <c r="Y1739" t="s">
        <v>1782</v>
      </c>
      <c r="Z1739" t="s">
        <v>2868</v>
      </c>
      <c r="AA1739" t="s">
        <v>2869</v>
      </c>
      <c r="AB1739" t="s">
        <v>2868</v>
      </c>
      <c r="AC1739" t="s">
        <v>1111</v>
      </c>
      <c r="AD1739" t="s">
        <v>245</v>
      </c>
      <c r="AE1739" t="s">
        <v>5301</v>
      </c>
      <c r="AF1739" t="s">
        <v>5303</v>
      </c>
    </row>
    <row r="1740" spans="1:32" hidden="1" x14ac:dyDescent="0.35">
      <c r="A1740">
        <v>2562</v>
      </c>
      <c r="B1740" t="s">
        <v>5292</v>
      </c>
      <c r="C1740" t="s">
        <v>72</v>
      </c>
      <c r="D1740" t="s">
        <v>34</v>
      </c>
      <c r="E1740">
        <v>46</v>
      </c>
      <c r="F1740">
        <v>5</v>
      </c>
      <c r="G1740">
        <v>5</v>
      </c>
      <c r="H1740">
        <v>1</v>
      </c>
      <c r="I1740">
        <v>1</v>
      </c>
      <c r="J1740">
        <v>0.92949852507374597</v>
      </c>
      <c r="K1740">
        <v>0.98842002966600295</v>
      </c>
      <c r="L1740">
        <v>0.95805419626128496</v>
      </c>
      <c r="M1740">
        <v>0.86297376093294498</v>
      </c>
      <c r="N1740">
        <v>1</v>
      </c>
      <c r="O1740">
        <v>0.90291545189504396</v>
      </c>
      <c r="P1740" t="s">
        <v>5293</v>
      </c>
      <c r="Q1740" t="s">
        <v>5294</v>
      </c>
      <c r="R1740" t="s">
        <v>5295</v>
      </c>
      <c r="S1740" t="s">
        <v>5296</v>
      </c>
      <c r="T1740" t="s">
        <v>5297</v>
      </c>
      <c r="U1740" t="s">
        <v>5298</v>
      </c>
      <c r="V1740" t="s">
        <v>5299</v>
      </c>
      <c r="W1740" t="s">
        <v>5300</v>
      </c>
      <c r="X1740" t="s">
        <v>5299</v>
      </c>
      <c r="Y1740" t="s">
        <v>1782</v>
      </c>
      <c r="Z1740" t="s">
        <v>2868</v>
      </c>
      <c r="AA1740" t="s">
        <v>2869</v>
      </c>
      <c r="AB1740" t="s">
        <v>2868</v>
      </c>
      <c r="AC1740" t="s">
        <v>1111</v>
      </c>
      <c r="AD1740" t="s">
        <v>245</v>
      </c>
      <c r="AE1740" t="s">
        <v>5301</v>
      </c>
      <c r="AF1740" t="s">
        <v>5304</v>
      </c>
    </row>
    <row r="1741" spans="1:32" hidden="1" x14ac:dyDescent="0.35">
      <c r="A1741">
        <v>2563</v>
      </c>
      <c r="B1741" t="s">
        <v>5292</v>
      </c>
      <c r="C1741" t="s">
        <v>72</v>
      </c>
      <c r="D1741" t="s">
        <v>45</v>
      </c>
      <c r="E1741">
        <v>1303</v>
      </c>
      <c r="F1741">
        <v>5</v>
      </c>
      <c r="G1741">
        <v>5</v>
      </c>
      <c r="H1741">
        <v>1</v>
      </c>
      <c r="I1741">
        <v>1</v>
      </c>
      <c r="J1741">
        <v>0.92949852507374597</v>
      </c>
      <c r="K1741">
        <v>0.98842002966600295</v>
      </c>
      <c r="L1741">
        <v>0.95805419626128496</v>
      </c>
      <c r="M1741">
        <v>0.86297376093294498</v>
      </c>
      <c r="N1741">
        <v>1</v>
      </c>
      <c r="O1741">
        <v>0.90291545189504396</v>
      </c>
      <c r="P1741" t="s">
        <v>5293</v>
      </c>
      <c r="Q1741" t="s">
        <v>5294</v>
      </c>
      <c r="R1741" t="s">
        <v>5295</v>
      </c>
      <c r="S1741" t="s">
        <v>5296</v>
      </c>
      <c r="T1741" t="s">
        <v>5297</v>
      </c>
      <c r="U1741" t="s">
        <v>5298</v>
      </c>
      <c r="V1741" t="s">
        <v>5299</v>
      </c>
      <c r="W1741" t="s">
        <v>5300</v>
      </c>
      <c r="X1741" t="s">
        <v>5299</v>
      </c>
      <c r="Y1741" t="s">
        <v>1782</v>
      </c>
      <c r="Z1741" t="s">
        <v>2868</v>
      </c>
      <c r="AA1741" t="s">
        <v>2869</v>
      </c>
      <c r="AB1741" t="s">
        <v>2868</v>
      </c>
      <c r="AC1741" t="s">
        <v>1111</v>
      </c>
      <c r="AD1741" t="s">
        <v>245</v>
      </c>
      <c r="AE1741" t="s">
        <v>5301</v>
      </c>
      <c r="AF1741" t="s">
        <v>5305</v>
      </c>
    </row>
    <row r="1742" spans="1:32" hidden="1" x14ac:dyDescent="0.35">
      <c r="A1742">
        <v>3256</v>
      </c>
      <c r="B1742" t="s">
        <v>6690</v>
      </c>
      <c r="C1742" t="s">
        <v>72</v>
      </c>
      <c r="D1742" t="s">
        <v>62</v>
      </c>
      <c r="E1742">
        <v>1816</v>
      </c>
      <c r="F1742">
        <v>5</v>
      </c>
      <c r="G1742">
        <v>5</v>
      </c>
      <c r="H1742">
        <v>1</v>
      </c>
      <c r="I1742">
        <v>1</v>
      </c>
      <c r="J1742">
        <v>0.87946685051131801</v>
      </c>
      <c r="K1742">
        <v>0.98358353510895902</v>
      </c>
      <c r="L1742">
        <v>0.92861590917098602</v>
      </c>
      <c r="M1742">
        <v>0.74915254237288098</v>
      </c>
      <c r="N1742">
        <v>1</v>
      </c>
      <c r="O1742">
        <v>0.82813559322033903</v>
      </c>
      <c r="P1742" t="s">
        <v>6691</v>
      </c>
      <c r="Q1742" t="s">
        <v>6692</v>
      </c>
      <c r="R1742" t="s">
        <v>6699</v>
      </c>
      <c r="S1742" t="s">
        <v>6700</v>
      </c>
      <c r="T1742" t="s">
        <v>6693</v>
      </c>
      <c r="U1742" t="s">
        <v>6694</v>
      </c>
      <c r="V1742" t="s">
        <v>6701</v>
      </c>
      <c r="W1742" t="s">
        <v>6702</v>
      </c>
      <c r="Z1742" t="s">
        <v>3855</v>
      </c>
      <c r="AA1742" t="s">
        <v>3856</v>
      </c>
      <c r="AB1742" t="s">
        <v>3855</v>
      </c>
      <c r="AC1742" t="s">
        <v>729</v>
      </c>
      <c r="AD1742" t="s">
        <v>219</v>
      </c>
      <c r="AE1742" t="s">
        <v>3857</v>
      </c>
      <c r="AF1742" t="s">
        <v>6703</v>
      </c>
    </row>
    <row r="1743" spans="1:32" hidden="1" x14ac:dyDescent="0.35">
      <c r="A1743">
        <v>3257</v>
      </c>
      <c r="B1743" t="s">
        <v>6690</v>
      </c>
      <c r="C1743" t="s">
        <v>72</v>
      </c>
      <c r="D1743" t="s">
        <v>34</v>
      </c>
      <c r="E1743">
        <v>2149</v>
      </c>
      <c r="F1743">
        <v>5</v>
      </c>
      <c r="G1743">
        <v>5</v>
      </c>
      <c r="H1743">
        <v>1</v>
      </c>
      <c r="I1743">
        <v>1</v>
      </c>
      <c r="J1743">
        <v>0.87946685051131801</v>
      </c>
      <c r="K1743">
        <v>0.98358353510895902</v>
      </c>
      <c r="L1743">
        <v>0.92861590917098602</v>
      </c>
      <c r="M1743">
        <v>0.74915254237288098</v>
      </c>
      <c r="N1743">
        <v>1</v>
      </c>
      <c r="O1743">
        <v>0.82813559322033903</v>
      </c>
      <c r="P1743" t="s">
        <v>6691</v>
      </c>
      <c r="Q1743" t="s">
        <v>6692</v>
      </c>
      <c r="R1743" t="s">
        <v>6699</v>
      </c>
      <c r="S1743" t="s">
        <v>6700</v>
      </c>
      <c r="T1743" t="s">
        <v>6693</v>
      </c>
      <c r="U1743" t="s">
        <v>6694</v>
      </c>
      <c r="V1743" t="s">
        <v>6701</v>
      </c>
      <c r="W1743" t="s">
        <v>6702</v>
      </c>
      <c r="Z1743" t="s">
        <v>3855</v>
      </c>
      <c r="AA1743" t="s">
        <v>3856</v>
      </c>
      <c r="AB1743" t="s">
        <v>3855</v>
      </c>
      <c r="AC1743" t="s">
        <v>729</v>
      </c>
      <c r="AD1743" t="s">
        <v>219</v>
      </c>
      <c r="AE1743" t="s">
        <v>3857</v>
      </c>
      <c r="AF1743" t="s">
        <v>6704</v>
      </c>
    </row>
    <row r="1744" spans="1:32" hidden="1" x14ac:dyDescent="0.35">
      <c r="A1744">
        <v>3258</v>
      </c>
      <c r="B1744" t="s">
        <v>6690</v>
      </c>
      <c r="C1744" t="s">
        <v>72</v>
      </c>
      <c r="D1744" t="s">
        <v>45</v>
      </c>
      <c r="E1744">
        <v>724</v>
      </c>
      <c r="F1744">
        <v>5</v>
      </c>
      <c r="G1744">
        <v>5</v>
      </c>
      <c r="H1744">
        <v>1</v>
      </c>
      <c r="I1744">
        <v>1</v>
      </c>
      <c r="J1744">
        <v>0.87946685051131801</v>
      </c>
      <c r="K1744">
        <v>0.98358353510895902</v>
      </c>
      <c r="L1744">
        <v>0.92861590917098602</v>
      </c>
      <c r="M1744">
        <v>0.74915254237288098</v>
      </c>
      <c r="N1744">
        <v>1</v>
      </c>
      <c r="O1744">
        <v>0.82813559322033903</v>
      </c>
      <c r="P1744" t="s">
        <v>6691</v>
      </c>
      <c r="Q1744" t="s">
        <v>6692</v>
      </c>
      <c r="R1744" t="s">
        <v>6699</v>
      </c>
      <c r="S1744" t="s">
        <v>6700</v>
      </c>
      <c r="T1744" t="s">
        <v>6693</v>
      </c>
      <c r="U1744" t="s">
        <v>6694</v>
      </c>
      <c r="V1744" t="s">
        <v>6701</v>
      </c>
      <c r="W1744" t="s">
        <v>6702</v>
      </c>
      <c r="Z1744" t="s">
        <v>3855</v>
      </c>
      <c r="AA1744" t="s">
        <v>3856</v>
      </c>
      <c r="AB1744" t="s">
        <v>3855</v>
      </c>
      <c r="AC1744" t="s">
        <v>729</v>
      </c>
      <c r="AD1744" t="s">
        <v>219</v>
      </c>
      <c r="AE1744" t="s">
        <v>3857</v>
      </c>
      <c r="AF1744" t="s">
        <v>6704</v>
      </c>
    </row>
    <row r="1745" spans="1:32" hidden="1" x14ac:dyDescent="0.35">
      <c r="A1745">
        <v>2349</v>
      </c>
      <c r="B1745" t="s">
        <v>4888</v>
      </c>
      <c r="C1745" t="s">
        <v>72</v>
      </c>
      <c r="D1745" t="s">
        <v>58</v>
      </c>
      <c r="E1745">
        <v>69</v>
      </c>
      <c r="F1745">
        <v>5</v>
      </c>
      <c r="G1745">
        <v>5</v>
      </c>
      <c r="H1745">
        <v>1</v>
      </c>
      <c r="I1745">
        <v>1</v>
      </c>
      <c r="J1745">
        <v>0.84359695738251494</v>
      </c>
      <c r="K1745">
        <v>0.91108356940510105</v>
      </c>
      <c r="L1745">
        <v>0.87604246509584005</v>
      </c>
      <c r="M1745">
        <v>0.66855524079320106</v>
      </c>
      <c r="N1745">
        <v>1</v>
      </c>
      <c r="O1745">
        <v>0.74192634560906501</v>
      </c>
      <c r="P1745" t="s">
        <v>4889</v>
      </c>
      <c r="Q1745" t="s">
        <v>4890</v>
      </c>
      <c r="R1745" t="s">
        <v>4891</v>
      </c>
      <c r="S1745" t="s">
        <v>4892</v>
      </c>
      <c r="T1745" t="s">
        <v>4893</v>
      </c>
      <c r="U1745" t="s">
        <v>4894</v>
      </c>
      <c r="V1745" t="s">
        <v>4895</v>
      </c>
      <c r="W1745" t="s">
        <v>4896</v>
      </c>
      <c r="AD1745" t="s">
        <v>219</v>
      </c>
      <c r="AE1745" t="s">
        <v>4897</v>
      </c>
      <c r="AF1745" t="s">
        <v>4898</v>
      </c>
    </row>
    <row r="1746" spans="1:32" hidden="1" x14ac:dyDescent="0.35">
      <c r="A1746">
        <v>2350</v>
      </c>
      <c r="B1746" t="s">
        <v>4888</v>
      </c>
      <c r="C1746" t="s">
        <v>72</v>
      </c>
      <c r="D1746" t="s">
        <v>60</v>
      </c>
      <c r="E1746">
        <v>118</v>
      </c>
      <c r="F1746">
        <v>5</v>
      </c>
      <c r="G1746">
        <v>5</v>
      </c>
      <c r="H1746">
        <v>1</v>
      </c>
      <c r="I1746">
        <v>1</v>
      </c>
      <c r="J1746">
        <v>0.84359695738251494</v>
      </c>
      <c r="K1746">
        <v>0.91108356940510105</v>
      </c>
      <c r="L1746">
        <v>0.87604246509584005</v>
      </c>
      <c r="M1746">
        <v>0.66855524079320106</v>
      </c>
      <c r="N1746">
        <v>1</v>
      </c>
      <c r="O1746">
        <v>0.74192634560906501</v>
      </c>
      <c r="P1746" t="s">
        <v>4889</v>
      </c>
      <c r="Q1746" t="s">
        <v>4890</v>
      </c>
      <c r="R1746" t="s">
        <v>4891</v>
      </c>
      <c r="S1746" t="s">
        <v>4892</v>
      </c>
      <c r="T1746" t="s">
        <v>4893</v>
      </c>
      <c r="U1746" t="s">
        <v>4894</v>
      </c>
      <c r="V1746" t="s">
        <v>4895</v>
      </c>
      <c r="W1746" t="s">
        <v>4896</v>
      </c>
      <c r="AD1746" t="s">
        <v>219</v>
      </c>
      <c r="AE1746" t="s">
        <v>4897</v>
      </c>
      <c r="AF1746" t="s">
        <v>4899</v>
      </c>
    </row>
    <row r="1747" spans="1:32" hidden="1" x14ac:dyDescent="0.35">
      <c r="A1747">
        <v>2351</v>
      </c>
      <c r="B1747" t="s">
        <v>4888</v>
      </c>
      <c r="C1747" t="s">
        <v>72</v>
      </c>
      <c r="D1747" t="s">
        <v>62</v>
      </c>
      <c r="E1747">
        <v>190</v>
      </c>
      <c r="F1747">
        <v>5</v>
      </c>
      <c r="G1747">
        <v>5</v>
      </c>
      <c r="H1747">
        <v>1</v>
      </c>
      <c r="I1747">
        <v>1</v>
      </c>
      <c r="J1747">
        <v>0.84359695738251494</v>
      </c>
      <c r="K1747">
        <v>0.91108356940510105</v>
      </c>
      <c r="L1747">
        <v>0.87604246509584005</v>
      </c>
      <c r="M1747">
        <v>0.66855524079320106</v>
      </c>
      <c r="N1747">
        <v>1</v>
      </c>
      <c r="O1747">
        <v>0.74192634560906501</v>
      </c>
      <c r="P1747" t="s">
        <v>4889</v>
      </c>
      <c r="Q1747" t="s">
        <v>4890</v>
      </c>
      <c r="R1747" t="s">
        <v>4891</v>
      </c>
      <c r="S1747" t="s">
        <v>4892</v>
      </c>
      <c r="T1747" t="s">
        <v>4893</v>
      </c>
      <c r="U1747" t="s">
        <v>4894</v>
      </c>
      <c r="V1747" t="s">
        <v>4895</v>
      </c>
      <c r="W1747" t="s">
        <v>4896</v>
      </c>
      <c r="AD1747" t="s">
        <v>219</v>
      </c>
      <c r="AE1747" t="s">
        <v>4897</v>
      </c>
      <c r="AF1747" t="s">
        <v>4899</v>
      </c>
    </row>
    <row r="1748" spans="1:32" hidden="1" x14ac:dyDescent="0.35">
      <c r="A1748">
        <v>2352</v>
      </c>
      <c r="B1748" t="s">
        <v>4888</v>
      </c>
      <c r="C1748" t="s">
        <v>72</v>
      </c>
      <c r="D1748" t="s">
        <v>34</v>
      </c>
      <c r="E1748">
        <v>950</v>
      </c>
      <c r="F1748">
        <v>5</v>
      </c>
      <c r="G1748">
        <v>5</v>
      </c>
      <c r="H1748">
        <v>1</v>
      </c>
      <c r="I1748">
        <v>1</v>
      </c>
      <c r="J1748">
        <v>0.84359695738251494</v>
      </c>
      <c r="K1748">
        <v>0.91108356940510105</v>
      </c>
      <c r="L1748">
        <v>0.87604246509584005</v>
      </c>
      <c r="M1748">
        <v>0.66855524079320106</v>
      </c>
      <c r="N1748">
        <v>1</v>
      </c>
      <c r="O1748">
        <v>0.74192634560906501</v>
      </c>
      <c r="P1748" t="s">
        <v>4889</v>
      </c>
      <c r="Q1748" t="s">
        <v>4890</v>
      </c>
      <c r="R1748" t="s">
        <v>4891</v>
      </c>
      <c r="S1748" t="s">
        <v>4892</v>
      </c>
      <c r="T1748" t="s">
        <v>4893</v>
      </c>
      <c r="U1748" t="s">
        <v>4894</v>
      </c>
      <c r="V1748" t="s">
        <v>4895</v>
      </c>
      <c r="W1748" t="s">
        <v>4896</v>
      </c>
      <c r="AD1748" t="s">
        <v>219</v>
      </c>
      <c r="AE1748" t="s">
        <v>4897</v>
      </c>
      <c r="AF1748" t="s">
        <v>4900</v>
      </c>
    </row>
    <row r="1749" spans="1:32" hidden="1" x14ac:dyDescent="0.35">
      <c r="A1749">
        <v>2353</v>
      </c>
      <c r="B1749" t="s">
        <v>4888</v>
      </c>
      <c r="C1749" t="s">
        <v>72</v>
      </c>
      <c r="D1749" t="s">
        <v>45</v>
      </c>
      <c r="E1749">
        <v>2207</v>
      </c>
      <c r="F1749">
        <v>5</v>
      </c>
      <c r="G1749">
        <v>5</v>
      </c>
      <c r="H1749">
        <v>1</v>
      </c>
      <c r="I1749">
        <v>1</v>
      </c>
      <c r="J1749">
        <v>0.84359695738251494</v>
      </c>
      <c r="K1749">
        <v>0.91108356940510105</v>
      </c>
      <c r="L1749">
        <v>0.87604246509584005</v>
      </c>
      <c r="M1749">
        <v>0.66855524079320106</v>
      </c>
      <c r="N1749">
        <v>1</v>
      </c>
      <c r="O1749">
        <v>0.74192634560906501</v>
      </c>
      <c r="P1749" t="s">
        <v>4889</v>
      </c>
      <c r="Q1749" t="s">
        <v>4890</v>
      </c>
      <c r="R1749" t="s">
        <v>4891</v>
      </c>
      <c r="S1749" t="s">
        <v>4892</v>
      </c>
      <c r="T1749" t="s">
        <v>4893</v>
      </c>
      <c r="U1749" t="s">
        <v>4894</v>
      </c>
      <c r="V1749" t="s">
        <v>4895</v>
      </c>
      <c r="W1749" t="s">
        <v>4896</v>
      </c>
      <c r="AD1749" t="s">
        <v>219</v>
      </c>
      <c r="AE1749" t="s">
        <v>4897</v>
      </c>
      <c r="AF1749" t="s">
        <v>4901</v>
      </c>
    </row>
    <row r="1750" spans="1:32" hidden="1" x14ac:dyDescent="0.35">
      <c r="A1750">
        <v>2199</v>
      </c>
      <c r="B1750" t="s">
        <v>4576</v>
      </c>
      <c r="C1750" t="s">
        <v>72</v>
      </c>
      <c r="D1750" t="s">
        <v>58</v>
      </c>
      <c r="E1750">
        <v>102</v>
      </c>
      <c r="F1750">
        <v>5</v>
      </c>
      <c r="G1750">
        <v>5</v>
      </c>
      <c r="H1750">
        <v>1</v>
      </c>
      <c r="I1750">
        <v>1</v>
      </c>
      <c r="J1750">
        <v>0.79397281859365798</v>
      </c>
      <c r="K1750">
        <v>0.94905112289021998</v>
      </c>
      <c r="L1750">
        <v>0.864613247238743</v>
      </c>
      <c r="M1750">
        <v>0.57089552238805996</v>
      </c>
      <c r="N1750">
        <v>1</v>
      </c>
      <c r="O1750">
        <v>0.68880597014925404</v>
      </c>
      <c r="P1750" t="s">
        <v>4577</v>
      </c>
      <c r="Q1750" t="s">
        <v>4578</v>
      </c>
      <c r="R1750" t="s">
        <v>4579</v>
      </c>
      <c r="S1750" t="s">
        <v>4580</v>
      </c>
      <c r="T1750" t="s">
        <v>4581</v>
      </c>
      <c r="U1750" t="s">
        <v>4582</v>
      </c>
      <c r="V1750" t="s">
        <v>4583</v>
      </c>
      <c r="W1750" t="s">
        <v>4584</v>
      </c>
      <c r="AD1750" t="s">
        <v>166</v>
      </c>
      <c r="AE1750" t="s">
        <v>818</v>
      </c>
      <c r="AF1750" t="s">
        <v>4585</v>
      </c>
    </row>
    <row r="1751" spans="1:32" hidden="1" x14ac:dyDescent="0.35">
      <c r="A1751">
        <v>2200</v>
      </c>
      <c r="B1751" t="s">
        <v>4576</v>
      </c>
      <c r="C1751" t="s">
        <v>72</v>
      </c>
      <c r="D1751" t="s">
        <v>60</v>
      </c>
      <c r="E1751">
        <v>197</v>
      </c>
      <c r="F1751">
        <v>5</v>
      </c>
      <c r="G1751">
        <v>5</v>
      </c>
      <c r="H1751">
        <v>1</v>
      </c>
      <c r="I1751">
        <v>1</v>
      </c>
      <c r="J1751">
        <v>0.79397281859365798</v>
      </c>
      <c r="K1751">
        <v>0.94905112289021998</v>
      </c>
      <c r="L1751">
        <v>0.864613247238743</v>
      </c>
      <c r="M1751">
        <v>0.57089552238805996</v>
      </c>
      <c r="N1751">
        <v>1</v>
      </c>
      <c r="O1751">
        <v>0.68880597014925404</v>
      </c>
      <c r="P1751" t="s">
        <v>4577</v>
      </c>
      <c r="Q1751" t="s">
        <v>4578</v>
      </c>
      <c r="R1751" t="s">
        <v>4579</v>
      </c>
      <c r="S1751" t="s">
        <v>4580</v>
      </c>
      <c r="T1751" t="s">
        <v>4581</v>
      </c>
      <c r="U1751" t="s">
        <v>4582</v>
      </c>
      <c r="V1751" t="s">
        <v>4583</v>
      </c>
      <c r="W1751" t="s">
        <v>4584</v>
      </c>
      <c r="AD1751" t="s">
        <v>166</v>
      </c>
      <c r="AE1751" t="s">
        <v>818</v>
      </c>
      <c r="AF1751" t="s">
        <v>4586</v>
      </c>
    </row>
    <row r="1752" spans="1:32" hidden="1" x14ac:dyDescent="0.35">
      <c r="A1752">
        <v>2201</v>
      </c>
      <c r="B1752" t="s">
        <v>4576</v>
      </c>
      <c r="C1752" t="s">
        <v>72</v>
      </c>
      <c r="D1752" t="s">
        <v>62</v>
      </c>
      <c r="E1752">
        <v>274</v>
      </c>
      <c r="F1752">
        <v>5</v>
      </c>
      <c r="G1752">
        <v>5</v>
      </c>
      <c r="H1752">
        <v>1</v>
      </c>
      <c r="I1752">
        <v>1</v>
      </c>
      <c r="J1752">
        <v>0.79397281859365798</v>
      </c>
      <c r="K1752">
        <v>0.94905112289021998</v>
      </c>
      <c r="L1752">
        <v>0.864613247238743</v>
      </c>
      <c r="M1752">
        <v>0.57089552238805996</v>
      </c>
      <c r="N1752">
        <v>1</v>
      </c>
      <c r="O1752">
        <v>0.68880597014925404</v>
      </c>
      <c r="P1752" t="s">
        <v>4577</v>
      </c>
      <c r="Q1752" t="s">
        <v>4578</v>
      </c>
      <c r="R1752" t="s">
        <v>4579</v>
      </c>
      <c r="S1752" t="s">
        <v>4580</v>
      </c>
      <c r="T1752" t="s">
        <v>4581</v>
      </c>
      <c r="U1752" t="s">
        <v>4582</v>
      </c>
      <c r="V1752" t="s">
        <v>4583</v>
      </c>
      <c r="W1752" t="s">
        <v>4584</v>
      </c>
      <c r="AD1752" t="s">
        <v>166</v>
      </c>
      <c r="AE1752" t="s">
        <v>818</v>
      </c>
      <c r="AF1752" t="s">
        <v>4586</v>
      </c>
    </row>
    <row r="1753" spans="1:32" hidden="1" x14ac:dyDescent="0.35">
      <c r="A1753">
        <v>2202</v>
      </c>
      <c r="B1753" t="s">
        <v>4576</v>
      </c>
      <c r="C1753" t="s">
        <v>72</v>
      </c>
      <c r="D1753" t="s">
        <v>34</v>
      </c>
      <c r="E1753">
        <v>901</v>
      </c>
      <c r="F1753">
        <v>5</v>
      </c>
      <c r="G1753">
        <v>5</v>
      </c>
      <c r="H1753">
        <v>1</v>
      </c>
      <c r="I1753">
        <v>1</v>
      </c>
      <c r="J1753">
        <v>0.79397281859365798</v>
      </c>
      <c r="K1753">
        <v>0.94905112289021998</v>
      </c>
      <c r="L1753">
        <v>0.864613247238743</v>
      </c>
      <c r="M1753">
        <v>0.57089552238805996</v>
      </c>
      <c r="N1753">
        <v>1</v>
      </c>
      <c r="O1753">
        <v>0.68880597014925404</v>
      </c>
      <c r="P1753" t="s">
        <v>4577</v>
      </c>
      <c r="Q1753" t="s">
        <v>4578</v>
      </c>
      <c r="R1753" t="s">
        <v>4579</v>
      </c>
      <c r="S1753" t="s">
        <v>4580</v>
      </c>
      <c r="T1753" t="s">
        <v>4581</v>
      </c>
      <c r="U1753" t="s">
        <v>4582</v>
      </c>
      <c r="V1753" t="s">
        <v>4583</v>
      </c>
      <c r="W1753" t="s">
        <v>4584</v>
      </c>
      <c r="AD1753" t="s">
        <v>166</v>
      </c>
      <c r="AE1753" t="s">
        <v>818</v>
      </c>
      <c r="AF1753" t="s">
        <v>4587</v>
      </c>
    </row>
    <row r="1754" spans="1:32" hidden="1" x14ac:dyDescent="0.35">
      <c r="A1754">
        <v>2203</v>
      </c>
      <c r="B1754" t="s">
        <v>4576</v>
      </c>
      <c r="C1754" t="s">
        <v>72</v>
      </c>
      <c r="D1754" t="s">
        <v>45</v>
      </c>
      <c r="E1754">
        <v>2157</v>
      </c>
      <c r="F1754">
        <v>5</v>
      </c>
      <c r="G1754">
        <v>5</v>
      </c>
      <c r="H1754">
        <v>1</v>
      </c>
      <c r="I1754">
        <v>1</v>
      </c>
      <c r="J1754">
        <v>0.79397281859365798</v>
      </c>
      <c r="K1754">
        <v>0.94905112289021998</v>
      </c>
      <c r="L1754">
        <v>0.864613247238743</v>
      </c>
      <c r="M1754">
        <v>0.57089552238805996</v>
      </c>
      <c r="N1754">
        <v>1</v>
      </c>
      <c r="O1754">
        <v>0.68880597014925404</v>
      </c>
      <c r="P1754" t="s">
        <v>4577</v>
      </c>
      <c r="Q1754" t="s">
        <v>4578</v>
      </c>
      <c r="R1754" t="s">
        <v>4579</v>
      </c>
      <c r="S1754" t="s">
        <v>4580</v>
      </c>
      <c r="T1754" t="s">
        <v>4581</v>
      </c>
      <c r="U1754" t="s">
        <v>4582</v>
      </c>
      <c r="V1754" t="s">
        <v>4583</v>
      </c>
      <c r="W1754" t="s">
        <v>4584</v>
      </c>
      <c r="AD1754" t="s">
        <v>166</v>
      </c>
      <c r="AE1754" t="s">
        <v>818</v>
      </c>
      <c r="AF1754" t="s">
        <v>4587</v>
      </c>
    </row>
    <row r="1755" spans="1:32" hidden="1" x14ac:dyDescent="0.35">
      <c r="A1755">
        <v>3799</v>
      </c>
      <c r="B1755" t="s">
        <v>7849</v>
      </c>
      <c r="C1755" t="s">
        <v>72</v>
      </c>
      <c r="D1755" t="s">
        <v>58</v>
      </c>
      <c r="E1755">
        <v>104</v>
      </c>
      <c r="F1755">
        <v>5</v>
      </c>
      <c r="G1755">
        <v>5</v>
      </c>
      <c r="H1755">
        <v>1</v>
      </c>
      <c r="I1755">
        <v>1</v>
      </c>
      <c r="J1755">
        <v>0.77217713227965301</v>
      </c>
      <c r="K1755">
        <v>0.90865136097329002</v>
      </c>
      <c r="L1755">
        <v>0.83487376014248804</v>
      </c>
      <c r="M1755">
        <v>0.52463768115942</v>
      </c>
      <c r="N1755">
        <v>0.99903381642512101</v>
      </c>
      <c r="O1755">
        <v>0.65024154589371996</v>
      </c>
      <c r="P1755" t="s">
        <v>4577</v>
      </c>
      <c r="Q1755" t="s">
        <v>4578</v>
      </c>
      <c r="R1755" t="s">
        <v>4579</v>
      </c>
      <c r="S1755" t="s">
        <v>4580</v>
      </c>
      <c r="T1755" t="s">
        <v>7850</v>
      </c>
      <c r="U1755" t="s">
        <v>7851</v>
      </c>
      <c r="V1755" t="s">
        <v>7852</v>
      </c>
      <c r="W1755" t="s">
        <v>7853</v>
      </c>
      <c r="X1755" t="s">
        <v>7852</v>
      </c>
      <c r="Y1755" t="s">
        <v>7854</v>
      </c>
      <c r="AD1755" t="s">
        <v>166</v>
      </c>
      <c r="AE1755" t="s">
        <v>818</v>
      </c>
      <c r="AF1755" t="s">
        <v>7855</v>
      </c>
    </row>
    <row r="1756" spans="1:32" hidden="1" x14ac:dyDescent="0.35">
      <c r="A1756">
        <v>3800</v>
      </c>
      <c r="B1756" t="s">
        <v>7849</v>
      </c>
      <c r="C1756" t="s">
        <v>72</v>
      </c>
      <c r="D1756" t="s">
        <v>60</v>
      </c>
      <c r="E1756">
        <v>199</v>
      </c>
      <c r="F1756">
        <v>5</v>
      </c>
      <c r="G1756">
        <v>5</v>
      </c>
      <c r="H1756">
        <v>1</v>
      </c>
      <c r="I1756">
        <v>1</v>
      </c>
      <c r="J1756">
        <v>0.77217713227965301</v>
      </c>
      <c r="K1756">
        <v>0.90865136097329002</v>
      </c>
      <c r="L1756">
        <v>0.83487376014248804</v>
      </c>
      <c r="M1756">
        <v>0.52463768115942</v>
      </c>
      <c r="N1756">
        <v>0.99903381642512101</v>
      </c>
      <c r="O1756">
        <v>0.65024154589371996</v>
      </c>
      <c r="P1756" t="s">
        <v>4577</v>
      </c>
      <c r="Q1756" t="s">
        <v>4578</v>
      </c>
      <c r="R1756" t="s">
        <v>4579</v>
      </c>
      <c r="S1756" t="s">
        <v>4580</v>
      </c>
      <c r="T1756" t="s">
        <v>7850</v>
      </c>
      <c r="U1756" t="s">
        <v>7851</v>
      </c>
      <c r="V1756" t="s">
        <v>7852</v>
      </c>
      <c r="W1756" t="s">
        <v>7853</v>
      </c>
      <c r="X1756" t="s">
        <v>7852</v>
      </c>
      <c r="Y1756" t="s">
        <v>7854</v>
      </c>
      <c r="AD1756" t="s">
        <v>166</v>
      </c>
      <c r="AE1756" t="s">
        <v>818</v>
      </c>
      <c r="AF1756" t="s">
        <v>7856</v>
      </c>
    </row>
    <row r="1757" spans="1:32" hidden="1" x14ac:dyDescent="0.35">
      <c r="A1757">
        <v>3801</v>
      </c>
      <c r="B1757" t="s">
        <v>7849</v>
      </c>
      <c r="C1757" t="s">
        <v>72</v>
      </c>
      <c r="D1757" t="s">
        <v>62</v>
      </c>
      <c r="E1757">
        <v>276</v>
      </c>
      <c r="F1757">
        <v>5</v>
      </c>
      <c r="G1757">
        <v>5</v>
      </c>
      <c r="H1757">
        <v>1</v>
      </c>
      <c r="I1757">
        <v>1</v>
      </c>
      <c r="J1757">
        <v>0.77217713227965301</v>
      </c>
      <c r="K1757">
        <v>0.90865136097329002</v>
      </c>
      <c r="L1757">
        <v>0.83487376014248804</v>
      </c>
      <c r="M1757">
        <v>0.52463768115942</v>
      </c>
      <c r="N1757">
        <v>0.99903381642512101</v>
      </c>
      <c r="O1757">
        <v>0.65024154589371996</v>
      </c>
      <c r="P1757" t="s">
        <v>4577</v>
      </c>
      <c r="Q1757" t="s">
        <v>4578</v>
      </c>
      <c r="R1757" t="s">
        <v>4579</v>
      </c>
      <c r="S1757" t="s">
        <v>4580</v>
      </c>
      <c r="T1757" t="s">
        <v>7850</v>
      </c>
      <c r="U1757" t="s">
        <v>7851</v>
      </c>
      <c r="V1757" t="s">
        <v>7852</v>
      </c>
      <c r="W1757" t="s">
        <v>7853</v>
      </c>
      <c r="X1757" t="s">
        <v>7852</v>
      </c>
      <c r="Y1757" t="s">
        <v>7854</v>
      </c>
      <c r="AD1757" t="s">
        <v>166</v>
      </c>
      <c r="AE1757" t="s">
        <v>818</v>
      </c>
      <c r="AF1757" t="s">
        <v>7857</v>
      </c>
    </row>
    <row r="1758" spans="1:32" hidden="1" x14ac:dyDescent="0.35">
      <c r="A1758">
        <v>3802</v>
      </c>
      <c r="B1758" t="s">
        <v>7849</v>
      </c>
      <c r="C1758" t="s">
        <v>72</v>
      </c>
      <c r="D1758" t="s">
        <v>34</v>
      </c>
      <c r="E1758">
        <v>899</v>
      </c>
      <c r="F1758">
        <v>5</v>
      </c>
      <c r="G1758">
        <v>5</v>
      </c>
      <c r="H1758">
        <v>1</v>
      </c>
      <c r="I1758">
        <v>1</v>
      </c>
      <c r="J1758">
        <v>0.77217713227965301</v>
      </c>
      <c r="K1758">
        <v>0.90865136097329002</v>
      </c>
      <c r="L1758">
        <v>0.83487376014248804</v>
      </c>
      <c r="M1758">
        <v>0.52463768115942</v>
      </c>
      <c r="N1758">
        <v>0.99903381642512101</v>
      </c>
      <c r="O1758">
        <v>0.65024154589371996</v>
      </c>
      <c r="P1758" t="s">
        <v>4577</v>
      </c>
      <c r="Q1758" t="s">
        <v>4578</v>
      </c>
      <c r="R1758" t="s">
        <v>4579</v>
      </c>
      <c r="S1758" t="s">
        <v>4580</v>
      </c>
      <c r="T1758" t="s">
        <v>7850</v>
      </c>
      <c r="U1758" t="s">
        <v>7851</v>
      </c>
      <c r="V1758" t="s">
        <v>7852</v>
      </c>
      <c r="W1758" t="s">
        <v>7853</v>
      </c>
      <c r="X1758" t="s">
        <v>7852</v>
      </c>
      <c r="Y1758" t="s">
        <v>7854</v>
      </c>
      <c r="AD1758" t="s">
        <v>166</v>
      </c>
      <c r="AE1758" t="s">
        <v>818</v>
      </c>
      <c r="AF1758" t="s">
        <v>7858</v>
      </c>
    </row>
    <row r="1759" spans="1:32" hidden="1" x14ac:dyDescent="0.35">
      <c r="A1759">
        <v>3803</v>
      </c>
      <c r="B1759" t="s">
        <v>7849</v>
      </c>
      <c r="C1759" t="s">
        <v>72</v>
      </c>
      <c r="D1759" t="s">
        <v>45</v>
      </c>
      <c r="E1759">
        <v>2155</v>
      </c>
      <c r="F1759">
        <v>5</v>
      </c>
      <c r="G1759">
        <v>5</v>
      </c>
      <c r="H1759">
        <v>1</v>
      </c>
      <c r="I1759">
        <v>1</v>
      </c>
      <c r="J1759">
        <v>0.77217713227965301</v>
      </c>
      <c r="K1759">
        <v>0.90865136097329002</v>
      </c>
      <c r="L1759">
        <v>0.83487376014248804</v>
      </c>
      <c r="M1759">
        <v>0.52463768115942</v>
      </c>
      <c r="N1759">
        <v>0.99903381642512101</v>
      </c>
      <c r="O1759">
        <v>0.65024154589371996</v>
      </c>
      <c r="P1759" t="s">
        <v>4577</v>
      </c>
      <c r="Q1759" t="s">
        <v>4578</v>
      </c>
      <c r="R1759" t="s">
        <v>4579</v>
      </c>
      <c r="S1759" t="s">
        <v>4580</v>
      </c>
      <c r="T1759" t="s">
        <v>7850</v>
      </c>
      <c r="U1759" t="s">
        <v>7851</v>
      </c>
      <c r="V1759" t="s">
        <v>7852</v>
      </c>
      <c r="W1759" t="s">
        <v>7853</v>
      </c>
      <c r="X1759" t="s">
        <v>7852</v>
      </c>
      <c r="Y1759" t="s">
        <v>7854</v>
      </c>
      <c r="AD1759" t="s">
        <v>166</v>
      </c>
      <c r="AE1759" t="s">
        <v>818</v>
      </c>
      <c r="AF1759" t="s">
        <v>7859</v>
      </c>
    </row>
    <row r="1760" spans="1:32" hidden="1" x14ac:dyDescent="0.35">
      <c r="A1760">
        <v>343</v>
      </c>
      <c r="B1760" t="s">
        <v>610</v>
      </c>
      <c r="C1760" t="s">
        <v>72</v>
      </c>
      <c r="D1760" t="s">
        <v>58</v>
      </c>
      <c r="E1760">
        <v>88</v>
      </c>
      <c r="F1760">
        <v>5</v>
      </c>
      <c r="G1760">
        <v>6</v>
      </c>
      <c r="H1760">
        <v>2</v>
      </c>
      <c r="I1760">
        <v>0</v>
      </c>
      <c r="J1760">
        <v>0.82581982382115604</v>
      </c>
      <c r="K1760">
        <v>0.81913631149373201</v>
      </c>
      <c r="L1760">
        <v>0.822464489989301</v>
      </c>
      <c r="M1760">
        <v>0.114754098360656</v>
      </c>
      <c r="N1760">
        <v>1</v>
      </c>
      <c r="O1760">
        <v>0.55316159250585495</v>
      </c>
      <c r="P1760" t="s">
        <v>611</v>
      </c>
      <c r="Q1760" t="s">
        <v>612</v>
      </c>
      <c r="R1760" t="s">
        <v>613</v>
      </c>
      <c r="S1760" t="s">
        <v>614</v>
      </c>
      <c r="T1760" t="s">
        <v>615</v>
      </c>
      <c r="U1760" t="s">
        <v>616</v>
      </c>
      <c r="V1760" t="s">
        <v>617</v>
      </c>
      <c r="W1760" t="s">
        <v>618</v>
      </c>
      <c r="X1760" t="s">
        <v>617</v>
      </c>
      <c r="Y1760" t="s">
        <v>619</v>
      </c>
      <c r="AD1760" t="s">
        <v>219</v>
      </c>
      <c r="AE1760" t="s">
        <v>620</v>
      </c>
      <c r="AF1760" t="s">
        <v>621</v>
      </c>
    </row>
    <row r="1761" spans="1:32" hidden="1" x14ac:dyDescent="0.35">
      <c r="A1761">
        <v>344</v>
      </c>
      <c r="B1761" t="s">
        <v>610</v>
      </c>
      <c r="C1761" t="s">
        <v>72</v>
      </c>
      <c r="D1761" t="s">
        <v>58</v>
      </c>
      <c r="E1761">
        <v>426</v>
      </c>
      <c r="F1761">
        <v>5</v>
      </c>
      <c r="G1761">
        <v>6</v>
      </c>
      <c r="H1761">
        <v>2</v>
      </c>
      <c r="I1761">
        <v>0</v>
      </c>
      <c r="J1761">
        <v>0.82581982382115604</v>
      </c>
      <c r="K1761">
        <v>0.81913631149373201</v>
      </c>
      <c r="L1761">
        <v>0.822464489989301</v>
      </c>
      <c r="M1761">
        <v>0.114754098360656</v>
      </c>
      <c r="N1761">
        <v>1</v>
      </c>
      <c r="O1761">
        <v>0.55316159250585495</v>
      </c>
      <c r="P1761" t="s">
        <v>611</v>
      </c>
      <c r="Q1761" t="s">
        <v>612</v>
      </c>
      <c r="R1761" t="s">
        <v>613</v>
      </c>
      <c r="S1761" t="s">
        <v>614</v>
      </c>
      <c r="V1761" t="s">
        <v>617</v>
      </c>
      <c r="W1761" t="s">
        <v>618</v>
      </c>
      <c r="X1761" t="s">
        <v>617</v>
      </c>
      <c r="Y1761" t="s">
        <v>619</v>
      </c>
      <c r="AF1761" t="s">
        <v>622</v>
      </c>
    </row>
    <row r="1762" spans="1:32" hidden="1" x14ac:dyDescent="0.35">
      <c r="A1762">
        <v>345</v>
      </c>
      <c r="B1762" t="s">
        <v>610</v>
      </c>
      <c r="C1762" t="s">
        <v>72</v>
      </c>
      <c r="D1762" t="s">
        <v>60</v>
      </c>
      <c r="E1762">
        <v>2501</v>
      </c>
      <c r="F1762">
        <v>5</v>
      </c>
      <c r="G1762">
        <v>6</v>
      </c>
      <c r="H1762">
        <v>2</v>
      </c>
      <c r="I1762">
        <v>0</v>
      </c>
      <c r="J1762">
        <v>0.82581982382115604</v>
      </c>
      <c r="K1762">
        <v>0.81913631149373201</v>
      </c>
      <c r="L1762">
        <v>0.822464489989301</v>
      </c>
      <c r="M1762">
        <v>0.114754098360656</v>
      </c>
      <c r="N1762">
        <v>1</v>
      </c>
      <c r="O1762">
        <v>0.55316159250585495</v>
      </c>
      <c r="P1762" t="s">
        <v>611</v>
      </c>
      <c r="Q1762" t="s">
        <v>612</v>
      </c>
      <c r="R1762" t="s">
        <v>613</v>
      </c>
      <c r="S1762" t="s">
        <v>614</v>
      </c>
      <c r="T1762" t="s">
        <v>615</v>
      </c>
      <c r="U1762" t="s">
        <v>616</v>
      </c>
      <c r="V1762" t="s">
        <v>617</v>
      </c>
      <c r="W1762" t="s">
        <v>618</v>
      </c>
      <c r="X1762" t="s">
        <v>617</v>
      </c>
      <c r="Y1762" t="s">
        <v>619</v>
      </c>
      <c r="AD1762" t="s">
        <v>219</v>
      </c>
      <c r="AE1762" t="s">
        <v>620</v>
      </c>
      <c r="AF1762" t="s">
        <v>623</v>
      </c>
    </row>
    <row r="1763" spans="1:32" hidden="1" x14ac:dyDescent="0.35">
      <c r="A1763">
        <v>346</v>
      </c>
      <c r="B1763" t="s">
        <v>610</v>
      </c>
      <c r="C1763" t="s">
        <v>72</v>
      </c>
      <c r="D1763" t="s">
        <v>62</v>
      </c>
      <c r="E1763">
        <v>28</v>
      </c>
      <c r="F1763">
        <v>5</v>
      </c>
      <c r="G1763">
        <v>6</v>
      </c>
      <c r="H1763">
        <v>2</v>
      </c>
      <c r="I1763">
        <v>0</v>
      </c>
      <c r="J1763">
        <v>0.82581982382115604</v>
      </c>
      <c r="K1763">
        <v>0.81913631149373201</v>
      </c>
      <c r="L1763">
        <v>0.822464489989301</v>
      </c>
      <c r="M1763">
        <v>0.114754098360656</v>
      </c>
      <c r="N1763">
        <v>1</v>
      </c>
      <c r="O1763">
        <v>0.55316159250585495</v>
      </c>
      <c r="P1763" t="s">
        <v>611</v>
      </c>
      <c r="Q1763" t="s">
        <v>612</v>
      </c>
      <c r="R1763" t="s">
        <v>613</v>
      </c>
      <c r="S1763" t="s">
        <v>614</v>
      </c>
      <c r="T1763" t="s">
        <v>615</v>
      </c>
      <c r="U1763" t="s">
        <v>616</v>
      </c>
      <c r="V1763" t="s">
        <v>617</v>
      </c>
      <c r="W1763" t="s">
        <v>618</v>
      </c>
      <c r="X1763" t="s">
        <v>617</v>
      </c>
      <c r="Y1763" t="s">
        <v>619</v>
      </c>
      <c r="AD1763" t="s">
        <v>219</v>
      </c>
      <c r="AE1763" t="s">
        <v>620</v>
      </c>
      <c r="AF1763" t="s">
        <v>623</v>
      </c>
    </row>
    <row r="1764" spans="1:32" hidden="1" x14ac:dyDescent="0.35">
      <c r="A1764">
        <v>347</v>
      </c>
      <c r="B1764" t="s">
        <v>610</v>
      </c>
      <c r="C1764" t="s">
        <v>72</v>
      </c>
      <c r="D1764" t="s">
        <v>34</v>
      </c>
      <c r="E1764">
        <v>994</v>
      </c>
      <c r="F1764">
        <v>5</v>
      </c>
      <c r="G1764">
        <v>6</v>
      </c>
      <c r="H1764">
        <v>2</v>
      </c>
      <c r="I1764">
        <v>0</v>
      </c>
      <c r="J1764">
        <v>0.82581982382115604</v>
      </c>
      <c r="K1764">
        <v>0.81913631149373201</v>
      </c>
      <c r="L1764">
        <v>0.822464489989301</v>
      </c>
      <c r="M1764">
        <v>0.114754098360656</v>
      </c>
      <c r="N1764">
        <v>1</v>
      </c>
      <c r="O1764">
        <v>0.55316159250585495</v>
      </c>
      <c r="P1764" t="s">
        <v>611</v>
      </c>
      <c r="Q1764" t="s">
        <v>612</v>
      </c>
      <c r="R1764" t="s">
        <v>613</v>
      </c>
      <c r="S1764" t="s">
        <v>614</v>
      </c>
      <c r="T1764" t="s">
        <v>615</v>
      </c>
      <c r="U1764" t="s">
        <v>616</v>
      </c>
      <c r="V1764" t="s">
        <v>617</v>
      </c>
      <c r="W1764" t="s">
        <v>618</v>
      </c>
      <c r="X1764" t="s">
        <v>617</v>
      </c>
      <c r="Y1764" t="s">
        <v>619</v>
      </c>
      <c r="AD1764" t="s">
        <v>219</v>
      </c>
      <c r="AE1764" t="s">
        <v>620</v>
      </c>
      <c r="AF1764" t="s">
        <v>624</v>
      </c>
    </row>
    <row r="1765" spans="1:32" hidden="1" x14ac:dyDescent="0.35">
      <c r="A1765">
        <v>348</v>
      </c>
      <c r="B1765" t="s">
        <v>610</v>
      </c>
      <c r="C1765" t="s">
        <v>72</v>
      </c>
      <c r="D1765" t="s">
        <v>45</v>
      </c>
      <c r="E1765">
        <v>2248</v>
      </c>
      <c r="F1765">
        <v>5</v>
      </c>
      <c r="G1765">
        <v>6</v>
      </c>
      <c r="H1765">
        <v>2</v>
      </c>
      <c r="I1765">
        <v>0</v>
      </c>
      <c r="J1765">
        <v>0.82581982382115604</v>
      </c>
      <c r="K1765">
        <v>0.81913631149373201</v>
      </c>
      <c r="L1765">
        <v>0.822464489989301</v>
      </c>
      <c r="M1765">
        <v>0.114754098360656</v>
      </c>
      <c r="N1765">
        <v>1</v>
      </c>
      <c r="O1765">
        <v>0.55316159250585495</v>
      </c>
      <c r="P1765" t="s">
        <v>611</v>
      </c>
      <c r="Q1765" t="s">
        <v>612</v>
      </c>
      <c r="R1765" t="s">
        <v>613</v>
      </c>
      <c r="S1765" t="s">
        <v>614</v>
      </c>
      <c r="T1765" t="s">
        <v>615</v>
      </c>
      <c r="U1765" t="s">
        <v>616</v>
      </c>
      <c r="V1765" t="s">
        <v>617</v>
      </c>
      <c r="W1765" t="s">
        <v>618</v>
      </c>
      <c r="X1765" t="s">
        <v>617</v>
      </c>
      <c r="Y1765" t="s">
        <v>619</v>
      </c>
      <c r="AD1765" t="s">
        <v>219</v>
      </c>
      <c r="AE1765" t="s">
        <v>620</v>
      </c>
      <c r="AF1765" t="s">
        <v>624</v>
      </c>
    </row>
    <row r="1766" spans="1:32" hidden="1" x14ac:dyDescent="0.35">
      <c r="A1766">
        <v>899</v>
      </c>
      <c r="B1766" t="s">
        <v>1866</v>
      </c>
      <c r="C1766" t="s">
        <v>72</v>
      </c>
      <c r="D1766" t="s">
        <v>58</v>
      </c>
      <c r="E1766">
        <v>186</v>
      </c>
      <c r="F1766">
        <v>5</v>
      </c>
      <c r="G1766">
        <v>5</v>
      </c>
      <c r="H1766">
        <v>1</v>
      </c>
      <c r="I1766">
        <v>1</v>
      </c>
      <c r="J1766">
        <v>0.78001379223873102</v>
      </c>
      <c r="K1766">
        <v>0.94897886427297995</v>
      </c>
      <c r="L1766">
        <v>0.856240308353163</v>
      </c>
      <c r="M1766">
        <v>0.60071301247771802</v>
      </c>
      <c r="N1766">
        <v>1</v>
      </c>
      <c r="O1766">
        <v>0.69108734402852101</v>
      </c>
      <c r="P1766" t="s">
        <v>1867</v>
      </c>
      <c r="Q1766" t="s">
        <v>1868</v>
      </c>
      <c r="R1766" t="s">
        <v>1869</v>
      </c>
      <c r="S1766" t="s">
        <v>1870</v>
      </c>
      <c r="T1766" t="s">
        <v>1871</v>
      </c>
      <c r="U1766" t="s">
        <v>1872</v>
      </c>
      <c r="V1766" t="s">
        <v>1873</v>
      </c>
      <c r="W1766" t="s">
        <v>1874</v>
      </c>
      <c r="AD1766" t="s">
        <v>410</v>
      </c>
      <c r="AE1766" t="s">
        <v>1637</v>
      </c>
      <c r="AF1766" t="s">
        <v>1875</v>
      </c>
    </row>
    <row r="1767" spans="1:32" hidden="1" x14ac:dyDescent="0.35">
      <c r="A1767">
        <v>900</v>
      </c>
      <c r="B1767" t="s">
        <v>1866</v>
      </c>
      <c r="C1767" t="s">
        <v>72</v>
      </c>
      <c r="D1767" t="s">
        <v>60</v>
      </c>
      <c r="E1767">
        <v>322</v>
      </c>
      <c r="F1767">
        <v>5</v>
      </c>
      <c r="G1767">
        <v>5</v>
      </c>
      <c r="H1767">
        <v>1</v>
      </c>
      <c r="I1767">
        <v>1</v>
      </c>
      <c r="J1767">
        <v>0.78001379223873102</v>
      </c>
      <c r="K1767">
        <v>0.94897886427297995</v>
      </c>
      <c r="L1767">
        <v>0.856240308353163</v>
      </c>
      <c r="M1767">
        <v>0.60071301247771802</v>
      </c>
      <c r="N1767">
        <v>1</v>
      </c>
      <c r="O1767">
        <v>0.69108734402852101</v>
      </c>
      <c r="P1767" t="s">
        <v>1867</v>
      </c>
      <c r="Q1767" t="s">
        <v>1868</v>
      </c>
      <c r="R1767" t="s">
        <v>1869</v>
      </c>
      <c r="S1767" t="s">
        <v>1870</v>
      </c>
      <c r="T1767" t="s">
        <v>1871</v>
      </c>
      <c r="U1767" t="s">
        <v>1872</v>
      </c>
      <c r="V1767" t="s">
        <v>1873</v>
      </c>
      <c r="W1767" t="s">
        <v>1874</v>
      </c>
      <c r="AD1767" t="s">
        <v>410</v>
      </c>
      <c r="AE1767" t="s">
        <v>1637</v>
      </c>
      <c r="AF1767" t="s">
        <v>1876</v>
      </c>
    </row>
    <row r="1768" spans="1:32" hidden="1" x14ac:dyDescent="0.35">
      <c r="A1768">
        <v>901</v>
      </c>
      <c r="B1768" t="s">
        <v>1866</v>
      </c>
      <c r="C1768" t="s">
        <v>72</v>
      </c>
      <c r="D1768" t="s">
        <v>62</v>
      </c>
      <c r="E1768">
        <v>402</v>
      </c>
      <c r="F1768">
        <v>5</v>
      </c>
      <c r="G1768">
        <v>5</v>
      </c>
      <c r="H1768">
        <v>1</v>
      </c>
      <c r="I1768">
        <v>1</v>
      </c>
      <c r="J1768">
        <v>0.78001379223873102</v>
      </c>
      <c r="K1768">
        <v>0.94897886427297995</v>
      </c>
      <c r="L1768">
        <v>0.856240308353163</v>
      </c>
      <c r="M1768">
        <v>0.60071301247771802</v>
      </c>
      <c r="N1768">
        <v>1</v>
      </c>
      <c r="O1768">
        <v>0.69108734402852101</v>
      </c>
      <c r="P1768" t="s">
        <v>1867</v>
      </c>
      <c r="Q1768" t="s">
        <v>1868</v>
      </c>
      <c r="R1768" t="s">
        <v>1869</v>
      </c>
      <c r="S1768" t="s">
        <v>1870</v>
      </c>
      <c r="T1768" t="s">
        <v>1871</v>
      </c>
      <c r="U1768" t="s">
        <v>1872</v>
      </c>
      <c r="V1768" t="s">
        <v>1873</v>
      </c>
      <c r="W1768" t="s">
        <v>1874</v>
      </c>
      <c r="AD1768" t="s">
        <v>410</v>
      </c>
      <c r="AE1768" t="s">
        <v>1637</v>
      </c>
      <c r="AF1768" t="s">
        <v>1876</v>
      </c>
    </row>
    <row r="1769" spans="1:32" hidden="1" x14ac:dyDescent="0.35">
      <c r="A1769">
        <v>902</v>
      </c>
      <c r="B1769" t="s">
        <v>1866</v>
      </c>
      <c r="C1769" t="s">
        <v>72</v>
      </c>
      <c r="D1769" t="s">
        <v>34</v>
      </c>
      <c r="E1769">
        <v>834</v>
      </c>
      <c r="F1769">
        <v>5</v>
      </c>
      <c r="G1769">
        <v>5</v>
      </c>
      <c r="H1769">
        <v>1</v>
      </c>
      <c r="I1769">
        <v>1</v>
      </c>
      <c r="J1769">
        <v>0.78001379223873102</v>
      </c>
      <c r="K1769">
        <v>0.94897886427297995</v>
      </c>
      <c r="L1769">
        <v>0.856240308353163</v>
      </c>
      <c r="M1769">
        <v>0.60071301247771802</v>
      </c>
      <c r="N1769">
        <v>1</v>
      </c>
      <c r="O1769">
        <v>0.69108734402852101</v>
      </c>
      <c r="P1769" t="s">
        <v>1867</v>
      </c>
      <c r="Q1769" t="s">
        <v>1868</v>
      </c>
      <c r="R1769" t="s">
        <v>1869</v>
      </c>
      <c r="S1769" t="s">
        <v>1870</v>
      </c>
      <c r="T1769" t="s">
        <v>1871</v>
      </c>
      <c r="U1769" t="s">
        <v>1872</v>
      </c>
      <c r="V1769" t="s">
        <v>1873</v>
      </c>
      <c r="W1769" t="s">
        <v>1874</v>
      </c>
      <c r="AD1769" t="s">
        <v>410</v>
      </c>
      <c r="AE1769" t="s">
        <v>1637</v>
      </c>
      <c r="AF1769" t="s">
        <v>1877</v>
      </c>
    </row>
    <row r="1770" spans="1:32" hidden="1" x14ac:dyDescent="0.35">
      <c r="A1770">
        <v>903</v>
      </c>
      <c r="B1770" t="s">
        <v>1866</v>
      </c>
      <c r="C1770" t="s">
        <v>72</v>
      </c>
      <c r="D1770" t="s">
        <v>45</v>
      </c>
      <c r="E1770">
        <v>2091</v>
      </c>
      <c r="F1770">
        <v>5</v>
      </c>
      <c r="G1770">
        <v>5</v>
      </c>
      <c r="H1770">
        <v>1</v>
      </c>
      <c r="I1770">
        <v>1</v>
      </c>
      <c r="J1770">
        <v>0.78001379223873102</v>
      </c>
      <c r="K1770">
        <v>0.94897886427297995</v>
      </c>
      <c r="L1770">
        <v>0.856240308353163</v>
      </c>
      <c r="M1770">
        <v>0.60071301247771802</v>
      </c>
      <c r="N1770">
        <v>1</v>
      </c>
      <c r="O1770">
        <v>0.69108734402852101</v>
      </c>
      <c r="P1770" t="s">
        <v>1867</v>
      </c>
      <c r="Q1770" t="s">
        <v>1868</v>
      </c>
      <c r="R1770" t="s">
        <v>1869</v>
      </c>
      <c r="S1770" t="s">
        <v>1870</v>
      </c>
      <c r="T1770" t="s">
        <v>1871</v>
      </c>
      <c r="U1770" t="s">
        <v>1872</v>
      </c>
      <c r="V1770" t="s">
        <v>1873</v>
      </c>
      <c r="W1770" t="s">
        <v>1874</v>
      </c>
      <c r="AD1770" t="s">
        <v>410</v>
      </c>
      <c r="AE1770" t="s">
        <v>1637</v>
      </c>
      <c r="AF1770" t="s">
        <v>1878</v>
      </c>
    </row>
    <row r="1771" spans="1:32" hidden="1" x14ac:dyDescent="0.35">
      <c r="A1771">
        <v>2589</v>
      </c>
      <c r="B1771" t="s">
        <v>5358</v>
      </c>
      <c r="C1771" t="s">
        <v>72</v>
      </c>
      <c r="D1771" t="s">
        <v>58</v>
      </c>
      <c r="E1771">
        <v>185</v>
      </c>
      <c r="F1771">
        <v>5</v>
      </c>
      <c r="G1771">
        <v>5</v>
      </c>
      <c r="H1771">
        <v>1</v>
      </c>
      <c r="I1771">
        <v>1</v>
      </c>
      <c r="J1771">
        <v>0.80148916367504297</v>
      </c>
      <c r="K1771">
        <v>0.93772849236961398</v>
      </c>
      <c r="L1771">
        <v>0.86427276366642702</v>
      </c>
      <c r="M1771">
        <v>0.55223880597014896</v>
      </c>
      <c r="N1771">
        <v>1</v>
      </c>
      <c r="O1771">
        <v>0.66604477611940305</v>
      </c>
      <c r="R1771" t="s">
        <v>1869</v>
      </c>
      <c r="S1771" t="s">
        <v>1870</v>
      </c>
      <c r="T1771" t="s">
        <v>5359</v>
      </c>
      <c r="U1771" t="s">
        <v>5360</v>
      </c>
      <c r="V1771" t="s">
        <v>5361</v>
      </c>
      <c r="W1771" t="s">
        <v>5362</v>
      </c>
      <c r="AD1771" t="s">
        <v>166</v>
      </c>
      <c r="AE1771" t="s">
        <v>5363</v>
      </c>
      <c r="AF1771" t="s">
        <v>5364</v>
      </c>
    </row>
    <row r="1772" spans="1:32" hidden="1" x14ac:dyDescent="0.35">
      <c r="A1772">
        <v>2590</v>
      </c>
      <c r="B1772" t="s">
        <v>5358</v>
      </c>
      <c r="C1772" t="s">
        <v>72</v>
      </c>
      <c r="D1772" t="s">
        <v>60</v>
      </c>
      <c r="E1772">
        <v>321</v>
      </c>
      <c r="F1772">
        <v>5</v>
      </c>
      <c r="G1772">
        <v>5</v>
      </c>
      <c r="H1772">
        <v>1</v>
      </c>
      <c r="I1772">
        <v>1</v>
      </c>
      <c r="J1772">
        <v>0.80148916367504297</v>
      </c>
      <c r="K1772">
        <v>0.93772849236961398</v>
      </c>
      <c r="L1772">
        <v>0.86427276366642702</v>
      </c>
      <c r="M1772">
        <v>0.55223880597014896</v>
      </c>
      <c r="N1772">
        <v>1</v>
      </c>
      <c r="O1772">
        <v>0.66604477611940305</v>
      </c>
      <c r="P1772" t="s">
        <v>5365</v>
      </c>
      <c r="Q1772" t="s">
        <v>5366</v>
      </c>
      <c r="R1772" t="s">
        <v>1869</v>
      </c>
      <c r="S1772" t="s">
        <v>1870</v>
      </c>
      <c r="T1772" t="s">
        <v>5359</v>
      </c>
      <c r="U1772" t="s">
        <v>5360</v>
      </c>
      <c r="V1772" t="s">
        <v>5361</v>
      </c>
      <c r="W1772" t="s">
        <v>5362</v>
      </c>
      <c r="AD1772" t="s">
        <v>166</v>
      </c>
      <c r="AE1772" t="s">
        <v>5363</v>
      </c>
      <c r="AF1772" t="e">
        <f>---MSGTGAQFADVVASGPLLLGILAAAAAGFVSFASPCVVPLVPGYMSYLAGVVGGQ-------------QYRWRVAGAALMFIAGFTVVFVLATATVFGAISALTLQAELLQRLGGVVTIVMGLAFMGMIPALQNERRFHPRR-WSTWVGAPLLGAVFALGWTPCLGPTLAAIISISAGTEGMTAVRGIVLIVAYCLGLGLPFLVVALGSARAMRGVGWLRKHSRAIQIAGGVALILVGIALVSGQWAHFITWVRQWTVDYGTTLI</f>
        <v>#NAME?</v>
      </c>
    </row>
    <row r="1773" spans="1:32" hidden="1" x14ac:dyDescent="0.35">
      <c r="A1773">
        <v>2591</v>
      </c>
      <c r="B1773" t="s">
        <v>5358</v>
      </c>
      <c r="C1773" t="s">
        <v>72</v>
      </c>
      <c r="D1773" t="s">
        <v>62</v>
      </c>
      <c r="E1773">
        <v>401</v>
      </c>
      <c r="F1773">
        <v>5</v>
      </c>
      <c r="G1773">
        <v>5</v>
      </c>
      <c r="H1773">
        <v>1</v>
      </c>
      <c r="I1773">
        <v>1</v>
      </c>
      <c r="J1773">
        <v>0.80148916367504297</v>
      </c>
      <c r="K1773">
        <v>0.93772849236961398</v>
      </c>
      <c r="L1773">
        <v>0.86427276366642702</v>
      </c>
      <c r="M1773">
        <v>0.55223880597014896</v>
      </c>
      <c r="N1773">
        <v>1</v>
      </c>
      <c r="O1773">
        <v>0.66604477611940305</v>
      </c>
      <c r="P1773" t="s">
        <v>5365</v>
      </c>
      <c r="Q1773" t="s">
        <v>5366</v>
      </c>
      <c r="R1773" t="s">
        <v>1869</v>
      </c>
      <c r="S1773" t="s">
        <v>1870</v>
      </c>
      <c r="T1773" t="s">
        <v>5359</v>
      </c>
      <c r="U1773" t="s">
        <v>5360</v>
      </c>
      <c r="V1773" t="s">
        <v>5361</v>
      </c>
      <c r="W1773" t="s">
        <v>5362</v>
      </c>
      <c r="AD1773" t="s">
        <v>166</v>
      </c>
      <c r="AE1773" t="s">
        <v>5363</v>
      </c>
      <c r="AF1773" t="e">
        <f>---MSGTGAQFADVVASGPLLLGILAAAAAGFVSFASPCVVPLVPGYMSYLAGVVGGQ-------------QYRWRVAGAALMFIAGFTVVFVLATATVFGAISALTLQAELLQRLGGVVTIVMGLAFMGMIPALQNERRFHPRR-WSTWVGAPLLGAVFALGWTPCLGPTLAAIISISAGTEGMTAVRGIVLIVAYCLGLGLPFLVVALGSARAMRGVGWLRKHSRAIQIAGGVALILVGIALVSGQWAHFITWVRQWTVDYGTTLI</f>
        <v>#NAME?</v>
      </c>
    </row>
    <row r="1774" spans="1:32" hidden="1" x14ac:dyDescent="0.35">
      <c r="A1774">
        <v>2592</v>
      </c>
      <c r="B1774" t="s">
        <v>5358</v>
      </c>
      <c r="C1774" t="s">
        <v>72</v>
      </c>
      <c r="D1774" t="s">
        <v>34</v>
      </c>
      <c r="E1774">
        <v>835</v>
      </c>
      <c r="F1774">
        <v>5</v>
      </c>
      <c r="G1774">
        <v>5</v>
      </c>
      <c r="H1774">
        <v>1</v>
      </c>
      <c r="I1774">
        <v>1</v>
      </c>
      <c r="J1774">
        <v>0.80148916367504297</v>
      </c>
      <c r="K1774">
        <v>0.93772849236961398</v>
      </c>
      <c r="L1774">
        <v>0.86427276366642702</v>
      </c>
      <c r="M1774">
        <v>0.55223880597014896</v>
      </c>
      <c r="N1774">
        <v>1</v>
      </c>
      <c r="O1774">
        <v>0.66604477611940305</v>
      </c>
      <c r="R1774" t="s">
        <v>1869</v>
      </c>
      <c r="S1774" t="s">
        <v>1870</v>
      </c>
      <c r="T1774" t="s">
        <v>5359</v>
      </c>
      <c r="U1774" t="s">
        <v>5360</v>
      </c>
      <c r="V1774" t="s">
        <v>5361</v>
      </c>
      <c r="W1774" t="s">
        <v>5362</v>
      </c>
      <c r="AD1774" t="s">
        <v>166</v>
      </c>
      <c r="AE1774" t="s">
        <v>5363</v>
      </c>
      <c r="AF1774" t="s">
        <v>5367</v>
      </c>
    </row>
    <row r="1775" spans="1:32" hidden="1" x14ac:dyDescent="0.35">
      <c r="A1775">
        <v>2593</v>
      </c>
      <c r="B1775" t="s">
        <v>5358</v>
      </c>
      <c r="C1775" t="s">
        <v>72</v>
      </c>
      <c r="D1775" t="s">
        <v>45</v>
      </c>
      <c r="E1775">
        <v>2092</v>
      </c>
      <c r="F1775">
        <v>5</v>
      </c>
      <c r="G1775">
        <v>5</v>
      </c>
      <c r="H1775">
        <v>1</v>
      </c>
      <c r="I1775">
        <v>1</v>
      </c>
      <c r="J1775">
        <v>0.80148916367504297</v>
      </c>
      <c r="K1775">
        <v>0.93772849236961398</v>
      </c>
      <c r="L1775">
        <v>0.86427276366642702</v>
      </c>
      <c r="M1775">
        <v>0.55223880597014896</v>
      </c>
      <c r="N1775">
        <v>1</v>
      </c>
      <c r="O1775">
        <v>0.66604477611940305</v>
      </c>
      <c r="R1775" t="s">
        <v>1869</v>
      </c>
      <c r="S1775" t="s">
        <v>1870</v>
      </c>
      <c r="T1775" t="s">
        <v>5359</v>
      </c>
      <c r="U1775" t="s">
        <v>5360</v>
      </c>
      <c r="V1775" t="s">
        <v>5361</v>
      </c>
      <c r="W1775" t="s">
        <v>5362</v>
      </c>
      <c r="AD1775" t="s">
        <v>166</v>
      </c>
      <c r="AE1775" t="s">
        <v>5363</v>
      </c>
      <c r="AF1775" t="s">
        <v>5368</v>
      </c>
    </row>
    <row r="1776" spans="1:32" hidden="1" x14ac:dyDescent="0.35">
      <c r="A1776">
        <v>619</v>
      </c>
      <c r="B1776" t="s">
        <v>1256</v>
      </c>
      <c r="C1776" t="s">
        <v>72</v>
      </c>
      <c r="D1776" t="s">
        <v>58</v>
      </c>
      <c r="E1776">
        <v>658</v>
      </c>
      <c r="F1776">
        <v>5</v>
      </c>
      <c r="G1776">
        <v>5</v>
      </c>
      <c r="H1776">
        <v>1</v>
      </c>
      <c r="I1776">
        <v>1</v>
      </c>
      <c r="J1776">
        <v>0.79706877113867003</v>
      </c>
      <c r="K1776">
        <v>0.88934126861895302</v>
      </c>
      <c r="L1776">
        <v>0.84068065937616898</v>
      </c>
      <c r="M1776">
        <v>0.61589403973509904</v>
      </c>
      <c r="N1776">
        <v>1</v>
      </c>
      <c r="O1776">
        <v>0.70132450331125795</v>
      </c>
      <c r="P1776" t="s">
        <v>1257</v>
      </c>
      <c r="Q1776" t="s">
        <v>1258</v>
      </c>
      <c r="R1776" t="s">
        <v>1259</v>
      </c>
      <c r="S1776" t="s">
        <v>1260</v>
      </c>
      <c r="V1776" t="s">
        <v>1261</v>
      </c>
      <c r="W1776" t="s">
        <v>1262</v>
      </c>
      <c r="AF1776" t="s">
        <v>1263</v>
      </c>
    </row>
    <row r="1777" spans="1:32" hidden="1" x14ac:dyDescent="0.35">
      <c r="A1777">
        <v>620</v>
      </c>
      <c r="B1777" t="s">
        <v>1256</v>
      </c>
      <c r="C1777" t="s">
        <v>72</v>
      </c>
      <c r="D1777" t="s">
        <v>60</v>
      </c>
      <c r="E1777">
        <v>848</v>
      </c>
      <c r="F1777">
        <v>5</v>
      </c>
      <c r="G1777">
        <v>5</v>
      </c>
      <c r="H1777">
        <v>1</v>
      </c>
      <c r="I1777">
        <v>1</v>
      </c>
      <c r="J1777">
        <v>0.79706877113867003</v>
      </c>
      <c r="K1777">
        <v>0.88934126861895302</v>
      </c>
      <c r="L1777">
        <v>0.84068065937616898</v>
      </c>
      <c r="M1777">
        <v>0.61589403973509904</v>
      </c>
      <c r="N1777">
        <v>1</v>
      </c>
      <c r="O1777">
        <v>0.70132450331125795</v>
      </c>
      <c r="P1777" t="s">
        <v>1257</v>
      </c>
      <c r="Q1777" t="s">
        <v>1258</v>
      </c>
      <c r="R1777" t="s">
        <v>1259</v>
      </c>
      <c r="S1777" t="s">
        <v>1260</v>
      </c>
      <c r="V1777" t="s">
        <v>1261</v>
      </c>
      <c r="W1777" t="s">
        <v>1262</v>
      </c>
      <c r="AF1777" t="s">
        <v>1264</v>
      </c>
    </row>
    <row r="1778" spans="1:32" hidden="1" x14ac:dyDescent="0.35">
      <c r="A1778">
        <v>621</v>
      </c>
      <c r="B1778" t="s">
        <v>1256</v>
      </c>
      <c r="C1778" t="s">
        <v>72</v>
      </c>
      <c r="D1778" t="s">
        <v>62</v>
      </c>
      <c r="E1778">
        <v>882</v>
      </c>
      <c r="F1778">
        <v>5</v>
      </c>
      <c r="G1778">
        <v>5</v>
      </c>
      <c r="H1778">
        <v>1</v>
      </c>
      <c r="I1778">
        <v>1</v>
      </c>
      <c r="J1778">
        <v>0.79706877113867003</v>
      </c>
      <c r="K1778">
        <v>0.88934126861895302</v>
      </c>
      <c r="L1778">
        <v>0.84068065937616898</v>
      </c>
      <c r="M1778">
        <v>0.61589403973509904</v>
      </c>
      <c r="N1778">
        <v>1</v>
      </c>
      <c r="O1778">
        <v>0.70132450331125795</v>
      </c>
      <c r="P1778" t="s">
        <v>1257</v>
      </c>
      <c r="Q1778" t="s">
        <v>1258</v>
      </c>
      <c r="R1778" t="s">
        <v>1259</v>
      </c>
      <c r="S1778" t="s">
        <v>1260</v>
      </c>
      <c r="V1778" t="s">
        <v>1261</v>
      </c>
      <c r="W1778" t="s">
        <v>1262</v>
      </c>
      <c r="AF1778" t="s">
        <v>1264</v>
      </c>
    </row>
    <row r="1779" spans="1:32" hidden="1" x14ac:dyDescent="0.35">
      <c r="A1779">
        <v>622</v>
      </c>
      <c r="B1779" t="s">
        <v>1256</v>
      </c>
      <c r="C1779" t="s">
        <v>72</v>
      </c>
      <c r="D1779" t="s">
        <v>34</v>
      </c>
      <c r="E1779">
        <v>297</v>
      </c>
      <c r="F1779">
        <v>5</v>
      </c>
      <c r="G1779">
        <v>5</v>
      </c>
      <c r="H1779">
        <v>1</v>
      </c>
      <c r="I1779">
        <v>1</v>
      </c>
      <c r="J1779">
        <v>0.79706877113867003</v>
      </c>
      <c r="K1779">
        <v>0.88934126861895302</v>
      </c>
      <c r="L1779">
        <v>0.84068065937616898</v>
      </c>
      <c r="M1779">
        <v>0.61589403973509904</v>
      </c>
      <c r="N1779">
        <v>1</v>
      </c>
      <c r="O1779">
        <v>0.70132450331125795</v>
      </c>
      <c r="P1779" t="s">
        <v>1257</v>
      </c>
      <c r="Q1779" t="s">
        <v>1258</v>
      </c>
      <c r="R1779" t="s">
        <v>1259</v>
      </c>
      <c r="S1779" t="s">
        <v>1260</v>
      </c>
      <c r="V1779" t="s">
        <v>1261</v>
      </c>
      <c r="W1779" t="s">
        <v>1262</v>
      </c>
      <c r="AF1779" t="s">
        <v>1265</v>
      </c>
    </row>
    <row r="1780" spans="1:32" hidden="1" x14ac:dyDescent="0.35">
      <c r="A1780">
        <v>623</v>
      </c>
      <c r="B1780" t="s">
        <v>1256</v>
      </c>
      <c r="C1780" t="s">
        <v>72</v>
      </c>
      <c r="D1780" t="s">
        <v>45</v>
      </c>
      <c r="E1780">
        <v>1559</v>
      </c>
      <c r="F1780">
        <v>5</v>
      </c>
      <c r="G1780">
        <v>5</v>
      </c>
      <c r="H1780">
        <v>1</v>
      </c>
      <c r="I1780">
        <v>1</v>
      </c>
      <c r="J1780">
        <v>0.79706877113867003</v>
      </c>
      <c r="K1780">
        <v>0.88934126861895302</v>
      </c>
      <c r="L1780">
        <v>0.84068065937616898</v>
      </c>
      <c r="M1780">
        <v>0.61589403973509904</v>
      </c>
      <c r="N1780">
        <v>1</v>
      </c>
      <c r="O1780">
        <v>0.70132450331125795</v>
      </c>
      <c r="P1780" t="s">
        <v>1257</v>
      </c>
      <c r="Q1780" t="s">
        <v>1258</v>
      </c>
      <c r="R1780" t="s">
        <v>1259</v>
      </c>
      <c r="S1780" t="s">
        <v>1260</v>
      </c>
      <c r="V1780" t="s">
        <v>1261</v>
      </c>
      <c r="W1780" t="s">
        <v>1262</v>
      </c>
      <c r="AF1780" t="s">
        <v>1266</v>
      </c>
    </row>
    <row r="1781" spans="1:32" hidden="1" x14ac:dyDescent="0.35">
      <c r="A1781">
        <v>694</v>
      </c>
      <c r="B1781" t="s">
        <v>1421</v>
      </c>
      <c r="C1781" t="s">
        <v>72</v>
      </c>
      <c r="D1781" t="s">
        <v>58</v>
      </c>
      <c r="E1781">
        <v>385</v>
      </c>
      <c r="F1781">
        <v>5</v>
      </c>
      <c r="G1781">
        <v>5</v>
      </c>
      <c r="H1781">
        <v>1</v>
      </c>
      <c r="I1781">
        <v>1</v>
      </c>
      <c r="J1781">
        <v>0.77361167409809495</v>
      </c>
      <c r="K1781">
        <v>0.91856829025503794</v>
      </c>
      <c r="L1781">
        <v>0.83988129840465298</v>
      </c>
      <c r="M1781">
        <v>0.53981481481481497</v>
      </c>
      <c r="N1781">
        <v>1</v>
      </c>
      <c r="O1781">
        <v>0.68759259259259298</v>
      </c>
      <c r="P1781" t="s">
        <v>1422</v>
      </c>
      <c r="Q1781" t="s">
        <v>1423</v>
      </c>
      <c r="R1781" t="s">
        <v>1259</v>
      </c>
      <c r="S1781" t="s">
        <v>1260</v>
      </c>
      <c r="T1781" t="s">
        <v>1424</v>
      </c>
      <c r="U1781" t="s">
        <v>407</v>
      </c>
      <c r="V1781" t="s">
        <v>1425</v>
      </c>
      <c r="W1781" t="s">
        <v>1426</v>
      </c>
      <c r="AD1781" t="s">
        <v>410</v>
      </c>
      <c r="AE1781" t="s">
        <v>411</v>
      </c>
      <c r="AF1781" t="s">
        <v>1427</v>
      </c>
    </row>
    <row r="1782" spans="1:32" hidden="1" x14ac:dyDescent="0.35">
      <c r="A1782">
        <v>695</v>
      </c>
      <c r="B1782" t="s">
        <v>1421</v>
      </c>
      <c r="C1782" t="s">
        <v>72</v>
      </c>
      <c r="D1782" t="s">
        <v>60</v>
      </c>
      <c r="E1782">
        <v>619</v>
      </c>
      <c r="F1782">
        <v>5</v>
      </c>
      <c r="G1782">
        <v>5</v>
      </c>
      <c r="H1782">
        <v>1</v>
      </c>
      <c r="I1782">
        <v>1</v>
      </c>
      <c r="J1782">
        <v>0.77361167409809495</v>
      </c>
      <c r="K1782">
        <v>0.91856829025503794</v>
      </c>
      <c r="L1782">
        <v>0.83988129840465298</v>
      </c>
      <c r="M1782">
        <v>0.53981481481481497</v>
      </c>
      <c r="N1782">
        <v>1</v>
      </c>
      <c r="O1782">
        <v>0.68759259259259298</v>
      </c>
      <c r="P1782" t="s">
        <v>1422</v>
      </c>
      <c r="Q1782" t="s">
        <v>1423</v>
      </c>
      <c r="R1782" t="s">
        <v>1259</v>
      </c>
      <c r="S1782" t="s">
        <v>1260</v>
      </c>
      <c r="T1782" t="s">
        <v>1424</v>
      </c>
      <c r="U1782" t="s">
        <v>407</v>
      </c>
      <c r="V1782" t="s">
        <v>1425</v>
      </c>
      <c r="W1782" t="s">
        <v>1426</v>
      </c>
      <c r="AD1782" t="s">
        <v>410</v>
      </c>
      <c r="AE1782" t="s">
        <v>411</v>
      </c>
      <c r="AF1782" t="s">
        <v>1428</v>
      </c>
    </row>
    <row r="1783" spans="1:32" hidden="1" x14ac:dyDescent="0.35">
      <c r="A1783">
        <v>696</v>
      </c>
      <c r="B1783" t="s">
        <v>1421</v>
      </c>
      <c r="C1783" t="s">
        <v>72</v>
      </c>
      <c r="D1783" t="s">
        <v>62</v>
      </c>
      <c r="E1783">
        <v>703</v>
      </c>
      <c r="F1783">
        <v>5</v>
      </c>
      <c r="G1783">
        <v>5</v>
      </c>
      <c r="H1783">
        <v>1</v>
      </c>
      <c r="I1783">
        <v>1</v>
      </c>
      <c r="J1783">
        <v>0.77361167409809495</v>
      </c>
      <c r="K1783">
        <v>0.91856829025503794</v>
      </c>
      <c r="L1783">
        <v>0.83988129840465298</v>
      </c>
      <c r="M1783">
        <v>0.53981481481481497</v>
      </c>
      <c r="N1783">
        <v>1</v>
      </c>
      <c r="O1783">
        <v>0.68759259259259298</v>
      </c>
      <c r="P1783" t="s">
        <v>1422</v>
      </c>
      <c r="Q1783" t="s">
        <v>1423</v>
      </c>
      <c r="R1783" t="s">
        <v>1259</v>
      </c>
      <c r="S1783" t="s">
        <v>1260</v>
      </c>
      <c r="T1783" t="s">
        <v>1424</v>
      </c>
      <c r="U1783" t="s">
        <v>407</v>
      </c>
      <c r="V1783" t="s">
        <v>1425</v>
      </c>
      <c r="W1783" t="s">
        <v>1426</v>
      </c>
      <c r="AD1783" t="s">
        <v>410</v>
      </c>
      <c r="AE1783" t="s">
        <v>411</v>
      </c>
      <c r="AF1783" t="s">
        <v>1428</v>
      </c>
    </row>
    <row r="1784" spans="1:32" hidden="1" x14ac:dyDescent="0.35">
      <c r="A1784">
        <v>697</v>
      </c>
      <c r="B1784" t="s">
        <v>1421</v>
      </c>
      <c r="C1784" t="s">
        <v>72</v>
      </c>
      <c r="D1784" t="s">
        <v>34</v>
      </c>
      <c r="E1784">
        <v>470</v>
      </c>
      <c r="F1784">
        <v>5</v>
      </c>
      <c r="G1784">
        <v>5</v>
      </c>
      <c r="H1784">
        <v>1</v>
      </c>
      <c r="I1784">
        <v>1</v>
      </c>
      <c r="J1784">
        <v>0.77361167409809495</v>
      </c>
      <c r="K1784">
        <v>0.91856829025503794</v>
      </c>
      <c r="L1784">
        <v>0.83988129840465298</v>
      </c>
      <c r="M1784">
        <v>0.53981481481481497</v>
      </c>
      <c r="N1784">
        <v>1</v>
      </c>
      <c r="O1784">
        <v>0.68759259259259298</v>
      </c>
      <c r="P1784" t="s">
        <v>1422</v>
      </c>
      <c r="Q1784" t="s">
        <v>1423</v>
      </c>
      <c r="R1784" t="s">
        <v>1259</v>
      </c>
      <c r="S1784" t="s">
        <v>1260</v>
      </c>
      <c r="T1784" t="s">
        <v>1424</v>
      </c>
      <c r="U1784" t="s">
        <v>407</v>
      </c>
      <c r="V1784" t="s">
        <v>1425</v>
      </c>
      <c r="W1784" t="s">
        <v>1426</v>
      </c>
      <c r="AD1784" t="s">
        <v>410</v>
      </c>
      <c r="AE1784" t="s">
        <v>411</v>
      </c>
      <c r="AF1784" t="s">
        <v>1429</v>
      </c>
    </row>
    <row r="1785" spans="1:32" hidden="1" x14ac:dyDescent="0.35">
      <c r="A1785">
        <v>698</v>
      </c>
      <c r="B1785" t="s">
        <v>1421</v>
      </c>
      <c r="C1785" t="s">
        <v>72</v>
      </c>
      <c r="D1785" t="s">
        <v>45</v>
      </c>
      <c r="E1785">
        <v>1735</v>
      </c>
      <c r="F1785">
        <v>5</v>
      </c>
      <c r="G1785">
        <v>5</v>
      </c>
      <c r="H1785">
        <v>1</v>
      </c>
      <c r="I1785">
        <v>1</v>
      </c>
      <c r="J1785">
        <v>0.77361167409809495</v>
      </c>
      <c r="K1785">
        <v>0.91856829025503794</v>
      </c>
      <c r="L1785">
        <v>0.83988129840465298</v>
      </c>
      <c r="M1785">
        <v>0.53981481481481497</v>
      </c>
      <c r="N1785">
        <v>1</v>
      </c>
      <c r="O1785">
        <v>0.68759259259259298</v>
      </c>
      <c r="P1785" t="s">
        <v>1422</v>
      </c>
      <c r="Q1785" t="s">
        <v>1423</v>
      </c>
      <c r="R1785" t="s">
        <v>1259</v>
      </c>
      <c r="S1785" t="s">
        <v>1260</v>
      </c>
      <c r="T1785" t="s">
        <v>1424</v>
      </c>
      <c r="U1785" t="s">
        <v>407</v>
      </c>
      <c r="V1785" t="s">
        <v>1425</v>
      </c>
      <c r="W1785" t="s">
        <v>1426</v>
      </c>
      <c r="AD1785" t="s">
        <v>410</v>
      </c>
      <c r="AE1785" t="s">
        <v>411</v>
      </c>
      <c r="AF1785" t="s">
        <v>1429</v>
      </c>
    </row>
    <row r="1786" spans="1:32" hidden="1" x14ac:dyDescent="0.35">
      <c r="A1786">
        <v>734</v>
      </c>
      <c r="B1786" t="s">
        <v>1503</v>
      </c>
      <c r="C1786" t="s">
        <v>72</v>
      </c>
      <c r="D1786" t="s">
        <v>58</v>
      </c>
      <c r="E1786">
        <v>561</v>
      </c>
      <c r="F1786">
        <v>5</v>
      </c>
      <c r="G1786">
        <v>5</v>
      </c>
      <c r="H1786">
        <v>1</v>
      </c>
      <c r="I1786">
        <v>1</v>
      </c>
      <c r="J1786">
        <v>0.78664695737866497</v>
      </c>
      <c r="K1786">
        <v>0.90247240618101598</v>
      </c>
      <c r="L1786">
        <v>0.84058851938608403</v>
      </c>
      <c r="M1786">
        <v>0.556291390728477</v>
      </c>
      <c r="N1786">
        <v>1</v>
      </c>
      <c r="O1786">
        <v>0.66357615894039701</v>
      </c>
      <c r="P1786" t="s">
        <v>1504</v>
      </c>
      <c r="Q1786" t="s">
        <v>1505</v>
      </c>
      <c r="R1786" t="s">
        <v>1259</v>
      </c>
      <c r="S1786" t="s">
        <v>1260</v>
      </c>
      <c r="T1786" t="s">
        <v>1506</v>
      </c>
      <c r="U1786" t="s">
        <v>1507</v>
      </c>
      <c r="V1786" t="s">
        <v>1508</v>
      </c>
      <c r="W1786" t="s">
        <v>1509</v>
      </c>
      <c r="AD1786" t="s">
        <v>410</v>
      </c>
      <c r="AE1786" t="s">
        <v>1510</v>
      </c>
      <c r="AF1786" t="s">
        <v>1511</v>
      </c>
    </row>
    <row r="1787" spans="1:32" hidden="1" x14ac:dyDescent="0.35">
      <c r="A1787">
        <v>735</v>
      </c>
      <c r="B1787" t="s">
        <v>1503</v>
      </c>
      <c r="C1787" t="s">
        <v>72</v>
      </c>
      <c r="D1787" t="s">
        <v>60</v>
      </c>
      <c r="E1787">
        <v>781</v>
      </c>
      <c r="F1787">
        <v>5</v>
      </c>
      <c r="G1787">
        <v>5</v>
      </c>
      <c r="H1787">
        <v>1</v>
      </c>
      <c r="I1787">
        <v>1</v>
      </c>
      <c r="J1787">
        <v>0.78664695737866497</v>
      </c>
      <c r="K1787">
        <v>0.90247240618101598</v>
      </c>
      <c r="L1787">
        <v>0.84058851938608403</v>
      </c>
      <c r="M1787">
        <v>0.556291390728477</v>
      </c>
      <c r="N1787">
        <v>1</v>
      </c>
      <c r="O1787">
        <v>0.66357615894039701</v>
      </c>
      <c r="P1787" t="s">
        <v>1504</v>
      </c>
      <c r="Q1787" t="s">
        <v>1505</v>
      </c>
      <c r="R1787" t="s">
        <v>1259</v>
      </c>
      <c r="S1787" t="s">
        <v>1260</v>
      </c>
      <c r="T1787" t="s">
        <v>1506</v>
      </c>
      <c r="U1787" t="s">
        <v>1507</v>
      </c>
      <c r="V1787" t="s">
        <v>1508</v>
      </c>
      <c r="W1787" t="s">
        <v>1509</v>
      </c>
      <c r="AD1787" t="s">
        <v>410</v>
      </c>
      <c r="AE1787" t="s">
        <v>1510</v>
      </c>
      <c r="AF1787" t="s">
        <v>1512</v>
      </c>
    </row>
    <row r="1788" spans="1:32" hidden="1" x14ac:dyDescent="0.35">
      <c r="A1788">
        <v>736</v>
      </c>
      <c r="B1788" t="s">
        <v>1503</v>
      </c>
      <c r="C1788" t="s">
        <v>72</v>
      </c>
      <c r="D1788" t="s">
        <v>62</v>
      </c>
      <c r="E1788">
        <v>814</v>
      </c>
      <c r="F1788">
        <v>5</v>
      </c>
      <c r="G1788">
        <v>5</v>
      </c>
      <c r="H1788">
        <v>1</v>
      </c>
      <c r="I1788">
        <v>1</v>
      </c>
      <c r="J1788">
        <v>0.78664695737866497</v>
      </c>
      <c r="K1788">
        <v>0.90247240618101598</v>
      </c>
      <c r="L1788">
        <v>0.84058851938608403</v>
      </c>
      <c r="M1788">
        <v>0.556291390728477</v>
      </c>
      <c r="N1788">
        <v>1</v>
      </c>
      <c r="O1788">
        <v>0.66357615894039701</v>
      </c>
      <c r="P1788" t="s">
        <v>1504</v>
      </c>
      <c r="Q1788" t="s">
        <v>1505</v>
      </c>
      <c r="R1788" t="s">
        <v>1259</v>
      </c>
      <c r="S1788" t="s">
        <v>1260</v>
      </c>
      <c r="T1788" t="s">
        <v>1506</v>
      </c>
      <c r="U1788" t="s">
        <v>1507</v>
      </c>
      <c r="V1788" t="s">
        <v>1508</v>
      </c>
      <c r="W1788" t="s">
        <v>1509</v>
      </c>
      <c r="AD1788" t="s">
        <v>410</v>
      </c>
      <c r="AE1788" t="s">
        <v>1510</v>
      </c>
      <c r="AF1788" t="s">
        <v>1512</v>
      </c>
    </row>
    <row r="1789" spans="1:32" hidden="1" x14ac:dyDescent="0.35">
      <c r="A1789">
        <v>737</v>
      </c>
      <c r="B1789" t="s">
        <v>1503</v>
      </c>
      <c r="C1789" t="s">
        <v>72</v>
      </c>
      <c r="D1789" t="s">
        <v>34</v>
      </c>
      <c r="E1789">
        <v>351</v>
      </c>
      <c r="F1789">
        <v>5</v>
      </c>
      <c r="G1789">
        <v>5</v>
      </c>
      <c r="H1789">
        <v>1</v>
      </c>
      <c r="I1789">
        <v>1</v>
      </c>
      <c r="J1789">
        <v>0.78664695737866497</v>
      </c>
      <c r="K1789">
        <v>0.90247240618101598</v>
      </c>
      <c r="L1789">
        <v>0.84058851938608403</v>
      </c>
      <c r="M1789">
        <v>0.556291390728477</v>
      </c>
      <c r="N1789">
        <v>1</v>
      </c>
      <c r="O1789">
        <v>0.66357615894039701</v>
      </c>
      <c r="P1789" t="s">
        <v>1504</v>
      </c>
      <c r="Q1789" t="s">
        <v>1505</v>
      </c>
      <c r="R1789" t="s">
        <v>1259</v>
      </c>
      <c r="S1789" t="s">
        <v>1260</v>
      </c>
      <c r="T1789" t="s">
        <v>1506</v>
      </c>
      <c r="U1789" t="s">
        <v>1507</v>
      </c>
      <c r="V1789" t="s">
        <v>1508</v>
      </c>
      <c r="W1789" t="s">
        <v>1509</v>
      </c>
      <c r="AD1789" t="s">
        <v>410</v>
      </c>
      <c r="AE1789" t="s">
        <v>1510</v>
      </c>
      <c r="AF1789" t="e">
        <f>---------------MDKPAVRDGSLLLFRFVLGIIFVAHGFDKFFVQGLTATGQQFAAWGVPQAQLSAYLAATAEFVGGLFLTVGLLTTIVAGILALLMVAAFYLVHMNAGFFIAGGGYEYVLLLIVSLVLIVVFGSGRASIDEVLSRQG</f>
        <v>#NAME?</v>
      </c>
    </row>
    <row r="1790" spans="1:32" hidden="1" x14ac:dyDescent="0.35">
      <c r="A1790">
        <v>738</v>
      </c>
      <c r="B1790" t="s">
        <v>1503</v>
      </c>
      <c r="C1790" t="s">
        <v>72</v>
      </c>
      <c r="D1790" t="s">
        <v>45</v>
      </c>
      <c r="E1790">
        <v>1613</v>
      </c>
      <c r="F1790">
        <v>5</v>
      </c>
      <c r="G1790">
        <v>5</v>
      </c>
      <c r="H1790">
        <v>1</v>
      </c>
      <c r="I1790">
        <v>1</v>
      </c>
      <c r="J1790">
        <v>0.78664695737866497</v>
      </c>
      <c r="K1790">
        <v>0.90247240618101598</v>
      </c>
      <c r="L1790">
        <v>0.84058851938608403</v>
      </c>
      <c r="M1790">
        <v>0.556291390728477</v>
      </c>
      <c r="N1790">
        <v>1</v>
      </c>
      <c r="O1790">
        <v>0.66357615894039701</v>
      </c>
      <c r="P1790" t="s">
        <v>1504</v>
      </c>
      <c r="Q1790" t="s">
        <v>1505</v>
      </c>
      <c r="R1790" t="s">
        <v>1259</v>
      </c>
      <c r="S1790" t="s">
        <v>1260</v>
      </c>
      <c r="T1790" t="s">
        <v>1506</v>
      </c>
      <c r="U1790" t="s">
        <v>1507</v>
      </c>
      <c r="V1790" t="s">
        <v>1508</v>
      </c>
      <c r="W1790" t="s">
        <v>1509</v>
      </c>
      <c r="AD1790" t="s">
        <v>410</v>
      </c>
      <c r="AE1790" t="s">
        <v>1510</v>
      </c>
      <c r="AF1790" t="e">
        <f>---------------MDKPAVRDGSLLLFRFVLGIIFVAHGFDKFFVQGLTATGQQFAAWGVPQAQLSAYLAATAEFVGGLFLTVGLLTTIVAGILALLMVAAFYLVHMNAGFFIAGGGYEYVLLLIVSLVLIVVFGSGRASIDEVLSRQG</f>
        <v>#NAME?</v>
      </c>
    </row>
    <row r="1791" spans="1:32" hidden="1" x14ac:dyDescent="0.35">
      <c r="A1791">
        <v>799</v>
      </c>
      <c r="B1791" t="s">
        <v>1641</v>
      </c>
      <c r="C1791" t="s">
        <v>72</v>
      </c>
      <c r="D1791" t="s">
        <v>58</v>
      </c>
      <c r="E1791">
        <v>656</v>
      </c>
      <c r="F1791">
        <v>5</v>
      </c>
      <c r="G1791">
        <v>5</v>
      </c>
      <c r="H1791">
        <v>1</v>
      </c>
      <c r="I1791">
        <v>1</v>
      </c>
      <c r="J1791">
        <v>0.85300988319856197</v>
      </c>
      <c r="K1791">
        <v>0.89224652540442095</v>
      </c>
      <c r="L1791">
        <v>0.87218714759372096</v>
      </c>
      <c r="M1791">
        <v>0.63333333333333297</v>
      </c>
      <c r="N1791">
        <v>1</v>
      </c>
      <c r="O1791">
        <v>0.74666666666666703</v>
      </c>
      <c r="P1791" t="s">
        <v>1642</v>
      </c>
      <c r="Q1791" t="s">
        <v>1643</v>
      </c>
      <c r="R1791" t="s">
        <v>1259</v>
      </c>
      <c r="S1791" t="s">
        <v>1260</v>
      </c>
      <c r="T1791" t="s">
        <v>1644</v>
      </c>
      <c r="U1791" t="s">
        <v>407</v>
      </c>
      <c r="V1791" t="s">
        <v>1645</v>
      </c>
      <c r="W1791" t="s">
        <v>1646</v>
      </c>
      <c r="AD1791" t="s">
        <v>410</v>
      </c>
      <c r="AE1791" t="s">
        <v>411</v>
      </c>
      <c r="AF1791" t="s">
        <v>1647</v>
      </c>
    </row>
    <row r="1792" spans="1:32" hidden="1" x14ac:dyDescent="0.35">
      <c r="A1792">
        <v>800</v>
      </c>
      <c r="B1792" t="s">
        <v>1641</v>
      </c>
      <c r="C1792" t="s">
        <v>72</v>
      </c>
      <c r="D1792" t="s">
        <v>60</v>
      </c>
      <c r="E1792">
        <v>845</v>
      </c>
      <c r="F1792">
        <v>5</v>
      </c>
      <c r="G1792">
        <v>5</v>
      </c>
      <c r="H1792">
        <v>1</v>
      </c>
      <c r="I1792">
        <v>1</v>
      </c>
      <c r="J1792">
        <v>0.85300988319856197</v>
      </c>
      <c r="K1792">
        <v>0.89224652540442095</v>
      </c>
      <c r="L1792">
        <v>0.87218714759372096</v>
      </c>
      <c r="M1792">
        <v>0.63333333333333297</v>
      </c>
      <c r="N1792">
        <v>1</v>
      </c>
      <c r="O1792">
        <v>0.74666666666666703</v>
      </c>
      <c r="P1792" t="s">
        <v>1642</v>
      </c>
      <c r="Q1792" t="s">
        <v>1643</v>
      </c>
      <c r="R1792" t="s">
        <v>1259</v>
      </c>
      <c r="S1792" t="s">
        <v>1260</v>
      </c>
      <c r="T1792" t="s">
        <v>1644</v>
      </c>
      <c r="U1792" t="s">
        <v>407</v>
      </c>
      <c r="V1792" t="s">
        <v>1645</v>
      </c>
      <c r="W1792" t="s">
        <v>1646</v>
      </c>
      <c r="AD1792" t="s">
        <v>410</v>
      </c>
      <c r="AE1792" t="s">
        <v>411</v>
      </c>
      <c r="AF1792" t="e">
        <f>-----------------MTVTAADLDAVATQLGRTPRGVLDISYRCPDGAPGVVKTAPKLDDGTPFPTLYYLTDPRLTSEASRLEVAHVMKWMTARLETDAELRADYQRAHEYFLAKRNAIEDLGTDFSGGGMPDRVKCLHVLIAYALAEGPQHFRLGTEAVAMAADHAGLRGTAVPDDWPTCADLSINLEDFDFTHAEV--------GR</f>
        <v>#NAME?</v>
      </c>
    </row>
    <row r="1793" spans="1:32" hidden="1" x14ac:dyDescent="0.35">
      <c r="A1793">
        <v>801</v>
      </c>
      <c r="B1793" t="s">
        <v>1641</v>
      </c>
      <c r="C1793" t="s">
        <v>72</v>
      </c>
      <c r="D1793" t="s">
        <v>62</v>
      </c>
      <c r="E1793">
        <v>879</v>
      </c>
      <c r="F1793">
        <v>5</v>
      </c>
      <c r="G1793">
        <v>5</v>
      </c>
      <c r="H1793">
        <v>1</v>
      </c>
      <c r="I1793">
        <v>1</v>
      </c>
      <c r="J1793">
        <v>0.85300988319856197</v>
      </c>
      <c r="K1793">
        <v>0.89224652540442095</v>
      </c>
      <c r="L1793">
        <v>0.87218714759372096</v>
      </c>
      <c r="M1793">
        <v>0.63333333333333297</v>
      </c>
      <c r="N1793">
        <v>1</v>
      </c>
      <c r="O1793">
        <v>0.74666666666666703</v>
      </c>
      <c r="P1793" t="s">
        <v>1642</v>
      </c>
      <c r="Q1793" t="s">
        <v>1643</v>
      </c>
      <c r="R1793" t="s">
        <v>1259</v>
      </c>
      <c r="S1793" t="s">
        <v>1260</v>
      </c>
      <c r="T1793" t="s">
        <v>1644</v>
      </c>
      <c r="U1793" t="s">
        <v>407</v>
      </c>
      <c r="V1793" t="s">
        <v>1645</v>
      </c>
      <c r="W1793" t="s">
        <v>1646</v>
      </c>
      <c r="AD1793" t="s">
        <v>410</v>
      </c>
      <c r="AE1793" t="s">
        <v>411</v>
      </c>
      <c r="AF1793" t="e">
        <f>-----------------MTVTAADLDAVATQLGRTPRGVLDISYRCPDGAPGVVKTAPKLDDGTPFPTLYYLTDPRLTSEASRLEVAHVMKWMTARLETDAELRADYQRAHEYFLAKRNAIEDLGTDFSGGGMPDRVKCLHVLIAYALAEGPQHFRLGTEAVAMAADHAGLRGTAVPDDWPTCADLSINLEDFDFTHAEV--------GR</f>
        <v>#NAME?</v>
      </c>
    </row>
    <row r="1794" spans="1:32" hidden="1" x14ac:dyDescent="0.35">
      <c r="A1794">
        <v>802</v>
      </c>
      <c r="B1794" t="s">
        <v>1641</v>
      </c>
      <c r="C1794" t="s">
        <v>72</v>
      </c>
      <c r="D1794" t="s">
        <v>34</v>
      </c>
      <c r="E1794">
        <v>301</v>
      </c>
      <c r="F1794">
        <v>5</v>
      </c>
      <c r="G1794">
        <v>5</v>
      </c>
      <c r="H1794">
        <v>1</v>
      </c>
      <c r="I1794">
        <v>1</v>
      </c>
      <c r="J1794">
        <v>0.85300988319856197</v>
      </c>
      <c r="K1794">
        <v>0.89224652540442095</v>
      </c>
      <c r="L1794">
        <v>0.87218714759372096</v>
      </c>
      <c r="M1794">
        <v>0.63333333333333297</v>
      </c>
      <c r="N1794">
        <v>1</v>
      </c>
      <c r="O1794">
        <v>0.74666666666666703</v>
      </c>
      <c r="P1794" t="s">
        <v>1642</v>
      </c>
      <c r="Q1794" t="s">
        <v>1643</v>
      </c>
      <c r="R1794" t="s">
        <v>1259</v>
      </c>
      <c r="S1794" t="s">
        <v>1260</v>
      </c>
      <c r="T1794" t="s">
        <v>1644</v>
      </c>
      <c r="U1794" t="s">
        <v>407</v>
      </c>
      <c r="V1794" t="s">
        <v>1645</v>
      </c>
      <c r="W1794" t="s">
        <v>1646</v>
      </c>
      <c r="AD1794" t="s">
        <v>410</v>
      </c>
      <c r="AE1794" t="s">
        <v>411</v>
      </c>
      <c r="AF1794" t="s">
        <v>1648</v>
      </c>
    </row>
    <row r="1795" spans="1:32" hidden="1" x14ac:dyDescent="0.35">
      <c r="A1795">
        <v>803</v>
      </c>
      <c r="B1795" t="s">
        <v>1641</v>
      </c>
      <c r="C1795" t="s">
        <v>72</v>
      </c>
      <c r="D1795" t="s">
        <v>45</v>
      </c>
      <c r="E1795">
        <v>1563</v>
      </c>
      <c r="F1795">
        <v>5</v>
      </c>
      <c r="G1795">
        <v>5</v>
      </c>
      <c r="H1795">
        <v>1</v>
      </c>
      <c r="I1795">
        <v>1</v>
      </c>
      <c r="J1795">
        <v>0.85300988319856197</v>
      </c>
      <c r="K1795">
        <v>0.89224652540442095</v>
      </c>
      <c r="L1795">
        <v>0.87218714759372096</v>
      </c>
      <c r="M1795">
        <v>0.63333333333333297</v>
      </c>
      <c r="N1795">
        <v>1</v>
      </c>
      <c r="O1795">
        <v>0.74666666666666703</v>
      </c>
      <c r="P1795" t="s">
        <v>1642</v>
      </c>
      <c r="Q1795" t="s">
        <v>1643</v>
      </c>
      <c r="R1795" t="s">
        <v>1259</v>
      </c>
      <c r="S1795" t="s">
        <v>1260</v>
      </c>
      <c r="T1795" t="s">
        <v>1644</v>
      </c>
      <c r="U1795" t="s">
        <v>407</v>
      </c>
      <c r="V1795" t="s">
        <v>1645</v>
      </c>
      <c r="W1795" t="s">
        <v>1646</v>
      </c>
      <c r="AD1795" t="s">
        <v>410</v>
      </c>
      <c r="AE1795" t="s">
        <v>411</v>
      </c>
      <c r="AF1795" t="s">
        <v>1648</v>
      </c>
    </row>
    <row r="1796" spans="1:32" hidden="1" x14ac:dyDescent="0.35">
      <c r="A1796">
        <v>884</v>
      </c>
      <c r="B1796" t="s">
        <v>1843</v>
      </c>
      <c r="C1796" t="s">
        <v>72</v>
      </c>
      <c r="D1796" t="s">
        <v>58</v>
      </c>
      <c r="E1796">
        <v>120</v>
      </c>
      <c r="F1796">
        <v>5</v>
      </c>
      <c r="G1796">
        <v>5</v>
      </c>
      <c r="H1796">
        <v>1</v>
      </c>
      <c r="I1796">
        <v>1</v>
      </c>
      <c r="J1796">
        <v>0.757943736085813</v>
      </c>
      <c r="K1796">
        <v>0.89988417676407695</v>
      </c>
      <c r="L1796">
        <v>0.822837605392434</v>
      </c>
      <c r="M1796">
        <v>0.47826086956521702</v>
      </c>
      <c r="N1796">
        <v>1</v>
      </c>
      <c r="O1796">
        <v>0.64239130434782599</v>
      </c>
      <c r="P1796" t="s">
        <v>1844</v>
      </c>
      <c r="Q1796" t="s">
        <v>1845</v>
      </c>
      <c r="R1796" t="s">
        <v>1259</v>
      </c>
      <c r="S1796" t="s">
        <v>1260</v>
      </c>
      <c r="V1796" t="s">
        <v>1846</v>
      </c>
      <c r="W1796" t="s">
        <v>1847</v>
      </c>
      <c r="AF1796" t="e">
        <f>----------------MSTKDGLYTDGAHDFAPKADSIPLVDVDTRPAGEGSIGDLISDATTHMSSLFRSEVELAKAELAAEAKKGVVGGGLFGVAGAIALYSTFFFFFFVAALLSLWLPVWAATLIVFLLMLAVAGSLALVGFKKVRGVSAPKETIESVNELKKLVPGKAQKRLSGNTSGMYT</f>
        <v>#NAME?</v>
      </c>
    </row>
    <row r="1797" spans="1:32" hidden="1" x14ac:dyDescent="0.35">
      <c r="A1797">
        <v>885</v>
      </c>
      <c r="B1797" t="s">
        <v>1843</v>
      </c>
      <c r="C1797" t="s">
        <v>72</v>
      </c>
      <c r="D1797" t="s">
        <v>60</v>
      </c>
      <c r="E1797">
        <v>213</v>
      </c>
      <c r="F1797">
        <v>5</v>
      </c>
      <c r="G1797">
        <v>5</v>
      </c>
      <c r="H1797">
        <v>1</v>
      </c>
      <c r="I1797">
        <v>1</v>
      </c>
      <c r="J1797">
        <v>0.757943736085813</v>
      </c>
      <c r="K1797">
        <v>0.89988417676407695</v>
      </c>
      <c r="L1797">
        <v>0.822837605392434</v>
      </c>
      <c r="M1797">
        <v>0.47826086956521702</v>
      </c>
      <c r="N1797">
        <v>1</v>
      </c>
      <c r="O1797">
        <v>0.64239130434782599</v>
      </c>
      <c r="P1797" t="s">
        <v>1844</v>
      </c>
      <c r="Q1797" t="s">
        <v>1845</v>
      </c>
      <c r="R1797" t="s">
        <v>1259</v>
      </c>
      <c r="S1797" t="s">
        <v>1260</v>
      </c>
      <c r="V1797" t="s">
        <v>1846</v>
      </c>
      <c r="W1797" t="s">
        <v>1847</v>
      </c>
      <c r="AF1797" t="e">
        <f>----------------MSNTNGLFTDGSDPYAPRANSIPLTDSDAYTAENGSIGDLVSDATAQMSSLVRAEVELAKAEIATEVKKGVWGGGLFGVAGIIALYSSFFFFFFVAEVLNIWLQRWAAFLIVFIIMLVLAGLFALFGWRKVKKIGMPKETIESVTELRQLIPGKGSKAIDAPDGGMYS</f>
        <v>#NAME?</v>
      </c>
    </row>
    <row r="1798" spans="1:32" hidden="1" x14ac:dyDescent="0.35">
      <c r="A1798">
        <v>886</v>
      </c>
      <c r="B1798" t="s">
        <v>1843</v>
      </c>
      <c r="C1798" t="s">
        <v>72</v>
      </c>
      <c r="D1798" t="s">
        <v>62</v>
      </c>
      <c r="E1798">
        <v>290</v>
      </c>
      <c r="F1798">
        <v>5</v>
      </c>
      <c r="G1798">
        <v>5</v>
      </c>
      <c r="H1798">
        <v>1</v>
      </c>
      <c r="I1798">
        <v>1</v>
      </c>
      <c r="J1798">
        <v>0.757943736085813</v>
      </c>
      <c r="K1798">
        <v>0.89988417676407695</v>
      </c>
      <c r="L1798">
        <v>0.822837605392434</v>
      </c>
      <c r="M1798">
        <v>0.47826086956521702</v>
      </c>
      <c r="N1798">
        <v>1</v>
      </c>
      <c r="O1798">
        <v>0.64239130434782599</v>
      </c>
      <c r="P1798" t="s">
        <v>1844</v>
      </c>
      <c r="Q1798" t="s">
        <v>1845</v>
      </c>
      <c r="R1798" t="s">
        <v>1259</v>
      </c>
      <c r="S1798" t="s">
        <v>1260</v>
      </c>
      <c r="V1798" t="s">
        <v>1846</v>
      </c>
      <c r="W1798" t="s">
        <v>1847</v>
      </c>
      <c r="AF1798" t="e">
        <f>----------------MSNTNGLFTDGSDPYAPRANSIPLTDSDAYTAENGSIGDLVSDATAQMSSLVRAEVELAKAEIATEVKKGVWGGGLFGVAGIIALYSSFFFFFFVAEVLNIWLQRWAAFLIVFIIMLVLAGLFALFGWRKVKKIGMPKETIESVTELRQLIPGKGSKAIDAPDGGMYS</f>
        <v>#NAME?</v>
      </c>
    </row>
    <row r="1799" spans="1:32" hidden="1" x14ac:dyDescent="0.35">
      <c r="A1799">
        <v>887</v>
      </c>
      <c r="B1799" t="s">
        <v>1843</v>
      </c>
      <c r="C1799" t="s">
        <v>72</v>
      </c>
      <c r="D1799" t="s">
        <v>34</v>
      </c>
      <c r="E1799">
        <v>1237</v>
      </c>
      <c r="F1799">
        <v>5</v>
      </c>
      <c r="G1799">
        <v>5</v>
      </c>
      <c r="H1799">
        <v>1</v>
      </c>
      <c r="I1799">
        <v>1</v>
      </c>
      <c r="J1799">
        <v>0.757943736085813</v>
      </c>
      <c r="K1799">
        <v>0.89988417676407695</v>
      </c>
      <c r="L1799">
        <v>0.822837605392434</v>
      </c>
      <c r="M1799">
        <v>0.47826086956521702</v>
      </c>
      <c r="N1799">
        <v>1</v>
      </c>
      <c r="O1799">
        <v>0.64239130434782599</v>
      </c>
      <c r="P1799" t="s">
        <v>1844</v>
      </c>
      <c r="Q1799" t="s">
        <v>1845</v>
      </c>
      <c r="R1799" t="s">
        <v>1259</v>
      </c>
      <c r="S1799" t="s">
        <v>1260</v>
      </c>
      <c r="V1799" t="s">
        <v>1846</v>
      </c>
      <c r="W1799" t="s">
        <v>1847</v>
      </c>
      <c r="AF1799" t="s">
        <v>1848</v>
      </c>
    </row>
    <row r="1800" spans="1:32" hidden="1" x14ac:dyDescent="0.35">
      <c r="A1800">
        <v>888</v>
      </c>
      <c r="B1800" t="s">
        <v>1843</v>
      </c>
      <c r="C1800" t="s">
        <v>72</v>
      </c>
      <c r="D1800" t="s">
        <v>45</v>
      </c>
      <c r="E1800">
        <v>2481</v>
      </c>
      <c r="F1800">
        <v>5</v>
      </c>
      <c r="G1800">
        <v>5</v>
      </c>
      <c r="H1800">
        <v>1</v>
      </c>
      <c r="I1800">
        <v>1</v>
      </c>
      <c r="J1800">
        <v>0.757943736085813</v>
      </c>
      <c r="K1800">
        <v>0.89988417676407695</v>
      </c>
      <c r="L1800">
        <v>0.822837605392434</v>
      </c>
      <c r="M1800">
        <v>0.47826086956521702</v>
      </c>
      <c r="N1800">
        <v>1</v>
      </c>
      <c r="O1800">
        <v>0.64239130434782599</v>
      </c>
      <c r="P1800" t="s">
        <v>1844</v>
      </c>
      <c r="Q1800" t="s">
        <v>1845</v>
      </c>
      <c r="R1800" t="s">
        <v>1259</v>
      </c>
      <c r="S1800" t="s">
        <v>1260</v>
      </c>
      <c r="V1800" t="s">
        <v>1846</v>
      </c>
      <c r="W1800" t="s">
        <v>1847</v>
      </c>
      <c r="AF1800" t="s">
        <v>1848</v>
      </c>
    </row>
    <row r="1801" spans="1:32" hidden="1" x14ac:dyDescent="0.35">
      <c r="A1801">
        <v>1132</v>
      </c>
      <c r="B1801" t="s">
        <v>2341</v>
      </c>
      <c r="C1801" t="s">
        <v>72</v>
      </c>
      <c r="D1801" t="s">
        <v>34</v>
      </c>
      <c r="E1801">
        <v>2170</v>
      </c>
      <c r="F1801">
        <v>5</v>
      </c>
      <c r="G1801">
        <v>5</v>
      </c>
      <c r="H1801">
        <v>1</v>
      </c>
      <c r="I1801">
        <v>1</v>
      </c>
      <c r="J1801">
        <v>0.74802477044629501</v>
      </c>
      <c r="K1801">
        <v>0.95278692204099802</v>
      </c>
      <c r="L1801">
        <v>0.83808010233240304</v>
      </c>
      <c r="M1801">
        <v>0.53048780487804903</v>
      </c>
      <c r="N1801">
        <v>1</v>
      </c>
      <c r="O1801">
        <v>0.64756097560975601</v>
      </c>
      <c r="P1801" t="s">
        <v>2342</v>
      </c>
      <c r="Q1801" t="s">
        <v>2343</v>
      </c>
      <c r="R1801" t="s">
        <v>1259</v>
      </c>
      <c r="S1801" t="s">
        <v>1260</v>
      </c>
      <c r="V1801" t="s">
        <v>2344</v>
      </c>
      <c r="W1801" t="s">
        <v>2345</v>
      </c>
      <c r="AF1801" t="s">
        <v>2346</v>
      </c>
    </row>
    <row r="1802" spans="1:32" hidden="1" x14ac:dyDescent="0.35">
      <c r="A1802">
        <v>1133</v>
      </c>
      <c r="B1802" t="s">
        <v>2341</v>
      </c>
      <c r="C1802" t="s">
        <v>72</v>
      </c>
      <c r="D1802" t="s">
        <v>45</v>
      </c>
      <c r="E1802">
        <v>703</v>
      </c>
      <c r="F1802">
        <v>5</v>
      </c>
      <c r="G1802">
        <v>5</v>
      </c>
      <c r="H1802">
        <v>1</v>
      </c>
      <c r="I1802">
        <v>1</v>
      </c>
      <c r="J1802">
        <v>0.74802477044629501</v>
      </c>
      <c r="K1802">
        <v>0.95278692204099802</v>
      </c>
      <c r="L1802">
        <v>0.83808010233240304</v>
      </c>
      <c r="M1802">
        <v>0.53048780487804903</v>
      </c>
      <c r="N1802">
        <v>1</v>
      </c>
      <c r="O1802">
        <v>0.64756097560975601</v>
      </c>
      <c r="P1802" t="s">
        <v>2342</v>
      </c>
      <c r="Q1802" t="s">
        <v>2343</v>
      </c>
      <c r="R1802" t="s">
        <v>1259</v>
      </c>
      <c r="S1802" t="s">
        <v>1260</v>
      </c>
      <c r="V1802" t="s">
        <v>2344</v>
      </c>
      <c r="W1802" t="s">
        <v>2345</v>
      </c>
      <c r="AF1802" t="s">
        <v>2347</v>
      </c>
    </row>
    <row r="1803" spans="1:32" hidden="1" x14ac:dyDescent="0.35">
      <c r="A1803">
        <v>1229</v>
      </c>
      <c r="B1803" t="s">
        <v>2552</v>
      </c>
      <c r="C1803" t="s">
        <v>72</v>
      </c>
      <c r="D1803" t="s">
        <v>58</v>
      </c>
      <c r="E1803">
        <v>568</v>
      </c>
      <c r="F1803">
        <v>5</v>
      </c>
      <c r="G1803">
        <v>5</v>
      </c>
      <c r="H1803">
        <v>1</v>
      </c>
      <c r="I1803">
        <v>1</v>
      </c>
      <c r="J1803">
        <v>0.69625458121033301</v>
      </c>
      <c r="K1803">
        <v>0.95729549798958702</v>
      </c>
      <c r="L1803">
        <v>0.80617017220280096</v>
      </c>
      <c r="M1803">
        <v>0.48974358974359</v>
      </c>
      <c r="N1803">
        <v>1</v>
      </c>
      <c r="O1803">
        <v>0.60512820512820498</v>
      </c>
      <c r="P1803" t="s">
        <v>495</v>
      </c>
      <c r="Q1803" t="s">
        <v>496</v>
      </c>
      <c r="R1803" t="s">
        <v>1259</v>
      </c>
      <c r="S1803" t="s">
        <v>1260</v>
      </c>
      <c r="T1803" t="s">
        <v>2553</v>
      </c>
      <c r="U1803" t="s">
        <v>2554</v>
      </c>
      <c r="V1803" t="s">
        <v>2555</v>
      </c>
      <c r="W1803" t="s">
        <v>2556</v>
      </c>
      <c r="AD1803" t="s">
        <v>410</v>
      </c>
      <c r="AE1803" t="s">
        <v>501</v>
      </c>
      <c r="AF1803" t="e">
        <f>----MGFSARRRIN---TSSGRSVPVRIATGGVLAGLVVGGGVVVSMNKDVELVVNGDTQHIKTMAGSVDSVLRQAGIEVGDKDMVVPAPSEKIGDNATITVRTARPVAVTIDGVTQNIDTTALTIEELLNQLS--VGS---SDAVDVPSDQQIPTSGLSIGIATPKPVTVDNAGNVENLVVAANTVKDLLDRLGIAYDDDDVVEPALDTPVTPDMTARVTRIQNDEVTETKPYEAPAEYVDNPELNEGEENILEPAKPGTKRIVSTIRKVNGVEEARDVIEDVALTPAAPAKIERGTK--PAAPAMAEGSVWDSIAQCESTGNWAINTGNGFFGGLQFTPSTWLSFGGGEYAPSAHLATREQQIAIAQKVQAAQGWGAWPACTAKLGLR</f>
        <v>#NAME?</v>
      </c>
    </row>
    <row r="1804" spans="1:32" hidden="1" x14ac:dyDescent="0.35">
      <c r="A1804">
        <v>1230</v>
      </c>
      <c r="B1804" t="s">
        <v>2552</v>
      </c>
      <c r="C1804" t="s">
        <v>72</v>
      </c>
      <c r="D1804" t="s">
        <v>60</v>
      </c>
      <c r="E1804">
        <v>793</v>
      </c>
      <c r="F1804">
        <v>5</v>
      </c>
      <c r="G1804">
        <v>5</v>
      </c>
      <c r="H1804">
        <v>1</v>
      </c>
      <c r="I1804">
        <v>1</v>
      </c>
      <c r="J1804">
        <v>0.69625458121033301</v>
      </c>
      <c r="K1804">
        <v>0.95729549798958702</v>
      </c>
      <c r="L1804">
        <v>0.80617017220280096</v>
      </c>
      <c r="M1804">
        <v>0.48974358974359</v>
      </c>
      <c r="N1804">
        <v>1</v>
      </c>
      <c r="O1804">
        <v>0.60512820512820498</v>
      </c>
      <c r="P1804" t="s">
        <v>495</v>
      </c>
      <c r="Q1804" t="s">
        <v>496</v>
      </c>
      <c r="R1804" t="s">
        <v>1259</v>
      </c>
      <c r="S1804" t="s">
        <v>1260</v>
      </c>
      <c r="T1804" t="s">
        <v>2553</v>
      </c>
      <c r="U1804" t="s">
        <v>2554</v>
      </c>
      <c r="V1804" t="s">
        <v>2555</v>
      </c>
      <c r="W1804" t="s">
        <v>2556</v>
      </c>
      <c r="AD1804" t="s">
        <v>410</v>
      </c>
      <c r="AE1804" t="s">
        <v>501</v>
      </c>
      <c r="AF1804" t="s">
        <v>2557</v>
      </c>
    </row>
    <row r="1805" spans="1:32" hidden="1" x14ac:dyDescent="0.35">
      <c r="A1805">
        <v>1231</v>
      </c>
      <c r="B1805" t="s">
        <v>2552</v>
      </c>
      <c r="C1805" t="s">
        <v>72</v>
      </c>
      <c r="D1805" t="s">
        <v>62</v>
      </c>
      <c r="E1805">
        <v>826</v>
      </c>
      <c r="F1805">
        <v>5</v>
      </c>
      <c r="G1805">
        <v>5</v>
      </c>
      <c r="H1805">
        <v>1</v>
      </c>
      <c r="I1805">
        <v>1</v>
      </c>
      <c r="J1805">
        <v>0.69625458121033301</v>
      </c>
      <c r="K1805">
        <v>0.95729549798958702</v>
      </c>
      <c r="L1805">
        <v>0.80617017220280096</v>
      </c>
      <c r="M1805">
        <v>0.48974358974359</v>
      </c>
      <c r="N1805">
        <v>1</v>
      </c>
      <c r="O1805">
        <v>0.60512820512820498</v>
      </c>
      <c r="P1805" t="s">
        <v>495</v>
      </c>
      <c r="Q1805" t="s">
        <v>496</v>
      </c>
      <c r="R1805" t="s">
        <v>1259</v>
      </c>
      <c r="S1805" t="s">
        <v>1260</v>
      </c>
      <c r="T1805" t="s">
        <v>2553</v>
      </c>
      <c r="U1805" t="s">
        <v>2554</v>
      </c>
      <c r="V1805" t="s">
        <v>2555</v>
      </c>
      <c r="W1805" t="s">
        <v>2556</v>
      </c>
      <c r="AD1805" t="s">
        <v>410</v>
      </c>
      <c r="AE1805" t="s">
        <v>501</v>
      </c>
      <c r="AF1805" t="s">
        <v>2558</v>
      </c>
    </row>
    <row r="1806" spans="1:32" hidden="1" x14ac:dyDescent="0.35">
      <c r="A1806">
        <v>1232</v>
      </c>
      <c r="B1806" t="s">
        <v>2552</v>
      </c>
      <c r="C1806" t="s">
        <v>72</v>
      </c>
      <c r="D1806" t="s">
        <v>34</v>
      </c>
      <c r="E1806">
        <v>343</v>
      </c>
      <c r="F1806">
        <v>5</v>
      </c>
      <c r="G1806">
        <v>5</v>
      </c>
      <c r="H1806">
        <v>1</v>
      </c>
      <c r="I1806">
        <v>1</v>
      </c>
      <c r="J1806">
        <v>0.69625458121033301</v>
      </c>
      <c r="K1806">
        <v>0.95729549798958702</v>
      </c>
      <c r="L1806">
        <v>0.80617017220280096</v>
      </c>
      <c r="M1806">
        <v>0.48974358974359</v>
      </c>
      <c r="N1806">
        <v>1</v>
      </c>
      <c r="O1806">
        <v>0.60512820512820498</v>
      </c>
      <c r="P1806" t="s">
        <v>495</v>
      </c>
      <c r="Q1806" t="s">
        <v>496</v>
      </c>
      <c r="R1806" t="s">
        <v>1259</v>
      </c>
      <c r="S1806" t="s">
        <v>1260</v>
      </c>
      <c r="T1806" t="s">
        <v>2553</v>
      </c>
      <c r="U1806" t="s">
        <v>2554</v>
      </c>
      <c r="V1806" t="s">
        <v>2555</v>
      </c>
      <c r="W1806" t="s">
        <v>2556</v>
      </c>
      <c r="AD1806" t="s">
        <v>410</v>
      </c>
      <c r="AE1806" t="s">
        <v>501</v>
      </c>
      <c r="AF1806" t="e">
        <f>-----------------MNSSRSVPLRLATSGVLATLVVGGVAVAANKKDVVIDLNGDQLALATLSQDVGGALRSAGIEVADGDIVQPAADAKLGNDEKITVRTVKDVAVVVDGQKKVVKTNATTVGEMVSQLDS-IGAAIKALGLSTPVDTKLQKSGMSVDVVTPKIVSITDGGKTSYVSLAAATVKDALAARGIELGPHDRVTPELTSAVSGNMKINIDRVTVDDVQVKEAYDEEPTFVDNPDAMQGVESVVEAGSPGEREVTRRITKVNGVESANDVVSQNVLVPAKKATISRGTKV-SRVPTVPDGSVWDRLAQCESTGNWAINTGNGFHGGLQFTPQTWLAYGGGEYAPYAYQATREEQIAVAQKVQASQGWGAWPACTAKMGLR</f>
        <v>#NAME?</v>
      </c>
    </row>
    <row r="1807" spans="1:32" hidden="1" x14ac:dyDescent="0.35">
      <c r="A1807">
        <v>1233</v>
      </c>
      <c r="B1807" t="s">
        <v>2552</v>
      </c>
      <c r="C1807" t="s">
        <v>72</v>
      </c>
      <c r="D1807" t="s">
        <v>45</v>
      </c>
      <c r="E1807">
        <v>1605</v>
      </c>
      <c r="F1807">
        <v>5</v>
      </c>
      <c r="G1807">
        <v>5</v>
      </c>
      <c r="H1807">
        <v>1</v>
      </c>
      <c r="I1807">
        <v>1</v>
      </c>
      <c r="J1807">
        <v>0.69625458121033301</v>
      </c>
      <c r="K1807">
        <v>0.95729549798958702</v>
      </c>
      <c r="L1807">
        <v>0.80617017220280096</v>
      </c>
      <c r="M1807">
        <v>0.48974358974359</v>
      </c>
      <c r="N1807">
        <v>1</v>
      </c>
      <c r="O1807">
        <v>0.60512820512820498</v>
      </c>
      <c r="P1807" t="s">
        <v>495</v>
      </c>
      <c r="Q1807" t="s">
        <v>496</v>
      </c>
      <c r="R1807" t="s">
        <v>1259</v>
      </c>
      <c r="S1807" t="s">
        <v>1260</v>
      </c>
      <c r="T1807" t="s">
        <v>2553</v>
      </c>
      <c r="U1807" t="s">
        <v>2554</v>
      </c>
      <c r="V1807" t="s">
        <v>2555</v>
      </c>
      <c r="W1807" t="s">
        <v>2556</v>
      </c>
      <c r="AD1807" t="s">
        <v>410</v>
      </c>
      <c r="AE1807" t="s">
        <v>501</v>
      </c>
      <c r="AF1807" t="e">
        <f>-----------------MNSSRSVPLRLATSGVLATLVVGGVAVAANKKDVVIDLNGDQLALATLSQDVGGALRSAGIEVADGDIVQPAADAKLGNDEKITVRTVKDVAVVVDGQKKVVKTNATTVGEMVSQLDS-IGAAIKALGLSTPVDTKLQKSGMSVDVVTPKIVSITDGGKTSYVSLAAATVKDALAARGIELGPHDRVTPELTSAVSGNMKINIDRVTVDDVQVKEAYDEEPTFVDNPDAMQGVESVVEAGSPGEREVTRRITKVNGVESANDVVSQNVLVPAKKATISRGTKV-SRVPTVPDGSVWDRLAQCESTGNWAINTGNGFHGGLQFTPQTWLAYGGGEYAPYAYQATREEQIAVAQKVQASQGWGAWPACTAKMGLR</f>
        <v>#NAME?</v>
      </c>
    </row>
    <row r="1808" spans="1:32" hidden="1" x14ac:dyDescent="0.35">
      <c r="A1808">
        <v>1399</v>
      </c>
      <c r="B1808" t="s">
        <v>2919</v>
      </c>
      <c r="C1808" t="s">
        <v>72</v>
      </c>
      <c r="D1808" t="s">
        <v>58</v>
      </c>
      <c r="E1808">
        <v>731</v>
      </c>
      <c r="F1808">
        <v>5</v>
      </c>
      <c r="G1808">
        <v>5</v>
      </c>
      <c r="H1808">
        <v>1</v>
      </c>
      <c r="I1808">
        <v>1</v>
      </c>
      <c r="J1808">
        <v>0.799279279279279</v>
      </c>
      <c r="K1808">
        <v>0.92813567839195699</v>
      </c>
      <c r="L1808">
        <v>0.85890146175253401</v>
      </c>
      <c r="M1808">
        <v>0.57499999999999996</v>
      </c>
      <c r="N1808">
        <v>1</v>
      </c>
      <c r="O1808">
        <v>0.71099999999999997</v>
      </c>
      <c r="P1808" t="s">
        <v>2920</v>
      </c>
      <c r="Q1808" t="s">
        <v>2921</v>
      </c>
      <c r="R1808" t="s">
        <v>1259</v>
      </c>
      <c r="S1808" t="s">
        <v>1260</v>
      </c>
      <c r="V1808" t="s">
        <v>2922</v>
      </c>
      <c r="W1808" t="s">
        <v>2923</v>
      </c>
      <c r="AF1808" t="s">
        <v>2924</v>
      </c>
    </row>
    <row r="1809" spans="1:32" hidden="1" x14ac:dyDescent="0.35">
      <c r="A1809">
        <v>1400</v>
      </c>
      <c r="B1809" t="s">
        <v>2919</v>
      </c>
      <c r="C1809" t="s">
        <v>72</v>
      </c>
      <c r="D1809" t="s">
        <v>60</v>
      </c>
      <c r="E1809">
        <v>948</v>
      </c>
      <c r="F1809">
        <v>5</v>
      </c>
      <c r="G1809">
        <v>5</v>
      </c>
      <c r="H1809">
        <v>1</v>
      </c>
      <c r="I1809">
        <v>1</v>
      </c>
      <c r="J1809">
        <v>0.799279279279279</v>
      </c>
      <c r="K1809">
        <v>0.92813567839195699</v>
      </c>
      <c r="L1809">
        <v>0.85890146175253401</v>
      </c>
      <c r="M1809">
        <v>0.57499999999999996</v>
      </c>
      <c r="N1809">
        <v>1</v>
      </c>
      <c r="O1809">
        <v>0.71099999999999997</v>
      </c>
      <c r="P1809" t="s">
        <v>2920</v>
      </c>
      <c r="Q1809" t="s">
        <v>2921</v>
      </c>
      <c r="R1809" t="s">
        <v>1259</v>
      </c>
      <c r="S1809" t="s">
        <v>1260</v>
      </c>
      <c r="V1809" t="s">
        <v>2922</v>
      </c>
      <c r="W1809" t="s">
        <v>2923</v>
      </c>
      <c r="AF1809" t="s">
        <v>2925</v>
      </c>
    </row>
    <row r="1810" spans="1:32" hidden="1" x14ac:dyDescent="0.35">
      <c r="A1810">
        <v>1401</v>
      </c>
      <c r="B1810" t="s">
        <v>2919</v>
      </c>
      <c r="C1810" t="s">
        <v>72</v>
      </c>
      <c r="D1810" t="s">
        <v>62</v>
      </c>
      <c r="E1810">
        <v>984</v>
      </c>
      <c r="F1810">
        <v>5</v>
      </c>
      <c r="G1810">
        <v>5</v>
      </c>
      <c r="H1810">
        <v>1</v>
      </c>
      <c r="I1810">
        <v>1</v>
      </c>
      <c r="J1810">
        <v>0.799279279279279</v>
      </c>
      <c r="K1810">
        <v>0.92813567839195699</v>
      </c>
      <c r="L1810">
        <v>0.85890146175253401</v>
      </c>
      <c r="M1810">
        <v>0.57499999999999996</v>
      </c>
      <c r="N1810">
        <v>1</v>
      </c>
      <c r="O1810">
        <v>0.71099999999999997</v>
      </c>
      <c r="P1810" t="s">
        <v>2920</v>
      </c>
      <c r="Q1810" t="s">
        <v>2921</v>
      </c>
      <c r="R1810" t="s">
        <v>1259</v>
      </c>
      <c r="S1810" t="s">
        <v>1260</v>
      </c>
      <c r="V1810" t="s">
        <v>2922</v>
      </c>
      <c r="W1810" t="s">
        <v>2923</v>
      </c>
      <c r="AF1810" t="s">
        <v>2925</v>
      </c>
    </row>
    <row r="1811" spans="1:32" hidden="1" x14ac:dyDescent="0.35">
      <c r="A1811">
        <v>1402</v>
      </c>
      <c r="B1811" t="s">
        <v>2919</v>
      </c>
      <c r="C1811" t="s">
        <v>72</v>
      </c>
      <c r="D1811" t="s">
        <v>34</v>
      </c>
      <c r="E1811">
        <v>212</v>
      </c>
      <c r="F1811">
        <v>5</v>
      </c>
      <c r="G1811">
        <v>5</v>
      </c>
      <c r="H1811">
        <v>1</v>
      </c>
      <c r="I1811">
        <v>1</v>
      </c>
      <c r="J1811">
        <v>0.799279279279279</v>
      </c>
      <c r="K1811">
        <v>0.92813567839195699</v>
      </c>
      <c r="L1811">
        <v>0.85890146175253401</v>
      </c>
      <c r="M1811">
        <v>0.57499999999999996</v>
      </c>
      <c r="N1811">
        <v>1</v>
      </c>
      <c r="O1811">
        <v>0.71099999999999997</v>
      </c>
      <c r="P1811" t="s">
        <v>2920</v>
      </c>
      <c r="Q1811" t="s">
        <v>2921</v>
      </c>
      <c r="R1811" t="s">
        <v>1259</v>
      </c>
      <c r="S1811" t="s">
        <v>1260</v>
      </c>
      <c r="V1811" t="s">
        <v>2922</v>
      </c>
      <c r="W1811" t="s">
        <v>2923</v>
      </c>
      <c r="AF1811" t="s">
        <v>2926</v>
      </c>
    </row>
    <row r="1812" spans="1:32" hidden="1" x14ac:dyDescent="0.35">
      <c r="A1812">
        <v>1403</v>
      </c>
      <c r="B1812" t="s">
        <v>2919</v>
      </c>
      <c r="C1812" t="s">
        <v>72</v>
      </c>
      <c r="D1812" t="s">
        <v>45</v>
      </c>
      <c r="E1812">
        <v>1475</v>
      </c>
      <c r="F1812">
        <v>5</v>
      </c>
      <c r="G1812">
        <v>5</v>
      </c>
      <c r="H1812">
        <v>1</v>
      </c>
      <c r="I1812">
        <v>1</v>
      </c>
      <c r="J1812">
        <v>0.799279279279279</v>
      </c>
      <c r="K1812">
        <v>0.92813567839195699</v>
      </c>
      <c r="L1812">
        <v>0.85890146175253401</v>
      </c>
      <c r="M1812">
        <v>0.57499999999999996</v>
      </c>
      <c r="N1812">
        <v>1</v>
      </c>
      <c r="O1812">
        <v>0.71099999999999997</v>
      </c>
      <c r="P1812" t="s">
        <v>2920</v>
      </c>
      <c r="Q1812" t="s">
        <v>2921</v>
      </c>
      <c r="R1812" t="s">
        <v>1259</v>
      </c>
      <c r="S1812" t="s">
        <v>1260</v>
      </c>
      <c r="V1812" t="s">
        <v>2922</v>
      </c>
      <c r="W1812" t="s">
        <v>2923</v>
      </c>
      <c r="AF1812" t="s">
        <v>2926</v>
      </c>
    </row>
    <row r="1813" spans="1:32" hidden="1" x14ac:dyDescent="0.35">
      <c r="A1813">
        <v>1489</v>
      </c>
      <c r="B1813" t="s">
        <v>3126</v>
      </c>
      <c r="C1813" t="s">
        <v>72</v>
      </c>
      <c r="D1813" t="s">
        <v>58</v>
      </c>
      <c r="E1813">
        <v>42</v>
      </c>
      <c r="F1813">
        <v>5</v>
      </c>
      <c r="G1813">
        <v>5</v>
      </c>
      <c r="H1813">
        <v>1</v>
      </c>
      <c r="I1813">
        <v>1</v>
      </c>
      <c r="J1813">
        <v>0.78425838820947003</v>
      </c>
      <c r="K1813">
        <v>0.97553516819571895</v>
      </c>
      <c r="L1813">
        <v>0.86950157973492703</v>
      </c>
      <c r="M1813">
        <v>0.63302752293578002</v>
      </c>
      <c r="N1813">
        <v>1</v>
      </c>
      <c r="O1813">
        <v>0.70825688073394499</v>
      </c>
      <c r="P1813" t="s">
        <v>3127</v>
      </c>
      <c r="Q1813" t="s">
        <v>3128</v>
      </c>
      <c r="R1813" t="s">
        <v>1259</v>
      </c>
      <c r="S1813" t="s">
        <v>1260</v>
      </c>
      <c r="V1813" t="s">
        <v>3129</v>
      </c>
      <c r="W1813" t="s">
        <v>3130</v>
      </c>
      <c r="AF1813" t="s">
        <v>3131</v>
      </c>
    </row>
    <row r="1814" spans="1:32" hidden="1" x14ac:dyDescent="0.35">
      <c r="A1814">
        <v>1490</v>
      </c>
      <c r="B1814" t="s">
        <v>3126</v>
      </c>
      <c r="C1814" t="s">
        <v>72</v>
      </c>
      <c r="D1814" t="s">
        <v>60</v>
      </c>
      <c r="E1814">
        <v>89</v>
      </c>
      <c r="F1814">
        <v>5</v>
      </c>
      <c r="G1814">
        <v>5</v>
      </c>
      <c r="H1814">
        <v>1</v>
      </c>
      <c r="I1814">
        <v>1</v>
      </c>
      <c r="J1814">
        <v>0.78425838820947003</v>
      </c>
      <c r="K1814">
        <v>0.97553516819571895</v>
      </c>
      <c r="L1814">
        <v>0.86950157973492703</v>
      </c>
      <c r="M1814">
        <v>0.63302752293578002</v>
      </c>
      <c r="N1814">
        <v>1</v>
      </c>
      <c r="O1814">
        <v>0.70825688073394499</v>
      </c>
      <c r="P1814" t="s">
        <v>3127</v>
      </c>
      <c r="Q1814" t="s">
        <v>3128</v>
      </c>
      <c r="R1814" t="s">
        <v>1259</v>
      </c>
      <c r="S1814" t="s">
        <v>1260</v>
      </c>
      <c r="V1814" t="s">
        <v>3129</v>
      </c>
      <c r="W1814" t="s">
        <v>3130</v>
      </c>
      <c r="AF1814" t="s">
        <v>3132</v>
      </c>
    </row>
    <row r="1815" spans="1:32" hidden="1" x14ac:dyDescent="0.35">
      <c r="A1815">
        <v>1491</v>
      </c>
      <c r="B1815" t="s">
        <v>3126</v>
      </c>
      <c r="C1815" t="s">
        <v>72</v>
      </c>
      <c r="D1815" t="s">
        <v>62</v>
      </c>
      <c r="E1815">
        <v>160</v>
      </c>
      <c r="F1815">
        <v>5</v>
      </c>
      <c r="G1815">
        <v>5</v>
      </c>
      <c r="H1815">
        <v>1</v>
      </c>
      <c r="I1815">
        <v>1</v>
      </c>
      <c r="J1815">
        <v>0.78425838820947003</v>
      </c>
      <c r="K1815">
        <v>0.97553516819571895</v>
      </c>
      <c r="L1815">
        <v>0.86950157973492703</v>
      </c>
      <c r="M1815">
        <v>0.63302752293578002</v>
      </c>
      <c r="N1815">
        <v>1</v>
      </c>
      <c r="O1815">
        <v>0.70825688073394499</v>
      </c>
      <c r="P1815" t="s">
        <v>3127</v>
      </c>
      <c r="Q1815" t="s">
        <v>3128</v>
      </c>
      <c r="R1815" t="s">
        <v>1259</v>
      </c>
      <c r="S1815" t="s">
        <v>1260</v>
      </c>
      <c r="V1815" t="s">
        <v>3129</v>
      </c>
      <c r="W1815" t="s">
        <v>3130</v>
      </c>
      <c r="AF1815" t="s">
        <v>3132</v>
      </c>
    </row>
    <row r="1816" spans="1:32" hidden="1" x14ac:dyDescent="0.35">
      <c r="A1816">
        <v>1492</v>
      </c>
      <c r="B1816" t="s">
        <v>3126</v>
      </c>
      <c r="C1816" t="s">
        <v>72</v>
      </c>
      <c r="D1816" t="s">
        <v>34</v>
      </c>
      <c r="E1816">
        <v>980</v>
      </c>
      <c r="F1816">
        <v>5</v>
      </c>
      <c r="G1816">
        <v>5</v>
      </c>
      <c r="H1816">
        <v>1</v>
      </c>
      <c r="I1816">
        <v>1</v>
      </c>
      <c r="J1816">
        <v>0.78425838820947003</v>
      </c>
      <c r="K1816">
        <v>0.97553516819571895</v>
      </c>
      <c r="L1816">
        <v>0.86950157973492703</v>
      </c>
      <c r="M1816">
        <v>0.63302752293578002</v>
      </c>
      <c r="N1816">
        <v>1</v>
      </c>
      <c r="O1816">
        <v>0.70825688073394499</v>
      </c>
      <c r="P1816" t="s">
        <v>3127</v>
      </c>
      <c r="Q1816" t="s">
        <v>3128</v>
      </c>
      <c r="R1816" t="s">
        <v>1259</v>
      </c>
      <c r="S1816" t="s">
        <v>1260</v>
      </c>
      <c r="V1816" t="s">
        <v>3129</v>
      </c>
      <c r="W1816" t="s">
        <v>3130</v>
      </c>
      <c r="AF1816" t="s">
        <v>3133</v>
      </c>
    </row>
    <row r="1817" spans="1:32" hidden="1" x14ac:dyDescent="0.35">
      <c r="A1817">
        <v>1493</v>
      </c>
      <c r="B1817" t="s">
        <v>3126</v>
      </c>
      <c r="C1817" t="s">
        <v>72</v>
      </c>
      <c r="D1817" t="s">
        <v>45</v>
      </c>
      <c r="E1817">
        <v>2235</v>
      </c>
      <c r="F1817">
        <v>5</v>
      </c>
      <c r="G1817">
        <v>5</v>
      </c>
      <c r="H1817">
        <v>1</v>
      </c>
      <c r="I1817">
        <v>1</v>
      </c>
      <c r="J1817">
        <v>0.78425838820947003</v>
      </c>
      <c r="K1817">
        <v>0.97553516819571895</v>
      </c>
      <c r="L1817">
        <v>0.86950157973492703</v>
      </c>
      <c r="M1817">
        <v>0.63302752293578002</v>
      </c>
      <c r="N1817">
        <v>1</v>
      </c>
      <c r="O1817">
        <v>0.70825688073394499</v>
      </c>
      <c r="P1817" t="s">
        <v>3127</v>
      </c>
      <c r="Q1817" t="s">
        <v>3128</v>
      </c>
      <c r="R1817" t="s">
        <v>1259</v>
      </c>
      <c r="S1817" t="s">
        <v>1260</v>
      </c>
      <c r="V1817" t="s">
        <v>3129</v>
      </c>
      <c r="W1817" t="s">
        <v>3130</v>
      </c>
      <c r="AF1817" t="s">
        <v>3133</v>
      </c>
    </row>
    <row r="1818" spans="1:32" hidden="1" x14ac:dyDescent="0.35">
      <c r="A1818">
        <v>1509</v>
      </c>
      <c r="B1818" t="s">
        <v>3159</v>
      </c>
      <c r="C1818" t="s">
        <v>72</v>
      </c>
      <c r="D1818" t="s">
        <v>58</v>
      </c>
      <c r="E1818">
        <v>308</v>
      </c>
      <c r="F1818">
        <v>5</v>
      </c>
      <c r="G1818">
        <v>5</v>
      </c>
      <c r="H1818">
        <v>1</v>
      </c>
      <c r="I1818">
        <v>1</v>
      </c>
      <c r="J1818">
        <v>0.85965619124362103</v>
      </c>
      <c r="K1818">
        <v>0.968329678362573</v>
      </c>
      <c r="L1818">
        <v>0.91076262350831205</v>
      </c>
      <c r="M1818">
        <v>0.70955165692007804</v>
      </c>
      <c r="N1818">
        <v>1</v>
      </c>
      <c r="O1818">
        <v>0.79922027290448305</v>
      </c>
      <c r="P1818" t="s">
        <v>3160</v>
      </c>
      <c r="Q1818" t="s">
        <v>3161</v>
      </c>
      <c r="R1818" t="s">
        <v>1259</v>
      </c>
      <c r="S1818" t="s">
        <v>1260</v>
      </c>
      <c r="V1818" t="s">
        <v>3162</v>
      </c>
      <c r="W1818" t="s">
        <v>3163</v>
      </c>
      <c r="AF1818" t="s">
        <v>3164</v>
      </c>
    </row>
    <row r="1819" spans="1:32" hidden="1" x14ac:dyDescent="0.35">
      <c r="A1819">
        <v>1510</v>
      </c>
      <c r="B1819" t="s">
        <v>3159</v>
      </c>
      <c r="C1819" t="s">
        <v>72</v>
      </c>
      <c r="D1819" t="s">
        <v>60</v>
      </c>
      <c r="E1819">
        <v>2500</v>
      </c>
      <c r="F1819">
        <v>5</v>
      </c>
      <c r="G1819">
        <v>5</v>
      </c>
      <c r="H1819">
        <v>1</v>
      </c>
      <c r="I1819">
        <v>1</v>
      </c>
      <c r="J1819">
        <v>0.85965619124362103</v>
      </c>
      <c r="K1819">
        <v>0.968329678362573</v>
      </c>
      <c r="L1819">
        <v>0.91076262350831205</v>
      </c>
      <c r="M1819">
        <v>0.70955165692007804</v>
      </c>
      <c r="N1819">
        <v>1</v>
      </c>
      <c r="O1819">
        <v>0.79922027290448305</v>
      </c>
      <c r="P1819" t="s">
        <v>3160</v>
      </c>
      <c r="Q1819" t="s">
        <v>3161</v>
      </c>
      <c r="R1819" t="s">
        <v>1259</v>
      </c>
      <c r="S1819" t="s">
        <v>1260</v>
      </c>
      <c r="V1819" t="s">
        <v>3162</v>
      </c>
      <c r="W1819" t="s">
        <v>3163</v>
      </c>
      <c r="AF1819" t="s">
        <v>3165</v>
      </c>
    </row>
    <row r="1820" spans="1:32" hidden="1" x14ac:dyDescent="0.35">
      <c r="A1820">
        <v>1511</v>
      </c>
      <c r="B1820" t="s">
        <v>3159</v>
      </c>
      <c r="C1820" t="s">
        <v>72</v>
      </c>
      <c r="D1820" t="s">
        <v>62</v>
      </c>
      <c r="E1820">
        <v>27</v>
      </c>
      <c r="F1820">
        <v>5</v>
      </c>
      <c r="G1820">
        <v>5</v>
      </c>
      <c r="H1820">
        <v>1</v>
      </c>
      <c r="I1820">
        <v>1</v>
      </c>
      <c r="J1820">
        <v>0.85965619124362103</v>
      </c>
      <c r="K1820">
        <v>0.968329678362573</v>
      </c>
      <c r="L1820">
        <v>0.91076262350831205</v>
      </c>
      <c r="M1820">
        <v>0.70955165692007804</v>
      </c>
      <c r="N1820">
        <v>1</v>
      </c>
      <c r="O1820">
        <v>0.79922027290448305</v>
      </c>
      <c r="P1820" t="s">
        <v>3160</v>
      </c>
      <c r="Q1820" t="s">
        <v>3161</v>
      </c>
      <c r="R1820" t="s">
        <v>1259</v>
      </c>
      <c r="S1820" t="s">
        <v>1260</v>
      </c>
      <c r="V1820" t="s">
        <v>3162</v>
      </c>
      <c r="W1820" t="s">
        <v>3163</v>
      </c>
      <c r="AF1820" t="s">
        <v>3165</v>
      </c>
    </row>
    <row r="1821" spans="1:32" hidden="1" x14ac:dyDescent="0.35">
      <c r="A1821">
        <v>1512</v>
      </c>
      <c r="B1821" t="s">
        <v>3159</v>
      </c>
      <c r="C1821" t="s">
        <v>72</v>
      </c>
      <c r="D1821" t="s">
        <v>34</v>
      </c>
      <c r="E1821">
        <v>1126</v>
      </c>
      <c r="F1821">
        <v>5</v>
      </c>
      <c r="G1821">
        <v>5</v>
      </c>
      <c r="H1821">
        <v>1</v>
      </c>
      <c r="I1821">
        <v>1</v>
      </c>
      <c r="J1821">
        <v>0.85965619124362103</v>
      </c>
      <c r="K1821">
        <v>0.968329678362573</v>
      </c>
      <c r="L1821">
        <v>0.91076262350831205</v>
      </c>
      <c r="M1821">
        <v>0.70955165692007804</v>
      </c>
      <c r="N1821">
        <v>1</v>
      </c>
      <c r="O1821">
        <v>0.79922027290448305</v>
      </c>
      <c r="P1821" t="s">
        <v>3160</v>
      </c>
      <c r="Q1821" t="s">
        <v>3161</v>
      </c>
      <c r="R1821" t="s">
        <v>1259</v>
      </c>
      <c r="S1821" t="s">
        <v>1260</v>
      </c>
      <c r="V1821" t="s">
        <v>3162</v>
      </c>
      <c r="W1821" t="s">
        <v>3163</v>
      </c>
      <c r="AF1821" t="s">
        <v>3166</v>
      </c>
    </row>
    <row r="1822" spans="1:32" hidden="1" x14ac:dyDescent="0.35">
      <c r="A1822">
        <v>1513</v>
      </c>
      <c r="B1822" t="s">
        <v>3159</v>
      </c>
      <c r="C1822" t="s">
        <v>72</v>
      </c>
      <c r="D1822" t="s">
        <v>45</v>
      </c>
      <c r="E1822">
        <v>2377</v>
      </c>
      <c r="F1822">
        <v>5</v>
      </c>
      <c r="G1822">
        <v>5</v>
      </c>
      <c r="H1822">
        <v>1</v>
      </c>
      <c r="I1822">
        <v>1</v>
      </c>
      <c r="J1822">
        <v>0.85965619124362103</v>
      </c>
      <c r="K1822">
        <v>0.968329678362573</v>
      </c>
      <c r="L1822">
        <v>0.91076262350831205</v>
      </c>
      <c r="M1822">
        <v>0.70955165692007804</v>
      </c>
      <c r="N1822">
        <v>1</v>
      </c>
      <c r="O1822">
        <v>0.79922027290448305</v>
      </c>
      <c r="P1822" t="s">
        <v>3160</v>
      </c>
      <c r="Q1822" t="s">
        <v>3161</v>
      </c>
      <c r="R1822" t="s">
        <v>1259</v>
      </c>
      <c r="S1822" t="s">
        <v>1260</v>
      </c>
      <c r="V1822" t="s">
        <v>3162</v>
      </c>
      <c r="W1822" t="s">
        <v>3163</v>
      </c>
      <c r="AF1822" t="s">
        <v>3166</v>
      </c>
    </row>
    <row r="1823" spans="1:32" hidden="1" x14ac:dyDescent="0.35">
      <c r="A1823">
        <v>1564</v>
      </c>
      <c r="B1823" t="s">
        <v>3285</v>
      </c>
      <c r="C1823" t="s">
        <v>72</v>
      </c>
      <c r="D1823" t="s">
        <v>58</v>
      </c>
      <c r="E1823">
        <v>1735</v>
      </c>
      <c r="F1823">
        <v>5</v>
      </c>
      <c r="G1823">
        <v>5</v>
      </c>
      <c r="H1823">
        <v>1</v>
      </c>
      <c r="I1823">
        <v>1</v>
      </c>
      <c r="J1823">
        <v>0.76925170068027204</v>
      </c>
      <c r="K1823">
        <v>0.94852353552305302</v>
      </c>
      <c r="L1823">
        <v>0.84953296270479906</v>
      </c>
      <c r="M1823">
        <v>0.53350515463917503</v>
      </c>
      <c r="N1823">
        <v>1</v>
      </c>
      <c r="O1823">
        <v>0.66237113402061898</v>
      </c>
      <c r="P1823" t="s">
        <v>3286</v>
      </c>
      <c r="Q1823" t="s">
        <v>3287</v>
      </c>
      <c r="R1823" t="s">
        <v>1259</v>
      </c>
      <c r="S1823" t="s">
        <v>1260</v>
      </c>
      <c r="V1823" t="s">
        <v>3288</v>
      </c>
      <c r="W1823" t="s">
        <v>3289</v>
      </c>
      <c r="AF1823" t="s">
        <v>3290</v>
      </c>
    </row>
    <row r="1824" spans="1:32" hidden="1" x14ac:dyDescent="0.35">
      <c r="A1824">
        <v>1565</v>
      </c>
      <c r="B1824" t="s">
        <v>3285</v>
      </c>
      <c r="C1824" t="s">
        <v>72</v>
      </c>
      <c r="D1824" t="s">
        <v>60</v>
      </c>
      <c r="E1824">
        <v>2343</v>
      </c>
      <c r="F1824">
        <v>5</v>
      </c>
      <c r="G1824">
        <v>5</v>
      </c>
      <c r="H1824">
        <v>1</v>
      </c>
      <c r="I1824">
        <v>1</v>
      </c>
      <c r="J1824">
        <v>0.76925170068027204</v>
      </c>
      <c r="K1824">
        <v>0.94852353552305302</v>
      </c>
      <c r="L1824">
        <v>0.84953296270479906</v>
      </c>
      <c r="M1824">
        <v>0.53350515463917503</v>
      </c>
      <c r="N1824">
        <v>1</v>
      </c>
      <c r="O1824">
        <v>0.66237113402061898</v>
      </c>
      <c r="P1824" t="s">
        <v>3286</v>
      </c>
      <c r="Q1824" t="s">
        <v>3287</v>
      </c>
      <c r="R1824" t="s">
        <v>1259</v>
      </c>
      <c r="S1824" t="s">
        <v>1260</v>
      </c>
      <c r="V1824" t="s">
        <v>3288</v>
      </c>
      <c r="W1824" t="s">
        <v>3289</v>
      </c>
      <c r="AF1824" t="s">
        <v>3291</v>
      </c>
    </row>
    <row r="1825" spans="1:32" hidden="1" x14ac:dyDescent="0.35">
      <c r="A1825">
        <v>1566</v>
      </c>
      <c r="B1825" t="s">
        <v>3285</v>
      </c>
      <c r="C1825" t="s">
        <v>72</v>
      </c>
      <c r="D1825" t="s">
        <v>62</v>
      </c>
      <c r="E1825">
        <v>2371</v>
      </c>
      <c r="F1825">
        <v>5</v>
      </c>
      <c r="G1825">
        <v>5</v>
      </c>
      <c r="H1825">
        <v>1</v>
      </c>
      <c r="I1825">
        <v>1</v>
      </c>
      <c r="J1825">
        <v>0.76925170068027204</v>
      </c>
      <c r="K1825">
        <v>0.94852353552305302</v>
      </c>
      <c r="L1825">
        <v>0.84953296270479906</v>
      </c>
      <c r="M1825">
        <v>0.53350515463917503</v>
      </c>
      <c r="N1825">
        <v>1</v>
      </c>
      <c r="O1825">
        <v>0.66237113402061898</v>
      </c>
      <c r="P1825" t="s">
        <v>3286</v>
      </c>
      <c r="Q1825" t="s">
        <v>3287</v>
      </c>
      <c r="R1825" t="s">
        <v>1259</v>
      </c>
      <c r="S1825" t="s">
        <v>1260</v>
      </c>
      <c r="V1825" t="s">
        <v>3288</v>
      </c>
      <c r="W1825" t="s">
        <v>3289</v>
      </c>
      <c r="AF1825" t="s">
        <v>3291</v>
      </c>
    </row>
    <row r="1826" spans="1:32" hidden="1" x14ac:dyDescent="0.35">
      <c r="A1826">
        <v>1567</v>
      </c>
      <c r="B1826" t="s">
        <v>3285</v>
      </c>
      <c r="C1826" t="s">
        <v>72</v>
      </c>
      <c r="D1826" t="s">
        <v>34</v>
      </c>
      <c r="E1826">
        <v>1452</v>
      </c>
      <c r="F1826">
        <v>5</v>
      </c>
      <c r="G1826">
        <v>5</v>
      </c>
      <c r="H1826">
        <v>1</v>
      </c>
      <c r="I1826">
        <v>1</v>
      </c>
      <c r="J1826">
        <v>0.76925170068027204</v>
      </c>
      <c r="K1826">
        <v>0.94852353552305302</v>
      </c>
      <c r="L1826">
        <v>0.84953296270479906</v>
      </c>
      <c r="M1826">
        <v>0.53350515463917503</v>
      </c>
      <c r="N1826">
        <v>1</v>
      </c>
      <c r="O1826">
        <v>0.66237113402061898</v>
      </c>
      <c r="P1826" t="s">
        <v>3286</v>
      </c>
      <c r="Q1826" t="s">
        <v>3287</v>
      </c>
      <c r="R1826" t="s">
        <v>1259</v>
      </c>
      <c r="S1826" t="s">
        <v>1260</v>
      </c>
      <c r="V1826" t="s">
        <v>3288</v>
      </c>
      <c r="W1826" t="s">
        <v>3289</v>
      </c>
      <c r="AF1826" t="s">
        <v>3292</v>
      </c>
    </row>
    <row r="1827" spans="1:32" hidden="1" x14ac:dyDescent="0.35">
      <c r="A1827">
        <v>1568</v>
      </c>
      <c r="B1827" t="s">
        <v>3285</v>
      </c>
      <c r="C1827" t="s">
        <v>72</v>
      </c>
      <c r="D1827" t="s">
        <v>45</v>
      </c>
      <c r="E1827">
        <v>203</v>
      </c>
      <c r="F1827">
        <v>5</v>
      </c>
      <c r="G1827">
        <v>5</v>
      </c>
      <c r="H1827">
        <v>1</v>
      </c>
      <c r="I1827">
        <v>1</v>
      </c>
      <c r="J1827">
        <v>0.76925170068027204</v>
      </c>
      <c r="K1827">
        <v>0.94852353552305302</v>
      </c>
      <c r="L1827">
        <v>0.84953296270479906</v>
      </c>
      <c r="M1827">
        <v>0.53350515463917503</v>
      </c>
      <c r="N1827">
        <v>1</v>
      </c>
      <c r="O1827">
        <v>0.66237113402061898</v>
      </c>
      <c r="P1827" t="s">
        <v>3286</v>
      </c>
      <c r="Q1827" t="s">
        <v>3287</v>
      </c>
      <c r="R1827" t="s">
        <v>1259</v>
      </c>
      <c r="S1827" t="s">
        <v>1260</v>
      </c>
      <c r="V1827" t="s">
        <v>3288</v>
      </c>
      <c r="W1827" t="s">
        <v>3289</v>
      </c>
      <c r="AF1827" t="s">
        <v>3292</v>
      </c>
    </row>
    <row r="1828" spans="1:32" hidden="1" x14ac:dyDescent="0.35">
      <c r="A1828">
        <v>1779</v>
      </c>
      <c r="B1828" t="s">
        <v>3698</v>
      </c>
      <c r="C1828" t="s">
        <v>72</v>
      </c>
      <c r="D1828" t="s">
        <v>58</v>
      </c>
      <c r="E1828">
        <v>1379</v>
      </c>
      <c r="F1828">
        <v>5</v>
      </c>
      <c r="G1828">
        <v>5</v>
      </c>
      <c r="H1828">
        <v>1</v>
      </c>
      <c r="I1828">
        <v>1</v>
      </c>
      <c r="J1828">
        <v>0.79168471199653501</v>
      </c>
      <c r="K1828">
        <v>0.79907679033649703</v>
      </c>
      <c r="L1828">
        <v>0.79536357611478703</v>
      </c>
      <c r="M1828">
        <v>0.468852459016393</v>
      </c>
      <c r="N1828">
        <v>1</v>
      </c>
      <c r="O1828">
        <v>0.67245901639344297</v>
      </c>
      <c r="P1828" t="s">
        <v>3699</v>
      </c>
      <c r="Q1828" t="s">
        <v>3700</v>
      </c>
      <c r="R1828" t="s">
        <v>1259</v>
      </c>
      <c r="S1828" t="s">
        <v>1260</v>
      </c>
      <c r="V1828" t="s">
        <v>3701</v>
      </c>
      <c r="W1828" t="s">
        <v>3702</v>
      </c>
      <c r="AF1828" t="s">
        <v>3703</v>
      </c>
    </row>
    <row r="1829" spans="1:32" hidden="1" x14ac:dyDescent="0.35">
      <c r="A1829">
        <v>1780</v>
      </c>
      <c r="B1829" t="s">
        <v>3698</v>
      </c>
      <c r="C1829" t="s">
        <v>72</v>
      </c>
      <c r="D1829" t="s">
        <v>60</v>
      </c>
      <c r="E1829">
        <v>1863</v>
      </c>
      <c r="F1829">
        <v>5</v>
      </c>
      <c r="G1829">
        <v>5</v>
      </c>
      <c r="H1829">
        <v>1</v>
      </c>
      <c r="I1829">
        <v>1</v>
      </c>
      <c r="J1829">
        <v>0.79168471199653501</v>
      </c>
      <c r="K1829">
        <v>0.79907679033649703</v>
      </c>
      <c r="L1829">
        <v>0.79536357611478703</v>
      </c>
      <c r="M1829">
        <v>0.468852459016393</v>
      </c>
      <c r="N1829">
        <v>1</v>
      </c>
      <c r="O1829">
        <v>0.67245901639344297</v>
      </c>
      <c r="P1829" t="s">
        <v>3699</v>
      </c>
      <c r="Q1829" t="s">
        <v>3700</v>
      </c>
      <c r="R1829" t="s">
        <v>1259</v>
      </c>
      <c r="S1829" t="s">
        <v>1260</v>
      </c>
      <c r="V1829" t="s">
        <v>3701</v>
      </c>
      <c r="W1829" t="s">
        <v>3702</v>
      </c>
      <c r="AF1829" t="s">
        <v>3704</v>
      </c>
    </row>
    <row r="1830" spans="1:32" hidden="1" x14ac:dyDescent="0.35">
      <c r="A1830">
        <v>1781</v>
      </c>
      <c r="B1830" t="s">
        <v>3698</v>
      </c>
      <c r="C1830" t="s">
        <v>72</v>
      </c>
      <c r="D1830" t="s">
        <v>62</v>
      </c>
      <c r="E1830">
        <v>1901</v>
      </c>
      <c r="F1830">
        <v>5</v>
      </c>
      <c r="G1830">
        <v>5</v>
      </c>
      <c r="H1830">
        <v>1</v>
      </c>
      <c r="I1830">
        <v>1</v>
      </c>
      <c r="J1830">
        <v>0.79168471199653501</v>
      </c>
      <c r="K1830">
        <v>0.79907679033649703</v>
      </c>
      <c r="L1830">
        <v>0.79536357611478703</v>
      </c>
      <c r="M1830">
        <v>0.468852459016393</v>
      </c>
      <c r="N1830">
        <v>1</v>
      </c>
      <c r="O1830">
        <v>0.67245901639344297</v>
      </c>
      <c r="P1830" t="s">
        <v>3699</v>
      </c>
      <c r="Q1830" t="s">
        <v>3700</v>
      </c>
      <c r="R1830" t="s">
        <v>1259</v>
      </c>
      <c r="S1830" t="s">
        <v>1260</v>
      </c>
      <c r="V1830" t="s">
        <v>3701</v>
      </c>
      <c r="W1830" t="s">
        <v>3702</v>
      </c>
      <c r="AF1830" t="s">
        <v>3705</v>
      </c>
    </row>
    <row r="1831" spans="1:32" hidden="1" x14ac:dyDescent="0.35">
      <c r="A1831">
        <v>1782</v>
      </c>
      <c r="B1831" t="s">
        <v>3698</v>
      </c>
      <c r="C1831" t="s">
        <v>72</v>
      </c>
      <c r="D1831" t="s">
        <v>34</v>
      </c>
      <c r="E1831">
        <v>2218</v>
      </c>
      <c r="F1831">
        <v>5</v>
      </c>
      <c r="G1831">
        <v>5</v>
      </c>
      <c r="H1831">
        <v>1</v>
      </c>
      <c r="I1831">
        <v>1</v>
      </c>
      <c r="J1831">
        <v>0.79168471199653501</v>
      </c>
      <c r="K1831">
        <v>0.79907679033649703</v>
      </c>
      <c r="L1831">
        <v>0.79536357611478703</v>
      </c>
      <c r="M1831">
        <v>0.468852459016393</v>
      </c>
      <c r="N1831">
        <v>1</v>
      </c>
      <c r="O1831">
        <v>0.67245901639344297</v>
      </c>
      <c r="P1831" t="s">
        <v>3699</v>
      </c>
      <c r="Q1831" t="s">
        <v>3700</v>
      </c>
      <c r="R1831" t="s">
        <v>1259</v>
      </c>
      <c r="S1831" t="s">
        <v>1260</v>
      </c>
      <c r="V1831" t="s">
        <v>3701</v>
      </c>
      <c r="W1831" t="s">
        <v>3702</v>
      </c>
      <c r="AF1831" t="s">
        <v>3706</v>
      </c>
    </row>
    <row r="1832" spans="1:32" hidden="1" x14ac:dyDescent="0.35">
      <c r="A1832">
        <v>1783</v>
      </c>
      <c r="B1832" t="s">
        <v>3698</v>
      </c>
      <c r="C1832" t="s">
        <v>72</v>
      </c>
      <c r="D1832" t="s">
        <v>45</v>
      </c>
      <c r="E1832">
        <v>658</v>
      </c>
      <c r="F1832">
        <v>5</v>
      </c>
      <c r="G1832">
        <v>5</v>
      </c>
      <c r="H1832">
        <v>1</v>
      </c>
      <c r="I1832">
        <v>1</v>
      </c>
      <c r="J1832">
        <v>0.79168471199653501</v>
      </c>
      <c r="K1832">
        <v>0.79907679033649703</v>
      </c>
      <c r="L1832">
        <v>0.79536357611478703</v>
      </c>
      <c r="M1832">
        <v>0.468852459016393</v>
      </c>
      <c r="N1832">
        <v>1</v>
      </c>
      <c r="O1832">
        <v>0.67245901639344297</v>
      </c>
      <c r="P1832" t="s">
        <v>3699</v>
      </c>
      <c r="Q1832" t="s">
        <v>3700</v>
      </c>
      <c r="R1832" t="s">
        <v>1259</v>
      </c>
      <c r="S1832" t="s">
        <v>1260</v>
      </c>
      <c r="V1832" t="s">
        <v>3701</v>
      </c>
      <c r="W1832" t="s">
        <v>3702</v>
      </c>
      <c r="AF1832" t="s">
        <v>3706</v>
      </c>
    </row>
    <row r="1833" spans="1:32" hidden="1" x14ac:dyDescent="0.35">
      <c r="A1833">
        <v>2574</v>
      </c>
      <c r="B1833" t="s">
        <v>5327</v>
      </c>
      <c r="C1833" t="s">
        <v>72</v>
      </c>
      <c r="D1833" t="s">
        <v>58</v>
      </c>
      <c r="E1833">
        <v>155</v>
      </c>
      <c r="F1833">
        <v>5</v>
      </c>
      <c r="G1833">
        <v>5</v>
      </c>
      <c r="H1833">
        <v>1</v>
      </c>
      <c r="I1833">
        <v>1</v>
      </c>
      <c r="J1833">
        <v>0.80644167051934001</v>
      </c>
      <c r="K1833">
        <v>0.979003909256011</v>
      </c>
      <c r="L1833">
        <v>0.88438377172461302</v>
      </c>
      <c r="M1833">
        <v>0.59276018099547501</v>
      </c>
      <c r="N1833">
        <v>1</v>
      </c>
      <c r="O1833">
        <v>0.72760180995475099</v>
      </c>
      <c r="P1833" t="s">
        <v>5328</v>
      </c>
      <c r="Q1833" t="s">
        <v>5329</v>
      </c>
      <c r="R1833" t="s">
        <v>1259</v>
      </c>
      <c r="S1833" t="s">
        <v>1260</v>
      </c>
      <c r="V1833" t="s">
        <v>5330</v>
      </c>
      <c r="W1833" t="s">
        <v>5331</v>
      </c>
      <c r="AF1833" t="s">
        <v>5332</v>
      </c>
    </row>
    <row r="1834" spans="1:32" hidden="1" x14ac:dyDescent="0.35">
      <c r="A1834">
        <v>2575</v>
      </c>
      <c r="B1834" t="s">
        <v>5327</v>
      </c>
      <c r="C1834" t="s">
        <v>72</v>
      </c>
      <c r="D1834" t="s">
        <v>60</v>
      </c>
      <c r="E1834">
        <v>257</v>
      </c>
      <c r="F1834">
        <v>5</v>
      </c>
      <c r="G1834">
        <v>5</v>
      </c>
      <c r="H1834">
        <v>1</v>
      </c>
      <c r="I1834">
        <v>1</v>
      </c>
      <c r="J1834">
        <v>0.80644167051934001</v>
      </c>
      <c r="K1834">
        <v>0.979003909256011</v>
      </c>
      <c r="L1834">
        <v>0.88438377172461302</v>
      </c>
      <c r="M1834">
        <v>0.59276018099547501</v>
      </c>
      <c r="N1834">
        <v>1</v>
      </c>
      <c r="O1834">
        <v>0.72760180995475099</v>
      </c>
      <c r="P1834" t="s">
        <v>5328</v>
      </c>
      <c r="Q1834" t="s">
        <v>5329</v>
      </c>
      <c r="R1834" t="s">
        <v>1259</v>
      </c>
      <c r="S1834" t="s">
        <v>1260</v>
      </c>
      <c r="V1834" t="s">
        <v>5330</v>
      </c>
      <c r="W1834" t="s">
        <v>5331</v>
      </c>
      <c r="AF1834" t="s">
        <v>5333</v>
      </c>
    </row>
    <row r="1835" spans="1:32" hidden="1" x14ac:dyDescent="0.35">
      <c r="A1835">
        <v>2576</v>
      </c>
      <c r="B1835" t="s">
        <v>5327</v>
      </c>
      <c r="C1835" t="s">
        <v>72</v>
      </c>
      <c r="D1835" t="s">
        <v>62</v>
      </c>
      <c r="E1835">
        <v>335</v>
      </c>
      <c r="F1835">
        <v>5</v>
      </c>
      <c r="G1835">
        <v>5</v>
      </c>
      <c r="H1835">
        <v>1</v>
      </c>
      <c r="I1835">
        <v>1</v>
      </c>
      <c r="J1835">
        <v>0.80644167051934001</v>
      </c>
      <c r="K1835">
        <v>0.979003909256011</v>
      </c>
      <c r="L1835">
        <v>0.88438377172461302</v>
      </c>
      <c r="M1835">
        <v>0.59276018099547501</v>
      </c>
      <c r="N1835">
        <v>1</v>
      </c>
      <c r="O1835">
        <v>0.72760180995475099</v>
      </c>
      <c r="P1835" t="s">
        <v>5328</v>
      </c>
      <c r="Q1835" t="s">
        <v>5329</v>
      </c>
      <c r="R1835" t="s">
        <v>1259</v>
      </c>
      <c r="S1835" t="s">
        <v>1260</v>
      </c>
      <c r="V1835" t="s">
        <v>5330</v>
      </c>
      <c r="W1835" t="s">
        <v>5331</v>
      </c>
      <c r="AF1835" t="s">
        <v>5333</v>
      </c>
    </row>
    <row r="1836" spans="1:32" hidden="1" x14ac:dyDescent="0.35">
      <c r="A1836">
        <v>2577</v>
      </c>
      <c r="B1836" t="s">
        <v>5327</v>
      </c>
      <c r="C1836" t="s">
        <v>72</v>
      </c>
      <c r="D1836" t="s">
        <v>34</v>
      </c>
      <c r="E1836">
        <v>869</v>
      </c>
      <c r="F1836">
        <v>5</v>
      </c>
      <c r="G1836">
        <v>5</v>
      </c>
      <c r="H1836">
        <v>1</v>
      </c>
      <c r="I1836">
        <v>1</v>
      </c>
      <c r="J1836">
        <v>0.80644167051934001</v>
      </c>
      <c r="K1836">
        <v>0.979003909256011</v>
      </c>
      <c r="L1836">
        <v>0.88438377172461302</v>
      </c>
      <c r="M1836">
        <v>0.59276018099547501</v>
      </c>
      <c r="N1836">
        <v>1</v>
      </c>
      <c r="O1836">
        <v>0.72760180995475099</v>
      </c>
      <c r="P1836" t="s">
        <v>5328</v>
      </c>
      <c r="Q1836" t="s">
        <v>5329</v>
      </c>
      <c r="R1836" t="s">
        <v>1259</v>
      </c>
      <c r="S1836" t="s">
        <v>1260</v>
      </c>
      <c r="V1836" t="s">
        <v>5330</v>
      </c>
      <c r="W1836" t="s">
        <v>5331</v>
      </c>
      <c r="AF1836" t="s">
        <v>5334</v>
      </c>
    </row>
    <row r="1837" spans="1:32" hidden="1" x14ac:dyDescent="0.35">
      <c r="A1837">
        <v>2578</v>
      </c>
      <c r="B1837" t="s">
        <v>5327</v>
      </c>
      <c r="C1837" t="s">
        <v>72</v>
      </c>
      <c r="D1837" t="s">
        <v>45</v>
      </c>
      <c r="E1837">
        <v>2126</v>
      </c>
      <c r="F1837">
        <v>5</v>
      </c>
      <c r="G1837">
        <v>5</v>
      </c>
      <c r="H1837">
        <v>1</v>
      </c>
      <c r="I1837">
        <v>1</v>
      </c>
      <c r="J1837">
        <v>0.80644167051934001</v>
      </c>
      <c r="K1837">
        <v>0.979003909256011</v>
      </c>
      <c r="L1837">
        <v>0.88438377172461302</v>
      </c>
      <c r="M1837">
        <v>0.59276018099547501</v>
      </c>
      <c r="N1837">
        <v>1</v>
      </c>
      <c r="O1837">
        <v>0.72760180995475099</v>
      </c>
      <c r="P1837" t="s">
        <v>5328</v>
      </c>
      <c r="Q1837" t="s">
        <v>5329</v>
      </c>
      <c r="R1837" t="s">
        <v>1259</v>
      </c>
      <c r="S1837" t="s">
        <v>1260</v>
      </c>
      <c r="V1837" t="s">
        <v>5330</v>
      </c>
      <c r="W1837" t="s">
        <v>5331</v>
      </c>
      <c r="AF1837" t="s">
        <v>5334</v>
      </c>
    </row>
    <row r="1838" spans="1:32" hidden="1" x14ac:dyDescent="0.35">
      <c r="A1838">
        <v>2654</v>
      </c>
      <c r="B1838" t="s">
        <v>5482</v>
      </c>
      <c r="C1838" t="s">
        <v>72</v>
      </c>
      <c r="D1838" t="s">
        <v>58</v>
      </c>
      <c r="E1838">
        <v>143</v>
      </c>
      <c r="F1838">
        <v>5</v>
      </c>
      <c r="G1838">
        <v>5</v>
      </c>
      <c r="H1838">
        <v>1</v>
      </c>
      <c r="I1838">
        <v>1</v>
      </c>
      <c r="J1838">
        <v>0.84256891162262004</v>
      </c>
      <c r="K1838">
        <v>0.97769607843137296</v>
      </c>
      <c r="L1838">
        <v>0.90511692001194899</v>
      </c>
      <c r="M1838">
        <v>0.63333333333333297</v>
      </c>
      <c r="N1838">
        <v>1</v>
      </c>
      <c r="O1838">
        <v>0.74</v>
      </c>
      <c r="P1838" t="s">
        <v>5483</v>
      </c>
      <c r="Q1838" t="s">
        <v>5484</v>
      </c>
      <c r="R1838" t="s">
        <v>1259</v>
      </c>
      <c r="S1838" t="s">
        <v>1260</v>
      </c>
      <c r="T1838" t="s">
        <v>5485</v>
      </c>
      <c r="U1838" t="s">
        <v>5486</v>
      </c>
      <c r="V1838" t="s">
        <v>5487</v>
      </c>
      <c r="W1838" t="s">
        <v>5488</v>
      </c>
      <c r="AD1838" t="s">
        <v>410</v>
      </c>
      <c r="AE1838" t="s">
        <v>5489</v>
      </c>
      <c r="AF1838" t="s">
        <v>5490</v>
      </c>
    </row>
    <row r="1839" spans="1:32" hidden="1" x14ac:dyDescent="0.35">
      <c r="A1839">
        <v>2655</v>
      </c>
      <c r="B1839" t="s">
        <v>5482</v>
      </c>
      <c r="C1839" t="s">
        <v>72</v>
      </c>
      <c r="D1839" t="s">
        <v>60</v>
      </c>
      <c r="E1839">
        <v>235</v>
      </c>
      <c r="F1839">
        <v>5</v>
      </c>
      <c r="G1839">
        <v>5</v>
      </c>
      <c r="H1839">
        <v>1</v>
      </c>
      <c r="I1839">
        <v>1</v>
      </c>
      <c r="J1839">
        <v>0.84256891162262004</v>
      </c>
      <c r="K1839">
        <v>0.97769607843137296</v>
      </c>
      <c r="L1839">
        <v>0.90511692001194899</v>
      </c>
      <c r="M1839">
        <v>0.63333333333333297</v>
      </c>
      <c r="N1839">
        <v>1</v>
      </c>
      <c r="O1839">
        <v>0.74</v>
      </c>
      <c r="P1839" t="s">
        <v>5483</v>
      </c>
      <c r="Q1839" t="s">
        <v>5484</v>
      </c>
      <c r="R1839" t="s">
        <v>1259</v>
      </c>
      <c r="S1839" t="s">
        <v>1260</v>
      </c>
      <c r="T1839" t="s">
        <v>5485</v>
      </c>
      <c r="U1839" t="s">
        <v>5486</v>
      </c>
      <c r="V1839" t="s">
        <v>5487</v>
      </c>
      <c r="W1839" t="s">
        <v>5488</v>
      </c>
      <c r="AD1839" t="s">
        <v>410</v>
      </c>
      <c r="AE1839" t="s">
        <v>5489</v>
      </c>
      <c r="AF1839" t="s">
        <v>5491</v>
      </c>
    </row>
    <row r="1840" spans="1:32" hidden="1" x14ac:dyDescent="0.35">
      <c r="A1840">
        <v>2656</v>
      </c>
      <c r="B1840" t="s">
        <v>5482</v>
      </c>
      <c r="C1840" t="s">
        <v>72</v>
      </c>
      <c r="D1840" t="s">
        <v>62</v>
      </c>
      <c r="E1840">
        <v>312</v>
      </c>
      <c r="F1840">
        <v>5</v>
      </c>
      <c r="G1840">
        <v>5</v>
      </c>
      <c r="H1840">
        <v>1</v>
      </c>
      <c r="I1840">
        <v>1</v>
      </c>
      <c r="J1840">
        <v>0.84256891162262004</v>
      </c>
      <c r="K1840">
        <v>0.97769607843137296</v>
      </c>
      <c r="L1840">
        <v>0.90511692001194899</v>
      </c>
      <c r="M1840">
        <v>0.63333333333333297</v>
      </c>
      <c r="N1840">
        <v>1</v>
      </c>
      <c r="O1840">
        <v>0.74</v>
      </c>
      <c r="P1840" t="s">
        <v>5483</v>
      </c>
      <c r="Q1840" t="s">
        <v>5484</v>
      </c>
      <c r="R1840" t="s">
        <v>1259</v>
      </c>
      <c r="S1840" t="s">
        <v>1260</v>
      </c>
      <c r="T1840" t="s">
        <v>5485</v>
      </c>
      <c r="U1840" t="s">
        <v>5486</v>
      </c>
      <c r="V1840" t="s">
        <v>5487</v>
      </c>
      <c r="W1840" t="s">
        <v>5488</v>
      </c>
      <c r="AD1840" t="s">
        <v>410</v>
      </c>
      <c r="AE1840" t="s">
        <v>5489</v>
      </c>
      <c r="AF1840" t="s">
        <v>5491</v>
      </c>
    </row>
    <row r="1841" spans="1:32" hidden="1" x14ac:dyDescent="0.35">
      <c r="A1841">
        <v>2657</v>
      </c>
      <c r="B1841" t="s">
        <v>5482</v>
      </c>
      <c r="C1841" t="s">
        <v>72</v>
      </c>
      <c r="D1841" t="s">
        <v>34</v>
      </c>
      <c r="E1841">
        <v>884</v>
      </c>
      <c r="F1841">
        <v>5</v>
      </c>
      <c r="G1841">
        <v>5</v>
      </c>
      <c r="H1841">
        <v>1</v>
      </c>
      <c r="I1841">
        <v>1</v>
      </c>
      <c r="J1841">
        <v>0.84256891162262004</v>
      </c>
      <c r="K1841">
        <v>0.97769607843137296</v>
      </c>
      <c r="L1841">
        <v>0.90511692001194899</v>
      </c>
      <c r="M1841">
        <v>0.63333333333333297</v>
      </c>
      <c r="N1841">
        <v>1</v>
      </c>
      <c r="O1841">
        <v>0.74</v>
      </c>
      <c r="P1841" t="s">
        <v>5483</v>
      </c>
      <c r="Q1841" t="s">
        <v>5484</v>
      </c>
      <c r="R1841" t="s">
        <v>1259</v>
      </c>
      <c r="S1841" t="s">
        <v>1260</v>
      </c>
      <c r="T1841" t="s">
        <v>5485</v>
      </c>
      <c r="U1841" t="s">
        <v>5486</v>
      </c>
      <c r="V1841" t="s">
        <v>5487</v>
      </c>
      <c r="W1841" t="s">
        <v>5488</v>
      </c>
      <c r="AD1841" t="s">
        <v>410</v>
      </c>
      <c r="AE1841" t="s">
        <v>5489</v>
      </c>
      <c r="AF1841" t="s">
        <v>5492</v>
      </c>
    </row>
    <row r="1842" spans="1:32" hidden="1" x14ac:dyDescent="0.35">
      <c r="A1842">
        <v>2658</v>
      </c>
      <c r="B1842" t="s">
        <v>5482</v>
      </c>
      <c r="C1842" t="s">
        <v>72</v>
      </c>
      <c r="D1842" t="s">
        <v>45</v>
      </c>
      <c r="E1842">
        <v>2141</v>
      </c>
      <c r="F1842">
        <v>5</v>
      </c>
      <c r="G1842">
        <v>5</v>
      </c>
      <c r="H1842">
        <v>1</v>
      </c>
      <c r="I1842">
        <v>1</v>
      </c>
      <c r="J1842">
        <v>0.84256891162262004</v>
      </c>
      <c r="K1842">
        <v>0.97769607843137296</v>
      </c>
      <c r="L1842">
        <v>0.90511692001194899</v>
      </c>
      <c r="M1842">
        <v>0.63333333333333297</v>
      </c>
      <c r="N1842">
        <v>1</v>
      </c>
      <c r="O1842">
        <v>0.74</v>
      </c>
      <c r="P1842" t="s">
        <v>5483</v>
      </c>
      <c r="Q1842" t="s">
        <v>5484</v>
      </c>
      <c r="R1842" t="s">
        <v>1259</v>
      </c>
      <c r="S1842" t="s">
        <v>1260</v>
      </c>
      <c r="T1842" t="s">
        <v>5485</v>
      </c>
      <c r="U1842" t="s">
        <v>5486</v>
      </c>
      <c r="V1842" t="s">
        <v>5487</v>
      </c>
      <c r="W1842" t="s">
        <v>5488</v>
      </c>
      <c r="AD1842" t="s">
        <v>410</v>
      </c>
      <c r="AE1842" t="s">
        <v>5489</v>
      </c>
      <c r="AF1842" t="s">
        <v>5492</v>
      </c>
    </row>
    <row r="1843" spans="1:32" hidden="1" x14ac:dyDescent="0.35">
      <c r="A1843">
        <v>2812</v>
      </c>
      <c r="B1843" t="s">
        <v>5810</v>
      </c>
      <c r="C1843" t="s">
        <v>72</v>
      </c>
      <c r="D1843" t="s">
        <v>34</v>
      </c>
      <c r="E1843">
        <v>631</v>
      </c>
      <c r="F1843">
        <v>4</v>
      </c>
      <c r="G1843">
        <v>5</v>
      </c>
      <c r="H1843">
        <v>2</v>
      </c>
      <c r="I1843">
        <v>0</v>
      </c>
      <c r="J1843">
        <v>0.77663482733284395</v>
      </c>
      <c r="K1843">
        <v>0.71459062676453899</v>
      </c>
      <c r="L1843">
        <v>0.74432201583745805</v>
      </c>
      <c r="M1843">
        <v>0.103896103896104</v>
      </c>
      <c r="N1843">
        <v>1</v>
      </c>
      <c r="O1843">
        <v>0.44155844155844198</v>
      </c>
      <c r="R1843" t="s">
        <v>1259</v>
      </c>
      <c r="S1843" t="s">
        <v>1260</v>
      </c>
      <c r="V1843" t="s">
        <v>5818</v>
      </c>
      <c r="W1843" t="s">
        <v>5819</v>
      </c>
      <c r="AF1843" t="s">
        <v>5820</v>
      </c>
    </row>
    <row r="1844" spans="1:32" hidden="1" x14ac:dyDescent="0.35">
      <c r="A1844">
        <v>3119</v>
      </c>
      <c r="B1844" t="s">
        <v>6423</v>
      </c>
      <c r="C1844" t="s">
        <v>72</v>
      </c>
      <c r="D1844" t="s">
        <v>58</v>
      </c>
      <c r="E1844">
        <v>1817</v>
      </c>
      <c r="F1844">
        <v>5</v>
      </c>
      <c r="G1844">
        <v>5</v>
      </c>
      <c r="H1844">
        <v>1</v>
      </c>
      <c r="I1844">
        <v>1</v>
      </c>
      <c r="J1844">
        <v>0.73272254269879</v>
      </c>
      <c r="K1844">
        <v>0.97001585026923698</v>
      </c>
      <c r="L1844">
        <v>0.83483462075286596</v>
      </c>
      <c r="M1844">
        <v>0.51315789473684204</v>
      </c>
      <c r="N1844">
        <v>1</v>
      </c>
      <c r="O1844">
        <v>0.64967105263157898</v>
      </c>
      <c r="P1844" t="s">
        <v>6424</v>
      </c>
      <c r="Q1844" t="s">
        <v>6425</v>
      </c>
      <c r="R1844" t="s">
        <v>1259</v>
      </c>
      <c r="S1844" t="s">
        <v>1260</v>
      </c>
      <c r="V1844" t="s">
        <v>6426</v>
      </c>
      <c r="W1844" t="s">
        <v>6427</v>
      </c>
      <c r="AF1844" t="s">
        <v>6428</v>
      </c>
    </row>
    <row r="1845" spans="1:32" hidden="1" x14ac:dyDescent="0.35">
      <c r="A1845">
        <v>3120</v>
      </c>
      <c r="B1845" t="s">
        <v>6423</v>
      </c>
      <c r="C1845" t="s">
        <v>72</v>
      </c>
      <c r="D1845" t="s">
        <v>60</v>
      </c>
      <c r="E1845">
        <v>2447</v>
      </c>
      <c r="F1845">
        <v>5</v>
      </c>
      <c r="G1845">
        <v>5</v>
      </c>
      <c r="H1845">
        <v>1</v>
      </c>
      <c r="I1845">
        <v>1</v>
      </c>
      <c r="J1845">
        <v>0.73272254269879</v>
      </c>
      <c r="K1845">
        <v>0.97001585026923698</v>
      </c>
      <c r="L1845">
        <v>0.83483462075286596</v>
      </c>
      <c r="M1845">
        <v>0.51315789473684204</v>
      </c>
      <c r="N1845">
        <v>1</v>
      </c>
      <c r="O1845">
        <v>0.64967105263157898</v>
      </c>
      <c r="P1845" t="s">
        <v>6424</v>
      </c>
      <c r="Q1845" t="s">
        <v>6425</v>
      </c>
      <c r="R1845" t="s">
        <v>1259</v>
      </c>
      <c r="S1845" t="s">
        <v>1260</v>
      </c>
      <c r="V1845" t="s">
        <v>6426</v>
      </c>
      <c r="W1845" t="s">
        <v>6427</v>
      </c>
      <c r="AF1845" t="s">
        <v>6429</v>
      </c>
    </row>
    <row r="1846" spans="1:32" hidden="1" x14ac:dyDescent="0.35">
      <c r="A1846">
        <v>3121</v>
      </c>
      <c r="B1846" t="s">
        <v>6423</v>
      </c>
      <c r="C1846" t="s">
        <v>72</v>
      </c>
      <c r="D1846" t="s">
        <v>62</v>
      </c>
      <c r="E1846">
        <v>2473</v>
      </c>
      <c r="F1846">
        <v>5</v>
      </c>
      <c r="G1846">
        <v>5</v>
      </c>
      <c r="H1846">
        <v>1</v>
      </c>
      <c r="I1846">
        <v>1</v>
      </c>
      <c r="J1846">
        <v>0.73272254269879</v>
      </c>
      <c r="K1846">
        <v>0.97001585026923698</v>
      </c>
      <c r="L1846">
        <v>0.83483462075286596</v>
      </c>
      <c r="M1846">
        <v>0.51315789473684204</v>
      </c>
      <c r="N1846">
        <v>1</v>
      </c>
      <c r="O1846">
        <v>0.64967105263157898</v>
      </c>
      <c r="P1846" t="s">
        <v>6424</v>
      </c>
      <c r="Q1846" t="s">
        <v>6425</v>
      </c>
      <c r="R1846" t="s">
        <v>1259</v>
      </c>
      <c r="S1846" t="s">
        <v>1260</v>
      </c>
      <c r="V1846" t="s">
        <v>6426</v>
      </c>
      <c r="W1846" t="s">
        <v>6427</v>
      </c>
      <c r="AF1846" t="s">
        <v>6429</v>
      </c>
    </row>
    <row r="1847" spans="1:32" hidden="1" x14ac:dyDescent="0.35">
      <c r="A1847">
        <v>3122</v>
      </c>
      <c r="B1847" t="s">
        <v>6423</v>
      </c>
      <c r="C1847" t="s">
        <v>72</v>
      </c>
      <c r="D1847" t="s">
        <v>34</v>
      </c>
      <c r="E1847">
        <v>1272</v>
      </c>
      <c r="F1847">
        <v>5</v>
      </c>
      <c r="G1847">
        <v>5</v>
      </c>
      <c r="H1847">
        <v>1</v>
      </c>
      <c r="I1847">
        <v>1</v>
      </c>
      <c r="J1847">
        <v>0.73272254269879</v>
      </c>
      <c r="K1847">
        <v>0.97001585026923698</v>
      </c>
      <c r="L1847">
        <v>0.83483462075286596</v>
      </c>
      <c r="M1847">
        <v>0.51315789473684204</v>
      </c>
      <c r="N1847">
        <v>1</v>
      </c>
      <c r="O1847">
        <v>0.64967105263157898</v>
      </c>
      <c r="P1847" t="s">
        <v>6424</v>
      </c>
      <c r="Q1847" t="s">
        <v>6425</v>
      </c>
      <c r="R1847" t="s">
        <v>1259</v>
      </c>
      <c r="S1847" t="s">
        <v>1260</v>
      </c>
      <c r="V1847" t="s">
        <v>6426</v>
      </c>
      <c r="W1847" t="s">
        <v>6427</v>
      </c>
      <c r="AF1847" t="s">
        <v>6430</v>
      </c>
    </row>
    <row r="1848" spans="1:32" hidden="1" x14ac:dyDescent="0.35">
      <c r="A1848">
        <v>3123</v>
      </c>
      <c r="B1848" t="s">
        <v>6423</v>
      </c>
      <c r="C1848" t="s">
        <v>72</v>
      </c>
      <c r="D1848" t="s">
        <v>45</v>
      </c>
      <c r="E1848">
        <v>23</v>
      </c>
      <c r="F1848">
        <v>5</v>
      </c>
      <c r="G1848">
        <v>5</v>
      </c>
      <c r="H1848">
        <v>1</v>
      </c>
      <c r="I1848">
        <v>1</v>
      </c>
      <c r="J1848">
        <v>0.73272254269879</v>
      </c>
      <c r="K1848">
        <v>0.97001585026923698</v>
      </c>
      <c r="L1848">
        <v>0.83483462075286596</v>
      </c>
      <c r="M1848">
        <v>0.51315789473684204</v>
      </c>
      <c r="N1848">
        <v>1</v>
      </c>
      <c r="O1848">
        <v>0.64967105263157898</v>
      </c>
      <c r="P1848" t="s">
        <v>6424</v>
      </c>
      <c r="Q1848" t="s">
        <v>6425</v>
      </c>
      <c r="R1848" t="s">
        <v>1259</v>
      </c>
      <c r="S1848" t="s">
        <v>1260</v>
      </c>
      <c r="V1848" t="s">
        <v>6426</v>
      </c>
      <c r="W1848" t="s">
        <v>6427</v>
      </c>
      <c r="AF1848" t="s">
        <v>6431</v>
      </c>
    </row>
    <row r="1849" spans="1:32" hidden="1" x14ac:dyDescent="0.35">
      <c r="A1849">
        <v>4434</v>
      </c>
      <c r="B1849" t="s">
        <v>9239</v>
      </c>
      <c r="C1849" t="s">
        <v>72</v>
      </c>
      <c r="D1849" t="s">
        <v>58</v>
      </c>
      <c r="E1849">
        <v>1524</v>
      </c>
      <c r="F1849">
        <v>5</v>
      </c>
      <c r="G1849">
        <v>5</v>
      </c>
      <c r="H1849">
        <v>1</v>
      </c>
      <c r="I1849">
        <v>1</v>
      </c>
      <c r="J1849">
        <v>0.72064628660607699</v>
      </c>
      <c r="K1849">
        <v>0.96627021276595604</v>
      </c>
      <c r="L1849">
        <v>0.82557618109380904</v>
      </c>
      <c r="M1849">
        <v>0.44946808510638298</v>
      </c>
      <c r="N1849">
        <v>0.98936170212765995</v>
      </c>
      <c r="O1849">
        <v>0.59547872340425501</v>
      </c>
      <c r="P1849" t="s">
        <v>9240</v>
      </c>
      <c r="Q1849" t="s">
        <v>9241</v>
      </c>
      <c r="R1849" t="s">
        <v>1259</v>
      </c>
      <c r="S1849" t="s">
        <v>1260</v>
      </c>
      <c r="T1849" t="s">
        <v>9242</v>
      </c>
      <c r="U1849" t="s">
        <v>9243</v>
      </c>
      <c r="V1849" t="s">
        <v>9244</v>
      </c>
      <c r="W1849" t="s">
        <v>9245</v>
      </c>
      <c r="AD1849" t="s">
        <v>410</v>
      </c>
      <c r="AE1849" t="s">
        <v>603</v>
      </c>
      <c r="AF1849" t="s">
        <v>9246</v>
      </c>
    </row>
    <row r="1850" spans="1:32" hidden="1" x14ac:dyDescent="0.35">
      <c r="A1850">
        <v>4435</v>
      </c>
      <c r="B1850" t="s">
        <v>9239</v>
      </c>
      <c r="C1850" t="s">
        <v>72</v>
      </c>
      <c r="D1850" t="s">
        <v>60</v>
      </c>
      <c r="E1850">
        <v>517</v>
      </c>
      <c r="F1850">
        <v>5</v>
      </c>
      <c r="G1850">
        <v>5</v>
      </c>
      <c r="H1850">
        <v>1</v>
      </c>
      <c r="I1850">
        <v>1</v>
      </c>
      <c r="J1850">
        <v>0.72064628660607699</v>
      </c>
      <c r="K1850">
        <v>0.96627021276595604</v>
      </c>
      <c r="L1850">
        <v>0.82557618109380904</v>
      </c>
      <c r="M1850">
        <v>0.44946808510638298</v>
      </c>
      <c r="N1850">
        <v>0.98936170212765995</v>
      </c>
      <c r="O1850">
        <v>0.59547872340425501</v>
      </c>
      <c r="P1850" t="s">
        <v>9240</v>
      </c>
      <c r="Q1850" t="s">
        <v>9241</v>
      </c>
      <c r="R1850" t="s">
        <v>1259</v>
      </c>
      <c r="S1850" t="s">
        <v>1260</v>
      </c>
      <c r="T1850" t="s">
        <v>9242</v>
      </c>
      <c r="U1850" t="s">
        <v>9243</v>
      </c>
      <c r="V1850" t="s">
        <v>9244</v>
      </c>
      <c r="W1850" t="s">
        <v>9245</v>
      </c>
      <c r="AD1850" t="s">
        <v>410</v>
      </c>
      <c r="AE1850" t="s">
        <v>603</v>
      </c>
      <c r="AF1850" t="s">
        <v>9247</v>
      </c>
    </row>
    <row r="1851" spans="1:32" hidden="1" x14ac:dyDescent="0.35">
      <c r="A1851">
        <v>4436</v>
      </c>
      <c r="B1851" t="s">
        <v>9239</v>
      </c>
      <c r="C1851" t="s">
        <v>72</v>
      </c>
      <c r="D1851" t="s">
        <v>62</v>
      </c>
      <c r="E1851">
        <v>601</v>
      </c>
      <c r="F1851">
        <v>5</v>
      </c>
      <c r="G1851">
        <v>5</v>
      </c>
      <c r="H1851">
        <v>1</v>
      </c>
      <c r="I1851">
        <v>1</v>
      </c>
      <c r="J1851">
        <v>0.72064628660607699</v>
      </c>
      <c r="K1851">
        <v>0.96627021276595604</v>
      </c>
      <c r="L1851">
        <v>0.82557618109380904</v>
      </c>
      <c r="M1851">
        <v>0.44946808510638298</v>
      </c>
      <c r="N1851">
        <v>0.98936170212765995</v>
      </c>
      <c r="O1851">
        <v>0.59547872340425501</v>
      </c>
      <c r="P1851" t="s">
        <v>9240</v>
      </c>
      <c r="Q1851" t="s">
        <v>9241</v>
      </c>
      <c r="R1851" t="s">
        <v>1259</v>
      </c>
      <c r="S1851" t="s">
        <v>1260</v>
      </c>
      <c r="T1851" t="s">
        <v>9242</v>
      </c>
      <c r="U1851" t="s">
        <v>9243</v>
      </c>
      <c r="V1851" t="s">
        <v>9244</v>
      </c>
      <c r="W1851" t="s">
        <v>9245</v>
      </c>
      <c r="AD1851" t="s">
        <v>410</v>
      </c>
      <c r="AE1851" t="s">
        <v>603</v>
      </c>
      <c r="AF1851" t="s">
        <v>9248</v>
      </c>
    </row>
    <row r="1852" spans="1:32" hidden="1" x14ac:dyDescent="0.35">
      <c r="A1852">
        <v>4437</v>
      </c>
      <c r="B1852" t="s">
        <v>9239</v>
      </c>
      <c r="C1852" t="s">
        <v>72</v>
      </c>
      <c r="D1852" t="s">
        <v>34</v>
      </c>
      <c r="E1852">
        <v>579</v>
      </c>
      <c r="F1852">
        <v>5</v>
      </c>
      <c r="G1852">
        <v>5</v>
      </c>
      <c r="H1852">
        <v>1</v>
      </c>
      <c r="I1852">
        <v>1</v>
      </c>
      <c r="J1852">
        <v>0.72064628660607699</v>
      </c>
      <c r="K1852">
        <v>0.96627021276595604</v>
      </c>
      <c r="L1852">
        <v>0.82557618109380904</v>
      </c>
      <c r="M1852">
        <v>0.44946808510638298</v>
      </c>
      <c r="N1852">
        <v>0.98936170212765995</v>
      </c>
      <c r="O1852">
        <v>0.59547872340425501</v>
      </c>
      <c r="P1852" t="s">
        <v>9240</v>
      </c>
      <c r="Q1852" t="s">
        <v>9241</v>
      </c>
      <c r="R1852" t="s">
        <v>1259</v>
      </c>
      <c r="S1852" t="s">
        <v>1260</v>
      </c>
      <c r="T1852" t="s">
        <v>9242</v>
      </c>
      <c r="U1852" t="s">
        <v>9243</v>
      </c>
      <c r="V1852" t="s">
        <v>9244</v>
      </c>
      <c r="W1852" t="s">
        <v>9245</v>
      </c>
      <c r="AD1852" t="s">
        <v>410</v>
      </c>
      <c r="AE1852" t="s">
        <v>603</v>
      </c>
      <c r="AF1852" t="s">
        <v>9249</v>
      </c>
    </row>
    <row r="1853" spans="1:32" hidden="1" x14ac:dyDescent="0.35">
      <c r="A1853">
        <v>4438</v>
      </c>
      <c r="B1853" t="s">
        <v>9239</v>
      </c>
      <c r="C1853" t="s">
        <v>72</v>
      </c>
      <c r="D1853" t="s">
        <v>45</v>
      </c>
      <c r="E1853">
        <v>1845</v>
      </c>
      <c r="F1853">
        <v>5</v>
      </c>
      <c r="G1853">
        <v>5</v>
      </c>
      <c r="H1853">
        <v>1</v>
      </c>
      <c r="I1853">
        <v>1</v>
      </c>
      <c r="J1853">
        <v>0.72064628660607699</v>
      </c>
      <c r="K1853">
        <v>0.96627021276595604</v>
      </c>
      <c r="L1853">
        <v>0.82557618109380904</v>
      </c>
      <c r="M1853">
        <v>0.44946808510638298</v>
      </c>
      <c r="N1853">
        <v>0.98936170212765995</v>
      </c>
      <c r="O1853">
        <v>0.59547872340425501</v>
      </c>
      <c r="P1853" t="s">
        <v>9240</v>
      </c>
      <c r="Q1853" t="s">
        <v>9241</v>
      </c>
      <c r="R1853" t="s">
        <v>1259</v>
      </c>
      <c r="S1853" t="s">
        <v>1260</v>
      </c>
      <c r="T1853" t="s">
        <v>9242</v>
      </c>
      <c r="U1853" t="s">
        <v>9243</v>
      </c>
      <c r="V1853" t="s">
        <v>9244</v>
      </c>
      <c r="W1853" t="s">
        <v>9245</v>
      </c>
      <c r="AD1853" t="s">
        <v>410</v>
      </c>
      <c r="AE1853" t="s">
        <v>603</v>
      </c>
      <c r="AF1853" t="s">
        <v>9250</v>
      </c>
    </row>
    <row r="1854" spans="1:32" hidden="1" x14ac:dyDescent="0.35">
      <c r="A1854">
        <v>11899</v>
      </c>
      <c r="B1854" t="s">
        <v>24512</v>
      </c>
      <c r="C1854" t="s">
        <v>10130</v>
      </c>
      <c r="D1854" t="s">
        <v>34</v>
      </c>
      <c r="E1854">
        <v>1059</v>
      </c>
      <c r="F1854">
        <v>1</v>
      </c>
      <c r="G1854">
        <v>1</v>
      </c>
      <c r="H1854">
        <v>1</v>
      </c>
      <c r="I1854">
        <v>0</v>
      </c>
      <c r="J1854">
        <v>1</v>
      </c>
      <c r="K1854">
        <v>1</v>
      </c>
      <c r="L1854">
        <v>1</v>
      </c>
      <c r="M1854">
        <v>0</v>
      </c>
      <c r="N1854">
        <v>0</v>
      </c>
      <c r="O1854">
        <v>0</v>
      </c>
      <c r="R1854" t="s">
        <v>1259</v>
      </c>
      <c r="S1854" t="s">
        <v>1260</v>
      </c>
      <c r="V1854" t="s">
        <v>24513</v>
      </c>
      <c r="W1854" t="s">
        <v>24514</v>
      </c>
      <c r="AF1854" t="s">
        <v>24515</v>
      </c>
    </row>
    <row r="1855" spans="1:32" hidden="1" x14ac:dyDescent="0.35">
      <c r="A1855">
        <v>11944</v>
      </c>
      <c r="B1855" t="s">
        <v>24649</v>
      </c>
      <c r="C1855" t="s">
        <v>10130</v>
      </c>
      <c r="D1855" t="s">
        <v>58</v>
      </c>
      <c r="E1855">
        <v>954</v>
      </c>
      <c r="F1855">
        <v>1</v>
      </c>
      <c r="G1855">
        <v>1</v>
      </c>
      <c r="H1855">
        <v>1</v>
      </c>
      <c r="I1855">
        <v>0</v>
      </c>
      <c r="J1855">
        <v>1</v>
      </c>
      <c r="K1855">
        <v>1</v>
      </c>
      <c r="L1855">
        <v>1</v>
      </c>
      <c r="M1855">
        <v>0</v>
      </c>
      <c r="N1855">
        <v>0</v>
      </c>
      <c r="O1855">
        <v>0</v>
      </c>
      <c r="P1855" t="s">
        <v>10582</v>
      </c>
      <c r="Q1855" t="s">
        <v>10583</v>
      </c>
      <c r="R1855" t="s">
        <v>1259</v>
      </c>
      <c r="S1855" t="s">
        <v>1260</v>
      </c>
      <c r="V1855" t="s">
        <v>11294</v>
      </c>
      <c r="W1855" t="s">
        <v>11295</v>
      </c>
      <c r="AF1855" t="s">
        <v>24650</v>
      </c>
    </row>
    <row r="1856" spans="1:32" hidden="1" x14ac:dyDescent="0.35">
      <c r="A1856">
        <v>1054</v>
      </c>
      <c r="B1856" t="s">
        <v>2196</v>
      </c>
      <c r="C1856" t="s">
        <v>72</v>
      </c>
      <c r="D1856" t="s">
        <v>58</v>
      </c>
      <c r="E1856">
        <v>1663</v>
      </c>
      <c r="F1856">
        <v>5</v>
      </c>
      <c r="G1856">
        <v>5</v>
      </c>
      <c r="H1856">
        <v>1</v>
      </c>
      <c r="I1856">
        <v>1</v>
      </c>
      <c r="J1856">
        <v>0.77223625140291796</v>
      </c>
      <c r="K1856">
        <v>0.96279409711671604</v>
      </c>
      <c r="L1856">
        <v>0.85705071967720203</v>
      </c>
      <c r="M1856">
        <v>0.55263157894736803</v>
      </c>
      <c r="N1856">
        <v>1</v>
      </c>
      <c r="O1856">
        <v>0.69291497975708505</v>
      </c>
      <c r="P1856" t="s">
        <v>2197</v>
      </c>
      <c r="Q1856" t="s">
        <v>2198</v>
      </c>
      <c r="R1856" t="s">
        <v>2199</v>
      </c>
      <c r="S1856" t="s">
        <v>2200</v>
      </c>
      <c r="V1856" t="s">
        <v>2201</v>
      </c>
      <c r="W1856" t="s">
        <v>2202</v>
      </c>
      <c r="AF1856" t="s">
        <v>2203</v>
      </c>
    </row>
    <row r="1857" spans="1:32" hidden="1" x14ac:dyDescent="0.35">
      <c r="A1857">
        <v>1055</v>
      </c>
      <c r="B1857" t="s">
        <v>2196</v>
      </c>
      <c r="C1857" t="s">
        <v>72</v>
      </c>
      <c r="D1857" t="s">
        <v>60</v>
      </c>
      <c r="E1857">
        <v>2255</v>
      </c>
      <c r="F1857">
        <v>5</v>
      </c>
      <c r="G1857">
        <v>5</v>
      </c>
      <c r="H1857">
        <v>1</v>
      </c>
      <c r="I1857">
        <v>1</v>
      </c>
      <c r="J1857">
        <v>0.77223625140291796</v>
      </c>
      <c r="K1857">
        <v>0.96279409711671604</v>
      </c>
      <c r="L1857">
        <v>0.85705071967720203</v>
      </c>
      <c r="M1857">
        <v>0.55263157894736803</v>
      </c>
      <c r="N1857">
        <v>1</v>
      </c>
      <c r="O1857">
        <v>0.69291497975708505</v>
      </c>
      <c r="P1857" t="s">
        <v>2197</v>
      </c>
      <c r="Q1857" t="s">
        <v>2198</v>
      </c>
      <c r="R1857" t="s">
        <v>2199</v>
      </c>
      <c r="S1857" t="s">
        <v>2200</v>
      </c>
      <c r="V1857" t="s">
        <v>2201</v>
      </c>
      <c r="W1857" t="s">
        <v>2202</v>
      </c>
      <c r="AF1857" t="s">
        <v>2204</v>
      </c>
    </row>
    <row r="1858" spans="1:32" hidden="1" x14ac:dyDescent="0.35">
      <c r="A1858">
        <v>1056</v>
      </c>
      <c r="B1858" t="s">
        <v>2196</v>
      </c>
      <c r="C1858" t="s">
        <v>72</v>
      </c>
      <c r="D1858" t="s">
        <v>62</v>
      </c>
      <c r="E1858">
        <v>2284</v>
      </c>
      <c r="F1858">
        <v>5</v>
      </c>
      <c r="G1858">
        <v>5</v>
      </c>
      <c r="H1858">
        <v>1</v>
      </c>
      <c r="I1858">
        <v>1</v>
      </c>
      <c r="J1858">
        <v>0.77223625140291796</v>
      </c>
      <c r="K1858">
        <v>0.96279409711671604</v>
      </c>
      <c r="L1858">
        <v>0.85705071967720203</v>
      </c>
      <c r="M1858">
        <v>0.55263157894736803</v>
      </c>
      <c r="N1858">
        <v>1</v>
      </c>
      <c r="O1858">
        <v>0.69291497975708505</v>
      </c>
      <c r="P1858" t="s">
        <v>2197</v>
      </c>
      <c r="Q1858" t="s">
        <v>2198</v>
      </c>
      <c r="R1858" t="s">
        <v>2199</v>
      </c>
      <c r="S1858" t="s">
        <v>2200</v>
      </c>
      <c r="V1858" t="s">
        <v>2201</v>
      </c>
      <c r="W1858" t="s">
        <v>2202</v>
      </c>
      <c r="AF1858" t="s">
        <v>2204</v>
      </c>
    </row>
    <row r="1859" spans="1:32" hidden="1" x14ac:dyDescent="0.35">
      <c r="A1859">
        <v>1057</v>
      </c>
      <c r="B1859" t="s">
        <v>2196</v>
      </c>
      <c r="C1859" t="s">
        <v>72</v>
      </c>
      <c r="D1859" t="s">
        <v>34</v>
      </c>
      <c r="E1859">
        <v>1542</v>
      </c>
      <c r="F1859">
        <v>5</v>
      </c>
      <c r="G1859">
        <v>5</v>
      </c>
      <c r="H1859">
        <v>1</v>
      </c>
      <c r="I1859">
        <v>1</v>
      </c>
      <c r="J1859">
        <v>0.77223625140291796</v>
      </c>
      <c r="K1859">
        <v>0.96279409711671604</v>
      </c>
      <c r="L1859">
        <v>0.85705071967720203</v>
      </c>
      <c r="M1859">
        <v>0.55263157894736803</v>
      </c>
      <c r="N1859">
        <v>1</v>
      </c>
      <c r="O1859">
        <v>0.69291497975708505</v>
      </c>
      <c r="P1859" t="s">
        <v>2197</v>
      </c>
      <c r="Q1859" t="s">
        <v>2198</v>
      </c>
      <c r="R1859" t="s">
        <v>2199</v>
      </c>
      <c r="S1859" t="s">
        <v>2200</v>
      </c>
      <c r="V1859" t="s">
        <v>2201</v>
      </c>
      <c r="W1859" t="s">
        <v>2202</v>
      </c>
      <c r="AF1859" t="s">
        <v>2205</v>
      </c>
    </row>
    <row r="1860" spans="1:32" hidden="1" x14ac:dyDescent="0.35">
      <c r="A1860">
        <v>1058</v>
      </c>
      <c r="B1860" t="s">
        <v>2196</v>
      </c>
      <c r="C1860" t="s">
        <v>72</v>
      </c>
      <c r="D1860" t="s">
        <v>45</v>
      </c>
      <c r="E1860">
        <v>292</v>
      </c>
      <c r="F1860">
        <v>5</v>
      </c>
      <c r="G1860">
        <v>5</v>
      </c>
      <c r="H1860">
        <v>1</v>
      </c>
      <c r="I1860">
        <v>1</v>
      </c>
      <c r="J1860">
        <v>0.77223625140291796</v>
      </c>
      <c r="K1860">
        <v>0.96279409711671604</v>
      </c>
      <c r="L1860">
        <v>0.85705071967720203</v>
      </c>
      <c r="M1860">
        <v>0.55263157894736803</v>
      </c>
      <c r="N1860">
        <v>1</v>
      </c>
      <c r="O1860">
        <v>0.69291497975708505</v>
      </c>
      <c r="P1860" t="s">
        <v>2197</v>
      </c>
      <c r="Q1860" t="s">
        <v>2198</v>
      </c>
      <c r="R1860" t="s">
        <v>2199</v>
      </c>
      <c r="S1860" t="s">
        <v>2200</v>
      </c>
      <c r="V1860" t="s">
        <v>2201</v>
      </c>
      <c r="W1860" t="s">
        <v>2202</v>
      </c>
      <c r="AF1860" t="s">
        <v>2206</v>
      </c>
    </row>
    <row r="1861" spans="1:32" hidden="1" x14ac:dyDescent="0.35">
      <c r="A1861">
        <v>175</v>
      </c>
      <c r="B1861" t="s">
        <v>286</v>
      </c>
      <c r="C1861" t="s">
        <v>72</v>
      </c>
      <c r="D1861" t="s">
        <v>60</v>
      </c>
      <c r="E1861">
        <v>2056</v>
      </c>
      <c r="F1861">
        <v>3</v>
      </c>
      <c r="G1861">
        <v>8</v>
      </c>
      <c r="H1861">
        <v>4</v>
      </c>
      <c r="I1861">
        <v>0</v>
      </c>
      <c r="J1861">
        <v>0.76671875775164999</v>
      </c>
      <c r="K1861">
        <v>0.67860575020721403</v>
      </c>
      <c r="L1861">
        <v>0.71997638583848</v>
      </c>
      <c r="M1861">
        <v>5.5363321799308002E-2</v>
      </c>
      <c r="N1861">
        <v>0.99406821552150304</v>
      </c>
      <c r="O1861">
        <v>0.43674528634983401</v>
      </c>
      <c r="R1861" t="s">
        <v>288</v>
      </c>
      <c r="S1861" t="s">
        <v>289</v>
      </c>
      <c r="V1861" t="s">
        <v>290</v>
      </c>
      <c r="W1861" t="s">
        <v>291</v>
      </c>
      <c r="AF1861" t="s">
        <v>221</v>
      </c>
    </row>
    <row r="1862" spans="1:32" hidden="1" x14ac:dyDescent="0.35">
      <c r="A1862">
        <v>176</v>
      </c>
      <c r="B1862" t="s">
        <v>286</v>
      </c>
      <c r="C1862" t="s">
        <v>72</v>
      </c>
      <c r="D1862" t="s">
        <v>34</v>
      </c>
      <c r="E1862">
        <v>89</v>
      </c>
      <c r="F1862">
        <v>3</v>
      </c>
      <c r="G1862">
        <v>8</v>
      </c>
      <c r="H1862">
        <v>4</v>
      </c>
      <c r="I1862">
        <v>0</v>
      </c>
      <c r="J1862">
        <v>0.76671875775164999</v>
      </c>
      <c r="K1862">
        <v>0.67860575020721403</v>
      </c>
      <c r="L1862">
        <v>0.71997638583848</v>
      </c>
      <c r="M1862">
        <v>5.5363321799308002E-2</v>
      </c>
      <c r="N1862">
        <v>0.99406821552150304</v>
      </c>
      <c r="O1862">
        <v>0.43674528634983401</v>
      </c>
      <c r="P1862" t="s">
        <v>292</v>
      </c>
      <c r="Q1862" t="s">
        <v>293</v>
      </c>
      <c r="R1862" t="s">
        <v>288</v>
      </c>
      <c r="S1862" t="s">
        <v>289</v>
      </c>
      <c r="V1862" t="s">
        <v>290</v>
      </c>
      <c r="W1862" t="s">
        <v>291</v>
      </c>
      <c r="AF1862" t="s">
        <v>294</v>
      </c>
    </row>
    <row r="1863" spans="1:32" hidden="1" x14ac:dyDescent="0.35">
      <c r="A1863">
        <v>177</v>
      </c>
      <c r="B1863" t="s">
        <v>286</v>
      </c>
      <c r="C1863" t="s">
        <v>72</v>
      </c>
      <c r="D1863" t="s">
        <v>34</v>
      </c>
      <c r="E1863">
        <v>2275</v>
      </c>
      <c r="F1863">
        <v>3</v>
      </c>
      <c r="G1863">
        <v>8</v>
      </c>
      <c r="H1863">
        <v>4</v>
      </c>
      <c r="I1863">
        <v>0</v>
      </c>
      <c r="J1863">
        <v>0.76671875775164999</v>
      </c>
      <c r="K1863">
        <v>0.67860575020721403</v>
      </c>
      <c r="L1863">
        <v>0.71997638583848</v>
      </c>
      <c r="M1863">
        <v>5.5363321799308002E-2</v>
      </c>
      <c r="N1863">
        <v>0.99406821552150304</v>
      </c>
      <c r="O1863">
        <v>0.43674528634983401</v>
      </c>
      <c r="P1863" t="s">
        <v>292</v>
      </c>
      <c r="Q1863" t="s">
        <v>293</v>
      </c>
      <c r="R1863" t="s">
        <v>288</v>
      </c>
      <c r="S1863" t="s">
        <v>289</v>
      </c>
      <c r="V1863" t="s">
        <v>290</v>
      </c>
      <c r="W1863" t="s">
        <v>291</v>
      </c>
      <c r="AF1863" t="s">
        <v>295</v>
      </c>
    </row>
    <row r="1864" spans="1:32" hidden="1" x14ac:dyDescent="0.35">
      <c r="A1864">
        <v>178</v>
      </c>
      <c r="B1864" t="s">
        <v>286</v>
      </c>
      <c r="C1864" t="s">
        <v>72</v>
      </c>
      <c r="D1864" t="s">
        <v>34</v>
      </c>
      <c r="E1864">
        <v>105</v>
      </c>
      <c r="F1864">
        <v>3</v>
      </c>
      <c r="G1864">
        <v>8</v>
      </c>
      <c r="H1864">
        <v>4</v>
      </c>
      <c r="I1864">
        <v>0</v>
      </c>
      <c r="J1864">
        <v>0.76671875775164999</v>
      </c>
      <c r="K1864">
        <v>0.67860575020721403</v>
      </c>
      <c r="L1864">
        <v>0.71997638583848</v>
      </c>
      <c r="M1864">
        <v>5.5363321799308002E-2</v>
      </c>
      <c r="N1864">
        <v>0.99406821552150304</v>
      </c>
      <c r="O1864">
        <v>0.43674528634983401</v>
      </c>
      <c r="P1864" t="s">
        <v>292</v>
      </c>
      <c r="Q1864" t="s">
        <v>293</v>
      </c>
      <c r="R1864" t="s">
        <v>288</v>
      </c>
      <c r="S1864" t="s">
        <v>289</v>
      </c>
      <c r="V1864" t="s">
        <v>290</v>
      </c>
      <c r="W1864" t="s">
        <v>291</v>
      </c>
      <c r="AF1864" t="s">
        <v>296</v>
      </c>
    </row>
    <row r="1865" spans="1:32" hidden="1" x14ac:dyDescent="0.35">
      <c r="A1865">
        <v>179</v>
      </c>
      <c r="B1865" t="s">
        <v>286</v>
      </c>
      <c r="C1865" t="s">
        <v>72</v>
      </c>
      <c r="D1865" t="s">
        <v>34</v>
      </c>
      <c r="E1865">
        <v>1599</v>
      </c>
      <c r="F1865">
        <v>3</v>
      </c>
      <c r="G1865">
        <v>8</v>
      </c>
      <c r="H1865">
        <v>4</v>
      </c>
      <c r="I1865">
        <v>0</v>
      </c>
      <c r="J1865">
        <v>0.76671875775164999</v>
      </c>
      <c r="K1865">
        <v>0.67860575020721403</v>
      </c>
      <c r="L1865">
        <v>0.71997638583848</v>
      </c>
      <c r="M1865">
        <v>5.5363321799308002E-2</v>
      </c>
      <c r="N1865">
        <v>0.99406821552150304</v>
      </c>
      <c r="O1865">
        <v>0.43674528634983401</v>
      </c>
      <c r="P1865" t="s">
        <v>292</v>
      </c>
      <c r="Q1865" t="s">
        <v>293</v>
      </c>
      <c r="R1865" t="s">
        <v>288</v>
      </c>
      <c r="S1865" t="s">
        <v>289</v>
      </c>
      <c r="V1865" t="s">
        <v>290</v>
      </c>
      <c r="W1865" t="s">
        <v>291</v>
      </c>
      <c r="AF1865" t="s">
        <v>297</v>
      </c>
    </row>
    <row r="1866" spans="1:32" hidden="1" x14ac:dyDescent="0.35">
      <c r="A1866">
        <v>180</v>
      </c>
      <c r="B1866" t="s">
        <v>286</v>
      </c>
      <c r="C1866" t="s">
        <v>72</v>
      </c>
      <c r="D1866" t="s">
        <v>45</v>
      </c>
      <c r="E1866">
        <v>349</v>
      </c>
      <c r="F1866">
        <v>3</v>
      </c>
      <c r="G1866">
        <v>8</v>
      </c>
      <c r="H1866">
        <v>4</v>
      </c>
      <c r="I1866">
        <v>0</v>
      </c>
      <c r="J1866">
        <v>0.76671875775164999</v>
      </c>
      <c r="K1866">
        <v>0.67860575020721403</v>
      </c>
      <c r="L1866">
        <v>0.71997638583848</v>
      </c>
      <c r="M1866">
        <v>5.5363321799308002E-2</v>
      </c>
      <c r="N1866">
        <v>0.99406821552150304</v>
      </c>
      <c r="O1866">
        <v>0.43674528634983401</v>
      </c>
      <c r="P1866" t="s">
        <v>292</v>
      </c>
      <c r="Q1866" t="s">
        <v>293</v>
      </c>
      <c r="R1866" t="s">
        <v>288</v>
      </c>
      <c r="S1866" t="s">
        <v>289</v>
      </c>
      <c r="V1866" t="s">
        <v>290</v>
      </c>
      <c r="W1866" t="s">
        <v>291</v>
      </c>
      <c r="AF1866" t="s">
        <v>298</v>
      </c>
    </row>
    <row r="1867" spans="1:32" hidden="1" x14ac:dyDescent="0.35">
      <c r="A1867">
        <v>181</v>
      </c>
      <c r="B1867" t="s">
        <v>286</v>
      </c>
      <c r="C1867" t="s">
        <v>72</v>
      </c>
      <c r="D1867" t="s">
        <v>45</v>
      </c>
      <c r="E1867">
        <v>1367</v>
      </c>
      <c r="F1867">
        <v>3</v>
      </c>
      <c r="G1867">
        <v>8</v>
      </c>
      <c r="H1867">
        <v>4</v>
      </c>
      <c r="I1867">
        <v>0</v>
      </c>
      <c r="J1867">
        <v>0.76671875775164999</v>
      </c>
      <c r="K1867">
        <v>0.67860575020721403</v>
      </c>
      <c r="L1867">
        <v>0.71997638583848</v>
      </c>
      <c r="M1867">
        <v>5.5363321799308002E-2</v>
      </c>
      <c r="N1867">
        <v>0.99406821552150304</v>
      </c>
      <c r="O1867">
        <v>0.43674528634983401</v>
      </c>
      <c r="P1867" t="s">
        <v>292</v>
      </c>
      <c r="Q1867" t="s">
        <v>293</v>
      </c>
      <c r="R1867" t="s">
        <v>288</v>
      </c>
      <c r="S1867" t="s">
        <v>289</v>
      </c>
      <c r="V1867" t="s">
        <v>290</v>
      </c>
      <c r="W1867" t="s">
        <v>291</v>
      </c>
      <c r="AF1867" t="s">
        <v>299</v>
      </c>
    </row>
    <row r="1868" spans="1:32" hidden="1" x14ac:dyDescent="0.35">
      <c r="A1868">
        <v>182</v>
      </c>
      <c r="B1868" t="s">
        <v>286</v>
      </c>
      <c r="C1868" t="s">
        <v>72</v>
      </c>
      <c r="D1868" t="s">
        <v>45</v>
      </c>
      <c r="E1868">
        <v>1366</v>
      </c>
      <c r="F1868">
        <v>3</v>
      </c>
      <c r="G1868">
        <v>8</v>
      </c>
      <c r="H1868">
        <v>4</v>
      </c>
      <c r="I1868">
        <v>0</v>
      </c>
      <c r="J1868">
        <v>0.76671875775164999</v>
      </c>
      <c r="K1868">
        <v>0.67860575020721403</v>
      </c>
      <c r="L1868">
        <v>0.71997638583848</v>
      </c>
      <c r="M1868">
        <v>5.5363321799308002E-2</v>
      </c>
      <c r="N1868">
        <v>0.99406821552150304</v>
      </c>
      <c r="O1868">
        <v>0.43674528634983401</v>
      </c>
      <c r="P1868" t="s">
        <v>300</v>
      </c>
      <c r="Q1868" t="s">
        <v>301</v>
      </c>
      <c r="R1868" t="s">
        <v>288</v>
      </c>
      <c r="S1868" t="s">
        <v>289</v>
      </c>
      <c r="V1868" t="s">
        <v>290</v>
      </c>
      <c r="W1868" t="s">
        <v>291</v>
      </c>
      <c r="AF1868" t="s">
        <v>302</v>
      </c>
    </row>
    <row r="1869" spans="1:32" hidden="1" x14ac:dyDescent="0.35">
      <c r="A1869">
        <v>307</v>
      </c>
      <c r="B1869" t="s">
        <v>525</v>
      </c>
      <c r="C1869" t="s">
        <v>72</v>
      </c>
      <c r="D1869" t="s">
        <v>58</v>
      </c>
      <c r="E1869">
        <v>687</v>
      </c>
      <c r="F1869">
        <v>5</v>
      </c>
      <c r="G1869">
        <v>6</v>
      </c>
      <c r="H1869">
        <v>2</v>
      </c>
      <c r="I1869">
        <v>0</v>
      </c>
      <c r="J1869">
        <v>0.77259415088891603</v>
      </c>
      <c r="K1869">
        <v>0.97282909325134104</v>
      </c>
      <c r="L1869">
        <v>0.86122614647631901</v>
      </c>
      <c r="M1869">
        <v>0.51624548736462095</v>
      </c>
      <c r="N1869">
        <v>1</v>
      </c>
      <c r="O1869">
        <v>0.68567990373044496</v>
      </c>
      <c r="P1869" t="s">
        <v>526</v>
      </c>
      <c r="Q1869" t="s">
        <v>527</v>
      </c>
      <c r="R1869" t="s">
        <v>288</v>
      </c>
      <c r="S1869" t="s">
        <v>289</v>
      </c>
      <c r="T1869" t="s">
        <v>528</v>
      </c>
      <c r="U1869" t="s">
        <v>529</v>
      </c>
      <c r="V1869" t="s">
        <v>530</v>
      </c>
      <c r="W1869" t="s">
        <v>531</v>
      </c>
      <c r="AD1869" t="s">
        <v>410</v>
      </c>
      <c r="AE1869" t="s">
        <v>532</v>
      </c>
      <c r="AF1869" t="s">
        <v>533</v>
      </c>
    </row>
    <row r="1870" spans="1:32" hidden="1" x14ac:dyDescent="0.35">
      <c r="A1870">
        <v>308</v>
      </c>
      <c r="B1870" t="s">
        <v>525</v>
      </c>
      <c r="C1870" t="s">
        <v>72</v>
      </c>
      <c r="D1870" t="s">
        <v>58</v>
      </c>
      <c r="E1870">
        <v>967</v>
      </c>
      <c r="F1870">
        <v>5</v>
      </c>
      <c r="G1870">
        <v>6</v>
      </c>
      <c r="H1870">
        <v>2</v>
      </c>
      <c r="I1870">
        <v>0</v>
      </c>
      <c r="J1870">
        <v>0.77259415088891603</v>
      </c>
      <c r="K1870">
        <v>0.97282909325134104</v>
      </c>
      <c r="L1870">
        <v>0.86122614647631901</v>
      </c>
      <c r="M1870">
        <v>0.51624548736462095</v>
      </c>
      <c r="N1870">
        <v>1</v>
      </c>
      <c r="O1870">
        <v>0.68567990373044496</v>
      </c>
      <c r="P1870" t="s">
        <v>526</v>
      </c>
      <c r="Q1870" t="s">
        <v>527</v>
      </c>
      <c r="R1870" t="s">
        <v>288</v>
      </c>
      <c r="S1870" t="s">
        <v>289</v>
      </c>
      <c r="T1870" t="s">
        <v>528</v>
      </c>
      <c r="U1870" t="s">
        <v>529</v>
      </c>
      <c r="V1870" t="s">
        <v>530</v>
      </c>
      <c r="W1870" t="s">
        <v>531</v>
      </c>
      <c r="AD1870" t="s">
        <v>410</v>
      </c>
      <c r="AE1870" t="s">
        <v>532</v>
      </c>
      <c r="AF1870" t="s">
        <v>534</v>
      </c>
    </row>
    <row r="1871" spans="1:32" hidden="1" x14ac:dyDescent="0.35">
      <c r="A1871">
        <v>309</v>
      </c>
      <c r="B1871" t="s">
        <v>525</v>
      </c>
      <c r="C1871" t="s">
        <v>72</v>
      </c>
      <c r="D1871" t="s">
        <v>60</v>
      </c>
      <c r="E1871">
        <v>881</v>
      </c>
      <c r="F1871">
        <v>5</v>
      </c>
      <c r="G1871">
        <v>6</v>
      </c>
      <c r="H1871">
        <v>2</v>
      </c>
      <c r="I1871">
        <v>0</v>
      </c>
      <c r="J1871">
        <v>0.77259415088891603</v>
      </c>
      <c r="K1871">
        <v>0.97282909325134104</v>
      </c>
      <c r="L1871">
        <v>0.86122614647631901</v>
      </c>
      <c r="M1871">
        <v>0.51624548736462095</v>
      </c>
      <c r="N1871">
        <v>1</v>
      </c>
      <c r="O1871">
        <v>0.68567990373044496</v>
      </c>
      <c r="P1871" t="s">
        <v>526</v>
      </c>
      <c r="Q1871" t="s">
        <v>527</v>
      </c>
      <c r="R1871" t="s">
        <v>288</v>
      </c>
      <c r="S1871" t="s">
        <v>289</v>
      </c>
      <c r="T1871" t="s">
        <v>528</v>
      </c>
      <c r="U1871" t="s">
        <v>529</v>
      </c>
      <c r="V1871" t="s">
        <v>530</v>
      </c>
      <c r="W1871" t="s">
        <v>531</v>
      </c>
      <c r="AD1871" t="s">
        <v>410</v>
      </c>
      <c r="AE1871" t="s">
        <v>532</v>
      </c>
      <c r="AF1871" t="s">
        <v>535</v>
      </c>
    </row>
    <row r="1872" spans="1:32" hidden="1" x14ac:dyDescent="0.35">
      <c r="A1872">
        <v>310</v>
      </c>
      <c r="B1872" t="s">
        <v>525</v>
      </c>
      <c r="C1872" t="s">
        <v>72</v>
      </c>
      <c r="D1872" t="s">
        <v>62</v>
      </c>
      <c r="E1872">
        <v>915</v>
      </c>
      <c r="F1872">
        <v>5</v>
      </c>
      <c r="G1872">
        <v>6</v>
      </c>
      <c r="H1872">
        <v>2</v>
      </c>
      <c r="I1872">
        <v>0</v>
      </c>
      <c r="J1872">
        <v>0.77259415088891603</v>
      </c>
      <c r="K1872">
        <v>0.97282909325134104</v>
      </c>
      <c r="L1872">
        <v>0.86122614647631901</v>
      </c>
      <c r="M1872">
        <v>0.51624548736462095</v>
      </c>
      <c r="N1872">
        <v>1</v>
      </c>
      <c r="O1872">
        <v>0.68567990373044496</v>
      </c>
      <c r="P1872" t="s">
        <v>526</v>
      </c>
      <c r="Q1872" t="s">
        <v>527</v>
      </c>
      <c r="R1872" t="s">
        <v>288</v>
      </c>
      <c r="S1872" t="s">
        <v>289</v>
      </c>
      <c r="T1872" t="s">
        <v>528</v>
      </c>
      <c r="U1872" t="s">
        <v>529</v>
      </c>
      <c r="V1872" t="s">
        <v>530</v>
      </c>
      <c r="W1872" t="s">
        <v>531</v>
      </c>
      <c r="AD1872" t="s">
        <v>410</v>
      </c>
      <c r="AE1872" t="s">
        <v>532</v>
      </c>
      <c r="AF1872" t="s">
        <v>535</v>
      </c>
    </row>
    <row r="1873" spans="1:32" hidden="1" x14ac:dyDescent="0.35">
      <c r="A1873">
        <v>311</v>
      </c>
      <c r="B1873" t="s">
        <v>525</v>
      </c>
      <c r="C1873" t="s">
        <v>72</v>
      </c>
      <c r="D1873" t="s">
        <v>34</v>
      </c>
      <c r="E1873">
        <v>273</v>
      </c>
      <c r="F1873">
        <v>5</v>
      </c>
      <c r="G1873">
        <v>6</v>
      </c>
      <c r="H1873">
        <v>2</v>
      </c>
      <c r="I1873">
        <v>0</v>
      </c>
      <c r="J1873">
        <v>0.77259415088891603</v>
      </c>
      <c r="K1873">
        <v>0.97282909325134104</v>
      </c>
      <c r="L1873">
        <v>0.86122614647631901</v>
      </c>
      <c r="M1873">
        <v>0.51624548736462095</v>
      </c>
      <c r="N1873">
        <v>1</v>
      </c>
      <c r="O1873">
        <v>0.68567990373044496</v>
      </c>
      <c r="P1873" t="s">
        <v>526</v>
      </c>
      <c r="Q1873" t="s">
        <v>527</v>
      </c>
      <c r="R1873" t="s">
        <v>288</v>
      </c>
      <c r="S1873" t="s">
        <v>289</v>
      </c>
      <c r="T1873" t="s">
        <v>528</v>
      </c>
      <c r="U1873" t="s">
        <v>529</v>
      </c>
      <c r="V1873" t="s">
        <v>530</v>
      </c>
      <c r="W1873" t="s">
        <v>531</v>
      </c>
      <c r="AD1873" t="s">
        <v>410</v>
      </c>
      <c r="AE1873" t="s">
        <v>532</v>
      </c>
      <c r="AF1873" t="s">
        <v>536</v>
      </c>
    </row>
    <row r="1874" spans="1:32" hidden="1" x14ac:dyDescent="0.35">
      <c r="A1874">
        <v>312</v>
      </c>
      <c r="B1874" t="s">
        <v>525</v>
      </c>
      <c r="C1874" t="s">
        <v>72</v>
      </c>
      <c r="D1874" t="s">
        <v>45</v>
      </c>
      <c r="E1874">
        <v>1535</v>
      </c>
      <c r="F1874">
        <v>5</v>
      </c>
      <c r="G1874">
        <v>6</v>
      </c>
      <c r="H1874">
        <v>2</v>
      </c>
      <c r="I1874">
        <v>0</v>
      </c>
      <c r="J1874">
        <v>0.77259415088891603</v>
      </c>
      <c r="K1874">
        <v>0.97282909325134104</v>
      </c>
      <c r="L1874">
        <v>0.86122614647631901</v>
      </c>
      <c r="M1874">
        <v>0.51624548736462095</v>
      </c>
      <c r="N1874">
        <v>1</v>
      </c>
      <c r="O1874">
        <v>0.68567990373044496</v>
      </c>
      <c r="P1874" t="s">
        <v>526</v>
      </c>
      <c r="Q1874" t="s">
        <v>527</v>
      </c>
      <c r="R1874" t="s">
        <v>288</v>
      </c>
      <c r="S1874" t="s">
        <v>289</v>
      </c>
      <c r="T1874" t="s">
        <v>528</v>
      </c>
      <c r="U1874" t="s">
        <v>529</v>
      </c>
      <c r="V1874" t="s">
        <v>530</v>
      </c>
      <c r="W1874" t="s">
        <v>531</v>
      </c>
      <c r="AD1874" t="s">
        <v>410</v>
      </c>
      <c r="AE1874" t="s">
        <v>532</v>
      </c>
      <c r="AF1874" t="s">
        <v>536</v>
      </c>
    </row>
    <row r="1875" spans="1:32" hidden="1" x14ac:dyDescent="0.35">
      <c r="A1875">
        <v>349</v>
      </c>
      <c r="B1875" t="s">
        <v>625</v>
      </c>
      <c r="C1875" t="s">
        <v>72</v>
      </c>
      <c r="D1875" t="s">
        <v>34</v>
      </c>
      <c r="E1875">
        <v>1356</v>
      </c>
      <c r="F1875">
        <v>2</v>
      </c>
      <c r="G1875">
        <v>6</v>
      </c>
      <c r="H1875">
        <v>3</v>
      </c>
      <c r="I1875">
        <v>0</v>
      </c>
      <c r="J1875">
        <v>0.84597085935176897</v>
      </c>
      <c r="K1875">
        <v>0.97512435921776897</v>
      </c>
      <c r="L1875">
        <v>0.90596777557878105</v>
      </c>
      <c r="M1875">
        <v>0.67391304347826098</v>
      </c>
      <c r="N1875">
        <v>1</v>
      </c>
      <c r="O1875">
        <v>0.790144927536232</v>
      </c>
      <c r="P1875" t="s">
        <v>626</v>
      </c>
      <c r="Q1875" t="s">
        <v>627</v>
      </c>
      <c r="R1875" t="s">
        <v>288</v>
      </c>
      <c r="S1875" t="s">
        <v>289</v>
      </c>
      <c r="V1875" t="s">
        <v>628</v>
      </c>
      <c r="W1875" t="s">
        <v>629</v>
      </c>
      <c r="AF1875" t="s">
        <v>630</v>
      </c>
    </row>
    <row r="1876" spans="1:32" hidden="1" x14ac:dyDescent="0.35">
      <c r="A1876">
        <v>350</v>
      </c>
      <c r="B1876" t="s">
        <v>625</v>
      </c>
      <c r="C1876" t="s">
        <v>72</v>
      </c>
      <c r="D1876" t="s">
        <v>34</v>
      </c>
      <c r="E1876">
        <v>1358</v>
      </c>
      <c r="F1876">
        <v>2</v>
      </c>
      <c r="G1876">
        <v>6</v>
      </c>
      <c r="H1876">
        <v>3</v>
      </c>
      <c r="I1876">
        <v>0</v>
      </c>
      <c r="J1876">
        <v>0.84597085935176897</v>
      </c>
      <c r="K1876">
        <v>0.97512435921776897</v>
      </c>
      <c r="L1876">
        <v>0.90596777557878105</v>
      </c>
      <c r="M1876">
        <v>0.67391304347826098</v>
      </c>
      <c r="N1876">
        <v>1</v>
      </c>
      <c r="O1876">
        <v>0.790144927536232</v>
      </c>
      <c r="P1876" t="s">
        <v>626</v>
      </c>
      <c r="Q1876" t="s">
        <v>627</v>
      </c>
      <c r="R1876" t="s">
        <v>288</v>
      </c>
      <c r="S1876" t="s">
        <v>289</v>
      </c>
      <c r="V1876" t="s">
        <v>628</v>
      </c>
      <c r="W1876" t="s">
        <v>629</v>
      </c>
      <c r="AF1876" t="s">
        <v>631</v>
      </c>
    </row>
    <row r="1877" spans="1:32" hidden="1" x14ac:dyDescent="0.35">
      <c r="A1877">
        <v>352</v>
      </c>
      <c r="B1877" t="s">
        <v>625</v>
      </c>
      <c r="C1877" t="s">
        <v>72</v>
      </c>
      <c r="D1877" t="s">
        <v>45</v>
      </c>
      <c r="E1877">
        <v>106</v>
      </c>
      <c r="F1877">
        <v>2</v>
      </c>
      <c r="G1877">
        <v>6</v>
      </c>
      <c r="H1877">
        <v>3</v>
      </c>
      <c r="I1877">
        <v>0</v>
      </c>
      <c r="J1877">
        <v>0.84597085935176897</v>
      </c>
      <c r="K1877">
        <v>0.97512435921776897</v>
      </c>
      <c r="L1877">
        <v>0.90596777557878105</v>
      </c>
      <c r="M1877">
        <v>0.67391304347826098</v>
      </c>
      <c r="N1877">
        <v>1</v>
      </c>
      <c r="O1877">
        <v>0.790144927536232</v>
      </c>
      <c r="P1877" t="s">
        <v>626</v>
      </c>
      <c r="Q1877" t="s">
        <v>627</v>
      </c>
      <c r="R1877" t="s">
        <v>288</v>
      </c>
      <c r="S1877" t="s">
        <v>289</v>
      </c>
      <c r="V1877" t="s">
        <v>628</v>
      </c>
      <c r="W1877" t="s">
        <v>629</v>
      </c>
      <c r="AF1877" t="s">
        <v>630</v>
      </c>
    </row>
    <row r="1878" spans="1:32" hidden="1" x14ac:dyDescent="0.35">
      <c r="A1878">
        <v>353</v>
      </c>
      <c r="B1878" t="s">
        <v>625</v>
      </c>
      <c r="C1878" t="s">
        <v>72</v>
      </c>
      <c r="D1878" t="s">
        <v>45</v>
      </c>
      <c r="E1878">
        <v>107</v>
      </c>
      <c r="F1878">
        <v>2</v>
      </c>
      <c r="G1878">
        <v>6</v>
      </c>
      <c r="H1878">
        <v>3</v>
      </c>
      <c r="I1878">
        <v>0</v>
      </c>
      <c r="J1878">
        <v>0.84597085935176897</v>
      </c>
      <c r="K1878">
        <v>0.97512435921776897</v>
      </c>
      <c r="L1878">
        <v>0.90596777557878105</v>
      </c>
      <c r="M1878">
        <v>0.67391304347826098</v>
      </c>
      <c r="N1878">
        <v>1</v>
      </c>
      <c r="O1878">
        <v>0.790144927536232</v>
      </c>
      <c r="P1878" t="s">
        <v>626</v>
      </c>
      <c r="Q1878" t="s">
        <v>627</v>
      </c>
      <c r="R1878" t="s">
        <v>288</v>
      </c>
      <c r="S1878" t="s">
        <v>289</v>
      </c>
      <c r="V1878" t="s">
        <v>628</v>
      </c>
      <c r="W1878" t="s">
        <v>629</v>
      </c>
      <c r="AF1878" t="s">
        <v>633</v>
      </c>
    </row>
    <row r="1879" spans="1:32" hidden="1" x14ac:dyDescent="0.35">
      <c r="A1879">
        <v>609</v>
      </c>
      <c r="B1879" t="s">
        <v>1237</v>
      </c>
      <c r="C1879" t="s">
        <v>72</v>
      </c>
      <c r="D1879" t="s">
        <v>58</v>
      </c>
      <c r="E1879">
        <v>707</v>
      </c>
      <c r="F1879">
        <v>5</v>
      </c>
      <c r="G1879">
        <v>5</v>
      </c>
      <c r="H1879">
        <v>1</v>
      </c>
      <c r="I1879">
        <v>1</v>
      </c>
      <c r="J1879">
        <v>0.780141843971631</v>
      </c>
      <c r="K1879">
        <v>0.93794433728299798</v>
      </c>
      <c r="L1879">
        <v>0.85179618207087104</v>
      </c>
      <c r="M1879">
        <v>0.59685863874345502</v>
      </c>
      <c r="N1879">
        <v>1</v>
      </c>
      <c r="O1879">
        <v>0.70366492146596904</v>
      </c>
      <c r="P1879" t="s">
        <v>1238</v>
      </c>
      <c r="Q1879" t="s">
        <v>1239</v>
      </c>
      <c r="R1879" t="s">
        <v>288</v>
      </c>
      <c r="S1879" t="s">
        <v>289</v>
      </c>
      <c r="T1879" t="s">
        <v>1240</v>
      </c>
      <c r="U1879" t="s">
        <v>407</v>
      </c>
      <c r="V1879" t="s">
        <v>1241</v>
      </c>
      <c r="W1879" t="s">
        <v>1242</v>
      </c>
      <c r="AD1879" t="s">
        <v>410</v>
      </c>
      <c r="AE1879" t="s">
        <v>411</v>
      </c>
      <c r="AF1879" t="s">
        <v>1243</v>
      </c>
    </row>
    <row r="1880" spans="1:32" hidden="1" x14ac:dyDescent="0.35">
      <c r="A1880">
        <v>610</v>
      </c>
      <c r="B1880" t="s">
        <v>1237</v>
      </c>
      <c r="C1880" t="s">
        <v>72</v>
      </c>
      <c r="D1880" t="s">
        <v>60</v>
      </c>
      <c r="E1880">
        <v>921</v>
      </c>
      <c r="F1880">
        <v>5</v>
      </c>
      <c r="G1880">
        <v>5</v>
      </c>
      <c r="H1880">
        <v>1</v>
      </c>
      <c r="I1880">
        <v>1</v>
      </c>
      <c r="J1880">
        <v>0.780141843971631</v>
      </c>
      <c r="K1880">
        <v>0.93794433728299798</v>
      </c>
      <c r="L1880">
        <v>0.85179618207087104</v>
      </c>
      <c r="M1880">
        <v>0.59685863874345502</v>
      </c>
      <c r="N1880">
        <v>1</v>
      </c>
      <c r="O1880">
        <v>0.70366492146596904</v>
      </c>
      <c r="P1880" t="s">
        <v>1238</v>
      </c>
      <c r="Q1880" t="s">
        <v>1239</v>
      </c>
      <c r="R1880" t="s">
        <v>288</v>
      </c>
      <c r="S1880" t="s">
        <v>289</v>
      </c>
      <c r="T1880" t="s">
        <v>1240</v>
      </c>
      <c r="U1880" t="s">
        <v>407</v>
      </c>
      <c r="V1880" t="s">
        <v>1241</v>
      </c>
      <c r="W1880" t="s">
        <v>1242</v>
      </c>
      <c r="AD1880" t="s">
        <v>410</v>
      </c>
      <c r="AE1880" t="s">
        <v>411</v>
      </c>
      <c r="AF1880" t="s">
        <v>1244</v>
      </c>
    </row>
    <row r="1881" spans="1:32" hidden="1" x14ac:dyDescent="0.35">
      <c r="A1881">
        <v>611</v>
      </c>
      <c r="B1881" t="s">
        <v>1237</v>
      </c>
      <c r="C1881" t="s">
        <v>72</v>
      </c>
      <c r="D1881" t="s">
        <v>62</v>
      </c>
      <c r="E1881">
        <v>957</v>
      </c>
      <c r="F1881">
        <v>5</v>
      </c>
      <c r="G1881">
        <v>5</v>
      </c>
      <c r="H1881">
        <v>1</v>
      </c>
      <c r="I1881">
        <v>1</v>
      </c>
      <c r="J1881">
        <v>0.780141843971631</v>
      </c>
      <c r="K1881">
        <v>0.93794433728299798</v>
      </c>
      <c r="L1881">
        <v>0.85179618207087104</v>
      </c>
      <c r="M1881">
        <v>0.59685863874345502</v>
      </c>
      <c r="N1881">
        <v>1</v>
      </c>
      <c r="O1881">
        <v>0.70366492146596904</v>
      </c>
      <c r="P1881" t="s">
        <v>1238</v>
      </c>
      <c r="Q1881" t="s">
        <v>1239</v>
      </c>
      <c r="R1881" t="s">
        <v>288</v>
      </c>
      <c r="S1881" t="s">
        <v>289</v>
      </c>
      <c r="T1881" t="s">
        <v>1240</v>
      </c>
      <c r="U1881" t="s">
        <v>407</v>
      </c>
      <c r="V1881" t="s">
        <v>1241</v>
      </c>
      <c r="W1881" t="s">
        <v>1242</v>
      </c>
      <c r="AD1881" t="s">
        <v>410</v>
      </c>
      <c r="AE1881" t="s">
        <v>411</v>
      </c>
      <c r="AF1881" t="s">
        <v>1244</v>
      </c>
    </row>
    <row r="1882" spans="1:32" hidden="1" x14ac:dyDescent="0.35">
      <c r="A1882">
        <v>612</v>
      </c>
      <c r="B1882" t="s">
        <v>1237</v>
      </c>
      <c r="C1882" t="s">
        <v>72</v>
      </c>
      <c r="D1882" t="s">
        <v>34</v>
      </c>
      <c r="E1882">
        <v>241</v>
      </c>
      <c r="F1882">
        <v>5</v>
      </c>
      <c r="G1882">
        <v>5</v>
      </c>
      <c r="H1882">
        <v>1</v>
      </c>
      <c r="I1882">
        <v>1</v>
      </c>
      <c r="J1882">
        <v>0.780141843971631</v>
      </c>
      <c r="K1882">
        <v>0.93794433728299798</v>
      </c>
      <c r="L1882">
        <v>0.85179618207087104</v>
      </c>
      <c r="M1882">
        <v>0.59685863874345502</v>
      </c>
      <c r="N1882">
        <v>1</v>
      </c>
      <c r="O1882">
        <v>0.70366492146596904</v>
      </c>
      <c r="P1882" t="s">
        <v>1238</v>
      </c>
      <c r="Q1882" t="s">
        <v>1239</v>
      </c>
      <c r="R1882" t="s">
        <v>288</v>
      </c>
      <c r="S1882" t="s">
        <v>289</v>
      </c>
      <c r="T1882" t="s">
        <v>1240</v>
      </c>
      <c r="U1882" t="s">
        <v>407</v>
      </c>
      <c r="V1882" t="s">
        <v>1241</v>
      </c>
      <c r="W1882" t="s">
        <v>1242</v>
      </c>
      <c r="AD1882" t="s">
        <v>410</v>
      </c>
      <c r="AE1882" t="s">
        <v>411</v>
      </c>
      <c r="AF1882" t="s">
        <v>1245</v>
      </c>
    </row>
    <row r="1883" spans="1:32" hidden="1" x14ac:dyDescent="0.35">
      <c r="A1883">
        <v>613</v>
      </c>
      <c r="B1883" t="s">
        <v>1237</v>
      </c>
      <c r="C1883" t="s">
        <v>72</v>
      </c>
      <c r="D1883" t="s">
        <v>45</v>
      </c>
      <c r="E1883">
        <v>1504</v>
      </c>
      <c r="F1883">
        <v>5</v>
      </c>
      <c r="G1883">
        <v>5</v>
      </c>
      <c r="H1883">
        <v>1</v>
      </c>
      <c r="I1883">
        <v>1</v>
      </c>
      <c r="J1883">
        <v>0.780141843971631</v>
      </c>
      <c r="K1883">
        <v>0.93794433728299798</v>
      </c>
      <c r="L1883">
        <v>0.85179618207087104</v>
      </c>
      <c r="M1883">
        <v>0.59685863874345502</v>
      </c>
      <c r="N1883">
        <v>1</v>
      </c>
      <c r="O1883">
        <v>0.70366492146596904</v>
      </c>
      <c r="P1883" t="s">
        <v>1238</v>
      </c>
      <c r="Q1883" t="s">
        <v>1239</v>
      </c>
      <c r="R1883" t="s">
        <v>288</v>
      </c>
      <c r="S1883" t="s">
        <v>289</v>
      </c>
      <c r="T1883" t="s">
        <v>1240</v>
      </c>
      <c r="U1883" t="s">
        <v>407</v>
      </c>
      <c r="V1883" t="s">
        <v>1241</v>
      </c>
      <c r="W1883" t="s">
        <v>1242</v>
      </c>
      <c r="AD1883" t="s">
        <v>410</v>
      </c>
      <c r="AE1883" t="s">
        <v>411</v>
      </c>
      <c r="AF1883" t="s">
        <v>1245</v>
      </c>
    </row>
    <row r="1884" spans="1:32" hidden="1" x14ac:dyDescent="0.35">
      <c r="A1884">
        <v>679</v>
      </c>
      <c r="B1884" t="s">
        <v>1389</v>
      </c>
      <c r="C1884" t="s">
        <v>72</v>
      </c>
      <c r="D1884" t="s">
        <v>58</v>
      </c>
      <c r="E1884">
        <v>85</v>
      </c>
      <c r="F1884">
        <v>5</v>
      </c>
      <c r="G1884">
        <v>5</v>
      </c>
      <c r="H1884">
        <v>1</v>
      </c>
      <c r="I1884">
        <v>1</v>
      </c>
      <c r="J1884">
        <v>0.81155778894472397</v>
      </c>
      <c r="K1884">
        <v>0.93811949976840903</v>
      </c>
      <c r="L1884">
        <v>0.870261266931041</v>
      </c>
      <c r="M1884">
        <v>0.63529411764705901</v>
      </c>
      <c r="N1884">
        <v>1</v>
      </c>
      <c r="O1884">
        <v>0.72941176470588198</v>
      </c>
      <c r="P1884" t="s">
        <v>1390</v>
      </c>
      <c r="Q1884" t="s">
        <v>1391</v>
      </c>
      <c r="R1884" t="s">
        <v>288</v>
      </c>
      <c r="S1884" t="s">
        <v>289</v>
      </c>
      <c r="T1884" t="s">
        <v>1392</v>
      </c>
      <c r="U1884" t="s">
        <v>1393</v>
      </c>
      <c r="V1884" t="s">
        <v>1394</v>
      </c>
      <c r="W1884" t="s">
        <v>1395</v>
      </c>
      <c r="AD1884" t="s">
        <v>219</v>
      </c>
      <c r="AE1884" t="s">
        <v>1396</v>
      </c>
      <c r="AF1884" t="s">
        <v>1397</v>
      </c>
    </row>
    <row r="1885" spans="1:32" hidden="1" x14ac:dyDescent="0.35">
      <c r="A1885">
        <v>680</v>
      </c>
      <c r="B1885" t="s">
        <v>1389</v>
      </c>
      <c r="C1885" t="s">
        <v>72</v>
      </c>
      <c r="D1885" t="s">
        <v>60</v>
      </c>
      <c r="E1885">
        <v>152</v>
      </c>
      <c r="F1885">
        <v>5</v>
      </c>
      <c r="G1885">
        <v>5</v>
      </c>
      <c r="H1885">
        <v>1</v>
      </c>
      <c r="I1885">
        <v>1</v>
      </c>
      <c r="J1885">
        <v>0.81155778894472397</v>
      </c>
      <c r="K1885">
        <v>0.93811949976840903</v>
      </c>
      <c r="L1885">
        <v>0.870261266931041</v>
      </c>
      <c r="M1885">
        <v>0.63529411764705901</v>
      </c>
      <c r="N1885">
        <v>1</v>
      </c>
      <c r="O1885">
        <v>0.72941176470588198</v>
      </c>
      <c r="P1885" t="s">
        <v>1390</v>
      </c>
      <c r="Q1885" t="s">
        <v>1391</v>
      </c>
      <c r="R1885" t="s">
        <v>288</v>
      </c>
      <c r="S1885" t="s">
        <v>289</v>
      </c>
      <c r="T1885" t="s">
        <v>1392</v>
      </c>
      <c r="U1885" t="s">
        <v>1393</v>
      </c>
      <c r="V1885" t="s">
        <v>1394</v>
      </c>
      <c r="W1885" t="s">
        <v>1395</v>
      </c>
      <c r="AD1885" t="s">
        <v>219</v>
      </c>
      <c r="AE1885" t="s">
        <v>1396</v>
      </c>
      <c r="AF1885" t="s">
        <v>1398</v>
      </c>
    </row>
    <row r="1886" spans="1:32" hidden="1" x14ac:dyDescent="0.35">
      <c r="A1886">
        <v>681</v>
      </c>
      <c r="B1886" t="s">
        <v>1389</v>
      </c>
      <c r="C1886" t="s">
        <v>72</v>
      </c>
      <c r="D1886" t="s">
        <v>62</v>
      </c>
      <c r="E1886">
        <v>228</v>
      </c>
      <c r="F1886">
        <v>5</v>
      </c>
      <c r="G1886">
        <v>5</v>
      </c>
      <c r="H1886">
        <v>1</v>
      </c>
      <c r="I1886">
        <v>1</v>
      </c>
      <c r="J1886">
        <v>0.81155778894472397</v>
      </c>
      <c r="K1886">
        <v>0.93811949976840903</v>
      </c>
      <c r="L1886">
        <v>0.870261266931041</v>
      </c>
      <c r="M1886">
        <v>0.63529411764705901</v>
      </c>
      <c r="N1886">
        <v>1</v>
      </c>
      <c r="O1886">
        <v>0.72941176470588198</v>
      </c>
      <c r="P1886" t="s">
        <v>1390</v>
      </c>
      <c r="Q1886" t="s">
        <v>1391</v>
      </c>
      <c r="R1886" t="s">
        <v>288</v>
      </c>
      <c r="S1886" t="s">
        <v>289</v>
      </c>
      <c r="T1886" t="s">
        <v>1392</v>
      </c>
      <c r="U1886" t="s">
        <v>1393</v>
      </c>
      <c r="V1886" t="s">
        <v>1394</v>
      </c>
      <c r="W1886" t="s">
        <v>1395</v>
      </c>
      <c r="AD1886" t="s">
        <v>219</v>
      </c>
      <c r="AE1886" t="s">
        <v>1396</v>
      </c>
      <c r="AF1886" t="s">
        <v>1398</v>
      </c>
    </row>
    <row r="1887" spans="1:32" hidden="1" x14ac:dyDescent="0.35">
      <c r="A1887">
        <v>682</v>
      </c>
      <c r="B1887" t="s">
        <v>1389</v>
      </c>
      <c r="C1887" t="s">
        <v>72</v>
      </c>
      <c r="D1887" t="s">
        <v>34</v>
      </c>
      <c r="E1887">
        <v>919</v>
      </c>
      <c r="F1887">
        <v>5</v>
      </c>
      <c r="G1887">
        <v>5</v>
      </c>
      <c r="H1887">
        <v>1</v>
      </c>
      <c r="I1887">
        <v>1</v>
      </c>
      <c r="J1887">
        <v>0.81155778894472397</v>
      </c>
      <c r="K1887">
        <v>0.93811949976840903</v>
      </c>
      <c r="L1887">
        <v>0.870261266931041</v>
      </c>
      <c r="M1887">
        <v>0.63529411764705901</v>
      </c>
      <c r="N1887">
        <v>1</v>
      </c>
      <c r="O1887">
        <v>0.72941176470588198</v>
      </c>
      <c r="P1887" t="s">
        <v>1390</v>
      </c>
      <c r="Q1887" t="s">
        <v>1391</v>
      </c>
      <c r="R1887" t="s">
        <v>288</v>
      </c>
      <c r="S1887" t="s">
        <v>289</v>
      </c>
      <c r="T1887" t="s">
        <v>1392</v>
      </c>
      <c r="U1887" t="s">
        <v>1393</v>
      </c>
      <c r="V1887" t="s">
        <v>1394</v>
      </c>
      <c r="W1887" t="s">
        <v>1395</v>
      </c>
      <c r="AD1887" t="s">
        <v>219</v>
      </c>
      <c r="AE1887" t="s">
        <v>1396</v>
      </c>
      <c r="AF1887" t="s">
        <v>1399</v>
      </c>
    </row>
    <row r="1888" spans="1:32" hidden="1" x14ac:dyDescent="0.35">
      <c r="A1888">
        <v>683</v>
      </c>
      <c r="B1888" t="s">
        <v>1389</v>
      </c>
      <c r="C1888" t="s">
        <v>72</v>
      </c>
      <c r="D1888" t="s">
        <v>45</v>
      </c>
      <c r="E1888">
        <v>2175</v>
      </c>
      <c r="F1888">
        <v>5</v>
      </c>
      <c r="G1888">
        <v>5</v>
      </c>
      <c r="H1888">
        <v>1</v>
      </c>
      <c r="I1888">
        <v>1</v>
      </c>
      <c r="J1888">
        <v>0.81155778894472397</v>
      </c>
      <c r="K1888">
        <v>0.93811949976840903</v>
      </c>
      <c r="L1888">
        <v>0.870261266931041</v>
      </c>
      <c r="M1888">
        <v>0.63529411764705901</v>
      </c>
      <c r="N1888">
        <v>1</v>
      </c>
      <c r="O1888">
        <v>0.72941176470588198</v>
      </c>
      <c r="P1888" t="s">
        <v>1390</v>
      </c>
      <c r="Q1888" t="s">
        <v>1391</v>
      </c>
      <c r="R1888" t="s">
        <v>288</v>
      </c>
      <c r="S1888" t="s">
        <v>289</v>
      </c>
      <c r="T1888" t="s">
        <v>1392</v>
      </c>
      <c r="U1888" t="s">
        <v>1393</v>
      </c>
      <c r="V1888" t="s">
        <v>1394</v>
      </c>
      <c r="W1888" t="s">
        <v>1395</v>
      </c>
      <c r="AD1888" t="s">
        <v>219</v>
      </c>
      <c r="AE1888" t="s">
        <v>1396</v>
      </c>
      <c r="AF1888" t="s">
        <v>1399</v>
      </c>
    </row>
    <row r="1889" spans="1:32" hidden="1" x14ac:dyDescent="0.35">
      <c r="A1889">
        <v>834</v>
      </c>
      <c r="B1889" t="s">
        <v>1727</v>
      </c>
      <c r="C1889" t="s">
        <v>72</v>
      </c>
      <c r="D1889" t="s">
        <v>58</v>
      </c>
      <c r="E1889">
        <v>3</v>
      </c>
      <c r="F1889">
        <v>5</v>
      </c>
      <c r="G1889">
        <v>5</v>
      </c>
      <c r="H1889">
        <v>1</v>
      </c>
      <c r="I1889">
        <v>1</v>
      </c>
      <c r="J1889">
        <v>0.698474702380952</v>
      </c>
      <c r="K1889">
        <v>0.88752052545155902</v>
      </c>
      <c r="L1889">
        <v>0.78173076941594599</v>
      </c>
      <c r="M1889">
        <v>0.44607843137254899</v>
      </c>
      <c r="N1889">
        <v>1</v>
      </c>
      <c r="O1889">
        <v>0.61029411764705899</v>
      </c>
      <c r="P1889" t="s">
        <v>1728</v>
      </c>
      <c r="Q1889" t="s">
        <v>1729</v>
      </c>
      <c r="R1889" t="s">
        <v>288</v>
      </c>
      <c r="S1889" t="s">
        <v>289</v>
      </c>
      <c r="V1889" t="s">
        <v>1730</v>
      </c>
      <c r="W1889" t="s">
        <v>1731</v>
      </c>
      <c r="AF1889" t="s">
        <v>1732</v>
      </c>
    </row>
    <row r="1890" spans="1:32" hidden="1" x14ac:dyDescent="0.35">
      <c r="A1890">
        <v>835</v>
      </c>
      <c r="B1890" t="s">
        <v>1727</v>
      </c>
      <c r="C1890" t="s">
        <v>72</v>
      </c>
      <c r="D1890" t="s">
        <v>60</v>
      </c>
      <c r="E1890">
        <v>3</v>
      </c>
      <c r="F1890">
        <v>5</v>
      </c>
      <c r="G1890">
        <v>5</v>
      </c>
      <c r="H1890">
        <v>1</v>
      </c>
      <c r="I1890">
        <v>1</v>
      </c>
      <c r="J1890">
        <v>0.698474702380952</v>
      </c>
      <c r="K1890">
        <v>0.88752052545155902</v>
      </c>
      <c r="L1890">
        <v>0.78173076941594599</v>
      </c>
      <c r="M1890">
        <v>0.44607843137254899</v>
      </c>
      <c r="N1890">
        <v>1</v>
      </c>
      <c r="O1890">
        <v>0.61029411764705899</v>
      </c>
      <c r="P1890" t="s">
        <v>1728</v>
      </c>
      <c r="Q1890" t="s">
        <v>1729</v>
      </c>
      <c r="R1890" t="s">
        <v>288</v>
      </c>
      <c r="S1890" t="s">
        <v>289</v>
      </c>
      <c r="V1890" t="s">
        <v>1730</v>
      </c>
      <c r="W1890" t="s">
        <v>1731</v>
      </c>
      <c r="AF1890" t="e">
        <f>----------MTTPD-DSVSAAFSHIRDVARKRFGKVPDLSHQGRATQPTRSAVRGPREVREV--GASIRKRGRPTGPDGRALPKR-RDYESLDSVLNREIQQRGWQRELAGGWVHSHWEDVVGARIAEHTTVEMLKGKSLFISCNSTAWATNLRMMQRQILQTITQKVGPNVVEELKIFGPSVPSWRKGPLHVKGRGPRDTYG</f>
        <v>#NAME?</v>
      </c>
    </row>
    <row r="1891" spans="1:32" hidden="1" x14ac:dyDescent="0.35">
      <c r="A1891">
        <v>836</v>
      </c>
      <c r="B1891" t="s">
        <v>1727</v>
      </c>
      <c r="C1891" t="s">
        <v>72</v>
      </c>
      <c r="D1891" t="s">
        <v>62</v>
      </c>
      <c r="E1891">
        <v>82</v>
      </c>
      <c r="F1891">
        <v>5</v>
      </c>
      <c r="G1891">
        <v>5</v>
      </c>
      <c r="H1891">
        <v>1</v>
      </c>
      <c r="I1891">
        <v>1</v>
      </c>
      <c r="J1891">
        <v>0.698474702380952</v>
      </c>
      <c r="K1891">
        <v>0.88752052545155902</v>
      </c>
      <c r="L1891">
        <v>0.78173076941594599</v>
      </c>
      <c r="M1891">
        <v>0.44607843137254899</v>
      </c>
      <c r="N1891">
        <v>1</v>
      </c>
      <c r="O1891">
        <v>0.61029411764705899</v>
      </c>
      <c r="P1891" t="s">
        <v>1728</v>
      </c>
      <c r="Q1891" t="s">
        <v>1729</v>
      </c>
      <c r="R1891" t="s">
        <v>288</v>
      </c>
      <c r="S1891" t="s">
        <v>289</v>
      </c>
      <c r="V1891" t="s">
        <v>1730</v>
      </c>
      <c r="W1891" t="s">
        <v>1731</v>
      </c>
      <c r="AF1891" t="e">
        <f>----------MTTPD-DSVSAAFSHIRDVARKRFGKVPDLSHQGRATQPTRSAVRGSREGRET--AASIRKRGRPTGPDGRAMPKR-RDYESLDSVLNREIQQRGWQRELAGGWVHSHWEDVVGARIAEHTTVEMLKGKSLFISCNSTAWATNLRMMQRQILQTITQKVGPNVVEELKIFGPSVPSWRKGPLHVKGRGPRDTYG</f>
        <v>#NAME?</v>
      </c>
    </row>
    <row r="1892" spans="1:32" hidden="1" x14ac:dyDescent="0.35">
      <c r="A1892">
        <v>837</v>
      </c>
      <c r="B1892" t="s">
        <v>1727</v>
      </c>
      <c r="C1892" t="s">
        <v>72</v>
      </c>
      <c r="D1892" t="s">
        <v>34</v>
      </c>
      <c r="E1892">
        <v>1080</v>
      </c>
      <c r="F1892">
        <v>5</v>
      </c>
      <c r="G1892">
        <v>5</v>
      </c>
      <c r="H1892">
        <v>1</v>
      </c>
      <c r="I1892">
        <v>1</v>
      </c>
      <c r="J1892">
        <v>0.698474702380952</v>
      </c>
      <c r="K1892">
        <v>0.88752052545155902</v>
      </c>
      <c r="L1892">
        <v>0.78173076941594599</v>
      </c>
      <c r="M1892">
        <v>0.44607843137254899</v>
      </c>
      <c r="N1892">
        <v>1</v>
      </c>
      <c r="O1892">
        <v>0.61029411764705899</v>
      </c>
      <c r="P1892" t="s">
        <v>1728</v>
      </c>
      <c r="Q1892" t="s">
        <v>1729</v>
      </c>
      <c r="R1892" t="s">
        <v>288</v>
      </c>
      <c r="S1892" t="s">
        <v>289</v>
      </c>
      <c r="V1892" t="s">
        <v>1730</v>
      </c>
      <c r="W1892" t="s">
        <v>1731</v>
      </c>
      <c r="AF1892" t="e">
        <f>----------MTESR-DSVAYAFERMRQEALRR-------GTVPRLIRPRRSVRR----------LRASTSKGQPTGLDGRAILRPDRNLEGISALVEQEITARGWRTKLAGGWIHSHWSLLVGDRIAGHTKVEKFADKKLYISCDSTAWASNLRTMQRNILSTIEEKVGPNIVTELRISGPKPPSWRYGPLHVKGRGPRDTYG</f>
        <v>#NAME?</v>
      </c>
    </row>
    <row r="1893" spans="1:32" hidden="1" x14ac:dyDescent="0.35">
      <c r="A1893">
        <v>838</v>
      </c>
      <c r="B1893" t="s">
        <v>1727</v>
      </c>
      <c r="C1893" t="s">
        <v>72</v>
      </c>
      <c r="D1893" t="s">
        <v>45</v>
      </c>
      <c r="E1893">
        <v>2337</v>
      </c>
      <c r="F1893">
        <v>5</v>
      </c>
      <c r="G1893">
        <v>5</v>
      </c>
      <c r="H1893">
        <v>1</v>
      </c>
      <c r="I1893">
        <v>1</v>
      </c>
      <c r="J1893">
        <v>0.698474702380952</v>
      </c>
      <c r="K1893">
        <v>0.88752052545155902</v>
      </c>
      <c r="L1893">
        <v>0.78173076941594599</v>
      </c>
      <c r="M1893">
        <v>0.44607843137254899</v>
      </c>
      <c r="N1893">
        <v>1</v>
      </c>
      <c r="O1893">
        <v>0.61029411764705899</v>
      </c>
      <c r="P1893" t="s">
        <v>1728</v>
      </c>
      <c r="Q1893" t="s">
        <v>1729</v>
      </c>
      <c r="R1893" t="s">
        <v>288</v>
      </c>
      <c r="S1893" t="s">
        <v>289</v>
      </c>
      <c r="V1893" t="s">
        <v>1730</v>
      </c>
      <c r="W1893" t="s">
        <v>1731</v>
      </c>
      <c r="AF1893" t="e">
        <f>----------MTESR-DSVAYAFERMRQEALRR-------GTVPRLIRPRRSVRR----------LRASTSKGQPTGLDGRAILRPDRNLEGISALVEQEITARGWRTKLAGGWIHSHWSLLVGDRIAGHTKVEKFADKKLYISCDSTAWASNLRTMQRNILSTIEEKVGPNIVTELRISGPKPPSWRYGPLHVKGRGPRDTYG</f>
        <v>#NAME?</v>
      </c>
    </row>
    <row r="1894" spans="1:32" hidden="1" x14ac:dyDescent="0.35">
      <c r="A1894">
        <v>909</v>
      </c>
      <c r="B1894" t="s">
        <v>1890</v>
      </c>
      <c r="C1894" t="s">
        <v>72</v>
      </c>
      <c r="D1894" t="s">
        <v>58</v>
      </c>
      <c r="E1894">
        <v>1784</v>
      </c>
      <c r="F1894">
        <v>5</v>
      </c>
      <c r="G1894">
        <v>5</v>
      </c>
      <c r="H1894">
        <v>1</v>
      </c>
      <c r="I1894">
        <v>1</v>
      </c>
      <c r="J1894">
        <v>0.81433077963046396</v>
      </c>
      <c r="K1894">
        <v>0.89475180722891801</v>
      </c>
      <c r="L1894">
        <v>0.8526491842567</v>
      </c>
      <c r="M1894">
        <v>0.61199999999999999</v>
      </c>
      <c r="N1894">
        <v>1</v>
      </c>
      <c r="O1894">
        <v>0.70799999999999996</v>
      </c>
      <c r="P1894" t="s">
        <v>1891</v>
      </c>
      <c r="Q1894" t="s">
        <v>1892</v>
      </c>
      <c r="R1894" t="s">
        <v>288</v>
      </c>
      <c r="S1894" t="s">
        <v>289</v>
      </c>
      <c r="T1894" t="s">
        <v>1893</v>
      </c>
      <c r="U1894" t="s">
        <v>1894</v>
      </c>
      <c r="V1894" t="s">
        <v>1895</v>
      </c>
      <c r="W1894" t="s">
        <v>1896</v>
      </c>
      <c r="AD1894" t="s">
        <v>410</v>
      </c>
      <c r="AE1894" t="s">
        <v>411</v>
      </c>
      <c r="AF1894" t="s">
        <v>1897</v>
      </c>
    </row>
    <row r="1895" spans="1:32" hidden="1" x14ac:dyDescent="0.35">
      <c r="A1895">
        <v>910</v>
      </c>
      <c r="B1895" t="s">
        <v>1890</v>
      </c>
      <c r="C1895" t="s">
        <v>72</v>
      </c>
      <c r="D1895" t="s">
        <v>60</v>
      </c>
      <c r="E1895">
        <v>2414</v>
      </c>
      <c r="F1895">
        <v>5</v>
      </c>
      <c r="G1895">
        <v>5</v>
      </c>
      <c r="H1895">
        <v>1</v>
      </c>
      <c r="I1895">
        <v>1</v>
      </c>
      <c r="J1895">
        <v>0.81433077963046396</v>
      </c>
      <c r="K1895">
        <v>0.89475180722891801</v>
      </c>
      <c r="L1895">
        <v>0.8526491842567</v>
      </c>
      <c r="M1895">
        <v>0.61199999999999999</v>
      </c>
      <c r="N1895">
        <v>1</v>
      </c>
      <c r="O1895">
        <v>0.70799999999999996</v>
      </c>
      <c r="P1895" t="s">
        <v>1891</v>
      </c>
      <c r="Q1895" t="s">
        <v>1892</v>
      </c>
      <c r="R1895" t="s">
        <v>288</v>
      </c>
      <c r="S1895" t="s">
        <v>289</v>
      </c>
      <c r="T1895" t="s">
        <v>1893</v>
      </c>
      <c r="U1895" t="s">
        <v>1894</v>
      </c>
      <c r="V1895" t="s">
        <v>1895</v>
      </c>
      <c r="W1895" t="s">
        <v>1896</v>
      </c>
      <c r="AD1895" t="s">
        <v>410</v>
      </c>
      <c r="AE1895" t="s">
        <v>411</v>
      </c>
      <c r="AF1895" t="s">
        <v>1898</v>
      </c>
    </row>
    <row r="1896" spans="1:32" hidden="1" x14ac:dyDescent="0.35">
      <c r="A1896">
        <v>911</v>
      </c>
      <c r="B1896" t="s">
        <v>1890</v>
      </c>
      <c r="C1896" t="s">
        <v>72</v>
      </c>
      <c r="D1896" t="s">
        <v>62</v>
      </c>
      <c r="E1896">
        <v>2441</v>
      </c>
      <c r="F1896">
        <v>5</v>
      </c>
      <c r="G1896">
        <v>5</v>
      </c>
      <c r="H1896">
        <v>1</v>
      </c>
      <c r="I1896">
        <v>1</v>
      </c>
      <c r="J1896">
        <v>0.81433077963046396</v>
      </c>
      <c r="K1896">
        <v>0.89475180722891801</v>
      </c>
      <c r="L1896">
        <v>0.8526491842567</v>
      </c>
      <c r="M1896">
        <v>0.61199999999999999</v>
      </c>
      <c r="N1896">
        <v>1</v>
      </c>
      <c r="O1896">
        <v>0.70799999999999996</v>
      </c>
      <c r="P1896" t="s">
        <v>1891</v>
      </c>
      <c r="Q1896" t="s">
        <v>1892</v>
      </c>
      <c r="R1896" t="s">
        <v>288</v>
      </c>
      <c r="S1896" t="s">
        <v>289</v>
      </c>
      <c r="T1896" t="s">
        <v>1893</v>
      </c>
      <c r="U1896" t="s">
        <v>1894</v>
      </c>
      <c r="V1896" t="s">
        <v>1895</v>
      </c>
      <c r="W1896" t="s">
        <v>1896</v>
      </c>
      <c r="AD1896" t="s">
        <v>410</v>
      </c>
      <c r="AE1896" t="s">
        <v>411</v>
      </c>
      <c r="AF1896" t="s">
        <v>1898</v>
      </c>
    </row>
    <row r="1897" spans="1:32" hidden="1" x14ac:dyDescent="0.35">
      <c r="A1897">
        <v>912</v>
      </c>
      <c r="B1897" t="s">
        <v>1890</v>
      </c>
      <c r="C1897" t="s">
        <v>72</v>
      </c>
      <c r="D1897" t="s">
        <v>34</v>
      </c>
      <c r="E1897">
        <v>1320</v>
      </c>
      <c r="F1897">
        <v>5</v>
      </c>
      <c r="G1897">
        <v>5</v>
      </c>
      <c r="H1897">
        <v>1</v>
      </c>
      <c r="I1897">
        <v>1</v>
      </c>
      <c r="J1897">
        <v>0.81433077963046396</v>
      </c>
      <c r="K1897">
        <v>0.89475180722891801</v>
      </c>
      <c r="L1897">
        <v>0.8526491842567</v>
      </c>
      <c r="M1897">
        <v>0.61199999999999999</v>
      </c>
      <c r="N1897">
        <v>1</v>
      </c>
      <c r="O1897">
        <v>0.70799999999999996</v>
      </c>
      <c r="P1897" t="s">
        <v>1891</v>
      </c>
      <c r="Q1897" t="s">
        <v>1892</v>
      </c>
      <c r="R1897" t="s">
        <v>288</v>
      </c>
      <c r="S1897" t="s">
        <v>289</v>
      </c>
      <c r="T1897" t="s">
        <v>1893</v>
      </c>
      <c r="U1897" t="s">
        <v>1894</v>
      </c>
      <c r="V1897" t="s">
        <v>1895</v>
      </c>
      <c r="W1897" t="s">
        <v>1896</v>
      </c>
      <c r="AD1897" t="s">
        <v>410</v>
      </c>
      <c r="AE1897" t="s">
        <v>411</v>
      </c>
      <c r="AF1897" t="s">
        <v>1899</v>
      </c>
    </row>
    <row r="1898" spans="1:32" hidden="1" x14ac:dyDescent="0.35">
      <c r="A1898">
        <v>913</v>
      </c>
      <c r="B1898" t="s">
        <v>1890</v>
      </c>
      <c r="C1898" t="s">
        <v>72</v>
      </c>
      <c r="D1898" t="s">
        <v>45</v>
      </c>
      <c r="E1898">
        <v>72</v>
      </c>
      <c r="F1898">
        <v>5</v>
      </c>
      <c r="G1898">
        <v>5</v>
      </c>
      <c r="H1898">
        <v>1</v>
      </c>
      <c r="I1898">
        <v>1</v>
      </c>
      <c r="J1898">
        <v>0.81433077963046396</v>
      </c>
      <c r="K1898">
        <v>0.89475180722891801</v>
      </c>
      <c r="L1898">
        <v>0.8526491842567</v>
      </c>
      <c r="M1898">
        <v>0.61199999999999999</v>
      </c>
      <c r="N1898">
        <v>1</v>
      </c>
      <c r="O1898">
        <v>0.70799999999999996</v>
      </c>
      <c r="P1898" t="s">
        <v>1891</v>
      </c>
      <c r="Q1898" t="s">
        <v>1892</v>
      </c>
      <c r="R1898" t="s">
        <v>288</v>
      </c>
      <c r="S1898" t="s">
        <v>289</v>
      </c>
      <c r="T1898" t="s">
        <v>1893</v>
      </c>
      <c r="U1898" t="s">
        <v>1894</v>
      </c>
      <c r="V1898" t="s">
        <v>1895</v>
      </c>
      <c r="W1898" t="s">
        <v>1896</v>
      </c>
      <c r="AD1898" t="s">
        <v>410</v>
      </c>
      <c r="AE1898" t="s">
        <v>411</v>
      </c>
      <c r="AF1898" t="s">
        <v>1899</v>
      </c>
    </row>
    <row r="1899" spans="1:32" hidden="1" x14ac:dyDescent="0.35">
      <c r="A1899">
        <v>1065</v>
      </c>
      <c r="B1899" t="s">
        <v>2218</v>
      </c>
      <c r="C1899" t="s">
        <v>72</v>
      </c>
      <c r="D1899" t="s">
        <v>60</v>
      </c>
      <c r="E1899">
        <v>2477</v>
      </c>
      <c r="F1899">
        <v>5</v>
      </c>
      <c r="G1899">
        <v>5</v>
      </c>
      <c r="H1899">
        <v>1</v>
      </c>
      <c r="I1899">
        <v>1</v>
      </c>
      <c r="J1899">
        <v>0.77707879667715096</v>
      </c>
      <c r="K1899">
        <v>0.86091956441242501</v>
      </c>
      <c r="L1899">
        <v>0.81685349026162901</v>
      </c>
      <c r="M1899">
        <v>0.55327868852458995</v>
      </c>
      <c r="N1899">
        <v>1</v>
      </c>
      <c r="O1899">
        <v>0.67991803278688501</v>
      </c>
      <c r="P1899" t="s">
        <v>1891</v>
      </c>
      <c r="Q1899" t="s">
        <v>1892</v>
      </c>
      <c r="R1899" t="s">
        <v>288</v>
      </c>
      <c r="S1899" t="s">
        <v>289</v>
      </c>
      <c r="V1899" t="s">
        <v>1895</v>
      </c>
      <c r="W1899" t="s">
        <v>1896</v>
      </c>
      <c r="AF1899" t="s">
        <v>2224</v>
      </c>
    </row>
    <row r="1900" spans="1:32" hidden="1" x14ac:dyDescent="0.35">
      <c r="A1900">
        <v>1066</v>
      </c>
      <c r="B1900" t="s">
        <v>2218</v>
      </c>
      <c r="C1900" t="s">
        <v>72</v>
      </c>
      <c r="D1900" t="s">
        <v>62</v>
      </c>
      <c r="E1900">
        <v>4</v>
      </c>
      <c r="F1900">
        <v>5</v>
      </c>
      <c r="G1900">
        <v>5</v>
      </c>
      <c r="H1900">
        <v>1</v>
      </c>
      <c r="I1900">
        <v>1</v>
      </c>
      <c r="J1900">
        <v>0.77707879667715096</v>
      </c>
      <c r="K1900">
        <v>0.86091956441242501</v>
      </c>
      <c r="L1900">
        <v>0.81685349026162901</v>
      </c>
      <c r="M1900">
        <v>0.55327868852458995</v>
      </c>
      <c r="N1900">
        <v>1</v>
      </c>
      <c r="O1900">
        <v>0.67991803278688501</v>
      </c>
      <c r="P1900" t="s">
        <v>1891</v>
      </c>
      <c r="Q1900" t="s">
        <v>1892</v>
      </c>
      <c r="R1900" t="s">
        <v>288</v>
      </c>
      <c r="S1900" t="s">
        <v>289</v>
      </c>
      <c r="V1900" t="s">
        <v>1895</v>
      </c>
      <c r="W1900" t="s">
        <v>1896</v>
      </c>
      <c r="AF1900" t="s">
        <v>2224</v>
      </c>
    </row>
    <row r="1901" spans="1:32" hidden="1" x14ac:dyDescent="0.35">
      <c r="A1901">
        <v>1067</v>
      </c>
      <c r="B1901" t="s">
        <v>2218</v>
      </c>
      <c r="C1901" t="s">
        <v>72</v>
      </c>
      <c r="D1901" t="s">
        <v>34</v>
      </c>
      <c r="E1901">
        <v>1200</v>
      </c>
      <c r="F1901">
        <v>5</v>
      </c>
      <c r="G1901">
        <v>5</v>
      </c>
      <c r="H1901">
        <v>1</v>
      </c>
      <c r="I1901">
        <v>1</v>
      </c>
      <c r="J1901">
        <v>0.77707879667715096</v>
      </c>
      <c r="K1901">
        <v>0.86091956441242501</v>
      </c>
      <c r="L1901">
        <v>0.81685349026162901</v>
      </c>
      <c r="M1901">
        <v>0.55327868852458995</v>
      </c>
      <c r="N1901">
        <v>1</v>
      </c>
      <c r="O1901">
        <v>0.67991803278688501</v>
      </c>
      <c r="P1901" t="s">
        <v>1891</v>
      </c>
      <c r="Q1901" t="s">
        <v>1892</v>
      </c>
      <c r="R1901" t="s">
        <v>288</v>
      </c>
      <c r="S1901" t="s">
        <v>289</v>
      </c>
      <c r="V1901" t="s">
        <v>1895</v>
      </c>
      <c r="W1901" t="s">
        <v>1896</v>
      </c>
      <c r="AF1901" t="e">
        <f>-------------------MLERTQIFVDTSYLLASFYNSWEIGARAQLEIDLPAVVRTLGTMVTEQFEQPVHRQFWYDGIPDTGPHRYQRALRTCDGVQLRAGQLIEWGERRTQKAVDTRLVADMVLTSVRQEVTDIVLVSGDADMIPGVQEAVNHGIRVHLYGFGWDSMSSALRHACDSLVILDPREDFGDCMQLHVLEGPLP--PIVRTVDD-----------PLDDEET------KVVAIEVEATESVPEPDKPAEQVDPEFSEPELD------------------------------DINTITVSHTTMETLTDNSHSIR-QTGQISLTMSSEGKTAETPSAASDGK---AKPSPADAPTR--------RPNPSMMAPRRKLRSHYVPLHNEVWTSAGFLTPFDVGQQYAIWWYENAATSEQRDSAHLLSGGGLPPEIDRPLLQFACDALHEYTLTETQRVQLRDGFHTGIRGILVN--NRFD</f>
        <v>#NAME?</v>
      </c>
    </row>
    <row r="1902" spans="1:32" hidden="1" x14ac:dyDescent="0.35">
      <c r="A1902">
        <v>1068</v>
      </c>
      <c r="B1902" t="s">
        <v>2218</v>
      </c>
      <c r="C1902" t="s">
        <v>72</v>
      </c>
      <c r="D1902" t="s">
        <v>45</v>
      </c>
      <c r="E1902">
        <v>2442</v>
      </c>
      <c r="F1902">
        <v>5</v>
      </c>
      <c r="G1902">
        <v>5</v>
      </c>
      <c r="H1902">
        <v>1</v>
      </c>
      <c r="I1902">
        <v>1</v>
      </c>
      <c r="J1902">
        <v>0.77707879667715096</v>
      </c>
      <c r="K1902">
        <v>0.86091956441242501</v>
      </c>
      <c r="L1902">
        <v>0.81685349026162901</v>
      </c>
      <c r="M1902">
        <v>0.55327868852458995</v>
      </c>
      <c r="N1902">
        <v>1</v>
      </c>
      <c r="O1902">
        <v>0.67991803278688501</v>
      </c>
      <c r="P1902" t="s">
        <v>1891</v>
      </c>
      <c r="Q1902" t="s">
        <v>1892</v>
      </c>
      <c r="R1902" t="s">
        <v>288</v>
      </c>
      <c r="S1902" t="s">
        <v>289</v>
      </c>
      <c r="V1902" t="s">
        <v>1895</v>
      </c>
      <c r="W1902" t="s">
        <v>1896</v>
      </c>
      <c r="AF1902" t="e">
        <f>-------------------MLERTQIFVDTSYLLASFYNSWEIGARAQLEIDLPAVVRTLGTMVTEQFEQPVHRQFWYDGIPDTGPHRYQRALRTCDGVQLRAGQLIEWGERRTQKAVDTRLVADMVLTSVRQEVTDIVLVSGDADMIPGVQEAVNHGIRVHLYGFGWDSMSSALRHACDSLVILDPREDFGDCMQLHVLEGPLP--PIVRTVDD-----------PLDDEET------KVVAIEVEATESVPEPDKPAEQVDPEFSEPELD------------------------------DINTITVSHTTMETLTDNSHSIR-QTGQISLTMSSEGKTAETPSAASDGK---AKPSPADAPTR--------RPNPSMMAPRRKLRSHYVPLHNEVWTSAGFLTPFDVGQQYAIWWYENAATSEQRDSAHLLSGGGLPPEIDRPLLQFACDALHEYTLTETQRVQLRDGFHTGIRGILVN--NRFD</f>
        <v>#NAME?</v>
      </c>
    </row>
    <row r="1903" spans="1:32" hidden="1" x14ac:dyDescent="0.35">
      <c r="A1903">
        <v>1074</v>
      </c>
      <c r="B1903" t="s">
        <v>2232</v>
      </c>
      <c r="C1903" t="s">
        <v>72</v>
      </c>
      <c r="D1903" t="s">
        <v>58</v>
      </c>
      <c r="E1903">
        <v>33</v>
      </c>
      <c r="F1903">
        <v>5</v>
      </c>
      <c r="G1903">
        <v>5</v>
      </c>
      <c r="H1903">
        <v>1</v>
      </c>
      <c r="I1903">
        <v>1</v>
      </c>
      <c r="J1903">
        <v>0.824904839586732</v>
      </c>
      <c r="K1903">
        <v>0.96362083218517303</v>
      </c>
      <c r="L1903">
        <v>0.88888350952059303</v>
      </c>
      <c r="M1903">
        <v>0.64397905759162299</v>
      </c>
      <c r="N1903">
        <v>1</v>
      </c>
      <c r="O1903">
        <v>0.77801047120418798</v>
      </c>
      <c r="P1903" t="s">
        <v>2233</v>
      </c>
      <c r="Q1903" t="s">
        <v>2234</v>
      </c>
      <c r="R1903" t="s">
        <v>288</v>
      </c>
      <c r="S1903" t="s">
        <v>289</v>
      </c>
      <c r="T1903" t="s">
        <v>2235</v>
      </c>
      <c r="U1903" t="s">
        <v>2236</v>
      </c>
      <c r="V1903" t="s">
        <v>2237</v>
      </c>
      <c r="W1903" t="s">
        <v>2238</v>
      </c>
      <c r="AD1903" t="s">
        <v>410</v>
      </c>
      <c r="AE1903" t="s">
        <v>563</v>
      </c>
      <c r="AF1903" t="s">
        <v>2239</v>
      </c>
    </row>
    <row r="1904" spans="1:32" hidden="1" x14ac:dyDescent="0.35">
      <c r="A1904">
        <v>1075</v>
      </c>
      <c r="B1904" t="s">
        <v>2232</v>
      </c>
      <c r="C1904" t="s">
        <v>72</v>
      </c>
      <c r="D1904" t="s">
        <v>60</v>
      </c>
      <c r="E1904">
        <v>67</v>
      </c>
      <c r="F1904">
        <v>5</v>
      </c>
      <c r="G1904">
        <v>5</v>
      </c>
      <c r="H1904">
        <v>1</v>
      </c>
      <c r="I1904">
        <v>1</v>
      </c>
      <c r="J1904">
        <v>0.824904839586732</v>
      </c>
      <c r="K1904">
        <v>0.96362083218517303</v>
      </c>
      <c r="L1904">
        <v>0.88888350952059303</v>
      </c>
      <c r="M1904">
        <v>0.64397905759162299</v>
      </c>
      <c r="N1904">
        <v>1</v>
      </c>
      <c r="O1904">
        <v>0.77801047120418798</v>
      </c>
      <c r="P1904" t="s">
        <v>2233</v>
      </c>
      <c r="Q1904" t="s">
        <v>2234</v>
      </c>
      <c r="R1904" t="s">
        <v>288</v>
      </c>
      <c r="S1904" t="s">
        <v>289</v>
      </c>
      <c r="T1904" t="s">
        <v>2235</v>
      </c>
      <c r="U1904" t="s">
        <v>2236</v>
      </c>
      <c r="V1904" t="s">
        <v>2237</v>
      </c>
      <c r="W1904" t="s">
        <v>2238</v>
      </c>
      <c r="AD1904" t="s">
        <v>410</v>
      </c>
      <c r="AE1904" t="s">
        <v>563</v>
      </c>
      <c r="AF1904" t="e">
        <f>----MSMQPLILPFKGAVPRIHESAWIAPNATIIGDVVIGPDSSVFYGCVLRGDVGPIRIGARTNIQDNSTVHVDGDAPCTIGDDVTVGHMALLHGTTVHDGTLVGMKAALLSHSVVGAGSLIAAGAIVLEHQEIPAKSLAAGVPAKVRRELSDEQSAAFIPHAARYVVTASTQAG--IDAALTLDEVRFS</f>
        <v>#NAME?</v>
      </c>
    </row>
    <row r="1905" spans="1:32" hidden="1" x14ac:dyDescent="0.35">
      <c r="A1905">
        <v>1076</v>
      </c>
      <c r="B1905" t="s">
        <v>2232</v>
      </c>
      <c r="C1905" t="s">
        <v>72</v>
      </c>
      <c r="D1905" t="s">
        <v>62</v>
      </c>
      <c r="E1905">
        <v>140</v>
      </c>
      <c r="F1905">
        <v>5</v>
      </c>
      <c r="G1905">
        <v>5</v>
      </c>
      <c r="H1905">
        <v>1</v>
      </c>
      <c r="I1905">
        <v>1</v>
      </c>
      <c r="J1905">
        <v>0.824904839586732</v>
      </c>
      <c r="K1905">
        <v>0.96362083218517303</v>
      </c>
      <c r="L1905">
        <v>0.88888350952059303</v>
      </c>
      <c r="M1905">
        <v>0.64397905759162299</v>
      </c>
      <c r="N1905">
        <v>1</v>
      </c>
      <c r="O1905">
        <v>0.77801047120418798</v>
      </c>
      <c r="P1905" t="s">
        <v>2233</v>
      </c>
      <c r="Q1905" t="s">
        <v>2234</v>
      </c>
      <c r="R1905" t="s">
        <v>288</v>
      </c>
      <c r="S1905" t="s">
        <v>289</v>
      </c>
      <c r="T1905" t="s">
        <v>2235</v>
      </c>
      <c r="U1905" t="s">
        <v>2236</v>
      </c>
      <c r="V1905" t="s">
        <v>2237</v>
      </c>
      <c r="W1905" t="s">
        <v>2238</v>
      </c>
      <c r="AD1905" t="s">
        <v>410</v>
      </c>
      <c r="AE1905" t="s">
        <v>563</v>
      </c>
      <c r="AF1905" t="e">
        <f>----MSMQPLILPFKGAVPRIHESAWIAPNATIIGDVVIGPDSSVFYGCVLRGDVGPIRIGARTNIQDNSTVHVDGDAPCTIGDDVTVGHMALLHGTTVHDGTLVGMKAALLSHSVVGAGSLIAAGAIVLEHQEIPAKSLAAGVPAKVRRELSDEQSAAFIPHAARYVVTASTQAG--IDAALTLDEVRFS</f>
        <v>#NAME?</v>
      </c>
    </row>
    <row r="1906" spans="1:32" hidden="1" x14ac:dyDescent="0.35">
      <c r="A1906">
        <v>1077</v>
      </c>
      <c r="B1906" t="s">
        <v>2232</v>
      </c>
      <c r="C1906" t="s">
        <v>72</v>
      </c>
      <c r="D1906" t="s">
        <v>34</v>
      </c>
      <c r="E1906">
        <v>1004</v>
      </c>
      <c r="F1906">
        <v>5</v>
      </c>
      <c r="G1906">
        <v>5</v>
      </c>
      <c r="H1906">
        <v>1</v>
      </c>
      <c r="I1906">
        <v>1</v>
      </c>
      <c r="J1906">
        <v>0.824904839586732</v>
      </c>
      <c r="K1906">
        <v>0.96362083218517303</v>
      </c>
      <c r="L1906">
        <v>0.88888350952059303</v>
      </c>
      <c r="M1906">
        <v>0.64397905759162299</v>
      </c>
      <c r="N1906">
        <v>1</v>
      </c>
      <c r="O1906">
        <v>0.77801047120418798</v>
      </c>
      <c r="P1906" t="s">
        <v>2233</v>
      </c>
      <c r="Q1906" t="s">
        <v>2234</v>
      </c>
      <c r="R1906" t="s">
        <v>288</v>
      </c>
      <c r="S1906" t="s">
        <v>289</v>
      </c>
      <c r="T1906" t="s">
        <v>2235</v>
      </c>
      <c r="U1906" t="s">
        <v>2236</v>
      </c>
      <c r="V1906" t="s">
        <v>2237</v>
      </c>
      <c r="W1906" t="s">
        <v>2238</v>
      </c>
      <c r="AD1906" t="s">
        <v>410</v>
      </c>
      <c r="AE1906" t="s">
        <v>563</v>
      </c>
      <c r="AF1906" t="e">
        <f>-----MTGPLILPFNGKVPRIHKTAYIAPNATIIGDVVIGEHASVFYNVVLRGDLNRITIGDRTNIQDNCVLHVDADAPCTLGDDVTVGHLALVHGATVGNGVLVGMKANLLSHSVVGAGSLIAAGAVVLEGQEIPAKSLAAGVPAKVRRQLSDEQSAGFIPHAARYVQTAAGQAS--ISEALSLAEVQFE</f>
        <v>#NAME?</v>
      </c>
    </row>
    <row r="1907" spans="1:32" hidden="1" x14ac:dyDescent="0.35">
      <c r="A1907">
        <v>1078</v>
      </c>
      <c r="B1907" t="s">
        <v>2232</v>
      </c>
      <c r="C1907" t="s">
        <v>72</v>
      </c>
      <c r="D1907" t="s">
        <v>45</v>
      </c>
      <c r="E1907">
        <v>2258</v>
      </c>
      <c r="F1907">
        <v>5</v>
      </c>
      <c r="G1907">
        <v>5</v>
      </c>
      <c r="H1907">
        <v>1</v>
      </c>
      <c r="I1907">
        <v>1</v>
      </c>
      <c r="J1907">
        <v>0.824904839586732</v>
      </c>
      <c r="K1907">
        <v>0.96362083218517303</v>
      </c>
      <c r="L1907">
        <v>0.88888350952059303</v>
      </c>
      <c r="M1907">
        <v>0.64397905759162299</v>
      </c>
      <c r="N1907">
        <v>1</v>
      </c>
      <c r="O1907">
        <v>0.77801047120418798</v>
      </c>
      <c r="P1907" t="s">
        <v>2233</v>
      </c>
      <c r="Q1907" t="s">
        <v>2234</v>
      </c>
      <c r="R1907" t="s">
        <v>288</v>
      </c>
      <c r="S1907" t="s">
        <v>289</v>
      </c>
      <c r="T1907" t="s">
        <v>2235</v>
      </c>
      <c r="U1907" t="s">
        <v>2236</v>
      </c>
      <c r="V1907" t="s">
        <v>2237</v>
      </c>
      <c r="W1907" t="s">
        <v>2238</v>
      </c>
      <c r="AD1907" t="s">
        <v>410</v>
      </c>
      <c r="AE1907" t="s">
        <v>563</v>
      </c>
      <c r="AF1907" t="e">
        <f>-----MTGPLILPFNGKVPRIHKTAYIAPNATIIGDVVIGEHASVFYNVVLRGDLNRITIGDRTNIQDNCVLHVDADAPCTLGDDVTVGHLALVHGATVGNGVLVGMKANLLSHSVVGAGSLIAAGAVVLEGQEIPAKSLAAGVPAKVRRQLSDEQSAGFIPHAARYVQTAAGQAS--ISEALSLAEVQFE</f>
        <v>#NAME?</v>
      </c>
    </row>
    <row r="1908" spans="1:32" hidden="1" x14ac:dyDescent="0.35">
      <c r="A1908">
        <v>1169</v>
      </c>
      <c r="B1908" t="s">
        <v>2439</v>
      </c>
      <c r="C1908" t="s">
        <v>72</v>
      </c>
      <c r="D1908" t="s">
        <v>58</v>
      </c>
      <c r="E1908">
        <v>112</v>
      </c>
      <c r="F1908">
        <v>5</v>
      </c>
      <c r="G1908">
        <v>5</v>
      </c>
      <c r="H1908">
        <v>1</v>
      </c>
      <c r="I1908">
        <v>1</v>
      </c>
      <c r="J1908">
        <v>0.84341372912801504</v>
      </c>
      <c r="K1908">
        <v>0.96670276681880196</v>
      </c>
      <c r="L1908">
        <v>0.90085957157640395</v>
      </c>
      <c r="M1908">
        <v>0.69892473118279597</v>
      </c>
      <c r="N1908">
        <v>1</v>
      </c>
      <c r="O1908">
        <v>0.77347670250896094</v>
      </c>
      <c r="P1908" t="s">
        <v>2440</v>
      </c>
      <c r="Q1908" t="s">
        <v>2441</v>
      </c>
      <c r="R1908" t="s">
        <v>288</v>
      </c>
      <c r="S1908" t="s">
        <v>289</v>
      </c>
      <c r="V1908" t="s">
        <v>2442</v>
      </c>
      <c r="W1908" t="s">
        <v>2443</v>
      </c>
      <c r="AF1908" t="s">
        <v>2444</v>
      </c>
    </row>
    <row r="1909" spans="1:32" hidden="1" x14ac:dyDescent="0.35">
      <c r="A1909">
        <v>1170</v>
      </c>
      <c r="B1909" t="s">
        <v>2439</v>
      </c>
      <c r="C1909" t="s">
        <v>72</v>
      </c>
      <c r="D1909" t="s">
        <v>60</v>
      </c>
      <c r="E1909">
        <v>206</v>
      </c>
      <c r="F1909">
        <v>5</v>
      </c>
      <c r="G1909">
        <v>5</v>
      </c>
      <c r="H1909">
        <v>1</v>
      </c>
      <c r="I1909">
        <v>1</v>
      </c>
      <c r="J1909">
        <v>0.84341372912801504</v>
      </c>
      <c r="K1909">
        <v>0.96670276681880196</v>
      </c>
      <c r="L1909">
        <v>0.90085957157640395</v>
      </c>
      <c r="M1909">
        <v>0.69892473118279597</v>
      </c>
      <c r="N1909">
        <v>1</v>
      </c>
      <c r="O1909">
        <v>0.77347670250896094</v>
      </c>
      <c r="P1909" t="s">
        <v>2440</v>
      </c>
      <c r="Q1909" t="s">
        <v>2441</v>
      </c>
      <c r="R1909" t="s">
        <v>288</v>
      </c>
      <c r="S1909" t="s">
        <v>289</v>
      </c>
      <c r="V1909" t="s">
        <v>2442</v>
      </c>
      <c r="W1909" t="s">
        <v>2443</v>
      </c>
      <c r="AF1909" t="s">
        <v>2445</v>
      </c>
    </row>
    <row r="1910" spans="1:32" hidden="1" x14ac:dyDescent="0.35">
      <c r="A1910">
        <v>1171</v>
      </c>
      <c r="B1910" t="s">
        <v>2439</v>
      </c>
      <c r="C1910" t="s">
        <v>72</v>
      </c>
      <c r="D1910" t="s">
        <v>62</v>
      </c>
      <c r="E1910">
        <v>283</v>
      </c>
      <c r="F1910">
        <v>5</v>
      </c>
      <c r="G1910">
        <v>5</v>
      </c>
      <c r="H1910">
        <v>1</v>
      </c>
      <c r="I1910">
        <v>1</v>
      </c>
      <c r="J1910">
        <v>0.84341372912801504</v>
      </c>
      <c r="K1910">
        <v>0.96670276681880196</v>
      </c>
      <c r="L1910">
        <v>0.90085957157640395</v>
      </c>
      <c r="M1910">
        <v>0.69892473118279597</v>
      </c>
      <c r="N1910">
        <v>1</v>
      </c>
      <c r="O1910">
        <v>0.77347670250896094</v>
      </c>
      <c r="P1910" t="s">
        <v>2440</v>
      </c>
      <c r="Q1910" t="s">
        <v>2441</v>
      </c>
      <c r="R1910" t="s">
        <v>288</v>
      </c>
      <c r="S1910" t="s">
        <v>289</v>
      </c>
      <c r="V1910" t="s">
        <v>2442</v>
      </c>
      <c r="W1910" t="s">
        <v>2443</v>
      </c>
      <c r="AF1910" t="s">
        <v>2445</v>
      </c>
    </row>
    <row r="1911" spans="1:32" hidden="1" x14ac:dyDescent="0.35">
      <c r="A1911">
        <v>1172</v>
      </c>
      <c r="B1911" t="s">
        <v>2439</v>
      </c>
      <c r="C1911" t="s">
        <v>72</v>
      </c>
      <c r="D1911" t="s">
        <v>34</v>
      </c>
      <c r="E1911">
        <v>1230</v>
      </c>
      <c r="F1911">
        <v>5</v>
      </c>
      <c r="G1911">
        <v>5</v>
      </c>
      <c r="H1911">
        <v>1</v>
      </c>
      <c r="I1911">
        <v>1</v>
      </c>
      <c r="J1911">
        <v>0.84341372912801504</v>
      </c>
      <c r="K1911">
        <v>0.96670276681880196</v>
      </c>
      <c r="L1911">
        <v>0.90085957157640395</v>
      </c>
      <c r="M1911">
        <v>0.69892473118279597</v>
      </c>
      <c r="N1911">
        <v>1</v>
      </c>
      <c r="O1911">
        <v>0.77347670250896094</v>
      </c>
      <c r="P1911" t="s">
        <v>2440</v>
      </c>
      <c r="Q1911" t="s">
        <v>2441</v>
      </c>
      <c r="R1911" t="s">
        <v>288</v>
      </c>
      <c r="S1911" t="s">
        <v>289</v>
      </c>
      <c r="V1911" t="s">
        <v>2442</v>
      </c>
      <c r="W1911" t="s">
        <v>2443</v>
      </c>
      <c r="AF1911" t="s">
        <v>2446</v>
      </c>
    </row>
    <row r="1912" spans="1:32" hidden="1" x14ac:dyDescent="0.35">
      <c r="A1912">
        <v>1173</v>
      </c>
      <c r="B1912" t="s">
        <v>2439</v>
      </c>
      <c r="C1912" t="s">
        <v>72</v>
      </c>
      <c r="D1912" t="s">
        <v>45</v>
      </c>
      <c r="E1912">
        <v>2473</v>
      </c>
      <c r="F1912">
        <v>5</v>
      </c>
      <c r="G1912">
        <v>5</v>
      </c>
      <c r="H1912">
        <v>1</v>
      </c>
      <c r="I1912">
        <v>1</v>
      </c>
      <c r="J1912">
        <v>0.84341372912801504</v>
      </c>
      <c r="K1912">
        <v>0.96670276681880196</v>
      </c>
      <c r="L1912">
        <v>0.90085957157640395</v>
      </c>
      <c r="M1912">
        <v>0.69892473118279597</v>
      </c>
      <c r="N1912">
        <v>1</v>
      </c>
      <c r="O1912">
        <v>0.77347670250896094</v>
      </c>
      <c r="P1912" t="s">
        <v>2440</v>
      </c>
      <c r="Q1912" t="s">
        <v>2441</v>
      </c>
      <c r="R1912" t="s">
        <v>288</v>
      </c>
      <c r="S1912" t="s">
        <v>289</v>
      </c>
      <c r="V1912" t="s">
        <v>2442</v>
      </c>
      <c r="W1912" t="s">
        <v>2443</v>
      </c>
      <c r="AF1912" t="s">
        <v>2446</v>
      </c>
    </row>
    <row r="1913" spans="1:32" hidden="1" x14ac:dyDescent="0.35">
      <c r="A1913">
        <v>1319</v>
      </c>
      <c r="B1913" t="s">
        <v>2731</v>
      </c>
      <c r="C1913" t="s">
        <v>72</v>
      </c>
      <c r="D1913" t="s">
        <v>58</v>
      </c>
      <c r="E1913">
        <v>50</v>
      </c>
      <c r="F1913">
        <v>5</v>
      </c>
      <c r="G1913">
        <v>5</v>
      </c>
      <c r="H1913">
        <v>1</v>
      </c>
      <c r="I1913">
        <v>1</v>
      </c>
      <c r="J1913">
        <v>0.77735801536330396</v>
      </c>
      <c r="K1913">
        <v>0.97006571859512802</v>
      </c>
      <c r="L1913">
        <v>0.86308586420633404</v>
      </c>
      <c r="M1913">
        <v>0.56776556776556797</v>
      </c>
      <c r="N1913">
        <v>1</v>
      </c>
      <c r="O1913">
        <v>0.68644688644688601</v>
      </c>
      <c r="P1913" t="s">
        <v>2732</v>
      </c>
      <c r="Q1913" t="s">
        <v>2733</v>
      </c>
      <c r="R1913" t="s">
        <v>288</v>
      </c>
      <c r="S1913" t="s">
        <v>289</v>
      </c>
      <c r="T1913" t="s">
        <v>2734</v>
      </c>
      <c r="U1913" t="s">
        <v>407</v>
      </c>
      <c r="V1913" t="s">
        <v>2735</v>
      </c>
      <c r="W1913" t="s">
        <v>2736</v>
      </c>
      <c r="AD1913" t="s">
        <v>410</v>
      </c>
      <c r="AE1913" t="s">
        <v>411</v>
      </c>
      <c r="AF1913" t="s">
        <v>2737</v>
      </c>
    </row>
    <row r="1914" spans="1:32" hidden="1" x14ac:dyDescent="0.35">
      <c r="A1914">
        <v>1320</v>
      </c>
      <c r="B1914" t="s">
        <v>2731</v>
      </c>
      <c r="C1914" t="s">
        <v>72</v>
      </c>
      <c r="D1914" t="s">
        <v>60</v>
      </c>
      <c r="E1914">
        <v>91</v>
      </c>
      <c r="F1914">
        <v>5</v>
      </c>
      <c r="G1914">
        <v>5</v>
      </c>
      <c r="H1914">
        <v>1</v>
      </c>
      <c r="I1914">
        <v>1</v>
      </c>
      <c r="J1914">
        <v>0.77735801536330396</v>
      </c>
      <c r="K1914">
        <v>0.97006571859512802</v>
      </c>
      <c r="L1914">
        <v>0.86308586420633404</v>
      </c>
      <c r="M1914">
        <v>0.56776556776556797</v>
      </c>
      <c r="N1914">
        <v>1</v>
      </c>
      <c r="O1914">
        <v>0.68644688644688601</v>
      </c>
      <c r="P1914" t="s">
        <v>2732</v>
      </c>
      <c r="Q1914" t="s">
        <v>2733</v>
      </c>
      <c r="R1914" t="s">
        <v>288</v>
      </c>
      <c r="S1914" t="s">
        <v>289</v>
      </c>
      <c r="T1914" t="s">
        <v>2734</v>
      </c>
      <c r="U1914" t="s">
        <v>407</v>
      </c>
      <c r="V1914" t="s">
        <v>2735</v>
      </c>
      <c r="W1914" t="s">
        <v>2736</v>
      </c>
      <c r="AD1914" t="s">
        <v>410</v>
      </c>
      <c r="AE1914" t="s">
        <v>411</v>
      </c>
      <c r="AF1914" t="s">
        <v>2738</v>
      </c>
    </row>
    <row r="1915" spans="1:32" hidden="1" x14ac:dyDescent="0.35">
      <c r="A1915">
        <v>1321</v>
      </c>
      <c r="B1915" t="s">
        <v>2731</v>
      </c>
      <c r="C1915" t="s">
        <v>72</v>
      </c>
      <c r="D1915" t="s">
        <v>62</v>
      </c>
      <c r="E1915">
        <v>163</v>
      </c>
      <c r="F1915">
        <v>5</v>
      </c>
      <c r="G1915">
        <v>5</v>
      </c>
      <c r="H1915">
        <v>1</v>
      </c>
      <c r="I1915">
        <v>1</v>
      </c>
      <c r="J1915">
        <v>0.77735801536330396</v>
      </c>
      <c r="K1915">
        <v>0.97006571859512802</v>
      </c>
      <c r="L1915">
        <v>0.86308586420633404</v>
      </c>
      <c r="M1915">
        <v>0.56776556776556797</v>
      </c>
      <c r="N1915">
        <v>1</v>
      </c>
      <c r="O1915">
        <v>0.68644688644688601</v>
      </c>
      <c r="P1915" t="s">
        <v>2732</v>
      </c>
      <c r="Q1915" t="s">
        <v>2733</v>
      </c>
      <c r="R1915" t="s">
        <v>288</v>
      </c>
      <c r="S1915" t="s">
        <v>289</v>
      </c>
      <c r="T1915" t="s">
        <v>2734</v>
      </c>
      <c r="U1915" t="s">
        <v>407</v>
      </c>
      <c r="V1915" t="s">
        <v>2735</v>
      </c>
      <c r="W1915" t="s">
        <v>2736</v>
      </c>
      <c r="AD1915" t="s">
        <v>410</v>
      </c>
      <c r="AE1915" t="s">
        <v>411</v>
      </c>
      <c r="AF1915" t="s">
        <v>2738</v>
      </c>
    </row>
    <row r="1916" spans="1:32" hidden="1" x14ac:dyDescent="0.35">
      <c r="A1916">
        <v>1322</v>
      </c>
      <c r="B1916" t="s">
        <v>2731</v>
      </c>
      <c r="C1916" t="s">
        <v>72</v>
      </c>
      <c r="D1916" t="s">
        <v>34</v>
      </c>
      <c r="E1916">
        <v>978</v>
      </c>
      <c r="F1916">
        <v>5</v>
      </c>
      <c r="G1916">
        <v>5</v>
      </c>
      <c r="H1916">
        <v>1</v>
      </c>
      <c r="I1916">
        <v>1</v>
      </c>
      <c r="J1916">
        <v>0.77735801536330396</v>
      </c>
      <c r="K1916">
        <v>0.97006571859512802</v>
      </c>
      <c r="L1916">
        <v>0.86308586420633404</v>
      </c>
      <c r="M1916">
        <v>0.56776556776556797</v>
      </c>
      <c r="N1916">
        <v>1</v>
      </c>
      <c r="O1916">
        <v>0.68644688644688601</v>
      </c>
      <c r="P1916" t="s">
        <v>2732</v>
      </c>
      <c r="Q1916" t="s">
        <v>2733</v>
      </c>
      <c r="R1916" t="s">
        <v>288</v>
      </c>
      <c r="S1916" t="s">
        <v>289</v>
      </c>
      <c r="T1916" t="s">
        <v>2734</v>
      </c>
      <c r="U1916" t="s">
        <v>407</v>
      </c>
      <c r="V1916" t="s">
        <v>2735</v>
      </c>
      <c r="W1916" t="s">
        <v>2736</v>
      </c>
      <c r="AD1916" t="s">
        <v>410</v>
      </c>
      <c r="AE1916" t="s">
        <v>411</v>
      </c>
      <c r="AF1916" t="s">
        <v>2739</v>
      </c>
    </row>
    <row r="1917" spans="1:32" hidden="1" x14ac:dyDescent="0.35">
      <c r="A1917">
        <v>1323</v>
      </c>
      <c r="B1917" t="s">
        <v>2731</v>
      </c>
      <c r="C1917" t="s">
        <v>72</v>
      </c>
      <c r="D1917" t="s">
        <v>45</v>
      </c>
      <c r="E1917">
        <v>2233</v>
      </c>
      <c r="F1917">
        <v>5</v>
      </c>
      <c r="G1917">
        <v>5</v>
      </c>
      <c r="H1917">
        <v>1</v>
      </c>
      <c r="I1917">
        <v>1</v>
      </c>
      <c r="J1917">
        <v>0.77735801536330396</v>
      </c>
      <c r="K1917">
        <v>0.97006571859512802</v>
      </c>
      <c r="L1917">
        <v>0.86308586420633404</v>
      </c>
      <c r="M1917">
        <v>0.56776556776556797</v>
      </c>
      <c r="N1917">
        <v>1</v>
      </c>
      <c r="O1917">
        <v>0.68644688644688601</v>
      </c>
      <c r="P1917" t="s">
        <v>2732</v>
      </c>
      <c r="Q1917" t="s">
        <v>2733</v>
      </c>
      <c r="R1917" t="s">
        <v>288</v>
      </c>
      <c r="S1917" t="s">
        <v>289</v>
      </c>
      <c r="T1917" t="s">
        <v>2734</v>
      </c>
      <c r="U1917" t="s">
        <v>407</v>
      </c>
      <c r="V1917" t="s">
        <v>2735</v>
      </c>
      <c r="W1917" t="s">
        <v>2736</v>
      </c>
      <c r="AD1917" t="s">
        <v>410</v>
      </c>
      <c r="AE1917" t="s">
        <v>411</v>
      </c>
      <c r="AF1917" t="s">
        <v>2740</v>
      </c>
    </row>
    <row r="1918" spans="1:32" hidden="1" x14ac:dyDescent="0.35">
      <c r="A1918">
        <v>1349</v>
      </c>
      <c r="B1918" t="s">
        <v>2794</v>
      </c>
      <c r="C1918" t="s">
        <v>72</v>
      </c>
      <c r="D1918" t="s">
        <v>58</v>
      </c>
      <c r="E1918">
        <v>1515</v>
      </c>
      <c r="F1918">
        <v>5</v>
      </c>
      <c r="G1918">
        <v>5</v>
      </c>
      <c r="H1918">
        <v>1</v>
      </c>
      <c r="I1918">
        <v>1</v>
      </c>
      <c r="J1918">
        <v>0.76018821947735504</v>
      </c>
      <c r="K1918">
        <v>0.85578331354133097</v>
      </c>
      <c r="L1918">
        <v>0.80515823464310099</v>
      </c>
      <c r="M1918">
        <v>0.47457627118644102</v>
      </c>
      <c r="N1918">
        <v>1</v>
      </c>
      <c r="O1918">
        <v>0.634745762711864</v>
      </c>
      <c r="P1918" t="s">
        <v>2795</v>
      </c>
      <c r="Q1918" t="s">
        <v>2796</v>
      </c>
      <c r="R1918" t="s">
        <v>288</v>
      </c>
      <c r="S1918" t="s">
        <v>289</v>
      </c>
      <c r="V1918" t="s">
        <v>2797</v>
      </c>
      <c r="W1918" t="s">
        <v>2798</v>
      </c>
      <c r="X1918" t="s">
        <v>2797</v>
      </c>
      <c r="Y1918" t="s">
        <v>1136</v>
      </c>
      <c r="AF1918" t="s">
        <v>2799</v>
      </c>
    </row>
    <row r="1919" spans="1:32" hidden="1" x14ac:dyDescent="0.35">
      <c r="A1919">
        <v>1350</v>
      </c>
      <c r="B1919" t="s">
        <v>2794</v>
      </c>
      <c r="C1919" t="s">
        <v>72</v>
      </c>
      <c r="D1919" t="s">
        <v>60</v>
      </c>
      <c r="E1919">
        <v>525</v>
      </c>
      <c r="F1919">
        <v>5</v>
      </c>
      <c r="G1919">
        <v>5</v>
      </c>
      <c r="H1919">
        <v>1</v>
      </c>
      <c r="I1919">
        <v>1</v>
      </c>
      <c r="J1919">
        <v>0.76018821947735504</v>
      </c>
      <c r="K1919">
        <v>0.85578331354133097</v>
      </c>
      <c r="L1919">
        <v>0.80515823464310099</v>
      </c>
      <c r="M1919">
        <v>0.47457627118644102</v>
      </c>
      <c r="N1919">
        <v>1</v>
      </c>
      <c r="O1919">
        <v>0.634745762711864</v>
      </c>
      <c r="P1919" t="s">
        <v>2795</v>
      </c>
      <c r="Q1919" t="s">
        <v>2796</v>
      </c>
      <c r="R1919" t="s">
        <v>288</v>
      </c>
      <c r="S1919" t="s">
        <v>289</v>
      </c>
      <c r="T1919" t="s">
        <v>2800</v>
      </c>
      <c r="U1919" t="s">
        <v>2801</v>
      </c>
      <c r="V1919" t="s">
        <v>2797</v>
      </c>
      <c r="W1919" t="s">
        <v>2798</v>
      </c>
      <c r="X1919" t="s">
        <v>2797</v>
      </c>
      <c r="Y1919" t="s">
        <v>1136</v>
      </c>
      <c r="Z1919" t="s">
        <v>2802</v>
      </c>
      <c r="AA1919" t="s">
        <v>2803</v>
      </c>
      <c r="AB1919" t="s">
        <v>2802</v>
      </c>
      <c r="AC1919" t="s">
        <v>2804</v>
      </c>
      <c r="AD1919" t="s">
        <v>546</v>
      </c>
      <c r="AE1919" t="s">
        <v>2805</v>
      </c>
      <c r="AF1919" t="s">
        <v>2806</v>
      </c>
    </row>
    <row r="1920" spans="1:32" hidden="1" x14ac:dyDescent="0.35">
      <c r="A1920">
        <v>1351</v>
      </c>
      <c r="B1920" t="s">
        <v>2794</v>
      </c>
      <c r="C1920" t="s">
        <v>72</v>
      </c>
      <c r="D1920" t="s">
        <v>62</v>
      </c>
      <c r="E1920">
        <v>609</v>
      </c>
      <c r="F1920">
        <v>5</v>
      </c>
      <c r="G1920">
        <v>5</v>
      </c>
      <c r="H1920">
        <v>1</v>
      </c>
      <c r="I1920">
        <v>1</v>
      </c>
      <c r="J1920">
        <v>0.76018821947735504</v>
      </c>
      <c r="K1920">
        <v>0.85578331354133097</v>
      </c>
      <c r="L1920">
        <v>0.80515823464310099</v>
      </c>
      <c r="M1920">
        <v>0.47457627118644102</v>
      </c>
      <c r="N1920">
        <v>1</v>
      </c>
      <c r="O1920">
        <v>0.634745762711864</v>
      </c>
      <c r="P1920" t="s">
        <v>2795</v>
      </c>
      <c r="Q1920" t="s">
        <v>2796</v>
      </c>
      <c r="R1920" t="s">
        <v>288</v>
      </c>
      <c r="S1920" t="s">
        <v>289</v>
      </c>
      <c r="T1920" t="s">
        <v>2800</v>
      </c>
      <c r="U1920" t="s">
        <v>2801</v>
      </c>
      <c r="V1920" t="s">
        <v>2797</v>
      </c>
      <c r="W1920" t="s">
        <v>2798</v>
      </c>
      <c r="X1920" t="s">
        <v>2797</v>
      </c>
      <c r="Y1920" t="s">
        <v>1136</v>
      </c>
      <c r="Z1920" t="s">
        <v>2802</v>
      </c>
      <c r="AA1920" t="s">
        <v>2803</v>
      </c>
      <c r="AB1920" t="s">
        <v>2802</v>
      </c>
      <c r="AC1920" t="s">
        <v>2804</v>
      </c>
      <c r="AD1920" t="s">
        <v>546</v>
      </c>
      <c r="AE1920" t="s">
        <v>2805</v>
      </c>
      <c r="AF1920" t="s">
        <v>2806</v>
      </c>
    </row>
    <row r="1921" spans="1:32" hidden="1" x14ac:dyDescent="0.35">
      <c r="A1921">
        <v>1352</v>
      </c>
      <c r="B1921" t="s">
        <v>2794</v>
      </c>
      <c r="C1921" t="s">
        <v>72</v>
      </c>
      <c r="D1921" t="s">
        <v>34</v>
      </c>
      <c r="E1921">
        <v>570</v>
      </c>
      <c r="F1921">
        <v>5</v>
      </c>
      <c r="G1921">
        <v>5</v>
      </c>
      <c r="H1921">
        <v>1</v>
      </c>
      <c r="I1921">
        <v>1</v>
      </c>
      <c r="J1921">
        <v>0.76018821947735504</v>
      </c>
      <c r="K1921">
        <v>0.85578331354133097</v>
      </c>
      <c r="L1921">
        <v>0.80515823464310099</v>
      </c>
      <c r="M1921">
        <v>0.47457627118644102</v>
      </c>
      <c r="N1921">
        <v>1</v>
      </c>
      <c r="O1921">
        <v>0.634745762711864</v>
      </c>
      <c r="P1921" t="s">
        <v>2795</v>
      </c>
      <c r="Q1921" t="s">
        <v>2796</v>
      </c>
      <c r="R1921" t="s">
        <v>288</v>
      </c>
      <c r="S1921" t="s">
        <v>289</v>
      </c>
      <c r="T1921" t="s">
        <v>2800</v>
      </c>
      <c r="U1921" t="s">
        <v>2801</v>
      </c>
      <c r="V1921" t="s">
        <v>2797</v>
      </c>
      <c r="W1921" t="s">
        <v>2798</v>
      </c>
      <c r="X1921" t="s">
        <v>2797</v>
      </c>
      <c r="Y1921" t="s">
        <v>1136</v>
      </c>
      <c r="Z1921" t="s">
        <v>2802</v>
      </c>
      <c r="AA1921" t="s">
        <v>2803</v>
      </c>
      <c r="AB1921" t="s">
        <v>2802</v>
      </c>
      <c r="AC1921" t="s">
        <v>2804</v>
      </c>
      <c r="AD1921" t="s">
        <v>546</v>
      </c>
      <c r="AE1921" t="s">
        <v>2805</v>
      </c>
      <c r="AF1921" t="s">
        <v>2807</v>
      </c>
    </row>
    <row r="1922" spans="1:32" hidden="1" x14ac:dyDescent="0.35">
      <c r="A1922">
        <v>1353</v>
      </c>
      <c r="B1922" t="s">
        <v>2794</v>
      </c>
      <c r="C1922" t="s">
        <v>72</v>
      </c>
      <c r="D1922" t="s">
        <v>45</v>
      </c>
      <c r="E1922">
        <v>1836</v>
      </c>
      <c r="F1922">
        <v>5</v>
      </c>
      <c r="G1922">
        <v>5</v>
      </c>
      <c r="H1922">
        <v>1</v>
      </c>
      <c r="I1922">
        <v>1</v>
      </c>
      <c r="J1922">
        <v>0.76018821947735504</v>
      </c>
      <c r="K1922">
        <v>0.85578331354133097</v>
      </c>
      <c r="L1922">
        <v>0.80515823464310099</v>
      </c>
      <c r="M1922">
        <v>0.47457627118644102</v>
      </c>
      <c r="N1922">
        <v>1</v>
      </c>
      <c r="O1922">
        <v>0.634745762711864</v>
      </c>
      <c r="P1922" t="s">
        <v>2795</v>
      </c>
      <c r="Q1922" t="s">
        <v>2796</v>
      </c>
      <c r="R1922" t="s">
        <v>288</v>
      </c>
      <c r="S1922" t="s">
        <v>289</v>
      </c>
      <c r="T1922" t="s">
        <v>2800</v>
      </c>
      <c r="U1922" t="s">
        <v>2801</v>
      </c>
      <c r="V1922" t="s">
        <v>2797</v>
      </c>
      <c r="W1922" t="s">
        <v>2798</v>
      </c>
      <c r="X1922" t="s">
        <v>2797</v>
      </c>
      <c r="Y1922" t="s">
        <v>1136</v>
      </c>
      <c r="Z1922" t="s">
        <v>2802</v>
      </c>
      <c r="AA1922" t="s">
        <v>2803</v>
      </c>
      <c r="AB1922" t="s">
        <v>2802</v>
      </c>
      <c r="AC1922" t="s">
        <v>2804</v>
      </c>
      <c r="AD1922" t="s">
        <v>546</v>
      </c>
      <c r="AE1922" t="s">
        <v>2805</v>
      </c>
      <c r="AF1922" t="s">
        <v>2808</v>
      </c>
    </row>
    <row r="1923" spans="1:32" hidden="1" x14ac:dyDescent="0.35">
      <c r="A1923">
        <v>1719</v>
      </c>
      <c r="B1923" t="s">
        <v>3586</v>
      </c>
      <c r="C1923" t="s">
        <v>72</v>
      </c>
      <c r="D1923" t="s">
        <v>58</v>
      </c>
      <c r="E1923">
        <v>1504</v>
      </c>
      <c r="F1923">
        <v>5</v>
      </c>
      <c r="G1923">
        <v>5</v>
      </c>
      <c r="H1923">
        <v>1</v>
      </c>
      <c r="I1923">
        <v>1</v>
      </c>
      <c r="J1923">
        <v>0.95515587529975998</v>
      </c>
      <c r="K1923">
        <v>1</v>
      </c>
      <c r="L1923">
        <v>0.97706365754936797</v>
      </c>
      <c r="M1923">
        <v>0.91906474820143902</v>
      </c>
      <c r="N1923">
        <v>1</v>
      </c>
      <c r="O1923">
        <v>0.93956834532374101</v>
      </c>
      <c r="P1923" t="s">
        <v>169</v>
      </c>
      <c r="Q1923" t="s">
        <v>170</v>
      </c>
      <c r="R1923" t="s">
        <v>288</v>
      </c>
      <c r="S1923" t="s">
        <v>289</v>
      </c>
      <c r="T1923" t="s">
        <v>3587</v>
      </c>
      <c r="U1923" t="s">
        <v>3588</v>
      </c>
      <c r="V1923" t="s">
        <v>3589</v>
      </c>
      <c r="W1923" t="s">
        <v>3590</v>
      </c>
      <c r="AD1923" t="s">
        <v>1717</v>
      </c>
      <c r="AE1923" t="s">
        <v>3591</v>
      </c>
      <c r="AF1923" t="s">
        <v>3592</v>
      </c>
    </row>
    <row r="1924" spans="1:32" hidden="1" x14ac:dyDescent="0.35">
      <c r="A1924">
        <v>1720</v>
      </c>
      <c r="B1924" t="s">
        <v>3586</v>
      </c>
      <c r="C1924" t="s">
        <v>72</v>
      </c>
      <c r="D1924" t="s">
        <v>60</v>
      </c>
      <c r="E1924">
        <v>2019</v>
      </c>
      <c r="F1924">
        <v>5</v>
      </c>
      <c r="G1924">
        <v>5</v>
      </c>
      <c r="H1924">
        <v>1</v>
      </c>
      <c r="I1924">
        <v>1</v>
      </c>
      <c r="J1924">
        <v>0.95515587529975998</v>
      </c>
      <c r="K1924">
        <v>1</v>
      </c>
      <c r="L1924">
        <v>0.97706365754936797</v>
      </c>
      <c r="M1924">
        <v>0.91906474820143902</v>
      </c>
      <c r="N1924">
        <v>1</v>
      </c>
      <c r="O1924">
        <v>0.93956834532374101</v>
      </c>
      <c r="P1924" t="s">
        <v>169</v>
      </c>
      <c r="Q1924" t="s">
        <v>170</v>
      </c>
      <c r="R1924" t="s">
        <v>288</v>
      </c>
      <c r="S1924" t="s">
        <v>289</v>
      </c>
      <c r="T1924" t="s">
        <v>3587</v>
      </c>
      <c r="U1924" t="s">
        <v>3588</v>
      </c>
      <c r="V1924" t="s">
        <v>3589</v>
      </c>
      <c r="W1924" t="s">
        <v>3590</v>
      </c>
      <c r="AD1924" t="s">
        <v>1717</v>
      </c>
      <c r="AE1924" t="s">
        <v>3591</v>
      </c>
      <c r="AF1924" t="s">
        <v>3593</v>
      </c>
    </row>
    <row r="1925" spans="1:32" hidden="1" x14ac:dyDescent="0.35">
      <c r="A1925">
        <v>1721</v>
      </c>
      <c r="B1925" t="s">
        <v>3586</v>
      </c>
      <c r="C1925" t="s">
        <v>72</v>
      </c>
      <c r="D1925" t="s">
        <v>62</v>
      </c>
      <c r="E1925">
        <v>2059</v>
      </c>
      <c r="F1925">
        <v>5</v>
      </c>
      <c r="G1925">
        <v>5</v>
      </c>
      <c r="H1925">
        <v>1</v>
      </c>
      <c r="I1925">
        <v>1</v>
      </c>
      <c r="J1925">
        <v>0.95515587529975998</v>
      </c>
      <c r="K1925">
        <v>1</v>
      </c>
      <c r="L1925">
        <v>0.97706365754936797</v>
      </c>
      <c r="M1925">
        <v>0.91906474820143902</v>
      </c>
      <c r="N1925">
        <v>1</v>
      </c>
      <c r="O1925">
        <v>0.93956834532374101</v>
      </c>
      <c r="P1925" t="s">
        <v>169</v>
      </c>
      <c r="Q1925" t="s">
        <v>170</v>
      </c>
      <c r="R1925" t="s">
        <v>288</v>
      </c>
      <c r="S1925" t="s">
        <v>289</v>
      </c>
      <c r="T1925" t="s">
        <v>3587</v>
      </c>
      <c r="U1925" t="s">
        <v>3588</v>
      </c>
      <c r="V1925" t="s">
        <v>3589</v>
      </c>
      <c r="W1925" t="s">
        <v>3590</v>
      </c>
      <c r="AD1925" t="s">
        <v>1717</v>
      </c>
      <c r="AE1925" t="s">
        <v>3591</v>
      </c>
      <c r="AF1925" t="s">
        <v>3593</v>
      </c>
    </row>
    <row r="1926" spans="1:32" hidden="1" x14ac:dyDescent="0.35">
      <c r="A1926">
        <v>1722</v>
      </c>
      <c r="B1926" t="s">
        <v>3586</v>
      </c>
      <c r="C1926" t="s">
        <v>72</v>
      </c>
      <c r="D1926" t="s">
        <v>34</v>
      </c>
      <c r="E1926">
        <v>2363</v>
      </c>
      <c r="F1926">
        <v>5</v>
      </c>
      <c r="G1926">
        <v>5</v>
      </c>
      <c r="H1926">
        <v>1</v>
      </c>
      <c r="I1926">
        <v>1</v>
      </c>
      <c r="J1926">
        <v>0.95515587529975998</v>
      </c>
      <c r="K1926">
        <v>1</v>
      </c>
      <c r="L1926">
        <v>0.97706365754936797</v>
      </c>
      <c r="M1926">
        <v>0.91906474820143902</v>
      </c>
      <c r="N1926">
        <v>1</v>
      </c>
      <c r="O1926">
        <v>0.93956834532374101</v>
      </c>
      <c r="P1926" t="s">
        <v>169</v>
      </c>
      <c r="Q1926" t="s">
        <v>170</v>
      </c>
      <c r="R1926" t="s">
        <v>288</v>
      </c>
      <c r="S1926" t="s">
        <v>289</v>
      </c>
      <c r="T1926" t="s">
        <v>3587</v>
      </c>
      <c r="U1926" t="s">
        <v>3588</v>
      </c>
      <c r="V1926" t="s">
        <v>3589</v>
      </c>
      <c r="W1926" t="s">
        <v>3590</v>
      </c>
      <c r="AD1926" t="s">
        <v>1717</v>
      </c>
      <c r="AE1926" t="s">
        <v>3591</v>
      </c>
      <c r="AF1926" t="s">
        <v>3594</v>
      </c>
    </row>
    <row r="1927" spans="1:32" hidden="1" x14ac:dyDescent="0.35">
      <c r="A1927">
        <v>1723</v>
      </c>
      <c r="B1927" t="s">
        <v>3586</v>
      </c>
      <c r="C1927" t="s">
        <v>72</v>
      </c>
      <c r="D1927" t="s">
        <v>45</v>
      </c>
      <c r="E1927">
        <v>517</v>
      </c>
      <c r="F1927">
        <v>5</v>
      </c>
      <c r="G1927">
        <v>5</v>
      </c>
      <c r="H1927">
        <v>1</v>
      </c>
      <c r="I1927">
        <v>1</v>
      </c>
      <c r="J1927">
        <v>0.95515587529975998</v>
      </c>
      <c r="K1927">
        <v>1</v>
      </c>
      <c r="L1927">
        <v>0.97706365754936797</v>
      </c>
      <c r="M1927">
        <v>0.91906474820143902</v>
      </c>
      <c r="N1927">
        <v>1</v>
      </c>
      <c r="O1927">
        <v>0.93956834532374101</v>
      </c>
      <c r="P1927" t="s">
        <v>169</v>
      </c>
      <c r="Q1927" t="s">
        <v>170</v>
      </c>
      <c r="R1927" t="s">
        <v>288</v>
      </c>
      <c r="S1927" t="s">
        <v>289</v>
      </c>
      <c r="T1927" t="s">
        <v>3587</v>
      </c>
      <c r="U1927" t="s">
        <v>3588</v>
      </c>
      <c r="V1927" t="s">
        <v>3589</v>
      </c>
      <c r="W1927" t="s">
        <v>3590</v>
      </c>
      <c r="AD1927" t="s">
        <v>1717</v>
      </c>
      <c r="AE1927" t="s">
        <v>3591</v>
      </c>
      <c r="AF1927" t="s">
        <v>3594</v>
      </c>
    </row>
    <row r="1928" spans="1:32" hidden="1" x14ac:dyDescent="0.35">
      <c r="A1928">
        <v>2419</v>
      </c>
      <c r="B1928" t="s">
        <v>5018</v>
      </c>
      <c r="C1928" t="s">
        <v>72</v>
      </c>
      <c r="D1928" t="s">
        <v>58</v>
      </c>
      <c r="E1928">
        <v>59</v>
      </c>
      <c r="F1928">
        <v>5</v>
      </c>
      <c r="G1928">
        <v>5</v>
      </c>
      <c r="H1928">
        <v>1</v>
      </c>
      <c r="I1928">
        <v>1</v>
      </c>
      <c r="J1928">
        <v>0.81463928383359696</v>
      </c>
      <c r="K1928">
        <v>0.99295970356646801</v>
      </c>
      <c r="L1928">
        <v>0.89500380054149498</v>
      </c>
      <c r="M1928">
        <v>0.66666666666666696</v>
      </c>
      <c r="N1928">
        <v>1</v>
      </c>
      <c r="O1928">
        <v>0.76392156862745098</v>
      </c>
      <c r="P1928" t="s">
        <v>5019</v>
      </c>
      <c r="Q1928" t="s">
        <v>5020</v>
      </c>
      <c r="R1928" t="s">
        <v>288</v>
      </c>
      <c r="S1928" t="s">
        <v>289</v>
      </c>
      <c r="T1928" t="s">
        <v>5021</v>
      </c>
      <c r="U1928" t="s">
        <v>5022</v>
      </c>
      <c r="V1928" t="s">
        <v>5023</v>
      </c>
      <c r="W1928" t="s">
        <v>5024</v>
      </c>
      <c r="AD1928" t="s">
        <v>219</v>
      </c>
      <c r="AE1928" t="s">
        <v>5025</v>
      </c>
      <c r="AF1928" t="s">
        <v>5026</v>
      </c>
    </row>
    <row r="1929" spans="1:32" hidden="1" x14ac:dyDescent="0.35">
      <c r="A1929">
        <v>2420</v>
      </c>
      <c r="B1929" t="s">
        <v>5018</v>
      </c>
      <c r="C1929" t="s">
        <v>72</v>
      </c>
      <c r="D1929" t="s">
        <v>60</v>
      </c>
      <c r="E1929">
        <v>102</v>
      </c>
      <c r="F1929">
        <v>5</v>
      </c>
      <c r="G1929">
        <v>5</v>
      </c>
      <c r="H1929">
        <v>1</v>
      </c>
      <c r="I1929">
        <v>1</v>
      </c>
      <c r="J1929">
        <v>0.81463928383359696</v>
      </c>
      <c r="K1929">
        <v>0.99295970356646801</v>
      </c>
      <c r="L1929">
        <v>0.89500380054149498</v>
      </c>
      <c r="M1929">
        <v>0.66666666666666696</v>
      </c>
      <c r="N1929">
        <v>1</v>
      </c>
      <c r="O1929">
        <v>0.76392156862745098</v>
      </c>
      <c r="P1929" t="s">
        <v>5019</v>
      </c>
      <c r="Q1929" t="s">
        <v>5020</v>
      </c>
      <c r="R1929" t="s">
        <v>288</v>
      </c>
      <c r="S1929" t="s">
        <v>289</v>
      </c>
      <c r="T1929" t="s">
        <v>5021</v>
      </c>
      <c r="U1929" t="s">
        <v>5022</v>
      </c>
      <c r="V1929" t="s">
        <v>5023</v>
      </c>
      <c r="W1929" t="s">
        <v>5024</v>
      </c>
      <c r="AD1929" t="s">
        <v>219</v>
      </c>
      <c r="AE1929" t="s">
        <v>5025</v>
      </c>
      <c r="AF1929" t="s">
        <v>5027</v>
      </c>
    </row>
    <row r="1930" spans="1:32" hidden="1" x14ac:dyDescent="0.35">
      <c r="A1930">
        <v>2421</v>
      </c>
      <c r="B1930" t="s">
        <v>5018</v>
      </c>
      <c r="C1930" t="s">
        <v>72</v>
      </c>
      <c r="D1930" t="s">
        <v>62</v>
      </c>
      <c r="E1930">
        <v>174</v>
      </c>
      <c r="F1930">
        <v>5</v>
      </c>
      <c r="G1930">
        <v>5</v>
      </c>
      <c r="H1930">
        <v>1</v>
      </c>
      <c r="I1930">
        <v>1</v>
      </c>
      <c r="J1930">
        <v>0.81463928383359696</v>
      </c>
      <c r="K1930">
        <v>0.99295970356646801</v>
      </c>
      <c r="L1930">
        <v>0.89500380054149498</v>
      </c>
      <c r="M1930">
        <v>0.66666666666666696</v>
      </c>
      <c r="N1930">
        <v>1</v>
      </c>
      <c r="O1930">
        <v>0.76392156862745098</v>
      </c>
      <c r="P1930" t="s">
        <v>5019</v>
      </c>
      <c r="Q1930" t="s">
        <v>5020</v>
      </c>
      <c r="R1930" t="s">
        <v>288</v>
      </c>
      <c r="S1930" t="s">
        <v>289</v>
      </c>
      <c r="T1930" t="s">
        <v>5021</v>
      </c>
      <c r="U1930" t="s">
        <v>5022</v>
      </c>
      <c r="V1930" t="s">
        <v>5023</v>
      </c>
      <c r="W1930" t="s">
        <v>5024</v>
      </c>
      <c r="AD1930" t="s">
        <v>219</v>
      </c>
      <c r="AE1930" t="s">
        <v>5025</v>
      </c>
      <c r="AF1930" t="s">
        <v>5027</v>
      </c>
    </row>
    <row r="1931" spans="1:32" hidden="1" x14ac:dyDescent="0.35">
      <c r="A1931">
        <v>2422</v>
      </c>
      <c r="B1931" t="s">
        <v>5018</v>
      </c>
      <c r="C1931" t="s">
        <v>72</v>
      </c>
      <c r="D1931" t="s">
        <v>34</v>
      </c>
      <c r="E1931">
        <v>966</v>
      </c>
      <c r="F1931">
        <v>5</v>
      </c>
      <c r="G1931">
        <v>5</v>
      </c>
      <c r="H1931">
        <v>1</v>
      </c>
      <c r="I1931">
        <v>1</v>
      </c>
      <c r="J1931">
        <v>0.81463928383359696</v>
      </c>
      <c r="K1931">
        <v>0.99295970356646801</v>
      </c>
      <c r="L1931">
        <v>0.89500380054149498</v>
      </c>
      <c r="M1931">
        <v>0.66666666666666696</v>
      </c>
      <c r="N1931">
        <v>1</v>
      </c>
      <c r="O1931">
        <v>0.76392156862745098</v>
      </c>
      <c r="P1931" t="s">
        <v>5019</v>
      </c>
      <c r="Q1931" t="s">
        <v>5020</v>
      </c>
      <c r="R1931" t="s">
        <v>288</v>
      </c>
      <c r="S1931" t="s">
        <v>289</v>
      </c>
      <c r="T1931" t="s">
        <v>5021</v>
      </c>
      <c r="U1931" t="s">
        <v>5022</v>
      </c>
      <c r="V1931" t="s">
        <v>5023</v>
      </c>
      <c r="W1931" t="s">
        <v>5024</v>
      </c>
      <c r="AD1931" t="s">
        <v>219</v>
      </c>
      <c r="AE1931" t="s">
        <v>5025</v>
      </c>
      <c r="AF1931" t="s">
        <v>5028</v>
      </c>
    </row>
    <row r="1932" spans="1:32" hidden="1" x14ac:dyDescent="0.35">
      <c r="A1932">
        <v>2423</v>
      </c>
      <c r="B1932" t="s">
        <v>5018</v>
      </c>
      <c r="C1932" t="s">
        <v>72</v>
      </c>
      <c r="D1932" t="s">
        <v>45</v>
      </c>
      <c r="E1932">
        <v>2222</v>
      </c>
      <c r="F1932">
        <v>5</v>
      </c>
      <c r="G1932">
        <v>5</v>
      </c>
      <c r="H1932">
        <v>1</v>
      </c>
      <c r="I1932">
        <v>1</v>
      </c>
      <c r="J1932">
        <v>0.81463928383359696</v>
      </c>
      <c r="K1932">
        <v>0.99295970356646801</v>
      </c>
      <c r="L1932">
        <v>0.89500380054149498</v>
      </c>
      <c r="M1932">
        <v>0.66666666666666696</v>
      </c>
      <c r="N1932">
        <v>1</v>
      </c>
      <c r="O1932">
        <v>0.76392156862745098</v>
      </c>
      <c r="P1932" t="s">
        <v>5019</v>
      </c>
      <c r="Q1932" t="s">
        <v>5020</v>
      </c>
      <c r="R1932" t="s">
        <v>288</v>
      </c>
      <c r="S1932" t="s">
        <v>289</v>
      </c>
      <c r="T1932" t="s">
        <v>5021</v>
      </c>
      <c r="U1932" t="s">
        <v>5022</v>
      </c>
      <c r="V1932" t="s">
        <v>5023</v>
      </c>
      <c r="W1932" t="s">
        <v>5024</v>
      </c>
      <c r="AD1932" t="s">
        <v>219</v>
      </c>
      <c r="AE1932" t="s">
        <v>5025</v>
      </c>
      <c r="AF1932" t="s">
        <v>5029</v>
      </c>
    </row>
    <row r="1933" spans="1:32" hidden="1" x14ac:dyDescent="0.35">
      <c r="A1933">
        <v>2564</v>
      </c>
      <c r="B1933" t="s">
        <v>5306</v>
      </c>
      <c r="C1933" t="s">
        <v>72</v>
      </c>
      <c r="D1933" t="s">
        <v>58</v>
      </c>
      <c r="E1933">
        <v>968</v>
      </c>
      <c r="F1933">
        <v>5</v>
      </c>
      <c r="G1933">
        <v>5</v>
      </c>
      <c r="H1933">
        <v>1</v>
      </c>
      <c r="I1933">
        <v>1</v>
      </c>
      <c r="J1933">
        <v>0.90709583028529595</v>
      </c>
      <c r="K1933">
        <v>0.99241709288896296</v>
      </c>
      <c r="L1933">
        <v>0.94784025513139303</v>
      </c>
      <c r="M1933">
        <v>0.81851179673321195</v>
      </c>
      <c r="N1933">
        <v>1</v>
      </c>
      <c r="O1933">
        <v>0.86715063520871105</v>
      </c>
      <c r="P1933" t="s">
        <v>169</v>
      </c>
      <c r="Q1933" t="s">
        <v>170</v>
      </c>
      <c r="R1933" t="s">
        <v>288</v>
      </c>
      <c r="S1933" t="s">
        <v>289</v>
      </c>
      <c r="T1933" t="s">
        <v>5307</v>
      </c>
      <c r="U1933" t="s">
        <v>5308</v>
      </c>
      <c r="V1933" t="s">
        <v>3589</v>
      </c>
      <c r="W1933" t="s">
        <v>3590</v>
      </c>
      <c r="AD1933" t="s">
        <v>774</v>
      </c>
      <c r="AE1933" t="s">
        <v>5309</v>
      </c>
      <c r="AF1933" t="s">
        <v>5310</v>
      </c>
    </row>
    <row r="1934" spans="1:32" hidden="1" x14ac:dyDescent="0.35">
      <c r="A1934">
        <v>2565</v>
      </c>
      <c r="B1934" t="s">
        <v>5306</v>
      </c>
      <c r="C1934" t="s">
        <v>72</v>
      </c>
      <c r="D1934" t="s">
        <v>60</v>
      </c>
      <c r="E1934">
        <v>1240</v>
      </c>
      <c r="F1934">
        <v>5</v>
      </c>
      <c r="G1934">
        <v>5</v>
      </c>
      <c r="H1934">
        <v>1</v>
      </c>
      <c r="I1934">
        <v>1</v>
      </c>
      <c r="J1934">
        <v>0.90709583028529595</v>
      </c>
      <c r="K1934">
        <v>0.99241709288896296</v>
      </c>
      <c r="L1934">
        <v>0.94784025513139303</v>
      </c>
      <c r="M1934">
        <v>0.81851179673321195</v>
      </c>
      <c r="N1934">
        <v>1</v>
      </c>
      <c r="O1934">
        <v>0.86715063520871105</v>
      </c>
      <c r="P1934" t="s">
        <v>169</v>
      </c>
      <c r="Q1934" t="s">
        <v>170</v>
      </c>
      <c r="R1934" t="s">
        <v>288</v>
      </c>
      <c r="S1934" t="s">
        <v>289</v>
      </c>
      <c r="T1934" t="s">
        <v>5307</v>
      </c>
      <c r="U1934" t="s">
        <v>5308</v>
      </c>
      <c r="V1934" t="s">
        <v>3589</v>
      </c>
      <c r="W1934" t="s">
        <v>3590</v>
      </c>
      <c r="AD1934" t="s">
        <v>774</v>
      </c>
      <c r="AE1934" t="s">
        <v>5309</v>
      </c>
      <c r="AF1934" t="s">
        <v>5311</v>
      </c>
    </row>
    <row r="1935" spans="1:32" hidden="1" x14ac:dyDescent="0.35">
      <c r="A1935">
        <v>2566</v>
      </c>
      <c r="B1935" t="s">
        <v>5306</v>
      </c>
      <c r="C1935" t="s">
        <v>72</v>
      </c>
      <c r="D1935" t="s">
        <v>62</v>
      </c>
      <c r="E1935">
        <v>1277</v>
      </c>
      <c r="F1935">
        <v>5</v>
      </c>
      <c r="G1935">
        <v>5</v>
      </c>
      <c r="H1935">
        <v>1</v>
      </c>
      <c r="I1935">
        <v>1</v>
      </c>
      <c r="J1935">
        <v>0.90709583028529595</v>
      </c>
      <c r="K1935">
        <v>0.99241709288896296</v>
      </c>
      <c r="L1935">
        <v>0.94784025513139303</v>
      </c>
      <c r="M1935">
        <v>0.81851179673321195</v>
      </c>
      <c r="N1935">
        <v>1</v>
      </c>
      <c r="O1935">
        <v>0.86715063520871105</v>
      </c>
      <c r="P1935" t="s">
        <v>169</v>
      </c>
      <c r="Q1935" t="s">
        <v>170</v>
      </c>
      <c r="R1935" t="s">
        <v>288</v>
      </c>
      <c r="S1935" t="s">
        <v>289</v>
      </c>
      <c r="T1935" t="s">
        <v>5307</v>
      </c>
      <c r="U1935" t="s">
        <v>5308</v>
      </c>
      <c r="V1935" t="s">
        <v>3589</v>
      </c>
      <c r="W1935" t="s">
        <v>3590</v>
      </c>
      <c r="AD1935" t="s">
        <v>774</v>
      </c>
      <c r="AE1935" t="s">
        <v>5309</v>
      </c>
      <c r="AF1935" t="s">
        <v>5311</v>
      </c>
    </row>
    <row r="1936" spans="1:32" hidden="1" x14ac:dyDescent="0.35">
      <c r="A1936">
        <v>2567</v>
      </c>
      <c r="B1936" t="s">
        <v>5306</v>
      </c>
      <c r="C1936" t="s">
        <v>72</v>
      </c>
      <c r="D1936" t="s">
        <v>34</v>
      </c>
      <c r="E1936">
        <v>1762</v>
      </c>
      <c r="F1936">
        <v>5</v>
      </c>
      <c r="G1936">
        <v>5</v>
      </c>
      <c r="H1936">
        <v>1</v>
      </c>
      <c r="I1936">
        <v>1</v>
      </c>
      <c r="J1936">
        <v>0.90709583028529595</v>
      </c>
      <c r="K1936">
        <v>0.99241709288896296</v>
      </c>
      <c r="L1936">
        <v>0.94784025513139303</v>
      </c>
      <c r="M1936">
        <v>0.81851179673321195</v>
      </c>
      <c r="N1936">
        <v>1</v>
      </c>
      <c r="O1936">
        <v>0.86715063520871105</v>
      </c>
      <c r="P1936" t="s">
        <v>169</v>
      </c>
      <c r="Q1936" t="s">
        <v>170</v>
      </c>
      <c r="R1936" t="s">
        <v>288</v>
      </c>
      <c r="S1936" t="s">
        <v>289</v>
      </c>
      <c r="T1936" t="s">
        <v>5307</v>
      </c>
      <c r="U1936" t="s">
        <v>5308</v>
      </c>
      <c r="V1936" t="s">
        <v>3589</v>
      </c>
      <c r="W1936" t="s">
        <v>3590</v>
      </c>
      <c r="AD1936" t="s">
        <v>774</v>
      </c>
      <c r="AE1936" t="s">
        <v>5309</v>
      </c>
      <c r="AF1936" t="s">
        <v>5312</v>
      </c>
    </row>
    <row r="1937" spans="1:32" hidden="1" x14ac:dyDescent="0.35">
      <c r="A1937">
        <v>2568</v>
      </c>
      <c r="B1937" t="s">
        <v>5306</v>
      </c>
      <c r="C1937" t="s">
        <v>72</v>
      </c>
      <c r="D1937" t="s">
        <v>45</v>
      </c>
      <c r="E1937">
        <v>1111</v>
      </c>
      <c r="F1937">
        <v>5</v>
      </c>
      <c r="G1937">
        <v>5</v>
      </c>
      <c r="H1937">
        <v>1</v>
      </c>
      <c r="I1937">
        <v>1</v>
      </c>
      <c r="J1937">
        <v>0.90709583028529595</v>
      </c>
      <c r="K1937">
        <v>0.99241709288896296</v>
      </c>
      <c r="L1937">
        <v>0.94784025513139303</v>
      </c>
      <c r="M1937">
        <v>0.81851179673321195</v>
      </c>
      <c r="N1937">
        <v>1</v>
      </c>
      <c r="O1937">
        <v>0.86715063520871105</v>
      </c>
      <c r="P1937" t="s">
        <v>169</v>
      </c>
      <c r="Q1937" t="s">
        <v>170</v>
      </c>
      <c r="R1937" t="s">
        <v>288</v>
      </c>
      <c r="S1937" t="s">
        <v>289</v>
      </c>
      <c r="T1937" t="s">
        <v>5307</v>
      </c>
      <c r="U1937" t="s">
        <v>5308</v>
      </c>
      <c r="V1937" t="s">
        <v>3589</v>
      </c>
      <c r="W1937" t="s">
        <v>3590</v>
      </c>
      <c r="AD1937" t="s">
        <v>774</v>
      </c>
      <c r="AE1937" t="s">
        <v>5309</v>
      </c>
      <c r="AF1937" t="s">
        <v>5312</v>
      </c>
    </row>
    <row r="1938" spans="1:32" hidden="1" x14ac:dyDescent="0.35">
      <c r="A1938">
        <v>2594</v>
      </c>
      <c r="B1938" t="s">
        <v>5369</v>
      </c>
      <c r="C1938" t="s">
        <v>72</v>
      </c>
      <c r="D1938" t="s">
        <v>58</v>
      </c>
      <c r="E1938">
        <v>886</v>
      </c>
      <c r="F1938">
        <v>5</v>
      </c>
      <c r="G1938">
        <v>5</v>
      </c>
      <c r="H1938">
        <v>1</v>
      </c>
      <c r="I1938">
        <v>1</v>
      </c>
      <c r="J1938">
        <v>0.76092740402888603</v>
      </c>
      <c r="K1938">
        <v>0.94941478063429596</v>
      </c>
      <c r="L1938">
        <v>0.84478501536460504</v>
      </c>
      <c r="M1938">
        <v>0.52702702702702697</v>
      </c>
      <c r="N1938">
        <v>1</v>
      </c>
      <c r="O1938">
        <v>0.64864864864864902</v>
      </c>
      <c r="P1938" t="s">
        <v>5370</v>
      </c>
      <c r="Q1938" t="s">
        <v>5371</v>
      </c>
      <c r="R1938" t="s">
        <v>288</v>
      </c>
      <c r="S1938" t="s">
        <v>289</v>
      </c>
      <c r="T1938" t="s">
        <v>5372</v>
      </c>
      <c r="U1938" t="s">
        <v>5373</v>
      </c>
      <c r="V1938" t="s">
        <v>5374</v>
      </c>
      <c r="W1938" t="s">
        <v>5375</v>
      </c>
      <c r="AD1938" t="s">
        <v>5376</v>
      </c>
      <c r="AE1938" t="s">
        <v>5377</v>
      </c>
      <c r="AF1938" t="s">
        <v>5378</v>
      </c>
    </row>
    <row r="1939" spans="1:32" hidden="1" x14ac:dyDescent="0.35">
      <c r="A1939">
        <v>2595</v>
      </c>
      <c r="B1939" t="s">
        <v>5369</v>
      </c>
      <c r="C1939" t="s">
        <v>72</v>
      </c>
      <c r="D1939" t="s">
        <v>60</v>
      </c>
      <c r="E1939">
        <v>1351</v>
      </c>
      <c r="F1939">
        <v>5</v>
      </c>
      <c r="G1939">
        <v>5</v>
      </c>
      <c r="H1939">
        <v>1</v>
      </c>
      <c r="I1939">
        <v>1</v>
      </c>
      <c r="J1939">
        <v>0.76092740402888603</v>
      </c>
      <c r="K1939">
        <v>0.94941478063429596</v>
      </c>
      <c r="L1939">
        <v>0.84478501536460504</v>
      </c>
      <c r="M1939">
        <v>0.52702702702702697</v>
      </c>
      <c r="N1939">
        <v>1</v>
      </c>
      <c r="O1939">
        <v>0.64864864864864902</v>
      </c>
      <c r="P1939" t="s">
        <v>5370</v>
      </c>
      <c r="Q1939" t="s">
        <v>5371</v>
      </c>
      <c r="R1939" t="s">
        <v>288</v>
      </c>
      <c r="S1939" t="s">
        <v>289</v>
      </c>
      <c r="T1939" t="s">
        <v>5372</v>
      </c>
      <c r="U1939" t="s">
        <v>5373</v>
      </c>
      <c r="V1939" t="s">
        <v>5374</v>
      </c>
      <c r="W1939" t="s">
        <v>5375</v>
      </c>
      <c r="AD1939" t="s">
        <v>5376</v>
      </c>
      <c r="AE1939" t="s">
        <v>5377</v>
      </c>
      <c r="AF1939" t="s">
        <v>5379</v>
      </c>
    </row>
    <row r="1940" spans="1:32" hidden="1" x14ac:dyDescent="0.35">
      <c r="A1940">
        <v>2596</v>
      </c>
      <c r="B1940" t="s">
        <v>5369</v>
      </c>
      <c r="C1940" t="s">
        <v>72</v>
      </c>
      <c r="D1940" t="s">
        <v>62</v>
      </c>
      <c r="E1940">
        <v>1387</v>
      </c>
      <c r="F1940">
        <v>5</v>
      </c>
      <c r="G1940">
        <v>5</v>
      </c>
      <c r="H1940">
        <v>1</v>
      </c>
      <c r="I1940">
        <v>1</v>
      </c>
      <c r="J1940">
        <v>0.76092740402888603</v>
      </c>
      <c r="K1940">
        <v>0.94941478063429596</v>
      </c>
      <c r="L1940">
        <v>0.84478501536460504</v>
      </c>
      <c r="M1940">
        <v>0.52702702702702697</v>
      </c>
      <c r="N1940">
        <v>1</v>
      </c>
      <c r="O1940">
        <v>0.64864864864864902</v>
      </c>
      <c r="P1940" t="s">
        <v>5370</v>
      </c>
      <c r="Q1940" t="s">
        <v>5371</v>
      </c>
      <c r="R1940" t="s">
        <v>288</v>
      </c>
      <c r="S1940" t="s">
        <v>289</v>
      </c>
      <c r="T1940" t="s">
        <v>5372</v>
      </c>
      <c r="U1940" t="s">
        <v>5373</v>
      </c>
      <c r="V1940" t="s">
        <v>5374</v>
      </c>
      <c r="W1940" t="s">
        <v>5375</v>
      </c>
      <c r="AD1940" t="s">
        <v>5376</v>
      </c>
      <c r="AE1940" t="s">
        <v>5377</v>
      </c>
      <c r="AF1940" t="s">
        <v>5379</v>
      </c>
    </row>
    <row r="1941" spans="1:32" hidden="1" x14ac:dyDescent="0.35">
      <c r="A1941">
        <v>2597</v>
      </c>
      <c r="B1941" t="s">
        <v>5369</v>
      </c>
      <c r="C1941" t="s">
        <v>72</v>
      </c>
      <c r="D1941" t="s">
        <v>34</v>
      </c>
      <c r="E1941">
        <v>1679</v>
      </c>
      <c r="F1941">
        <v>5</v>
      </c>
      <c r="G1941">
        <v>5</v>
      </c>
      <c r="H1941">
        <v>1</v>
      </c>
      <c r="I1941">
        <v>1</v>
      </c>
      <c r="J1941">
        <v>0.76092740402888603</v>
      </c>
      <c r="K1941">
        <v>0.94941478063429596</v>
      </c>
      <c r="L1941">
        <v>0.84478501536460504</v>
      </c>
      <c r="M1941">
        <v>0.52702702702702697</v>
      </c>
      <c r="N1941">
        <v>1</v>
      </c>
      <c r="O1941">
        <v>0.64864864864864902</v>
      </c>
      <c r="P1941" t="s">
        <v>5370</v>
      </c>
      <c r="Q1941" t="s">
        <v>5371</v>
      </c>
      <c r="R1941" t="s">
        <v>288</v>
      </c>
      <c r="S1941" t="s">
        <v>289</v>
      </c>
      <c r="T1941" t="s">
        <v>5372</v>
      </c>
      <c r="U1941" t="s">
        <v>5373</v>
      </c>
      <c r="V1941" t="s">
        <v>5374</v>
      </c>
      <c r="W1941" t="s">
        <v>5375</v>
      </c>
      <c r="AD1941" t="s">
        <v>5376</v>
      </c>
      <c r="AE1941" t="s">
        <v>5377</v>
      </c>
      <c r="AF1941" t="s">
        <v>5380</v>
      </c>
    </row>
    <row r="1942" spans="1:32" hidden="1" x14ac:dyDescent="0.35">
      <c r="A1942">
        <v>2598</v>
      </c>
      <c r="B1942" t="s">
        <v>5369</v>
      </c>
      <c r="C1942" t="s">
        <v>72</v>
      </c>
      <c r="D1942" t="s">
        <v>45</v>
      </c>
      <c r="E1942">
        <v>1197</v>
      </c>
      <c r="F1942">
        <v>5</v>
      </c>
      <c r="G1942">
        <v>5</v>
      </c>
      <c r="H1942">
        <v>1</v>
      </c>
      <c r="I1942">
        <v>1</v>
      </c>
      <c r="J1942">
        <v>0.76092740402888603</v>
      </c>
      <c r="K1942">
        <v>0.94941478063429596</v>
      </c>
      <c r="L1942">
        <v>0.84478501536460504</v>
      </c>
      <c r="M1942">
        <v>0.52702702702702697</v>
      </c>
      <c r="N1942">
        <v>1</v>
      </c>
      <c r="O1942">
        <v>0.64864864864864902</v>
      </c>
      <c r="P1942" t="s">
        <v>5370</v>
      </c>
      <c r="Q1942" t="s">
        <v>5371</v>
      </c>
      <c r="R1942" t="s">
        <v>288</v>
      </c>
      <c r="S1942" t="s">
        <v>289</v>
      </c>
      <c r="T1942" t="s">
        <v>5372</v>
      </c>
      <c r="U1942" t="s">
        <v>5373</v>
      </c>
      <c r="V1942" t="s">
        <v>5374</v>
      </c>
      <c r="W1942" t="s">
        <v>5375</v>
      </c>
      <c r="AD1942" t="s">
        <v>5376</v>
      </c>
      <c r="AE1942" t="s">
        <v>5377</v>
      </c>
      <c r="AF1942" t="s">
        <v>5380</v>
      </c>
    </row>
    <row r="1943" spans="1:32" hidden="1" x14ac:dyDescent="0.35">
      <c r="A1943">
        <v>2789</v>
      </c>
      <c r="B1943" t="s">
        <v>5767</v>
      </c>
      <c r="C1943" t="s">
        <v>72</v>
      </c>
      <c r="D1943" t="s">
        <v>58</v>
      </c>
      <c r="E1943">
        <v>685</v>
      </c>
      <c r="F1943">
        <v>5</v>
      </c>
      <c r="G1943">
        <v>5</v>
      </c>
      <c r="H1943">
        <v>1</v>
      </c>
      <c r="I1943">
        <v>1</v>
      </c>
      <c r="J1943">
        <v>0.75248538011695898</v>
      </c>
      <c r="K1943">
        <v>0.84889977181441001</v>
      </c>
      <c r="L1943">
        <v>0.79779017147068298</v>
      </c>
      <c r="M1943">
        <v>0.46350364963503599</v>
      </c>
      <c r="N1943">
        <v>1</v>
      </c>
      <c r="O1943">
        <v>0.59562043795620401</v>
      </c>
      <c r="P1943" t="s">
        <v>5768</v>
      </c>
      <c r="Q1943" t="s">
        <v>5769</v>
      </c>
      <c r="R1943" t="s">
        <v>288</v>
      </c>
      <c r="S1943" t="s">
        <v>289</v>
      </c>
      <c r="T1943" t="s">
        <v>5770</v>
      </c>
      <c r="U1943" t="s">
        <v>5771</v>
      </c>
      <c r="V1943" t="s">
        <v>5772</v>
      </c>
      <c r="W1943" t="s">
        <v>5773</v>
      </c>
      <c r="AD1943" t="s">
        <v>166</v>
      </c>
      <c r="AE1943" t="s">
        <v>818</v>
      </c>
      <c r="AF1943" t="s">
        <v>5774</v>
      </c>
    </row>
    <row r="1944" spans="1:32" hidden="1" x14ac:dyDescent="0.35">
      <c r="A1944">
        <v>2790</v>
      </c>
      <c r="B1944" t="s">
        <v>5767</v>
      </c>
      <c r="C1944" t="s">
        <v>72</v>
      </c>
      <c r="D1944" t="s">
        <v>60</v>
      </c>
      <c r="E1944">
        <v>879</v>
      </c>
      <c r="F1944">
        <v>5</v>
      </c>
      <c r="G1944">
        <v>5</v>
      </c>
      <c r="H1944">
        <v>1</v>
      </c>
      <c r="I1944">
        <v>1</v>
      </c>
      <c r="J1944">
        <v>0.75248538011695898</v>
      </c>
      <c r="K1944">
        <v>0.84889977181441001</v>
      </c>
      <c r="L1944">
        <v>0.79779017147068298</v>
      </c>
      <c r="M1944">
        <v>0.46350364963503599</v>
      </c>
      <c r="N1944">
        <v>1</v>
      </c>
      <c r="O1944">
        <v>0.59562043795620401</v>
      </c>
      <c r="P1944" t="s">
        <v>5768</v>
      </c>
      <c r="Q1944" t="s">
        <v>5769</v>
      </c>
      <c r="R1944" t="s">
        <v>288</v>
      </c>
      <c r="S1944" t="s">
        <v>289</v>
      </c>
      <c r="T1944" t="s">
        <v>5770</v>
      </c>
      <c r="U1944" t="s">
        <v>5771</v>
      </c>
      <c r="V1944" t="s">
        <v>5772</v>
      </c>
      <c r="W1944" t="s">
        <v>5773</v>
      </c>
      <c r="AD1944" t="s">
        <v>166</v>
      </c>
      <c r="AE1944" t="s">
        <v>818</v>
      </c>
      <c r="AF1944" t="s">
        <v>5775</v>
      </c>
    </row>
    <row r="1945" spans="1:32" hidden="1" x14ac:dyDescent="0.35">
      <c r="A1945">
        <v>2791</v>
      </c>
      <c r="B1945" t="s">
        <v>5767</v>
      </c>
      <c r="C1945" t="s">
        <v>72</v>
      </c>
      <c r="D1945" t="s">
        <v>62</v>
      </c>
      <c r="E1945">
        <v>913</v>
      </c>
      <c r="F1945">
        <v>5</v>
      </c>
      <c r="G1945">
        <v>5</v>
      </c>
      <c r="H1945">
        <v>1</v>
      </c>
      <c r="I1945">
        <v>1</v>
      </c>
      <c r="J1945">
        <v>0.75248538011695898</v>
      </c>
      <c r="K1945">
        <v>0.84889977181441001</v>
      </c>
      <c r="L1945">
        <v>0.79779017147068298</v>
      </c>
      <c r="M1945">
        <v>0.46350364963503599</v>
      </c>
      <c r="N1945">
        <v>1</v>
      </c>
      <c r="O1945">
        <v>0.59562043795620401</v>
      </c>
      <c r="P1945" t="s">
        <v>5768</v>
      </c>
      <c r="Q1945" t="s">
        <v>5769</v>
      </c>
      <c r="R1945" t="s">
        <v>288</v>
      </c>
      <c r="S1945" t="s">
        <v>289</v>
      </c>
      <c r="T1945" t="s">
        <v>5770</v>
      </c>
      <c r="U1945" t="s">
        <v>5771</v>
      </c>
      <c r="V1945" t="s">
        <v>5772</v>
      </c>
      <c r="W1945" t="s">
        <v>5773</v>
      </c>
      <c r="AD1945" t="s">
        <v>166</v>
      </c>
      <c r="AE1945" t="s">
        <v>818</v>
      </c>
      <c r="AF1945" t="s">
        <v>5775</v>
      </c>
    </row>
    <row r="1946" spans="1:32" hidden="1" x14ac:dyDescent="0.35">
      <c r="A1946">
        <v>2792</v>
      </c>
      <c r="B1946" t="s">
        <v>5767</v>
      </c>
      <c r="C1946" t="s">
        <v>72</v>
      </c>
      <c r="D1946" t="s">
        <v>34</v>
      </c>
      <c r="E1946">
        <v>275</v>
      </c>
      <c r="F1946">
        <v>5</v>
      </c>
      <c r="G1946">
        <v>5</v>
      </c>
      <c r="H1946">
        <v>1</v>
      </c>
      <c r="I1946">
        <v>1</v>
      </c>
      <c r="J1946">
        <v>0.75248538011695898</v>
      </c>
      <c r="K1946">
        <v>0.84889977181441001</v>
      </c>
      <c r="L1946">
        <v>0.79779017147068298</v>
      </c>
      <c r="M1946">
        <v>0.46350364963503599</v>
      </c>
      <c r="N1946">
        <v>1</v>
      </c>
      <c r="O1946">
        <v>0.59562043795620401</v>
      </c>
      <c r="P1946" t="s">
        <v>5768</v>
      </c>
      <c r="Q1946" t="s">
        <v>5769</v>
      </c>
      <c r="R1946" t="s">
        <v>288</v>
      </c>
      <c r="S1946" t="s">
        <v>289</v>
      </c>
      <c r="T1946" t="s">
        <v>5770</v>
      </c>
      <c r="U1946" t="s">
        <v>5771</v>
      </c>
      <c r="V1946" t="s">
        <v>5772</v>
      </c>
      <c r="W1946" t="s">
        <v>5773</v>
      </c>
      <c r="AD1946" t="s">
        <v>166</v>
      </c>
      <c r="AE1946" t="s">
        <v>818</v>
      </c>
      <c r="AF1946" t="s">
        <v>5776</v>
      </c>
    </row>
    <row r="1947" spans="1:32" hidden="1" x14ac:dyDescent="0.35">
      <c r="A1947">
        <v>2793</v>
      </c>
      <c r="B1947" t="s">
        <v>5767</v>
      </c>
      <c r="C1947" t="s">
        <v>72</v>
      </c>
      <c r="D1947" t="s">
        <v>45</v>
      </c>
      <c r="E1947">
        <v>1537</v>
      </c>
      <c r="F1947">
        <v>5</v>
      </c>
      <c r="G1947">
        <v>5</v>
      </c>
      <c r="H1947">
        <v>1</v>
      </c>
      <c r="I1947">
        <v>1</v>
      </c>
      <c r="J1947">
        <v>0.75248538011695898</v>
      </c>
      <c r="K1947">
        <v>0.84889977181441001</v>
      </c>
      <c r="L1947">
        <v>0.79779017147068298</v>
      </c>
      <c r="M1947">
        <v>0.46350364963503599</v>
      </c>
      <c r="N1947">
        <v>1</v>
      </c>
      <c r="O1947">
        <v>0.59562043795620401</v>
      </c>
      <c r="P1947" t="s">
        <v>5768</v>
      </c>
      <c r="Q1947" t="s">
        <v>5769</v>
      </c>
      <c r="R1947" t="s">
        <v>288</v>
      </c>
      <c r="S1947" t="s">
        <v>289</v>
      </c>
      <c r="T1947" t="s">
        <v>5770</v>
      </c>
      <c r="U1947" t="s">
        <v>5771</v>
      </c>
      <c r="V1947" t="s">
        <v>5772</v>
      </c>
      <c r="W1947" t="s">
        <v>5773</v>
      </c>
      <c r="AD1947" t="s">
        <v>166</v>
      </c>
      <c r="AE1947" t="s">
        <v>818</v>
      </c>
      <c r="AF1947" t="s">
        <v>5777</v>
      </c>
    </row>
    <row r="1948" spans="1:32" hidden="1" x14ac:dyDescent="0.35">
      <c r="A1948">
        <v>3054</v>
      </c>
      <c r="B1948" t="s">
        <v>6316</v>
      </c>
      <c r="C1948" t="s">
        <v>72</v>
      </c>
      <c r="D1948" t="s">
        <v>58</v>
      </c>
      <c r="E1948">
        <v>76</v>
      </c>
      <c r="F1948">
        <v>5</v>
      </c>
      <c r="G1948">
        <v>5</v>
      </c>
      <c r="H1948">
        <v>1</v>
      </c>
      <c r="I1948">
        <v>1</v>
      </c>
      <c r="J1948">
        <v>0.74450063211125195</v>
      </c>
      <c r="K1948">
        <v>0.93274994803575395</v>
      </c>
      <c r="L1948">
        <v>0.82806103528488995</v>
      </c>
      <c r="M1948">
        <v>0.50588235294117601</v>
      </c>
      <c r="N1948">
        <v>1</v>
      </c>
      <c r="O1948">
        <v>0.64482352941176502</v>
      </c>
      <c r="P1948" t="s">
        <v>6317</v>
      </c>
      <c r="Q1948" t="s">
        <v>6318</v>
      </c>
      <c r="R1948" t="s">
        <v>288</v>
      </c>
      <c r="S1948" t="s">
        <v>289</v>
      </c>
      <c r="T1948" t="s">
        <v>6319</v>
      </c>
      <c r="U1948" t="s">
        <v>6320</v>
      </c>
      <c r="V1948" t="s">
        <v>6321</v>
      </c>
      <c r="W1948" t="s">
        <v>6322</v>
      </c>
      <c r="AD1948" t="s">
        <v>410</v>
      </c>
      <c r="AE1948" t="s">
        <v>603</v>
      </c>
      <c r="AF1948" t="s">
        <v>6323</v>
      </c>
    </row>
    <row r="1949" spans="1:32" hidden="1" x14ac:dyDescent="0.35">
      <c r="A1949">
        <v>3055</v>
      </c>
      <c r="B1949" t="s">
        <v>6316</v>
      </c>
      <c r="C1949" t="s">
        <v>72</v>
      </c>
      <c r="D1949" t="s">
        <v>60</v>
      </c>
      <c r="E1949">
        <v>139</v>
      </c>
      <c r="F1949">
        <v>5</v>
      </c>
      <c r="G1949">
        <v>5</v>
      </c>
      <c r="H1949">
        <v>1</v>
      </c>
      <c r="I1949">
        <v>1</v>
      </c>
      <c r="J1949">
        <v>0.74450063211125195</v>
      </c>
      <c r="K1949">
        <v>0.93274994803575395</v>
      </c>
      <c r="L1949">
        <v>0.82806103528488995</v>
      </c>
      <c r="M1949">
        <v>0.50588235294117601</v>
      </c>
      <c r="N1949">
        <v>1</v>
      </c>
      <c r="O1949">
        <v>0.64482352941176502</v>
      </c>
      <c r="P1949" t="s">
        <v>6317</v>
      </c>
      <c r="Q1949" t="s">
        <v>6318</v>
      </c>
      <c r="R1949" t="s">
        <v>288</v>
      </c>
      <c r="S1949" t="s">
        <v>289</v>
      </c>
      <c r="T1949" t="s">
        <v>6319</v>
      </c>
      <c r="U1949" t="s">
        <v>6320</v>
      </c>
      <c r="V1949" t="s">
        <v>6321</v>
      </c>
      <c r="W1949" t="s">
        <v>6322</v>
      </c>
      <c r="AD1949" t="s">
        <v>410</v>
      </c>
      <c r="AE1949" t="s">
        <v>603</v>
      </c>
      <c r="AF1949" t="s">
        <v>6324</v>
      </c>
    </row>
    <row r="1950" spans="1:32" hidden="1" x14ac:dyDescent="0.35">
      <c r="A1950">
        <v>3056</v>
      </c>
      <c r="B1950" t="s">
        <v>6316</v>
      </c>
      <c r="C1950" t="s">
        <v>72</v>
      </c>
      <c r="D1950" t="s">
        <v>62</v>
      </c>
      <c r="E1950">
        <v>211</v>
      </c>
      <c r="F1950">
        <v>5</v>
      </c>
      <c r="G1950">
        <v>5</v>
      </c>
      <c r="H1950">
        <v>1</v>
      </c>
      <c r="I1950">
        <v>1</v>
      </c>
      <c r="J1950">
        <v>0.74450063211125195</v>
      </c>
      <c r="K1950">
        <v>0.93274994803575395</v>
      </c>
      <c r="L1950">
        <v>0.82806103528488995</v>
      </c>
      <c r="M1950">
        <v>0.50588235294117601</v>
      </c>
      <c r="N1950">
        <v>1</v>
      </c>
      <c r="O1950">
        <v>0.64482352941176502</v>
      </c>
      <c r="P1950" t="s">
        <v>6317</v>
      </c>
      <c r="Q1950" t="s">
        <v>6318</v>
      </c>
      <c r="R1950" t="s">
        <v>288</v>
      </c>
      <c r="S1950" t="s">
        <v>289</v>
      </c>
      <c r="T1950" t="s">
        <v>6319</v>
      </c>
      <c r="U1950" t="s">
        <v>6320</v>
      </c>
      <c r="V1950" t="s">
        <v>6321</v>
      </c>
      <c r="W1950" t="s">
        <v>6322</v>
      </c>
      <c r="AD1950" t="s">
        <v>410</v>
      </c>
      <c r="AE1950" t="s">
        <v>603</v>
      </c>
      <c r="AF1950" t="s">
        <v>6324</v>
      </c>
    </row>
    <row r="1951" spans="1:32" hidden="1" x14ac:dyDescent="0.35">
      <c r="A1951">
        <v>3057</v>
      </c>
      <c r="B1951" t="s">
        <v>6316</v>
      </c>
      <c r="C1951" t="s">
        <v>72</v>
      </c>
      <c r="D1951" t="s">
        <v>34</v>
      </c>
      <c r="E1951">
        <v>936</v>
      </c>
      <c r="F1951">
        <v>5</v>
      </c>
      <c r="G1951">
        <v>5</v>
      </c>
      <c r="H1951">
        <v>1</v>
      </c>
      <c r="I1951">
        <v>1</v>
      </c>
      <c r="J1951">
        <v>0.74450063211125195</v>
      </c>
      <c r="K1951">
        <v>0.93274994803575395</v>
      </c>
      <c r="L1951">
        <v>0.82806103528488995</v>
      </c>
      <c r="M1951">
        <v>0.50588235294117601</v>
      </c>
      <c r="N1951">
        <v>1</v>
      </c>
      <c r="O1951">
        <v>0.64482352941176502</v>
      </c>
      <c r="P1951" t="s">
        <v>6317</v>
      </c>
      <c r="Q1951" t="s">
        <v>6318</v>
      </c>
      <c r="R1951" t="s">
        <v>288</v>
      </c>
      <c r="S1951" t="s">
        <v>289</v>
      </c>
      <c r="T1951" t="s">
        <v>6319</v>
      </c>
      <c r="U1951" t="s">
        <v>6320</v>
      </c>
      <c r="V1951" t="s">
        <v>6321</v>
      </c>
      <c r="W1951" t="s">
        <v>6322</v>
      </c>
      <c r="AD1951" t="s">
        <v>410</v>
      </c>
      <c r="AE1951" t="s">
        <v>603</v>
      </c>
      <c r="AF1951" t="s">
        <v>6325</v>
      </c>
    </row>
    <row r="1952" spans="1:32" hidden="1" x14ac:dyDescent="0.35">
      <c r="A1952">
        <v>3058</v>
      </c>
      <c r="B1952" t="s">
        <v>6316</v>
      </c>
      <c r="C1952" t="s">
        <v>72</v>
      </c>
      <c r="D1952" t="s">
        <v>45</v>
      </c>
      <c r="E1952">
        <v>2193</v>
      </c>
      <c r="F1952">
        <v>5</v>
      </c>
      <c r="G1952">
        <v>5</v>
      </c>
      <c r="H1952">
        <v>1</v>
      </c>
      <c r="I1952">
        <v>1</v>
      </c>
      <c r="J1952">
        <v>0.74450063211125195</v>
      </c>
      <c r="K1952">
        <v>0.93274994803575395</v>
      </c>
      <c r="L1952">
        <v>0.82806103528488995</v>
      </c>
      <c r="M1952">
        <v>0.50588235294117601</v>
      </c>
      <c r="N1952">
        <v>1</v>
      </c>
      <c r="O1952">
        <v>0.64482352941176502</v>
      </c>
      <c r="P1952" t="s">
        <v>6317</v>
      </c>
      <c r="Q1952" t="s">
        <v>6318</v>
      </c>
      <c r="R1952" t="s">
        <v>288</v>
      </c>
      <c r="S1952" t="s">
        <v>289</v>
      </c>
      <c r="T1952" t="s">
        <v>6319</v>
      </c>
      <c r="U1952" t="s">
        <v>6320</v>
      </c>
      <c r="V1952" t="s">
        <v>6321</v>
      </c>
      <c r="W1952" t="s">
        <v>6322</v>
      </c>
      <c r="AD1952" t="s">
        <v>410</v>
      </c>
      <c r="AE1952" t="s">
        <v>603</v>
      </c>
      <c r="AF1952" t="s">
        <v>6326</v>
      </c>
    </row>
    <row r="1953" spans="1:32" hidden="1" x14ac:dyDescent="0.35">
      <c r="A1953">
        <v>3139</v>
      </c>
      <c r="B1953" t="s">
        <v>6460</v>
      </c>
      <c r="C1953" t="s">
        <v>72</v>
      </c>
      <c r="D1953" t="s">
        <v>58</v>
      </c>
      <c r="E1953">
        <v>1034</v>
      </c>
      <c r="F1953">
        <v>5</v>
      </c>
      <c r="G1953">
        <v>5</v>
      </c>
      <c r="H1953">
        <v>1</v>
      </c>
      <c r="I1953">
        <v>1</v>
      </c>
      <c r="J1953">
        <v>0.70537529478734695</v>
      </c>
      <c r="K1953">
        <v>0.90997479927328095</v>
      </c>
      <c r="L1953">
        <v>0.79471780717568297</v>
      </c>
      <c r="M1953">
        <v>0.42604856512141298</v>
      </c>
      <c r="N1953">
        <v>1</v>
      </c>
      <c r="O1953">
        <v>0.61081677704194304</v>
      </c>
      <c r="R1953" t="s">
        <v>288</v>
      </c>
      <c r="S1953" t="s">
        <v>289</v>
      </c>
      <c r="V1953" t="s">
        <v>6461</v>
      </c>
      <c r="W1953" t="s">
        <v>6462</v>
      </c>
      <c r="AF1953" t="s">
        <v>6463</v>
      </c>
    </row>
    <row r="1954" spans="1:32" hidden="1" x14ac:dyDescent="0.35">
      <c r="A1954">
        <v>3140</v>
      </c>
      <c r="B1954" t="s">
        <v>6460</v>
      </c>
      <c r="C1954" t="s">
        <v>72</v>
      </c>
      <c r="D1954" t="s">
        <v>60</v>
      </c>
      <c r="E1954">
        <v>1403</v>
      </c>
      <c r="F1954">
        <v>5</v>
      </c>
      <c r="G1954">
        <v>5</v>
      </c>
      <c r="H1954">
        <v>1</v>
      </c>
      <c r="I1954">
        <v>1</v>
      </c>
      <c r="J1954">
        <v>0.70537529478734695</v>
      </c>
      <c r="K1954">
        <v>0.90997479927328095</v>
      </c>
      <c r="L1954">
        <v>0.79471780717568297</v>
      </c>
      <c r="M1954">
        <v>0.42604856512141298</v>
      </c>
      <c r="N1954">
        <v>1</v>
      </c>
      <c r="O1954">
        <v>0.61081677704194304</v>
      </c>
      <c r="R1954" t="s">
        <v>288</v>
      </c>
      <c r="S1954" t="s">
        <v>289</v>
      </c>
      <c r="V1954" t="s">
        <v>6461</v>
      </c>
      <c r="W1954" t="s">
        <v>6462</v>
      </c>
      <c r="AF1954" t="e">
        <f>--MMRGT--------DEIVAVAEELLSKRFGGTQSLTDIEKLGGSGTAIVLRARVAPSPFLQQRSVVLKYTPATNDSMDDAALIREVVSYQFTTSLPKDVRPGPVLLAYDIDSRLLVISDSGEGETFADLLNYSGPEQRLQLLRNLGQSIGRMHAGTADRERHFDILLTRMLSRYPDTAELHEMRDASLLVSIDNGVELLSNADVQVPHVVRDFATDAQRRLASGQHRAFTPFDLSPDNIIYAERT----------QFLDYEWAGFRDSTFDVACVVAGFPQFLFPHTITDVEADAFIESWVREVSGIWPNVNNRVRLQARIVTALIGWALASISYLYFGSMNQLVSELGNRPDSDS----DIPDAATEALATA--NIDPFD-DVLSNPSLGSIVGEGSIARQDLLETFEALTRYA-SRGDDPR---------FPEVAAFANSVVERLQAMEQ</f>
        <v>#NAME?</v>
      </c>
    </row>
    <row r="1955" spans="1:32" hidden="1" x14ac:dyDescent="0.35">
      <c r="A1955">
        <v>3141</v>
      </c>
      <c r="B1955" t="s">
        <v>6460</v>
      </c>
      <c r="C1955" t="s">
        <v>72</v>
      </c>
      <c r="D1955" t="s">
        <v>62</v>
      </c>
      <c r="E1955">
        <v>1438</v>
      </c>
      <c r="F1955">
        <v>5</v>
      </c>
      <c r="G1955">
        <v>5</v>
      </c>
      <c r="H1955">
        <v>1</v>
      </c>
      <c r="I1955">
        <v>1</v>
      </c>
      <c r="J1955">
        <v>0.70537529478734695</v>
      </c>
      <c r="K1955">
        <v>0.90997479927328095</v>
      </c>
      <c r="L1955">
        <v>0.79471780717568297</v>
      </c>
      <c r="M1955">
        <v>0.42604856512141298</v>
      </c>
      <c r="N1955">
        <v>1</v>
      </c>
      <c r="O1955">
        <v>0.61081677704194304</v>
      </c>
      <c r="R1955" t="s">
        <v>288</v>
      </c>
      <c r="S1955" t="s">
        <v>289</v>
      </c>
      <c r="V1955" t="s">
        <v>6461</v>
      </c>
      <c r="W1955" t="s">
        <v>6462</v>
      </c>
      <c r="AF1955" t="e">
        <f>--MMRGT--------DEIVAVAEELLSKRFGGTQSLTDIEKLGGSGTAIVLRARVAPSPFLQQRSVVLKYTPATNDSMDDAALIREVVSYQFTTSLPKDVRPGPVLLAYDIDSRLLVISDSGEGETFADLLNYSGPEQRLQLLRNLGQSIGRMHAGTADRERHFDILLTRMLSRYPDTAELHEMRDASLLVSIDNGVELLSNADVQVPHVVRDFATDAQRRLASGQHRAFTPFDLSPDNIIYAERT----------QFLDYEWAGFRDSTFDVACVVAGFPQFLFPHTITDVEADAFIESWVREVSGIWPNVNNRVRLQARIVTALIGWALASISYLYFGSMNQLVSELGNRPDSDS----DIPDAATEALATA--NIDPFD-DVLSNPSLGSIVGEGSIARQDLLETFEALTRYA-SRGDDPR---------FPEVAAFANSVVERLQAMEQ</f>
        <v>#NAME?</v>
      </c>
    </row>
    <row r="1956" spans="1:32" hidden="1" x14ac:dyDescent="0.35">
      <c r="A1956">
        <v>3142</v>
      </c>
      <c r="B1956" t="s">
        <v>6460</v>
      </c>
      <c r="C1956" t="s">
        <v>72</v>
      </c>
      <c r="D1956" t="s">
        <v>34</v>
      </c>
      <c r="E1956">
        <v>1826</v>
      </c>
      <c r="F1956">
        <v>5</v>
      </c>
      <c r="G1956">
        <v>5</v>
      </c>
      <c r="H1956">
        <v>1</v>
      </c>
      <c r="I1956">
        <v>1</v>
      </c>
      <c r="J1956">
        <v>0.70537529478734695</v>
      </c>
      <c r="K1956">
        <v>0.90997479927328095</v>
      </c>
      <c r="L1956">
        <v>0.79471780717568297</v>
      </c>
      <c r="M1956">
        <v>0.42604856512141298</v>
      </c>
      <c r="N1956">
        <v>1</v>
      </c>
      <c r="O1956">
        <v>0.61081677704194304</v>
      </c>
      <c r="P1956" t="s">
        <v>6464</v>
      </c>
      <c r="Q1956" t="s">
        <v>6465</v>
      </c>
      <c r="R1956" t="s">
        <v>288</v>
      </c>
      <c r="S1956" t="s">
        <v>289</v>
      </c>
      <c r="V1956" t="s">
        <v>6461</v>
      </c>
      <c r="W1956" t="s">
        <v>6462</v>
      </c>
      <c r="AF1956" t="s">
        <v>6466</v>
      </c>
    </row>
    <row r="1957" spans="1:32" hidden="1" x14ac:dyDescent="0.35">
      <c r="A1957">
        <v>3143</v>
      </c>
      <c r="B1957" t="s">
        <v>6460</v>
      </c>
      <c r="C1957" t="s">
        <v>72</v>
      </c>
      <c r="D1957" t="s">
        <v>45</v>
      </c>
      <c r="E1957">
        <v>1047</v>
      </c>
      <c r="F1957">
        <v>5</v>
      </c>
      <c r="G1957">
        <v>5</v>
      </c>
      <c r="H1957">
        <v>1</v>
      </c>
      <c r="I1957">
        <v>1</v>
      </c>
      <c r="J1957">
        <v>0.70537529478734695</v>
      </c>
      <c r="K1957">
        <v>0.90997479927328095</v>
      </c>
      <c r="L1957">
        <v>0.79471780717568297</v>
      </c>
      <c r="M1957">
        <v>0.42604856512141298</v>
      </c>
      <c r="N1957">
        <v>1</v>
      </c>
      <c r="O1957">
        <v>0.61081677704194304</v>
      </c>
      <c r="P1957" t="s">
        <v>6464</v>
      </c>
      <c r="Q1957" t="s">
        <v>6465</v>
      </c>
      <c r="R1957" t="s">
        <v>288</v>
      </c>
      <c r="S1957" t="s">
        <v>289</v>
      </c>
      <c r="V1957" t="s">
        <v>6461</v>
      </c>
      <c r="W1957" t="s">
        <v>6462</v>
      </c>
      <c r="AF1957" t="s">
        <v>6467</v>
      </c>
    </row>
    <row r="1958" spans="1:32" hidden="1" x14ac:dyDescent="0.35">
      <c r="A1958">
        <v>3329</v>
      </c>
      <c r="B1958" t="s">
        <v>6846</v>
      </c>
      <c r="C1958" t="s">
        <v>72</v>
      </c>
      <c r="D1958" t="s">
        <v>58</v>
      </c>
      <c r="E1958">
        <v>1393</v>
      </c>
      <c r="F1958">
        <v>5</v>
      </c>
      <c r="G1958">
        <v>5</v>
      </c>
      <c r="H1958">
        <v>1</v>
      </c>
      <c r="I1958">
        <v>1</v>
      </c>
      <c r="J1958">
        <v>0.75013499961428698</v>
      </c>
      <c r="K1958">
        <v>0.953255827522829</v>
      </c>
      <c r="L1958">
        <v>0.83958484267873101</v>
      </c>
      <c r="M1958">
        <v>0.50881057268722496</v>
      </c>
      <c r="N1958">
        <v>1</v>
      </c>
      <c r="O1958">
        <v>0.64867841409691596</v>
      </c>
      <c r="P1958" t="s">
        <v>5370</v>
      </c>
      <c r="Q1958" t="s">
        <v>5371</v>
      </c>
      <c r="R1958" t="s">
        <v>288</v>
      </c>
      <c r="S1958" t="s">
        <v>289</v>
      </c>
      <c r="T1958" t="s">
        <v>5372</v>
      </c>
      <c r="U1958" t="s">
        <v>5373</v>
      </c>
      <c r="V1958" t="s">
        <v>5374</v>
      </c>
      <c r="W1958" t="s">
        <v>5375</v>
      </c>
      <c r="AD1958" t="s">
        <v>5376</v>
      </c>
      <c r="AE1958" t="s">
        <v>5377</v>
      </c>
      <c r="AF1958" t="s">
        <v>6847</v>
      </c>
    </row>
    <row r="1959" spans="1:32" hidden="1" x14ac:dyDescent="0.35">
      <c r="A1959">
        <v>3330</v>
      </c>
      <c r="B1959" t="s">
        <v>6846</v>
      </c>
      <c r="C1959" t="s">
        <v>72</v>
      </c>
      <c r="D1959" t="s">
        <v>60</v>
      </c>
      <c r="E1959">
        <v>1895</v>
      </c>
      <c r="F1959">
        <v>5</v>
      </c>
      <c r="G1959">
        <v>5</v>
      </c>
      <c r="H1959">
        <v>1</v>
      </c>
      <c r="I1959">
        <v>1</v>
      </c>
      <c r="J1959">
        <v>0.75013499961428698</v>
      </c>
      <c r="K1959">
        <v>0.953255827522829</v>
      </c>
      <c r="L1959">
        <v>0.83958484267873101</v>
      </c>
      <c r="M1959">
        <v>0.50881057268722496</v>
      </c>
      <c r="N1959">
        <v>1</v>
      </c>
      <c r="O1959">
        <v>0.64867841409691596</v>
      </c>
      <c r="P1959" t="s">
        <v>5370</v>
      </c>
      <c r="Q1959" t="s">
        <v>5371</v>
      </c>
      <c r="R1959" t="s">
        <v>288</v>
      </c>
      <c r="S1959" t="s">
        <v>289</v>
      </c>
      <c r="T1959" t="s">
        <v>5372</v>
      </c>
      <c r="U1959" t="s">
        <v>5373</v>
      </c>
      <c r="V1959" t="s">
        <v>5374</v>
      </c>
      <c r="W1959" t="s">
        <v>5375</v>
      </c>
      <c r="AD1959" t="s">
        <v>5376</v>
      </c>
      <c r="AE1959" t="s">
        <v>5377</v>
      </c>
      <c r="AF1959" t="s">
        <v>6848</v>
      </c>
    </row>
    <row r="1960" spans="1:32" hidden="1" x14ac:dyDescent="0.35">
      <c r="A1960">
        <v>3331</v>
      </c>
      <c r="B1960" t="s">
        <v>6846</v>
      </c>
      <c r="C1960" t="s">
        <v>72</v>
      </c>
      <c r="D1960" t="s">
        <v>62</v>
      </c>
      <c r="E1960">
        <v>1935</v>
      </c>
      <c r="F1960">
        <v>5</v>
      </c>
      <c r="G1960">
        <v>5</v>
      </c>
      <c r="H1960">
        <v>1</v>
      </c>
      <c r="I1960">
        <v>1</v>
      </c>
      <c r="J1960">
        <v>0.75013499961428698</v>
      </c>
      <c r="K1960">
        <v>0.953255827522829</v>
      </c>
      <c r="L1960">
        <v>0.83958484267873101</v>
      </c>
      <c r="M1960">
        <v>0.50881057268722496</v>
      </c>
      <c r="N1960">
        <v>1</v>
      </c>
      <c r="O1960">
        <v>0.64867841409691596</v>
      </c>
      <c r="P1960" t="s">
        <v>5370</v>
      </c>
      <c r="Q1960" t="s">
        <v>5371</v>
      </c>
      <c r="R1960" t="s">
        <v>288</v>
      </c>
      <c r="S1960" t="s">
        <v>289</v>
      </c>
      <c r="T1960" t="s">
        <v>5372</v>
      </c>
      <c r="U1960" t="s">
        <v>5373</v>
      </c>
      <c r="V1960" t="s">
        <v>5374</v>
      </c>
      <c r="W1960" t="s">
        <v>5375</v>
      </c>
      <c r="AD1960" t="s">
        <v>5376</v>
      </c>
      <c r="AE1960" t="s">
        <v>5377</v>
      </c>
      <c r="AF1960" t="s">
        <v>6848</v>
      </c>
    </row>
    <row r="1961" spans="1:32" hidden="1" x14ac:dyDescent="0.35">
      <c r="A1961">
        <v>3332</v>
      </c>
      <c r="B1961" t="s">
        <v>6846</v>
      </c>
      <c r="C1961" t="s">
        <v>72</v>
      </c>
      <c r="D1961" t="s">
        <v>34</v>
      </c>
      <c r="E1961">
        <v>2250</v>
      </c>
      <c r="F1961">
        <v>5</v>
      </c>
      <c r="G1961">
        <v>5</v>
      </c>
      <c r="H1961">
        <v>1</v>
      </c>
      <c r="I1961">
        <v>1</v>
      </c>
      <c r="J1961">
        <v>0.75013499961428698</v>
      </c>
      <c r="K1961">
        <v>0.953255827522829</v>
      </c>
      <c r="L1961">
        <v>0.83958484267873101</v>
      </c>
      <c r="M1961">
        <v>0.50881057268722496</v>
      </c>
      <c r="N1961">
        <v>1</v>
      </c>
      <c r="O1961">
        <v>0.64867841409691596</v>
      </c>
      <c r="P1961" t="s">
        <v>5370</v>
      </c>
      <c r="Q1961" t="s">
        <v>5371</v>
      </c>
      <c r="R1961" t="s">
        <v>288</v>
      </c>
      <c r="S1961" t="s">
        <v>289</v>
      </c>
      <c r="T1961" t="s">
        <v>5372</v>
      </c>
      <c r="U1961" t="s">
        <v>5373</v>
      </c>
      <c r="V1961" t="s">
        <v>5374</v>
      </c>
      <c r="W1961" t="s">
        <v>5375</v>
      </c>
      <c r="AD1961" t="s">
        <v>5376</v>
      </c>
      <c r="AE1961" t="s">
        <v>5377</v>
      </c>
      <c r="AF1961" t="s">
        <v>6849</v>
      </c>
    </row>
    <row r="1962" spans="1:32" hidden="1" x14ac:dyDescent="0.35">
      <c r="A1962">
        <v>3333</v>
      </c>
      <c r="B1962" t="s">
        <v>6846</v>
      </c>
      <c r="C1962" t="s">
        <v>72</v>
      </c>
      <c r="D1962" t="s">
        <v>45</v>
      </c>
      <c r="E1962">
        <v>627</v>
      </c>
      <c r="F1962">
        <v>5</v>
      </c>
      <c r="G1962">
        <v>5</v>
      </c>
      <c r="H1962">
        <v>1</v>
      </c>
      <c r="I1962">
        <v>1</v>
      </c>
      <c r="J1962">
        <v>0.75013499961428698</v>
      </c>
      <c r="K1962">
        <v>0.953255827522829</v>
      </c>
      <c r="L1962">
        <v>0.83958484267873101</v>
      </c>
      <c r="M1962">
        <v>0.50881057268722496</v>
      </c>
      <c r="N1962">
        <v>1</v>
      </c>
      <c r="O1962">
        <v>0.64867841409691596</v>
      </c>
      <c r="P1962" t="s">
        <v>5370</v>
      </c>
      <c r="Q1962" t="s">
        <v>5371</v>
      </c>
      <c r="R1962" t="s">
        <v>288</v>
      </c>
      <c r="S1962" t="s">
        <v>289</v>
      </c>
      <c r="T1962" t="s">
        <v>5372</v>
      </c>
      <c r="U1962" t="s">
        <v>5373</v>
      </c>
      <c r="V1962" t="s">
        <v>5374</v>
      </c>
      <c r="W1962" t="s">
        <v>5375</v>
      </c>
      <c r="AD1962" t="s">
        <v>5376</v>
      </c>
      <c r="AE1962" t="s">
        <v>5377</v>
      </c>
      <c r="AF1962" t="s">
        <v>6850</v>
      </c>
    </row>
    <row r="1963" spans="1:32" hidden="1" x14ac:dyDescent="0.35">
      <c r="A1963">
        <v>3639</v>
      </c>
      <c r="B1963" t="s">
        <v>7507</v>
      </c>
      <c r="C1963" t="s">
        <v>72</v>
      </c>
      <c r="D1963" t="s">
        <v>58</v>
      </c>
      <c r="E1963">
        <v>1203</v>
      </c>
      <c r="F1963">
        <v>5</v>
      </c>
      <c r="G1963">
        <v>5</v>
      </c>
      <c r="H1963">
        <v>1</v>
      </c>
      <c r="I1963">
        <v>1</v>
      </c>
      <c r="J1963">
        <v>0.73320125474657405</v>
      </c>
      <c r="K1963">
        <v>0.91497911197817905</v>
      </c>
      <c r="L1963">
        <v>0.81406604096667001</v>
      </c>
      <c r="M1963">
        <v>0.52595936794582399</v>
      </c>
      <c r="N1963">
        <v>0.98419864559819403</v>
      </c>
      <c r="O1963">
        <v>0.64153498871331804</v>
      </c>
      <c r="P1963" t="s">
        <v>2795</v>
      </c>
      <c r="Q1963" t="s">
        <v>2796</v>
      </c>
      <c r="R1963" t="s">
        <v>288</v>
      </c>
      <c r="S1963" t="s">
        <v>289</v>
      </c>
      <c r="V1963" t="s">
        <v>2797</v>
      </c>
      <c r="W1963" t="s">
        <v>2798</v>
      </c>
      <c r="X1963" t="s">
        <v>2797</v>
      </c>
      <c r="Y1963" t="s">
        <v>1136</v>
      </c>
      <c r="AF1963" t="s">
        <v>7508</v>
      </c>
    </row>
    <row r="1964" spans="1:32" hidden="1" x14ac:dyDescent="0.35">
      <c r="A1964">
        <v>3640</v>
      </c>
      <c r="B1964" t="s">
        <v>7507</v>
      </c>
      <c r="C1964" t="s">
        <v>72</v>
      </c>
      <c r="D1964" t="s">
        <v>60</v>
      </c>
      <c r="E1964">
        <v>1660</v>
      </c>
      <c r="F1964">
        <v>5</v>
      </c>
      <c r="G1964">
        <v>5</v>
      </c>
      <c r="H1964">
        <v>1</v>
      </c>
      <c r="I1964">
        <v>1</v>
      </c>
      <c r="J1964">
        <v>0.73320125474657405</v>
      </c>
      <c r="K1964">
        <v>0.91497911197817905</v>
      </c>
      <c r="L1964">
        <v>0.81406604096667001</v>
      </c>
      <c r="M1964">
        <v>0.52595936794582399</v>
      </c>
      <c r="N1964">
        <v>0.98419864559819403</v>
      </c>
      <c r="O1964">
        <v>0.64153498871331804</v>
      </c>
      <c r="P1964" t="s">
        <v>2795</v>
      </c>
      <c r="Q1964" t="s">
        <v>2796</v>
      </c>
      <c r="R1964" t="s">
        <v>288</v>
      </c>
      <c r="S1964" t="s">
        <v>289</v>
      </c>
      <c r="V1964" t="s">
        <v>2797</v>
      </c>
      <c r="W1964" t="s">
        <v>2798</v>
      </c>
      <c r="X1964" t="s">
        <v>2797</v>
      </c>
      <c r="Y1964" t="s">
        <v>1136</v>
      </c>
      <c r="AF1964" t="s">
        <v>7509</v>
      </c>
    </row>
    <row r="1965" spans="1:32" hidden="1" x14ac:dyDescent="0.35">
      <c r="A1965">
        <v>3641</v>
      </c>
      <c r="B1965" t="s">
        <v>7507</v>
      </c>
      <c r="C1965" t="s">
        <v>72</v>
      </c>
      <c r="D1965" t="s">
        <v>62</v>
      </c>
      <c r="E1965">
        <v>1695</v>
      </c>
      <c r="F1965">
        <v>5</v>
      </c>
      <c r="G1965">
        <v>5</v>
      </c>
      <c r="H1965">
        <v>1</v>
      </c>
      <c r="I1965">
        <v>1</v>
      </c>
      <c r="J1965">
        <v>0.73320125474657405</v>
      </c>
      <c r="K1965">
        <v>0.91497911197817905</v>
      </c>
      <c r="L1965">
        <v>0.81406604096667001</v>
      </c>
      <c r="M1965">
        <v>0.52595936794582399</v>
      </c>
      <c r="N1965">
        <v>0.98419864559819403</v>
      </c>
      <c r="O1965">
        <v>0.64153498871331804</v>
      </c>
      <c r="P1965" t="s">
        <v>2795</v>
      </c>
      <c r="Q1965" t="s">
        <v>2796</v>
      </c>
      <c r="R1965" t="s">
        <v>288</v>
      </c>
      <c r="S1965" t="s">
        <v>289</v>
      </c>
      <c r="V1965" t="s">
        <v>2797</v>
      </c>
      <c r="W1965" t="s">
        <v>2798</v>
      </c>
      <c r="X1965" t="s">
        <v>2797</v>
      </c>
      <c r="Y1965" t="s">
        <v>1136</v>
      </c>
      <c r="AF1965" t="s">
        <v>7510</v>
      </c>
    </row>
    <row r="1966" spans="1:32" hidden="1" x14ac:dyDescent="0.35">
      <c r="A1966">
        <v>3642</v>
      </c>
      <c r="B1966" t="s">
        <v>7507</v>
      </c>
      <c r="C1966" t="s">
        <v>72</v>
      </c>
      <c r="D1966" t="s">
        <v>34</v>
      </c>
      <c r="E1966">
        <v>2059</v>
      </c>
      <c r="F1966">
        <v>5</v>
      </c>
      <c r="G1966">
        <v>5</v>
      </c>
      <c r="H1966">
        <v>1</v>
      </c>
      <c r="I1966">
        <v>1</v>
      </c>
      <c r="J1966">
        <v>0.73320125474657405</v>
      </c>
      <c r="K1966">
        <v>0.91497911197817905</v>
      </c>
      <c r="L1966">
        <v>0.81406604096667001</v>
      </c>
      <c r="M1966">
        <v>0.52595936794582399</v>
      </c>
      <c r="N1966">
        <v>0.98419864559819403</v>
      </c>
      <c r="O1966">
        <v>0.64153498871331804</v>
      </c>
      <c r="P1966" t="s">
        <v>2795</v>
      </c>
      <c r="Q1966" t="s">
        <v>2796</v>
      </c>
      <c r="R1966" t="s">
        <v>288</v>
      </c>
      <c r="S1966" t="s">
        <v>289</v>
      </c>
      <c r="V1966" t="s">
        <v>2797</v>
      </c>
      <c r="W1966" t="s">
        <v>2798</v>
      </c>
      <c r="X1966" t="s">
        <v>2797</v>
      </c>
      <c r="Y1966" t="s">
        <v>1136</v>
      </c>
      <c r="AF1966" t="s">
        <v>7511</v>
      </c>
    </row>
    <row r="1967" spans="1:32" hidden="1" x14ac:dyDescent="0.35">
      <c r="A1967">
        <v>3643</v>
      </c>
      <c r="B1967" t="s">
        <v>7507</v>
      </c>
      <c r="C1967" t="s">
        <v>72</v>
      </c>
      <c r="D1967" t="s">
        <v>45</v>
      </c>
      <c r="E1967">
        <v>813</v>
      </c>
      <c r="F1967">
        <v>5</v>
      </c>
      <c r="G1967">
        <v>5</v>
      </c>
      <c r="H1967">
        <v>1</v>
      </c>
      <c r="I1967">
        <v>1</v>
      </c>
      <c r="J1967">
        <v>0.73320125474657405</v>
      </c>
      <c r="K1967">
        <v>0.91497911197817905</v>
      </c>
      <c r="L1967">
        <v>0.81406604096667001</v>
      </c>
      <c r="M1967">
        <v>0.52595936794582399</v>
      </c>
      <c r="N1967">
        <v>0.98419864559819403</v>
      </c>
      <c r="O1967">
        <v>0.64153498871331804</v>
      </c>
      <c r="P1967" t="s">
        <v>2795</v>
      </c>
      <c r="Q1967" t="s">
        <v>2796</v>
      </c>
      <c r="R1967" t="s">
        <v>288</v>
      </c>
      <c r="S1967" t="s">
        <v>289</v>
      </c>
      <c r="V1967" t="s">
        <v>2797</v>
      </c>
      <c r="W1967" t="s">
        <v>2798</v>
      </c>
      <c r="X1967" t="s">
        <v>2797</v>
      </c>
      <c r="Y1967" t="s">
        <v>1136</v>
      </c>
      <c r="AF1967" t="s">
        <v>7512</v>
      </c>
    </row>
    <row r="1968" spans="1:32" hidden="1" x14ac:dyDescent="0.35">
      <c r="A1968">
        <v>3654</v>
      </c>
      <c r="B1968" t="s">
        <v>7525</v>
      </c>
      <c r="C1968" t="s">
        <v>72</v>
      </c>
      <c r="D1968" t="s">
        <v>58</v>
      </c>
      <c r="E1968">
        <v>1871</v>
      </c>
      <c r="F1968">
        <v>5</v>
      </c>
      <c r="G1968">
        <v>5</v>
      </c>
      <c r="H1968">
        <v>1</v>
      </c>
      <c r="I1968">
        <v>1</v>
      </c>
      <c r="J1968">
        <v>0.8125</v>
      </c>
      <c r="K1968">
        <v>0.94888045540796795</v>
      </c>
      <c r="L1968">
        <v>0.87541038354533596</v>
      </c>
      <c r="M1968">
        <v>0.63049853372433995</v>
      </c>
      <c r="N1968">
        <v>0.97653958944281505</v>
      </c>
      <c r="O1968">
        <v>0.71378299120234601</v>
      </c>
      <c r="P1968" t="s">
        <v>7526</v>
      </c>
      <c r="Q1968" t="s">
        <v>7527</v>
      </c>
      <c r="R1968" t="s">
        <v>288</v>
      </c>
      <c r="S1968" t="s">
        <v>289</v>
      </c>
      <c r="T1968" t="s">
        <v>7528</v>
      </c>
      <c r="U1968" t="s">
        <v>7529</v>
      </c>
      <c r="V1968" t="s">
        <v>7530</v>
      </c>
      <c r="W1968" t="s">
        <v>7531</v>
      </c>
      <c r="AD1968" t="s">
        <v>7532</v>
      </c>
      <c r="AE1968" t="s">
        <v>7533</v>
      </c>
      <c r="AF1968" t="s">
        <v>7534</v>
      </c>
    </row>
    <row r="1969" spans="1:32" hidden="1" x14ac:dyDescent="0.35">
      <c r="A1969">
        <v>3655</v>
      </c>
      <c r="B1969" t="s">
        <v>7525</v>
      </c>
      <c r="C1969" t="s">
        <v>72</v>
      </c>
      <c r="D1969" t="s">
        <v>60</v>
      </c>
      <c r="E1969">
        <v>2534</v>
      </c>
      <c r="F1969">
        <v>5</v>
      </c>
      <c r="G1969">
        <v>5</v>
      </c>
      <c r="H1969">
        <v>1</v>
      </c>
      <c r="I1969">
        <v>1</v>
      </c>
      <c r="J1969">
        <v>0.8125</v>
      </c>
      <c r="K1969">
        <v>0.94888045540796795</v>
      </c>
      <c r="L1969">
        <v>0.87541038354533596</v>
      </c>
      <c r="M1969">
        <v>0.63049853372433995</v>
      </c>
      <c r="N1969">
        <v>0.97653958944281505</v>
      </c>
      <c r="O1969">
        <v>0.71378299120234601</v>
      </c>
      <c r="P1969" t="s">
        <v>7526</v>
      </c>
      <c r="Q1969" t="s">
        <v>7527</v>
      </c>
      <c r="R1969" t="s">
        <v>288</v>
      </c>
      <c r="S1969" t="s">
        <v>289</v>
      </c>
      <c r="T1969" t="s">
        <v>7528</v>
      </c>
      <c r="U1969" t="s">
        <v>7529</v>
      </c>
      <c r="V1969" t="s">
        <v>7530</v>
      </c>
      <c r="W1969" t="s">
        <v>7531</v>
      </c>
      <c r="AD1969" t="s">
        <v>7532</v>
      </c>
      <c r="AE1969" t="s">
        <v>7533</v>
      </c>
      <c r="AF1969" t="e">
        <f>--MPLPR--PKLPNK--RPDPLITLILLAVILATFFPARGDFAEWFSAATKIAIALLFFLYGARLSTKEALTGLKHWRLHLIILAFTFVVFPLIGIALRPTTAVLSSDIYLGILYLTLVPSTVQSSVAFTSVARGNVAGAIVSASASNLVGVVATPALVMLLMS----SGSGIKIDSSVFADIAIQLLLPFIIGQLARRW--VKETASAQWTKTVDRGSIAMVVYSAFSAGIVAGIWHQVSIIDVVILTAFSIILVALMLWLTRFIALRCGFNREDMIAIQFCGTKKSLATGLPMAAVIFGSSNVGLLILPLMIFHQVQLIMCAWLSARYARDDHQEAVPR</f>
        <v>#NAME?</v>
      </c>
    </row>
    <row r="1970" spans="1:32" hidden="1" x14ac:dyDescent="0.35">
      <c r="A1970">
        <v>3656</v>
      </c>
      <c r="B1970" t="s">
        <v>7525</v>
      </c>
      <c r="C1970" t="s">
        <v>72</v>
      </c>
      <c r="D1970" t="s">
        <v>62</v>
      </c>
      <c r="E1970">
        <v>59</v>
      </c>
      <c r="F1970">
        <v>5</v>
      </c>
      <c r="G1970">
        <v>5</v>
      </c>
      <c r="H1970">
        <v>1</v>
      </c>
      <c r="I1970">
        <v>1</v>
      </c>
      <c r="J1970">
        <v>0.8125</v>
      </c>
      <c r="K1970">
        <v>0.94888045540796795</v>
      </c>
      <c r="L1970">
        <v>0.87541038354533596</v>
      </c>
      <c r="M1970">
        <v>0.63049853372433995</v>
      </c>
      <c r="N1970">
        <v>0.97653958944281505</v>
      </c>
      <c r="O1970">
        <v>0.71378299120234601</v>
      </c>
      <c r="P1970" t="s">
        <v>7526</v>
      </c>
      <c r="Q1970" t="s">
        <v>7527</v>
      </c>
      <c r="R1970" t="s">
        <v>288</v>
      </c>
      <c r="S1970" t="s">
        <v>289</v>
      </c>
      <c r="T1970" t="s">
        <v>7528</v>
      </c>
      <c r="U1970" t="s">
        <v>7529</v>
      </c>
      <c r="V1970" t="s">
        <v>7530</v>
      </c>
      <c r="W1970" t="s">
        <v>7531</v>
      </c>
      <c r="AD1970" t="s">
        <v>7532</v>
      </c>
      <c r="AE1970" t="s">
        <v>7533</v>
      </c>
      <c r="AF1970" t="e">
        <f>--MPLPR--PKLPNK--RPDPLITLILLAVLLATFFPARGDFAEWFSVATKIAIALLFFLYGARLSTKEALTGLKHWRLHLIILAFTFVVFPLIGIALRPATAVLSPDIYLGILYLTLVPSTVQSSVAFTSVARGNVAGAIVSASASNLVGVVATPALVMLLMS----SGSGIKIDGSVFADIAIQLLLPFIVGQLTRRW--VKDTASAQWTKTVDRGSIAMVVYSAFSAGIVAGIWHQVSIIDVVILTAFSIILVALMLWLTRFIALRCGFNREDMIAIQFCGTKKSLATGLPMAAVIFGSSNVGLLILPLMIFHQVQLIMCAWLSARYARDDHQEAVPR</f>
        <v>#NAME?</v>
      </c>
    </row>
    <row r="1971" spans="1:32" hidden="1" x14ac:dyDescent="0.35">
      <c r="A1971">
        <v>3657</v>
      </c>
      <c r="B1971" t="s">
        <v>7525</v>
      </c>
      <c r="C1971" t="s">
        <v>72</v>
      </c>
      <c r="D1971" t="s">
        <v>34</v>
      </c>
      <c r="E1971">
        <v>1110</v>
      </c>
      <c r="F1971">
        <v>5</v>
      </c>
      <c r="G1971">
        <v>5</v>
      </c>
      <c r="H1971">
        <v>1</v>
      </c>
      <c r="I1971">
        <v>1</v>
      </c>
      <c r="J1971">
        <v>0.8125</v>
      </c>
      <c r="K1971">
        <v>0.94888045540796795</v>
      </c>
      <c r="L1971">
        <v>0.87541038354533596</v>
      </c>
      <c r="M1971">
        <v>0.63049853372433995</v>
      </c>
      <c r="N1971">
        <v>0.97653958944281505</v>
      </c>
      <c r="O1971">
        <v>0.71378299120234601</v>
      </c>
      <c r="P1971" t="s">
        <v>7526</v>
      </c>
      <c r="Q1971" t="s">
        <v>7527</v>
      </c>
      <c r="R1971" t="s">
        <v>288</v>
      </c>
      <c r="S1971" t="s">
        <v>289</v>
      </c>
      <c r="T1971" t="s">
        <v>7528</v>
      </c>
      <c r="U1971" t="s">
        <v>7529</v>
      </c>
      <c r="V1971" t="s">
        <v>7530</v>
      </c>
      <c r="W1971" t="s">
        <v>7531</v>
      </c>
      <c r="AD1971" t="s">
        <v>7532</v>
      </c>
      <c r="AE1971" t="s">
        <v>7533</v>
      </c>
      <c r="AF1971" t="s">
        <v>7535</v>
      </c>
    </row>
    <row r="1972" spans="1:32" hidden="1" x14ac:dyDescent="0.35">
      <c r="A1972">
        <v>3658</v>
      </c>
      <c r="B1972" t="s">
        <v>7525</v>
      </c>
      <c r="C1972" t="s">
        <v>72</v>
      </c>
      <c r="D1972" t="s">
        <v>45</v>
      </c>
      <c r="E1972">
        <v>2363</v>
      </c>
      <c r="F1972">
        <v>5</v>
      </c>
      <c r="G1972">
        <v>5</v>
      </c>
      <c r="H1972">
        <v>1</v>
      </c>
      <c r="I1972">
        <v>1</v>
      </c>
      <c r="J1972">
        <v>0.8125</v>
      </c>
      <c r="K1972">
        <v>0.94888045540796795</v>
      </c>
      <c r="L1972">
        <v>0.87541038354533596</v>
      </c>
      <c r="M1972">
        <v>0.63049853372433995</v>
      </c>
      <c r="N1972">
        <v>0.97653958944281505</v>
      </c>
      <c r="O1972">
        <v>0.71378299120234601</v>
      </c>
      <c r="P1972" t="s">
        <v>7526</v>
      </c>
      <c r="Q1972" t="s">
        <v>7527</v>
      </c>
      <c r="R1972" t="s">
        <v>288</v>
      </c>
      <c r="S1972" t="s">
        <v>289</v>
      </c>
      <c r="T1972" t="s">
        <v>7528</v>
      </c>
      <c r="U1972" t="s">
        <v>7529</v>
      </c>
      <c r="V1972" t="s">
        <v>7530</v>
      </c>
      <c r="W1972" t="s">
        <v>7531</v>
      </c>
      <c r="AD1972" t="s">
        <v>7532</v>
      </c>
      <c r="AE1972" t="s">
        <v>7533</v>
      </c>
      <c r="AF1972" t="s">
        <v>7536</v>
      </c>
    </row>
    <row r="1973" spans="1:32" hidden="1" x14ac:dyDescent="0.35">
      <c r="A1973">
        <v>3659</v>
      </c>
      <c r="B1973" t="s">
        <v>7537</v>
      </c>
      <c r="C1973" t="s">
        <v>72</v>
      </c>
      <c r="D1973" t="s">
        <v>58</v>
      </c>
      <c r="E1973">
        <v>948</v>
      </c>
      <c r="F1973">
        <v>5</v>
      </c>
      <c r="G1973">
        <v>5</v>
      </c>
      <c r="H1973">
        <v>1</v>
      </c>
      <c r="I1973">
        <v>1</v>
      </c>
      <c r="J1973">
        <v>0.80066815144766101</v>
      </c>
      <c r="K1973">
        <v>0.92968324341648301</v>
      </c>
      <c r="L1973">
        <v>0.86036601137491497</v>
      </c>
      <c r="M1973">
        <v>0.62371134020618602</v>
      </c>
      <c r="N1973">
        <v>0.99484536082474195</v>
      </c>
      <c r="O1973">
        <v>0.72061855670103103</v>
      </c>
      <c r="P1973" t="s">
        <v>7538</v>
      </c>
      <c r="Q1973" t="s">
        <v>7539</v>
      </c>
      <c r="R1973" t="s">
        <v>288</v>
      </c>
      <c r="S1973" t="s">
        <v>289</v>
      </c>
      <c r="V1973" t="s">
        <v>7540</v>
      </c>
      <c r="W1973" t="s">
        <v>7541</v>
      </c>
      <c r="AF1973" t="s">
        <v>7542</v>
      </c>
    </row>
    <row r="1974" spans="1:32" hidden="1" x14ac:dyDescent="0.35">
      <c r="A1974">
        <v>3660</v>
      </c>
      <c r="B1974" t="s">
        <v>7537</v>
      </c>
      <c r="C1974" t="s">
        <v>72</v>
      </c>
      <c r="D1974" t="s">
        <v>60</v>
      </c>
      <c r="E1974">
        <v>1266</v>
      </c>
      <c r="F1974">
        <v>5</v>
      </c>
      <c r="G1974">
        <v>5</v>
      </c>
      <c r="H1974">
        <v>1</v>
      </c>
      <c r="I1974">
        <v>1</v>
      </c>
      <c r="J1974">
        <v>0.80066815144766101</v>
      </c>
      <c r="K1974">
        <v>0.92968324341648301</v>
      </c>
      <c r="L1974">
        <v>0.86036601137491497</v>
      </c>
      <c r="M1974">
        <v>0.62371134020618602</v>
      </c>
      <c r="N1974">
        <v>0.99484536082474195</v>
      </c>
      <c r="O1974">
        <v>0.72061855670103103</v>
      </c>
      <c r="P1974" t="s">
        <v>7538</v>
      </c>
      <c r="Q1974" t="s">
        <v>7539</v>
      </c>
      <c r="R1974" t="s">
        <v>288</v>
      </c>
      <c r="S1974" t="s">
        <v>289</v>
      </c>
      <c r="V1974" t="s">
        <v>7540</v>
      </c>
      <c r="W1974" t="s">
        <v>7541</v>
      </c>
      <c r="AF1974" t="s">
        <v>7543</v>
      </c>
    </row>
    <row r="1975" spans="1:32" hidden="1" x14ac:dyDescent="0.35">
      <c r="A1975">
        <v>3661</v>
      </c>
      <c r="B1975" t="s">
        <v>7537</v>
      </c>
      <c r="C1975" t="s">
        <v>72</v>
      </c>
      <c r="D1975" t="s">
        <v>62</v>
      </c>
      <c r="E1975">
        <v>1302</v>
      </c>
      <c r="F1975">
        <v>5</v>
      </c>
      <c r="G1975">
        <v>5</v>
      </c>
      <c r="H1975">
        <v>1</v>
      </c>
      <c r="I1975">
        <v>1</v>
      </c>
      <c r="J1975">
        <v>0.80066815144766101</v>
      </c>
      <c r="K1975">
        <v>0.92968324341648301</v>
      </c>
      <c r="L1975">
        <v>0.86036601137491497</v>
      </c>
      <c r="M1975">
        <v>0.62371134020618602</v>
      </c>
      <c r="N1975">
        <v>0.99484536082474195</v>
      </c>
      <c r="O1975">
        <v>0.72061855670103103</v>
      </c>
      <c r="P1975" t="s">
        <v>7538</v>
      </c>
      <c r="Q1975" t="s">
        <v>7539</v>
      </c>
      <c r="R1975" t="s">
        <v>288</v>
      </c>
      <c r="S1975" t="s">
        <v>289</v>
      </c>
      <c r="V1975" t="s">
        <v>7540</v>
      </c>
      <c r="W1975" t="s">
        <v>7541</v>
      </c>
      <c r="AF1975" t="s">
        <v>7544</v>
      </c>
    </row>
    <row r="1976" spans="1:32" hidden="1" x14ac:dyDescent="0.35">
      <c r="A1976">
        <v>3662</v>
      </c>
      <c r="B1976" t="s">
        <v>7537</v>
      </c>
      <c r="C1976" t="s">
        <v>72</v>
      </c>
      <c r="D1976" t="s">
        <v>34</v>
      </c>
      <c r="E1976">
        <v>1733</v>
      </c>
      <c r="F1976">
        <v>5</v>
      </c>
      <c r="G1976">
        <v>5</v>
      </c>
      <c r="H1976">
        <v>1</v>
      </c>
      <c r="I1976">
        <v>1</v>
      </c>
      <c r="J1976">
        <v>0.80066815144766101</v>
      </c>
      <c r="K1976">
        <v>0.92968324341648301</v>
      </c>
      <c r="L1976">
        <v>0.86036601137491497</v>
      </c>
      <c r="M1976">
        <v>0.62371134020618602</v>
      </c>
      <c r="N1976">
        <v>0.99484536082474195</v>
      </c>
      <c r="O1976">
        <v>0.72061855670103103</v>
      </c>
      <c r="P1976" t="s">
        <v>7538</v>
      </c>
      <c r="Q1976" t="s">
        <v>7539</v>
      </c>
      <c r="R1976" t="s">
        <v>288</v>
      </c>
      <c r="S1976" t="s">
        <v>289</v>
      </c>
      <c r="V1976" t="s">
        <v>7540</v>
      </c>
      <c r="W1976" t="s">
        <v>7541</v>
      </c>
      <c r="AF1976" t="s">
        <v>7545</v>
      </c>
    </row>
    <row r="1977" spans="1:32" hidden="1" x14ac:dyDescent="0.35">
      <c r="A1977">
        <v>3663</v>
      </c>
      <c r="B1977" t="s">
        <v>7537</v>
      </c>
      <c r="C1977" t="s">
        <v>72</v>
      </c>
      <c r="D1977" t="s">
        <v>45</v>
      </c>
      <c r="E1977">
        <v>1141</v>
      </c>
      <c r="F1977">
        <v>5</v>
      </c>
      <c r="G1977">
        <v>5</v>
      </c>
      <c r="H1977">
        <v>1</v>
      </c>
      <c r="I1977">
        <v>1</v>
      </c>
      <c r="J1977">
        <v>0.80066815144766101</v>
      </c>
      <c r="K1977">
        <v>0.92968324341648301</v>
      </c>
      <c r="L1977">
        <v>0.86036601137491497</v>
      </c>
      <c r="M1977">
        <v>0.62371134020618602</v>
      </c>
      <c r="N1977">
        <v>0.99484536082474195</v>
      </c>
      <c r="O1977">
        <v>0.72061855670103103</v>
      </c>
      <c r="P1977" t="s">
        <v>7538</v>
      </c>
      <c r="Q1977" t="s">
        <v>7539</v>
      </c>
      <c r="R1977" t="s">
        <v>288</v>
      </c>
      <c r="S1977" t="s">
        <v>289</v>
      </c>
      <c r="V1977" t="s">
        <v>7540</v>
      </c>
      <c r="W1977" t="s">
        <v>7541</v>
      </c>
      <c r="AF1977" t="s">
        <v>7546</v>
      </c>
    </row>
    <row r="1978" spans="1:32" hidden="1" x14ac:dyDescent="0.35">
      <c r="A1978">
        <v>3674</v>
      </c>
      <c r="B1978" t="s">
        <v>7571</v>
      </c>
      <c r="C1978" t="s">
        <v>72</v>
      </c>
      <c r="D1978" t="s">
        <v>58</v>
      </c>
      <c r="E1978">
        <v>866</v>
      </c>
      <c r="F1978">
        <v>5</v>
      </c>
      <c r="G1978">
        <v>5</v>
      </c>
      <c r="H1978">
        <v>1</v>
      </c>
      <c r="I1978">
        <v>1</v>
      </c>
      <c r="J1978">
        <v>0.76964907808649796</v>
      </c>
      <c r="K1978">
        <v>0.97380961198968397</v>
      </c>
      <c r="L1978">
        <v>0.859775656705558</v>
      </c>
      <c r="M1978">
        <v>0.56079404466501204</v>
      </c>
      <c r="N1978">
        <v>0.99503722084367197</v>
      </c>
      <c r="O1978">
        <v>0.67270471464019899</v>
      </c>
      <c r="P1978" t="s">
        <v>7572</v>
      </c>
      <c r="Q1978" t="s">
        <v>7573</v>
      </c>
      <c r="R1978" t="s">
        <v>288</v>
      </c>
      <c r="S1978" t="s">
        <v>289</v>
      </c>
      <c r="V1978" t="s">
        <v>7574</v>
      </c>
      <c r="W1978" t="s">
        <v>7575</v>
      </c>
      <c r="AF1978" t="s">
        <v>7576</v>
      </c>
    </row>
    <row r="1979" spans="1:32" hidden="1" x14ac:dyDescent="0.35">
      <c r="A1979">
        <v>3675</v>
      </c>
      <c r="B1979" t="s">
        <v>7571</v>
      </c>
      <c r="C1979" t="s">
        <v>72</v>
      </c>
      <c r="D1979" t="s">
        <v>60</v>
      </c>
      <c r="E1979">
        <v>1187</v>
      </c>
      <c r="F1979">
        <v>5</v>
      </c>
      <c r="G1979">
        <v>5</v>
      </c>
      <c r="H1979">
        <v>1</v>
      </c>
      <c r="I1979">
        <v>1</v>
      </c>
      <c r="J1979">
        <v>0.76964907808649796</v>
      </c>
      <c r="K1979">
        <v>0.97380961198968397</v>
      </c>
      <c r="L1979">
        <v>0.859775656705558</v>
      </c>
      <c r="M1979">
        <v>0.56079404466501204</v>
      </c>
      <c r="N1979">
        <v>0.99503722084367197</v>
      </c>
      <c r="O1979">
        <v>0.67270471464019899</v>
      </c>
      <c r="P1979" t="s">
        <v>7572</v>
      </c>
      <c r="Q1979" t="s">
        <v>7573</v>
      </c>
      <c r="R1979" t="s">
        <v>288</v>
      </c>
      <c r="S1979" t="s">
        <v>289</v>
      </c>
      <c r="V1979" t="s">
        <v>7574</v>
      </c>
      <c r="W1979" t="s">
        <v>7575</v>
      </c>
      <c r="AF1979" t="s">
        <v>7577</v>
      </c>
    </row>
    <row r="1980" spans="1:32" hidden="1" x14ac:dyDescent="0.35">
      <c r="A1980">
        <v>3676</v>
      </c>
      <c r="B1980" t="s">
        <v>7571</v>
      </c>
      <c r="C1980" t="s">
        <v>72</v>
      </c>
      <c r="D1980" t="s">
        <v>62</v>
      </c>
      <c r="E1980">
        <v>1224</v>
      </c>
      <c r="F1980">
        <v>5</v>
      </c>
      <c r="G1980">
        <v>5</v>
      </c>
      <c r="H1980">
        <v>1</v>
      </c>
      <c r="I1980">
        <v>1</v>
      </c>
      <c r="J1980">
        <v>0.76964907808649796</v>
      </c>
      <c r="K1980">
        <v>0.97380961198968397</v>
      </c>
      <c r="L1980">
        <v>0.859775656705558</v>
      </c>
      <c r="M1980">
        <v>0.56079404466501204</v>
      </c>
      <c r="N1980">
        <v>0.99503722084367197</v>
      </c>
      <c r="O1980">
        <v>0.67270471464019899</v>
      </c>
      <c r="P1980" t="s">
        <v>7572</v>
      </c>
      <c r="Q1980" t="s">
        <v>7573</v>
      </c>
      <c r="R1980" t="s">
        <v>288</v>
      </c>
      <c r="S1980" t="s">
        <v>289</v>
      </c>
      <c r="V1980" t="s">
        <v>7574</v>
      </c>
      <c r="W1980" t="s">
        <v>7575</v>
      </c>
      <c r="AF1980" t="s">
        <v>7578</v>
      </c>
    </row>
    <row r="1981" spans="1:32" hidden="1" x14ac:dyDescent="0.35">
      <c r="A1981">
        <v>3677</v>
      </c>
      <c r="B1981" t="s">
        <v>7571</v>
      </c>
      <c r="C1981" t="s">
        <v>72</v>
      </c>
      <c r="D1981" t="s">
        <v>34</v>
      </c>
      <c r="E1981">
        <v>1653</v>
      </c>
      <c r="F1981">
        <v>5</v>
      </c>
      <c r="G1981">
        <v>5</v>
      </c>
      <c r="H1981">
        <v>1</v>
      </c>
      <c r="I1981">
        <v>1</v>
      </c>
      <c r="J1981">
        <v>0.76964907808649796</v>
      </c>
      <c r="K1981">
        <v>0.97380961198968397</v>
      </c>
      <c r="L1981">
        <v>0.859775656705558</v>
      </c>
      <c r="M1981">
        <v>0.56079404466501204</v>
      </c>
      <c r="N1981">
        <v>0.99503722084367197</v>
      </c>
      <c r="O1981">
        <v>0.67270471464019899</v>
      </c>
      <c r="P1981" t="s">
        <v>7572</v>
      </c>
      <c r="Q1981" t="s">
        <v>7573</v>
      </c>
      <c r="R1981" t="s">
        <v>288</v>
      </c>
      <c r="S1981" t="s">
        <v>289</v>
      </c>
      <c r="V1981" t="s">
        <v>7574</v>
      </c>
      <c r="W1981" t="s">
        <v>7575</v>
      </c>
      <c r="AF1981" t="s">
        <v>7579</v>
      </c>
    </row>
    <row r="1982" spans="1:32" hidden="1" x14ac:dyDescent="0.35">
      <c r="A1982">
        <v>3678</v>
      </c>
      <c r="B1982" t="s">
        <v>7571</v>
      </c>
      <c r="C1982" t="s">
        <v>72</v>
      </c>
      <c r="D1982" t="s">
        <v>45</v>
      </c>
      <c r="E1982">
        <v>1224</v>
      </c>
      <c r="F1982">
        <v>5</v>
      </c>
      <c r="G1982">
        <v>5</v>
      </c>
      <c r="H1982">
        <v>1</v>
      </c>
      <c r="I1982">
        <v>1</v>
      </c>
      <c r="J1982">
        <v>0.76964907808649796</v>
      </c>
      <c r="K1982">
        <v>0.97380961198968397</v>
      </c>
      <c r="L1982">
        <v>0.859775656705558</v>
      </c>
      <c r="M1982">
        <v>0.56079404466501204</v>
      </c>
      <c r="N1982">
        <v>0.99503722084367197</v>
      </c>
      <c r="O1982">
        <v>0.67270471464019899</v>
      </c>
      <c r="P1982" t="s">
        <v>7572</v>
      </c>
      <c r="Q1982" t="s">
        <v>7573</v>
      </c>
      <c r="R1982" t="s">
        <v>288</v>
      </c>
      <c r="S1982" t="s">
        <v>289</v>
      </c>
      <c r="V1982" t="s">
        <v>7574</v>
      </c>
      <c r="W1982" t="s">
        <v>7575</v>
      </c>
      <c r="AF1982" t="s">
        <v>7580</v>
      </c>
    </row>
    <row r="1983" spans="1:32" hidden="1" x14ac:dyDescent="0.35">
      <c r="A1983">
        <v>3894</v>
      </c>
      <c r="B1983" t="s">
        <v>8026</v>
      </c>
      <c r="C1983" t="s">
        <v>72</v>
      </c>
      <c r="D1983" t="s">
        <v>58</v>
      </c>
      <c r="E1983">
        <v>830</v>
      </c>
      <c r="F1983">
        <v>5</v>
      </c>
      <c r="G1983">
        <v>5</v>
      </c>
      <c r="H1983">
        <v>1</v>
      </c>
      <c r="I1983">
        <v>1</v>
      </c>
      <c r="J1983">
        <v>0.74559620596206</v>
      </c>
      <c r="K1983">
        <v>0.96992635224113499</v>
      </c>
      <c r="L1983">
        <v>0.84309402384198096</v>
      </c>
      <c r="M1983">
        <v>0.57142857142857095</v>
      </c>
      <c r="N1983">
        <v>0.99507389162561599</v>
      </c>
      <c r="O1983">
        <v>0.67684729064039395</v>
      </c>
      <c r="P1983" t="s">
        <v>2440</v>
      </c>
      <c r="Q1983" t="s">
        <v>2441</v>
      </c>
      <c r="R1983" t="s">
        <v>288</v>
      </c>
      <c r="S1983" t="s">
        <v>289</v>
      </c>
      <c r="T1983" t="s">
        <v>8027</v>
      </c>
      <c r="U1983" t="s">
        <v>8028</v>
      </c>
      <c r="V1983" t="s">
        <v>2442</v>
      </c>
      <c r="W1983" t="s">
        <v>2443</v>
      </c>
      <c r="AD1983" t="s">
        <v>219</v>
      </c>
      <c r="AE1983" t="s">
        <v>8029</v>
      </c>
      <c r="AF1983" t="s">
        <v>8030</v>
      </c>
    </row>
    <row r="1984" spans="1:32" hidden="1" x14ac:dyDescent="0.35">
      <c r="A1984">
        <v>3895</v>
      </c>
      <c r="B1984" t="s">
        <v>8026</v>
      </c>
      <c r="C1984" t="s">
        <v>72</v>
      </c>
      <c r="D1984" t="s">
        <v>60</v>
      </c>
      <c r="E1984">
        <v>1150</v>
      </c>
      <c r="F1984">
        <v>5</v>
      </c>
      <c r="G1984">
        <v>5</v>
      </c>
      <c r="H1984">
        <v>1</v>
      </c>
      <c r="I1984">
        <v>1</v>
      </c>
      <c r="J1984">
        <v>0.74559620596206</v>
      </c>
      <c r="K1984">
        <v>0.96992635224113499</v>
      </c>
      <c r="L1984">
        <v>0.84309402384198096</v>
      </c>
      <c r="M1984">
        <v>0.57142857142857095</v>
      </c>
      <c r="N1984">
        <v>0.99507389162561599</v>
      </c>
      <c r="O1984">
        <v>0.67684729064039395</v>
      </c>
      <c r="P1984" t="s">
        <v>2440</v>
      </c>
      <c r="Q1984" t="s">
        <v>2441</v>
      </c>
      <c r="R1984" t="s">
        <v>288</v>
      </c>
      <c r="S1984" t="s">
        <v>289</v>
      </c>
      <c r="T1984" t="s">
        <v>8027</v>
      </c>
      <c r="U1984" t="s">
        <v>8028</v>
      </c>
      <c r="V1984" t="s">
        <v>2442</v>
      </c>
      <c r="W1984" t="s">
        <v>2443</v>
      </c>
      <c r="AD1984" t="s">
        <v>219</v>
      </c>
      <c r="AE1984" t="s">
        <v>8029</v>
      </c>
      <c r="AF1984" t="e">
        <f>---MTAPITLHSLSVSTMDNNCYLLVSGNKGLLIDAADDAPALLALADGLGVSIETVVTTHQHADHVRALRDVLAATGATHLAPAPDAEALPAPVDRALEHGDIIDFDGHQLGVAILRGHTPGGLAISADIDGQQHLFVGDSLFPGGVGKTTNPEDFEQLITDVTERLFEVFPDDAIVHPGHGNDTTLGAERPHLDEWRARGW</f>
        <v>#NAME?</v>
      </c>
    </row>
    <row r="1985" spans="1:32" hidden="1" x14ac:dyDescent="0.35">
      <c r="A1985">
        <v>3896</v>
      </c>
      <c r="B1985" t="s">
        <v>8026</v>
      </c>
      <c r="C1985" t="s">
        <v>72</v>
      </c>
      <c r="D1985" t="s">
        <v>62</v>
      </c>
      <c r="E1985">
        <v>1187</v>
      </c>
      <c r="F1985">
        <v>5</v>
      </c>
      <c r="G1985">
        <v>5</v>
      </c>
      <c r="H1985">
        <v>1</v>
      </c>
      <c r="I1985">
        <v>1</v>
      </c>
      <c r="J1985">
        <v>0.74559620596206</v>
      </c>
      <c r="K1985">
        <v>0.96992635224113499</v>
      </c>
      <c r="L1985">
        <v>0.84309402384198096</v>
      </c>
      <c r="M1985">
        <v>0.57142857142857095</v>
      </c>
      <c r="N1985">
        <v>0.99507389162561599</v>
      </c>
      <c r="O1985">
        <v>0.67684729064039395</v>
      </c>
      <c r="P1985" t="s">
        <v>2440</v>
      </c>
      <c r="Q1985" t="s">
        <v>2441</v>
      </c>
      <c r="R1985" t="s">
        <v>288</v>
      </c>
      <c r="S1985" t="s">
        <v>289</v>
      </c>
      <c r="T1985" t="s">
        <v>8027</v>
      </c>
      <c r="U1985" t="s">
        <v>8028</v>
      </c>
      <c r="V1985" t="s">
        <v>2442</v>
      </c>
      <c r="W1985" t="s">
        <v>2443</v>
      </c>
      <c r="AD1985" t="s">
        <v>219</v>
      </c>
      <c r="AE1985" t="s">
        <v>8029</v>
      </c>
      <c r="AF1985" t="e">
        <f>---MTAPITLHSLSVSTMDNNCYLLVSGNKGLLIDAADDAPALLALADGLGVSIETVVTTHQHADHVRALRDVLAATGATHLAPAPDAEALPAPVDRALEHGDIIDFDGHRLGVAILRGHTPGGLAISADIDGQQHLFVGDSLFPGGVGKTTNPEDFEQLITDVTERLFEVFPDDAIVHPGHGDGTTLGAERPHLDEWRARGW</f>
        <v>#NAME?</v>
      </c>
    </row>
    <row r="1986" spans="1:32" hidden="1" x14ac:dyDescent="0.35">
      <c r="A1986">
        <v>3897</v>
      </c>
      <c r="B1986" t="s">
        <v>8026</v>
      </c>
      <c r="C1986" t="s">
        <v>72</v>
      </c>
      <c r="D1986" t="s">
        <v>34</v>
      </c>
      <c r="E1986">
        <v>2525</v>
      </c>
      <c r="F1986">
        <v>5</v>
      </c>
      <c r="G1986">
        <v>5</v>
      </c>
      <c r="H1986">
        <v>1</v>
      </c>
      <c r="I1986">
        <v>1</v>
      </c>
      <c r="J1986">
        <v>0.74559620596206</v>
      </c>
      <c r="K1986">
        <v>0.96992635224113499</v>
      </c>
      <c r="L1986">
        <v>0.84309402384198096</v>
      </c>
      <c r="M1986">
        <v>0.57142857142857095</v>
      </c>
      <c r="N1986">
        <v>0.99507389162561599</v>
      </c>
      <c r="O1986">
        <v>0.67684729064039395</v>
      </c>
      <c r="P1986" t="s">
        <v>2440</v>
      </c>
      <c r="Q1986" t="s">
        <v>2441</v>
      </c>
      <c r="R1986" t="s">
        <v>288</v>
      </c>
      <c r="S1986" t="s">
        <v>289</v>
      </c>
      <c r="T1986" t="s">
        <v>8027</v>
      </c>
      <c r="U1986" t="s">
        <v>8028</v>
      </c>
      <c r="V1986" t="s">
        <v>2442</v>
      </c>
      <c r="W1986" t="s">
        <v>2443</v>
      </c>
      <c r="AD1986" t="s">
        <v>219</v>
      </c>
      <c r="AE1986" t="s">
        <v>8029</v>
      </c>
      <c r="AF1986" t="e">
        <f>-------MDLKRVSVSDMDNNCYLLFCKGEGLLIDAADDAPRLLGLAAECGVRITKVVTTHAHWDHVRALGEVLAATGAVHYASALDAPELPCGVDVKLSDGDVIEFCGVELPVVVLRGHTAGGVCVVAELGGVPNLFVGDSLFPGGLGKTGSVADFELLFSDVSSRLFDRFSDDAVVWPGHGASTTLGAERGSLGLWWERKW</f>
        <v>#NAME?</v>
      </c>
    </row>
    <row r="1987" spans="1:32" hidden="1" x14ac:dyDescent="0.35">
      <c r="A1987">
        <v>3898</v>
      </c>
      <c r="B1987" t="s">
        <v>8026</v>
      </c>
      <c r="C1987" t="s">
        <v>72</v>
      </c>
      <c r="D1987" t="s">
        <v>45</v>
      </c>
      <c r="E1987">
        <v>1251</v>
      </c>
      <c r="F1987">
        <v>5</v>
      </c>
      <c r="G1987">
        <v>5</v>
      </c>
      <c r="H1987">
        <v>1</v>
      </c>
      <c r="I1987">
        <v>1</v>
      </c>
      <c r="J1987">
        <v>0.74559620596206</v>
      </c>
      <c r="K1987">
        <v>0.96992635224113499</v>
      </c>
      <c r="L1987">
        <v>0.84309402384198096</v>
      </c>
      <c r="M1987">
        <v>0.57142857142857095</v>
      </c>
      <c r="N1987">
        <v>0.99507389162561599</v>
      </c>
      <c r="O1987">
        <v>0.67684729064039395</v>
      </c>
      <c r="P1987" t="s">
        <v>2440</v>
      </c>
      <c r="Q1987" t="s">
        <v>2441</v>
      </c>
      <c r="R1987" t="s">
        <v>288</v>
      </c>
      <c r="S1987" t="s">
        <v>289</v>
      </c>
      <c r="T1987" t="s">
        <v>8027</v>
      </c>
      <c r="U1987" t="s">
        <v>8028</v>
      </c>
      <c r="V1987" t="s">
        <v>2442</v>
      </c>
      <c r="W1987" t="s">
        <v>2443</v>
      </c>
      <c r="AD1987" t="s">
        <v>219</v>
      </c>
      <c r="AE1987" t="s">
        <v>8029</v>
      </c>
      <c r="AF1987" t="e">
        <f>-------MDLKRVSVSDMDNNCYLLFCKGEGLLIDAADDAPRLLGLAAECGVRITKVVTTHAHWDHVRALGEVLAATGAVHYASALDAPELPCGVDVKLSDGDVIEFCGVELPVVVLRGHTAGGVCVVAELGGVPNLFVGDSLFPGGLGKTGSVADFELLFSDVSSRLFDRFSDDAVVWPGHGASTTLGAERGSLGSWWERKW</f>
        <v>#NAME?</v>
      </c>
    </row>
    <row r="1988" spans="1:32" hidden="1" x14ac:dyDescent="0.35">
      <c r="A1988">
        <v>3974</v>
      </c>
      <c r="B1988" t="s">
        <v>8216</v>
      </c>
      <c r="C1988" t="s">
        <v>72</v>
      </c>
      <c r="D1988" t="s">
        <v>58</v>
      </c>
      <c r="E1988">
        <v>1011</v>
      </c>
      <c r="F1988">
        <v>5</v>
      </c>
      <c r="G1988">
        <v>5</v>
      </c>
      <c r="H1988">
        <v>1</v>
      </c>
      <c r="I1988">
        <v>1</v>
      </c>
      <c r="J1988">
        <v>0.76533942558746704</v>
      </c>
      <c r="K1988">
        <v>0.93917937749760805</v>
      </c>
      <c r="L1988">
        <v>0.84339463313240803</v>
      </c>
      <c r="M1988">
        <v>0.50764525993883802</v>
      </c>
      <c r="N1988">
        <v>0.99388379204892996</v>
      </c>
      <c r="O1988">
        <v>0.64678899082568797</v>
      </c>
      <c r="P1988" t="s">
        <v>8217</v>
      </c>
      <c r="Q1988" t="s">
        <v>8218</v>
      </c>
      <c r="R1988" t="s">
        <v>288</v>
      </c>
      <c r="S1988" t="s">
        <v>289</v>
      </c>
      <c r="T1988" t="s">
        <v>8219</v>
      </c>
      <c r="U1988" t="s">
        <v>8220</v>
      </c>
      <c r="V1988" t="s">
        <v>8221</v>
      </c>
      <c r="W1988" t="s">
        <v>8222</v>
      </c>
      <c r="AD1988" t="s">
        <v>166</v>
      </c>
      <c r="AE1988" t="s">
        <v>818</v>
      </c>
      <c r="AF1988" t="s">
        <v>8223</v>
      </c>
    </row>
    <row r="1989" spans="1:32" hidden="1" x14ac:dyDescent="0.35">
      <c r="A1989">
        <v>3975</v>
      </c>
      <c r="B1989" t="s">
        <v>8216</v>
      </c>
      <c r="C1989" t="s">
        <v>72</v>
      </c>
      <c r="D1989" t="s">
        <v>60</v>
      </c>
      <c r="E1989">
        <v>839</v>
      </c>
      <c r="F1989">
        <v>5</v>
      </c>
      <c r="G1989">
        <v>5</v>
      </c>
      <c r="H1989">
        <v>1</v>
      </c>
      <c r="I1989">
        <v>1</v>
      </c>
      <c r="J1989">
        <v>0.76533942558746704</v>
      </c>
      <c r="K1989">
        <v>0.93917937749760805</v>
      </c>
      <c r="L1989">
        <v>0.84339463313240803</v>
      </c>
      <c r="M1989">
        <v>0.50764525993883802</v>
      </c>
      <c r="N1989">
        <v>0.99388379204892996</v>
      </c>
      <c r="O1989">
        <v>0.64678899082568797</v>
      </c>
      <c r="P1989" t="s">
        <v>8217</v>
      </c>
      <c r="Q1989" t="s">
        <v>8218</v>
      </c>
      <c r="R1989" t="s">
        <v>288</v>
      </c>
      <c r="S1989" t="s">
        <v>289</v>
      </c>
      <c r="T1989" t="s">
        <v>8219</v>
      </c>
      <c r="U1989" t="s">
        <v>8220</v>
      </c>
      <c r="V1989" t="s">
        <v>8221</v>
      </c>
      <c r="W1989" t="s">
        <v>8222</v>
      </c>
      <c r="AD1989" t="s">
        <v>166</v>
      </c>
      <c r="AE1989" t="s">
        <v>818</v>
      </c>
      <c r="AF1989" t="e">
        <f>----------------MTGVIIGFAIIFSIVLVGYILAKTGIIASGSERLVLNRIAFYSATPALVFMVVSKADVETLLSPVVAVAALSAIATAGVYVAVSRIFFRHDAATTCIAAASSAYVNSNNIGLPVGMYVLGNGSYVAPILLFQMALFTPIILAILAAATGDGNR-HKVAHIIRGSLLSPMVLGALVGMVVSLLHVNLPDAVLRPLEILGGASIPMILISFGASLHSSRVLDTPEQRVGVLTASILKVLGMPAFAVAIGAFVFHLDGELLYVAAILAALPTAQNIYNYAATYQKGTVIARDTVLVTTFAALPAMLLISLMFGR</f>
        <v>#NAME?</v>
      </c>
    </row>
    <row r="1990" spans="1:32" hidden="1" x14ac:dyDescent="0.35">
      <c r="A1990">
        <v>3976</v>
      </c>
      <c r="B1990" t="s">
        <v>8216</v>
      </c>
      <c r="C1990" t="s">
        <v>72</v>
      </c>
      <c r="D1990" t="s">
        <v>62</v>
      </c>
      <c r="E1990">
        <v>873</v>
      </c>
      <c r="F1990">
        <v>5</v>
      </c>
      <c r="G1990">
        <v>5</v>
      </c>
      <c r="H1990">
        <v>1</v>
      </c>
      <c r="I1990">
        <v>1</v>
      </c>
      <c r="J1990">
        <v>0.76533942558746704</v>
      </c>
      <c r="K1990">
        <v>0.93917937749760805</v>
      </c>
      <c r="L1990">
        <v>0.84339463313240803</v>
      </c>
      <c r="M1990">
        <v>0.50764525993883802</v>
      </c>
      <c r="N1990">
        <v>0.99388379204892996</v>
      </c>
      <c r="O1990">
        <v>0.64678899082568797</v>
      </c>
      <c r="P1990" t="s">
        <v>8217</v>
      </c>
      <c r="Q1990" t="s">
        <v>8218</v>
      </c>
      <c r="R1990" t="s">
        <v>288</v>
      </c>
      <c r="S1990" t="s">
        <v>289</v>
      </c>
      <c r="T1990" t="s">
        <v>8219</v>
      </c>
      <c r="U1990" t="s">
        <v>8220</v>
      </c>
      <c r="V1990" t="s">
        <v>8221</v>
      </c>
      <c r="W1990" t="s">
        <v>8222</v>
      </c>
      <c r="AD1990" t="s">
        <v>166</v>
      </c>
      <c r="AE1990" t="s">
        <v>818</v>
      </c>
      <c r="AF1990" t="e">
        <f>----------------MTGVIIGFAIIFSIVLVGYILAKTGIIASGSERLVLNRIAFYSATPALVFMVVSKADVETLLSPVVAVAALSALATAGVYVAVSRIFFRHDAATTCIAAASSAYVNSNNIGLPVGMYVLGNGSYVAPILLFQMALFTPIILAILAAATGDGNR-HKVAHIIRGSLLSPMVLGALVGMVVSLLHVNLPDAVLRPLEILGGASIPMILISFGASLHSSRVLDTPEQRVGVLTASVLKVLGMPAFAVAIGAFVFHLDGELLYVAAILAALPTAQNIYNYAATYQKGTVIARDTVLVTTFAALPAMLLISLMFGR</f>
        <v>#NAME?</v>
      </c>
    </row>
    <row r="1991" spans="1:32" hidden="1" x14ac:dyDescent="0.35">
      <c r="A1991">
        <v>3977</v>
      </c>
      <c r="B1991" t="s">
        <v>8216</v>
      </c>
      <c r="C1991" t="s">
        <v>72</v>
      </c>
      <c r="D1991" t="s">
        <v>34</v>
      </c>
      <c r="E1991">
        <v>2293</v>
      </c>
      <c r="F1991">
        <v>5</v>
      </c>
      <c r="G1991">
        <v>5</v>
      </c>
      <c r="H1991">
        <v>1</v>
      </c>
      <c r="I1991">
        <v>1</v>
      </c>
      <c r="J1991">
        <v>0.76533942558746704</v>
      </c>
      <c r="K1991">
        <v>0.93917937749760805</v>
      </c>
      <c r="L1991">
        <v>0.84339463313240803</v>
      </c>
      <c r="M1991">
        <v>0.50764525993883802</v>
      </c>
      <c r="N1991">
        <v>0.99388379204892996</v>
      </c>
      <c r="O1991">
        <v>0.64678899082568797</v>
      </c>
      <c r="P1991" t="s">
        <v>8217</v>
      </c>
      <c r="Q1991" t="s">
        <v>8218</v>
      </c>
      <c r="R1991" t="s">
        <v>288</v>
      </c>
      <c r="S1991" t="s">
        <v>289</v>
      </c>
      <c r="T1991" t="s">
        <v>8219</v>
      </c>
      <c r="U1991" t="s">
        <v>8220</v>
      </c>
      <c r="V1991" t="s">
        <v>8221</v>
      </c>
      <c r="W1991" t="s">
        <v>8222</v>
      </c>
      <c r="AD1991" t="s">
        <v>166</v>
      </c>
      <c r="AE1991" t="s">
        <v>818</v>
      </c>
      <c r="AF1991" t="e">
        <f>----------------MLGVLEGFAIILMVIFIGYLLARFRVITSDDQRLVLNRVAFYAATPALIFMVVSQSSRDALFSPVILVEALTALVTSGIFVAVSHKFFPTDRASTVMGAAATAYVNSNNIGLPVGMYVLGNAGYVAPLLVVQMTIFTPLVLALISDNNTTGSRARKVSGAIASSLFSPIVVAAFLGLIIGVTGITIPKGIVEPVRILGGASIPMILMSFGASLTNARPLGDPTQRPAAITATALKVVGMPIIAVGLG-FVCGLRGDELYAVVILSSLPTAQNVYNYAATYQRGMVVTRDTVLLSTFLALPLMLTVAALFGR</f>
        <v>#NAME?</v>
      </c>
    </row>
    <row r="1992" spans="1:32" hidden="1" x14ac:dyDescent="0.35">
      <c r="A1992">
        <v>3978</v>
      </c>
      <c r="B1992" t="s">
        <v>8216</v>
      </c>
      <c r="C1992" t="s">
        <v>72</v>
      </c>
      <c r="D1992" t="s">
        <v>45</v>
      </c>
      <c r="E1992">
        <v>584</v>
      </c>
      <c r="F1992">
        <v>5</v>
      </c>
      <c r="G1992">
        <v>5</v>
      </c>
      <c r="H1992">
        <v>1</v>
      </c>
      <c r="I1992">
        <v>1</v>
      </c>
      <c r="J1992">
        <v>0.76533942558746704</v>
      </c>
      <c r="K1992">
        <v>0.93917937749760805</v>
      </c>
      <c r="L1992">
        <v>0.84339463313240803</v>
      </c>
      <c r="M1992">
        <v>0.50764525993883802</v>
      </c>
      <c r="N1992">
        <v>0.99388379204892996</v>
      </c>
      <c r="O1992">
        <v>0.64678899082568797</v>
      </c>
      <c r="P1992" t="s">
        <v>8217</v>
      </c>
      <c r="Q1992" t="s">
        <v>8218</v>
      </c>
      <c r="R1992" t="s">
        <v>288</v>
      </c>
      <c r="S1992" t="s">
        <v>289</v>
      </c>
      <c r="T1992" t="s">
        <v>8219</v>
      </c>
      <c r="U1992" t="s">
        <v>8220</v>
      </c>
      <c r="V1992" t="s">
        <v>8221</v>
      </c>
      <c r="W1992" t="s">
        <v>8222</v>
      </c>
      <c r="AD1992" t="s">
        <v>166</v>
      </c>
      <c r="AE1992" t="s">
        <v>818</v>
      </c>
      <c r="AF1992" t="e">
        <f>----------------MLGVLEGFAIILMVIFIGYLLARFRVITSDDQRLVLNRVAFYAATPALIFMVVSQSSRDALFSPVILVEALTALVTSGIFVAVSHRFFPTDRASTVMGAAATAYVNSNNIGLPVGMYVLGNAGYVAPLLVVQMTIFTPLVLALISDNNTTGSRARKVGGAIASSLFSPIVVAAFLGLIIGVTGITIPKGIVEPVRILGGASIPMILMSFGASLTNARPLGDPTQRPAAITATALKVVGMPMIAVGLG-FVCGLRGDELYAVVILSSLPTAQNVYNYAATYQRGMVVTRDTVLLSTFLALPLMLTVAALFGR</f>
        <v>#NAME?</v>
      </c>
    </row>
    <row r="1993" spans="1:32" hidden="1" x14ac:dyDescent="0.35">
      <c r="A1993">
        <v>3984</v>
      </c>
      <c r="B1993" t="s">
        <v>8232</v>
      </c>
      <c r="C1993" t="s">
        <v>72</v>
      </c>
      <c r="D1993" t="s">
        <v>58</v>
      </c>
      <c r="E1993">
        <v>792</v>
      </c>
      <c r="F1993">
        <v>5</v>
      </c>
      <c r="G1993">
        <v>5</v>
      </c>
      <c r="H1993">
        <v>1</v>
      </c>
      <c r="I1993">
        <v>1</v>
      </c>
      <c r="J1993">
        <v>0.91483113069016198</v>
      </c>
      <c r="K1993">
        <v>0.99780219780219903</v>
      </c>
      <c r="L1993">
        <v>0.95451699938748602</v>
      </c>
      <c r="M1993">
        <v>0.80769230769230804</v>
      </c>
      <c r="N1993">
        <v>0.99450549450549497</v>
      </c>
      <c r="O1993">
        <v>0.88791208791208798</v>
      </c>
      <c r="P1993" t="s">
        <v>8233</v>
      </c>
      <c r="Q1993" t="s">
        <v>8234</v>
      </c>
      <c r="R1993" t="s">
        <v>288</v>
      </c>
      <c r="S1993" t="s">
        <v>289</v>
      </c>
      <c r="T1993" t="s">
        <v>8235</v>
      </c>
      <c r="U1993" t="s">
        <v>8236</v>
      </c>
      <c r="V1993" t="s">
        <v>8237</v>
      </c>
      <c r="W1993" t="s">
        <v>8238</v>
      </c>
      <c r="AD1993" t="s">
        <v>410</v>
      </c>
      <c r="AE1993" t="s">
        <v>1637</v>
      </c>
      <c r="AF1993" t="e">
        <f>-MSLTPNHLQGQPLEPIDAQRLSELAQKNIDNPEGGRKTIRTHTEADGQFRNYTQIRDLKPVLVSEPPALLGDDSAPNPTEVAQSALAACISVGIQAIATHRGVTLTNISIDIEGDIDISPTWGVGDLGEHKRPGVSDVRVKVTLEGDADRETLQKIHDDAIAWSPVVNTYTRPATLTSELV</f>
        <v>#NAME?</v>
      </c>
    </row>
    <row r="1994" spans="1:32" hidden="1" x14ac:dyDescent="0.35">
      <c r="A1994">
        <v>3985</v>
      </c>
      <c r="B1994" t="s">
        <v>8232</v>
      </c>
      <c r="C1994" t="s">
        <v>72</v>
      </c>
      <c r="D1994" t="s">
        <v>60</v>
      </c>
      <c r="E1994">
        <v>1821</v>
      </c>
      <c r="F1994">
        <v>5</v>
      </c>
      <c r="G1994">
        <v>5</v>
      </c>
      <c r="H1994">
        <v>1</v>
      </c>
      <c r="I1994">
        <v>1</v>
      </c>
      <c r="J1994">
        <v>0.91483113069016198</v>
      </c>
      <c r="K1994">
        <v>0.99780219780219903</v>
      </c>
      <c r="L1994">
        <v>0.95451699938748602</v>
      </c>
      <c r="M1994">
        <v>0.80769230769230804</v>
      </c>
      <c r="N1994">
        <v>0.99450549450549497</v>
      </c>
      <c r="O1994">
        <v>0.88791208791208798</v>
      </c>
      <c r="P1994" t="s">
        <v>8233</v>
      </c>
      <c r="Q1994" t="s">
        <v>8234</v>
      </c>
      <c r="R1994" t="s">
        <v>288</v>
      </c>
      <c r="S1994" t="s">
        <v>289</v>
      </c>
      <c r="T1994" t="s">
        <v>8235</v>
      </c>
      <c r="U1994" t="s">
        <v>8236</v>
      </c>
      <c r="V1994" t="s">
        <v>8237</v>
      </c>
      <c r="W1994" t="s">
        <v>8238</v>
      </c>
      <c r="AD1994" t="s">
        <v>410</v>
      </c>
      <c r="AE1994" t="s">
        <v>1637</v>
      </c>
      <c r="AF1994" t="s">
        <v>8239</v>
      </c>
    </row>
    <row r="1995" spans="1:32" hidden="1" x14ac:dyDescent="0.35">
      <c r="A1995">
        <v>3986</v>
      </c>
      <c r="B1995" t="s">
        <v>8232</v>
      </c>
      <c r="C1995" t="s">
        <v>72</v>
      </c>
      <c r="D1995" t="s">
        <v>62</v>
      </c>
      <c r="E1995">
        <v>1859</v>
      </c>
      <c r="F1995">
        <v>5</v>
      </c>
      <c r="G1995">
        <v>5</v>
      </c>
      <c r="H1995">
        <v>1</v>
      </c>
      <c r="I1995">
        <v>1</v>
      </c>
      <c r="J1995">
        <v>0.91483113069016198</v>
      </c>
      <c r="K1995">
        <v>0.99780219780219903</v>
      </c>
      <c r="L1995">
        <v>0.95451699938748602</v>
      </c>
      <c r="M1995">
        <v>0.80769230769230804</v>
      </c>
      <c r="N1995">
        <v>0.99450549450549497</v>
      </c>
      <c r="O1995">
        <v>0.88791208791208798</v>
      </c>
      <c r="P1995" t="s">
        <v>8233</v>
      </c>
      <c r="Q1995" t="s">
        <v>8234</v>
      </c>
      <c r="R1995" t="s">
        <v>288</v>
      </c>
      <c r="S1995" t="s">
        <v>289</v>
      </c>
      <c r="V1995" t="s">
        <v>8237</v>
      </c>
      <c r="W1995" t="s">
        <v>8238</v>
      </c>
      <c r="AF1995" t="s">
        <v>8240</v>
      </c>
    </row>
    <row r="1996" spans="1:32" hidden="1" x14ac:dyDescent="0.35">
      <c r="A1996">
        <v>3987</v>
      </c>
      <c r="B1996" t="s">
        <v>8232</v>
      </c>
      <c r="C1996" t="s">
        <v>72</v>
      </c>
      <c r="D1996" t="s">
        <v>34</v>
      </c>
      <c r="E1996">
        <v>682</v>
      </c>
      <c r="F1996">
        <v>5</v>
      </c>
      <c r="G1996">
        <v>5</v>
      </c>
      <c r="H1996">
        <v>1</v>
      </c>
      <c r="I1996">
        <v>1</v>
      </c>
      <c r="J1996">
        <v>0.91483113069016198</v>
      </c>
      <c r="K1996">
        <v>0.99780219780219903</v>
      </c>
      <c r="L1996">
        <v>0.95451699938748602</v>
      </c>
      <c r="M1996">
        <v>0.80769230769230804</v>
      </c>
      <c r="N1996">
        <v>0.99450549450549497</v>
      </c>
      <c r="O1996">
        <v>0.88791208791208798</v>
      </c>
      <c r="P1996" t="s">
        <v>8233</v>
      </c>
      <c r="Q1996" t="s">
        <v>8234</v>
      </c>
      <c r="R1996" t="s">
        <v>288</v>
      </c>
      <c r="S1996" t="s">
        <v>289</v>
      </c>
      <c r="T1996" t="s">
        <v>8235</v>
      </c>
      <c r="U1996" t="s">
        <v>8236</v>
      </c>
      <c r="V1996" t="s">
        <v>8237</v>
      </c>
      <c r="W1996" t="s">
        <v>8238</v>
      </c>
      <c r="AD1996" t="s">
        <v>410</v>
      </c>
      <c r="AE1996" t="s">
        <v>1637</v>
      </c>
      <c r="AF1996" t="s">
        <v>8241</v>
      </c>
    </row>
    <row r="1997" spans="1:32" hidden="1" x14ac:dyDescent="0.35">
      <c r="A1997">
        <v>3988</v>
      </c>
      <c r="B1997" t="s">
        <v>8232</v>
      </c>
      <c r="C1997" t="s">
        <v>72</v>
      </c>
      <c r="D1997" t="s">
        <v>45</v>
      </c>
      <c r="E1997">
        <v>1948</v>
      </c>
      <c r="F1997">
        <v>5</v>
      </c>
      <c r="G1997">
        <v>5</v>
      </c>
      <c r="H1997">
        <v>1</v>
      </c>
      <c r="I1997">
        <v>1</v>
      </c>
      <c r="J1997">
        <v>0.91483113069016198</v>
      </c>
      <c r="K1997">
        <v>0.99780219780219903</v>
      </c>
      <c r="L1997">
        <v>0.95451699938748602</v>
      </c>
      <c r="M1997">
        <v>0.80769230769230804</v>
      </c>
      <c r="N1997">
        <v>0.99450549450549497</v>
      </c>
      <c r="O1997">
        <v>0.88791208791208798</v>
      </c>
      <c r="P1997" t="s">
        <v>8233</v>
      </c>
      <c r="Q1997" t="s">
        <v>8234</v>
      </c>
      <c r="R1997" t="s">
        <v>288</v>
      </c>
      <c r="S1997" t="s">
        <v>289</v>
      </c>
      <c r="T1997" t="s">
        <v>8235</v>
      </c>
      <c r="U1997" t="s">
        <v>8236</v>
      </c>
      <c r="V1997" t="s">
        <v>8237</v>
      </c>
      <c r="W1997" t="s">
        <v>8238</v>
      </c>
      <c r="AD1997" t="s">
        <v>410</v>
      </c>
      <c r="AE1997" t="s">
        <v>1637</v>
      </c>
      <c r="AF1997" t="s">
        <v>8242</v>
      </c>
    </row>
    <row r="1998" spans="1:32" hidden="1" x14ac:dyDescent="0.35">
      <c r="A1998">
        <v>4104</v>
      </c>
      <c r="B1998" t="s">
        <v>8496</v>
      </c>
      <c r="C1998" t="s">
        <v>72</v>
      </c>
      <c r="D1998" t="s">
        <v>58</v>
      </c>
      <c r="E1998">
        <v>1785</v>
      </c>
      <c r="F1998">
        <v>5</v>
      </c>
      <c r="G1998">
        <v>5</v>
      </c>
      <c r="H1998">
        <v>1</v>
      </c>
      <c r="I1998">
        <v>1</v>
      </c>
      <c r="J1998">
        <v>0.77046625913939804</v>
      </c>
      <c r="K1998">
        <v>0.78279692762526198</v>
      </c>
      <c r="L1998">
        <v>0.77658264952445599</v>
      </c>
      <c r="M1998">
        <v>0.45796064400715603</v>
      </c>
      <c r="N1998">
        <v>0.99016100178890898</v>
      </c>
      <c r="O1998">
        <v>0.60742397137745996</v>
      </c>
      <c r="P1998" t="s">
        <v>6317</v>
      </c>
      <c r="Q1998" t="s">
        <v>6318</v>
      </c>
      <c r="R1998" t="s">
        <v>288</v>
      </c>
      <c r="S1998" t="s">
        <v>289</v>
      </c>
      <c r="T1998" t="s">
        <v>8497</v>
      </c>
      <c r="U1998" t="s">
        <v>8498</v>
      </c>
      <c r="V1998" t="s">
        <v>6321</v>
      </c>
      <c r="W1998" t="s">
        <v>6322</v>
      </c>
      <c r="AD1998" t="s">
        <v>410</v>
      </c>
      <c r="AE1998" t="s">
        <v>603</v>
      </c>
      <c r="AF1998" t="s">
        <v>8499</v>
      </c>
    </row>
    <row r="1999" spans="1:32" hidden="1" x14ac:dyDescent="0.35">
      <c r="A1999">
        <v>4105</v>
      </c>
      <c r="B1999" t="s">
        <v>8496</v>
      </c>
      <c r="C1999" t="s">
        <v>72</v>
      </c>
      <c r="D1999" t="s">
        <v>60</v>
      </c>
      <c r="E1999">
        <v>2415</v>
      </c>
      <c r="F1999">
        <v>5</v>
      </c>
      <c r="G1999">
        <v>5</v>
      </c>
      <c r="H1999">
        <v>1</v>
      </c>
      <c r="I1999">
        <v>1</v>
      </c>
      <c r="J1999">
        <v>0.77046625913939804</v>
      </c>
      <c r="K1999">
        <v>0.78279692762526198</v>
      </c>
      <c r="L1999">
        <v>0.77658264952445599</v>
      </c>
      <c r="M1999">
        <v>0.45796064400715603</v>
      </c>
      <c r="N1999">
        <v>0.99016100178890898</v>
      </c>
      <c r="O1999">
        <v>0.60742397137745996</v>
      </c>
      <c r="P1999" t="s">
        <v>6317</v>
      </c>
      <c r="Q1999" t="s">
        <v>6318</v>
      </c>
      <c r="R1999" t="s">
        <v>288</v>
      </c>
      <c r="S1999" t="s">
        <v>289</v>
      </c>
      <c r="T1999" t="s">
        <v>8497</v>
      </c>
      <c r="U1999" t="s">
        <v>8498</v>
      </c>
      <c r="V1999" t="s">
        <v>6321</v>
      </c>
      <c r="W1999" t="s">
        <v>6322</v>
      </c>
      <c r="AD1999" t="s">
        <v>410</v>
      </c>
      <c r="AE1999" t="s">
        <v>603</v>
      </c>
      <c r="AF1999" t="s">
        <v>8500</v>
      </c>
    </row>
    <row r="2000" spans="1:32" hidden="1" x14ac:dyDescent="0.35">
      <c r="A2000">
        <v>4106</v>
      </c>
      <c r="B2000" t="s">
        <v>8496</v>
      </c>
      <c r="C2000" t="s">
        <v>72</v>
      </c>
      <c r="D2000" t="s">
        <v>62</v>
      </c>
      <c r="E2000">
        <v>2442</v>
      </c>
      <c r="F2000">
        <v>5</v>
      </c>
      <c r="G2000">
        <v>5</v>
      </c>
      <c r="H2000">
        <v>1</v>
      </c>
      <c r="I2000">
        <v>1</v>
      </c>
      <c r="J2000">
        <v>0.77046625913939804</v>
      </c>
      <c r="K2000">
        <v>0.78279692762526198</v>
      </c>
      <c r="L2000">
        <v>0.77658264952445599</v>
      </c>
      <c r="M2000">
        <v>0.45796064400715603</v>
      </c>
      <c r="N2000">
        <v>0.99016100178890898</v>
      </c>
      <c r="O2000">
        <v>0.60742397137745996</v>
      </c>
      <c r="P2000" t="s">
        <v>6317</v>
      </c>
      <c r="Q2000" t="s">
        <v>6318</v>
      </c>
      <c r="R2000" t="s">
        <v>288</v>
      </c>
      <c r="S2000" t="s">
        <v>289</v>
      </c>
      <c r="T2000" t="s">
        <v>8497</v>
      </c>
      <c r="U2000" t="s">
        <v>8498</v>
      </c>
      <c r="V2000" t="s">
        <v>6321</v>
      </c>
      <c r="W2000" t="s">
        <v>6322</v>
      </c>
      <c r="AD2000" t="s">
        <v>410</v>
      </c>
      <c r="AE2000" t="s">
        <v>603</v>
      </c>
      <c r="AF2000" t="s">
        <v>8501</v>
      </c>
    </row>
    <row r="2001" spans="1:32" hidden="1" x14ac:dyDescent="0.35">
      <c r="A2001">
        <v>4107</v>
      </c>
      <c r="B2001" t="s">
        <v>8496</v>
      </c>
      <c r="C2001" t="s">
        <v>72</v>
      </c>
      <c r="D2001" t="s">
        <v>34</v>
      </c>
      <c r="E2001">
        <v>1319</v>
      </c>
      <c r="F2001">
        <v>5</v>
      </c>
      <c r="G2001">
        <v>5</v>
      </c>
      <c r="H2001">
        <v>1</v>
      </c>
      <c r="I2001">
        <v>1</v>
      </c>
      <c r="J2001">
        <v>0.77046625913939804</v>
      </c>
      <c r="K2001">
        <v>0.78279692762526198</v>
      </c>
      <c r="L2001">
        <v>0.77658264952445599</v>
      </c>
      <c r="M2001">
        <v>0.45796064400715603</v>
      </c>
      <c r="N2001">
        <v>0.99016100178890898</v>
      </c>
      <c r="O2001">
        <v>0.60742397137745996</v>
      </c>
      <c r="P2001" t="s">
        <v>6317</v>
      </c>
      <c r="Q2001" t="s">
        <v>6318</v>
      </c>
      <c r="R2001" t="s">
        <v>288</v>
      </c>
      <c r="S2001" t="s">
        <v>289</v>
      </c>
      <c r="T2001" t="s">
        <v>8497</v>
      </c>
      <c r="U2001" t="s">
        <v>8498</v>
      </c>
      <c r="V2001" t="s">
        <v>6321</v>
      </c>
      <c r="W2001" t="s">
        <v>6322</v>
      </c>
      <c r="AD2001" t="s">
        <v>410</v>
      </c>
      <c r="AE2001" t="s">
        <v>603</v>
      </c>
      <c r="AF2001" t="s">
        <v>8502</v>
      </c>
    </row>
    <row r="2002" spans="1:32" hidden="1" x14ac:dyDescent="0.35">
      <c r="A2002">
        <v>4108</v>
      </c>
      <c r="B2002" t="s">
        <v>8496</v>
      </c>
      <c r="C2002" t="s">
        <v>72</v>
      </c>
      <c r="D2002" t="s">
        <v>45</v>
      </c>
      <c r="E2002">
        <v>71</v>
      </c>
      <c r="F2002">
        <v>5</v>
      </c>
      <c r="G2002">
        <v>5</v>
      </c>
      <c r="H2002">
        <v>1</v>
      </c>
      <c r="I2002">
        <v>1</v>
      </c>
      <c r="J2002">
        <v>0.77046625913939804</v>
      </c>
      <c r="K2002">
        <v>0.78279692762526198</v>
      </c>
      <c r="L2002">
        <v>0.77658264952445599</v>
      </c>
      <c r="M2002">
        <v>0.45796064400715603</v>
      </c>
      <c r="N2002">
        <v>0.99016100178890898</v>
      </c>
      <c r="O2002">
        <v>0.60742397137745996</v>
      </c>
      <c r="P2002" t="s">
        <v>6317</v>
      </c>
      <c r="Q2002" t="s">
        <v>6318</v>
      </c>
      <c r="R2002" t="s">
        <v>288</v>
      </c>
      <c r="S2002" t="s">
        <v>289</v>
      </c>
      <c r="T2002" t="s">
        <v>8497</v>
      </c>
      <c r="U2002" t="s">
        <v>8498</v>
      </c>
      <c r="V2002" t="s">
        <v>6321</v>
      </c>
      <c r="W2002" t="s">
        <v>6322</v>
      </c>
      <c r="AD2002" t="s">
        <v>410</v>
      </c>
      <c r="AE2002" t="s">
        <v>603</v>
      </c>
      <c r="AF2002" t="s">
        <v>8503</v>
      </c>
    </row>
    <row r="2003" spans="1:32" hidden="1" x14ac:dyDescent="0.35">
      <c r="A2003">
        <v>4339</v>
      </c>
      <c r="B2003" t="s">
        <v>9037</v>
      </c>
      <c r="C2003" t="s">
        <v>72</v>
      </c>
      <c r="D2003" t="s">
        <v>58</v>
      </c>
      <c r="E2003">
        <v>1036</v>
      </c>
      <c r="F2003">
        <v>5</v>
      </c>
      <c r="G2003">
        <v>5</v>
      </c>
      <c r="H2003">
        <v>1</v>
      </c>
      <c r="I2003">
        <v>1</v>
      </c>
      <c r="J2003">
        <v>0.72720922109675201</v>
      </c>
      <c r="K2003">
        <v>0.93778527804564404</v>
      </c>
      <c r="L2003">
        <v>0.819181206850641</v>
      </c>
      <c r="M2003">
        <v>0.50326797385620903</v>
      </c>
      <c r="N2003">
        <v>0.99673202614379097</v>
      </c>
      <c r="O2003">
        <v>0.64477124183006496</v>
      </c>
      <c r="P2003" t="s">
        <v>9038</v>
      </c>
      <c r="Q2003" t="s">
        <v>9039</v>
      </c>
      <c r="R2003" t="s">
        <v>288</v>
      </c>
      <c r="S2003" t="s">
        <v>289</v>
      </c>
      <c r="T2003" t="s">
        <v>9040</v>
      </c>
      <c r="U2003" t="s">
        <v>407</v>
      </c>
      <c r="V2003" t="s">
        <v>9041</v>
      </c>
      <c r="W2003" t="s">
        <v>9042</v>
      </c>
      <c r="AD2003" t="s">
        <v>410</v>
      </c>
      <c r="AE2003" t="s">
        <v>411</v>
      </c>
      <c r="AF2003" t="s">
        <v>9043</v>
      </c>
    </row>
    <row r="2004" spans="1:32" hidden="1" x14ac:dyDescent="0.35">
      <c r="A2004">
        <v>4340</v>
      </c>
      <c r="B2004" t="s">
        <v>9037</v>
      </c>
      <c r="C2004" t="s">
        <v>72</v>
      </c>
      <c r="D2004" t="s">
        <v>60</v>
      </c>
      <c r="E2004">
        <v>1405</v>
      </c>
      <c r="F2004">
        <v>5</v>
      </c>
      <c r="G2004">
        <v>5</v>
      </c>
      <c r="H2004">
        <v>1</v>
      </c>
      <c r="I2004">
        <v>1</v>
      </c>
      <c r="J2004">
        <v>0.72720922109675201</v>
      </c>
      <c r="K2004">
        <v>0.93778527804564404</v>
      </c>
      <c r="L2004">
        <v>0.819181206850641</v>
      </c>
      <c r="M2004">
        <v>0.50326797385620903</v>
      </c>
      <c r="N2004">
        <v>0.99673202614379097</v>
      </c>
      <c r="O2004">
        <v>0.64477124183006496</v>
      </c>
      <c r="P2004" t="s">
        <v>9038</v>
      </c>
      <c r="Q2004" t="s">
        <v>9039</v>
      </c>
      <c r="R2004" t="s">
        <v>288</v>
      </c>
      <c r="S2004" t="s">
        <v>289</v>
      </c>
      <c r="T2004" t="s">
        <v>9040</v>
      </c>
      <c r="U2004" t="s">
        <v>407</v>
      </c>
      <c r="V2004" t="s">
        <v>9041</v>
      </c>
      <c r="W2004" t="s">
        <v>9042</v>
      </c>
      <c r="AD2004" t="s">
        <v>410</v>
      </c>
      <c r="AE2004" t="s">
        <v>411</v>
      </c>
      <c r="AF2004" t="e">
        <f>----MTFRGDLRKTSDRAQRTGGGGGGTIAVGGGIGTLVLVGLFLLLGGNPSDIGQIIGNEQQQSQP----ALPQGSQHPCETGEDANKYVDCRVELTGQSLDRVWSSILPQQAGIAYTKPGLTMFTNSTNTGCGRASSSTGPFYCPSDKTAYFDVSFFEQLTSLGGANAPLAQEYIVAHEFGHHIQQLESTLGLSNYNDPGEDSNAVKIELQADCYAGIWAHHAQKGPDAD---LEPITDQQVQDAVDTARAVGDDNIQQRSGGGVRPDTWTHGSSDQRQQAFLAGYRAGTMSACDTLERGAYQG</f>
        <v>#NAME?</v>
      </c>
    </row>
    <row r="2005" spans="1:32" hidden="1" x14ac:dyDescent="0.35">
      <c r="A2005">
        <v>4341</v>
      </c>
      <c r="B2005" t="s">
        <v>9037</v>
      </c>
      <c r="C2005" t="s">
        <v>72</v>
      </c>
      <c r="D2005" t="s">
        <v>62</v>
      </c>
      <c r="E2005">
        <v>1440</v>
      </c>
      <c r="F2005">
        <v>5</v>
      </c>
      <c r="G2005">
        <v>5</v>
      </c>
      <c r="H2005">
        <v>1</v>
      </c>
      <c r="I2005">
        <v>1</v>
      </c>
      <c r="J2005">
        <v>0.72720922109675201</v>
      </c>
      <c r="K2005">
        <v>0.93778527804564404</v>
      </c>
      <c r="L2005">
        <v>0.819181206850641</v>
      </c>
      <c r="M2005">
        <v>0.50326797385620903</v>
      </c>
      <c r="N2005">
        <v>0.99673202614379097</v>
      </c>
      <c r="O2005">
        <v>0.64477124183006496</v>
      </c>
      <c r="P2005" t="s">
        <v>9038</v>
      </c>
      <c r="Q2005" t="s">
        <v>9039</v>
      </c>
      <c r="R2005" t="s">
        <v>288</v>
      </c>
      <c r="S2005" t="s">
        <v>289</v>
      </c>
      <c r="T2005" t="s">
        <v>9040</v>
      </c>
      <c r="U2005" t="s">
        <v>407</v>
      </c>
      <c r="V2005" t="s">
        <v>9041</v>
      </c>
      <c r="W2005" t="s">
        <v>9042</v>
      </c>
      <c r="AD2005" t="s">
        <v>410</v>
      </c>
      <c r="AE2005" t="s">
        <v>411</v>
      </c>
      <c r="AF2005" t="e">
        <f>----MTFRGDLRKTSDRAQRTGGGGGGTIAVGGGIGTLVLVGLFLLLGGNPSDIGQIIGNEQQQSQP----ALPQGSQHPCETGDDANKYVDCRVELTGQSLDRVWSSILPQQAGIAYTKPGLTMFTNSTNTGCGRASSSTGPFYCPSDKTAYFDVSFFEQLTSLGGANAPLAQEYIVAHEFGHHIQQLESTLGLSNYNDPGEDSNAVKIELQADCYAGIWAHHAQKGPDAD---LEPITDQQVQDAVDTARAVGDDNIQQRSGGGVRPDTWTHGSSDQRQQAFLAGYRAGTMSACDTLERGAYQG</f>
        <v>#NAME?</v>
      </c>
    </row>
    <row r="2006" spans="1:32" hidden="1" x14ac:dyDescent="0.35">
      <c r="A2006">
        <v>4342</v>
      </c>
      <c r="B2006" t="s">
        <v>9037</v>
      </c>
      <c r="C2006" t="s">
        <v>72</v>
      </c>
      <c r="D2006" t="s">
        <v>34</v>
      </c>
      <c r="E2006">
        <v>1828</v>
      </c>
      <c r="F2006">
        <v>5</v>
      </c>
      <c r="G2006">
        <v>5</v>
      </c>
      <c r="H2006">
        <v>1</v>
      </c>
      <c r="I2006">
        <v>1</v>
      </c>
      <c r="J2006">
        <v>0.72720922109675201</v>
      </c>
      <c r="K2006">
        <v>0.93778527804564404</v>
      </c>
      <c r="L2006">
        <v>0.819181206850641</v>
      </c>
      <c r="M2006">
        <v>0.50326797385620903</v>
      </c>
      <c r="N2006">
        <v>0.99673202614379097</v>
      </c>
      <c r="O2006">
        <v>0.64477124183006496</v>
      </c>
      <c r="P2006" t="s">
        <v>9038</v>
      </c>
      <c r="Q2006" t="s">
        <v>9039</v>
      </c>
      <c r="R2006" t="s">
        <v>288</v>
      </c>
      <c r="S2006" t="s">
        <v>289</v>
      </c>
      <c r="T2006" t="s">
        <v>9040</v>
      </c>
      <c r="U2006" t="s">
        <v>407</v>
      </c>
      <c r="V2006" t="s">
        <v>9041</v>
      </c>
      <c r="W2006" t="s">
        <v>9042</v>
      </c>
      <c r="AD2006" t="s">
        <v>410</v>
      </c>
      <c r="AE2006" t="s">
        <v>411</v>
      </c>
      <c r="AF2006" t="s">
        <v>9044</v>
      </c>
    </row>
    <row r="2007" spans="1:32" hidden="1" x14ac:dyDescent="0.35">
      <c r="A2007">
        <v>4343</v>
      </c>
      <c r="B2007" t="s">
        <v>9037</v>
      </c>
      <c r="C2007" t="s">
        <v>72</v>
      </c>
      <c r="D2007" t="s">
        <v>45</v>
      </c>
      <c r="E2007">
        <v>1045</v>
      </c>
      <c r="F2007">
        <v>5</v>
      </c>
      <c r="G2007">
        <v>5</v>
      </c>
      <c r="H2007">
        <v>1</v>
      </c>
      <c r="I2007">
        <v>1</v>
      </c>
      <c r="J2007">
        <v>0.72720922109675201</v>
      </c>
      <c r="K2007">
        <v>0.93778527804564404</v>
      </c>
      <c r="L2007">
        <v>0.819181206850641</v>
      </c>
      <c r="M2007">
        <v>0.50326797385620903</v>
      </c>
      <c r="N2007">
        <v>0.99673202614379097</v>
      </c>
      <c r="O2007">
        <v>0.64477124183006496</v>
      </c>
      <c r="P2007" t="s">
        <v>9038</v>
      </c>
      <c r="Q2007" t="s">
        <v>9039</v>
      </c>
      <c r="R2007" t="s">
        <v>288</v>
      </c>
      <c r="S2007" t="s">
        <v>289</v>
      </c>
      <c r="T2007" t="s">
        <v>9040</v>
      </c>
      <c r="U2007" t="s">
        <v>407</v>
      </c>
      <c r="V2007" t="s">
        <v>9041</v>
      </c>
      <c r="W2007" t="s">
        <v>9042</v>
      </c>
      <c r="AD2007" t="s">
        <v>410</v>
      </c>
      <c r="AE2007" t="s">
        <v>411</v>
      </c>
      <c r="AF2007" t="s">
        <v>9045</v>
      </c>
    </row>
    <row r="2008" spans="1:32" hidden="1" x14ac:dyDescent="0.35">
      <c r="A2008">
        <v>4364</v>
      </c>
      <c r="B2008" t="s">
        <v>9100</v>
      </c>
      <c r="C2008" t="s">
        <v>72</v>
      </c>
      <c r="D2008" t="s">
        <v>58</v>
      </c>
      <c r="E2008">
        <v>1085</v>
      </c>
      <c r="F2008">
        <v>5</v>
      </c>
      <c r="G2008">
        <v>5</v>
      </c>
      <c r="H2008">
        <v>1</v>
      </c>
      <c r="I2008">
        <v>1</v>
      </c>
      <c r="J2008">
        <v>0.71958174904942995</v>
      </c>
      <c r="K2008">
        <v>0.96271723726411396</v>
      </c>
      <c r="L2008">
        <v>0.82357982625739001</v>
      </c>
      <c r="M2008">
        <v>0.47256097560975602</v>
      </c>
      <c r="N2008">
        <v>0.99695121951219501</v>
      </c>
      <c r="O2008">
        <v>0.62713414634146303</v>
      </c>
      <c r="P2008" t="s">
        <v>9101</v>
      </c>
      <c r="Q2008" t="s">
        <v>9102</v>
      </c>
      <c r="R2008" t="s">
        <v>288</v>
      </c>
      <c r="S2008" t="s">
        <v>289</v>
      </c>
      <c r="V2008" t="s">
        <v>9103</v>
      </c>
      <c r="W2008" t="s">
        <v>9104</v>
      </c>
      <c r="AF2008" t="s">
        <v>9105</v>
      </c>
    </row>
    <row r="2009" spans="1:32" hidden="1" x14ac:dyDescent="0.35">
      <c r="A2009">
        <v>4365</v>
      </c>
      <c r="B2009" t="s">
        <v>9100</v>
      </c>
      <c r="C2009" t="s">
        <v>72</v>
      </c>
      <c r="D2009" t="s">
        <v>60</v>
      </c>
      <c r="E2009">
        <v>1461</v>
      </c>
      <c r="F2009">
        <v>5</v>
      </c>
      <c r="G2009">
        <v>5</v>
      </c>
      <c r="H2009">
        <v>1</v>
      </c>
      <c r="I2009">
        <v>1</v>
      </c>
      <c r="J2009">
        <v>0.71958174904942995</v>
      </c>
      <c r="K2009">
        <v>0.96271723726411396</v>
      </c>
      <c r="L2009">
        <v>0.82357982625739001</v>
      </c>
      <c r="M2009">
        <v>0.47256097560975602</v>
      </c>
      <c r="N2009">
        <v>0.99695121951219501</v>
      </c>
      <c r="O2009">
        <v>0.62713414634146303</v>
      </c>
      <c r="P2009" t="s">
        <v>9101</v>
      </c>
      <c r="Q2009" t="s">
        <v>9102</v>
      </c>
      <c r="R2009" t="s">
        <v>288</v>
      </c>
      <c r="S2009" t="s">
        <v>289</v>
      </c>
      <c r="V2009" t="s">
        <v>9103</v>
      </c>
      <c r="W2009" t="s">
        <v>9104</v>
      </c>
      <c r="AF2009" t="s">
        <v>9106</v>
      </c>
    </row>
    <row r="2010" spans="1:32" hidden="1" x14ac:dyDescent="0.35">
      <c r="A2010">
        <v>4366</v>
      </c>
      <c r="B2010" t="s">
        <v>9100</v>
      </c>
      <c r="C2010" t="s">
        <v>72</v>
      </c>
      <c r="D2010" t="s">
        <v>62</v>
      </c>
      <c r="E2010">
        <v>1496</v>
      </c>
      <c r="F2010">
        <v>5</v>
      </c>
      <c r="G2010">
        <v>5</v>
      </c>
      <c r="H2010">
        <v>1</v>
      </c>
      <c r="I2010">
        <v>1</v>
      </c>
      <c r="J2010">
        <v>0.71958174904942995</v>
      </c>
      <c r="K2010">
        <v>0.96271723726411396</v>
      </c>
      <c r="L2010">
        <v>0.82357982625739001</v>
      </c>
      <c r="M2010">
        <v>0.47256097560975602</v>
      </c>
      <c r="N2010">
        <v>0.99695121951219501</v>
      </c>
      <c r="O2010">
        <v>0.62713414634146303</v>
      </c>
      <c r="P2010" t="s">
        <v>9101</v>
      </c>
      <c r="Q2010" t="s">
        <v>9102</v>
      </c>
      <c r="R2010" t="s">
        <v>288</v>
      </c>
      <c r="S2010" t="s">
        <v>289</v>
      </c>
      <c r="V2010" t="s">
        <v>9103</v>
      </c>
      <c r="W2010" t="s">
        <v>9104</v>
      </c>
      <c r="AF2010" t="s">
        <v>9107</v>
      </c>
    </row>
    <row r="2011" spans="1:32" hidden="1" x14ac:dyDescent="0.35">
      <c r="A2011">
        <v>4367</v>
      </c>
      <c r="B2011" t="s">
        <v>9100</v>
      </c>
      <c r="C2011" t="s">
        <v>72</v>
      </c>
      <c r="D2011" t="s">
        <v>34</v>
      </c>
      <c r="E2011">
        <v>1898</v>
      </c>
      <c r="F2011">
        <v>5</v>
      </c>
      <c r="G2011">
        <v>5</v>
      </c>
      <c r="H2011">
        <v>1</v>
      </c>
      <c r="I2011">
        <v>1</v>
      </c>
      <c r="J2011">
        <v>0.71958174904942995</v>
      </c>
      <c r="K2011">
        <v>0.96271723726411396</v>
      </c>
      <c r="L2011">
        <v>0.82357982625739001</v>
      </c>
      <c r="M2011">
        <v>0.47256097560975602</v>
      </c>
      <c r="N2011">
        <v>0.99695121951219501</v>
      </c>
      <c r="O2011">
        <v>0.62713414634146303</v>
      </c>
      <c r="P2011" t="s">
        <v>9101</v>
      </c>
      <c r="Q2011" t="s">
        <v>9102</v>
      </c>
      <c r="R2011" t="s">
        <v>288</v>
      </c>
      <c r="S2011" t="s">
        <v>289</v>
      </c>
      <c r="V2011" t="s">
        <v>9103</v>
      </c>
      <c r="W2011" t="s">
        <v>9104</v>
      </c>
      <c r="AF2011" t="s">
        <v>9108</v>
      </c>
    </row>
    <row r="2012" spans="1:32" hidden="1" x14ac:dyDescent="0.35">
      <c r="A2012">
        <v>4368</v>
      </c>
      <c r="B2012" t="s">
        <v>9100</v>
      </c>
      <c r="C2012" t="s">
        <v>72</v>
      </c>
      <c r="D2012" t="s">
        <v>45</v>
      </c>
      <c r="E2012">
        <v>976</v>
      </c>
      <c r="F2012">
        <v>5</v>
      </c>
      <c r="G2012">
        <v>5</v>
      </c>
      <c r="H2012">
        <v>1</v>
      </c>
      <c r="I2012">
        <v>1</v>
      </c>
      <c r="J2012">
        <v>0.71958174904942995</v>
      </c>
      <c r="K2012">
        <v>0.96271723726411396</v>
      </c>
      <c r="L2012">
        <v>0.82357982625739001</v>
      </c>
      <c r="M2012">
        <v>0.47256097560975602</v>
      </c>
      <c r="N2012">
        <v>0.99695121951219501</v>
      </c>
      <c r="O2012">
        <v>0.62713414634146303</v>
      </c>
      <c r="P2012" t="s">
        <v>9101</v>
      </c>
      <c r="Q2012" t="s">
        <v>9102</v>
      </c>
      <c r="R2012" t="s">
        <v>288</v>
      </c>
      <c r="S2012" t="s">
        <v>289</v>
      </c>
      <c r="V2012" t="s">
        <v>9103</v>
      </c>
      <c r="W2012" t="s">
        <v>9104</v>
      </c>
      <c r="AF2012" t="s">
        <v>9109</v>
      </c>
    </row>
    <row r="2013" spans="1:32" hidden="1" x14ac:dyDescent="0.35">
      <c r="A2013">
        <v>4379</v>
      </c>
      <c r="B2013" t="s">
        <v>9120</v>
      </c>
      <c r="C2013" t="s">
        <v>72</v>
      </c>
      <c r="D2013" t="s">
        <v>58</v>
      </c>
      <c r="E2013">
        <v>860</v>
      </c>
      <c r="F2013">
        <v>5</v>
      </c>
      <c r="G2013">
        <v>5</v>
      </c>
      <c r="H2013">
        <v>1</v>
      </c>
      <c r="I2013">
        <v>1</v>
      </c>
      <c r="J2013">
        <v>0.77811158798283298</v>
      </c>
      <c r="K2013">
        <v>0.71336609925677397</v>
      </c>
      <c r="L2013">
        <v>0.74433353318631801</v>
      </c>
      <c r="M2013">
        <v>0.38659793814433002</v>
      </c>
      <c r="N2013">
        <v>0.99484536082474195</v>
      </c>
      <c r="O2013">
        <v>0.60077319587628897</v>
      </c>
      <c r="P2013" t="s">
        <v>9121</v>
      </c>
      <c r="Q2013" t="s">
        <v>7176</v>
      </c>
      <c r="R2013" t="s">
        <v>288</v>
      </c>
      <c r="S2013" t="s">
        <v>289</v>
      </c>
      <c r="V2013" t="s">
        <v>9122</v>
      </c>
      <c r="W2013" t="s">
        <v>9123</v>
      </c>
      <c r="AF2013" t="s">
        <v>9124</v>
      </c>
    </row>
    <row r="2014" spans="1:32" hidden="1" x14ac:dyDescent="0.35">
      <c r="A2014">
        <v>4380</v>
      </c>
      <c r="B2014" t="s">
        <v>9120</v>
      </c>
      <c r="C2014" t="s">
        <v>72</v>
      </c>
      <c r="D2014" t="s">
        <v>60</v>
      </c>
      <c r="E2014">
        <v>1180</v>
      </c>
      <c r="F2014">
        <v>5</v>
      </c>
      <c r="G2014">
        <v>5</v>
      </c>
      <c r="H2014">
        <v>1</v>
      </c>
      <c r="I2014">
        <v>1</v>
      </c>
      <c r="J2014">
        <v>0.77811158798283298</v>
      </c>
      <c r="K2014">
        <v>0.71336609925677397</v>
      </c>
      <c r="L2014">
        <v>0.74433353318631801</v>
      </c>
      <c r="M2014">
        <v>0.38659793814433002</v>
      </c>
      <c r="N2014">
        <v>0.99484536082474195</v>
      </c>
      <c r="O2014">
        <v>0.60077319587628897</v>
      </c>
      <c r="P2014" t="s">
        <v>9125</v>
      </c>
      <c r="Q2014" t="s">
        <v>7176</v>
      </c>
      <c r="R2014" t="s">
        <v>288</v>
      </c>
      <c r="S2014" t="s">
        <v>289</v>
      </c>
      <c r="V2014" t="s">
        <v>9122</v>
      </c>
      <c r="W2014" t="s">
        <v>9123</v>
      </c>
      <c r="AF2014" t="e">
        <f>-----------------------------------------------------------------------------------------------------------------------------------------------------------------------MKEPSLPQDITSRDLDPSILQDLRSLSKDNAEQVGRHMVMAATLMQDDPQLALQHARAAKERAGRVAVVRETCGIAAYHAGEWKEALAELRAARRMSGGPGLMAVMADCERGLGHPEKAIEIARSEELSRLDAASMVELAIVVAGARQDMGQFDAAVAELERQDLNPSRHGVSASRLFYAYADALAAAGRTAEARQWFEHAADADEDELLDAADRLHELEG</f>
        <v>#NAME?</v>
      </c>
    </row>
    <row r="2015" spans="1:32" hidden="1" x14ac:dyDescent="0.35">
      <c r="A2015">
        <v>4381</v>
      </c>
      <c r="B2015" t="s">
        <v>9120</v>
      </c>
      <c r="C2015" t="s">
        <v>72</v>
      </c>
      <c r="D2015" t="s">
        <v>62</v>
      </c>
      <c r="E2015">
        <v>1217</v>
      </c>
      <c r="F2015">
        <v>5</v>
      </c>
      <c r="G2015">
        <v>5</v>
      </c>
      <c r="H2015">
        <v>1</v>
      </c>
      <c r="I2015">
        <v>1</v>
      </c>
      <c r="J2015">
        <v>0.77811158798283298</v>
      </c>
      <c r="K2015">
        <v>0.71336609925677397</v>
      </c>
      <c r="L2015">
        <v>0.74433353318631801</v>
      </c>
      <c r="M2015">
        <v>0.38659793814433002</v>
      </c>
      <c r="N2015">
        <v>0.99484536082474195</v>
      </c>
      <c r="O2015">
        <v>0.60077319587628897</v>
      </c>
      <c r="R2015" t="s">
        <v>288</v>
      </c>
      <c r="S2015" t="s">
        <v>289</v>
      </c>
      <c r="V2015" t="s">
        <v>9122</v>
      </c>
      <c r="W2015" t="s">
        <v>9123</v>
      </c>
      <c r="AF2015" t="s">
        <v>9126</v>
      </c>
    </row>
    <row r="2016" spans="1:32" hidden="1" x14ac:dyDescent="0.35">
      <c r="A2016">
        <v>4382</v>
      </c>
      <c r="B2016" t="s">
        <v>9120</v>
      </c>
      <c r="C2016" t="s">
        <v>72</v>
      </c>
      <c r="D2016" t="s">
        <v>34</v>
      </c>
      <c r="E2016">
        <v>1647</v>
      </c>
      <c r="F2016">
        <v>5</v>
      </c>
      <c r="G2016">
        <v>5</v>
      </c>
      <c r="H2016">
        <v>1</v>
      </c>
      <c r="I2016">
        <v>1</v>
      </c>
      <c r="J2016">
        <v>0.77811158798283298</v>
      </c>
      <c r="K2016">
        <v>0.71336609925677397</v>
      </c>
      <c r="L2016">
        <v>0.74433353318631801</v>
      </c>
      <c r="M2016">
        <v>0.38659793814433002</v>
      </c>
      <c r="N2016">
        <v>0.99484536082474195</v>
      </c>
      <c r="O2016">
        <v>0.60077319587628897</v>
      </c>
      <c r="P2016" t="s">
        <v>9125</v>
      </c>
      <c r="Q2016" t="s">
        <v>7176</v>
      </c>
      <c r="R2016" t="s">
        <v>288</v>
      </c>
      <c r="S2016" t="s">
        <v>289</v>
      </c>
      <c r="V2016" t="s">
        <v>9122</v>
      </c>
      <c r="W2016" t="s">
        <v>9123</v>
      </c>
      <c r="AF2016" t="e">
        <f>-------------------------------------------------------------------------------------------------------------------------------------------------------------------MTSRLNEPDLPDDLDIRDLDPLVLQDLRVLSKDNANAVAKHILMAALLMEEDPKLALSHARAAKERAGRVSVVRETCGIAAYKAGEWKEALSELRAARRISGGPGLIAVMADCERGLGRPEKAIELAAEADSKNLDMPMRIELAIVTAGAHQDMGQFDAAVVTLQDMNPDPSRIEPAWARLSYAYADALAAAGQIAQARTWFTHAAEQDVEEFLDAQERLAEL-G</f>
        <v>#NAME?</v>
      </c>
    </row>
    <row r="2017" spans="1:32" hidden="1" x14ac:dyDescent="0.35">
      <c r="A2017">
        <v>4383</v>
      </c>
      <c r="B2017" t="s">
        <v>9120</v>
      </c>
      <c r="C2017" t="s">
        <v>72</v>
      </c>
      <c r="D2017" t="s">
        <v>45</v>
      </c>
      <c r="E2017">
        <v>1230</v>
      </c>
      <c r="F2017">
        <v>5</v>
      </c>
      <c r="G2017">
        <v>5</v>
      </c>
      <c r="H2017">
        <v>1</v>
      </c>
      <c r="I2017">
        <v>1</v>
      </c>
      <c r="J2017">
        <v>0.77811158798283298</v>
      </c>
      <c r="K2017">
        <v>0.71336609925677397</v>
      </c>
      <c r="L2017">
        <v>0.74433353318631801</v>
      </c>
      <c r="M2017">
        <v>0.38659793814433002</v>
      </c>
      <c r="N2017">
        <v>0.99484536082474195</v>
      </c>
      <c r="O2017">
        <v>0.60077319587628897</v>
      </c>
      <c r="P2017" t="s">
        <v>9125</v>
      </c>
      <c r="Q2017" t="s">
        <v>7176</v>
      </c>
      <c r="R2017" t="s">
        <v>288</v>
      </c>
      <c r="S2017" t="s">
        <v>289</v>
      </c>
      <c r="V2017" t="s">
        <v>9122</v>
      </c>
      <c r="W2017" t="s">
        <v>9123</v>
      </c>
      <c r="AF2017" t="e">
        <f>-------------------------------------------------------------------------------------------------------------------------------------------------------------------MTSRLNEPDLPDDLDIRDLDPLVLQDLRVLSKDNANAVAKHILMAALLMEEDPKLALSHARAAKERAGRVSVVRETCGIAAYKAGEWKEALSELRAARRISGGPGLIAVMADCERGLGRPEKAIELAAEADSKNLDMPMRIELAIVTAGAHQDMGQFDAAVVTLQDMNPDPSRIEPAWARLSYAYADALAAAGQIAQARTWFTHAVEQDAEEFLDAQERLAEL-G</f>
        <v>#NAME?</v>
      </c>
    </row>
    <row r="2018" spans="1:32" hidden="1" x14ac:dyDescent="0.35">
      <c r="A2018">
        <v>4414</v>
      </c>
      <c r="B2018" t="s">
        <v>9202</v>
      </c>
      <c r="C2018" t="s">
        <v>72</v>
      </c>
      <c r="D2018" t="s">
        <v>58</v>
      </c>
      <c r="E2018">
        <v>585</v>
      </c>
      <c r="F2018">
        <v>5</v>
      </c>
      <c r="G2018">
        <v>5</v>
      </c>
      <c r="H2018">
        <v>1</v>
      </c>
      <c r="I2018">
        <v>1</v>
      </c>
      <c r="J2018">
        <v>0.84017412935323399</v>
      </c>
      <c r="K2018">
        <v>0.95843839087741201</v>
      </c>
      <c r="L2018">
        <v>0.89541814208085402</v>
      </c>
      <c r="M2018">
        <v>0.70454545454545503</v>
      </c>
      <c r="N2018">
        <v>0.993506493506494</v>
      </c>
      <c r="O2018">
        <v>0.78262987012986995</v>
      </c>
      <c r="P2018" t="s">
        <v>169</v>
      </c>
      <c r="Q2018" t="s">
        <v>170</v>
      </c>
      <c r="R2018" t="s">
        <v>288</v>
      </c>
      <c r="S2018" t="s">
        <v>289</v>
      </c>
      <c r="T2018" t="s">
        <v>9203</v>
      </c>
      <c r="U2018" t="s">
        <v>9204</v>
      </c>
      <c r="V2018" t="s">
        <v>3589</v>
      </c>
      <c r="W2018" t="s">
        <v>3590</v>
      </c>
      <c r="AD2018" t="s">
        <v>166</v>
      </c>
      <c r="AE2018" t="s">
        <v>9205</v>
      </c>
      <c r="AF2018" t="s">
        <v>9206</v>
      </c>
    </row>
    <row r="2019" spans="1:32" hidden="1" x14ac:dyDescent="0.35">
      <c r="A2019">
        <v>4415</v>
      </c>
      <c r="B2019" t="s">
        <v>9202</v>
      </c>
      <c r="C2019" t="s">
        <v>72</v>
      </c>
      <c r="D2019" t="s">
        <v>60</v>
      </c>
      <c r="E2019">
        <v>797</v>
      </c>
      <c r="F2019">
        <v>5</v>
      </c>
      <c r="G2019">
        <v>5</v>
      </c>
      <c r="H2019">
        <v>1</v>
      </c>
      <c r="I2019">
        <v>1</v>
      </c>
      <c r="J2019">
        <v>0.84017412935323399</v>
      </c>
      <c r="K2019">
        <v>0.95843839087741201</v>
      </c>
      <c r="L2019">
        <v>0.89541814208085402</v>
      </c>
      <c r="M2019">
        <v>0.70454545454545503</v>
      </c>
      <c r="N2019">
        <v>0.993506493506494</v>
      </c>
      <c r="O2019">
        <v>0.78262987012986995</v>
      </c>
      <c r="P2019" t="s">
        <v>169</v>
      </c>
      <c r="Q2019" t="s">
        <v>170</v>
      </c>
      <c r="R2019" t="s">
        <v>288</v>
      </c>
      <c r="S2019" t="s">
        <v>289</v>
      </c>
      <c r="T2019" t="s">
        <v>9203</v>
      </c>
      <c r="U2019" t="s">
        <v>9204</v>
      </c>
      <c r="V2019" t="s">
        <v>3589</v>
      </c>
      <c r="W2019" t="s">
        <v>3590</v>
      </c>
      <c r="AD2019" t="s">
        <v>166</v>
      </c>
      <c r="AE2019" t="s">
        <v>9205</v>
      </c>
      <c r="AF2019" t="s">
        <v>9207</v>
      </c>
    </row>
    <row r="2020" spans="1:32" hidden="1" x14ac:dyDescent="0.35">
      <c r="A2020">
        <v>4416</v>
      </c>
      <c r="B2020" t="s">
        <v>9202</v>
      </c>
      <c r="C2020" t="s">
        <v>72</v>
      </c>
      <c r="D2020" t="s">
        <v>62</v>
      </c>
      <c r="E2020">
        <v>830</v>
      </c>
      <c r="F2020">
        <v>5</v>
      </c>
      <c r="G2020">
        <v>5</v>
      </c>
      <c r="H2020">
        <v>1</v>
      </c>
      <c r="I2020">
        <v>1</v>
      </c>
      <c r="J2020">
        <v>0.84017412935323399</v>
      </c>
      <c r="K2020">
        <v>0.95843839087741201</v>
      </c>
      <c r="L2020">
        <v>0.89541814208085402</v>
      </c>
      <c r="M2020">
        <v>0.70454545454545503</v>
      </c>
      <c r="N2020">
        <v>0.993506493506494</v>
      </c>
      <c r="O2020">
        <v>0.78262987012986995</v>
      </c>
      <c r="P2020" t="s">
        <v>169</v>
      </c>
      <c r="Q2020" t="s">
        <v>170</v>
      </c>
      <c r="R2020" t="s">
        <v>288</v>
      </c>
      <c r="S2020" t="s">
        <v>289</v>
      </c>
      <c r="T2020" t="s">
        <v>9203</v>
      </c>
      <c r="U2020" t="s">
        <v>9204</v>
      </c>
      <c r="V2020" t="s">
        <v>3589</v>
      </c>
      <c r="W2020" t="s">
        <v>3590</v>
      </c>
      <c r="AD2020" t="s">
        <v>166</v>
      </c>
      <c r="AE2020" t="s">
        <v>9205</v>
      </c>
      <c r="AF2020" t="s">
        <v>9208</v>
      </c>
    </row>
    <row r="2021" spans="1:32" hidden="1" x14ac:dyDescent="0.35">
      <c r="A2021">
        <v>4417</v>
      </c>
      <c r="B2021" t="s">
        <v>9202</v>
      </c>
      <c r="C2021" t="s">
        <v>72</v>
      </c>
      <c r="D2021" t="s">
        <v>34</v>
      </c>
      <c r="E2021">
        <v>338</v>
      </c>
      <c r="F2021">
        <v>5</v>
      </c>
      <c r="G2021">
        <v>5</v>
      </c>
      <c r="H2021">
        <v>1</v>
      </c>
      <c r="I2021">
        <v>1</v>
      </c>
      <c r="J2021">
        <v>0.84017412935323399</v>
      </c>
      <c r="K2021">
        <v>0.95843839087741201</v>
      </c>
      <c r="L2021">
        <v>0.89541814208085402</v>
      </c>
      <c r="M2021">
        <v>0.70454545454545503</v>
      </c>
      <c r="N2021">
        <v>0.993506493506494</v>
      </c>
      <c r="O2021">
        <v>0.78262987012986995</v>
      </c>
      <c r="P2021" t="s">
        <v>169</v>
      </c>
      <c r="Q2021" t="s">
        <v>170</v>
      </c>
      <c r="R2021" t="s">
        <v>288</v>
      </c>
      <c r="S2021" t="s">
        <v>289</v>
      </c>
      <c r="T2021" t="s">
        <v>9203</v>
      </c>
      <c r="U2021" t="s">
        <v>9204</v>
      </c>
      <c r="V2021" t="s">
        <v>3589</v>
      </c>
      <c r="W2021" t="s">
        <v>3590</v>
      </c>
      <c r="AD2021" t="s">
        <v>166</v>
      </c>
      <c r="AE2021" t="s">
        <v>9205</v>
      </c>
      <c r="AF2021" t="s">
        <v>9209</v>
      </c>
    </row>
    <row r="2022" spans="1:32" hidden="1" x14ac:dyDescent="0.35">
      <c r="A2022">
        <v>4418</v>
      </c>
      <c r="B2022" t="s">
        <v>9202</v>
      </c>
      <c r="C2022" t="s">
        <v>72</v>
      </c>
      <c r="D2022" t="s">
        <v>45</v>
      </c>
      <c r="E2022">
        <v>1600</v>
      </c>
      <c r="F2022">
        <v>5</v>
      </c>
      <c r="G2022">
        <v>5</v>
      </c>
      <c r="H2022">
        <v>1</v>
      </c>
      <c r="I2022">
        <v>1</v>
      </c>
      <c r="J2022">
        <v>0.84017412935323399</v>
      </c>
      <c r="K2022">
        <v>0.95843839087741201</v>
      </c>
      <c r="L2022">
        <v>0.89541814208085402</v>
      </c>
      <c r="M2022">
        <v>0.70454545454545503</v>
      </c>
      <c r="N2022">
        <v>0.993506493506494</v>
      </c>
      <c r="O2022">
        <v>0.78262987012986995</v>
      </c>
      <c r="P2022" t="s">
        <v>169</v>
      </c>
      <c r="Q2022" t="s">
        <v>170</v>
      </c>
      <c r="R2022" t="s">
        <v>288</v>
      </c>
      <c r="S2022" t="s">
        <v>289</v>
      </c>
      <c r="T2022" t="s">
        <v>9203</v>
      </c>
      <c r="U2022" t="s">
        <v>9204</v>
      </c>
      <c r="V2022" t="s">
        <v>3589</v>
      </c>
      <c r="W2022" t="s">
        <v>3590</v>
      </c>
      <c r="AD2022" t="s">
        <v>166</v>
      </c>
      <c r="AE2022" t="s">
        <v>9205</v>
      </c>
      <c r="AF2022" t="s">
        <v>9210</v>
      </c>
    </row>
    <row r="2023" spans="1:32" hidden="1" x14ac:dyDescent="0.35">
      <c r="A2023">
        <v>4464</v>
      </c>
      <c r="B2023" t="s">
        <v>9295</v>
      </c>
      <c r="C2023" t="s">
        <v>72</v>
      </c>
      <c r="D2023" t="s">
        <v>58</v>
      </c>
      <c r="E2023">
        <v>314</v>
      </c>
      <c r="F2023">
        <v>5</v>
      </c>
      <c r="G2023">
        <v>5</v>
      </c>
      <c r="H2023">
        <v>1</v>
      </c>
      <c r="I2023">
        <v>1</v>
      </c>
      <c r="J2023">
        <v>0.827595200834637</v>
      </c>
      <c r="K2023">
        <v>0.95913378953000195</v>
      </c>
      <c r="L2023">
        <v>0.88852257444076499</v>
      </c>
      <c r="M2023">
        <v>0.56928838951310901</v>
      </c>
      <c r="N2023">
        <v>0.99625468164793995</v>
      </c>
      <c r="O2023">
        <v>0.73707865168539299</v>
      </c>
      <c r="P2023" t="s">
        <v>5019</v>
      </c>
      <c r="Q2023" t="s">
        <v>5020</v>
      </c>
      <c r="R2023" t="s">
        <v>288</v>
      </c>
      <c r="S2023" t="s">
        <v>289</v>
      </c>
      <c r="V2023" t="s">
        <v>5023</v>
      </c>
      <c r="W2023" t="s">
        <v>5024</v>
      </c>
      <c r="AF2023" t="e">
        <f>----------------------MAMARDLAHLGYDVTVVARRRNVLEEFAAELPG----SPEVFPCDLSDPAQREQFNEYLRTTDVAVLVNSAGIASFGPFMKQDWGYETQQFELNASAVFEATRAVLPQMLERGKGAICNVGSAAGDVVIPNNATYIFTKAGVNAFTEALHYELQGTGVHCTLLAPGPVREAHIPEEQQSIVDKVVPDFLWTTYESCSQETLRAMSANKRRVVPGPLSKFGSLVGRALPTALSAPLIGSFYAKMGE</f>
        <v>#NAME?</v>
      </c>
    </row>
    <row r="2024" spans="1:32" hidden="1" x14ac:dyDescent="0.35">
      <c r="A2024">
        <v>4465</v>
      </c>
      <c r="B2024" t="s">
        <v>9295</v>
      </c>
      <c r="C2024" t="s">
        <v>72</v>
      </c>
      <c r="D2024" t="s">
        <v>60</v>
      </c>
      <c r="E2024">
        <v>2033</v>
      </c>
      <c r="F2024">
        <v>5</v>
      </c>
      <c r="G2024">
        <v>5</v>
      </c>
      <c r="H2024">
        <v>1</v>
      </c>
      <c r="I2024">
        <v>1</v>
      </c>
      <c r="J2024">
        <v>0.827595200834637</v>
      </c>
      <c r="K2024">
        <v>0.95913378953000195</v>
      </c>
      <c r="L2024">
        <v>0.88852257444076499</v>
      </c>
      <c r="M2024">
        <v>0.56928838951310901</v>
      </c>
      <c r="N2024">
        <v>0.99625468164793995</v>
      </c>
      <c r="O2024">
        <v>0.73707865168539299</v>
      </c>
      <c r="P2024" t="s">
        <v>5019</v>
      </c>
      <c r="Q2024" t="s">
        <v>5020</v>
      </c>
      <c r="R2024" t="s">
        <v>288</v>
      </c>
      <c r="S2024" t="s">
        <v>289</v>
      </c>
      <c r="T2024" t="s">
        <v>9296</v>
      </c>
      <c r="U2024" t="s">
        <v>9297</v>
      </c>
      <c r="V2024" t="s">
        <v>5023</v>
      </c>
      <c r="W2024" t="s">
        <v>5024</v>
      </c>
      <c r="Z2024" t="s">
        <v>144</v>
      </c>
      <c r="AA2024" t="s">
        <v>145</v>
      </c>
      <c r="AB2024" t="s">
        <v>144</v>
      </c>
      <c r="AC2024" t="s">
        <v>146</v>
      </c>
      <c r="AD2024" t="s">
        <v>410</v>
      </c>
      <c r="AE2024" t="s">
        <v>411</v>
      </c>
      <c r="AF2024" t="s">
        <v>9298</v>
      </c>
    </row>
    <row r="2025" spans="1:32" hidden="1" x14ac:dyDescent="0.35">
      <c r="A2025">
        <v>4466</v>
      </c>
      <c r="B2025" t="s">
        <v>9295</v>
      </c>
      <c r="C2025" t="s">
        <v>72</v>
      </c>
      <c r="D2025" t="s">
        <v>62</v>
      </c>
      <c r="E2025">
        <v>2072</v>
      </c>
      <c r="F2025">
        <v>5</v>
      </c>
      <c r="G2025">
        <v>5</v>
      </c>
      <c r="H2025">
        <v>1</v>
      </c>
      <c r="I2025">
        <v>1</v>
      </c>
      <c r="J2025">
        <v>0.827595200834637</v>
      </c>
      <c r="K2025">
        <v>0.95913378953000195</v>
      </c>
      <c r="L2025">
        <v>0.88852257444076499</v>
      </c>
      <c r="M2025">
        <v>0.56928838951310901</v>
      </c>
      <c r="N2025">
        <v>0.99625468164793995</v>
      </c>
      <c r="O2025">
        <v>0.73707865168539299</v>
      </c>
      <c r="P2025" t="s">
        <v>5019</v>
      </c>
      <c r="Q2025" t="s">
        <v>5020</v>
      </c>
      <c r="R2025" t="s">
        <v>288</v>
      </c>
      <c r="S2025" t="s">
        <v>289</v>
      </c>
      <c r="T2025" t="s">
        <v>9296</v>
      </c>
      <c r="U2025" t="s">
        <v>9297</v>
      </c>
      <c r="V2025" t="s">
        <v>5023</v>
      </c>
      <c r="W2025" t="s">
        <v>5024</v>
      </c>
      <c r="Z2025" t="s">
        <v>144</v>
      </c>
      <c r="AA2025" t="s">
        <v>145</v>
      </c>
      <c r="AB2025" t="s">
        <v>144</v>
      </c>
      <c r="AC2025" t="s">
        <v>146</v>
      </c>
      <c r="AD2025" t="s">
        <v>410</v>
      </c>
      <c r="AE2025" t="s">
        <v>411</v>
      </c>
      <c r="AF2025" t="s">
        <v>9299</v>
      </c>
    </row>
    <row r="2026" spans="1:32" hidden="1" x14ac:dyDescent="0.35">
      <c r="A2026">
        <v>4467</v>
      </c>
      <c r="B2026" t="s">
        <v>9295</v>
      </c>
      <c r="C2026" t="s">
        <v>72</v>
      </c>
      <c r="D2026" t="s">
        <v>34</v>
      </c>
      <c r="E2026">
        <v>2373</v>
      </c>
      <c r="F2026">
        <v>5</v>
      </c>
      <c r="G2026">
        <v>5</v>
      </c>
      <c r="H2026">
        <v>1</v>
      </c>
      <c r="I2026">
        <v>1</v>
      </c>
      <c r="J2026">
        <v>0.827595200834637</v>
      </c>
      <c r="K2026">
        <v>0.95913378953000195</v>
      </c>
      <c r="L2026">
        <v>0.88852257444076499</v>
      </c>
      <c r="M2026">
        <v>0.56928838951310901</v>
      </c>
      <c r="N2026">
        <v>0.99625468164793995</v>
      </c>
      <c r="O2026">
        <v>0.73707865168539299</v>
      </c>
      <c r="P2026" t="s">
        <v>5019</v>
      </c>
      <c r="Q2026" t="s">
        <v>5020</v>
      </c>
      <c r="R2026" t="s">
        <v>288</v>
      </c>
      <c r="S2026" t="s">
        <v>289</v>
      </c>
      <c r="T2026" t="s">
        <v>9296</v>
      </c>
      <c r="U2026" t="s">
        <v>9297</v>
      </c>
      <c r="V2026" t="s">
        <v>5023</v>
      </c>
      <c r="W2026" t="s">
        <v>5024</v>
      </c>
      <c r="Z2026" t="s">
        <v>144</v>
      </c>
      <c r="AA2026" t="s">
        <v>145</v>
      </c>
      <c r="AB2026" t="s">
        <v>144</v>
      </c>
      <c r="AC2026" t="s">
        <v>146</v>
      </c>
      <c r="AD2026" t="s">
        <v>410</v>
      </c>
      <c r="AE2026" t="s">
        <v>411</v>
      </c>
      <c r="AF2026" t="s">
        <v>9300</v>
      </c>
    </row>
    <row r="2027" spans="1:32" hidden="1" x14ac:dyDescent="0.35">
      <c r="A2027">
        <v>4468</v>
      </c>
      <c r="B2027" t="s">
        <v>9295</v>
      </c>
      <c r="C2027" t="s">
        <v>72</v>
      </c>
      <c r="D2027" t="s">
        <v>45</v>
      </c>
      <c r="E2027">
        <v>506</v>
      </c>
      <c r="F2027">
        <v>5</v>
      </c>
      <c r="G2027">
        <v>5</v>
      </c>
      <c r="H2027">
        <v>1</v>
      </c>
      <c r="I2027">
        <v>1</v>
      </c>
      <c r="J2027">
        <v>0.827595200834637</v>
      </c>
      <c r="K2027">
        <v>0.95913378953000195</v>
      </c>
      <c r="L2027">
        <v>0.88852257444076499</v>
      </c>
      <c r="M2027">
        <v>0.56928838951310901</v>
      </c>
      <c r="N2027">
        <v>0.99625468164793995</v>
      </c>
      <c r="O2027">
        <v>0.73707865168539299</v>
      </c>
      <c r="P2027" t="s">
        <v>5019</v>
      </c>
      <c r="Q2027" t="s">
        <v>5020</v>
      </c>
      <c r="R2027" t="s">
        <v>288</v>
      </c>
      <c r="S2027" t="s">
        <v>289</v>
      </c>
      <c r="T2027" t="s">
        <v>9296</v>
      </c>
      <c r="U2027" t="s">
        <v>9297</v>
      </c>
      <c r="V2027" t="s">
        <v>5023</v>
      </c>
      <c r="W2027" t="s">
        <v>5024</v>
      </c>
      <c r="Z2027" t="s">
        <v>144</v>
      </c>
      <c r="AA2027" t="s">
        <v>145</v>
      </c>
      <c r="AB2027" t="s">
        <v>144</v>
      </c>
      <c r="AC2027" t="s">
        <v>146</v>
      </c>
      <c r="AD2027" t="s">
        <v>410</v>
      </c>
      <c r="AE2027" t="s">
        <v>411</v>
      </c>
      <c r="AF2027" t="s">
        <v>9301</v>
      </c>
    </row>
    <row r="2028" spans="1:32" hidden="1" x14ac:dyDescent="0.35">
      <c r="A2028">
        <v>239</v>
      </c>
      <c r="B2028" t="s">
        <v>401</v>
      </c>
      <c r="C2028" t="s">
        <v>72</v>
      </c>
      <c r="D2028" t="s">
        <v>58</v>
      </c>
      <c r="E2028">
        <v>1018</v>
      </c>
      <c r="F2028">
        <v>5</v>
      </c>
      <c r="G2028">
        <v>7</v>
      </c>
      <c r="H2028">
        <v>2</v>
      </c>
      <c r="I2028">
        <v>0</v>
      </c>
      <c r="J2028">
        <v>0.68728631348912606</v>
      </c>
      <c r="K2028">
        <v>0.86083499709726297</v>
      </c>
      <c r="L2028">
        <v>0.76433301141407595</v>
      </c>
      <c r="M2028">
        <v>0.48684210526315802</v>
      </c>
      <c r="N2028">
        <v>0.994360902255639</v>
      </c>
      <c r="O2028">
        <v>0.60418904403866802</v>
      </c>
      <c r="P2028" t="s">
        <v>402</v>
      </c>
      <c r="Q2028" t="s">
        <v>403</v>
      </c>
      <c r="R2028" t="s">
        <v>404</v>
      </c>
      <c r="S2028" t="s">
        <v>405</v>
      </c>
      <c r="T2028" t="s">
        <v>406</v>
      </c>
      <c r="U2028" t="s">
        <v>407</v>
      </c>
      <c r="V2028" t="s">
        <v>408</v>
      </c>
      <c r="W2028" t="s">
        <v>409</v>
      </c>
      <c r="AD2028" t="s">
        <v>410</v>
      </c>
      <c r="AE2028" t="s">
        <v>411</v>
      </c>
      <c r="AF2028" t="s">
        <v>412</v>
      </c>
    </row>
    <row r="2029" spans="1:32" hidden="1" x14ac:dyDescent="0.35">
      <c r="A2029">
        <v>240</v>
      </c>
      <c r="B2029" t="s">
        <v>401</v>
      </c>
      <c r="C2029" t="s">
        <v>72</v>
      </c>
      <c r="D2029" t="s">
        <v>60</v>
      </c>
      <c r="E2029">
        <v>1387</v>
      </c>
      <c r="F2029">
        <v>5</v>
      </c>
      <c r="G2029">
        <v>7</v>
      </c>
      <c r="H2029">
        <v>2</v>
      </c>
      <c r="I2029">
        <v>0</v>
      </c>
      <c r="J2029">
        <v>0.68728631348912606</v>
      </c>
      <c r="K2029">
        <v>0.86083499709726297</v>
      </c>
      <c r="L2029">
        <v>0.76433301141407595</v>
      </c>
      <c r="M2029">
        <v>0.48684210526315802</v>
      </c>
      <c r="N2029">
        <v>0.994360902255639</v>
      </c>
      <c r="O2029">
        <v>0.60418904403866802</v>
      </c>
      <c r="P2029" t="s">
        <v>402</v>
      </c>
      <c r="Q2029" t="s">
        <v>403</v>
      </c>
      <c r="R2029" t="s">
        <v>404</v>
      </c>
      <c r="S2029" t="s">
        <v>405</v>
      </c>
      <c r="T2029" t="s">
        <v>406</v>
      </c>
      <c r="U2029" t="s">
        <v>407</v>
      </c>
      <c r="V2029" t="s">
        <v>408</v>
      </c>
      <c r="W2029" t="s">
        <v>409</v>
      </c>
      <c r="AD2029" t="s">
        <v>410</v>
      </c>
      <c r="AE2029" t="s">
        <v>411</v>
      </c>
      <c r="AF2029" t="s">
        <v>413</v>
      </c>
    </row>
    <row r="2030" spans="1:32" hidden="1" x14ac:dyDescent="0.35">
      <c r="A2030">
        <v>241</v>
      </c>
      <c r="B2030" t="s">
        <v>401</v>
      </c>
      <c r="C2030" t="s">
        <v>72</v>
      </c>
      <c r="D2030" t="s">
        <v>60</v>
      </c>
      <c r="E2030">
        <v>1386</v>
      </c>
      <c r="F2030">
        <v>5</v>
      </c>
      <c r="G2030">
        <v>7</v>
      </c>
      <c r="H2030">
        <v>2</v>
      </c>
      <c r="I2030">
        <v>0</v>
      </c>
      <c r="J2030">
        <v>0.68728631348912606</v>
      </c>
      <c r="K2030">
        <v>0.86083499709726297</v>
      </c>
      <c r="L2030">
        <v>0.76433301141407595</v>
      </c>
      <c r="M2030">
        <v>0.48684210526315802</v>
      </c>
      <c r="N2030">
        <v>0.994360902255639</v>
      </c>
      <c r="O2030">
        <v>0.60418904403866802</v>
      </c>
      <c r="P2030" t="s">
        <v>402</v>
      </c>
      <c r="Q2030" t="s">
        <v>403</v>
      </c>
      <c r="R2030" t="s">
        <v>404</v>
      </c>
      <c r="S2030" t="s">
        <v>405</v>
      </c>
      <c r="T2030" t="s">
        <v>406</v>
      </c>
      <c r="U2030" t="s">
        <v>407</v>
      </c>
      <c r="V2030" t="s">
        <v>408</v>
      </c>
      <c r="W2030" t="s">
        <v>409</v>
      </c>
      <c r="AD2030" t="s">
        <v>410</v>
      </c>
      <c r="AE2030" t="s">
        <v>411</v>
      </c>
      <c r="AF2030" t="s">
        <v>414</v>
      </c>
    </row>
    <row r="2031" spans="1:32" hidden="1" x14ac:dyDescent="0.35">
      <c r="A2031">
        <v>242</v>
      </c>
      <c r="B2031" t="s">
        <v>401</v>
      </c>
      <c r="C2031" t="s">
        <v>72</v>
      </c>
      <c r="D2031" t="s">
        <v>62</v>
      </c>
      <c r="E2031">
        <v>1422</v>
      </c>
      <c r="F2031">
        <v>5</v>
      </c>
      <c r="G2031">
        <v>7</v>
      </c>
      <c r="H2031">
        <v>2</v>
      </c>
      <c r="I2031">
        <v>0</v>
      </c>
      <c r="J2031">
        <v>0.68728631348912606</v>
      </c>
      <c r="K2031">
        <v>0.86083499709726297</v>
      </c>
      <c r="L2031">
        <v>0.76433301141407595</v>
      </c>
      <c r="M2031">
        <v>0.48684210526315802</v>
      </c>
      <c r="N2031">
        <v>0.994360902255639</v>
      </c>
      <c r="O2031">
        <v>0.60418904403866802</v>
      </c>
      <c r="P2031" t="s">
        <v>402</v>
      </c>
      <c r="Q2031" t="s">
        <v>403</v>
      </c>
      <c r="R2031" t="s">
        <v>404</v>
      </c>
      <c r="S2031" t="s">
        <v>405</v>
      </c>
      <c r="T2031" t="s">
        <v>406</v>
      </c>
      <c r="U2031" t="s">
        <v>407</v>
      </c>
      <c r="V2031" t="s">
        <v>408</v>
      </c>
      <c r="W2031" t="s">
        <v>409</v>
      </c>
      <c r="AD2031" t="s">
        <v>410</v>
      </c>
      <c r="AE2031" t="s">
        <v>411</v>
      </c>
      <c r="AF2031" t="s">
        <v>415</v>
      </c>
    </row>
    <row r="2032" spans="1:32" hidden="1" x14ac:dyDescent="0.35">
      <c r="A2032">
        <v>243</v>
      </c>
      <c r="B2032" t="s">
        <v>401</v>
      </c>
      <c r="C2032" t="s">
        <v>72</v>
      </c>
      <c r="D2032" t="s">
        <v>62</v>
      </c>
      <c r="E2032">
        <v>1421</v>
      </c>
      <c r="F2032">
        <v>5</v>
      </c>
      <c r="G2032">
        <v>7</v>
      </c>
      <c r="H2032">
        <v>2</v>
      </c>
      <c r="I2032">
        <v>0</v>
      </c>
      <c r="J2032">
        <v>0.68728631348912606</v>
      </c>
      <c r="K2032">
        <v>0.86083499709726297</v>
      </c>
      <c r="L2032">
        <v>0.76433301141407595</v>
      </c>
      <c r="M2032">
        <v>0.48684210526315802</v>
      </c>
      <c r="N2032">
        <v>0.994360902255639</v>
      </c>
      <c r="O2032">
        <v>0.60418904403866802</v>
      </c>
      <c r="P2032" t="s">
        <v>402</v>
      </c>
      <c r="Q2032" t="s">
        <v>403</v>
      </c>
      <c r="R2032" t="s">
        <v>404</v>
      </c>
      <c r="S2032" t="s">
        <v>405</v>
      </c>
      <c r="T2032" t="s">
        <v>406</v>
      </c>
      <c r="U2032" t="s">
        <v>407</v>
      </c>
      <c r="V2032" t="s">
        <v>408</v>
      </c>
      <c r="W2032" t="s">
        <v>409</v>
      </c>
      <c r="AD2032" t="s">
        <v>410</v>
      </c>
      <c r="AE2032" t="s">
        <v>411</v>
      </c>
      <c r="AF2032" t="s">
        <v>414</v>
      </c>
    </row>
    <row r="2033" spans="1:32" hidden="1" x14ac:dyDescent="0.35">
      <c r="A2033">
        <v>244</v>
      </c>
      <c r="B2033" t="s">
        <v>401</v>
      </c>
      <c r="C2033" t="s">
        <v>72</v>
      </c>
      <c r="D2033" t="s">
        <v>34</v>
      </c>
      <c r="E2033">
        <v>1810</v>
      </c>
      <c r="F2033">
        <v>5</v>
      </c>
      <c r="G2033">
        <v>7</v>
      </c>
      <c r="H2033">
        <v>2</v>
      </c>
      <c r="I2033">
        <v>0</v>
      </c>
      <c r="J2033">
        <v>0.68728631348912606</v>
      </c>
      <c r="K2033">
        <v>0.86083499709726297</v>
      </c>
      <c r="L2033">
        <v>0.76433301141407595</v>
      </c>
      <c r="M2033">
        <v>0.48684210526315802</v>
      </c>
      <c r="N2033">
        <v>0.994360902255639</v>
      </c>
      <c r="O2033">
        <v>0.60418904403866802</v>
      </c>
      <c r="P2033" t="s">
        <v>416</v>
      </c>
      <c r="Q2033" t="s">
        <v>417</v>
      </c>
      <c r="R2033" t="s">
        <v>404</v>
      </c>
      <c r="S2033" t="s">
        <v>405</v>
      </c>
      <c r="T2033" t="s">
        <v>406</v>
      </c>
      <c r="U2033" t="s">
        <v>407</v>
      </c>
      <c r="V2033" t="s">
        <v>408</v>
      </c>
      <c r="W2033" t="s">
        <v>409</v>
      </c>
      <c r="AD2033" t="s">
        <v>410</v>
      </c>
      <c r="AE2033" t="s">
        <v>411</v>
      </c>
      <c r="AF2033" t="e">
        <f>---MSLNTSHIVPARREEVWAWHSRPGAVARLNPPFYPFTPITQTTDLAKGTTVFALPAGLKWEARHDLSGYVKGFRFTDVCVSAPIRALATWRHSHSFMSIEVNGVPATKVTDEVHTRLP--QSSLAPMFAYRQQQLIHDMSAMQRFQQFSDH----------------------------PLTVAITGSRGLVGRALAAQLTTLGHKVIQLVRTAPKKRQ-------------RRWDPQSPAADLLAGVDVLVHLAGEPIMGRFTDAHKQALWDSRVGPTAKLAELVAKSPQCDTMISASAIGVYSF----NRGDEILTESSEAGEGFLAELSQAWEADCEAAVSAGKRVVNLRTGVVMSGRGGMLPLLRTLFSTGLGGQFHDGTAWFSWIALDDLTDIIITAAVDSSLSGPINAVSPNPIHNSEMVRTLGKQLHRPARFPIPNLGPRILLGSQGAEEFVLADQRVLPATLLKRGHVFRYRQFATAVAHELGYEQLFDAPEVDIAAMPLPEVESESAPSRWWRFPGFGRD</f>
        <v>#NAME?</v>
      </c>
    </row>
    <row r="2034" spans="1:32" hidden="1" x14ac:dyDescent="0.35">
      <c r="A2034">
        <v>245</v>
      </c>
      <c r="B2034" t="s">
        <v>401</v>
      </c>
      <c r="C2034" t="s">
        <v>72</v>
      </c>
      <c r="D2034" t="s">
        <v>45</v>
      </c>
      <c r="E2034">
        <v>1063</v>
      </c>
      <c r="F2034">
        <v>5</v>
      </c>
      <c r="G2034">
        <v>7</v>
      </c>
      <c r="H2034">
        <v>2</v>
      </c>
      <c r="I2034">
        <v>0</v>
      </c>
      <c r="J2034">
        <v>0.68728631348912606</v>
      </c>
      <c r="K2034">
        <v>0.86083499709726297</v>
      </c>
      <c r="L2034">
        <v>0.76433301141407595</v>
      </c>
      <c r="M2034">
        <v>0.48684210526315802</v>
      </c>
      <c r="N2034">
        <v>0.994360902255639</v>
      </c>
      <c r="O2034">
        <v>0.60418904403866802</v>
      </c>
      <c r="P2034" t="s">
        <v>416</v>
      </c>
      <c r="Q2034" t="s">
        <v>417</v>
      </c>
      <c r="R2034" t="s">
        <v>404</v>
      </c>
      <c r="S2034" t="s">
        <v>405</v>
      </c>
      <c r="T2034" t="s">
        <v>406</v>
      </c>
      <c r="U2034" t="s">
        <v>407</v>
      </c>
      <c r="V2034" t="s">
        <v>408</v>
      </c>
      <c r="W2034" t="s">
        <v>409</v>
      </c>
      <c r="AD2034" t="s">
        <v>410</v>
      </c>
      <c r="AE2034" t="s">
        <v>411</v>
      </c>
      <c r="AF2034" t="e">
        <f>---MSLNTSHIVPARREEVWAWHSRPGAVARLNPPFYPFTPITQTTDLAKGTTVFALPAGLKWEARHDLSGYVKGFRFTDVCVSAPIRALATWRHSHSFMSIEVNGVPATKVTDEVHTRLP--QSSLAPMFAYRQQQLIHDMSAMQRFQQFSDH----------------------------PFTVAITGSRGLVGRALAAQLTTLGHKVIQLVRTTPKKRQ-------------RRWDPQSPAADLLAGVDVLVHLAGEPIMGRFTDAHKQALWDSRVGPTAKLAELVAKSPQCDTMISASAIGVYSF----NRGDEILTESSEAGEGFLAELSQAWEADCEAAVSAGKRVVNLRTGVVMSGRGGMLPLLRTLFSTGLGGQFHDGTAWFSWIALDDLTDIIITAAVDSSLSGPINAVSPNPIHNSEMVRTLGKQLHRPARFPIPNLGPRILLGSQGAEEFVLADQRVLPATLLKRGHVFRYRQFAAAVAHELGYEQLFDAPEVDIAAMPLPEVESESAPSRWWRFPGFGRD</f>
        <v>#NAME?</v>
      </c>
    </row>
    <row r="2035" spans="1:32" hidden="1" x14ac:dyDescent="0.35">
      <c r="A2035">
        <v>1449</v>
      </c>
      <c r="B2035" t="s">
        <v>3037</v>
      </c>
      <c r="C2035" t="s">
        <v>72</v>
      </c>
      <c r="D2035" t="s">
        <v>58</v>
      </c>
      <c r="E2035">
        <v>1080</v>
      </c>
      <c r="F2035">
        <v>5</v>
      </c>
      <c r="G2035">
        <v>5</v>
      </c>
      <c r="H2035">
        <v>1</v>
      </c>
      <c r="I2035">
        <v>1</v>
      </c>
      <c r="J2035">
        <v>0.79353233830845804</v>
      </c>
      <c r="K2035">
        <v>0.92917624521072695</v>
      </c>
      <c r="L2035">
        <v>0.85601407645686101</v>
      </c>
      <c r="M2035">
        <v>0.52413793103448303</v>
      </c>
      <c r="N2035">
        <v>1</v>
      </c>
      <c r="O2035">
        <v>0.67862068965517197</v>
      </c>
      <c r="P2035" t="s">
        <v>3038</v>
      </c>
      <c r="Q2035" t="s">
        <v>3039</v>
      </c>
      <c r="R2035" t="s">
        <v>224</v>
      </c>
      <c r="S2035" t="s">
        <v>225</v>
      </c>
      <c r="T2035" t="s">
        <v>3040</v>
      </c>
      <c r="U2035" t="s">
        <v>3041</v>
      </c>
      <c r="V2035" t="s">
        <v>3042</v>
      </c>
      <c r="W2035" t="s">
        <v>3043</v>
      </c>
      <c r="AD2035" t="s">
        <v>3044</v>
      </c>
      <c r="AE2035" t="s">
        <v>3045</v>
      </c>
      <c r="AF2035" t="s">
        <v>3046</v>
      </c>
    </row>
    <row r="2036" spans="1:32" hidden="1" x14ac:dyDescent="0.35">
      <c r="A2036">
        <v>205</v>
      </c>
      <c r="B2036" t="s">
        <v>339</v>
      </c>
      <c r="C2036" t="s">
        <v>72</v>
      </c>
      <c r="D2036" t="s">
        <v>60</v>
      </c>
      <c r="E2036">
        <v>1038</v>
      </c>
      <c r="F2036">
        <v>5</v>
      </c>
      <c r="G2036">
        <v>7</v>
      </c>
      <c r="H2036">
        <v>2</v>
      </c>
      <c r="I2036">
        <v>0</v>
      </c>
      <c r="J2036">
        <v>0.72940645452493802</v>
      </c>
      <c r="K2036">
        <v>0.949697329212152</v>
      </c>
      <c r="L2036">
        <v>0.82510130521021097</v>
      </c>
      <c r="M2036">
        <v>0.50673854447439304</v>
      </c>
      <c r="N2036">
        <v>1</v>
      </c>
      <c r="O2036">
        <v>0.65562828905146997</v>
      </c>
      <c r="P2036" t="s">
        <v>340</v>
      </c>
      <c r="Q2036" t="s">
        <v>341</v>
      </c>
      <c r="R2036" t="s">
        <v>342</v>
      </c>
      <c r="S2036" t="s">
        <v>343</v>
      </c>
      <c r="T2036" t="s">
        <v>344</v>
      </c>
      <c r="U2036" t="s">
        <v>345</v>
      </c>
      <c r="V2036" t="s">
        <v>346</v>
      </c>
      <c r="W2036" t="s">
        <v>347</v>
      </c>
      <c r="AD2036" t="s">
        <v>166</v>
      </c>
      <c r="AE2036" t="s">
        <v>263</v>
      </c>
      <c r="AF2036" t="s">
        <v>349</v>
      </c>
    </row>
    <row r="2037" spans="1:32" hidden="1" x14ac:dyDescent="0.35">
      <c r="A2037">
        <v>206</v>
      </c>
      <c r="B2037" t="s">
        <v>339</v>
      </c>
      <c r="C2037" t="s">
        <v>72</v>
      </c>
      <c r="D2037" t="s">
        <v>60</v>
      </c>
      <c r="E2037">
        <v>1039</v>
      </c>
      <c r="F2037">
        <v>5</v>
      </c>
      <c r="G2037">
        <v>7</v>
      </c>
      <c r="H2037">
        <v>2</v>
      </c>
      <c r="I2037">
        <v>0</v>
      </c>
      <c r="J2037">
        <v>0.72940645452493802</v>
      </c>
      <c r="K2037">
        <v>0.949697329212152</v>
      </c>
      <c r="L2037">
        <v>0.82510130521021097</v>
      </c>
      <c r="M2037">
        <v>0.50673854447439304</v>
      </c>
      <c r="N2037">
        <v>1</v>
      </c>
      <c r="O2037">
        <v>0.65562828905146997</v>
      </c>
      <c r="P2037" t="s">
        <v>340</v>
      </c>
      <c r="Q2037" t="s">
        <v>341</v>
      </c>
      <c r="R2037" t="s">
        <v>342</v>
      </c>
      <c r="S2037" t="s">
        <v>343</v>
      </c>
      <c r="T2037" t="s">
        <v>344</v>
      </c>
      <c r="U2037" t="s">
        <v>345</v>
      </c>
      <c r="V2037" t="s">
        <v>346</v>
      </c>
      <c r="W2037" t="s">
        <v>347</v>
      </c>
      <c r="AD2037" t="s">
        <v>166</v>
      </c>
      <c r="AE2037" t="s">
        <v>263</v>
      </c>
      <c r="AF2037" t="s">
        <v>350</v>
      </c>
    </row>
    <row r="2038" spans="1:32" hidden="1" x14ac:dyDescent="0.35">
      <c r="A2038">
        <v>207</v>
      </c>
      <c r="B2038" t="s">
        <v>339</v>
      </c>
      <c r="C2038" t="s">
        <v>72</v>
      </c>
      <c r="D2038" t="s">
        <v>62</v>
      </c>
      <c r="E2038">
        <v>1074</v>
      </c>
      <c r="F2038">
        <v>5</v>
      </c>
      <c r="G2038">
        <v>7</v>
      </c>
      <c r="H2038">
        <v>2</v>
      </c>
      <c r="I2038">
        <v>0</v>
      </c>
      <c r="J2038">
        <v>0.72940645452493802</v>
      </c>
      <c r="K2038">
        <v>0.949697329212152</v>
      </c>
      <c r="L2038">
        <v>0.82510130521021097</v>
      </c>
      <c r="M2038">
        <v>0.50673854447439304</v>
      </c>
      <c r="N2038">
        <v>1</v>
      </c>
      <c r="O2038">
        <v>0.65562828905146997</v>
      </c>
      <c r="P2038" t="s">
        <v>340</v>
      </c>
      <c r="Q2038" t="s">
        <v>341</v>
      </c>
      <c r="R2038" t="s">
        <v>342</v>
      </c>
      <c r="S2038" t="s">
        <v>343</v>
      </c>
      <c r="T2038" t="s">
        <v>344</v>
      </c>
      <c r="U2038" t="s">
        <v>345</v>
      </c>
      <c r="V2038" t="s">
        <v>346</v>
      </c>
      <c r="W2038" t="s">
        <v>347</v>
      </c>
      <c r="AD2038" t="s">
        <v>166</v>
      </c>
      <c r="AE2038" t="s">
        <v>263</v>
      </c>
      <c r="AF2038" t="s">
        <v>349</v>
      </c>
    </row>
    <row r="2039" spans="1:32" hidden="1" x14ac:dyDescent="0.35">
      <c r="A2039">
        <v>208</v>
      </c>
      <c r="B2039" t="s">
        <v>339</v>
      </c>
      <c r="C2039" t="s">
        <v>72</v>
      </c>
      <c r="D2039" t="s">
        <v>62</v>
      </c>
      <c r="E2039">
        <v>1075</v>
      </c>
      <c r="F2039">
        <v>5</v>
      </c>
      <c r="G2039">
        <v>7</v>
      </c>
      <c r="H2039">
        <v>2</v>
      </c>
      <c r="I2039">
        <v>0</v>
      </c>
      <c r="J2039">
        <v>0.72940645452493802</v>
      </c>
      <c r="K2039">
        <v>0.949697329212152</v>
      </c>
      <c r="L2039">
        <v>0.82510130521021097</v>
      </c>
      <c r="M2039">
        <v>0.50673854447439304</v>
      </c>
      <c r="N2039">
        <v>1</v>
      </c>
      <c r="O2039">
        <v>0.65562828905146997</v>
      </c>
      <c r="P2039" t="s">
        <v>340</v>
      </c>
      <c r="Q2039" t="s">
        <v>341</v>
      </c>
      <c r="R2039" t="s">
        <v>342</v>
      </c>
      <c r="S2039" t="s">
        <v>343</v>
      </c>
      <c r="T2039" t="s">
        <v>344</v>
      </c>
      <c r="U2039" t="s">
        <v>345</v>
      </c>
      <c r="V2039" t="s">
        <v>346</v>
      </c>
      <c r="W2039" t="s">
        <v>347</v>
      </c>
      <c r="AD2039" t="s">
        <v>166</v>
      </c>
      <c r="AE2039" t="s">
        <v>263</v>
      </c>
      <c r="AF2039" t="s">
        <v>350</v>
      </c>
    </row>
    <row r="2040" spans="1:32" hidden="1" x14ac:dyDescent="0.35">
      <c r="A2040">
        <v>209</v>
      </c>
      <c r="B2040" t="s">
        <v>339</v>
      </c>
      <c r="C2040" t="s">
        <v>72</v>
      </c>
      <c r="D2040" t="s">
        <v>34</v>
      </c>
      <c r="E2040">
        <v>80</v>
      </c>
      <c r="F2040">
        <v>5</v>
      </c>
      <c r="G2040">
        <v>7</v>
      </c>
      <c r="H2040">
        <v>2</v>
      </c>
      <c r="I2040">
        <v>0</v>
      </c>
      <c r="J2040">
        <v>0.72940645452493802</v>
      </c>
      <c r="K2040">
        <v>0.949697329212152</v>
      </c>
      <c r="L2040">
        <v>0.82510130521021097</v>
      </c>
      <c r="M2040">
        <v>0.50673854447439304</v>
      </c>
      <c r="N2040">
        <v>1</v>
      </c>
      <c r="O2040">
        <v>0.65562828905146997</v>
      </c>
      <c r="P2040" t="s">
        <v>340</v>
      </c>
      <c r="Q2040" t="s">
        <v>341</v>
      </c>
      <c r="R2040" t="s">
        <v>342</v>
      </c>
      <c r="S2040" t="s">
        <v>343</v>
      </c>
      <c r="T2040" t="s">
        <v>344</v>
      </c>
      <c r="U2040" t="s">
        <v>345</v>
      </c>
      <c r="V2040" t="s">
        <v>346</v>
      </c>
      <c r="W2040" t="s">
        <v>347</v>
      </c>
      <c r="AD2040" t="s">
        <v>166</v>
      </c>
      <c r="AE2040" t="s">
        <v>263</v>
      </c>
      <c r="AF2040" t="s">
        <v>351</v>
      </c>
    </row>
    <row r="2041" spans="1:32" hidden="1" x14ac:dyDescent="0.35">
      <c r="A2041">
        <v>210</v>
      </c>
      <c r="B2041" t="s">
        <v>339</v>
      </c>
      <c r="C2041" t="s">
        <v>72</v>
      </c>
      <c r="D2041" t="s">
        <v>45</v>
      </c>
      <c r="E2041">
        <v>1338</v>
      </c>
      <c r="F2041">
        <v>5</v>
      </c>
      <c r="G2041">
        <v>7</v>
      </c>
      <c r="H2041">
        <v>2</v>
      </c>
      <c r="I2041">
        <v>0</v>
      </c>
      <c r="J2041">
        <v>0.72940645452493802</v>
      </c>
      <c r="K2041">
        <v>0.949697329212152</v>
      </c>
      <c r="L2041">
        <v>0.82510130521021097</v>
      </c>
      <c r="M2041">
        <v>0.50673854447439304</v>
      </c>
      <c r="N2041">
        <v>1</v>
      </c>
      <c r="O2041">
        <v>0.65562828905146997</v>
      </c>
      <c r="P2041" t="s">
        <v>340</v>
      </c>
      <c r="Q2041" t="s">
        <v>341</v>
      </c>
      <c r="R2041" t="s">
        <v>342</v>
      </c>
      <c r="S2041" t="s">
        <v>343</v>
      </c>
      <c r="T2041" t="s">
        <v>344</v>
      </c>
      <c r="U2041" t="s">
        <v>345</v>
      </c>
      <c r="V2041" t="s">
        <v>346</v>
      </c>
      <c r="W2041" t="s">
        <v>347</v>
      </c>
      <c r="AD2041" t="s">
        <v>166</v>
      </c>
      <c r="AE2041" t="s">
        <v>263</v>
      </c>
      <c r="AF2041" t="s">
        <v>352</v>
      </c>
    </row>
    <row r="2042" spans="1:32" hidden="1" x14ac:dyDescent="0.35">
      <c r="A2042">
        <v>3129</v>
      </c>
      <c r="B2042" t="s">
        <v>6445</v>
      </c>
      <c r="C2042" t="s">
        <v>72</v>
      </c>
      <c r="D2042" t="s">
        <v>58</v>
      </c>
      <c r="E2042">
        <v>208</v>
      </c>
      <c r="F2042">
        <v>5</v>
      </c>
      <c r="G2042">
        <v>5</v>
      </c>
      <c r="H2042">
        <v>1</v>
      </c>
      <c r="I2042">
        <v>1</v>
      </c>
      <c r="J2042">
        <v>0.74936120789779304</v>
      </c>
      <c r="K2042">
        <v>0.87052295409182001</v>
      </c>
      <c r="L2042">
        <v>0.80541084071070101</v>
      </c>
      <c r="M2042">
        <v>0.50898203592814395</v>
      </c>
      <c r="N2042">
        <v>1</v>
      </c>
      <c r="O2042">
        <v>0.65249500998003995</v>
      </c>
      <c r="P2042" t="s">
        <v>6446</v>
      </c>
      <c r="Q2042" t="s">
        <v>2952</v>
      </c>
      <c r="R2042" t="s">
        <v>652</v>
      </c>
      <c r="S2042" t="s">
        <v>653</v>
      </c>
      <c r="T2042" t="s">
        <v>6447</v>
      </c>
      <c r="U2042" t="s">
        <v>6448</v>
      </c>
      <c r="V2042" t="s">
        <v>6449</v>
      </c>
      <c r="W2042" t="s">
        <v>6450</v>
      </c>
      <c r="AD2042" t="s">
        <v>219</v>
      </c>
      <c r="AE2042" t="s">
        <v>6451</v>
      </c>
      <c r="AF2042" t="s">
        <v>6452</v>
      </c>
    </row>
    <row r="2043" spans="1:32" hidden="1" x14ac:dyDescent="0.35">
      <c r="A2043">
        <v>289</v>
      </c>
      <c r="B2043" t="s">
        <v>494</v>
      </c>
      <c r="C2043" t="s">
        <v>72</v>
      </c>
      <c r="D2043" t="s">
        <v>60</v>
      </c>
      <c r="E2043">
        <v>708</v>
      </c>
      <c r="F2043">
        <v>5</v>
      </c>
      <c r="G2043">
        <v>7</v>
      </c>
      <c r="H2043">
        <v>2</v>
      </c>
      <c r="I2043">
        <v>0</v>
      </c>
      <c r="J2043">
        <v>0.73968105065666001</v>
      </c>
      <c r="K2043">
        <v>0.73599414449323797</v>
      </c>
      <c r="L2043">
        <v>0.73783299179276196</v>
      </c>
      <c r="M2043">
        <v>0.357594936708861</v>
      </c>
      <c r="N2043">
        <v>0.996835443037975</v>
      </c>
      <c r="O2043">
        <v>0.63713080168776404</v>
      </c>
      <c r="P2043" t="s">
        <v>495</v>
      </c>
      <c r="Q2043" t="s">
        <v>496</v>
      </c>
      <c r="R2043" t="s">
        <v>342</v>
      </c>
      <c r="S2043" t="s">
        <v>343</v>
      </c>
      <c r="T2043" t="s">
        <v>497</v>
      </c>
      <c r="U2043" t="s">
        <v>498</v>
      </c>
      <c r="V2043" t="s">
        <v>499</v>
      </c>
      <c r="W2043" t="s">
        <v>500</v>
      </c>
      <c r="AD2043" t="s">
        <v>410</v>
      </c>
      <c r="AE2043" t="s">
        <v>501</v>
      </c>
      <c r="AF2043" t="s">
        <v>503</v>
      </c>
    </row>
    <row r="2044" spans="1:32" hidden="1" x14ac:dyDescent="0.35">
      <c r="A2044">
        <v>290</v>
      </c>
      <c r="B2044" t="s">
        <v>494</v>
      </c>
      <c r="C2044" t="s">
        <v>72</v>
      </c>
      <c r="D2044" t="s">
        <v>60</v>
      </c>
      <c r="E2044">
        <v>709</v>
      </c>
      <c r="F2044">
        <v>5</v>
      </c>
      <c r="G2044">
        <v>7</v>
      </c>
      <c r="H2044">
        <v>2</v>
      </c>
      <c r="I2044">
        <v>0</v>
      </c>
      <c r="J2044">
        <v>0.73968105065666001</v>
      </c>
      <c r="K2044">
        <v>0.73599414449323797</v>
      </c>
      <c r="L2044">
        <v>0.73783299179276196</v>
      </c>
      <c r="M2044">
        <v>0.357594936708861</v>
      </c>
      <c r="N2044">
        <v>0.996835443037975</v>
      </c>
      <c r="O2044">
        <v>0.63713080168776404</v>
      </c>
      <c r="P2044" t="s">
        <v>495</v>
      </c>
      <c r="Q2044" t="s">
        <v>496</v>
      </c>
      <c r="R2044" t="s">
        <v>342</v>
      </c>
      <c r="S2044" t="s">
        <v>343</v>
      </c>
      <c r="T2044" t="s">
        <v>497</v>
      </c>
      <c r="U2044" t="s">
        <v>498</v>
      </c>
      <c r="V2044" t="s">
        <v>499</v>
      </c>
      <c r="W2044" t="s">
        <v>500</v>
      </c>
      <c r="AD2044" t="s">
        <v>410</v>
      </c>
      <c r="AE2044" t="s">
        <v>501</v>
      </c>
      <c r="AF2044" t="s">
        <v>504</v>
      </c>
    </row>
    <row r="2045" spans="1:32" hidden="1" x14ac:dyDescent="0.35">
      <c r="A2045">
        <v>291</v>
      </c>
      <c r="B2045" t="s">
        <v>494</v>
      </c>
      <c r="C2045" t="s">
        <v>72</v>
      </c>
      <c r="D2045" t="s">
        <v>62</v>
      </c>
      <c r="E2045">
        <v>739</v>
      </c>
      <c r="F2045">
        <v>5</v>
      </c>
      <c r="G2045">
        <v>7</v>
      </c>
      <c r="H2045">
        <v>2</v>
      </c>
      <c r="I2045">
        <v>0</v>
      </c>
      <c r="J2045">
        <v>0.73968105065666001</v>
      </c>
      <c r="K2045">
        <v>0.73599414449323797</v>
      </c>
      <c r="L2045">
        <v>0.73783299179276196</v>
      </c>
      <c r="M2045">
        <v>0.357594936708861</v>
      </c>
      <c r="N2045">
        <v>0.996835443037975</v>
      </c>
      <c r="O2045">
        <v>0.63713080168776404</v>
      </c>
      <c r="P2045" t="s">
        <v>495</v>
      </c>
      <c r="Q2045" t="s">
        <v>496</v>
      </c>
      <c r="R2045" t="s">
        <v>342</v>
      </c>
      <c r="S2045" t="s">
        <v>343</v>
      </c>
      <c r="T2045" t="s">
        <v>497</v>
      </c>
      <c r="U2045" t="s">
        <v>498</v>
      </c>
      <c r="V2045" t="s">
        <v>499</v>
      </c>
      <c r="W2045" t="s">
        <v>500</v>
      </c>
      <c r="AD2045" t="s">
        <v>410</v>
      </c>
      <c r="AE2045" t="s">
        <v>501</v>
      </c>
      <c r="AF2045" t="s">
        <v>505</v>
      </c>
    </row>
    <row r="2046" spans="1:32" hidden="1" x14ac:dyDescent="0.35">
      <c r="A2046">
        <v>292</v>
      </c>
      <c r="B2046" t="s">
        <v>494</v>
      </c>
      <c r="C2046" t="s">
        <v>72</v>
      </c>
      <c r="D2046" t="s">
        <v>62</v>
      </c>
      <c r="E2046">
        <v>740</v>
      </c>
      <c r="F2046">
        <v>5</v>
      </c>
      <c r="G2046">
        <v>7</v>
      </c>
      <c r="H2046">
        <v>2</v>
      </c>
      <c r="I2046">
        <v>0</v>
      </c>
      <c r="J2046">
        <v>0.73968105065666001</v>
      </c>
      <c r="K2046">
        <v>0.73599414449323797</v>
      </c>
      <c r="L2046">
        <v>0.73783299179276196</v>
      </c>
      <c r="M2046">
        <v>0.357594936708861</v>
      </c>
      <c r="N2046">
        <v>0.996835443037975</v>
      </c>
      <c r="O2046">
        <v>0.63713080168776404</v>
      </c>
      <c r="P2046" t="s">
        <v>495</v>
      </c>
      <c r="Q2046" t="s">
        <v>496</v>
      </c>
      <c r="R2046" t="s">
        <v>342</v>
      </c>
      <c r="S2046" t="s">
        <v>343</v>
      </c>
      <c r="T2046" t="s">
        <v>497</v>
      </c>
      <c r="U2046" t="s">
        <v>498</v>
      </c>
      <c r="V2046" t="s">
        <v>499</v>
      </c>
      <c r="W2046" t="s">
        <v>500</v>
      </c>
      <c r="AD2046" t="s">
        <v>410</v>
      </c>
      <c r="AE2046" t="s">
        <v>501</v>
      </c>
      <c r="AF2046" t="s">
        <v>506</v>
      </c>
    </row>
    <row r="2047" spans="1:32" hidden="1" x14ac:dyDescent="0.35">
      <c r="A2047">
        <v>293</v>
      </c>
      <c r="B2047" t="s">
        <v>494</v>
      </c>
      <c r="C2047" t="s">
        <v>72</v>
      </c>
      <c r="D2047" t="s">
        <v>34</v>
      </c>
      <c r="E2047">
        <v>426</v>
      </c>
      <c r="F2047">
        <v>5</v>
      </c>
      <c r="G2047">
        <v>7</v>
      </c>
      <c r="H2047">
        <v>2</v>
      </c>
      <c r="I2047">
        <v>0</v>
      </c>
      <c r="J2047">
        <v>0.73968105065666001</v>
      </c>
      <c r="K2047">
        <v>0.73599414449323797</v>
      </c>
      <c r="L2047">
        <v>0.73783299179276196</v>
      </c>
      <c r="M2047">
        <v>0.357594936708861</v>
      </c>
      <c r="N2047">
        <v>0.996835443037975</v>
      </c>
      <c r="O2047">
        <v>0.63713080168776404</v>
      </c>
      <c r="P2047" t="s">
        <v>495</v>
      </c>
      <c r="Q2047" t="s">
        <v>496</v>
      </c>
      <c r="R2047" t="s">
        <v>342</v>
      </c>
      <c r="S2047" t="s">
        <v>343</v>
      </c>
      <c r="T2047" t="s">
        <v>497</v>
      </c>
      <c r="U2047" t="s">
        <v>498</v>
      </c>
      <c r="V2047" t="s">
        <v>499</v>
      </c>
      <c r="W2047" t="s">
        <v>500</v>
      </c>
      <c r="AD2047" t="s">
        <v>410</v>
      </c>
      <c r="AE2047" t="s">
        <v>501</v>
      </c>
      <c r="AF2047" t="s">
        <v>507</v>
      </c>
    </row>
    <row r="2048" spans="1:32" hidden="1" x14ac:dyDescent="0.35">
      <c r="A2048">
        <v>294</v>
      </c>
      <c r="B2048" t="s">
        <v>494</v>
      </c>
      <c r="C2048" t="s">
        <v>72</v>
      </c>
      <c r="D2048" t="s">
        <v>45</v>
      </c>
      <c r="E2048">
        <v>1688</v>
      </c>
      <c r="F2048">
        <v>5</v>
      </c>
      <c r="G2048">
        <v>7</v>
      </c>
      <c r="H2048">
        <v>2</v>
      </c>
      <c r="I2048">
        <v>0</v>
      </c>
      <c r="J2048">
        <v>0.73968105065666001</v>
      </c>
      <c r="K2048">
        <v>0.73599414449323797</v>
      </c>
      <c r="L2048">
        <v>0.73783299179276196</v>
      </c>
      <c r="M2048">
        <v>0.357594936708861</v>
      </c>
      <c r="N2048">
        <v>0.996835443037975</v>
      </c>
      <c r="O2048">
        <v>0.63713080168776404</v>
      </c>
      <c r="P2048" t="s">
        <v>495</v>
      </c>
      <c r="Q2048" t="s">
        <v>496</v>
      </c>
      <c r="R2048" t="s">
        <v>342</v>
      </c>
      <c r="S2048" t="s">
        <v>343</v>
      </c>
      <c r="T2048" t="s">
        <v>497</v>
      </c>
      <c r="U2048" t="s">
        <v>498</v>
      </c>
      <c r="V2048" t="s">
        <v>499</v>
      </c>
      <c r="W2048" t="s">
        <v>500</v>
      </c>
      <c r="AD2048" t="s">
        <v>410</v>
      </c>
      <c r="AE2048" t="s">
        <v>501</v>
      </c>
      <c r="AF2048" t="s">
        <v>508</v>
      </c>
    </row>
    <row r="2049" spans="1:32" hidden="1" x14ac:dyDescent="0.35">
      <c r="A2049">
        <v>11782</v>
      </c>
      <c r="B2049" t="s">
        <v>24208</v>
      </c>
      <c r="C2049" t="s">
        <v>33</v>
      </c>
      <c r="D2049" t="s">
        <v>58</v>
      </c>
      <c r="E2049">
        <v>970</v>
      </c>
      <c r="F2049">
        <v>1</v>
      </c>
      <c r="G2049">
        <v>1</v>
      </c>
      <c r="H2049">
        <v>1</v>
      </c>
      <c r="I2049">
        <v>0</v>
      </c>
      <c r="J2049">
        <v>1</v>
      </c>
      <c r="K2049">
        <v>1</v>
      </c>
      <c r="L2049">
        <v>1</v>
      </c>
      <c r="M2049">
        <v>0</v>
      </c>
      <c r="N2049">
        <v>0</v>
      </c>
      <c r="O2049">
        <v>0</v>
      </c>
      <c r="P2049" t="s">
        <v>15470</v>
      </c>
      <c r="Q2049" t="s">
        <v>15471</v>
      </c>
      <c r="R2049" t="s">
        <v>652</v>
      </c>
      <c r="S2049" t="s">
        <v>653</v>
      </c>
      <c r="T2049" t="s">
        <v>15472</v>
      </c>
      <c r="U2049" t="s">
        <v>15473</v>
      </c>
      <c r="V2049" t="s">
        <v>6449</v>
      </c>
      <c r="W2049" t="s">
        <v>6450</v>
      </c>
      <c r="Z2049" t="s">
        <v>15474</v>
      </c>
      <c r="AA2049" t="s">
        <v>15475</v>
      </c>
      <c r="AB2049" t="s">
        <v>15474</v>
      </c>
      <c r="AC2049" t="s">
        <v>15476</v>
      </c>
      <c r="AD2049" t="s">
        <v>219</v>
      </c>
      <c r="AE2049" t="s">
        <v>15477</v>
      </c>
      <c r="AF2049" t="s">
        <v>24209</v>
      </c>
    </row>
    <row r="2050" spans="1:32" hidden="1" x14ac:dyDescent="0.35">
      <c r="A2050">
        <v>574</v>
      </c>
      <c r="B2050" t="s">
        <v>1146</v>
      </c>
      <c r="C2050" t="s">
        <v>72</v>
      </c>
      <c r="D2050" t="s">
        <v>58</v>
      </c>
      <c r="E2050">
        <v>178</v>
      </c>
      <c r="F2050">
        <v>5</v>
      </c>
      <c r="G2050">
        <v>5</v>
      </c>
      <c r="H2050">
        <v>1</v>
      </c>
      <c r="I2050">
        <v>1</v>
      </c>
      <c r="J2050">
        <v>0.80494363429517002</v>
      </c>
      <c r="K2050">
        <v>0.91128738724481595</v>
      </c>
      <c r="L2050">
        <v>0.85482079296991897</v>
      </c>
      <c r="M2050">
        <v>0.61235955056179803</v>
      </c>
      <c r="N2050">
        <v>1</v>
      </c>
      <c r="O2050">
        <v>0.70898876404494404</v>
      </c>
      <c r="P2050" t="s">
        <v>1147</v>
      </c>
      <c r="Q2050" t="s">
        <v>1148</v>
      </c>
      <c r="R2050" t="s">
        <v>869</v>
      </c>
      <c r="S2050" t="s">
        <v>870</v>
      </c>
      <c r="T2050" t="s">
        <v>1149</v>
      </c>
      <c r="U2050" t="s">
        <v>1150</v>
      </c>
      <c r="V2050" t="s">
        <v>1151</v>
      </c>
      <c r="W2050" t="s">
        <v>1152</v>
      </c>
      <c r="X2050" t="s">
        <v>1151</v>
      </c>
      <c r="Y2050" t="s">
        <v>1153</v>
      </c>
      <c r="Z2050" t="s">
        <v>1154</v>
      </c>
      <c r="AA2050" t="s">
        <v>1155</v>
      </c>
      <c r="AB2050" t="s">
        <v>1154</v>
      </c>
      <c r="AC2050" t="s">
        <v>1156</v>
      </c>
      <c r="AD2050" t="s">
        <v>1157</v>
      </c>
      <c r="AE2050" t="s">
        <v>1158</v>
      </c>
      <c r="AF2050" t="s">
        <v>1159</v>
      </c>
    </row>
    <row r="2051" spans="1:32" hidden="1" x14ac:dyDescent="0.35">
      <c r="A2051">
        <v>393</v>
      </c>
      <c r="B2051" t="s">
        <v>692</v>
      </c>
      <c r="C2051" t="s">
        <v>72</v>
      </c>
      <c r="D2051" t="s">
        <v>60</v>
      </c>
      <c r="E2051">
        <v>470</v>
      </c>
      <c r="F2051">
        <v>5</v>
      </c>
      <c r="G2051">
        <v>6</v>
      </c>
      <c r="H2051">
        <v>2</v>
      </c>
      <c r="I2051">
        <v>0</v>
      </c>
      <c r="J2051">
        <v>0.71620370370370401</v>
      </c>
      <c r="K2051">
        <v>0.95470213343307497</v>
      </c>
      <c r="L2051">
        <v>0.81843176162490605</v>
      </c>
      <c r="M2051">
        <v>0.48675496688741698</v>
      </c>
      <c r="N2051">
        <v>0.99668874172185395</v>
      </c>
      <c r="O2051">
        <v>0.63818984547461399</v>
      </c>
      <c r="P2051" t="s">
        <v>693</v>
      </c>
      <c r="Q2051" t="s">
        <v>694</v>
      </c>
      <c r="R2051" t="s">
        <v>342</v>
      </c>
      <c r="S2051" t="s">
        <v>343</v>
      </c>
      <c r="T2051" t="s">
        <v>695</v>
      </c>
      <c r="U2051" t="s">
        <v>696</v>
      </c>
      <c r="V2051" t="s">
        <v>697</v>
      </c>
      <c r="W2051" t="s">
        <v>698</v>
      </c>
      <c r="AD2051" t="s">
        <v>439</v>
      </c>
      <c r="AE2051" t="s">
        <v>699</v>
      </c>
      <c r="AF2051" t="e">
        <f>---MSARRFLRRAAAITIASAFAAATLVACSG-----GSTDSSTIRIGTTEPQLKSWKVLEKKAKDNDINIKLQAFSDYNAPNRALSEGQLDANLFQHLKFLAEYNTGAEDDLTPVGSTQIVPLAIYWKDHSSLDGIDGQDIVIPNDPSNQGRAINVLVQAELVKLKSE--NIVTPTPGDIDEGASKVKVTPVNAAQTTSAYGEGRPAIINNSFLERAGIDPTTAVFKDNPDSPEAEPYINVFVTKADKQDDEKIAKLVELWHDPEVIAANQEDSKGTAIEVNRPKAELKDILKRLEEAEKK</f>
        <v>#NAME?</v>
      </c>
    </row>
    <row r="2052" spans="1:32" hidden="1" x14ac:dyDescent="0.35">
      <c r="A2052">
        <v>394</v>
      </c>
      <c r="B2052" t="s">
        <v>692</v>
      </c>
      <c r="C2052" t="s">
        <v>72</v>
      </c>
      <c r="D2052" t="s">
        <v>62</v>
      </c>
      <c r="E2052">
        <v>552</v>
      </c>
      <c r="F2052">
        <v>5</v>
      </c>
      <c r="G2052">
        <v>6</v>
      </c>
      <c r="H2052">
        <v>2</v>
      </c>
      <c r="I2052">
        <v>0</v>
      </c>
      <c r="J2052">
        <v>0.71620370370370401</v>
      </c>
      <c r="K2052">
        <v>0.95470213343307497</v>
      </c>
      <c r="L2052">
        <v>0.81843176162490605</v>
      </c>
      <c r="M2052">
        <v>0.48675496688741698</v>
      </c>
      <c r="N2052">
        <v>0.99668874172185395</v>
      </c>
      <c r="O2052">
        <v>0.63818984547461399</v>
      </c>
      <c r="P2052" t="s">
        <v>693</v>
      </c>
      <c r="Q2052" t="s">
        <v>694</v>
      </c>
      <c r="R2052" t="s">
        <v>342</v>
      </c>
      <c r="S2052" t="s">
        <v>343</v>
      </c>
      <c r="T2052" t="s">
        <v>695</v>
      </c>
      <c r="U2052" t="s">
        <v>696</v>
      </c>
      <c r="V2052" t="s">
        <v>697</v>
      </c>
      <c r="W2052" t="s">
        <v>698</v>
      </c>
      <c r="AD2052" t="s">
        <v>439</v>
      </c>
      <c r="AE2052" t="s">
        <v>699</v>
      </c>
      <c r="AF2052" t="e">
        <f>---MSARRFLRRAAAITIASAFAAATLVACSG-----GSTDSSTIRIGTTEPQLKSWKVLEKKAKDNDINIKLQAFSDYNAPNRALSEGQLDANLFQHLKFLAEYNTGAEDDLTPVGSTQIVPLAIYWKDHSSLDGIDGQDIVIPNDPSNQGRAINVLVQAELVKLKSE--NIVTPTPSDIDEGASKVKVTPVNAAQTTSAYGEGRPAIINNSFLERAGIDPTTAVFKDNPDSPEAEPYINVFVTKADKQDDEKIAKLVELWHDPEVIAANQEDSKGTAIEVNRPKAELKDILKRLEEAEKK</f>
        <v>#NAME?</v>
      </c>
    </row>
    <row r="2053" spans="1:32" hidden="1" x14ac:dyDescent="0.35">
      <c r="A2053">
        <v>395</v>
      </c>
      <c r="B2053" t="s">
        <v>692</v>
      </c>
      <c r="C2053" t="s">
        <v>72</v>
      </c>
      <c r="D2053" t="s">
        <v>34</v>
      </c>
      <c r="E2053">
        <v>599</v>
      </c>
      <c r="F2053">
        <v>5</v>
      </c>
      <c r="G2053">
        <v>6</v>
      </c>
      <c r="H2053">
        <v>2</v>
      </c>
      <c r="I2053">
        <v>0</v>
      </c>
      <c r="J2053">
        <v>0.71620370370370401</v>
      </c>
      <c r="K2053">
        <v>0.95470213343307497</v>
      </c>
      <c r="L2053">
        <v>0.81843176162490605</v>
      </c>
      <c r="M2053">
        <v>0.48675496688741698</v>
      </c>
      <c r="N2053">
        <v>0.99668874172185395</v>
      </c>
      <c r="O2053">
        <v>0.63818984547461399</v>
      </c>
      <c r="P2053" t="s">
        <v>693</v>
      </c>
      <c r="Q2053" t="s">
        <v>694</v>
      </c>
      <c r="R2053" t="s">
        <v>342</v>
      </c>
      <c r="S2053" t="s">
        <v>343</v>
      </c>
      <c r="T2053" t="s">
        <v>695</v>
      </c>
      <c r="U2053" t="s">
        <v>696</v>
      </c>
      <c r="V2053" t="s">
        <v>697</v>
      </c>
      <c r="W2053" t="s">
        <v>698</v>
      </c>
      <c r="AD2053" t="s">
        <v>439</v>
      </c>
      <c r="AE2053" t="s">
        <v>699</v>
      </c>
      <c r="AF2053" t="s">
        <v>701</v>
      </c>
    </row>
    <row r="2054" spans="1:32" hidden="1" x14ac:dyDescent="0.35">
      <c r="A2054">
        <v>396</v>
      </c>
      <c r="B2054" t="s">
        <v>692</v>
      </c>
      <c r="C2054" t="s">
        <v>72</v>
      </c>
      <c r="D2054" t="s">
        <v>45</v>
      </c>
      <c r="E2054">
        <v>1866</v>
      </c>
      <c r="F2054">
        <v>5</v>
      </c>
      <c r="G2054">
        <v>6</v>
      </c>
      <c r="H2054">
        <v>2</v>
      </c>
      <c r="I2054">
        <v>0</v>
      </c>
      <c r="J2054">
        <v>0.71620370370370401</v>
      </c>
      <c r="K2054">
        <v>0.95470213343307497</v>
      </c>
      <c r="L2054">
        <v>0.81843176162490605</v>
      </c>
      <c r="M2054">
        <v>0.48675496688741698</v>
      </c>
      <c r="N2054">
        <v>0.99668874172185395</v>
      </c>
      <c r="O2054">
        <v>0.63818984547461399</v>
      </c>
      <c r="P2054" t="s">
        <v>693</v>
      </c>
      <c r="Q2054" t="s">
        <v>694</v>
      </c>
      <c r="R2054" t="s">
        <v>342</v>
      </c>
      <c r="S2054" t="s">
        <v>343</v>
      </c>
      <c r="T2054" t="s">
        <v>695</v>
      </c>
      <c r="U2054" t="s">
        <v>696</v>
      </c>
      <c r="V2054" t="s">
        <v>697</v>
      </c>
      <c r="W2054" t="s">
        <v>698</v>
      </c>
      <c r="AD2054" t="s">
        <v>439</v>
      </c>
      <c r="AE2054" t="s">
        <v>699</v>
      </c>
      <c r="AF2054" t="s">
        <v>702</v>
      </c>
    </row>
    <row r="2055" spans="1:32" hidden="1" x14ac:dyDescent="0.35">
      <c r="A2055">
        <v>1769</v>
      </c>
      <c r="B2055" t="s">
        <v>3675</v>
      </c>
      <c r="C2055" t="s">
        <v>72</v>
      </c>
      <c r="D2055" t="s">
        <v>58</v>
      </c>
      <c r="E2055">
        <v>825</v>
      </c>
      <c r="F2055">
        <v>5</v>
      </c>
      <c r="G2055">
        <v>5</v>
      </c>
      <c r="H2055">
        <v>1</v>
      </c>
      <c r="I2055">
        <v>1</v>
      </c>
      <c r="J2055">
        <v>0.74458204334365297</v>
      </c>
      <c r="K2055">
        <v>0.93064961354435105</v>
      </c>
      <c r="L2055">
        <v>0.82728258869831095</v>
      </c>
      <c r="M2055">
        <v>0.497607655502392</v>
      </c>
      <c r="N2055">
        <v>1</v>
      </c>
      <c r="O2055">
        <v>0.66363636363636402</v>
      </c>
      <c r="P2055" t="s">
        <v>3676</v>
      </c>
      <c r="Q2055" t="s">
        <v>3677</v>
      </c>
      <c r="R2055" t="s">
        <v>869</v>
      </c>
      <c r="S2055" t="s">
        <v>870</v>
      </c>
      <c r="T2055" t="s">
        <v>3678</v>
      </c>
      <c r="U2055" t="s">
        <v>3679</v>
      </c>
      <c r="V2055" t="s">
        <v>3680</v>
      </c>
      <c r="W2055" t="s">
        <v>3681</v>
      </c>
      <c r="X2055" t="s">
        <v>3680</v>
      </c>
      <c r="Y2055" t="s">
        <v>3682</v>
      </c>
      <c r="Z2055" t="s">
        <v>3683</v>
      </c>
      <c r="AA2055" t="s">
        <v>3684</v>
      </c>
      <c r="AB2055" t="s">
        <v>3683</v>
      </c>
      <c r="AC2055" t="s">
        <v>1094</v>
      </c>
      <c r="AD2055" t="s">
        <v>219</v>
      </c>
      <c r="AE2055" t="s">
        <v>3685</v>
      </c>
      <c r="AF2055" t="s">
        <v>3686</v>
      </c>
    </row>
    <row r="2056" spans="1:32" hidden="1" x14ac:dyDescent="0.35">
      <c r="A2056">
        <v>665</v>
      </c>
      <c r="B2056" t="s">
        <v>1362</v>
      </c>
      <c r="C2056" t="s">
        <v>72</v>
      </c>
      <c r="D2056" t="s">
        <v>60</v>
      </c>
      <c r="E2056">
        <v>2349</v>
      </c>
      <c r="F2056">
        <v>5</v>
      </c>
      <c r="G2056">
        <v>5</v>
      </c>
      <c r="H2056">
        <v>1</v>
      </c>
      <c r="I2056">
        <v>1</v>
      </c>
      <c r="J2056">
        <v>0.72192061768608995</v>
      </c>
      <c r="K2056">
        <v>0.99036899512647902</v>
      </c>
      <c r="L2056">
        <v>0.83510148207284796</v>
      </c>
      <c r="M2056">
        <v>0.51971326164874598</v>
      </c>
      <c r="N2056">
        <v>1</v>
      </c>
      <c r="O2056">
        <v>0.655555555555556</v>
      </c>
      <c r="P2056" t="s">
        <v>1363</v>
      </c>
      <c r="Q2056" t="s">
        <v>1364</v>
      </c>
      <c r="R2056" t="s">
        <v>342</v>
      </c>
      <c r="S2056" t="s">
        <v>343</v>
      </c>
      <c r="T2056" t="s">
        <v>1365</v>
      </c>
      <c r="U2056" t="s">
        <v>1366</v>
      </c>
      <c r="V2056" t="s">
        <v>1367</v>
      </c>
      <c r="W2056" t="s">
        <v>1368</v>
      </c>
      <c r="AD2056" t="s">
        <v>147</v>
      </c>
      <c r="AE2056" t="s">
        <v>1369</v>
      </c>
      <c r="AF2056" t="e">
        <f>-MSILISPQDLNERISHGAKTTILASLWMPHEGGGFQLFQSEHIPTALFCDTAAALASTPSSSVGRNPLPDPDKLQRWFNHWGLHDDREIIVYDQGKGLFSARAWWILTWAGVKGVRILDGGLAAWERAGYQIVGGPGNLGRGQAQEVVAGQLPVATIDEVKNFDGVLIDTREANRYAGRKERLDLKAGHIPGAVSVPTREILNPDNTFRPAEEIRATFEKVGVTDPN--NVIVYSGSGVHSAQAIAAMHHAGLPGAALYLGGWSQWCADRNNPVERSD</f>
        <v>#NAME?</v>
      </c>
    </row>
    <row r="2057" spans="1:32" hidden="1" x14ac:dyDescent="0.35">
      <c r="A2057">
        <v>666</v>
      </c>
      <c r="B2057" t="s">
        <v>1362</v>
      </c>
      <c r="C2057" t="s">
        <v>72</v>
      </c>
      <c r="D2057" t="s">
        <v>62</v>
      </c>
      <c r="E2057">
        <v>2377</v>
      </c>
      <c r="F2057">
        <v>5</v>
      </c>
      <c r="G2057">
        <v>5</v>
      </c>
      <c r="H2057">
        <v>1</v>
      </c>
      <c r="I2057">
        <v>1</v>
      </c>
      <c r="J2057">
        <v>0.72192061768608995</v>
      </c>
      <c r="K2057">
        <v>0.99036899512647902</v>
      </c>
      <c r="L2057">
        <v>0.83510148207284796</v>
      </c>
      <c r="M2057">
        <v>0.51971326164874598</v>
      </c>
      <c r="N2057">
        <v>1</v>
      </c>
      <c r="O2057">
        <v>0.655555555555556</v>
      </c>
      <c r="P2057" t="s">
        <v>1363</v>
      </c>
      <c r="Q2057" t="s">
        <v>1364</v>
      </c>
      <c r="R2057" t="s">
        <v>342</v>
      </c>
      <c r="S2057" t="s">
        <v>343</v>
      </c>
      <c r="T2057" t="s">
        <v>1365</v>
      </c>
      <c r="U2057" t="s">
        <v>1366</v>
      </c>
      <c r="V2057" t="s">
        <v>1367</v>
      </c>
      <c r="W2057" t="s">
        <v>1368</v>
      </c>
      <c r="AD2057" t="s">
        <v>147</v>
      </c>
      <c r="AE2057" t="s">
        <v>1369</v>
      </c>
      <c r="AF2057" t="e">
        <f>-MSILISPQDLNERISHGAKTTILASLWMPHEGGGFQLFQSEHIPTALFCDTAAALASTPSSSVGRNPLPDPDKLQRWFNHWGLHDDREIIVYDQGKGLFSARAWWILTWAGVKGVRILDGGLAAWERAGYQIVGGPGNLGRGQAQEVVAGQLPVATIDEVKNFDGVLIDTREANRYAGRKERLDLKAGHIPGAVSVPTREILNPDNTFRPAEEIRATFEKVGVTDPN--NVIVYSGSGVHSAQAIAAMHHAGLPGAALYLGGWSQWCADRNNPVERSD</f>
        <v>#NAME?</v>
      </c>
    </row>
    <row r="2058" spans="1:32" hidden="1" x14ac:dyDescent="0.35">
      <c r="A2058">
        <v>667</v>
      </c>
      <c r="B2058" t="s">
        <v>1362</v>
      </c>
      <c r="C2058" t="s">
        <v>72</v>
      </c>
      <c r="D2058" t="s">
        <v>34</v>
      </c>
      <c r="E2058">
        <v>1422</v>
      </c>
      <c r="F2058">
        <v>5</v>
      </c>
      <c r="G2058">
        <v>5</v>
      </c>
      <c r="H2058">
        <v>1</v>
      </c>
      <c r="I2058">
        <v>1</v>
      </c>
      <c r="J2058">
        <v>0.72192061768608995</v>
      </c>
      <c r="K2058">
        <v>0.99036899512647902</v>
      </c>
      <c r="L2058">
        <v>0.83510148207284796</v>
      </c>
      <c r="M2058">
        <v>0.51971326164874598</v>
      </c>
      <c r="N2058">
        <v>1</v>
      </c>
      <c r="O2058">
        <v>0.655555555555556</v>
      </c>
      <c r="P2058" t="s">
        <v>1363</v>
      </c>
      <c r="Q2058" t="s">
        <v>1364</v>
      </c>
      <c r="R2058" t="s">
        <v>342</v>
      </c>
      <c r="S2058" t="s">
        <v>343</v>
      </c>
      <c r="T2058" t="s">
        <v>1365</v>
      </c>
      <c r="U2058" t="s">
        <v>1366</v>
      </c>
      <c r="V2058" t="s">
        <v>1367</v>
      </c>
      <c r="W2058" t="s">
        <v>1368</v>
      </c>
      <c r="AD2058" t="s">
        <v>147</v>
      </c>
      <c r="AE2058" t="s">
        <v>1369</v>
      </c>
      <c r="AF2058" t="s">
        <v>1370</v>
      </c>
    </row>
    <row r="2059" spans="1:32" hidden="1" x14ac:dyDescent="0.35">
      <c r="A2059">
        <v>668</v>
      </c>
      <c r="B2059" t="s">
        <v>1362</v>
      </c>
      <c r="C2059" t="s">
        <v>72</v>
      </c>
      <c r="D2059" t="s">
        <v>45</v>
      </c>
      <c r="E2059">
        <v>173</v>
      </c>
      <c r="F2059">
        <v>5</v>
      </c>
      <c r="G2059">
        <v>5</v>
      </c>
      <c r="H2059">
        <v>1</v>
      </c>
      <c r="I2059">
        <v>1</v>
      </c>
      <c r="J2059">
        <v>0.72192061768608995</v>
      </c>
      <c r="K2059">
        <v>0.99036899512647902</v>
      </c>
      <c r="L2059">
        <v>0.83510148207284796</v>
      </c>
      <c r="M2059">
        <v>0.51971326164874598</v>
      </c>
      <c r="N2059">
        <v>1</v>
      </c>
      <c r="O2059">
        <v>0.655555555555556</v>
      </c>
      <c r="P2059" t="s">
        <v>1363</v>
      </c>
      <c r="Q2059" t="s">
        <v>1364</v>
      </c>
      <c r="R2059" t="s">
        <v>342</v>
      </c>
      <c r="S2059" t="s">
        <v>343</v>
      </c>
      <c r="T2059" t="s">
        <v>1365</v>
      </c>
      <c r="U2059" t="s">
        <v>1366</v>
      </c>
      <c r="V2059" t="s">
        <v>1367</v>
      </c>
      <c r="W2059" t="s">
        <v>1368</v>
      </c>
      <c r="AD2059" t="s">
        <v>147</v>
      </c>
      <c r="AE2059" t="s">
        <v>1369</v>
      </c>
      <c r="AF2059" t="s">
        <v>1371</v>
      </c>
    </row>
    <row r="2060" spans="1:32" hidden="1" x14ac:dyDescent="0.35">
      <c r="A2060">
        <v>6263</v>
      </c>
      <c r="B2060" t="s">
        <v>12899</v>
      </c>
      <c r="C2060" t="s">
        <v>68</v>
      </c>
      <c r="D2060" t="s">
        <v>58</v>
      </c>
      <c r="E2060">
        <v>875</v>
      </c>
      <c r="F2060">
        <v>3</v>
      </c>
      <c r="G2060">
        <v>3</v>
      </c>
      <c r="H2060">
        <v>1</v>
      </c>
      <c r="I2060">
        <v>0</v>
      </c>
      <c r="J2060">
        <v>0.81191222570532895</v>
      </c>
      <c r="K2060">
        <v>0.90514484914052395</v>
      </c>
      <c r="L2060">
        <v>0.85599736877397803</v>
      </c>
      <c r="M2060">
        <v>0.55084745762711895</v>
      </c>
      <c r="N2060">
        <v>0.97881355932203395</v>
      </c>
      <c r="O2060">
        <v>0.69491525423728795</v>
      </c>
      <c r="P2060" t="s">
        <v>12900</v>
      </c>
      <c r="Q2060" t="s">
        <v>370</v>
      </c>
      <c r="R2060" t="s">
        <v>869</v>
      </c>
      <c r="S2060" t="s">
        <v>870</v>
      </c>
      <c r="T2060" t="s">
        <v>12901</v>
      </c>
      <c r="U2060" t="s">
        <v>12902</v>
      </c>
      <c r="V2060" t="s">
        <v>12903</v>
      </c>
      <c r="W2060" t="s">
        <v>12904</v>
      </c>
      <c r="X2060" t="s">
        <v>12903</v>
      </c>
      <c r="Y2060" t="s">
        <v>2038</v>
      </c>
      <c r="Z2060" t="s">
        <v>8036</v>
      </c>
      <c r="AA2060" t="s">
        <v>8037</v>
      </c>
      <c r="AB2060" t="s">
        <v>8036</v>
      </c>
      <c r="AC2060" t="s">
        <v>1156</v>
      </c>
      <c r="AD2060" t="s">
        <v>219</v>
      </c>
      <c r="AE2060" t="s">
        <v>12905</v>
      </c>
      <c r="AF2060" t="s">
        <v>12906</v>
      </c>
    </row>
    <row r="2061" spans="1:32" hidden="1" x14ac:dyDescent="0.35">
      <c r="A2061">
        <v>690</v>
      </c>
      <c r="B2061" t="s">
        <v>1411</v>
      </c>
      <c r="C2061" t="s">
        <v>72</v>
      </c>
      <c r="D2061" t="s">
        <v>60</v>
      </c>
      <c r="E2061">
        <v>198</v>
      </c>
      <c r="F2061">
        <v>5</v>
      </c>
      <c r="G2061">
        <v>5</v>
      </c>
      <c r="H2061">
        <v>1</v>
      </c>
      <c r="I2061">
        <v>1</v>
      </c>
      <c r="J2061">
        <v>0.75976418570375803</v>
      </c>
      <c r="K2061">
        <v>0.81609087242908895</v>
      </c>
      <c r="L2061">
        <v>0.78692087061104099</v>
      </c>
      <c r="M2061">
        <v>0.42196531791907499</v>
      </c>
      <c r="N2061">
        <v>1</v>
      </c>
      <c r="O2061">
        <v>0.62774566473988402</v>
      </c>
      <c r="P2061" t="s">
        <v>1412</v>
      </c>
      <c r="Q2061" t="s">
        <v>1413</v>
      </c>
      <c r="R2061" t="s">
        <v>342</v>
      </c>
      <c r="S2061" t="s">
        <v>343</v>
      </c>
      <c r="T2061" t="s">
        <v>1414</v>
      </c>
      <c r="U2061" t="s">
        <v>1415</v>
      </c>
      <c r="V2061" t="s">
        <v>1416</v>
      </c>
      <c r="W2061" t="s">
        <v>1417</v>
      </c>
      <c r="AD2061" t="s">
        <v>166</v>
      </c>
      <c r="AE2061" t="s">
        <v>818</v>
      </c>
      <c r="AF2061" t="s">
        <v>1419</v>
      </c>
    </row>
    <row r="2062" spans="1:32" hidden="1" x14ac:dyDescent="0.35">
      <c r="A2062">
        <v>691</v>
      </c>
      <c r="B2062" t="s">
        <v>1411</v>
      </c>
      <c r="C2062" t="s">
        <v>72</v>
      </c>
      <c r="D2062" t="s">
        <v>62</v>
      </c>
      <c r="E2062">
        <v>275</v>
      </c>
      <c r="F2062">
        <v>5</v>
      </c>
      <c r="G2062">
        <v>5</v>
      </c>
      <c r="H2062">
        <v>1</v>
      </c>
      <c r="I2062">
        <v>1</v>
      </c>
      <c r="J2062">
        <v>0.75976418570375803</v>
      </c>
      <c r="K2062">
        <v>0.81609087242908895</v>
      </c>
      <c r="L2062">
        <v>0.78692087061104099</v>
      </c>
      <c r="M2062">
        <v>0.42196531791907499</v>
      </c>
      <c r="N2062">
        <v>1</v>
      </c>
      <c r="O2062">
        <v>0.62774566473988402</v>
      </c>
      <c r="P2062" t="s">
        <v>1412</v>
      </c>
      <c r="Q2062" t="s">
        <v>1413</v>
      </c>
      <c r="R2062" t="s">
        <v>342</v>
      </c>
      <c r="S2062" t="s">
        <v>343</v>
      </c>
      <c r="T2062" t="s">
        <v>1414</v>
      </c>
      <c r="U2062" t="s">
        <v>1415</v>
      </c>
      <c r="V2062" t="s">
        <v>1416</v>
      </c>
      <c r="W2062" t="s">
        <v>1417</v>
      </c>
      <c r="AD2062" t="s">
        <v>166</v>
      </c>
      <c r="AE2062" t="s">
        <v>818</v>
      </c>
      <c r="AF2062" t="s">
        <v>1419</v>
      </c>
    </row>
    <row r="2063" spans="1:32" hidden="1" x14ac:dyDescent="0.35">
      <c r="A2063">
        <v>692</v>
      </c>
      <c r="B2063" t="s">
        <v>1411</v>
      </c>
      <c r="C2063" t="s">
        <v>72</v>
      </c>
      <c r="D2063" t="s">
        <v>34</v>
      </c>
      <c r="E2063">
        <v>900</v>
      </c>
      <c r="F2063">
        <v>5</v>
      </c>
      <c r="G2063">
        <v>5</v>
      </c>
      <c r="H2063">
        <v>1</v>
      </c>
      <c r="I2063">
        <v>1</v>
      </c>
      <c r="J2063">
        <v>0.75976418570375803</v>
      </c>
      <c r="K2063">
        <v>0.81609087242908895</v>
      </c>
      <c r="L2063">
        <v>0.78692087061104099</v>
      </c>
      <c r="M2063">
        <v>0.42196531791907499</v>
      </c>
      <c r="N2063">
        <v>1</v>
      </c>
      <c r="O2063">
        <v>0.62774566473988402</v>
      </c>
      <c r="P2063" t="s">
        <v>1412</v>
      </c>
      <c r="Q2063" t="s">
        <v>1413</v>
      </c>
      <c r="R2063" t="s">
        <v>342</v>
      </c>
      <c r="S2063" t="s">
        <v>343</v>
      </c>
      <c r="T2063" t="s">
        <v>1414</v>
      </c>
      <c r="U2063" t="s">
        <v>1415</v>
      </c>
      <c r="V2063" t="s">
        <v>1416</v>
      </c>
      <c r="W2063" t="s">
        <v>1417</v>
      </c>
      <c r="AD2063" t="s">
        <v>166</v>
      </c>
      <c r="AE2063" t="s">
        <v>818</v>
      </c>
      <c r="AF2063" t="s">
        <v>1420</v>
      </c>
    </row>
    <row r="2064" spans="1:32" hidden="1" x14ac:dyDescent="0.35">
      <c r="A2064">
        <v>693</v>
      </c>
      <c r="B2064" t="s">
        <v>1411</v>
      </c>
      <c r="C2064" t="s">
        <v>72</v>
      </c>
      <c r="D2064" t="s">
        <v>45</v>
      </c>
      <c r="E2064">
        <v>2156</v>
      </c>
      <c r="F2064">
        <v>5</v>
      </c>
      <c r="G2064">
        <v>5</v>
      </c>
      <c r="H2064">
        <v>1</v>
      </c>
      <c r="I2064">
        <v>1</v>
      </c>
      <c r="J2064">
        <v>0.75976418570375803</v>
      </c>
      <c r="K2064">
        <v>0.81609087242908895</v>
      </c>
      <c r="L2064">
        <v>0.78692087061104099</v>
      </c>
      <c r="M2064">
        <v>0.42196531791907499</v>
      </c>
      <c r="N2064">
        <v>1</v>
      </c>
      <c r="O2064">
        <v>0.62774566473988402</v>
      </c>
      <c r="P2064" t="s">
        <v>1412</v>
      </c>
      <c r="Q2064" t="s">
        <v>1413</v>
      </c>
      <c r="R2064" t="s">
        <v>342</v>
      </c>
      <c r="S2064" t="s">
        <v>343</v>
      </c>
      <c r="T2064" t="s">
        <v>1414</v>
      </c>
      <c r="U2064" t="s">
        <v>1415</v>
      </c>
      <c r="V2064" t="s">
        <v>1416</v>
      </c>
      <c r="W2064" t="s">
        <v>1417</v>
      </c>
      <c r="AD2064" t="s">
        <v>166</v>
      </c>
      <c r="AE2064" t="s">
        <v>818</v>
      </c>
      <c r="AF2064" t="s">
        <v>1420</v>
      </c>
    </row>
    <row r="2065" spans="1:32" hidden="1" x14ac:dyDescent="0.35">
      <c r="A2065">
        <v>2549</v>
      </c>
      <c r="B2065" t="s">
        <v>5267</v>
      </c>
      <c r="C2065" t="s">
        <v>72</v>
      </c>
      <c r="D2065" t="s">
        <v>58</v>
      </c>
      <c r="E2065">
        <v>755</v>
      </c>
      <c r="F2065">
        <v>5</v>
      </c>
      <c r="G2065">
        <v>5</v>
      </c>
      <c r="H2065">
        <v>1</v>
      </c>
      <c r="I2065">
        <v>1</v>
      </c>
      <c r="J2065">
        <v>0.77355152587350695</v>
      </c>
      <c r="K2065">
        <v>0.94578838409867305</v>
      </c>
      <c r="L2065">
        <v>0.85104294203791897</v>
      </c>
      <c r="M2065">
        <v>0.60334029227557395</v>
      </c>
      <c r="N2065">
        <v>1</v>
      </c>
      <c r="O2065">
        <v>0.70354906054279798</v>
      </c>
      <c r="P2065" t="s">
        <v>5268</v>
      </c>
      <c r="Q2065" t="s">
        <v>5269</v>
      </c>
      <c r="R2065" t="s">
        <v>235</v>
      </c>
      <c r="S2065" t="s">
        <v>236</v>
      </c>
      <c r="T2065" t="s">
        <v>5270</v>
      </c>
      <c r="U2065" t="s">
        <v>5271</v>
      </c>
      <c r="V2065" t="s">
        <v>5272</v>
      </c>
      <c r="W2065" t="s">
        <v>5273</v>
      </c>
      <c r="X2065" t="s">
        <v>5272</v>
      </c>
      <c r="Y2065" t="s">
        <v>1136</v>
      </c>
      <c r="Z2065" t="s">
        <v>5274</v>
      </c>
      <c r="AA2065" t="s">
        <v>5275</v>
      </c>
      <c r="AB2065" t="s">
        <v>5274</v>
      </c>
      <c r="AC2065" t="s">
        <v>5276</v>
      </c>
      <c r="AD2065" t="s">
        <v>245</v>
      </c>
      <c r="AE2065" t="s">
        <v>5277</v>
      </c>
      <c r="AF2065" t="s">
        <v>5278</v>
      </c>
    </row>
    <row r="2066" spans="1:32" hidden="1" x14ac:dyDescent="0.35">
      <c r="A2066">
        <v>770</v>
      </c>
      <c r="B2066" t="s">
        <v>1571</v>
      </c>
      <c r="C2066" t="s">
        <v>72</v>
      </c>
      <c r="D2066" t="s">
        <v>60</v>
      </c>
      <c r="E2066">
        <v>2270</v>
      </c>
      <c r="F2066">
        <v>5</v>
      </c>
      <c r="G2066">
        <v>5</v>
      </c>
      <c r="H2066">
        <v>1</v>
      </c>
      <c r="I2066">
        <v>1</v>
      </c>
      <c r="J2066">
        <v>0.74351851851851802</v>
      </c>
      <c r="K2066">
        <v>0.86190096554167805</v>
      </c>
      <c r="L2066">
        <v>0.79834502492583403</v>
      </c>
      <c r="M2066">
        <v>0.38967136150234699</v>
      </c>
      <c r="N2066">
        <v>1</v>
      </c>
      <c r="O2066">
        <v>0.58262910798122103</v>
      </c>
      <c r="P2066" t="s">
        <v>1572</v>
      </c>
      <c r="Q2066" t="s">
        <v>1573</v>
      </c>
      <c r="R2066" t="s">
        <v>342</v>
      </c>
      <c r="S2066" t="s">
        <v>343</v>
      </c>
      <c r="T2066" t="s">
        <v>1574</v>
      </c>
      <c r="U2066" t="s">
        <v>1575</v>
      </c>
      <c r="V2066" t="s">
        <v>1576</v>
      </c>
      <c r="W2066" t="s">
        <v>1577</v>
      </c>
      <c r="AD2066" t="s">
        <v>219</v>
      </c>
      <c r="AE2066" t="s">
        <v>1578</v>
      </c>
      <c r="AF2066" t="e">
        <f>-------------------------------------------MQMRYGQNPIVAVLACSDSRVPVELIFDQGLGDAFVIRTAGEIIDLAVLGSLEYAVESLNVPLIVVMGHESCGAV-AATQAAIDGHEIPDGFQRVLIEKVSPSILQARAAGYTTTAEFEAHHVAETVNQVLSRSPEVKSKVSRGTCGIVGVRYRLSDGLAEPVVTIGVGE</f>
        <v>#NAME?</v>
      </c>
    </row>
    <row r="2067" spans="1:32" hidden="1" x14ac:dyDescent="0.35">
      <c r="A2067">
        <v>771</v>
      </c>
      <c r="B2067" t="s">
        <v>1571</v>
      </c>
      <c r="C2067" t="s">
        <v>72</v>
      </c>
      <c r="D2067" t="s">
        <v>62</v>
      </c>
      <c r="E2067">
        <v>2299</v>
      </c>
      <c r="F2067">
        <v>5</v>
      </c>
      <c r="G2067">
        <v>5</v>
      </c>
      <c r="H2067">
        <v>1</v>
      </c>
      <c r="I2067">
        <v>1</v>
      </c>
      <c r="J2067">
        <v>0.74351851851851802</v>
      </c>
      <c r="K2067">
        <v>0.86190096554167805</v>
      </c>
      <c r="L2067">
        <v>0.79834502492583403</v>
      </c>
      <c r="M2067">
        <v>0.38967136150234699</v>
      </c>
      <c r="N2067">
        <v>1</v>
      </c>
      <c r="O2067">
        <v>0.58262910798122103</v>
      </c>
      <c r="P2067" t="s">
        <v>1572</v>
      </c>
      <c r="Q2067" t="s">
        <v>1573</v>
      </c>
      <c r="R2067" t="s">
        <v>342</v>
      </c>
      <c r="S2067" t="s">
        <v>343</v>
      </c>
      <c r="T2067" t="s">
        <v>1574</v>
      </c>
      <c r="U2067" t="s">
        <v>1575</v>
      </c>
      <c r="V2067" t="s">
        <v>1576</v>
      </c>
      <c r="W2067" t="s">
        <v>1577</v>
      </c>
      <c r="AD2067" t="s">
        <v>219</v>
      </c>
      <c r="AE2067" t="s">
        <v>1578</v>
      </c>
      <c r="AF2067" t="e">
        <f>-------------------------------------------MQMRYGQNPIVAVLACSDSRVPVELIFDQGLGDAFVIRTAGEIIDLAVLGSLEYAVESLNVPLIVVMGHESCGAV-AATQAAIDGHEIPDGFQRVLIEKVSPSILQARAAGYTTTAEFEAHHVAETVNQVLSRSPEVKSKVSRGTCGIVGVRYRLSDGLAEPVVTIGVGE</f>
        <v>#NAME?</v>
      </c>
    </row>
    <row r="2068" spans="1:32" hidden="1" x14ac:dyDescent="0.35">
      <c r="A2068">
        <v>772</v>
      </c>
      <c r="B2068" t="s">
        <v>1571</v>
      </c>
      <c r="C2068" t="s">
        <v>72</v>
      </c>
      <c r="D2068" t="s">
        <v>34</v>
      </c>
      <c r="E2068">
        <v>1518</v>
      </c>
      <c r="F2068">
        <v>5</v>
      </c>
      <c r="G2068">
        <v>5</v>
      </c>
      <c r="H2068">
        <v>1</v>
      </c>
      <c r="I2068">
        <v>1</v>
      </c>
      <c r="J2068">
        <v>0.74351851851851802</v>
      </c>
      <c r="K2068">
        <v>0.86190096554167805</v>
      </c>
      <c r="L2068">
        <v>0.79834502492583403</v>
      </c>
      <c r="M2068">
        <v>0.38967136150234699</v>
      </c>
      <c r="N2068">
        <v>1</v>
      </c>
      <c r="O2068">
        <v>0.58262910798122103</v>
      </c>
      <c r="P2068" t="s">
        <v>1572</v>
      </c>
      <c r="Q2068" t="s">
        <v>1573</v>
      </c>
      <c r="R2068" t="s">
        <v>342</v>
      </c>
      <c r="S2068" t="s">
        <v>343</v>
      </c>
      <c r="T2068" t="s">
        <v>1574</v>
      </c>
      <c r="U2068" t="s">
        <v>1575</v>
      </c>
      <c r="V2068" t="s">
        <v>1576</v>
      </c>
      <c r="W2068" t="s">
        <v>1577</v>
      </c>
      <c r="AD2068" t="s">
        <v>219</v>
      </c>
      <c r="AE2068" t="s">
        <v>1578</v>
      </c>
      <c r="AF2068" t="s">
        <v>1579</v>
      </c>
    </row>
    <row r="2069" spans="1:32" hidden="1" x14ac:dyDescent="0.35">
      <c r="A2069">
        <v>773</v>
      </c>
      <c r="B2069" t="s">
        <v>1571</v>
      </c>
      <c r="C2069" t="s">
        <v>72</v>
      </c>
      <c r="D2069" t="s">
        <v>45</v>
      </c>
      <c r="E2069">
        <v>268</v>
      </c>
      <c r="F2069">
        <v>5</v>
      </c>
      <c r="G2069">
        <v>5</v>
      </c>
      <c r="H2069">
        <v>1</v>
      </c>
      <c r="I2069">
        <v>1</v>
      </c>
      <c r="J2069">
        <v>0.74351851851851802</v>
      </c>
      <c r="K2069">
        <v>0.86190096554167805</v>
      </c>
      <c r="L2069">
        <v>0.79834502492583403</v>
      </c>
      <c r="M2069">
        <v>0.38967136150234699</v>
      </c>
      <c r="N2069">
        <v>1</v>
      </c>
      <c r="O2069">
        <v>0.58262910798122103</v>
      </c>
      <c r="P2069" t="s">
        <v>1572</v>
      </c>
      <c r="Q2069" t="s">
        <v>1573</v>
      </c>
      <c r="R2069" t="s">
        <v>342</v>
      </c>
      <c r="S2069" t="s">
        <v>343</v>
      </c>
      <c r="T2069" t="s">
        <v>1574</v>
      </c>
      <c r="U2069" t="s">
        <v>1575</v>
      </c>
      <c r="V2069" t="s">
        <v>1576</v>
      </c>
      <c r="W2069" t="s">
        <v>1577</v>
      </c>
      <c r="AD2069" t="s">
        <v>219</v>
      </c>
      <c r="AE2069" t="s">
        <v>1578</v>
      </c>
      <c r="AF2069" t="s">
        <v>1580</v>
      </c>
    </row>
    <row r="2070" spans="1:32" hidden="1" x14ac:dyDescent="0.35">
      <c r="A2070">
        <v>2749</v>
      </c>
      <c r="B2070" t="s">
        <v>5689</v>
      </c>
      <c r="C2070" t="s">
        <v>72</v>
      </c>
      <c r="D2070" t="s">
        <v>58</v>
      </c>
      <c r="E2070">
        <v>1106</v>
      </c>
      <c r="F2070">
        <v>5</v>
      </c>
      <c r="G2070">
        <v>5</v>
      </c>
      <c r="H2070">
        <v>1</v>
      </c>
      <c r="I2070">
        <v>1</v>
      </c>
      <c r="J2070">
        <v>0.75309491059147204</v>
      </c>
      <c r="K2070">
        <v>0.92867056022466199</v>
      </c>
      <c r="L2070">
        <v>0.83171772123722698</v>
      </c>
      <c r="M2070">
        <v>0.54458598726114604</v>
      </c>
      <c r="N2070">
        <v>1</v>
      </c>
      <c r="O2070">
        <v>0.66942675159235698</v>
      </c>
      <c r="P2070" t="s">
        <v>5690</v>
      </c>
      <c r="Q2070" t="s">
        <v>5691</v>
      </c>
      <c r="R2070" t="s">
        <v>235</v>
      </c>
      <c r="S2070" t="s">
        <v>236</v>
      </c>
      <c r="T2070" t="s">
        <v>5692</v>
      </c>
      <c r="U2070" t="s">
        <v>5693</v>
      </c>
      <c r="V2070" t="s">
        <v>5694</v>
      </c>
      <c r="W2070" t="s">
        <v>5695</v>
      </c>
      <c r="X2070" t="s">
        <v>5694</v>
      </c>
      <c r="Y2070" t="s">
        <v>1136</v>
      </c>
      <c r="Z2070" t="s">
        <v>5696</v>
      </c>
      <c r="AA2070" t="s">
        <v>5697</v>
      </c>
      <c r="AB2070" t="s">
        <v>5696</v>
      </c>
      <c r="AC2070" t="s">
        <v>5698</v>
      </c>
      <c r="AD2070" t="s">
        <v>245</v>
      </c>
      <c r="AE2070" t="s">
        <v>5699</v>
      </c>
      <c r="AF2070" t="s">
        <v>5700</v>
      </c>
    </row>
    <row r="2071" spans="1:32" hidden="1" x14ac:dyDescent="0.35">
      <c r="A2071">
        <v>1365</v>
      </c>
      <c r="B2071" t="s">
        <v>2836</v>
      </c>
      <c r="C2071" t="s">
        <v>72</v>
      </c>
      <c r="D2071" t="s">
        <v>60</v>
      </c>
      <c r="E2071">
        <v>949</v>
      </c>
      <c r="F2071">
        <v>5</v>
      </c>
      <c r="G2071">
        <v>5</v>
      </c>
      <c r="H2071">
        <v>1</v>
      </c>
      <c r="I2071">
        <v>1</v>
      </c>
      <c r="J2071">
        <v>0.84604585868039295</v>
      </c>
      <c r="K2071">
        <v>0.965625159596742</v>
      </c>
      <c r="L2071">
        <v>0.90188909473347301</v>
      </c>
      <c r="M2071">
        <v>0.67494356659142196</v>
      </c>
      <c r="N2071">
        <v>1</v>
      </c>
      <c r="O2071">
        <v>0.76207674943566595</v>
      </c>
      <c r="P2071" t="s">
        <v>2837</v>
      </c>
      <c r="Q2071" t="s">
        <v>2838</v>
      </c>
      <c r="R2071" t="s">
        <v>342</v>
      </c>
      <c r="S2071" t="s">
        <v>343</v>
      </c>
      <c r="T2071" t="s">
        <v>2839</v>
      </c>
      <c r="U2071" t="s">
        <v>2840</v>
      </c>
      <c r="V2071" t="s">
        <v>2841</v>
      </c>
      <c r="W2071" t="s">
        <v>2842</v>
      </c>
      <c r="AD2071" t="s">
        <v>166</v>
      </c>
      <c r="AE2071" t="s">
        <v>2843</v>
      </c>
      <c r="AF2071" t="s">
        <v>2845</v>
      </c>
    </row>
    <row r="2072" spans="1:32" hidden="1" x14ac:dyDescent="0.35">
      <c r="A2072">
        <v>1366</v>
      </c>
      <c r="B2072" t="s">
        <v>2836</v>
      </c>
      <c r="C2072" t="s">
        <v>72</v>
      </c>
      <c r="D2072" t="s">
        <v>62</v>
      </c>
      <c r="E2072">
        <v>985</v>
      </c>
      <c r="F2072">
        <v>5</v>
      </c>
      <c r="G2072">
        <v>5</v>
      </c>
      <c r="H2072">
        <v>1</v>
      </c>
      <c r="I2072">
        <v>1</v>
      </c>
      <c r="J2072">
        <v>0.84604585868039295</v>
      </c>
      <c r="K2072">
        <v>0.965625159596742</v>
      </c>
      <c r="L2072">
        <v>0.90188909473347301</v>
      </c>
      <c r="M2072">
        <v>0.67494356659142196</v>
      </c>
      <c r="N2072">
        <v>1</v>
      </c>
      <c r="O2072">
        <v>0.76207674943566595</v>
      </c>
      <c r="P2072" t="s">
        <v>2837</v>
      </c>
      <c r="Q2072" t="s">
        <v>2838</v>
      </c>
      <c r="R2072" t="s">
        <v>342</v>
      </c>
      <c r="S2072" t="s">
        <v>343</v>
      </c>
      <c r="T2072" t="s">
        <v>2839</v>
      </c>
      <c r="U2072" t="s">
        <v>2840</v>
      </c>
      <c r="V2072" t="s">
        <v>2841</v>
      </c>
      <c r="W2072" t="s">
        <v>2842</v>
      </c>
      <c r="AD2072" t="s">
        <v>166</v>
      </c>
      <c r="AE2072" t="s">
        <v>2843</v>
      </c>
      <c r="AF2072" t="s">
        <v>2845</v>
      </c>
    </row>
    <row r="2073" spans="1:32" hidden="1" x14ac:dyDescent="0.35">
      <c r="A2073">
        <v>1367</v>
      </c>
      <c r="B2073" t="s">
        <v>2836</v>
      </c>
      <c r="C2073" t="s">
        <v>72</v>
      </c>
      <c r="D2073" t="s">
        <v>34</v>
      </c>
      <c r="E2073">
        <v>211</v>
      </c>
      <c r="F2073">
        <v>5</v>
      </c>
      <c r="G2073">
        <v>5</v>
      </c>
      <c r="H2073">
        <v>1</v>
      </c>
      <c r="I2073">
        <v>1</v>
      </c>
      <c r="J2073">
        <v>0.84604585868039295</v>
      </c>
      <c r="K2073">
        <v>0.965625159596742</v>
      </c>
      <c r="L2073">
        <v>0.90188909473347301</v>
      </c>
      <c r="M2073">
        <v>0.67494356659142196</v>
      </c>
      <c r="N2073">
        <v>1</v>
      </c>
      <c r="O2073">
        <v>0.76207674943566595</v>
      </c>
      <c r="P2073" t="s">
        <v>2837</v>
      </c>
      <c r="Q2073" t="s">
        <v>2838</v>
      </c>
      <c r="R2073" t="s">
        <v>342</v>
      </c>
      <c r="S2073" t="s">
        <v>343</v>
      </c>
      <c r="T2073" t="s">
        <v>2839</v>
      </c>
      <c r="U2073" t="s">
        <v>2840</v>
      </c>
      <c r="V2073" t="s">
        <v>2841</v>
      </c>
      <c r="W2073" t="s">
        <v>2842</v>
      </c>
      <c r="AD2073" t="s">
        <v>166</v>
      </c>
      <c r="AE2073" t="s">
        <v>2843</v>
      </c>
      <c r="AF2073" t="s">
        <v>2846</v>
      </c>
    </row>
    <row r="2074" spans="1:32" hidden="1" x14ac:dyDescent="0.35">
      <c r="A2074">
        <v>1368</v>
      </c>
      <c r="B2074" t="s">
        <v>2836</v>
      </c>
      <c r="C2074" t="s">
        <v>72</v>
      </c>
      <c r="D2074" t="s">
        <v>45</v>
      </c>
      <c r="E2074">
        <v>1474</v>
      </c>
      <c r="F2074">
        <v>5</v>
      </c>
      <c r="G2074">
        <v>5</v>
      </c>
      <c r="H2074">
        <v>1</v>
      </c>
      <c r="I2074">
        <v>1</v>
      </c>
      <c r="J2074">
        <v>0.84604585868039295</v>
      </c>
      <c r="K2074">
        <v>0.965625159596742</v>
      </c>
      <c r="L2074">
        <v>0.90188909473347301</v>
      </c>
      <c r="M2074">
        <v>0.67494356659142196</v>
      </c>
      <c r="N2074">
        <v>1</v>
      </c>
      <c r="O2074">
        <v>0.76207674943566595</v>
      </c>
      <c r="P2074" t="s">
        <v>2837</v>
      </c>
      <c r="Q2074" t="s">
        <v>2838</v>
      </c>
      <c r="R2074" t="s">
        <v>342</v>
      </c>
      <c r="S2074" t="s">
        <v>343</v>
      </c>
      <c r="T2074" t="s">
        <v>2839</v>
      </c>
      <c r="U2074" t="s">
        <v>2840</v>
      </c>
      <c r="V2074" t="s">
        <v>2841</v>
      </c>
      <c r="W2074" t="s">
        <v>2842</v>
      </c>
      <c r="AD2074" t="s">
        <v>166</v>
      </c>
      <c r="AE2074" t="s">
        <v>2843</v>
      </c>
      <c r="AF2074" t="s">
        <v>2846</v>
      </c>
    </row>
    <row r="2075" spans="1:32" hidden="1" x14ac:dyDescent="0.35">
      <c r="A2075">
        <v>1304</v>
      </c>
      <c r="B2075" t="s">
        <v>2703</v>
      </c>
      <c r="C2075" t="s">
        <v>72</v>
      </c>
      <c r="D2075" t="s">
        <v>58</v>
      </c>
      <c r="E2075">
        <v>1577</v>
      </c>
      <c r="F2075">
        <v>5</v>
      </c>
      <c r="G2075">
        <v>5</v>
      </c>
      <c r="H2075">
        <v>1</v>
      </c>
      <c r="I2075">
        <v>1</v>
      </c>
      <c r="J2075">
        <v>0.69997603642463502</v>
      </c>
      <c r="K2075">
        <v>0.96011693115379804</v>
      </c>
      <c r="L2075">
        <v>0.80966410568384894</v>
      </c>
      <c r="M2075">
        <v>0.50689655172413794</v>
      </c>
      <c r="N2075">
        <v>1</v>
      </c>
      <c r="O2075">
        <v>0.61655172413793102</v>
      </c>
      <c r="P2075" t="s">
        <v>2704</v>
      </c>
      <c r="Q2075" t="s">
        <v>2705</v>
      </c>
      <c r="R2075" t="s">
        <v>516</v>
      </c>
      <c r="S2075" t="s">
        <v>517</v>
      </c>
      <c r="V2075" t="s">
        <v>2706</v>
      </c>
      <c r="W2075" t="s">
        <v>2707</v>
      </c>
      <c r="AF2075" t="s">
        <v>2708</v>
      </c>
    </row>
    <row r="2076" spans="1:32" hidden="1" x14ac:dyDescent="0.35">
      <c r="A2076">
        <v>1555</v>
      </c>
      <c r="B2076" t="s">
        <v>3259</v>
      </c>
      <c r="C2076" t="s">
        <v>72</v>
      </c>
      <c r="D2076" t="s">
        <v>60</v>
      </c>
      <c r="E2076">
        <v>1471</v>
      </c>
      <c r="F2076">
        <v>5</v>
      </c>
      <c r="G2076">
        <v>5</v>
      </c>
      <c r="H2076">
        <v>1</v>
      </c>
      <c r="I2076">
        <v>1</v>
      </c>
      <c r="J2076">
        <v>0.84329501915708804</v>
      </c>
      <c r="K2076">
        <v>1</v>
      </c>
      <c r="L2076">
        <v>0.91498648929536497</v>
      </c>
      <c r="M2076">
        <v>0.68390804597701105</v>
      </c>
      <c r="N2076">
        <v>1</v>
      </c>
      <c r="O2076">
        <v>0.78275862068965496</v>
      </c>
      <c r="P2076" t="s">
        <v>3260</v>
      </c>
      <c r="Q2076" t="s">
        <v>3261</v>
      </c>
      <c r="R2076" t="s">
        <v>342</v>
      </c>
      <c r="S2076" t="s">
        <v>343</v>
      </c>
      <c r="T2076" t="s">
        <v>3262</v>
      </c>
      <c r="U2076" t="s">
        <v>3263</v>
      </c>
      <c r="V2076" t="s">
        <v>3264</v>
      </c>
      <c r="W2076" t="s">
        <v>3265</v>
      </c>
      <c r="AD2076" t="s">
        <v>219</v>
      </c>
      <c r="AE2076" t="s">
        <v>1987</v>
      </c>
      <c r="AF2076" t="s">
        <v>3267</v>
      </c>
    </row>
    <row r="2077" spans="1:32" hidden="1" x14ac:dyDescent="0.35">
      <c r="A2077">
        <v>1556</v>
      </c>
      <c r="B2077" t="s">
        <v>3259</v>
      </c>
      <c r="C2077" t="s">
        <v>72</v>
      </c>
      <c r="D2077" t="s">
        <v>62</v>
      </c>
      <c r="E2077">
        <v>1506</v>
      </c>
      <c r="F2077">
        <v>5</v>
      </c>
      <c r="G2077">
        <v>5</v>
      </c>
      <c r="H2077">
        <v>1</v>
      </c>
      <c r="I2077">
        <v>1</v>
      </c>
      <c r="J2077">
        <v>0.84329501915708804</v>
      </c>
      <c r="K2077">
        <v>1</v>
      </c>
      <c r="L2077">
        <v>0.91498648929536497</v>
      </c>
      <c r="M2077">
        <v>0.68390804597701105</v>
      </c>
      <c r="N2077">
        <v>1</v>
      </c>
      <c r="O2077">
        <v>0.78275862068965496</v>
      </c>
      <c r="P2077" t="s">
        <v>3260</v>
      </c>
      <c r="Q2077" t="s">
        <v>3261</v>
      </c>
      <c r="R2077" t="s">
        <v>342</v>
      </c>
      <c r="S2077" t="s">
        <v>343</v>
      </c>
      <c r="T2077" t="s">
        <v>3262</v>
      </c>
      <c r="U2077" t="s">
        <v>3263</v>
      </c>
      <c r="V2077" t="s">
        <v>3264</v>
      </c>
      <c r="W2077" t="s">
        <v>3265</v>
      </c>
      <c r="AD2077" t="s">
        <v>219</v>
      </c>
      <c r="AE2077" t="s">
        <v>1987</v>
      </c>
      <c r="AF2077" t="s">
        <v>3267</v>
      </c>
    </row>
    <row r="2078" spans="1:32" hidden="1" x14ac:dyDescent="0.35">
      <c r="A2078">
        <v>1557</v>
      </c>
      <c r="B2078" t="s">
        <v>3259</v>
      </c>
      <c r="C2078" t="s">
        <v>72</v>
      </c>
      <c r="D2078" t="s">
        <v>34</v>
      </c>
      <c r="E2078">
        <v>907</v>
      </c>
      <c r="F2078">
        <v>5</v>
      </c>
      <c r="G2078">
        <v>5</v>
      </c>
      <c r="H2078">
        <v>1</v>
      </c>
      <c r="I2078">
        <v>1</v>
      </c>
      <c r="J2078">
        <v>0.84329501915708804</v>
      </c>
      <c r="K2078">
        <v>1</v>
      </c>
      <c r="L2078">
        <v>0.91498648929536497</v>
      </c>
      <c r="M2078">
        <v>0.68390804597701105</v>
      </c>
      <c r="N2078">
        <v>1</v>
      </c>
      <c r="O2078">
        <v>0.78275862068965496</v>
      </c>
      <c r="P2078" t="s">
        <v>3260</v>
      </c>
      <c r="Q2078" t="s">
        <v>3261</v>
      </c>
      <c r="R2078" t="s">
        <v>342</v>
      </c>
      <c r="S2078" t="s">
        <v>343</v>
      </c>
      <c r="T2078" t="s">
        <v>3262</v>
      </c>
      <c r="U2078" t="s">
        <v>3263</v>
      </c>
      <c r="V2078" t="s">
        <v>3264</v>
      </c>
      <c r="W2078" t="s">
        <v>3265</v>
      </c>
      <c r="AD2078" t="s">
        <v>219</v>
      </c>
      <c r="AE2078" t="s">
        <v>1987</v>
      </c>
      <c r="AF2078" t="s">
        <v>3268</v>
      </c>
    </row>
    <row r="2079" spans="1:32" hidden="1" x14ac:dyDescent="0.35">
      <c r="A2079">
        <v>1558</v>
      </c>
      <c r="B2079" t="s">
        <v>3259</v>
      </c>
      <c r="C2079" t="s">
        <v>72</v>
      </c>
      <c r="D2079" t="s">
        <v>45</v>
      </c>
      <c r="E2079">
        <v>2163</v>
      </c>
      <c r="F2079">
        <v>5</v>
      </c>
      <c r="G2079">
        <v>5</v>
      </c>
      <c r="H2079">
        <v>1</v>
      </c>
      <c r="I2079">
        <v>1</v>
      </c>
      <c r="J2079">
        <v>0.84329501915708804</v>
      </c>
      <c r="K2079">
        <v>1</v>
      </c>
      <c r="L2079">
        <v>0.91498648929536497</v>
      </c>
      <c r="M2079">
        <v>0.68390804597701105</v>
      </c>
      <c r="N2079">
        <v>1</v>
      </c>
      <c r="O2079">
        <v>0.78275862068965496</v>
      </c>
      <c r="P2079" t="s">
        <v>3260</v>
      </c>
      <c r="Q2079" t="s">
        <v>3261</v>
      </c>
      <c r="R2079" t="s">
        <v>342</v>
      </c>
      <c r="S2079" t="s">
        <v>343</v>
      </c>
      <c r="T2079" t="s">
        <v>3262</v>
      </c>
      <c r="U2079" t="s">
        <v>3263</v>
      </c>
      <c r="V2079" t="s">
        <v>3264</v>
      </c>
      <c r="W2079" t="s">
        <v>3265</v>
      </c>
      <c r="AD2079" t="s">
        <v>219</v>
      </c>
      <c r="AE2079" t="s">
        <v>1987</v>
      </c>
      <c r="AF2079" t="s">
        <v>3269</v>
      </c>
    </row>
    <row r="2080" spans="1:32" hidden="1" x14ac:dyDescent="0.35">
      <c r="A2080">
        <v>11100</v>
      </c>
      <c r="B2080" t="s">
        <v>22477</v>
      </c>
      <c r="C2080" t="s">
        <v>33</v>
      </c>
      <c r="D2080" t="s">
        <v>58</v>
      </c>
      <c r="E2080">
        <v>1768</v>
      </c>
      <c r="F2080">
        <v>1</v>
      </c>
      <c r="G2080">
        <v>1</v>
      </c>
      <c r="H2080">
        <v>1</v>
      </c>
      <c r="I2080">
        <v>0</v>
      </c>
      <c r="J2080">
        <v>1</v>
      </c>
      <c r="K2080">
        <v>1</v>
      </c>
      <c r="L2080">
        <v>1</v>
      </c>
      <c r="M2080">
        <v>0</v>
      </c>
      <c r="N2080">
        <v>0</v>
      </c>
      <c r="O2080">
        <v>0</v>
      </c>
      <c r="P2080" t="s">
        <v>675</v>
      </c>
      <c r="Q2080" t="s">
        <v>676</v>
      </c>
      <c r="R2080" t="s">
        <v>516</v>
      </c>
      <c r="S2080" t="s">
        <v>517</v>
      </c>
      <c r="V2080" t="s">
        <v>2706</v>
      </c>
      <c r="W2080" t="s">
        <v>2707</v>
      </c>
      <c r="AF2080" t="s">
        <v>22478</v>
      </c>
    </row>
    <row r="2081" spans="1:32" hidden="1" x14ac:dyDescent="0.35">
      <c r="A2081">
        <v>1645</v>
      </c>
      <c r="B2081" t="s">
        <v>3451</v>
      </c>
      <c r="C2081" t="s">
        <v>72</v>
      </c>
      <c r="D2081" t="s">
        <v>60</v>
      </c>
      <c r="E2081">
        <v>1746</v>
      </c>
      <c r="F2081">
        <v>5</v>
      </c>
      <c r="G2081">
        <v>5</v>
      </c>
      <c r="H2081">
        <v>1</v>
      </c>
      <c r="I2081">
        <v>1</v>
      </c>
      <c r="J2081">
        <v>0.76639519931418798</v>
      </c>
      <c r="K2081">
        <v>0.94946905591504804</v>
      </c>
      <c r="L2081">
        <v>0.848165609992793</v>
      </c>
      <c r="M2081">
        <v>0.55284552845528501</v>
      </c>
      <c r="N2081">
        <v>1</v>
      </c>
      <c r="O2081">
        <v>0.67195121951219505</v>
      </c>
      <c r="P2081" t="s">
        <v>3452</v>
      </c>
      <c r="Q2081" t="s">
        <v>3453</v>
      </c>
      <c r="R2081" t="s">
        <v>342</v>
      </c>
      <c r="S2081" t="s">
        <v>343</v>
      </c>
      <c r="T2081" t="s">
        <v>3454</v>
      </c>
      <c r="U2081" t="s">
        <v>3455</v>
      </c>
      <c r="V2081" t="s">
        <v>3456</v>
      </c>
      <c r="W2081" t="s">
        <v>3457</v>
      </c>
      <c r="Z2081" t="s">
        <v>3458</v>
      </c>
      <c r="AA2081" t="s">
        <v>3459</v>
      </c>
      <c r="AB2081" t="s">
        <v>3458</v>
      </c>
      <c r="AC2081" t="s">
        <v>3460</v>
      </c>
      <c r="AD2081" t="s">
        <v>3461</v>
      </c>
      <c r="AE2081" t="s">
        <v>3462</v>
      </c>
      <c r="AF2081" t="s">
        <v>3463</v>
      </c>
    </row>
    <row r="2082" spans="1:32" hidden="1" x14ac:dyDescent="0.35">
      <c r="A2082">
        <v>1646</v>
      </c>
      <c r="B2082" t="s">
        <v>3451</v>
      </c>
      <c r="C2082" t="s">
        <v>72</v>
      </c>
      <c r="D2082" t="s">
        <v>62</v>
      </c>
      <c r="E2082">
        <v>1782</v>
      </c>
      <c r="F2082">
        <v>5</v>
      </c>
      <c r="G2082">
        <v>5</v>
      </c>
      <c r="H2082">
        <v>1</v>
      </c>
      <c r="I2082">
        <v>1</v>
      </c>
      <c r="J2082">
        <v>0.76639519931418798</v>
      </c>
      <c r="K2082">
        <v>0.94946905591504804</v>
      </c>
      <c r="L2082">
        <v>0.848165609992793</v>
      </c>
      <c r="M2082">
        <v>0.55284552845528501</v>
      </c>
      <c r="N2082">
        <v>1</v>
      </c>
      <c r="O2082">
        <v>0.67195121951219505</v>
      </c>
      <c r="P2082" t="s">
        <v>3452</v>
      </c>
      <c r="Q2082" t="s">
        <v>3453</v>
      </c>
      <c r="R2082" t="s">
        <v>342</v>
      </c>
      <c r="S2082" t="s">
        <v>343</v>
      </c>
      <c r="T2082" t="s">
        <v>3454</v>
      </c>
      <c r="U2082" t="s">
        <v>3455</v>
      </c>
      <c r="V2082" t="s">
        <v>3456</v>
      </c>
      <c r="W2082" t="s">
        <v>3457</v>
      </c>
      <c r="Z2082" t="s">
        <v>3458</v>
      </c>
      <c r="AA2082" t="s">
        <v>3459</v>
      </c>
      <c r="AB2082" t="s">
        <v>3458</v>
      </c>
      <c r="AC2082" t="s">
        <v>3460</v>
      </c>
      <c r="AD2082" t="s">
        <v>3461</v>
      </c>
      <c r="AE2082" t="s">
        <v>3462</v>
      </c>
      <c r="AF2082" t="s">
        <v>3463</v>
      </c>
    </row>
    <row r="2083" spans="1:32" hidden="1" x14ac:dyDescent="0.35">
      <c r="A2083">
        <v>1647</v>
      </c>
      <c r="B2083" t="s">
        <v>3451</v>
      </c>
      <c r="C2083" t="s">
        <v>72</v>
      </c>
      <c r="D2083" t="s">
        <v>34</v>
      </c>
      <c r="E2083">
        <v>2113</v>
      </c>
      <c r="F2083">
        <v>5</v>
      </c>
      <c r="G2083">
        <v>5</v>
      </c>
      <c r="H2083">
        <v>1</v>
      </c>
      <c r="I2083">
        <v>1</v>
      </c>
      <c r="J2083">
        <v>0.76639519931418798</v>
      </c>
      <c r="K2083">
        <v>0.94946905591504804</v>
      </c>
      <c r="L2083">
        <v>0.848165609992793</v>
      </c>
      <c r="M2083">
        <v>0.55284552845528501</v>
      </c>
      <c r="N2083">
        <v>1</v>
      </c>
      <c r="O2083">
        <v>0.67195121951219505</v>
      </c>
      <c r="P2083" t="s">
        <v>3452</v>
      </c>
      <c r="Q2083" t="s">
        <v>3453</v>
      </c>
      <c r="R2083" t="s">
        <v>342</v>
      </c>
      <c r="S2083" t="s">
        <v>343</v>
      </c>
      <c r="T2083" t="s">
        <v>3454</v>
      </c>
      <c r="U2083" t="s">
        <v>3455</v>
      </c>
      <c r="V2083" t="s">
        <v>3456</v>
      </c>
      <c r="W2083" t="s">
        <v>3457</v>
      </c>
      <c r="Z2083" t="s">
        <v>3458</v>
      </c>
      <c r="AA2083" t="s">
        <v>3459</v>
      </c>
      <c r="AB2083" t="s">
        <v>3458</v>
      </c>
      <c r="AC2083" t="s">
        <v>3460</v>
      </c>
      <c r="AD2083" t="s">
        <v>3461</v>
      </c>
      <c r="AE2083" t="s">
        <v>3462</v>
      </c>
      <c r="AF2083" t="e">
        <f>---MTMLVHTHFTTRLGGVSQPPYDSLNLGAHVGDDPDAVRENRARVATQLNLDPARFIWMDQVHSATVRVVNAADLGAPISATDAVVTTDPTVVLTVMVADCVPVLLYDADAGVIAAAHAGRTGARNGVVSNTVATMVELGANPDNMTAHLGPAASGRRYELPREMAEDVEEHLPGSLTRTDQGTWGSDVRAGLARQLTTLGVGNIVMDPRCTIEDSNLFSYRRDGKTGRQAGIIW-------GE</f>
        <v>#NAME?</v>
      </c>
    </row>
    <row r="2084" spans="1:32" hidden="1" x14ac:dyDescent="0.35">
      <c r="A2084">
        <v>1648</v>
      </c>
      <c r="B2084" t="s">
        <v>3451</v>
      </c>
      <c r="C2084" t="s">
        <v>72</v>
      </c>
      <c r="D2084" t="s">
        <v>45</v>
      </c>
      <c r="E2084">
        <v>759</v>
      </c>
      <c r="F2084">
        <v>5</v>
      </c>
      <c r="G2084">
        <v>5</v>
      </c>
      <c r="H2084">
        <v>1</v>
      </c>
      <c r="I2084">
        <v>1</v>
      </c>
      <c r="J2084">
        <v>0.76639519931418798</v>
      </c>
      <c r="K2084">
        <v>0.94946905591504804</v>
      </c>
      <c r="L2084">
        <v>0.848165609992793</v>
      </c>
      <c r="M2084">
        <v>0.55284552845528501</v>
      </c>
      <c r="N2084">
        <v>1</v>
      </c>
      <c r="O2084">
        <v>0.67195121951219505</v>
      </c>
      <c r="P2084" t="s">
        <v>3452</v>
      </c>
      <c r="Q2084" t="s">
        <v>3453</v>
      </c>
      <c r="R2084" t="s">
        <v>342</v>
      </c>
      <c r="S2084" t="s">
        <v>343</v>
      </c>
      <c r="T2084" t="s">
        <v>3454</v>
      </c>
      <c r="U2084" t="s">
        <v>3455</v>
      </c>
      <c r="V2084" t="s">
        <v>3456</v>
      </c>
      <c r="W2084" t="s">
        <v>3457</v>
      </c>
      <c r="Z2084" t="s">
        <v>3458</v>
      </c>
      <c r="AA2084" t="s">
        <v>3459</v>
      </c>
      <c r="AB2084" t="s">
        <v>3458</v>
      </c>
      <c r="AC2084" t="s">
        <v>3460</v>
      </c>
      <c r="AD2084" t="s">
        <v>3461</v>
      </c>
      <c r="AE2084" t="s">
        <v>3462</v>
      </c>
      <c r="AF2084" t="e">
        <f>---MTMLVHTHFTTRLGGVSQPPYDSLNLGAHVGDDPDAVRENRARVATQLNLDPARFIWMDQVHSATVQVVNAADLGAPISATDAVVTTDPTVVLTVMVADCVPVLLYDADAGVIAAAHAGRTGARNGVVSNTVATMVELGANPDNMTAHLGPAASGRRYELPREMAEDVEEHLPGSLTRTDQGTWGSDVRAGLARQLTTLGVGNIVMDPRCTIEDSNLFSYRRDGKTGRQAGIIW-------GE</f>
        <v>#NAME?</v>
      </c>
    </row>
    <row r="2085" spans="1:32" hidden="1" x14ac:dyDescent="0.35">
      <c r="A2085">
        <v>11092</v>
      </c>
      <c r="B2085" t="s">
        <v>22459</v>
      </c>
      <c r="C2085" t="s">
        <v>33</v>
      </c>
      <c r="D2085" t="s">
        <v>58</v>
      </c>
      <c r="E2085">
        <v>527</v>
      </c>
      <c r="F2085">
        <v>1</v>
      </c>
      <c r="G2085">
        <v>1</v>
      </c>
      <c r="H2085">
        <v>1</v>
      </c>
      <c r="I2085">
        <v>0</v>
      </c>
      <c r="J2085">
        <v>1</v>
      </c>
      <c r="K2085">
        <v>1</v>
      </c>
      <c r="L2085">
        <v>1</v>
      </c>
      <c r="M2085">
        <v>0</v>
      </c>
      <c r="N2085">
        <v>0</v>
      </c>
      <c r="O2085">
        <v>0</v>
      </c>
      <c r="P2085" t="s">
        <v>17446</v>
      </c>
      <c r="Q2085" t="s">
        <v>17447</v>
      </c>
      <c r="R2085" t="s">
        <v>869</v>
      </c>
      <c r="S2085" t="s">
        <v>870</v>
      </c>
      <c r="T2085" t="s">
        <v>17448</v>
      </c>
      <c r="U2085" t="s">
        <v>17449</v>
      </c>
      <c r="V2085" t="s">
        <v>17450</v>
      </c>
      <c r="W2085" t="s">
        <v>17451</v>
      </c>
      <c r="X2085" t="s">
        <v>17450</v>
      </c>
      <c r="Y2085" t="s">
        <v>6133</v>
      </c>
      <c r="Z2085" t="s">
        <v>9395</v>
      </c>
      <c r="AA2085" t="s">
        <v>9396</v>
      </c>
      <c r="AB2085" t="s">
        <v>9395</v>
      </c>
      <c r="AC2085" t="s">
        <v>878</v>
      </c>
      <c r="AD2085" t="s">
        <v>245</v>
      </c>
      <c r="AE2085" t="s">
        <v>17452</v>
      </c>
      <c r="AF2085" t="s">
        <v>22460</v>
      </c>
    </row>
    <row r="2086" spans="1:32" hidden="1" x14ac:dyDescent="0.35">
      <c r="A2086">
        <v>1870</v>
      </c>
      <c r="B2086" t="s">
        <v>3872</v>
      </c>
      <c r="C2086" t="s">
        <v>72</v>
      </c>
      <c r="D2086" t="s">
        <v>60</v>
      </c>
      <c r="E2086">
        <v>1511</v>
      </c>
      <c r="F2086">
        <v>5</v>
      </c>
      <c r="G2086">
        <v>5</v>
      </c>
      <c r="H2086">
        <v>1</v>
      </c>
      <c r="I2086">
        <v>1</v>
      </c>
      <c r="J2086">
        <v>0.79482708514966605</v>
      </c>
      <c r="K2086">
        <v>0.92012411347517498</v>
      </c>
      <c r="L2086">
        <v>0.85289840046274101</v>
      </c>
      <c r="M2086">
        <v>0.51329787234042601</v>
      </c>
      <c r="N2086">
        <v>1</v>
      </c>
      <c r="O2086">
        <v>0.68297872340425503</v>
      </c>
      <c r="P2086" t="s">
        <v>3873</v>
      </c>
      <c r="Q2086" t="s">
        <v>3874</v>
      </c>
      <c r="R2086" t="s">
        <v>342</v>
      </c>
      <c r="S2086" t="s">
        <v>343</v>
      </c>
      <c r="V2086" t="s">
        <v>3875</v>
      </c>
      <c r="W2086" t="s">
        <v>3876</v>
      </c>
      <c r="AF2086" t="s">
        <v>3878</v>
      </c>
    </row>
    <row r="2087" spans="1:32" hidden="1" x14ac:dyDescent="0.35">
      <c r="A2087">
        <v>1871</v>
      </c>
      <c r="B2087" t="s">
        <v>3872</v>
      </c>
      <c r="C2087" t="s">
        <v>72</v>
      </c>
      <c r="D2087" t="s">
        <v>62</v>
      </c>
      <c r="E2087">
        <v>1546</v>
      </c>
      <c r="F2087">
        <v>5</v>
      </c>
      <c r="G2087">
        <v>5</v>
      </c>
      <c r="H2087">
        <v>1</v>
      </c>
      <c r="I2087">
        <v>1</v>
      </c>
      <c r="J2087">
        <v>0.79482708514966605</v>
      </c>
      <c r="K2087">
        <v>0.92012411347517498</v>
      </c>
      <c r="L2087">
        <v>0.85289840046274101</v>
      </c>
      <c r="M2087">
        <v>0.51329787234042601</v>
      </c>
      <c r="N2087">
        <v>1</v>
      </c>
      <c r="O2087">
        <v>0.68297872340425503</v>
      </c>
      <c r="P2087" t="s">
        <v>3873</v>
      </c>
      <c r="Q2087" t="s">
        <v>3874</v>
      </c>
      <c r="R2087" t="s">
        <v>342</v>
      </c>
      <c r="S2087" t="s">
        <v>343</v>
      </c>
      <c r="V2087" t="s">
        <v>3875</v>
      </c>
      <c r="W2087" t="s">
        <v>3876</v>
      </c>
      <c r="AF2087" t="s">
        <v>3878</v>
      </c>
    </row>
    <row r="2088" spans="1:32" hidden="1" x14ac:dyDescent="0.35">
      <c r="A2088">
        <v>1872</v>
      </c>
      <c r="B2088" t="s">
        <v>3872</v>
      </c>
      <c r="C2088" t="s">
        <v>72</v>
      </c>
      <c r="D2088" t="s">
        <v>34</v>
      </c>
      <c r="E2088">
        <v>1942</v>
      </c>
      <c r="F2088">
        <v>5</v>
      </c>
      <c r="G2088">
        <v>5</v>
      </c>
      <c r="H2088">
        <v>1</v>
      </c>
      <c r="I2088">
        <v>1</v>
      </c>
      <c r="J2088">
        <v>0.79482708514966605</v>
      </c>
      <c r="K2088">
        <v>0.92012411347517498</v>
      </c>
      <c r="L2088">
        <v>0.85289840046274101</v>
      </c>
      <c r="M2088">
        <v>0.51329787234042601</v>
      </c>
      <c r="N2088">
        <v>1</v>
      </c>
      <c r="O2088">
        <v>0.68297872340425503</v>
      </c>
      <c r="P2088" t="s">
        <v>3873</v>
      </c>
      <c r="Q2088" t="s">
        <v>3874</v>
      </c>
      <c r="R2088" t="s">
        <v>342</v>
      </c>
      <c r="S2088" t="s">
        <v>343</v>
      </c>
      <c r="V2088" t="s">
        <v>3875</v>
      </c>
      <c r="W2088" t="s">
        <v>3876</v>
      </c>
      <c r="AF2088" t="s">
        <v>3879</v>
      </c>
    </row>
    <row r="2089" spans="1:32" hidden="1" x14ac:dyDescent="0.35">
      <c r="A2089">
        <v>1873</v>
      </c>
      <c r="B2089" t="s">
        <v>3872</v>
      </c>
      <c r="C2089" t="s">
        <v>72</v>
      </c>
      <c r="D2089" t="s">
        <v>45</v>
      </c>
      <c r="E2089">
        <v>931</v>
      </c>
      <c r="F2089">
        <v>5</v>
      </c>
      <c r="G2089">
        <v>5</v>
      </c>
      <c r="H2089">
        <v>1</v>
      </c>
      <c r="I2089">
        <v>1</v>
      </c>
      <c r="J2089">
        <v>0.79482708514966605</v>
      </c>
      <c r="K2089">
        <v>0.92012411347517498</v>
      </c>
      <c r="L2089">
        <v>0.85289840046274101</v>
      </c>
      <c r="M2089">
        <v>0.51329787234042601</v>
      </c>
      <c r="N2089">
        <v>1</v>
      </c>
      <c r="O2089">
        <v>0.68297872340425503</v>
      </c>
      <c r="P2089" t="s">
        <v>3873</v>
      </c>
      <c r="Q2089" t="s">
        <v>3874</v>
      </c>
      <c r="R2089" t="s">
        <v>342</v>
      </c>
      <c r="S2089" t="s">
        <v>343</v>
      </c>
      <c r="V2089" t="s">
        <v>3875</v>
      </c>
      <c r="W2089" t="s">
        <v>3876</v>
      </c>
      <c r="AF2089" t="s">
        <v>3879</v>
      </c>
    </row>
    <row r="2090" spans="1:32" hidden="1" x14ac:dyDescent="0.35">
      <c r="A2090">
        <v>1479</v>
      </c>
      <c r="B2090" t="s">
        <v>3101</v>
      </c>
      <c r="C2090" t="s">
        <v>72</v>
      </c>
      <c r="D2090" t="s">
        <v>58</v>
      </c>
      <c r="E2090">
        <v>149</v>
      </c>
      <c r="F2090">
        <v>5</v>
      </c>
      <c r="G2090">
        <v>5</v>
      </c>
      <c r="H2090">
        <v>1</v>
      </c>
      <c r="I2090">
        <v>1</v>
      </c>
      <c r="J2090">
        <v>0.92042328042328003</v>
      </c>
      <c r="K2090">
        <v>0.953978087324858</v>
      </c>
      <c r="L2090">
        <v>0.93690034129921496</v>
      </c>
      <c r="M2090">
        <v>0.82258064516129004</v>
      </c>
      <c r="N2090">
        <v>1</v>
      </c>
      <c r="O2090">
        <v>0.86250000000000004</v>
      </c>
      <c r="P2090" t="s">
        <v>182</v>
      </c>
      <c r="Q2090" t="s">
        <v>183</v>
      </c>
      <c r="R2090" t="s">
        <v>652</v>
      </c>
      <c r="S2090" t="s">
        <v>653</v>
      </c>
      <c r="T2090" t="s">
        <v>3102</v>
      </c>
      <c r="U2090" t="s">
        <v>3103</v>
      </c>
      <c r="V2090" t="s">
        <v>3104</v>
      </c>
      <c r="W2090" t="s">
        <v>3105</v>
      </c>
      <c r="X2090" t="s">
        <v>3104</v>
      </c>
      <c r="Y2090" t="s">
        <v>3106</v>
      </c>
      <c r="Z2090" t="s">
        <v>3107</v>
      </c>
      <c r="AA2090" t="s">
        <v>3108</v>
      </c>
      <c r="AB2090" t="s">
        <v>3107</v>
      </c>
      <c r="AC2090" t="s">
        <v>3109</v>
      </c>
      <c r="AD2090" t="s">
        <v>3110</v>
      </c>
      <c r="AE2090" t="s">
        <v>3111</v>
      </c>
      <c r="AF2090" t="e">
        <f>-----MRGV---------------SDHYDVVVLGAGPGGYVSAIRAAQLGLKVAVVEKQYWGGVCLNVGCIPSKALLKNAELAHTFNHEADLFGISGEVSFDFGKAHARSRKVSAGIVKGVHYLMKKNKITEIDGWGFFTGPKEMEIRDGKDAGSTITFDNCIIATGSVVRSLPGVELGGNVVSYEEQILNSDLPESMVIVGAGAIGMEFAYVLANYGVDVSIVEFMDRVLPNEDADVSKEIAKAYKKLGVKLYTGHKTTAVRDNG--DGVEVDIESKDGSKQETLKADRVMISIGFAPRVEGFGLENTGVKLTERGAIDVDDRMRTNVDGIYAIGDVTAKLQLAHVAEAQGVVAAETIADAETMELGDYMMMPRATFCNPQVASFGYTEEKAREKAEAEGREIKVATFPFSANGKAQGLGESAGFVKLIVDAEFGELIGGHMVGSNVSELLPELTLAQRFDLTAEEIGRNVHTHPTLSEAMKEAAEGTMGHMINL</f>
        <v>#NAME?</v>
      </c>
    </row>
    <row r="2091" spans="1:32" hidden="1" x14ac:dyDescent="0.35">
      <c r="A2091">
        <v>1950</v>
      </c>
      <c r="B2091" t="s">
        <v>4044</v>
      </c>
      <c r="C2091" t="s">
        <v>72</v>
      </c>
      <c r="D2091" t="s">
        <v>60</v>
      </c>
      <c r="E2091">
        <v>1002</v>
      </c>
      <c r="F2091">
        <v>5</v>
      </c>
      <c r="G2091">
        <v>5</v>
      </c>
      <c r="H2091">
        <v>1</v>
      </c>
      <c r="I2091">
        <v>1</v>
      </c>
      <c r="J2091">
        <v>0.81163130943672301</v>
      </c>
      <c r="K2091">
        <v>0.90895460406967998</v>
      </c>
      <c r="L2091">
        <v>0.85754045726920003</v>
      </c>
      <c r="M2091">
        <v>0.58745874587458702</v>
      </c>
      <c r="N2091">
        <v>1</v>
      </c>
      <c r="O2091">
        <v>0.731683168316832</v>
      </c>
      <c r="P2091" t="s">
        <v>169</v>
      </c>
      <c r="Q2091" t="s">
        <v>170</v>
      </c>
      <c r="R2091" t="s">
        <v>342</v>
      </c>
      <c r="S2091" t="s">
        <v>343</v>
      </c>
      <c r="T2091" t="s">
        <v>259</v>
      </c>
      <c r="U2091" t="s">
        <v>260</v>
      </c>
      <c r="V2091" t="s">
        <v>4045</v>
      </c>
      <c r="W2091" t="s">
        <v>4046</v>
      </c>
      <c r="AD2091" t="s">
        <v>166</v>
      </c>
      <c r="AE2091" t="s">
        <v>263</v>
      </c>
      <c r="AF2091" t="s">
        <v>4048</v>
      </c>
    </row>
    <row r="2092" spans="1:32" hidden="1" x14ac:dyDescent="0.35">
      <c r="A2092">
        <v>1951</v>
      </c>
      <c r="B2092" t="s">
        <v>4044</v>
      </c>
      <c r="C2092" t="s">
        <v>72</v>
      </c>
      <c r="D2092" t="s">
        <v>62</v>
      </c>
      <c r="E2092">
        <v>1038</v>
      </c>
      <c r="F2092">
        <v>5</v>
      </c>
      <c r="G2092">
        <v>5</v>
      </c>
      <c r="H2092">
        <v>1</v>
      </c>
      <c r="I2092">
        <v>1</v>
      </c>
      <c r="J2092">
        <v>0.81163130943672301</v>
      </c>
      <c r="K2092">
        <v>0.90895460406967998</v>
      </c>
      <c r="L2092">
        <v>0.85754045726920003</v>
      </c>
      <c r="M2092">
        <v>0.58745874587458702</v>
      </c>
      <c r="N2092">
        <v>1</v>
      </c>
      <c r="O2092">
        <v>0.731683168316832</v>
      </c>
      <c r="P2092" t="s">
        <v>169</v>
      </c>
      <c r="Q2092" t="s">
        <v>170</v>
      </c>
      <c r="R2092" t="s">
        <v>342</v>
      </c>
      <c r="S2092" t="s">
        <v>343</v>
      </c>
      <c r="T2092" t="s">
        <v>259</v>
      </c>
      <c r="U2092" t="s">
        <v>260</v>
      </c>
      <c r="V2092" t="s">
        <v>4045</v>
      </c>
      <c r="W2092" t="s">
        <v>4046</v>
      </c>
      <c r="AD2092" t="s">
        <v>166</v>
      </c>
      <c r="AE2092" t="s">
        <v>263</v>
      </c>
      <c r="AF2092" t="s">
        <v>4048</v>
      </c>
    </row>
    <row r="2093" spans="1:32" hidden="1" x14ac:dyDescent="0.35">
      <c r="A2093">
        <v>1952</v>
      </c>
      <c r="B2093" t="s">
        <v>4044</v>
      </c>
      <c r="C2093" t="s">
        <v>72</v>
      </c>
      <c r="D2093" t="s">
        <v>34</v>
      </c>
      <c r="E2093">
        <v>123</v>
      </c>
      <c r="F2093">
        <v>5</v>
      </c>
      <c r="G2093">
        <v>5</v>
      </c>
      <c r="H2093">
        <v>1</v>
      </c>
      <c r="I2093">
        <v>1</v>
      </c>
      <c r="J2093">
        <v>0.81163130943672301</v>
      </c>
      <c r="K2093">
        <v>0.90895460406967998</v>
      </c>
      <c r="L2093">
        <v>0.85754045726920003</v>
      </c>
      <c r="M2093">
        <v>0.58745874587458702</v>
      </c>
      <c r="N2093">
        <v>1</v>
      </c>
      <c r="O2093">
        <v>0.731683168316832</v>
      </c>
      <c r="P2093" t="s">
        <v>169</v>
      </c>
      <c r="Q2093" t="s">
        <v>170</v>
      </c>
      <c r="R2093" t="s">
        <v>342</v>
      </c>
      <c r="S2093" t="s">
        <v>343</v>
      </c>
      <c r="T2093" t="s">
        <v>259</v>
      </c>
      <c r="U2093" t="s">
        <v>260</v>
      </c>
      <c r="V2093" t="s">
        <v>4045</v>
      </c>
      <c r="W2093" t="s">
        <v>4046</v>
      </c>
      <c r="AD2093" t="s">
        <v>166</v>
      </c>
      <c r="AE2093" t="s">
        <v>263</v>
      </c>
      <c r="AF2093" t="s">
        <v>4049</v>
      </c>
    </row>
    <row r="2094" spans="1:32" hidden="1" x14ac:dyDescent="0.35">
      <c r="A2094">
        <v>1953</v>
      </c>
      <c r="B2094" t="s">
        <v>4044</v>
      </c>
      <c r="C2094" t="s">
        <v>72</v>
      </c>
      <c r="D2094" t="s">
        <v>45</v>
      </c>
      <c r="E2094">
        <v>1385</v>
      </c>
      <c r="F2094">
        <v>5</v>
      </c>
      <c r="G2094">
        <v>5</v>
      </c>
      <c r="H2094">
        <v>1</v>
      </c>
      <c r="I2094">
        <v>1</v>
      </c>
      <c r="J2094">
        <v>0.81163130943672301</v>
      </c>
      <c r="K2094">
        <v>0.90895460406967998</v>
      </c>
      <c r="L2094">
        <v>0.85754045726920003</v>
      </c>
      <c r="M2094">
        <v>0.58745874587458702</v>
      </c>
      <c r="N2094">
        <v>1</v>
      </c>
      <c r="O2094">
        <v>0.731683168316832</v>
      </c>
      <c r="P2094" t="s">
        <v>169</v>
      </c>
      <c r="Q2094" t="s">
        <v>170</v>
      </c>
      <c r="R2094" t="s">
        <v>342</v>
      </c>
      <c r="S2094" t="s">
        <v>343</v>
      </c>
      <c r="T2094" t="s">
        <v>259</v>
      </c>
      <c r="U2094" t="s">
        <v>260</v>
      </c>
      <c r="V2094" t="s">
        <v>4045</v>
      </c>
      <c r="W2094" t="s">
        <v>4046</v>
      </c>
      <c r="AD2094" t="s">
        <v>166</v>
      </c>
      <c r="AE2094" t="s">
        <v>263</v>
      </c>
      <c r="AF2094" t="s">
        <v>4050</v>
      </c>
    </row>
    <row r="2095" spans="1:32" hidden="1" x14ac:dyDescent="0.35">
      <c r="A2095">
        <v>2984</v>
      </c>
      <c r="B2095" t="s">
        <v>6162</v>
      </c>
      <c r="C2095" t="s">
        <v>72</v>
      </c>
      <c r="D2095" t="s">
        <v>58</v>
      </c>
      <c r="E2095">
        <v>1514</v>
      </c>
      <c r="F2095">
        <v>5</v>
      </c>
      <c r="G2095">
        <v>5</v>
      </c>
      <c r="H2095">
        <v>1</v>
      </c>
      <c r="I2095">
        <v>1</v>
      </c>
      <c r="J2095">
        <v>0.88041091037902897</v>
      </c>
      <c r="K2095">
        <v>0.98245909801626297</v>
      </c>
      <c r="L2095">
        <v>0.92863989972092098</v>
      </c>
      <c r="M2095">
        <v>0.76826722338204601</v>
      </c>
      <c r="N2095">
        <v>1</v>
      </c>
      <c r="O2095">
        <v>0.83173277661795397</v>
      </c>
      <c r="P2095" t="s">
        <v>182</v>
      </c>
      <c r="Q2095" t="s">
        <v>183</v>
      </c>
      <c r="R2095" t="s">
        <v>652</v>
      </c>
      <c r="S2095" t="s">
        <v>653</v>
      </c>
      <c r="T2095" t="s">
        <v>6163</v>
      </c>
      <c r="U2095" t="s">
        <v>6164</v>
      </c>
      <c r="V2095" t="s">
        <v>3104</v>
      </c>
      <c r="W2095" t="s">
        <v>3105</v>
      </c>
      <c r="X2095" t="s">
        <v>3104</v>
      </c>
      <c r="Y2095" t="s">
        <v>3106</v>
      </c>
      <c r="AD2095" t="s">
        <v>219</v>
      </c>
      <c r="AE2095" t="s">
        <v>6165</v>
      </c>
      <c r="AF2095" t="s">
        <v>6166</v>
      </c>
    </row>
    <row r="2096" spans="1:32" hidden="1" x14ac:dyDescent="0.35">
      <c r="A2096">
        <v>2100</v>
      </c>
      <c r="B2096" t="s">
        <v>4366</v>
      </c>
      <c r="C2096" t="s">
        <v>72</v>
      </c>
      <c r="D2096" t="s">
        <v>60</v>
      </c>
      <c r="E2096">
        <v>1067</v>
      </c>
      <c r="F2096">
        <v>5</v>
      </c>
      <c r="G2096">
        <v>5</v>
      </c>
      <c r="H2096">
        <v>1</v>
      </c>
      <c r="I2096">
        <v>1</v>
      </c>
      <c r="J2096">
        <v>0.74642970485560101</v>
      </c>
      <c r="K2096">
        <v>0.85589019607842898</v>
      </c>
      <c r="L2096">
        <v>0.79742112180622204</v>
      </c>
      <c r="M2096">
        <v>0.432</v>
      </c>
      <c r="N2096">
        <v>1</v>
      </c>
      <c r="O2096">
        <v>0.60240000000000005</v>
      </c>
      <c r="P2096" t="s">
        <v>4367</v>
      </c>
      <c r="Q2096" t="s">
        <v>4368</v>
      </c>
      <c r="R2096" t="s">
        <v>342</v>
      </c>
      <c r="S2096" t="s">
        <v>343</v>
      </c>
      <c r="T2096" t="s">
        <v>4369</v>
      </c>
      <c r="U2096" t="s">
        <v>4370</v>
      </c>
      <c r="V2096" t="s">
        <v>4371</v>
      </c>
      <c r="W2096" t="s">
        <v>4372</v>
      </c>
      <c r="AD2096" t="s">
        <v>166</v>
      </c>
      <c r="AE2096" t="s">
        <v>818</v>
      </c>
      <c r="AF2096" t="s">
        <v>4374</v>
      </c>
    </row>
    <row r="2097" spans="1:32" hidden="1" x14ac:dyDescent="0.35">
      <c r="A2097">
        <v>2101</v>
      </c>
      <c r="B2097" t="s">
        <v>4366</v>
      </c>
      <c r="C2097" t="s">
        <v>72</v>
      </c>
      <c r="D2097" t="s">
        <v>62</v>
      </c>
      <c r="E2097">
        <v>1103</v>
      </c>
      <c r="F2097">
        <v>5</v>
      </c>
      <c r="G2097">
        <v>5</v>
      </c>
      <c r="H2097">
        <v>1</v>
      </c>
      <c r="I2097">
        <v>1</v>
      </c>
      <c r="J2097">
        <v>0.74642970485560101</v>
      </c>
      <c r="K2097">
        <v>0.85589019607842898</v>
      </c>
      <c r="L2097">
        <v>0.79742112180622204</v>
      </c>
      <c r="M2097">
        <v>0.432</v>
      </c>
      <c r="N2097">
        <v>1</v>
      </c>
      <c r="O2097">
        <v>0.60240000000000005</v>
      </c>
      <c r="P2097" t="s">
        <v>4367</v>
      </c>
      <c r="Q2097" t="s">
        <v>4368</v>
      </c>
      <c r="R2097" t="s">
        <v>342</v>
      </c>
      <c r="S2097" t="s">
        <v>343</v>
      </c>
      <c r="T2097" t="s">
        <v>4369</v>
      </c>
      <c r="U2097" t="s">
        <v>4370</v>
      </c>
      <c r="V2097" t="s">
        <v>4371</v>
      </c>
      <c r="W2097" t="s">
        <v>4372</v>
      </c>
      <c r="AD2097" t="s">
        <v>166</v>
      </c>
      <c r="AE2097" t="s">
        <v>818</v>
      </c>
      <c r="AF2097" t="s">
        <v>4375</v>
      </c>
    </row>
    <row r="2098" spans="1:32" hidden="1" x14ac:dyDescent="0.35">
      <c r="A2098">
        <v>2102</v>
      </c>
      <c r="B2098" t="s">
        <v>4366</v>
      </c>
      <c r="C2098" t="s">
        <v>72</v>
      </c>
      <c r="D2098" t="s">
        <v>34</v>
      </c>
      <c r="E2098">
        <v>53</v>
      </c>
      <c r="F2098">
        <v>5</v>
      </c>
      <c r="G2098">
        <v>5</v>
      </c>
      <c r="H2098">
        <v>1</v>
      </c>
      <c r="I2098">
        <v>1</v>
      </c>
      <c r="J2098">
        <v>0.74642970485560101</v>
      </c>
      <c r="K2098">
        <v>0.85589019607842898</v>
      </c>
      <c r="L2098">
        <v>0.79742112180622204</v>
      </c>
      <c r="M2098">
        <v>0.432</v>
      </c>
      <c r="N2098">
        <v>1</v>
      </c>
      <c r="O2098">
        <v>0.60240000000000005</v>
      </c>
      <c r="P2098" t="s">
        <v>4367</v>
      </c>
      <c r="Q2098" t="s">
        <v>4368</v>
      </c>
      <c r="R2098" t="s">
        <v>342</v>
      </c>
      <c r="S2098" t="s">
        <v>343</v>
      </c>
      <c r="T2098" t="s">
        <v>4369</v>
      </c>
      <c r="U2098" t="s">
        <v>4370</v>
      </c>
      <c r="V2098" t="s">
        <v>4371</v>
      </c>
      <c r="W2098" t="s">
        <v>4372</v>
      </c>
      <c r="AD2098" t="s">
        <v>166</v>
      </c>
      <c r="AE2098" t="s">
        <v>818</v>
      </c>
      <c r="AF2098" t="s">
        <v>4376</v>
      </c>
    </row>
    <row r="2099" spans="1:32" hidden="1" x14ac:dyDescent="0.35">
      <c r="A2099">
        <v>2103</v>
      </c>
      <c r="B2099" t="s">
        <v>4366</v>
      </c>
      <c r="C2099" t="s">
        <v>72</v>
      </c>
      <c r="D2099" t="s">
        <v>45</v>
      </c>
      <c r="E2099">
        <v>1311</v>
      </c>
      <c r="F2099">
        <v>5</v>
      </c>
      <c r="G2099">
        <v>5</v>
      </c>
      <c r="H2099">
        <v>1</v>
      </c>
      <c r="I2099">
        <v>1</v>
      </c>
      <c r="J2099">
        <v>0.74642970485560101</v>
      </c>
      <c r="K2099">
        <v>0.85589019607842898</v>
      </c>
      <c r="L2099">
        <v>0.79742112180622204</v>
      </c>
      <c r="M2099">
        <v>0.432</v>
      </c>
      <c r="N2099">
        <v>1</v>
      </c>
      <c r="O2099">
        <v>0.60240000000000005</v>
      </c>
      <c r="P2099" t="s">
        <v>4367</v>
      </c>
      <c r="Q2099" t="s">
        <v>4368</v>
      </c>
      <c r="R2099" t="s">
        <v>342</v>
      </c>
      <c r="S2099" t="s">
        <v>343</v>
      </c>
      <c r="T2099" t="s">
        <v>4369</v>
      </c>
      <c r="U2099" t="s">
        <v>4370</v>
      </c>
      <c r="V2099" t="s">
        <v>4371</v>
      </c>
      <c r="W2099" t="s">
        <v>4372</v>
      </c>
      <c r="AD2099" t="s">
        <v>166</v>
      </c>
      <c r="AE2099" t="s">
        <v>818</v>
      </c>
      <c r="AF2099" t="s">
        <v>4376</v>
      </c>
    </row>
    <row r="2100" spans="1:32" hidden="1" x14ac:dyDescent="0.35">
      <c r="A2100">
        <v>3419</v>
      </c>
      <c r="B2100" t="s">
        <v>7020</v>
      </c>
      <c r="C2100" t="s">
        <v>72</v>
      </c>
      <c r="D2100" t="s">
        <v>58</v>
      </c>
      <c r="E2100">
        <v>1152</v>
      </c>
      <c r="F2100">
        <v>5</v>
      </c>
      <c r="G2100">
        <v>5</v>
      </c>
      <c r="H2100">
        <v>1</v>
      </c>
      <c r="I2100">
        <v>1</v>
      </c>
      <c r="J2100">
        <v>0.79301423027166895</v>
      </c>
      <c r="K2100">
        <v>0.99106224491663497</v>
      </c>
      <c r="L2100">
        <v>0.88104571102640195</v>
      </c>
      <c r="M2100">
        <v>0.63888888888888895</v>
      </c>
      <c r="N2100">
        <v>1</v>
      </c>
      <c r="O2100">
        <v>0.73418803418803402</v>
      </c>
      <c r="P2100" t="s">
        <v>182</v>
      </c>
      <c r="Q2100" t="s">
        <v>183</v>
      </c>
      <c r="R2100" t="s">
        <v>652</v>
      </c>
      <c r="S2100" t="s">
        <v>653</v>
      </c>
      <c r="T2100" t="s">
        <v>7021</v>
      </c>
      <c r="U2100" t="s">
        <v>7022</v>
      </c>
      <c r="V2100" t="s">
        <v>3104</v>
      </c>
      <c r="W2100" t="s">
        <v>3105</v>
      </c>
      <c r="X2100" t="s">
        <v>3104</v>
      </c>
      <c r="Y2100" t="s">
        <v>3106</v>
      </c>
      <c r="AD2100" t="s">
        <v>219</v>
      </c>
      <c r="AE2100" t="s">
        <v>7023</v>
      </c>
      <c r="AF2100" t="s">
        <v>7024</v>
      </c>
    </row>
    <row r="2101" spans="1:32" hidden="1" x14ac:dyDescent="0.35">
      <c r="A2101">
        <v>2160</v>
      </c>
      <c r="B2101" t="s">
        <v>4490</v>
      </c>
      <c r="C2101" t="s">
        <v>72</v>
      </c>
      <c r="D2101" t="s">
        <v>60</v>
      </c>
      <c r="E2101">
        <v>609</v>
      </c>
      <c r="F2101">
        <v>5</v>
      </c>
      <c r="G2101">
        <v>5</v>
      </c>
      <c r="H2101">
        <v>1</v>
      </c>
      <c r="I2101">
        <v>1</v>
      </c>
      <c r="J2101">
        <v>0.82191142191142197</v>
      </c>
      <c r="K2101">
        <v>0.94496377266825604</v>
      </c>
      <c r="L2101">
        <v>0.87915266503394596</v>
      </c>
      <c r="M2101">
        <v>0.617414248021108</v>
      </c>
      <c r="N2101">
        <v>1</v>
      </c>
      <c r="O2101">
        <v>0.74670184696569897</v>
      </c>
      <c r="P2101" t="s">
        <v>4491</v>
      </c>
      <c r="Q2101" t="s">
        <v>4492</v>
      </c>
      <c r="R2101" t="s">
        <v>342</v>
      </c>
      <c r="S2101" t="s">
        <v>343</v>
      </c>
      <c r="T2101" t="s">
        <v>4493</v>
      </c>
      <c r="U2101" t="s">
        <v>4494</v>
      </c>
      <c r="V2101" t="s">
        <v>4495</v>
      </c>
      <c r="W2101" t="s">
        <v>4496</v>
      </c>
      <c r="AD2101" t="s">
        <v>245</v>
      </c>
      <c r="AE2101" t="s">
        <v>4497</v>
      </c>
      <c r="AF2101" t="s">
        <v>4499</v>
      </c>
    </row>
    <row r="2102" spans="1:32" hidden="1" x14ac:dyDescent="0.35">
      <c r="A2102">
        <v>2161</v>
      </c>
      <c r="B2102" t="s">
        <v>4490</v>
      </c>
      <c r="C2102" t="s">
        <v>72</v>
      </c>
      <c r="D2102" t="s">
        <v>62</v>
      </c>
      <c r="E2102">
        <v>693</v>
      </c>
      <c r="F2102">
        <v>5</v>
      </c>
      <c r="G2102">
        <v>5</v>
      </c>
      <c r="H2102">
        <v>1</v>
      </c>
      <c r="I2102">
        <v>1</v>
      </c>
      <c r="J2102">
        <v>0.82191142191142197</v>
      </c>
      <c r="K2102">
        <v>0.94496377266825604</v>
      </c>
      <c r="L2102">
        <v>0.87915266503394596</v>
      </c>
      <c r="M2102">
        <v>0.617414248021108</v>
      </c>
      <c r="N2102">
        <v>1</v>
      </c>
      <c r="O2102">
        <v>0.74670184696569897</v>
      </c>
      <c r="P2102" t="s">
        <v>4491</v>
      </c>
      <c r="Q2102" t="s">
        <v>4492</v>
      </c>
      <c r="R2102" t="s">
        <v>342</v>
      </c>
      <c r="S2102" t="s">
        <v>343</v>
      </c>
      <c r="T2102" t="s">
        <v>4493</v>
      </c>
      <c r="U2102" t="s">
        <v>4494</v>
      </c>
      <c r="V2102" t="s">
        <v>4495</v>
      </c>
      <c r="W2102" t="s">
        <v>4496</v>
      </c>
      <c r="AD2102" t="s">
        <v>245</v>
      </c>
      <c r="AE2102" t="s">
        <v>4497</v>
      </c>
      <c r="AF2102" t="s">
        <v>4499</v>
      </c>
    </row>
    <row r="2103" spans="1:32" hidden="1" x14ac:dyDescent="0.35">
      <c r="A2103">
        <v>11822</v>
      </c>
      <c r="B2103" t="s">
        <v>24307</v>
      </c>
      <c r="C2103" t="s">
        <v>33</v>
      </c>
      <c r="D2103" t="s">
        <v>58</v>
      </c>
      <c r="E2103">
        <v>36</v>
      </c>
      <c r="F2103">
        <v>1</v>
      </c>
      <c r="G2103">
        <v>1</v>
      </c>
      <c r="H2103">
        <v>1</v>
      </c>
      <c r="I2103">
        <v>0</v>
      </c>
      <c r="J2103">
        <v>1</v>
      </c>
      <c r="K2103">
        <v>1</v>
      </c>
      <c r="L2103">
        <v>1</v>
      </c>
      <c r="M2103">
        <v>0</v>
      </c>
      <c r="N2103">
        <v>0</v>
      </c>
      <c r="O2103">
        <v>0</v>
      </c>
      <c r="P2103" t="s">
        <v>182</v>
      </c>
      <c r="Q2103" t="s">
        <v>183</v>
      </c>
      <c r="R2103" t="s">
        <v>652</v>
      </c>
      <c r="S2103" t="s">
        <v>653</v>
      </c>
      <c r="T2103" t="s">
        <v>17246</v>
      </c>
      <c r="U2103" t="s">
        <v>17247</v>
      </c>
      <c r="V2103" t="s">
        <v>3104</v>
      </c>
      <c r="W2103" t="s">
        <v>3105</v>
      </c>
      <c r="X2103" t="s">
        <v>3104</v>
      </c>
      <c r="Y2103" t="s">
        <v>3106</v>
      </c>
      <c r="AD2103" t="s">
        <v>410</v>
      </c>
      <c r="AE2103" t="s">
        <v>829</v>
      </c>
      <c r="AF2103" t="s">
        <v>24308</v>
      </c>
    </row>
    <row r="2104" spans="1:32" hidden="1" x14ac:dyDescent="0.35">
      <c r="A2104">
        <v>2170</v>
      </c>
      <c r="B2104" t="s">
        <v>4510</v>
      </c>
      <c r="C2104" t="s">
        <v>72</v>
      </c>
      <c r="D2104" t="s">
        <v>60</v>
      </c>
      <c r="E2104">
        <v>2108</v>
      </c>
      <c r="F2104">
        <v>5</v>
      </c>
      <c r="G2104">
        <v>5</v>
      </c>
      <c r="H2104">
        <v>1</v>
      </c>
      <c r="I2104">
        <v>1</v>
      </c>
      <c r="J2104">
        <v>0.76564417177914101</v>
      </c>
      <c r="K2104">
        <v>0.91584960140606397</v>
      </c>
      <c r="L2104">
        <v>0.83403806868045804</v>
      </c>
      <c r="M2104">
        <v>0.53072625698324005</v>
      </c>
      <c r="N2104">
        <v>1</v>
      </c>
      <c r="O2104">
        <v>0.68156424581005604</v>
      </c>
      <c r="P2104" t="s">
        <v>4511</v>
      </c>
      <c r="Q2104" t="s">
        <v>4512</v>
      </c>
      <c r="R2104" t="s">
        <v>342</v>
      </c>
      <c r="S2104" t="s">
        <v>343</v>
      </c>
      <c r="T2104" t="s">
        <v>4513</v>
      </c>
      <c r="U2104" t="s">
        <v>4514</v>
      </c>
      <c r="V2104" t="s">
        <v>4515</v>
      </c>
      <c r="W2104" t="s">
        <v>4516</v>
      </c>
      <c r="AD2104" t="s">
        <v>219</v>
      </c>
      <c r="AE2104" t="s">
        <v>4517</v>
      </c>
      <c r="AF2104" t="e">
        <f>------------MKLSDTLAEAFNQQVTAELEASLVYLQLSYILDDLGLVGMRDWMKTQSEEELTHAQQFADHMLDRDATPQIGTINSPALKVTNAIEAFEASLAHEQKISGMIRDLAATAQNESDFDSRPLLDTFLQEQIEEESTVKEILDRLRMVANDGSGLLRMDAELGAREDSDD</f>
        <v>#NAME?</v>
      </c>
    </row>
    <row r="2105" spans="1:32" hidden="1" x14ac:dyDescent="0.35">
      <c r="A2105">
        <v>2171</v>
      </c>
      <c r="B2105" t="s">
        <v>4510</v>
      </c>
      <c r="C2105" t="s">
        <v>72</v>
      </c>
      <c r="D2105" t="s">
        <v>62</v>
      </c>
      <c r="E2105">
        <v>2143</v>
      </c>
      <c r="F2105">
        <v>5</v>
      </c>
      <c r="G2105">
        <v>5</v>
      </c>
      <c r="H2105">
        <v>1</v>
      </c>
      <c r="I2105">
        <v>1</v>
      </c>
      <c r="J2105">
        <v>0.76564417177914101</v>
      </c>
      <c r="K2105">
        <v>0.91584960140606397</v>
      </c>
      <c r="L2105">
        <v>0.83403806868045804</v>
      </c>
      <c r="M2105">
        <v>0.53072625698324005</v>
      </c>
      <c r="N2105">
        <v>1</v>
      </c>
      <c r="O2105">
        <v>0.68156424581005604</v>
      </c>
      <c r="P2105" t="s">
        <v>4511</v>
      </c>
      <c r="Q2105" t="s">
        <v>4512</v>
      </c>
      <c r="R2105" t="s">
        <v>342</v>
      </c>
      <c r="S2105" t="s">
        <v>343</v>
      </c>
      <c r="T2105" t="s">
        <v>4513</v>
      </c>
      <c r="U2105" t="s">
        <v>4514</v>
      </c>
      <c r="V2105" t="s">
        <v>4515</v>
      </c>
      <c r="W2105" t="s">
        <v>4516</v>
      </c>
      <c r="AD2105" t="s">
        <v>219</v>
      </c>
      <c r="AE2105" t="s">
        <v>4517</v>
      </c>
      <c r="AF2105" t="e">
        <f>----------MAMKLSDTLAEAFNKQVTAELEASLVYLQLSYILDDLGLVGMRDWMKTQSEEELTHAQQFADHMLDRDATPQIGTINSPALKVTNAIEAFEASLAHEQKISGMIRDLAAAAQNESDFDSRPLLDTFLQEQIEEESTVKEILDRLRMVANDGSGLLRMDAELGAREDSDD</f>
        <v>#NAME?</v>
      </c>
    </row>
    <row r="2106" spans="1:32" hidden="1" x14ac:dyDescent="0.35">
      <c r="A2106">
        <v>2172</v>
      </c>
      <c r="B2106" t="s">
        <v>4510</v>
      </c>
      <c r="C2106" t="s">
        <v>72</v>
      </c>
      <c r="D2106" t="s">
        <v>34</v>
      </c>
      <c r="E2106">
        <v>2455</v>
      </c>
      <c r="F2106">
        <v>5</v>
      </c>
      <c r="G2106">
        <v>5</v>
      </c>
      <c r="H2106">
        <v>1</v>
      </c>
      <c r="I2106">
        <v>1</v>
      </c>
      <c r="J2106">
        <v>0.76564417177914101</v>
      </c>
      <c r="K2106">
        <v>0.91584960140606397</v>
      </c>
      <c r="L2106">
        <v>0.83403806868045804</v>
      </c>
      <c r="M2106">
        <v>0.53072625698324005</v>
      </c>
      <c r="N2106">
        <v>1</v>
      </c>
      <c r="O2106">
        <v>0.68156424581005604</v>
      </c>
      <c r="P2106" t="s">
        <v>4511</v>
      </c>
      <c r="Q2106" t="s">
        <v>4512</v>
      </c>
      <c r="R2106" t="s">
        <v>342</v>
      </c>
      <c r="S2106" t="s">
        <v>343</v>
      </c>
      <c r="T2106" t="s">
        <v>4513</v>
      </c>
      <c r="U2106" t="s">
        <v>4514</v>
      </c>
      <c r="V2106" t="s">
        <v>4515</v>
      </c>
      <c r="W2106" t="s">
        <v>4516</v>
      </c>
      <c r="AD2106" t="s">
        <v>219</v>
      </c>
      <c r="AE2106" t="s">
        <v>4517</v>
      </c>
      <c r="AF2106" t="s">
        <v>4519</v>
      </c>
    </row>
    <row r="2107" spans="1:32" hidden="1" x14ac:dyDescent="0.35">
      <c r="A2107">
        <v>2173</v>
      </c>
      <c r="B2107" t="s">
        <v>4510</v>
      </c>
      <c r="C2107" t="s">
        <v>72</v>
      </c>
      <c r="D2107" t="s">
        <v>45</v>
      </c>
      <c r="E2107">
        <v>446</v>
      </c>
      <c r="F2107">
        <v>5</v>
      </c>
      <c r="G2107">
        <v>5</v>
      </c>
      <c r="H2107">
        <v>1</v>
      </c>
      <c r="I2107">
        <v>1</v>
      </c>
      <c r="J2107">
        <v>0.76564417177914101</v>
      </c>
      <c r="K2107">
        <v>0.91584960140606397</v>
      </c>
      <c r="L2107">
        <v>0.83403806868045804</v>
      </c>
      <c r="M2107">
        <v>0.53072625698324005</v>
      </c>
      <c r="N2107">
        <v>1</v>
      </c>
      <c r="O2107">
        <v>0.68156424581005604</v>
      </c>
      <c r="P2107" t="s">
        <v>4511</v>
      </c>
      <c r="Q2107" t="s">
        <v>4512</v>
      </c>
      <c r="R2107" t="s">
        <v>342</v>
      </c>
      <c r="S2107" t="s">
        <v>343</v>
      </c>
      <c r="T2107" t="s">
        <v>4513</v>
      </c>
      <c r="U2107" t="s">
        <v>4514</v>
      </c>
      <c r="V2107" t="s">
        <v>4515</v>
      </c>
      <c r="W2107" t="s">
        <v>4516</v>
      </c>
      <c r="AD2107" t="s">
        <v>219</v>
      </c>
      <c r="AE2107" t="s">
        <v>4517</v>
      </c>
      <c r="AF2107" t="s">
        <v>4519</v>
      </c>
    </row>
    <row r="2108" spans="1:32" hidden="1" x14ac:dyDescent="0.35">
      <c r="A2108">
        <v>4509</v>
      </c>
      <c r="B2108" t="s">
        <v>9388</v>
      </c>
      <c r="C2108" t="s">
        <v>72</v>
      </c>
      <c r="D2108" t="s">
        <v>58</v>
      </c>
      <c r="E2108">
        <v>1693</v>
      </c>
      <c r="F2108">
        <v>5</v>
      </c>
      <c r="G2108">
        <v>5</v>
      </c>
      <c r="H2108">
        <v>1</v>
      </c>
      <c r="I2108">
        <v>1</v>
      </c>
      <c r="J2108">
        <v>0.77554842161583704</v>
      </c>
      <c r="K2108">
        <v>0.92630182421227103</v>
      </c>
      <c r="L2108">
        <v>0.84424809934805201</v>
      </c>
      <c r="M2108">
        <v>0.57777777777777795</v>
      </c>
      <c r="N2108">
        <v>0.98518518518518505</v>
      </c>
      <c r="O2108">
        <v>0.68518518518518501</v>
      </c>
      <c r="P2108" t="s">
        <v>9389</v>
      </c>
      <c r="Q2108" t="s">
        <v>9390</v>
      </c>
      <c r="R2108" t="s">
        <v>869</v>
      </c>
      <c r="S2108" t="s">
        <v>870</v>
      </c>
      <c r="T2108" t="s">
        <v>9391</v>
      </c>
      <c r="U2108" t="s">
        <v>9392</v>
      </c>
      <c r="V2108" t="s">
        <v>9393</v>
      </c>
      <c r="W2108" t="s">
        <v>9394</v>
      </c>
      <c r="X2108" t="s">
        <v>9393</v>
      </c>
      <c r="Y2108" t="s">
        <v>6133</v>
      </c>
      <c r="Z2108" t="s">
        <v>9395</v>
      </c>
      <c r="AA2108" t="s">
        <v>9396</v>
      </c>
      <c r="AB2108" t="s">
        <v>9395</v>
      </c>
      <c r="AC2108" t="s">
        <v>878</v>
      </c>
      <c r="AD2108" t="s">
        <v>9397</v>
      </c>
      <c r="AE2108" t="s">
        <v>9398</v>
      </c>
      <c r="AF2108" t="s">
        <v>9399</v>
      </c>
    </row>
    <row r="2109" spans="1:32" hidden="1" x14ac:dyDescent="0.35">
      <c r="A2109">
        <v>2295</v>
      </c>
      <c r="B2109" t="s">
        <v>4771</v>
      </c>
      <c r="C2109" t="s">
        <v>72</v>
      </c>
      <c r="D2109" t="s">
        <v>60</v>
      </c>
      <c r="E2109">
        <v>1891</v>
      </c>
      <c r="F2109">
        <v>5</v>
      </c>
      <c r="G2109">
        <v>5</v>
      </c>
      <c r="H2109">
        <v>1</v>
      </c>
      <c r="I2109">
        <v>1</v>
      </c>
      <c r="J2109">
        <v>0.78520573277854799</v>
      </c>
      <c r="K2109">
        <v>0.91243416533088995</v>
      </c>
      <c r="L2109">
        <v>0.84405242619319998</v>
      </c>
      <c r="M2109">
        <v>0.58438287153652402</v>
      </c>
      <c r="N2109">
        <v>1</v>
      </c>
      <c r="O2109">
        <v>0.68287153652392896</v>
      </c>
      <c r="P2109" t="s">
        <v>4772</v>
      </c>
      <c r="Q2109" t="s">
        <v>4773</v>
      </c>
      <c r="R2109" t="s">
        <v>342</v>
      </c>
      <c r="S2109" t="s">
        <v>343</v>
      </c>
      <c r="T2109" t="s">
        <v>4774</v>
      </c>
      <c r="U2109" t="s">
        <v>4775</v>
      </c>
      <c r="V2109" t="s">
        <v>4776</v>
      </c>
      <c r="W2109" t="s">
        <v>4777</v>
      </c>
      <c r="AD2109" t="s">
        <v>166</v>
      </c>
      <c r="AE2109" t="s">
        <v>818</v>
      </c>
      <c r="AF2109" t="s">
        <v>4779</v>
      </c>
    </row>
    <row r="2110" spans="1:32" hidden="1" x14ac:dyDescent="0.35">
      <c r="A2110">
        <v>2296</v>
      </c>
      <c r="B2110" t="s">
        <v>4771</v>
      </c>
      <c r="C2110" t="s">
        <v>72</v>
      </c>
      <c r="D2110" t="s">
        <v>62</v>
      </c>
      <c r="E2110">
        <v>1931</v>
      </c>
      <c r="F2110">
        <v>5</v>
      </c>
      <c r="G2110">
        <v>5</v>
      </c>
      <c r="H2110">
        <v>1</v>
      </c>
      <c r="I2110">
        <v>1</v>
      </c>
      <c r="J2110">
        <v>0.78520573277854799</v>
      </c>
      <c r="K2110">
        <v>0.91243416533088995</v>
      </c>
      <c r="L2110">
        <v>0.84405242619319998</v>
      </c>
      <c r="M2110">
        <v>0.58438287153652402</v>
      </c>
      <c r="N2110">
        <v>1</v>
      </c>
      <c r="O2110">
        <v>0.68287153652392896</v>
      </c>
      <c r="P2110" t="s">
        <v>4772</v>
      </c>
      <c r="Q2110" t="s">
        <v>4773</v>
      </c>
      <c r="R2110" t="s">
        <v>342</v>
      </c>
      <c r="S2110" t="s">
        <v>343</v>
      </c>
      <c r="T2110" t="s">
        <v>4774</v>
      </c>
      <c r="U2110" t="s">
        <v>4775</v>
      </c>
      <c r="V2110" t="s">
        <v>4776</v>
      </c>
      <c r="W2110" t="s">
        <v>4777</v>
      </c>
      <c r="AD2110" t="s">
        <v>166</v>
      </c>
      <c r="AE2110" t="s">
        <v>818</v>
      </c>
      <c r="AF2110" t="s">
        <v>4779</v>
      </c>
    </row>
    <row r="2111" spans="1:32" hidden="1" x14ac:dyDescent="0.35">
      <c r="A2111">
        <v>2297</v>
      </c>
      <c r="B2111" t="s">
        <v>4771</v>
      </c>
      <c r="C2111" t="s">
        <v>72</v>
      </c>
      <c r="D2111" t="s">
        <v>34</v>
      </c>
      <c r="E2111">
        <v>2242</v>
      </c>
      <c r="F2111">
        <v>5</v>
      </c>
      <c r="G2111">
        <v>5</v>
      </c>
      <c r="H2111">
        <v>1</v>
      </c>
      <c r="I2111">
        <v>1</v>
      </c>
      <c r="J2111">
        <v>0.78520573277854799</v>
      </c>
      <c r="K2111">
        <v>0.91243416533088995</v>
      </c>
      <c r="L2111">
        <v>0.84405242619319998</v>
      </c>
      <c r="M2111">
        <v>0.58438287153652402</v>
      </c>
      <c r="N2111">
        <v>1</v>
      </c>
      <c r="O2111">
        <v>0.68287153652392896</v>
      </c>
      <c r="P2111" t="s">
        <v>4772</v>
      </c>
      <c r="Q2111" t="s">
        <v>4773</v>
      </c>
      <c r="R2111" t="s">
        <v>342</v>
      </c>
      <c r="S2111" t="s">
        <v>343</v>
      </c>
      <c r="T2111" t="s">
        <v>4774</v>
      </c>
      <c r="U2111" t="s">
        <v>4775</v>
      </c>
      <c r="V2111" t="s">
        <v>4776</v>
      </c>
      <c r="W2111" t="s">
        <v>4777</v>
      </c>
      <c r="AD2111" t="s">
        <v>166</v>
      </c>
      <c r="AE2111" t="s">
        <v>818</v>
      </c>
      <c r="AF2111" t="s">
        <v>4780</v>
      </c>
    </row>
    <row r="2112" spans="1:32" hidden="1" x14ac:dyDescent="0.35">
      <c r="A2112">
        <v>2298</v>
      </c>
      <c r="B2112" t="s">
        <v>4771</v>
      </c>
      <c r="C2112" t="s">
        <v>72</v>
      </c>
      <c r="D2112" t="s">
        <v>45</v>
      </c>
      <c r="E2112">
        <v>635</v>
      </c>
      <c r="F2112">
        <v>5</v>
      </c>
      <c r="G2112">
        <v>5</v>
      </c>
      <c r="H2112">
        <v>1</v>
      </c>
      <c r="I2112">
        <v>1</v>
      </c>
      <c r="J2112">
        <v>0.78520573277854799</v>
      </c>
      <c r="K2112">
        <v>0.91243416533088995</v>
      </c>
      <c r="L2112">
        <v>0.84405242619319998</v>
      </c>
      <c r="M2112">
        <v>0.58438287153652402</v>
      </c>
      <c r="N2112">
        <v>1</v>
      </c>
      <c r="O2112">
        <v>0.68287153652392896</v>
      </c>
      <c r="P2112" t="s">
        <v>4772</v>
      </c>
      <c r="Q2112" t="s">
        <v>4773</v>
      </c>
      <c r="R2112" t="s">
        <v>342</v>
      </c>
      <c r="S2112" t="s">
        <v>343</v>
      </c>
      <c r="T2112" t="s">
        <v>4774</v>
      </c>
      <c r="U2112" t="s">
        <v>4775</v>
      </c>
      <c r="V2112" t="s">
        <v>4776</v>
      </c>
      <c r="W2112" t="s">
        <v>4777</v>
      </c>
      <c r="AD2112" t="s">
        <v>166</v>
      </c>
      <c r="AE2112" t="s">
        <v>818</v>
      </c>
      <c r="AF2112" t="s">
        <v>4781</v>
      </c>
    </row>
    <row r="2113" spans="1:32" hidden="1" x14ac:dyDescent="0.35">
      <c r="A2113">
        <v>4774</v>
      </c>
      <c r="B2113" t="s">
        <v>10010</v>
      </c>
      <c r="C2113" t="s">
        <v>10127</v>
      </c>
      <c r="D2113" t="s">
        <v>58</v>
      </c>
      <c r="E2113">
        <v>1694</v>
      </c>
      <c r="F2113">
        <v>5</v>
      </c>
      <c r="G2113">
        <v>5</v>
      </c>
      <c r="H2113">
        <v>1</v>
      </c>
      <c r="I2113">
        <v>1</v>
      </c>
      <c r="J2113">
        <v>0.72894446487679299</v>
      </c>
      <c r="K2113">
        <v>0.90052653291645102</v>
      </c>
      <c r="L2113">
        <v>0.80570176766954404</v>
      </c>
      <c r="M2113">
        <v>0.50328947368421095</v>
      </c>
      <c r="N2113">
        <v>0.99671052631578905</v>
      </c>
      <c r="O2113">
        <v>0.62730263157894695</v>
      </c>
      <c r="P2113" t="s">
        <v>10011</v>
      </c>
      <c r="Q2113" t="s">
        <v>10012</v>
      </c>
      <c r="R2113" t="s">
        <v>869</v>
      </c>
      <c r="S2113" t="s">
        <v>870</v>
      </c>
      <c r="T2113" t="s">
        <v>10013</v>
      </c>
      <c r="U2113" t="s">
        <v>10014</v>
      </c>
      <c r="V2113" t="s">
        <v>10015</v>
      </c>
      <c r="W2113" t="s">
        <v>10016</v>
      </c>
      <c r="X2113" t="s">
        <v>10015</v>
      </c>
      <c r="Y2113" t="s">
        <v>6133</v>
      </c>
      <c r="Z2113" t="s">
        <v>10017</v>
      </c>
      <c r="AA2113" t="s">
        <v>10018</v>
      </c>
      <c r="AB2113" t="s">
        <v>10017</v>
      </c>
      <c r="AC2113" t="s">
        <v>1094</v>
      </c>
      <c r="AD2113" t="s">
        <v>219</v>
      </c>
      <c r="AE2113" t="s">
        <v>10019</v>
      </c>
      <c r="AF2113" t="s">
        <v>10020</v>
      </c>
    </row>
    <row r="2114" spans="1:32" hidden="1" x14ac:dyDescent="0.35">
      <c r="A2114">
        <v>2895</v>
      </c>
      <c r="B2114" t="s">
        <v>5967</v>
      </c>
      <c r="C2114" t="s">
        <v>72</v>
      </c>
      <c r="D2114" t="s">
        <v>60</v>
      </c>
      <c r="E2114">
        <v>2454</v>
      </c>
      <c r="F2114">
        <v>5</v>
      </c>
      <c r="G2114">
        <v>5</v>
      </c>
      <c r="H2114">
        <v>1</v>
      </c>
      <c r="I2114">
        <v>1</v>
      </c>
      <c r="J2114">
        <v>0.87756121939030496</v>
      </c>
      <c r="K2114">
        <v>0.99552238805970406</v>
      </c>
      <c r="L2114">
        <v>0.93282738402197996</v>
      </c>
      <c r="M2114">
        <v>0.79104477611940305</v>
      </c>
      <c r="N2114">
        <v>1</v>
      </c>
      <c r="O2114">
        <v>0.85522388059701504</v>
      </c>
      <c r="P2114" t="s">
        <v>5968</v>
      </c>
      <c r="Q2114" t="s">
        <v>5969</v>
      </c>
      <c r="R2114" t="s">
        <v>342</v>
      </c>
      <c r="S2114" t="s">
        <v>343</v>
      </c>
      <c r="T2114" t="s">
        <v>5970</v>
      </c>
      <c r="U2114" t="s">
        <v>5971</v>
      </c>
      <c r="V2114" t="s">
        <v>5972</v>
      </c>
      <c r="W2114" t="s">
        <v>5973</v>
      </c>
      <c r="AD2114" t="s">
        <v>951</v>
      </c>
      <c r="AE2114" t="s">
        <v>5974</v>
      </c>
      <c r="AF2114" t="e">
        <f>-MAVYELPELDYSYDALEPHIAAEIMELHHSKHHQNYVNGANAALEKLQDAREKGNIGTAVTALSKDLAFNLGGHTNHSIFWKNLSPNGGGEPTGALAEAINRDFGSFDKFKEHFNAAALGLQGSGWAVLAYDKIGQRLVIEQMTDQQGNLSIDLAPLLLLDMWEHAFYLQYKNVKADYVNAVWNVFNWDDVAARYASATS</f>
        <v>#NAME?</v>
      </c>
    </row>
    <row r="2115" spans="1:32" hidden="1" x14ac:dyDescent="0.35">
      <c r="A2115">
        <v>2896</v>
      </c>
      <c r="B2115" t="s">
        <v>5967</v>
      </c>
      <c r="C2115" t="s">
        <v>72</v>
      </c>
      <c r="D2115" t="s">
        <v>62</v>
      </c>
      <c r="E2115">
        <v>2480</v>
      </c>
      <c r="F2115">
        <v>5</v>
      </c>
      <c r="G2115">
        <v>5</v>
      </c>
      <c r="H2115">
        <v>1</v>
      </c>
      <c r="I2115">
        <v>1</v>
      </c>
      <c r="J2115">
        <v>0.87756121939030496</v>
      </c>
      <c r="K2115">
        <v>0.99552238805970406</v>
      </c>
      <c r="L2115">
        <v>0.93282738402197996</v>
      </c>
      <c r="M2115">
        <v>0.79104477611940305</v>
      </c>
      <c r="N2115">
        <v>1</v>
      </c>
      <c r="O2115">
        <v>0.85522388059701504</v>
      </c>
      <c r="P2115" t="s">
        <v>5968</v>
      </c>
      <c r="Q2115" t="s">
        <v>5969</v>
      </c>
      <c r="R2115" t="s">
        <v>342</v>
      </c>
      <c r="S2115" t="s">
        <v>343</v>
      </c>
      <c r="T2115" t="s">
        <v>5970</v>
      </c>
      <c r="U2115" t="s">
        <v>5971</v>
      </c>
      <c r="V2115" t="s">
        <v>5972</v>
      </c>
      <c r="W2115" t="s">
        <v>5973</v>
      </c>
      <c r="AD2115" t="s">
        <v>951</v>
      </c>
      <c r="AE2115" t="s">
        <v>5974</v>
      </c>
      <c r="AF2115" t="e">
        <f>-MAVYELPELDYSYDALEPHIAAEIMELHHSKHHQNYVNGANAALEKLQDAREKGNIGTAVTALSKDLAFNLGGHTNHSIFWKNLSPNGGGEPTGALAEAITRDFGSFDKFKEHFNAAALGLQGSGWAVLAYDKIGQRLVIEQMTDQQGNLSIDLAPLLLLDMWEHAFYLQYKNVKADYVNAVWNVFNWDDVAARYASATS</f>
        <v>#NAME?</v>
      </c>
    </row>
    <row r="2116" spans="1:32" hidden="1" x14ac:dyDescent="0.35">
      <c r="A2116">
        <v>2897</v>
      </c>
      <c r="B2116" t="s">
        <v>5967</v>
      </c>
      <c r="C2116" t="s">
        <v>72</v>
      </c>
      <c r="D2116" t="s">
        <v>34</v>
      </c>
      <c r="E2116">
        <v>1219</v>
      </c>
      <c r="F2116">
        <v>5</v>
      </c>
      <c r="G2116">
        <v>5</v>
      </c>
      <c r="H2116">
        <v>1</v>
      </c>
      <c r="I2116">
        <v>1</v>
      </c>
      <c r="J2116">
        <v>0.87756121939030496</v>
      </c>
      <c r="K2116">
        <v>0.99552238805970406</v>
      </c>
      <c r="L2116">
        <v>0.93282738402197996</v>
      </c>
      <c r="M2116">
        <v>0.79104477611940305</v>
      </c>
      <c r="N2116">
        <v>1</v>
      </c>
      <c r="O2116">
        <v>0.85522388059701504</v>
      </c>
      <c r="P2116" t="s">
        <v>5968</v>
      </c>
      <c r="Q2116" t="s">
        <v>5969</v>
      </c>
      <c r="R2116" t="s">
        <v>342</v>
      </c>
      <c r="S2116" t="s">
        <v>343</v>
      </c>
      <c r="T2116" t="s">
        <v>5970</v>
      </c>
      <c r="U2116" t="s">
        <v>5971</v>
      </c>
      <c r="V2116" t="s">
        <v>5972</v>
      </c>
      <c r="W2116" t="s">
        <v>5973</v>
      </c>
      <c r="AD2116" t="s">
        <v>951</v>
      </c>
      <c r="AE2116" t="s">
        <v>5974</v>
      </c>
      <c r="AF2116" t="s">
        <v>5975</v>
      </c>
    </row>
    <row r="2117" spans="1:32" hidden="1" x14ac:dyDescent="0.35">
      <c r="A2117">
        <v>2898</v>
      </c>
      <c r="B2117" t="s">
        <v>5967</v>
      </c>
      <c r="C2117" t="s">
        <v>72</v>
      </c>
      <c r="D2117" t="s">
        <v>45</v>
      </c>
      <c r="E2117">
        <v>2462</v>
      </c>
      <c r="F2117">
        <v>5</v>
      </c>
      <c r="G2117">
        <v>5</v>
      </c>
      <c r="H2117">
        <v>1</v>
      </c>
      <c r="I2117">
        <v>1</v>
      </c>
      <c r="J2117">
        <v>0.87756121939030496</v>
      </c>
      <c r="K2117">
        <v>0.99552238805970406</v>
      </c>
      <c r="L2117">
        <v>0.93282738402197996</v>
      </c>
      <c r="M2117">
        <v>0.79104477611940305</v>
      </c>
      <c r="N2117">
        <v>1</v>
      </c>
      <c r="O2117">
        <v>0.85522388059701504</v>
      </c>
      <c r="P2117" t="s">
        <v>5968</v>
      </c>
      <c r="Q2117" t="s">
        <v>5969</v>
      </c>
      <c r="R2117" t="s">
        <v>342</v>
      </c>
      <c r="S2117" t="s">
        <v>343</v>
      </c>
      <c r="T2117" t="s">
        <v>5970</v>
      </c>
      <c r="U2117" t="s">
        <v>5971</v>
      </c>
      <c r="V2117" t="s">
        <v>5972</v>
      </c>
      <c r="W2117" t="s">
        <v>5973</v>
      </c>
      <c r="AD2117" t="s">
        <v>951</v>
      </c>
      <c r="AE2117" t="s">
        <v>5974</v>
      </c>
      <c r="AF2117" t="s">
        <v>5975</v>
      </c>
    </row>
    <row r="2118" spans="1:32" hidden="1" x14ac:dyDescent="0.35">
      <c r="A2118">
        <v>6284</v>
      </c>
      <c r="B2118" t="s">
        <v>12941</v>
      </c>
      <c r="C2118" t="s">
        <v>68</v>
      </c>
      <c r="D2118" t="s">
        <v>58</v>
      </c>
      <c r="E2118">
        <v>879</v>
      </c>
      <c r="F2118">
        <v>3</v>
      </c>
      <c r="G2118">
        <v>3</v>
      </c>
      <c r="H2118">
        <v>1</v>
      </c>
      <c r="I2118">
        <v>0</v>
      </c>
      <c r="J2118">
        <v>0.86651668541432303</v>
      </c>
      <c r="K2118">
        <v>0.78816416040100101</v>
      </c>
      <c r="L2118">
        <v>0.825485346688133</v>
      </c>
      <c r="M2118">
        <v>0.41499999999999998</v>
      </c>
      <c r="N2118">
        <v>0.99</v>
      </c>
      <c r="O2118">
        <v>0.60666666666666702</v>
      </c>
      <c r="P2118" t="s">
        <v>10923</v>
      </c>
      <c r="Q2118" t="s">
        <v>10924</v>
      </c>
      <c r="R2118" t="s">
        <v>235</v>
      </c>
      <c r="S2118" t="s">
        <v>236</v>
      </c>
      <c r="T2118" t="s">
        <v>10925</v>
      </c>
      <c r="U2118" t="s">
        <v>407</v>
      </c>
      <c r="V2118" t="s">
        <v>12942</v>
      </c>
      <c r="W2118" t="s">
        <v>12943</v>
      </c>
      <c r="AD2118" t="s">
        <v>410</v>
      </c>
      <c r="AE2118" t="s">
        <v>411</v>
      </c>
      <c r="AF2118" t="s">
        <v>12944</v>
      </c>
    </row>
    <row r="2119" spans="1:32" hidden="1" x14ac:dyDescent="0.35">
      <c r="A2119">
        <v>2900</v>
      </c>
      <c r="B2119" t="s">
        <v>5976</v>
      </c>
      <c r="C2119" t="s">
        <v>72</v>
      </c>
      <c r="D2119" t="s">
        <v>60</v>
      </c>
      <c r="E2119">
        <v>2482</v>
      </c>
      <c r="F2119">
        <v>5</v>
      </c>
      <c r="G2119">
        <v>5</v>
      </c>
      <c r="H2119">
        <v>1</v>
      </c>
      <c r="I2119">
        <v>1</v>
      </c>
      <c r="J2119">
        <v>0.74478464599781802</v>
      </c>
      <c r="K2119">
        <v>0.92342057365216301</v>
      </c>
      <c r="L2119">
        <v>0.824538200640483</v>
      </c>
      <c r="M2119">
        <v>0.51327433628318597</v>
      </c>
      <c r="N2119">
        <v>1</v>
      </c>
      <c r="O2119">
        <v>0.65203539823008805</v>
      </c>
      <c r="P2119" t="s">
        <v>5977</v>
      </c>
      <c r="Q2119" t="s">
        <v>5978</v>
      </c>
      <c r="R2119" t="s">
        <v>342</v>
      </c>
      <c r="S2119" t="s">
        <v>343</v>
      </c>
      <c r="T2119" t="s">
        <v>5979</v>
      </c>
      <c r="U2119" t="s">
        <v>5980</v>
      </c>
      <c r="V2119" t="s">
        <v>5981</v>
      </c>
      <c r="W2119" t="s">
        <v>5982</v>
      </c>
      <c r="AD2119" t="s">
        <v>166</v>
      </c>
      <c r="AE2119" t="s">
        <v>818</v>
      </c>
      <c r="AF2119" t="s">
        <v>5984</v>
      </c>
    </row>
    <row r="2120" spans="1:32" hidden="1" x14ac:dyDescent="0.35">
      <c r="A2120">
        <v>2901</v>
      </c>
      <c r="B2120" t="s">
        <v>5976</v>
      </c>
      <c r="C2120" t="s">
        <v>72</v>
      </c>
      <c r="D2120" t="s">
        <v>62</v>
      </c>
      <c r="E2120">
        <v>9</v>
      </c>
      <c r="F2120">
        <v>5</v>
      </c>
      <c r="G2120">
        <v>5</v>
      </c>
      <c r="H2120">
        <v>1</v>
      </c>
      <c r="I2120">
        <v>1</v>
      </c>
      <c r="J2120">
        <v>0.74478464599781802</v>
      </c>
      <c r="K2120">
        <v>0.92342057365216301</v>
      </c>
      <c r="L2120">
        <v>0.824538200640483</v>
      </c>
      <c r="M2120">
        <v>0.51327433628318597</v>
      </c>
      <c r="N2120">
        <v>1</v>
      </c>
      <c r="O2120">
        <v>0.65203539823008805</v>
      </c>
      <c r="P2120" t="s">
        <v>5977</v>
      </c>
      <c r="Q2120" t="s">
        <v>5978</v>
      </c>
      <c r="R2120" t="s">
        <v>342</v>
      </c>
      <c r="S2120" t="s">
        <v>343</v>
      </c>
      <c r="T2120" t="s">
        <v>5979</v>
      </c>
      <c r="U2120" t="s">
        <v>5980</v>
      </c>
      <c r="V2120" t="s">
        <v>5981</v>
      </c>
      <c r="W2120" t="s">
        <v>5982</v>
      </c>
      <c r="AD2120" t="s">
        <v>166</v>
      </c>
      <c r="AE2120" t="s">
        <v>818</v>
      </c>
      <c r="AF2120" t="s">
        <v>5985</v>
      </c>
    </row>
    <row r="2121" spans="1:32" hidden="1" x14ac:dyDescent="0.35">
      <c r="A2121">
        <v>2902</v>
      </c>
      <c r="B2121" t="s">
        <v>5976</v>
      </c>
      <c r="C2121" t="s">
        <v>72</v>
      </c>
      <c r="D2121" t="s">
        <v>34</v>
      </c>
      <c r="E2121">
        <v>1659</v>
      </c>
      <c r="F2121">
        <v>5</v>
      </c>
      <c r="G2121">
        <v>5</v>
      </c>
      <c r="H2121">
        <v>1</v>
      </c>
      <c r="I2121">
        <v>1</v>
      </c>
      <c r="J2121">
        <v>0.74478464599781802</v>
      </c>
      <c r="K2121">
        <v>0.92342057365216301</v>
      </c>
      <c r="L2121">
        <v>0.824538200640483</v>
      </c>
      <c r="M2121">
        <v>0.51327433628318597</v>
      </c>
      <c r="N2121">
        <v>1</v>
      </c>
      <c r="O2121">
        <v>0.65203539823008805</v>
      </c>
      <c r="P2121" t="s">
        <v>5977</v>
      </c>
      <c r="Q2121" t="s">
        <v>5978</v>
      </c>
      <c r="R2121" t="s">
        <v>342</v>
      </c>
      <c r="S2121" t="s">
        <v>343</v>
      </c>
      <c r="T2121" t="s">
        <v>5979</v>
      </c>
      <c r="U2121" t="s">
        <v>5980</v>
      </c>
      <c r="V2121" t="s">
        <v>5981</v>
      </c>
      <c r="W2121" t="s">
        <v>5982</v>
      </c>
      <c r="AD2121" t="s">
        <v>166</v>
      </c>
      <c r="AE2121" t="s">
        <v>818</v>
      </c>
      <c r="AF2121" t="s">
        <v>5986</v>
      </c>
    </row>
    <row r="2122" spans="1:32" hidden="1" x14ac:dyDescent="0.35">
      <c r="A2122">
        <v>2903</v>
      </c>
      <c r="B2122" t="s">
        <v>5976</v>
      </c>
      <c r="C2122" t="s">
        <v>72</v>
      </c>
      <c r="D2122" t="s">
        <v>45</v>
      </c>
      <c r="E2122">
        <v>1218</v>
      </c>
      <c r="F2122">
        <v>5</v>
      </c>
      <c r="G2122">
        <v>5</v>
      </c>
      <c r="H2122">
        <v>1</v>
      </c>
      <c r="I2122">
        <v>1</v>
      </c>
      <c r="J2122">
        <v>0.74478464599781802</v>
      </c>
      <c r="K2122">
        <v>0.92342057365216301</v>
      </c>
      <c r="L2122">
        <v>0.824538200640483</v>
      </c>
      <c r="M2122">
        <v>0.51327433628318597</v>
      </c>
      <c r="N2122">
        <v>1</v>
      </c>
      <c r="O2122">
        <v>0.65203539823008805</v>
      </c>
      <c r="P2122" t="s">
        <v>5977</v>
      </c>
      <c r="Q2122" t="s">
        <v>5978</v>
      </c>
      <c r="R2122" t="s">
        <v>342</v>
      </c>
      <c r="S2122" t="s">
        <v>343</v>
      </c>
      <c r="T2122" t="s">
        <v>5979</v>
      </c>
      <c r="U2122" t="s">
        <v>5980</v>
      </c>
      <c r="V2122" t="s">
        <v>5981</v>
      </c>
      <c r="W2122" t="s">
        <v>5982</v>
      </c>
      <c r="AD2122" t="s">
        <v>166</v>
      </c>
      <c r="AE2122" t="s">
        <v>818</v>
      </c>
      <c r="AF2122" t="s">
        <v>5986</v>
      </c>
    </row>
    <row r="2123" spans="1:32" hidden="1" x14ac:dyDescent="0.35">
      <c r="A2123">
        <v>10892</v>
      </c>
      <c r="B2123" t="s">
        <v>21911</v>
      </c>
      <c r="C2123" t="s">
        <v>33</v>
      </c>
      <c r="D2123" t="s">
        <v>58</v>
      </c>
      <c r="E2123">
        <v>1369</v>
      </c>
      <c r="F2123">
        <v>1</v>
      </c>
      <c r="G2123">
        <v>1</v>
      </c>
      <c r="H2123">
        <v>1</v>
      </c>
      <c r="I2123">
        <v>0</v>
      </c>
      <c r="J2123">
        <v>1</v>
      </c>
      <c r="K2123">
        <v>1</v>
      </c>
      <c r="L2123">
        <v>1</v>
      </c>
      <c r="M2123">
        <v>0</v>
      </c>
      <c r="N2123">
        <v>0</v>
      </c>
      <c r="O2123">
        <v>0</v>
      </c>
      <c r="P2123" t="s">
        <v>13401</v>
      </c>
      <c r="Q2123" t="s">
        <v>13402</v>
      </c>
      <c r="R2123" t="s">
        <v>235</v>
      </c>
      <c r="S2123" t="s">
        <v>236</v>
      </c>
      <c r="V2123" t="s">
        <v>12942</v>
      </c>
      <c r="W2123" t="s">
        <v>12943</v>
      </c>
      <c r="AF2123" t="s">
        <v>21912</v>
      </c>
    </row>
    <row r="2124" spans="1:32" hidden="1" x14ac:dyDescent="0.35">
      <c r="A2124">
        <v>3070</v>
      </c>
      <c r="B2124" t="s">
        <v>6342</v>
      </c>
      <c r="C2124" t="s">
        <v>72</v>
      </c>
      <c r="D2124" t="s">
        <v>60</v>
      </c>
      <c r="E2124">
        <v>2480</v>
      </c>
      <c r="F2124">
        <v>5</v>
      </c>
      <c r="G2124">
        <v>5</v>
      </c>
      <c r="H2124">
        <v>1</v>
      </c>
      <c r="I2124">
        <v>1</v>
      </c>
      <c r="J2124">
        <v>0.71637885923600197</v>
      </c>
      <c r="K2124">
        <v>0.952645861601085</v>
      </c>
      <c r="L2124">
        <v>0.81778939169625098</v>
      </c>
      <c r="M2124">
        <v>0.44776119402985098</v>
      </c>
      <c r="N2124">
        <v>1</v>
      </c>
      <c r="O2124">
        <v>0.61492537313432805</v>
      </c>
      <c r="P2124" t="s">
        <v>6343</v>
      </c>
      <c r="Q2124" t="s">
        <v>6344</v>
      </c>
      <c r="R2124" t="s">
        <v>342</v>
      </c>
      <c r="S2124" t="s">
        <v>343</v>
      </c>
      <c r="T2124" t="s">
        <v>6348</v>
      </c>
      <c r="U2124" t="s">
        <v>6349</v>
      </c>
      <c r="V2124" t="s">
        <v>6345</v>
      </c>
      <c r="W2124" t="s">
        <v>6346</v>
      </c>
      <c r="AF2124" t="s">
        <v>6350</v>
      </c>
    </row>
    <row r="2125" spans="1:32" hidden="1" x14ac:dyDescent="0.35">
      <c r="A2125">
        <v>3071</v>
      </c>
      <c r="B2125" t="s">
        <v>6342</v>
      </c>
      <c r="C2125" t="s">
        <v>72</v>
      </c>
      <c r="D2125" t="s">
        <v>62</v>
      </c>
      <c r="E2125">
        <v>7</v>
      </c>
      <c r="F2125">
        <v>5</v>
      </c>
      <c r="G2125">
        <v>5</v>
      </c>
      <c r="H2125">
        <v>1</v>
      </c>
      <c r="I2125">
        <v>1</v>
      </c>
      <c r="J2125">
        <v>0.71637885923600197</v>
      </c>
      <c r="K2125">
        <v>0.952645861601085</v>
      </c>
      <c r="L2125">
        <v>0.81778939169625098</v>
      </c>
      <c r="M2125">
        <v>0.44776119402985098</v>
      </c>
      <c r="N2125">
        <v>1</v>
      </c>
      <c r="O2125">
        <v>0.61492537313432805</v>
      </c>
      <c r="P2125" t="s">
        <v>6343</v>
      </c>
      <c r="Q2125" t="s">
        <v>6344</v>
      </c>
      <c r="R2125" t="s">
        <v>342</v>
      </c>
      <c r="S2125" t="s">
        <v>343</v>
      </c>
      <c r="T2125" t="s">
        <v>6348</v>
      </c>
      <c r="U2125" t="s">
        <v>6349</v>
      </c>
      <c r="V2125" t="s">
        <v>6345</v>
      </c>
      <c r="W2125" t="s">
        <v>6346</v>
      </c>
      <c r="AF2125" t="s">
        <v>6351</v>
      </c>
    </row>
    <row r="2126" spans="1:32" hidden="1" x14ac:dyDescent="0.35">
      <c r="A2126">
        <v>3072</v>
      </c>
      <c r="B2126" t="s">
        <v>6342</v>
      </c>
      <c r="C2126" t="s">
        <v>72</v>
      </c>
      <c r="D2126" t="s">
        <v>34</v>
      </c>
      <c r="E2126">
        <v>1196</v>
      </c>
      <c r="F2126">
        <v>5</v>
      </c>
      <c r="G2126">
        <v>5</v>
      </c>
      <c r="H2126">
        <v>1</v>
      </c>
      <c r="I2126">
        <v>1</v>
      </c>
      <c r="J2126">
        <v>0.71637885923600197</v>
      </c>
      <c r="K2126">
        <v>0.952645861601085</v>
      </c>
      <c r="L2126">
        <v>0.81778939169625098</v>
      </c>
      <c r="M2126">
        <v>0.44776119402985098</v>
      </c>
      <c r="N2126">
        <v>1</v>
      </c>
      <c r="O2126">
        <v>0.61492537313432805</v>
      </c>
      <c r="P2126" t="s">
        <v>6343</v>
      </c>
      <c r="Q2126" t="s">
        <v>6344</v>
      </c>
      <c r="R2126" t="s">
        <v>342</v>
      </c>
      <c r="S2126" t="s">
        <v>343</v>
      </c>
      <c r="T2126" t="s">
        <v>6348</v>
      </c>
      <c r="U2126" t="s">
        <v>6349</v>
      </c>
      <c r="V2126" t="s">
        <v>6345</v>
      </c>
      <c r="W2126" t="s">
        <v>6346</v>
      </c>
      <c r="AF2126" t="e">
        <f>-MTKTYQVEGMTCEHCAASVREEVGEIAGVTKVDVDVASGQVAVSGSDFTDAQVSAAVSEAGYSVKA</f>
        <v>#NAME?</v>
      </c>
    </row>
    <row r="2127" spans="1:32" hidden="1" x14ac:dyDescent="0.35">
      <c r="A2127">
        <v>3073</v>
      </c>
      <c r="B2127" t="s">
        <v>6342</v>
      </c>
      <c r="C2127" t="s">
        <v>72</v>
      </c>
      <c r="D2127" t="s">
        <v>45</v>
      </c>
      <c r="E2127">
        <v>2438</v>
      </c>
      <c r="F2127">
        <v>5</v>
      </c>
      <c r="G2127">
        <v>5</v>
      </c>
      <c r="H2127">
        <v>1</v>
      </c>
      <c r="I2127">
        <v>1</v>
      </c>
      <c r="J2127">
        <v>0.71637885923600197</v>
      </c>
      <c r="K2127">
        <v>0.952645861601085</v>
      </c>
      <c r="L2127">
        <v>0.81778939169625098</v>
      </c>
      <c r="M2127">
        <v>0.44776119402985098</v>
      </c>
      <c r="N2127">
        <v>1</v>
      </c>
      <c r="O2127">
        <v>0.61492537313432805</v>
      </c>
      <c r="P2127" t="s">
        <v>6343</v>
      </c>
      <c r="Q2127" t="s">
        <v>6344</v>
      </c>
      <c r="R2127" t="s">
        <v>342</v>
      </c>
      <c r="S2127" t="s">
        <v>343</v>
      </c>
      <c r="T2127" t="s">
        <v>6348</v>
      </c>
      <c r="U2127" t="s">
        <v>6349</v>
      </c>
      <c r="V2127" t="s">
        <v>6345</v>
      </c>
      <c r="W2127" t="s">
        <v>6346</v>
      </c>
      <c r="AF2127" t="e">
        <f>-MTKTYQVEGMTCEHCAASVREEVGEIAGVTKVDVDVASGQVAVSGSDFTDAQVSAAVSEAGYSVKA</f>
        <v>#NAME?</v>
      </c>
    </row>
    <row r="2128" spans="1:32" hidden="1" x14ac:dyDescent="0.35">
      <c r="A2128">
        <v>1959</v>
      </c>
      <c r="B2128" t="s">
        <v>4061</v>
      </c>
      <c r="C2128" t="s">
        <v>72</v>
      </c>
      <c r="D2128" t="s">
        <v>58</v>
      </c>
      <c r="E2128">
        <v>7</v>
      </c>
      <c r="F2128">
        <v>5</v>
      </c>
      <c r="G2128">
        <v>5</v>
      </c>
      <c r="H2128">
        <v>1</v>
      </c>
      <c r="I2128">
        <v>1</v>
      </c>
      <c r="J2128">
        <v>0.920061400401464</v>
      </c>
      <c r="K2128">
        <v>0.98485624170886199</v>
      </c>
      <c r="L2128">
        <v>0.95135683864730403</v>
      </c>
      <c r="M2128">
        <v>0.837209302325581</v>
      </c>
      <c r="N2128">
        <v>1</v>
      </c>
      <c r="O2128">
        <v>0.88313953488372099</v>
      </c>
      <c r="P2128" t="s">
        <v>4062</v>
      </c>
      <c r="Q2128" t="s">
        <v>4063</v>
      </c>
      <c r="R2128" t="s">
        <v>371</v>
      </c>
      <c r="S2128" t="s">
        <v>372</v>
      </c>
      <c r="T2128" t="s">
        <v>4064</v>
      </c>
      <c r="U2128" t="s">
        <v>4065</v>
      </c>
      <c r="V2128" t="s">
        <v>4066</v>
      </c>
      <c r="W2128" t="s">
        <v>4067</v>
      </c>
      <c r="AD2128" t="s">
        <v>4068</v>
      </c>
      <c r="AE2128" t="s">
        <v>4069</v>
      </c>
      <c r="AF2128" t="s">
        <v>4070</v>
      </c>
    </row>
    <row r="2129" spans="1:32" hidden="1" x14ac:dyDescent="0.35">
      <c r="A2129">
        <v>3230</v>
      </c>
      <c r="B2129" t="s">
        <v>6639</v>
      </c>
      <c r="C2129" t="s">
        <v>72</v>
      </c>
      <c r="D2129" t="s">
        <v>60</v>
      </c>
      <c r="E2129">
        <v>739</v>
      </c>
      <c r="F2129">
        <v>5</v>
      </c>
      <c r="G2129">
        <v>5</v>
      </c>
      <c r="H2129">
        <v>1</v>
      </c>
      <c r="I2129">
        <v>1</v>
      </c>
      <c r="J2129">
        <v>0.88452380952380905</v>
      </c>
      <c r="K2129">
        <v>1</v>
      </c>
      <c r="L2129">
        <v>0.93872394188250197</v>
      </c>
      <c r="M2129">
        <v>0.75793650793650802</v>
      </c>
      <c r="N2129">
        <v>1</v>
      </c>
      <c r="O2129">
        <v>0.834523809523809</v>
      </c>
      <c r="P2129" t="s">
        <v>3363</v>
      </c>
      <c r="Q2129" t="s">
        <v>3364</v>
      </c>
      <c r="R2129" t="s">
        <v>342</v>
      </c>
      <c r="S2129" t="s">
        <v>343</v>
      </c>
      <c r="T2129" t="s">
        <v>6640</v>
      </c>
      <c r="U2129" t="s">
        <v>6641</v>
      </c>
      <c r="V2129" t="s">
        <v>6642</v>
      </c>
      <c r="W2129" t="s">
        <v>6643</v>
      </c>
      <c r="AD2129" t="s">
        <v>2408</v>
      </c>
      <c r="AE2129" t="s">
        <v>6644</v>
      </c>
      <c r="AF2129" t="s">
        <v>6646</v>
      </c>
    </row>
    <row r="2130" spans="1:32" hidden="1" x14ac:dyDescent="0.35">
      <c r="A2130">
        <v>3231</v>
      </c>
      <c r="B2130" t="s">
        <v>6639</v>
      </c>
      <c r="C2130" t="s">
        <v>72</v>
      </c>
      <c r="D2130" t="s">
        <v>62</v>
      </c>
      <c r="E2130">
        <v>771</v>
      </c>
      <c r="F2130">
        <v>5</v>
      </c>
      <c r="G2130">
        <v>5</v>
      </c>
      <c r="H2130">
        <v>1</v>
      </c>
      <c r="I2130">
        <v>1</v>
      </c>
      <c r="J2130">
        <v>0.88452380952380905</v>
      </c>
      <c r="K2130">
        <v>1</v>
      </c>
      <c r="L2130">
        <v>0.93872394188250197</v>
      </c>
      <c r="M2130">
        <v>0.75793650793650802</v>
      </c>
      <c r="N2130">
        <v>1</v>
      </c>
      <c r="O2130">
        <v>0.834523809523809</v>
      </c>
      <c r="P2130" t="s">
        <v>3363</v>
      </c>
      <c r="Q2130" t="s">
        <v>3364</v>
      </c>
      <c r="R2130" t="s">
        <v>342</v>
      </c>
      <c r="S2130" t="s">
        <v>343</v>
      </c>
      <c r="T2130" t="s">
        <v>6640</v>
      </c>
      <c r="U2130" t="s">
        <v>6641</v>
      </c>
      <c r="V2130" t="s">
        <v>6642</v>
      </c>
      <c r="W2130" t="s">
        <v>6643</v>
      </c>
      <c r="AD2130" t="s">
        <v>2408</v>
      </c>
      <c r="AE2130" t="s">
        <v>6644</v>
      </c>
      <c r="AF2130" t="s">
        <v>6647</v>
      </c>
    </row>
    <row r="2131" spans="1:32" hidden="1" x14ac:dyDescent="0.35">
      <c r="A2131">
        <v>3232</v>
      </c>
      <c r="B2131" t="s">
        <v>6639</v>
      </c>
      <c r="C2131" t="s">
        <v>72</v>
      </c>
      <c r="D2131" t="s">
        <v>34</v>
      </c>
      <c r="E2131">
        <v>399</v>
      </c>
      <c r="F2131">
        <v>5</v>
      </c>
      <c r="G2131">
        <v>5</v>
      </c>
      <c r="H2131">
        <v>1</v>
      </c>
      <c r="I2131">
        <v>1</v>
      </c>
      <c r="J2131">
        <v>0.88452380952380905</v>
      </c>
      <c r="K2131">
        <v>1</v>
      </c>
      <c r="L2131">
        <v>0.93872394188250197</v>
      </c>
      <c r="M2131">
        <v>0.75793650793650802</v>
      </c>
      <c r="N2131">
        <v>1</v>
      </c>
      <c r="O2131">
        <v>0.834523809523809</v>
      </c>
      <c r="P2131" t="s">
        <v>3363</v>
      </c>
      <c r="Q2131" t="s">
        <v>3364</v>
      </c>
      <c r="R2131" t="s">
        <v>342</v>
      </c>
      <c r="S2131" t="s">
        <v>343</v>
      </c>
      <c r="T2131" t="s">
        <v>6640</v>
      </c>
      <c r="U2131" t="s">
        <v>6641</v>
      </c>
      <c r="V2131" t="s">
        <v>6642</v>
      </c>
      <c r="W2131" t="s">
        <v>6643</v>
      </c>
      <c r="AD2131" t="s">
        <v>2408</v>
      </c>
      <c r="AE2131" t="s">
        <v>6644</v>
      </c>
      <c r="AF2131" t="s">
        <v>6648</v>
      </c>
    </row>
    <row r="2132" spans="1:32" hidden="1" x14ac:dyDescent="0.35">
      <c r="A2132">
        <v>3233</v>
      </c>
      <c r="B2132" t="s">
        <v>6639</v>
      </c>
      <c r="C2132" t="s">
        <v>72</v>
      </c>
      <c r="D2132" t="s">
        <v>45</v>
      </c>
      <c r="E2132">
        <v>1660</v>
      </c>
      <c r="F2132">
        <v>5</v>
      </c>
      <c r="G2132">
        <v>5</v>
      </c>
      <c r="H2132">
        <v>1</v>
      </c>
      <c r="I2132">
        <v>1</v>
      </c>
      <c r="J2132">
        <v>0.88452380952380905</v>
      </c>
      <c r="K2132">
        <v>1</v>
      </c>
      <c r="L2132">
        <v>0.93872394188250197</v>
      </c>
      <c r="M2132">
        <v>0.75793650793650802</v>
      </c>
      <c r="N2132">
        <v>1</v>
      </c>
      <c r="O2132">
        <v>0.834523809523809</v>
      </c>
      <c r="P2132" t="s">
        <v>3363</v>
      </c>
      <c r="Q2132" t="s">
        <v>3364</v>
      </c>
      <c r="R2132" t="s">
        <v>342</v>
      </c>
      <c r="S2132" t="s">
        <v>343</v>
      </c>
      <c r="T2132" t="s">
        <v>6640</v>
      </c>
      <c r="U2132" t="s">
        <v>6641</v>
      </c>
      <c r="V2132" t="s">
        <v>6642</v>
      </c>
      <c r="W2132" t="s">
        <v>6643</v>
      </c>
      <c r="AD2132" t="s">
        <v>2408</v>
      </c>
      <c r="AE2132" t="s">
        <v>6644</v>
      </c>
      <c r="AF2132" t="s">
        <v>6648</v>
      </c>
    </row>
    <row r="2133" spans="1:32" hidden="1" x14ac:dyDescent="0.35">
      <c r="A2133">
        <v>2779</v>
      </c>
      <c r="B2133" t="s">
        <v>5748</v>
      </c>
      <c r="C2133" t="s">
        <v>72</v>
      </c>
      <c r="D2133" t="s">
        <v>58</v>
      </c>
      <c r="E2133">
        <v>4</v>
      </c>
      <c r="F2133">
        <v>5</v>
      </c>
      <c r="G2133">
        <v>5</v>
      </c>
      <c r="H2133">
        <v>1</v>
      </c>
      <c r="I2133">
        <v>1</v>
      </c>
      <c r="J2133">
        <v>0.90172134765337697</v>
      </c>
      <c r="K2133">
        <v>0.966272589874556</v>
      </c>
      <c r="L2133">
        <v>0.93288163782295397</v>
      </c>
      <c r="M2133">
        <v>0.78977272727272696</v>
      </c>
      <c r="N2133">
        <v>1</v>
      </c>
      <c r="O2133">
        <v>0.84232954545454597</v>
      </c>
      <c r="P2133" t="s">
        <v>5749</v>
      </c>
      <c r="Q2133" t="s">
        <v>5750</v>
      </c>
      <c r="R2133" t="s">
        <v>371</v>
      </c>
      <c r="S2133" t="s">
        <v>372</v>
      </c>
      <c r="T2133" t="s">
        <v>5751</v>
      </c>
      <c r="U2133" t="s">
        <v>5752</v>
      </c>
      <c r="V2133" t="s">
        <v>5753</v>
      </c>
      <c r="W2133" t="s">
        <v>5754</v>
      </c>
      <c r="AD2133" t="s">
        <v>4068</v>
      </c>
      <c r="AE2133" t="s">
        <v>4069</v>
      </c>
      <c r="AF2133" t="s">
        <v>5755</v>
      </c>
    </row>
    <row r="2134" spans="1:32" hidden="1" x14ac:dyDescent="0.35">
      <c r="A2134">
        <v>3295</v>
      </c>
      <c r="B2134" t="s">
        <v>6772</v>
      </c>
      <c r="C2134" t="s">
        <v>72</v>
      </c>
      <c r="D2134" t="s">
        <v>60</v>
      </c>
      <c r="E2134">
        <v>476</v>
      </c>
      <c r="F2134">
        <v>5</v>
      </c>
      <c r="G2134">
        <v>5</v>
      </c>
      <c r="H2134">
        <v>1</v>
      </c>
      <c r="I2134">
        <v>1</v>
      </c>
      <c r="J2134">
        <v>0.76878502897311696</v>
      </c>
      <c r="K2134">
        <v>0.87217235297695295</v>
      </c>
      <c r="L2134">
        <v>0.81722176947230496</v>
      </c>
      <c r="M2134">
        <v>0.53940886699507395</v>
      </c>
      <c r="N2134">
        <v>1</v>
      </c>
      <c r="O2134">
        <v>0.66305418719211795</v>
      </c>
      <c r="P2134" t="s">
        <v>6773</v>
      </c>
      <c r="Q2134" t="s">
        <v>6774</v>
      </c>
      <c r="R2134" t="s">
        <v>342</v>
      </c>
      <c r="S2134" t="s">
        <v>343</v>
      </c>
      <c r="V2134" t="s">
        <v>6777</v>
      </c>
      <c r="W2134" t="s">
        <v>6778</v>
      </c>
      <c r="AF2134" t="s">
        <v>6781</v>
      </c>
    </row>
    <row r="2135" spans="1:32" hidden="1" x14ac:dyDescent="0.35">
      <c r="A2135">
        <v>3296</v>
      </c>
      <c r="B2135" t="s">
        <v>6772</v>
      </c>
      <c r="C2135" t="s">
        <v>72</v>
      </c>
      <c r="D2135" t="s">
        <v>62</v>
      </c>
      <c r="E2135">
        <v>559</v>
      </c>
      <c r="F2135">
        <v>5</v>
      </c>
      <c r="G2135">
        <v>5</v>
      </c>
      <c r="H2135">
        <v>1</v>
      </c>
      <c r="I2135">
        <v>1</v>
      </c>
      <c r="J2135">
        <v>0.76878502897311696</v>
      </c>
      <c r="K2135">
        <v>0.87217235297695295</v>
      </c>
      <c r="L2135">
        <v>0.81722176947230496</v>
      </c>
      <c r="M2135">
        <v>0.53940886699507395</v>
      </c>
      <c r="N2135">
        <v>1</v>
      </c>
      <c r="O2135">
        <v>0.66305418719211795</v>
      </c>
      <c r="P2135" t="s">
        <v>6773</v>
      </c>
      <c r="Q2135" t="s">
        <v>6774</v>
      </c>
      <c r="R2135" t="s">
        <v>342</v>
      </c>
      <c r="S2135" t="s">
        <v>343</v>
      </c>
      <c r="V2135" t="s">
        <v>6777</v>
      </c>
      <c r="W2135" t="s">
        <v>6778</v>
      </c>
      <c r="AF2135" t="s">
        <v>6781</v>
      </c>
    </row>
    <row r="2136" spans="1:32" hidden="1" x14ac:dyDescent="0.35">
      <c r="A2136">
        <v>3297</v>
      </c>
      <c r="B2136" t="s">
        <v>6772</v>
      </c>
      <c r="C2136" t="s">
        <v>72</v>
      </c>
      <c r="D2136" t="s">
        <v>34</v>
      </c>
      <c r="E2136">
        <v>1331</v>
      </c>
      <c r="F2136">
        <v>5</v>
      </c>
      <c r="G2136">
        <v>5</v>
      </c>
      <c r="H2136">
        <v>1</v>
      </c>
      <c r="I2136">
        <v>1</v>
      </c>
      <c r="J2136">
        <v>0.76878502897311696</v>
      </c>
      <c r="K2136">
        <v>0.87217235297695295</v>
      </c>
      <c r="L2136">
        <v>0.81722176947230496</v>
      </c>
      <c r="M2136">
        <v>0.53940886699507395</v>
      </c>
      <c r="N2136">
        <v>1</v>
      </c>
      <c r="O2136">
        <v>0.66305418719211795</v>
      </c>
      <c r="P2136" t="s">
        <v>6773</v>
      </c>
      <c r="Q2136" t="s">
        <v>6774</v>
      </c>
      <c r="R2136" t="s">
        <v>342</v>
      </c>
      <c r="S2136" t="s">
        <v>343</v>
      </c>
      <c r="V2136" t="s">
        <v>6777</v>
      </c>
      <c r="W2136" t="s">
        <v>6778</v>
      </c>
      <c r="AF2136" t="s">
        <v>6782</v>
      </c>
    </row>
    <row r="2137" spans="1:32" hidden="1" x14ac:dyDescent="0.35">
      <c r="A2137">
        <v>3298</v>
      </c>
      <c r="B2137" t="s">
        <v>6772</v>
      </c>
      <c r="C2137" t="s">
        <v>72</v>
      </c>
      <c r="D2137" t="s">
        <v>45</v>
      </c>
      <c r="E2137">
        <v>82</v>
      </c>
      <c r="F2137">
        <v>5</v>
      </c>
      <c r="G2137">
        <v>5</v>
      </c>
      <c r="H2137">
        <v>1</v>
      </c>
      <c r="I2137">
        <v>1</v>
      </c>
      <c r="J2137">
        <v>0.76878502897311696</v>
      </c>
      <c r="K2137">
        <v>0.87217235297695295</v>
      </c>
      <c r="L2137">
        <v>0.81722176947230496</v>
      </c>
      <c r="M2137">
        <v>0.53940886699507395</v>
      </c>
      <c r="N2137">
        <v>1</v>
      </c>
      <c r="O2137">
        <v>0.66305418719211795</v>
      </c>
      <c r="P2137" t="s">
        <v>6773</v>
      </c>
      <c r="Q2137" t="s">
        <v>6774</v>
      </c>
      <c r="R2137" t="s">
        <v>342</v>
      </c>
      <c r="S2137" t="s">
        <v>343</v>
      </c>
      <c r="V2137" t="s">
        <v>6777</v>
      </c>
      <c r="W2137" t="s">
        <v>6778</v>
      </c>
      <c r="AF2137" t="s">
        <v>6783</v>
      </c>
    </row>
    <row r="2138" spans="1:32" hidden="1" x14ac:dyDescent="0.35">
      <c r="A2138">
        <v>218</v>
      </c>
      <c r="B2138" t="s">
        <v>368</v>
      </c>
      <c r="C2138" t="s">
        <v>72</v>
      </c>
      <c r="D2138" t="s">
        <v>58</v>
      </c>
      <c r="E2138">
        <v>828</v>
      </c>
      <c r="F2138">
        <v>5</v>
      </c>
      <c r="G2138">
        <v>7</v>
      </c>
      <c r="H2138">
        <v>3</v>
      </c>
      <c r="I2138">
        <v>0</v>
      </c>
      <c r="J2138">
        <v>0.73496385171512102</v>
      </c>
      <c r="K2138">
        <v>0.63127363801831804</v>
      </c>
      <c r="L2138">
        <v>0.67918397492471405</v>
      </c>
      <c r="M2138">
        <v>9.9346405228758206E-2</v>
      </c>
      <c r="N2138">
        <v>0.973856209150327</v>
      </c>
      <c r="O2138">
        <v>0.38549642079053797</v>
      </c>
      <c r="P2138" t="s">
        <v>369</v>
      </c>
      <c r="Q2138" t="s">
        <v>370</v>
      </c>
      <c r="R2138" t="s">
        <v>371</v>
      </c>
      <c r="S2138" t="s">
        <v>372</v>
      </c>
      <c r="V2138" t="s">
        <v>373</v>
      </c>
      <c r="W2138" t="s">
        <v>374</v>
      </c>
      <c r="AF2138" t="s">
        <v>375</v>
      </c>
    </row>
    <row r="2139" spans="1:32" hidden="1" x14ac:dyDescent="0.35">
      <c r="A2139">
        <v>3325</v>
      </c>
      <c r="B2139" t="s">
        <v>6832</v>
      </c>
      <c r="C2139" t="s">
        <v>72</v>
      </c>
      <c r="D2139" t="s">
        <v>60</v>
      </c>
      <c r="E2139">
        <v>191</v>
      </c>
      <c r="F2139">
        <v>5</v>
      </c>
      <c r="G2139">
        <v>5</v>
      </c>
      <c r="H2139">
        <v>1</v>
      </c>
      <c r="I2139">
        <v>1</v>
      </c>
      <c r="J2139">
        <v>0.80962629622383098</v>
      </c>
      <c r="K2139">
        <v>0.97214665942422596</v>
      </c>
      <c r="L2139">
        <v>0.88347451538205102</v>
      </c>
      <c r="M2139">
        <v>0.63688212927756604</v>
      </c>
      <c r="N2139">
        <v>1</v>
      </c>
      <c r="O2139">
        <v>0.74353612167300398</v>
      </c>
      <c r="P2139" t="s">
        <v>6833</v>
      </c>
      <c r="Q2139" t="s">
        <v>6834</v>
      </c>
      <c r="R2139" t="s">
        <v>342</v>
      </c>
      <c r="S2139" t="s">
        <v>343</v>
      </c>
      <c r="T2139" t="s">
        <v>6835</v>
      </c>
      <c r="U2139" t="s">
        <v>6836</v>
      </c>
      <c r="V2139" t="s">
        <v>6837</v>
      </c>
      <c r="W2139" t="s">
        <v>6838</v>
      </c>
      <c r="Z2139" t="s">
        <v>6839</v>
      </c>
      <c r="AA2139" t="s">
        <v>6840</v>
      </c>
      <c r="AB2139" t="s">
        <v>6839</v>
      </c>
      <c r="AC2139" t="s">
        <v>4023</v>
      </c>
      <c r="AD2139" t="s">
        <v>796</v>
      </c>
      <c r="AE2139" t="s">
        <v>6841</v>
      </c>
      <c r="AF2139" t="s">
        <v>6843</v>
      </c>
    </row>
    <row r="2140" spans="1:32" hidden="1" x14ac:dyDescent="0.35">
      <c r="A2140">
        <v>3326</v>
      </c>
      <c r="B2140" t="s">
        <v>6832</v>
      </c>
      <c r="C2140" t="s">
        <v>72</v>
      </c>
      <c r="D2140" t="s">
        <v>62</v>
      </c>
      <c r="E2140">
        <v>267</v>
      </c>
      <c r="F2140">
        <v>5</v>
      </c>
      <c r="G2140">
        <v>5</v>
      </c>
      <c r="H2140">
        <v>1</v>
      </c>
      <c r="I2140">
        <v>1</v>
      </c>
      <c r="J2140">
        <v>0.80962629622383098</v>
      </c>
      <c r="K2140">
        <v>0.97214665942422596</v>
      </c>
      <c r="L2140">
        <v>0.88347451538205102</v>
      </c>
      <c r="M2140">
        <v>0.63688212927756604</v>
      </c>
      <c r="N2140">
        <v>1</v>
      </c>
      <c r="O2140">
        <v>0.74353612167300398</v>
      </c>
      <c r="P2140" t="s">
        <v>6833</v>
      </c>
      <c r="Q2140" t="s">
        <v>6834</v>
      </c>
      <c r="R2140" t="s">
        <v>342</v>
      </c>
      <c r="S2140" t="s">
        <v>343</v>
      </c>
      <c r="T2140" t="s">
        <v>6835</v>
      </c>
      <c r="U2140" t="s">
        <v>6836</v>
      </c>
      <c r="V2140" t="s">
        <v>6837</v>
      </c>
      <c r="W2140" t="s">
        <v>6838</v>
      </c>
      <c r="Z2140" t="s">
        <v>6839</v>
      </c>
      <c r="AA2140" t="s">
        <v>6840</v>
      </c>
      <c r="AB2140" t="s">
        <v>6839</v>
      </c>
      <c r="AC2140" t="s">
        <v>4023</v>
      </c>
      <c r="AD2140" t="s">
        <v>796</v>
      </c>
      <c r="AE2140" t="s">
        <v>6841</v>
      </c>
      <c r="AF2140" t="s">
        <v>6844</v>
      </c>
    </row>
    <row r="2141" spans="1:32" hidden="1" x14ac:dyDescent="0.35">
      <c r="A2141">
        <v>3327</v>
      </c>
      <c r="B2141" t="s">
        <v>6832</v>
      </c>
      <c r="C2141" t="s">
        <v>72</v>
      </c>
      <c r="D2141" t="s">
        <v>34</v>
      </c>
      <c r="E2141">
        <v>909</v>
      </c>
      <c r="F2141">
        <v>5</v>
      </c>
      <c r="G2141">
        <v>5</v>
      </c>
      <c r="H2141">
        <v>1</v>
      </c>
      <c r="I2141">
        <v>1</v>
      </c>
      <c r="J2141">
        <v>0.80962629622383098</v>
      </c>
      <c r="K2141">
        <v>0.97214665942422596</v>
      </c>
      <c r="L2141">
        <v>0.88347451538205102</v>
      </c>
      <c r="M2141">
        <v>0.63688212927756604</v>
      </c>
      <c r="N2141">
        <v>1</v>
      </c>
      <c r="O2141">
        <v>0.74353612167300398</v>
      </c>
      <c r="P2141" t="s">
        <v>6833</v>
      </c>
      <c r="Q2141" t="s">
        <v>6834</v>
      </c>
      <c r="R2141" t="s">
        <v>342</v>
      </c>
      <c r="S2141" t="s">
        <v>343</v>
      </c>
      <c r="T2141" t="s">
        <v>6835</v>
      </c>
      <c r="U2141" t="s">
        <v>6836</v>
      </c>
      <c r="V2141" t="s">
        <v>6837</v>
      </c>
      <c r="W2141" t="s">
        <v>6838</v>
      </c>
      <c r="Z2141" t="s">
        <v>6839</v>
      </c>
      <c r="AA2141" t="s">
        <v>6840</v>
      </c>
      <c r="AB2141" t="s">
        <v>6839</v>
      </c>
      <c r="AC2141" t="s">
        <v>4023</v>
      </c>
      <c r="AD2141" t="s">
        <v>796</v>
      </c>
      <c r="AE2141" t="s">
        <v>6841</v>
      </c>
      <c r="AF2141" t="s">
        <v>6845</v>
      </c>
    </row>
    <row r="2142" spans="1:32" hidden="1" x14ac:dyDescent="0.35">
      <c r="A2142">
        <v>3328</v>
      </c>
      <c r="B2142" t="s">
        <v>6832</v>
      </c>
      <c r="C2142" t="s">
        <v>72</v>
      </c>
      <c r="D2142" t="s">
        <v>45</v>
      </c>
      <c r="E2142">
        <v>2165</v>
      </c>
      <c r="F2142">
        <v>5</v>
      </c>
      <c r="G2142">
        <v>5</v>
      </c>
      <c r="H2142">
        <v>1</v>
      </c>
      <c r="I2142">
        <v>1</v>
      </c>
      <c r="J2142">
        <v>0.80962629622383098</v>
      </c>
      <c r="K2142">
        <v>0.97214665942422596</v>
      </c>
      <c r="L2142">
        <v>0.88347451538205102</v>
      </c>
      <c r="M2142">
        <v>0.63688212927756604</v>
      </c>
      <c r="N2142">
        <v>1</v>
      </c>
      <c r="O2142">
        <v>0.74353612167300398</v>
      </c>
      <c r="P2142" t="s">
        <v>6833</v>
      </c>
      <c r="Q2142" t="s">
        <v>6834</v>
      </c>
      <c r="R2142" t="s">
        <v>342</v>
      </c>
      <c r="S2142" t="s">
        <v>343</v>
      </c>
      <c r="T2142" t="s">
        <v>6835</v>
      </c>
      <c r="U2142" t="s">
        <v>6836</v>
      </c>
      <c r="V2142" t="s">
        <v>6837</v>
      </c>
      <c r="W2142" t="s">
        <v>6838</v>
      </c>
      <c r="Z2142" t="s">
        <v>6839</v>
      </c>
      <c r="AA2142" t="s">
        <v>6840</v>
      </c>
      <c r="AB2142" t="s">
        <v>6839</v>
      </c>
      <c r="AC2142" t="s">
        <v>4023</v>
      </c>
      <c r="AD2142" t="s">
        <v>796</v>
      </c>
      <c r="AE2142" t="s">
        <v>6841</v>
      </c>
      <c r="AF2142" t="s">
        <v>6845</v>
      </c>
    </row>
    <row r="2143" spans="1:32" hidden="1" x14ac:dyDescent="0.35">
      <c r="A2143">
        <v>11407</v>
      </c>
      <c r="B2143" t="s">
        <v>23247</v>
      </c>
      <c r="C2143" t="s">
        <v>33</v>
      </c>
      <c r="D2143" t="s">
        <v>58</v>
      </c>
      <c r="E2143">
        <v>491</v>
      </c>
      <c r="F2143">
        <v>1</v>
      </c>
      <c r="G2143">
        <v>1</v>
      </c>
      <c r="H2143">
        <v>1</v>
      </c>
      <c r="I2143">
        <v>0</v>
      </c>
      <c r="J2143">
        <v>1</v>
      </c>
      <c r="K2143">
        <v>1</v>
      </c>
      <c r="L2143">
        <v>1</v>
      </c>
      <c r="M2143">
        <v>0</v>
      </c>
      <c r="N2143">
        <v>0</v>
      </c>
      <c r="O2143">
        <v>0</v>
      </c>
      <c r="P2143" t="s">
        <v>16381</v>
      </c>
      <c r="Q2143" t="s">
        <v>16382</v>
      </c>
      <c r="R2143" t="s">
        <v>371</v>
      </c>
      <c r="S2143" t="s">
        <v>372</v>
      </c>
      <c r="T2143" t="s">
        <v>23248</v>
      </c>
      <c r="U2143" t="s">
        <v>23249</v>
      </c>
      <c r="V2143" t="s">
        <v>19078</v>
      </c>
      <c r="W2143" t="s">
        <v>19079</v>
      </c>
      <c r="AD2143" t="s">
        <v>14829</v>
      </c>
      <c r="AE2143" t="s">
        <v>18901</v>
      </c>
      <c r="AF2143" t="s">
        <v>23250</v>
      </c>
    </row>
    <row r="2144" spans="1:32" hidden="1" x14ac:dyDescent="0.35">
      <c r="A2144">
        <v>3845</v>
      </c>
      <c r="B2144" t="s">
        <v>7932</v>
      </c>
      <c r="C2144" t="s">
        <v>72</v>
      </c>
      <c r="D2144" t="s">
        <v>60</v>
      </c>
      <c r="E2144">
        <v>1890</v>
      </c>
      <c r="F2144">
        <v>5</v>
      </c>
      <c r="G2144">
        <v>5</v>
      </c>
      <c r="H2144">
        <v>1</v>
      </c>
      <c r="I2144">
        <v>1</v>
      </c>
      <c r="J2144">
        <v>0.800481347773767</v>
      </c>
      <c r="K2144">
        <v>0.89648883374689903</v>
      </c>
      <c r="L2144">
        <v>0.84576923945568006</v>
      </c>
      <c r="M2144">
        <v>0.57051282051282004</v>
      </c>
      <c r="N2144">
        <v>0.99358974358974395</v>
      </c>
      <c r="O2144">
        <v>0.71730769230769198</v>
      </c>
      <c r="P2144" t="s">
        <v>7933</v>
      </c>
      <c r="Q2144" t="s">
        <v>7934</v>
      </c>
      <c r="R2144" t="s">
        <v>342</v>
      </c>
      <c r="S2144" t="s">
        <v>343</v>
      </c>
      <c r="T2144" t="s">
        <v>7935</v>
      </c>
      <c r="U2144" t="s">
        <v>7936</v>
      </c>
      <c r="V2144" t="s">
        <v>7937</v>
      </c>
      <c r="W2144" t="s">
        <v>7938</v>
      </c>
      <c r="AD2144" t="s">
        <v>312</v>
      </c>
      <c r="AE2144" t="s">
        <v>7939</v>
      </c>
      <c r="AF2144" t="e">
        <f>----------MVTKSETAVPKLGARNTRQRTAVVSVLRDMDYFASAKKIHEELTRRDYKVGLTTVYRTLQSLSDIDAVDVLHMSSGESLYRACATETHHHHLVCTECGRTVEIDGGPVERWAREVAHKHGFTLTGHTAEVFGLCNECR----PVEG</f>
        <v>#NAME?</v>
      </c>
    </row>
    <row r="2145" spans="1:32" hidden="1" x14ac:dyDescent="0.35">
      <c r="A2145">
        <v>3846</v>
      </c>
      <c r="B2145" t="s">
        <v>7932</v>
      </c>
      <c r="C2145" t="s">
        <v>72</v>
      </c>
      <c r="D2145" t="s">
        <v>62</v>
      </c>
      <c r="E2145">
        <v>1930</v>
      </c>
      <c r="F2145">
        <v>5</v>
      </c>
      <c r="G2145">
        <v>5</v>
      </c>
      <c r="H2145">
        <v>1</v>
      </c>
      <c r="I2145">
        <v>1</v>
      </c>
      <c r="J2145">
        <v>0.800481347773767</v>
      </c>
      <c r="K2145">
        <v>0.89648883374689903</v>
      </c>
      <c r="L2145">
        <v>0.84576923945568006</v>
      </c>
      <c r="M2145">
        <v>0.57051282051282004</v>
      </c>
      <c r="N2145">
        <v>0.99358974358974395</v>
      </c>
      <c r="O2145">
        <v>0.71730769230769198</v>
      </c>
      <c r="P2145" t="s">
        <v>7933</v>
      </c>
      <c r="Q2145" t="s">
        <v>7934</v>
      </c>
      <c r="R2145" t="s">
        <v>342</v>
      </c>
      <c r="S2145" t="s">
        <v>343</v>
      </c>
      <c r="T2145" t="s">
        <v>7935</v>
      </c>
      <c r="U2145" t="s">
        <v>7936</v>
      </c>
      <c r="V2145" t="s">
        <v>7937</v>
      </c>
      <c r="W2145" t="s">
        <v>7938</v>
      </c>
      <c r="AD2145" t="s">
        <v>312</v>
      </c>
      <c r="AE2145" t="s">
        <v>7939</v>
      </c>
      <c r="AF2145" t="e">
        <f>----------MVTKSETAVPKLGARNTRQRTAVVSVLRDMDYFASAKKIHEELTRRDYKVGLTTVYRTLQSLSDIDAVDVLHMSSGESLYRACATETHHHHLVCTECGRTVEIDGGPVERWARDVAHKHGFTLTGHTAEVFGLCNECR----PVEG</f>
        <v>#NAME?</v>
      </c>
    </row>
    <row r="2146" spans="1:32" hidden="1" x14ac:dyDescent="0.35">
      <c r="A2146">
        <v>3847</v>
      </c>
      <c r="B2146" t="s">
        <v>7932</v>
      </c>
      <c r="C2146" t="s">
        <v>72</v>
      </c>
      <c r="D2146" t="s">
        <v>34</v>
      </c>
      <c r="E2146">
        <v>2241</v>
      </c>
      <c r="F2146">
        <v>5</v>
      </c>
      <c r="G2146">
        <v>5</v>
      </c>
      <c r="H2146">
        <v>1</v>
      </c>
      <c r="I2146">
        <v>1</v>
      </c>
      <c r="J2146">
        <v>0.800481347773767</v>
      </c>
      <c r="K2146">
        <v>0.89648883374689903</v>
      </c>
      <c r="L2146">
        <v>0.84576923945568006</v>
      </c>
      <c r="M2146">
        <v>0.57051282051282004</v>
      </c>
      <c r="N2146">
        <v>0.99358974358974395</v>
      </c>
      <c r="O2146">
        <v>0.71730769230769198</v>
      </c>
      <c r="P2146" t="s">
        <v>7933</v>
      </c>
      <c r="Q2146" t="s">
        <v>7934</v>
      </c>
      <c r="R2146" t="s">
        <v>342</v>
      </c>
      <c r="S2146" t="s">
        <v>343</v>
      </c>
      <c r="T2146" t="s">
        <v>7935</v>
      </c>
      <c r="U2146" t="s">
        <v>7936</v>
      </c>
      <c r="V2146" t="s">
        <v>7937</v>
      </c>
      <c r="W2146" t="s">
        <v>7938</v>
      </c>
      <c r="AD2146" t="s">
        <v>312</v>
      </c>
      <c r="AE2146" t="s">
        <v>7939</v>
      </c>
      <c r="AF2146" t="s">
        <v>7941</v>
      </c>
    </row>
    <row r="2147" spans="1:32" hidden="1" x14ac:dyDescent="0.35">
      <c r="A2147">
        <v>3848</v>
      </c>
      <c r="B2147" t="s">
        <v>7932</v>
      </c>
      <c r="C2147" t="s">
        <v>72</v>
      </c>
      <c r="D2147" t="s">
        <v>45</v>
      </c>
      <c r="E2147">
        <v>636</v>
      </c>
      <c r="F2147">
        <v>5</v>
      </c>
      <c r="G2147">
        <v>5</v>
      </c>
      <c r="H2147">
        <v>1</v>
      </c>
      <c r="I2147">
        <v>1</v>
      </c>
      <c r="J2147">
        <v>0.800481347773767</v>
      </c>
      <c r="K2147">
        <v>0.89648883374689903</v>
      </c>
      <c r="L2147">
        <v>0.84576923945568006</v>
      </c>
      <c r="M2147">
        <v>0.57051282051282004</v>
      </c>
      <c r="N2147">
        <v>0.99358974358974395</v>
      </c>
      <c r="O2147">
        <v>0.71730769230769198</v>
      </c>
      <c r="P2147" t="s">
        <v>7933</v>
      </c>
      <c r="Q2147" t="s">
        <v>7934</v>
      </c>
      <c r="R2147" t="s">
        <v>342</v>
      </c>
      <c r="S2147" t="s">
        <v>343</v>
      </c>
      <c r="T2147" t="s">
        <v>7935</v>
      </c>
      <c r="U2147" t="s">
        <v>7936</v>
      </c>
      <c r="V2147" t="s">
        <v>7937</v>
      </c>
      <c r="W2147" t="s">
        <v>7938</v>
      </c>
      <c r="AD2147" t="s">
        <v>312</v>
      </c>
      <c r="AE2147" t="s">
        <v>7939</v>
      </c>
      <c r="AF2147" t="s">
        <v>7942</v>
      </c>
    </row>
    <row r="2148" spans="1:32" hidden="1" x14ac:dyDescent="0.35">
      <c r="A2148">
        <v>1909</v>
      </c>
      <c r="B2148" t="s">
        <v>3954</v>
      </c>
      <c r="C2148" t="s">
        <v>72</v>
      </c>
      <c r="D2148" t="s">
        <v>58</v>
      </c>
      <c r="E2148">
        <v>1</v>
      </c>
      <c r="F2148">
        <v>5</v>
      </c>
      <c r="G2148">
        <v>5</v>
      </c>
      <c r="H2148">
        <v>1</v>
      </c>
      <c r="I2148">
        <v>1</v>
      </c>
      <c r="J2148">
        <v>0.79952550415183898</v>
      </c>
      <c r="K2148">
        <v>0.99345480117631801</v>
      </c>
      <c r="L2148">
        <v>0.88600242668832496</v>
      </c>
      <c r="M2148">
        <v>0.65656565656565702</v>
      </c>
      <c r="N2148">
        <v>1</v>
      </c>
      <c r="O2148">
        <v>0.73888888888888904</v>
      </c>
      <c r="P2148" t="s">
        <v>3955</v>
      </c>
      <c r="Q2148" t="s">
        <v>3956</v>
      </c>
      <c r="R2148" t="s">
        <v>371</v>
      </c>
      <c r="S2148" t="s">
        <v>372</v>
      </c>
      <c r="T2148" t="s">
        <v>3957</v>
      </c>
      <c r="U2148" t="s">
        <v>3958</v>
      </c>
      <c r="V2148" t="s">
        <v>3959</v>
      </c>
      <c r="W2148" t="s">
        <v>3960</v>
      </c>
      <c r="AD2148" t="s">
        <v>3961</v>
      </c>
      <c r="AE2148" t="s">
        <v>3962</v>
      </c>
      <c r="AF2148" t="s">
        <v>3963</v>
      </c>
    </row>
    <row r="2149" spans="1:32" hidden="1" x14ac:dyDescent="0.35">
      <c r="A2149">
        <v>4130</v>
      </c>
      <c r="B2149" t="s">
        <v>8542</v>
      </c>
      <c r="C2149" t="s">
        <v>72</v>
      </c>
      <c r="D2149" t="s">
        <v>60</v>
      </c>
      <c r="E2149">
        <v>532</v>
      </c>
      <c r="F2149">
        <v>5</v>
      </c>
      <c r="G2149">
        <v>5</v>
      </c>
      <c r="H2149">
        <v>1</v>
      </c>
      <c r="I2149">
        <v>1</v>
      </c>
      <c r="J2149">
        <v>0.76368245189537998</v>
      </c>
      <c r="K2149">
        <v>0.90060765725054304</v>
      </c>
      <c r="L2149">
        <v>0.82651246931678402</v>
      </c>
      <c r="M2149">
        <v>0.50464396284829705</v>
      </c>
      <c r="N2149">
        <v>0.99690402476780204</v>
      </c>
      <c r="O2149">
        <v>0.662229102167183</v>
      </c>
      <c r="P2149" t="s">
        <v>1363</v>
      </c>
      <c r="Q2149" t="s">
        <v>1364</v>
      </c>
      <c r="R2149" t="s">
        <v>342</v>
      </c>
      <c r="S2149" t="s">
        <v>343</v>
      </c>
      <c r="T2149" t="s">
        <v>1365</v>
      </c>
      <c r="U2149" t="s">
        <v>1366</v>
      </c>
      <c r="V2149" t="s">
        <v>1367</v>
      </c>
      <c r="W2149" t="s">
        <v>1368</v>
      </c>
      <c r="AD2149" t="s">
        <v>147</v>
      </c>
      <c r="AE2149" t="s">
        <v>1369</v>
      </c>
      <c r="AF2149" t="s">
        <v>8544</v>
      </c>
    </row>
    <row r="2150" spans="1:32" hidden="1" x14ac:dyDescent="0.35">
      <c r="A2150">
        <v>4131</v>
      </c>
      <c r="B2150" t="s">
        <v>8542</v>
      </c>
      <c r="C2150" t="s">
        <v>72</v>
      </c>
      <c r="D2150" t="s">
        <v>62</v>
      </c>
      <c r="E2150">
        <v>616</v>
      </c>
      <c r="F2150">
        <v>5</v>
      </c>
      <c r="G2150">
        <v>5</v>
      </c>
      <c r="H2150">
        <v>1</v>
      </c>
      <c r="I2150">
        <v>1</v>
      </c>
      <c r="J2150">
        <v>0.76368245189537998</v>
      </c>
      <c r="K2150">
        <v>0.90060765725054304</v>
      </c>
      <c r="L2150">
        <v>0.82651246931678402</v>
      </c>
      <c r="M2150">
        <v>0.50464396284829705</v>
      </c>
      <c r="N2150">
        <v>0.99690402476780204</v>
      </c>
      <c r="O2150">
        <v>0.662229102167183</v>
      </c>
      <c r="P2150" t="s">
        <v>1363</v>
      </c>
      <c r="Q2150" t="s">
        <v>1364</v>
      </c>
      <c r="R2150" t="s">
        <v>342</v>
      </c>
      <c r="S2150" t="s">
        <v>343</v>
      </c>
      <c r="T2150" t="s">
        <v>1365</v>
      </c>
      <c r="U2150" t="s">
        <v>1366</v>
      </c>
      <c r="V2150" t="s">
        <v>1367</v>
      </c>
      <c r="W2150" t="s">
        <v>1368</v>
      </c>
      <c r="AD2150" t="s">
        <v>147</v>
      </c>
      <c r="AE2150" t="s">
        <v>1369</v>
      </c>
      <c r="AF2150" t="s">
        <v>8545</v>
      </c>
    </row>
    <row r="2151" spans="1:32" hidden="1" x14ac:dyDescent="0.35">
      <c r="A2151">
        <v>4132</v>
      </c>
      <c r="B2151" t="s">
        <v>8542</v>
      </c>
      <c r="C2151" t="s">
        <v>72</v>
      </c>
      <c r="D2151" t="s">
        <v>34</v>
      </c>
      <c r="E2151">
        <v>554</v>
      </c>
      <c r="F2151">
        <v>5</v>
      </c>
      <c r="G2151">
        <v>5</v>
      </c>
      <c r="H2151">
        <v>1</v>
      </c>
      <c r="I2151">
        <v>1</v>
      </c>
      <c r="J2151">
        <v>0.76368245189537998</v>
      </c>
      <c r="K2151">
        <v>0.90060765725054304</v>
      </c>
      <c r="L2151">
        <v>0.82651246931678402</v>
      </c>
      <c r="M2151">
        <v>0.50464396284829705</v>
      </c>
      <c r="N2151">
        <v>0.99690402476780204</v>
      </c>
      <c r="O2151">
        <v>0.662229102167183</v>
      </c>
      <c r="P2151" t="s">
        <v>1363</v>
      </c>
      <c r="Q2151" t="s">
        <v>1364</v>
      </c>
      <c r="R2151" t="s">
        <v>342</v>
      </c>
      <c r="S2151" t="s">
        <v>343</v>
      </c>
      <c r="T2151" t="s">
        <v>1365</v>
      </c>
      <c r="U2151" t="s">
        <v>1366</v>
      </c>
      <c r="V2151" t="s">
        <v>1367</v>
      </c>
      <c r="W2151" t="s">
        <v>1368</v>
      </c>
      <c r="AD2151" t="s">
        <v>147</v>
      </c>
      <c r="AE2151" t="s">
        <v>1369</v>
      </c>
      <c r="AF2151" t="s">
        <v>8546</v>
      </c>
    </row>
    <row r="2152" spans="1:32" hidden="1" x14ac:dyDescent="0.35">
      <c r="A2152">
        <v>4133</v>
      </c>
      <c r="B2152" t="s">
        <v>8542</v>
      </c>
      <c r="C2152" t="s">
        <v>72</v>
      </c>
      <c r="D2152" t="s">
        <v>45</v>
      </c>
      <c r="E2152">
        <v>1821</v>
      </c>
      <c r="F2152">
        <v>5</v>
      </c>
      <c r="G2152">
        <v>5</v>
      </c>
      <c r="H2152">
        <v>1</v>
      </c>
      <c r="I2152">
        <v>1</v>
      </c>
      <c r="J2152">
        <v>0.76368245189537998</v>
      </c>
      <c r="K2152">
        <v>0.90060765725054304</v>
      </c>
      <c r="L2152">
        <v>0.82651246931678402</v>
      </c>
      <c r="M2152">
        <v>0.50464396284829705</v>
      </c>
      <c r="N2152">
        <v>0.99690402476780204</v>
      </c>
      <c r="O2152">
        <v>0.662229102167183</v>
      </c>
      <c r="P2152" t="s">
        <v>1363</v>
      </c>
      <c r="Q2152" t="s">
        <v>1364</v>
      </c>
      <c r="R2152" t="s">
        <v>342</v>
      </c>
      <c r="S2152" t="s">
        <v>343</v>
      </c>
      <c r="T2152" t="s">
        <v>1365</v>
      </c>
      <c r="U2152" t="s">
        <v>1366</v>
      </c>
      <c r="V2152" t="s">
        <v>1367</v>
      </c>
      <c r="W2152" t="s">
        <v>1368</v>
      </c>
      <c r="AD2152" t="s">
        <v>147</v>
      </c>
      <c r="AE2152" t="s">
        <v>1369</v>
      </c>
      <c r="AF2152" t="e">
        <f>--------------------MSASWLSARLGTPGLRVVESDADPLQYDIGHIPGAVRIDWRRELNDPLSRDLLTAESFAALMSAKGINRDDTVVVYGDKANSWAAFTIWVFELFGHQDVRLLDGGRDAWMAEERDTSFVVPDYPPTQYPVVERDDVTNRAFVADVLAGITKLSKNGAEGQSSDPSNDTIAIVDVRNGKEYMGDIP--DNSPDSGVIRHGHIPSAINICWENSVLVNARFRSVSDLKAAFAPALKAEKVFVYCYQGHQAAHAWFVLKYLLGHNNVVNYDGSWAEWGNMIRMPVRKGSDPDNVEMSLSWTGTHML</f>
        <v>#NAME?</v>
      </c>
    </row>
    <row r="2153" spans="1:32" hidden="1" x14ac:dyDescent="0.35">
      <c r="A2153">
        <v>4719</v>
      </c>
      <c r="B2153" t="s">
        <v>9869</v>
      </c>
      <c r="C2153" t="s">
        <v>10127</v>
      </c>
      <c r="D2153" t="s">
        <v>58</v>
      </c>
      <c r="E2153">
        <v>1274</v>
      </c>
      <c r="F2153">
        <v>5</v>
      </c>
      <c r="G2153">
        <v>5</v>
      </c>
      <c r="H2153">
        <v>1</v>
      </c>
      <c r="I2153">
        <v>1</v>
      </c>
      <c r="J2153">
        <v>0.88824250720050202</v>
      </c>
      <c r="K2153">
        <v>0.99735844629746295</v>
      </c>
      <c r="L2153">
        <v>0.939643316655558</v>
      </c>
      <c r="M2153">
        <v>0.79778156996587002</v>
      </c>
      <c r="N2153">
        <v>0.99914675767918104</v>
      </c>
      <c r="O2153">
        <v>0.85383959044368596</v>
      </c>
      <c r="P2153" t="s">
        <v>9870</v>
      </c>
      <c r="Q2153" t="s">
        <v>9871</v>
      </c>
      <c r="R2153" t="s">
        <v>371</v>
      </c>
      <c r="S2153" t="s">
        <v>372</v>
      </c>
      <c r="T2153" t="s">
        <v>9872</v>
      </c>
      <c r="U2153" t="s">
        <v>9873</v>
      </c>
      <c r="V2153" t="s">
        <v>9874</v>
      </c>
      <c r="W2153" t="s">
        <v>9875</v>
      </c>
      <c r="AD2153" t="s">
        <v>3961</v>
      </c>
      <c r="AE2153" t="s">
        <v>3962</v>
      </c>
      <c r="AF2153" t="s">
        <v>9876</v>
      </c>
    </row>
    <row r="2154" spans="1:32" hidden="1" x14ac:dyDescent="0.35">
      <c r="A2154">
        <v>4240</v>
      </c>
      <c r="B2154" t="s">
        <v>8799</v>
      </c>
      <c r="C2154" t="s">
        <v>72</v>
      </c>
      <c r="D2154" t="s">
        <v>60</v>
      </c>
      <c r="E2154">
        <v>1433</v>
      </c>
      <c r="F2154">
        <v>5</v>
      </c>
      <c r="G2154">
        <v>5</v>
      </c>
      <c r="H2154">
        <v>1</v>
      </c>
      <c r="I2154">
        <v>1</v>
      </c>
      <c r="J2154">
        <v>0.73518880208333304</v>
      </c>
      <c r="K2154">
        <v>0.90571912668829202</v>
      </c>
      <c r="L2154">
        <v>0.81159283601292398</v>
      </c>
      <c r="M2154">
        <v>0.507692307692308</v>
      </c>
      <c r="N2154">
        <v>0.99780219780219803</v>
      </c>
      <c r="O2154">
        <v>0.63736263736263699</v>
      </c>
      <c r="P2154" t="s">
        <v>8800</v>
      </c>
      <c r="Q2154" t="s">
        <v>8801</v>
      </c>
      <c r="R2154" t="s">
        <v>342</v>
      </c>
      <c r="S2154" t="s">
        <v>343</v>
      </c>
      <c r="T2154" t="s">
        <v>8802</v>
      </c>
      <c r="U2154" t="s">
        <v>8803</v>
      </c>
      <c r="V2154" t="s">
        <v>8804</v>
      </c>
      <c r="W2154" t="s">
        <v>8805</v>
      </c>
      <c r="AD2154" t="s">
        <v>219</v>
      </c>
      <c r="AE2154" t="s">
        <v>8806</v>
      </c>
      <c r="AF2154" t="e">
        <f>-----------------------MSDQPKKLNRRSFLT-GFTVASAGAAVSAASACAGQEGGGASISDAMASAEPE---LVASVVEFDGPHQAGIATPGQALLNLVAFTVRADVDREGIRRLLKLWTDDARRLCAGHTPLGDLEPEMVTVPANMTITCGFGSKFFDLIGNPDLRPEWLAPLPAFSRDKLDDAWGEADIVLQLCADDPTTLAHATRHMIRAGVDYVATRWMQQGFLSAHGAHSAGE--TPRNLFGLKDGTVNPRSDADFDDIVWIDQG---PSWVQGGTCMIVRRISMNMDTWEILDRGSREIAFGRKLDSGAPLTGDWEFDTPDYSAVDNYGIPLIDRMSHMARSTNPVDKPGQKIARRAYNYDLPPQP---GSEQSSNSGLVFICFQKDPREQFIPIQERLDEGDRINQWTTHIGSAVFFCPPGVDEAGGDRGKYWGAGLFDAA</f>
        <v>#NAME?</v>
      </c>
    </row>
    <row r="2155" spans="1:32" hidden="1" x14ac:dyDescent="0.35">
      <c r="A2155">
        <v>4241</v>
      </c>
      <c r="B2155" t="s">
        <v>8799</v>
      </c>
      <c r="C2155" t="s">
        <v>72</v>
      </c>
      <c r="D2155" t="s">
        <v>62</v>
      </c>
      <c r="E2155">
        <v>1468</v>
      </c>
      <c r="F2155">
        <v>5</v>
      </c>
      <c r="G2155">
        <v>5</v>
      </c>
      <c r="H2155">
        <v>1</v>
      </c>
      <c r="I2155">
        <v>1</v>
      </c>
      <c r="J2155">
        <v>0.73518880208333304</v>
      </c>
      <c r="K2155">
        <v>0.90571912668829202</v>
      </c>
      <c r="L2155">
        <v>0.81159283601292398</v>
      </c>
      <c r="M2155">
        <v>0.507692307692308</v>
      </c>
      <c r="N2155">
        <v>0.99780219780219803</v>
      </c>
      <c r="O2155">
        <v>0.63736263736263699</v>
      </c>
      <c r="P2155" t="s">
        <v>8800</v>
      </c>
      <c r="Q2155" t="s">
        <v>8801</v>
      </c>
      <c r="R2155" t="s">
        <v>342</v>
      </c>
      <c r="S2155" t="s">
        <v>343</v>
      </c>
      <c r="T2155" t="s">
        <v>8802</v>
      </c>
      <c r="U2155" t="s">
        <v>8803</v>
      </c>
      <c r="V2155" t="s">
        <v>8804</v>
      </c>
      <c r="W2155" t="s">
        <v>8805</v>
      </c>
      <c r="AD2155" t="s">
        <v>219</v>
      </c>
      <c r="AE2155" t="s">
        <v>8806</v>
      </c>
      <c r="AF2155" t="e">
        <f>-----------------------MSDQPKKLNRRSFLT-GFTVASAGAAVSAASACAGQEGGGASISDAMASAEPE---LVASVVEFDGPHQAGIATPGQALLNLVAFTVRADVDREGIRRLLKLWTDDARRLCAGHTPLGDLEPEMVTVPANMTITCGFGSKFFDLIGKPDLRPEWLAPLPAFSRDKLDDAWGEADIVLQLCADDPTTLAHATRHMIRAGVDYVATRWMQQGFLSAHGAHSAGE--TPRNLFGLKDGTVNPRSDADFDDIVWIDQG---PSWVQGGTCMIVRRISMNMDTWEILDRGSREIAFGRKLDSGAPLTGDWEFDTPDYSAVDNYGIPLIDRMSHMARSTNPVDKPGQKIARRAYNYDLPPQP---GSEQSSNSGLVFICFQKDPREQFIPIQERLDEGDRINQWTTHIGSAVFFCPPGVDEAGGDRGKYWGAGLFDAA</f>
        <v>#NAME?</v>
      </c>
    </row>
    <row r="2156" spans="1:32" hidden="1" x14ac:dyDescent="0.35">
      <c r="A2156">
        <v>4242</v>
      </c>
      <c r="B2156" t="s">
        <v>8799</v>
      </c>
      <c r="C2156" t="s">
        <v>72</v>
      </c>
      <c r="D2156" t="s">
        <v>34</v>
      </c>
      <c r="E2156">
        <v>1859</v>
      </c>
      <c r="F2156">
        <v>5</v>
      </c>
      <c r="G2156">
        <v>5</v>
      </c>
      <c r="H2156">
        <v>1</v>
      </c>
      <c r="I2156">
        <v>1</v>
      </c>
      <c r="J2156">
        <v>0.73518880208333304</v>
      </c>
      <c r="K2156">
        <v>0.90571912668829202</v>
      </c>
      <c r="L2156">
        <v>0.81159283601292398</v>
      </c>
      <c r="M2156">
        <v>0.507692307692308</v>
      </c>
      <c r="N2156">
        <v>0.99780219780219803</v>
      </c>
      <c r="O2156">
        <v>0.63736263736263699</v>
      </c>
      <c r="P2156" t="s">
        <v>8800</v>
      </c>
      <c r="Q2156" t="s">
        <v>8801</v>
      </c>
      <c r="R2156" t="s">
        <v>342</v>
      </c>
      <c r="S2156" t="s">
        <v>343</v>
      </c>
      <c r="T2156" t="s">
        <v>8802</v>
      </c>
      <c r="U2156" t="s">
        <v>8803</v>
      </c>
      <c r="V2156" t="s">
        <v>8804</v>
      </c>
      <c r="W2156" t="s">
        <v>8805</v>
      </c>
      <c r="AD2156" t="s">
        <v>219</v>
      </c>
      <c r="AE2156" t="s">
        <v>8806</v>
      </c>
      <c r="AF2156" t="s">
        <v>8808</v>
      </c>
    </row>
    <row r="2157" spans="1:32" hidden="1" x14ac:dyDescent="0.35">
      <c r="A2157">
        <v>4243</v>
      </c>
      <c r="B2157" t="s">
        <v>8799</v>
      </c>
      <c r="C2157" t="s">
        <v>72</v>
      </c>
      <c r="D2157" t="s">
        <v>45</v>
      </c>
      <c r="E2157">
        <v>1014</v>
      </c>
      <c r="F2157">
        <v>5</v>
      </c>
      <c r="G2157">
        <v>5</v>
      </c>
      <c r="H2157">
        <v>1</v>
      </c>
      <c r="I2157">
        <v>1</v>
      </c>
      <c r="J2157">
        <v>0.73518880208333304</v>
      </c>
      <c r="K2157">
        <v>0.90571912668829202</v>
      </c>
      <c r="L2157">
        <v>0.81159283601292398</v>
      </c>
      <c r="M2157">
        <v>0.507692307692308</v>
      </c>
      <c r="N2157">
        <v>0.99780219780219803</v>
      </c>
      <c r="O2157">
        <v>0.63736263736263699</v>
      </c>
      <c r="P2157" t="s">
        <v>8800</v>
      </c>
      <c r="Q2157" t="s">
        <v>8801</v>
      </c>
      <c r="R2157" t="s">
        <v>342</v>
      </c>
      <c r="S2157" t="s">
        <v>343</v>
      </c>
      <c r="T2157" t="s">
        <v>8802</v>
      </c>
      <c r="U2157" t="s">
        <v>8803</v>
      </c>
      <c r="V2157" t="s">
        <v>8804</v>
      </c>
      <c r="W2157" t="s">
        <v>8805</v>
      </c>
      <c r="AD2157" t="s">
        <v>219</v>
      </c>
      <c r="AE2157" t="s">
        <v>8806</v>
      </c>
      <c r="AF2157" t="s">
        <v>8809</v>
      </c>
    </row>
    <row r="2158" spans="1:32" hidden="1" x14ac:dyDescent="0.35">
      <c r="A2158">
        <v>6287</v>
      </c>
      <c r="B2158" t="s">
        <v>12947</v>
      </c>
      <c r="C2158" t="s">
        <v>68</v>
      </c>
      <c r="D2158" t="s">
        <v>58</v>
      </c>
      <c r="E2158">
        <v>1550</v>
      </c>
      <c r="F2158">
        <v>3</v>
      </c>
      <c r="G2158">
        <v>3</v>
      </c>
      <c r="H2158">
        <v>1</v>
      </c>
      <c r="I2158">
        <v>0</v>
      </c>
      <c r="J2158">
        <v>0.79537850271852795</v>
      </c>
      <c r="K2158">
        <v>0.95477795467633597</v>
      </c>
      <c r="L2158">
        <v>0.86781939615789105</v>
      </c>
      <c r="M2158">
        <v>0.58527827648114905</v>
      </c>
      <c r="N2158">
        <v>0.998204667863555</v>
      </c>
      <c r="O2158">
        <v>0.72321962896469205</v>
      </c>
      <c r="P2158" t="s">
        <v>9870</v>
      </c>
      <c r="Q2158" t="s">
        <v>9871</v>
      </c>
      <c r="R2158" t="s">
        <v>371</v>
      </c>
      <c r="S2158" t="s">
        <v>372</v>
      </c>
      <c r="T2158" t="s">
        <v>12948</v>
      </c>
      <c r="U2158" t="s">
        <v>12949</v>
      </c>
      <c r="V2158" t="s">
        <v>9874</v>
      </c>
      <c r="W2158" t="s">
        <v>9875</v>
      </c>
      <c r="AD2158" t="s">
        <v>8300</v>
      </c>
      <c r="AE2158" t="s">
        <v>12950</v>
      </c>
      <c r="AF2158" t="s">
        <v>12951</v>
      </c>
    </row>
    <row r="2159" spans="1:32" hidden="1" x14ac:dyDescent="0.35">
      <c r="A2159">
        <v>4285</v>
      </c>
      <c r="B2159" t="s">
        <v>8908</v>
      </c>
      <c r="C2159" t="s">
        <v>72</v>
      </c>
      <c r="D2159" t="s">
        <v>60</v>
      </c>
      <c r="E2159">
        <v>1036</v>
      </c>
      <c r="F2159">
        <v>5</v>
      </c>
      <c r="G2159">
        <v>5</v>
      </c>
      <c r="H2159">
        <v>1</v>
      </c>
      <c r="I2159">
        <v>1</v>
      </c>
      <c r="J2159">
        <v>0.86231672977958995</v>
      </c>
      <c r="K2159">
        <v>0.97557222869723104</v>
      </c>
      <c r="L2159">
        <v>0.91545492999879996</v>
      </c>
      <c r="M2159">
        <v>0.66193181818181801</v>
      </c>
      <c r="N2159">
        <v>0.99715909090909105</v>
      </c>
      <c r="O2159">
        <v>0.77840909090909105</v>
      </c>
      <c r="P2159" t="s">
        <v>8909</v>
      </c>
      <c r="Q2159" t="s">
        <v>8910</v>
      </c>
      <c r="R2159" t="s">
        <v>342</v>
      </c>
      <c r="S2159" t="s">
        <v>343</v>
      </c>
      <c r="T2159" t="s">
        <v>8911</v>
      </c>
      <c r="U2159" t="s">
        <v>8912</v>
      </c>
      <c r="V2159" t="s">
        <v>8913</v>
      </c>
      <c r="W2159" t="s">
        <v>8914</v>
      </c>
      <c r="AD2159" t="s">
        <v>166</v>
      </c>
      <c r="AE2159" t="s">
        <v>263</v>
      </c>
      <c r="AF2159" t="s">
        <v>8916</v>
      </c>
    </row>
    <row r="2160" spans="1:32" hidden="1" x14ac:dyDescent="0.35">
      <c r="A2160">
        <v>4286</v>
      </c>
      <c r="B2160" t="s">
        <v>8908</v>
      </c>
      <c r="C2160" t="s">
        <v>72</v>
      </c>
      <c r="D2160" t="s">
        <v>62</v>
      </c>
      <c r="E2160">
        <v>1072</v>
      </c>
      <c r="F2160">
        <v>5</v>
      </c>
      <c r="G2160">
        <v>5</v>
      </c>
      <c r="H2160">
        <v>1</v>
      </c>
      <c r="I2160">
        <v>1</v>
      </c>
      <c r="J2160">
        <v>0.86231672977958995</v>
      </c>
      <c r="K2160">
        <v>0.97557222869723104</v>
      </c>
      <c r="L2160">
        <v>0.91545492999879996</v>
      </c>
      <c r="M2160">
        <v>0.66193181818181801</v>
      </c>
      <c r="N2160">
        <v>0.99715909090909105</v>
      </c>
      <c r="O2160">
        <v>0.77840909090909105</v>
      </c>
      <c r="P2160" t="s">
        <v>8909</v>
      </c>
      <c r="Q2160" t="s">
        <v>8910</v>
      </c>
      <c r="R2160" t="s">
        <v>342</v>
      </c>
      <c r="S2160" t="s">
        <v>343</v>
      </c>
      <c r="T2160" t="s">
        <v>8911</v>
      </c>
      <c r="U2160" t="s">
        <v>8912</v>
      </c>
      <c r="V2160" t="s">
        <v>8913</v>
      </c>
      <c r="W2160" t="s">
        <v>8914</v>
      </c>
      <c r="AD2160" t="s">
        <v>166</v>
      </c>
      <c r="AE2160" t="s">
        <v>263</v>
      </c>
      <c r="AF2160" t="s">
        <v>8917</v>
      </c>
    </row>
    <row r="2161" spans="1:32" hidden="1" x14ac:dyDescent="0.35">
      <c r="A2161">
        <v>4287</v>
      </c>
      <c r="B2161" t="s">
        <v>8908</v>
      </c>
      <c r="C2161" t="s">
        <v>72</v>
      </c>
      <c r="D2161" t="s">
        <v>34</v>
      </c>
      <c r="E2161">
        <v>82</v>
      </c>
      <c r="F2161">
        <v>5</v>
      </c>
      <c r="G2161">
        <v>5</v>
      </c>
      <c r="H2161">
        <v>1</v>
      </c>
      <c r="I2161">
        <v>1</v>
      </c>
      <c r="J2161">
        <v>0.86231672977958995</v>
      </c>
      <c r="K2161">
        <v>0.97557222869723104</v>
      </c>
      <c r="L2161">
        <v>0.91545492999879996</v>
      </c>
      <c r="M2161">
        <v>0.66193181818181801</v>
      </c>
      <c r="N2161">
        <v>0.99715909090909105</v>
      </c>
      <c r="O2161">
        <v>0.77840909090909105</v>
      </c>
      <c r="P2161" t="s">
        <v>8909</v>
      </c>
      <c r="Q2161" t="s">
        <v>8910</v>
      </c>
      <c r="R2161" t="s">
        <v>342</v>
      </c>
      <c r="S2161" t="s">
        <v>343</v>
      </c>
      <c r="T2161" t="s">
        <v>8911</v>
      </c>
      <c r="U2161" t="s">
        <v>8912</v>
      </c>
      <c r="V2161" t="s">
        <v>8913</v>
      </c>
      <c r="W2161" t="s">
        <v>8914</v>
      </c>
      <c r="AD2161" t="s">
        <v>166</v>
      </c>
      <c r="AE2161" t="s">
        <v>263</v>
      </c>
      <c r="AF2161" t="s">
        <v>8918</v>
      </c>
    </row>
    <row r="2162" spans="1:32" hidden="1" x14ac:dyDescent="0.35">
      <c r="A2162">
        <v>4288</v>
      </c>
      <c r="B2162" t="s">
        <v>8908</v>
      </c>
      <c r="C2162" t="s">
        <v>72</v>
      </c>
      <c r="D2162" t="s">
        <v>45</v>
      </c>
      <c r="E2162">
        <v>1340</v>
      </c>
      <c r="F2162">
        <v>5</v>
      </c>
      <c r="G2162">
        <v>5</v>
      </c>
      <c r="H2162">
        <v>1</v>
      </c>
      <c r="I2162">
        <v>1</v>
      </c>
      <c r="J2162">
        <v>0.86231672977958995</v>
      </c>
      <c r="K2162">
        <v>0.97557222869723104</v>
      </c>
      <c r="L2162">
        <v>0.91545492999879996</v>
      </c>
      <c r="M2162">
        <v>0.66193181818181801</v>
      </c>
      <c r="N2162">
        <v>0.99715909090909105</v>
      </c>
      <c r="O2162">
        <v>0.77840909090909105</v>
      </c>
      <c r="P2162" t="s">
        <v>8909</v>
      </c>
      <c r="Q2162" t="s">
        <v>8910</v>
      </c>
      <c r="R2162" t="s">
        <v>342</v>
      </c>
      <c r="S2162" t="s">
        <v>343</v>
      </c>
      <c r="T2162" t="s">
        <v>8911</v>
      </c>
      <c r="U2162" t="s">
        <v>8912</v>
      </c>
      <c r="V2162" t="s">
        <v>8913</v>
      </c>
      <c r="W2162" t="s">
        <v>8914</v>
      </c>
      <c r="AD2162" t="s">
        <v>166</v>
      </c>
      <c r="AE2162" t="s">
        <v>263</v>
      </c>
      <c r="AF2162" t="s">
        <v>8919</v>
      </c>
    </row>
    <row r="2163" spans="1:32" hidden="1" x14ac:dyDescent="0.35">
      <c r="A2163">
        <v>5996</v>
      </c>
      <c r="B2163" t="s">
        <v>12326</v>
      </c>
      <c r="C2163" t="s">
        <v>13295</v>
      </c>
      <c r="D2163" t="s">
        <v>58</v>
      </c>
      <c r="E2163">
        <v>148</v>
      </c>
      <c r="F2163">
        <v>3</v>
      </c>
      <c r="G2163">
        <v>3</v>
      </c>
      <c r="H2163">
        <v>1</v>
      </c>
      <c r="I2163">
        <v>0</v>
      </c>
      <c r="J2163">
        <v>0.76660988074957404</v>
      </c>
      <c r="K2163">
        <v>0.976064006650046</v>
      </c>
      <c r="L2163">
        <v>0.85874966871567804</v>
      </c>
      <c r="M2163">
        <v>0.54364089775561097</v>
      </c>
      <c r="N2163">
        <v>1</v>
      </c>
      <c r="O2163">
        <v>0.69576059850374095</v>
      </c>
      <c r="P2163" t="s">
        <v>12327</v>
      </c>
      <c r="Q2163" t="s">
        <v>12328</v>
      </c>
      <c r="R2163" t="s">
        <v>371</v>
      </c>
      <c r="S2163" t="s">
        <v>372</v>
      </c>
      <c r="T2163" t="s">
        <v>12329</v>
      </c>
      <c r="U2163" t="s">
        <v>12330</v>
      </c>
      <c r="V2163" t="s">
        <v>12331</v>
      </c>
      <c r="W2163" t="s">
        <v>12332</v>
      </c>
      <c r="AD2163" t="s">
        <v>3961</v>
      </c>
      <c r="AE2163" t="s">
        <v>3962</v>
      </c>
      <c r="AF2163" t="e">
        <f>----MTDVFDSLAPGTVAHTMLYDAACAARRHEDGPALTHSWLFTGPPGAGRSTAALAFAASLVCTNDDVVGCGHCDACRAALGGSHPDVTHVVPQELTLRVSEVRDLIKVASTLPTEAPWRVLIIEDADRLRNEGANAFLKTVEEPPTRTIIVLCAPSTE--DMVVTLRSRCRHVYIPTPSVESVARVLMGQ-GVAQAPAMLAASATNQHIGRARHLATTKQAQVLRAQVLNVAELVYHGDVAFRTVSGLFEAIEAEVAASLEAKEAEEKVKLEQALGMGGKGKGAAKAARGTKGTVDDLEKKQKLRRTRGARDGLDLALGDLAGLYRDALVHKGDAGVGLTHPDFEGLSRELAEKNSEEALLACIDALAQCRADVAANVRPAVALDALVGRLRLACGVR</f>
        <v>#NAME?</v>
      </c>
    </row>
    <row r="2164" spans="1:32" hidden="1" x14ac:dyDescent="0.35">
      <c r="A2164">
        <v>3744</v>
      </c>
      <c r="B2164" t="s">
        <v>7726</v>
      </c>
      <c r="C2164" t="s">
        <v>72</v>
      </c>
      <c r="D2164" t="s">
        <v>58</v>
      </c>
      <c r="E2164">
        <v>1447</v>
      </c>
      <c r="F2164">
        <v>5</v>
      </c>
      <c r="G2164">
        <v>5</v>
      </c>
      <c r="H2164">
        <v>1</v>
      </c>
      <c r="I2164">
        <v>1</v>
      </c>
      <c r="J2164">
        <v>0.74708743354824103</v>
      </c>
      <c r="K2164">
        <v>0.89275772778767004</v>
      </c>
      <c r="L2164">
        <v>0.81345250802813496</v>
      </c>
      <c r="M2164">
        <v>0.46407185628742498</v>
      </c>
      <c r="N2164">
        <v>0.99101796407185605</v>
      </c>
      <c r="O2164">
        <v>0.60718562874251503</v>
      </c>
      <c r="R2164" t="s">
        <v>371</v>
      </c>
      <c r="S2164" t="s">
        <v>372</v>
      </c>
      <c r="T2164" t="s">
        <v>7727</v>
      </c>
      <c r="U2164" t="s">
        <v>7728</v>
      </c>
      <c r="V2164" t="s">
        <v>7729</v>
      </c>
      <c r="W2164" t="s">
        <v>7730</v>
      </c>
      <c r="AD2164" t="s">
        <v>3961</v>
      </c>
      <c r="AE2164" t="s">
        <v>3962</v>
      </c>
      <c r="AF2164" t="e">
        <f>-------------------------------------------------------------------MYELLSPSLFAEDRVVIFTDADAAGKDPAQVLLDAAKNPPEGITLIIQHSGGGRTKNMVTPLSKLADVVRVDKVKPSERFAWLNQEFRNHGVKVTPDVVNAVLEGVGSDLRELASAAAQLVADTGGDVTVENVRQFYRGVAEVSGFDIADLACAGNTARAVASTRRALQLGLSPVLLTSALATKVGQIARMYST-----ARPDARELKMQPWLMDKTHKVARRWNGDSVSRAVIVIAELEAAVKGQGGDPNYALEHAVREISELARR</f>
        <v>#NAME?</v>
      </c>
    </row>
    <row r="2165" spans="1:32" hidden="1" x14ac:dyDescent="0.35">
      <c r="A2165">
        <v>151</v>
      </c>
      <c r="B2165" t="s">
        <v>256</v>
      </c>
      <c r="C2165" t="s">
        <v>72</v>
      </c>
      <c r="D2165" t="s">
        <v>58</v>
      </c>
      <c r="E2165">
        <v>930</v>
      </c>
      <c r="F2165">
        <v>5</v>
      </c>
      <c r="G2165">
        <v>8</v>
      </c>
      <c r="H2165">
        <v>2</v>
      </c>
      <c r="I2165">
        <v>0</v>
      </c>
      <c r="J2165">
        <v>0.69241436693939795</v>
      </c>
      <c r="K2165">
        <v>0.93540937323545803</v>
      </c>
      <c r="L2165">
        <v>0.79577520957943004</v>
      </c>
      <c r="M2165">
        <v>0.47826086956521702</v>
      </c>
      <c r="N2165">
        <v>1</v>
      </c>
      <c r="O2165">
        <v>0.58695652173913004</v>
      </c>
      <c r="P2165" t="s">
        <v>169</v>
      </c>
      <c r="Q2165" t="s">
        <v>170</v>
      </c>
      <c r="R2165" t="s">
        <v>257</v>
      </c>
      <c r="S2165" t="s">
        <v>258</v>
      </c>
      <c r="T2165" t="s">
        <v>259</v>
      </c>
      <c r="U2165" t="s">
        <v>260</v>
      </c>
      <c r="V2165" t="s">
        <v>261</v>
      </c>
      <c r="W2165" t="s">
        <v>262</v>
      </c>
      <c r="AD2165" t="s">
        <v>166</v>
      </c>
      <c r="AE2165" t="s">
        <v>263</v>
      </c>
      <c r="AF2165" t="s">
        <v>264</v>
      </c>
    </row>
    <row r="2166" spans="1:32" hidden="1" x14ac:dyDescent="0.35">
      <c r="A2166">
        <v>152</v>
      </c>
      <c r="B2166" t="s">
        <v>256</v>
      </c>
      <c r="C2166" t="s">
        <v>72</v>
      </c>
      <c r="D2166" t="s">
        <v>60</v>
      </c>
      <c r="E2166">
        <v>2223</v>
      </c>
      <c r="F2166">
        <v>5</v>
      </c>
      <c r="G2166">
        <v>8</v>
      </c>
      <c r="H2166">
        <v>2</v>
      </c>
      <c r="I2166">
        <v>0</v>
      </c>
      <c r="J2166">
        <v>0.69241436693939795</v>
      </c>
      <c r="K2166">
        <v>0.93540937323545803</v>
      </c>
      <c r="L2166">
        <v>0.79577520957943004</v>
      </c>
      <c r="M2166">
        <v>0.47826086956521702</v>
      </c>
      <c r="N2166">
        <v>1</v>
      </c>
      <c r="O2166">
        <v>0.58695652173913004</v>
      </c>
      <c r="P2166" t="s">
        <v>169</v>
      </c>
      <c r="Q2166" t="s">
        <v>170</v>
      </c>
      <c r="R2166" t="s">
        <v>257</v>
      </c>
      <c r="S2166" t="s">
        <v>258</v>
      </c>
      <c r="T2166" t="s">
        <v>265</v>
      </c>
      <c r="U2166" t="s">
        <v>266</v>
      </c>
      <c r="V2166" t="s">
        <v>261</v>
      </c>
      <c r="W2166" t="s">
        <v>262</v>
      </c>
      <c r="AD2166" t="s">
        <v>166</v>
      </c>
      <c r="AE2166" t="s">
        <v>263</v>
      </c>
      <c r="AF2166" t="e">
        <f>-----MNSRLEATGLKVGYGTKTIISSLDVAIPDKKVTTIIGPNGCGKSTLLRAMSHLLPLQAGSVHLDGRDVHAMRRRDLARLLGMLPQSPIAPEGLLVSDLVARGRHPHQAWFRQWSSDDEEHVYEALRLTHVEDLADRTIDSLSGGQRQRVWISMVLAQNTDILFLDEPTTYLDLSHSIEVLELVHGLSRDHNRTVVMVLHDLNLALRYSDNLVVMRD----GALIASGAPSEVISAELLEKVFNLHAVVVEDPITGGPMIVPLRNADKAKAD</f>
        <v>#NAME?</v>
      </c>
    </row>
    <row r="2167" spans="1:32" hidden="1" x14ac:dyDescent="0.35">
      <c r="A2167">
        <v>153</v>
      </c>
      <c r="B2167" t="s">
        <v>256</v>
      </c>
      <c r="C2167" t="s">
        <v>72</v>
      </c>
      <c r="D2167" t="s">
        <v>60</v>
      </c>
      <c r="E2167">
        <v>1332</v>
      </c>
      <c r="F2167">
        <v>5</v>
      </c>
      <c r="G2167">
        <v>8</v>
      </c>
      <c r="H2167">
        <v>2</v>
      </c>
      <c r="I2167">
        <v>0</v>
      </c>
      <c r="J2167">
        <v>0.69241436693939795</v>
      </c>
      <c r="K2167">
        <v>0.93540937323545803</v>
      </c>
      <c r="L2167">
        <v>0.79577520957943004</v>
      </c>
      <c r="M2167">
        <v>0.47826086956521702</v>
      </c>
      <c r="N2167">
        <v>1</v>
      </c>
      <c r="O2167">
        <v>0.58695652173913004</v>
      </c>
      <c r="P2167" t="s">
        <v>169</v>
      </c>
      <c r="Q2167" t="s">
        <v>170</v>
      </c>
      <c r="R2167" t="s">
        <v>257</v>
      </c>
      <c r="S2167" t="s">
        <v>258</v>
      </c>
      <c r="T2167" t="s">
        <v>259</v>
      </c>
      <c r="U2167" t="s">
        <v>260</v>
      </c>
      <c r="V2167" t="s">
        <v>261</v>
      </c>
      <c r="W2167" t="s">
        <v>262</v>
      </c>
      <c r="AD2167" t="s">
        <v>166</v>
      </c>
      <c r="AE2167" t="s">
        <v>263</v>
      </c>
      <c r="AF2167" t="s">
        <v>267</v>
      </c>
    </row>
    <row r="2168" spans="1:32" hidden="1" x14ac:dyDescent="0.35">
      <c r="A2168">
        <v>154</v>
      </c>
      <c r="B2168" t="s">
        <v>256</v>
      </c>
      <c r="C2168" t="s">
        <v>72</v>
      </c>
      <c r="D2168" t="s">
        <v>62</v>
      </c>
      <c r="E2168">
        <v>2253</v>
      </c>
      <c r="F2168">
        <v>5</v>
      </c>
      <c r="G2168">
        <v>8</v>
      </c>
      <c r="H2168">
        <v>2</v>
      </c>
      <c r="I2168">
        <v>0</v>
      </c>
      <c r="J2168">
        <v>0.69241436693939795</v>
      </c>
      <c r="K2168">
        <v>0.93540937323545803</v>
      </c>
      <c r="L2168">
        <v>0.79577520957943004</v>
      </c>
      <c r="M2168">
        <v>0.47826086956521702</v>
      </c>
      <c r="N2168">
        <v>1</v>
      </c>
      <c r="O2168">
        <v>0.58695652173913004</v>
      </c>
      <c r="P2168" t="s">
        <v>169</v>
      </c>
      <c r="Q2168" t="s">
        <v>170</v>
      </c>
      <c r="R2168" t="s">
        <v>257</v>
      </c>
      <c r="S2168" t="s">
        <v>258</v>
      </c>
      <c r="T2168" t="s">
        <v>265</v>
      </c>
      <c r="U2168" t="s">
        <v>266</v>
      </c>
      <c r="V2168" t="s">
        <v>261</v>
      </c>
      <c r="W2168" t="s">
        <v>262</v>
      </c>
      <c r="AD2168" t="s">
        <v>166</v>
      </c>
      <c r="AE2168" t="s">
        <v>263</v>
      </c>
      <c r="AF2168" t="e">
        <f>-----MNSRLEATGLKVGYGTKTIISSLDVAIPDKKVTTIIGPNGCGKSTLLRAMSHLLPLQAGSVHLDGRDVHAMRRRDLARLLGMLPQSPIAPEGLLVSDLVARGRHPHQAWFRQWSSDDEEHVYEALRLTHVEDLADRTIDSLSGGQRQRVWISMVLAQNTDILFLDEPTTYLDLSHSIEVLELVHGLSRDHNRTVVMVLHDLNLALRYSDNLVVMRD----GALIASGAPSEVISAELLEKVFNLHAVVVEDPITGGPMIVPLRNADKAKAD</f>
        <v>#NAME?</v>
      </c>
    </row>
    <row r="2169" spans="1:32" hidden="1" x14ac:dyDescent="0.35">
      <c r="A2169">
        <v>155</v>
      </c>
      <c r="B2169" t="s">
        <v>256</v>
      </c>
      <c r="C2169" t="s">
        <v>72</v>
      </c>
      <c r="D2169" t="s">
        <v>62</v>
      </c>
      <c r="E2169">
        <v>1368</v>
      </c>
      <c r="F2169">
        <v>5</v>
      </c>
      <c r="G2169">
        <v>8</v>
      </c>
      <c r="H2169">
        <v>2</v>
      </c>
      <c r="I2169">
        <v>0</v>
      </c>
      <c r="J2169">
        <v>0.69241436693939795</v>
      </c>
      <c r="K2169">
        <v>0.93540937323545803</v>
      </c>
      <c r="L2169">
        <v>0.79577520957943004</v>
      </c>
      <c r="M2169">
        <v>0.47826086956521702</v>
      </c>
      <c r="N2169">
        <v>1</v>
      </c>
      <c r="O2169">
        <v>0.58695652173913004</v>
      </c>
      <c r="P2169" t="s">
        <v>169</v>
      </c>
      <c r="Q2169" t="s">
        <v>170</v>
      </c>
      <c r="R2169" t="s">
        <v>257</v>
      </c>
      <c r="S2169" t="s">
        <v>258</v>
      </c>
      <c r="T2169" t="s">
        <v>259</v>
      </c>
      <c r="U2169" t="s">
        <v>260</v>
      </c>
      <c r="V2169" t="s">
        <v>261</v>
      </c>
      <c r="W2169" t="s">
        <v>262</v>
      </c>
      <c r="AD2169" t="s">
        <v>166</v>
      </c>
      <c r="AE2169" t="s">
        <v>263</v>
      </c>
      <c r="AF2169" t="s">
        <v>267</v>
      </c>
    </row>
    <row r="2170" spans="1:32" hidden="1" x14ac:dyDescent="0.35">
      <c r="A2170">
        <v>156</v>
      </c>
      <c r="B2170" t="s">
        <v>256</v>
      </c>
      <c r="C2170" t="s">
        <v>72</v>
      </c>
      <c r="D2170" t="s">
        <v>34</v>
      </c>
      <c r="E2170">
        <v>1137</v>
      </c>
      <c r="F2170">
        <v>5</v>
      </c>
      <c r="G2170">
        <v>8</v>
      </c>
      <c r="H2170">
        <v>2</v>
      </c>
      <c r="I2170">
        <v>0</v>
      </c>
      <c r="J2170">
        <v>0.69241436693939795</v>
      </c>
      <c r="K2170">
        <v>0.93540937323545803</v>
      </c>
      <c r="L2170">
        <v>0.79577520957943004</v>
      </c>
      <c r="M2170">
        <v>0.47826086956521702</v>
      </c>
      <c r="N2170">
        <v>1</v>
      </c>
      <c r="O2170">
        <v>0.58695652173913004</v>
      </c>
      <c r="P2170" t="s">
        <v>169</v>
      </c>
      <c r="Q2170" t="s">
        <v>170</v>
      </c>
      <c r="R2170" t="s">
        <v>257</v>
      </c>
      <c r="S2170" t="s">
        <v>258</v>
      </c>
      <c r="T2170" t="s">
        <v>259</v>
      </c>
      <c r="U2170" t="s">
        <v>260</v>
      </c>
      <c r="V2170" t="s">
        <v>261</v>
      </c>
      <c r="W2170" t="s">
        <v>262</v>
      </c>
      <c r="AD2170" t="s">
        <v>166</v>
      </c>
      <c r="AE2170" t="s">
        <v>263</v>
      </c>
      <c r="AF2170" t="s">
        <v>268</v>
      </c>
    </row>
    <row r="2171" spans="1:32" hidden="1" x14ac:dyDescent="0.35">
      <c r="A2171">
        <v>157</v>
      </c>
      <c r="B2171" t="s">
        <v>256</v>
      </c>
      <c r="C2171" t="s">
        <v>72</v>
      </c>
      <c r="D2171" t="s">
        <v>34</v>
      </c>
      <c r="E2171">
        <v>701</v>
      </c>
      <c r="F2171">
        <v>5</v>
      </c>
      <c r="G2171">
        <v>8</v>
      </c>
      <c r="H2171">
        <v>2</v>
      </c>
      <c r="I2171">
        <v>0</v>
      </c>
      <c r="J2171">
        <v>0.69241436693939795</v>
      </c>
      <c r="K2171">
        <v>0.93540937323545803</v>
      </c>
      <c r="L2171">
        <v>0.79577520957943004</v>
      </c>
      <c r="M2171">
        <v>0.47826086956521702</v>
      </c>
      <c r="N2171">
        <v>1</v>
      </c>
      <c r="O2171">
        <v>0.58695652173913004</v>
      </c>
      <c r="P2171" t="s">
        <v>169</v>
      </c>
      <c r="Q2171" t="s">
        <v>170</v>
      </c>
      <c r="R2171" t="s">
        <v>257</v>
      </c>
      <c r="S2171" t="s">
        <v>258</v>
      </c>
      <c r="T2171" t="s">
        <v>259</v>
      </c>
      <c r="U2171" t="s">
        <v>260</v>
      </c>
      <c r="V2171" t="s">
        <v>261</v>
      </c>
      <c r="W2171" t="s">
        <v>262</v>
      </c>
      <c r="AD2171" t="s">
        <v>166</v>
      </c>
      <c r="AE2171" t="s">
        <v>263</v>
      </c>
      <c r="AF2171" t="s">
        <v>269</v>
      </c>
    </row>
    <row r="2172" spans="1:32" hidden="1" x14ac:dyDescent="0.35">
      <c r="A2172">
        <v>158</v>
      </c>
      <c r="B2172" t="s">
        <v>256</v>
      </c>
      <c r="C2172" t="s">
        <v>72</v>
      </c>
      <c r="D2172" t="s">
        <v>45</v>
      </c>
      <c r="E2172">
        <v>1967</v>
      </c>
      <c r="F2172">
        <v>5</v>
      </c>
      <c r="G2172">
        <v>8</v>
      </c>
      <c r="H2172">
        <v>2</v>
      </c>
      <c r="I2172">
        <v>0</v>
      </c>
      <c r="J2172">
        <v>0.69241436693939795</v>
      </c>
      <c r="K2172">
        <v>0.93540937323545803</v>
      </c>
      <c r="L2172">
        <v>0.79577520957943004</v>
      </c>
      <c r="M2172">
        <v>0.47826086956521702</v>
      </c>
      <c r="N2172">
        <v>1</v>
      </c>
      <c r="O2172">
        <v>0.58695652173913004</v>
      </c>
      <c r="P2172" t="s">
        <v>169</v>
      </c>
      <c r="Q2172" t="s">
        <v>170</v>
      </c>
      <c r="R2172" t="s">
        <v>257</v>
      </c>
      <c r="S2172" t="s">
        <v>258</v>
      </c>
      <c r="T2172" t="s">
        <v>259</v>
      </c>
      <c r="U2172" t="s">
        <v>260</v>
      </c>
      <c r="V2172" t="s">
        <v>261</v>
      </c>
      <c r="W2172" t="s">
        <v>262</v>
      </c>
      <c r="AD2172" t="s">
        <v>166</v>
      </c>
      <c r="AE2172" t="s">
        <v>263</v>
      </c>
      <c r="AF2172" t="s">
        <v>270</v>
      </c>
    </row>
    <row r="2173" spans="1:32" hidden="1" x14ac:dyDescent="0.35">
      <c r="A2173">
        <v>2509</v>
      </c>
      <c r="B2173" t="s">
        <v>5199</v>
      </c>
      <c r="C2173" t="s">
        <v>72</v>
      </c>
      <c r="D2173" t="s">
        <v>58</v>
      </c>
      <c r="E2173">
        <v>772</v>
      </c>
      <c r="F2173">
        <v>5</v>
      </c>
      <c r="G2173">
        <v>5</v>
      </c>
      <c r="H2173">
        <v>1</v>
      </c>
      <c r="I2173">
        <v>1</v>
      </c>
      <c r="J2173">
        <v>0.81861198738170304</v>
      </c>
      <c r="K2173">
        <v>0.94831460674157397</v>
      </c>
      <c r="L2173">
        <v>0.87870283629185797</v>
      </c>
      <c r="M2173">
        <v>0.62313432835820903</v>
      </c>
      <c r="N2173">
        <v>1</v>
      </c>
      <c r="O2173">
        <v>0.73731343283582096</v>
      </c>
      <c r="P2173" t="s">
        <v>169</v>
      </c>
      <c r="Q2173" t="s">
        <v>170</v>
      </c>
      <c r="R2173" t="s">
        <v>257</v>
      </c>
      <c r="S2173" t="s">
        <v>258</v>
      </c>
      <c r="T2173" t="s">
        <v>259</v>
      </c>
      <c r="U2173" t="s">
        <v>260</v>
      </c>
      <c r="V2173" t="s">
        <v>261</v>
      </c>
      <c r="W2173" t="s">
        <v>262</v>
      </c>
      <c r="AD2173" t="s">
        <v>166</v>
      </c>
      <c r="AE2173" t="s">
        <v>263</v>
      </c>
      <c r="AF2173" t="s">
        <v>5200</v>
      </c>
    </row>
    <row r="2174" spans="1:32" hidden="1" x14ac:dyDescent="0.35">
      <c r="A2174">
        <v>2510</v>
      </c>
      <c r="B2174" t="s">
        <v>5199</v>
      </c>
      <c r="C2174" t="s">
        <v>72</v>
      </c>
      <c r="D2174" t="s">
        <v>60</v>
      </c>
      <c r="E2174">
        <v>1037</v>
      </c>
      <c r="F2174">
        <v>5</v>
      </c>
      <c r="G2174">
        <v>5</v>
      </c>
      <c r="H2174">
        <v>1</v>
      </c>
      <c r="I2174">
        <v>1</v>
      </c>
      <c r="J2174">
        <v>0.81861198738170304</v>
      </c>
      <c r="K2174">
        <v>0.94831460674157397</v>
      </c>
      <c r="L2174">
        <v>0.87870283629185797</v>
      </c>
      <c r="M2174">
        <v>0.62313432835820903</v>
      </c>
      <c r="N2174">
        <v>1</v>
      </c>
      <c r="O2174">
        <v>0.73731343283582096</v>
      </c>
      <c r="P2174" t="s">
        <v>169</v>
      </c>
      <c r="Q2174" t="s">
        <v>170</v>
      </c>
      <c r="R2174" t="s">
        <v>257</v>
      </c>
      <c r="S2174" t="s">
        <v>258</v>
      </c>
      <c r="T2174" t="s">
        <v>259</v>
      </c>
      <c r="U2174" t="s">
        <v>260</v>
      </c>
      <c r="V2174" t="s">
        <v>261</v>
      </c>
      <c r="W2174" t="s">
        <v>262</v>
      </c>
      <c r="AD2174" t="s">
        <v>166</v>
      </c>
      <c r="AE2174" t="s">
        <v>263</v>
      </c>
      <c r="AF2174" t="e">
        <f>--MFVVDSVAAGI-GKKTLLRGVSFTVKRGTMTAIVGINGVGKSTLLRALGGIAKPHAGQVLIDAAN------VHTIKPRHRATLMTLVGQEESPPGDLTVAEMVALGRLPYLKSWQLGSSKEKDIIARSLATVGISGLADRPCDQLSGGQRRRALLARGFAQETDLVLLDEPTNHLDVHHQLHLLGVLRDSGRTIIATIHDLDLAMSYFDQVVVLHQ------GGMLCAGHPQDVLIPDNLRKVFDVQALIAQLPEATNPHLIIDSL</f>
        <v>#NAME?</v>
      </c>
    </row>
    <row r="2175" spans="1:32" hidden="1" x14ac:dyDescent="0.35">
      <c r="A2175">
        <v>2511</v>
      </c>
      <c r="B2175" t="s">
        <v>5199</v>
      </c>
      <c r="C2175" t="s">
        <v>72</v>
      </c>
      <c r="D2175" t="s">
        <v>62</v>
      </c>
      <c r="E2175">
        <v>1073</v>
      </c>
      <c r="F2175">
        <v>5</v>
      </c>
      <c r="G2175">
        <v>5</v>
      </c>
      <c r="H2175">
        <v>1</v>
      </c>
      <c r="I2175">
        <v>1</v>
      </c>
      <c r="J2175">
        <v>0.81861198738170304</v>
      </c>
      <c r="K2175">
        <v>0.94831460674157397</v>
      </c>
      <c r="L2175">
        <v>0.87870283629185797</v>
      </c>
      <c r="M2175">
        <v>0.62313432835820903</v>
      </c>
      <c r="N2175">
        <v>1</v>
      </c>
      <c r="O2175">
        <v>0.73731343283582096</v>
      </c>
      <c r="P2175" t="s">
        <v>169</v>
      </c>
      <c r="Q2175" t="s">
        <v>170</v>
      </c>
      <c r="R2175" t="s">
        <v>257</v>
      </c>
      <c r="S2175" t="s">
        <v>258</v>
      </c>
      <c r="T2175" t="s">
        <v>259</v>
      </c>
      <c r="U2175" t="s">
        <v>260</v>
      </c>
      <c r="V2175" t="s">
        <v>261</v>
      </c>
      <c r="W2175" t="s">
        <v>262</v>
      </c>
      <c r="AD2175" t="s">
        <v>166</v>
      </c>
      <c r="AE2175" t="s">
        <v>263</v>
      </c>
      <c r="AF2175" t="e">
        <f>--MFVVDSVAAGI-GKKTLLRGVSFTVKRGTMTAIVGINGVGKSTLLRALGGIAKPHAGQVLIDAAN------VHTIKPRHRATLMTLVGQEESPPGDLTVAEMVALGRLPYLKSWQLGSSKEKDIIARSLATVGISGLADRPCDQLSGGQRRRALLARGFAQETDLVLLDEPTNHLDVHHQLHLLGVLRDSGRTIIATIHDLDLAMSYFDQVVVLHQ------GGMLCAGHPQDVLIPDNLRKVFDVQALIAQLPEATNPHLIIDSL</f>
        <v>#NAME?</v>
      </c>
    </row>
    <row r="2176" spans="1:32" hidden="1" x14ac:dyDescent="0.35">
      <c r="A2176">
        <v>2512</v>
      </c>
      <c r="B2176" t="s">
        <v>5199</v>
      </c>
      <c r="C2176" t="s">
        <v>72</v>
      </c>
      <c r="D2176" t="s">
        <v>34</v>
      </c>
      <c r="E2176">
        <v>81</v>
      </c>
      <c r="F2176">
        <v>5</v>
      </c>
      <c r="G2176">
        <v>5</v>
      </c>
      <c r="H2176">
        <v>1</v>
      </c>
      <c r="I2176">
        <v>1</v>
      </c>
      <c r="J2176">
        <v>0.81861198738170304</v>
      </c>
      <c r="K2176">
        <v>0.94831460674157397</v>
      </c>
      <c r="L2176">
        <v>0.87870283629185797</v>
      </c>
      <c r="M2176">
        <v>0.62313432835820903</v>
      </c>
      <c r="N2176">
        <v>1</v>
      </c>
      <c r="O2176">
        <v>0.73731343283582096</v>
      </c>
      <c r="P2176" t="s">
        <v>169</v>
      </c>
      <c r="Q2176" t="s">
        <v>170</v>
      </c>
      <c r="R2176" t="s">
        <v>257</v>
      </c>
      <c r="S2176" t="s">
        <v>258</v>
      </c>
      <c r="T2176" t="s">
        <v>259</v>
      </c>
      <c r="U2176" t="s">
        <v>260</v>
      </c>
      <c r="V2176" t="s">
        <v>261</v>
      </c>
      <c r="W2176" t="s">
        <v>262</v>
      </c>
      <c r="AD2176" t="s">
        <v>166</v>
      </c>
      <c r="AE2176" t="s">
        <v>263</v>
      </c>
      <c r="AF2176" t="s">
        <v>5201</v>
      </c>
    </row>
    <row r="2177" spans="1:32" hidden="1" x14ac:dyDescent="0.35">
      <c r="A2177">
        <v>2513</v>
      </c>
      <c r="B2177" t="s">
        <v>5199</v>
      </c>
      <c r="C2177" t="s">
        <v>72</v>
      </c>
      <c r="D2177" t="s">
        <v>45</v>
      </c>
      <c r="E2177">
        <v>1339</v>
      </c>
      <c r="F2177">
        <v>5</v>
      </c>
      <c r="G2177">
        <v>5</v>
      </c>
      <c r="H2177">
        <v>1</v>
      </c>
      <c r="I2177">
        <v>1</v>
      </c>
      <c r="J2177">
        <v>0.81861198738170304</v>
      </c>
      <c r="K2177">
        <v>0.94831460674157397</v>
      </c>
      <c r="L2177">
        <v>0.87870283629185797</v>
      </c>
      <c r="M2177">
        <v>0.62313432835820903</v>
      </c>
      <c r="N2177">
        <v>1</v>
      </c>
      <c r="O2177">
        <v>0.73731343283582096</v>
      </c>
      <c r="P2177" t="s">
        <v>169</v>
      </c>
      <c r="Q2177" t="s">
        <v>170</v>
      </c>
      <c r="R2177" t="s">
        <v>257</v>
      </c>
      <c r="S2177" t="s">
        <v>258</v>
      </c>
      <c r="T2177" t="s">
        <v>259</v>
      </c>
      <c r="U2177" t="s">
        <v>260</v>
      </c>
      <c r="V2177" t="s">
        <v>261</v>
      </c>
      <c r="W2177" t="s">
        <v>262</v>
      </c>
      <c r="AD2177" t="s">
        <v>166</v>
      </c>
      <c r="AE2177" t="s">
        <v>263</v>
      </c>
      <c r="AF2177" t="s">
        <v>5202</v>
      </c>
    </row>
    <row r="2178" spans="1:32" hidden="1" x14ac:dyDescent="0.35">
      <c r="A2178">
        <v>1424</v>
      </c>
      <c r="B2178" t="s">
        <v>2971</v>
      </c>
      <c r="C2178" t="s">
        <v>72</v>
      </c>
      <c r="D2178" t="s">
        <v>58</v>
      </c>
      <c r="E2178">
        <v>1497</v>
      </c>
      <c r="F2178">
        <v>5</v>
      </c>
      <c r="G2178">
        <v>5</v>
      </c>
      <c r="H2178">
        <v>1</v>
      </c>
      <c r="I2178">
        <v>1</v>
      </c>
      <c r="J2178">
        <v>0.76406523333897602</v>
      </c>
      <c r="K2178">
        <v>0.825554803788905</v>
      </c>
      <c r="L2178">
        <v>0.79362075094469597</v>
      </c>
      <c r="M2178">
        <v>0.445945945945946</v>
      </c>
      <c r="N2178">
        <v>1</v>
      </c>
      <c r="O2178">
        <v>0.59040540540540498</v>
      </c>
      <c r="P2178" t="s">
        <v>2972</v>
      </c>
      <c r="Q2178" t="s">
        <v>2973</v>
      </c>
      <c r="R2178" t="s">
        <v>2974</v>
      </c>
      <c r="S2178" t="s">
        <v>2975</v>
      </c>
      <c r="T2178" t="s">
        <v>2976</v>
      </c>
      <c r="U2178" t="s">
        <v>2977</v>
      </c>
      <c r="V2178" t="s">
        <v>2978</v>
      </c>
      <c r="W2178" t="s">
        <v>2979</v>
      </c>
      <c r="AD2178" t="s">
        <v>410</v>
      </c>
      <c r="AE2178" t="s">
        <v>603</v>
      </c>
      <c r="AF2178" t="s">
        <v>2980</v>
      </c>
    </row>
    <row r="2179" spans="1:32" hidden="1" x14ac:dyDescent="0.35">
      <c r="A2179">
        <v>1425</v>
      </c>
      <c r="B2179" t="s">
        <v>2971</v>
      </c>
      <c r="C2179" t="s">
        <v>72</v>
      </c>
      <c r="D2179" t="s">
        <v>60</v>
      </c>
      <c r="E2179">
        <v>2022</v>
      </c>
      <c r="F2179">
        <v>5</v>
      </c>
      <c r="G2179">
        <v>5</v>
      </c>
      <c r="H2179">
        <v>1</v>
      </c>
      <c r="I2179">
        <v>1</v>
      </c>
      <c r="J2179">
        <v>0.76406523333897602</v>
      </c>
      <c r="K2179">
        <v>0.825554803788905</v>
      </c>
      <c r="L2179">
        <v>0.79362075094469597</v>
      </c>
      <c r="M2179">
        <v>0.445945945945946</v>
      </c>
      <c r="N2179">
        <v>1</v>
      </c>
      <c r="O2179">
        <v>0.59040540540540498</v>
      </c>
      <c r="P2179" t="s">
        <v>2972</v>
      </c>
      <c r="Q2179" t="s">
        <v>2973</v>
      </c>
      <c r="R2179" t="s">
        <v>2974</v>
      </c>
      <c r="S2179" t="s">
        <v>2975</v>
      </c>
      <c r="T2179" t="s">
        <v>2976</v>
      </c>
      <c r="U2179" t="s">
        <v>2977</v>
      </c>
      <c r="V2179" t="s">
        <v>2978</v>
      </c>
      <c r="W2179" t="s">
        <v>2979</v>
      </c>
      <c r="AD2179" t="s">
        <v>410</v>
      </c>
      <c r="AE2179" t="s">
        <v>603</v>
      </c>
      <c r="AF2179" t="s">
        <v>2981</v>
      </c>
    </row>
    <row r="2180" spans="1:32" hidden="1" x14ac:dyDescent="0.35">
      <c r="A2180">
        <v>1426</v>
      </c>
      <c r="B2180" t="s">
        <v>2971</v>
      </c>
      <c r="C2180" t="s">
        <v>72</v>
      </c>
      <c r="D2180" t="s">
        <v>62</v>
      </c>
      <c r="E2180">
        <v>2061</v>
      </c>
      <c r="F2180">
        <v>5</v>
      </c>
      <c r="G2180">
        <v>5</v>
      </c>
      <c r="H2180">
        <v>1</v>
      </c>
      <c r="I2180">
        <v>1</v>
      </c>
      <c r="J2180">
        <v>0.76406523333897602</v>
      </c>
      <c r="K2180">
        <v>0.825554803788905</v>
      </c>
      <c r="L2180">
        <v>0.79362075094469597</v>
      </c>
      <c r="M2180">
        <v>0.445945945945946</v>
      </c>
      <c r="N2180">
        <v>1</v>
      </c>
      <c r="O2180">
        <v>0.59040540540540498</v>
      </c>
      <c r="P2180" t="s">
        <v>2972</v>
      </c>
      <c r="Q2180" t="s">
        <v>2973</v>
      </c>
      <c r="R2180" t="s">
        <v>2974</v>
      </c>
      <c r="S2180" t="s">
        <v>2975</v>
      </c>
      <c r="T2180" t="s">
        <v>2976</v>
      </c>
      <c r="U2180" t="s">
        <v>2977</v>
      </c>
      <c r="V2180" t="s">
        <v>2978</v>
      </c>
      <c r="W2180" t="s">
        <v>2979</v>
      </c>
      <c r="AD2180" t="s">
        <v>410</v>
      </c>
      <c r="AE2180" t="s">
        <v>603</v>
      </c>
      <c r="AF2180" t="s">
        <v>2982</v>
      </c>
    </row>
    <row r="2181" spans="1:32" hidden="1" x14ac:dyDescent="0.35">
      <c r="A2181">
        <v>1427</v>
      </c>
      <c r="B2181" t="s">
        <v>2971</v>
      </c>
      <c r="C2181" t="s">
        <v>72</v>
      </c>
      <c r="D2181" t="s">
        <v>34</v>
      </c>
      <c r="E2181">
        <v>2365</v>
      </c>
      <c r="F2181">
        <v>5</v>
      </c>
      <c r="G2181">
        <v>5</v>
      </c>
      <c r="H2181">
        <v>1</v>
      </c>
      <c r="I2181">
        <v>1</v>
      </c>
      <c r="J2181">
        <v>0.76406523333897602</v>
      </c>
      <c r="K2181">
        <v>0.825554803788905</v>
      </c>
      <c r="L2181">
        <v>0.79362075094469597</v>
      </c>
      <c r="M2181">
        <v>0.445945945945946</v>
      </c>
      <c r="N2181">
        <v>1</v>
      </c>
      <c r="O2181">
        <v>0.59040540540540498</v>
      </c>
      <c r="P2181" t="s">
        <v>2972</v>
      </c>
      <c r="Q2181" t="s">
        <v>2973</v>
      </c>
      <c r="R2181" t="s">
        <v>2974</v>
      </c>
      <c r="S2181" t="s">
        <v>2975</v>
      </c>
      <c r="T2181" t="s">
        <v>2976</v>
      </c>
      <c r="U2181" t="s">
        <v>2977</v>
      </c>
      <c r="V2181" t="s">
        <v>2978</v>
      </c>
      <c r="W2181" t="s">
        <v>2979</v>
      </c>
      <c r="AD2181" t="s">
        <v>410</v>
      </c>
      <c r="AE2181" t="s">
        <v>603</v>
      </c>
      <c r="AF2181" t="s">
        <v>2983</v>
      </c>
    </row>
    <row r="2182" spans="1:32" hidden="1" x14ac:dyDescent="0.35">
      <c r="A2182">
        <v>1428</v>
      </c>
      <c r="B2182" t="s">
        <v>2971</v>
      </c>
      <c r="C2182" t="s">
        <v>72</v>
      </c>
      <c r="D2182" t="s">
        <v>45</v>
      </c>
      <c r="E2182">
        <v>515</v>
      </c>
      <c r="F2182">
        <v>5</v>
      </c>
      <c r="G2182">
        <v>5</v>
      </c>
      <c r="H2182">
        <v>1</v>
      </c>
      <c r="I2182">
        <v>1</v>
      </c>
      <c r="J2182">
        <v>0.76406523333897602</v>
      </c>
      <c r="K2182">
        <v>0.825554803788905</v>
      </c>
      <c r="L2182">
        <v>0.79362075094469597</v>
      </c>
      <c r="M2182">
        <v>0.445945945945946</v>
      </c>
      <c r="N2182">
        <v>1</v>
      </c>
      <c r="O2182">
        <v>0.59040540540540498</v>
      </c>
      <c r="P2182" t="s">
        <v>2972</v>
      </c>
      <c r="Q2182" t="s">
        <v>2973</v>
      </c>
      <c r="R2182" t="s">
        <v>2974</v>
      </c>
      <c r="S2182" t="s">
        <v>2975</v>
      </c>
      <c r="T2182" t="s">
        <v>2976</v>
      </c>
      <c r="U2182" t="s">
        <v>2977</v>
      </c>
      <c r="V2182" t="s">
        <v>2978</v>
      </c>
      <c r="W2182" t="s">
        <v>2979</v>
      </c>
      <c r="AD2182" t="s">
        <v>410</v>
      </c>
      <c r="AE2182" t="s">
        <v>603</v>
      </c>
      <c r="AF2182" t="s">
        <v>2983</v>
      </c>
    </row>
    <row r="2183" spans="1:32" hidden="1" x14ac:dyDescent="0.35">
      <c r="A2183">
        <v>2819</v>
      </c>
      <c r="B2183" t="s">
        <v>5830</v>
      </c>
      <c r="C2183" t="s">
        <v>72</v>
      </c>
      <c r="D2183" t="s">
        <v>58</v>
      </c>
      <c r="E2183">
        <v>764</v>
      </c>
      <c r="F2183">
        <v>5</v>
      </c>
      <c r="G2183">
        <v>5</v>
      </c>
      <c r="H2183">
        <v>1</v>
      </c>
      <c r="I2183">
        <v>1</v>
      </c>
      <c r="J2183">
        <v>0.76014652014651996</v>
      </c>
      <c r="K2183">
        <v>0.96456725567977197</v>
      </c>
      <c r="L2183">
        <v>0.85024246124663005</v>
      </c>
      <c r="M2183">
        <v>0.58474576271186396</v>
      </c>
      <c r="N2183">
        <v>1</v>
      </c>
      <c r="O2183">
        <v>0.68771186440678</v>
      </c>
      <c r="P2183" t="s">
        <v>5831</v>
      </c>
      <c r="Q2183" t="s">
        <v>5832</v>
      </c>
      <c r="R2183" t="s">
        <v>371</v>
      </c>
      <c r="S2183" t="s">
        <v>372</v>
      </c>
      <c r="T2183" t="s">
        <v>5833</v>
      </c>
      <c r="U2183" t="s">
        <v>5834</v>
      </c>
      <c r="V2183" t="s">
        <v>5835</v>
      </c>
      <c r="W2183" t="s">
        <v>5836</v>
      </c>
      <c r="AD2183" t="s">
        <v>3961</v>
      </c>
      <c r="AE2183" t="s">
        <v>3962</v>
      </c>
      <c r="AF2183" t="s">
        <v>5837</v>
      </c>
    </row>
    <row r="2184" spans="1:32" hidden="1" x14ac:dyDescent="0.35">
      <c r="A2184">
        <v>2175</v>
      </c>
      <c r="B2184" t="s">
        <v>4520</v>
      </c>
      <c r="C2184" t="s">
        <v>72</v>
      </c>
      <c r="D2184" t="s">
        <v>60</v>
      </c>
      <c r="E2184">
        <v>1502</v>
      </c>
      <c r="F2184">
        <v>5</v>
      </c>
      <c r="G2184">
        <v>5</v>
      </c>
      <c r="H2184">
        <v>1</v>
      </c>
      <c r="I2184">
        <v>1</v>
      </c>
      <c r="J2184">
        <v>0.791259259259259</v>
      </c>
      <c r="K2184">
        <v>0.97861780899943296</v>
      </c>
      <c r="L2184">
        <v>0.87502167979231604</v>
      </c>
      <c r="M2184">
        <v>0.53913043478260902</v>
      </c>
      <c r="N2184">
        <v>1</v>
      </c>
      <c r="O2184">
        <v>0.70739130434782604</v>
      </c>
      <c r="P2184" t="s">
        <v>169</v>
      </c>
      <c r="Q2184" t="s">
        <v>170</v>
      </c>
      <c r="R2184" t="s">
        <v>4521</v>
      </c>
      <c r="S2184" t="s">
        <v>4522</v>
      </c>
      <c r="T2184" t="s">
        <v>4523</v>
      </c>
      <c r="U2184" t="s">
        <v>4524</v>
      </c>
      <c r="V2184" t="s">
        <v>4525</v>
      </c>
      <c r="W2184" t="s">
        <v>4526</v>
      </c>
      <c r="AD2184" t="s">
        <v>439</v>
      </c>
      <c r="AE2184" t="s">
        <v>4527</v>
      </c>
      <c r="AF2184" t="s">
        <v>4529</v>
      </c>
    </row>
    <row r="2185" spans="1:32" hidden="1" x14ac:dyDescent="0.35">
      <c r="A2185">
        <v>2176</v>
      </c>
      <c r="B2185" t="s">
        <v>4520</v>
      </c>
      <c r="C2185" t="s">
        <v>72</v>
      </c>
      <c r="D2185" t="s">
        <v>62</v>
      </c>
      <c r="E2185">
        <v>1537</v>
      </c>
      <c r="F2185">
        <v>5</v>
      </c>
      <c r="G2185">
        <v>5</v>
      </c>
      <c r="H2185">
        <v>1</v>
      </c>
      <c r="I2185">
        <v>1</v>
      </c>
      <c r="J2185">
        <v>0.791259259259259</v>
      </c>
      <c r="K2185">
        <v>0.97861780899943296</v>
      </c>
      <c r="L2185">
        <v>0.87502167979231604</v>
      </c>
      <c r="M2185">
        <v>0.53913043478260902</v>
      </c>
      <c r="N2185">
        <v>1</v>
      </c>
      <c r="O2185">
        <v>0.70739130434782604</v>
      </c>
      <c r="P2185" t="s">
        <v>169</v>
      </c>
      <c r="Q2185" t="s">
        <v>170</v>
      </c>
      <c r="R2185" t="s">
        <v>4521</v>
      </c>
      <c r="S2185" t="s">
        <v>4522</v>
      </c>
      <c r="T2185" t="s">
        <v>4523</v>
      </c>
      <c r="U2185" t="s">
        <v>4524</v>
      </c>
      <c r="V2185" t="s">
        <v>4525</v>
      </c>
      <c r="W2185" t="s">
        <v>4526</v>
      </c>
      <c r="AD2185" t="s">
        <v>439</v>
      </c>
      <c r="AE2185" t="s">
        <v>4527</v>
      </c>
      <c r="AF2185" t="s">
        <v>4529</v>
      </c>
    </row>
    <row r="2186" spans="1:32" hidden="1" x14ac:dyDescent="0.35">
      <c r="A2186">
        <v>2177</v>
      </c>
      <c r="B2186" t="s">
        <v>4520</v>
      </c>
      <c r="C2186" t="s">
        <v>72</v>
      </c>
      <c r="D2186" t="s">
        <v>34</v>
      </c>
      <c r="E2186">
        <v>1933</v>
      </c>
      <c r="F2186">
        <v>5</v>
      </c>
      <c r="G2186">
        <v>5</v>
      </c>
      <c r="H2186">
        <v>1</v>
      </c>
      <c r="I2186">
        <v>1</v>
      </c>
      <c r="J2186">
        <v>0.791259259259259</v>
      </c>
      <c r="K2186">
        <v>0.97861780899943296</v>
      </c>
      <c r="L2186">
        <v>0.87502167979231604</v>
      </c>
      <c r="M2186">
        <v>0.53913043478260902</v>
      </c>
      <c r="N2186">
        <v>1</v>
      </c>
      <c r="O2186">
        <v>0.70739130434782604</v>
      </c>
      <c r="P2186" t="s">
        <v>169</v>
      </c>
      <c r="Q2186" t="s">
        <v>170</v>
      </c>
      <c r="R2186" t="s">
        <v>4521</v>
      </c>
      <c r="S2186" t="s">
        <v>4522</v>
      </c>
      <c r="T2186" t="s">
        <v>4523</v>
      </c>
      <c r="U2186" t="s">
        <v>4524</v>
      </c>
      <c r="V2186" t="s">
        <v>4525</v>
      </c>
      <c r="W2186" t="s">
        <v>4526</v>
      </c>
      <c r="AD2186" t="s">
        <v>439</v>
      </c>
      <c r="AE2186" t="s">
        <v>4527</v>
      </c>
      <c r="AF2186" t="s">
        <v>4530</v>
      </c>
    </row>
    <row r="2187" spans="1:32" hidden="1" x14ac:dyDescent="0.35">
      <c r="A2187">
        <v>2178</v>
      </c>
      <c r="B2187" t="s">
        <v>4520</v>
      </c>
      <c r="C2187" t="s">
        <v>72</v>
      </c>
      <c r="D2187" t="s">
        <v>45</v>
      </c>
      <c r="E2187">
        <v>940</v>
      </c>
      <c r="F2187">
        <v>5</v>
      </c>
      <c r="G2187">
        <v>5</v>
      </c>
      <c r="H2187">
        <v>1</v>
      </c>
      <c r="I2187">
        <v>1</v>
      </c>
      <c r="J2187">
        <v>0.791259259259259</v>
      </c>
      <c r="K2187">
        <v>0.97861780899943296</v>
      </c>
      <c r="L2187">
        <v>0.87502167979231604</v>
      </c>
      <c r="M2187">
        <v>0.53913043478260902</v>
      </c>
      <c r="N2187">
        <v>1</v>
      </c>
      <c r="O2187">
        <v>0.70739130434782604</v>
      </c>
      <c r="P2187" t="s">
        <v>169</v>
      </c>
      <c r="Q2187" t="s">
        <v>170</v>
      </c>
      <c r="R2187" t="s">
        <v>4521</v>
      </c>
      <c r="S2187" t="s">
        <v>4522</v>
      </c>
      <c r="T2187" t="s">
        <v>4523</v>
      </c>
      <c r="U2187" t="s">
        <v>4524</v>
      </c>
      <c r="V2187" t="s">
        <v>4525</v>
      </c>
      <c r="W2187" t="s">
        <v>4526</v>
      </c>
      <c r="AD2187" t="s">
        <v>439</v>
      </c>
      <c r="AE2187" t="s">
        <v>4527</v>
      </c>
      <c r="AF2187" t="s">
        <v>4531</v>
      </c>
    </row>
    <row r="2188" spans="1:32" hidden="1" x14ac:dyDescent="0.35">
      <c r="A2188">
        <v>6326</v>
      </c>
      <c r="B2188" t="s">
        <v>13039</v>
      </c>
      <c r="C2188" t="s">
        <v>68</v>
      </c>
      <c r="D2188" t="s">
        <v>58</v>
      </c>
      <c r="E2188">
        <v>798</v>
      </c>
      <c r="F2188">
        <v>3</v>
      </c>
      <c r="G2188">
        <v>3</v>
      </c>
      <c r="H2188">
        <v>1</v>
      </c>
      <c r="I2188">
        <v>0</v>
      </c>
      <c r="J2188">
        <v>0.78484848484848502</v>
      </c>
      <c r="K2188">
        <v>0.95376121463078001</v>
      </c>
      <c r="L2188">
        <v>0.86109958368968098</v>
      </c>
      <c r="M2188">
        <v>0.57575757575757602</v>
      </c>
      <c r="N2188">
        <v>0.99567099567099604</v>
      </c>
      <c r="O2188">
        <v>0.71717171717171702</v>
      </c>
      <c r="P2188" t="s">
        <v>5831</v>
      </c>
      <c r="Q2188" t="s">
        <v>5832</v>
      </c>
      <c r="R2188" t="s">
        <v>371</v>
      </c>
      <c r="S2188" t="s">
        <v>372</v>
      </c>
      <c r="T2188" t="s">
        <v>5833</v>
      </c>
      <c r="U2188" t="s">
        <v>5834</v>
      </c>
      <c r="V2188" t="s">
        <v>5835</v>
      </c>
      <c r="W2188" t="s">
        <v>5836</v>
      </c>
      <c r="AD2188" t="s">
        <v>3961</v>
      </c>
      <c r="AE2188" t="s">
        <v>3962</v>
      </c>
      <c r="AF2188" t="s">
        <v>13040</v>
      </c>
    </row>
    <row r="2189" spans="1:32" hidden="1" x14ac:dyDescent="0.35">
      <c r="A2189">
        <v>2162</v>
      </c>
      <c r="B2189" t="s">
        <v>4490</v>
      </c>
      <c r="C2189" t="s">
        <v>72</v>
      </c>
      <c r="D2189" t="s">
        <v>34</v>
      </c>
      <c r="E2189">
        <v>479</v>
      </c>
      <c r="F2189">
        <v>5</v>
      </c>
      <c r="G2189">
        <v>5</v>
      </c>
      <c r="H2189">
        <v>1</v>
      </c>
      <c r="I2189">
        <v>1</v>
      </c>
      <c r="J2189">
        <v>0.82191142191142197</v>
      </c>
      <c r="K2189">
        <v>0.94496377266825604</v>
      </c>
      <c r="L2189">
        <v>0.87915266503394596</v>
      </c>
      <c r="M2189">
        <v>0.617414248021108</v>
      </c>
      <c r="N2189">
        <v>1</v>
      </c>
      <c r="O2189">
        <v>0.74670184696569897</v>
      </c>
      <c r="P2189" t="s">
        <v>4491</v>
      </c>
      <c r="Q2189" t="s">
        <v>4492</v>
      </c>
      <c r="R2189" t="s">
        <v>4500</v>
      </c>
      <c r="S2189" t="s">
        <v>4501</v>
      </c>
      <c r="T2189" t="s">
        <v>4493</v>
      </c>
      <c r="U2189" t="s">
        <v>4494</v>
      </c>
      <c r="V2189" t="s">
        <v>4502</v>
      </c>
      <c r="W2189" t="s">
        <v>4503</v>
      </c>
      <c r="AD2189" t="s">
        <v>245</v>
      </c>
      <c r="AE2189" t="s">
        <v>4497</v>
      </c>
      <c r="AF2189" t="s">
        <v>4504</v>
      </c>
    </row>
    <row r="2190" spans="1:32" hidden="1" x14ac:dyDescent="0.35">
      <c r="A2190">
        <v>2163</v>
      </c>
      <c r="B2190" t="s">
        <v>4490</v>
      </c>
      <c r="C2190" t="s">
        <v>72</v>
      </c>
      <c r="D2190" t="s">
        <v>45</v>
      </c>
      <c r="E2190">
        <v>1744</v>
      </c>
      <c r="F2190">
        <v>5</v>
      </c>
      <c r="G2190">
        <v>5</v>
      </c>
      <c r="H2190">
        <v>1</v>
      </c>
      <c r="I2190">
        <v>1</v>
      </c>
      <c r="J2190">
        <v>0.82191142191142197</v>
      </c>
      <c r="K2190">
        <v>0.94496377266825604</v>
      </c>
      <c r="L2190">
        <v>0.87915266503394596</v>
      </c>
      <c r="M2190">
        <v>0.617414248021108</v>
      </c>
      <c r="N2190">
        <v>1</v>
      </c>
      <c r="O2190">
        <v>0.74670184696569897</v>
      </c>
      <c r="P2190" t="s">
        <v>4491</v>
      </c>
      <c r="Q2190" t="s">
        <v>4492</v>
      </c>
      <c r="R2190" t="s">
        <v>4500</v>
      </c>
      <c r="S2190" t="s">
        <v>4501</v>
      </c>
      <c r="T2190" t="s">
        <v>4493</v>
      </c>
      <c r="U2190" t="s">
        <v>4494</v>
      </c>
      <c r="V2190" t="s">
        <v>4502</v>
      </c>
      <c r="W2190" t="s">
        <v>4503</v>
      </c>
      <c r="AD2190" t="s">
        <v>245</v>
      </c>
      <c r="AE2190" t="s">
        <v>4497</v>
      </c>
      <c r="AF2190" t="s">
        <v>4504</v>
      </c>
    </row>
    <row r="2191" spans="1:32" hidden="1" x14ac:dyDescent="0.35">
      <c r="A2191">
        <v>11640</v>
      </c>
      <c r="B2191" t="s">
        <v>23846</v>
      </c>
      <c r="C2191" t="s">
        <v>33</v>
      </c>
      <c r="D2191" t="s">
        <v>58</v>
      </c>
      <c r="E2191">
        <v>87</v>
      </c>
      <c r="F2191">
        <v>1</v>
      </c>
      <c r="G2191">
        <v>1</v>
      </c>
      <c r="H2191">
        <v>1</v>
      </c>
      <c r="I2191">
        <v>0</v>
      </c>
      <c r="J2191">
        <v>1</v>
      </c>
      <c r="K2191">
        <v>1</v>
      </c>
      <c r="L2191">
        <v>1</v>
      </c>
      <c r="M2191">
        <v>0</v>
      </c>
      <c r="N2191">
        <v>0</v>
      </c>
      <c r="O2191">
        <v>0</v>
      </c>
      <c r="R2191" t="s">
        <v>371</v>
      </c>
      <c r="S2191" t="s">
        <v>372</v>
      </c>
      <c r="T2191" t="s">
        <v>5833</v>
      </c>
      <c r="U2191" t="s">
        <v>5834</v>
      </c>
      <c r="V2191" t="s">
        <v>5835</v>
      </c>
      <c r="W2191" t="s">
        <v>5836</v>
      </c>
      <c r="AD2191" t="s">
        <v>3961</v>
      </c>
      <c r="AE2191" t="s">
        <v>3962</v>
      </c>
      <c r="AF2191" t="s">
        <v>23847</v>
      </c>
    </row>
    <row r="2192" spans="1:32" hidden="1" x14ac:dyDescent="0.35">
      <c r="A2192">
        <v>314</v>
      </c>
      <c r="B2192" t="s">
        <v>537</v>
      </c>
      <c r="C2192" t="s">
        <v>72</v>
      </c>
      <c r="D2192" t="s">
        <v>60</v>
      </c>
      <c r="E2192">
        <v>1615</v>
      </c>
      <c r="F2192">
        <v>5</v>
      </c>
      <c r="G2192">
        <v>6</v>
      </c>
      <c r="H2192">
        <v>2</v>
      </c>
      <c r="I2192">
        <v>0</v>
      </c>
      <c r="J2192">
        <v>0.73513513513513495</v>
      </c>
      <c r="K2192">
        <v>0.70759822090437197</v>
      </c>
      <c r="L2192">
        <v>0.72110388460675801</v>
      </c>
      <c r="M2192">
        <v>0.101754385964912</v>
      </c>
      <c r="N2192">
        <v>1</v>
      </c>
      <c r="O2192">
        <v>0.43017543859649099</v>
      </c>
      <c r="P2192" t="s">
        <v>538</v>
      </c>
      <c r="Q2192" t="s">
        <v>539</v>
      </c>
      <c r="R2192" t="s">
        <v>540</v>
      </c>
      <c r="S2192" t="s">
        <v>541</v>
      </c>
      <c r="T2192" t="s">
        <v>542</v>
      </c>
      <c r="U2192" t="s">
        <v>543</v>
      </c>
      <c r="V2192" t="s">
        <v>544</v>
      </c>
      <c r="W2192" t="s">
        <v>545</v>
      </c>
      <c r="AD2192" t="s">
        <v>546</v>
      </c>
      <c r="AE2192" t="s">
        <v>547</v>
      </c>
      <c r="AF2192" t="e">
        <f>------------MTDSNDNFRVDSSRADDRHDDDRDAGRKKNKRGDDG----RRQLPWYIEIPVVVFTTILIIGLLHTFVGRLYVIPSESMEPTLHGCSGCTGDRIYVEKISYRFGSPKPGDVVVFAGTESWNANYDSRRSSNPLIRGLQNLGSMVGVVAPDQNDLVKRVIATGGQTVECQAGDTGVKVNGKVIDSSYTLQPPAYPVDQSTGSEACGGPYFGPVKVPEGNVFVMGDNRTNSADSRYHMADQYQGTIPEKNIVGKVVAIALPLGRMGLVDDPDIQH</f>
        <v>#NAME?</v>
      </c>
    </row>
    <row r="2193" spans="1:32" hidden="1" x14ac:dyDescent="0.35">
      <c r="A2193">
        <v>315</v>
      </c>
      <c r="B2193" t="s">
        <v>537</v>
      </c>
      <c r="C2193" t="s">
        <v>72</v>
      </c>
      <c r="D2193" t="s">
        <v>62</v>
      </c>
      <c r="E2193">
        <v>1651</v>
      </c>
      <c r="F2193">
        <v>5</v>
      </c>
      <c r="G2193">
        <v>6</v>
      </c>
      <c r="H2193">
        <v>2</v>
      </c>
      <c r="I2193">
        <v>0</v>
      </c>
      <c r="J2193">
        <v>0.73513513513513495</v>
      </c>
      <c r="K2193">
        <v>0.70759822090437197</v>
      </c>
      <c r="L2193">
        <v>0.72110388460675801</v>
      </c>
      <c r="M2193">
        <v>0.101754385964912</v>
      </c>
      <c r="N2193">
        <v>1</v>
      </c>
      <c r="O2193">
        <v>0.43017543859649099</v>
      </c>
      <c r="P2193" t="s">
        <v>538</v>
      </c>
      <c r="Q2193" t="s">
        <v>539</v>
      </c>
      <c r="R2193" t="s">
        <v>540</v>
      </c>
      <c r="S2193" t="s">
        <v>541</v>
      </c>
      <c r="T2193" t="s">
        <v>542</v>
      </c>
      <c r="U2193" t="s">
        <v>543</v>
      </c>
      <c r="V2193" t="s">
        <v>544</v>
      </c>
      <c r="W2193" t="s">
        <v>545</v>
      </c>
      <c r="AD2193" t="s">
        <v>546</v>
      </c>
      <c r="AE2193" t="s">
        <v>547</v>
      </c>
      <c r="AF2193" t="e">
        <f>------------MTDSNDNFRVDSSRADDRHDDDRDAGRKKNKRGDDG----RRQLPWYIEIPVVVFTTILIIGLLHTFVGRLYVIPSESMEPTLHGCSGCTGDRIYVEKISYRFGSPKPGDVVVFAGTESWNANYDSRRSSNPLIRGLQNLGSMVGVVAPDQNDLVKRVIATGGQTVECQAGDTGVKVNGKVIDSSYTLQPPAYPVDQSTGSEACGGPYFGPVKVPEGNVFVMGDNRTNSADSRYHMADQYQGTIPEKNIVGKVVAIALPLGRMGLVDDPDIQH</f>
        <v>#NAME?</v>
      </c>
    </row>
    <row r="2194" spans="1:32" hidden="1" x14ac:dyDescent="0.35">
      <c r="A2194">
        <v>11617</v>
      </c>
      <c r="B2194" t="s">
        <v>23791</v>
      </c>
      <c r="C2194" t="s">
        <v>33</v>
      </c>
      <c r="D2194" t="s">
        <v>58</v>
      </c>
      <c r="E2194">
        <v>82</v>
      </c>
      <c r="F2194">
        <v>1</v>
      </c>
      <c r="G2194">
        <v>1</v>
      </c>
      <c r="H2194">
        <v>1</v>
      </c>
      <c r="I2194">
        <v>0</v>
      </c>
      <c r="J2194">
        <v>1</v>
      </c>
      <c r="K2194">
        <v>1</v>
      </c>
      <c r="L2194">
        <v>1</v>
      </c>
      <c r="M2194">
        <v>0</v>
      </c>
      <c r="N2194">
        <v>0</v>
      </c>
      <c r="O2194">
        <v>0</v>
      </c>
      <c r="P2194" t="s">
        <v>12327</v>
      </c>
      <c r="Q2194" t="s">
        <v>12328</v>
      </c>
      <c r="R2194" t="s">
        <v>371</v>
      </c>
      <c r="S2194" t="s">
        <v>372</v>
      </c>
      <c r="T2194" t="s">
        <v>16253</v>
      </c>
      <c r="U2194" t="s">
        <v>16254</v>
      </c>
      <c r="V2194" t="s">
        <v>16255</v>
      </c>
      <c r="W2194" t="s">
        <v>16256</v>
      </c>
      <c r="AD2194" t="s">
        <v>3961</v>
      </c>
      <c r="AE2194" t="s">
        <v>3962</v>
      </c>
      <c r="AF2194" t="s">
        <v>23792</v>
      </c>
    </row>
    <row r="2195" spans="1:32" hidden="1" x14ac:dyDescent="0.35">
      <c r="A2195">
        <v>550</v>
      </c>
      <c r="B2195" t="s">
        <v>1072</v>
      </c>
      <c r="C2195" t="s">
        <v>72</v>
      </c>
      <c r="D2195" t="s">
        <v>60</v>
      </c>
      <c r="E2195">
        <v>1220</v>
      </c>
      <c r="F2195">
        <v>5</v>
      </c>
      <c r="G2195">
        <v>5</v>
      </c>
      <c r="H2195">
        <v>1</v>
      </c>
      <c r="I2195">
        <v>1</v>
      </c>
      <c r="J2195">
        <v>0.90142671854734102</v>
      </c>
      <c r="K2195">
        <v>0.98846153846153895</v>
      </c>
      <c r="L2195">
        <v>0.94294002592075499</v>
      </c>
      <c r="M2195">
        <v>0.76923076923076905</v>
      </c>
      <c r="N2195">
        <v>1</v>
      </c>
      <c r="O2195">
        <v>0.82820512820512804</v>
      </c>
      <c r="P2195" t="s">
        <v>1073</v>
      </c>
      <c r="Q2195" t="s">
        <v>1074</v>
      </c>
      <c r="R2195" t="s">
        <v>540</v>
      </c>
      <c r="S2195" t="s">
        <v>541</v>
      </c>
      <c r="T2195" t="s">
        <v>1075</v>
      </c>
      <c r="U2195" t="s">
        <v>1076</v>
      </c>
      <c r="V2195" t="s">
        <v>1077</v>
      </c>
      <c r="W2195" t="s">
        <v>1078</v>
      </c>
      <c r="AD2195" t="s">
        <v>1079</v>
      </c>
      <c r="AE2195" t="s">
        <v>1080</v>
      </c>
      <c r="AF2195" t="s">
        <v>1082</v>
      </c>
    </row>
    <row r="2196" spans="1:32" hidden="1" x14ac:dyDescent="0.35">
      <c r="A2196">
        <v>551</v>
      </c>
      <c r="B2196" t="s">
        <v>1072</v>
      </c>
      <c r="C2196" t="s">
        <v>72</v>
      </c>
      <c r="D2196" t="s">
        <v>62</v>
      </c>
      <c r="E2196">
        <v>1257</v>
      </c>
      <c r="F2196">
        <v>5</v>
      </c>
      <c r="G2196">
        <v>5</v>
      </c>
      <c r="H2196">
        <v>1</v>
      </c>
      <c r="I2196">
        <v>1</v>
      </c>
      <c r="J2196">
        <v>0.90142671854734102</v>
      </c>
      <c r="K2196">
        <v>0.98846153846153895</v>
      </c>
      <c r="L2196">
        <v>0.94294002592075499</v>
      </c>
      <c r="M2196">
        <v>0.76923076923076905</v>
      </c>
      <c r="N2196">
        <v>1</v>
      </c>
      <c r="O2196">
        <v>0.82820512820512804</v>
      </c>
      <c r="P2196" t="s">
        <v>1073</v>
      </c>
      <c r="Q2196" t="s">
        <v>1074</v>
      </c>
      <c r="R2196" t="s">
        <v>540</v>
      </c>
      <c r="S2196" t="s">
        <v>541</v>
      </c>
      <c r="T2196" t="s">
        <v>1075</v>
      </c>
      <c r="U2196" t="s">
        <v>1076</v>
      </c>
      <c r="V2196" t="s">
        <v>1077</v>
      </c>
      <c r="W2196" t="s">
        <v>1078</v>
      </c>
      <c r="AD2196" t="s">
        <v>1079</v>
      </c>
      <c r="AE2196" t="s">
        <v>1080</v>
      </c>
      <c r="AF2196" t="s">
        <v>1082</v>
      </c>
    </row>
    <row r="2197" spans="1:32" hidden="1" x14ac:dyDescent="0.35">
      <c r="A2197">
        <v>552</v>
      </c>
      <c r="B2197" t="s">
        <v>1072</v>
      </c>
      <c r="C2197" t="s">
        <v>72</v>
      </c>
      <c r="D2197" t="s">
        <v>34</v>
      </c>
      <c r="E2197">
        <v>1783</v>
      </c>
      <c r="F2197">
        <v>5</v>
      </c>
      <c r="G2197">
        <v>5</v>
      </c>
      <c r="H2197">
        <v>1</v>
      </c>
      <c r="I2197">
        <v>1</v>
      </c>
      <c r="J2197">
        <v>0.90142671854734102</v>
      </c>
      <c r="K2197">
        <v>0.98846153846153895</v>
      </c>
      <c r="L2197">
        <v>0.94294002592075499</v>
      </c>
      <c r="M2197">
        <v>0.76923076923076905</v>
      </c>
      <c r="N2197">
        <v>1</v>
      </c>
      <c r="O2197">
        <v>0.82820512820512804</v>
      </c>
      <c r="P2197" t="s">
        <v>1073</v>
      </c>
      <c r="Q2197" t="s">
        <v>1074</v>
      </c>
      <c r="R2197" t="s">
        <v>540</v>
      </c>
      <c r="S2197" t="s">
        <v>541</v>
      </c>
      <c r="T2197" t="s">
        <v>1075</v>
      </c>
      <c r="U2197" t="s">
        <v>1076</v>
      </c>
      <c r="V2197" t="s">
        <v>1077</v>
      </c>
      <c r="W2197" t="s">
        <v>1078</v>
      </c>
      <c r="AD2197" t="s">
        <v>1079</v>
      </c>
      <c r="AE2197" t="s">
        <v>1080</v>
      </c>
      <c r="AF2197" t="s">
        <v>1083</v>
      </c>
    </row>
    <row r="2198" spans="1:32" hidden="1" x14ac:dyDescent="0.35">
      <c r="A2198">
        <v>553</v>
      </c>
      <c r="B2198" t="s">
        <v>1072</v>
      </c>
      <c r="C2198" t="s">
        <v>72</v>
      </c>
      <c r="D2198" t="s">
        <v>45</v>
      </c>
      <c r="E2198">
        <v>1090</v>
      </c>
      <c r="F2198">
        <v>5</v>
      </c>
      <c r="G2198">
        <v>5</v>
      </c>
      <c r="H2198">
        <v>1</v>
      </c>
      <c r="I2198">
        <v>1</v>
      </c>
      <c r="J2198">
        <v>0.90142671854734102</v>
      </c>
      <c r="K2198">
        <v>0.98846153846153895</v>
      </c>
      <c r="L2198">
        <v>0.94294002592075499</v>
      </c>
      <c r="M2198">
        <v>0.76923076923076905</v>
      </c>
      <c r="N2198">
        <v>1</v>
      </c>
      <c r="O2198">
        <v>0.82820512820512804</v>
      </c>
      <c r="P2198" t="s">
        <v>1073</v>
      </c>
      <c r="Q2198" t="s">
        <v>1074</v>
      </c>
      <c r="R2198" t="s">
        <v>540</v>
      </c>
      <c r="S2198" t="s">
        <v>541</v>
      </c>
      <c r="T2198" t="s">
        <v>1075</v>
      </c>
      <c r="U2198" t="s">
        <v>1076</v>
      </c>
      <c r="V2198" t="s">
        <v>1077</v>
      </c>
      <c r="W2198" t="s">
        <v>1078</v>
      </c>
      <c r="AD2198" t="s">
        <v>1079</v>
      </c>
      <c r="AE2198" t="s">
        <v>1080</v>
      </c>
      <c r="AF2198" t="s">
        <v>1083</v>
      </c>
    </row>
    <row r="2199" spans="1:32" hidden="1" x14ac:dyDescent="0.35">
      <c r="A2199">
        <v>4544</v>
      </c>
      <c r="B2199" t="s">
        <v>9489</v>
      </c>
      <c r="C2199" t="s">
        <v>72</v>
      </c>
      <c r="D2199" t="s">
        <v>58</v>
      </c>
      <c r="E2199">
        <v>1381</v>
      </c>
      <c r="F2199">
        <v>5</v>
      </c>
      <c r="G2199">
        <v>5</v>
      </c>
      <c r="H2199">
        <v>1</v>
      </c>
      <c r="I2199">
        <v>1</v>
      </c>
      <c r="J2199">
        <v>0.81519615608004603</v>
      </c>
      <c r="K2199">
        <v>0.97024742998936397</v>
      </c>
      <c r="L2199">
        <v>0.88598932113571105</v>
      </c>
      <c r="M2199">
        <v>0.65591397849462396</v>
      </c>
      <c r="N2199">
        <v>0.998463901689708</v>
      </c>
      <c r="O2199">
        <v>0.74777265745007704</v>
      </c>
      <c r="P2199" t="s">
        <v>9490</v>
      </c>
      <c r="Q2199" t="s">
        <v>9491</v>
      </c>
      <c r="R2199" t="s">
        <v>371</v>
      </c>
      <c r="S2199" t="s">
        <v>372</v>
      </c>
      <c r="T2199" t="s">
        <v>9492</v>
      </c>
      <c r="U2199" t="s">
        <v>9493</v>
      </c>
      <c r="V2199" t="s">
        <v>9494</v>
      </c>
      <c r="W2199" t="s">
        <v>9495</v>
      </c>
      <c r="AD2199" t="s">
        <v>9496</v>
      </c>
      <c r="AE2199" t="s">
        <v>9497</v>
      </c>
      <c r="AF2199" t="s">
        <v>9498</v>
      </c>
    </row>
    <row r="2200" spans="1:32" hidden="1" x14ac:dyDescent="0.35">
      <c r="A2200">
        <v>645</v>
      </c>
      <c r="B2200" t="s">
        <v>1314</v>
      </c>
      <c r="C2200" t="s">
        <v>72</v>
      </c>
      <c r="D2200" t="s">
        <v>60</v>
      </c>
      <c r="E2200">
        <v>1313</v>
      </c>
      <c r="F2200">
        <v>5</v>
      </c>
      <c r="G2200">
        <v>5</v>
      </c>
      <c r="H2200">
        <v>1</v>
      </c>
      <c r="I2200">
        <v>1</v>
      </c>
      <c r="J2200">
        <v>0.74255669580641104</v>
      </c>
      <c r="K2200">
        <v>0.85431208156122296</v>
      </c>
      <c r="L2200">
        <v>0.79452383998306697</v>
      </c>
      <c r="M2200">
        <v>0.35987261146496802</v>
      </c>
      <c r="N2200">
        <v>1</v>
      </c>
      <c r="O2200">
        <v>0.55796178343949099</v>
      </c>
      <c r="P2200" t="s">
        <v>1315</v>
      </c>
      <c r="Q2200" t="s">
        <v>1316</v>
      </c>
      <c r="R2200" t="s">
        <v>540</v>
      </c>
      <c r="S2200" t="s">
        <v>541</v>
      </c>
      <c r="T2200" t="s">
        <v>1317</v>
      </c>
      <c r="U2200" t="s">
        <v>1318</v>
      </c>
      <c r="V2200" t="s">
        <v>1319</v>
      </c>
      <c r="W2200" t="s">
        <v>1320</v>
      </c>
      <c r="AD2200" t="s">
        <v>1321</v>
      </c>
      <c r="AE2200" t="s">
        <v>1322</v>
      </c>
      <c r="AF2200" t="s">
        <v>1324</v>
      </c>
    </row>
    <row r="2201" spans="1:32" hidden="1" x14ac:dyDescent="0.35">
      <c r="A2201">
        <v>646</v>
      </c>
      <c r="B2201" t="s">
        <v>1314</v>
      </c>
      <c r="C2201" t="s">
        <v>72</v>
      </c>
      <c r="D2201" t="s">
        <v>62</v>
      </c>
      <c r="E2201">
        <v>1349</v>
      </c>
      <c r="F2201">
        <v>5</v>
      </c>
      <c r="G2201">
        <v>5</v>
      </c>
      <c r="H2201">
        <v>1</v>
      </c>
      <c r="I2201">
        <v>1</v>
      </c>
      <c r="J2201">
        <v>0.74255669580641104</v>
      </c>
      <c r="K2201">
        <v>0.85431208156122296</v>
      </c>
      <c r="L2201">
        <v>0.79452383998306697</v>
      </c>
      <c r="M2201">
        <v>0.35987261146496802</v>
      </c>
      <c r="N2201">
        <v>1</v>
      </c>
      <c r="O2201">
        <v>0.55796178343949099</v>
      </c>
      <c r="P2201" t="s">
        <v>1315</v>
      </c>
      <c r="Q2201" t="s">
        <v>1316</v>
      </c>
      <c r="R2201" t="s">
        <v>540</v>
      </c>
      <c r="S2201" t="s">
        <v>541</v>
      </c>
      <c r="T2201" t="s">
        <v>1317</v>
      </c>
      <c r="U2201" t="s">
        <v>1318</v>
      </c>
      <c r="V2201" t="s">
        <v>1319</v>
      </c>
      <c r="W2201" t="s">
        <v>1320</v>
      </c>
      <c r="AD2201" t="s">
        <v>1321</v>
      </c>
      <c r="AE2201" t="s">
        <v>1322</v>
      </c>
      <c r="AF2201" t="s">
        <v>1324</v>
      </c>
    </row>
    <row r="2202" spans="1:32" hidden="1" x14ac:dyDescent="0.35">
      <c r="A2202">
        <v>647</v>
      </c>
      <c r="B2202" t="s">
        <v>1314</v>
      </c>
      <c r="C2202" t="s">
        <v>72</v>
      </c>
      <c r="D2202" t="s">
        <v>34</v>
      </c>
      <c r="E2202">
        <v>1709</v>
      </c>
      <c r="F2202">
        <v>5</v>
      </c>
      <c r="G2202">
        <v>5</v>
      </c>
      <c r="H2202">
        <v>1</v>
      </c>
      <c r="I2202">
        <v>1</v>
      </c>
      <c r="J2202">
        <v>0.74255669580641104</v>
      </c>
      <c r="K2202">
        <v>0.85431208156122296</v>
      </c>
      <c r="L2202">
        <v>0.79452383998306697</v>
      </c>
      <c r="M2202">
        <v>0.35987261146496802</v>
      </c>
      <c r="N2202">
        <v>1</v>
      </c>
      <c r="O2202">
        <v>0.55796178343949099</v>
      </c>
      <c r="P2202" t="s">
        <v>1315</v>
      </c>
      <c r="Q2202" t="s">
        <v>1316</v>
      </c>
      <c r="R2202" t="s">
        <v>540</v>
      </c>
      <c r="S2202" t="s">
        <v>541</v>
      </c>
      <c r="T2202" t="s">
        <v>1317</v>
      </c>
      <c r="U2202" t="s">
        <v>1318</v>
      </c>
      <c r="V2202" t="s">
        <v>1319</v>
      </c>
      <c r="W2202" t="s">
        <v>1320</v>
      </c>
      <c r="AD2202" t="s">
        <v>1321</v>
      </c>
      <c r="AE2202" t="s">
        <v>1322</v>
      </c>
      <c r="AF2202" t="s">
        <v>1325</v>
      </c>
    </row>
    <row r="2203" spans="1:32" hidden="1" x14ac:dyDescent="0.35">
      <c r="A2203">
        <v>648</v>
      </c>
      <c r="B2203" t="s">
        <v>1314</v>
      </c>
      <c r="C2203" t="s">
        <v>72</v>
      </c>
      <c r="D2203" t="s">
        <v>45</v>
      </c>
      <c r="E2203">
        <v>1166</v>
      </c>
      <c r="F2203">
        <v>5</v>
      </c>
      <c r="G2203">
        <v>5</v>
      </c>
      <c r="H2203">
        <v>1</v>
      </c>
      <c r="I2203">
        <v>1</v>
      </c>
      <c r="J2203">
        <v>0.74255669580641104</v>
      </c>
      <c r="K2203">
        <v>0.85431208156122296</v>
      </c>
      <c r="L2203">
        <v>0.79452383998306697</v>
      </c>
      <c r="M2203">
        <v>0.35987261146496802</v>
      </c>
      <c r="N2203">
        <v>1</v>
      </c>
      <c r="O2203">
        <v>0.55796178343949099</v>
      </c>
      <c r="P2203" t="s">
        <v>1315</v>
      </c>
      <c r="Q2203" t="s">
        <v>1316</v>
      </c>
      <c r="R2203" t="s">
        <v>540</v>
      </c>
      <c r="S2203" t="s">
        <v>541</v>
      </c>
      <c r="T2203" t="s">
        <v>1317</v>
      </c>
      <c r="U2203" t="s">
        <v>1318</v>
      </c>
      <c r="V2203" t="s">
        <v>1319</v>
      </c>
      <c r="W2203" t="s">
        <v>1320</v>
      </c>
      <c r="AD2203" t="s">
        <v>1321</v>
      </c>
      <c r="AE2203" t="s">
        <v>1322</v>
      </c>
      <c r="AF2203" t="e">
        <f>------MPTH-----------RHHAIRSILP-------------------PTQNRI---------PRRRSPL-----------------ITHLALPTL---------------GLHHPGLHKNEKRTTTIFVTIAVTLFTAGATLAYFVVHYGLEFLLTIGGEFQVTALSGERYFNFLLALLIIFGVSFEVPLVIAMLNIVGILPYDMVKNKRRLIIVILFIFAAIMTPGQDPYSMLALALALTLLVELSLQFTRINDKRRGRNRPDWLNTDDEHASPLTTPTKPPNPQPTQKQPINN--------PTNFDDII</f>
        <v>#NAME?</v>
      </c>
    </row>
    <row r="2204" spans="1:32" hidden="1" x14ac:dyDescent="0.35">
      <c r="A2204">
        <v>260</v>
      </c>
      <c r="B2204" t="s">
        <v>447</v>
      </c>
      <c r="C2204" t="s">
        <v>72</v>
      </c>
      <c r="D2204" t="s">
        <v>58</v>
      </c>
      <c r="E2204">
        <v>865</v>
      </c>
      <c r="F2204">
        <v>5</v>
      </c>
      <c r="G2204">
        <v>7</v>
      </c>
      <c r="H2204">
        <v>2</v>
      </c>
      <c r="I2204">
        <v>0</v>
      </c>
      <c r="J2204">
        <v>0.75956854558107201</v>
      </c>
      <c r="K2204">
        <v>0.66038135103159501</v>
      </c>
      <c r="L2204">
        <v>0.70651070650947001</v>
      </c>
      <c r="M2204">
        <v>1.73010380622837E-2</v>
      </c>
      <c r="N2204">
        <v>0.98961937716263004</v>
      </c>
      <c r="O2204">
        <v>0.38902619871478</v>
      </c>
      <c r="P2204" t="s">
        <v>448</v>
      </c>
      <c r="Q2204" t="s">
        <v>449</v>
      </c>
      <c r="R2204" t="s">
        <v>371</v>
      </c>
      <c r="S2204" t="s">
        <v>372</v>
      </c>
      <c r="T2204" t="s">
        <v>450</v>
      </c>
      <c r="U2204" t="s">
        <v>451</v>
      </c>
      <c r="V2204" t="s">
        <v>452</v>
      </c>
      <c r="W2204" t="s">
        <v>453</v>
      </c>
      <c r="AD2204" t="s">
        <v>454</v>
      </c>
      <c r="AE2204" t="s">
        <v>455</v>
      </c>
      <c r="AF2204" t="s">
        <v>456</v>
      </c>
    </row>
    <row r="2205" spans="1:32" hidden="1" x14ac:dyDescent="0.35">
      <c r="A2205">
        <v>2090</v>
      </c>
      <c r="B2205" t="s">
        <v>4346</v>
      </c>
      <c r="C2205" t="s">
        <v>72</v>
      </c>
      <c r="D2205" t="s">
        <v>60</v>
      </c>
      <c r="E2205">
        <v>1417</v>
      </c>
      <c r="F2205">
        <v>5</v>
      </c>
      <c r="G2205">
        <v>5</v>
      </c>
      <c r="H2205">
        <v>1</v>
      </c>
      <c r="I2205">
        <v>1</v>
      </c>
      <c r="J2205">
        <v>0.75379217273954102</v>
      </c>
      <c r="K2205">
        <v>0.93652684179159096</v>
      </c>
      <c r="L2205">
        <v>0.83528209389373997</v>
      </c>
      <c r="M2205">
        <v>0.54614220877458397</v>
      </c>
      <c r="N2205">
        <v>1</v>
      </c>
      <c r="O2205">
        <v>0.67004538577912298</v>
      </c>
      <c r="P2205" t="s">
        <v>4347</v>
      </c>
      <c r="Q2205" t="s">
        <v>4348</v>
      </c>
      <c r="R2205" t="s">
        <v>540</v>
      </c>
      <c r="S2205" t="s">
        <v>541</v>
      </c>
      <c r="T2205" t="s">
        <v>4349</v>
      </c>
      <c r="U2205" t="s">
        <v>4350</v>
      </c>
      <c r="V2205" t="s">
        <v>4351</v>
      </c>
      <c r="W2205" t="s">
        <v>4352</v>
      </c>
      <c r="AD2205" t="s">
        <v>1321</v>
      </c>
      <c r="AE2205" t="s">
        <v>4353</v>
      </c>
      <c r="AF2205" t="s">
        <v>4355</v>
      </c>
    </row>
    <row r="2206" spans="1:32" hidden="1" x14ac:dyDescent="0.35">
      <c r="A2206">
        <v>2091</v>
      </c>
      <c r="B2206" t="s">
        <v>4346</v>
      </c>
      <c r="C2206" t="s">
        <v>72</v>
      </c>
      <c r="D2206" t="s">
        <v>62</v>
      </c>
      <c r="E2206">
        <v>1452</v>
      </c>
      <c r="F2206">
        <v>5</v>
      </c>
      <c r="G2206">
        <v>5</v>
      </c>
      <c r="H2206">
        <v>1</v>
      </c>
      <c r="I2206">
        <v>1</v>
      </c>
      <c r="J2206">
        <v>0.75379217273954102</v>
      </c>
      <c r="K2206">
        <v>0.93652684179159096</v>
      </c>
      <c r="L2206">
        <v>0.83528209389373997</v>
      </c>
      <c r="M2206">
        <v>0.54614220877458397</v>
      </c>
      <c r="N2206">
        <v>1</v>
      </c>
      <c r="O2206">
        <v>0.67004538577912298</v>
      </c>
      <c r="P2206" t="s">
        <v>4347</v>
      </c>
      <c r="Q2206" t="s">
        <v>4348</v>
      </c>
      <c r="R2206" t="s">
        <v>540</v>
      </c>
      <c r="S2206" t="s">
        <v>541</v>
      </c>
      <c r="T2206" t="s">
        <v>4349</v>
      </c>
      <c r="U2206" t="s">
        <v>4350</v>
      </c>
      <c r="V2206" t="s">
        <v>4351</v>
      </c>
      <c r="W2206" t="s">
        <v>4352</v>
      </c>
      <c r="AD2206" t="s">
        <v>1321</v>
      </c>
      <c r="AE2206" t="s">
        <v>4353</v>
      </c>
      <c r="AF2206" t="s">
        <v>4355</v>
      </c>
    </row>
    <row r="2207" spans="1:32" hidden="1" x14ac:dyDescent="0.35">
      <c r="A2207">
        <v>2092</v>
      </c>
      <c r="B2207" t="s">
        <v>4346</v>
      </c>
      <c r="C2207" t="s">
        <v>72</v>
      </c>
      <c r="D2207" t="s">
        <v>34</v>
      </c>
      <c r="E2207">
        <v>1845</v>
      </c>
      <c r="F2207">
        <v>5</v>
      </c>
      <c r="G2207">
        <v>5</v>
      </c>
      <c r="H2207">
        <v>1</v>
      </c>
      <c r="I2207">
        <v>1</v>
      </c>
      <c r="J2207">
        <v>0.75379217273954102</v>
      </c>
      <c r="K2207">
        <v>0.93652684179159096</v>
      </c>
      <c r="L2207">
        <v>0.83528209389373997</v>
      </c>
      <c r="M2207">
        <v>0.54614220877458397</v>
      </c>
      <c r="N2207">
        <v>1</v>
      </c>
      <c r="O2207">
        <v>0.67004538577912298</v>
      </c>
      <c r="P2207" t="s">
        <v>4347</v>
      </c>
      <c r="Q2207" t="s">
        <v>4348</v>
      </c>
      <c r="R2207" t="s">
        <v>540</v>
      </c>
      <c r="S2207" t="s">
        <v>541</v>
      </c>
      <c r="T2207" t="s">
        <v>4349</v>
      </c>
      <c r="U2207" t="s">
        <v>4350</v>
      </c>
      <c r="V2207" t="s">
        <v>4351</v>
      </c>
      <c r="W2207" t="s">
        <v>4352</v>
      </c>
      <c r="AD2207" t="s">
        <v>1321</v>
      </c>
      <c r="AE2207" t="s">
        <v>4353</v>
      </c>
      <c r="AF2207" t="s">
        <v>4356</v>
      </c>
    </row>
    <row r="2208" spans="1:32" hidden="1" x14ac:dyDescent="0.35">
      <c r="A2208">
        <v>2093</v>
      </c>
      <c r="B2208" t="s">
        <v>4346</v>
      </c>
      <c r="C2208" t="s">
        <v>72</v>
      </c>
      <c r="D2208" t="s">
        <v>45</v>
      </c>
      <c r="E2208">
        <v>1028</v>
      </c>
      <c r="F2208">
        <v>5</v>
      </c>
      <c r="G2208">
        <v>5</v>
      </c>
      <c r="H2208">
        <v>1</v>
      </c>
      <c r="I2208">
        <v>1</v>
      </c>
      <c r="J2208">
        <v>0.75379217273954102</v>
      </c>
      <c r="K2208">
        <v>0.93652684179159096</v>
      </c>
      <c r="L2208">
        <v>0.83528209389373997</v>
      </c>
      <c r="M2208">
        <v>0.54614220877458397</v>
      </c>
      <c r="N2208">
        <v>1</v>
      </c>
      <c r="O2208">
        <v>0.67004538577912298</v>
      </c>
      <c r="P2208" t="s">
        <v>4347</v>
      </c>
      <c r="Q2208" t="s">
        <v>4348</v>
      </c>
      <c r="R2208" t="s">
        <v>540</v>
      </c>
      <c r="S2208" t="s">
        <v>541</v>
      </c>
      <c r="T2208" t="s">
        <v>4349</v>
      </c>
      <c r="U2208" t="s">
        <v>4350</v>
      </c>
      <c r="V2208" t="s">
        <v>4351</v>
      </c>
      <c r="W2208" t="s">
        <v>4352</v>
      </c>
      <c r="AD2208" t="s">
        <v>1321</v>
      </c>
      <c r="AE2208" t="s">
        <v>4353</v>
      </c>
      <c r="AF2208" t="s">
        <v>4356</v>
      </c>
    </row>
    <row r="2209" spans="1:32" hidden="1" x14ac:dyDescent="0.35">
      <c r="A2209">
        <v>11761</v>
      </c>
      <c r="B2209" t="s">
        <v>24159</v>
      </c>
      <c r="C2209" t="s">
        <v>33</v>
      </c>
      <c r="D2209" t="s">
        <v>58</v>
      </c>
      <c r="E2209">
        <v>748</v>
      </c>
      <c r="F2209">
        <v>1</v>
      </c>
      <c r="G2209">
        <v>1</v>
      </c>
      <c r="H2209">
        <v>1</v>
      </c>
      <c r="I2209">
        <v>0</v>
      </c>
      <c r="J2209">
        <v>1</v>
      </c>
      <c r="K2209">
        <v>1</v>
      </c>
      <c r="L2209">
        <v>1</v>
      </c>
      <c r="M2209">
        <v>0</v>
      </c>
      <c r="N2209">
        <v>0</v>
      </c>
      <c r="O2209">
        <v>0</v>
      </c>
      <c r="P2209" t="s">
        <v>448</v>
      </c>
      <c r="Q2209" t="s">
        <v>449</v>
      </c>
      <c r="R2209" t="s">
        <v>371</v>
      </c>
      <c r="S2209" t="s">
        <v>372</v>
      </c>
      <c r="V2209" t="s">
        <v>15086</v>
      </c>
      <c r="W2209" t="s">
        <v>15087</v>
      </c>
      <c r="AF2209" t="s">
        <v>24160</v>
      </c>
    </row>
    <row r="2210" spans="1:32" hidden="1" x14ac:dyDescent="0.35">
      <c r="A2210">
        <v>2400</v>
      </c>
      <c r="B2210" t="s">
        <v>4985</v>
      </c>
      <c r="C2210" t="s">
        <v>72</v>
      </c>
      <c r="D2210" t="s">
        <v>60</v>
      </c>
      <c r="E2210">
        <v>427</v>
      </c>
      <c r="F2210">
        <v>5</v>
      </c>
      <c r="G2210">
        <v>5</v>
      </c>
      <c r="H2210">
        <v>1</v>
      </c>
      <c r="I2210">
        <v>1</v>
      </c>
      <c r="J2210">
        <v>0.90386363636363598</v>
      </c>
      <c r="K2210">
        <v>1</v>
      </c>
      <c r="L2210">
        <v>0.949504595917393</v>
      </c>
      <c r="M2210">
        <v>0.79090909090909101</v>
      </c>
      <c r="N2210">
        <v>1</v>
      </c>
      <c r="O2210">
        <v>0.85522727272727295</v>
      </c>
      <c r="P2210" t="s">
        <v>4986</v>
      </c>
      <c r="Q2210" t="s">
        <v>4987</v>
      </c>
      <c r="R2210" t="s">
        <v>540</v>
      </c>
      <c r="S2210" t="s">
        <v>541</v>
      </c>
      <c r="T2210" t="s">
        <v>4988</v>
      </c>
      <c r="U2210" t="s">
        <v>4989</v>
      </c>
      <c r="V2210" t="s">
        <v>4990</v>
      </c>
      <c r="W2210" t="s">
        <v>4991</v>
      </c>
      <c r="AD2210" t="s">
        <v>1079</v>
      </c>
      <c r="AE2210" t="s">
        <v>1080</v>
      </c>
      <c r="AF2210" t="s">
        <v>4993</v>
      </c>
    </row>
    <row r="2211" spans="1:32" hidden="1" x14ac:dyDescent="0.35">
      <c r="A2211">
        <v>2401</v>
      </c>
      <c r="B2211" t="s">
        <v>4985</v>
      </c>
      <c r="C2211" t="s">
        <v>72</v>
      </c>
      <c r="D2211" t="s">
        <v>62</v>
      </c>
      <c r="E2211">
        <v>508</v>
      </c>
      <c r="F2211">
        <v>5</v>
      </c>
      <c r="G2211">
        <v>5</v>
      </c>
      <c r="H2211">
        <v>1</v>
      </c>
      <c r="I2211">
        <v>1</v>
      </c>
      <c r="J2211">
        <v>0.90386363636363598</v>
      </c>
      <c r="K2211">
        <v>1</v>
      </c>
      <c r="L2211">
        <v>0.949504595917393</v>
      </c>
      <c r="M2211">
        <v>0.79090909090909101</v>
      </c>
      <c r="N2211">
        <v>1</v>
      </c>
      <c r="O2211">
        <v>0.85522727272727295</v>
      </c>
      <c r="P2211" t="s">
        <v>4986</v>
      </c>
      <c r="Q2211" t="s">
        <v>4987</v>
      </c>
      <c r="R2211" t="s">
        <v>540</v>
      </c>
      <c r="S2211" t="s">
        <v>541</v>
      </c>
      <c r="T2211" t="s">
        <v>4988</v>
      </c>
      <c r="U2211" t="s">
        <v>4989</v>
      </c>
      <c r="V2211" t="s">
        <v>4990</v>
      </c>
      <c r="W2211" t="s">
        <v>4991</v>
      </c>
      <c r="AD2211" t="s">
        <v>1079</v>
      </c>
      <c r="AE2211" t="s">
        <v>1080</v>
      </c>
      <c r="AF2211" t="s">
        <v>4994</v>
      </c>
    </row>
    <row r="2212" spans="1:32" hidden="1" x14ac:dyDescent="0.35">
      <c r="A2212">
        <v>2402</v>
      </c>
      <c r="B2212" t="s">
        <v>4985</v>
      </c>
      <c r="C2212" t="s">
        <v>72</v>
      </c>
      <c r="D2212" t="s">
        <v>34</v>
      </c>
      <c r="E2212">
        <v>663</v>
      </c>
      <c r="F2212">
        <v>5</v>
      </c>
      <c r="G2212">
        <v>5</v>
      </c>
      <c r="H2212">
        <v>1</v>
      </c>
      <c r="I2212">
        <v>1</v>
      </c>
      <c r="J2212">
        <v>0.90386363636363598</v>
      </c>
      <c r="K2212">
        <v>1</v>
      </c>
      <c r="L2212">
        <v>0.949504595917393</v>
      </c>
      <c r="M2212">
        <v>0.79090909090909101</v>
      </c>
      <c r="N2212">
        <v>1</v>
      </c>
      <c r="O2212">
        <v>0.85522727272727295</v>
      </c>
      <c r="P2212" t="s">
        <v>4986</v>
      </c>
      <c r="Q2212" t="s">
        <v>4987</v>
      </c>
      <c r="R2212" t="s">
        <v>540</v>
      </c>
      <c r="S2212" t="s">
        <v>541</v>
      </c>
      <c r="T2212" t="s">
        <v>4988</v>
      </c>
      <c r="U2212" t="s">
        <v>4989</v>
      </c>
      <c r="V2212" t="s">
        <v>4990</v>
      </c>
      <c r="W2212" t="s">
        <v>4991</v>
      </c>
      <c r="AD2212" t="s">
        <v>1079</v>
      </c>
      <c r="AE2212" t="s">
        <v>1080</v>
      </c>
      <c r="AF2212" t="s">
        <v>4995</v>
      </c>
    </row>
    <row r="2213" spans="1:32" hidden="1" x14ac:dyDescent="0.35">
      <c r="A2213">
        <v>2403</v>
      </c>
      <c r="B2213" t="s">
        <v>4985</v>
      </c>
      <c r="C2213" t="s">
        <v>72</v>
      </c>
      <c r="D2213" t="s">
        <v>45</v>
      </c>
      <c r="E2213">
        <v>1929</v>
      </c>
      <c r="F2213">
        <v>5</v>
      </c>
      <c r="G2213">
        <v>5</v>
      </c>
      <c r="H2213">
        <v>1</v>
      </c>
      <c r="I2213">
        <v>1</v>
      </c>
      <c r="J2213">
        <v>0.90386363636363598</v>
      </c>
      <c r="K2213">
        <v>1</v>
      </c>
      <c r="L2213">
        <v>0.949504595917393</v>
      </c>
      <c r="M2213">
        <v>0.79090909090909101</v>
      </c>
      <c r="N2213">
        <v>1</v>
      </c>
      <c r="O2213">
        <v>0.85522727272727295</v>
      </c>
      <c r="P2213" t="s">
        <v>4986</v>
      </c>
      <c r="Q2213" t="s">
        <v>4987</v>
      </c>
      <c r="R2213" t="s">
        <v>540</v>
      </c>
      <c r="S2213" t="s">
        <v>541</v>
      </c>
      <c r="T2213" t="s">
        <v>4988</v>
      </c>
      <c r="U2213" t="s">
        <v>4989</v>
      </c>
      <c r="V2213" t="s">
        <v>4990</v>
      </c>
      <c r="W2213" t="s">
        <v>4991</v>
      </c>
      <c r="AD2213" t="s">
        <v>1079</v>
      </c>
      <c r="AE2213" t="s">
        <v>1080</v>
      </c>
      <c r="AF2213" t="s">
        <v>4995</v>
      </c>
    </row>
    <row r="2214" spans="1:32" hidden="1" x14ac:dyDescent="0.35">
      <c r="A2214">
        <v>11163</v>
      </c>
      <c r="B2214" t="s">
        <v>22649</v>
      </c>
      <c r="C2214" t="s">
        <v>33</v>
      </c>
      <c r="D2214" t="s">
        <v>58</v>
      </c>
      <c r="E2214">
        <v>747</v>
      </c>
      <c r="F2214">
        <v>1</v>
      </c>
      <c r="G2214">
        <v>1</v>
      </c>
      <c r="H2214">
        <v>1</v>
      </c>
      <c r="I2214">
        <v>0</v>
      </c>
      <c r="J2214">
        <v>1</v>
      </c>
      <c r="K2214">
        <v>1</v>
      </c>
      <c r="L2214">
        <v>1</v>
      </c>
      <c r="M2214">
        <v>0</v>
      </c>
      <c r="N2214">
        <v>0</v>
      </c>
      <c r="O2214">
        <v>0</v>
      </c>
      <c r="P2214" t="s">
        <v>1189</v>
      </c>
      <c r="Q2214" t="s">
        <v>1190</v>
      </c>
      <c r="R2214" t="s">
        <v>371</v>
      </c>
      <c r="S2214" t="s">
        <v>372</v>
      </c>
      <c r="T2214" t="s">
        <v>14181</v>
      </c>
      <c r="U2214" t="s">
        <v>14182</v>
      </c>
      <c r="V2214" t="s">
        <v>14183</v>
      </c>
      <c r="W2214" t="s">
        <v>14184</v>
      </c>
      <c r="AD2214" t="s">
        <v>454</v>
      </c>
      <c r="AE2214" t="s">
        <v>14185</v>
      </c>
      <c r="AF2214" t="s">
        <v>22650</v>
      </c>
    </row>
    <row r="2215" spans="1:32" hidden="1" x14ac:dyDescent="0.35">
      <c r="A2215">
        <v>2615</v>
      </c>
      <c r="B2215" t="s">
        <v>5409</v>
      </c>
      <c r="C2215" t="s">
        <v>72</v>
      </c>
      <c r="D2215" t="s">
        <v>60</v>
      </c>
      <c r="E2215">
        <v>351</v>
      </c>
      <c r="F2215">
        <v>5</v>
      </c>
      <c r="G2215">
        <v>5</v>
      </c>
      <c r="H2215">
        <v>1</v>
      </c>
      <c r="I2215">
        <v>1</v>
      </c>
      <c r="J2215">
        <v>0.74366197183098603</v>
      </c>
      <c r="K2215">
        <v>0.93647725508461499</v>
      </c>
      <c r="L2215">
        <v>0.82900572873307199</v>
      </c>
      <c r="M2215">
        <v>0.52631578947368396</v>
      </c>
      <c r="N2215">
        <v>1</v>
      </c>
      <c r="O2215">
        <v>0.66403508771929798</v>
      </c>
      <c r="P2215" t="s">
        <v>5410</v>
      </c>
      <c r="Q2215" t="s">
        <v>5411</v>
      </c>
      <c r="R2215" t="s">
        <v>540</v>
      </c>
      <c r="S2215" t="s">
        <v>541</v>
      </c>
      <c r="T2215" t="s">
        <v>5412</v>
      </c>
      <c r="U2215" t="s">
        <v>5413</v>
      </c>
      <c r="V2215" t="s">
        <v>5414</v>
      </c>
      <c r="W2215" t="s">
        <v>5415</v>
      </c>
      <c r="AD2215" t="s">
        <v>1079</v>
      </c>
      <c r="AE2215" t="s">
        <v>1080</v>
      </c>
      <c r="AF2215" t="s">
        <v>5417</v>
      </c>
    </row>
    <row r="2216" spans="1:32" hidden="1" x14ac:dyDescent="0.35">
      <c r="A2216">
        <v>2616</v>
      </c>
      <c r="B2216" t="s">
        <v>5409</v>
      </c>
      <c r="C2216" t="s">
        <v>72</v>
      </c>
      <c r="D2216" t="s">
        <v>62</v>
      </c>
      <c r="E2216">
        <v>431</v>
      </c>
      <c r="F2216">
        <v>5</v>
      </c>
      <c r="G2216">
        <v>5</v>
      </c>
      <c r="H2216">
        <v>1</v>
      </c>
      <c r="I2216">
        <v>1</v>
      </c>
      <c r="J2216">
        <v>0.74366197183098603</v>
      </c>
      <c r="K2216">
        <v>0.93647725508461499</v>
      </c>
      <c r="L2216">
        <v>0.82900572873307199</v>
      </c>
      <c r="M2216">
        <v>0.52631578947368396</v>
      </c>
      <c r="N2216">
        <v>1</v>
      </c>
      <c r="O2216">
        <v>0.66403508771929798</v>
      </c>
      <c r="P2216" t="s">
        <v>5410</v>
      </c>
      <c r="Q2216" t="s">
        <v>5411</v>
      </c>
      <c r="R2216" t="s">
        <v>540</v>
      </c>
      <c r="S2216" t="s">
        <v>541</v>
      </c>
      <c r="T2216" t="s">
        <v>5412</v>
      </c>
      <c r="U2216" t="s">
        <v>5413</v>
      </c>
      <c r="V2216" t="s">
        <v>5414</v>
      </c>
      <c r="W2216" t="s">
        <v>5415</v>
      </c>
      <c r="AD2216" t="s">
        <v>1079</v>
      </c>
      <c r="AE2216" t="s">
        <v>1080</v>
      </c>
      <c r="AF2216" t="s">
        <v>5417</v>
      </c>
    </row>
    <row r="2217" spans="1:32" hidden="1" x14ac:dyDescent="0.35">
      <c r="A2217">
        <v>2617</v>
      </c>
      <c r="B2217" t="s">
        <v>5409</v>
      </c>
      <c r="C2217" t="s">
        <v>72</v>
      </c>
      <c r="D2217" t="s">
        <v>34</v>
      </c>
      <c r="E2217">
        <v>818</v>
      </c>
      <c r="F2217">
        <v>5</v>
      </c>
      <c r="G2217">
        <v>5</v>
      </c>
      <c r="H2217">
        <v>1</v>
      </c>
      <c r="I2217">
        <v>1</v>
      </c>
      <c r="J2217">
        <v>0.74366197183098603</v>
      </c>
      <c r="K2217">
        <v>0.93647725508461499</v>
      </c>
      <c r="L2217">
        <v>0.82900572873307199</v>
      </c>
      <c r="M2217">
        <v>0.52631578947368396</v>
      </c>
      <c r="N2217">
        <v>1</v>
      </c>
      <c r="O2217">
        <v>0.66403508771929798</v>
      </c>
      <c r="P2217" t="s">
        <v>5410</v>
      </c>
      <c r="Q2217" t="s">
        <v>5411</v>
      </c>
      <c r="R2217" t="s">
        <v>540</v>
      </c>
      <c r="S2217" t="s">
        <v>541</v>
      </c>
      <c r="T2217" t="s">
        <v>5412</v>
      </c>
      <c r="U2217" t="s">
        <v>5413</v>
      </c>
      <c r="V2217" t="s">
        <v>5414</v>
      </c>
      <c r="W2217" t="s">
        <v>5415</v>
      </c>
      <c r="AD2217" t="s">
        <v>1079</v>
      </c>
      <c r="AE2217" t="s">
        <v>1080</v>
      </c>
      <c r="AF2217" t="s">
        <v>5418</v>
      </c>
    </row>
    <row r="2218" spans="1:32" hidden="1" x14ac:dyDescent="0.35">
      <c r="A2218">
        <v>2618</v>
      </c>
      <c r="B2218" t="s">
        <v>5409</v>
      </c>
      <c r="C2218" t="s">
        <v>72</v>
      </c>
      <c r="D2218" t="s">
        <v>45</v>
      </c>
      <c r="E2218">
        <v>2075</v>
      </c>
      <c r="F2218">
        <v>5</v>
      </c>
      <c r="G2218">
        <v>5</v>
      </c>
      <c r="H2218">
        <v>1</v>
      </c>
      <c r="I2218">
        <v>1</v>
      </c>
      <c r="J2218">
        <v>0.74366197183098603</v>
      </c>
      <c r="K2218">
        <v>0.93647725508461499</v>
      </c>
      <c r="L2218">
        <v>0.82900572873307199</v>
      </c>
      <c r="M2218">
        <v>0.52631578947368396</v>
      </c>
      <c r="N2218">
        <v>1</v>
      </c>
      <c r="O2218">
        <v>0.66403508771929798</v>
      </c>
      <c r="P2218" t="s">
        <v>5410</v>
      </c>
      <c r="Q2218" t="s">
        <v>5411</v>
      </c>
      <c r="R2218" t="s">
        <v>540</v>
      </c>
      <c r="S2218" t="s">
        <v>541</v>
      </c>
      <c r="T2218" t="s">
        <v>5412</v>
      </c>
      <c r="U2218" t="s">
        <v>5413</v>
      </c>
      <c r="V2218" t="s">
        <v>5414</v>
      </c>
      <c r="W2218" t="s">
        <v>5415</v>
      </c>
      <c r="AD2218" t="s">
        <v>1079</v>
      </c>
      <c r="AE2218" t="s">
        <v>1080</v>
      </c>
      <c r="AF2218" t="s">
        <v>5419</v>
      </c>
    </row>
    <row r="2219" spans="1:32" hidden="1" x14ac:dyDescent="0.35">
      <c r="A2219">
        <v>3919</v>
      </c>
      <c r="B2219" t="s">
        <v>8076</v>
      </c>
      <c r="C2219" t="s">
        <v>72</v>
      </c>
      <c r="D2219" t="s">
        <v>58</v>
      </c>
      <c r="E2219">
        <v>1677</v>
      </c>
      <c r="F2219">
        <v>5</v>
      </c>
      <c r="G2219">
        <v>5</v>
      </c>
      <c r="H2219">
        <v>1</v>
      </c>
      <c r="I2219">
        <v>1</v>
      </c>
      <c r="J2219">
        <v>0.830747942611609</v>
      </c>
      <c r="K2219">
        <v>0.93832511984981004</v>
      </c>
      <c r="L2219">
        <v>0.88126565189053196</v>
      </c>
      <c r="M2219">
        <v>0.61758691206544003</v>
      </c>
      <c r="N2219">
        <v>0.99182004089979503</v>
      </c>
      <c r="O2219">
        <v>0.74233128834355799</v>
      </c>
      <c r="P2219" t="s">
        <v>8077</v>
      </c>
      <c r="Q2219" t="s">
        <v>370</v>
      </c>
      <c r="R2219" t="s">
        <v>371</v>
      </c>
      <c r="S2219" t="s">
        <v>372</v>
      </c>
      <c r="T2219" t="s">
        <v>8078</v>
      </c>
      <c r="U2219" t="s">
        <v>8079</v>
      </c>
      <c r="V2219" t="s">
        <v>8080</v>
      </c>
      <c r="W2219" t="s">
        <v>8081</v>
      </c>
      <c r="AD2219" t="s">
        <v>8082</v>
      </c>
      <c r="AE2219" t="s">
        <v>8083</v>
      </c>
      <c r="AF2219" t="s">
        <v>8084</v>
      </c>
    </row>
    <row r="2220" spans="1:32" hidden="1" x14ac:dyDescent="0.35">
      <c r="A2220">
        <v>3125</v>
      </c>
      <c r="B2220" t="s">
        <v>6432</v>
      </c>
      <c r="C2220" t="s">
        <v>72</v>
      </c>
      <c r="D2220" t="s">
        <v>60</v>
      </c>
      <c r="E2220">
        <v>588</v>
      </c>
      <c r="F2220">
        <v>5</v>
      </c>
      <c r="G2220">
        <v>5</v>
      </c>
      <c r="H2220">
        <v>1</v>
      </c>
      <c r="I2220">
        <v>1</v>
      </c>
      <c r="J2220">
        <v>0.86299100804543305</v>
      </c>
      <c r="K2220">
        <v>0.96670179797318301</v>
      </c>
      <c r="L2220">
        <v>0.91190713147912095</v>
      </c>
      <c r="M2220">
        <v>0.70857142857142896</v>
      </c>
      <c r="N2220">
        <v>1</v>
      </c>
      <c r="O2220">
        <v>0.80914285714285705</v>
      </c>
      <c r="P2220" t="s">
        <v>6433</v>
      </c>
      <c r="Q2220" t="s">
        <v>6434</v>
      </c>
      <c r="R2220" t="s">
        <v>540</v>
      </c>
      <c r="S2220" t="s">
        <v>541</v>
      </c>
      <c r="T2220" t="s">
        <v>6435</v>
      </c>
      <c r="U2220" t="s">
        <v>6436</v>
      </c>
      <c r="V2220" t="s">
        <v>6437</v>
      </c>
      <c r="W2220" t="s">
        <v>6438</v>
      </c>
      <c r="AD2220" t="s">
        <v>6439</v>
      </c>
      <c r="AE2220" t="s">
        <v>6440</v>
      </c>
      <c r="AF2220" t="s">
        <v>6442</v>
      </c>
    </row>
    <row r="2221" spans="1:32" hidden="1" x14ac:dyDescent="0.35">
      <c r="A2221">
        <v>3126</v>
      </c>
      <c r="B2221" t="s">
        <v>6432</v>
      </c>
      <c r="C2221" t="s">
        <v>72</v>
      </c>
      <c r="D2221" t="s">
        <v>62</v>
      </c>
      <c r="E2221">
        <v>672</v>
      </c>
      <c r="F2221">
        <v>5</v>
      </c>
      <c r="G2221">
        <v>5</v>
      </c>
      <c r="H2221">
        <v>1</v>
      </c>
      <c r="I2221">
        <v>1</v>
      </c>
      <c r="J2221">
        <v>0.86299100804543305</v>
      </c>
      <c r="K2221">
        <v>0.96670179797318301</v>
      </c>
      <c r="L2221">
        <v>0.91190713147912095</v>
      </c>
      <c r="M2221">
        <v>0.70857142857142896</v>
      </c>
      <c r="N2221">
        <v>1</v>
      </c>
      <c r="O2221">
        <v>0.80914285714285705</v>
      </c>
      <c r="P2221" t="s">
        <v>6433</v>
      </c>
      <c r="Q2221" t="s">
        <v>6434</v>
      </c>
      <c r="R2221" t="s">
        <v>540</v>
      </c>
      <c r="S2221" t="s">
        <v>541</v>
      </c>
      <c r="T2221" t="s">
        <v>6435</v>
      </c>
      <c r="U2221" t="s">
        <v>6436</v>
      </c>
      <c r="V2221" t="s">
        <v>6437</v>
      </c>
      <c r="W2221" t="s">
        <v>6438</v>
      </c>
      <c r="AD2221" t="s">
        <v>6439</v>
      </c>
      <c r="AE2221" t="s">
        <v>6440</v>
      </c>
      <c r="AF2221" t="s">
        <v>6443</v>
      </c>
    </row>
    <row r="2222" spans="1:32" hidden="1" x14ac:dyDescent="0.35">
      <c r="A2222">
        <v>3127</v>
      </c>
      <c r="B2222" t="s">
        <v>6432</v>
      </c>
      <c r="C2222" t="s">
        <v>72</v>
      </c>
      <c r="D2222" t="s">
        <v>34</v>
      </c>
      <c r="E2222">
        <v>504</v>
      </c>
      <c r="F2222">
        <v>5</v>
      </c>
      <c r="G2222">
        <v>5</v>
      </c>
      <c r="H2222">
        <v>1</v>
      </c>
      <c r="I2222">
        <v>1</v>
      </c>
      <c r="J2222">
        <v>0.86299100804543305</v>
      </c>
      <c r="K2222">
        <v>0.96670179797318301</v>
      </c>
      <c r="L2222">
        <v>0.91190713147912095</v>
      </c>
      <c r="M2222">
        <v>0.70857142857142896</v>
      </c>
      <c r="N2222">
        <v>1</v>
      </c>
      <c r="O2222">
        <v>0.80914285714285705</v>
      </c>
      <c r="P2222" t="s">
        <v>6433</v>
      </c>
      <c r="Q2222" t="s">
        <v>6434</v>
      </c>
      <c r="R2222" t="s">
        <v>540</v>
      </c>
      <c r="S2222" t="s">
        <v>541</v>
      </c>
      <c r="T2222" t="s">
        <v>6435</v>
      </c>
      <c r="U2222" t="s">
        <v>6436</v>
      </c>
      <c r="V2222" t="s">
        <v>6437</v>
      </c>
      <c r="W2222" t="s">
        <v>6438</v>
      </c>
      <c r="AD2222" t="s">
        <v>6439</v>
      </c>
      <c r="AE2222" t="s">
        <v>6440</v>
      </c>
      <c r="AF2222" t="s">
        <v>6444</v>
      </c>
    </row>
    <row r="2223" spans="1:32" hidden="1" x14ac:dyDescent="0.35">
      <c r="A2223">
        <v>3128</v>
      </c>
      <c r="B2223" t="s">
        <v>6432</v>
      </c>
      <c r="C2223" t="s">
        <v>72</v>
      </c>
      <c r="D2223" t="s">
        <v>45</v>
      </c>
      <c r="E2223">
        <v>1769</v>
      </c>
      <c r="F2223">
        <v>5</v>
      </c>
      <c r="G2223">
        <v>5</v>
      </c>
      <c r="H2223">
        <v>1</v>
      </c>
      <c r="I2223">
        <v>1</v>
      </c>
      <c r="J2223">
        <v>0.86299100804543305</v>
      </c>
      <c r="K2223">
        <v>0.96670179797318301</v>
      </c>
      <c r="L2223">
        <v>0.91190713147912095</v>
      </c>
      <c r="M2223">
        <v>0.70857142857142896</v>
      </c>
      <c r="N2223">
        <v>1</v>
      </c>
      <c r="O2223">
        <v>0.80914285714285705</v>
      </c>
      <c r="P2223" t="s">
        <v>6433</v>
      </c>
      <c r="Q2223" t="s">
        <v>6434</v>
      </c>
      <c r="R2223" t="s">
        <v>540</v>
      </c>
      <c r="S2223" t="s">
        <v>541</v>
      </c>
      <c r="T2223" t="s">
        <v>6435</v>
      </c>
      <c r="U2223" t="s">
        <v>6436</v>
      </c>
      <c r="V2223" t="s">
        <v>6437</v>
      </c>
      <c r="W2223" t="s">
        <v>6438</v>
      </c>
      <c r="AD2223" t="s">
        <v>6439</v>
      </c>
      <c r="AE2223" t="s">
        <v>6440</v>
      </c>
      <c r="AF2223" t="s">
        <v>6444</v>
      </c>
    </row>
    <row r="2224" spans="1:32" hidden="1" x14ac:dyDescent="0.35">
      <c r="A2224">
        <v>3079</v>
      </c>
      <c r="B2224" t="s">
        <v>6357</v>
      </c>
      <c r="C2224" t="s">
        <v>72</v>
      </c>
      <c r="D2224" t="s">
        <v>58</v>
      </c>
      <c r="E2224">
        <v>1119</v>
      </c>
      <c r="F2224">
        <v>5</v>
      </c>
      <c r="G2224">
        <v>5</v>
      </c>
      <c r="H2224">
        <v>1</v>
      </c>
      <c r="I2224">
        <v>1</v>
      </c>
      <c r="J2224">
        <v>0.75262762762762803</v>
      </c>
      <c r="K2224">
        <v>0.88478252438480498</v>
      </c>
      <c r="L2224">
        <v>0.81337198438117797</v>
      </c>
      <c r="M2224">
        <v>0.49685534591195002</v>
      </c>
      <c r="N2224">
        <v>1</v>
      </c>
      <c r="O2224">
        <v>0.64249775381850804</v>
      </c>
      <c r="P2224" t="s">
        <v>6358</v>
      </c>
      <c r="Q2224" t="s">
        <v>6359</v>
      </c>
      <c r="R2224" t="s">
        <v>1474</v>
      </c>
      <c r="S2224" t="s">
        <v>1475</v>
      </c>
      <c r="T2224" t="s">
        <v>6360</v>
      </c>
      <c r="U2224" t="s">
        <v>6361</v>
      </c>
      <c r="V2224" t="s">
        <v>6362</v>
      </c>
      <c r="W2224" t="s">
        <v>6363</v>
      </c>
      <c r="AD2224" t="s">
        <v>1480</v>
      </c>
      <c r="AE2224" t="s">
        <v>6364</v>
      </c>
      <c r="AF2224" t="s">
        <v>6365</v>
      </c>
    </row>
    <row r="2225" spans="1:32" hidden="1" x14ac:dyDescent="0.35">
      <c r="A2225">
        <v>3710</v>
      </c>
      <c r="B2225" t="s">
        <v>7648</v>
      </c>
      <c r="C2225" t="s">
        <v>72</v>
      </c>
      <c r="D2225" t="s">
        <v>60</v>
      </c>
      <c r="E2225">
        <v>1416</v>
      </c>
      <c r="F2225">
        <v>5</v>
      </c>
      <c r="G2225">
        <v>5</v>
      </c>
      <c r="H2225">
        <v>1</v>
      </c>
      <c r="I2225">
        <v>1</v>
      </c>
      <c r="J2225">
        <v>0.77157045313469896</v>
      </c>
      <c r="K2225">
        <v>0.96685659767312604</v>
      </c>
      <c r="L2225">
        <v>0.85824479415028798</v>
      </c>
      <c r="M2225">
        <v>0.58868894601542399</v>
      </c>
      <c r="N2225">
        <v>0.99742930591259604</v>
      </c>
      <c r="O2225">
        <v>0.68791773778920295</v>
      </c>
      <c r="P2225" t="s">
        <v>7649</v>
      </c>
      <c r="Q2225" t="s">
        <v>7650</v>
      </c>
      <c r="R2225" t="s">
        <v>540</v>
      </c>
      <c r="S2225" t="s">
        <v>541</v>
      </c>
      <c r="T2225" t="s">
        <v>7651</v>
      </c>
      <c r="U2225" t="s">
        <v>7652</v>
      </c>
      <c r="V2225" t="s">
        <v>7653</v>
      </c>
      <c r="W2225" t="s">
        <v>7654</v>
      </c>
      <c r="AD2225" t="s">
        <v>1321</v>
      </c>
      <c r="AE2225" t="s">
        <v>4353</v>
      </c>
      <c r="AF2225" t="s">
        <v>7656</v>
      </c>
    </row>
    <row r="2226" spans="1:32" hidden="1" x14ac:dyDescent="0.35">
      <c r="A2226">
        <v>3711</v>
      </c>
      <c r="B2226" t="s">
        <v>7648</v>
      </c>
      <c r="C2226" t="s">
        <v>72</v>
      </c>
      <c r="D2226" t="s">
        <v>62</v>
      </c>
      <c r="E2226">
        <v>1451</v>
      </c>
      <c r="F2226">
        <v>5</v>
      </c>
      <c r="G2226">
        <v>5</v>
      </c>
      <c r="H2226">
        <v>1</v>
      </c>
      <c r="I2226">
        <v>1</v>
      </c>
      <c r="J2226">
        <v>0.77157045313469896</v>
      </c>
      <c r="K2226">
        <v>0.96685659767312604</v>
      </c>
      <c r="L2226">
        <v>0.85824479415028798</v>
      </c>
      <c r="M2226">
        <v>0.58868894601542399</v>
      </c>
      <c r="N2226">
        <v>0.99742930591259604</v>
      </c>
      <c r="O2226">
        <v>0.68791773778920295</v>
      </c>
      <c r="P2226" t="s">
        <v>7649</v>
      </c>
      <c r="Q2226" t="s">
        <v>7650</v>
      </c>
      <c r="R2226" t="s">
        <v>540</v>
      </c>
      <c r="S2226" t="s">
        <v>541</v>
      </c>
      <c r="T2226" t="s">
        <v>7651</v>
      </c>
      <c r="U2226" t="s">
        <v>7652</v>
      </c>
      <c r="V2226" t="s">
        <v>7653</v>
      </c>
      <c r="W2226" t="s">
        <v>7654</v>
      </c>
      <c r="AD2226" t="s">
        <v>1321</v>
      </c>
      <c r="AE2226" t="s">
        <v>4353</v>
      </c>
      <c r="AF2226" t="s">
        <v>7657</v>
      </c>
    </row>
    <row r="2227" spans="1:32" hidden="1" x14ac:dyDescent="0.35">
      <c r="A2227">
        <v>3712</v>
      </c>
      <c r="B2227" t="s">
        <v>7648</v>
      </c>
      <c r="C2227" t="s">
        <v>72</v>
      </c>
      <c r="D2227" t="s">
        <v>34</v>
      </c>
      <c r="E2227">
        <v>1844</v>
      </c>
      <c r="F2227">
        <v>5</v>
      </c>
      <c r="G2227">
        <v>5</v>
      </c>
      <c r="H2227">
        <v>1</v>
      </c>
      <c r="I2227">
        <v>1</v>
      </c>
      <c r="J2227">
        <v>0.77157045313469896</v>
      </c>
      <c r="K2227">
        <v>0.96685659767312604</v>
      </c>
      <c r="L2227">
        <v>0.85824479415028798</v>
      </c>
      <c r="M2227">
        <v>0.58868894601542399</v>
      </c>
      <c r="N2227">
        <v>0.99742930591259604</v>
      </c>
      <c r="O2227">
        <v>0.68791773778920295</v>
      </c>
      <c r="P2227" t="s">
        <v>7649</v>
      </c>
      <c r="Q2227" t="s">
        <v>7650</v>
      </c>
      <c r="R2227" t="s">
        <v>540</v>
      </c>
      <c r="S2227" t="s">
        <v>541</v>
      </c>
      <c r="T2227" t="s">
        <v>7651</v>
      </c>
      <c r="U2227" t="s">
        <v>7652</v>
      </c>
      <c r="V2227" t="s">
        <v>7653</v>
      </c>
      <c r="W2227" t="s">
        <v>7654</v>
      </c>
      <c r="AD2227" t="s">
        <v>1321</v>
      </c>
      <c r="AE2227" t="s">
        <v>4353</v>
      </c>
      <c r="AF2227" t="s">
        <v>7658</v>
      </c>
    </row>
    <row r="2228" spans="1:32" hidden="1" x14ac:dyDescent="0.35">
      <c r="A2228">
        <v>3713</v>
      </c>
      <c r="B2228" t="s">
        <v>7648</v>
      </c>
      <c r="C2228" t="s">
        <v>72</v>
      </c>
      <c r="D2228" t="s">
        <v>45</v>
      </c>
      <c r="E2228">
        <v>1029</v>
      </c>
      <c r="F2228">
        <v>5</v>
      </c>
      <c r="G2228">
        <v>5</v>
      </c>
      <c r="H2228">
        <v>1</v>
      </c>
      <c r="I2228">
        <v>1</v>
      </c>
      <c r="J2228">
        <v>0.77157045313469896</v>
      </c>
      <c r="K2228">
        <v>0.96685659767312604</v>
      </c>
      <c r="L2228">
        <v>0.85824479415028798</v>
      </c>
      <c r="M2228">
        <v>0.58868894601542399</v>
      </c>
      <c r="N2228">
        <v>0.99742930591259604</v>
      </c>
      <c r="O2228">
        <v>0.68791773778920295</v>
      </c>
      <c r="P2228" t="s">
        <v>7649</v>
      </c>
      <c r="Q2228" t="s">
        <v>7650</v>
      </c>
      <c r="R2228" t="s">
        <v>540</v>
      </c>
      <c r="S2228" t="s">
        <v>541</v>
      </c>
      <c r="T2228" t="s">
        <v>7651</v>
      </c>
      <c r="U2228" t="s">
        <v>7652</v>
      </c>
      <c r="V2228" t="s">
        <v>7653</v>
      </c>
      <c r="W2228" t="s">
        <v>7654</v>
      </c>
      <c r="AD2228" t="s">
        <v>1321</v>
      </c>
      <c r="AE2228" t="s">
        <v>4353</v>
      </c>
      <c r="AF2228" t="s">
        <v>7658</v>
      </c>
    </row>
    <row r="2229" spans="1:32" hidden="1" x14ac:dyDescent="0.35">
      <c r="A2229">
        <v>11309</v>
      </c>
      <c r="B2229" t="s">
        <v>23031</v>
      </c>
      <c r="C2229" t="s">
        <v>33</v>
      </c>
      <c r="D2229" t="s">
        <v>58</v>
      </c>
      <c r="E2229">
        <v>1589</v>
      </c>
      <c r="F2229">
        <v>1</v>
      </c>
      <c r="G2229">
        <v>1</v>
      </c>
      <c r="H2229">
        <v>1</v>
      </c>
      <c r="I2229">
        <v>0</v>
      </c>
      <c r="J2229">
        <v>1</v>
      </c>
      <c r="K2229">
        <v>1</v>
      </c>
      <c r="L2229">
        <v>1</v>
      </c>
      <c r="M2229">
        <v>0</v>
      </c>
      <c r="N2229">
        <v>0</v>
      </c>
      <c r="O2229">
        <v>0</v>
      </c>
      <c r="P2229" t="s">
        <v>6358</v>
      </c>
      <c r="Q2229" t="s">
        <v>6359</v>
      </c>
      <c r="R2229" t="s">
        <v>1474</v>
      </c>
      <c r="S2229" t="s">
        <v>1475</v>
      </c>
      <c r="T2229" t="s">
        <v>11405</v>
      </c>
      <c r="U2229" t="s">
        <v>11406</v>
      </c>
      <c r="V2229" t="s">
        <v>6362</v>
      </c>
      <c r="W2229" t="s">
        <v>6363</v>
      </c>
      <c r="AD2229" t="s">
        <v>4789</v>
      </c>
      <c r="AE2229" t="s">
        <v>4790</v>
      </c>
      <c r="AF2229" t="s">
        <v>23032</v>
      </c>
    </row>
    <row r="2230" spans="1:32" hidden="1" x14ac:dyDescent="0.35">
      <c r="A2230">
        <v>4565</v>
      </c>
      <c r="B2230" t="s">
        <v>9537</v>
      </c>
      <c r="C2230" t="s">
        <v>72</v>
      </c>
      <c r="D2230" t="s">
        <v>60</v>
      </c>
      <c r="E2230">
        <v>1628</v>
      </c>
      <c r="F2230">
        <v>5</v>
      </c>
      <c r="G2230">
        <v>5</v>
      </c>
      <c r="H2230">
        <v>1</v>
      </c>
      <c r="I2230">
        <v>1</v>
      </c>
      <c r="J2230">
        <v>0.87426128504966705</v>
      </c>
      <c r="K2230">
        <v>0.94019205422706997</v>
      </c>
      <c r="L2230">
        <v>0.90602882502307003</v>
      </c>
      <c r="M2230">
        <v>0.72566371681415898</v>
      </c>
      <c r="N2230">
        <v>0.99823008849557504</v>
      </c>
      <c r="O2230">
        <v>0.80743362831858401</v>
      </c>
      <c r="P2230" t="s">
        <v>9538</v>
      </c>
      <c r="Q2230" t="s">
        <v>9539</v>
      </c>
      <c r="R2230" t="s">
        <v>540</v>
      </c>
      <c r="S2230" t="s">
        <v>541</v>
      </c>
      <c r="T2230" t="s">
        <v>9540</v>
      </c>
      <c r="U2230" t="s">
        <v>9541</v>
      </c>
      <c r="V2230" t="s">
        <v>9542</v>
      </c>
      <c r="W2230" t="s">
        <v>9543</v>
      </c>
      <c r="AD2230" t="s">
        <v>9544</v>
      </c>
      <c r="AE2230" t="s">
        <v>9545</v>
      </c>
      <c r="AF2230" t="s">
        <v>9547</v>
      </c>
    </row>
    <row r="2231" spans="1:32" hidden="1" x14ac:dyDescent="0.35">
      <c r="A2231">
        <v>4566</v>
      </c>
      <c r="B2231" t="s">
        <v>9537</v>
      </c>
      <c r="C2231" t="s">
        <v>72</v>
      </c>
      <c r="D2231" t="s">
        <v>62</v>
      </c>
      <c r="E2231">
        <v>1664</v>
      </c>
      <c r="F2231">
        <v>5</v>
      </c>
      <c r="G2231">
        <v>5</v>
      </c>
      <c r="H2231">
        <v>1</v>
      </c>
      <c r="I2231">
        <v>1</v>
      </c>
      <c r="J2231">
        <v>0.87426128504966705</v>
      </c>
      <c r="K2231">
        <v>0.94019205422706997</v>
      </c>
      <c r="L2231">
        <v>0.90602882502307003</v>
      </c>
      <c r="M2231">
        <v>0.72566371681415898</v>
      </c>
      <c r="N2231">
        <v>0.99823008849557504</v>
      </c>
      <c r="O2231">
        <v>0.80743362831858401</v>
      </c>
      <c r="P2231" t="s">
        <v>9538</v>
      </c>
      <c r="Q2231" t="s">
        <v>9539</v>
      </c>
      <c r="R2231" t="s">
        <v>540</v>
      </c>
      <c r="S2231" t="s">
        <v>541</v>
      </c>
      <c r="T2231" t="s">
        <v>9540</v>
      </c>
      <c r="U2231" t="s">
        <v>9541</v>
      </c>
      <c r="V2231" t="s">
        <v>9542</v>
      </c>
      <c r="W2231" t="s">
        <v>9543</v>
      </c>
      <c r="AD2231" t="s">
        <v>9544</v>
      </c>
      <c r="AE2231" t="s">
        <v>9545</v>
      </c>
      <c r="AF2231" t="s">
        <v>9548</v>
      </c>
    </row>
    <row r="2232" spans="1:32" hidden="1" x14ac:dyDescent="0.35">
      <c r="A2232">
        <v>4567</v>
      </c>
      <c r="B2232" t="s">
        <v>9537</v>
      </c>
      <c r="C2232" t="s">
        <v>72</v>
      </c>
      <c r="D2232" t="s">
        <v>34</v>
      </c>
      <c r="E2232">
        <v>2028</v>
      </c>
      <c r="F2232">
        <v>5</v>
      </c>
      <c r="G2232">
        <v>5</v>
      </c>
      <c r="H2232">
        <v>1</v>
      </c>
      <c r="I2232">
        <v>1</v>
      </c>
      <c r="J2232">
        <v>0.87426128504966705</v>
      </c>
      <c r="K2232">
        <v>0.94019205422706997</v>
      </c>
      <c r="L2232">
        <v>0.90602882502307003</v>
      </c>
      <c r="M2232">
        <v>0.72566371681415898</v>
      </c>
      <c r="N2232">
        <v>0.99823008849557504</v>
      </c>
      <c r="O2232">
        <v>0.80743362831858401</v>
      </c>
      <c r="P2232" t="s">
        <v>9538</v>
      </c>
      <c r="Q2232" t="s">
        <v>9539</v>
      </c>
      <c r="R2232" t="s">
        <v>540</v>
      </c>
      <c r="S2232" t="s">
        <v>541</v>
      </c>
      <c r="T2232" t="s">
        <v>9540</v>
      </c>
      <c r="U2232" t="s">
        <v>9541</v>
      </c>
      <c r="V2232" t="s">
        <v>9542</v>
      </c>
      <c r="W2232" t="s">
        <v>9543</v>
      </c>
      <c r="AD2232" t="s">
        <v>9544</v>
      </c>
      <c r="AE2232" t="s">
        <v>9545</v>
      </c>
      <c r="AF2232" t="s">
        <v>9549</v>
      </c>
    </row>
    <row r="2233" spans="1:32" hidden="1" x14ac:dyDescent="0.35">
      <c r="A2233">
        <v>4568</v>
      </c>
      <c r="B2233" t="s">
        <v>9537</v>
      </c>
      <c r="C2233" t="s">
        <v>72</v>
      </c>
      <c r="D2233" t="s">
        <v>45</v>
      </c>
      <c r="E2233">
        <v>843</v>
      </c>
      <c r="F2233">
        <v>5</v>
      </c>
      <c r="G2233">
        <v>5</v>
      </c>
      <c r="H2233">
        <v>1</v>
      </c>
      <c r="I2233">
        <v>1</v>
      </c>
      <c r="J2233">
        <v>0.87426128504966705</v>
      </c>
      <c r="K2233">
        <v>0.94019205422706997</v>
      </c>
      <c r="L2233">
        <v>0.90602882502307003</v>
      </c>
      <c r="M2233">
        <v>0.72566371681415898</v>
      </c>
      <c r="N2233">
        <v>0.99823008849557504</v>
      </c>
      <c r="O2233">
        <v>0.80743362831858401</v>
      </c>
      <c r="P2233" t="s">
        <v>9538</v>
      </c>
      <c r="Q2233" t="s">
        <v>9539</v>
      </c>
      <c r="R2233" t="s">
        <v>540</v>
      </c>
      <c r="S2233" t="s">
        <v>541</v>
      </c>
      <c r="T2233" t="s">
        <v>9540</v>
      </c>
      <c r="U2233" t="s">
        <v>9541</v>
      </c>
      <c r="V2233" t="s">
        <v>9542</v>
      </c>
      <c r="W2233" t="s">
        <v>9543</v>
      </c>
      <c r="AD2233" t="s">
        <v>9544</v>
      </c>
      <c r="AE2233" t="s">
        <v>9545</v>
      </c>
      <c r="AF2233" t="s">
        <v>9550</v>
      </c>
    </row>
    <row r="2234" spans="1:32" hidden="1" x14ac:dyDescent="0.35">
      <c r="A2234">
        <v>11667</v>
      </c>
      <c r="B2234" t="s">
        <v>23919</v>
      </c>
      <c r="C2234" t="s">
        <v>33</v>
      </c>
      <c r="D2234" t="s">
        <v>58</v>
      </c>
      <c r="E2234">
        <v>1448</v>
      </c>
      <c r="F2234">
        <v>1</v>
      </c>
      <c r="G2234">
        <v>1</v>
      </c>
      <c r="H2234">
        <v>1</v>
      </c>
      <c r="I2234">
        <v>0</v>
      </c>
      <c r="J2234">
        <v>1</v>
      </c>
      <c r="K2234">
        <v>1</v>
      </c>
      <c r="L2234">
        <v>1</v>
      </c>
      <c r="M2234">
        <v>0</v>
      </c>
      <c r="N2234">
        <v>0</v>
      </c>
      <c r="O2234">
        <v>0</v>
      </c>
      <c r="P2234" t="s">
        <v>18629</v>
      </c>
      <c r="Q2234" t="s">
        <v>18630</v>
      </c>
      <c r="R2234" t="s">
        <v>540</v>
      </c>
      <c r="S2234" t="s">
        <v>541</v>
      </c>
      <c r="T2234" t="s">
        <v>18631</v>
      </c>
      <c r="U2234" t="s">
        <v>18632</v>
      </c>
      <c r="V2234" t="s">
        <v>18633</v>
      </c>
      <c r="W2234" t="s">
        <v>18634</v>
      </c>
      <c r="AD2234" t="s">
        <v>4789</v>
      </c>
      <c r="AE2234" t="s">
        <v>10384</v>
      </c>
      <c r="AF2234" t="s">
        <v>23920</v>
      </c>
    </row>
    <row r="2235" spans="1:32" hidden="1" x14ac:dyDescent="0.35">
      <c r="A2235">
        <v>4344</v>
      </c>
      <c r="B2235" t="s">
        <v>9046</v>
      </c>
      <c r="C2235" t="s">
        <v>72</v>
      </c>
      <c r="D2235" t="s">
        <v>58</v>
      </c>
      <c r="E2235">
        <v>123</v>
      </c>
      <c r="F2235">
        <v>5</v>
      </c>
      <c r="G2235">
        <v>5</v>
      </c>
      <c r="H2235">
        <v>1</v>
      </c>
      <c r="I2235">
        <v>1</v>
      </c>
      <c r="J2235">
        <v>0.75388739946380701</v>
      </c>
      <c r="K2235">
        <v>0.92894337246768699</v>
      </c>
      <c r="L2235">
        <v>0.83231031307444203</v>
      </c>
      <c r="M2235">
        <v>0.49131513647642699</v>
      </c>
      <c r="N2235">
        <v>0.99751861042183598</v>
      </c>
      <c r="O2235">
        <v>0.66550868486352399</v>
      </c>
      <c r="P2235" t="s">
        <v>9047</v>
      </c>
      <c r="Q2235" t="s">
        <v>9048</v>
      </c>
      <c r="R2235" t="s">
        <v>9049</v>
      </c>
      <c r="S2235" t="s">
        <v>9050</v>
      </c>
      <c r="T2235" t="s">
        <v>9051</v>
      </c>
      <c r="U2235" t="s">
        <v>9052</v>
      </c>
      <c r="V2235" t="s">
        <v>9053</v>
      </c>
      <c r="W2235" t="s">
        <v>9054</v>
      </c>
      <c r="AD2235" t="s">
        <v>9055</v>
      </c>
      <c r="AE2235" t="s">
        <v>9056</v>
      </c>
      <c r="AF2235" t="s">
        <v>9057</v>
      </c>
    </row>
    <row r="2236" spans="1:32" hidden="1" x14ac:dyDescent="0.35">
      <c r="A2236">
        <v>4345</v>
      </c>
      <c r="B2236" t="s">
        <v>9046</v>
      </c>
      <c r="C2236" t="s">
        <v>72</v>
      </c>
      <c r="D2236" t="s">
        <v>60</v>
      </c>
      <c r="E2236">
        <v>218</v>
      </c>
      <c r="F2236">
        <v>5</v>
      </c>
      <c r="G2236">
        <v>5</v>
      </c>
      <c r="H2236">
        <v>1</v>
      </c>
      <c r="I2236">
        <v>1</v>
      </c>
      <c r="J2236">
        <v>0.75388739946380701</v>
      </c>
      <c r="K2236">
        <v>0.92894337246768699</v>
      </c>
      <c r="L2236">
        <v>0.83231031307444203</v>
      </c>
      <c r="M2236">
        <v>0.49131513647642699</v>
      </c>
      <c r="N2236">
        <v>0.99751861042183598</v>
      </c>
      <c r="O2236">
        <v>0.66550868486352399</v>
      </c>
      <c r="P2236" t="s">
        <v>9047</v>
      </c>
      <c r="Q2236" t="s">
        <v>9048</v>
      </c>
      <c r="R2236" t="s">
        <v>9049</v>
      </c>
      <c r="S2236" t="s">
        <v>9050</v>
      </c>
      <c r="T2236" t="s">
        <v>9051</v>
      </c>
      <c r="U2236" t="s">
        <v>9052</v>
      </c>
      <c r="V2236" t="s">
        <v>9053</v>
      </c>
      <c r="W2236" t="s">
        <v>9054</v>
      </c>
      <c r="AD2236" t="s">
        <v>9055</v>
      </c>
      <c r="AE2236" t="s">
        <v>9056</v>
      </c>
      <c r="AF2236" t="s">
        <v>9058</v>
      </c>
    </row>
    <row r="2237" spans="1:32" hidden="1" x14ac:dyDescent="0.35">
      <c r="A2237">
        <v>4346</v>
      </c>
      <c r="B2237" t="s">
        <v>9046</v>
      </c>
      <c r="C2237" t="s">
        <v>72</v>
      </c>
      <c r="D2237" t="s">
        <v>62</v>
      </c>
      <c r="E2237">
        <v>295</v>
      </c>
      <c r="F2237">
        <v>5</v>
      </c>
      <c r="G2237">
        <v>5</v>
      </c>
      <c r="H2237">
        <v>1</v>
      </c>
      <c r="I2237">
        <v>1</v>
      </c>
      <c r="J2237">
        <v>0.75388739946380701</v>
      </c>
      <c r="K2237">
        <v>0.92894337246768699</v>
      </c>
      <c r="L2237">
        <v>0.83231031307444203</v>
      </c>
      <c r="M2237">
        <v>0.49131513647642699</v>
      </c>
      <c r="N2237">
        <v>0.99751861042183598</v>
      </c>
      <c r="O2237">
        <v>0.66550868486352399</v>
      </c>
      <c r="P2237" t="s">
        <v>9047</v>
      </c>
      <c r="Q2237" t="s">
        <v>9048</v>
      </c>
      <c r="R2237" t="s">
        <v>9049</v>
      </c>
      <c r="S2237" t="s">
        <v>9050</v>
      </c>
      <c r="T2237" t="s">
        <v>9051</v>
      </c>
      <c r="U2237" t="s">
        <v>9052</v>
      </c>
      <c r="V2237" t="s">
        <v>9053</v>
      </c>
      <c r="W2237" t="s">
        <v>9054</v>
      </c>
      <c r="AD2237" t="s">
        <v>9055</v>
      </c>
      <c r="AE2237" t="s">
        <v>9056</v>
      </c>
      <c r="AF2237" t="s">
        <v>9059</v>
      </c>
    </row>
    <row r="2238" spans="1:32" hidden="1" x14ac:dyDescent="0.35">
      <c r="A2238">
        <v>4347</v>
      </c>
      <c r="B2238" t="s">
        <v>9046</v>
      </c>
      <c r="C2238" t="s">
        <v>72</v>
      </c>
      <c r="D2238" t="s">
        <v>34</v>
      </c>
      <c r="E2238">
        <v>1241</v>
      </c>
      <c r="F2238">
        <v>5</v>
      </c>
      <c r="G2238">
        <v>5</v>
      </c>
      <c r="H2238">
        <v>1</v>
      </c>
      <c r="I2238">
        <v>1</v>
      </c>
      <c r="J2238">
        <v>0.75388739946380701</v>
      </c>
      <c r="K2238">
        <v>0.92894337246768699</v>
      </c>
      <c r="L2238">
        <v>0.83231031307444203</v>
      </c>
      <c r="M2238">
        <v>0.49131513647642699</v>
      </c>
      <c r="N2238">
        <v>0.99751861042183598</v>
      </c>
      <c r="O2238">
        <v>0.66550868486352399</v>
      </c>
      <c r="P2238" t="s">
        <v>9047</v>
      </c>
      <c r="Q2238" t="s">
        <v>9048</v>
      </c>
      <c r="R2238" t="s">
        <v>9049</v>
      </c>
      <c r="S2238" t="s">
        <v>9050</v>
      </c>
      <c r="T2238" t="s">
        <v>9051</v>
      </c>
      <c r="U2238" t="s">
        <v>9052</v>
      </c>
      <c r="V2238" t="s">
        <v>9053</v>
      </c>
      <c r="W2238" t="s">
        <v>9054</v>
      </c>
      <c r="AD2238" t="s">
        <v>9055</v>
      </c>
      <c r="AE2238" t="s">
        <v>9056</v>
      </c>
      <c r="AF2238" t="s">
        <v>9060</v>
      </c>
    </row>
    <row r="2239" spans="1:32" hidden="1" x14ac:dyDescent="0.35">
      <c r="A2239">
        <v>4348</v>
      </c>
      <c r="B2239" t="s">
        <v>9046</v>
      </c>
      <c r="C2239" t="s">
        <v>72</v>
      </c>
      <c r="D2239" t="s">
        <v>45</v>
      </c>
      <c r="E2239">
        <v>2485</v>
      </c>
      <c r="F2239">
        <v>5</v>
      </c>
      <c r="G2239">
        <v>5</v>
      </c>
      <c r="H2239">
        <v>1</v>
      </c>
      <c r="I2239">
        <v>1</v>
      </c>
      <c r="J2239">
        <v>0.75388739946380701</v>
      </c>
      <c r="K2239">
        <v>0.92894337246768699</v>
      </c>
      <c r="L2239">
        <v>0.83231031307444203</v>
      </c>
      <c r="M2239">
        <v>0.49131513647642699</v>
      </c>
      <c r="N2239">
        <v>0.99751861042183598</v>
      </c>
      <c r="O2239">
        <v>0.66550868486352399</v>
      </c>
      <c r="P2239" t="s">
        <v>9047</v>
      </c>
      <c r="Q2239" t="s">
        <v>9048</v>
      </c>
      <c r="R2239" t="s">
        <v>9049</v>
      </c>
      <c r="S2239" t="s">
        <v>9050</v>
      </c>
      <c r="T2239" t="s">
        <v>9051</v>
      </c>
      <c r="U2239" t="s">
        <v>9052</v>
      </c>
      <c r="V2239" t="s">
        <v>9053</v>
      </c>
      <c r="W2239" t="s">
        <v>9054</v>
      </c>
      <c r="AD2239" t="s">
        <v>9055</v>
      </c>
      <c r="AE2239" t="s">
        <v>9056</v>
      </c>
      <c r="AF2239" t="s">
        <v>9061</v>
      </c>
    </row>
    <row r="2240" spans="1:32" hidden="1" x14ac:dyDescent="0.35">
      <c r="A2240">
        <v>316</v>
      </c>
      <c r="B2240" t="s">
        <v>537</v>
      </c>
      <c r="C2240" t="s">
        <v>72</v>
      </c>
      <c r="D2240" t="s">
        <v>34</v>
      </c>
      <c r="E2240">
        <v>2008</v>
      </c>
      <c r="F2240">
        <v>5</v>
      </c>
      <c r="G2240">
        <v>6</v>
      </c>
      <c r="H2240">
        <v>2</v>
      </c>
      <c r="I2240">
        <v>0</v>
      </c>
      <c r="J2240">
        <v>0.73513513513513495</v>
      </c>
      <c r="K2240">
        <v>0.70759822090437197</v>
      </c>
      <c r="L2240">
        <v>0.72110388460675801</v>
      </c>
      <c r="M2240">
        <v>0.101754385964912</v>
      </c>
      <c r="N2240">
        <v>1</v>
      </c>
      <c r="O2240">
        <v>0.43017543859649099</v>
      </c>
      <c r="P2240" t="s">
        <v>538</v>
      </c>
      <c r="Q2240" t="s">
        <v>539</v>
      </c>
      <c r="R2240" t="s">
        <v>548</v>
      </c>
      <c r="S2240" t="s">
        <v>549</v>
      </c>
      <c r="T2240" t="s">
        <v>542</v>
      </c>
      <c r="U2240" t="s">
        <v>543</v>
      </c>
      <c r="V2240" t="s">
        <v>550</v>
      </c>
      <c r="W2240" t="s">
        <v>551</v>
      </c>
      <c r="AD2240" t="s">
        <v>546</v>
      </c>
      <c r="AE2240" t="s">
        <v>547</v>
      </c>
      <c r="AF2240" t="s">
        <v>552</v>
      </c>
    </row>
    <row r="2241" spans="1:32" hidden="1" x14ac:dyDescent="0.35">
      <c r="A2241">
        <v>317</v>
      </c>
      <c r="B2241" t="s">
        <v>537</v>
      </c>
      <c r="C2241" t="s">
        <v>72</v>
      </c>
      <c r="D2241" t="s">
        <v>45</v>
      </c>
      <c r="E2241">
        <v>864</v>
      </c>
      <c r="F2241">
        <v>5</v>
      </c>
      <c r="G2241">
        <v>6</v>
      </c>
      <c r="H2241">
        <v>2</v>
      </c>
      <c r="I2241">
        <v>0</v>
      </c>
      <c r="J2241">
        <v>0.73513513513513495</v>
      </c>
      <c r="K2241">
        <v>0.70759822090437197</v>
      </c>
      <c r="L2241">
        <v>0.72110388460675801</v>
      </c>
      <c r="M2241">
        <v>0.101754385964912</v>
      </c>
      <c r="N2241">
        <v>1</v>
      </c>
      <c r="O2241">
        <v>0.43017543859649099</v>
      </c>
      <c r="P2241" t="s">
        <v>538</v>
      </c>
      <c r="Q2241" t="s">
        <v>539</v>
      </c>
      <c r="R2241" t="s">
        <v>548</v>
      </c>
      <c r="S2241" t="s">
        <v>549</v>
      </c>
      <c r="V2241" t="s">
        <v>550</v>
      </c>
      <c r="W2241" t="s">
        <v>551</v>
      </c>
      <c r="AF2241" t="e">
        <f>-------------------------------------------------------------------------------------------------------------------------------------------------------------------------------------------MVNGKKVDDSYILNPPQNPIDHRVGSDACGGNYFGPITVPQGRLFMMGDNRTNSSDSRYHLGDEYQGTIPLENVKGKVQWIILPFNHIGSVADPNIQG</f>
        <v>#NAME?</v>
      </c>
    </row>
    <row r="2242" spans="1:32" hidden="1" x14ac:dyDescent="0.35">
      <c r="A2242">
        <v>318</v>
      </c>
      <c r="B2242" t="s">
        <v>537</v>
      </c>
      <c r="C2242" t="s">
        <v>72</v>
      </c>
      <c r="D2242" t="s">
        <v>45</v>
      </c>
      <c r="E2242">
        <v>863</v>
      </c>
      <c r="F2242">
        <v>5</v>
      </c>
      <c r="G2242">
        <v>6</v>
      </c>
      <c r="H2242">
        <v>2</v>
      </c>
      <c r="I2242">
        <v>0</v>
      </c>
      <c r="J2242">
        <v>0.73513513513513495</v>
      </c>
      <c r="K2242">
        <v>0.70759822090437197</v>
      </c>
      <c r="L2242">
        <v>0.72110388460675801</v>
      </c>
      <c r="M2242">
        <v>0.101754385964912</v>
      </c>
      <c r="N2242">
        <v>1</v>
      </c>
      <c r="O2242">
        <v>0.43017543859649099</v>
      </c>
      <c r="P2242" t="s">
        <v>538</v>
      </c>
      <c r="Q2242" t="s">
        <v>539</v>
      </c>
      <c r="R2242" t="s">
        <v>548</v>
      </c>
      <c r="S2242" t="s">
        <v>549</v>
      </c>
      <c r="V2242" t="s">
        <v>550</v>
      </c>
      <c r="W2242" t="s">
        <v>551</v>
      </c>
      <c r="AF2242" t="s">
        <v>553</v>
      </c>
    </row>
    <row r="2243" spans="1:32" hidden="1" x14ac:dyDescent="0.35">
      <c r="A2243">
        <v>11386</v>
      </c>
      <c r="B2243" t="s">
        <v>23197</v>
      </c>
      <c r="C2243" t="s">
        <v>33</v>
      </c>
      <c r="D2243" t="s">
        <v>58</v>
      </c>
      <c r="E2243">
        <v>1449</v>
      </c>
      <c r="F2243">
        <v>1</v>
      </c>
      <c r="G2243">
        <v>1</v>
      </c>
      <c r="H2243">
        <v>1</v>
      </c>
      <c r="I2243">
        <v>0</v>
      </c>
      <c r="J2243">
        <v>1</v>
      </c>
      <c r="K2243">
        <v>1</v>
      </c>
      <c r="L2243">
        <v>1</v>
      </c>
      <c r="M2243">
        <v>0</v>
      </c>
      <c r="N2243">
        <v>0</v>
      </c>
      <c r="O2243">
        <v>0</v>
      </c>
      <c r="P2243" t="s">
        <v>18381</v>
      </c>
      <c r="Q2243" t="s">
        <v>18382</v>
      </c>
      <c r="R2243" t="s">
        <v>371</v>
      </c>
      <c r="S2243" t="s">
        <v>372</v>
      </c>
      <c r="T2243" t="s">
        <v>18383</v>
      </c>
      <c r="U2243" t="s">
        <v>18384</v>
      </c>
      <c r="V2243" t="s">
        <v>18385</v>
      </c>
      <c r="W2243" t="s">
        <v>18386</v>
      </c>
      <c r="AD2243" t="s">
        <v>4789</v>
      </c>
      <c r="AE2243" t="s">
        <v>10384</v>
      </c>
      <c r="AF2243" t="s">
        <v>23198</v>
      </c>
    </row>
    <row r="2244" spans="1:32" hidden="1" x14ac:dyDescent="0.35">
      <c r="A2244">
        <v>879</v>
      </c>
      <c r="B2244" t="s">
        <v>1833</v>
      </c>
      <c r="C2244" t="s">
        <v>72</v>
      </c>
      <c r="D2244" t="s">
        <v>58</v>
      </c>
      <c r="E2244">
        <v>83</v>
      </c>
      <c r="F2244">
        <v>5</v>
      </c>
      <c r="G2244">
        <v>5</v>
      </c>
      <c r="H2244">
        <v>1</v>
      </c>
      <c r="I2244">
        <v>1</v>
      </c>
      <c r="J2244">
        <v>0.74657305249080597</v>
      </c>
      <c r="K2244">
        <v>0.91106755629691405</v>
      </c>
      <c r="L2244">
        <v>0.82065857089174499</v>
      </c>
      <c r="M2244">
        <v>0.527272727272727</v>
      </c>
      <c r="N2244">
        <v>1</v>
      </c>
      <c r="O2244">
        <v>0.65454545454545499</v>
      </c>
      <c r="P2244" t="s">
        <v>1834</v>
      </c>
      <c r="Q2244" t="s">
        <v>1835</v>
      </c>
      <c r="R2244" t="s">
        <v>113</v>
      </c>
      <c r="S2244" t="s">
        <v>114</v>
      </c>
      <c r="T2244" t="s">
        <v>1836</v>
      </c>
      <c r="U2244" t="s">
        <v>1837</v>
      </c>
      <c r="V2244" t="s">
        <v>1838</v>
      </c>
      <c r="W2244" t="s">
        <v>1839</v>
      </c>
      <c r="AD2244" t="s">
        <v>410</v>
      </c>
      <c r="AE2244" t="s">
        <v>1840</v>
      </c>
      <c r="AF2244" t="s">
        <v>1841</v>
      </c>
    </row>
    <row r="2245" spans="1:32" hidden="1" x14ac:dyDescent="0.35">
      <c r="A2245">
        <v>61</v>
      </c>
      <c r="B2245" t="s">
        <v>71</v>
      </c>
      <c r="C2245" t="s">
        <v>72</v>
      </c>
      <c r="D2245" t="s">
        <v>60</v>
      </c>
      <c r="E2245">
        <v>542</v>
      </c>
      <c r="F2245">
        <v>5</v>
      </c>
      <c r="G2245">
        <v>10</v>
      </c>
      <c r="H2245">
        <v>2</v>
      </c>
      <c r="I2245">
        <v>0</v>
      </c>
      <c r="J2245">
        <v>0.82610558319513505</v>
      </c>
      <c r="K2245">
        <v>0.97686836052278203</v>
      </c>
      <c r="L2245">
        <v>0.89518365973768799</v>
      </c>
      <c r="M2245">
        <v>0.62477231329690297</v>
      </c>
      <c r="N2245">
        <v>1</v>
      </c>
      <c r="O2245">
        <v>0.74810767051204197</v>
      </c>
      <c r="P2245" t="s">
        <v>73</v>
      </c>
      <c r="Q2245" t="s">
        <v>74</v>
      </c>
      <c r="R2245" t="s">
        <v>75</v>
      </c>
      <c r="S2245" t="s">
        <v>76</v>
      </c>
      <c r="T2245" t="s">
        <v>77</v>
      </c>
      <c r="U2245" t="s">
        <v>78</v>
      </c>
      <c r="V2245" t="s">
        <v>79</v>
      </c>
      <c r="W2245" t="s">
        <v>80</v>
      </c>
      <c r="Z2245" t="s">
        <v>81</v>
      </c>
      <c r="AA2245" t="s">
        <v>82</v>
      </c>
      <c r="AB2245" t="s">
        <v>81</v>
      </c>
      <c r="AC2245" t="s">
        <v>83</v>
      </c>
      <c r="AD2245" t="s">
        <v>84</v>
      </c>
      <c r="AE2245" t="s">
        <v>85</v>
      </c>
      <c r="AF2245" t="s">
        <v>88</v>
      </c>
    </row>
    <row r="2246" spans="1:32" hidden="1" x14ac:dyDescent="0.35">
      <c r="A2246">
        <v>62</v>
      </c>
      <c r="B2246" t="s">
        <v>71</v>
      </c>
      <c r="C2246" t="s">
        <v>72</v>
      </c>
      <c r="D2246" t="s">
        <v>60</v>
      </c>
      <c r="E2246">
        <v>543</v>
      </c>
      <c r="F2246">
        <v>5</v>
      </c>
      <c r="G2246">
        <v>10</v>
      </c>
      <c r="H2246">
        <v>2</v>
      </c>
      <c r="I2246">
        <v>0</v>
      </c>
      <c r="J2246">
        <v>0.82610558319513505</v>
      </c>
      <c r="K2246">
        <v>0.97686836052278203</v>
      </c>
      <c r="L2246">
        <v>0.89518365973768799</v>
      </c>
      <c r="M2246">
        <v>0.62477231329690297</v>
      </c>
      <c r="N2246">
        <v>1</v>
      </c>
      <c r="O2246">
        <v>0.74810767051204197</v>
      </c>
      <c r="P2246" t="s">
        <v>73</v>
      </c>
      <c r="Q2246" t="s">
        <v>74</v>
      </c>
      <c r="R2246" t="s">
        <v>75</v>
      </c>
      <c r="S2246" t="s">
        <v>76</v>
      </c>
      <c r="T2246" t="s">
        <v>77</v>
      </c>
      <c r="U2246" t="s">
        <v>78</v>
      </c>
      <c r="V2246" t="s">
        <v>79</v>
      </c>
      <c r="W2246" t="s">
        <v>80</v>
      </c>
      <c r="Z2246" t="s">
        <v>81</v>
      </c>
      <c r="AA2246" t="s">
        <v>82</v>
      </c>
      <c r="AB2246" t="s">
        <v>81</v>
      </c>
      <c r="AC2246" t="s">
        <v>83</v>
      </c>
      <c r="AD2246" t="s">
        <v>84</v>
      </c>
      <c r="AE2246" t="s">
        <v>85</v>
      </c>
      <c r="AF2246" t="s">
        <v>89</v>
      </c>
    </row>
    <row r="2247" spans="1:32" hidden="1" x14ac:dyDescent="0.35">
      <c r="A2247">
        <v>63</v>
      </c>
      <c r="B2247" t="s">
        <v>71</v>
      </c>
      <c r="C2247" t="s">
        <v>72</v>
      </c>
      <c r="D2247" t="s">
        <v>62</v>
      </c>
      <c r="E2247">
        <v>626</v>
      </c>
      <c r="F2247">
        <v>5</v>
      </c>
      <c r="G2247">
        <v>10</v>
      </c>
      <c r="H2247">
        <v>2</v>
      </c>
      <c r="I2247">
        <v>0</v>
      </c>
      <c r="J2247">
        <v>0.82610558319513505</v>
      </c>
      <c r="K2247">
        <v>0.97686836052278203</v>
      </c>
      <c r="L2247">
        <v>0.89518365973768799</v>
      </c>
      <c r="M2247">
        <v>0.62477231329690297</v>
      </c>
      <c r="N2247">
        <v>1</v>
      </c>
      <c r="O2247">
        <v>0.74810767051204197</v>
      </c>
      <c r="P2247" t="s">
        <v>73</v>
      </c>
      <c r="Q2247" t="s">
        <v>74</v>
      </c>
      <c r="R2247" t="s">
        <v>75</v>
      </c>
      <c r="S2247" t="s">
        <v>76</v>
      </c>
      <c r="T2247" t="s">
        <v>77</v>
      </c>
      <c r="U2247" t="s">
        <v>78</v>
      </c>
      <c r="V2247" t="s">
        <v>79</v>
      </c>
      <c r="W2247" t="s">
        <v>80</v>
      </c>
      <c r="Z2247" t="s">
        <v>81</v>
      </c>
      <c r="AA2247" t="s">
        <v>82</v>
      </c>
      <c r="AB2247" t="s">
        <v>81</v>
      </c>
      <c r="AC2247" t="s">
        <v>83</v>
      </c>
      <c r="AD2247" t="s">
        <v>84</v>
      </c>
      <c r="AE2247" t="s">
        <v>85</v>
      </c>
      <c r="AF2247" t="s">
        <v>88</v>
      </c>
    </row>
    <row r="2248" spans="1:32" hidden="1" x14ac:dyDescent="0.35">
      <c r="A2248">
        <v>64</v>
      </c>
      <c r="B2248" t="s">
        <v>71</v>
      </c>
      <c r="C2248" t="s">
        <v>72</v>
      </c>
      <c r="D2248" t="s">
        <v>62</v>
      </c>
      <c r="E2248">
        <v>627</v>
      </c>
      <c r="F2248">
        <v>5</v>
      </c>
      <c r="G2248">
        <v>10</v>
      </c>
      <c r="H2248">
        <v>2</v>
      </c>
      <c r="I2248">
        <v>0</v>
      </c>
      <c r="J2248">
        <v>0.82610558319513505</v>
      </c>
      <c r="K2248">
        <v>0.97686836052278203</v>
      </c>
      <c r="L2248">
        <v>0.89518365973768799</v>
      </c>
      <c r="M2248">
        <v>0.62477231329690297</v>
      </c>
      <c r="N2248">
        <v>1</v>
      </c>
      <c r="O2248">
        <v>0.74810767051204197</v>
      </c>
      <c r="P2248" t="s">
        <v>73</v>
      </c>
      <c r="Q2248" t="s">
        <v>74</v>
      </c>
      <c r="R2248" t="s">
        <v>75</v>
      </c>
      <c r="S2248" t="s">
        <v>76</v>
      </c>
      <c r="T2248" t="s">
        <v>77</v>
      </c>
      <c r="U2248" t="s">
        <v>78</v>
      </c>
      <c r="V2248" t="s">
        <v>79</v>
      </c>
      <c r="W2248" t="s">
        <v>80</v>
      </c>
      <c r="Z2248" t="s">
        <v>81</v>
      </c>
      <c r="AA2248" t="s">
        <v>82</v>
      </c>
      <c r="AB2248" t="s">
        <v>81</v>
      </c>
      <c r="AC2248" t="s">
        <v>83</v>
      </c>
      <c r="AD2248" t="s">
        <v>84</v>
      </c>
      <c r="AE2248" t="s">
        <v>85</v>
      </c>
      <c r="AF2248" t="s">
        <v>90</v>
      </c>
    </row>
    <row r="2249" spans="1:32" hidden="1" x14ac:dyDescent="0.35">
      <c r="A2249">
        <v>65</v>
      </c>
      <c r="B2249" t="s">
        <v>71</v>
      </c>
      <c r="C2249" t="s">
        <v>72</v>
      </c>
      <c r="D2249" t="s">
        <v>34</v>
      </c>
      <c r="E2249">
        <v>541</v>
      </c>
      <c r="F2249">
        <v>5</v>
      </c>
      <c r="G2249">
        <v>10</v>
      </c>
      <c r="H2249">
        <v>2</v>
      </c>
      <c r="I2249">
        <v>0</v>
      </c>
      <c r="J2249">
        <v>0.82610558319513505</v>
      </c>
      <c r="K2249">
        <v>0.97686836052278203</v>
      </c>
      <c r="L2249">
        <v>0.89518365973768799</v>
      </c>
      <c r="M2249">
        <v>0.62477231329690297</v>
      </c>
      <c r="N2249">
        <v>1</v>
      </c>
      <c r="O2249">
        <v>0.74810767051204197</v>
      </c>
      <c r="P2249" t="s">
        <v>73</v>
      </c>
      <c r="Q2249" t="s">
        <v>74</v>
      </c>
      <c r="R2249" t="s">
        <v>75</v>
      </c>
      <c r="S2249" t="s">
        <v>76</v>
      </c>
      <c r="T2249" t="s">
        <v>77</v>
      </c>
      <c r="U2249" t="s">
        <v>78</v>
      </c>
      <c r="V2249" t="s">
        <v>79</v>
      </c>
      <c r="W2249" t="s">
        <v>80</v>
      </c>
      <c r="Z2249" t="s">
        <v>81</v>
      </c>
      <c r="AA2249" t="s">
        <v>82</v>
      </c>
      <c r="AB2249" t="s">
        <v>81</v>
      </c>
      <c r="AC2249" t="s">
        <v>83</v>
      </c>
      <c r="AD2249" t="s">
        <v>84</v>
      </c>
      <c r="AE2249" t="s">
        <v>85</v>
      </c>
      <c r="AF2249" t="s">
        <v>91</v>
      </c>
    </row>
    <row r="2250" spans="1:32" hidden="1" x14ac:dyDescent="0.35">
      <c r="A2250">
        <v>66</v>
      </c>
      <c r="B2250" t="s">
        <v>71</v>
      </c>
      <c r="C2250" t="s">
        <v>72</v>
      </c>
      <c r="D2250" t="s">
        <v>34</v>
      </c>
      <c r="E2250">
        <v>540</v>
      </c>
      <c r="F2250">
        <v>5</v>
      </c>
      <c r="G2250">
        <v>10</v>
      </c>
      <c r="H2250">
        <v>2</v>
      </c>
      <c r="I2250">
        <v>0</v>
      </c>
      <c r="J2250">
        <v>0.82610558319513505</v>
      </c>
      <c r="K2250">
        <v>0.97686836052278203</v>
      </c>
      <c r="L2250">
        <v>0.89518365973768799</v>
      </c>
      <c r="M2250">
        <v>0.62477231329690297</v>
      </c>
      <c r="N2250">
        <v>1</v>
      </c>
      <c r="O2250">
        <v>0.74810767051204197</v>
      </c>
      <c r="P2250" t="s">
        <v>73</v>
      </c>
      <c r="Q2250" t="s">
        <v>74</v>
      </c>
      <c r="R2250" t="s">
        <v>75</v>
      </c>
      <c r="S2250" t="s">
        <v>76</v>
      </c>
      <c r="T2250" t="s">
        <v>77</v>
      </c>
      <c r="U2250" t="s">
        <v>78</v>
      </c>
      <c r="V2250" t="s">
        <v>79</v>
      </c>
      <c r="W2250" t="s">
        <v>80</v>
      </c>
      <c r="Z2250" t="s">
        <v>81</v>
      </c>
      <c r="AA2250" t="s">
        <v>82</v>
      </c>
      <c r="AB2250" t="s">
        <v>81</v>
      </c>
      <c r="AC2250" t="s">
        <v>83</v>
      </c>
      <c r="AD2250" t="s">
        <v>84</v>
      </c>
      <c r="AE2250" t="s">
        <v>85</v>
      </c>
      <c r="AF2250" t="s">
        <v>92</v>
      </c>
    </row>
    <row r="2251" spans="1:32" hidden="1" x14ac:dyDescent="0.35">
      <c r="A2251">
        <v>67</v>
      </c>
      <c r="B2251" t="s">
        <v>71</v>
      </c>
      <c r="C2251" t="s">
        <v>72</v>
      </c>
      <c r="D2251" t="s">
        <v>45</v>
      </c>
      <c r="E2251">
        <v>1808</v>
      </c>
      <c r="F2251">
        <v>5</v>
      </c>
      <c r="G2251">
        <v>10</v>
      </c>
      <c r="H2251">
        <v>2</v>
      </c>
      <c r="I2251">
        <v>0</v>
      </c>
      <c r="J2251">
        <v>0.82610558319513505</v>
      </c>
      <c r="K2251">
        <v>0.97686836052278203</v>
      </c>
      <c r="L2251">
        <v>0.89518365973768799</v>
      </c>
      <c r="M2251">
        <v>0.62477231329690297</v>
      </c>
      <c r="N2251">
        <v>1</v>
      </c>
      <c r="O2251">
        <v>0.74810767051204197</v>
      </c>
      <c r="P2251" t="s">
        <v>73</v>
      </c>
      <c r="Q2251" t="s">
        <v>74</v>
      </c>
      <c r="R2251" t="s">
        <v>75</v>
      </c>
      <c r="S2251" t="s">
        <v>76</v>
      </c>
      <c r="T2251" t="s">
        <v>77</v>
      </c>
      <c r="U2251" t="s">
        <v>78</v>
      </c>
      <c r="V2251" t="s">
        <v>79</v>
      </c>
      <c r="W2251" t="s">
        <v>80</v>
      </c>
      <c r="Z2251" t="s">
        <v>81</v>
      </c>
      <c r="AA2251" t="s">
        <v>82</v>
      </c>
      <c r="AB2251" t="s">
        <v>81</v>
      </c>
      <c r="AC2251" t="s">
        <v>83</v>
      </c>
      <c r="AD2251" t="s">
        <v>84</v>
      </c>
      <c r="AE2251" t="s">
        <v>85</v>
      </c>
      <c r="AF2251" t="s">
        <v>91</v>
      </c>
    </row>
    <row r="2252" spans="1:32" hidden="1" x14ac:dyDescent="0.35">
      <c r="A2252">
        <v>68</v>
      </c>
      <c r="B2252" t="s">
        <v>71</v>
      </c>
      <c r="C2252" t="s">
        <v>72</v>
      </c>
      <c r="D2252" t="s">
        <v>45</v>
      </c>
      <c r="E2252">
        <v>1807</v>
      </c>
      <c r="F2252">
        <v>5</v>
      </c>
      <c r="G2252">
        <v>10</v>
      </c>
      <c r="H2252">
        <v>2</v>
      </c>
      <c r="I2252">
        <v>0</v>
      </c>
      <c r="J2252">
        <v>0.82610558319513505</v>
      </c>
      <c r="K2252">
        <v>0.97686836052278203</v>
      </c>
      <c r="L2252">
        <v>0.89518365973768799</v>
      </c>
      <c r="M2252">
        <v>0.62477231329690297</v>
      </c>
      <c r="N2252">
        <v>1</v>
      </c>
      <c r="O2252">
        <v>0.74810767051204197</v>
      </c>
      <c r="P2252" t="s">
        <v>73</v>
      </c>
      <c r="Q2252" t="s">
        <v>74</v>
      </c>
      <c r="R2252" t="s">
        <v>75</v>
      </c>
      <c r="S2252" t="s">
        <v>76</v>
      </c>
      <c r="T2252" t="s">
        <v>77</v>
      </c>
      <c r="U2252" t="s">
        <v>78</v>
      </c>
      <c r="V2252" t="s">
        <v>79</v>
      </c>
      <c r="W2252" t="s">
        <v>80</v>
      </c>
      <c r="Z2252" t="s">
        <v>81</v>
      </c>
      <c r="AA2252" t="s">
        <v>82</v>
      </c>
      <c r="AB2252" t="s">
        <v>81</v>
      </c>
      <c r="AC2252" t="s">
        <v>83</v>
      </c>
      <c r="AD2252" t="s">
        <v>84</v>
      </c>
      <c r="AE2252" t="s">
        <v>85</v>
      </c>
      <c r="AF2252" t="s">
        <v>92</v>
      </c>
    </row>
    <row r="2253" spans="1:32" hidden="1" x14ac:dyDescent="0.35">
      <c r="A2253">
        <v>373</v>
      </c>
      <c r="B2253" t="s">
        <v>674</v>
      </c>
      <c r="C2253" t="s">
        <v>72</v>
      </c>
      <c r="D2253" t="s">
        <v>60</v>
      </c>
      <c r="E2253">
        <v>1147</v>
      </c>
      <c r="F2253">
        <v>4</v>
      </c>
      <c r="G2253">
        <v>6</v>
      </c>
      <c r="H2253">
        <v>2</v>
      </c>
      <c r="I2253">
        <v>0</v>
      </c>
      <c r="J2253">
        <v>0.77666462209500398</v>
      </c>
      <c r="K2253">
        <v>0.90572069261170496</v>
      </c>
      <c r="L2253">
        <v>0.83624270052966598</v>
      </c>
      <c r="M2253">
        <v>0.556473829201102</v>
      </c>
      <c r="N2253">
        <v>0.98898071625344397</v>
      </c>
      <c r="O2253">
        <v>0.69458218549127604</v>
      </c>
      <c r="P2253" t="s">
        <v>675</v>
      </c>
      <c r="Q2253" t="s">
        <v>676</v>
      </c>
      <c r="R2253" t="s">
        <v>75</v>
      </c>
      <c r="S2253" t="s">
        <v>76</v>
      </c>
      <c r="V2253" t="s">
        <v>677</v>
      </c>
      <c r="W2253" t="s">
        <v>678</v>
      </c>
      <c r="AF2253" t="e">
        <f>-----------------------------------MLPRIAGTVATACLTVVGIAAYNRHHYRPHGDNPRDPDAVARKGDVEPLAGDYMRGFYYPAHGVARPGTVVVFKGSEGGNNDDMARQIRDRGYNVVGLYFFGQTGQQGFLSNVPLEFFDEVLAWIKEHGNIEEPITVLGVSKGAELAANLAIHYPEINNIVLYTPTAYNYQGL-DFRRQSASPPSFTWRGEPVEYARLRSFPSTMVRLLMFLPVSYRKTYEATLAEASNRDAARIPIEKFSGHGLLFAGDQDAMWQSDSAVQELSERNKNLEGVIYPGAGHLFSTDIDQEYGRIWPTMLGGTVDGNRAAKIQSDKLLFERLDAWHMDT</f>
        <v>#NAME?</v>
      </c>
    </row>
    <row r="2254" spans="1:32" hidden="1" x14ac:dyDescent="0.35">
      <c r="A2254">
        <v>374</v>
      </c>
      <c r="B2254" t="s">
        <v>674</v>
      </c>
      <c r="C2254" t="s">
        <v>72</v>
      </c>
      <c r="D2254" t="s">
        <v>62</v>
      </c>
      <c r="E2254">
        <v>1184</v>
      </c>
      <c r="F2254">
        <v>4</v>
      </c>
      <c r="G2254">
        <v>6</v>
      </c>
      <c r="H2254">
        <v>2</v>
      </c>
      <c r="I2254">
        <v>0</v>
      </c>
      <c r="J2254">
        <v>0.77666462209500398</v>
      </c>
      <c r="K2254">
        <v>0.90572069261170496</v>
      </c>
      <c r="L2254">
        <v>0.83624270052966598</v>
      </c>
      <c r="M2254">
        <v>0.556473829201102</v>
      </c>
      <c r="N2254">
        <v>0.98898071625344397</v>
      </c>
      <c r="O2254">
        <v>0.69458218549127604</v>
      </c>
      <c r="P2254" t="s">
        <v>675</v>
      </c>
      <c r="Q2254" t="s">
        <v>676</v>
      </c>
      <c r="R2254" t="s">
        <v>75</v>
      </c>
      <c r="S2254" t="s">
        <v>76</v>
      </c>
      <c r="V2254" t="s">
        <v>677</v>
      </c>
      <c r="W2254" t="s">
        <v>678</v>
      </c>
      <c r="AF2254" t="s">
        <v>679</v>
      </c>
    </row>
    <row r="2255" spans="1:32" hidden="1" x14ac:dyDescent="0.35">
      <c r="A2255">
        <v>375</v>
      </c>
      <c r="B2255" t="s">
        <v>674</v>
      </c>
      <c r="C2255" t="s">
        <v>72</v>
      </c>
      <c r="D2255" t="s">
        <v>34</v>
      </c>
      <c r="E2255">
        <v>2038</v>
      </c>
      <c r="F2255">
        <v>4</v>
      </c>
      <c r="G2255">
        <v>6</v>
      </c>
      <c r="H2255">
        <v>2</v>
      </c>
      <c r="I2255">
        <v>0</v>
      </c>
      <c r="J2255">
        <v>0.77666462209500398</v>
      </c>
      <c r="K2255">
        <v>0.90572069261170496</v>
      </c>
      <c r="L2255">
        <v>0.83624270052966598</v>
      </c>
      <c r="M2255">
        <v>0.556473829201102</v>
      </c>
      <c r="N2255">
        <v>0.98898071625344397</v>
      </c>
      <c r="O2255">
        <v>0.69458218549127604</v>
      </c>
      <c r="P2255" t="s">
        <v>675</v>
      </c>
      <c r="Q2255" t="s">
        <v>676</v>
      </c>
      <c r="R2255" t="s">
        <v>75</v>
      </c>
      <c r="S2255" t="s">
        <v>76</v>
      </c>
      <c r="V2255" t="s">
        <v>677</v>
      </c>
      <c r="W2255" t="s">
        <v>678</v>
      </c>
      <c r="AF2255" t="s">
        <v>680</v>
      </c>
    </row>
    <row r="2256" spans="1:32" hidden="1" x14ac:dyDescent="0.35">
      <c r="A2256">
        <v>376</v>
      </c>
      <c r="B2256" t="s">
        <v>674</v>
      </c>
      <c r="C2256" t="s">
        <v>72</v>
      </c>
      <c r="D2256" t="s">
        <v>34</v>
      </c>
      <c r="E2256">
        <v>2037</v>
      </c>
      <c r="F2256">
        <v>4</v>
      </c>
      <c r="G2256">
        <v>6</v>
      </c>
      <c r="H2256">
        <v>2</v>
      </c>
      <c r="I2256">
        <v>0</v>
      </c>
      <c r="J2256">
        <v>0.77666462209500398</v>
      </c>
      <c r="K2256">
        <v>0.90572069261170496</v>
      </c>
      <c r="L2256">
        <v>0.83624270052966598</v>
      </c>
      <c r="M2256">
        <v>0.556473829201102</v>
      </c>
      <c r="N2256">
        <v>0.98898071625344397</v>
      </c>
      <c r="O2256">
        <v>0.69458218549127604</v>
      </c>
      <c r="P2256" t="s">
        <v>675</v>
      </c>
      <c r="Q2256" t="s">
        <v>676</v>
      </c>
      <c r="R2256" t="s">
        <v>75</v>
      </c>
      <c r="S2256" t="s">
        <v>76</v>
      </c>
      <c r="V2256" t="s">
        <v>677</v>
      </c>
      <c r="W2256" t="s">
        <v>678</v>
      </c>
      <c r="AF2256" t="s">
        <v>681</v>
      </c>
    </row>
    <row r="2257" spans="1:32" hidden="1" x14ac:dyDescent="0.35">
      <c r="A2257">
        <v>377</v>
      </c>
      <c r="B2257" t="s">
        <v>674</v>
      </c>
      <c r="C2257" t="s">
        <v>72</v>
      </c>
      <c r="D2257" t="s">
        <v>45</v>
      </c>
      <c r="E2257">
        <v>834</v>
      </c>
      <c r="F2257">
        <v>4</v>
      </c>
      <c r="G2257">
        <v>6</v>
      </c>
      <c r="H2257">
        <v>2</v>
      </c>
      <c r="I2257">
        <v>0</v>
      </c>
      <c r="J2257">
        <v>0.77666462209500398</v>
      </c>
      <c r="K2257">
        <v>0.90572069261170496</v>
      </c>
      <c r="L2257">
        <v>0.83624270052966598</v>
      </c>
      <c r="M2257">
        <v>0.556473829201102</v>
      </c>
      <c r="N2257">
        <v>0.98898071625344397</v>
      </c>
      <c r="O2257">
        <v>0.69458218549127604</v>
      </c>
      <c r="P2257" t="s">
        <v>675</v>
      </c>
      <c r="Q2257" t="s">
        <v>676</v>
      </c>
      <c r="R2257" t="s">
        <v>75</v>
      </c>
      <c r="S2257" t="s">
        <v>76</v>
      </c>
      <c r="V2257" t="s">
        <v>677</v>
      </c>
      <c r="W2257" t="s">
        <v>678</v>
      </c>
      <c r="AF2257" t="s">
        <v>682</v>
      </c>
    </row>
    <row r="2258" spans="1:32" hidden="1" x14ac:dyDescent="0.35">
      <c r="A2258">
        <v>378</v>
      </c>
      <c r="B2258" t="s">
        <v>674</v>
      </c>
      <c r="C2258" t="s">
        <v>72</v>
      </c>
      <c r="D2258" t="s">
        <v>45</v>
      </c>
      <c r="E2258">
        <v>835</v>
      </c>
      <c r="F2258">
        <v>4</v>
      </c>
      <c r="G2258">
        <v>6</v>
      </c>
      <c r="H2258">
        <v>2</v>
      </c>
      <c r="I2258">
        <v>0</v>
      </c>
      <c r="J2258">
        <v>0.77666462209500398</v>
      </c>
      <c r="K2258">
        <v>0.90572069261170496</v>
      </c>
      <c r="L2258">
        <v>0.83624270052966598</v>
      </c>
      <c r="M2258">
        <v>0.556473829201102</v>
      </c>
      <c r="N2258">
        <v>0.98898071625344397</v>
      </c>
      <c r="O2258">
        <v>0.69458218549127604</v>
      </c>
      <c r="P2258" t="s">
        <v>675</v>
      </c>
      <c r="Q2258" t="s">
        <v>676</v>
      </c>
      <c r="R2258" t="s">
        <v>75</v>
      </c>
      <c r="S2258" t="s">
        <v>76</v>
      </c>
      <c r="V2258" t="s">
        <v>677</v>
      </c>
      <c r="W2258" t="s">
        <v>678</v>
      </c>
      <c r="AF2258" t="s">
        <v>683</v>
      </c>
    </row>
    <row r="2259" spans="1:32" hidden="1" x14ac:dyDescent="0.35">
      <c r="A2259">
        <v>11859</v>
      </c>
      <c r="B2259" t="s">
        <v>24397</v>
      </c>
      <c r="C2259" t="s">
        <v>33</v>
      </c>
      <c r="D2259" t="s">
        <v>58</v>
      </c>
      <c r="E2259">
        <v>1139</v>
      </c>
      <c r="F2259">
        <v>1</v>
      </c>
      <c r="G2259">
        <v>1</v>
      </c>
      <c r="H2259">
        <v>1</v>
      </c>
      <c r="I2259">
        <v>0</v>
      </c>
      <c r="J2259">
        <v>1</v>
      </c>
      <c r="K2259">
        <v>1</v>
      </c>
      <c r="L2259">
        <v>1</v>
      </c>
      <c r="M2259">
        <v>0</v>
      </c>
      <c r="N2259">
        <v>0</v>
      </c>
      <c r="O2259">
        <v>0</v>
      </c>
      <c r="P2259" t="s">
        <v>10866</v>
      </c>
      <c r="Q2259" t="s">
        <v>10867</v>
      </c>
      <c r="R2259" t="s">
        <v>371</v>
      </c>
      <c r="S2259" t="s">
        <v>372</v>
      </c>
      <c r="T2259" t="s">
        <v>10868</v>
      </c>
      <c r="U2259" t="s">
        <v>407</v>
      </c>
      <c r="V2259" t="s">
        <v>10869</v>
      </c>
      <c r="W2259" t="s">
        <v>10870</v>
      </c>
      <c r="AD2259" t="s">
        <v>410</v>
      </c>
      <c r="AE2259" t="s">
        <v>411</v>
      </c>
      <c r="AF2259" t="s">
        <v>24398</v>
      </c>
    </row>
    <row r="2260" spans="1:32" hidden="1" x14ac:dyDescent="0.35">
      <c r="A2260">
        <v>470</v>
      </c>
      <c r="B2260" t="s">
        <v>884</v>
      </c>
      <c r="C2260" t="s">
        <v>72</v>
      </c>
      <c r="D2260" t="s">
        <v>60</v>
      </c>
      <c r="E2260">
        <v>2264</v>
      </c>
      <c r="F2260">
        <v>5</v>
      </c>
      <c r="G2260">
        <v>5</v>
      </c>
      <c r="H2260">
        <v>1</v>
      </c>
      <c r="I2260">
        <v>1</v>
      </c>
      <c r="J2260">
        <v>0.84053367217280806</v>
      </c>
      <c r="K2260">
        <v>0.96039952117312599</v>
      </c>
      <c r="L2260">
        <v>0.89647760313071501</v>
      </c>
      <c r="M2260">
        <v>0.65853658536585402</v>
      </c>
      <c r="N2260">
        <v>1</v>
      </c>
      <c r="O2260">
        <v>0.76158536585365899</v>
      </c>
      <c r="P2260" t="s">
        <v>885</v>
      </c>
      <c r="Q2260" t="s">
        <v>886</v>
      </c>
      <c r="R2260" t="s">
        <v>75</v>
      </c>
      <c r="S2260" t="s">
        <v>76</v>
      </c>
      <c r="T2260" t="s">
        <v>887</v>
      </c>
      <c r="U2260" t="s">
        <v>888</v>
      </c>
      <c r="V2260" t="s">
        <v>889</v>
      </c>
      <c r="W2260" t="s">
        <v>890</v>
      </c>
      <c r="X2260" t="s">
        <v>889</v>
      </c>
      <c r="Y2260" t="s">
        <v>619</v>
      </c>
      <c r="Z2260" t="s">
        <v>891</v>
      </c>
      <c r="AA2260" t="s">
        <v>892</v>
      </c>
      <c r="AB2260" t="s">
        <v>891</v>
      </c>
      <c r="AC2260" t="s">
        <v>893</v>
      </c>
      <c r="AD2260" t="s">
        <v>219</v>
      </c>
      <c r="AE2260" t="s">
        <v>894</v>
      </c>
      <c r="AF2260" t="s">
        <v>896</v>
      </c>
    </row>
    <row r="2261" spans="1:32" hidden="1" x14ac:dyDescent="0.35">
      <c r="A2261">
        <v>471</v>
      </c>
      <c r="B2261" t="s">
        <v>884</v>
      </c>
      <c r="C2261" t="s">
        <v>72</v>
      </c>
      <c r="D2261" t="s">
        <v>62</v>
      </c>
      <c r="E2261">
        <v>2293</v>
      </c>
      <c r="F2261">
        <v>5</v>
      </c>
      <c r="G2261">
        <v>5</v>
      </c>
      <c r="H2261">
        <v>1</v>
      </c>
      <c r="I2261">
        <v>1</v>
      </c>
      <c r="J2261">
        <v>0.84053367217280806</v>
      </c>
      <c r="K2261">
        <v>0.96039952117312599</v>
      </c>
      <c r="L2261">
        <v>0.89647760313071501</v>
      </c>
      <c r="M2261">
        <v>0.65853658536585402</v>
      </c>
      <c r="N2261">
        <v>1</v>
      </c>
      <c r="O2261">
        <v>0.76158536585365899</v>
      </c>
      <c r="P2261" t="s">
        <v>885</v>
      </c>
      <c r="Q2261" t="s">
        <v>886</v>
      </c>
      <c r="R2261" t="s">
        <v>75</v>
      </c>
      <c r="S2261" t="s">
        <v>76</v>
      </c>
      <c r="T2261" t="s">
        <v>887</v>
      </c>
      <c r="U2261" t="s">
        <v>888</v>
      </c>
      <c r="V2261" t="s">
        <v>889</v>
      </c>
      <c r="W2261" t="s">
        <v>890</v>
      </c>
      <c r="X2261" t="s">
        <v>889</v>
      </c>
      <c r="Y2261" t="s">
        <v>619</v>
      </c>
      <c r="Z2261" t="s">
        <v>891</v>
      </c>
      <c r="AA2261" t="s">
        <v>892</v>
      </c>
      <c r="AB2261" t="s">
        <v>891</v>
      </c>
      <c r="AC2261" t="s">
        <v>893</v>
      </c>
      <c r="AD2261" t="s">
        <v>219</v>
      </c>
      <c r="AE2261" t="s">
        <v>894</v>
      </c>
      <c r="AF2261" t="s">
        <v>896</v>
      </c>
    </row>
    <row r="2262" spans="1:32" hidden="1" x14ac:dyDescent="0.35">
      <c r="A2262">
        <v>472</v>
      </c>
      <c r="B2262" t="s">
        <v>884</v>
      </c>
      <c r="C2262" t="s">
        <v>72</v>
      </c>
      <c r="D2262" t="s">
        <v>34</v>
      </c>
      <c r="E2262">
        <v>1532</v>
      </c>
      <c r="F2262">
        <v>5</v>
      </c>
      <c r="G2262">
        <v>5</v>
      </c>
      <c r="H2262">
        <v>1</v>
      </c>
      <c r="I2262">
        <v>1</v>
      </c>
      <c r="J2262">
        <v>0.84053367217280806</v>
      </c>
      <c r="K2262">
        <v>0.96039952117312599</v>
      </c>
      <c r="L2262">
        <v>0.89647760313071501</v>
      </c>
      <c r="M2262">
        <v>0.65853658536585402</v>
      </c>
      <c r="N2262">
        <v>1</v>
      </c>
      <c r="O2262">
        <v>0.76158536585365899</v>
      </c>
      <c r="P2262" t="s">
        <v>885</v>
      </c>
      <c r="Q2262" t="s">
        <v>886</v>
      </c>
      <c r="R2262" t="s">
        <v>75</v>
      </c>
      <c r="S2262" t="s">
        <v>76</v>
      </c>
      <c r="T2262" t="s">
        <v>887</v>
      </c>
      <c r="U2262" t="s">
        <v>888</v>
      </c>
      <c r="V2262" t="s">
        <v>889</v>
      </c>
      <c r="W2262" t="s">
        <v>890</v>
      </c>
      <c r="X2262" t="s">
        <v>889</v>
      </c>
      <c r="Y2262" t="s">
        <v>619</v>
      </c>
      <c r="Z2262" t="s">
        <v>891</v>
      </c>
      <c r="AA2262" t="s">
        <v>892</v>
      </c>
      <c r="AB2262" t="s">
        <v>891</v>
      </c>
      <c r="AC2262" t="s">
        <v>893</v>
      </c>
      <c r="AD2262" t="s">
        <v>219</v>
      </c>
      <c r="AE2262" t="s">
        <v>894</v>
      </c>
      <c r="AF2262" t="e">
        <f>----MIIPRVGIAADAHQIEAGKPCYIACLHFPDVAGCEGHSDGDVVAHAMVDALLSAANLGDLGSFVGVGRKEYDNVSGERLLRECRELLESNGFSIGNVAAQLIGQTPKLGPRREEAEEKISDIVGAPVSVSATTTDHMGFTGSGEGRAAIATAVVWVADNP</f>
        <v>#NAME?</v>
      </c>
    </row>
    <row r="2263" spans="1:32" hidden="1" x14ac:dyDescent="0.35">
      <c r="A2263">
        <v>473</v>
      </c>
      <c r="B2263" t="s">
        <v>884</v>
      </c>
      <c r="C2263" t="s">
        <v>72</v>
      </c>
      <c r="D2263" t="s">
        <v>45</v>
      </c>
      <c r="E2263">
        <v>282</v>
      </c>
      <c r="F2263">
        <v>5</v>
      </c>
      <c r="G2263">
        <v>5</v>
      </c>
      <c r="H2263">
        <v>1</v>
      </c>
      <c r="I2263">
        <v>1</v>
      </c>
      <c r="J2263">
        <v>0.84053367217280806</v>
      </c>
      <c r="K2263">
        <v>0.96039952117312599</v>
      </c>
      <c r="L2263">
        <v>0.89647760313071501</v>
      </c>
      <c r="M2263">
        <v>0.65853658536585402</v>
      </c>
      <c r="N2263">
        <v>1</v>
      </c>
      <c r="O2263">
        <v>0.76158536585365899</v>
      </c>
      <c r="P2263" t="s">
        <v>885</v>
      </c>
      <c r="Q2263" t="s">
        <v>886</v>
      </c>
      <c r="R2263" t="s">
        <v>75</v>
      </c>
      <c r="S2263" t="s">
        <v>76</v>
      </c>
      <c r="T2263" t="s">
        <v>887</v>
      </c>
      <c r="U2263" t="s">
        <v>888</v>
      </c>
      <c r="V2263" t="s">
        <v>889</v>
      </c>
      <c r="W2263" t="s">
        <v>890</v>
      </c>
      <c r="X2263" t="s">
        <v>889</v>
      </c>
      <c r="Y2263" t="s">
        <v>619</v>
      </c>
      <c r="Z2263" t="s">
        <v>891</v>
      </c>
      <c r="AA2263" t="s">
        <v>892</v>
      </c>
      <c r="AB2263" t="s">
        <v>891</v>
      </c>
      <c r="AC2263" t="s">
        <v>893</v>
      </c>
      <c r="AD2263" t="s">
        <v>219</v>
      </c>
      <c r="AE2263" t="s">
        <v>894</v>
      </c>
      <c r="AF2263" t="e">
        <f>----MIIPRVGIAADAHQIEAGKPCYIACLHFPDVAGCEGHSDGDVVAHAMVDALLSAANLGDLGSFVGVGRKEYDNVSGERLLRECRELLESNGFSIGNVAAQLIGQTPKLGPRREEAEEKISDIVGAPVSVSATTTDHMGFTGSGEGRAAIATAVVWVADNS</f>
        <v>#NAME?</v>
      </c>
    </row>
    <row r="2264" spans="1:32" hidden="1" x14ac:dyDescent="0.35">
      <c r="A2264">
        <v>1039</v>
      </c>
      <c r="B2264" t="s">
        <v>2162</v>
      </c>
      <c r="C2264" t="s">
        <v>72</v>
      </c>
      <c r="D2264" t="s">
        <v>58</v>
      </c>
      <c r="E2264">
        <v>962</v>
      </c>
      <c r="F2264">
        <v>5</v>
      </c>
      <c r="G2264">
        <v>5</v>
      </c>
      <c r="H2264">
        <v>1</v>
      </c>
      <c r="I2264">
        <v>1</v>
      </c>
      <c r="J2264">
        <v>0.84324133050247696</v>
      </c>
      <c r="K2264">
        <v>0.98647561311656196</v>
      </c>
      <c r="L2264">
        <v>0.90925212384747001</v>
      </c>
      <c r="M2264">
        <v>0.706806282722513</v>
      </c>
      <c r="N2264">
        <v>1</v>
      </c>
      <c r="O2264">
        <v>0.78324607329842899</v>
      </c>
      <c r="P2264" t="s">
        <v>2163</v>
      </c>
      <c r="Q2264" t="s">
        <v>2164</v>
      </c>
      <c r="R2264" t="s">
        <v>113</v>
      </c>
      <c r="S2264" t="s">
        <v>114</v>
      </c>
      <c r="T2264" t="s">
        <v>2165</v>
      </c>
      <c r="U2264" t="s">
        <v>2166</v>
      </c>
      <c r="V2264" t="s">
        <v>2167</v>
      </c>
      <c r="W2264" t="s">
        <v>2168</v>
      </c>
      <c r="AD2264" t="s">
        <v>312</v>
      </c>
      <c r="AE2264" t="s">
        <v>2169</v>
      </c>
      <c r="AF2264" t="s">
        <v>2170</v>
      </c>
    </row>
    <row r="2265" spans="1:32" hidden="1" x14ac:dyDescent="0.35">
      <c r="A2265">
        <v>715</v>
      </c>
      <c r="B2265" t="s">
        <v>1460</v>
      </c>
      <c r="C2265" t="s">
        <v>72</v>
      </c>
      <c r="D2265" t="s">
        <v>60</v>
      </c>
      <c r="E2265">
        <v>877</v>
      </c>
      <c r="F2265">
        <v>5</v>
      </c>
      <c r="G2265">
        <v>5</v>
      </c>
      <c r="H2265">
        <v>1</v>
      </c>
      <c r="I2265">
        <v>1</v>
      </c>
      <c r="J2265">
        <v>0.875831969448991</v>
      </c>
      <c r="K2265">
        <v>0.93681732050055699</v>
      </c>
      <c r="L2265">
        <v>0.90529873967044805</v>
      </c>
      <c r="M2265">
        <v>0.70948012232415902</v>
      </c>
      <c r="N2265">
        <v>1</v>
      </c>
      <c r="O2265">
        <v>0.79571865443425105</v>
      </c>
      <c r="P2265" t="s">
        <v>1461</v>
      </c>
      <c r="Q2265" t="s">
        <v>1462</v>
      </c>
      <c r="R2265" t="s">
        <v>75</v>
      </c>
      <c r="S2265" t="s">
        <v>76</v>
      </c>
      <c r="T2265" t="s">
        <v>1463</v>
      </c>
      <c r="U2265" t="s">
        <v>1464</v>
      </c>
      <c r="V2265" t="s">
        <v>1465</v>
      </c>
      <c r="W2265" t="s">
        <v>1466</v>
      </c>
      <c r="X2265" t="s">
        <v>1465</v>
      </c>
      <c r="Y2265" t="s">
        <v>619</v>
      </c>
      <c r="Z2265" t="s">
        <v>891</v>
      </c>
      <c r="AA2265" t="s">
        <v>892</v>
      </c>
      <c r="AB2265" t="s">
        <v>891</v>
      </c>
      <c r="AC2265" t="s">
        <v>893</v>
      </c>
      <c r="AD2265" t="s">
        <v>219</v>
      </c>
      <c r="AE2265" t="s">
        <v>1467</v>
      </c>
      <c r="AF2265" t="s">
        <v>1469</v>
      </c>
    </row>
    <row r="2266" spans="1:32" hidden="1" x14ac:dyDescent="0.35">
      <c r="A2266">
        <v>716</v>
      </c>
      <c r="B2266" t="s">
        <v>1460</v>
      </c>
      <c r="C2266" t="s">
        <v>72</v>
      </c>
      <c r="D2266" t="s">
        <v>62</v>
      </c>
      <c r="E2266">
        <v>911</v>
      </c>
      <c r="F2266">
        <v>5</v>
      </c>
      <c r="G2266">
        <v>5</v>
      </c>
      <c r="H2266">
        <v>1</v>
      </c>
      <c r="I2266">
        <v>1</v>
      </c>
      <c r="J2266">
        <v>0.875831969448991</v>
      </c>
      <c r="K2266">
        <v>0.93681732050055699</v>
      </c>
      <c r="L2266">
        <v>0.90529873967044805</v>
      </c>
      <c r="M2266">
        <v>0.70948012232415902</v>
      </c>
      <c r="N2266">
        <v>1</v>
      </c>
      <c r="O2266">
        <v>0.79571865443425105</v>
      </c>
      <c r="P2266" t="s">
        <v>1461</v>
      </c>
      <c r="Q2266" t="s">
        <v>1462</v>
      </c>
      <c r="R2266" t="s">
        <v>75</v>
      </c>
      <c r="S2266" t="s">
        <v>76</v>
      </c>
      <c r="T2266" t="s">
        <v>1463</v>
      </c>
      <c r="U2266" t="s">
        <v>1464</v>
      </c>
      <c r="V2266" t="s">
        <v>1465</v>
      </c>
      <c r="W2266" t="s">
        <v>1466</v>
      </c>
      <c r="X2266" t="s">
        <v>1465</v>
      </c>
      <c r="Y2266" t="s">
        <v>619</v>
      </c>
      <c r="Z2266" t="s">
        <v>891</v>
      </c>
      <c r="AA2266" t="s">
        <v>892</v>
      </c>
      <c r="AB2266" t="s">
        <v>891</v>
      </c>
      <c r="AC2266" t="s">
        <v>893</v>
      </c>
      <c r="AD2266" t="s">
        <v>219</v>
      </c>
      <c r="AE2266" t="s">
        <v>1467</v>
      </c>
      <c r="AF2266" t="s">
        <v>1469</v>
      </c>
    </row>
    <row r="2267" spans="1:32" hidden="1" x14ac:dyDescent="0.35">
      <c r="A2267">
        <v>717</v>
      </c>
      <c r="B2267" t="s">
        <v>1460</v>
      </c>
      <c r="C2267" t="s">
        <v>72</v>
      </c>
      <c r="D2267" t="s">
        <v>34</v>
      </c>
      <c r="E2267">
        <v>279</v>
      </c>
      <c r="F2267">
        <v>5</v>
      </c>
      <c r="G2267">
        <v>5</v>
      </c>
      <c r="H2267">
        <v>1</v>
      </c>
      <c r="I2267">
        <v>1</v>
      </c>
      <c r="J2267">
        <v>0.875831969448991</v>
      </c>
      <c r="K2267">
        <v>0.93681732050055699</v>
      </c>
      <c r="L2267">
        <v>0.90529873967044805</v>
      </c>
      <c r="M2267">
        <v>0.70948012232415902</v>
      </c>
      <c r="N2267">
        <v>1</v>
      </c>
      <c r="O2267">
        <v>0.79571865443425105</v>
      </c>
      <c r="P2267" t="s">
        <v>1461</v>
      </c>
      <c r="Q2267" t="s">
        <v>1462</v>
      </c>
      <c r="R2267" t="s">
        <v>75</v>
      </c>
      <c r="S2267" t="s">
        <v>76</v>
      </c>
      <c r="T2267" t="s">
        <v>1463</v>
      </c>
      <c r="U2267" t="s">
        <v>1464</v>
      </c>
      <c r="V2267" t="s">
        <v>1465</v>
      </c>
      <c r="W2267" t="s">
        <v>1466</v>
      </c>
      <c r="X2267" t="s">
        <v>1465</v>
      </c>
      <c r="Y2267" t="s">
        <v>619</v>
      </c>
      <c r="Z2267" t="s">
        <v>891</v>
      </c>
      <c r="AA2267" t="s">
        <v>892</v>
      </c>
      <c r="AB2267" t="s">
        <v>891</v>
      </c>
      <c r="AC2267" t="s">
        <v>893</v>
      </c>
      <c r="AD2267" t="s">
        <v>219</v>
      </c>
      <c r="AE2267" t="s">
        <v>1467</v>
      </c>
      <c r="AF2267" t="s">
        <v>1470</v>
      </c>
    </row>
    <row r="2268" spans="1:32" hidden="1" x14ac:dyDescent="0.35">
      <c r="A2268">
        <v>718</v>
      </c>
      <c r="B2268" t="s">
        <v>1460</v>
      </c>
      <c r="C2268" t="s">
        <v>72</v>
      </c>
      <c r="D2268" t="s">
        <v>45</v>
      </c>
      <c r="E2268">
        <v>1541</v>
      </c>
      <c r="F2268">
        <v>5</v>
      </c>
      <c r="G2268">
        <v>5</v>
      </c>
      <c r="H2268">
        <v>1</v>
      </c>
      <c r="I2268">
        <v>1</v>
      </c>
      <c r="J2268">
        <v>0.875831969448991</v>
      </c>
      <c r="K2268">
        <v>0.93681732050055699</v>
      </c>
      <c r="L2268">
        <v>0.90529873967044805</v>
      </c>
      <c r="M2268">
        <v>0.70948012232415902</v>
      </c>
      <c r="N2268">
        <v>1</v>
      </c>
      <c r="O2268">
        <v>0.79571865443425105</v>
      </c>
      <c r="P2268" t="s">
        <v>1461</v>
      </c>
      <c r="Q2268" t="s">
        <v>1462</v>
      </c>
      <c r="R2268" t="s">
        <v>75</v>
      </c>
      <c r="S2268" t="s">
        <v>76</v>
      </c>
      <c r="T2268" t="s">
        <v>1463</v>
      </c>
      <c r="U2268" t="s">
        <v>1464</v>
      </c>
      <c r="V2268" t="s">
        <v>1465</v>
      </c>
      <c r="W2268" t="s">
        <v>1466</v>
      </c>
      <c r="X2268" t="s">
        <v>1465</v>
      </c>
      <c r="Y2268" t="s">
        <v>619</v>
      </c>
      <c r="Z2268" t="s">
        <v>891</v>
      </c>
      <c r="AA2268" t="s">
        <v>892</v>
      </c>
      <c r="AB2268" t="s">
        <v>891</v>
      </c>
      <c r="AC2268" t="s">
        <v>893</v>
      </c>
      <c r="AD2268" t="s">
        <v>219</v>
      </c>
      <c r="AE2268" t="s">
        <v>1467</v>
      </c>
      <c r="AF2268" t="s">
        <v>1470</v>
      </c>
    </row>
    <row r="2269" spans="1:32" hidden="1" x14ac:dyDescent="0.35">
      <c r="A2269">
        <v>2619</v>
      </c>
      <c r="B2269" t="s">
        <v>5420</v>
      </c>
      <c r="C2269" t="s">
        <v>72</v>
      </c>
      <c r="D2269" t="s">
        <v>58</v>
      </c>
      <c r="E2269">
        <v>1831</v>
      </c>
      <c r="F2269">
        <v>5</v>
      </c>
      <c r="G2269">
        <v>5</v>
      </c>
      <c r="H2269">
        <v>1</v>
      </c>
      <c r="I2269">
        <v>1</v>
      </c>
      <c r="J2269">
        <v>0.81638149556400497</v>
      </c>
      <c r="K2269">
        <v>0.98349348427010896</v>
      </c>
      <c r="L2269">
        <v>0.89217961309722305</v>
      </c>
      <c r="M2269">
        <v>0.644859813084112</v>
      </c>
      <c r="N2269">
        <v>1</v>
      </c>
      <c r="O2269">
        <v>0.742523364485981</v>
      </c>
      <c r="P2269" t="s">
        <v>2163</v>
      </c>
      <c r="Q2269" t="s">
        <v>2164</v>
      </c>
      <c r="R2269" t="s">
        <v>113</v>
      </c>
      <c r="S2269" t="s">
        <v>114</v>
      </c>
      <c r="V2269" t="s">
        <v>2167</v>
      </c>
      <c r="W2269" t="s">
        <v>2168</v>
      </c>
      <c r="AF2269" t="e">
        <f>---MAQQTRA------SKRRGRPNPRERLLGSATQLFNTEGIRVIGIDRILRDADVAKASLYSLFGSKDNLVIAYLQALDEQWRAAFEARTATMTTPDEKILAFFDMAIEDEPGKDFRGSHFCNAANEYPRPETDSERGIVEAAQEHRRWCHETIAELLRKKNGYPGATQASQLLIFLDGGLVGARLSRSVDPLHTAKTLAQQLLHAPPADYSI</f>
        <v>#NAME?</v>
      </c>
    </row>
    <row r="2270" spans="1:32" hidden="1" x14ac:dyDescent="0.35">
      <c r="A2270">
        <v>1045</v>
      </c>
      <c r="B2270" t="s">
        <v>2174</v>
      </c>
      <c r="C2270" t="s">
        <v>72</v>
      </c>
      <c r="D2270" t="s">
        <v>60</v>
      </c>
      <c r="E2270">
        <v>1892</v>
      </c>
      <c r="F2270">
        <v>5</v>
      </c>
      <c r="G2270">
        <v>5</v>
      </c>
      <c r="H2270">
        <v>1</v>
      </c>
      <c r="I2270">
        <v>1</v>
      </c>
      <c r="J2270">
        <v>0.83073983073983104</v>
      </c>
      <c r="K2270">
        <v>0.99674138507862298</v>
      </c>
      <c r="L2270">
        <v>0.90620112793964602</v>
      </c>
      <c r="M2270">
        <v>0.67346938775510201</v>
      </c>
      <c r="N2270">
        <v>1</v>
      </c>
      <c r="O2270">
        <v>0.78122448979591796</v>
      </c>
      <c r="P2270" t="s">
        <v>2175</v>
      </c>
      <c r="Q2270" t="s">
        <v>2176</v>
      </c>
      <c r="R2270" t="s">
        <v>75</v>
      </c>
      <c r="S2270" t="s">
        <v>76</v>
      </c>
      <c r="T2270" t="s">
        <v>2177</v>
      </c>
      <c r="U2270" t="s">
        <v>2178</v>
      </c>
      <c r="V2270" t="s">
        <v>2179</v>
      </c>
      <c r="W2270" t="s">
        <v>2180</v>
      </c>
      <c r="AD2270" t="s">
        <v>2181</v>
      </c>
      <c r="AE2270" t="s">
        <v>2182</v>
      </c>
      <c r="AF2270" t="s">
        <v>2183</v>
      </c>
    </row>
    <row r="2271" spans="1:32" hidden="1" x14ac:dyDescent="0.35">
      <c r="A2271">
        <v>1046</v>
      </c>
      <c r="B2271" t="s">
        <v>2174</v>
      </c>
      <c r="C2271" t="s">
        <v>72</v>
      </c>
      <c r="D2271" t="s">
        <v>62</v>
      </c>
      <c r="E2271">
        <v>1932</v>
      </c>
      <c r="F2271">
        <v>5</v>
      </c>
      <c r="G2271">
        <v>5</v>
      </c>
      <c r="H2271">
        <v>1</v>
      </c>
      <c r="I2271">
        <v>1</v>
      </c>
      <c r="J2271">
        <v>0.83073983073983104</v>
      </c>
      <c r="K2271">
        <v>0.99674138507862298</v>
      </c>
      <c r="L2271">
        <v>0.90620112793964602</v>
      </c>
      <c r="M2271">
        <v>0.67346938775510201</v>
      </c>
      <c r="N2271">
        <v>1</v>
      </c>
      <c r="O2271">
        <v>0.78122448979591796</v>
      </c>
      <c r="P2271" t="s">
        <v>2175</v>
      </c>
      <c r="Q2271" t="s">
        <v>2176</v>
      </c>
      <c r="R2271" t="s">
        <v>75</v>
      </c>
      <c r="S2271" t="s">
        <v>76</v>
      </c>
      <c r="T2271" t="s">
        <v>2177</v>
      </c>
      <c r="U2271" t="s">
        <v>2178</v>
      </c>
      <c r="V2271" t="s">
        <v>2179</v>
      </c>
      <c r="W2271" t="s">
        <v>2180</v>
      </c>
      <c r="AD2271" t="s">
        <v>2181</v>
      </c>
      <c r="AE2271" t="s">
        <v>2182</v>
      </c>
      <c r="AF2271" t="s">
        <v>2183</v>
      </c>
    </row>
    <row r="2272" spans="1:32" hidden="1" x14ac:dyDescent="0.35">
      <c r="A2272">
        <v>1047</v>
      </c>
      <c r="B2272" t="s">
        <v>2174</v>
      </c>
      <c r="C2272" t="s">
        <v>72</v>
      </c>
      <c r="D2272" t="s">
        <v>34</v>
      </c>
      <c r="E2272">
        <v>2243</v>
      </c>
      <c r="F2272">
        <v>5</v>
      </c>
      <c r="G2272">
        <v>5</v>
      </c>
      <c r="H2272">
        <v>1</v>
      </c>
      <c r="I2272">
        <v>1</v>
      </c>
      <c r="J2272">
        <v>0.83073983073983104</v>
      </c>
      <c r="K2272">
        <v>0.99674138507862298</v>
      </c>
      <c r="L2272">
        <v>0.90620112793964602</v>
      </c>
      <c r="M2272">
        <v>0.67346938775510201</v>
      </c>
      <c r="N2272">
        <v>1</v>
      </c>
      <c r="O2272">
        <v>0.78122448979591796</v>
      </c>
      <c r="P2272" t="s">
        <v>2175</v>
      </c>
      <c r="Q2272" t="s">
        <v>2176</v>
      </c>
      <c r="R2272" t="s">
        <v>75</v>
      </c>
      <c r="S2272" t="s">
        <v>76</v>
      </c>
      <c r="T2272" t="s">
        <v>2177</v>
      </c>
      <c r="U2272" t="s">
        <v>2178</v>
      </c>
      <c r="V2272" t="s">
        <v>2179</v>
      </c>
      <c r="W2272" t="s">
        <v>2180</v>
      </c>
      <c r="AD2272" t="s">
        <v>2181</v>
      </c>
      <c r="AE2272" t="s">
        <v>2182</v>
      </c>
      <c r="AF2272" t="s">
        <v>2184</v>
      </c>
    </row>
    <row r="2273" spans="1:32" hidden="1" x14ac:dyDescent="0.35">
      <c r="A2273">
        <v>1048</v>
      </c>
      <c r="B2273" t="s">
        <v>2174</v>
      </c>
      <c r="C2273" t="s">
        <v>72</v>
      </c>
      <c r="D2273" t="s">
        <v>45</v>
      </c>
      <c r="E2273">
        <v>634</v>
      </c>
      <c r="F2273">
        <v>5</v>
      </c>
      <c r="G2273">
        <v>5</v>
      </c>
      <c r="H2273">
        <v>1</v>
      </c>
      <c r="I2273">
        <v>1</v>
      </c>
      <c r="J2273">
        <v>0.83073983073983104</v>
      </c>
      <c r="K2273">
        <v>0.99674138507862298</v>
      </c>
      <c r="L2273">
        <v>0.90620112793964602</v>
      </c>
      <c r="M2273">
        <v>0.67346938775510201</v>
      </c>
      <c r="N2273">
        <v>1</v>
      </c>
      <c r="O2273">
        <v>0.78122448979591796</v>
      </c>
      <c r="P2273" t="s">
        <v>2175</v>
      </c>
      <c r="Q2273" t="s">
        <v>2176</v>
      </c>
      <c r="R2273" t="s">
        <v>75</v>
      </c>
      <c r="S2273" t="s">
        <v>76</v>
      </c>
      <c r="T2273" t="s">
        <v>2177</v>
      </c>
      <c r="U2273" t="s">
        <v>2178</v>
      </c>
      <c r="V2273" t="s">
        <v>2179</v>
      </c>
      <c r="W2273" t="s">
        <v>2180</v>
      </c>
      <c r="AD2273" t="s">
        <v>2181</v>
      </c>
      <c r="AE2273" t="s">
        <v>2182</v>
      </c>
      <c r="AF2273" t="s">
        <v>2184</v>
      </c>
    </row>
    <row r="2274" spans="1:32" hidden="1" x14ac:dyDescent="0.35">
      <c r="A2274">
        <v>3849</v>
      </c>
      <c r="B2274" t="s">
        <v>7943</v>
      </c>
      <c r="C2274" t="s">
        <v>72</v>
      </c>
      <c r="D2274" t="s">
        <v>58</v>
      </c>
      <c r="E2274">
        <v>646</v>
      </c>
      <c r="F2274">
        <v>5</v>
      </c>
      <c r="G2274">
        <v>5</v>
      </c>
      <c r="H2274">
        <v>1</v>
      </c>
      <c r="I2274">
        <v>1</v>
      </c>
      <c r="J2274">
        <v>0.82661038148843002</v>
      </c>
      <c r="K2274">
        <v>0.85623941276115201</v>
      </c>
      <c r="L2274">
        <v>0.84116406591538695</v>
      </c>
      <c r="M2274">
        <v>0.58893280632411105</v>
      </c>
      <c r="N2274">
        <v>0.98418972332015797</v>
      </c>
      <c r="O2274">
        <v>0.702371541501976</v>
      </c>
      <c r="P2274" t="s">
        <v>2163</v>
      </c>
      <c r="Q2274" t="s">
        <v>2164</v>
      </c>
      <c r="R2274" t="s">
        <v>113</v>
      </c>
      <c r="S2274" t="s">
        <v>114</v>
      </c>
      <c r="T2274" t="s">
        <v>7944</v>
      </c>
      <c r="U2274" t="s">
        <v>7945</v>
      </c>
      <c r="V2274" t="s">
        <v>2167</v>
      </c>
      <c r="W2274" t="s">
        <v>2168</v>
      </c>
      <c r="AD2274" t="s">
        <v>312</v>
      </c>
      <c r="AE2274" t="s">
        <v>2169</v>
      </c>
      <c r="AF2274" t="s">
        <v>7946</v>
      </c>
    </row>
    <row r="2275" spans="1:32" hidden="1" x14ac:dyDescent="0.35">
      <c r="A2275">
        <v>1150</v>
      </c>
      <c r="B2275" t="s">
        <v>2385</v>
      </c>
      <c r="C2275" t="s">
        <v>72</v>
      </c>
      <c r="D2275" t="s">
        <v>60</v>
      </c>
      <c r="E2275">
        <v>1772</v>
      </c>
      <c r="F2275">
        <v>5</v>
      </c>
      <c r="G2275">
        <v>5</v>
      </c>
      <c r="H2275">
        <v>1</v>
      </c>
      <c r="I2275">
        <v>1</v>
      </c>
      <c r="J2275">
        <v>0.78111528299263</v>
      </c>
      <c r="K2275">
        <v>0.98252546717938105</v>
      </c>
      <c r="L2275">
        <v>0.87031971592676804</v>
      </c>
      <c r="M2275">
        <v>0.58606557377049195</v>
      </c>
      <c r="N2275">
        <v>1</v>
      </c>
      <c r="O2275">
        <v>0.69180327868852498</v>
      </c>
      <c r="P2275" t="s">
        <v>2386</v>
      </c>
      <c r="Q2275" t="s">
        <v>2387</v>
      </c>
      <c r="R2275" t="s">
        <v>75</v>
      </c>
      <c r="S2275" t="s">
        <v>76</v>
      </c>
      <c r="T2275" t="s">
        <v>2388</v>
      </c>
      <c r="U2275" t="s">
        <v>2389</v>
      </c>
      <c r="V2275" t="s">
        <v>2390</v>
      </c>
      <c r="W2275" t="s">
        <v>2391</v>
      </c>
      <c r="X2275" t="s">
        <v>2390</v>
      </c>
      <c r="Y2275" t="s">
        <v>2392</v>
      </c>
      <c r="Z2275" t="s">
        <v>2393</v>
      </c>
      <c r="AA2275" t="s">
        <v>2394</v>
      </c>
      <c r="AB2275" t="s">
        <v>2393</v>
      </c>
      <c r="AC2275" t="s">
        <v>2395</v>
      </c>
      <c r="AD2275" t="s">
        <v>2396</v>
      </c>
      <c r="AE2275" t="s">
        <v>2397</v>
      </c>
      <c r="AF2275" t="s">
        <v>2399</v>
      </c>
    </row>
    <row r="2276" spans="1:32" hidden="1" x14ac:dyDescent="0.35">
      <c r="A2276">
        <v>1151</v>
      </c>
      <c r="B2276" t="s">
        <v>2385</v>
      </c>
      <c r="C2276" t="s">
        <v>72</v>
      </c>
      <c r="D2276" t="s">
        <v>62</v>
      </c>
      <c r="E2276">
        <v>1808</v>
      </c>
      <c r="F2276">
        <v>5</v>
      </c>
      <c r="G2276">
        <v>5</v>
      </c>
      <c r="H2276">
        <v>1</v>
      </c>
      <c r="I2276">
        <v>1</v>
      </c>
      <c r="J2276">
        <v>0.78111528299263</v>
      </c>
      <c r="K2276">
        <v>0.98252546717938105</v>
      </c>
      <c r="L2276">
        <v>0.87031971592676804</v>
      </c>
      <c r="M2276">
        <v>0.58606557377049195</v>
      </c>
      <c r="N2276">
        <v>1</v>
      </c>
      <c r="O2276">
        <v>0.69180327868852498</v>
      </c>
      <c r="P2276" t="s">
        <v>2386</v>
      </c>
      <c r="Q2276" t="s">
        <v>2387</v>
      </c>
      <c r="R2276" t="s">
        <v>75</v>
      </c>
      <c r="S2276" t="s">
        <v>76</v>
      </c>
      <c r="T2276" t="s">
        <v>2388</v>
      </c>
      <c r="U2276" t="s">
        <v>2389</v>
      </c>
      <c r="V2276" t="s">
        <v>2390</v>
      </c>
      <c r="W2276" t="s">
        <v>2391</v>
      </c>
      <c r="X2276" t="s">
        <v>2390</v>
      </c>
      <c r="Y2276" t="s">
        <v>2392</v>
      </c>
      <c r="Z2276" t="s">
        <v>2393</v>
      </c>
      <c r="AA2276" t="s">
        <v>2394</v>
      </c>
      <c r="AB2276" t="s">
        <v>2393</v>
      </c>
      <c r="AC2276" t="s">
        <v>2395</v>
      </c>
      <c r="AD2276" t="s">
        <v>2396</v>
      </c>
      <c r="AE2276" t="s">
        <v>2397</v>
      </c>
      <c r="AF2276" t="s">
        <v>2399</v>
      </c>
    </row>
    <row r="2277" spans="1:32" hidden="1" x14ac:dyDescent="0.35">
      <c r="A2277">
        <v>1152</v>
      </c>
      <c r="B2277" t="s">
        <v>2385</v>
      </c>
      <c r="C2277" t="s">
        <v>72</v>
      </c>
      <c r="D2277" t="s">
        <v>34</v>
      </c>
      <c r="E2277">
        <v>2142</v>
      </c>
      <c r="F2277">
        <v>5</v>
      </c>
      <c r="G2277">
        <v>5</v>
      </c>
      <c r="H2277">
        <v>1</v>
      </c>
      <c r="I2277">
        <v>1</v>
      </c>
      <c r="J2277">
        <v>0.78111528299263</v>
      </c>
      <c r="K2277">
        <v>0.98252546717938105</v>
      </c>
      <c r="L2277">
        <v>0.87031971592676804</v>
      </c>
      <c r="M2277">
        <v>0.58606557377049195</v>
      </c>
      <c r="N2277">
        <v>1</v>
      </c>
      <c r="O2277">
        <v>0.69180327868852498</v>
      </c>
      <c r="P2277" t="s">
        <v>2386</v>
      </c>
      <c r="Q2277" t="s">
        <v>2387</v>
      </c>
      <c r="R2277" t="s">
        <v>75</v>
      </c>
      <c r="S2277" t="s">
        <v>76</v>
      </c>
      <c r="T2277" t="s">
        <v>2388</v>
      </c>
      <c r="U2277" t="s">
        <v>2389</v>
      </c>
      <c r="V2277" t="s">
        <v>2390</v>
      </c>
      <c r="W2277" t="s">
        <v>2391</v>
      </c>
      <c r="X2277" t="s">
        <v>2390</v>
      </c>
      <c r="Y2277" t="s">
        <v>2392</v>
      </c>
      <c r="Z2277" t="s">
        <v>2393</v>
      </c>
      <c r="AA2277" t="s">
        <v>2394</v>
      </c>
      <c r="AB2277" t="s">
        <v>2393</v>
      </c>
      <c r="AC2277" t="s">
        <v>2395</v>
      </c>
      <c r="AD2277" t="s">
        <v>2396</v>
      </c>
      <c r="AE2277" t="s">
        <v>2397</v>
      </c>
      <c r="AF2277" t="s">
        <v>2400</v>
      </c>
    </row>
    <row r="2278" spans="1:32" hidden="1" x14ac:dyDescent="0.35">
      <c r="A2278">
        <v>1153</v>
      </c>
      <c r="B2278" t="s">
        <v>2385</v>
      </c>
      <c r="C2278" t="s">
        <v>72</v>
      </c>
      <c r="D2278" t="s">
        <v>45</v>
      </c>
      <c r="E2278">
        <v>731</v>
      </c>
      <c r="F2278">
        <v>5</v>
      </c>
      <c r="G2278">
        <v>5</v>
      </c>
      <c r="H2278">
        <v>1</v>
      </c>
      <c r="I2278">
        <v>1</v>
      </c>
      <c r="J2278">
        <v>0.78111528299263</v>
      </c>
      <c r="K2278">
        <v>0.98252546717938105</v>
      </c>
      <c r="L2278">
        <v>0.87031971592676804</v>
      </c>
      <c r="M2278">
        <v>0.58606557377049195</v>
      </c>
      <c r="N2278">
        <v>1</v>
      </c>
      <c r="O2278">
        <v>0.69180327868852498</v>
      </c>
      <c r="P2278" t="s">
        <v>2386</v>
      </c>
      <c r="Q2278" t="s">
        <v>2387</v>
      </c>
      <c r="R2278" t="s">
        <v>75</v>
      </c>
      <c r="S2278" t="s">
        <v>76</v>
      </c>
      <c r="T2278" t="s">
        <v>2388</v>
      </c>
      <c r="U2278" t="s">
        <v>2389</v>
      </c>
      <c r="V2278" t="s">
        <v>2390</v>
      </c>
      <c r="W2278" t="s">
        <v>2391</v>
      </c>
      <c r="X2278" t="s">
        <v>2390</v>
      </c>
      <c r="Y2278" t="s">
        <v>2392</v>
      </c>
      <c r="Z2278" t="s">
        <v>2393</v>
      </c>
      <c r="AA2278" t="s">
        <v>2394</v>
      </c>
      <c r="AB2278" t="s">
        <v>2393</v>
      </c>
      <c r="AC2278" t="s">
        <v>2395</v>
      </c>
      <c r="AD2278" t="s">
        <v>2396</v>
      </c>
      <c r="AE2278" t="s">
        <v>2397</v>
      </c>
      <c r="AF2278" t="s">
        <v>2400</v>
      </c>
    </row>
    <row r="2279" spans="1:32" hidden="1" x14ac:dyDescent="0.35">
      <c r="A2279">
        <v>4604</v>
      </c>
      <c r="B2279" t="s">
        <v>9631</v>
      </c>
      <c r="C2279" t="s">
        <v>72</v>
      </c>
      <c r="D2279" t="s">
        <v>58</v>
      </c>
      <c r="E2279">
        <v>541</v>
      </c>
      <c r="F2279">
        <v>5</v>
      </c>
      <c r="G2279">
        <v>5</v>
      </c>
      <c r="H2279">
        <v>1</v>
      </c>
      <c r="I2279">
        <v>1</v>
      </c>
      <c r="J2279">
        <v>0.80426179604261805</v>
      </c>
      <c r="K2279">
        <v>0.96956145526057202</v>
      </c>
      <c r="L2279">
        <v>0.87920962453127505</v>
      </c>
      <c r="M2279">
        <v>0.66814159292035402</v>
      </c>
      <c r="N2279">
        <v>0.99557522123893805</v>
      </c>
      <c r="O2279">
        <v>0.75486725663716803</v>
      </c>
      <c r="P2279" t="s">
        <v>2163</v>
      </c>
      <c r="Q2279" t="s">
        <v>2164</v>
      </c>
      <c r="R2279" t="s">
        <v>113</v>
      </c>
      <c r="S2279" t="s">
        <v>114</v>
      </c>
      <c r="V2279" t="s">
        <v>2167</v>
      </c>
      <c r="W2279" t="s">
        <v>2168</v>
      </c>
      <c r="AF2279" t="s">
        <v>9632</v>
      </c>
    </row>
    <row r="2280" spans="1:32" hidden="1" x14ac:dyDescent="0.35">
      <c r="A2280">
        <v>1220</v>
      </c>
      <c r="B2280" t="s">
        <v>2531</v>
      </c>
      <c r="C2280" t="s">
        <v>72</v>
      </c>
      <c r="D2280" t="s">
        <v>60</v>
      </c>
      <c r="E2280">
        <v>2318</v>
      </c>
      <c r="F2280">
        <v>5</v>
      </c>
      <c r="G2280">
        <v>5</v>
      </c>
      <c r="H2280">
        <v>1</v>
      </c>
      <c r="I2280">
        <v>1</v>
      </c>
      <c r="J2280">
        <v>0.81250859106529205</v>
      </c>
      <c r="K2280">
        <v>0.96121169259783501</v>
      </c>
      <c r="L2280">
        <v>0.88062674285398401</v>
      </c>
      <c r="M2280">
        <v>0.62772277227722795</v>
      </c>
      <c r="N2280">
        <v>1</v>
      </c>
      <c r="O2280">
        <v>0.72277227722772297</v>
      </c>
      <c r="P2280" t="s">
        <v>2532</v>
      </c>
      <c r="Q2280" t="s">
        <v>2533</v>
      </c>
      <c r="R2280" t="s">
        <v>75</v>
      </c>
      <c r="S2280" t="s">
        <v>76</v>
      </c>
      <c r="T2280" t="s">
        <v>2534</v>
      </c>
      <c r="U2280" t="s">
        <v>2535</v>
      </c>
      <c r="V2280" t="s">
        <v>2536</v>
      </c>
      <c r="W2280" t="s">
        <v>2537</v>
      </c>
      <c r="X2280" t="s">
        <v>2536</v>
      </c>
      <c r="Y2280" t="s">
        <v>2392</v>
      </c>
      <c r="AD2280" t="s">
        <v>410</v>
      </c>
      <c r="AE2280" t="s">
        <v>2538</v>
      </c>
      <c r="AF2280" t="e">
        <f>---MIH-----------IEWWQTTGLILEYSIKLLAIGIVPEGRRPSSSSAWLLAILVVPVVGLPLFLLMGSKHINARRHRVQREANAMIKDVHADFPDIPPG-ARVTDELLSIIRLNRTLTSMPAVSGESRGVLADYTESLLRMAEAIDSATSYVHMEIYIVAWDNATDEVFRAMERAVQRGVKVRLLFDQVGSWKYPGYRGLGKRLTSIGVDWHIMLPLQPWRWRFRRPDLRNHRKLLVIDGRVGFMGSQNLIDSSYLMSTNIKKGRHWVDVMVELTGPIVTSLEMVFAMDWYMESEEIL--IGDADSLPNSPAPE-NVLQLIPSGPGYSTEPNLRLFNSVVHHAKDRLILCSPYFIPDESLLEAVTTACYRGVRVDLLVSEESDQFMVGHAQSSYYQGLLEAGLRIFLYPAPDVLHSKFMIADPLGVSA-AVVGSSNMDMRSFGLNYEISLLVASGDLIDSLYNLAEEYMSVSTELTLEEWNKRGFIRRYVDNAMRLTSALQ</f>
        <v>#NAME?</v>
      </c>
    </row>
    <row r="2281" spans="1:32" hidden="1" x14ac:dyDescent="0.35">
      <c r="A2281">
        <v>1221</v>
      </c>
      <c r="B2281" t="s">
        <v>2531</v>
      </c>
      <c r="C2281" t="s">
        <v>72</v>
      </c>
      <c r="D2281" t="s">
        <v>62</v>
      </c>
      <c r="E2281">
        <v>2346</v>
      </c>
      <c r="F2281">
        <v>5</v>
      </c>
      <c r="G2281">
        <v>5</v>
      </c>
      <c r="H2281">
        <v>1</v>
      </c>
      <c r="I2281">
        <v>1</v>
      </c>
      <c r="J2281">
        <v>0.81250859106529205</v>
      </c>
      <c r="K2281">
        <v>0.96121169259783501</v>
      </c>
      <c r="L2281">
        <v>0.88062674285398401</v>
      </c>
      <c r="M2281">
        <v>0.62772277227722795</v>
      </c>
      <c r="N2281">
        <v>1</v>
      </c>
      <c r="O2281">
        <v>0.72277227722772297</v>
      </c>
      <c r="P2281" t="s">
        <v>2532</v>
      </c>
      <c r="Q2281" t="s">
        <v>2533</v>
      </c>
      <c r="R2281" t="s">
        <v>75</v>
      </c>
      <c r="S2281" t="s">
        <v>76</v>
      </c>
      <c r="T2281" t="s">
        <v>2534</v>
      </c>
      <c r="U2281" t="s">
        <v>2535</v>
      </c>
      <c r="V2281" t="s">
        <v>2536</v>
      </c>
      <c r="W2281" t="s">
        <v>2537</v>
      </c>
      <c r="X2281" t="s">
        <v>2536</v>
      </c>
      <c r="Y2281" t="s">
        <v>2392</v>
      </c>
      <c r="AD2281" t="s">
        <v>410</v>
      </c>
      <c r="AE2281" t="s">
        <v>2538</v>
      </c>
      <c r="AF2281" t="e">
        <f>---MIH-----------IEWWQTTGLILEYSIKLLAIGIVPEGRRPSSSSAWLLAILLVPVVGLPLFLLMGSKHINARRHRVQREANAMIKDVHADFPDIPPG-ARVTDELLSIIRLNRTLTSMPAVSGESRGVLADYTESLLRMAEAIDSATSYVHMEIYIVAWDNATDEVFRAMERAVQRGVKVRLLFDQVGSWKYPGYRGLGKRLTSIGVDWHIMLPLQPWRWRFRRPDLRNHRKLLVIDGRVGFMGSQNLIDSSYLMSTNIKKGRHWVDVMVELTGPIVTSLEMVFAMDWYMESEEIL--IGDADSLPNSPAPE-NVLQLIPSGPGYSTEPNLRLFNSVVHHAKDRLILCSPYFIPDESLLEAVTTACYRGVRVDLLVSEESDQFMVGHAQSSYYQGLLEAGLRIFLYPAPDVLHSKFMIADPLGVSA-AVVGSSNMDMRSFGLNYEISLLVASGDLIDSLYDLAEEYMSVSTELTLEEWNKRGFIRRYVDNAMRLTSALQ</f>
        <v>#NAME?</v>
      </c>
    </row>
    <row r="2282" spans="1:32" hidden="1" x14ac:dyDescent="0.35">
      <c r="A2282">
        <v>1222</v>
      </c>
      <c r="B2282" t="s">
        <v>2531</v>
      </c>
      <c r="C2282" t="s">
        <v>72</v>
      </c>
      <c r="D2282" t="s">
        <v>34</v>
      </c>
      <c r="E2282">
        <v>1475</v>
      </c>
      <c r="F2282">
        <v>5</v>
      </c>
      <c r="G2282">
        <v>5</v>
      </c>
      <c r="H2282">
        <v>1</v>
      </c>
      <c r="I2282">
        <v>1</v>
      </c>
      <c r="J2282">
        <v>0.81250859106529205</v>
      </c>
      <c r="K2282">
        <v>0.96121169259783501</v>
      </c>
      <c r="L2282">
        <v>0.88062674285398401</v>
      </c>
      <c r="M2282">
        <v>0.62772277227722795</v>
      </c>
      <c r="N2282">
        <v>1</v>
      </c>
      <c r="O2282">
        <v>0.72277227722772297</v>
      </c>
      <c r="P2282" t="s">
        <v>2532</v>
      </c>
      <c r="Q2282" t="s">
        <v>2533</v>
      </c>
      <c r="R2282" t="s">
        <v>75</v>
      </c>
      <c r="S2282" t="s">
        <v>76</v>
      </c>
      <c r="T2282" t="s">
        <v>2534</v>
      </c>
      <c r="U2282" t="s">
        <v>2535</v>
      </c>
      <c r="V2282" t="s">
        <v>2536</v>
      </c>
      <c r="W2282" t="s">
        <v>2537</v>
      </c>
      <c r="X2282" t="s">
        <v>2536</v>
      </c>
      <c r="Y2282" t="s">
        <v>2392</v>
      </c>
      <c r="AD2282" t="s">
        <v>410</v>
      </c>
      <c r="AE2282" t="s">
        <v>2538</v>
      </c>
      <c r="AF2282" t="s">
        <v>2540</v>
      </c>
    </row>
    <row r="2283" spans="1:32" hidden="1" x14ac:dyDescent="0.35">
      <c r="A2283">
        <v>1223</v>
      </c>
      <c r="B2283" t="s">
        <v>2531</v>
      </c>
      <c r="C2283" t="s">
        <v>72</v>
      </c>
      <c r="D2283" t="s">
        <v>45</v>
      </c>
      <c r="E2283">
        <v>225</v>
      </c>
      <c r="F2283">
        <v>5</v>
      </c>
      <c r="G2283">
        <v>5</v>
      </c>
      <c r="H2283">
        <v>1</v>
      </c>
      <c r="I2283">
        <v>1</v>
      </c>
      <c r="J2283">
        <v>0.81250859106529205</v>
      </c>
      <c r="K2283">
        <v>0.96121169259783501</v>
      </c>
      <c r="L2283">
        <v>0.88062674285398401</v>
      </c>
      <c r="M2283">
        <v>0.62772277227722795</v>
      </c>
      <c r="N2283">
        <v>1</v>
      </c>
      <c r="O2283">
        <v>0.72277227722772297</v>
      </c>
      <c r="P2283" t="s">
        <v>2532</v>
      </c>
      <c r="Q2283" t="s">
        <v>2533</v>
      </c>
      <c r="R2283" t="s">
        <v>75</v>
      </c>
      <c r="S2283" t="s">
        <v>76</v>
      </c>
      <c r="T2283" t="s">
        <v>2534</v>
      </c>
      <c r="U2283" t="s">
        <v>2535</v>
      </c>
      <c r="V2283" t="s">
        <v>2536</v>
      </c>
      <c r="W2283" t="s">
        <v>2537</v>
      </c>
      <c r="X2283" t="s">
        <v>2536</v>
      </c>
      <c r="Y2283" t="s">
        <v>2392</v>
      </c>
      <c r="AD2283" t="s">
        <v>410</v>
      </c>
      <c r="AE2283" t="s">
        <v>2538</v>
      </c>
      <c r="AF2283" t="s">
        <v>2540</v>
      </c>
    </row>
    <row r="2284" spans="1:32" hidden="1" x14ac:dyDescent="0.35">
      <c r="A2284">
        <v>5340</v>
      </c>
      <c r="B2284" t="s">
        <v>11069</v>
      </c>
      <c r="C2284" t="s">
        <v>10127</v>
      </c>
      <c r="D2284" t="s">
        <v>58</v>
      </c>
      <c r="E2284">
        <v>309</v>
      </c>
      <c r="F2284">
        <v>4</v>
      </c>
      <c r="G2284">
        <v>4</v>
      </c>
      <c r="H2284">
        <v>1</v>
      </c>
      <c r="I2284">
        <v>0</v>
      </c>
      <c r="J2284">
        <v>0.83465608465608498</v>
      </c>
      <c r="K2284">
        <v>0.94719946190534499</v>
      </c>
      <c r="L2284">
        <v>0.88737360981692803</v>
      </c>
      <c r="M2284">
        <v>0.67117117117117098</v>
      </c>
      <c r="N2284">
        <v>1</v>
      </c>
      <c r="O2284">
        <v>0.75900900900900903</v>
      </c>
      <c r="P2284" t="s">
        <v>11071</v>
      </c>
      <c r="Q2284" t="s">
        <v>10345</v>
      </c>
      <c r="R2284" t="s">
        <v>113</v>
      </c>
      <c r="S2284" t="s">
        <v>114</v>
      </c>
      <c r="V2284" t="s">
        <v>2167</v>
      </c>
      <c r="W2284" t="s">
        <v>2168</v>
      </c>
      <c r="AF2284" t="e">
        <f>------------MILVPRRRPAQQRSRERFDRILAAARTVLVDVGFESFTFDEVAKRAEVPIGTLYQFFANKYVLICELDRQDAAGIVSELRSFATRVPALQWPDFLDEFIDHLAGLWRDDPTRRAVWHAIQSTPATRATAAETEREMLQLIATVMKPLAPAAPESKRMELAGILVHTVSSLLNFAVRDEGEEGAVSDASFDTTVKEIKRMLVAYLFAVATG</f>
        <v>#NAME?</v>
      </c>
    </row>
    <row r="2285" spans="1:32" hidden="1" x14ac:dyDescent="0.35">
      <c r="A2285">
        <v>1225</v>
      </c>
      <c r="B2285" t="s">
        <v>2541</v>
      </c>
      <c r="C2285" t="s">
        <v>72</v>
      </c>
      <c r="D2285" t="s">
        <v>60</v>
      </c>
      <c r="E2285">
        <v>1593</v>
      </c>
      <c r="F2285">
        <v>5</v>
      </c>
      <c r="G2285">
        <v>5</v>
      </c>
      <c r="H2285">
        <v>1</v>
      </c>
      <c r="I2285">
        <v>1</v>
      </c>
      <c r="J2285">
        <v>0.93666407800500495</v>
      </c>
      <c r="K2285">
        <v>0.99308297776482002</v>
      </c>
      <c r="L2285">
        <v>0.96404878449675901</v>
      </c>
      <c r="M2285">
        <v>0.86375321336760902</v>
      </c>
      <c r="N2285">
        <v>1</v>
      </c>
      <c r="O2285">
        <v>0.910539845758355</v>
      </c>
      <c r="P2285" t="s">
        <v>2542</v>
      </c>
      <c r="Q2285" t="s">
        <v>2543</v>
      </c>
      <c r="R2285" t="s">
        <v>75</v>
      </c>
      <c r="S2285" t="s">
        <v>76</v>
      </c>
      <c r="T2285" t="s">
        <v>2544</v>
      </c>
      <c r="U2285" t="s">
        <v>2545</v>
      </c>
      <c r="V2285" t="s">
        <v>2546</v>
      </c>
      <c r="W2285" t="s">
        <v>2547</v>
      </c>
      <c r="X2285" t="s">
        <v>2546</v>
      </c>
      <c r="Y2285" t="s">
        <v>619</v>
      </c>
      <c r="Z2285" t="s">
        <v>891</v>
      </c>
      <c r="AA2285" t="s">
        <v>892</v>
      </c>
      <c r="AB2285" t="s">
        <v>891</v>
      </c>
      <c r="AC2285" t="s">
        <v>893</v>
      </c>
      <c r="AD2285" t="s">
        <v>191</v>
      </c>
      <c r="AE2285" t="s">
        <v>2548</v>
      </c>
      <c r="AF2285" t="s">
        <v>2550</v>
      </c>
    </row>
    <row r="2286" spans="1:32" hidden="1" x14ac:dyDescent="0.35">
      <c r="A2286">
        <v>1226</v>
      </c>
      <c r="B2286" t="s">
        <v>2541</v>
      </c>
      <c r="C2286" t="s">
        <v>72</v>
      </c>
      <c r="D2286" t="s">
        <v>62</v>
      </c>
      <c r="E2286">
        <v>1629</v>
      </c>
      <c r="F2286">
        <v>5</v>
      </c>
      <c r="G2286">
        <v>5</v>
      </c>
      <c r="H2286">
        <v>1</v>
      </c>
      <c r="I2286">
        <v>1</v>
      </c>
      <c r="J2286">
        <v>0.93666407800500495</v>
      </c>
      <c r="K2286">
        <v>0.99308297776482002</v>
      </c>
      <c r="L2286">
        <v>0.96404878449675901</v>
      </c>
      <c r="M2286">
        <v>0.86375321336760902</v>
      </c>
      <c r="N2286">
        <v>1</v>
      </c>
      <c r="O2286">
        <v>0.910539845758355</v>
      </c>
      <c r="P2286" t="s">
        <v>2542</v>
      </c>
      <c r="Q2286" t="s">
        <v>2543</v>
      </c>
      <c r="R2286" t="s">
        <v>75</v>
      </c>
      <c r="S2286" t="s">
        <v>76</v>
      </c>
      <c r="T2286" t="s">
        <v>2544</v>
      </c>
      <c r="U2286" t="s">
        <v>2545</v>
      </c>
      <c r="V2286" t="s">
        <v>2546</v>
      </c>
      <c r="W2286" t="s">
        <v>2547</v>
      </c>
      <c r="X2286" t="s">
        <v>2546</v>
      </c>
      <c r="Y2286" t="s">
        <v>619</v>
      </c>
      <c r="Z2286" t="s">
        <v>891</v>
      </c>
      <c r="AA2286" t="s">
        <v>892</v>
      </c>
      <c r="AB2286" t="s">
        <v>891</v>
      </c>
      <c r="AC2286" t="s">
        <v>893</v>
      </c>
      <c r="AD2286" t="s">
        <v>191</v>
      </c>
      <c r="AE2286" t="s">
        <v>2548</v>
      </c>
      <c r="AF2286" t="s">
        <v>2550</v>
      </c>
    </row>
    <row r="2287" spans="1:32" hidden="1" x14ac:dyDescent="0.35">
      <c r="A2287">
        <v>1227</v>
      </c>
      <c r="B2287" t="s">
        <v>2541</v>
      </c>
      <c r="C2287" t="s">
        <v>72</v>
      </c>
      <c r="D2287" t="s">
        <v>34</v>
      </c>
      <c r="E2287">
        <v>1982</v>
      </c>
      <c r="F2287">
        <v>5</v>
      </c>
      <c r="G2287">
        <v>5</v>
      </c>
      <c r="H2287">
        <v>1</v>
      </c>
      <c r="I2287">
        <v>1</v>
      </c>
      <c r="J2287">
        <v>0.93666407800500495</v>
      </c>
      <c r="K2287">
        <v>0.99308297776482002</v>
      </c>
      <c r="L2287">
        <v>0.96404878449675901</v>
      </c>
      <c r="M2287">
        <v>0.86375321336760902</v>
      </c>
      <c r="N2287">
        <v>1</v>
      </c>
      <c r="O2287">
        <v>0.910539845758355</v>
      </c>
      <c r="P2287" t="s">
        <v>2542</v>
      </c>
      <c r="Q2287" t="s">
        <v>2543</v>
      </c>
      <c r="R2287" t="s">
        <v>75</v>
      </c>
      <c r="S2287" t="s">
        <v>76</v>
      </c>
      <c r="T2287" t="s">
        <v>2544</v>
      </c>
      <c r="U2287" t="s">
        <v>2545</v>
      </c>
      <c r="V2287" t="s">
        <v>2546</v>
      </c>
      <c r="W2287" t="s">
        <v>2547</v>
      </c>
      <c r="X2287" t="s">
        <v>2546</v>
      </c>
      <c r="Y2287" t="s">
        <v>619</v>
      </c>
      <c r="Z2287" t="s">
        <v>891</v>
      </c>
      <c r="AA2287" t="s">
        <v>892</v>
      </c>
      <c r="AB2287" t="s">
        <v>891</v>
      </c>
      <c r="AC2287" t="s">
        <v>893</v>
      </c>
      <c r="AD2287" t="s">
        <v>191</v>
      </c>
      <c r="AE2287" t="s">
        <v>2548</v>
      </c>
      <c r="AF2287" t="s">
        <v>2551</v>
      </c>
    </row>
    <row r="2288" spans="1:32" hidden="1" x14ac:dyDescent="0.35">
      <c r="A2288">
        <v>1228</v>
      </c>
      <c r="B2288" t="s">
        <v>2541</v>
      </c>
      <c r="C2288" t="s">
        <v>72</v>
      </c>
      <c r="D2288" t="s">
        <v>45</v>
      </c>
      <c r="E2288">
        <v>891</v>
      </c>
      <c r="F2288">
        <v>5</v>
      </c>
      <c r="G2288">
        <v>5</v>
      </c>
      <c r="H2288">
        <v>1</v>
      </c>
      <c r="I2288">
        <v>1</v>
      </c>
      <c r="J2288">
        <v>0.93666407800500495</v>
      </c>
      <c r="K2288">
        <v>0.99308297776482002</v>
      </c>
      <c r="L2288">
        <v>0.96404878449675901</v>
      </c>
      <c r="M2288">
        <v>0.86375321336760902</v>
      </c>
      <c r="N2288">
        <v>1</v>
      </c>
      <c r="O2288">
        <v>0.910539845758355</v>
      </c>
      <c r="P2288" t="s">
        <v>2542</v>
      </c>
      <c r="Q2288" t="s">
        <v>2543</v>
      </c>
      <c r="R2288" t="s">
        <v>75</v>
      </c>
      <c r="S2288" t="s">
        <v>76</v>
      </c>
      <c r="T2288" t="s">
        <v>2544</v>
      </c>
      <c r="U2288" t="s">
        <v>2545</v>
      </c>
      <c r="V2288" t="s">
        <v>2546</v>
      </c>
      <c r="W2288" t="s">
        <v>2547</v>
      </c>
      <c r="X2288" t="s">
        <v>2546</v>
      </c>
      <c r="Y2288" t="s">
        <v>619</v>
      </c>
      <c r="Z2288" t="s">
        <v>891</v>
      </c>
      <c r="AA2288" t="s">
        <v>892</v>
      </c>
      <c r="AB2288" t="s">
        <v>891</v>
      </c>
      <c r="AC2288" t="s">
        <v>893</v>
      </c>
      <c r="AD2288" t="s">
        <v>191</v>
      </c>
      <c r="AE2288" t="s">
        <v>2548</v>
      </c>
      <c r="AF2288" t="s">
        <v>2551</v>
      </c>
    </row>
    <row r="2289" spans="1:32" hidden="1" x14ac:dyDescent="0.35">
      <c r="A2289">
        <v>5999</v>
      </c>
      <c r="B2289" t="s">
        <v>12334</v>
      </c>
      <c r="C2289" t="s">
        <v>13295</v>
      </c>
      <c r="D2289" t="s">
        <v>58</v>
      </c>
      <c r="E2289">
        <v>1038</v>
      </c>
      <c r="F2289">
        <v>3</v>
      </c>
      <c r="G2289">
        <v>3</v>
      </c>
      <c r="H2289">
        <v>1</v>
      </c>
      <c r="I2289">
        <v>0</v>
      </c>
      <c r="J2289">
        <v>0.76321839080459797</v>
      </c>
      <c r="K2289">
        <v>0.98149107358679599</v>
      </c>
      <c r="L2289">
        <v>0.858701179836033</v>
      </c>
      <c r="M2289">
        <v>0.53299492385786795</v>
      </c>
      <c r="N2289">
        <v>1</v>
      </c>
      <c r="O2289">
        <v>0.68866328257191201</v>
      </c>
      <c r="P2289" t="s">
        <v>12335</v>
      </c>
      <c r="Q2289" t="s">
        <v>12336</v>
      </c>
      <c r="R2289" t="s">
        <v>113</v>
      </c>
      <c r="S2289" t="s">
        <v>114</v>
      </c>
      <c r="V2289" t="s">
        <v>2167</v>
      </c>
      <c r="W2289" t="s">
        <v>2168</v>
      </c>
      <c r="AF2289" t="s">
        <v>12337</v>
      </c>
    </row>
    <row r="2290" spans="1:32" hidden="1" x14ac:dyDescent="0.35">
      <c r="A2290">
        <v>1260</v>
      </c>
      <c r="B2290" t="s">
        <v>2609</v>
      </c>
      <c r="C2290" t="s">
        <v>72</v>
      </c>
      <c r="D2290" t="s">
        <v>60</v>
      </c>
      <c r="E2290">
        <v>1595</v>
      </c>
      <c r="F2290">
        <v>5</v>
      </c>
      <c r="G2290">
        <v>5</v>
      </c>
      <c r="H2290">
        <v>1</v>
      </c>
      <c r="I2290">
        <v>1</v>
      </c>
      <c r="J2290">
        <v>0.77832855030872194</v>
      </c>
      <c r="K2290">
        <v>0.91355551552949199</v>
      </c>
      <c r="L2290">
        <v>0.840537900185651</v>
      </c>
      <c r="M2290">
        <v>0.52606635071090002</v>
      </c>
      <c r="N2290">
        <v>1</v>
      </c>
      <c r="O2290">
        <v>0.69881516587677694</v>
      </c>
      <c r="P2290" t="s">
        <v>2610</v>
      </c>
      <c r="Q2290" t="s">
        <v>2611</v>
      </c>
      <c r="R2290" t="s">
        <v>75</v>
      </c>
      <c r="S2290" t="s">
        <v>76</v>
      </c>
      <c r="T2290" t="s">
        <v>2612</v>
      </c>
      <c r="U2290" t="s">
        <v>2613</v>
      </c>
      <c r="V2290" t="s">
        <v>2614</v>
      </c>
      <c r="W2290" t="s">
        <v>2615</v>
      </c>
      <c r="X2290" t="s">
        <v>2614</v>
      </c>
      <c r="Y2290" t="s">
        <v>619</v>
      </c>
      <c r="Z2290" t="s">
        <v>891</v>
      </c>
      <c r="AA2290" t="s">
        <v>892</v>
      </c>
      <c r="AB2290" t="s">
        <v>891</v>
      </c>
      <c r="AC2290" t="s">
        <v>893</v>
      </c>
      <c r="AD2290" t="s">
        <v>219</v>
      </c>
      <c r="AE2290" t="s">
        <v>2616</v>
      </c>
      <c r="AF2290" t="s">
        <v>2618</v>
      </c>
    </row>
    <row r="2291" spans="1:32" hidden="1" x14ac:dyDescent="0.35">
      <c r="A2291">
        <v>1261</v>
      </c>
      <c r="B2291" t="s">
        <v>2609</v>
      </c>
      <c r="C2291" t="s">
        <v>72</v>
      </c>
      <c r="D2291" t="s">
        <v>62</v>
      </c>
      <c r="E2291">
        <v>1631</v>
      </c>
      <c r="F2291">
        <v>5</v>
      </c>
      <c r="G2291">
        <v>5</v>
      </c>
      <c r="H2291">
        <v>1</v>
      </c>
      <c r="I2291">
        <v>1</v>
      </c>
      <c r="J2291">
        <v>0.77832855030872194</v>
      </c>
      <c r="K2291">
        <v>0.91355551552949199</v>
      </c>
      <c r="L2291">
        <v>0.840537900185651</v>
      </c>
      <c r="M2291">
        <v>0.52606635071090002</v>
      </c>
      <c r="N2291">
        <v>1</v>
      </c>
      <c r="O2291">
        <v>0.69881516587677694</v>
      </c>
      <c r="P2291" t="s">
        <v>2610</v>
      </c>
      <c r="Q2291" t="s">
        <v>2611</v>
      </c>
      <c r="R2291" t="s">
        <v>75</v>
      </c>
      <c r="S2291" t="s">
        <v>76</v>
      </c>
      <c r="T2291" t="s">
        <v>2612</v>
      </c>
      <c r="U2291" t="s">
        <v>2613</v>
      </c>
      <c r="V2291" t="s">
        <v>2614</v>
      </c>
      <c r="W2291" t="s">
        <v>2615</v>
      </c>
      <c r="X2291" t="s">
        <v>2614</v>
      </c>
      <c r="Y2291" t="s">
        <v>619</v>
      </c>
      <c r="Z2291" t="s">
        <v>891</v>
      </c>
      <c r="AA2291" t="s">
        <v>892</v>
      </c>
      <c r="AB2291" t="s">
        <v>891</v>
      </c>
      <c r="AC2291" t="s">
        <v>893</v>
      </c>
      <c r="AD2291" t="s">
        <v>219</v>
      </c>
      <c r="AE2291" t="s">
        <v>2616</v>
      </c>
      <c r="AF2291" t="s">
        <v>2619</v>
      </c>
    </row>
    <row r="2292" spans="1:32" hidden="1" x14ac:dyDescent="0.35">
      <c r="A2292">
        <v>1262</v>
      </c>
      <c r="B2292" t="s">
        <v>2609</v>
      </c>
      <c r="C2292" t="s">
        <v>72</v>
      </c>
      <c r="D2292" t="s">
        <v>34</v>
      </c>
      <c r="E2292">
        <v>1991</v>
      </c>
      <c r="F2292">
        <v>5</v>
      </c>
      <c r="G2292">
        <v>5</v>
      </c>
      <c r="H2292">
        <v>1</v>
      </c>
      <c r="I2292">
        <v>1</v>
      </c>
      <c r="J2292">
        <v>0.77832855030872194</v>
      </c>
      <c r="K2292">
        <v>0.91355551552949199</v>
      </c>
      <c r="L2292">
        <v>0.840537900185651</v>
      </c>
      <c r="M2292">
        <v>0.52606635071090002</v>
      </c>
      <c r="N2292">
        <v>1</v>
      </c>
      <c r="O2292">
        <v>0.69881516587677694</v>
      </c>
      <c r="P2292" t="s">
        <v>2610</v>
      </c>
      <c r="Q2292" t="s">
        <v>2611</v>
      </c>
      <c r="R2292" t="s">
        <v>75</v>
      </c>
      <c r="S2292" t="s">
        <v>76</v>
      </c>
      <c r="T2292" t="s">
        <v>2612</v>
      </c>
      <c r="U2292" t="s">
        <v>2613</v>
      </c>
      <c r="V2292" t="s">
        <v>2614</v>
      </c>
      <c r="W2292" t="s">
        <v>2615</v>
      </c>
      <c r="X2292" t="s">
        <v>2614</v>
      </c>
      <c r="Y2292" t="s">
        <v>619</v>
      </c>
      <c r="Z2292" t="s">
        <v>891</v>
      </c>
      <c r="AA2292" t="s">
        <v>892</v>
      </c>
      <c r="AB2292" t="s">
        <v>891</v>
      </c>
      <c r="AC2292" t="s">
        <v>893</v>
      </c>
      <c r="AD2292" t="s">
        <v>219</v>
      </c>
      <c r="AE2292" t="s">
        <v>2616</v>
      </c>
      <c r="AF2292" t="s">
        <v>2620</v>
      </c>
    </row>
    <row r="2293" spans="1:32" hidden="1" x14ac:dyDescent="0.35">
      <c r="A2293">
        <v>1263</v>
      </c>
      <c r="B2293" t="s">
        <v>2609</v>
      </c>
      <c r="C2293" t="s">
        <v>72</v>
      </c>
      <c r="D2293" t="s">
        <v>45</v>
      </c>
      <c r="E2293">
        <v>882</v>
      </c>
      <c r="F2293">
        <v>5</v>
      </c>
      <c r="G2293">
        <v>5</v>
      </c>
      <c r="H2293">
        <v>1</v>
      </c>
      <c r="I2293">
        <v>1</v>
      </c>
      <c r="J2293">
        <v>0.77832855030872194</v>
      </c>
      <c r="K2293">
        <v>0.91355551552949199</v>
      </c>
      <c r="L2293">
        <v>0.840537900185651</v>
      </c>
      <c r="M2293">
        <v>0.52606635071090002</v>
      </c>
      <c r="N2293">
        <v>1</v>
      </c>
      <c r="O2293">
        <v>0.69881516587677694</v>
      </c>
      <c r="P2293" t="s">
        <v>2610</v>
      </c>
      <c r="Q2293" t="s">
        <v>2611</v>
      </c>
      <c r="R2293" t="s">
        <v>75</v>
      </c>
      <c r="S2293" t="s">
        <v>76</v>
      </c>
      <c r="T2293" t="s">
        <v>2612</v>
      </c>
      <c r="U2293" t="s">
        <v>2613</v>
      </c>
      <c r="V2293" t="s">
        <v>2614</v>
      </c>
      <c r="W2293" t="s">
        <v>2615</v>
      </c>
      <c r="X2293" t="s">
        <v>2614</v>
      </c>
      <c r="Y2293" t="s">
        <v>619</v>
      </c>
      <c r="Z2293" t="s">
        <v>891</v>
      </c>
      <c r="AA2293" t="s">
        <v>892</v>
      </c>
      <c r="AB2293" t="s">
        <v>891</v>
      </c>
      <c r="AC2293" t="s">
        <v>893</v>
      </c>
      <c r="AD2293" t="s">
        <v>219</v>
      </c>
      <c r="AE2293" t="s">
        <v>2616</v>
      </c>
      <c r="AF2293" t="s">
        <v>2620</v>
      </c>
    </row>
    <row r="2294" spans="1:32" hidden="1" x14ac:dyDescent="0.35">
      <c r="A2294">
        <v>6332</v>
      </c>
      <c r="B2294" t="s">
        <v>13055</v>
      </c>
      <c r="C2294" t="s">
        <v>68</v>
      </c>
      <c r="D2294" t="s">
        <v>58</v>
      </c>
      <c r="E2294">
        <v>1477</v>
      </c>
      <c r="F2294">
        <v>3</v>
      </c>
      <c r="G2294">
        <v>3</v>
      </c>
      <c r="H2294">
        <v>1</v>
      </c>
      <c r="I2294">
        <v>0</v>
      </c>
      <c r="J2294">
        <v>0.80175195942830801</v>
      </c>
      <c r="K2294">
        <v>0.84365827466889298</v>
      </c>
      <c r="L2294">
        <v>0.82217146920180495</v>
      </c>
      <c r="M2294">
        <v>0.50689655172413794</v>
      </c>
      <c r="N2294">
        <v>0.99655172413793103</v>
      </c>
      <c r="O2294">
        <v>0.671264367816092</v>
      </c>
      <c r="P2294" t="s">
        <v>13056</v>
      </c>
      <c r="Q2294" t="s">
        <v>10345</v>
      </c>
      <c r="R2294" t="s">
        <v>113</v>
      </c>
      <c r="S2294" t="s">
        <v>114</v>
      </c>
      <c r="T2294" t="s">
        <v>7944</v>
      </c>
      <c r="U2294" t="s">
        <v>7945</v>
      </c>
      <c r="V2294" t="s">
        <v>2167</v>
      </c>
      <c r="W2294" t="s">
        <v>2168</v>
      </c>
      <c r="AD2294" t="s">
        <v>312</v>
      </c>
      <c r="AE2294" t="s">
        <v>2169</v>
      </c>
      <c r="AF2294" t="s">
        <v>13057</v>
      </c>
    </row>
    <row r="2295" spans="1:32" hidden="1" x14ac:dyDescent="0.35">
      <c r="A2295">
        <v>1500</v>
      </c>
      <c r="B2295" t="s">
        <v>3141</v>
      </c>
      <c r="C2295" t="s">
        <v>72</v>
      </c>
      <c r="D2295" t="s">
        <v>60</v>
      </c>
      <c r="E2295">
        <v>2018</v>
      </c>
      <c r="F2295">
        <v>5</v>
      </c>
      <c r="G2295">
        <v>5</v>
      </c>
      <c r="H2295">
        <v>1</v>
      </c>
      <c r="I2295">
        <v>1</v>
      </c>
      <c r="J2295">
        <v>0.71784232365145195</v>
      </c>
      <c r="K2295">
        <v>0.88149689667761899</v>
      </c>
      <c r="L2295">
        <v>0.79129652116254601</v>
      </c>
      <c r="M2295">
        <v>0.45783132530120502</v>
      </c>
      <c r="N2295">
        <v>1</v>
      </c>
      <c r="O2295">
        <v>0.60240963855421703</v>
      </c>
      <c r="P2295" t="s">
        <v>3142</v>
      </c>
      <c r="Q2295" t="s">
        <v>3143</v>
      </c>
      <c r="R2295" t="s">
        <v>75</v>
      </c>
      <c r="S2295" t="s">
        <v>76</v>
      </c>
      <c r="T2295" t="s">
        <v>3144</v>
      </c>
      <c r="U2295" t="s">
        <v>3145</v>
      </c>
      <c r="V2295" t="s">
        <v>3146</v>
      </c>
      <c r="W2295" t="s">
        <v>3147</v>
      </c>
      <c r="X2295" t="s">
        <v>3146</v>
      </c>
      <c r="Y2295" t="s">
        <v>875</v>
      </c>
      <c r="AD2295" t="s">
        <v>410</v>
      </c>
      <c r="AE2295" t="s">
        <v>563</v>
      </c>
      <c r="AF2295" t="s">
        <v>3148</v>
      </c>
    </row>
    <row r="2296" spans="1:32" hidden="1" x14ac:dyDescent="0.35">
      <c r="A2296">
        <v>1501</v>
      </c>
      <c r="B2296" t="s">
        <v>3141</v>
      </c>
      <c r="C2296" t="s">
        <v>72</v>
      </c>
      <c r="D2296" t="s">
        <v>62</v>
      </c>
      <c r="E2296">
        <v>2058</v>
      </c>
      <c r="F2296">
        <v>5</v>
      </c>
      <c r="G2296">
        <v>5</v>
      </c>
      <c r="H2296">
        <v>1</v>
      </c>
      <c r="I2296">
        <v>1</v>
      </c>
      <c r="J2296">
        <v>0.71784232365145195</v>
      </c>
      <c r="K2296">
        <v>0.88149689667761899</v>
      </c>
      <c r="L2296">
        <v>0.79129652116254601</v>
      </c>
      <c r="M2296">
        <v>0.45783132530120502</v>
      </c>
      <c r="N2296">
        <v>1</v>
      </c>
      <c r="O2296">
        <v>0.60240963855421703</v>
      </c>
      <c r="P2296" t="s">
        <v>3142</v>
      </c>
      <c r="Q2296" t="s">
        <v>3143</v>
      </c>
      <c r="R2296" t="s">
        <v>75</v>
      </c>
      <c r="S2296" t="s">
        <v>76</v>
      </c>
      <c r="T2296" t="s">
        <v>3144</v>
      </c>
      <c r="U2296" t="s">
        <v>3145</v>
      </c>
      <c r="V2296" t="s">
        <v>3146</v>
      </c>
      <c r="W2296" t="s">
        <v>3147</v>
      </c>
      <c r="X2296" t="s">
        <v>3146</v>
      </c>
      <c r="Y2296" t="s">
        <v>875</v>
      </c>
      <c r="AD2296" t="s">
        <v>410</v>
      </c>
      <c r="AE2296" t="s">
        <v>563</v>
      </c>
      <c r="AF2296" t="s">
        <v>3149</v>
      </c>
    </row>
    <row r="2297" spans="1:32" hidden="1" x14ac:dyDescent="0.35">
      <c r="A2297">
        <v>1502</v>
      </c>
      <c r="B2297" t="s">
        <v>3141</v>
      </c>
      <c r="C2297" t="s">
        <v>72</v>
      </c>
      <c r="D2297" t="s">
        <v>34</v>
      </c>
      <c r="E2297">
        <v>2362</v>
      </c>
      <c r="F2297">
        <v>5</v>
      </c>
      <c r="G2297">
        <v>5</v>
      </c>
      <c r="H2297">
        <v>1</v>
      </c>
      <c r="I2297">
        <v>1</v>
      </c>
      <c r="J2297">
        <v>0.71784232365145195</v>
      </c>
      <c r="K2297">
        <v>0.88149689667761899</v>
      </c>
      <c r="L2297">
        <v>0.79129652116254601</v>
      </c>
      <c r="M2297">
        <v>0.45783132530120502</v>
      </c>
      <c r="N2297">
        <v>1</v>
      </c>
      <c r="O2297">
        <v>0.60240963855421703</v>
      </c>
      <c r="P2297" t="s">
        <v>3142</v>
      </c>
      <c r="Q2297" t="s">
        <v>3143</v>
      </c>
      <c r="R2297" t="s">
        <v>75</v>
      </c>
      <c r="S2297" t="s">
        <v>76</v>
      </c>
      <c r="T2297" t="s">
        <v>3144</v>
      </c>
      <c r="U2297" t="s">
        <v>3145</v>
      </c>
      <c r="V2297" t="s">
        <v>3146</v>
      </c>
      <c r="W2297" t="s">
        <v>3147</v>
      </c>
      <c r="X2297" t="s">
        <v>3146</v>
      </c>
      <c r="Y2297" t="s">
        <v>875</v>
      </c>
      <c r="AD2297" t="s">
        <v>410</v>
      </c>
      <c r="AE2297" t="s">
        <v>563</v>
      </c>
      <c r="AF2297" t="s">
        <v>3150</v>
      </c>
    </row>
    <row r="2298" spans="1:32" hidden="1" x14ac:dyDescent="0.35">
      <c r="A2298">
        <v>1503</v>
      </c>
      <c r="B2298" t="s">
        <v>3141</v>
      </c>
      <c r="C2298" t="s">
        <v>72</v>
      </c>
      <c r="D2298" t="s">
        <v>45</v>
      </c>
      <c r="E2298">
        <v>518</v>
      </c>
      <c r="F2298">
        <v>5</v>
      </c>
      <c r="G2298">
        <v>5</v>
      </c>
      <c r="H2298">
        <v>1</v>
      </c>
      <c r="I2298">
        <v>1</v>
      </c>
      <c r="J2298">
        <v>0.71784232365145195</v>
      </c>
      <c r="K2298">
        <v>0.88149689667761899</v>
      </c>
      <c r="L2298">
        <v>0.79129652116254601</v>
      </c>
      <c r="M2298">
        <v>0.45783132530120502</v>
      </c>
      <c r="N2298">
        <v>1</v>
      </c>
      <c r="O2298">
        <v>0.60240963855421703</v>
      </c>
      <c r="P2298" t="s">
        <v>3142</v>
      </c>
      <c r="Q2298" t="s">
        <v>3143</v>
      </c>
      <c r="R2298" t="s">
        <v>75</v>
      </c>
      <c r="S2298" t="s">
        <v>76</v>
      </c>
      <c r="T2298" t="s">
        <v>3144</v>
      </c>
      <c r="U2298" t="s">
        <v>3145</v>
      </c>
      <c r="V2298" t="s">
        <v>3146</v>
      </c>
      <c r="W2298" t="s">
        <v>3147</v>
      </c>
      <c r="X2298" t="s">
        <v>3146</v>
      </c>
      <c r="Y2298" t="s">
        <v>875</v>
      </c>
      <c r="AD2298" t="s">
        <v>410</v>
      </c>
      <c r="AE2298" t="s">
        <v>563</v>
      </c>
      <c r="AF2298" t="s">
        <v>3150</v>
      </c>
    </row>
    <row r="2299" spans="1:32" hidden="1" x14ac:dyDescent="0.35">
      <c r="A2299">
        <v>10912</v>
      </c>
      <c r="B2299" t="s">
        <v>21982</v>
      </c>
      <c r="C2299" t="s">
        <v>33</v>
      </c>
      <c r="D2299" t="s">
        <v>58</v>
      </c>
      <c r="E2299">
        <v>430</v>
      </c>
      <c r="F2299">
        <v>1</v>
      </c>
      <c r="G2299">
        <v>1</v>
      </c>
      <c r="H2299">
        <v>1</v>
      </c>
      <c r="I2299">
        <v>0</v>
      </c>
      <c r="J2299">
        <v>1</v>
      </c>
      <c r="K2299">
        <v>1</v>
      </c>
      <c r="L2299">
        <v>1</v>
      </c>
      <c r="M2299">
        <v>0</v>
      </c>
      <c r="N2299">
        <v>0</v>
      </c>
      <c r="O2299">
        <v>0</v>
      </c>
      <c r="P2299" t="s">
        <v>2163</v>
      </c>
      <c r="Q2299" t="s">
        <v>2164</v>
      </c>
      <c r="R2299" t="s">
        <v>113</v>
      </c>
      <c r="S2299" t="s">
        <v>114</v>
      </c>
      <c r="V2299" t="s">
        <v>2167</v>
      </c>
      <c r="W2299" t="s">
        <v>2168</v>
      </c>
      <c r="AF2299" t="s">
        <v>21983</v>
      </c>
    </row>
    <row r="2300" spans="1:32" hidden="1" x14ac:dyDescent="0.35">
      <c r="A2300">
        <v>1520</v>
      </c>
      <c r="B2300" t="s">
        <v>3178</v>
      </c>
      <c r="C2300" t="s">
        <v>72</v>
      </c>
      <c r="D2300" t="s">
        <v>60</v>
      </c>
      <c r="E2300">
        <v>980</v>
      </c>
      <c r="F2300">
        <v>5</v>
      </c>
      <c r="G2300">
        <v>5</v>
      </c>
      <c r="H2300">
        <v>1</v>
      </c>
      <c r="I2300">
        <v>1</v>
      </c>
      <c r="J2300">
        <v>0.82413012902831295</v>
      </c>
      <c r="K2300">
        <v>0.94334283545786302</v>
      </c>
      <c r="L2300">
        <v>0.87971614652655505</v>
      </c>
      <c r="M2300">
        <v>0.66148531951640799</v>
      </c>
      <c r="N2300">
        <v>1</v>
      </c>
      <c r="O2300">
        <v>0.74818652849740896</v>
      </c>
      <c r="P2300" t="s">
        <v>3179</v>
      </c>
      <c r="Q2300" t="s">
        <v>3180</v>
      </c>
      <c r="R2300" t="s">
        <v>75</v>
      </c>
      <c r="S2300" t="s">
        <v>76</v>
      </c>
      <c r="V2300" t="s">
        <v>3181</v>
      </c>
      <c r="W2300" t="s">
        <v>3182</v>
      </c>
      <c r="X2300" t="s">
        <v>3181</v>
      </c>
      <c r="Y2300" t="s">
        <v>875</v>
      </c>
      <c r="AF2300" t="s">
        <v>3184</v>
      </c>
    </row>
    <row r="2301" spans="1:32" hidden="1" x14ac:dyDescent="0.35">
      <c r="A2301">
        <v>1521</v>
      </c>
      <c r="B2301" t="s">
        <v>3178</v>
      </c>
      <c r="C2301" t="s">
        <v>72</v>
      </c>
      <c r="D2301" t="s">
        <v>62</v>
      </c>
      <c r="E2301">
        <v>1016</v>
      </c>
      <c r="F2301">
        <v>5</v>
      </c>
      <c r="G2301">
        <v>5</v>
      </c>
      <c r="H2301">
        <v>1</v>
      </c>
      <c r="I2301">
        <v>1</v>
      </c>
      <c r="J2301">
        <v>0.82413012902831295</v>
      </c>
      <c r="K2301">
        <v>0.94334283545786302</v>
      </c>
      <c r="L2301">
        <v>0.87971614652655505</v>
      </c>
      <c r="M2301">
        <v>0.66148531951640799</v>
      </c>
      <c r="N2301">
        <v>1</v>
      </c>
      <c r="O2301">
        <v>0.74818652849740896</v>
      </c>
      <c r="P2301" t="s">
        <v>3179</v>
      </c>
      <c r="Q2301" t="s">
        <v>3180</v>
      </c>
      <c r="R2301" t="s">
        <v>75</v>
      </c>
      <c r="S2301" t="s">
        <v>76</v>
      </c>
      <c r="V2301" t="s">
        <v>3181</v>
      </c>
      <c r="W2301" t="s">
        <v>3182</v>
      </c>
      <c r="X2301" t="s">
        <v>3181</v>
      </c>
      <c r="Y2301" t="s">
        <v>875</v>
      </c>
      <c r="AF2301" t="s">
        <v>3184</v>
      </c>
    </row>
    <row r="2302" spans="1:32" hidden="1" x14ac:dyDescent="0.35">
      <c r="A2302">
        <v>1522</v>
      </c>
      <c r="B2302" t="s">
        <v>3178</v>
      </c>
      <c r="C2302" t="s">
        <v>72</v>
      </c>
      <c r="D2302" t="s">
        <v>34</v>
      </c>
      <c r="E2302">
        <v>147</v>
      </c>
      <c r="F2302">
        <v>5</v>
      </c>
      <c r="G2302">
        <v>5</v>
      </c>
      <c r="H2302">
        <v>1</v>
      </c>
      <c r="I2302">
        <v>1</v>
      </c>
      <c r="J2302">
        <v>0.82413012902831295</v>
      </c>
      <c r="K2302">
        <v>0.94334283545786302</v>
      </c>
      <c r="L2302">
        <v>0.87971614652655505</v>
      </c>
      <c r="M2302">
        <v>0.66148531951640799</v>
      </c>
      <c r="N2302">
        <v>1</v>
      </c>
      <c r="O2302">
        <v>0.74818652849740896</v>
      </c>
      <c r="P2302" t="s">
        <v>3179</v>
      </c>
      <c r="Q2302" t="s">
        <v>3180</v>
      </c>
      <c r="R2302" t="s">
        <v>75</v>
      </c>
      <c r="S2302" t="s">
        <v>76</v>
      </c>
      <c r="V2302" t="s">
        <v>3181</v>
      </c>
      <c r="W2302" t="s">
        <v>3182</v>
      </c>
      <c r="X2302" t="s">
        <v>3181</v>
      </c>
      <c r="Y2302" t="s">
        <v>875</v>
      </c>
      <c r="AF2302" t="s">
        <v>3185</v>
      </c>
    </row>
    <row r="2303" spans="1:32" hidden="1" x14ac:dyDescent="0.35">
      <c r="A2303">
        <v>1523</v>
      </c>
      <c r="B2303" t="s">
        <v>3178</v>
      </c>
      <c r="C2303" t="s">
        <v>72</v>
      </c>
      <c r="D2303" t="s">
        <v>45</v>
      </c>
      <c r="E2303">
        <v>1408</v>
      </c>
      <c r="F2303">
        <v>5</v>
      </c>
      <c r="G2303">
        <v>5</v>
      </c>
      <c r="H2303">
        <v>1</v>
      </c>
      <c r="I2303">
        <v>1</v>
      </c>
      <c r="J2303">
        <v>0.82413012902831295</v>
      </c>
      <c r="K2303">
        <v>0.94334283545786302</v>
      </c>
      <c r="L2303">
        <v>0.87971614652655505</v>
      </c>
      <c r="M2303">
        <v>0.66148531951640799</v>
      </c>
      <c r="N2303">
        <v>1</v>
      </c>
      <c r="O2303">
        <v>0.74818652849740896</v>
      </c>
      <c r="P2303" t="s">
        <v>3179</v>
      </c>
      <c r="Q2303" t="s">
        <v>3180</v>
      </c>
      <c r="R2303" t="s">
        <v>75</v>
      </c>
      <c r="S2303" t="s">
        <v>76</v>
      </c>
      <c r="V2303" t="s">
        <v>3181</v>
      </c>
      <c r="W2303" t="s">
        <v>3182</v>
      </c>
      <c r="X2303" t="s">
        <v>3181</v>
      </c>
      <c r="Y2303" t="s">
        <v>875</v>
      </c>
      <c r="AF2303" t="s">
        <v>3185</v>
      </c>
    </row>
    <row r="2304" spans="1:32" hidden="1" x14ac:dyDescent="0.35">
      <c r="A2304">
        <v>10963</v>
      </c>
      <c r="B2304" t="s">
        <v>22100</v>
      </c>
      <c r="C2304" t="s">
        <v>33</v>
      </c>
      <c r="D2304" t="s">
        <v>58</v>
      </c>
      <c r="E2304">
        <v>1221</v>
      </c>
      <c r="F2304">
        <v>1</v>
      </c>
      <c r="G2304">
        <v>1</v>
      </c>
      <c r="H2304">
        <v>1</v>
      </c>
      <c r="I2304">
        <v>0</v>
      </c>
      <c r="J2304">
        <v>1</v>
      </c>
      <c r="K2304">
        <v>1</v>
      </c>
      <c r="L2304">
        <v>1</v>
      </c>
      <c r="M2304">
        <v>0</v>
      </c>
      <c r="N2304">
        <v>0</v>
      </c>
      <c r="O2304">
        <v>0</v>
      </c>
      <c r="P2304" t="s">
        <v>2163</v>
      </c>
      <c r="Q2304" t="s">
        <v>2164</v>
      </c>
      <c r="R2304" t="s">
        <v>113</v>
      </c>
      <c r="S2304" t="s">
        <v>114</v>
      </c>
      <c r="V2304" t="s">
        <v>2167</v>
      </c>
      <c r="W2304" t="s">
        <v>2168</v>
      </c>
      <c r="AF2304" t="s">
        <v>22101</v>
      </c>
    </row>
    <row r="2305" spans="1:32" hidden="1" x14ac:dyDescent="0.35">
      <c r="A2305">
        <v>1540</v>
      </c>
      <c r="B2305" t="s">
        <v>3219</v>
      </c>
      <c r="C2305" t="s">
        <v>72</v>
      </c>
      <c r="D2305" t="s">
        <v>60</v>
      </c>
      <c r="E2305">
        <v>1270</v>
      </c>
      <c r="F2305">
        <v>5</v>
      </c>
      <c r="G2305">
        <v>5</v>
      </c>
      <c r="H2305">
        <v>1</v>
      </c>
      <c r="I2305">
        <v>1</v>
      </c>
      <c r="J2305">
        <v>0.846981538113037</v>
      </c>
      <c r="K2305">
        <v>0.90646141723420004</v>
      </c>
      <c r="L2305">
        <v>0.87571264644546798</v>
      </c>
      <c r="M2305">
        <v>0.62079510703363905</v>
      </c>
      <c r="N2305">
        <v>1</v>
      </c>
      <c r="O2305">
        <v>0.73608562691131496</v>
      </c>
      <c r="P2305" t="s">
        <v>3220</v>
      </c>
      <c r="Q2305" t="s">
        <v>3221</v>
      </c>
      <c r="R2305" t="s">
        <v>75</v>
      </c>
      <c r="S2305" t="s">
        <v>76</v>
      </c>
      <c r="T2305" t="s">
        <v>3222</v>
      </c>
      <c r="U2305" t="s">
        <v>3223</v>
      </c>
      <c r="V2305" t="s">
        <v>3224</v>
      </c>
      <c r="W2305" t="s">
        <v>3225</v>
      </c>
      <c r="AD2305" t="s">
        <v>2264</v>
      </c>
      <c r="AE2305" t="s">
        <v>3226</v>
      </c>
      <c r="AF2305" t="s">
        <v>3228</v>
      </c>
    </row>
    <row r="2306" spans="1:32" hidden="1" x14ac:dyDescent="0.35">
      <c r="A2306">
        <v>1541</v>
      </c>
      <c r="B2306" t="s">
        <v>3219</v>
      </c>
      <c r="C2306" t="s">
        <v>72</v>
      </c>
      <c r="D2306" t="s">
        <v>62</v>
      </c>
      <c r="E2306">
        <v>1306</v>
      </c>
      <c r="F2306">
        <v>5</v>
      </c>
      <c r="G2306">
        <v>5</v>
      </c>
      <c r="H2306">
        <v>1</v>
      </c>
      <c r="I2306">
        <v>1</v>
      </c>
      <c r="J2306">
        <v>0.846981538113037</v>
      </c>
      <c r="K2306">
        <v>0.90646141723420004</v>
      </c>
      <c r="L2306">
        <v>0.87571264644546798</v>
      </c>
      <c r="M2306">
        <v>0.62079510703363905</v>
      </c>
      <c r="N2306">
        <v>1</v>
      </c>
      <c r="O2306">
        <v>0.73608562691131496</v>
      </c>
      <c r="P2306" t="s">
        <v>3220</v>
      </c>
      <c r="Q2306" t="s">
        <v>3221</v>
      </c>
      <c r="R2306" t="s">
        <v>75</v>
      </c>
      <c r="S2306" t="s">
        <v>76</v>
      </c>
      <c r="T2306" t="s">
        <v>3222</v>
      </c>
      <c r="U2306" t="s">
        <v>3223</v>
      </c>
      <c r="V2306" t="s">
        <v>3224</v>
      </c>
      <c r="W2306" t="s">
        <v>3225</v>
      </c>
      <c r="AD2306" t="s">
        <v>2264</v>
      </c>
      <c r="AE2306" t="s">
        <v>3226</v>
      </c>
      <c r="AF2306" t="s">
        <v>3228</v>
      </c>
    </row>
    <row r="2307" spans="1:32" hidden="1" x14ac:dyDescent="0.35">
      <c r="A2307">
        <v>1542</v>
      </c>
      <c r="B2307" t="s">
        <v>3219</v>
      </c>
      <c r="C2307" t="s">
        <v>72</v>
      </c>
      <c r="D2307" t="s">
        <v>34</v>
      </c>
      <c r="E2307">
        <v>1730</v>
      </c>
      <c r="F2307">
        <v>5</v>
      </c>
      <c r="G2307">
        <v>5</v>
      </c>
      <c r="H2307">
        <v>1</v>
      </c>
      <c r="I2307">
        <v>1</v>
      </c>
      <c r="J2307">
        <v>0.846981538113037</v>
      </c>
      <c r="K2307">
        <v>0.90646141723420004</v>
      </c>
      <c r="L2307">
        <v>0.87571264644546798</v>
      </c>
      <c r="M2307">
        <v>0.62079510703363905</v>
      </c>
      <c r="N2307">
        <v>1</v>
      </c>
      <c r="O2307">
        <v>0.73608562691131496</v>
      </c>
      <c r="P2307" t="s">
        <v>3220</v>
      </c>
      <c r="Q2307" t="s">
        <v>3221</v>
      </c>
      <c r="R2307" t="s">
        <v>75</v>
      </c>
      <c r="S2307" t="s">
        <v>76</v>
      </c>
      <c r="T2307" t="s">
        <v>3222</v>
      </c>
      <c r="U2307" t="s">
        <v>3223</v>
      </c>
      <c r="V2307" t="s">
        <v>3224</v>
      </c>
      <c r="W2307" t="s">
        <v>3225</v>
      </c>
      <c r="AD2307" t="s">
        <v>2264</v>
      </c>
      <c r="AE2307" t="s">
        <v>3226</v>
      </c>
      <c r="AF2307" t="s">
        <v>3229</v>
      </c>
    </row>
    <row r="2308" spans="1:32" hidden="1" x14ac:dyDescent="0.35">
      <c r="A2308">
        <v>1543</v>
      </c>
      <c r="B2308" t="s">
        <v>3219</v>
      </c>
      <c r="C2308" t="s">
        <v>72</v>
      </c>
      <c r="D2308" t="s">
        <v>45</v>
      </c>
      <c r="E2308">
        <v>1144</v>
      </c>
      <c r="F2308">
        <v>5</v>
      </c>
      <c r="G2308">
        <v>5</v>
      </c>
      <c r="H2308">
        <v>1</v>
      </c>
      <c r="I2308">
        <v>1</v>
      </c>
      <c r="J2308">
        <v>0.846981538113037</v>
      </c>
      <c r="K2308">
        <v>0.90646141723420004</v>
      </c>
      <c r="L2308">
        <v>0.87571264644546798</v>
      </c>
      <c r="M2308">
        <v>0.62079510703363905</v>
      </c>
      <c r="N2308">
        <v>1</v>
      </c>
      <c r="O2308">
        <v>0.73608562691131496</v>
      </c>
      <c r="P2308" t="s">
        <v>3220</v>
      </c>
      <c r="Q2308" t="s">
        <v>3221</v>
      </c>
      <c r="R2308" t="s">
        <v>75</v>
      </c>
      <c r="S2308" t="s">
        <v>76</v>
      </c>
      <c r="T2308" t="s">
        <v>3222</v>
      </c>
      <c r="U2308" t="s">
        <v>3223</v>
      </c>
      <c r="V2308" t="s">
        <v>3224</v>
      </c>
      <c r="W2308" t="s">
        <v>3225</v>
      </c>
      <c r="AD2308" t="s">
        <v>2264</v>
      </c>
      <c r="AE2308" t="s">
        <v>3226</v>
      </c>
      <c r="AF2308" t="s">
        <v>3230</v>
      </c>
    </row>
    <row r="2309" spans="1:32" hidden="1" x14ac:dyDescent="0.35">
      <c r="A2309">
        <v>11231</v>
      </c>
      <c r="B2309" t="s">
        <v>22820</v>
      </c>
      <c r="C2309" t="s">
        <v>33</v>
      </c>
      <c r="D2309" t="s">
        <v>58</v>
      </c>
      <c r="E2309">
        <v>672</v>
      </c>
      <c r="F2309">
        <v>1</v>
      </c>
      <c r="G2309">
        <v>1</v>
      </c>
      <c r="H2309">
        <v>1</v>
      </c>
      <c r="I2309">
        <v>0</v>
      </c>
      <c r="J2309">
        <v>1</v>
      </c>
      <c r="K2309">
        <v>1</v>
      </c>
      <c r="L2309">
        <v>1</v>
      </c>
      <c r="M2309">
        <v>0</v>
      </c>
      <c r="N2309">
        <v>0</v>
      </c>
      <c r="O2309">
        <v>0</v>
      </c>
      <c r="P2309" t="s">
        <v>2163</v>
      </c>
      <c r="Q2309" t="s">
        <v>2164</v>
      </c>
      <c r="R2309" t="s">
        <v>113</v>
      </c>
      <c r="S2309" t="s">
        <v>114</v>
      </c>
      <c r="V2309" t="s">
        <v>2167</v>
      </c>
      <c r="W2309" t="s">
        <v>2168</v>
      </c>
      <c r="AF2309" t="s">
        <v>22821</v>
      </c>
    </row>
    <row r="2310" spans="1:32" hidden="1" x14ac:dyDescent="0.35">
      <c r="A2310">
        <v>1650</v>
      </c>
      <c r="B2310" t="s">
        <v>3464</v>
      </c>
      <c r="C2310" t="s">
        <v>72</v>
      </c>
      <c r="D2310" t="s">
        <v>60</v>
      </c>
      <c r="E2310">
        <v>2418</v>
      </c>
      <c r="F2310">
        <v>5</v>
      </c>
      <c r="G2310">
        <v>5</v>
      </c>
      <c r="H2310">
        <v>1</v>
      </c>
      <c r="I2310">
        <v>1</v>
      </c>
      <c r="J2310">
        <v>0.89365140936126197</v>
      </c>
      <c r="K2310">
        <v>0.99922480620155596</v>
      </c>
      <c r="L2310">
        <v>0.94349397915092603</v>
      </c>
      <c r="M2310">
        <v>0.80426356589147296</v>
      </c>
      <c r="N2310">
        <v>1</v>
      </c>
      <c r="O2310">
        <v>0.85290697674418603</v>
      </c>
      <c r="P2310" t="s">
        <v>73</v>
      </c>
      <c r="Q2310" t="s">
        <v>74</v>
      </c>
      <c r="R2310" t="s">
        <v>75</v>
      </c>
      <c r="S2310" t="s">
        <v>76</v>
      </c>
      <c r="T2310" t="s">
        <v>3465</v>
      </c>
      <c r="U2310" t="s">
        <v>3466</v>
      </c>
      <c r="V2310" t="s">
        <v>79</v>
      </c>
      <c r="W2310" t="s">
        <v>80</v>
      </c>
      <c r="Z2310" t="s">
        <v>144</v>
      </c>
      <c r="AA2310" t="s">
        <v>145</v>
      </c>
      <c r="AB2310" t="s">
        <v>144</v>
      </c>
      <c r="AC2310" t="s">
        <v>146</v>
      </c>
      <c r="AD2310" t="s">
        <v>410</v>
      </c>
      <c r="AE2310" t="s">
        <v>3467</v>
      </c>
      <c r="AF2310" t="s">
        <v>3469</v>
      </c>
    </row>
    <row r="2311" spans="1:32" hidden="1" x14ac:dyDescent="0.35">
      <c r="A2311">
        <v>1651</v>
      </c>
      <c r="B2311" t="s">
        <v>3464</v>
      </c>
      <c r="C2311" t="s">
        <v>72</v>
      </c>
      <c r="D2311" t="s">
        <v>62</v>
      </c>
      <c r="E2311">
        <v>2445</v>
      </c>
      <c r="F2311">
        <v>5</v>
      </c>
      <c r="G2311">
        <v>5</v>
      </c>
      <c r="H2311">
        <v>1</v>
      </c>
      <c r="I2311">
        <v>1</v>
      </c>
      <c r="J2311">
        <v>0.89365140936126197</v>
      </c>
      <c r="K2311">
        <v>0.99922480620155596</v>
      </c>
      <c r="L2311">
        <v>0.94349397915092603</v>
      </c>
      <c r="M2311">
        <v>0.80426356589147296</v>
      </c>
      <c r="N2311">
        <v>1</v>
      </c>
      <c r="O2311">
        <v>0.85290697674418603</v>
      </c>
      <c r="P2311" t="s">
        <v>73</v>
      </c>
      <c r="Q2311" t="s">
        <v>74</v>
      </c>
      <c r="R2311" t="s">
        <v>75</v>
      </c>
      <c r="S2311" t="s">
        <v>76</v>
      </c>
      <c r="T2311" t="s">
        <v>3465</v>
      </c>
      <c r="U2311" t="s">
        <v>3466</v>
      </c>
      <c r="V2311" t="s">
        <v>79</v>
      </c>
      <c r="W2311" t="s">
        <v>80</v>
      </c>
      <c r="Z2311" t="s">
        <v>144</v>
      </c>
      <c r="AA2311" t="s">
        <v>145</v>
      </c>
      <c r="AB2311" t="s">
        <v>144</v>
      </c>
      <c r="AC2311" t="s">
        <v>146</v>
      </c>
      <c r="AD2311" t="s">
        <v>410</v>
      </c>
      <c r="AE2311" t="s">
        <v>3467</v>
      </c>
      <c r="AF2311" t="s">
        <v>3469</v>
      </c>
    </row>
    <row r="2312" spans="1:32" hidden="1" x14ac:dyDescent="0.35">
      <c r="A2312">
        <v>1652</v>
      </c>
      <c r="B2312" t="s">
        <v>3464</v>
      </c>
      <c r="C2312" t="s">
        <v>72</v>
      </c>
      <c r="D2312" t="s">
        <v>34</v>
      </c>
      <c r="E2312">
        <v>1311</v>
      </c>
      <c r="F2312">
        <v>5</v>
      </c>
      <c r="G2312">
        <v>5</v>
      </c>
      <c r="H2312">
        <v>1</v>
      </c>
      <c r="I2312">
        <v>1</v>
      </c>
      <c r="J2312">
        <v>0.89365140936126197</v>
      </c>
      <c r="K2312">
        <v>0.99922480620155596</v>
      </c>
      <c r="L2312">
        <v>0.94349397915092603</v>
      </c>
      <c r="M2312">
        <v>0.80426356589147296</v>
      </c>
      <c r="N2312">
        <v>1</v>
      </c>
      <c r="O2312">
        <v>0.85290697674418603</v>
      </c>
      <c r="P2312" t="s">
        <v>73</v>
      </c>
      <c r="Q2312" t="s">
        <v>74</v>
      </c>
      <c r="R2312" t="s">
        <v>75</v>
      </c>
      <c r="S2312" t="s">
        <v>76</v>
      </c>
      <c r="T2312" t="s">
        <v>3465</v>
      </c>
      <c r="U2312" t="s">
        <v>3466</v>
      </c>
      <c r="V2312" t="s">
        <v>79</v>
      </c>
      <c r="W2312" t="s">
        <v>80</v>
      </c>
      <c r="Z2312" t="s">
        <v>144</v>
      </c>
      <c r="AA2312" t="s">
        <v>145</v>
      </c>
      <c r="AB2312" t="s">
        <v>144</v>
      </c>
      <c r="AC2312" t="s">
        <v>146</v>
      </c>
      <c r="AD2312" t="s">
        <v>410</v>
      </c>
      <c r="AE2312" t="s">
        <v>3467</v>
      </c>
      <c r="AF2312" t="s">
        <v>3470</v>
      </c>
    </row>
    <row r="2313" spans="1:32" hidden="1" x14ac:dyDescent="0.35">
      <c r="A2313">
        <v>1653</v>
      </c>
      <c r="B2313" t="s">
        <v>3464</v>
      </c>
      <c r="C2313" t="s">
        <v>72</v>
      </c>
      <c r="D2313" t="s">
        <v>45</v>
      </c>
      <c r="E2313">
        <v>63</v>
      </c>
      <c r="F2313">
        <v>5</v>
      </c>
      <c r="G2313">
        <v>5</v>
      </c>
      <c r="H2313">
        <v>1</v>
      </c>
      <c r="I2313">
        <v>1</v>
      </c>
      <c r="J2313">
        <v>0.89365140936126197</v>
      </c>
      <c r="K2313">
        <v>0.99922480620155596</v>
      </c>
      <c r="L2313">
        <v>0.94349397915092603</v>
      </c>
      <c r="M2313">
        <v>0.80426356589147296</v>
      </c>
      <c r="N2313">
        <v>1</v>
      </c>
      <c r="O2313">
        <v>0.85290697674418603</v>
      </c>
      <c r="P2313" t="s">
        <v>73</v>
      </c>
      <c r="Q2313" t="s">
        <v>74</v>
      </c>
      <c r="R2313" t="s">
        <v>75</v>
      </c>
      <c r="S2313" t="s">
        <v>76</v>
      </c>
      <c r="T2313" t="s">
        <v>3465</v>
      </c>
      <c r="U2313" t="s">
        <v>3466</v>
      </c>
      <c r="V2313" t="s">
        <v>79</v>
      </c>
      <c r="W2313" t="s">
        <v>80</v>
      </c>
      <c r="Z2313" t="s">
        <v>144</v>
      </c>
      <c r="AA2313" t="s">
        <v>145</v>
      </c>
      <c r="AB2313" t="s">
        <v>144</v>
      </c>
      <c r="AC2313" t="s">
        <v>146</v>
      </c>
      <c r="AD2313" t="s">
        <v>410</v>
      </c>
      <c r="AE2313" t="s">
        <v>3467</v>
      </c>
      <c r="AF2313" t="s">
        <v>3471</v>
      </c>
    </row>
    <row r="2314" spans="1:32" hidden="1" x14ac:dyDescent="0.35">
      <c r="A2314">
        <v>11825</v>
      </c>
      <c r="B2314" t="s">
        <v>24313</v>
      </c>
      <c r="C2314" t="s">
        <v>33</v>
      </c>
      <c r="D2314" t="s">
        <v>58</v>
      </c>
      <c r="E2314">
        <v>39</v>
      </c>
      <c r="F2314">
        <v>1</v>
      </c>
      <c r="G2314">
        <v>1</v>
      </c>
      <c r="H2314">
        <v>1</v>
      </c>
      <c r="I2314">
        <v>0</v>
      </c>
      <c r="J2314">
        <v>1</v>
      </c>
      <c r="K2314">
        <v>1</v>
      </c>
      <c r="L2314">
        <v>1</v>
      </c>
      <c r="M2314">
        <v>0</v>
      </c>
      <c r="N2314">
        <v>0</v>
      </c>
      <c r="O2314">
        <v>0</v>
      </c>
      <c r="P2314" t="s">
        <v>2163</v>
      </c>
      <c r="Q2314" t="s">
        <v>2164</v>
      </c>
      <c r="R2314" t="s">
        <v>113</v>
      </c>
      <c r="S2314" t="s">
        <v>114</v>
      </c>
      <c r="V2314" t="s">
        <v>2167</v>
      </c>
      <c r="W2314" t="s">
        <v>2168</v>
      </c>
      <c r="AF2314" t="s">
        <v>24314</v>
      </c>
    </row>
    <row r="2315" spans="1:32" hidden="1" x14ac:dyDescent="0.35">
      <c r="A2315">
        <v>1790</v>
      </c>
      <c r="B2315" t="s">
        <v>3717</v>
      </c>
      <c r="C2315" t="s">
        <v>72</v>
      </c>
      <c r="D2315" t="s">
        <v>60</v>
      </c>
      <c r="E2315">
        <v>1128</v>
      </c>
      <c r="F2315">
        <v>5</v>
      </c>
      <c r="G2315">
        <v>5</v>
      </c>
      <c r="H2315">
        <v>1</v>
      </c>
      <c r="I2315">
        <v>1</v>
      </c>
      <c r="J2315">
        <v>0.76746366619784301</v>
      </c>
      <c r="K2315">
        <v>0.88796296296296295</v>
      </c>
      <c r="L2315">
        <v>0.82332771383401204</v>
      </c>
      <c r="M2315">
        <v>0.469135802469136</v>
      </c>
      <c r="N2315">
        <v>1</v>
      </c>
      <c r="O2315">
        <v>0.64444444444444404</v>
      </c>
      <c r="P2315" t="s">
        <v>3718</v>
      </c>
      <c r="Q2315" t="s">
        <v>3719</v>
      </c>
      <c r="R2315" t="s">
        <v>75</v>
      </c>
      <c r="S2315" t="s">
        <v>76</v>
      </c>
      <c r="V2315" t="s">
        <v>3720</v>
      </c>
      <c r="W2315" t="s">
        <v>3721</v>
      </c>
      <c r="X2315" t="s">
        <v>3720</v>
      </c>
      <c r="Y2315" t="s">
        <v>2750</v>
      </c>
      <c r="AF2315" t="s">
        <v>3723</v>
      </c>
    </row>
    <row r="2316" spans="1:32" hidden="1" x14ac:dyDescent="0.35">
      <c r="A2316">
        <v>1791</v>
      </c>
      <c r="B2316" t="s">
        <v>3717</v>
      </c>
      <c r="C2316" t="s">
        <v>72</v>
      </c>
      <c r="D2316" t="s">
        <v>62</v>
      </c>
      <c r="E2316">
        <v>1164</v>
      </c>
      <c r="F2316">
        <v>5</v>
      </c>
      <c r="G2316">
        <v>5</v>
      </c>
      <c r="H2316">
        <v>1</v>
      </c>
      <c r="I2316">
        <v>1</v>
      </c>
      <c r="J2316">
        <v>0.76746366619784301</v>
      </c>
      <c r="K2316">
        <v>0.88796296296296295</v>
      </c>
      <c r="L2316">
        <v>0.82332771383401204</v>
      </c>
      <c r="M2316">
        <v>0.469135802469136</v>
      </c>
      <c r="N2316">
        <v>1</v>
      </c>
      <c r="O2316">
        <v>0.64444444444444404</v>
      </c>
      <c r="P2316" t="s">
        <v>3718</v>
      </c>
      <c r="Q2316" t="s">
        <v>3719</v>
      </c>
      <c r="R2316" t="s">
        <v>75</v>
      </c>
      <c r="S2316" t="s">
        <v>76</v>
      </c>
      <c r="V2316" t="s">
        <v>3720</v>
      </c>
      <c r="W2316" t="s">
        <v>3721</v>
      </c>
      <c r="X2316" t="s">
        <v>3720</v>
      </c>
      <c r="Y2316" t="s">
        <v>2750</v>
      </c>
      <c r="AF2316" t="s">
        <v>3723</v>
      </c>
    </row>
    <row r="2317" spans="1:32" hidden="1" x14ac:dyDescent="0.35">
      <c r="A2317">
        <v>1792</v>
      </c>
      <c r="B2317" t="s">
        <v>3717</v>
      </c>
      <c r="C2317" t="s">
        <v>72</v>
      </c>
      <c r="D2317" t="s">
        <v>34</v>
      </c>
      <c r="E2317">
        <v>20</v>
      </c>
      <c r="F2317">
        <v>5</v>
      </c>
      <c r="G2317">
        <v>5</v>
      </c>
      <c r="H2317">
        <v>1</v>
      </c>
      <c r="I2317">
        <v>1</v>
      </c>
      <c r="J2317">
        <v>0.76746366619784301</v>
      </c>
      <c r="K2317">
        <v>0.88796296296296295</v>
      </c>
      <c r="L2317">
        <v>0.82332771383401204</v>
      </c>
      <c r="M2317">
        <v>0.469135802469136</v>
      </c>
      <c r="N2317">
        <v>1</v>
      </c>
      <c r="O2317">
        <v>0.64444444444444404</v>
      </c>
      <c r="P2317" t="s">
        <v>3718</v>
      </c>
      <c r="Q2317" t="s">
        <v>3719</v>
      </c>
      <c r="R2317" t="s">
        <v>75</v>
      </c>
      <c r="S2317" t="s">
        <v>76</v>
      </c>
      <c r="V2317" t="s">
        <v>3720</v>
      </c>
      <c r="W2317" t="s">
        <v>3721</v>
      </c>
      <c r="X2317" t="s">
        <v>3720</v>
      </c>
      <c r="Y2317" t="s">
        <v>2750</v>
      </c>
      <c r="AF2317" t="s">
        <v>3724</v>
      </c>
    </row>
    <row r="2318" spans="1:32" hidden="1" x14ac:dyDescent="0.35">
      <c r="A2318">
        <v>1793</v>
      </c>
      <c r="B2318" t="s">
        <v>3717</v>
      </c>
      <c r="C2318" t="s">
        <v>72</v>
      </c>
      <c r="D2318" t="s">
        <v>45</v>
      </c>
      <c r="E2318">
        <v>1276</v>
      </c>
      <c r="F2318">
        <v>5</v>
      </c>
      <c r="G2318">
        <v>5</v>
      </c>
      <c r="H2318">
        <v>1</v>
      </c>
      <c r="I2318">
        <v>1</v>
      </c>
      <c r="J2318">
        <v>0.76746366619784301</v>
      </c>
      <c r="K2318">
        <v>0.88796296296296295</v>
      </c>
      <c r="L2318">
        <v>0.82332771383401204</v>
      </c>
      <c r="M2318">
        <v>0.469135802469136</v>
      </c>
      <c r="N2318">
        <v>1</v>
      </c>
      <c r="O2318">
        <v>0.64444444444444404</v>
      </c>
      <c r="P2318" t="s">
        <v>3718</v>
      </c>
      <c r="Q2318" t="s">
        <v>3719</v>
      </c>
      <c r="R2318" t="s">
        <v>75</v>
      </c>
      <c r="S2318" t="s">
        <v>76</v>
      </c>
      <c r="V2318" t="s">
        <v>3720</v>
      </c>
      <c r="W2318" t="s">
        <v>3721</v>
      </c>
      <c r="X2318" t="s">
        <v>3720</v>
      </c>
      <c r="Y2318" t="s">
        <v>2750</v>
      </c>
      <c r="AF2318" t="s">
        <v>3725</v>
      </c>
    </row>
    <row r="2319" spans="1:32" hidden="1" x14ac:dyDescent="0.35">
      <c r="A2319">
        <v>5984</v>
      </c>
      <c r="B2319" t="s">
        <v>12306</v>
      </c>
      <c r="C2319" t="s">
        <v>13295</v>
      </c>
      <c r="D2319" t="s">
        <v>58</v>
      </c>
      <c r="E2319">
        <v>303</v>
      </c>
      <c r="F2319">
        <v>3</v>
      </c>
      <c r="G2319">
        <v>3</v>
      </c>
      <c r="H2319">
        <v>1</v>
      </c>
      <c r="I2319">
        <v>0</v>
      </c>
      <c r="J2319">
        <v>0.82958801498127299</v>
      </c>
      <c r="K2319">
        <v>0.85525865022267999</v>
      </c>
      <c r="L2319">
        <v>0.84222777133005</v>
      </c>
      <c r="M2319">
        <v>0.50714285714285701</v>
      </c>
      <c r="N2319">
        <v>1</v>
      </c>
      <c r="O2319">
        <v>0.67142857142857104</v>
      </c>
      <c r="R2319" t="s">
        <v>113</v>
      </c>
      <c r="S2319" t="s">
        <v>114</v>
      </c>
      <c r="V2319" t="s">
        <v>12307</v>
      </c>
      <c r="W2319" t="s">
        <v>12308</v>
      </c>
      <c r="AF2319" t="s">
        <v>12309</v>
      </c>
    </row>
    <row r="2320" spans="1:32" hidden="1" x14ac:dyDescent="0.35">
      <c r="A2320">
        <v>1810</v>
      </c>
      <c r="B2320" t="s">
        <v>3757</v>
      </c>
      <c r="C2320" t="s">
        <v>72</v>
      </c>
      <c r="D2320" t="s">
        <v>60</v>
      </c>
      <c r="E2320">
        <v>1957</v>
      </c>
      <c r="F2320">
        <v>5</v>
      </c>
      <c r="G2320">
        <v>5</v>
      </c>
      <c r="H2320">
        <v>1</v>
      </c>
      <c r="I2320">
        <v>1</v>
      </c>
      <c r="J2320">
        <v>0.76178139649642196</v>
      </c>
      <c r="K2320">
        <v>0.83929868781970496</v>
      </c>
      <c r="L2320">
        <v>0.79866351814375602</v>
      </c>
      <c r="M2320">
        <v>0.45592705167173297</v>
      </c>
      <c r="N2320">
        <v>1</v>
      </c>
      <c r="O2320">
        <v>0.62279635258358701</v>
      </c>
      <c r="P2320" t="s">
        <v>3758</v>
      </c>
      <c r="Q2320" t="s">
        <v>3759</v>
      </c>
      <c r="R2320" t="s">
        <v>75</v>
      </c>
      <c r="S2320" t="s">
        <v>76</v>
      </c>
      <c r="T2320" t="s">
        <v>3760</v>
      </c>
      <c r="U2320" t="s">
        <v>3761</v>
      </c>
      <c r="V2320" t="s">
        <v>3762</v>
      </c>
      <c r="W2320" t="s">
        <v>3763</v>
      </c>
      <c r="AD2320" t="s">
        <v>410</v>
      </c>
      <c r="AE2320" t="s">
        <v>3764</v>
      </c>
      <c r="AF2320" t="s">
        <v>3766</v>
      </c>
    </row>
    <row r="2321" spans="1:32" hidden="1" x14ac:dyDescent="0.35">
      <c r="A2321">
        <v>1811</v>
      </c>
      <c r="B2321" t="s">
        <v>3757</v>
      </c>
      <c r="C2321" t="s">
        <v>72</v>
      </c>
      <c r="D2321" t="s">
        <v>62</v>
      </c>
      <c r="E2321">
        <v>1998</v>
      </c>
      <c r="F2321">
        <v>5</v>
      </c>
      <c r="G2321">
        <v>5</v>
      </c>
      <c r="H2321">
        <v>1</v>
      </c>
      <c r="I2321">
        <v>1</v>
      </c>
      <c r="J2321">
        <v>0.76178139649642196</v>
      </c>
      <c r="K2321">
        <v>0.83929868781970496</v>
      </c>
      <c r="L2321">
        <v>0.79866351814375602</v>
      </c>
      <c r="M2321">
        <v>0.45592705167173297</v>
      </c>
      <c r="N2321">
        <v>1</v>
      </c>
      <c r="O2321">
        <v>0.62279635258358701</v>
      </c>
      <c r="P2321" t="s">
        <v>3758</v>
      </c>
      <c r="Q2321" t="s">
        <v>3759</v>
      </c>
      <c r="R2321" t="s">
        <v>75</v>
      </c>
      <c r="S2321" t="s">
        <v>76</v>
      </c>
      <c r="T2321" t="s">
        <v>3760</v>
      </c>
      <c r="U2321" t="s">
        <v>3761</v>
      </c>
      <c r="V2321" t="s">
        <v>3762</v>
      </c>
      <c r="W2321" t="s">
        <v>3763</v>
      </c>
      <c r="AD2321" t="s">
        <v>410</v>
      </c>
      <c r="AE2321" t="s">
        <v>3764</v>
      </c>
      <c r="AF2321" t="s">
        <v>3766</v>
      </c>
    </row>
    <row r="2322" spans="1:32" hidden="1" x14ac:dyDescent="0.35">
      <c r="A2322">
        <v>1812</v>
      </c>
      <c r="B2322" t="s">
        <v>3757</v>
      </c>
      <c r="C2322" t="s">
        <v>72</v>
      </c>
      <c r="D2322" t="s">
        <v>34</v>
      </c>
      <c r="E2322">
        <v>2315</v>
      </c>
      <c r="F2322">
        <v>5</v>
      </c>
      <c r="G2322">
        <v>5</v>
      </c>
      <c r="H2322">
        <v>1</v>
      </c>
      <c r="I2322">
        <v>1</v>
      </c>
      <c r="J2322">
        <v>0.76178139649642196</v>
      </c>
      <c r="K2322">
        <v>0.83929868781970496</v>
      </c>
      <c r="L2322">
        <v>0.79866351814375602</v>
      </c>
      <c r="M2322">
        <v>0.45592705167173297</v>
      </c>
      <c r="N2322">
        <v>1</v>
      </c>
      <c r="O2322">
        <v>0.62279635258358701</v>
      </c>
      <c r="P2322" t="s">
        <v>3758</v>
      </c>
      <c r="Q2322" t="s">
        <v>3759</v>
      </c>
      <c r="R2322" t="s">
        <v>75</v>
      </c>
      <c r="S2322" t="s">
        <v>76</v>
      </c>
      <c r="T2322" t="s">
        <v>3760</v>
      </c>
      <c r="U2322" t="s">
        <v>3761</v>
      </c>
      <c r="V2322" t="s">
        <v>3762</v>
      </c>
      <c r="W2322" t="s">
        <v>3763</v>
      </c>
      <c r="AD2322" t="s">
        <v>410</v>
      </c>
      <c r="AE2322" t="s">
        <v>3764</v>
      </c>
      <c r="AF2322" t="e">
        <f>--------------MPVRVVTDTSAGLPEHVARDLGITVLDLHMV---GDEDDKSTSGLSSLELAAAYARQLERGGDAGVVALHLSKDLSATWSAAVAASAVFDG---SVAVIDTKSVGMNVGAAAMAAARIAMDGASLAECAELAEDTLSRSETWLYLHRIDEIRKSGRISAATAMVSVALATKPIMQIHNGRIELAIKTRTQAKAFSKLTELITARAGGLPAFVAIQHCEAKEAARALEDQLKASLPVDSSIMMMPMESVLAVHCGPGALGVSVVFSQAESEVNAALADDVEDAAPDPGPEGETVDDSAAMALPAPSQVPTNEVAQK</f>
        <v>#NAME?</v>
      </c>
    </row>
    <row r="2323" spans="1:32" hidden="1" x14ac:dyDescent="0.35">
      <c r="A2323">
        <v>1813</v>
      </c>
      <c r="B2323" t="s">
        <v>3757</v>
      </c>
      <c r="C2323" t="s">
        <v>72</v>
      </c>
      <c r="D2323" t="s">
        <v>45</v>
      </c>
      <c r="E2323">
        <v>563</v>
      </c>
      <c r="F2323">
        <v>5</v>
      </c>
      <c r="G2323">
        <v>5</v>
      </c>
      <c r="H2323">
        <v>1</v>
      </c>
      <c r="I2323">
        <v>1</v>
      </c>
      <c r="J2323">
        <v>0.76178139649642196</v>
      </c>
      <c r="K2323">
        <v>0.83929868781970496</v>
      </c>
      <c r="L2323">
        <v>0.79866351814375602</v>
      </c>
      <c r="M2323">
        <v>0.45592705167173297</v>
      </c>
      <c r="N2323">
        <v>1</v>
      </c>
      <c r="O2323">
        <v>0.62279635258358701</v>
      </c>
      <c r="P2323" t="s">
        <v>3758</v>
      </c>
      <c r="Q2323" t="s">
        <v>3759</v>
      </c>
      <c r="R2323" t="s">
        <v>75</v>
      </c>
      <c r="S2323" t="s">
        <v>76</v>
      </c>
      <c r="T2323" t="s">
        <v>3760</v>
      </c>
      <c r="U2323" t="s">
        <v>3761</v>
      </c>
      <c r="V2323" t="s">
        <v>3762</v>
      </c>
      <c r="W2323" t="s">
        <v>3763</v>
      </c>
      <c r="AD2323" t="s">
        <v>410</v>
      </c>
      <c r="AE2323" t="s">
        <v>3764</v>
      </c>
      <c r="AF2323" t="e">
        <f>--------------MPVRVVTDTSAGLPEHVARDLGITVLDLHMV---GDEDDKSTSGLSSLELAAAYARQLERGGDAGVVALHLSKDLSATWSAAVAASAVFDG---SVAVIDTKSVGMNVGAAAMAAARIAMDGASLAECAELAEDTLSRSETWLYLHRIDEIRKSGRISAATAMVSVALATKPIMQIHNGRIELAIKTRTQAKAFSKLTELITARAGGLPAFVAIQHCEAKEAARALEDQLKASLPVDSSIMMMPMESVLAVHCGPGALGVSVVFSQAESEVNAALADDAEDAAPDPGPEGEIADDSAAMALPAPSQVPTNEVAQK</f>
        <v>#NAME?</v>
      </c>
    </row>
    <row r="2324" spans="1:32" hidden="1" x14ac:dyDescent="0.35">
      <c r="A2324">
        <v>1354</v>
      </c>
      <c r="B2324" t="s">
        <v>2809</v>
      </c>
      <c r="C2324" t="s">
        <v>72</v>
      </c>
      <c r="D2324" t="s">
        <v>58</v>
      </c>
      <c r="E2324">
        <v>996</v>
      </c>
      <c r="F2324">
        <v>5</v>
      </c>
      <c r="G2324">
        <v>5</v>
      </c>
      <c r="H2324">
        <v>1</v>
      </c>
      <c r="I2324">
        <v>1</v>
      </c>
      <c r="J2324">
        <v>0.75546819877028504</v>
      </c>
      <c r="K2324">
        <v>0.93173999050482503</v>
      </c>
      <c r="L2324">
        <v>0.83439605950626095</v>
      </c>
      <c r="M2324">
        <v>0.56741573033707904</v>
      </c>
      <c r="N2324">
        <v>1</v>
      </c>
      <c r="O2324">
        <v>0.661797752808989</v>
      </c>
      <c r="P2324" t="s">
        <v>2810</v>
      </c>
      <c r="Q2324" t="s">
        <v>2811</v>
      </c>
      <c r="R2324" t="s">
        <v>113</v>
      </c>
      <c r="S2324" t="s">
        <v>114</v>
      </c>
      <c r="T2324" t="s">
        <v>2812</v>
      </c>
      <c r="U2324" t="s">
        <v>2813</v>
      </c>
      <c r="V2324" t="s">
        <v>2814</v>
      </c>
      <c r="W2324" t="s">
        <v>2815</v>
      </c>
      <c r="AD2324" t="s">
        <v>1480</v>
      </c>
      <c r="AE2324" t="s">
        <v>2816</v>
      </c>
      <c r="AF2324" t="s">
        <v>2817</v>
      </c>
    </row>
    <row r="2325" spans="1:32" hidden="1" x14ac:dyDescent="0.35">
      <c r="A2325">
        <v>1900</v>
      </c>
      <c r="B2325" t="s">
        <v>3933</v>
      </c>
      <c r="C2325" t="s">
        <v>72</v>
      </c>
      <c r="D2325" t="s">
        <v>60</v>
      </c>
      <c r="E2325">
        <v>929</v>
      </c>
      <c r="F2325">
        <v>5</v>
      </c>
      <c r="G2325">
        <v>5</v>
      </c>
      <c r="H2325">
        <v>1</v>
      </c>
      <c r="I2325">
        <v>1</v>
      </c>
      <c r="J2325">
        <v>0.752886836027714</v>
      </c>
      <c r="K2325">
        <v>0.92074749521557897</v>
      </c>
      <c r="L2325">
        <v>0.82839919749773305</v>
      </c>
      <c r="M2325">
        <v>0.50264550264550301</v>
      </c>
      <c r="N2325">
        <v>1</v>
      </c>
      <c r="O2325">
        <v>0.62751322751322802</v>
      </c>
      <c r="P2325" t="s">
        <v>3934</v>
      </c>
      <c r="Q2325" t="s">
        <v>3935</v>
      </c>
      <c r="R2325" t="s">
        <v>75</v>
      </c>
      <c r="S2325" t="s">
        <v>76</v>
      </c>
      <c r="V2325" t="s">
        <v>3936</v>
      </c>
      <c r="W2325" t="s">
        <v>3937</v>
      </c>
      <c r="AF2325" t="s">
        <v>3939</v>
      </c>
    </row>
    <row r="2326" spans="1:32" hidden="1" x14ac:dyDescent="0.35">
      <c r="A2326">
        <v>1901</v>
      </c>
      <c r="B2326" t="s">
        <v>3933</v>
      </c>
      <c r="C2326" t="s">
        <v>72</v>
      </c>
      <c r="D2326" t="s">
        <v>62</v>
      </c>
      <c r="E2326">
        <v>965</v>
      </c>
      <c r="F2326">
        <v>5</v>
      </c>
      <c r="G2326">
        <v>5</v>
      </c>
      <c r="H2326">
        <v>1</v>
      </c>
      <c r="I2326">
        <v>1</v>
      </c>
      <c r="J2326">
        <v>0.752886836027714</v>
      </c>
      <c r="K2326">
        <v>0.92074749521557897</v>
      </c>
      <c r="L2326">
        <v>0.82839919749773305</v>
      </c>
      <c r="M2326">
        <v>0.50264550264550301</v>
      </c>
      <c r="N2326">
        <v>1</v>
      </c>
      <c r="O2326">
        <v>0.62751322751322802</v>
      </c>
      <c r="P2326" t="s">
        <v>3934</v>
      </c>
      <c r="Q2326" t="s">
        <v>3935</v>
      </c>
      <c r="R2326" t="s">
        <v>75</v>
      </c>
      <c r="S2326" t="s">
        <v>76</v>
      </c>
      <c r="V2326" t="s">
        <v>3936</v>
      </c>
      <c r="W2326" t="s">
        <v>3937</v>
      </c>
      <c r="AF2326" t="s">
        <v>3939</v>
      </c>
    </row>
    <row r="2327" spans="1:32" hidden="1" x14ac:dyDescent="0.35">
      <c r="A2327">
        <v>1902</v>
      </c>
      <c r="B2327" t="s">
        <v>3933</v>
      </c>
      <c r="C2327" t="s">
        <v>72</v>
      </c>
      <c r="D2327" t="s">
        <v>34</v>
      </c>
      <c r="E2327">
        <v>233</v>
      </c>
      <c r="F2327">
        <v>5</v>
      </c>
      <c r="G2327">
        <v>5</v>
      </c>
      <c r="H2327">
        <v>1</v>
      </c>
      <c r="I2327">
        <v>1</v>
      </c>
      <c r="J2327">
        <v>0.752886836027714</v>
      </c>
      <c r="K2327">
        <v>0.92074749521557897</v>
      </c>
      <c r="L2327">
        <v>0.82839919749773305</v>
      </c>
      <c r="M2327">
        <v>0.50264550264550301</v>
      </c>
      <c r="N2327">
        <v>1</v>
      </c>
      <c r="O2327">
        <v>0.62751322751322802</v>
      </c>
      <c r="P2327" t="s">
        <v>3934</v>
      </c>
      <c r="Q2327" t="s">
        <v>3935</v>
      </c>
      <c r="R2327" t="s">
        <v>75</v>
      </c>
      <c r="S2327" t="s">
        <v>76</v>
      </c>
      <c r="V2327" t="s">
        <v>3936</v>
      </c>
      <c r="W2327" t="s">
        <v>3937</v>
      </c>
      <c r="AF2327" t="s">
        <v>3940</v>
      </c>
    </row>
    <row r="2328" spans="1:32" hidden="1" x14ac:dyDescent="0.35">
      <c r="A2328">
        <v>1903</v>
      </c>
      <c r="B2328" t="s">
        <v>3933</v>
      </c>
      <c r="C2328" t="s">
        <v>72</v>
      </c>
      <c r="D2328" t="s">
        <v>45</v>
      </c>
      <c r="E2328">
        <v>1496</v>
      </c>
      <c r="F2328">
        <v>5</v>
      </c>
      <c r="G2328">
        <v>5</v>
      </c>
      <c r="H2328">
        <v>1</v>
      </c>
      <c r="I2328">
        <v>1</v>
      </c>
      <c r="J2328">
        <v>0.752886836027714</v>
      </c>
      <c r="K2328">
        <v>0.92074749521557897</v>
      </c>
      <c r="L2328">
        <v>0.82839919749773305</v>
      </c>
      <c r="M2328">
        <v>0.50264550264550301</v>
      </c>
      <c r="N2328">
        <v>1</v>
      </c>
      <c r="O2328">
        <v>0.62751322751322802</v>
      </c>
      <c r="P2328" t="s">
        <v>3934</v>
      </c>
      <c r="Q2328" t="s">
        <v>3935</v>
      </c>
      <c r="R2328" t="s">
        <v>75</v>
      </c>
      <c r="S2328" t="s">
        <v>76</v>
      </c>
      <c r="V2328" t="s">
        <v>3936</v>
      </c>
      <c r="W2328" t="s">
        <v>3937</v>
      </c>
      <c r="AF2328" t="s">
        <v>3940</v>
      </c>
    </row>
    <row r="2329" spans="1:32" hidden="1" x14ac:dyDescent="0.35">
      <c r="A2329">
        <v>5552</v>
      </c>
      <c r="B2329" t="s">
        <v>11487</v>
      </c>
      <c r="C2329" t="s">
        <v>57</v>
      </c>
      <c r="D2329" t="s">
        <v>58</v>
      </c>
      <c r="E2329">
        <v>694</v>
      </c>
      <c r="F2329">
        <v>3</v>
      </c>
      <c r="G2329">
        <v>4</v>
      </c>
      <c r="H2329">
        <v>2</v>
      </c>
      <c r="I2329">
        <v>0</v>
      </c>
      <c r="J2329">
        <v>0.80114449213161698</v>
      </c>
      <c r="K2329">
        <v>0.97920524141860099</v>
      </c>
      <c r="L2329">
        <v>0.88127054032756902</v>
      </c>
      <c r="M2329">
        <v>0.67226890756302504</v>
      </c>
      <c r="N2329">
        <v>0.97478991596638698</v>
      </c>
      <c r="O2329">
        <v>0.73529411764705899</v>
      </c>
      <c r="P2329" t="s">
        <v>4625</v>
      </c>
      <c r="Q2329" t="s">
        <v>4626</v>
      </c>
      <c r="R2329" t="s">
        <v>113</v>
      </c>
      <c r="S2329" t="s">
        <v>114</v>
      </c>
      <c r="T2329" t="s">
        <v>11489</v>
      </c>
      <c r="U2329" t="s">
        <v>11490</v>
      </c>
      <c r="V2329" t="s">
        <v>10757</v>
      </c>
      <c r="W2329" t="s">
        <v>10758</v>
      </c>
      <c r="AD2329" t="s">
        <v>312</v>
      </c>
      <c r="AE2329" t="s">
        <v>10759</v>
      </c>
      <c r="AF2329" t="s">
        <v>11491</v>
      </c>
    </row>
    <row r="2330" spans="1:32" hidden="1" x14ac:dyDescent="0.35">
      <c r="A2330">
        <v>2125</v>
      </c>
      <c r="B2330" t="s">
        <v>4426</v>
      </c>
      <c r="C2330" t="s">
        <v>72</v>
      </c>
      <c r="D2330" t="s">
        <v>60</v>
      </c>
      <c r="E2330">
        <v>2420</v>
      </c>
      <c r="F2330">
        <v>5</v>
      </c>
      <c r="G2330">
        <v>5</v>
      </c>
      <c r="H2330">
        <v>1</v>
      </c>
      <c r="I2330">
        <v>1</v>
      </c>
      <c r="J2330">
        <v>0.80883468834688299</v>
      </c>
      <c r="K2330">
        <v>0.99515612133037501</v>
      </c>
      <c r="L2330">
        <v>0.89237349429374302</v>
      </c>
      <c r="M2330">
        <v>0.66504854368931998</v>
      </c>
      <c r="N2330">
        <v>1</v>
      </c>
      <c r="O2330">
        <v>0.74773462783171496</v>
      </c>
      <c r="P2330" t="s">
        <v>3179</v>
      </c>
      <c r="Q2330" t="s">
        <v>3180</v>
      </c>
      <c r="R2330" t="s">
        <v>75</v>
      </c>
      <c r="S2330" t="s">
        <v>76</v>
      </c>
      <c r="T2330" t="s">
        <v>4427</v>
      </c>
      <c r="U2330" t="s">
        <v>4428</v>
      </c>
      <c r="V2330" t="s">
        <v>3181</v>
      </c>
      <c r="W2330" t="s">
        <v>3182</v>
      </c>
      <c r="X2330" t="s">
        <v>3181</v>
      </c>
      <c r="Y2330" t="s">
        <v>875</v>
      </c>
      <c r="Z2330" t="s">
        <v>144</v>
      </c>
      <c r="AA2330" t="s">
        <v>145</v>
      </c>
      <c r="AB2330" t="s">
        <v>144</v>
      </c>
      <c r="AC2330" t="s">
        <v>146</v>
      </c>
      <c r="AD2330" t="s">
        <v>2751</v>
      </c>
      <c r="AE2330" t="s">
        <v>4429</v>
      </c>
      <c r="AF2330" t="s">
        <v>4431</v>
      </c>
    </row>
    <row r="2331" spans="1:32" hidden="1" x14ac:dyDescent="0.35">
      <c r="A2331">
        <v>2126</v>
      </c>
      <c r="B2331" t="s">
        <v>4426</v>
      </c>
      <c r="C2331" t="s">
        <v>72</v>
      </c>
      <c r="D2331" t="s">
        <v>62</v>
      </c>
      <c r="E2331">
        <v>2447</v>
      </c>
      <c r="F2331">
        <v>5</v>
      </c>
      <c r="G2331">
        <v>5</v>
      </c>
      <c r="H2331">
        <v>1</v>
      </c>
      <c r="I2331">
        <v>1</v>
      </c>
      <c r="J2331">
        <v>0.80883468834688299</v>
      </c>
      <c r="K2331">
        <v>0.99515612133037501</v>
      </c>
      <c r="L2331">
        <v>0.89237349429374302</v>
      </c>
      <c r="M2331">
        <v>0.66504854368931998</v>
      </c>
      <c r="N2331">
        <v>1</v>
      </c>
      <c r="O2331">
        <v>0.74773462783171496</v>
      </c>
      <c r="P2331" t="s">
        <v>3179</v>
      </c>
      <c r="Q2331" t="s">
        <v>3180</v>
      </c>
      <c r="R2331" t="s">
        <v>75</v>
      </c>
      <c r="S2331" t="s">
        <v>76</v>
      </c>
      <c r="T2331" t="s">
        <v>4427</v>
      </c>
      <c r="U2331" t="s">
        <v>4428</v>
      </c>
      <c r="V2331" t="s">
        <v>3181</v>
      </c>
      <c r="W2331" t="s">
        <v>3182</v>
      </c>
      <c r="X2331" t="s">
        <v>3181</v>
      </c>
      <c r="Y2331" t="s">
        <v>875</v>
      </c>
      <c r="Z2331" t="s">
        <v>144</v>
      </c>
      <c r="AA2331" t="s">
        <v>145</v>
      </c>
      <c r="AB2331" t="s">
        <v>144</v>
      </c>
      <c r="AC2331" t="s">
        <v>146</v>
      </c>
      <c r="AD2331" t="s">
        <v>2751</v>
      </c>
      <c r="AE2331" t="s">
        <v>4429</v>
      </c>
      <c r="AF2331" t="s">
        <v>4431</v>
      </c>
    </row>
    <row r="2332" spans="1:32" hidden="1" x14ac:dyDescent="0.35">
      <c r="A2332">
        <v>2127</v>
      </c>
      <c r="B2332" t="s">
        <v>4426</v>
      </c>
      <c r="C2332" t="s">
        <v>72</v>
      </c>
      <c r="D2332" t="s">
        <v>34</v>
      </c>
      <c r="E2332">
        <v>1308</v>
      </c>
      <c r="F2332">
        <v>5</v>
      </c>
      <c r="G2332">
        <v>5</v>
      </c>
      <c r="H2332">
        <v>1</v>
      </c>
      <c r="I2332">
        <v>1</v>
      </c>
      <c r="J2332">
        <v>0.80883468834688299</v>
      </c>
      <c r="K2332">
        <v>0.99515612133037501</v>
      </c>
      <c r="L2332">
        <v>0.89237349429374302</v>
      </c>
      <c r="M2332">
        <v>0.66504854368931998</v>
      </c>
      <c r="N2332">
        <v>1</v>
      </c>
      <c r="O2332">
        <v>0.74773462783171496</v>
      </c>
      <c r="P2332" t="s">
        <v>3179</v>
      </c>
      <c r="Q2332" t="s">
        <v>3180</v>
      </c>
      <c r="R2332" t="s">
        <v>75</v>
      </c>
      <c r="S2332" t="s">
        <v>76</v>
      </c>
      <c r="T2332" t="s">
        <v>4427</v>
      </c>
      <c r="U2332" t="s">
        <v>4428</v>
      </c>
      <c r="V2332" t="s">
        <v>3181</v>
      </c>
      <c r="W2332" t="s">
        <v>3182</v>
      </c>
      <c r="X2332" t="s">
        <v>3181</v>
      </c>
      <c r="Y2332" t="s">
        <v>875</v>
      </c>
      <c r="Z2332" t="s">
        <v>144</v>
      </c>
      <c r="AA2332" t="s">
        <v>145</v>
      </c>
      <c r="AB2332" t="s">
        <v>144</v>
      </c>
      <c r="AC2332" t="s">
        <v>146</v>
      </c>
      <c r="AD2332" t="s">
        <v>2751</v>
      </c>
      <c r="AE2332" t="s">
        <v>4429</v>
      </c>
      <c r="AF2332" t="s">
        <v>4432</v>
      </c>
    </row>
    <row r="2333" spans="1:32" hidden="1" x14ac:dyDescent="0.35">
      <c r="A2333">
        <v>2128</v>
      </c>
      <c r="B2333" t="s">
        <v>4426</v>
      </c>
      <c r="C2333" t="s">
        <v>72</v>
      </c>
      <c r="D2333" t="s">
        <v>45</v>
      </c>
      <c r="E2333">
        <v>60</v>
      </c>
      <c r="F2333">
        <v>5</v>
      </c>
      <c r="G2333">
        <v>5</v>
      </c>
      <c r="H2333">
        <v>1</v>
      </c>
      <c r="I2333">
        <v>1</v>
      </c>
      <c r="J2333">
        <v>0.80883468834688299</v>
      </c>
      <c r="K2333">
        <v>0.99515612133037501</v>
      </c>
      <c r="L2333">
        <v>0.89237349429374302</v>
      </c>
      <c r="M2333">
        <v>0.66504854368931998</v>
      </c>
      <c r="N2333">
        <v>1</v>
      </c>
      <c r="O2333">
        <v>0.74773462783171496</v>
      </c>
      <c r="P2333" t="s">
        <v>3179</v>
      </c>
      <c r="Q2333" t="s">
        <v>3180</v>
      </c>
      <c r="R2333" t="s">
        <v>75</v>
      </c>
      <c r="S2333" t="s">
        <v>76</v>
      </c>
      <c r="T2333" t="s">
        <v>4427</v>
      </c>
      <c r="U2333" t="s">
        <v>4428</v>
      </c>
      <c r="V2333" t="s">
        <v>3181</v>
      </c>
      <c r="W2333" t="s">
        <v>3182</v>
      </c>
      <c r="X2333" t="s">
        <v>3181</v>
      </c>
      <c r="Y2333" t="s">
        <v>875</v>
      </c>
      <c r="Z2333" t="s">
        <v>144</v>
      </c>
      <c r="AA2333" t="s">
        <v>145</v>
      </c>
      <c r="AB2333" t="s">
        <v>144</v>
      </c>
      <c r="AC2333" t="s">
        <v>146</v>
      </c>
      <c r="AD2333" t="s">
        <v>2751</v>
      </c>
      <c r="AE2333" t="s">
        <v>4429</v>
      </c>
      <c r="AF2333" t="s">
        <v>4433</v>
      </c>
    </row>
    <row r="2334" spans="1:32" hidden="1" x14ac:dyDescent="0.35">
      <c r="A2334">
        <v>5553</v>
      </c>
      <c r="B2334" t="s">
        <v>11487</v>
      </c>
      <c r="C2334" t="s">
        <v>57</v>
      </c>
      <c r="D2334" t="s">
        <v>58</v>
      </c>
      <c r="E2334">
        <v>1498</v>
      </c>
      <c r="F2334">
        <v>3</v>
      </c>
      <c r="G2334">
        <v>4</v>
      </c>
      <c r="H2334">
        <v>2</v>
      </c>
      <c r="I2334">
        <v>0</v>
      </c>
      <c r="J2334">
        <v>0.80114449213161698</v>
      </c>
      <c r="K2334">
        <v>0.97920524141860099</v>
      </c>
      <c r="L2334">
        <v>0.88127054032756902</v>
      </c>
      <c r="M2334">
        <v>0.67226890756302504</v>
      </c>
      <c r="N2334">
        <v>0.97478991596638698</v>
      </c>
      <c r="O2334">
        <v>0.73529411764705899</v>
      </c>
      <c r="P2334" t="s">
        <v>4625</v>
      </c>
      <c r="Q2334" t="s">
        <v>4626</v>
      </c>
      <c r="R2334" t="s">
        <v>113</v>
      </c>
      <c r="S2334" t="s">
        <v>114</v>
      </c>
      <c r="T2334" t="s">
        <v>11489</v>
      </c>
      <c r="U2334" t="s">
        <v>11490</v>
      </c>
      <c r="V2334" t="s">
        <v>10757</v>
      </c>
      <c r="W2334" t="s">
        <v>10758</v>
      </c>
      <c r="AD2334" t="s">
        <v>312</v>
      </c>
      <c r="AE2334" t="s">
        <v>10759</v>
      </c>
      <c r="AF2334" t="s">
        <v>11492</v>
      </c>
    </row>
    <row r="2335" spans="1:32" hidden="1" x14ac:dyDescent="0.35">
      <c r="A2335">
        <v>2470</v>
      </c>
      <c r="B2335" t="s">
        <v>5114</v>
      </c>
      <c r="C2335" t="s">
        <v>72</v>
      </c>
      <c r="D2335" t="s">
        <v>60</v>
      </c>
      <c r="E2335">
        <v>854</v>
      </c>
      <c r="F2335">
        <v>5</v>
      </c>
      <c r="G2335">
        <v>5</v>
      </c>
      <c r="H2335">
        <v>1</v>
      </c>
      <c r="I2335">
        <v>1</v>
      </c>
      <c r="J2335">
        <v>0.82252604166666698</v>
      </c>
      <c r="K2335">
        <v>0.99230838838114099</v>
      </c>
      <c r="L2335">
        <v>0.89947543125051699</v>
      </c>
      <c r="M2335">
        <v>0.693798449612403</v>
      </c>
      <c r="N2335">
        <v>1</v>
      </c>
      <c r="O2335">
        <v>0.76860465116279097</v>
      </c>
      <c r="P2335" t="s">
        <v>2175</v>
      </c>
      <c r="Q2335" t="s">
        <v>2176</v>
      </c>
      <c r="R2335" t="s">
        <v>75</v>
      </c>
      <c r="S2335" t="s">
        <v>76</v>
      </c>
      <c r="T2335" t="s">
        <v>5115</v>
      </c>
      <c r="U2335" t="s">
        <v>5116</v>
      </c>
      <c r="V2335" t="s">
        <v>2179</v>
      </c>
      <c r="W2335" t="s">
        <v>2180</v>
      </c>
      <c r="AD2335" t="s">
        <v>1231</v>
      </c>
      <c r="AE2335" t="s">
        <v>5117</v>
      </c>
      <c r="AF2335" t="s">
        <v>5118</v>
      </c>
    </row>
    <row r="2336" spans="1:32" hidden="1" x14ac:dyDescent="0.35">
      <c r="A2336">
        <v>2471</v>
      </c>
      <c r="B2336" t="s">
        <v>5114</v>
      </c>
      <c r="C2336" t="s">
        <v>72</v>
      </c>
      <c r="D2336" t="s">
        <v>62</v>
      </c>
      <c r="E2336">
        <v>888</v>
      </c>
      <c r="F2336">
        <v>5</v>
      </c>
      <c r="G2336">
        <v>5</v>
      </c>
      <c r="H2336">
        <v>1</v>
      </c>
      <c r="I2336">
        <v>1</v>
      </c>
      <c r="J2336">
        <v>0.82252604166666698</v>
      </c>
      <c r="K2336">
        <v>0.99230838838114099</v>
      </c>
      <c r="L2336">
        <v>0.89947543125051699</v>
      </c>
      <c r="M2336">
        <v>0.693798449612403</v>
      </c>
      <c r="N2336">
        <v>1</v>
      </c>
      <c r="O2336">
        <v>0.76860465116279097</v>
      </c>
      <c r="P2336" t="s">
        <v>2175</v>
      </c>
      <c r="Q2336" t="s">
        <v>2176</v>
      </c>
      <c r="R2336" t="s">
        <v>75</v>
      </c>
      <c r="S2336" t="s">
        <v>76</v>
      </c>
      <c r="T2336" t="s">
        <v>5115</v>
      </c>
      <c r="U2336" t="s">
        <v>5116</v>
      </c>
      <c r="V2336" t="s">
        <v>2179</v>
      </c>
      <c r="W2336" t="s">
        <v>2180</v>
      </c>
      <c r="AD2336" t="s">
        <v>1231</v>
      </c>
      <c r="AE2336" t="s">
        <v>5117</v>
      </c>
      <c r="AF2336" t="s">
        <v>5118</v>
      </c>
    </row>
    <row r="2337" spans="1:32" hidden="1" x14ac:dyDescent="0.35">
      <c r="A2337">
        <v>2472</v>
      </c>
      <c r="B2337" t="s">
        <v>5114</v>
      </c>
      <c r="C2337" t="s">
        <v>72</v>
      </c>
      <c r="D2337" t="s">
        <v>34</v>
      </c>
      <c r="E2337">
        <v>292</v>
      </c>
      <c r="F2337">
        <v>5</v>
      </c>
      <c r="G2337">
        <v>5</v>
      </c>
      <c r="H2337">
        <v>1</v>
      </c>
      <c r="I2337">
        <v>1</v>
      </c>
      <c r="J2337">
        <v>0.82252604166666698</v>
      </c>
      <c r="K2337">
        <v>0.99230838838114099</v>
      </c>
      <c r="L2337">
        <v>0.89947543125051699</v>
      </c>
      <c r="M2337">
        <v>0.693798449612403</v>
      </c>
      <c r="N2337">
        <v>1</v>
      </c>
      <c r="O2337">
        <v>0.76860465116279097</v>
      </c>
      <c r="P2337" t="s">
        <v>2175</v>
      </c>
      <c r="Q2337" t="s">
        <v>2176</v>
      </c>
      <c r="R2337" t="s">
        <v>75</v>
      </c>
      <c r="S2337" t="s">
        <v>76</v>
      </c>
      <c r="T2337" t="s">
        <v>5115</v>
      </c>
      <c r="U2337" t="s">
        <v>5116</v>
      </c>
      <c r="V2337" t="s">
        <v>2179</v>
      </c>
      <c r="W2337" t="s">
        <v>2180</v>
      </c>
      <c r="AD2337" t="s">
        <v>1231</v>
      </c>
      <c r="AE2337" t="s">
        <v>5117</v>
      </c>
      <c r="AF2337" t="s">
        <v>5119</v>
      </c>
    </row>
    <row r="2338" spans="1:32" hidden="1" x14ac:dyDescent="0.35">
      <c r="A2338">
        <v>2473</v>
      </c>
      <c r="B2338" t="s">
        <v>5114</v>
      </c>
      <c r="C2338" t="s">
        <v>72</v>
      </c>
      <c r="D2338" t="s">
        <v>45</v>
      </c>
      <c r="E2338">
        <v>1554</v>
      </c>
      <c r="F2338">
        <v>5</v>
      </c>
      <c r="G2338">
        <v>5</v>
      </c>
      <c r="H2338">
        <v>1</v>
      </c>
      <c r="I2338">
        <v>1</v>
      </c>
      <c r="J2338">
        <v>0.82252604166666698</v>
      </c>
      <c r="K2338">
        <v>0.99230838838114099</v>
      </c>
      <c r="L2338">
        <v>0.89947543125051699</v>
      </c>
      <c r="M2338">
        <v>0.693798449612403</v>
      </c>
      <c r="N2338">
        <v>1</v>
      </c>
      <c r="O2338">
        <v>0.76860465116279097</v>
      </c>
      <c r="P2338" t="s">
        <v>2175</v>
      </c>
      <c r="Q2338" t="s">
        <v>2176</v>
      </c>
      <c r="R2338" t="s">
        <v>75</v>
      </c>
      <c r="S2338" t="s">
        <v>76</v>
      </c>
      <c r="T2338" t="s">
        <v>5115</v>
      </c>
      <c r="U2338" t="s">
        <v>5116</v>
      </c>
      <c r="V2338" t="s">
        <v>2179</v>
      </c>
      <c r="W2338" t="s">
        <v>2180</v>
      </c>
      <c r="AD2338" t="s">
        <v>1231</v>
      </c>
      <c r="AE2338" t="s">
        <v>5117</v>
      </c>
      <c r="AF2338" t="s">
        <v>5120</v>
      </c>
    </row>
    <row r="2339" spans="1:32" hidden="1" x14ac:dyDescent="0.35">
      <c r="A2339">
        <v>11083</v>
      </c>
      <c r="B2339" t="s">
        <v>22431</v>
      </c>
      <c r="C2339" t="s">
        <v>33</v>
      </c>
      <c r="D2339" t="s">
        <v>58</v>
      </c>
      <c r="E2339">
        <v>787</v>
      </c>
      <c r="F2339">
        <v>1</v>
      </c>
      <c r="G2339">
        <v>1</v>
      </c>
      <c r="H2339">
        <v>1</v>
      </c>
      <c r="I2339">
        <v>0</v>
      </c>
      <c r="J2339">
        <v>1</v>
      </c>
      <c r="K2339">
        <v>1</v>
      </c>
      <c r="L2339">
        <v>1</v>
      </c>
      <c r="M2339">
        <v>0</v>
      </c>
      <c r="N2339">
        <v>0</v>
      </c>
      <c r="O2339">
        <v>0</v>
      </c>
      <c r="P2339" t="s">
        <v>22432</v>
      </c>
      <c r="Q2339" t="s">
        <v>22433</v>
      </c>
      <c r="R2339" t="s">
        <v>113</v>
      </c>
      <c r="S2339" t="s">
        <v>114</v>
      </c>
      <c r="V2339" t="s">
        <v>22434</v>
      </c>
      <c r="W2339" t="s">
        <v>22435</v>
      </c>
      <c r="AF2339" t="s">
        <v>22436</v>
      </c>
    </row>
    <row r="2340" spans="1:32" hidden="1" x14ac:dyDescent="0.35">
      <c r="A2340">
        <v>2505</v>
      </c>
      <c r="B2340" t="s">
        <v>5188</v>
      </c>
      <c r="C2340" t="s">
        <v>72</v>
      </c>
      <c r="D2340" t="s">
        <v>60</v>
      </c>
      <c r="E2340">
        <v>1509</v>
      </c>
      <c r="F2340">
        <v>5</v>
      </c>
      <c r="G2340">
        <v>5</v>
      </c>
      <c r="H2340">
        <v>1</v>
      </c>
      <c r="I2340">
        <v>1</v>
      </c>
      <c r="J2340">
        <v>0.76959003632589496</v>
      </c>
      <c r="K2340">
        <v>0.90226037817865501</v>
      </c>
      <c r="L2340">
        <v>0.83066115388523298</v>
      </c>
      <c r="M2340">
        <v>0.48837209302325602</v>
      </c>
      <c r="N2340">
        <v>1</v>
      </c>
      <c r="O2340">
        <v>0.65860465116279099</v>
      </c>
      <c r="P2340" t="s">
        <v>5189</v>
      </c>
      <c r="Q2340" t="s">
        <v>5190</v>
      </c>
      <c r="R2340" t="s">
        <v>75</v>
      </c>
      <c r="S2340" t="s">
        <v>76</v>
      </c>
      <c r="T2340" t="s">
        <v>5191</v>
      </c>
      <c r="U2340" t="s">
        <v>5192</v>
      </c>
      <c r="V2340" t="s">
        <v>5193</v>
      </c>
      <c r="W2340" t="s">
        <v>5194</v>
      </c>
      <c r="X2340" t="s">
        <v>5193</v>
      </c>
      <c r="Y2340" t="s">
        <v>2392</v>
      </c>
      <c r="AD2340" t="s">
        <v>219</v>
      </c>
      <c r="AE2340" t="s">
        <v>5195</v>
      </c>
      <c r="AF2340" t="s">
        <v>5197</v>
      </c>
    </row>
    <row r="2341" spans="1:32" hidden="1" x14ac:dyDescent="0.35">
      <c r="A2341">
        <v>2506</v>
      </c>
      <c r="B2341" t="s">
        <v>5188</v>
      </c>
      <c r="C2341" t="s">
        <v>72</v>
      </c>
      <c r="D2341" t="s">
        <v>62</v>
      </c>
      <c r="E2341">
        <v>1544</v>
      </c>
      <c r="F2341">
        <v>5</v>
      </c>
      <c r="G2341">
        <v>5</v>
      </c>
      <c r="H2341">
        <v>1</v>
      </c>
      <c r="I2341">
        <v>1</v>
      </c>
      <c r="J2341">
        <v>0.76959003632589496</v>
      </c>
      <c r="K2341">
        <v>0.90226037817865501</v>
      </c>
      <c r="L2341">
        <v>0.83066115388523298</v>
      </c>
      <c r="M2341">
        <v>0.48837209302325602</v>
      </c>
      <c r="N2341">
        <v>1</v>
      </c>
      <c r="O2341">
        <v>0.65860465116279099</v>
      </c>
      <c r="P2341" t="s">
        <v>5189</v>
      </c>
      <c r="Q2341" t="s">
        <v>5190</v>
      </c>
      <c r="R2341" t="s">
        <v>75</v>
      </c>
      <c r="S2341" t="s">
        <v>76</v>
      </c>
      <c r="T2341" t="s">
        <v>5191</v>
      </c>
      <c r="U2341" t="s">
        <v>5192</v>
      </c>
      <c r="V2341" t="s">
        <v>5193</v>
      </c>
      <c r="W2341" t="s">
        <v>5194</v>
      </c>
      <c r="X2341" t="s">
        <v>5193</v>
      </c>
      <c r="Y2341" t="s">
        <v>2392</v>
      </c>
      <c r="AD2341" t="s">
        <v>219</v>
      </c>
      <c r="AE2341" t="s">
        <v>5195</v>
      </c>
      <c r="AF2341" t="s">
        <v>5197</v>
      </c>
    </row>
    <row r="2342" spans="1:32" hidden="1" x14ac:dyDescent="0.35">
      <c r="A2342">
        <v>2507</v>
      </c>
      <c r="B2342" t="s">
        <v>5188</v>
      </c>
      <c r="C2342" t="s">
        <v>72</v>
      </c>
      <c r="D2342" t="s">
        <v>34</v>
      </c>
      <c r="E2342">
        <v>1940</v>
      </c>
      <c r="F2342">
        <v>5</v>
      </c>
      <c r="G2342">
        <v>5</v>
      </c>
      <c r="H2342">
        <v>1</v>
      </c>
      <c r="I2342">
        <v>1</v>
      </c>
      <c r="J2342">
        <v>0.76959003632589496</v>
      </c>
      <c r="K2342">
        <v>0.90226037817865501</v>
      </c>
      <c r="L2342">
        <v>0.83066115388523298</v>
      </c>
      <c r="M2342">
        <v>0.48837209302325602</v>
      </c>
      <c r="N2342">
        <v>1</v>
      </c>
      <c r="O2342">
        <v>0.65860465116279099</v>
      </c>
      <c r="P2342" t="s">
        <v>5189</v>
      </c>
      <c r="Q2342" t="s">
        <v>5190</v>
      </c>
      <c r="R2342" t="s">
        <v>75</v>
      </c>
      <c r="S2342" t="s">
        <v>76</v>
      </c>
      <c r="T2342" t="s">
        <v>5191</v>
      </c>
      <c r="U2342" t="s">
        <v>5192</v>
      </c>
      <c r="V2342" t="s">
        <v>5193</v>
      </c>
      <c r="W2342" t="s">
        <v>5194</v>
      </c>
      <c r="X2342" t="s">
        <v>5193</v>
      </c>
      <c r="Y2342" t="s">
        <v>2392</v>
      </c>
      <c r="AD2342" t="s">
        <v>219</v>
      </c>
      <c r="AE2342" t="s">
        <v>5195</v>
      </c>
      <c r="AF2342" t="s">
        <v>5198</v>
      </c>
    </row>
    <row r="2343" spans="1:32" hidden="1" x14ac:dyDescent="0.35">
      <c r="A2343">
        <v>2508</v>
      </c>
      <c r="B2343" t="s">
        <v>5188</v>
      </c>
      <c r="C2343" t="s">
        <v>72</v>
      </c>
      <c r="D2343" t="s">
        <v>45</v>
      </c>
      <c r="E2343">
        <v>933</v>
      </c>
      <c r="F2343">
        <v>5</v>
      </c>
      <c r="G2343">
        <v>5</v>
      </c>
      <c r="H2343">
        <v>1</v>
      </c>
      <c r="I2343">
        <v>1</v>
      </c>
      <c r="J2343">
        <v>0.76959003632589496</v>
      </c>
      <c r="K2343">
        <v>0.90226037817865501</v>
      </c>
      <c r="L2343">
        <v>0.83066115388523298</v>
      </c>
      <c r="M2343">
        <v>0.48837209302325602</v>
      </c>
      <c r="N2343">
        <v>1</v>
      </c>
      <c r="O2343">
        <v>0.65860465116279099</v>
      </c>
      <c r="P2343" t="s">
        <v>5189</v>
      </c>
      <c r="Q2343" t="s">
        <v>5190</v>
      </c>
      <c r="R2343" t="s">
        <v>75</v>
      </c>
      <c r="S2343" t="s">
        <v>76</v>
      </c>
      <c r="T2343" t="s">
        <v>5191</v>
      </c>
      <c r="U2343" t="s">
        <v>5192</v>
      </c>
      <c r="V2343" t="s">
        <v>5193</v>
      </c>
      <c r="W2343" t="s">
        <v>5194</v>
      </c>
      <c r="X2343" t="s">
        <v>5193</v>
      </c>
      <c r="Y2343" t="s">
        <v>2392</v>
      </c>
      <c r="AD2343" t="s">
        <v>219</v>
      </c>
      <c r="AE2343" t="s">
        <v>5195</v>
      </c>
      <c r="AF2343" t="s">
        <v>5198</v>
      </c>
    </row>
    <row r="2344" spans="1:32" hidden="1" x14ac:dyDescent="0.35">
      <c r="A2344">
        <v>11121</v>
      </c>
      <c r="B2344" t="s">
        <v>22536</v>
      </c>
      <c r="C2344" t="s">
        <v>33</v>
      </c>
      <c r="D2344" t="s">
        <v>58</v>
      </c>
      <c r="E2344">
        <v>576</v>
      </c>
      <c r="F2344">
        <v>1</v>
      </c>
      <c r="G2344">
        <v>1</v>
      </c>
      <c r="H2344">
        <v>1</v>
      </c>
      <c r="I2344">
        <v>0</v>
      </c>
      <c r="J2344">
        <v>1</v>
      </c>
      <c r="K2344">
        <v>1</v>
      </c>
      <c r="L2344">
        <v>1</v>
      </c>
      <c r="M2344">
        <v>0</v>
      </c>
      <c r="N2344">
        <v>0</v>
      </c>
      <c r="O2344">
        <v>0</v>
      </c>
      <c r="P2344" t="s">
        <v>10293</v>
      </c>
      <c r="Q2344" t="s">
        <v>10294</v>
      </c>
      <c r="R2344" t="s">
        <v>113</v>
      </c>
      <c r="S2344" t="s">
        <v>114</v>
      </c>
      <c r="V2344" t="s">
        <v>15121</v>
      </c>
      <c r="W2344" t="s">
        <v>15122</v>
      </c>
      <c r="AF2344" t="s">
        <v>22537</v>
      </c>
    </row>
    <row r="2345" spans="1:32" hidden="1" x14ac:dyDescent="0.35">
      <c r="A2345">
        <v>2695</v>
      </c>
      <c r="B2345" t="s">
        <v>5571</v>
      </c>
      <c r="C2345" t="s">
        <v>72</v>
      </c>
      <c r="D2345" t="s">
        <v>60</v>
      </c>
      <c r="E2345">
        <v>335</v>
      </c>
      <c r="F2345">
        <v>5</v>
      </c>
      <c r="G2345">
        <v>5</v>
      </c>
      <c r="H2345">
        <v>1</v>
      </c>
      <c r="I2345">
        <v>1</v>
      </c>
      <c r="J2345">
        <v>0.74778799824791897</v>
      </c>
      <c r="K2345">
        <v>0.84908077169311702</v>
      </c>
      <c r="L2345">
        <v>0.79522177722674003</v>
      </c>
      <c r="M2345">
        <v>0.458515283842795</v>
      </c>
      <c r="N2345">
        <v>1</v>
      </c>
      <c r="O2345">
        <v>0.62816593886462901</v>
      </c>
      <c r="P2345" t="s">
        <v>3179</v>
      </c>
      <c r="Q2345" t="s">
        <v>3180</v>
      </c>
      <c r="R2345" t="s">
        <v>75</v>
      </c>
      <c r="S2345" t="s">
        <v>76</v>
      </c>
      <c r="T2345" t="s">
        <v>5572</v>
      </c>
      <c r="U2345" t="s">
        <v>5573</v>
      </c>
      <c r="V2345" t="s">
        <v>3181</v>
      </c>
      <c r="W2345" t="s">
        <v>3182</v>
      </c>
      <c r="X2345" t="s">
        <v>3181</v>
      </c>
      <c r="Y2345" t="s">
        <v>875</v>
      </c>
      <c r="Z2345" t="s">
        <v>876</v>
      </c>
      <c r="AA2345" t="s">
        <v>877</v>
      </c>
      <c r="AB2345" t="s">
        <v>876</v>
      </c>
      <c r="AC2345" t="s">
        <v>878</v>
      </c>
      <c r="AD2345" t="s">
        <v>219</v>
      </c>
      <c r="AE2345" t="s">
        <v>5574</v>
      </c>
      <c r="AF2345" t="s">
        <v>5576</v>
      </c>
    </row>
    <row r="2346" spans="1:32" hidden="1" x14ac:dyDescent="0.35">
      <c r="A2346">
        <v>2696</v>
      </c>
      <c r="B2346" t="s">
        <v>5571</v>
      </c>
      <c r="C2346" t="s">
        <v>72</v>
      </c>
      <c r="D2346" t="s">
        <v>62</v>
      </c>
      <c r="E2346">
        <v>415</v>
      </c>
      <c r="F2346">
        <v>5</v>
      </c>
      <c r="G2346">
        <v>5</v>
      </c>
      <c r="H2346">
        <v>1</v>
      </c>
      <c r="I2346">
        <v>1</v>
      </c>
      <c r="J2346">
        <v>0.74778799824791897</v>
      </c>
      <c r="K2346">
        <v>0.84908077169311702</v>
      </c>
      <c r="L2346">
        <v>0.79522177722674003</v>
      </c>
      <c r="M2346">
        <v>0.458515283842795</v>
      </c>
      <c r="N2346">
        <v>1</v>
      </c>
      <c r="O2346">
        <v>0.62816593886462901</v>
      </c>
      <c r="P2346" t="s">
        <v>3179</v>
      </c>
      <c r="Q2346" t="s">
        <v>3180</v>
      </c>
      <c r="R2346" t="s">
        <v>75</v>
      </c>
      <c r="S2346" t="s">
        <v>76</v>
      </c>
      <c r="T2346" t="s">
        <v>5572</v>
      </c>
      <c r="U2346" t="s">
        <v>5573</v>
      </c>
      <c r="V2346" t="s">
        <v>3181</v>
      </c>
      <c r="W2346" t="s">
        <v>3182</v>
      </c>
      <c r="X2346" t="s">
        <v>3181</v>
      </c>
      <c r="Y2346" t="s">
        <v>875</v>
      </c>
      <c r="Z2346" t="s">
        <v>876</v>
      </c>
      <c r="AA2346" t="s">
        <v>877</v>
      </c>
      <c r="AB2346" t="s">
        <v>876</v>
      </c>
      <c r="AC2346" t="s">
        <v>878</v>
      </c>
      <c r="AD2346" t="s">
        <v>219</v>
      </c>
      <c r="AE2346" t="s">
        <v>5574</v>
      </c>
      <c r="AF2346" t="s">
        <v>5576</v>
      </c>
    </row>
    <row r="2347" spans="1:32" hidden="1" x14ac:dyDescent="0.35">
      <c r="A2347">
        <v>2697</v>
      </c>
      <c r="B2347" t="s">
        <v>5571</v>
      </c>
      <c r="C2347" t="s">
        <v>72</v>
      </c>
      <c r="D2347" t="s">
        <v>34</v>
      </c>
      <c r="E2347">
        <v>828</v>
      </c>
      <c r="F2347">
        <v>5</v>
      </c>
      <c r="G2347">
        <v>5</v>
      </c>
      <c r="H2347">
        <v>1</v>
      </c>
      <c r="I2347">
        <v>1</v>
      </c>
      <c r="J2347">
        <v>0.74778799824791897</v>
      </c>
      <c r="K2347">
        <v>0.84908077169311702</v>
      </c>
      <c r="L2347">
        <v>0.79522177722674003</v>
      </c>
      <c r="M2347">
        <v>0.458515283842795</v>
      </c>
      <c r="N2347">
        <v>1</v>
      </c>
      <c r="O2347">
        <v>0.62816593886462901</v>
      </c>
      <c r="P2347" t="s">
        <v>3179</v>
      </c>
      <c r="Q2347" t="s">
        <v>3180</v>
      </c>
      <c r="R2347" t="s">
        <v>75</v>
      </c>
      <c r="S2347" t="s">
        <v>76</v>
      </c>
      <c r="T2347" t="s">
        <v>5572</v>
      </c>
      <c r="U2347" t="s">
        <v>5573</v>
      </c>
      <c r="V2347" t="s">
        <v>3181</v>
      </c>
      <c r="W2347" t="s">
        <v>3182</v>
      </c>
      <c r="X2347" t="s">
        <v>3181</v>
      </c>
      <c r="Y2347" t="s">
        <v>875</v>
      </c>
      <c r="Z2347" t="s">
        <v>876</v>
      </c>
      <c r="AA2347" t="s">
        <v>877</v>
      </c>
      <c r="AB2347" t="s">
        <v>876</v>
      </c>
      <c r="AC2347" t="s">
        <v>878</v>
      </c>
      <c r="AD2347" t="s">
        <v>219</v>
      </c>
      <c r="AE2347" t="s">
        <v>5574</v>
      </c>
      <c r="AF2347" t="s">
        <v>5577</v>
      </c>
    </row>
    <row r="2348" spans="1:32" hidden="1" x14ac:dyDescent="0.35">
      <c r="A2348">
        <v>2698</v>
      </c>
      <c r="B2348" t="s">
        <v>5571</v>
      </c>
      <c r="C2348" t="s">
        <v>72</v>
      </c>
      <c r="D2348" t="s">
        <v>45</v>
      </c>
      <c r="E2348">
        <v>2085</v>
      </c>
      <c r="F2348">
        <v>5</v>
      </c>
      <c r="G2348">
        <v>5</v>
      </c>
      <c r="H2348">
        <v>1</v>
      </c>
      <c r="I2348">
        <v>1</v>
      </c>
      <c r="J2348">
        <v>0.74778799824791897</v>
      </c>
      <c r="K2348">
        <v>0.84908077169311702</v>
      </c>
      <c r="L2348">
        <v>0.79522177722674003</v>
      </c>
      <c r="M2348">
        <v>0.458515283842795</v>
      </c>
      <c r="N2348">
        <v>1</v>
      </c>
      <c r="O2348">
        <v>0.62816593886462901</v>
      </c>
      <c r="P2348" t="s">
        <v>3179</v>
      </c>
      <c r="Q2348" t="s">
        <v>3180</v>
      </c>
      <c r="R2348" t="s">
        <v>75</v>
      </c>
      <c r="S2348" t="s">
        <v>76</v>
      </c>
      <c r="T2348" t="s">
        <v>5572</v>
      </c>
      <c r="U2348" t="s">
        <v>5573</v>
      </c>
      <c r="V2348" t="s">
        <v>3181</v>
      </c>
      <c r="W2348" t="s">
        <v>3182</v>
      </c>
      <c r="X2348" t="s">
        <v>3181</v>
      </c>
      <c r="Y2348" t="s">
        <v>875</v>
      </c>
      <c r="Z2348" t="s">
        <v>876</v>
      </c>
      <c r="AA2348" t="s">
        <v>877</v>
      </c>
      <c r="AB2348" t="s">
        <v>876</v>
      </c>
      <c r="AC2348" t="s">
        <v>878</v>
      </c>
      <c r="AD2348" t="s">
        <v>219</v>
      </c>
      <c r="AE2348" t="s">
        <v>5574</v>
      </c>
      <c r="AF2348" t="s">
        <v>5578</v>
      </c>
    </row>
    <row r="2349" spans="1:32" hidden="1" x14ac:dyDescent="0.35">
      <c r="A2349">
        <v>11495</v>
      </c>
      <c r="B2349" t="s">
        <v>23468</v>
      </c>
      <c r="C2349" t="s">
        <v>33</v>
      </c>
      <c r="D2349" t="s">
        <v>58</v>
      </c>
      <c r="E2349">
        <v>677</v>
      </c>
      <c r="F2349">
        <v>1</v>
      </c>
      <c r="G2349">
        <v>1</v>
      </c>
      <c r="H2349">
        <v>1</v>
      </c>
      <c r="I2349">
        <v>0</v>
      </c>
      <c r="J2349">
        <v>1</v>
      </c>
      <c r="K2349">
        <v>1</v>
      </c>
      <c r="L2349">
        <v>1</v>
      </c>
      <c r="M2349">
        <v>0</v>
      </c>
      <c r="N2349">
        <v>0</v>
      </c>
      <c r="O2349">
        <v>0</v>
      </c>
      <c r="P2349" t="s">
        <v>15119</v>
      </c>
      <c r="Q2349" t="s">
        <v>15120</v>
      </c>
      <c r="R2349" t="s">
        <v>113</v>
      </c>
      <c r="S2349" t="s">
        <v>114</v>
      </c>
      <c r="V2349" t="s">
        <v>15121</v>
      </c>
      <c r="W2349" t="s">
        <v>15122</v>
      </c>
      <c r="AF2349" t="s">
        <v>23469</v>
      </c>
    </row>
    <row r="2350" spans="1:32" hidden="1" x14ac:dyDescent="0.35">
      <c r="A2350">
        <v>2710</v>
      </c>
      <c r="B2350" t="s">
        <v>5600</v>
      </c>
      <c r="C2350" t="s">
        <v>72</v>
      </c>
      <c r="D2350" t="s">
        <v>60</v>
      </c>
      <c r="E2350">
        <v>629</v>
      </c>
      <c r="F2350">
        <v>5</v>
      </c>
      <c r="G2350">
        <v>5</v>
      </c>
      <c r="H2350">
        <v>1</v>
      </c>
      <c r="I2350">
        <v>1</v>
      </c>
      <c r="J2350">
        <v>0.83333333333333304</v>
      </c>
      <c r="K2350">
        <v>0.97742236438757701</v>
      </c>
      <c r="L2350">
        <v>0.89964498028622297</v>
      </c>
      <c r="M2350">
        <v>0.73170731707317105</v>
      </c>
      <c r="N2350">
        <v>1</v>
      </c>
      <c r="O2350">
        <v>0.79430894308943101</v>
      </c>
      <c r="P2350" t="s">
        <v>3718</v>
      </c>
      <c r="Q2350" t="s">
        <v>3719</v>
      </c>
      <c r="R2350" t="s">
        <v>75</v>
      </c>
      <c r="S2350" t="s">
        <v>76</v>
      </c>
      <c r="T2350" t="s">
        <v>5601</v>
      </c>
      <c r="U2350" t="s">
        <v>5602</v>
      </c>
      <c r="V2350" t="s">
        <v>3720</v>
      </c>
      <c r="W2350" t="s">
        <v>3721</v>
      </c>
      <c r="X2350" t="s">
        <v>3720</v>
      </c>
      <c r="Y2350" t="s">
        <v>2750</v>
      </c>
      <c r="AD2350" t="s">
        <v>219</v>
      </c>
      <c r="AE2350" t="s">
        <v>4475</v>
      </c>
      <c r="AF2350" t="s">
        <v>5604</v>
      </c>
    </row>
    <row r="2351" spans="1:32" hidden="1" x14ac:dyDescent="0.35">
      <c r="A2351">
        <v>2711</v>
      </c>
      <c r="B2351" t="s">
        <v>5600</v>
      </c>
      <c r="C2351" t="s">
        <v>72</v>
      </c>
      <c r="D2351" t="s">
        <v>62</v>
      </c>
      <c r="E2351">
        <v>713</v>
      </c>
      <c r="F2351">
        <v>5</v>
      </c>
      <c r="G2351">
        <v>5</v>
      </c>
      <c r="H2351">
        <v>1</v>
      </c>
      <c r="I2351">
        <v>1</v>
      </c>
      <c r="J2351">
        <v>0.83333333333333304</v>
      </c>
      <c r="K2351">
        <v>0.97742236438757701</v>
      </c>
      <c r="L2351">
        <v>0.89964498028622297</v>
      </c>
      <c r="M2351">
        <v>0.73170731707317105</v>
      </c>
      <c r="N2351">
        <v>1</v>
      </c>
      <c r="O2351">
        <v>0.79430894308943101</v>
      </c>
      <c r="P2351" t="s">
        <v>3718</v>
      </c>
      <c r="Q2351" t="s">
        <v>3719</v>
      </c>
      <c r="R2351" t="s">
        <v>75</v>
      </c>
      <c r="S2351" t="s">
        <v>76</v>
      </c>
      <c r="T2351" t="s">
        <v>5601</v>
      </c>
      <c r="U2351" t="s">
        <v>5602</v>
      </c>
      <c r="V2351" t="s">
        <v>3720</v>
      </c>
      <c r="W2351" t="s">
        <v>3721</v>
      </c>
      <c r="X2351" t="s">
        <v>3720</v>
      </c>
      <c r="Y2351" t="s">
        <v>2750</v>
      </c>
      <c r="AD2351" t="s">
        <v>219</v>
      </c>
      <c r="AE2351" t="s">
        <v>4475</v>
      </c>
      <c r="AF2351" t="s">
        <v>5604</v>
      </c>
    </row>
    <row r="2352" spans="1:32" hidden="1" x14ac:dyDescent="0.35">
      <c r="A2352">
        <v>2712</v>
      </c>
      <c r="B2352" t="s">
        <v>5600</v>
      </c>
      <c r="C2352" t="s">
        <v>72</v>
      </c>
      <c r="D2352" t="s">
        <v>34</v>
      </c>
      <c r="E2352">
        <v>458</v>
      </c>
      <c r="F2352">
        <v>5</v>
      </c>
      <c r="G2352">
        <v>5</v>
      </c>
      <c r="H2352">
        <v>1</v>
      </c>
      <c r="I2352">
        <v>1</v>
      </c>
      <c r="J2352">
        <v>0.83333333333333304</v>
      </c>
      <c r="K2352">
        <v>0.97742236438757701</v>
      </c>
      <c r="L2352">
        <v>0.89964498028622297</v>
      </c>
      <c r="M2352">
        <v>0.73170731707317105</v>
      </c>
      <c r="N2352">
        <v>1</v>
      </c>
      <c r="O2352">
        <v>0.79430894308943101</v>
      </c>
      <c r="P2352" t="s">
        <v>3718</v>
      </c>
      <c r="Q2352" t="s">
        <v>3719</v>
      </c>
      <c r="R2352" t="s">
        <v>75</v>
      </c>
      <c r="S2352" t="s">
        <v>76</v>
      </c>
      <c r="T2352" t="s">
        <v>5601</v>
      </c>
      <c r="U2352" t="s">
        <v>5602</v>
      </c>
      <c r="V2352" t="s">
        <v>3720</v>
      </c>
      <c r="W2352" t="s">
        <v>3721</v>
      </c>
      <c r="X2352" t="s">
        <v>3720</v>
      </c>
      <c r="Y2352" t="s">
        <v>2750</v>
      </c>
      <c r="AD2352" t="s">
        <v>219</v>
      </c>
      <c r="AE2352" t="s">
        <v>4475</v>
      </c>
      <c r="AF2352" t="s">
        <v>5605</v>
      </c>
    </row>
    <row r="2353" spans="1:32" hidden="1" x14ac:dyDescent="0.35">
      <c r="A2353">
        <v>2713</v>
      </c>
      <c r="B2353" t="s">
        <v>5600</v>
      </c>
      <c r="C2353" t="s">
        <v>72</v>
      </c>
      <c r="D2353" t="s">
        <v>45</v>
      </c>
      <c r="E2353">
        <v>1721</v>
      </c>
      <c r="F2353">
        <v>5</v>
      </c>
      <c r="G2353">
        <v>5</v>
      </c>
      <c r="H2353">
        <v>1</v>
      </c>
      <c r="I2353">
        <v>1</v>
      </c>
      <c r="J2353">
        <v>0.83333333333333304</v>
      </c>
      <c r="K2353">
        <v>0.97742236438757701</v>
      </c>
      <c r="L2353">
        <v>0.89964498028622297</v>
      </c>
      <c r="M2353">
        <v>0.73170731707317105</v>
      </c>
      <c r="N2353">
        <v>1</v>
      </c>
      <c r="O2353">
        <v>0.79430894308943101</v>
      </c>
      <c r="P2353" t="s">
        <v>3718</v>
      </c>
      <c r="Q2353" t="s">
        <v>3719</v>
      </c>
      <c r="R2353" t="s">
        <v>75</v>
      </c>
      <c r="S2353" t="s">
        <v>76</v>
      </c>
      <c r="T2353" t="s">
        <v>5601</v>
      </c>
      <c r="U2353" t="s">
        <v>5602</v>
      </c>
      <c r="V2353" t="s">
        <v>3720</v>
      </c>
      <c r="W2353" t="s">
        <v>3721</v>
      </c>
      <c r="X2353" t="s">
        <v>3720</v>
      </c>
      <c r="Y2353" t="s">
        <v>2750</v>
      </c>
      <c r="AD2353" t="s">
        <v>219</v>
      </c>
      <c r="AE2353" t="s">
        <v>4475</v>
      </c>
      <c r="AF2353" t="s">
        <v>5606</v>
      </c>
    </row>
    <row r="2354" spans="1:32" hidden="1" x14ac:dyDescent="0.35">
      <c r="A2354">
        <v>11937</v>
      </c>
      <c r="B2354" t="s">
        <v>24626</v>
      </c>
      <c r="C2354" t="s">
        <v>10130</v>
      </c>
      <c r="D2354" t="s">
        <v>58</v>
      </c>
      <c r="E2354">
        <v>1809</v>
      </c>
      <c r="F2354">
        <v>1</v>
      </c>
      <c r="G2354">
        <v>1</v>
      </c>
      <c r="H2354">
        <v>1</v>
      </c>
      <c r="I2354">
        <v>0</v>
      </c>
      <c r="J2354">
        <v>1</v>
      </c>
      <c r="K2354">
        <v>1</v>
      </c>
      <c r="L2354">
        <v>1</v>
      </c>
      <c r="M2354">
        <v>0</v>
      </c>
      <c r="N2354">
        <v>0</v>
      </c>
      <c r="O2354">
        <v>0</v>
      </c>
      <c r="P2354" t="s">
        <v>11058</v>
      </c>
      <c r="Q2354" t="s">
        <v>11059</v>
      </c>
      <c r="R2354" t="s">
        <v>113</v>
      </c>
      <c r="S2354" t="s">
        <v>114</v>
      </c>
      <c r="T2354" t="s">
        <v>11066</v>
      </c>
      <c r="U2354" t="s">
        <v>11067</v>
      </c>
      <c r="V2354" t="s">
        <v>11062</v>
      </c>
      <c r="W2354" t="s">
        <v>11063</v>
      </c>
      <c r="AD2354" t="s">
        <v>312</v>
      </c>
      <c r="AE2354" t="s">
        <v>11064</v>
      </c>
      <c r="AF2354" t="s">
        <v>24627</v>
      </c>
    </row>
    <row r="2355" spans="1:32" hidden="1" x14ac:dyDescent="0.35">
      <c r="A2355">
        <v>3090</v>
      </c>
      <c r="B2355" t="s">
        <v>6379</v>
      </c>
      <c r="C2355" t="s">
        <v>72</v>
      </c>
      <c r="D2355" t="s">
        <v>60</v>
      </c>
      <c r="E2355">
        <v>627</v>
      </c>
      <c r="F2355">
        <v>5</v>
      </c>
      <c r="G2355">
        <v>5</v>
      </c>
      <c r="H2355">
        <v>1</v>
      </c>
      <c r="I2355">
        <v>1</v>
      </c>
      <c r="J2355">
        <v>0.92741312741312698</v>
      </c>
      <c r="K2355">
        <v>1</v>
      </c>
      <c r="L2355">
        <v>0.96233974358974395</v>
      </c>
      <c r="M2355">
        <v>0.86872586872586899</v>
      </c>
      <c r="N2355">
        <v>1</v>
      </c>
      <c r="O2355">
        <v>0.89806949806949798</v>
      </c>
      <c r="P2355" t="s">
        <v>73</v>
      </c>
      <c r="Q2355" t="s">
        <v>74</v>
      </c>
      <c r="R2355" t="s">
        <v>75</v>
      </c>
      <c r="S2355" t="s">
        <v>76</v>
      </c>
      <c r="V2355" t="s">
        <v>79</v>
      </c>
      <c r="W2355" t="s">
        <v>80</v>
      </c>
      <c r="AF2355" t="s">
        <v>6381</v>
      </c>
    </row>
    <row r="2356" spans="1:32" hidden="1" x14ac:dyDescent="0.35">
      <c r="A2356">
        <v>3091</v>
      </c>
      <c r="B2356" t="s">
        <v>6379</v>
      </c>
      <c r="C2356" t="s">
        <v>72</v>
      </c>
      <c r="D2356" t="s">
        <v>62</v>
      </c>
      <c r="E2356">
        <v>711</v>
      </c>
      <c r="F2356">
        <v>5</v>
      </c>
      <c r="G2356">
        <v>5</v>
      </c>
      <c r="H2356">
        <v>1</v>
      </c>
      <c r="I2356">
        <v>1</v>
      </c>
      <c r="J2356">
        <v>0.92741312741312698</v>
      </c>
      <c r="K2356">
        <v>1</v>
      </c>
      <c r="L2356">
        <v>0.96233974358974395</v>
      </c>
      <c r="M2356">
        <v>0.86872586872586899</v>
      </c>
      <c r="N2356">
        <v>1</v>
      </c>
      <c r="O2356">
        <v>0.89806949806949798</v>
      </c>
      <c r="P2356" t="s">
        <v>73</v>
      </c>
      <c r="Q2356" t="s">
        <v>74</v>
      </c>
      <c r="R2356" t="s">
        <v>75</v>
      </c>
      <c r="S2356" t="s">
        <v>76</v>
      </c>
      <c r="V2356" t="s">
        <v>79</v>
      </c>
      <c r="W2356" t="s">
        <v>80</v>
      </c>
      <c r="AF2356" t="s">
        <v>6381</v>
      </c>
    </row>
    <row r="2357" spans="1:32" hidden="1" x14ac:dyDescent="0.35">
      <c r="A2357">
        <v>3092</v>
      </c>
      <c r="B2357" t="s">
        <v>6379</v>
      </c>
      <c r="C2357" t="s">
        <v>72</v>
      </c>
      <c r="D2357" t="s">
        <v>34</v>
      </c>
      <c r="E2357">
        <v>460</v>
      </c>
      <c r="F2357">
        <v>5</v>
      </c>
      <c r="G2357">
        <v>5</v>
      </c>
      <c r="H2357">
        <v>1</v>
      </c>
      <c r="I2357">
        <v>1</v>
      </c>
      <c r="J2357">
        <v>0.92741312741312698</v>
      </c>
      <c r="K2357">
        <v>1</v>
      </c>
      <c r="L2357">
        <v>0.96233974358974395</v>
      </c>
      <c r="M2357">
        <v>0.86872586872586899</v>
      </c>
      <c r="N2357">
        <v>1</v>
      </c>
      <c r="O2357">
        <v>0.89806949806949798</v>
      </c>
      <c r="P2357" t="s">
        <v>73</v>
      </c>
      <c r="Q2357" t="s">
        <v>74</v>
      </c>
      <c r="R2357" t="s">
        <v>75</v>
      </c>
      <c r="S2357" t="s">
        <v>76</v>
      </c>
      <c r="V2357" t="s">
        <v>79</v>
      </c>
      <c r="W2357" t="s">
        <v>80</v>
      </c>
      <c r="AF2357" t="s">
        <v>6382</v>
      </c>
    </row>
    <row r="2358" spans="1:32" hidden="1" x14ac:dyDescent="0.35">
      <c r="A2358">
        <v>3093</v>
      </c>
      <c r="B2358" t="s">
        <v>6379</v>
      </c>
      <c r="C2358" t="s">
        <v>72</v>
      </c>
      <c r="D2358" t="s">
        <v>45</v>
      </c>
      <c r="E2358">
        <v>1723</v>
      </c>
      <c r="F2358">
        <v>5</v>
      </c>
      <c r="G2358">
        <v>5</v>
      </c>
      <c r="H2358">
        <v>1</v>
      </c>
      <c r="I2358">
        <v>1</v>
      </c>
      <c r="J2358">
        <v>0.92741312741312698</v>
      </c>
      <c r="K2358">
        <v>1</v>
      </c>
      <c r="L2358">
        <v>0.96233974358974395</v>
      </c>
      <c r="M2358">
        <v>0.86872586872586899</v>
      </c>
      <c r="N2358">
        <v>1</v>
      </c>
      <c r="O2358">
        <v>0.89806949806949798</v>
      </c>
      <c r="P2358" t="s">
        <v>73</v>
      </c>
      <c r="Q2358" t="s">
        <v>74</v>
      </c>
      <c r="R2358" t="s">
        <v>75</v>
      </c>
      <c r="S2358" t="s">
        <v>76</v>
      </c>
      <c r="V2358" t="s">
        <v>79</v>
      </c>
      <c r="W2358" t="s">
        <v>80</v>
      </c>
      <c r="AF2358" t="s">
        <v>6382</v>
      </c>
    </row>
    <row r="2359" spans="1:32" hidden="1" x14ac:dyDescent="0.35">
      <c r="A2359">
        <v>1099</v>
      </c>
      <c r="B2359" t="s">
        <v>2275</v>
      </c>
      <c r="C2359" t="s">
        <v>72</v>
      </c>
      <c r="D2359" t="s">
        <v>58</v>
      </c>
      <c r="E2359">
        <v>610</v>
      </c>
      <c r="F2359">
        <v>5</v>
      </c>
      <c r="G2359">
        <v>5</v>
      </c>
      <c r="H2359">
        <v>1</v>
      </c>
      <c r="I2359">
        <v>1</v>
      </c>
      <c r="J2359">
        <v>0.73517677809877602</v>
      </c>
      <c r="K2359">
        <v>0.92196825671160099</v>
      </c>
      <c r="L2359">
        <v>0.81804505730078103</v>
      </c>
      <c r="M2359">
        <v>0.49242424242424199</v>
      </c>
      <c r="N2359">
        <v>1</v>
      </c>
      <c r="O2359">
        <v>0.64583333333333304</v>
      </c>
      <c r="P2359" t="s">
        <v>2276</v>
      </c>
      <c r="Q2359" t="s">
        <v>2277</v>
      </c>
      <c r="R2359" t="s">
        <v>113</v>
      </c>
      <c r="S2359" t="s">
        <v>114</v>
      </c>
      <c r="V2359" t="s">
        <v>2278</v>
      </c>
      <c r="W2359" t="s">
        <v>2279</v>
      </c>
      <c r="AF2359" t="s">
        <v>2280</v>
      </c>
    </row>
    <row r="2360" spans="1:32" hidden="1" x14ac:dyDescent="0.35">
      <c r="A2360">
        <v>3475</v>
      </c>
      <c r="B2360" t="s">
        <v>7144</v>
      </c>
      <c r="C2360" t="s">
        <v>72</v>
      </c>
      <c r="D2360" t="s">
        <v>60</v>
      </c>
      <c r="E2360">
        <v>2426</v>
      </c>
      <c r="F2360">
        <v>5</v>
      </c>
      <c r="G2360">
        <v>5</v>
      </c>
      <c r="H2360">
        <v>1</v>
      </c>
      <c r="I2360">
        <v>1</v>
      </c>
      <c r="J2360">
        <v>0.78129984051036705</v>
      </c>
      <c r="K2360">
        <v>0.84768159203980098</v>
      </c>
      <c r="L2360">
        <v>0.813138172640128</v>
      </c>
      <c r="M2360">
        <v>0.44776119402985098</v>
      </c>
      <c r="N2360">
        <v>1</v>
      </c>
      <c r="O2360">
        <v>0.66915422885572196</v>
      </c>
      <c r="P2360" t="s">
        <v>7145</v>
      </c>
      <c r="Q2360" t="s">
        <v>7146</v>
      </c>
      <c r="R2360" t="s">
        <v>75</v>
      </c>
      <c r="S2360" t="s">
        <v>76</v>
      </c>
      <c r="T2360" t="s">
        <v>7147</v>
      </c>
      <c r="U2360" t="s">
        <v>7148</v>
      </c>
      <c r="V2360" t="s">
        <v>7149</v>
      </c>
      <c r="W2360" t="s">
        <v>7150</v>
      </c>
      <c r="X2360" t="s">
        <v>7149</v>
      </c>
      <c r="Y2360" t="s">
        <v>2392</v>
      </c>
      <c r="AD2360" t="s">
        <v>219</v>
      </c>
      <c r="AE2360" t="s">
        <v>7151</v>
      </c>
      <c r="AF2360" t="s">
        <v>7153</v>
      </c>
    </row>
    <row r="2361" spans="1:32" hidden="1" x14ac:dyDescent="0.35">
      <c r="A2361">
        <v>3476</v>
      </c>
      <c r="B2361" t="s">
        <v>7144</v>
      </c>
      <c r="C2361" t="s">
        <v>72</v>
      </c>
      <c r="D2361" t="s">
        <v>62</v>
      </c>
      <c r="E2361">
        <v>2453</v>
      </c>
      <c r="F2361">
        <v>5</v>
      </c>
      <c r="G2361">
        <v>5</v>
      </c>
      <c r="H2361">
        <v>1</v>
      </c>
      <c r="I2361">
        <v>1</v>
      </c>
      <c r="J2361">
        <v>0.78129984051036705</v>
      </c>
      <c r="K2361">
        <v>0.84768159203980098</v>
      </c>
      <c r="L2361">
        <v>0.813138172640128</v>
      </c>
      <c r="M2361">
        <v>0.44776119402985098</v>
      </c>
      <c r="N2361">
        <v>1</v>
      </c>
      <c r="O2361">
        <v>0.66915422885572196</v>
      </c>
      <c r="P2361" t="s">
        <v>7145</v>
      </c>
      <c r="Q2361" t="s">
        <v>7146</v>
      </c>
      <c r="R2361" t="s">
        <v>75</v>
      </c>
      <c r="S2361" t="s">
        <v>76</v>
      </c>
      <c r="T2361" t="s">
        <v>7147</v>
      </c>
      <c r="U2361" t="s">
        <v>7148</v>
      </c>
      <c r="V2361" t="s">
        <v>7149</v>
      </c>
      <c r="W2361" t="s">
        <v>7150</v>
      </c>
      <c r="X2361" t="s">
        <v>7149</v>
      </c>
      <c r="Y2361" t="s">
        <v>2392</v>
      </c>
      <c r="AD2361" t="s">
        <v>219</v>
      </c>
      <c r="AE2361" t="s">
        <v>7151</v>
      </c>
      <c r="AF2361" t="s">
        <v>7153</v>
      </c>
    </row>
    <row r="2362" spans="1:32" hidden="1" x14ac:dyDescent="0.35">
      <c r="A2362">
        <v>3477</v>
      </c>
      <c r="B2362" t="s">
        <v>7144</v>
      </c>
      <c r="C2362" t="s">
        <v>72</v>
      </c>
      <c r="D2362" t="s">
        <v>34</v>
      </c>
      <c r="E2362">
        <v>1300</v>
      </c>
      <c r="F2362">
        <v>5</v>
      </c>
      <c r="G2362">
        <v>5</v>
      </c>
      <c r="H2362">
        <v>1</v>
      </c>
      <c r="I2362">
        <v>1</v>
      </c>
      <c r="J2362">
        <v>0.78129984051036705</v>
      </c>
      <c r="K2362">
        <v>0.84768159203980098</v>
      </c>
      <c r="L2362">
        <v>0.813138172640128</v>
      </c>
      <c r="M2362">
        <v>0.44776119402985098</v>
      </c>
      <c r="N2362">
        <v>1</v>
      </c>
      <c r="O2362">
        <v>0.66915422885572196</v>
      </c>
      <c r="P2362" t="s">
        <v>7145</v>
      </c>
      <c r="Q2362" t="s">
        <v>7146</v>
      </c>
      <c r="R2362" t="s">
        <v>75</v>
      </c>
      <c r="S2362" t="s">
        <v>76</v>
      </c>
      <c r="T2362" t="s">
        <v>7147</v>
      </c>
      <c r="U2362" t="s">
        <v>7148</v>
      </c>
      <c r="V2362" t="s">
        <v>7149</v>
      </c>
      <c r="W2362" t="s">
        <v>7150</v>
      </c>
      <c r="X2362" t="s">
        <v>7149</v>
      </c>
      <c r="Y2362" t="s">
        <v>2392</v>
      </c>
      <c r="AD2362" t="s">
        <v>219</v>
      </c>
      <c r="AE2362" t="s">
        <v>7151</v>
      </c>
      <c r="AF2362" t="e">
        <f>----------------------MKNESDILVSLQDRL-ATPGIFRIARGLSHFGEHSLGWLGLGFIGALVDKNHRGRWLKLMAAAFVSHALSVVVKRIVRRKRPHDPRIQVGVGTPSELSFPSSHATSTTAALVTLAKITRNPLPLLGVPVMMLSRMVLGVHYPTDVLAGAIVGAVTAQVIDRKVAGCGQCGVRGAQRKEG</f>
        <v>#NAME?</v>
      </c>
    </row>
    <row r="2363" spans="1:32" hidden="1" x14ac:dyDescent="0.35">
      <c r="A2363">
        <v>3478</v>
      </c>
      <c r="B2363" t="s">
        <v>7144</v>
      </c>
      <c r="C2363" t="s">
        <v>72</v>
      </c>
      <c r="D2363" t="s">
        <v>45</v>
      </c>
      <c r="E2363">
        <v>52</v>
      </c>
      <c r="F2363">
        <v>5</v>
      </c>
      <c r="G2363">
        <v>5</v>
      </c>
      <c r="H2363">
        <v>1</v>
      </c>
      <c r="I2363">
        <v>1</v>
      </c>
      <c r="J2363">
        <v>0.78129984051036705</v>
      </c>
      <c r="K2363">
        <v>0.84768159203980098</v>
      </c>
      <c r="L2363">
        <v>0.813138172640128</v>
      </c>
      <c r="M2363">
        <v>0.44776119402985098</v>
      </c>
      <c r="N2363">
        <v>1</v>
      </c>
      <c r="O2363">
        <v>0.66915422885572196</v>
      </c>
      <c r="P2363" t="s">
        <v>7145</v>
      </c>
      <c r="Q2363" t="s">
        <v>7146</v>
      </c>
      <c r="R2363" t="s">
        <v>75</v>
      </c>
      <c r="S2363" t="s">
        <v>76</v>
      </c>
      <c r="T2363" t="s">
        <v>7147</v>
      </c>
      <c r="U2363" t="s">
        <v>7148</v>
      </c>
      <c r="V2363" t="s">
        <v>7149</v>
      </c>
      <c r="W2363" t="s">
        <v>7150</v>
      </c>
      <c r="X2363" t="s">
        <v>7149</v>
      </c>
      <c r="Y2363" t="s">
        <v>2392</v>
      </c>
      <c r="AD2363" t="s">
        <v>219</v>
      </c>
      <c r="AE2363" t="s">
        <v>7151</v>
      </c>
      <c r="AF2363" t="s">
        <v>7154</v>
      </c>
    </row>
    <row r="2364" spans="1:32" hidden="1" x14ac:dyDescent="0.35">
      <c r="A2364">
        <v>2634</v>
      </c>
      <c r="B2364" t="s">
        <v>5450</v>
      </c>
      <c r="C2364" t="s">
        <v>72</v>
      </c>
      <c r="D2364" t="s">
        <v>58</v>
      </c>
      <c r="E2364">
        <v>804</v>
      </c>
      <c r="F2364">
        <v>5</v>
      </c>
      <c r="G2364">
        <v>5</v>
      </c>
      <c r="H2364">
        <v>1</v>
      </c>
      <c r="I2364">
        <v>1</v>
      </c>
      <c r="J2364">
        <v>0.74513274336283197</v>
      </c>
      <c r="K2364">
        <v>0.89731412031994195</v>
      </c>
      <c r="L2364">
        <v>0.814173227659855</v>
      </c>
      <c r="M2364">
        <v>0.43700787401574798</v>
      </c>
      <c r="N2364">
        <v>1</v>
      </c>
      <c r="O2364">
        <v>0.64251968503936996</v>
      </c>
      <c r="P2364" t="s">
        <v>2276</v>
      </c>
      <c r="Q2364" t="s">
        <v>2277</v>
      </c>
      <c r="R2364" t="s">
        <v>113</v>
      </c>
      <c r="S2364" t="s">
        <v>114</v>
      </c>
      <c r="V2364" t="s">
        <v>2278</v>
      </c>
      <c r="W2364" t="s">
        <v>2279</v>
      </c>
      <c r="AF2364" t="s">
        <v>5451</v>
      </c>
    </row>
    <row r="2365" spans="1:32" hidden="1" x14ac:dyDescent="0.35">
      <c r="A2365">
        <v>3695</v>
      </c>
      <c r="B2365" t="s">
        <v>7617</v>
      </c>
      <c r="C2365" t="s">
        <v>72</v>
      </c>
      <c r="D2365" t="s">
        <v>60</v>
      </c>
      <c r="E2365">
        <v>1257</v>
      </c>
      <c r="F2365">
        <v>5</v>
      </c>
      <c r="G2365">
        <v>5</v>
      </c>
      <c r="H2365">
        <v>1</v>
      </c>
      <c r="I2365">
        <v>1</v>
      </c>
      <c r="J2365">
        <v>0.80420042996527197</v>
      </c>
      <c r="K2365">
        <v>0.97124741294328698</v>
      </c>
      <c r="L2365">
        <v>0.87986542686838898</v>
      </c>
      <c r="M2365">
        <v>0.63563402889245602</v>
      </c>
      <c r="N2365">
        <v>0.99678972712680602</v>
      </c>
      <c r="O2365">
        <v>0.73707865168539299</v>
      </c>
      <c r="P2365" t="s">
        <v>1750</v>
      </c>
      <c r="Q2365" t="s">
        <v>1751</v>
      </c>
      <c r="R2365" t="s">
        <v>75</v>
      </c>
      <c r="S2365" t="s">
        <v>76</v>
      </c>
      <c r="T2365" t="s">
        <v>1754</v>
      </c>
      <c r="U2365" t="s">
        <v>1755</v>
      </c>
      <c r="V2365" t="s">
        <v>7618</v>
      </c>
      <c r="W2365" t="s">
        <v>7619</v>
      </c>
      <c r="Z2365" t="s">
        <v>1758</v>
      </c>
      <c r="AA2365" t="s">
        <v>1759</v>
      </c>
      <c r="AB2365" t="s">
        <v>1758</v>
      </c>
      <c r="AC2365" t="s">
        <v>1760</v>
      </c>
      <c r="AD2365" t="s">
        <v>1140</v>
      </c>
      <c r="AE2365" t="s">
        <v>1761</v>
      </c>
      <c r="AF2365" t="s">
        <v>7621</v>
      </c>
    </row>
    <row r="2366" spans="1:32" hidden="1" x14ac:dyDescent="0.35">
      <c r="A2366">
        <v>3696</v>
      </c>
      <c r="B2366" t="s">
        <v>7617</v>
      </c>
      <c r="C2366" t="s">
        <v>72</v>
      </c>
      <c r="D2366" t="s">
        <v>62</v>
      </c>
      <c r="E2366">
        <v>1294</v>
      </c>
      <c r="F2366">
        <v>5</v>
      </c>
      <c r="G2366">
        <v>5</v>
      </c>
      <c r="H2366">
        <v>1</v>
      </c>
      <c r="I2366">
        <v>1</v>
      </c>
      <c r="J2366">
        <v>0.80420042996527197</v>
      </c>
      <c r="K2366">
        <v>0.97124741294328698</v>
      </c>
      <c r="L2366">
        <v>0.87986542686838898</v>
      </c>
      <c r="M2366">
        <v>0.63563402889245602</v>
      </c>
      <c r="N2366">
        <v>0.99678972712680602</v>
      </c>
      <c r="O2366">
        <v>0.73707865168539299</v>
      </c>
      <c r="P2366" t="s">
        <v>1750</v>
      </c>
      <c r="Q2366" t="s">
        <v>1751</v>
      </c>
      <c r="R2366" t="s">
        <v>75</v>
      </c>
      <c r="S2366" t="s">
        <v>76</v>
      </c>
      <c r="T2366" t="s">
        <v>1754</v>
      </c>
      <c r="U2366" t="s">
        <v>1755</v>
      </c>
      <c r="V2366" t="s">
        <v>7618</v>
      </c>
      <c r="W2366" t="s">
        <v>7619</v>
      </c>
      <c r="Z2366" t="s">
        <v>1758</v>
      </c>
      <c r="AA2366" t="s">
        <v>1759</v>
      </c>
      <c r="AB2366" t="s">
        <v>1758</v>
      </c>
      <c r="AC2366" t="s">
        <v>1760</v>
      </c>
      <c r="AD2366" t="s">
        <v>1140</v>
      </c>
      <c r="AE2366" t="s">
        <v>1761</v>
      </c>
      <c r="AF2366" t="s">
        <v>7622</v>
      </c>
    </row>
    <row r="2367" spans="1:32" hidden="1" x14ac:dyDescent="0.35">
      <c r="A2367">
        <v>3697</v>
      </c>
      <c r="B2367" t="s">
        <v>7617</v>
      </c>
      <c r="C2367" t="s">
        <v>72</v>
      </c>
      <c r="D2367" t="s">
        <v>34</v>
      </c>
      <c r="E2367">
        <v>1748</v>
      </c>
      <c r="F2367">
        <v>5</v>
      </c>
      <c r="G2367">
        <v>5</v>
      </c>
      <c r="H2367">
        <v>1</v>
      </c>
      <c r="I2367">
        <v>1</v>
      </c>
      <c r="J2367">
        <v>0.80420042996527197</v>
      </c>
      <c r="K2367">
        <v>0.97124741294328698</v>
      </c>
      <c r="L2367">
        <v>0.87986542686838898</v>
      </c>
      <c r="M2367">
        <v>0.63563402889245602</v>
      </c>
      <c r="N2367">
        <v>0.99678972712680602</v>
      </c>
      <c r="O2367">
        <v>0.73707865168539299</v>
      </c>
      <c r="P2367" t="s">
        <v>1750</v>
      </c>
      <c r="Q2367" t="s">
        <v>1751</v>
      </c>
      <c r="R2367" t="s">
        <v>75</v>
      </c>
      <c r="S2367" t="s">
        <v>76</v>
      </c>
      <c r="T2367" t="s">
        <v>1754</v>
      </c>
      <c r="U2367" t="s">
        <v>1755</v>
      </c>
      <c r="V2367" t="s">
        <v>7618</v>
      </c>
      <c r="W2367" t="s">
        <v>7619</v>
      </c>
      <c r="Z2367" t="s">
        <v>1758</v>
      </c>
      <c r="AA2367" t="s">
        <v>1759</v>
      </c>
      <c r="AB2367" t="s">
        <v>1758</v>
      </c>
      <c r="AC2367" t="s">
        <v>1760</v>
      </c>
      <c r="AD2367" t="s">
        <v>1140</v>
      </c>
      <c r="AE2367" t="s">
        <v>1761</v>
      </c>
      <c r="AF2367" t="s">
        <v>7623</v>
      </c>
    </row>
    <row r="2368" spans="1:32" hidden="1" x14ac:dyDescent="0.35">
      <c r="A2368">
        <v>3698</v>
      </c>
      <c r="B2368" t="s">
        <v>7617</v>
      </c>
      <c r="C2368" t="s">
        <v>72</v>
      </c>
      <c r="D2368" t="s">
        <v>45</v>
      </c>
      <c r="E2368">
        <v>1125</v>
      </c>
      <c r="F2368">
        <v>5</v>
      </c>
      <c r="G2368">
        <v>5</v>
      </c>
      <c r="H2368">
        <v>1</v>
      </c>
      <c r="I2368">
        <v>1</v>
      </c>
      <c r="J2368">
        <v>0.80420042996527197</v>
      </c>
      <c r="K2368">
        <v>0.97124741294328698</v>
      </c>
      <c r="L2368">
        <v>0.87986542686838898</v>
      </c>
      <c r="M2368">
        <v>0.63563402889245602</v>
      </c>
      <c r="N2368">
        <v>0.99678972712680602</v>
      </c>
      <c r="O2368">
        <v>0.73707865168539299</v>
      </c>
      <c r="P2368" t="s">
        <v>1750</v>
      </c>
      <c r="Q2368" t="s">
        <v>1751</v>
      </c>
      <c r="R2368" t="s">
        <v>75</v>
      </c>
      <c r="S2368" t="s">
        <v>76</v>
      </c>
      <c r="T2368" t="s">
        <v>1754</v>
      </c>
      <c r="U2368" t="s">
        <v>1755</v>
      </c>
      <c r="V2368" t="s">
        <v>7618</v>
      </c>
      <c r="W2368" t="s">
        <v>7619</v>
      </c>
      <c r="Z2368" t="s">
        <v>1758</v>
      </c>
      <c r="AA2368" t="s">
        <v>1759</v>
      </c>
      <c r="AB2368" t="s">
        <v>1758</v>
      </c>
      <c r="AC2368" t="s">
        <v>1760</v>
      </c>
      <c r="AD2368" t="s">
        <v>1140</v>
      </c>
      <c r="AE2368" t="s">
        <v>1761</v>
      </c>
      <c r="AF2368" t="s">
        <v>7624</v>
      </c>
    </row>
    <row r="2369" spans="1:32" hidden="1" x14ac:dyDescent="0.35">
      <c r="A2369">
        <v>11172</v>
      </c>
      <c r="B2369" t="s">
        <v>22667</v>
      </c>
      <c r="C2369" t="s">
        <v>33</v>
      </c>
      <c r="D2369" t="s">
        <v>58</v>
      </c>
      <c r="E2369">
        <v>639</v>
      </c>
      <c r="F2369">
        <v>1</v>
      </c>
      <c r="G2369">
        <v>1</v>
      </c>
      <c r="H2369">
        <v>1</v>
      </c>
      <c r="I2369">
        <v>0</v>
      </c>
      <c r="J2369">
        <v>1</v>
      </c>
      <c r="K2369">
        <v>1</v>
      </c>
      <c r="L2369">
        <v>1</v>
      </c>
      <c r="M2369">
        <v>0</v>
      </c>
      <c r="N2369">
        <v>0</v>
      </c>
      <c r="O2369">
        <v>0</v>
      </c>
      <c r="P2369" t="s">
        <v>2276</v>
      </c>
      <c r="Q2369" t="s">
        <v>2277</v>
      </c>
      <c r="R2369" t="s">
        <v>113</v>
      </c>
      <c r="S2369" t="s">
        <v>114</v>
      </c>
      <c r="V2369" t="s">
        <v>2278</v>
      </c>
      <c r="W2369" t="s">
        <v>2279</v>
      </c>
      <c r="AF2369" t="s">
        <v>22668</v>
      </c>
    </row>
    <row r="2370" spans="1:32" hidden="1" x14ac:dyDescent="0.35">
      <c r="A2370">
        <v>4055</v>
      </c>
      <c r="B2370" t="s">
        <v>8373</v>
      </c>
      <c r="C2370" t="s">
        <v>72</v>
      </c>
      <c r="D2370" t="s">
        <v>60</v>
      </c>
      <c r="E2370">
        <v>294</v>
      </c>
      <c r="F2370">
        <v>5</v>
      </c>
      <c r="G2370">
        <v>5</v>
      </c>
      <c r="H2370">
        <v>1</v>
      </c>
      <c r="I2370">
        <v>1</v>
      </c>
      <c r="J2370">
        <v>0.833220108695652</v>
      </c>
      <c r="K2370">
        <v>0.95104486945645705</v>
      </c>
      <c r="L2370">
        <v>0.888242182866402</v>
      </c>
      <c r="M2370">
        <v>0.66935483870967705</v>
      </c>
      <c r="N2370">
        <v>0.99516129032258105</v>
      </c>
      <c r="O2370">
        <v>0.75645161290322604</v>
      </c>
      <c r="P2370" t="s">
        <v>3179</v>
      </c>
      <c r="Q2370" t="s">
        <v>3180</v>
      </c>
      <c r="R2370" t="s">
        <v>75</v>
      </c>
      <c r="S2370" t="s">
        <v>76</v>
      </c>
      <c r="T2370" t="s">
        <v>8374</v>
      </c>
      <c r="U2370" t="s">
        <v>8375</v>
      </c>
      <c r="V2370" t="s">
        <v>3181</v>
      </c>
      <c r="W2370" t="s">
        <v>3182</v>
      </c>
      <c r="X2370" t="s">
        <v>3181</v>
      </c>
      <c r="Y2370" t="s">
        <v>875</v>
      </c>
      <c r="Z2370" t="s">
        <v>8376</v>
      </c>
      <c r="AA2370" t="s">
        <v>8377</v>
      </c>
      <c r="AB2370" t="s">
        <v>8376</v>
      </c>
      <c r="AC2370" t="s">
        <v>146</v>
      </c>
      <c r="AD2370" t="s">
        <v>8378</v>
      </c>
      <c r="AE2370" t="s">
        <v>8379</v>
      </c>
      <c r="AF2370" t="s">
        <v>8381</v>
      </c>
    </row>
    <row r="2371" spans="1:32" hidden="1" x14ac:dyDescent="0.35">
      <c r="A2371">
        <v>4056</v>
      </c>
      <c r="B2371" t="s">
        <v>8373</v>
      </c>
      <c r="C2371" t="s">
        <v>72</v>
      </c>
      <c r="D2371" t="s">
        <v>62</v>
      </c>
      <c r="E2371">
        <v>374</v>
      </c>
      <c r="F2371">
        <v>5</v>
      </c>
      <c r="G2371">
        <v>5</v>
      </c>
      <c r="H2371">
        <v>1</v>
      </c>
      <c r="I2371">
        <v>1</v>
      </c>
      <c r="J2371">
        <v>0.833220108695652</v>
      </c>
      <c r="K2371">
        <v>0.95104486945645705</v>
      </c>
      <c r="L2371">
        <v>0.888242182866402</v>
      </c>
      <c r="M2371">
        <v>0.66935483870967705</v>
      </c>
      <c r="N2371">
        <v>0.99516129032258105</v>
      </c>
      <c r="O2371">
        <v>0.75645161290322604</v>
      </c>
      <c r="P2371" t="s">
        <v>3179</v>
      </c>
      <c r="Q2371" t="s">
        <v>3180</v>
      </c>
      <c r="R2371" t="s">
        <v>75</v>
      </c>
      <c r="S2371" t="s">
        <v>76</v>
      </c>
      <c r="T2371" t="s">
        <v>8374</v>
      </c>
      <c r="U2371" t="s">
        <v>8375</v>
      </c>
      <c r="V2371" t="s">
        <v>3181</v>
      </c>
      <c r="W2371" t="s">
        <v>3182</v>
      </c>
      <c r="X2371" t="s">
        <v>3181</v>
      </c>
      <c r="Y2371" t="s">
        <v>875</v>
      </c>
      <c r="Z2371" t="s">
        <v>8376</v>
      </c>
      <c r="AA2371" t="s">
        <v>8377</v>
      </c>
      <c r="AB2371" t="s">
        <v>8376</v>
      </c>
      <c r="AC2371" t="s">
        <v>146</v>
      </c>
      <c r="AD2371" t="s">
        <v>8378</v>
      </c>
      <c r="AE2371" t="s">
        <v>8379</v>
      </c>
      <c r="AF2371" t="s">
        <v>8382</v>
      </c>
    </row>
    <row r="2372" spans="1:32" hidden="1" x14ac:dyDescent="0.35">
      <c r="A2372">
        <v>4057</v>
      </c>
      <c r="B2372" t="s">
        <v>8373</v>
      </c>
      <c r="C2372" t="s">
        <v>72</v>
      </c>
      <c r="D2372" t="s">
        <v>34</v>
      </c>
      <c r="E2372">
        <v>863</v>
      </c>
      <c r="F2372">
        <v>5</v>
      </c>
      <c r="G2372">
        <v>5</v>
      </c>
      <c r="H2372">
        <v>1</v>
      </c>
      <c r="I2372">
        <v>1</v>
      </c>
      <c r="J2372">
        <v>0.833220108695652</v>
      </c>
      <c r="K2372">
        <v>0.95104486945645705</v>
      </c>
      <c r="L2372">
        <v>0.888242182866402</v>
      </c>
      <c r="M2372">
        <v>0.66935483870967705</v>
      </c>
      <c r="N2372">
        <v>0.99516129032258105</v>
      </c>
      <c r="O2372">
        <v>0.75645161290322604</v>
      </c>
      <c r="P2372" t="s">
        <v>3179</v>
      </c>
      <c r="Q2372" t="s">
        <v>3180</v>
      </c>
      <c r="R2372" t="s">
        <v>75</v>
      </c>
      <c r="S2372" t="s">
        <v>76</v>
      </c>
      <c r="T2372" t="s">
        <v>8374</v>
      </c>
      <c r="U2372" t="s">
        <v>8375</v>
      </c>
      <c r="V2372" t="s">
        <v>3181</v>
      </c>
      <c r="W2372" t="s">
        <v>3182</v>
      </c>
      <c r="X2372" t="s">
        <v>3181</v>
      </c>
      <c r="Y2372" t="s">
        <v>875</v>
      </c>
      <c r="Z2372" t="s">
        <v>8376</v>
      </c>
      <c r="AA2372" t="s">
        <v>8377</v>
      </c>
      <c r="AB2372" t="s">
        <v>8376</v>
      </c>
      <c r="AC2372" t="s">
        <v>146</v>
      </c>
      <c r="AD2372" t="s">
        <v>8378</v>
      </c>
      <c r="AE2372" t="s">
        <v>8379</v>
      </c>
      <c r="AF2372" t="s">
        <v>8383</v>
      </c>
    </row>
    <row r="2373" spans="1:32" hidden="1" x14ac:dyDescent="0.35">
      <c r="A2373">
        <v>4058</v>
      </c>
      <c r="B2373" t="s">
        <v>8373</v>
      </c>
      <c r="C2373" t="s">
        <v>72</v>
      </c>
      <c r="D2373" t="s">
        <v>45</v>
      </c>
      <c r="E2373">
        <v>2120</v>
      </c>
      <c r="F2373">
        <v>5</v>
      </c>
      <c r="G2373">
        <v>5</v>
      </c>
      <c r="H2373">
        <v>1</v>
      </c>
      <c r="I2373">
        <v>1</v>
      </c>
      <c r="J2373">
        <v>0.833220108695652</v>
      </c>
      <c r="K2373">
        <v>0.95104486945645705</v>
      </c>
      <c r="L2373">
        <v>0.888242182866402</v>
      </c>
      <c r="M2373">
        <v>0.66935483870967705</v>
      </c>
      <c r="N2373">
        <v>0.99516129032258105</v>
      </c>
      <c r="O2373">
        <v>0.75645161290322604</v>
      </c>
      <c r="P2373" t="s">
        <v>3179</v>
      </c>
      <c r="Q2373" t="s">
        <v>3180</v>
      </c>
      <c r="R2373" t="s">
        <v>75</v>
      </c>
      <c r="S2373" t="s">
        <v>76</v>
      </c>
      <c r="T2373" t="s">
        <v>8374</v>
      </c>
      <c r="U2373" t="s">
        <v>8375</v>
      </c>
      <c r="V2373" t="s">
        <v>3181</v>
      </c>
      <c r="W2373" t="s">
        <v>3182</v>
      </c>
      <c r="X2373" t="s">
        <v>3181</v>
      </c>
      <c r="Y2373" t="s">
        <v>875</v>
      </c>
      <c r="Z2373" t="s">
        <v>8376</v>
      </c>
      <c r="AA2373" t="s">
        <v>8377</v>
      </c>
      <c r="AB2373" t="s">
        <v>8376</v>
      </c>
      <c r="AC2373" t="s">
        <v>146</v>
      </c>
      <c r="AD2373" t="s">
        <v>8378</v>
      </c>
      <c r="AE2373" t="s">
        <v>8379</v>
      </c>
      <c r="AF2373" t="s">
        <v>8384</v>
      </c>
    </row>
    <row r="2374" spans="1:32" hidden="1" x14ac:dyDescent="0.35">
      <c r="A2374">
        <v>1654</v>
      </c>
      <c r="B2374" t="s">
        <v>3472</v>
      </c>
      <c r="C2374" t="s">
        <v>72</v>
      </c>
      <c r="D2374" t="s">
        <v>58</v>
      </c>
      <c r="E2374">
        <v>1089</v>
      </c>
      <c r="F2374">
        <v>5</v>
      </c>
      <c r="G2374">
        <v>5</v>
      </c>
      <c r="H2374">
        <v>1</v>
      </c>
      <c r="I2374">
        <v>1</v>
      </c>
      <c r="J2374">
        <v>0.76464357589238396</v>
      </c>
      <c r="K2374">
        <v>0.86501647989453001</v>
      </c>
      <c r="L2374">
        <v>0.81173897837609099</v>
      </c>
      <c r="M2374">
        <v>0.47567567567567598</v>
      </c>
      <c r="N2374">
        <v>1</v>
      </c>
      <c r="O2374">
        <v>0.67135135135135104</v>
      </c>
      <c r="P2374" t="s">
        <v>3473</v>
      </c>
      <c r="Q2374" t="s">
        <v>3474</v>
      </c>
      <c r="R2374" t="s">
        <v>113</v>
      </c>
      <c r="S2374" t="s">
        <v>114</v>
      </c>
      <c r="T2374" t="s">
        <v>3475</v>
      </c>
      <c r="U2374" t="s">
        <v>3476</v>
      </c>
      <c r="V2374" t="s">
        <v>3477</v>
      </c>
      <c r="W2374" t="s">
        <v>3478</v>
      </c>
      <c r="AD2374" t="s">
        <v>3479</v>
      </c>
      <c r="AE2374" t="s">
        <v>3480</v>
      </c>
      <c r="AF2374" t="s">
        <v>3481</v>
      </c>
    </row>
    <row r="2375" spans="1:32" hidden="1" x14ac:dyDescent="0.35">
      <c r="A2375">
        <v>4115</v>
      </c>
      <c r="B2375" t="s">
        <v>8506</v>
      </c>
      <c r="C2375" t="s">
        <v>72</v>
      </c>
      <c r="D2375" t="s">
        <v>60</v>
      </c>
      <c r="E2375">
        <v>1906</v>
      </c>
      <c r="F2375">
        <v>5</v>
      </c>
      <c r="G2375">
        <v>5</v>
      </c>
      <c r="H2375">
        <v>1</v>
      </c>
      <c r="I2375">
        <v>1</v>
      </c>
      <c r="J2375">
        <v>0.86875307225954401</v>
      </c>
      <c r="K2375">
        <v>0.99078898743533095</v>
      </c>
      <c r="L2375">
        <v>0.92576661259988302</v>
      </c>
      <c r="M2375">
        <v>0.73863636363636398</v>
      </c>
      <c r="N2375">
        <v>0.99837662337662303</v>
      </c>
      <c r="O2375">
        <v>0.80568181818181805</v>
      </c>
      <c r="P2375" t="s">
        <v>3179</v>
      </c>
      <c r="Q2375" t="s">
        <v>3180</v>
      </c>
      <c r="R2375" t="s">
        <v>75</v>
      </c>
      <c r="S2375" t="s">
        <v>76</v>
      </c>
      <c r="T2375" t="s">
        <v>8374</v>
      </c>
      <c r="U2375" t="s">
        <v>8375</v>
      </c>
      <c r="V2375" t="s">
        <v>8507</v>
      </c>
      <c r="W2375" t="s">
        <v>8508</v>
      </c>
      <c r="Z2375" t="s">
        <v>8376</v>
      </c>
      <c r="AA2375" t="s">
        <v>8377</v>
      </c>
      <c r="AB2375" t="s">
        <v>8376</v>
      </c>
      <c r="AC2375" t="s">
        <v>146</v>
      </c>
      <c r="AD2375" t="s">
        <v>8378</v>
      </c>
      <c r="AE2375" t="s">
        <v>8379</v>
      </c>
      <c r="AF2375" t="s">
        <v>8510</v>
      </c>
    </row>
    <row r="2376" spans="1:32" hidden="1" x14ac:dyDescent="0.35">
      <c r="A2376">
        <v>4116</v>
      </c>
      <c r="B2376" t="s">
        <v>8506</v>
      </c>
      <c r="C2376" t="s">
        <v>72</v>
      </c>
      <c r="D2376" t="s">
        <v>62</v>
      </c>
      <c r="E2376">
        <v>1946</v>
      </c>
      <c r="F2376">
        <v>5</v>
      </c>
      <c r="G2376">
        <v>5</v>
      </c>
      <c r="H2376">
        <v>1</v>
      </c>
      <c r="I2376">
        <v>1</v>
      </c>
      <c r="J2376">
        <v>0.86875307225954401</v>
      </c>
      <c r="K2376">
        <v>0.99078898743533095</v>
      </c>
      <c r="L2376">
        <v>0.92576661259988302</v>
      </c>
      <c r="M2376">
        <v>0.73863636363636398</v>
      </c>
      <c r="N2376">
        <v>0.99837662337662303</v>
      </c>
      <c r="O2376">
        <v>0.80568181818181805</v>
      </c>
      <c r="P2376" t="s">
        <v>3179</v>
      </c>
      <c r="Q2376" t="s">
        <v>3180</v>
      </c>
      <c r="R2376" t="s">
        <v>75</v>
      </c>
      <c r="S2376" t="s">
        <v>76</v>
      </c>
      <c r="T2376" t="s">
        <v>8374</v>
      </c>
      <c r="U2376" t="s">
        <v>8375</v>
      </c>
      <c r="V2376" t="s">
        <v>8507</v>
      </c>
      <c r="W2376" t="s">
        <v>8508</v>
      </c>
      <c r="Z2376" t="s">
        <v>8376</v>
      </c>
      <c r="AA2376" t="s">
        <v>8377</v>
      </c>
      <c r="AB2376" t="s">
        <v>8376</v>
      </c>
      <c r="AC2376" t="s">
        <v>146</v>
      </c>
      <c r="AD2376" t="s">
        <v>8378</v>
      </c>
      <c r="AE2376" t="s">
        <v>8379</v>
      </c>
      <c r="AF2376" t="s">
        <v>8511</v>
      </c>
    </row>
    <row r="2377" spans="1:32" hidden="1" x14ac:dyDescent="0.35">
      <c r="A2377">
        <v>4117</v>
      </c>
      <c r="B2377" t="s">
        <v>8506</v>
      </c>
      <c r="C2377" t="s">
        <v>72</v>
      </c>
      <c r="D2377" t="s">
        <v>34</v>
      </c>
      <c r="E2377">
        <v>2258</v>
      </c>
      <c r="F2377">
        <v>5</v>
      </c>
      <c r="G2377">
        <v>5</v>
      </c>
      <c r="H2377">
        <v>1</v>
      </c>
      <c r="I2377">
        <v>1</v>
      </c>
      <c r="J2377">
        <v>0.86875307225954401</v>
      </c>
      <c r="K2377">
        <v>0.99078898743533095</v>
      </c>
      <c r="L2377">
        <v>0.92576661259988302</v>
      </c>
      <c r="M2377">
        <v>0.73863636363636398</v>
      </c>
      <c r="N2377">
        <v>0.99837662337662303</v>
      </c>
      <c r="O2377">
        <v>0.80568181818181805</v>
      </c>
      <c r="P2377" t="s">
        <v>3179</v>
      </c>
      <c r="Q2377" t="s">
        <v>3180</v>
      </c>
      <c r="R2377" t="s">
        <v>75</v>
      </c>
      <c r="S2377" t="s">
        <v>76</v>
      </c>
      <c r="T2377" t="s">
        <v>8374</v>
      </c>
      <c r="U2377" t="s">
        <v>8375</v>
      </c>
      <c r="V2377" t="s">
        <v>8507</v>
      </c>
      <c r="W2377" t="s">
        <v>8508</v>
      </c>
      <c r="Z2377" t="s">
        <v>8376</v>
      </c>
      <c r="AA2377" t="s">
        <v>8377</v>
      </c>
      <c r="AB2377" t="s">
        <v>8376</v>
      </c>
      <c r="AC2377" t="s">
        <v>146</v>
      </c>
      <c r="AD2377" t="s">
        <v>8378</v>
      </c>
      <c r="AE2377" t="s">
        <v>8379</v>
      </c>
      <c r="AF2377" t="s">
        <v>8512</v>
      </c>
    </row>
    <row r="2378" spans="1:32" hidden="1" x14ac:dyDescent="0.35">
      <c r="A2378">
        <v>4118</v>
      </c>
      <c r="B2378" t="s">
        <v>8506</v>
      </c>
      <c r="C2378" t="s">
        <v>72</v>
      </c>
      <c r="D2378" t="s">
        <v>45</v>
      </c>
      <c r="E2378">
        <v>619</v>
      </c>
      <c r="F2378">
        <v>5</v>
      </c>
      <c r="G2378">
        <v>5</v>
      </c>
      <c r="H2378">
        <v>1</v>
      </c>
      <c r="I2378">
        <v>1</v>
      </c>
      <c r="J2378">
        <v>0.86875307225954401</v>
      </c>
      <c r="K2378">
        <v>0.99078898743533095</v>
      </c>
      <c r="L2378">
        <v>0.92576661259988302</v>
      </c>
      <c r="M2378">
        <v>0.73863636363636398</v>
      </c>
      <c r="N2378">
        <v>0.99837662337662303</v>
      </c>
      <c r="O2378">
        <v>0.80568181818181805</v>
      </c>
      <c r="P2378" t="s">
        <v>3179</v>
      </c>
      <c r="Q2378" t="s">
        <v>3180</v>
      </c>
      <c r="R2378" t="s">
        <v>75</v>
      </c>
      <c r="S2378" t="s">
        <v>76</v>
      </c>
      <c r="T2378" t="s">
        <v>8374</v>
      </c>
      <c r="U2378" t="s">
        <v>8375</v>
      </c>
      <c r="V2378" t="s">
        <v>8507</v>
      </c>
      <c r="W2378" t="s">
        <v>8508</v>
      </c>
      <c r="Z2378" t="s">
        <v>8376</v>
      </c>
      <c r="AA2378" t="s">
        <v>8377</v>
      </c>
      <c r="AB2378" t="s">
        <v>8376</v>
      </c>
      <c r="AC2378" t="s">
        <v>146</v>
      </c>
      <c r="AD2378" t="s">
        <v>8378</v>
      </c>
      <c r="AE2378" t="s">
        <v>8379</v>
      </c>
      <c r="AF2378" t="s">
        <v>8513</v>
      </c>
    </row>
    <row r="2379" spans="1:32" hidden="1" x14ac:dyDescent="0.35">
      <c r="A2379">
        <v>3884</v>
      </c>
      <c r="B2379" t="s">
        <v>8008</v>
      </c>
      <c r="C2379" t="s">
        <v>72</v>
      </c>
      <c r="D2379" t="s">
        <v>58</v>
      </c>
      <c r="E2379">
        <v>779</v>
      </c>
      <c r="F2379">
        <v>5</v>
      </c>
      <c r="G2379">
        <v>5</v>
      </c>
      <c r="H2379">
        <v>1</v>
      </c>
      <c r="I2379">
        <v>1</v>
      </c>
      <c r="J2379">
        <v>0.748817353178724</v>
      </c>
      <c r="K2379">
        <v>0.936905812633966</v>
      </c>
      <c r="L2379">
        <v>0.832368380553279</v>
      </c>
      <c r="M2379">
        <v>0.46278317152103599</v>
      </c>
      <c r="N2379">
        <v>0.99676375404530704</v>
      </c>
      <c r="O2379">
        <v>0.64239482200647202</v>
      </c>
      <c r="P2379" t="s">
        <v>8009</v>
      </c>
      <c r="Q2379" t="s">
        <v>8010</v>
      </c>
      <c r="R2379" t="s">
        <v>113</v>
      </c>
      <c r="S2379" t="s">
        <v>114</v>
      </c>
      <c r="T2379" t="s">
        <v>8011</v>
      </c>
      <c r="U2379" t="s">
        <v>8012</v>
      </c>
      <c r="V2379" t="s">
        <v>3477</v>
      </c>
      <c r="W2379" t="s">
        <v>3478</v>
      </c>
      <c r="AD2379" t="s">
        <v>8013</v>
      </c>
      <c r="AE2379" t="s">
        <v>8014</v>
      </c>
      <c r="AF2379" t="s">
        <v>8015</v>
      </c>
    </row>
    <row r="2380" spans="1:32" hidden="1" x14ac:dyDescent="0.35">
      <c r="A2380">
        <v>4335</v>
      </c>
      <c r="B2380" t="s">
        <v>9025</v>
      </c>
      <c r="C2380" t="s">
        <v>72</v>
      </c>
      <c r="D2380" t="s">
        <v>60</v>
      </c>
      <c r="E2380">
        <v>1601</v>
      </c>
      <c r="F2380">
        <v>5</v>
      </c>
      <c r="G2380">
        <v>5</v>
      </c>
      <c r="H2380">
        <v>1</v>
      </c>
      <c r="I2380">
        <v>1</v>
      </c>
      <c r="J2380">
        <v>0.80635674697432402</v>
      </c>
      <c r="K2380">
        <v>0.82037747304821995</v>
      </c>
      <c r="L2380">
        <v>0.81330668810669104</v>
      </c>
      <c r="M2380">
        <v>0.51086956521739102</v>
      </c>
      <c r="N2380">
        <v>0.99184782608695699</v>
      </c>
      <c r="O2380">
        <v>0.65652173913043499</v>
      </c>
      <c r="P2380" t="s">
        <v>9026</v>
      </c>
      <c r="Q2380" t="s">
        <v>9027</v>
      </c>
      <c r="R2380" t="s">
        <v>75</v>
      </c>
      <c r="S2380" t="s">
        <v>76</v>
      </c>
      <c r="T2380" t="s">
        <v>9028</v>
      </c>
      <c r="U2380" t="s">
        <v>9029</v>
      </c>
      <c r="V2380" t="s">
        <v>9030</v>
      </c>
      <c r="W2380" t="s">
        <v>9031</v>
      </c>
      <c r="X2380" t="s">
        <v>9030</v>
      </c>
      <c r="Y2380" t="s">
        <v>2392</v>
      </c>
      <c r="Z2380" t="s">
        <v>9032</v>
      </c>
      <c r="AA2380" t="s">
        <v>9033</v>
      </c>
      <c r="AB2380" t="s">
        <v>9032</v>
      </c>
      <c r="AC2380" t="s">
        <v>2395</v>
      </c>
      <c r="AD2380" t="s">
        <v>245</v>
      </c>
      <c r="AE2380" t="s">
        <v>9034</v>
      </c>
      <c r="AF2380" t="s">
        <v>9035</v>
      </c>
    </row>
    <row r="2381" spans="1:32" hidden="1" x14ac:dyDescent="0.35">
      <c r="A2381">
        <v>4336</v>
      </c>
      <c r="B2381" t="s">
        <v>9025</v>
      </c>
      <c r="C2381" t="s">
        <v>72</v>
      </c>
      <c r="D2381" t="s">
        <v>62</v>
      </c>
      <c r="E2381">
        <v>1637</v>
      </c>
      <c r="F2381">
        <v>5</v>
      </c>
      <c r="G2381">
        <v>5</v>
      </c>
      <c r="H2381">
        <v>1</v>
      </c>
      <c r="I2381">
        <v>1</v>
      </c>
      <c r="J2381">
        <v>0.80635674697432402</v>
      </c>
      <c r="K2381">
        <v>0.82037747304821995</v>
      </c>
      <c r="L2381">
        <v>0.81330668810669104</v>
      </c>
      <c r="M2381">
        <v>0.51086956521739102</v>
      </c>
      <c r="N2381">
        <v>0.99184782608695699</v>
      </c>
      <c r="O2381">
        <v>0.65652173913043499</v>
      </c>
      <c r="P2381" t="s">
        <v>9026</v>
      </c>
      <c r="Q2381" t="s">
        <v>9027</v>
      </c>
      <c r="R2381" t="s">
        <v>75</v>
      </c>
      <c r="S2381" t="s">
        <v>76</v>
      </c>
      <c r="T2381" t="s">
        <v>9028</v>
      </c>
      <c r="U2381" t="s">
        <v>9029</v>
      </c>
      <c r="V2381" t="s">
        <v>9030</v>
      </c>
      <c r="W2381" t="s">
        <v>9031</v>
      </c>
      <c r="X2381" t="s">
        <v>9030</v>
      </c>
      <c r="Y2381" t="s">
        <v>2392</v>
      </c>
      <c r="Z2381" t="s">
        <v>9032</v>
      </c>
      <c r="AA2381" t="s">
        <v>9033</v>
      </c>
      <c r="AB2381" t="s">
        <v>9032</v>
      </c>
      <c r="AC2381" t="s">
        <v>2395</v>
      </c>
      <c r="AD2381" t="s">
        <v>245</v>
      </c>
      <c r="AE2381" t="s">
        <v>9034</v>
      </c>
      <c r="AF2381" t="s">
        <v>9036</v>
      </c>
    </row>
    <row r="2382" spans="1:32" hidden="1" x14ac:dyDescent="0.35">
      <c r="A2382">
        <v>4337</v>
      </c>
      <c r="B2382" t="s">
        <v>9025</v>
      </c>
      <c r="C2382" t="s">
        <v>72</v>
      </c>
      <c r="D2382" t="s">
        <v>34</v>
      </c>
      <c r="E2382">
        <v>1996</v>
      </c>
      <c r="F2382">
        <v>5</v>
      </c>
      <c r="G2382">
        <v>5</v>
      </c>
      <c r="H2382">
        <v>1</v>
      </c>
      <c r="I2382">
        <v>1</v>
      </c>
      <c r="J2382">
        <v>0.80635674697432402</v>
      </c>
      <c r="K2382">
        <v>0.82037747304821995</v>
      </c>
      <c r="L2382">
        <v>0.81330668810669104</v>
      </c>
      <c r="M2382">
        <v>0.51086956521739102</v>
      </c>
      <c r="N2382">
        <v>0.99184782608695699</v>
      </c>
      <c r="O2382">
        <v>0.65652173913043499</v>
      </c>
      <c r="P2382" t="s">
        <v>9026</v>
      </c>
      <c r="Q2382" t="s">
        <v>9027</v>
      </c>
      <c r="R2382" t="s">
        <v>75</v>
      </c>
      <c r="S2382" t="s">
        <v>76</v>
      </c>
      <c r="T2382" t="s">
        <v>9028</v>
      </c>
      <c r="U2382" t="s">
        <v>9029</v>
      </c>
      <c r="V2382" t="s">
        <v>9030</v>
      </c>
      <c r="W2382" t="s">
        <v>9031</v>
      </c>
      <c r="X2382" t="s">
        <v>9030</v>
      </c>
      <c r="Y2382" t="s">
        <v>2392</v>
      </c>
      <c r="Z2382" t="s">
        <v>9032</v>
      </c>
      <c r="AA2382" t="s">
        <v>9033</v>
      </c>
      <c r="AB2382" t="s">
        <v>9032</v>
      </c>
      <c r="AC2382" t="s">
        <v>2395</v>
      </c>
      <c r="AD2382" t="s">
        <v>245</v>
      </c>
      <c r="AE2382" t="s">
        <v>9034</v>
      </c>
      <c r="AF2382" t="e">
        <f>---------------------------------------------MKKTPPHIPKPKNSAGRDLKVAIPVGIGLFTIVLLAIFVIPFGWYPLVALAIFSGQWEVITRVIEA-GYVVQRWCLLFGGQLMLWLSWPFGTTGLVSGFVAAVLLLMFSRLFYAGPVAEQRNPQPQQGGTDPGTPAQPSQPEEQGKPERQGPKNYVRDTSMGVFILTWIPLFGSFAAMMSLLRGHDDVPGSMFIITFMLCVIASDTGGYIAGVMFGSHPMAPTVSPKKSWEGFAGSTISSAVVGALMVSNLLYYDWWWGILLGFGLAVCATLGDLLESQFKRELGIKDMSGMIPGHGGVMDRLDGMLPSAMVTWLVLS-VIAI</f>
        <v>#NAME?</v>
      </c>
    </row>
    <row r="2383" spans="1:32" hidden="1" x14ac:dyDescent="0.35">
      <c r="A2383">
        <v>4338</v>
      </c>
      <c r="B2383" t="s">
        <v>9025</v>
      </c>
      <c r="C2383" t="s">
        <v>72</v>
      </c>
      <c r="D2383" t="s">
        <v>45</v>
      </c>
      <c r="E2383">
        <v>877</v>
      </c>
      <c r="F2383">
        <v>5</v>
      </c>
      <c r="G2383">
        <v>5</v>
      </c>
      <c r="H2383">
        <v>1</v>
      </c>
      <c r="I2383">
        <v>1</v>
      </c>
      <c r="J2383">
        <v>0.80635674697432402</v>
      </c>
      <c r="K2383">
        <v>0.82037747304821995</v>
      </c>
      <c r="L2383">
        <v>0.81330668810669104</v>
      </c>
      <c r="M2383">
        <v>0.51086956521739102</v>
      </c>
      <c r="N2383">
        <v>0.99184782608695699</v>
      </c>
      <c r="O2383">
        <v>0.65652173913043499</v>
      </c>
      <c r="P2383" t="s">
        <v>9026</v>
      </c>
      <c r="Q2383" t="s">
        <v>9027</v>
      </c>
      <c r="R2383" t="s">
        <v>75</v>
      </c>
      <c r="S2383" t="s">
        <v>76</v>
      </c>
      <c r="T2383" t="s">
        <v>9028</v>
      </c>
      <c r="U2383" t="s">
        <v>9029</v>
      </c>
      <c r="V2383" t="s">
        <v>9030</v>
      </c>
      <c r="W2383" t="s">
        <v>9031</v>
      </c>
      <c r="X2383" t="s">
        <v>9030</v>
      </c>
      <c r="Y2383" t="s">
        <v>2392</v>
      </c>
      <c r="Z2383" t="s">
        <v>9032</v>
      </c>
      <c r="AA2383" t="s">
        <v>9033</v>
      </c>
      <c r="AB2383" t="s">
        <v>9032</v>
      </c>
      <c r="AC2383" t="s">
        <v>2395</v>
      </c>
      <c r="AD2383" t="s">
        <v>245</v>
      </c>
      <c r="AE2383" t="s">
        <v>9034</v>
      </c>
      <c r="AF2383" t="e">
        <f>---------------------------------------------MKKTPPHIPKPKNSAGRDLKVAIPVGIGLFTIVLLAIFVIPFGWYPLVALAIFSGQWEVITRVTEA-GYVVQRWCLLFGGQLMLWLSWPFGTTGLVSGFVAAVLLLMFSRLFYAGPVAEQRNPQPQQGGTDPGTPAQLSQSEEQGKPERQGPKNYVRDTSMGVFILTWIPLFGSFAAMMSLLRGHDDVPGSMFIITFMLCVIASDTGGYIAGVMFGSHPMAPTVSPKKSWEGFAGSTISSAVVGALMVSNLLYYDWWWGILLGFGLAVCATLGDLLESQFKRELGIKDMSGMVPGHGGVMDRLDGMLPSAMVTWLVLS-VIAI</f>
        <v>#NAME?</v>
      </c>
    </row>
    <row r="2384" spans="1:32" hidden="1" x14ac:dyDescent="0.35">
      <c r="A2384">
        <v>11078</v>
      </c>
      <c r="B2384" t="s">
        <v>22418</v>
      </c>
      <c r="C2384" t="s">
        <v>33</v>
      </c>
      <c r="D2384" t="s">
        <v>58</v>
      </c>
      <c r="E2384">
        <v>1264</v>
      </c>
      <c r="F2384">
        <v>1</v>
      </c>
      <c r="G2384">
        <v>1</v>
      </c>
      <c r="H2384">
        <v>1</v>
      </c>
      <c r="I2384">
        <v>0</v>
      </c>
      <c r="J2384">
        <v>1</v>
      </c>
      <c r="K2384">
        <v>1</v>
      </c>
      <c r="L2384">
        <v>1</v>
      </c>
      <c r="M2384">
        <v>0</v>
      </c>
      <c r="N2384">
        <v>0</v>
      </c>
      <c r="O2384">
        <v>0</v>
      </c>
      <c r="P2384" t="s">
        <v>3473</v>
      </c>
      <c r="Q2384" t="s">
        <v>3474</v>
      </c>
      <c r="R2384" t="s">
        <v>113</v>
      </c>
      <c r="S2384" t="s">
        <v>114</v>
      </c>
      <c r="T2384" t="s">
        <v>22419</v>
      </c>
      <c r="U2384" t="s">
        <v>22420</v>
      </c>
      <c r="V2384" t="s">
        <v>3477</v>
      </c>
      <c r="W2384" t="s">
        <v>3478</v>
      </c>
      <c r="AD2384" t="s">
        <v>312</v>
      </c>
      <c r="AE2384" t="s">
        <v>22421</v>
      </c>
      <c r="AF2384" t="s">
        <v>22422</v>
      </c>
    </row>
    <row r="2385" spans="1:32" hidden="1" x14ac:dyDescent="0.35">
      <c r="A2385">
        <v>4490</v>
      </c>
      <c r="B2385" t="s">
        <v>9346</v>
      </c>
      <c r="C2385" t="s">
        <v>72</v>
      </c>
      <c r="D2385" t="s">
        <v>60</v>
      </c>
      <c r="E2385">
        <v>531</v>
      </c>
      <c r="F2385">
        <v>5</v>
      </c>
      <c r="G2385">
        <v>5</v>
      </c>
      <c r="H2385">
        <v>1</v>
      </c>
      <c r="I2385">
        <v>1</v>
      </c>
      <c r="J2385">
        <v>0.93749297358066297</v>
      </c>
      <c r="K2385">
        <v>1</v>
      </c>
      <c r="L2385">
        <v>0.96773819194615296</v>
      </c>
      <c r="M2385">
        <v>0.883642495784148</v>
      </c>
      <c r="N2385">
        <v>0.99831365935919103</v>
      </c>
      <c r="O2385">
        <v>0.91635750421585205</v>
      </c>
      <c r="P2385" t="s">
        <v>9278</v>
      </c>
      <c r="Q2385" t="s">
        <v>9279</v>
      </c>
      <c r="R2385" t="s">
        <v>75</v>
      </c>
      <c r="S2385" t="s">
        <v>76</v>
      </c>
      <c r="T2385" t="s">
        <v>9347</v>
      </c>
      <c r="U2385" t="s">
        <v>9348</v>
      </c>
      <c r="V2385" t="s">
        <v>9349</v>
      </c>
      <c r="W2385" t="s">
        <v>9350</v>
      </c>
      <c r="Z2385" t="s">
        <v>9351</v>
      </c>
      <c r="AA2385" t="s">
        <v>9352</v>
      </c>
      <c r="AB2385" t="s">
        <v>9351</v>
      </c>
      <c r="AC2385" t="s">
        <v>9353</v>
      </c>
      <c r="AD2385" t="s">
        <v>9354</v>
      </c>
      <c r="AE2385" t="s">
        <v>9355</v>
      </c>
      <c r="AF2385" t="s">
        <v>9357</v>
      </c>
    </row>
    <row r="2386" spans="1:32" hidden="1" x14ac:dyDescent="0.35">
      <c r="A2386">
        <v>4491</v>
      </c>
      <c r="B2386" t="s">
        <v>9346</v>
      </c>
      <c r="C2386" t="s">
        <v>72</v>
      </c>
      <c r="D2386" t="s">
        <v>62</v>
      </c>
      <c r="E2386">
        <v>615</v>
      </c>
      <c r="F2386">
        <v>5</v>
      </c>
      <c r="G2386">
        <v>5</v>
      </c>
      <c r="H2386">
        <v>1</v>
      </c>
      <c r="I2386">
        <v>1</v>
      </c>
      <c r="J2386">
        <v>0.93749297358066297</v>
      </c>
      <c r="K2386">
        <v>1</v>
      </c>
      <c r="L2386">
        <v>0.96773819194615296</v>
      </c>
      <c r="M2386">
        <v>0.883642495784148</v>
      </c>
      <c r="N2386">
        <v>0.99831365935919103</v>
      </c>
      <c r="O2386">
        <v>0.91635750421585205</v>
      </c>
      <c r="P2386" t="s">
        <v>9278</v>
      </c>
      <c r="Q2386" t="s">
        <v>9279</v>
      </c>
      <c r="R2386" t="s">
        <v>75</v>
      </c>
      <c r="S2386" t="s">
        <v>76</v>
      </c>
      <c r="T2386" t="s">
        <v>9347</v>
      </c>
      <c r="U2386" t="s">
        <v>9348</v>
      </c>
      <c r="V2386" t="s">
        <v>9349</v>
      </c>
      <c r="W2386" t="s">
        <v>9350</v>
      </c>
      <c r="Z2386" t="s">
        <v>9351</v>
      </c>
      <c r="AA2386" t="s">
        <v>9352</v>
      </c>
      <c r="AB2386" t="s">
        <v>9351</v>
      </c>
      <c r="AC2386" t="s">
        <v>9353</v>
      </c>
      <c r="AD2386" t="s">
        <v>9354</v>
      </c>
      <c r="AE2386" t="s">
        <v>9355</v>
      </c>
      <c r="AF2386" t="s">
        <v>9358</v>
      </c>
    </row>
    <row r="2387" spans="1:32" hidden="1" x14ac:dyDescent="0.35">
      <c r="A2387">
        <v>4492</v>
      </c>
      <c r="B2387" t="s">
        <v>9346</v>
      </c>
      <c r="C2387" t="s">
        <v>72</v>
      </c>
      <c r="D2387" t="s">
        <v>34</v>
      </c>
      <c r="E2387">
        <v>555</v>
      </c>
      <c r="F2387">
        <v>5</v>
      </c>
      <c r="G2387">
        <v>5</v>
      </c>
      <c r="H2387">
        <v>1</v>
      </c>
      <c r="I2387">
        <v>1</v>
      </c>
      <c r="J2387">
        <v>0.93749297358066297</v>
      </c>
      <c r="K2387">
        <v>1</v>
      </c>
      <c r="L2387">
        <v>0.96773819194615296</v>
      </c>
      <c r="M2387">
        <v>0.883642495784148</v>
      </c>
      <c r="N2387">
        <v>0.99831365935919103</v>
      </c>
      <c r="O2387">
        <v>0.91635750421585205</v>
      </c>
      <c r="P2387" t="s">
        <v>9278</v>
      </c>
      <c r="Q2387" t="s">
        <v>9279</v>
      </c>
      <c r="R2387" t="s">
        <v>75</v>
      </c>
      <c r="S2387" t="s">
        <v>76</v>
      </c>
      <c r="T2387" t="s">
        <v>9347</v>
      </c>
      <c r="U2387" t="s">
        <v>9348</v>
      </c>
      <c r="V2387" t="s">
        <v>9349</v>
      </c>
      <c r="W2387" t="s">
        <v>9350</v>
      </c>
      <c r="Z2387" t="s">
        <v>9351</v>
      </c>
      <c r="AA2387" t="s">
        <v>9352</v>
      </c>
      <c r="AB2387" t="s">
        <v>9351</v>
      </c>
      <c r="AC2387" t="s">
        <v>9353</v>
      </c>
      <c r="AD2387" t="s">
        <v>9354</v>
      </c>
      <c r="AE2387" t="s">
        <v>9355</v>
      </c>
      <c r="AF2387" t="s">
        <v>9359</v>
      </c>
    </row>
    <row r="2388" spans="1:32" hidden="1" x14ac:dyDescent="0.35">
      <c r="A2388">
        <v>4493</v>
      </c>
      <c r="B2388" t="s">
        <v>9346</v>
      </c>
      <c r="C2388" t="s">
        <v>72</v>
      </c>
      <c r="D2388" t="s">
        <v>45</v>
      </c>
      <c r="E2388">
        <v>1822</v>
      </c>
      <c r="F2388">
        <v>5</v>
      </c>
      <c r="G2388">
        <v>5</v>
      </c>
      <c r="H2388">
        <v>1</v>
      </c>
      <c r="I2388">
        <v>1</v>
      </c>
      <c r="J2388">
        <v>0.93749297358066297</v>
      </c>
      <c r="K2388">
        <v>1</v>
      </c>
      <c r="L2388">
        <v>0.96773819194615296</v>
      </c>
      <c r="M2388">
        <v>0.883642495784148</v>
      </c>
      <c r="N2388">
        <v>0.99831365935919103</v>
      </c>
      <c r="O2388">
        <v>0.91635750421585205</v>
      </c>
      <c r="P2388" t="s">
        <v>9278</v>
      </c>
      <c r="Q2388" t="s">
        <v>9279</v>
      </c>
      <c r="R2388" t="s">
        <v>75</v>
      </c>
      <c r="S2388" t="s">
        <v>76</v>
      </c>
      <c r="T2388" t="s">
        <v>9347</v>
      </c>
      <c r="U2388" t="s">
        <v>9348</v>
      </c>
      <c r="V2388" t="s">
        <v>9349</v>
      </c>
      <c r="W2388" t="s">
        <v>9350</v>
      </c>
      <c r="Z2388" t="s">
        <v>9351</v>
      </c>
      <c r="AA2388" t="s">
        <v>9352</v>
      </c>
      <c r="AB2388" t="s">
        <v>9351</v>
      </c>
      <c r="AC2388" t="s">
        <v>9353</v>
      </c>
      <c r="AD2388" t="s">
        <v>9354</v>
      </c>
      <c r="AE2388" t="s">
        <v>9355</v>
      </c>
      <c r="AF2388" t="s">
        <v>9360</v>
      </c>
    </row>
    <row r="2389" spans="1:32" hidden="1" x14ac:dyDescent="0.35">
      <c r="A2389">
        <v>11677</v>
      </c>
      <c r="B2389" t="s">
        <v>23952</v>
      </c>
      <c r="C2389" t="s">
        <v>33</v>
      </c>
      <c r="D2389" t="s">
        <v>58</v>
      </c>
      <c r="E2389">
        <v>669</v>
      </c>
      <c r="F2389">
        <v>1</v>
      </c>
      <c r="G2389">
        <v>1</v>
      </c>
      <c r="H2389">
        <v>1</v>
      </c>
      <c r="I2389">
        <v>0</v>
      </c>
      <c r="J2389">
        <v>1</v>
      </c>
      <c r="K2389">
        <v>1</v>
      </c>
      <c r="L2389">
        <v>1</v>
      </c>
      <c r="M2389">
        <v>0</v>
      </c>
      <c r="N2389">
        <v>0</v>
      </c>
      <c r="O2389">
        <v>0</v>
      </c>
      <c r="P2389" t="s">
        <v>3473</v>
      </c>
      <c r="Q2389" t="s">
        <v>3474</v>
      </c>
      <c r="R2389" t="s">
        <v>113</v>
      </c>
      <c r="S2389" t="s">
        <v>114</v>
      </c>
      <c r="V2389" t="s">
        <v>3477</v>
      </c>
      <c r="W2389" t="s">
        <v>3478</v>
      </c>
      <c r="AF2389" t="s">
        <v>23953</v>
      </c>
    </row>
    <row r="2390" spans="1:32" hidden="1" x14ac:dyDescent="0.35">
      <c r="A2390">
        <v>724</v>
      </c>
      <c r="B2390" t="s">
        <v>1485</v>
      </c>
      <c r="C2390" t="s">
        <v>72</v>
      </c>
      <c r="D2390" t="s">
        <v>58</v>
      </c>
      <c r="E2390">
        <v>1703</v>
      </c>
      <c r="F2390">
        <v>5</v>
      </c>
      <c r="G2390">
        <v>5</v>
      </c>
      <c r="H2390">
        <v>1</v>
      </c>
      <c r="I2390">
        <v>1</v>
      </c>
      <c r="J2390">
        <v>0.81310082718533405</v>
      </c>
      <c r="K2390">
        <v>0.89648203592814302</v>
      </c>
      <c r="L2390">
        <v>0.85275806244623198</v>
      </c>
      <c r="M2390">
        <v>0.59523809523809501</v>
      </c>
      <c r="N2390">
        <v>1</v>
      </c>
      <c r="O2390">
        <v>0.71071428571428596</v>
      </c>
      <c r="P2390" t="s">
        <v>1486</v>
      </c>
      <c r="Q2390" t="s">
        <v>1487</v>
      </c>
      <c r="R2390" t="s">
        <v>113</v>
      </c>
      <c r="S2390" t="s">
        <v>114</v>
      </c>
      <c r="T2390" t="s">
        <v>1488</v>
      </c>
      <c r="U2390" t="s">
        <v>1489</v>
      </c>
      <c r="V2390" t="s">
        <v>1490</v>
      </c>
      <c r="W2390" t="s">
        <v>1491</v>
      </c>
      <c r="AD2390" t="s">
        <v>312</v>
      </c>
      <c r="AE2390" t="s">
        <v>1492</v>
      </c>
      <c r="AF2390" t="e">
        <f>--------------------MPHT-SIPTDLLESPSFQLERLRRRTRDEVEASLAEYKTSIREYWVLTSLATGSASSQTALSAILGVDASDMVRLIDGLETKTWVKRERDPKDRRRQIVASTKKGRQAQKELAELVTAAEDRALDESTSKQLKHLRKLAKAIIAAEED</f>
        <v>#NAME?</v>
      </c>
    </row>
    <row r="2391" spans="1:32" hidden="1" x14ac:dyDescent="0.35">
      <c r="A2391">
        <v>844</v>
      </c>
      <c r="B2391" t="s">
        <v>1749</v>
      </c>
      <c r="C2391" t="s">
        <v>72</v>
      </c>
      <c r="D2391" t="s">
        <v>58</v>
      </c>
      <c r="E2391">
        <v>952</v>
      </c>
      <c r="F2391">
        <v>5</v>
      </c>
      <c r="G2391">
        <v>5</v>
      </c>
      <c r="H2391">
        <v>1</v>
      </c>
      <c r="I2391">
        <v>1</v>
      </c>
      <c r="J2391">
        <v>0.93685258063056998</v>
      </c>
      <c r="K2391">
        <v>0.98394365392716499</v>
      </c>
      <c r="L2391">
        <v>0.95982086469363004</v>
      </c>
      <c r="M2391">
        <v>0.87850467289719603</v>
      </c>
      <c r="N2391">
        <v>1</v>
      </c>
      <c r="O2391">
        <v>0.91321762349799696</v>
      </c>
      <c r="P2391" t="s">
        <v>1750</v>
      </c>
      <c r="Q2391" t="s">
        <v>1751</v>
      </c>
      <c r="R2391" t="s">
        <v>1752</v>
      </c>
      <c r="S2391" t="s">
        <v>1753</v>
      </c>
      <c r="T2391" t="s">
        <v>1754</v>
      </c>
      <c r="U2391" t="s">
        <v>1755</v>
      </c>
      <c r="V2391" t="s">
        <v>1756</v>
      </c>
      <c r="W2391" t="s">
        <v>1757</v>
      </c>
      <c r="Z2391" t="s">
        <v>1758</v>
      </c>
      <c r="AA2391" t="s">
        <v>1759</v>
      </c>
      <c r="AB2391" t="s">
        <v>1758</v>
      </c>
      <c r="AC2391" t="s">
        <v>1760</v>
      </c>
      <c r="AD2391" t="s">
        <v>1140</v>
      </c>
      <c r="AE2391" t="s">
        <v>1761</v>
      </c>
      <c r="AF2391" t="s">
        <v>1762</v>
      </c>
    </row>
    <row r="2392" spans="1:32" hidden="1" x14ac:dyDescent="0.35">
      <c r="A2392">
        <v>845</v>
      </c>
      <c r="B2392" t="s">
        <v>1749</v>
      </c>
      <c r="C2392" t="s">
        <v>72</v>
      </c>
      <c r="D2392" t="s">
        <v>60</v>
      </c>
      <c r="E2392">
        <v>1258</v>
      </c>
      <c r="F2392">
        <v>5</v>
      </c>
      <c r="G2392">
        <v>5</v>
      </c>
      <c r="H2392">
        <v>1</v>
      </c>
      <c r="I2392">
        <v>1</v>
      </c>
      <c r="J2392">
        <v>0.93685258063056998</v>
      </c>
      <c r="K2392">
        <v>0.98394365392716499</v>
      </c>
      <c r="L2392">
        <v>0.95982086469363004</v>
      </c>
      <c r="M2392">
        <v>0.87850467289719603</v>
      </c>
      <c r="N2392">
        <v>1</v>
      </c>
      <c r="O2392">
        <v>0.91321762349799696</v>
      </c>
      <c r="P2392" t="s">
        <v>1750</v>
      </c>
      <c r="Q2392" t="s">
        <v>1751</v>
      </c>
      <c r="R2392" t="s">
        <v>1752</v>
      </c>
      <c r="S2392" t="s">
        <v>1753</v>
      </c>
      <c r="T2392" t="s">
        <v>1754</v>
      </c>
      <c r="U2392" t="s">
        <v>1755</v>
      </c>
      <c r="V2392" t="s">
        <v>1756</v>
      </c>
      <c r="W2392" t="s">
        <v>1757</v>
      </c>
      <c r="Z2392" t="s">
        <v>1758</v>
      </c>
      <c r="AA2392" t="s">
        <v>1759</v>
      </c>
      <c r="AB2392" t="s">
        <v>1758</v>
      </c>
      <c r="AC2392" t="s">
        <v>1760</v>
      </c>
      <c r="AD2392" t="s">
        <v>1140</v>
      </c>
      <c r="AE2392" t="s">
        <v>1761</v>
      </c>
      <c r="AF2392" t="s">
        <v>1763</v>
      </c>
    </row>
    <row r="2393" spans="1:32" hidden="1" x14ac:dyDescent="0.35">
      <c r="A2393">
        <v>846</v>
      </c>
      <c r="B2393" t="s">
        <v>1749</v>
      </c>
      <c r="C2393" t="s">
        <v>72</v>
      </c>
      <c r="D2393" t="s">
        <v>62</v>
      </c>
      <c r="E2393">
        <v>1295</v>
      </c>
      <c r="F2393">
        <v>5</v>
      </c>
      <c r="G2393">
        <v>5</v>
      </c>
      <c r="H2393">
        <v>1</v>
      </c>
      <c r="I2393">
        <v>1</v>
      </c>
      <c r="J2393">
        <v>0.93685258063056998</v>
      </c>
      <c r="K2393">
        <v>0.98394365392716499</v>
      </c>
      <c r="L2393">
        <v>0.95982086469363004</v>
      </c>
      <c r="M2393">
        <v>0.87850467289719603</v>
      </c>
      <c r="N2393">
        <v>1</v>
      </c>
      <c r="O2393">
        <v>0.91321762349799696</v>
      </c>
      <c r="P2393" t="s">
        <v>1750</v>
      </c>
      <c r="Q2393" t="s">
        <v>1751</v>
      </c>
      <c r="R2393" t="s">
        <v>1752</v>
      </c>
      <c r="S2393" t="s">
        <v>1753</v>
      </c>
      <c r="T2393" t="s">
        <v>1754</v>
      </c>
      <c r="U2393" t="s">
        <v>1755</v>
      </c>
      <c r="V2393" t="s">
        <v>1756</v>
      </c>
      <c r="W2393" t="s">
        <v>1757</v>
      </c>
      <c r="Z2393" t="s">
        <v>1758</v>
      </c>
      <c r="AA2393" t="s">
        <v>1759</v>
      </c>
      <c r="AB2393" t="s">
        <v>1758</v>
      </c>
      <c r="AC2393" t="s">
        <v>1760</v>
      </c>
      <c r="AD2393" t="s">
        <v>1140</v>
      </c>
      <c r="AE2393" t="s">
        <v>1761</v>
      </c>
      <c r="AF2393" t="s">
        <v>1763</v>
      </c>
    </row>
    <row r="2394" spans="1:32" hidden="1" x14ac:dyDescent="0.35">
      <c r="A2394">
        <v>847</v>
      </c>
      <c r="B2394" t="s">
        <v>1749</v>
      </c>
      <c r="C2394" t="s">
        <v>72</v>
      </c>
      <c r="D2394" t="s">
        <v>34</v>
      </c>
      <c r="E2394">
        <v>1747</v>
      </c>
      <c r="F2394">
        <v>5</v>
      </c>
      <c r="G2394">
        <v>5</v>
      </c>
      <c r="H2394">
        <v>1</v>
      </c>
      <c r="I2394">
        <v>1</v>
      </c>
      <c r="J2394">
        <v>0.93685258063056998</v>
      </c>
      <c r="K2394">
        <v>0.98394365392716499</v>
      </c>
      <c r="L2394">
        <v>0.95982086469363004</v>
      </c>
      <c r="M2394">
        <v>0.87850467289719603</v>
      </c>
      <c r="N2394">
        <v>1</v>
      </c>
      <c r="O2394">
        <v>0.91321762349799696</v>
      </c>
      <c r="P2394" t="s">
        <v>1750</v>
      </c>
      <c r="Q2394" t="s">
        <v>1751</v>
      </c>
      <c r="R2394" t="s">
        <v>1752</v>
      </c>
      <c r="S2394" t="s">
        <v>1753</v>
      </c>
      <c r="T2394" t="s">
        <v>1754</v>
      </c>
      <c r="U2394" t="s">
        <v>1755</v>
      </c>
      <c r="V2394" t="s">
        <v>1756</v>
      </c>
      <c r="W2394" t="s">
        <v>1757</v>
      </c>
      <c r="Z2394" t="s">
        <v>1758</v>
      </c>
      <c r="AA2394" t="s">
        <v>1759</v>
      </c>
      <c r="AB2394" t="s">
        <v>1758</v>
      </c>
      <c r="AC2394" t="s">
        <v>1760</v>
      </c>
      <c r="AD2394" t="s">
        <v>1140</v>
      </c>
      <c r="AE2394" t="s">
        <v>1761</v>
      </c>
      <c r="AF2394" t="s">
        <v>1764</v>
      </c>
    </row>
    <row r="2395" spans="1:32" hidden="1" x14ac:dyDescent="0.35">
      <c r="A2395">
        <v>848</v>
      </c>
      <c r="B2395" t="s">
        <v>1749</v>
      </c>
      <c r="C2395" t="s">
        <v>72</v>
      </c>
      <c r="D2395" t="s">
        <v>45</v>
      </c>
      <c r="E2395">
        <v>1126</v>
      </c>
      <c r="F2395">
        <v>5</v>
      </c>
      <c r="G2395">
        <v>5</v>
      </c>
      <c r="H2395">
        <v>1</v>
      </c>
      <c r="I2395">
        <v>1</v>
      </c>
      <c r="J2395">
        <v>0.93685258063056998</v>
      </c>
      <c r="K2395">
        <v>0.98394365392716499</v>
      </c>
      <c r="L2395">
        <v>0.95982086469363004</v>
      </c>
      <c r="M2395">
        <v>0.87850467289719603</v>
      </c>
      <c r="N2395">
        <v>1</v>
      </c>
      <c r="O2395">
        <v>0.91321762349799696</v>
      </c>
      <c r="P2395" t="s">
        <v>1750</v>
      </c>
      <c r="Q2395" t="s">
        <v>1751</v>
      </c>
      <c r="R2395" t="s">
        <v>1752</v>
      </c>
      <c r="S2395" t="s">
        <v>1753</v>
      </c>
      <c r="T2395" t="s">
        <v>1754</v>
      </c>
      <c r="U2395" t="s">
        <v>1755</v>
      </c>
      <c r="V2395" t="s">
        <v>1756</v>
      </c>
      <c r="W2395" t="s">
        <v>1757</v>
      </c>
      <c r="Z2395" t="s">
        <v>1758</v>
      </c>
      <c r="AA2395" t="s">
        <v>1759</v>
      </c>
      <c r="AB2395" t="s">
        <v>1758</v>
      </c>
      <c r="AC2395" t="s">
        <v>1760</v>
      </c>
      <c r="AD2395" t="s">
        <v>1140</v>
      </c>
      <c r="AE2395" t="s">
        <v>1761</v>
      </c>
      <c r="AF2395" t="s">
        <v>1764</v>
      </c>
    </row>
    <row r="2396" spans="1:32" hidden="1" x14ac:dyDescent="0.35">
      <c r="A2396">
        <v>3704</v>
      </c>
      <c r="B2396" t="s">
        <v>7637</v>
      </c>
      <c r="C2396" t="s">
        <v>72</v>
      </c>
      <c r="D2396" t="s">
        <v>58</v>
      </c>
      <c r="E2396">
        <v>454</v>
      </c>
      <c r="F2396">
        <v>5</v>
      </c>
      <c r="G2396">
        <v>5</v>
      </c>
      <c r="H2396">
        <v>1</v>
      </c>
      <c r="I2396">
        <v>1</v>
      </c>
      <c r="J2396">
        <v>0.80073461891643705</v>
      </c>
      <c r="K2396">
        <v>0.93661101180804296</v>
      </c>
      <c r="L2396">
        <v>0.86335942411218203</v>
      </c>
      <c r="M2396">
        <v>0.64889705882352899</v>
      </c>
      <c r="N2396">
        <v>0.99264705882352899</v>
      </c>
      <c r="O2396">
        <v>0.72757352941176501</v>
      </c>
      <c r="P2396" t="s">
        <v>73</v>
      </c>
      <c r="Q2396" t="s">
        <v>74</v>
      </c>
      <c r="R2396" t="s">
        <v>1752</v>
      </c>
      <c r="S2396" t="s">
        <v>1753</v>
      </c>
      <c r="T2396" t="s">
        <v>7638</v>
      </c>
      <c r="U2396" t="s">
        <v>7639</v>
      </c>
      <c r="V2396" t="s">
        <v>7640</v>
      </c>
      <c r="W2396" t="s">
        <v>7641</v>
      </c>
      <c r="X2396" t="s">
        <v>7640</v>
      </c>
      <c r="Y2396" t="s">
        <v>7642</v>
      </c>
      <c r="AD2396" t="s">
        <v>410</v>
      </c>
      <c r="AE2396" t="s">
        <v>563</v>
      </c>
      <c r="AF2396" t="s">
        <v>7643</v>
      </c>
    </row>
    <row r="2397" spans="1:32" hidden="1" x14ac:dyDescent="0.35">
      <c r="A2397">
        <v>3705</v>
      </c>
      <c r="B2397" t="s">
        <v>7637</v>
      </c>
      <c r="C2397" t="s">
        <v>72</v>
      </c>
      <c r="D2397" t="s">
        <v>60</v>
      </c>
      <c r="E2397">
        <v>725</v>
      </c>
      <c r="F2397">
        <v>5</v>
      </c>
      <c r="G2397">
        <v>5</v>
      </c>
      <c r="H2397">
        <v>1</v>
      </c>
      <c r="I2397">
        <v>1</v>
      </c>
      <c r="J2397">
        <v>0.80073461891643705</v>
      </c>
      <c r="K2397">
        <v>0.93661101180804296</v>
      </c>
      <c r="L2397">
        <v>0.86335942411218203</v>
      </c>
      <c r="M2397">
        <v>0.64889705882352899</v>
      </c>
      <c r="N2397">
        <v>0.99264705882352899</v>
      </c>
      <c r="O2397">
        <v>0.72757352941176501</v>
      </c>
      <c r="P2397" t="s">
        <v>73</v>
      </c>
      <c r="Q2397" t="s">
        <v>74</v>
      </c>
      <c r="R2397" t="s">
        <v>1752</v>
      </c>
      <c r="S2397" t="s">
        <v>1753</v>
      </c>
      <c r="T2397" t="s">
        <v>7638</v>
      </c>
      <c r="U2397" t="s">
        <v>7639</v>
      </c>
      <c r="V2397" t="s">
        <v>7640</v>
      </c>
      <c r="W2397" t="s">
        <v>7641</v>
      </c>
      <c r="X2397" t="s">
        <v>7640</v>
      </c>
      <c r="Y2397" t="s">
        <v>7642</v>
      </c>
      <c r="AD2397" t="s">
        <v>410</v>
      </c>
      <c r="AE2397" t="s">
        <v>563</v>
      </c>
      <c r="AF2397" t="s">
        <v>7644</v>
      </c>
    </row>
    <row r="2398" spans="1:32" hidden="1" x14ac:dyDescent="0.35">
      <c r="A2398">
        <v>3706</v>
      </c>
      <c r="B2398" t="s">
        <v>7637</v>
      </c>
      <c r="C2398" t="s">
        <v>72</v>
      </c>
      <c r="D2398" t="s">
        <v>62</v>
      </c>
      <c r="E2398">
        <v>756</v>
      </c>
      <c r="F2398">
        <v>5</v>
      </c>
      <c r="G2398">
        <v>5</v>
      </c>
      <c r="H2398">
        <v>1</v>
      </c>
      <c r="I2398">
        <v>1</v>
      </c>
      <c r="J2398">
        <v>0.80073461891643705</v>
      </c>
      <c r="K2398">
        <v>0.93661101180804296</v>
      </c>
      <c r="L2398">
        <v>0.86335942411218203</v>
      </c>
      <c r="M2398">
        <v>0.64889705882352899</v>
      </c>
      <c r="N2398">
        <v>0.99264705882352899</v>
      </c>
      <c r="O2398">
        <v>0.72757352941176501</v>
      </c>
      <c r="P2398" t="s">
        <v>73</v>
      </c>
      <c r="Q2398" t="s">
        <v>74</v>
      </c>
      <c r="R2398" t="s">
        <v>1752</v>
      </c>
      <c r="S2398" t="s">
        <v>1753</v>
      </c>
      <c r="T2398" t="s">
        <v>7638</v>
      </c>
      <c r="U2398" t="s">
        <v>7639</v>
      </c>
      <c r="V2398" t="s">
        <v>7640</v>
      </c>
      <c r="W2398" t="s">
        <v>7641</v>
      </c>
      <c r="X2398" t="s">
        <v>7640</v>
      </c>
      <c r="Y2398" t="s">
        <v>7642</v>
      </c>
      <c r="AD2398" t="s">
        <v>410</v>
      </c>
      <c r="AE2398" t="s">
        <v>563</v>
      </c>
      <c r="AF2398" t="s">
        <v>7645</v>
      </c>
    </row>
    <row r="2399" spans="1:32" hidden="1" x14ac:dyDescent="0.35">
      <c r="A2399">
        <v>3707</v>
      </c>
      <c r="B2399" t="s">
        <v>7637</v>
      </c>
      <c r="C2399" t="s">
        <v>72</v>
      </c>
      <c r="D2399" t="s">
        <v>34</v>
      </c>
      <c r="E2399">
        <v>414</v>
      </c>
      <c r="F2399">
        <v>5</v>
      </c>
      <c r="G2399">
        <v>5</v>
      </c>
      <c r="H2399">
        <v>1</v>
      </c>
      <c r="I2399">
        <v>1</v>
      </c>
      <c r="J2399">
        <v>0.80073461891643705</v>
      </c>
      <c r="K2399">
        <v>0.93661101180804296</v>
      </c>
      <c r="L2399">
        <v>0.86335942411218203</v>
      </c>
      <c r="M2399">
        <v>0.64889705882352899</v>
      </c>
      <c r="N2399">
        <v>0.99264705882352899</v>
      </c>
      <c r="O2399">
        <v>0.72757352941176501</v>
      </c>
      <c r="P2399" t="s">
        <v>73</v>
      </c>
      <c r="Q2399" t="s">
        <v>74</v>
      </c>
      <c r="R2399" t="s">
        <v>1752</v>
      </c>
      <c r="S2399" t="s">
        <v>1753</v>
      </c>
      <c r="T2399" t="s">
        <v>7638</v>
      </c>
      <c r="U2399" t="s">
        <v>7639</v>
      </c>
      <c r="V2399" t="s">
        <v>7640</v>
      </c>
      <c r="W2399" t="s">
        <v>7641</v>
      </c>
      <c r="X2399" t="s">
        <v>7640</v>
      </c>
      <c r="Y2399" t="s">
        <v>7642</v>
      </c>
      <c r="AD2399" t="s">
        <v>410</v>
      </c>
      <c r="AE2399" t="s">
        <v>563</v>
      </c>
      <c r="AF2399" t="s">
        <v>7646</v>
      </c>
    </row>
    <row r="2400" spans="1:32" hidden="1" x14ac:dyDescent="0.35">
      <c r="A2400">
        <v>3708</v>
      </c>
      <c r="B2400" t="s">
        <v>7637</v>
      </c>
      <c r="C2400" t="s">
        <v>72</v>
      </c>
      <c r="D2400" t="s">
        <v>45</v>
      </c>
      <c r="E2400">
        <v>1676</v>
      </c>
      <c r="F2400">
        <v>5</v>
      </c>
      <c r="G2400">
        <v>5</v>
      </c>
      <c r="H2400">
        <v>1</v>
      </c>
      <c r="I2400">
        <v>1</v>
      </c>
      <c r="J2400">
        <v>0.80073461891643705</v>
      </c>
      <c r="K2400">
        <v>0.93661101180804296</v>
      </c>
      <c r="L2400">
        <v>0.86335942411218203</v>
      </c>
      <c r="M2400">
        <v>0.64889705882352899</v>
      </c>
      <c r="N2400">
        <v>0.99264705882352899</v>
      </c>
      <c r="O2400">
        <v>0.72757352941176501</v>
      </c>
      <c r="P2400" t="s">
        <v>73</v>
      </c>
      <c r="Q2400" t="s">
        <v>74</v>
      </c>
      <c r="R2400" t="s">
        <v>1752</v>
      </c>
      <c r="S2400" t="s">
        <v>1753</v>
      </c>
      <c r="T2400" t="s">
        <v>7638</v>
      </c>
      <c r="U2400" t="s">
        <v>7639</v>
      </c>
      <c r="V2400" t="s">
        <v>7640</v>
      </c>
      <c r="W2400" t="s">
        <v>7641</v>
      </c>
      <c r="X2400" t="s">
        <v>7640</v>
      </c>
      <c r="Y2400" t="s">
        <v>7642</v>
      </c>
      <c r="AD2400" t="s">
        <v>410</v>
      </c>
      <c r="AE2400" t="s">
        <v>563</v>
      </c>
      <c r="AF2400" t="s">
        <v>7647</v>
      </c>
    </row>
    <row r="2401" spans="1:32" hidden="1" x14ac:dyDescent="0.35">
      <c r="A2401">
        <v>1324</v>
      </c>
      <c r="B2401" t="s">
        <v>2741</v>
      </c>
      <c r="C2401" t="s">
        <v>72</v>
      </c>
      <c r="D2401" t="s">
        <v>58</v>
      </c>
      <c r="E2401">
        <v>1789</v>
      </c>
      <c r="F2401">
        <v>5</v>
      </c>
      <c r="G2401">
        <v>5</v>
      </c>
      <c r="H2401">
        <v>1</v>
      </c>
      <c r="I2401">
        <v>1</v>
      </c>
      <c r="J2401">
        <v>0.81689731122470199</v>
      </c>
      <c r="K2401">
        <v>0.958512099003202</v>
      </c>
      <c r="L2401">
        <v>0.88205678300595303</v>
      </c>
      <c r="M2401">
        <v>0.65791044776119401</v>
      </c>
      <c r="N2401">
        <v>1</v>
      </c>
      <c r="O2401">
        <v>0.74280597014925398</v>
      </c>
      <c r="P2401" t="s">
        <v>2742</v>
      </c>
      <c r="Q2401" t="s">
        <v>2743</v>
      </c>
      <c r="R2401" t="s">
        <v>2744</v>
      </c>
      <c r="S2401" t="s">
        <v>2745</v>
      </c>
      <c r="T2401" t="s">
        <v>2746</v>
      </c>
      <c r="U2401" t="s">
        <v>2747</v>
      </c>
      <c r="V2401" t="s">
        <v>2748</v>
      </c>
      <c r="W2401" t="s">
        <v>2749</v>
      </c>
      <c r="X2401" t="s">
        <v>2748</v>
      </c>
      <c r="Y2401" t="s">
        <v>2750</v>
      </c>
      <c r="Z2401" t="s">
        <v>144</v>
      </c>
      <c r="AA2401" t="s">
        <v>145</v>
      </c>
      <c r="AB2401" t="s">
        <v>144</v>
      </c>
      <c r="AC2401" t="s">
        <v>146</v>
      </c>
      <c r="AD2401" t="s">
        <v>2751</v>
      </c>
      <c r="AE2401" t="s">
        <v>2752</v>
      </c>
      <c r="AF2401" t="s">
        <v>2753</v>
      </c>
    </row>
    <row r="2402" spans="1:32" hidden="1" x14ac:dyDescent="0.35">
      <c r="A2402">
        <v>1325</v>
      </c>
      <c r="B2402" t="s">
        <v>2741</v>
      </c>
      <c r="C2402" t="s">
        <v>72</v>
      </c>
      <c r="D2402" t="s">
        <v>60</v>
      </c>
      <c r="E2402">
        <v>2419</v>
      </c>
      <c r="F2402">
        <v>5</v>
      </c>
      <c r="G2402">
        <v>5</v>
      </c>
      <c r="H2402">
        <v>1</v>
      </c>
      <c r="I2402">
        <v>1</v>
      </c>
      <c r="J2402">
        <v>0.81689731122470199</v>
      </c>
      <c r="K2402">
        <v>0.958512099003202</v>
      </c>
      <c r="L2402">
        <v>0.88205678300595303</v>
      </c>
      <c r="M2402">
        <v>0.65791044776119401</v>
      </c>
      <c r="N2402">
        <v>1</v>
      </c>
      <c r="O2402">
        <v>0.74280597014925398</v>
      </c>
      <c r="P2402" t="s">
        <v>2742</v>
      </c>
      <c r="Q2402" t="s">
        <v>2743</v>
      </c>
      <c r="R2402" t="s">
        <v>2744</v>
      </c>
      <c r="S2402" t="s">
        <v>2745</v>
      </c>
      <c r="T2402" t="s">
        <v>2746</v>
      </c>
      <c r="U2402" t="s">
        <v>2747</v>
      </c>
      <c r="V2402" t="s">
        <v>2748</v>
      </c>
      <c r="W2402" t="s">
        <v>2749</v>
      </c>
      <c r="X2402" t="s">
        <v>2748</v>
      </c>
      <c r="Y2402" t="s">
        <v>2750</v>
      </c>
      <c r="Z2402" t="s">
        <v>144</v>
      </c>
      <c r="AA2402" t="s">
        <v>145</v>
      </c>
      <c r="AB2402" t="s">
        <v>144</v>
      </c>
      <c r="AC2402" t="s">
        <v>146</v>
      </c>
      <c r="AD2402" t="s">
        <v>2751</v>
      </c>
      <c r="AE2402" t="s">
        <v>2752</v>
      </c>
      <c r="AF2402" t="s">
        <v>2754</v>
      </c>
    </row>
    <row r="2403" spans="1:32" hidden="1" x14ac:dyDescent="0.35">
      <c r="A2403">
        <v>1326</v>
      </c>
      <c r="B2403" t="s">
        <v>2741</v>
      </c>
      <c r="C2403" t="s">
        <v>72</v>
      </c>
      <c r="D2403" t="s">
        <v>62</v>
      </c>
      <c r="E2403">
        <v>2446</v>
      </c>
      <c r="F2403">
        <v>5</v>
      </c>
      <c r="G2403">
        <v>5</v>
      </c>
      <c r="H2403">
        <v>1</v>
      </c>
      <c r="I2403">
        <v>1</v>
      </c>
      <c r="J2403">
        <v>0.81689731122470199</v>
      </c>
      <c r="K2403">
        <v>0.958512099003202</v>
      </c>
      <c r="L2403">
        <v>0.88205678300595303</v>
      </c>
      <c r="M2403">
        <v>0.65791044776119401</v>
      </c>
      <c r="N2403">
        <v>1</v>
      </c>
      <c r="O2403">
        <v>0.74280597014925398</v>
      </c>
      <c r="P2403" t="s">
        <v>2742</v>
      </c>
      <c r="Q2403" t="s">
        <v>2743</v>
      </c>
      <c r="R2403" t="s">
        <v>2744</v>
      </c>
      <c r="S2403" t="s">
        <v>2745</v>
      </c>
      <c r="T2403" t="s">
        <v>2746</v>
      </c>
      <c r="U2403" t="s">
        <v>2747</v>
      </c>
      <c r="V2403" t="s">
        <v>2748</v>
      </c>
      <c r="W2403" t="s">
        <v>2749</v>
      </c>
      <c r="X2403" t="s">
        <v>2748</v>
      </c>
      <c r="Y2403" t="s">
        <v>2750</v>
      </c>
      <c r="Z2403" t="s">
        <v>144</v>
      </c>
      <c r="AA2403" t="s">
        <v>145</v>
      </c>
      <c r="AB2403" t="s">
        <v>144</v>
      </c>
      <c r="AC2403" t="s">
        <v>146</v>
      </c>
      <c r="AD2403" t="s">
        <v>2751</v>
      </c>
      <c r="AE2403" t="s">
        <v>2752</v>
      </c>
      <c r="AF2403" t="s">
        <v>2754</v>
      </c>
    </row>
    <row r="2404" spans="1:32" hidden="1" x14ac:dyDescent="0.35">
      <c r="A2404">
        <v>1327</v>
      </c>
      <c r="B2404" t="s">
        <v>2741</v>
      </c>
      <c r="C2404" t="s">
        <v>72</v>
      </c>
      <c r="D2404" t="s">
        <v>34</v>
      </c>
      <c r="E2404">
        <v>1310</v>
      </c>
      <c r="F2404">
        <v>5</v>
      </c>
      <c r="G2404">
        <v>5</v>
      </c>
      <c r="H2404">
        <v>1</v>
      </c>
      <c r="I2404">
        <v>1</v>
      </c>
      <c r="J2404">
        <v>0.81689731122470199</v>
      </c>
      <c r="K2404">
        <v>0.958512099003202</v>
      </c>
      <c r="L2404">
        <v>0.88205678300595303</v>
      </c>
      <c r="M2404">
        <v>0.65791044776119401</v>
      </c>
      <c r="N2404">
        <v>1</v>
      </c>
      <c r="O2404">
        <v>0.74280597014925398</v>
      </c>
      <c r="P2404" t="s">
        <v>2742</v>
      </c>
      <c r="Q2404" t="s">
        <v>2743</v>
      </c>
      <c r="R2404" t="s">
        <v>2744</v>
      </c>
      <c r="S2404" t="s">
        <v>2745</v>
      </c>
      <c r="T2404" t="s">
        <v>2746</v>
      </c>
      <c r="U2404" t="s">
        <v>2747</v>
      </c>
      <c r="V2404" t="s">
        <v>2748</v>
      </c>
      <c r="W2404" t="s">
        <v>2749</v>
      </c>
      <c r="X2404" t="s">
        <v>2748</v>
      </c>
      <c r="Y2404" t="s">
        <v>2750</v>
      </c>
      <c r="Z2404" t="s">
        <v>144</v>
      </c>
      <c r="AA2404" t="s">
        <v>145</v>
      </c>
      <c r="AB2404" t="s">
        <v>144</v>
      </c>
      <c r="AC2404" t="s">
        <v>146</v>
      </c>
      <c r="AD2404" t="s">
        <v>2751</v>
      </c>
      <c r="AE2404" t="s">
        <v>2752</v>
      </c>
      <c r="AF2404" t="s">
        <v>2755</v>
      </c>
    </row>
    <row r="2405" spans="1:32" hidden="1" x14ac:dyDescent="0.35">
      <c r="A2405">
        <v>1328</v>
      </c>
      <c r="B2405" t="s">
        <v>2741</v>
      </c>
      <c r="C2405" t="s">
        <v>72</v>
      </c>
      <c r="D2405" t="s">
        <v>45</v>
      </c>
      <c r="E2405">
        <v>62</v>
      </c>
      <c r="F2405">
        <v>5</v>
      </c>
      <c r="G2405">
        <v>5</v>
      </c>
      <c r="H2405">
        <v>1</v>
      </c>
      <c r="I2405">
        <v>1</v>
      </c>
      <c r="J2405">
        <v>0.81689731122470199</v>
      </c>
      <c r="K2405">
        <v>0.958512099003202</v>
      </c>
      <c r="L2405">
        <v>0.88205678300595303</v>
      </c>
      <c r="M2405">
        <v>0.65791044776119401</v>
      </c>
      <c r="N2405">
        <v>1</v>
      </c>
      <c r="O2405">
        <v>0.74280597014925398</v>
      </c>
      <c r="P2405" t="s">
        <v>2742</v>
      </c>
      <c r="Q2405" t="s">
        <v>2743</v>
      </c>
      <c r="R2405" t="s">
        <v>2744</v>
      </c>
      <c r="S2405" t="s">
        <v>2745</v>
      </c>
      <c r="T2405" t="s">
        <v>2746</v>
      </c>
      <c r="U2405" t="s">
        <v>2747</v>
      </c>
      <c r="V2405" t="s">
        <v>2748</v>
      </c>
      <c r="W2405" t="s">
        <v>2749</v>
      </c>
      <c r="X2405" t="s">
        <v>2748</v>
      </c>
      <c r="Y2405" t="s">
        <v>2750</v>
      </c>
      <c r="Z2405" t="s">
        <v>144</v>
      </c>
      <c r="AA2405" t="s">
        <v>145</v>
      </c>
      <c r="AB2405" t="s">
        <v>144</v>
      </c>
      <c r="AC2405" t="s">
        <v>146</v>
      </c>
      <c r="AD2405" t="s">
        <v>2751</v>
      </c>
      <c r="AE2405" t="s">
        <v>2752</v>
      </c>
      <c r="AF2405" t="s">
        <v>2756</v>
      </c>
    </row>
    <row r="2406" spans="1:32" hidden="1" x14ac:dyDescent="0.35">
      <c r="A2406">
        <v>126</v>
      </c>
      <c r="B2406" t="s">
        <v>201</v>
      </c>
      <c r="C2406" t="s">
        <v>72</v>
      </c>
      <c r="D2406" t="s">
        <v>60</v>
      </c>
      <c r="E2406">
        <v>1200</v>
      </c>
      <c r="F2406">
        <v>5</v>
      </c>
      <c r="G2406">
        <v>9</v>
      </c>
      <c r="H2406">
        <v>2</v>
      </c>
      <c r="I2406">
        <v>0</v>
      </c>
      <c r="J2406">
        <v>0.654994471065241</v>
      </c>
      <c r="K2406">
        <v>0.66860895156984401</v>
      </c>
      <c r="L2406">
        <v>0.66173169258072195</v>
      </c>
      <c r="M2406">
        <v>8.9385474860335198E-2</v>
      </c>
      <c r="N2406">
        <v>0.99860335195530703</v>
      </c>
      <c r="O2406">
        <v>0.54360645561762899</v>
      </c>
      <c r="P2406" t="s">
        <v>202</v>
      </c>
      <c r="Q2406" t="s">
        <v>203</v>
      </c>
      <c r="R2406" t="s">
        <v>213</v>
      </c>
      <c r="S2406" t="s">
        <v>214</v>
      </c>
      <c r="T2406" t="s">
        <v>215</v>
      </c>
      <c r="U2406" t="s">
        <v>216</v>
      </c>
      <c r="V2406" t="s">
        <v>217</v>
      </c>
      <c r="W2406" t="s">
        <v>218</v>
      </c>
      <c r="AD2406" t="s">
        <v>219</v>
      </c>
      <c r="AE2406" t="s">
        <v>220</v>
      </c>
      <c r="AF2406" t="s">
        <v>221</v>
      </c>
    </row>
    <row r="2407" spans="1:32" hidden="1" x14ac:dyDescent="0.35">
      <c r="A2407">
        <v>128</v>
      </c>
      <c r="B2407" t="s">
        <v>201</v>
      </c>
      <c r="C2407" t="s">
        <v>72</v>
      </c>
      <c r="D2407" t="s">
        <v>62</v>
      </c>
      <c r="E2407">
        <v>1237</v>
      </c>
      <c r="F2407">
        <v>5</v>
      </c>
      <c r="G2407">
        <v>9</v>
      </c>
      <c r="H2407">
        <v>2</v>
      </c>
      <c r="I2407">
        <v>0</v>
      </c>
      <c r="J2407">
        <v>0.654994471065241</v>
      </c>
      <c r="K2407">
        <v>0.66860895156984401</v>
      </c>
      <c r="L2407">
        <v>0.66173169258072195</v>
      </c>
      <c r="M2407">
        <v>8.9385474860335198E-2</v>
      </c>
      <c r="N2407">
        <v>0.99860335195530703</v>
      </c>
      <c r="O2407">
        <v>0.54360645561762899</v>
      </c>
      <c r="P2407" t="s">
        <v>202</v>
      </c>
      <c r="Q2407" t="s">
        <v>203</v>
      </c>
      <c r="R2407" t="s">
        <v>213</v>
      </c>
      <c r="S2407" t="s">
        <v>214</v>
      </c>
      <c r="T2407" t="s">
        <v>215</v>
      </c>
      <c r="U2407" t="s">
        <v>216</v>
      </c>
      <c r="V2407" t="s">
        <v>217</v>
      </c>
      <c r="W2407" t="s">
        <v>218</v>
      </c>
      <c r="AD2407" t="s">
        <v>219</v>
      </c>
      <c r="AE2407" t="s">
        <v>220</v>
      </c>
      <c r="AF2407" t="s">
        <v>221</v>
      </c>
    </row>
    <row r="2408" spans="1:32" hidden="1" x14ac:dyDescent="0.35">
      <c r="A2408">
        <v>130</v>
      </c>
      <c r="B2408" t="s">
        <v>201</v>
      </c>
      <c r="C2408" t="s">
        <v>72</v>
      </c>
      <c r="D2408" t="s">
        <v>34</v>
      </c>
      <c r="E2408">
        <v>1662</v>
      </c>
      <c r="F2408">
        <v>5</v>
      </c>
      <c r="G2408">
        <v>9</v>
      </c>
      <c r="H2408">
        <v>2</v>
      </c>
      <c r="I2408">
        <v>0</v>
      </c>
      <c r="J2408">
        <v>0.654994471065241</v>
      </c>
      <c r="K2408">
        <v>0.66860895156984401</v>
      </c>
      <c r="L2408">
        <v>0.66173169258072195</v>
      </c>
      <c r="M2408">
        <v>8.9385474860335198E-2</v>
      </c>
      <c r="N2408">
        <v>0.99860335195530703</v>
      </c>
      <c r="O2408">
        <v>0.54360645561762899</v>
      </c>
      <c r="P2408" t="s">
        <v>202</v>
      </c>
      <c r="Q2408" t="s">
        <v>203</v>
      </c>
      <c r="R2408" t="s">
        <v>213</v>
      </c>
      <c r="S2408" t="s">
        <v>214</v>
      </c>
      <c r="T2408" t="s">
        <v>215</v>
      </c>
      <c r="U2408" t="s">
        <v>216</v>
      </c>
      <c r="V2408" t="s">
        <v>217</v>
      </c>
      <c r="W2408" t="s">
        <v>218</v>
      </c>
      <c r="AD2408" t="s">
        <v>219</v>
      </c>
      <c r="AE2408" t="s">
        <v>220</v>
      </c>
      <c r="AF2408" t="s">
        <v>229</v>
      </c>
    </row>
    <row r="2409" spans="1:32" hidden="1" x14ac:dyDescent="0.35">
      <c r="A2409">
        <v>132</v>
      </c>
      <c r="B2409" t="s">
        <v>201</v>
      </c>
      <c r="C2409" t="s">
        <v>72</v>
      </c>
      <c r="D2409" t="s">
        <v>45</v>
      </c>
      <c r="E2409">
        <v>1215</v>
      </c>
      <c r="F2409">
        <v>5</v>
      </c>
      <c r="G2409">
        <v>9</v>
      </c>
      <c r="H2409">
        <v>2</v>
      </c>
      <c r="I2409">
        <v>0</v>
      </c>
      <c r="J2409">
        <v>0.654994471065241</v>
      </c>
      <c r="K2409">
        <v>0.66860895156984401</v>
      </c>
      <c r="L2409">
        <v>0.66173169258072195</v>
      </c>
      <c r="M2409">
        <v>8.9385474860335198E-2</v>
      </c>
      <c r="N2409">
        <v>0.99860335195530703</v>
      </c>
      <c r="O2409">
        <v>0.54360645561762899</v>
      </c>
      <c r="P2409" t="s">
        <v>202</v>
      </c>
      <c r="Q2409" t="s">
        <v>203</v>
      </c>
      <c r="R2409" t="s">
        <v>213</v>
      </c>
      <c r="S2409" t="s">
        <v>214</v>
      </c>
      <c r="T2409" t="s">
        <v>215</v>
      </c>
      <c r="U2409" t="s">
        <v>216</v>
      </c>
      <c r="V2409" t="s">
        <v>217</v>
      </c>
      <c r="W2409" t="s">
        <v>218</v>
      </c>
      <c r="AD2409" t="s">
        <v>219</v>
      </c>
      <c r="AE2409" t="s">
        <v>220</v>
      </c>
      <c r="AF2409" t="s">
        <v>229</v>
      </c>
    </row>
    <row r="2410" spans="1:32" hidden="1" x14ac:dyDescent="0.35">
      <c r="A2410">
        <v>397</v>
      </c>
      <c r="B2410" t="s">
        <v>703</v>
      </c>
      <c r="C2410" t="s">
        <v>72</v>
      </c>
      <c r="D2410" t="s">
        <v>58</v>
      </c>
      <c r="E2410">
        <v>327</v>
      </c>
      <c r="F2410">
        <v>5</v>
      </c>
      <c r="G2410">
        <v>6</v>
      </c>
      <c r="H2410">
        <v>2</v>
      </c>
      <c r="I2410">
        <v>0</v>
      </c>
      <c r="J2410">
        <v>0.77619047619047599</v>
      </c>
      <c r="K2410">
        <v>0.69853095078454597</v>
      </c>
      <c r="L2410">
        <v>0.73531591988244205</v>
      </c>
      <c r="M2410">
        <v>0.13133640552995399</v>
      </c>
      <c r="N2410">
        <v>0.99769585253456206</v>
      </c>
      <c r="O2410">
        <v>0.48294930875575998</v>
      </c>
      <c r="P2410" t="s">
        <v>704</v>
      </c>
      <c r="Q2410" t="s">
        <v>705</v>
      </c>
      <c r="R2410" t="s">
        <v>213</v>
      </c>
      <c r="S2410" t="s">
        <v>214</v>
      </c>
      <c r="T2410" t="s">
        <v>706</v>
      </c>
      <c r="U2410" t="s">
        <v>707</v>
      </c>
      <c r="V2410" t="s">
        <v>708</v>
      </c>
      <c r="W2410" t="s">
        <v>709</v>
      </c>
      <c r="X2410" t="s">
        <v>708</v>
      </c>
      <c r="Y2410" t="s">
        <v>710</v>
      </c>
      <c r="Z2410" t="s">
        <v>711</v>
      </c>
      <c r="AA2410" t="s">
        <v>712</v>
      </c>
      <c r="AB2410" t="s">
        <v>711</v>
      </c>
      <c r="AC2410" t="s">
        <v>713</v>
      </c>
      <c r="AD2410" t="s">
        <v>219</v>
      </c>
      <c r="AE2410" t="s">
        <v>714</v>
      </c>
      <c r="AF2410" t="e">
        <f>-------------------------MTNVTVIGDGQLARMMQPAAIELGITLRVLAGSPDASAAQVIPEVIHGDYTSLEDLQRAAEDTDAVTFDHEHVPTEHLRALQSAGINVHPGPDALIYAQDKLLMRERLRELGAPVPEFAAINSIDDALAFSAQVGGQVCLKARRGGYDGKGVWFPEGA-DIVSLVGELLDAGTPLMAERKVDLARELSALCARSATGEVRSWPVADSVQKDGVCFTAQAPAAALPQPWISERLGSDAPAGTGLEALTELAEYIATSLGVTGVLAVELFQEKD----GRVLVNELAMRPHNTGHWTQDGSVTSQFEQHLRAVLGWPLGDTSLLAPTVVMANTLGDTQGA--------RDVMNLYPDVKVHVYGKQARPGRKVGHVNLCGTDPDAT---LQRATEAAAIVVGGINDAQGRN</f>
        <v>#NAME?</v>
      </c>
    </row>
    <row r="2411" spans="1:32" hidden="1" x14ac:dyDescent="0.35">
      <c r="A2411">
        <v>398</v>
      </c>
      <c r="B2411" t="s">
        <v>703</v>
      </c>
      <c r="C2411" t="s">
        <v>72</v>
      </c>
      <c r="D2411" t="s">
        <v>60</v>
      </c>
      <c r="E2411">
        <v>546</v>
      </c>
      <c r="F2411">
        <v>5</v>
      </c>
      <c r="G2411">
        <v>6</v>
      </c>
      <c r="H2411">
        <v>2</v>
      </c>
      <c r="I2411">
        <v>0</v>
      </c>
      <c r="J2411">
        <v>0.77619047619047599</v>
      </c>
      <c r="K2411">
        <v>0.69853095078454597</v>
      </c>
      <c r="L2411">
        <v>0.73531591988244205</v>
      </c>
      <c r="M2411">
        <v>0.13133640552995399</v>
      </c>
      <c r="N2411">
        <v>0.99769585253456206</v>
      </c>
      <c r="O2411">
        <v>0.48294930875575998</v>
      </c>
      <c r="P2411" t="s">
        <v>704</v>
      </c>
      <c r="Q2411" t="s">
        <v>705</v>
      </c>
      <c r="R2411" t="s">
        <v>213</v>
      </c>
      <c r="S2411" t="s">
        <v>214</v>
      </c>
      <c r="T2411" t="s">
        <v>706</v>
      </c>
      <c r="U2411" t="s">
        <v>707</v>
      </c>
      <c r="V2411" t="s">
        <v>708</v>
      </c>
      <c r="W2411" t="s">
        <v>709</v>
      </c>
      <c r="X2411" t="s">
        <v>708</v>
      </c>
      <c r="Y2411" t="s">
        <v>710</v>
      </c>
      <c r="Z2411" t="s">
        <v>711</v>
      </c>
      <c r="AA2411" t="s">
        <v>712</v>
      </c>
      <c r="AB2411" t="s">
        <v>711</v>
      </c>
      <c r="AC2411" t="s">
        <v>713</v>
      </c>
      <c r="AD2411" t="s">
        <v>219</v>
      </c>
      <c r="AE2411" t="s">
        <v>714</v>
      </c>
      <c r="AF2411" t="s">
        <v>715</v>
      </c>
    </row>
    <row r="2412" spans="1:32" hidden="1" x14ac:dyDescent="0.35">
      <c r="A2412">
        <v>399</v>
      </c>
      <c r="B2412" t="s">
        <v>703</v>
      </c>
      <c r="C2412" t="s">
        <v>72</v>
      </c>
      <c r="D2412" t="s">
        <v>62</v>
      </c>
      <c r="E2412">
        <v>630</v>
      </c>
      <c r="F2412">
        <v>5</v>
      </c>
      <c r="G2412">
        <v>6</v>
      </c>
      <c r="H2412">
        <v>2</v>
      </c>
      <c r="I2412">
        <v>0</v>
      </c>
      <c r="J2412">
        <v>0.77619047619047599</v>
      </c>
      <c r="K2412">
        <v>0.69853095078454597</v>
      </c>
      <c r="L2412">
        <v>0.73531591988244205</v>
      </c>
      <c r="M2412">
        <v>0.13133640552995399</v>
      </c>
      <c r="N2412">
        <v>0.99769585253456206</v>
      </c>
      <c r="O2412">
        <v>0.48294930875575998</v>
      </c>
      <c r="P2412" t="s">
        <v>704</v>
      </c>
      <c r="Q2412" t="s">
        <v>705</v>
      </c>
      <c r="R2412" t="s">
        <v>213</v>
      </c>
      <c r="S2412" t="s">
        <v>214</v>
      </c>
      <c r="T2412" t="s">
        <v>706</v>
      </c>
      <c r="U2412" t="s">
        <v>707</v>
      </c>
      <c r="V2412" t="s">
        <v>708</v>
      </c>
      <c r="W2412" t="s">
        <v>709</v>
      </c>
      <c r="X2412" t="s">
        <v>708</v>
      </c>
      <c r="Y2412" t="s">
        <v>710</v>
      </c>
      <c r="Z2412" t="s">
        <v>711</v>
      </c>
      <c r="AA2412" t="s">
        <v>712</v>
      </c>
      <c r="AB2412" t="s">
        <v>711</v>
      </c>
      <c r="AC2412" t="s">
        <v>713</v>
      </c>
      <c r="AD2412" t="s">
        <v>219</v>
      </c>
      <c r="AE2412" t="s">
        <v>714</v>
      </c>
      <c r="AF2412" t="s">
        <v>716</v>
      </c>
    </row>
    <row r="2413" spans="1:32" hidden="1" x14ac:dyDescent="0.35">
      <c r="A2413">
        <v>400</v>
      </c>
      <c r="B2413" t="s">
        <v>703</v>
      </c>
      <c r="C2413" t="s">
        <v>72</v>
      </c>
      <c r="D2413" t="s">
        <v>34</v>
      </c>
      <c r="E2413">
        <v>537</v>
      </c>
      <c r="F2413">
        <v>5</v>
      </c>
      <c r="G2413">
        <v>6</v>
      </c>
      <c r="H2413">
        <v>2</v>
      </c>
      <c r="I2413">
        <v>0</v>
      </c>
      <c r="J2413">
        <v>0.77619047619047599</v>
      </c>
      <c r="K2413">
        <v>0.69853095078454597</v>
      </c>
      <c r="L2413">
        <v>0.73531591988244205</v>
      </c>
      <c r="M2413">
        <v>0.13133640552995399</v>
      </c>
      <c r="N2413">
        <v>0.99769585253456206</v>
      </c>
      <c r="O2413">
        <v>0.48294930875575998</v>
      </c>
      <c r="P2413" t="s">
        <v>704</v>
      </c>
      <c r="Q2413" t="s">
        <v>705</v>
      </c>
      <c r="R2413" t="s">
        <v>213</v>
      </c>
      <c r="S2413" t="s">
        <v>214</v>
      </c>
      <c r="T2413" t="s">
        <v>706</v>
      </c>
      <c r="U2413" t="s">
        <v>707</v>
      </c>
      <c r="V2413" t="s">
        <v>708</v>
      </c>
      <c r="W2413" t="s">
        <v>709</v>
      </c>
      <c r="X2413" t="s">
        <v>708</v>
      </c>
      <c r="Y2413" t="s">
        <v>710</v>
      </c>
      <c r="Z2413" t="s">
        <v>711</v>
      </c>
      <c r="AA2413" t="s">
        <v>712</v>
      </c>
      <c r="AB2413" t="s">
        <v>711</v>
      </c>
      <c r="AC2413" t="s">
        <v>713</v>
      </c>
      <c r="AD2413" t="s">
        <v>219</v>
      </c>
      <c r="AE2413" t="s">
        <v>714</v>
      </c>
      <c r="AF2413" t="s">
        <v>717</v>
      </c>
    </row>
    <row r="2414" spans="1:32" hidden="1" x14ac:dyDescent="0.35">
      <c r="A2414">
        <v>401</v>
      </c>
      <c r="B2414" t="s">
        <v>703</v>
      </c>
      <c r="C2414" t="s">
        <v>72</v>
      </c>
      <c r="D2414" t="s">
        <v>45</v>
      </c>
      <c r="E2414">
        <v>1804</v>
      </c>
      <c r="F2414">
        <v>5</v>
      </c>
      <c r="G2414">
        <v>6</v>
      </c>
      <c r="H2414">
        <v>2</v>
      </c>
      <c r="I2414">
        <v>0</v>
      </c>
      <c r="J2414">
        <v>0.77619047619047599</v>
      </c>
      <c r="K2414">
        <v>0.69853095078454597</v>
      </c>
      <c r="L2414">
        <v>0.73531591988244205</v>
      </c>
      <c r="M2414">
        <v>0.13133640552995399</v>
      </c>
      <c r="N2414">
        <v>0.99769585253456206</v>
      </c>
      <c r="O2414">
        <v>0.48294930875575998</v>
      </c>
      <c r="P2414" t="s">
        <v>704</v>
      </c>
      <c r="Q2414" t="s">
        <v>705</v>
      </c>
      <c r="R2414" t="s">
        <v>213</v>
      </c>
      <c r="S2414" t="s">
        <v>214</v>
      </c>
      <c r="T2414" t="s">
        <v>706</v>
      </c>
      <c r="U2414" t="s">
        <v>707</v>
      </c>
      <c r="V2414" t="s">
        <v>708</v>
      </c>
      <c r="W2414" t="s">
        <v>709</v>
      </c>
      <c r="X2414" t="s">
        <v>708</v>
      </c>
      <c r="Y2414" t="s">
        <v>710</v>
      </c>
      <c r="Z2414" t="s">
        <v>711</v>
      </c>
      <c r="AA2414" t="s">
        <v>712</v>
      </c>
      <c r="AB2414" t="s">
        <v>711</v>
      </c>
      <c r="AC2414" t="s">
        <v>713</v>
      </c>
      <c r="AD2414" t="s">
        <v>219</v>
      </c>
      <c r="AE2414" t="s">
        <v>714</v>
      </c>
      <c r="AF2414" t="s">
        <v>718</v>
      </c>
    </row>
    <row r="2415" spans="1:32" hidden="1" x14ac:dyDescent="0.35">
      <c r="A2415">
        <v>402</v>
      </c>
      <c r="B2415" t="s">
        <v>703</v>
      </c>
      <c r="C2415" t="s">
        <v>72</v>
      </c>
      <c r="D2415" t="s">
        <v>45</v>
      </c>
      <c r="E2415">
        <v>1803</v>
      </c>
      <c r="F2415">
        <v>5</v>
      </c>
      <c r="G2415">
        <v>6</v>
      </c>
      <c r="H2415">
        <v>2</v>
      </c>
      <c r="I2415">
        <v>0</v>
      </c>
      <c r="J2415">
        <v>0.77619047619047599</v>
      </c>
      <c r="K2415">
        <v>0.69853095078454597</v>
      </c>
      <c r="L2415">
        <v>0.73531591988244205</v>
      </c>
      <c r="M2415">
        <v>0.13133640552995399</v>
      </c>
      <c r="N2415">
        <v>0.99769585253456206</v>
      </c>
      <c r="O2415">
        <v>0.48294930875575998</v>
      </c>
      <c r="P2415" t="s">
        <v>704</v>
      </c>
      <c r="Q2415" t="s">
        <v>705</v>
      </c>
      <c r="R2415" t="s">
        <v>213</v>
      </c>
      <c r="S2415" t="s">
        <v>214</v>
      </c>
      <c r="T2415" t="s">
        <v>706</v>
      </c>
      <c r="U2415" t="s">
        <v>707</v>
      </c>
      <c r="V2415" t="s">
        <v>708</v>
      </c>
      <c r="W2415" t="s">
        <v>709</v>
      </c>
      <c r="X2415" t="s">
        <v>708</v>
      </c>
      <c r="Y2415" t="s">
        <v>710</v>
      </c>
      <c r="Z2415" t="s">
        <v>711</v>
      </c>
      <c r="AA2415" t="s">
        <v>712</v>
      </c>
      <c r="AB2415" t="s">
        <v>711</v>
      </c>
      <c r="AC2415" t="s">
        <v>713</v>
      </c>
      <c r="AD2415" t="s">
        <v>219</v>
      </c>
      <c r="AE2415" t="s">
        <v>714</v>
      </c>
      <c r="AF2415" t="s">
        <v>719</v>
      </c>
    </row>
    <row r="2416" spans="1:32" hidden="1" x14ac:dyDescent="0.35">
      <c r="A2416">
        <v>444</v>
      </c>
      <c r="B2416" t="s">
        <v>811</v>
      </c>
      <c r="C2416" t="s">
        <v>72</v>
      </c>
      <c r="D2416" t="s">
        <v>58</v>
      </c>
      <c r="E2416">
        <v>446</v>
      </c>
      <c r="F2416">
        <v>5</v>
      </c>
      <c r="G2416">
        <v>5</v>
      </c>
      <c r="H2416">
        <v>1</v>
      </c>
      <c r="I2416">
        <v>1</v>
      </c>
      <c r="J2416">
        <v>0.90107081174438697</v>
      </c>
      <c r="K2416">
        <v>0.990835805004181</v>
      </c>
      <c r="L2416">
        <v>0.94382377567335696</v>
      </c>
      <c r="M2416">
        <v>0.78850102669404498</v>
      </c>
      <c r="N2416">
        <v>1</v>
      </c>
      <c r="O2416">
        <v>0.84517453798768005</v>
      </c>
      <c r="P2416" t="s">
        <v>812</v>
      </c>
      <c r="Q2416" t="s">
        <v>813</v>
      </c>
      <c r="R2416" t="s">
        <v>213</v>
      </c>
      <c r="S2416" t="s">
        <v>214</v>
      </c>
      <c r="T2416" t="s">
        <v>814</v>
      </c>
      <c r="U2416" t="s">
        <v>815</v>
      </c>
      <c r="V2416" t="s">
        <v>816</v>
      </c>
      <c r="W2416" t="s">
        <v>817</v>
      </c>
      <c r="AD2416" t="s">
        <v>166</v>
      </c>
      <c r="AE2416" t="s">
        <v>818</v>
      </c>
      <c r="AF2416" t="s">
        <v>819</v>
      </c>
    </row>
    <row r="2417" spans="1:32" hidden="1" x14ac:dyDescent="0.35">
      <c r="A2417">
        <v>445</v>
      </c>
      <c r="B2417" t="s">
        <v>811</v>
      </c>
      <c r="C2417" t="s">
        <v>72</v>
      </c>
      <c r="D2417" t="s">
        <v>60</v>
      </c>
      <c r="E2417">
        <v>716</v>
      </c>
      <c r="F2417">
        <v>5</v>
      </c>
      <c r="G2417">
        <v>5</v>
      </c>
      <c r="H2417">
        <v>1</v>
      </c>
      <c r="I2417">
        <v>1</v>
      </c>
      <c r="J2417">
        <v>0.90107081174438697</v>
      </c>
      <c r="K2417">
        <v>0.990835805004181</v>
      </c>
      <c r="L2417">
        <v>0.94382377567335696</v>
      </c>
      <c r="M2417">
        <v>0.78850102669404498</v>
      </c>
      <c r="N2417">
        <v>1</v>
      </c>
      <c r="O2417">
        <v>0.84517453798768005</v>
      </c>
      <c r="P2417" t="s">
        <v>812</v>
      </c>
      <c r="Q2417" t="s">
        <v>813</v>
      </c>
      <c r="R2417" t="s">
        <v>213</v>
      </c>
      <c r="S2417" t="s">
        <v>214</v>
      </c>
      <c r="T2417" t="s">
        <v>814</v>
      </c>
      <c r="U2417" t="s">
        <v>815</v>
      </c>
      <c r="V2417" t="s">
        <v>816</v>
      </c>
      <c r="W2417" t="s">
        <v>817</v>
      </c>
      <c r="AD2417" t="s">
        <v>166</v>
      </c>
      <c r="AE2417" t="s">
        <v>818</v>
      </c>
      <c r="AF2417" t="s">
        <v>820</v>
      </c>
    </row>
    <row r="2418" spans="1:32" hidden="1" x14ac:dyDescent="0.35">
      <c r="A2418">
        <v>446</v>
      </c>
      <c r="B2418" t="s">
        <v>811</v>
      </c>
      <c r="C2418" t="s">
        <v>72</v>
      </c>
      <c r="D2418" t="s">
        <v>62</v>
      </c>
      <c r="E2418">
        <v>747</v>
      </c>
      <c r="F2418">
        <v>5</v>
      </c>
      <c r="G2418">
        <v>5</v>
      </c>
      <c r="H2418">
        <v>1</v>
      </c>
      <c r="I2418">
        <v>1</v>
      </c>
      <c r="J2418">
        <v>0.90107081174438697</v>
      </c>
      <c r="K2418">
        <v>0.990835805004181</v>
      </c>
      <c r="L2418">
        <v>0.94382377567335696</v>
      </c>
      <c r="M2418">
        <v>0.78850102669404498</v>
      </c>
      <c r="N2418">
        <v>1</v>
      </c>
      <c r="O2418">
        <v>0.84517453798768005</v>
      </c>
      <c r="P2418" t="s">
        <v>812</v>
      </c>
      <c r="Q2418" t="s">
        <v>813</v>
      </c>
      <c r="R2418" t="s">
        <v>213</v>
      </c>
      <c r="S2418" t="s">
        <v>214</v>
      </c>
      <c r="T2418" t="s">
        <v>814</v>
      </c>
      <c r="U2418" t="s">
        <v>815</v>
      </c>
      <c r="V2418" t="s">
        <v>816</v>
      </c>
      <c r="W2418" t="s">
        <v>817</v>
      </c>
      <c r="AD2418" t="s">
        <v>166</v>
      </c>
      <c r="AE2418" t="s">
        <v>818</v>
      </c>
      <c r="AF2418" t="s">
        <v>820</v>
      </c>
    </row>
    <row r="2419" spans="1:32" hidden="1" x14ac:dyDescent="0.35">
      <c r="A2419">
        <v>447</v>
      </c>
      <c r="B2419" t="s">
        <v>811</v>
      </c>
      <c r="C2419" t="s">
        <v>72</v>
      </c>
      <c r="D2419" t="s">
        <v>34</v>
      </c>
      <c r="E2419">
        <v>421</v>
      </c>
      <c r="F2419">
        <v>5</v>
      </c>
      <c r="G2419">
        <v>5</v>
      </c>
      <c r="H2419">
        <v>1</v>
      </c>
      <c r="I2419">
        <v>1</v>
      </c>
      <c r="J2419">
        <v>0.90107081174438697</v>
      </c>
      <c r="K2419">
        <v>0.990835805004181</v>
      </c>
      <c r="L2419">
        <v>0.94382377567335696</v>
      </c>
      <c r="M2419">
        <v>0.78850102669404498</v>
      </c>
      <c r="N2419">
        <v>1</v>
      </c>
      <c r="O2419">
        <v>0.84517453798768005</v>
      </c>
      <c r="P2419" t="s">
        <v>812</v>
      </c>
      <c r="Q2419" t="s">
        <v>813</v>
      </c>
      <c r="R2419" t="s">
        <v>213</v>
      </c>
      <c r="S2419" t="s">
        <v>214</v>
      </c>
      <c r="T2419" t="s">
        <v>814</v>
      </c>
      <c r="U2419" t="s">
        <v>815</v>
      </c>
      <c r="V2419" t="s">
        <v>816</v>
      </c>
      <c r="W2419" t="s">
        <v>817</v>
      </c>
      <c r="AD2419" t="s">
        <v>166</v>
      </c>
      <c r="AE2419" t="s">
        <v>818</v>
      </c>
      <c r="AF2419" t="s">
        <v>821</v>
      </c>
    </row>
    <row r="2420" spans="1:32" hidden="1" x14ac:dyDescent="0.35">
      <c r="A2420">
        <v>448</v>
      </c>
      <c r="B2420" t="s">
        <v>811</v>
      </c>
      <c r="C2420" t="s">
        <v>72</v>
      </c>
      <c r="D2420" t="s">
        <v>45</v>
      </c>
      <c r="E2420">
        <v>1683</v>
      </c>
      <c r="F2420">
        <v>5</v>
      </c>
      <c r="G2420">
        <v>5</v>
      </c>
      <c r="H2420">
        <v>1</v>
      </c>
      <c r="I2420">
        <v>1</v>
      </c>
      <c r="J2420">
        <v>0.90107081174438697</v>
      </c>
      <c r="K2420">
        <v>0.990835805004181</v>
      </c>
      <c r="L2420">
        <v>0.94382377567335696</v>
      </c>
      <c r="M2420">
        <v>0.78850102669404498</v>
      </c>
      <c r="N2420">
        <v>1</v>
      </c>
      <c r="O2420">
        <v>0.84517453798768005</v>
      </c>
      <c r="P2420" t="s">
        <v>812</v>
      </c>
      <c r="Q2420" t="s">
        <v>813</v>
      </c>
      <c r="R2420" t="s">
        <v>213</v>
      </c>
      <c r="S2420" t="s">
        <v>214</v>
      </c>
      <c r="T2420" t="s">
        <v>814</v>
      </c>
      <c r="U2420" t="s">
        <v>815</v>
      </c>
      <c r="V2420" t="s">
        <v>816</v>
      </c>
      <c r="W2420" t="s">
        <v>817</v>
      </c>
      <c r="AD2420" t="s">
        <v>166</v>
      </c>
      <c r="AE2420" t="s">
        <v>818</v>
      </c>
      <c r="AF2420" t="s">
        <v>821</v>
      </c>
    </row>
    <row r="2421" spans="1:32" hidden="1" x14ac:dyDescent="0.35">
      <c r="A2421">
        <v>454</v>
      </c>
      <c r="B2421" t="s">
        <v>833</v>
      </c>
      <c r="C2421" t="s">
        <v>72</v>
      </c>
      <c r="D2421" t="s">
        <v>58</v>
      </c>
      <c r="E2421">
        <v>1596</v>
      </c>
      <c r="F2421">
        <v>5</v>
      </c>
      <c r="G2421">
        <v>5</v>
      </c>
      <c r="H2421">
        <v>1</v>
      </c>
      <c r="I2421">
        <v>1</v>
      </c>
      <c r="J2421">
        <v>0.90146498093518002</v>
      </c>
      <c r="K2421">
        <v>0.98303689006725004</v>
      </c>
      <c r="L2421">
        <v>0.94048548849852498</v>
      </c>
      <c r="M2421">
        <v>0.78402366863905304</v>
      </c>
      <c r="N2421">
        <v>1</v>
      </c>
      <c r="O2421">
        <v>0.85266272189349102</v>
      </c>
      <c r="P2421" t="s">
        <v>834</v>
      </c>
      <c r="Q2421" t="s">
        <v>835</v>
      </c>
      <c r="R2421" t="s">
        <v>213</v>
      </c>
      <c r="S2421" t="s">
        <v>214</v>
      </c>
      <c r="T2421" t="s">
        <v>836</v>
      </c>
      <c r="U2421" t="s">
        <v>837</v>
      </c>
      <c r="V2421" t="s">
        <v>838</v>
      </c>
      <c r="W2421" t="s">
        <v>839</v>
      </c>
      <c r="X2421" t="s">
        <v>838</v>
      </c>
      <c r="Y2421" t="s">
        <v>840</v>
      </c>
      <c r="Z2421" t="s">
        <v>841</v>
      </c>
      <c r="AA2421" t="s">
        <v>842</v>
      </c>
      <c r="AB2421" t="s">
        <v>841</v>
      </c>
      <c r="AC2421" t="s">
        <v>843</v>
      </c>
      <c r="AD2421" t="s">
        <v>844</v>
      </c>
      <c r="AE2421" t="s">
        <v>845</v>
      </c>
      <c r="AF2421" t="s">
        <v>846</v>
      </c>
    </row>
    <row r="2422" spans="1:32" hidden="1" x14ac:dyDescent="0.35">
      <c r="A2422">
        <v>455</v>
      </c>
      <c r="B2422" t="s">
        <v>833</v>
      </c>
      <c r="C2422" t="s">
        <v>72</v>
      </c>
      <c r="D2422" t="s">
        <v>60</v>
      </c>
      <c r="E2422">
        <v>2107</v>
      </c>
      <c r="F2422">
        <v>5</v>
      </c>
      <c r="G2422">
        <v>5</v>
      </c>
      <c r="H2422">
        <v>1</v>
      </c>
      <c r="I2422">
        <v>1</v>
      </c>
      <c r="J2422">
        <v>0.90146498093518002</v>
      </c>
      <c r="K2422">
        <v>0.98303689006725004</v>
      </c>
      <c r="L2422">
        <v>0.94048548849852498</v>
      </c>
      <c r="M2422">
        <v>0.78402366863905304</v>
      </c>
      <c r="N2422">
        <v>1</v>
      </c>
      <c r="O2422">
        <v>0.85266272189349102</v>
      </c>
      <c r="P2422" t="s">
        <v>834</v>
      </c>
      <c r="Q2422" t="s">
        <v>835</v>
      </c>
      <c r="R2422" t="s">
        <v>213</v>
      </c>
      <c r="S2422" t="s">
        <v>214</v>
      </c>
      <c r="T2422" t="s">
        <v>836</v>
      </c>
      <c r="U2422" t="s">
        <v>837</v>
      </c>
      <c r="V2422" t="s">
        <v>838</v>
      </c>
      <c r="W2422" t="s">
        <v>839</v>
      </c>
      <c r="X2422" t="s">
        <v>838</v>
      </c>
      <c r="Y2422" t="s">
        <v>840</v>
      </c>
      <c r="Z2422" t="s">
        <v>841</v>
      </c>
      <c r="AA2422" t="s">
        <v>842</v>
      </c>
      <c r="AB2422" t="s">
        <v>841</v>
      </c>
      <c r="AC2422" t="s">
        <v>843</v>
      </c>
      <c r="AD2422" t="s">
        <v>844</v>
      </c>
      <c r="AE2422" t="s">
        <v>845</v>
      </c>
      <c r="AF2422" t="s">
        <v>847</v>
      </c>
    </row>
    <row r="2423" spans="1:32" hidden="1" x14ac:dyDescent="0.35">
      <c r="A2423">
        <v>456</v>
      </c>
      <c r="B2423" t="s">
        <v>833</v>
      </c>
      <c r="C2423" t="s">
        <v>72</v>
      </c>
      <c r="D2423" t="s">
        <v>62</v>
      </c>
      <c r="E2423">
        <v>2142</v>
      </c>
      <c r="F2423">
        <v>5</v>
      </c>
      <c r="G2423">
        <v>5</v>
      </c>
      <c r="H2423">
        <v>1</v>
      </c>
      <c r="I2423">
        <v>1</v>
      </c>
      <c r="J2423">
        <v>0.90146498093518002</v>
      </c>
      <c r="K2423">
        <v>0.98303689006725004</v>
      </c>
      <c r="L2423">
        <v>0.94048548849852498</v>
      </c>
      <c r="M2423">
        <v>0.78402366863905304</v>
      </c>
      <c r="N2423">
        <v>1</v>
      </c>
      <c r="O2423">
        <v>0.85266272189349102</v>
      </c>
      <c r="P2423" t="s">
        <v>834</v>
      </c>
      <c r="Q2423" t="s">
        <v>835</v>
      </c>
      <c r="R2423" t="s">
        <v>213</v>
      </c>
      <c r="S2423" t="s">
        <v>214</v>
      </c>
      <c r="T2423" t="s">
        <v>836</v>
      </c>
      <c r="U2423" t="s">
        <v>837</v>
      </c>
      <c r="V2423" t="s">
        <v>838</v>
      </c>
      <c r="W2423" t="s">
        <v>839</v>
      </c>
      <c r="X2423" t="s">
        <v>838</v>
      </c>
      <c r="Y2423" t="s">
        <v>840</v>
      </c>
      <c r="Z2423" t="s">
        <v>841</v>
      </c>
      <c r="AA2423" t="s">
        <v>842</v>
      </c>
      <c r="AB2423" t="s">
        <v>841</v>
      </c>
      <c r="AC2423" t="s">
        <v>843</v>
      </c>
      <c r="AD2423" t="s">
        <v>844</v>
      </c>
      <c r="AE2423" t="s">
        <v>845</v>
      </c>
      <c r="AF2423" t="s">
        <v>847</v>
      </c>
    </row>
    <row r="2424" spans="1:32" hidden="1" x14ac:dyDescent="0.35">
      <c r="A2424">
        <v>457</v>
      </c>
      <c r="B2424" t="s">
        <v>833</v>
      </c>
      <c r="C2424" t="s">
        <v>72</v>
      </c>
      <c r="D2424" t="s">
        <v>34</v>
      </c>
      <c r="E2424">
        <v>2454</v>
      </c>
      <c r="F2424">
        <v>5</v>
      </c>
      <c r="G2424">
        <v>5</v>
      </c>
      <c r="H2424">
        <v>1</v>
      </c>
      <c r="I2424">
        <v>1</v>
      </c>
      <c r="J2424">
        <v>0.90146498093518002</v>
      </c>
      <c r="K2424">
        <v>0.98303689006725004</v>
      </c>
      <c r="L2424">
        <v>0.94048548849852498</v>
      </c>
      <c r="M2424">
        <v>0.78402366863905304</v>
      </c>
      <c r="N2424">
        <v>1</v>
      </c>
      <c r="O2424">
        <v>0.85266272189349102</v>
      </c>
      <c r="P2424" t="s">
        <v>834</v>
      </c>
      <c r="Q2424" t="s">
        <v>835</v>
      </c>
      <c r="R2424" t="s">
        <v>213</v>
      </c>
      <c r="S2424" t="s">
        <v>214</v>
      </c>
      <c r="T2424" t="s">
        <v>836</v>
      </c>
      <c r="U2424" t="s">
        <v>837</v>
      </c>
      <c r="V2424" t="s">
        <v>838</v>
      </c>
      <c r="W2424" t="s">
        <v>839</v>
      </c>
      <c r="X2424" t="s">
        <v>838</v>
      </c>
      <c r="Y2424" t="s">
        <v>840</v>
      </c>
      <c r="Z2424" t="s">
        <v>841</v>
      </c>
      <c r="AA2424" t="s">
        <v>842</v>
      </c>
      <c r="AB2424" t="s">
        <v>841</v>
      </c>
      <c r="AC2424" t="s">
        <v>843</v>
      </c>
      <c r="AD2424" t="s">
        <v>844</v>
      </c>
      <c r="AE2424" t="s">
        <v>845</v>
      </c>
      <c r="AF2424" t="s">
        <v>848</v>
      </c>
    </row>
    <row r="2425" spans="1:32" hidden="1" x14ac:dyDescent="0.35">
      <c r="A2425">
        <v>458</v>
      </c>
      <c r="B2425" t="s">
        <v>833</v>
      </c>
      <c r="C2425" t="s">
        <v>72</v>
      </c>
      <c r="D2425" t="s">
        <v>45</v>
      </c>
      <c r="E2425">
        <v>447</v>
      </c>
      <c r="F2425">
        <v>5</v>
      </c>
      <c r="G2425">
        <v>5</v>
      </c>
      <c r="H2425">
        <v>1</v>
      </c>
      <c r="I2425">
        <v>1</v>
      </c>
      <c r="J2425">
        <v>0.90146498093518002</v>
      </c>
      <c r="K2425">
        <v>0.98303689006725004</v>
      </c>
      <c r="L2425">
        <v>0.94048548849852498</v>
      </c>
      <c r="M2425">
        <v>0.78402366863905304</v>
      </c>
      <c r="N2425">
        <v>1</v>
      </c>
      <c r="O2425">
        <v>0.85266272189349102</v>
      </c>
      <c r="P2425" t="s">
        <v>834</v>
      </c>
      <c r="Q2425" t="s">
        <v>835</v>
      </c>
      <c r="R2425" t="s">
        <v>213</v>
      </c>
      <c r="S2425" t="s">
        <v>214</v>
      </c>
      <c r="T2425" t="s">
        <v>836</v>
      </c>
      <c r="U2425" t="s">
        <v>837</v>
      </c>
      <c r="V2425" t="s">
        <v>838</v>
      </c>
      <c r="W2425" t="s">
        <v>839</v>
      </c>
      <c r="X2425" t="s">
        <v>838</v>
      </c>
      <c r="Y2425" t="s">
        <v>840</v>
      </c>
      <c r="Z2425" t="s">
        <v>841</v>
      </c>
      <c r="AA2425" t="s">
        <v>842</v>
      </c>
      <c r="AB2425" t="s">
        <v>841</v>
      </c>
      <c r="AC2425" t="s">
        <v>843</v>
      </c>
      <c r="AD2425" t="s">
        <v>844</v>
      </c>
      <c r="AE2425" t="s">
        <v>845</v>
      </c>
      <c r="AF2425" t="s">
        <v>849</v>
      </c>
    </row>
    <row r="2426" spans="1:32" hidden="1" x14ac:dyDescent="0.35">
      <c r="A2426">
        <v>1009</v>
      </c>
      <c r="B2426" t="s">
        <v>2096</v>
      </c>
      <c r="C2426" t="s">
        <v>72</v>
      </c>
      <c r="D2426" t="s">
        <v>58</v>
      </c>
      <c r="E2426">
        <v>644</v>
      </c>
      <c r="F2426">
        <v>5</v>
      </c>
      <c r="G2426">
        <v>5</v>
      </c>
      <c r="H2426">
        <v>1</v>
      </c>
      <c r="I2426">
        <v>1</v>
      </c>
      <c r="J2426">
        <v>0.92335280254124397</v>
      </c>
      <c r="K2426">
        <v>0.997852760736198</v>
      </c>
      <c r="L2426">
        <v>0.95915831263521101</v>
      </c>
      <c r="M2426">
        <v>0.84355828220858897</v>
      </c>
      <c r="N2426">
        <v>1</v>
      </c>
      <c r="O2426">
        <v>0.89509202453987702</v>
      </c>
      <c r="P2426" t="s">
        <v>2097</v>
      </c>
      <c r="Q2426" t="s">
        <v>2098</v>
      </c>
      <c r="R2426" t="s">
        <v>213</v>
      </c>
      <c r="S2426" t="s">
        <v>214</v>
      </c>
      <c r="T2426" t="s">
        <v>2099</v>
      </c>
      <c r="U2426" t="s">
        <v>2100</v>
      </c>
      <c r="V2426" t="s">
        <v>2101</v>
      </c>
      <c r="W2426" t="s">
        <v>2102</v>
      </c>
      <c r="X2426" t="s">
        <v>2101</v>
      </c>
      <c r="Y2426" t="s">
        <v>2103</v>
      </c>
      <c r="Z2426" t="s">
        <v>2104</v>
      </c>
      <c r="AA2426" t="s">
        <v>2105</v>
      </c>
      <c r="AB2426" t="s">
        <v>2104</v>
      </c>
      <c r="AC2426" t="s">
        <v>2106</v>
      </c>
      <c r="AD2426" t="s">
        <v>245</v>
      </c>
      <c r="AE2426" t="s">
        <v>2107</v>
      </c>
      <c r="AF2426" t="s">
        <v>2108</v>
      </c>
    </row>
    <row r="2427" spans="1:32" hidden="1" x14ac:dyDescent="0.35">
      <c r="A2427">
        <v>1010</v>
      </c>
      <c r="B2427" t="s">
        <v>2096</v>
      </c>
      <c r="C2427" t="s">
        <v>72</v>
      </c>
      <c r="D2427" t="s">
        <v>60</v>
      </c>
      <c r="E2427">
        <v>830</v>
      </c>
      <c r="F2427">
        <v>5</v>
      </c>
      <c r="G2427">
        <v>5</v>
      </c>
      <c r="H2427">
        <v>1</v>
      </c>
      <c r="I2427">
        <v>1</v>
      </c>
      <c r="J2427">
        <v>0.92335280254124397</v>
      </c>
      <c r="K2427">
        <v>0.997852760736198</v>
      </c>
      <c r="L2427">
        <v>0.95915831263521101</v>
      </c>
      <c r="M2427">
        <v>0.84355828220858897</v>
      </c>
      <c r="N2427">
        <v>1</v>
      </c>
      <c r="O2427">
        <v>0.89509202453987702</v>
      </c>
      <c r="P2427" t="s">
        <v>2097</v>
      </c>
      <c r="Q2427" t="s">
        <v>2098</v>
      </c>
      <c r="R2427" t="s">
        <v>213</v>
      </c>
      <c r="S2427" t="s">
        <v>214</v>
      </c>
      <c r="T2427" t="s">
        <v>2099</v>
      </c>
      <c r="U2427" t="s">
        <v>2100</v>
      </c>
      <c r="V2427" t="s">
        <v>2101</v>
      </c>
      <c r="W2427" t="s">
        <v>2102</v>
      </c>
      <c r="X2427" t="s">
        <v>2101</v>
      </c>
      <c r="Y2427" t="s">
        <v>2103</v>
      </c>
      <c r="Z2427" t="s">
        <v>2104</v>
      </c>
      <c r="AA2427" t="s">
        <v>2105</v>
      </c>
      <c r="AB2427" t="s">
        <v>2104</v>
      </c>
      <c r="AC2427" t="s">
        <v>2106</v>
      </c>
      <c r="AD2427" t="s">
        <v>245</v>
      </c>
      <c r="AE2427" t="s">
        <v>2107</v>
      </c>
      <c r="AF2427" t="s">
        <v>2109</v>
      </c>
    </row>
    <row r="2428" spans="1:32" hidden="1" x14ac:dyDescent="0.35">
      <c r="A2428">
        <v>1011</v>
      </c>
      <c r="B2428" t="s">
        <v>2096</v>
      </c>
      <c r="C2428" t="s">
        <v>72</v>
      </c>
      <c r="D2428" t="s">
        <v>62</v>
      </c>
      <c r="E2428">
        <v>863</v>
      </c>
      <c r="F2428">
        <v>5</v>
      </c>
      <c r="G2428">
        <v>5</v>
      </c>
      <c r="H2428">
        <v>1</v>
      </c>
      <c r="I2428">
        <v>1</v>
      </c>
      <c r="J2428">
        <v>0.92335280254124397</v>
      </c>
      <c r="K2428">
        <v>0.997852760736198</v>
      </c>
      <c r="L2428">
        <v>0.95915831263521101</v>
      </c>
      <c r="M2428">
        <v>0.84355828220858897</v>
      </c>
      <c r="N2428">
        <v>1</v>
      </c>
      <c r="O2428">
        <v>0.89509202453987702</v>
      </c>
      <c r="P2428" t="s">
        <v>2097</v>
      </c>
      <c r="Q2428" t="s">
        <v>2098</v>
      </c>
      <c r="R2428" t="s">
        <v>213</v>
      </c>
      <c r="S2428" t="s">
        <v>214</v>
      </c>
      <c r="T2428" t="s">
        <v>2099</v>
      </c>
      <c r="U2428" t="s">
        <v>2100</v>
      </c>
      <c r="V2428" t="s">
        <v>2101</v>
      </c>
      <c r="W2428" t="s">
        <v>2102</v>
      </c>
      <c r="X2428" t="s">
        <v>2101</v>
      </c>
      <c r="Y2428" t="s">
        <v>2103</v>
      </c>
      <c r="Z2428" t="s">
        <v>2104</v>
      </c>
      <c r="AA2428" t="s">
        <v>2105</v>
      </c>
      <c r="AB2428" t="s">
        <v>2104</v>
      </c>
      <c r="AC2428" t="s">
        <v>2106</v>
      </c>
      <c r="AD2428" t="s">
        <v>245</v>
      </c>
      <c r="AE2428" t="s">
        <v>2107</v>
      </c>
      <c r="AF2428" t="s">
        <v>2109</v>
      </c>
    </row>
    <row r="2429" spans="1:32" hidden="1" x14ac:dyDescent="0.35">
      <c r="A2429">
        <v>1012</v>
      </c>
      <c r="B2429" t="s">
        <v>2096</v>
      </c>
      <c r="C2429" t="s">
        <v>72</v>
      </c>
      <c r="D2429" t="s">
        <v>34</v>
      </c>
      <c r="E2429">
        <v>318</v>
      </c>
      <c r="F2429">
        <v>5</v>
      </c>
      <c r="G2429">
        <v>5</v>
      </c>
      <c r="H2429">
        <v>1</v>
      </c>
      <c r="I2429">
        <v>1</v>
      </c>
      <c r="J2429">
        <v>0.92335280254124397</v>
      </c>
      <c r="K2429">
        <v>0.997852760736198</v>
      </c>
      <c r="L2429">
        <v>0.95915831263521101</v>
      </c>
      <c r="M2429">
        <v>0.84355828220858897</v>
      </c>
      <c r="N2429">
        <v>1</v>
      </c>
      <c r="O2429">
        <v>0.89509202453987702</v>
      </c>
      <c r="P2429" t="s">
        <v>2097</v>
      </c>
      <c r="Q2429" t="s">
        <v>2098</v>
      </c>
      <c r="R2429" t="s">
        <v>213</v>
      </c>
      <c r="S2429" t="s">
        <v>214</v>
      </c>
      <c r="T2429" t="s">
        <v>2099</v>
      </c>
      <c r="U2429" t="s">
        <v>2100</v>
      </c>
      <c r="V2429" t="s">
        <v>2101</v>
      </c>
      <c r="W2429" t="s">
        <v>2102</v>
      </c>
      <c r="X2429" t="s">
        <v>2101</v>
      </c>
      <c r="Y2429" t="s">
        <v>2103</v>
      </c>
      <c r="Z2429" t="s">
        <v>2104</v>
      </c>
      <c r="AA2429" t="s">
        <v>2105</v>
      </c>
      <c r="AB2429" t="s">
        <v>2104</v>
      </c>
      <c r="AC2429" t="s">
        <v>2106</v>
      </c>
      <c r="AD2429" t="s">
        <v>245</v>
      </c>
      <c r="AE2429" t="s">
        <v>2107</v>
      </c>
      <c r="AF2429" t="s">
        <v>2110</v>
      </c>
    </row>
    <row r="2430" spans="1:32" hidden="1" x14ac:dyDescent="0.35">
      <c r="A2430">
        <v>1013</v>
      </c>
      <c r="B2430" t="s">
        <v>2096</v>
      </c>
      <c r="C2430" t="s">
        <v>72</v>
      </c>
      <c r="D2430" t="s">
        <v>45</v>
      </c>
      <c r="E2430">
        <v>1580</v>
      </c>
      <c r="F2430">
        <v>5</v>
      </c>
      <c r="G2430">
        <v>5</v>
      </c>
      <c r="H2430">
        <v>1</v>
      </c>
      <c r="I2430">
        <v>1</v>
      </c>
      <c r="J2430">
        <v>0.92335280254124397</v>
      </c>
      <c r="K2430">
        <v>0.997852760736198</v>
      </c>
      <c r="L2430">
        <v>0.95915831263521101</v>
      </c>
      <c r="M2430">
        <v>0.84355828220858897</v>
      </c>
      <c r="N2430">
        <v>1</v>
      </c>
      <c r="O2430">
        <v>0.89509202453987702</v>
      </c>
      <c r="P2430" t="s">
        <v>2097</v>
      </c>
      <c r="Q2430" t="s">
        <v>2098</v>
      </c>
      <c r="R2430" t="s">
        <v>213</v>
      </c>
      <c r="S2430" t="s">
        <v>214</v>
      </c>
      <c r="T2430" t="s">
        <v>2099</v>
      </c>
      <c r="U2430" t="s">
        <v>2100</v>
      </c>
      <c r="V2430" t="s">
        <v>2101</v>
      </c>
      <c r="W2430" t="s">
        <v>2102</v>
      </c>
      <c r="X2430" t="s">
        <v>2101</v>
      </c>
      <c r="Y2430" t="s">
        <v>2103</v>
      </c>
      <c r="Z2430" t="s">
        <v>2104</v>
      </c>
      <c r="AA2430" t="s">
        <v>2105</v>
      </c>
      <c r="AB2430" t="s">
        <v>2104</v>
      </c>
      <c r="AC2430" t="s">
        <v>2106</v>
      </c>
      <c r="AD2430" t="s">
        <v>245</v>
      </c>
      <c r="AE2430" t="s">
        <v>2107</v>
      </c>
      <c r="AF2430" t="s">
        <v>2110</v>
      </c>
    </row>
    <row r="2431" spans="1:32" hidden="1" x14ac:dyDescent="0.35">
      <c r="A2431">
        <v>1109</v>
      </c>
      <c r="B2431" t="s">
        <v>2294</v>
      </c>
      <c r="C2431" t="s">
        <v>72</v>
      </c>
      <c r="D2431" t="s">
        <v>58</v>
      </c>
      <c r="E2431">
        <v>1016</v>
      </c>
      <c r="F2431">
        <v>5</v>
      </c>
      <c r="G2431">
        <v>5</v>
      </c>
      <c r="H2431">
        <v>1</v>
      </c>
      <c r="I2431">
        <v>1</v>
      </c>
      <c r="J2431">
        <v>0.89982728842832505</v>
      </c>
      <c r="K2431">
        <v>0.974539791558519</v>
      </c>
      <c r="L2431">
        <v>0.93569451519577695</v>
      </c>
      <c r="M2431">
        <v>0.80441640378548895</v>
      </c>
      <c r="N2431">
        <v>1</v>
      </c>
      <c r="O2431">
        <v>0.84858044164037905</v>
      </c>
      <c r="P2431" t="s">
        <v>2295</v>
      </c>
      <c r="Q2431" t="s">
        <v>2296</v>
      </c>
      <c r="R2431" t="s">
        <v>213</v>
      </c>
      <c r="S2431" t="s">
        <v>214</v>
      </c>
      <c r="T2431" t="s">
        <v>2297</v>
      </c>
      <c r="U2431" t="s">
        <v>2298</v>
      </c>
      <c r="V2431" t="s">
        <v>2299</v>
      </c>
      <c r="W2431" t="s">
        <v>2300</v>
      </c>
      <c r="X2431" t="s">
        <v>2299</v>
      </c>
      <c r="Y2431" t="s">
        <v>2301</v>
      </c>
      <c r="Z2431" t="s">
        <v>2302</v>
      </c>
      <c r="AA2431" t="s">
        <v>2303</v>
      </c>
      <c r="AB2431" t="s">
        <v>2302</v>
      </c>
      <c r="AC2431" t="s">
        <v>2304</v>
      </c>
      <c r="AD2431" t="s">
        <v>245</v>
      </c>
      <c r="AE2431" t="s">
        <v>2305</v>
      </c>
      <c r="AF2431" t="s">
        <v>2306</v>
      </c>
    </row>
    <row r="2432" spans="1:32" hidden="1" x14ac:dyDescent="0.35">
      <c r="A2432">
        <v>1110</v>
      </c>
      <c r="B2432" t="s">
        <v>2294</v>
      </c>
      <c r="C2432" t="s">
        <v>72</v>
      </c>
      <c r="D2432" t="s">
        <v>60</v>
      </c>
      <c r="E2432">
        <v>1381</v>
      </c>
      <c r="F2432">
        <v>5</v>
      </c>
      <c r="G2432">
        <v>5</v>
      </c>
      <c r="H2432">
        <v>1</v>
      </c>
      <c r="I2432">
        <v>1</v>
      </c>
      <c r="J2432">
        <v>0.89982728842832505</v>
      </c>
      <c r="K2432">
        <v>0.974539791558519</v>
      </c>
      <c r="L2432">
        <v>0.93569451519577695</v>
      </c>
      <c r="M2432">
        <v>0.80441640378548895</v>
      </c>
      <c r="N2432">
        <v>1</v>
      </c>
      <c r="O2432">
        <v>0.84858044164037905</v>
      </c>
      <c r="P2432" t="s">
        <v>2295</v>
      </c>
      <c r="Q2432" t="s">
        <v>2296</v>
      </c>
      <c r="R2432" t="s">
        <v>213</v>
      </c>
      <c r="S2432" t="s">
        <v>214</v>
      </c>
      <c r="T2432" t="s">
        <v>2297</v>
      </c>
      <c r="U2432" t="s">
        <v>2298</v>
      </c>
      <c r="V2432" t="s">
        <v>2299</v>
      </c>
      <c r="W2432" t="s">
        <v>2300</v>
      </c>
      <c r="X2432" t="s">
        <v>2299</v>
      </c>
      <c r="Y2432" t="s">
        <v>2301</v>
      </c>
      <c r="Z2432" t="s">
        <v>2302</v>
      </c>
      <c r="AA2432" t="s">
        <v>2303</v>
      </c>
      <c r="AB2432" t="s">
        <v>2302</v>
      </c>
      <c r="AC2432" t="s">
        <v>2304</v>
      </c>
      <c r="AD2432" t="s">
        <v>245</v>
      </c>
      <c r="AE2432" t="s">
        <v>2305</v>
      </c>
      <c r="AF2432" t="s">
        <v>2307</v>
      </c>
    </row>
    <row r="2433" spans="1:32" hidden="1" x14ac:dyDescent="0.35">
      <c r="A2433">
        <v>1111</v>
      </c>
      <c r="B2433" t="s">
        <v>2294</v>
      </c>
      <c r="C2433" t="s">
        <v>72</v>
      </c>
      <c r="D2433" t="s">
        <v>62</v>
      </c>
      <c r="E2433">
        <v>1416</v>
      </c>
      <c r="F2433">
        <v>5</v>
      </c>
      <c r="G2433">
        <v>5</v>
      </c>
      <c r="H2433">
        <v>1</v>
      </c>
      <c r="I2433">
        <v>1</v>
      </c>
      <c r="J2433">
        <v>0.89982728842832505</v>
      </c>
      <c r="K2433">
        <v>0.974539791558519</v>
      </c>
      <c r="L2433">
        <v>0.93569451519577695</v>
      </c>
      <c r="M2433">
        <v>0.80441640378548895</v>
      </c>
      <c r="N2433">
        <v>1</v>
      </c>
      <c r="O2433">
        <v>0.84858044164037905</v>
      </c>
      <c r="P2433" t="s">
        <v>2295</v>
      </c>
      <c r="Q2433" t="s">
        <v>2296</v>
      </c>
      <c r="R2433" t="s">
        <v>213</v>
      </c>
      <c r="S2433" t="s">
        <v>214</v>
      </c>
      <c r="T2433" t="s">
        <v>2297</v>
      </c>
      <c r="U2433" t="s">
        <v>2298</v>
      </c>
      <c r="V2433" t="s">
        <v>2299</v>
      </c>
      <c r="W2433" t="s">
        <v>2300</v>
      </c>
      <c r="X2433" t="s">
        <v>2299</v>
      </c>
      <c r="Y2433" t="s">
        <v>2301</v>
      </c>
      <c r="Z2433" t="s">
        <v>2302</v>
      </c>
      <c r="AA2433" t="s">
        <v>2303</v>
      </c>
      <c r="AB2433" t="s">
        <v>2302</v>
      </c>
      <c r="AC2433" t="s">
        <v>2304</v>
      </c>
      <c r="AD2433" t="s">
        <v>245</v>
      </c>
      <c r="AE2433" t="s">
        <v>2305</v>
      </c>
      <c r="AF2433" t="s">
        <v>2307</v>
      </c>
    </row>
    <row r="2434" spans="1:32" hidden="1" x14ac:dyDescent="0.35">
      <c r="A2434">
        <v>1112</v>
      </c>
      <c r="B2434" t="s">
        <v>2294</v>
      </c>
      <c r="C2434" t="s">
        <v>72</v>
      </c>
      <c r="D2434" t="s">
        <v>34</v>
      </c>
      <c r="E2434">
        <v>1808</v>
      </c>
      <c r="F2434">
        <v>5</v>
      </c>
      <c r="G2434">
        <v>5</v>
      </c>
      <c r="H2434">
        <v>1</v>
      </c>
      <c r="I2434">
        <v>1</v>
      </c>
      <c r="J2434">
        <v>0.89982728842832505</v>
      </c>
      <c r="K2434">
        <v>0.974539791558519</v>
      </c>
      <c r="L2434">
        <v>0.93569451519577695</v>
      </c>
      <c r="M2434">
        <v>0.80441640378548895</v>
      </c>
      <c r="N2434">
        <v>1</v>
      </c>
      <c r="O2434">
        <v>0.84858044164037905</v>
      </c>
      <c r="P2434" t="s">
        <v>2295</v>
      </c>
      <c r="Q2434" t="s">
        <v>2296</v>
      </c>
      <c r="R2434" t="s">
        <v>213</v>
      </c>
      <c r="S2434" t="s">
        <v>214</v>
      </c>
      <c r="T2434" t="s">
        <v>2297</v>
      </c>
      <c r="U2434" t="s">
        <v>2298</v>
      </c>
      <c r="V2434" t="s">
        <v>2299</v>
      </c>
      <c r="W2434" t="s">
        <v>2300</v>
      </c>
      <c r="X2434" t="s">
        <v>2299</v>
      </c>
      <c r="Y2434" t="s">
        <v>2301</v>
      </c>
      <c r="Z2434" t="s">
        <v>2302</v>
      </c>
      <c r="AA2434" t="s">
        <v>2303</v>
      </c>
      <c r="AB2434" t="s">
        <v>2302</v>
      </c>
      <c r="AC2434" t="s">
        <v>2304</v>
      </c>
      <c r="AD2434" t="s">
        <v>245</v>
      </c>
      <c r="AE2434" t="s">
        <v>2305</v>
      </c>
      <c r="AF2434" t="s">
        <v>2308</v>
      </c>
    </row>
    <row r="2435" spans="1:32" hidden="1" x14ac:dyDescent="0.35">
      <c r="A2435">
        <v>1113</v>
      </c>
      <c r="B2435" t="s">
        <v>2294</v>
      </c>
      <c r="C2435" t="s">
        <v>72</v>
      </c>
      <c r="D2435" t="s">
        <v>45</v>
      </c>
      <c r="E2435">
        <v>1065</v>
      </c>
      <c r="F2435">
        <v>5</v>
      </c>
      <c r="G2435">
        <v>5</v>
      </c>
      <c r="H2435">
        <v>1</v>
      </c>
      <c r="I2435">
        <v>1</v>
      </c>
      <c r="J2435">
        <v>0.89982728842832505</v>
      </c>
      <c r="K2435">
        <v>0.974539791558519</v>
      </c>
      <c r="L2435">
        <v>0.93569451519577695</v>
      </c>
      <c r="M2435">
        <v>0.80441640378548895</v>
      </c>
      <c r="N2435">
        <v>1</v>
      </c>
      <c r="O2435">
        <v>0.84858044164037905</v>
      </c>
      <c r="P2435" t="s">
        <v>2295</v>
      </c>
      <c r="Q2435" t="s">
        <v>2296</v>
      </c>
      <c r="R2435" t="s">
        <v>213</v>
      </c>
      <c r="S2435" t="s">
        <v>214</v>
      </c>
      <c r="T2435" t="s">
        <v>2297</v>
      </c>
      <c r="U2435" t="s">
        <v>2298</v>
      </c>
      <c r="V2435" t="s">
        <v>2299</v>
      </c>
      <c r="W2435" t="s">
        <v>2300</v>
      </c>
      <c r="X2435" t="s">
        <v>2299</v>
      </c>
      <c r="Y2435" t="s">
        <v>2301</v>
      </c>
      <c r="Z2435" t="s">
        <v>2302</v>
      </c>
      <c r="AA2435" t="s">
        <v>2303</v>
      </c>
      <c r="AB2435" t="s">
        <v>2302</v>
      </c>
      <c r="AC2435" t="s">
        <v>2304</v>
      </c>
      <c r="AD2435" t="s">
        <v>245</v>
      </c>
      <c r="AE2435" t="s">
        <v>2305</v>
      </c>
      <c r="AF2435" t="s">
        <v>2309</v>
      </c>
    </row>
    <row r="2436" spans="1:32" hidden="1" x14ac:dyDescent="0.35">
      <c r="A2436">
        <v>1179</v>
      </c>
      <c r="B2436" t="s">
        <v>2463</v>
      </c>
      <c r="C2436" t="s">
        <v>72</v>
      </c>
      <c r="D2436" t="s">
        <v>58</v>
      </c>
      <c r="E2436">
        <v>1644</v>
      </c>
      <c r="F2436">
        <v>5</v>
      </c>
      <c r="G2436">
        <v>5</v>
      </c>
      <c r="H2436">
        <v>1</v>
      </c>
      <c r="I2436">
        <v>1</v>
      </c>
      <c r="J2436">
        <v>0.89596412556053795</v>
      </c>
      <c r="K2436">
        <v>1</v>
      </c>
      <c r="L2436">
        <v>0.94512771996215705</v>
      </c>
      <c r="M2436">
        <v>0.820627802690583</v>
      </c>
      <c r="N2436">
        <v>1</v>
      </c>
      <c r="O2436">
        <v>0.86547085201793705</v>
      </c>
      <c r="P2436" t="s">
        <v>2464</v>
      </c>
      <c r="Q2436" t="s">
        <v>1391</v>
      </c>
      <c r="R2436" t="s">
        <v>213</v>
      </c>
      <c r="S2436" t="s">
        <v>214</v>
      </c>
      <c r="T2436" t="s">
        <v>2465</v>
      </c>
      <c r="U2436" t="s">
        <v>2466</v>
      </c>
      <c r="V2436" t="s">
        <v>2467</v>
      </c>
      <c r="W2436" t="s">
        <v>2468</v>
      </c>
      <c r="X2436" t="s">
        <v>2467</v>
      </c>
      <c r="Y2436" t="s">
        <v>710</v>
      </c>
      <c r="Z2436" t="s">
        <v>711</v>
      </c>
      <c r="AA2436" t="s">
        <v>712</v>
      </c>
      <c r="AB2436" t="s">
        <v>711</v>
      </c>
      <c r="AC2436" t="s">
        <v>713</v>
      </c>
      <c r="AD2436" t="s">
        <v>84</v>
      </c>
      <c r="AE2436" t="s">
        <v>2469</v>
      </c>
      <c r="AF2436" t="s">
        <v>2470</v>
      </c>
    </row>
    <row r="2437" spans="1:32" hidden="1" x14ac:dyDescent="0.35">
      <c r="A2437">
        <v>1180</v>
      </c>
      <c r="B2437" t="s">
        <v>2463</v>
      </c>
      <c r="C2437" t="s">
        <v>72</v>
      </c>
      <c r="D2437" t="s">
        <v>60</v>
      </c>
      <c r="E2437">
        <v>2208</v>
      </c>
      <c r="F2437">
        <v>5</v>
      </c>
      <c r="G2437">
        <v>5</v>
      </c>
      <c r="H2437">
        <v>1</v>
      </c>
      <c r="I2437">
        <v>1</v>
      </c>
      <c r="J2437">
        <v>0.89596412556053795</v>
      </c>
      <c r="K2437">
        <v>1</v>
      </c>
      <c r="L2437">
        <v>0.94512771996215705</v>
      </c>
      <c r="M2437">
        <v>0.820627802690583</v>
      </c>
      <c r="N2437">
        <v>1</v>
      </c>
      <c r="O2437">
        <v>0.86547085201793705</v>
      </c>
      <c r="P2437" t="s">
        <v>2464</v>
      </c>
      <c r="Q2437" t="s">
        <v>1391</v>
      </c>
      <c r="R2437" t="s">
        <v>213</v>
      </c>
      <c r="S2437" t="s">
        <v>214</v>
      </c>
      <c r="T2437" t="s">
        <v>2465</v>
      </c>
      <c r="U2437" t="s">
        <v>2466</v>
      </c>
      <c r="V2437" t="s">
        <v>2467</v>
      </c>
      <c r="W2437" t="s">
        <v>2468</v>
      </c>
      <c r="X2437" t="s">
        <v>2467</v>
      </c>
      <c r="Y2437" t="s">
        <v>710</v>
      </c>
      <c r="Z2437" t="s">
        <v>711</v>
      </c>
      <c r="AA2437" t="s">
        <v>712</v>
      </c>
      <c r="AB2437" t="s">
        <v>711</v>
      </c>
      <c r="AC2437" t="s">
        <v>713</v>
      </c>
      <c r="AD2437" t="s">
        <v>84</v>
      </c>
      <c r="AE2437" t="s">
        <v>2469</v>
      </c>
      <c r="AF2437" t="s">
        <v>2471</v>
      </c>
    </row>
    <row r="2438" spans="1:32" hidden="1" x14ac:dyDescent="0.35">
      <c r="A2438">
        <v>1181</v>
      </c>
      <c r="B2438" t="s">
        <v>2463</v>
      </c>
      <c r="C2438" t="s">
        <v>72</v>
      </c>
      <c r="D2438" t="s">
        <v>62</v>
      </c>
      <c r="E2438">
        <v>2240</v>
      </c>
      <c r="F2438">
        <v>5</v>
      </c>
      <c r="G2438">
        <v>5</v>
      </c>
      <c r="H2438">
        <v>1</v>
      </c>
      <c r="I2438">
        <v>1</v>
      </c>
      <c r="J2438">
        <v>0.89596412556053795</v>
      </c>
      <c r="K2438">
        <v>1</v>
      </c>
      <c r="L2438">
        <v>0.94512771996215705</v>
      </c>
      <c r="M2438">
        <v>0.820627802690583</v>
      </c>
      <c r="N2438">
        <v>1</v>
      </c>
      <c r="O2438">
        <v>0.86547085201793705</v>
      </c>
      <c r="P2438" t="s">
        <v>2464</v>
      </c>
      <c r="Q2438" t="s">
        <v>1391</v>
      </c>
      <c r="R2438" t="s">
        <v>213</v>
      </c>
      <c r="S2438" t="s">
        <v>214</v>
      </c>
      <c r="T2438" t="s">
        <v>2465</v>
      </c>
      <c r="U2438" t="s">
        <v>2466</v>
      </c>
      <c r="V2438" t="s">
        <v>2467</v>
      </c>
      <c r="W2438" t="s">
        <v>2468</v>
      </c>
      <c r="X2438" t="s">
        <v>2467</v>
      </c>
      <c r="Y2438" t="s">
        <v>710</v>
      </c>
      <c r="Z2438" t="s">
        <v>711</v>
      </c>
      <c r="AA2438" t="s">
        <v>712</v>
      </c>
      <c r="AB2438" t="s">
        <v>711</v>
      </c>
      <c r="AC2438" t="s">
        <v>713</v>
      </c>
      <c r="AD2438" t="s">
        <v>84</v>
      </c>
      <c r="AE2438" t="s">
        <v>2469</v>
      </c>
      <c r="AF2438" t="s">
        <v>2471</v>
      </c>
    </row>
    <row r="2439" spans="1:32" hidden="1" x14ac:dyDescent="0.35">
      <c r="A2439">
        <v>1182</v>
      </c>
      <c r="B2439" t="s">
        <v>2463</v>
      </c>
      <c r="C2439" t="s">
        <v>72</v>
      </c>
      <c r="D2439" t="s">
        <v>34</v>
      </c>
      <c r="E2439">
        <v>1565</v>
      </c>
      <c r="F2439">
        <v>5</v>
      </c>
      <c r="G2439">
        <v>5</v>
      </c>
      <c r="H2439">
        <v>1</v>
      </c>
      <c r="I2439">
        <v>1</v>
      </c>
      <c r="J2439">
        <v>0.89596412556053795</v>
      </c>
      <c r="K2439">
        <v>1</v>
      </c>
      <c r="L2439">
        <v>0.94512771996215705</v>
      </c>
      <c r="M2439">
        <v>0.820627802690583</v>
      </c>
      <c r="N2439">
        <v>1</v>
      </c>
      <c r="O2439">
        <v>0.86547085201793705</v>
      </c>
      <c r="P2439" t="s">
        <v>2464</v>
      </c>
      <c r="Q2439" t="s">
        <v>1391</v>
      </c>
      <c r="R2439" t="s">
        <v>213</v>
      </c>
      <c r="S2439" t="s">
        <v>214</v>
      </c>
      <c r="T2439" t="s">
        <v>2465</v>
      </c>
      <c r="U2439" t="s">
        <v>2466</v>
      </c>
      <c r="V2439" t="s">
        <v>2467</v>
      </c>
      <c r="W2439" t="s">
        <v>2468</v>
      </c>
      <c r="X2439" t="s">
        <v>2467</v>
      </c>
      <c r="Y2439" t="s">
        <v>710</v>
      </c>
      <c r="Z2439" t="s">
        <v>711</v>
      </c>
      <c r="AA2439" t="s">
        <v>712</v>
      </c>
      <c r="AB2439" t="s">
        <v>711</v>
      </c>
      <c r="AC2439" t="s">
        <v>713</v>
      </c>
      <c r="AD2439" t="s">
        <v>84</v>
      </c>
      <c r="AE2439" t="s">
        <v>2469</v>
      </c>
      <c r="AF2439" t="s">
        <v>2472</v>
      </c>
    </row>
    <row r="2440" spans="1:32" hidden="1" x14ac:dyDescent="0.35">
      <c r="A2440">
        <v>1183</v>
      </c>
      <c r="B2440" t="s">
        <v>2463</v>
      </c>
      <c r="C2440" t="s">
        <v>72</v>
      </c>
      <c r="D2440" t="s">
        <v>45</v>
      </c>
      <c r="E2440">
        <v>315</v>
      </c>
      <c r="F2440">
        <v>5</v>
      </c>
      <c r="G2440">
        <v>5</v>
      </c>
      <c r="H2440">
        <v>1</v>
      </c>
      <c r="I2440">
        <v>1</v>
      </c>
      <c r="J2440">
        <v>0.89596412556053795</v>
      </c>
      <c r="K2440">
        <v>1</v>
      </c>
      <c r="L2440">
        <v>0.94512771996215705</v>
      </c>
      <c r="M2440">
        <v>0.820627802690583</v>
      </c>
      <c r="N2440">
        <v>1</v>
      </c>
      <c r="O2440">
        <v>0.86547085201793705</v>
      </c>
      <c r="P2440" t="s">
        <v>2464</v>
      </c>
      <c r="Q2440" t="s">
        <v>1391</v>
      </c>
      <c r="R2440" t="s">
        <v>213</v>
      </c>
      <c r="S2440" t="s">
        <v>214</v>
      </c>
      <c r="T2440" t="s">
        <v>2465</v>
      </c>
      <c r="U2440" t="s">
        <v>2466</v>
      </c>
      <c r="V2440" t="s">
        <v>2467</v>
      </c>
      <c r="W2440" t="s">
        <v>2468</v>
      </c>
      <c r="X2440" t="s">
        <v>2467</v>
      </c>
      <c r="Y2440" t="s">
        <v>710</v>
      </c>
      <c r="Z2440" t="s">
        <v>711</v>
      </c>
      <c r="AA2440" t="s">
        <v>712</v>
      </c>
      <c r="AB2440" t="s">
        <v>711</v>
      </c>
      <c r="AC2440" t="s">
        <v>713</v>
      </c>
      <c r="AD2440" t="s">
        <v>84</v>
      </c>
      <c r="AE2440" t="s">
        <v>2469</v>
      </c>
      <c r="AF2440" t="s">
        <v>2472</v>
      </c>
    </row>
    <row r="2441" spans="1:32" hidden="1" x14ac:dyDescent="0.35">
      <c r="A2441">
        <v>1264</v>
      </c>
      <c r="B2441" t="s">
        <v>2621</v>
      </c>
      <c r="C2441" t="s">
        <v>72</v>
      </c>
      <c r="D2441" t="s">
        <v>58</v>
      </c>
      <c r="E2441">
        <v>713</v>
      </c>
      <c r="F2441">
        <v>5</v>
      </c>
      <c r="G2441">
        <v>5</v>
      </c>
      <c r="H2441">
        <v>1</v>
      </c>
      <c r="I2441">
        <v>1</v>
      </c>
      <c r="J2441">
        <v>0.94444444444444398</v>
      </c>
      <c r="K2441">
        <v>0.98698642214776999</v>
      </c>
      <c r="L2441">
        <v>0.96524691539618801</v>
      </c>
      <c r="M2441">
        <v>0.85981308411214996</v>
      </c>
      <c r="N2441">
        <v>1</v>
      </c>
      <c r="O2441">
        <v>0.90654205607476601</v>
      </c>
      <c r="P2441" t="s">
        <v>2622</v>
      </c>
      <c r="Q2441" t="s">
        <v>2623</v>
      </c>
      <c r="R2441" t="s">
        <v>213</v>
      </c>
      <c r="S2441" t="s">
        <v>214</v>
      </c>
      <c r="T2441" t="s">
        <v>2624</v>
      </c>
      <c r="U2441" t="s">
        <v>2625</v>
      </c>
      <c r="V2441" t="s">
        <v>2626</v>
      </c>
      <c r="W2441" t="s">
        <v>2627</v>
      </c>
      <c r="AD2441" t="s">
        <v>410</v>
      </c>
      <c r="AE2441" t="s">
        <v>829</v>
      </c>
      <c r="AF2441" t="s">
        <v>2628</v>
      </c>
    </row>
    <row r="2442" spans="1:32" hidden="1" x14ac:dyDescent="0.35">
      <c r="A2442">
        <v>1265</v>
      </c>
      <c r="B2442" t="s">
        <v>2621</v>
      </c>
      <c r="C2442" t="s">
        <v>72</v>
      </c>
      <c r="D2442" t="s">
        <v>60</v>
      </c>
      <c r="E2442">
        <v>927</v>
      </c>
      <c r="F2442">
        <v>5</v>
      </c>
      <c r="G2442">
        <v>5</v>
      </c>
      <c r="H2442">
        <v>1</v>
      </c>
      <c r="I2442">
        <v>1</v>
      </c>
      <c r="J2442">
        <v>0.94444444444444398</v>
      </c>
      <c r="K2442">
        <v>0.98698642214776999</v>
      </c>
      <c r="L2442">
        <v>0.96524691539618801</v>
      </c>
      <c r="M2442">
        <v>0.85981308411214996</v>
      </c>
      <c r="N2442">
        <v>1</v>
      </c>
      <c r="O2442">
        <v>0.90654205607476601</v>
      </c>
      <c r="P2442" t="s">
        <v>2622</v>
      </c>
      <c r="Q2442" t="s">
        <v>2623</v>
      </c>
      <c r="R2442" t="s">
        <v>213</v>
      </c>
      <c r="S2442" t="s">
        <v>214</v>
      </c>
      <c r="T2442" t="s">
        <v>2624</v>
      </c>
      <c r="U2442" t="s">
        <v>2625</v>
      </c>
      <c r="V2442" t="s">
        <v>2626</v>
      </c>
      <c r="W2442" t="s">
        <v>2627</v>
      </c>
      <c r="AD2442" t="s">
        <v>410</v>
      </c>
      <c r="AE2442" t="s">
        <v>829</v>
      </c>
      <c r="AF2442" t="s">
        <v>2629</v>
      </c>
    </row>
    <row r="2443" spans="1:32" hidden="1" x14ac:dyDescent="0.35">
      <c r="A2443">
        <v>1266</v>
      </c>
      <c r="B2443" t="s">
        <v>2621</v>
      </c>
      <c r="C2443" t="s">
        <v>72</v>
      </c>
      <c r="D2443" t="s">
        <v>62</v>
      </c>
      <c r="E2443">
        <v>963</v>
      </c>
      <c r="F2443">
        <v>5</v>
      </c>
      <c r="G2443">
        <v>5</v>
      </c>
      <c r="H2443">
        <v>1</v>
      </c>
      <c r="I2443">
        <v>1</v>
      </c>
      <c r="J2443">
        <v>0.94444444444444398</v>
      </c>
      <c r="K2443">
        <v>0.98698642214776999</v>
      </c>
      <c r="L2443">
        <v>0.96524691539618801</v>
      </c>
      <c r="M2443">
        <v>0.85981308411214996</v>
      </c>
      <c r="N2443">
        <v>1</v>
      </c>
      <c r="O2443">
        <v>0.90654205607476601</v>
      </c>
      <c r="P2443" t="s">
        <v>2622</v>
      </c>
      <c r="Q2443" t="s">
        <v>2623</v>
      </c>
      <c r="R2443" t="s">
        <v>213</v>
      </c>
      <c r="S2443" t="s">
        <v>214</v>
      </c>
      <c r="T2443" t="s">
        <v>2624</v>
      </c>
      <c r="U2443" t="s">
        <v>2625</v>
      </c>
      <c r="V2443" t="s">
        <v>2626</v>
      </c>
      <c r="W2443" t="s">
        <v>2627</v>
      </c>
      <c r="AD2443" t="s">
        <v>410</v>
      </c>
      <c r="AE2443" t="s">
        <v>829</v>
      </c>
      <c r="AF2443" t="s">
        <v>2629</v>
      </c>
    </row>
    <row r="2444" spans="1:32" hidden="1" x14ac:dyDescent="0.35">
      <c r="A2444">
        <v>1267</v>
      </c>
      <c r="B2444" t="s">
        <v>2621</v>
      </c>
      <c r="C2444" t="s">
        <v>72</v>
      </c>
      <c r="D2444" t="s">
        <v>34</v>
      </c>
      <c r="E2444">
        <v>235</v>
      </c>
      <c r="F2444">
        <v>5</v>
      </c>
      <c r="G2444">
        <v>5</v>
      </c>
      <c r="H2444">
        <v>1</v>
      </c>
      <c r="I2444">
        <v>1</v>
      </c>
      <c r="J2444">
        <v>0.94444444444444398</v>
      </c>
      <c r="K2444">
        <v>0.98698642214776999</v>
      </c>
      <c r="L2444">
        <v>0.96524691539618801</v>
      </c>
      <c r="M2444">
        <v>0.85981308411214996</v>
      </c>
      <c r="N2444">
        <v>1</v>
      </c>
      <c r="O2444">
        <v>0.90654205607476601</v>
      </c>
      <c r="P2444" t="s">
        <v>2622</v>
      </c>
      <c r="Q2444" t="s">
        <v>2623</v>
      </c>
      <c r="R2444" t="s">
        <v>213</v>
      </c>
      <c r="S2444" t="s">
        <v>214</v>
      </c>
      <c r="T2444" t="s">
        <v>2624</v>
      </c>
      <c r="U2444" t="s">
        <v>2625</v>
      </c>
      <c r="V2444" t="s">
        <v>2626</v>
      </c>
      <c r="W2444" t="s">
        <v>2627</v>
      </c>
      <c r="AD2444" t="s">
        <v>410</v>
      </c>
      <c r="AE2444" t="s">
        <v>829</v>
      </c>
      <c r="AF2444" t="s">
        <v>2630</v>
      </c>
    </row>
    <row r="2445" spans="1:32" hidden="1" x14ac:dyDescent="0.35">
      <c r="A2445">
        <v>1268</v>
      </c>
      <c r="B2445" t="s">
        <v>2621</v>
      </c>
      <c r="C2445" t="s">
        <v>72</v>
      </c>
      <c r="D2445" t="s">
        <v>45</v>
      </c>
      <c r="E2445">
        <v>1498</v>
      </c>
      <c r="F2445">
        <v>5</v>
      </c>
      <c r="G2445">
        <v>5</v>
      </c>
      <c r="H2445">
        <v>1</v>
      </c>
      <c r="I2445">
        <v>1</v>
      </c>
      <c r="J2445">
        <v>0.94444444444444398</v>
      </c>
      <c r="K2445">
        <v>0.98698642214776999</v>
      </c>
      <c r="L2445">
        <v>0.96524691539618801</v>
      </c>
      <c r="M2445">
        <v>0.85981308411214996</v>
      </c>
      <c r="N2445">
        <v>1</v>
      </c>
      <c r="O2445">
        <v>0.90654205607476601</v>
      </c>
      <c r="P2445" t="s">
        <v>2622</v>
      </c>
      <c r="Q2445" t="s">
        <v>2623</v>
      </c>
      <c r="R2445" t="s">
        <v>213</v>
      </c>
      <c r="S2445" t="s">
        <v>214</v>
      </c>
      <c r="T2445" t="s">
        <v>2624</v>
      </c>
      <c r="U2445" t="s">
        <v>2625</v>
      </c>
      <c r="V2445" t="s">
        <v>2626</v>
      </c>
      <c r="W2445" t="s">
        <v>2627</v>
      </c>
      <c r="AD2445" t="s">
        <v>410</v>
      </c>
      <c r="AE2445" t="s">
        <v>829</v>
      </c>
      <c r="AF2445" t="s">
        <v>2630</v>
      </c>
    </row>
    <row r="2446" spans="1:32" hidden="1" x14ac:dyDescent="0.35">
      <c r="A2446">
        <v>1469</v>
      </c>
      <c r="B2446" t="s">
        <v>3074</v>
      </c>
      <c r="C2446" t="s">
        <v>72</v>
      </c>
      <c r="D2446" t="s">
        <v>58</v>
      </c>
      <c r="E2446">
        <v>1643</v>
      </c>
      <c r="F2446">
        <v>5</v>
      </c>
      <c r="G2446">
        <v>5</v>
      </c>
      <c r="H2446">
        <v>1</v>
      </c>
      <c r="I2446">
        <v>1</v>
      </c>
      <c r="J2446">
        <v>0.88161664242584503</v>
      </c>
      <c r="K2446">
        <v>0.977370458397265</v>
      </c>
      <c r="L2446">
        <v>0.92702747808942099</v>
      </c>
      <c r="M2446">
        <v>0.77260981912144699</v>
      </c>
      <c r="N2446">
        <v>1</v>
      </c>
      <c r="O2446">
        <v>0.83875968992248096</v>
      </c>
      <c r="P2446" t="s">
        <v>3075</v>
      </c>
      <c r="Q2446" t="s">
        <v>3076</v>
      </c>
      <c r="R2446" t="s">
        <v>213</v>
      </c>
      <c r="S2446" t="s">
        <v>214</v>
      </c>
      <c r="T2446" t="s">
        <v>3077</v>
      </c>
      <c r="U2446" t="s">
        <v>3078</v>
      </c>
      <c r="V2446" t="s">
        <v>3079</v>
      </c>
      <c r="W2446" t="s">
        <v>3080</v>
      </c>
      <c r="X2446" t="s">
        <v>3079</v>
      </c>
      <c r="Y2446" t="s">
        <v>710</v>
      </c>
      <c r="Z2446" t="s">
        <v>711</v>
      </c>
      <c r="AA2446" t="s">
        <v>712</v>
      </c>
      <c r="AB2446" t="s">
        <v>711</v>
      </c>
      <c r="AC2446" t="s">
        <v>713</v>
      </c>
      <c r="AD2446" t="s">
        <v>219</v>
      </c>
      <c r="AE2446" t="s">
        <v>3081</v>
      </c>
      <c r="AF2446" t="s">
        <v>3082</v>
      </c>
    </row>
    <row r="2447" spans="1:32" hidden="1" x14ac:dyDescent="0.35">
      <c r="A2447">
        <v>1470</v>
      </c>
      <c r="B2447" t="s">
        <v>3074</v>
      </c>
      <c r="C2447" t="s">
        <v>72</v>
      </c>
      <c r="D2447" t="s">
        <v>60</v>
      </c>
      <c r="E2447">
        <v>2207</v>
      </c>
      <c r="F2447">
        <v>5</v>
      </c>
      <c r="G2447">
        <v>5</v>
      </c>
      <c r="H2447">
        <v>1</v>
      </c>
      <c r="I2447">
        <v>1</v>
      </c>
      <c r="J2447">
        <v>0.88161664242584503</v>
      </c>
      <c r="K2447">
        <v>0.977370458397265</v>
      </c>
      <c r="L2447">
        <v>0.92702747808942099</v>
      </c>
      <c r="M2447">
        <v>0.77260981912144699</v>
      </c>
      <c r="N2447">
        <v>1</v>
      </c>
      <c r="O2447">
        <v>0.83875968992248096</v>
      </c>
      <c r="P2447" t="s">
        <v>3075</v>
      </c>
      <c r="Q2447" t="s">
        <v>3076</v>
      </c>
      <c r="R2447" t="s">
        <v>213</v>
      </c>
      <c r="S2447" t="s">
        <v>214</v>
      </c>
      <c r="T2447" t="s">
        <v>3077</v>
      </c>
      <c r="U2447" t="s">
        <v>3078</v>
      </c>
      <c r="V2447" t="s">
        <v>3079</v>
      </c>
      <c r="W2447" t="s">
        <v>3080</v>
      </c>
      <c r="X2447" t="s">
        <v>3079</v>
      </c>
      <c r="Y2447" t="s">
        <v>710</v>
      </c>
      <c r="Z2447" t="s">
        <v>711</v>
      </c>
      <c r="AA2447" t="s">
        <v>712</v>
      </c>
      <c r="AB2447" t="s">
        <v>711</v>
      </c>
      <c r="AC2447" t="s">
        <v>713</v>
      </c>
      <c r="AD2447" t="s">
        <v>219</v>
      </c>
      <c r="AE2447" t="s">
        <v>3081</v>
      </c>
      <c r="AF2447" t="s">
        <v>3083</v>
      </c>
    </row>
    <row r="2448" spans="1:32" hidden="1" x14ac:dyDescent="0.35">
      <c r="A2448">
        <v>1471</v>
      </c>
      <c r="B2448" t="s">
        <v>3074</v>
      </c>
      <c r="C2448" t="s">
        <v>72</v>
      </c>
      <c r="D2448" t="s">
        <v>62</v>
      </c>
      <c r="E2448">
        <v>2239</v>
      </c>
      <c r="F2448">
        <v>5</v>
      </c>
      <c r="G2448">
        <v>5</v>
      </c>
      <c r="H2448">
        <v>1</v>
      </c>
      <c r="I2448">
        <v>1</v>
      </c>
      <c r="J2448">
        <v>0.88161664242584503</v>
      </c>
      <c r="K2448">
        <v>0.977370458397265</v>
      </c>
      <c r="L2448">
        <v>0.92702747808942099</v>
      </c>
      <c r="M2448">
        <v>0.77260981912144699</v>
      </c>
      <c r="N2448">
        <v>1</v>
      </c>
      <c r="O2448">
        <v>0.83875968992248096</v>
      </c>
      <c r="P2448" t="s">
        <v>3075</v>
      </c>
      <c r="Q2448" t="s">
        <v>3076</v>
      </c>
      <c r="R2448" t="s">
        <v>213</v>
      </c>
      <c r="S2448" t="s">
        <v>214</v>
      </c>
      <c r="T2448" t="s">
        <v>3077</v>
      </c>
      <c r="U2448" t="s">
        <v>3078</v>
      </c>
      <c r="V2448" t="s">
        <v>3079</v>
      </c>
      <c r="W2448" t="s">
        <v>3080</v>
      </c>
      <c r="X2448" t="s">
        <v>3079</v>
      </c>
      <c r="Y2448" t="s">
        <v>710</v>
      </c>
      <c r="Z2448" t="s">
        <v>711</v>
      </c>
      <c r="AA2448" t="s">
        <v>712</v>
      </c>
      <c r="AB2448" t="s">
        <v>711</v>
      </c>
      <c r="AC2448" t="s">
        <v>713</v>
      </c>
      <c r="AD2448" t="s">
        <v>219</v>
      </c>
      <c r="AE2448" t="s">
        <v>3081</v>
      </c>
      <c r="AF2448" t="s">
        <v>3083</v>
      </c>
    </row>
    <row r="2449" spans="1:32" hidden="1" x14ac:dyDescent="0.35">
      <c r="A2449">
        <v>1472</v>
      </c>
      <c r="B2449" t="s">
        <v>3074</v>
      </c>
      <c r="C2449" t="s">
        <v>72</v>
      </c>
      <c r="D2449" t="s">
        <v>34</v>
      </c>
      <c r="E2449">
        <v>1566</v>
      </c>
      <c r="F2449">
        <v>5</v>
      </c>
      <c r="G2449">
        <v>5</v>
      </c>
      <c r="H2449">
        <v>1</v>
      </c>
      <c r="I2449">
        <v>1</v>
      </c>
      <c r="J2449">
        <v>0.88161664242584503</v>
      </c>
      <c r="K2449">
        <v>0.977370458397265</v>
      </c>
      <c r="L2449">
        <v>0.92702747808942099</v>
      </c>
      <c r="M2449">
        <v>0.77260981912144699</v>
      </c>
      <c r="N2449">
        <v>1</v>
      </c>
      <c r="O2449">
        <v>0.83875968992248096</v>
      </c>
      <c r="P2449" t="s">
        <v>3084</v>
      </c>
      <c r="Q2449" t="s">
        <v>3085</v>
      </c>
      <c r="R2449" t="s">
        <v>213</v>
      </c>
      <c r="S2449" t="s">
        <v>214</v>
      </c>
      <c r="T2449" t="s">
        <v>3077</v>
      </c>
      <c r="U2449" t="s">
        <v>3078</v>
      </c>
      <c r="V2449" t="s">
        <v>3079</v>
      </c>
      <c r="W2449" t="s">
        <v>3080</v>
      </c>
      <c r="X2449" t="s">
        <v>3079</v>
      </c>
      <c r="Y2449" t="s">
        <v>710</v>
      </c>
      <c r="Z2449" t="s">
        <v>711</v>
      </c>
      <c r="AA2449" t="s">
        <v>712</v>
      </c>
      <c r="AB2449" t="s">
        <v>711</v>
      </c>
      <c r="AC2449" t="s">
        <v>713</v>
      </c>
      <c r="AD2449" t="s">
        <v>219</v>
      </c>
      <c r="AE2449" t="s">
        <v>3081</v>
      </c>
      <c r="AF2449" t="s">
        <v>3086</v>
      </c>
    </row>
    <row r="2450" spans="1:32" hidden="1" x14ac:dyDescent="0.35">
      <c r="A2450">
        <v>1473</v>
      </c>
      <c r="B2450" t="s">
        <v>3074</v>
      </c>
      <c r="C2450" t="s">
        <v>72</v>
      </c>
      <c r="D2450" t="s">
        <v>45</v>
      </c>
      <c r="E2450">
        <v>316</v>
      </c>
      <c r="F2450">
        <v>5</v>
      </c>
      <c r="G2450">
        <v>5</v>
      </c>
      <c r="H2450">
        <v>1</v>
      </c>
      <c r="I2450">
        <v>1</v>
      </c>
      <c r="J2450">
        <v>0.88161664242584503</v>
      </c>
      <c r="K2450">
        <v>0.977370458397265</v>
      </c>
      <c r="L2450">
        <v>0.92702747808942099</v>
      </c>
      <c r="M2450">
        <v>0.77260981912144699</v>
      </c>
      <c r="N2450">
        <v>1</v>
      </c>
      <c r="O2450">
        <v>0.83875968992248096</v>
      </c>
      <c r="P2450" t="s">
        <v>3084</v>
      </c>
      <c r="Q2450" t="s">
        <v>3085</v>
      </c>
      <c r="R2450" t="s">
        <v>213</v>
      </c>
      <c r="S2450" t="s">
        <v>214</v>
      </c>
      <c r="T2450" t="s">
        <v>3077</v>
      </c>
      <c r="U2450" t="s">
        <v>3078</v>
      </c>
      <c r="V2450" t="s">
        <v>3079</v>
      </c>
      <c r="W2450" t="s">
        <v>3080</v>
      </c>
      <c r="X2450" t="s">
        <v>3079</v>
      </c>
      <c r="Y2450" t="s">
        <v>710</v>
      </c>
      <c r="Z2450" t="s">
        <v>711</v>
      </c>
      <c r="AA2450" t="s">
        <v>712</v>
      </c>
      <c r="AB2450" t="s">
        <v>711</v>
      </c>
      <c r="AC2450" t="s">
        <v>713</v>
      </c>
      <c r="AD2450" t="s">
        <v>219</v>
      </c>
      <c r="AE2450" t="s">
        <v>3081</v>
      </c>
      <c r="AF2450" t="s">
        <v>3087</v>
      </c>
    </row>
    <row r="2451" spans="1:32" hidden="1" x14ac:dyDescent="0.35">
      <c r="A2451">
        <v>1534</v>
      </c>
      <c r="B2451" t="s">
        <v>3209</v>
      </c>
      <c r="C2451" t="s">
        <v>72</v>
      </c>
      <c r="D2451" t="s">
        <v>58</v>
      </c>
      <c r="E2451">
        <v>1638</v>
      </c>
      <c r="F2451">
        <v>5</v>
      </c>
      <c r="G2451">
        <v>5</v>
      </c>
      <c r="H2451">
        <v>1</v>
      </c>
      <c r="I2451">
        <v>1</v>
      </c>
      <c r="J2451">
        <v>0.90277383319132798</v>
      </c>
      <c r="K2451">
        <v>0.96513623362938405</v>
      </c>
      <c r="L2451">
        <v>0.93291401193467705</v>
      </c>
      <c r="M2451">
        <v>0.78630136986301402</v>
      </c>
      <c r="N2451">
        <v>1</v>
      </c>
      <c r="O2451">
        <v>0.84849315068493203</v>
      </c>
      <c r="P2451" t="s">
        <v>3084</v>
      </c>
      <c r="Q2451" t="s">
        <v>3085</v>
      </c>
      <c r="R2451" t="s">
        <v>213</v>
      </c>
      <c r="S2451" t="s">
        <v>214</v>
      </c>
      <c r="T2451" t="s">
        <v>3210</v>
      </c>
      <c r="U2451" t="s">
        <v>3211</v>
      </c>
      <c r="V2451" t="s">
        <v>3212</v>
      </c>
      <c r="W2451" t="s">
        <v>3213</v>
      </c>
      <c r="X2451" t="s">
        <v>3212</v>
      </c>
      <c r="Y2451" t="s">
        <v>710</v>
      </c>
      <c r="Z2451" t="s">
        <v>711</v>
      </c>
      <c r="AA2451" t="s">
        <v>712</v>
      </c>
      <c r="AB2451" t="s">
        <v>711</v>
      </c>
      <c r="AC2451" t="s">
        <v>713</v>
      </c>
      <c r="AD2451" t="s">
        <v>219</v>
      </c>
      <c r="AE2451" t="s">
        <v>3214</v>
      </c>
      <c r="AF2451" t="s">
        <v>3215</v>
      </c>
    </row>
    <row r="2452" spans="1:32" hidden="1" x14ac:dyDescent="0.35">
      <c r="A2452">
        <v>1535</v>
      </c>
      <c r="B2452" t="s">
        <v>3209</v>
      </c>
      <c r="C2452" t="s">
        <v>72</v>
      </c>
      <c r="D2452" t="s">
        <v>60</v>
      </c>
      <c r="E2452">
        <v>2200</v>
      </c>
      <c r="F2452">
        <v>5</v>
      </c>
      <c r="G2452">
        <v>5</v>
      </c>
      <c r="H2452">
        <v>1</v>
      </c>
      <c r="I2452">
        <v>1</v>
      </c>
      <c r="J2452">
        <v>0.90277383319132798</v>
      </c>
      <c r="K2452">
        <v>0.96513623362938405</v>
      </c>
      <c r="L2452">
        <v>0.93291401193467705</v>
      </c>
      <c r="M2452">
        <v>0.78630136986301402</v>
      </c>
      <c r="N2452">
        <v>1</v>
      </c>
      <c r="O2452">
        <v>0.84849315068493203</v>
      </c>
      <c r="P2452" t="s">
        <v>3084</v>
      </c>
      <c r="Q2452" t="s">
        <v>3085</v>
      </c>
      <c r="R2452" t="s">
        <v>213</v>
      </c>
      <c r="S2452" t="s">
        <v>214</v>
      </c>
      <c r="T2452" t="s">
        <v>3210</v>
      </c>
      <c r="U2452" t="s">
        <v>3211</v>
      </c>
      <c r="V2452" t="s">
        <v>3212</v>
      </c>
      <c r="W2452" t="s">
        <v>3213</v>
      </c>
      <c r="X2452" t="s">
        <v>3212</v>
      </c>
      <c r="Y2452" t="s">
        <v>710</v>
      </c>
      <c r="Z2452" t="s">
        <v>711</v>
      </c>
      <c r="AA2452" t="s">
        <v>712</v>
      </c>
      <c r="AB2452" t="s">
        <v>711</v>
      </c>
      <c r="AC2452" t="s">
        <v>713</v>
      </c>
      <c r="AD2452" t="s">
        <v>219</v>
      </c>
      <c r="AE2452" t="s">
        <v>3214</v>
      </c>
      <c r="AF2452" t="s">
        <v>3216</v>
      </c>
    </row>
    <row r="2453" spans="1:32" hidden="1" x14ac:dyDescent="0.35">
      <c r="A2453">
        <v>1536</v>
      </c>
      <c r="B2453" t="s">
        <v>3209</v>
      </c>
      <c r="C2453" t="s">
        <v>72</v>
      </c>
      <c r="D2453" t="s">
        <v>62</v>
      </c>
      <c r="E2453">
        <v>2232</v>
      </c>
      <c r="F2453">
        <v>5</v>
      </c>
      <c r="G2453">
        <v>5</v>
      </c>
      <c r="H2453">
        <v>1</v>
      </c>
      <c r="I2453">
        <v>1</v>
      </c>
      <c r="J2453">
        <v>0.90277383319132798</v>
      </c>
      <c r="K2453">
        <v>0.96513623362938405</v>
      </c>
      <c r="L2453">
        <v>0.93291401193467705</v>
      </c>
      <c r="M2453">
        <v>0.78630136986301402</v>
      </c>
      <c r="N2453">
        <v>1</v>
      </c>
      <c r="O2453">
        <v>0.84849315068493203</v>
      </c>
      <c r="P2453" t="s">
        <v>3084</v>
      </c>
      <c r="Q2453" t="s">
        <v>3085</v>
      </c>
      <c r="R2453" t="s">
        <v>213</v>
      </c>
      <c r="S2453" t="s">
        <v>214</v>
      </c>
      <c r="T2453" t="s">
        <v>3210</v>
      </c>
      <c r="U2453" t="s">
        <v>3211</v>
      </c>
      <c r="V2453" t="s">
        <v>3212</v>
      </c>
      <c r="W2453" t="s">
        <v>3213</v>
      </c>
      <c r="X2453" t="s">
        <v>3212</v>
      </c>
      <c r="Y2453" t="s">
        <v>710</v>
      </c>
      <c r="Z2453" t="s">
        <v>711</v>
      </c>
      <c r="AA2453" t="s">
        <v>712</v>
      </c>
      <c r="AB2453" t="s">
        <v>711</v>
      </c>
      <c r="AC2453" t="s">
        <v>713</v>
      </c>
      <c r="AD2453" t="s">
        <v>219</v>
      </c>
      <c r="AE2453" t="s">
        <v>3214</v>
      </c>
      <c r="AF2453" t="s">
        <v>3217</v>
      </c>
    </row>
    <row r="2454" spans="1:32" hidden="1" x14ac:dyDescent="0.35">
      <c r="A2454">
        <v>1537</v>
      </c>
      <c r="B2454" t="s">
        <v>3209</v>
      </c>
      <c r="C2454" t="s">
        <v>72</v>
      </c>
      <c r="D2454" t="s">
        <v>34</v>
      </c>
      <c r="E2454">
        <v>1570</v>
      </c>
      <c r="F2454">
        <v>5</v>
      </c>
      <c r="G2454">
        <v>5</v>
      </c>
      <c r="H2454">
        <v>1</v>
      </c>
      <c r="I2454">
        <v>1</v>
      </c>
      <c r="J2454">
        <v>0.90277383319132798</v>
      </c>
      <c r="K2454">
        <v>0.96513623362938405</v>
      </c>
      <c r="L2454">
        <v>0.93291401193467705</v>
      </c>
      <c r="M2454">
        <v>0.78630136986301402</v>
      </c>
      <c r="N2454">
        <v>1</v>
      </c>
      <c r="O2454">
        <v>0.84849315068493203</v>
      </c>
      <c r="P2454" t="s">
        <v>3084</v>
      </c>
      <c r="Q2454" t="s">
        <v>3085</v>
      </c>
      <c r="R2454" t="s">
        <v>213</v>
      </c>
      <c r="S2454" t="s">
        <v>214</v>
      </c>
      <c r="T2454" t="s">
        <v>3210</v>
      </c>
      <c r="U2454" t="s">
        <v>3211</v>
      </c>
      <c r="V2454" t="s">
        <v>3212</v>
      </c>
      <c r="W2454" t="s">
        <v>3213</v>
      </c>
      <c r="X2454" t="s">
        <v>3212</v>
      </c>
      <c r="Y2454" t="s">
        <v>710</v>
      </c>
      <c r="Z2454" t="s">
        <v>711</v>
      </c>
      <c r="AA2454" t="s">
        <v>712</v>
      </c>
      <c r="AB2454" t="s">
        <v>711</v>
      </c>
      <c r="AC2454" t="s">
        <v>713</v>
      </c>
      <c r="AD2454" t="s">
        <v>219</v>
      </c>
      <c r="AE2454" t="s">
        <v>3214</v>
      </c>
      <c r="AF2454" t="s">
        <v>3218</v>
      </c>
    </row>
    <row r="2455" spans="1:32" hidden="1" x14ac:dyDescent="0.35">
      <c r="A2455">
        <v>1538</v>
      </c>
      <c r="B2455" t="s">
        <v>3209</v>
      </c>
      <c r="C2455" t="s">
        <v>72</v>
      </c>
      <c r="D2455" t="s">
        <v>45</v>
      </c>
      <c r="E2455">
        <v>320</v>
      </c>
      <c r="F2455">
        <v>5</v>
      </c>
      <c r="G2455">
        <v>5</v>
      </c>
      <c r="H2455">
        <v>1</v>
      </c>
      <c r="I2455">
        <v>1</v>
      </c>
      <c r="J2455">
        <v>0.90277383319132798</v>
      </c>
      <c r="K2455">
        <v>0.96513623362938405</v>
      </c>
      <c r="L2455">
        <v>0.93291401193467705</v>
      </c>
      <c r="M2455">
        <v>0.78630136986301402</v>
      </c>
      <c r="N2455">
        <v>1</v>
      </c>
      <c r="O2455">
        <v>0.84849315068493203</v>
      </c>
      <c r="P2455" t="s">
        <v>3084</v>
      </c>
      <c r="Q2455" t="s">
        <v>3085</v>
      </c>
      <c r="R2455" t="s">
        <v>213</v>
      </c>
      <c r="S2455" t="s">
        <v>214</v>
      </c>
      <c r="T2455" t="s">
        <v>3210</v>
      </c>
      <c r="U2455" t="s">
        <v>3211</v>
      </c>
      <c r="V2455" t="s">
        <v>3212</v>
      </c>
      <c r="W2455" t="s">
        <v>3213</v>
      </c>
      <c r="X2455" t="s">
        <v>3212</v>
      </c>
      <c r="Y2455" t="s">
        <v>710</v>
      </c>
      <c r="Z2455" t="s">
        <v>711</v>
      </c>
      <c r="AA2455" t="s">
        <v>712</v>
      </c>
      <c r="AB2455" t="s">
        <v>711</v>
      </c>
      <c r="AC2455" t="s">
        <v>713</v>
      </c>
      <c r="AD2455" t="s">
        <v>219</v>
      </c>
      <c r="AE2455" t="s">
        <v>3214</v>
      </c>
      <c r="AF2455" t="s">
        <v>3218</v>
      </c>
    </row>
    <row r="2456" spans="1:32" hidden="1" x14ac:dyDescent="0.35">
      <c r="A2456">
        <v>1559</v>
      </c>
      <c r="B2456" t="s">
        <v>3270</v>
      </c>
      <c r="C2456" t="s">
        <v>72</v>
      </c>
      <c r="D2456" t="s">
        <v>58</v>
      </c>
      <c r="E2456">
        <v>1471</v>
      </c>
      <c r="F2456">
        <v>5</v>
      </c>
      <c r="G2456">
        <v>5</v>
      </c>
      <c r="H2456">
        <v>1</v>
      </c>
      <c r="I2456">
        <v>1</v>
      </c>
      <c r="J2456">
        <v>0.92696078431372597</v>
      </c>
      <c r="K2456">
        <v>1</v>
      </c>
      <c r="L2456">
        <v>0.96209615873823495</v>
      </c>
      <c r="M2456">
        <v>0.875</v>
      </c>
      <c r="N2456">
        <v>1</v>
      </c>
      <c r="O2456">
        <v>0.91029411764705903</v>
      </c>
      <c r="P2456" t="s">
        <v>3271</v>
      </c>
      <c r="Q2456" t="s">
        <v>3272</v>
      </c>
      <c r="R2456" t="s">
        <v>213</v>
      </c>
      <c r="S2456" t="s">
        <v>214</v>
      </c>
      <c r="T2456" t="s">
        <v>3273</v>
      </c>
      <c r="U2456" t="s">
        <v>3274</v>
      </c>
      <c r="V2456" t="s">
        <v>3275</v>
      </c>
      <c r="W2456" t="s">
        <v>3276</v>
      </c>
      <c r="X2456" t="s">
        <v>3275</v>
      </c>
      <c r="Y2456" t="s">
        <v>2301</v>
      </c>
      <c r="Z2456" t="s">
        <v>3277</v>
      </c>
      <c r="AA2456" t="s">
        <v>3278</v>
      </c>
      <c r="AB2456" t="s">
        <v>3277</v>
      </c>
      <c r="AC2456" t="s">
        <v>3279</v>
      </c>
      <c r="AD2456" t="s">
        <v>3280</v>
      </c>
      <c r="AE2456" t="s">
        <v>3281</v>
      </c>
      <c r="AF2456" t="s">
        <v>3282</v>
      </c>
    </row>
    <row r="2457" spans="1:32" hidden="1" x14ac:dyDescent="0.35">
      <c r="A2457">
        <v>1560</v>
      </c>
      <c r="B2457" t="s">
        <v>3270</v>
      </c>
      <c r="C2457" t="s">
        <v>72</v>
      </c>
      <c r="D2457" t="s">
        <v>60</v>
      </c>
      <c r="E2457">
        <v>1984</v>
      </c>
      <c r="F2457">
        <v>5</v>
      </c>
      <c r="G2457">
        <v>5</v>
      </c>
      <c r="H2457">
        <v>1</v>
      </c>
      <c r="I2457">
        <v>1</v>
      </c>
      <c r="J2457">
        <v>0.92696078431372597</v>
      </c>
      <c r="K2457">
        <v>1</v>
      </c>
      <c r="L2457">
        <v>0.96209615873823495</v>
      </c>
      <c r="M2457">
        <v>0.875</v>
      </c>
      <c r="N2457">
        <v>1</v>
      </c>
      <c r="O2457">
        <v>0.91029411764705903</v>
      </c>
      <c r="P2457" t="s">
        <v>3271</v>
      </c>
      <c r="Q2457" t="s">
        <v>3272</v>
      </c>
      <c r="R2457" t="s">
        <v>213</v>
      </c>
      <c r="S2457" t="s">
        <v>214</v>
      </c>
      <c r="T2457" t="s">
        <v>3273</v>
      </c>
      <c r="U2457" t="s">
        <v>3274</v>
      </c>
      <c r="V2457" t="s">
        <v>3275</v>
      </c>
      <c r="W2457" t="s">
        <v>3276</v>
      </c>
      <c r="X2457" t="s">
        <v>3275</v>
      </c>
      <c r="Y2457" t="s">
        <v>2301</v>
      </c>
      <c r="Z2457" t="s">
        <v>3277</v>
      </c>
      <c r="AA2457" t="s">
        <v>3278</v>
      </c>
      <c r="AB2457" t="s">
        <v>3277</v>
      </c>
      <c r="AC2457" t="s">
        <v>3279</v>
      </c>
      <c r="AD2457" t="s">
        <v>3280</v>
      </c>
      <c r="AE2457" t="s">
        <v>3281</v>
      </c>
      <c r="AF2457" t="s">
        <v>3283</v>
      </c>
    </row>
    <row r="2458" spans="1:32" hidden="1" x14ac:dyDescent="0.35">
      <c r="A2458">
        <v>1561</v>
      </c>
      <c r="B2458" t="s">
        <v>3270</v>
      </c>
      <c r="C2458" t="s">
        <v>72</v>
      </c>
      <c r="D2458" t="s">
        <v>62</v>
      </c>
      <c r="E2458">
        <v>2025</v>
      </c>
      <c r="F2458">
        <v>5</v>
      </c>
      <c r="G2458">
        <v>5</v>
      </c>
      <c r="H2458">
        <v>1</v>
      </c>
      <c r="I2458">
        <v>1</v>
      </c>
      <c r="J2458">
        <v>0.92696078431372597</v>
      </c>
      <c r="K2458">
        <v>1</v>
      </c>
      <c r="L2458">
        <v>0.96209615873823495</v>
      </c>
      <c r="M2458">
        <v>0.875</v>
      </c>
      <c r="N2458">
        <v>1</v>
      </c>
      <c r="O2458">
        <v>0.91029411764705903</v>
      </c>
      <c r="P2458" t="s">
        <v>3271</v>
      </c>
      <c r="Q2458" t="s">
        <v>3272</v>
      </c>
      <c r="R2458" t="s">
        <v>213</v>
      </c>
      <c r="S2458" t="s">
        <v>214</v>
      </c>
      <c r="T2458" t="s">
        <v>3273</v>
      </c>
      <c r="U2458" t="s">
        <v>3274</v>
      </c>
      <c r="V2458" t="s">
        <v>3275</v>
      </c>
      <c r="W2458" t="s">
        <v>3276</v>
      </c>
      <c r="X2458" t="s">
        <v>3275</v>
      </c>
      <c r="Y2458" t="s">
        <v>2301</v>
      </c>
      <c r="Z2458" t="s">
        <v>3277</v>
      </c>
      <c r="AA2458" t="s">
        <v>3278</v>
      </c>
      <c r="AB2458" t="s">
        <v>3277</v>
      </c>
      <c r="AC2458" t="s">
        <v>3279</v>
      </c>
      <c r="AD2458" t="s">
        <v>3280</v>
      </c>
      <c r="AE2458" t="s">
        <v>3281</v>
      </c>
      <c r="AF2458" t="s">
        <v>3283</v>
      </c>
    </row>
    <row r="2459" spans="1:32" hidden="1" x14ac:dyDescent="0.35">
      <c r="A2459">
        <v>1562</v>
      </c>
      <c r="B2459" t="s">
        <v>3270</v>
      </c>
      <c r="C2459" t="s">
        <v>72</v>
      </c>
      <c r="D2459" t="s">
        <v>34</v>
      </c>
      <c r="E2459">
        <v>2338</v>
      </c>
      <c r="F2459">
        <v>5</v>
      </c>
      <c r="G2459">
        <v>5</v>
      </c>
      <c r="H2459">
        <v>1</v>
      </c>
      <c r="I2459">
        <v>1</v>
      </c>
      <c r="J2459">
        <v>0.92696078431372597</v>
      </c>
      <c r="K2459">
        <v>1</v>
      </c>
      <c r="L2459">
        <v>0.96209615873823495</v>
      </c>
      <c r="M2459">
        <v>0.875</v>
      </c>
      <c r="N2459">
        <v>1</v>
      </c>
      <c r="O2459">
        <v>0.91029411764705903</v>
      </c>
      <c r="P2459" t="s">
        <v>3271</v>
      </c>
      <c r="Q2459" t="s">
        <v>3272</v>
      </c>
      <c r="R2459" t="s">
        <v>213</v>
      </c>
      <c r="S2459" t="s">
        <v>214</v>
      </c>
      <c r="T2459" t="s">
        <v>3273</v>
      </c>
      <c r="U2459" t="s">
        <v>3274</v>
      </c>
      <c r="V2459" t="s">
        <v>3275</v>
      </c>
      <c r="W2459" t="s">
        <v>3276</v>
      </c>
      <c r="X2459" t="s">
        <v>3275</v>
      </c>
      <c r="Y2459" t="s">
        <v>2301</v>
      </c>
      <c r="Z2459" t="s">
        <v>3277</v>
      </c>
      <c r="AA2459" t="s">
        <v>3278</v>
      </c>
      <c r="AB2459" t="s">
        <v>3277</v>
      </c>
      <c r="AC2459" t="s">
        <v>3279</v>
      </c>
      <c r="AD2459" t="s">
        <v>3280</v>
      </c>
      <c r="AE2459" t="s">
        <v>3281</v>
      </c>
      <c r="AF2459" t="s">
        <v>3284</v>
      </c>
    </row>
    <row r="2460" spans="1:32" hidden="1" x14ac:dyDescent="0.35">
      <c r="A2460">
        <v>1563</v>
      </c>
      <c r="B2460" t="s">
        <v>3270</v>
      </c>
      <c r="C2460" t="s">
        <v>72</v>
      </c>
      <c r="D2460" t="s">
        <v>45</v>
      </c>
      <c r="E2460">
        <v>541</v>
      </c>
      <c r="F2460">
        <v>5</v>
      </c>
      <c r="G2460">
        <v>5</v>
      </c>
      <c r="H2460">
        <v>1</v>
      </c>
      <c r="I2460">
        <v>1</v>
      </c>
      <c r="J2460">
        <v>0.92696078431372597</v>
      </c>
      <c r="K2460">
        <v>1</v>
      </c>
      <c r="L2460">
        <v>0.96209615873823495</v>
      </c>
      <c r="M2460">
        <v>0.875</v>
      </c>
      <c r="N2460">
        <v>1</v>
      </c>
      <c r="O2460">
        <v>0.91029411764705903</v>
      </c>
      <c r="P2460" t="s">
        <v>3271</v>
      </c>
      <c r="Q2460" t="s">
        <v>3272</v>
      </c>
      <c r="R2460" t="s">
        <v>213</v>
      </c>
      <c r="S2460" t="s">
        <v>214</v>
      </c>
      <c r="T2460" t="s">
        <v>3273</v>
      </c>
      <c r="U2460" t="s">
        <v>3274</v>
      </c>
      <c r="V2460" t="s">
        <v>3275</v>
      </c>
      <c r="W2460" t="s">
        <v>3276</v>
      </c>
      <c r="X2460" t="s">
        <v>3275</v>
      </c>
      <c r="Y2460" t="s">
        <v>2301</v>
      </c>
      <c r="Z2460" t="s">
        <v>3277</v>
      </c>
      <c r="AA2460" t="s">
        <v>3278</v>
      </c>
      <c r="AB2460" t="s">
        <v>3277</v>
      </c>
      <c r="AC2460" t="s">
        <v>3279</v>
      </c>
      <c r="AD2460" t="s">
        <v>3280</v>
      </c>
      <c r="AE2460" t="s">
        <v>3281</v>
      </c>
      <c r="AF2460" t="s">
        <v>3284</v>
      </c>
    </row>
    <row r="2461" spans="1:32" hidden="1" x14ac:dyDescent="0.35">
      <c r="A2461">
        <v>1579</v>
      </c>
      <c r="B2461" t="s">
        <v>3313</v>
      </c>
      <c r="C2461" t="s">
        <v>72</v>
      </c>
      <c r="D2461" t="s">
        <v>58</v>
      </c>
      <c r="E2461">
        <v>345</v>
      </c>
      <c r="F2461">
        <v>5</v>
      </c>
      <c r="G2461">
        <v>5</v>
      </c>
      <c r="H2461">
        <v>1</v>
      </c>
      <c r="I2461">
        <v>1</v>
      </c>
      <c r="J2461">
        <v>0.70493704440026494</v>
      </c>
      <c r="K2461">
        <v>0.93777874375135695</v>
      </c>
      <c r="L2461">
        <v>0.80485617863978098</v>
      </c>
      <c r="M2461">
        <v>0.46046511627907</v>
      </c>
      <c r="N2461">
        <v>1</v>
      </c>
      <c r="O2461">
        <v>0.61627906976744196</v>
      </c>
      <c r="P2461" t="s">
        <v>3314</v>
      </c>
      <c r="Q2461" t="s">
        <v>3315</v>
      </c>
      <c r="R2461" t="s">
        <v>213</v>
      </c>
      <c r="S2461" t="s">
        <v>214</v>
      </c>
      <c r="T2461" t="s">
        <v>3316</v>
      </c>
      <c r="U2461" t="s">
        <v>3317</v>
      </c>
      <c r="V2461" t="s">
        <v>3318</v>
      </c>
      <c r="W2461" t="s">
        <v>3319</v>
      </c>
      <c r="X2461" t="s">
        <v>3318</v>
      </c>
      <c r="Y2461" t="s">
        <v>3014</v>
      </c>
      <c r="Z2461" t="s">
        <v>3015</v>
      </c>
      <c r="AA2461" t="s">
        <v>3016</v>
      </c>
      <c r="AB2461" t="s">
        <v>3015</v>
      </c>
      <c r="AC2461" t="s">
        <v>2304</v>
      </c>
      <c r="AD2461" t="s">
        <v>219</v>
      </c>
      <c r="AE2461" t="s">
        <v>3320</v>
      </c>
      <c r="AF2461" t="s">
        <v>3321</v>
      </c>
    </row>
    <row r="2462" spans="1:32" hidden="1" x14ac:dyDescent="0.35">
      <c r="A2462">
        <v>1580</v>
      </c>
      <c r="B2462" t="s">
        <v>3313</v>
      </c>
      <c r="C2462" t="s">
        <v>72</v>
      </c>
      <c r="D2462" t="s">
        <v>60</v>
      </c>
      <c r="E2462">
        <v>582</v>
      </c>
      <c r="F2462">
        <v>5</v>
      </c>
      <c r="G2462">
        <v>5</v>
      </c>
      <c r="H2462">
        <v>1</v>
      </c>
      <c r="I2462">
        <v>1</v>
      </c>
      <c r="J2462">
        <v>0.70493704440026494</v>
      </c>
      <c r="K2462">
        <v>0.93777874375135695</v>
      </c>
      <c r="L2462">
        <v>0.80485617863978098</v>
      </c>
      <c r="M2462">
        <v>0.46046511627907</v>
      </c>
      <c r="N2462">
        <v>1</v>
      </c>
      <c r="O2462">
        <v>0.61627906976744196</v>
      </c>
      <c r="P2462" t="s">
        <v>3314</v>
      </c>
      <c r="Q2462" t="s">
        <v>3315</v>
      </c>
      <c r="R2462" t="s">
        <v>213</v>
      </c>
      <c r="S2462" t="s">
        <v>214</v>
      </c>
      <c r="T2462" t="s">
        <v>3316</v>
      </c>
      <c r="U2462" t="s">
        <v>3317</v>
      </c>
      <c r="V2462" t="s">
        <v>3318</v>
      </c>
      <c r="W2462" t="s">
        <v>3319</v>
      </c>
      <c r="X2462" t="s">
        <v>3318</v>
      </c>
      <c r="Y2462" t="s">
        <v>3014</v>
      </c>
      <c r="Z2462" t="s">
        <v>3015</v>
      </c>
      <c r="AA2462" t="s">
        <v>3016</v>
      </c>
      <c r="AB2462" t="s">
        <v>3015</v>
      </c>
      <c r="AC2462" t="s">
        <v>2304</v>
      </c>
      <c r="AD2462" t="s">
        <v>219</v>
      </c>
      <c r="AE2462" t="s">
        <v>3320</v>
      </c>
      <c r="AF2462" t="e">
        <f>----MIISIEGIDGAGKNTLVRALTSRIDAATL--TFPRYDTSIHAQLAARALHGQMGDLVDSAHGMATLFALDRYGAREVLDRYADS----DEVLLLDRYVASNAAYTAARLKDDAAFDWVYDLEFGQLGLPVPHLQVLLETSVDEASIRAQKREAYDATRTRDAYEKDGELQDRTFAAYQQLAAKQWASPWLT---SSDADDVSEHIIQVISS</f>
        <v>#NAME?</v>
      </c>
    </row>
    <row r="2463" spans="1:32" hidden="1" x14ac:dyDescent="0.35">
      <c r="A2463">
        <v>1581</v>
      </c>
      <c r="B2463" t="s">
        <v>3313</v>
      </c>
      <c r="C2463" t="s">
        <v>72</v>
      </c>
      <c r="D2463" t="s">
        <v>62</v>
      </c>
      <c r="E2463">
        <v>666</v>
      </c>
      <c r="F2463">
        <v>5</v>
      </c>
      <c r="G2463">
        <v>5</v>
      </c>
      <c r="H2463">
        <v>1</v>
      </c>
      <c r="I2463">
        <v>1</v>
      </c>
      <c r="J2463">
        <v>0.70493704440026494</v>
      </c>
      <c r="K2463">
        <v>0.93777874375135695</v>
      </c>
      <c r="L2463">
        <v>0.80485617863978098</v>
      </c>
      <c r="M2463">
        <v>0.46046511627907</v>
      </c>
      <c r="N2463">
        <v>1</v>
      </c>
      <c r="O2463">
        <v>0.61627906976744196</v>
      </c>
      <c r="P2463" t="s">
        <v>3314</v>
      </c>
      <c r="Q2463" t="s">
        <v>3315</v>
      </c>
      <c r="R2463" t="s">
        <v>213</v>
      </c>
      <c r="S2463" t="s">
        <v>214</v>
      </c>
      <c r="T2463" t="s">
        <v>3316</v>
      </c>
      <c r="U2463" t="s">
        <v>3317</v>
      </c>
      <c r="V2463" t="s">
        <v>3318</v>
      </c>
      <c r="W2463" t="s">
        <v>3319</v>
      </c>
      <c r="X2463" t="s">
        <v>3318</v>
      </c>
      <c r="Y2463" t="s">
        <v>3014</v>
      </c>
      <c r="Z2463" t="s">
        <v>3015</v>
      </c>
      <c r="AA2463" t="s">
        <v>3016</v>
      </c>
      <c r="AB2463" t="s">
        <v>3015</v>
      </c>
      <c r="AC2463" t="s">
        <v>2304</v>
      </c>
      <c r="AD2463" t="s">
        <v>219</v>
      </c>
      <c r="AE2463" t="s">
        <v>3320</v>
      </c>
      <c r="AF2463" t="e">
        <f>----MIISIEGIDGAGKNTLVRALTSRIDAATL--TFPRYDTSIHAQLAARALHGQMGDLVDSAHGMATLFALDRYGAREVLDRYADS----DEVLLLDRYVASNAAYTAARLKDDAAFDWVYDLEFGQLGLPVPHLQVLLETSVDEASIRAQQREAHDATRTRDAYEKDGGLQDRTFAAYQQLAAKQWASPWLT---SSDADDVSEHIIQVISS</f>
        <v>#NAME?</v>
      </c>
    </row>
    <row r="2464" spans="1:32" hidden="1" x14ac:dyDescent="0.35">
      <c r="A2464">
        <v>1582</v>
      </c>
      <c r="B2464" t="s">
        <v>3313</v>
      </c>
      <c r="C2464" t="s">
        <v>72</v>
      </c>
      <c r="D2464" t="s">
        <v>34</v>
      </c>
      <c r="E2464">
        <v>510</v>
      </c>
      <c r="F2464">
        <v>5</v>
      </c>
      <c r="G2464">
        <v>5</v>
      </c>
      <c r="H2464">
        <v>1</v>
      </c>
      <c r="I2464">
        <v>1</v>
      </c>
      <c r="J2464">
        <v>0.70493704440026494</v>
      </c>
      <c r="K2464">
        <v>0.93777874375135695</v>
      </c>
      <c r="L2464">
        <v>0.80485617863978098</v>
      </c>
      <c r="M2464">
        <v>0.46046511627907</v>
      </c>
      <c r="N2464">
        <v>1</v>
      </c>
      <c r="O2464">
        <v>0.61627906976744196</v>
      </c>
      <c r="P2464" t="s">
        <v>3314</v>
      </c>
      <c r="Q2464" t="s">
        <v>3315</v>
      </c>
      <c r="R2464" t="s">
        <v>213</v>
      </c>
      <c r="S2464" t="s">
        <v>214</v>
      </c>
      <c r="T2464" t="s">
        <v>3316</v>
      </c>
      <c r="U2464" t="s">
        <v>3317</v>
      </c>
      <c r="V2464" t="s">
        <v>3318</v>
      </c>
      <c r="W2464" t="s">
        <v>3319</v>
      </c>
      <c r="X2464" t="s">
        <v>3318</v>
      </c>
      <c r="Y2464" t="s">
        <v>3014</v>
      </c>
      <c r="Z2464" t="s">
        <v>3015</v>
      </c>
      <c r="AA2464" t="s">
        <v>3016</v>
      </c>
      <c r="AB2464" t="s">
        <v>3015</v>
      </c>
      <c r="AC2464" t="s">
        <v>2304</v>
      </c>
      <c r="AD2464" t="s">
        <v>219</v>
      </c>
      <c r="AE2464" t="s">
        <v>3320</v>
      </c>
      <c r="AF2464" t="s">
        <v>3322</v>
      </c>
    </row>
    <row r="2465" spans="1:32" hidden="1" x14ac:dyDescent="0.35">
      <c r="A2465">
        <v>1583</v>
      </c>
      <c r="B2465" t="s">
        <v>3313</v>
      </c>
      <c r="C2465" t="s">
        <v>72</v>
      </c>
      <c r="D2465" t="s">
        <v>45</v>
      </c>
      <c r="E2465">
        <v>1775</v>
      </c>
      <c r="F2465">
        <v>5</v>
      </c>
      <c r="G2465">
        <v>5</v>
      </c>
      <c r="H2465">
        <v>1</v>
      </c>
      <c r="I2465">
        <v>1</v>
      </c>
      <c r="J2465">
        <v>0.70493704440026494</v>
      </c>
      <c r="K2465">
        <v>0.93777874375135695</v>
      </c>
      <c r="L2465">
        <v>0.80485617863978098</v>
      </c>
      <c r="M2465">
        <v>0.46046511627907</v>
      </c>
      <c r="N2465">
        <v>1</v>
      </c>
      <c r="O2465">
        <v>0.61627906976744196</v>
      </c>
      <c r="P2465" t="s">
        <v>3314</v>
      </c>
      <c r="Q2465" t="s">
        <v>3315</v>
      </c>
      <c r="R2465" t="s">
        <v>213</v>
      </c>
      <c r="S2465" t="s">
        <v>214</v>
      </c>
      <c r="T2465" t="s">
        <v>3316</v>
      </c>
      <c r="U2465" t="s">
        <v>3317</v>
      </c>
      <c r="V2465" t="s">
        <v>3318</v>
      </c>
      <c r="W2465" t="s">
        <v>3319</v>
      </c>
      <c r="X2465" t="s">
        <v>3318</v>
      </c>
      <c r="Y2465" t="s">
        <v>3014</v>
      </c>
      <c r="Z2465" t="s">
        <v>3015</v>
      </c>
      <c r="AA2465" t="s">
        <v>3016</v>
      </c>
      <c r="AB2465" t="s">
        <v>3015</v>
      </c>
      <c r="AC2465" t="s">
        <v>2304</v>
      </c>
      <c r="AD2465" t="s">
        <v>219</v>
      </c>
      <c r="AE2465" t="s">
        <v>3320</v>
      </c>
      <c r="AF2465" t="s">
        <v>3322</v>
      </c>
    </row>
    <row r="2466" spans="1:32" hidden="1" x14ac:dyDescent="0.35">
      <c r="A2466">
        <v>1839</v>
      </c>
      <c r="B2466" t="s">
        <v>3813</v>
      </c>
      <c r="C2466" t="s">
        <v>72</v>
      </c>
      <c r="D2466" t="s">
        <v>58</v>
      </c>
      <c r="E2466">
        <v>720</v>
      </c>
      <c r="F2466">
        <v>5</v>
      </c>
      <c r="G2466">
        <v>5</v>
      </c>
      <c r="H2466">
        <v>1</v>
      </c>
      <c r="I2466">
        <v>1</v>
      </c>
      <c r="J2466">
        <v>0.80952380952380998</v>
      </c>
      <c r="K2466">
        <v>0.91278710825093001</v>
      </c>
      <c r="L2466">
        <v>0.85805981896720296</v>
      </c>
      <c r="M2466">
        <v>0.595667870036101</v>
      </c>
      <c r="N2466">
        <v>1</v>
      </c>
      <c r="O2466">
        <v>0.72779783393501796</v>
      </c>
      <c r="P2466" t="s">
        <v>3814</v>
      </c>
      <c r="Q2466" t="s">
        <v>3815</v>
      </c>
      <c r="R2466" t="s">
        <v>213</v>
      </c>
      <c r="S2466" t="s">
        <v>214</v>
      </c>
      <c r="V2466" t="s">
        <v>3816</v>
      </c>
      <c r="W2466" t="s">
        <v>3817</v>
      </c>
      <c r="AF2466" t="s">
        <v>3818</v>
      </c>
    </row>
    <row r="2467" spans="1:32" hidden="1" x14ac:dyDescent="0.35">
      <c r="A2467">
        <v>1840</v>
      </c>
      <c r="B2467" t="s">
        <v>3813</v>
      </c>
      <c r="C2467" t="s">
        <v>72</v>
      </c>
      <c r="D2467" t="s">
        <v>60</v>
      </c>
      <c r="E2467">
        <v>934</v>
      </c>
      <c r="F2467">
        <v>5</v>
      </c>
      <c r="G2467">
        <v>5</v>
      </c>
      <c r="H2467">
        <v>1</v>
      </c>
      <c r="I2467">
        <v>1</v>
      </c>
      <c r="J2467">
        <v>0.80952380952380998</v>
      </c>
      <c r="K2467">
        <v>0.91278710825093001</v>
      </c>
      <c r="L2467">
        <v>0.85805981896720296</v>
      </c>
      <c r="M2467">
        <v>0.595667870036101</v>
      </c>
      <c r="N2467">
        <v>1</v>
      </c>
      <c r="O2467">
        <v>0.72779783393501796</v>
      </c>
      <c r="P2467" t="s">
        <v>3814</v>
      </c>
      <c r="Q2467" t="s">
        <v>3815</v>
      </c>
      <c r="R2467" t="s">
        <v>213</v>
      </c>
      <c r="S2467" t="s">
        <v>214</v>
      </c>
      <c r="V2467" t="s">
        <v>3816</v>
      </c>
      <c r="W2467" t="s">
        <v>3817</v>
      </c>
      <c r="AF2467" t="s">
        <v>3819</v>
      </c>
    </row>
    <row r="2468" spans="1:32" hidden="1" x14ac:dyDescent="0.35">
      <c r="A2468">
        <v>1841</v>
      </c>
      <c r="B2468" t="s">
        <v>3813</v>
      </c>
      <c r="C2468" t="s">
        <v>72</v>
      </c>
      <c r="D2468" t="s">
        <v>62</v>
      </c>
      <c r="E2468">
        <v>970</v>
      </c>
      <c r="F2468">
        <v>5</v>
      </c>
      <c r="G2468">
        <v>5</v>
      </c>
      <c r="H2468">
        <v>1</v>
      </c>
      <c r="I2468">
        <v>1</v>
      </c>
      <c r="J2468">
        <v>0.80952380952380998</v>
      </c>
      <c r="K2468">
        <v>0.91278710825093001</v>
      </c>
      <c r="L2468">
        <v>0.85805981896720296</v>
      </c>
      <c r="M2468">
        <v>0.595667870036101</v>
      </c>
      <c r="N2468">
        <v>1</v>
      </c>
      <c r="O2468">
        <v>0.72779783393501796</v>
      </c>
      <c r="P2468" t="s">
        <v>3814</v>
      </c>
      <c r="Q2468" t="s">
        <v>3815</v>
      </c>
      <c r="R2468" t="s">
        <v>213</v>
      </c>
      <c r="S2468" t="s">
        <v>214</v>
      </c>
      <c r="V2468" t="s">
        <v>3816</v>
      </c>
      <c r="W2468" t="s">
        <v>3817</v>
      </c>
      <c r="AF2468" t="s">
        <v>3820</v>
      </c>
    </row>
    <row r="2469" spans="1:32" hidden="1" x14ac:dyDescent="0.35">
      <c r="A2469">
        <v>1842</v>
      </c>
      <c r="B2469" t="s">
        <v>3813</v>
      </c>
      <c r="C2469" t="s">
        <v>72</v>
      </c>
      <c r="D2469" t="s">
        <v>34</v>
      </c>
      <c r="E2469">
        <v>227</v>
      </c>
      <c r="F2469">
        <v>5</v>
      </c>
      <c r="G2469">
        <v>5</v>
      </c>
      <c r="H2469">
        <v>1</v>
      </c>
      <c r="I2469">
        <v>1</v>
      </c>
      <c r="J2469">
        <v>0.80952380952380998</v>
      </c>
      <c r="K2469">
        <v>0.91278710825093001</v>
      </c>
      <c r="L2469">
        <v>0.85805981896720296</v>
      </c>
      <c r="M2469">
        <v>0.595667870036101</v>
      </c>
      <c r="N2469">
        <v>1</v>
      </c>
      <c r="O2469">
        <v>0.72779783393501796</v>
      </c>
      <c r="P2469" t="s">
        <v>3814</v>
      </c>
      <c r="Q2469" t="s">
        <v>3815</v>
      </c>
      <c r="R2469" t="s">
        <v>213</v>
      </c>
      <c r="S2469" t="s">
        <v>214</v>
      </c>
      <c r="V2469" t="s">
        <v>3816</v>
      </c>
      <c r="W2469" t="s">
        <v>3817</v>
      </c>
      <c r="AF2469" t="s">
        <v>3821</v>
      </c>
    </row>
    <row r="2470" spans="1:32" hidden="1" x14ac:dyDescent="0.35">
      <c r="A2470">
        <v>1843</v>
      </c>
      <c r="B2470" t="s">
        <v>3813</v>
      </c>
      <c r="C2470" t="s">
        <v>72</v>
      </c>
      <c r="D2470" t="s">
        <v>45</v>
      </c>
      <c r="E2470">
        <v>1490</v>
      </c>
      <c r="F2470">
        <v>5</v>
      </c>
      <c r="G2470">
        <v>5</v>
      </c>
      <c r="H2470">
        <v>1</v>
      </c>
      <c r="I2470">
        <v>1</v>
      </c>
      <c r="J2470">
        <v>0.80952380952380998</v>
      </c>
      <c r="K2470">
        <v>0.91278710825093001</v>
      </c>
      <c r="L2470">
        <v>0.85805981896720296</v>
      </c>
      <c r="M2470">
        <v>0.595667870036101</v>
      </c>
      <c r="N2470">
        <v>1</v>
      </c>
      <c r="O2470">
        <v>0.72779783393501796</v>
      </c>
      <c r="P2470" t="s">
        <v>3814</v>
      </c>
      <c r="Q2470" t="s">
        <v>3815</v>
      </c>
      <c r="R2470" t="s">
        <v>213</v>
      </c>
      <c r="S2470" t="s">
        <v>214</v>
      </c>
      <c r="V2470" t="s">
        <v>3816</v>
      </c>
      <c r="W2470" t="s">
        <v>3817</v>
      </c>
      <c r="AF2470" t="s">
        <v>3821</v>
      </c>
    </row>
    <row r="2471" spans="1:32" hidden="1" x14ac:dyDescent="0.35">
      <c r="A2471">
        <v>1904</v>
      </c>
      <c r="B2471" t="s">
        <v>3941</v>
      </c>
      <c r="C2471" t="s">
        <v>72</v>
      </c>
      <c r="D2471" t="s">
        <v>58</v>
      </c>
      <c r="E2471">
        <v>1639</v>
      </c>
      <c r="F2471">
        <v>5</v>
      </c>
      <c r="G2471">
        <v>5</v>
      </c>
      <c r="H2471">
        <v>1</v>
      </c>
      <c r="I2471">
        <v>1</v>
      </c>
      <c r="J2471">
        <v>0.86388384754990899</v>
      </c>
      <c r="K2471">
        <v>0.918446433078005</v>
      </c>
      <c r="L2471">
        <v>0.890329976435559</v>
      </c>
      <c r="M2471">
        <v>0.71217712177121795</v>
      </c>
      <c r="N2471">
        <v>1</v>
      </c>
      <c r="O2471">
        <v>0.78099630996309999</v>
      </c>
      <c r="P2471" t="s">
        <v>3942</v>
      </c>
      <c r="Q2471" t="s">
        <v>3943</v>
      </c>
      <c r="R2471" t="s">
        <v>213</v>
      </c>
      <c r="S2471" t="s">
        <v>214</v>
      </c>
      <c r="T2471" t="s">
        <v>3944</v>
      </c>
      <c r="U2471" t="s">
        <v>3945</v>
      </c>
      <c r="V2471" t="s">
        <v>3946</v>
      </c>
      <c r="W2471" t="s">
        <v>3947</v>
      </c>
      <c r="X2471" t="s">
        <v>3946</v>
      </c>
      <c r="Y2471" t="s">
        <v>710</v>
      </c>
      <c r="Z2471" t="s">
        <v>711</v>
      </c>
      <c r="AA2471" t="s">
        <v>712</v>
      </c>
      <c r="AB2471" t="s">
        <v>711</v>
      </c>
      <c r="AC2471" t="s">
        <v>713</v>
      </c>
      <c r="AD2471" t="s">
        <v>3948</v>
      </c>
      <c r="AE2471" t="s">
        <v>3949</v>
      </c>
      <c r="AF2471" t="s">
        <v>3950</v>
      </c>
    </row>
    <row r="2472" spans="1:32" hidden="1" x14ac:dyDescent="0.35">
      <c r="A2472">
        <v>1905</v>
      </c>
      <c r="B2472" t="s">
        <v>3941</v>
      </c>
      <c r="C2472" t="s">
        <v>72</v>
      </c>
      <c r="D2472" t="s">
        <v>60</v>
      </c>
      <c r="E2472">
        <v>2201</v>
      </c>
      <c r="F2472">
        <v>5</v>
      </c>
      <c r="G2472">
        <v>5</v>
      </c>
      <c r="H2472">
        <v>1</v>
      </c>
      <c r="I2472">
        <v>1</v>
      </c>
      <c r="J2472">
        <v>0.86388384754990899</v>
      </c>
      <c r="K2472">
        <v>0.918446433078005</v>
      </c>
      <c r="L2472">
        <v>0.890329976435559</v>
      </c>
      <c r="M2472">
        <v>0.71217712177121795</v>
      </c>
      <c r="N2472">
        <v>1</v>
      </c>
      <c r="O2472">
        <v>0.78099630996309999</v>
      </c>
      <c r="P2472" t="s">
        <v>3942</v>
      </c>
      <c r="Q2472" t="s">
        <v>3943</v>
      </c>
      <c r="R2472" t="s">
        <v>213</v>
      </c>
      <c r="S2472" t="s">
        <v>214</v>
      </c>
      <c r="T2472" t="s">
        <v>3944</v>
      </c>
      <c r="U2472" t="s">
        <v>3945</v>
      </c>
      <c r="V2472" t="s">
        <v>3946</v>
      </c>
      <c r="W2472" t="s">
        <v>3947</v>
      </c>
      <c r="X2472" t="s">
        <v>3946</v>
      </c>
      <c r="Y2472" t="s">
        <v>710</v>
      </c>
      <c r="Z2472" t="s">
        <v>711</v>
      </c>
      <c r="AA2472" t="s">
        <v>712</v>
      </c>
      <c r="AB2472" t="s">
        <v>711</v>
      </c>
      <c r="AC2472" t="s">
        <v>713</v>
      </c>
      <c r="AD2472" t="s">
        <v>3948</v>
      </c>
      <c r="AE2472" t="s">
        <v>3949</v>
      </c>
      <c r="AF2472" t="s">
        <v>3951</v>
      </c>
    </row>
    <row r="2473" spans="1:32" hidden="1" x14ac:dyDescent="0.35">
      <c r="A2473">
        <v>1906</v>
      </c>
      <c r="B2473" t="s">
        <v>3941</v>
      </c>
      <c r="C2473" t="s">
        <v>72</v>
      </c>
      <c r="D2473" t="s">
        <v>62</v>
      </c>
      <c r="E2473">
        <v>2233</v>
      </c>
      <c r="F2473">
        <v>5</v>
      </c>
      <c r="G2473">
        <v>5</v>
      </c>
      <c r="H2473">
        <v>1</v>
      </c>
      <c r="I2473">
        <v>1</v>
      </c>
      <c r="J2473">
        <v>0.86388384754990899</v>
      </c>
      <c r="K2473">
        <v>0.918446433078005</v>
      </c>
      <c r="L2473">
        <v>0.890329976435559</v>
      </c>
      <c r="M2473">
        <v>0.71217712177121795</v>
      </c>
      <c r="N2473">
        <v>1</v>
      </c>
      <c r="O2473">
        <v>0.78099630996309999</v>
      </c>
      <c r="P2473" t="s">
        <v>3942</v>
      </c>
      <c r="Q2473" t="s">
        <v>3943</v>
      </c>
      <c r="R2473" t="s">
        <v>213</v>
      </c>
      <c r="S2473" t="s">
        <v>214</v>
      </c>
      <c r="T2473" t="s">
        <v>3944</v>
      </c>
      <c r="U2473" t="s">
        <v>3945</v>
      </c>
      <c r="V2473" t="s">
        <v>3946</v>
      </c>
      <c r="W2473" t="s">
        <v>3947</v>
      </c>
      <c r="X2473" t="s">
        <v>3946</v>
      </c>
      <c r="Y2473" t="s">
        <v>710</v>
      </c>
      <c r="Z2473" t="s">
        <v>711</v>
      </c>
      <c r="AA2473" t="s">
        <v>712</v>
      </c>
      <c r="AB2473" t="s">
        <v>711</v>
      </c>
      <c r="AC2473" t="s">
        <v>713</v>
      </c>
      <c r="AD2473" t="s">
        <v>3948</v>
      </c>
      <c r="AE2473" t="s">
        <v>3949</v>
      </c>
      <c r="AF2473" t="s">
        <v>3952</v>
      </c>
    </row>
    <row r="2474" spans="1:32" hidden="1" x14ac:dyDescent="0.35">
      <c r="A2474">
        <v>1907</v>
      </c>
      <c r="B2474" t="s">
        <v>3941</v>
      </c>
      <c r="C2474" t="s">
        <v>72</v>
      </c>
      <c r="D2474" t="s">
        <v>34</v>
      </c>
      <c r="E2474">
        <v>1569</v>
      </c>
      <c r="F2474">
        <v>5</v>
      </c>
      <c r="G2474">
        <v>5</v>
      </c>
      <c r="H2474">
        <v>1</v>
      </c>
      <c r="I2474">
        <v>1</v>
      </c>
      <c r="J2474">
        <v>0.86388384754990899</v>
      </c>
      <c r="K2474">
        <v>0.918446433078005</v>
      </c>
      <c r="L2474">
        <v>0.890329976435559</v>
      </c>
      <c r="M2474">
        <v>0.71217712177121795</v>
      </c>
      <c r="N2474">
        <v>1</v>
      </c>
      <c r="O2474">
        <v>0.78099630996309999</v>
      </c>
      <c r="P2474" t="s">
        <v>3942</v>
      </c>
      <c r="Q2474" t="s">
        <v>3943</v>
      </c>
      <c r="R2474" t="s">
        <v>213</v>
      </c>
      <c r="S2474" t="s">
        <v>214</v>
      </c>
      <c r="T2474" t="s">
        <v>3944</v>
      </c>
      <c r="U2474" t="s">
        <v>3945</v>
      </c>
      <c r="V2474" t="s">
        <v>3946</v>
      </c>
      <c r="W2474" t="s">
        <v>3947</v>
      </c>
      <c r="X2474" t="s">
        <v>3946</v>
      </c>
      <c r="Y2474" t="s">
        <v>710</v>
      </c>
      <c r="Z2474" t="s">
        <v>711</v>
      </c>
      <c r="AA2474" t="s">
        <v>712</v>
      </c>
      <c r="AB2474" t="s">
        <v>711</v>
      </c>
      <c r="AC2474" t="s">
        <v>713</v>
      </c>
      <c r="AD2474" t="s">
        <v>3948</v>
      </c>
      <c r="AE2474" t="s">
        <v>3949</v>
      </c>
      <c r="AF2474" t="s">
        <v>3953</v>
      </c>
    </row>
    <row r="2475" spans="1:32" hidden="1" x14ac:dyDescent="0.35">
      <c r="A2475">
        <v>1908</v>
      </c>
      <c r="B2475" t="s">
        <v>3941</v>
      </c>
      <c r="C2475" t="s">
        <v>72</v>
      </c>
      <c r="D2475" t="s">
        <v>45</v>
      </c>
      <c r="E2475">
        <v>319</v>
      </c>
      <c r="F2475">
        <v>5</v>
      </c>
      <c r="G2475">
        <v>5</v>
      </c>
      <c r="H2475">
        <v>1</v>
      </c>
      <c r="I2475">
        <v>1</v>
      </c>
      <c r="J2475">
        <v>0.86388384754990899</v>
      </c>
      <c r="K2475">
        <v>0.918446433078005</v>
      </c>
      <c r="L2475">
        <v>0.890329976435559</v>
      </c>
      <c r="M2475">
        <v>0.71217712177121795</v>
      </c>
      <c r="N2475">
        <v>1</v>
      </c>
      <c r="O2475">
        <v>0.78099630996309999</v>
      </c>
      <c r="P2475" t="s">
        <v>3942</v>
      </c>
      <c r="Q2475" t="s">
        <v>3943</v>
      </c>
      <c r="R2475" t="s">
        <v>213</v>
      </c>
      <c r="S2475" t="s">
        <v>214</v>
      </c>
      <c r="T2475" t="s">
        <v>3944</v>
      </c>
      <c r="U2475" t="s">
        <v>3945</v>
      </c>
      <c r="V2475" t="s">
        <v>3946</v>
      </c>
      <c r="W2475" t="s">
        <v>3947</v>
      </c>
      <c r="X2475" t="s">
        <v>3946</v>
      </c>
      <c r="Y2475" t="s">
        <v>710</v>
      </c>
      <c r="Z2475" t="s">
        <v>711</v>
      </c>
      <c r="AA2475" t="s">
        <v>712</v>
      </c>
      <c r="AB2475" t="s">
        <v>711</v>
      </c>
      <c r="AC2475" t="s">
        <v>713</v>
      </c>
      <c r="AD2475" t="s">
        <v>3948</v>
      </c>
      <c r="AE2475" t="s">
        <v>3949</v>
      </c>
      <c r="AF2475" t="s">
        <v>3953</v>
      </c>
    </row>
    <row r="2476" spans="1:32" hidden="1" x14ac:dyDescent="0.35">
      <c r="A2476">
        <v>1929</v>
      </c>
      <c r="B2476" t="s">
        <v>4001</v>
      </c>
      <c r="C2476" t="s">
        <v>72</v>
      </c>
      <c r="D2476" t="s">
        <v>58</v>
      </c>
      <c r="E2476">
        <v>1167</v>
      </c>
      <c r="F2476">
        <v>5</v>
      </c>
      <c r="G2476">
        <v>5</v>
      </c>
      <c r="H2476">
        <v>1</v>
      </c>
      <c r="I2476">
        <v>1</v>
      </c>
      <c r="J2476">
        <v>0.89533278099972402</v>
      </c>
      <c r="K2476">
        <v>0.99345645002210803</v>
      </c>
      <c r="L2476">
        <v>0.94184582545422801</v>
      </c>
      <c r="M2476">
        <v>0.82304526748971196</v>
      </c>
      <c r="N2476">
        <v>1</v>
      </c>
      <c r="O2476">
        <v>0.86419753086419704</v>
      </c>
      <c r="P2476" t="s">
        <v>1130</v>
      </c>
      <c r="Q2476" t="s">
        <v>1131</v>
      </c>
      <c r="R2476" t="s">
        <v>213</v>
      </c>
      <c r="S2476" t="s">
        <v>214</v>
      </c>
      <c r="T2476" t="s">
        <v>4002</v>
      </c>
      <c r="U2476" t="s">
        <v>4003</v>
      </c>
      <c r="V2476" t="s">
        <v>4004</v>
      </c>
      <c r="W2476" t="s">
        <v>4005</v>
      </c>
      <c r="X2476" t="s">
        <v>4004</v>
      </c>
      <c r="Y2476" t="s">
        <v>2301</v>
      </c>
      <c r="Z2476" t="s">
        <v>4006</v>
      </c>
      <c r="AA2476" t="s">
        <v>4007</v>
      </c>
      <c r="AB2476" t="s">
        <v>4006</v>
      </c>
      <c r="AC2476" t="s">
        <v>2304</v>
      </c>
      <c r="AD2476" t="s">
        <v>219</v>
      </c>
      <c r="AE2476" t="s">
        <v>4008</v>
      </c>
      <c r="AF2476" t="e">
        <f>----MAEQREGFKRVMLKLGGEMFGGGNVGIDPDVVENVARQIAEVSRSGTEVAVVIGGGNFFRGAELQQRGMDRNRSDYMGMLGTVMNCLALQDFLQQEGIDCRVQTAINMAQVAEPYLPLRAKRHLEKGRVVIFGAGMGMPYFSTDTTAAQRALEIDCDVLLMAKAVDGVYDADPRINPNAKLFSEITPAECIARGLKVADATAFSLCMDNNMPILVFNLLTQGNIARAVSGESIGTLVRS</f>
        <v>#NAME?</v>
      </c>
    </row>
    <row r="2477" spans="1:32" hidden="1" x14ac:dyDescent="0.35">
      <c r="A2477">
        <v>1930</v>
      </c>
      <c r="B2477" t="s">
        <v>4001</v>
      </c>
      <c r="C2477" t="s">
        <v>72</v>
      </c>
      <c r="D2477" t="s">
        <v>60</v>
      </c>
      <c r="E2477">
        <v>1603</v>
      </c>
      <c r="F2477">
        <v>5</v>
      </c>
      <c r="G2477">
        <v>5</v>
      </c>
      <c r="H2477">
        <v>1</v>
      </c>
      <c r="I2477">
        <v>1</v>
      </c>
      <c r="J2477">
        <v>0.89533278099972402</v>
      </c>
      <c r="K2477">
        <v>0.99345645002210803</v>
      </c>
      <c r="L2477">
        <v>0.94184582545422801</v>
      </c>
      <c r="M2477">
        <v>0.82304526748971196</v>
      </c>
      <c r="N2477">
        <v>1</v>
      </c>
      <c r="O2477">
        <v>0.86419753086419704</v>
      </c>
      <c r="P2477" t="s">
        <v>1130</v>
      </c>
      <c r="Q2477" t="s">
        <v>1131</v>
      </c>
      <c r="R2477" t="s">
        <v>213</v>
      </c>
      <c r="S2477" t="s">
        <v>214</v>
      </c>
      <c r="T2477" t="s">
        <v>4002</v>
      </c>
      <c r="U2477" t="s">
        <v>4003</v>
      </c>
      <c r="V2477" t="s">
        <v>4004</v>
      </c>
      <c r="W2477" t="s">
        <v>4005</v>
      </c>
      <c r="X2477" t="s">
        <v>4004</v>
      </c>
      <c r="Y2477" t="s">
        <v>2301</v>
      </c>
      <c r="Z2477" t="s">
        <v>4006</v>
      </c>
      <c r="AA2477" t="s">
        <v>4007</v>
      </c>
      <c r="AB2477" t="s">
        <v>4006</v>
      </c>
      <c r="AC2477" t="s">
        <v>2304</v>
      </c>
      <c r="AD2477" t="s">
        <v>219</v>
      </c>
      <c r="AE2477" t="s">
        <v>4008</v>
      </c>
      <c r="AF2477" t="s">
        <v>4009</v>
      </c>
    </row>
    <row r="2478" spans="1:32" hidden="1" x14ac:dyDescent="0.35">
      <c r="A2478">
        <v>1931</v>
      </c>
      <c r="B2478" t="s">
        <v>4001</v>
      </c>
      <c r="C2478" t="s">
        <v>72</v>
      </c>
      <c r="D2478" t="s">
        <v>62</v>
      </c>
      <c r="E2478">
        <v>1639</v>
      </c>
      <c r="F2478">
        <v>5</v>
      </c>
      <c r="G2478">
        <v>5</v>
      </c>
      <c r="H2478">
        <v>1</v>
      </c>
      <c r="I2478">
        <v>1</v>
      </c>
      <c r="J2478">
        <v>0.89533278099972402</v>
      </c>
      <c r="K2478">
        <v>0.99345645002210803</v>
      </c>
      <c r="L2478">
        <v>0.94184582545422801</v>
      </c>
      <c r="M2478">
        <v>0.82304526748971196</v>
      </c>
      <c r="N2478">
        <v>1</v>
      </c>
      <c r="O2478">
        <v>0.86419753086419704</v>
      </c>
      <c r="P2478" t="s">
        <v>1130</v>
      </c>
      <c r="Q2478" t="s">
        <v>1131</v>
      </c>
      <c r="R2478" t="s">
        <v>213</v>
      </c>
      <c r="S2478" t="s">
        <v>214</v>
      </c>
      <c r="T2478" t="s">
        <v>4002</v>
      </c>
      <c r="U2478" t="s">
        <v>4003</v>
      </c>
      <c r="V2478" t="s">
        <v>4004</v>
      </c>
      <c r="W2478" t="s">
        <v>4005</v>
      </c>
      <c r="X2478" t="s">
        <v>4004</v>
      </c>
      <c r="Y2478" t="s">
        <v>2301</v>
      </c>
      <c r="Z2478" t="s">
        <v>4006</v>
      </c>
      <c r="AA2478" t="s">
        <v>4007</v>
      </c>
      <c r="AB2478" t="s">
        <v>4006</v>
      </c>
      <c r="AC2478" t="s">
        <v>2304</v>
      </c>
      <c r="AD2478" t="s">
        <v>219</v>
      </c>
      <c r="AE2478" t="s">
        <v>4008</v>
      </c>
      <c r="AF2478" t="s">
        <v>4009</v>
      </c>
    </row>
    <row r="2479" spans="1:32" hidden="1" x14ac:dyDescent="0.35">
      <c r="A2479">
        <v>1932</v>
      </c>
      <c r="B2479" t="s">
        <v>4001</v>
      </c>
      <c r="C2479" t="s">
        <v>72</v>
      </c>
      <c r="D2479" t="s">
        <v>34</v>
      </c>
      <c r="E2479">
        <v>1998</v>
      </c>
      <c r="F2479">
        <v>5</v>
      </c>
      <c r="G2479">
        <v>5</v>
      </c>
      <c r="H2479">
        <v>1</v>
      </c>
      <c r="I2479">
        <v>1</v>
      </c>
      <c r="J2479">
        <v>0.89533278099972402</v>
      </c>
      <c r="K2479">
        <v>0.99345645002210803</v>
      </c>
      <c r="L2479">
        <v>0.94184582545422801</v>
      </c>
      <c r="M2479">
        <v>0.82304526748971196</v>
      </c>
      <c r="N2479">
        <v>1</v>
      </c>
      <c r="O2479">
        <v>0.86419753086419704</v>
      </c>
      <c r="P2479" t="s">
        <v>1130</v>
      </c>
      <c r="Q2479" t="s">
        <v>1131</v>
      </c>
      <c r="R2479" t="s">
        <v>213</v>
      </c>
      <c r="S2479" t="s">
        <v>214</v>
      </c>
      <c r="T2479" t="s">
        <v>4002</v>
      </c>
      <c r="U2479" t="s">
        <v>4003</v>
      </c>
      <c r="V2479" t="s">
        <v>4004</v>
      </c>
      <c r="W2479" t="s">
        <v>4005</v>
      </c>
      <c r="X2479" t="s">
        <v>4004</v>
      </c>
      <c r="Y2479" t="s">
        <v>2301</v>
      </c>
      <c r="Z2479" t="s">
        <v>4006</v>
      </c>
      <c r="AA2479" t="s">
        <v>4007</v>
      </c>
      <c r="AB2479" t="s">
        <v>4006</v>
      </c>
      <c r="AC2479" t="s">
        <v>2304</v>
      </c>
      <c r="AD2479" t="s">
        <v>219</v>
      </c>
      <c r="AE2479" t="s">
        <v>4008</v>
      </c>
      <c r="AF2479" t="s">
        <v>4010</v>
      </c>
    </row>
    <row r="2480" spans="1:32" hidden="1" x14ac:dyDescent="0.35">
      <c r="A2480">
        <v>1933</v>
      </c>
      <c r="B2480" t="s">
        <v>4001</v>
      </c>
      <c r="C2480" t="s">
        <v>72</v>
      </c>
      <c r="D2480" t="s">
        <v>45</v>
      </c>
      <c r="E2480">
        <v>875</v>
      </c>
      <c r="F2480">
        <v>5</v>
      </c>
      <c r="G2480">
        <v>5</v>
      </c>
      <c r="H2480">
        <v>1</v>
      </c>
      <c r="I2480">
        <v>1</v>
      </c>
      <c r="J2480">
        <v>0.89533278099972402</v>
      </c>
      <c r="K2480">
        <v>0.99345645002210803</v>
      </c>
      <c r="L2480">
        <v>0.94184582545422801</v>
      </c>
      <c r="M2480">
        <v>0.82304526748971196</v>
      </c>
      <c r="N2480">
        <v>1</v>
      </c>
      <c r="O2480">
        <v>0.86419753086419704</v>
      </c>
      <c r="P2480" t="s">
        <v>1130</v>
      </c>
      <c r="Q2480" t="s">
        <v>1131</v>
      </c>
      <c r="R2480" t="s">
        <v>213</v>
      </c>
      <c r="S2480" t="s">
        <v>214</v>
      </c>
      <c r="T2480" t="s">
        <v>4002</v>
      </c>
      <c r="U2480" t="s">
        <v>4003</v>
      </c>
      <c r="V2480" t="s">
        <v>4004</v>
      </c>
      <c r="W2480" t="s">
        <v>4005</v>
      </c>
      <c r="X2480" t="s">
        <v>4004</v>
      </c>
      <c r="Y2480" t="s">
        <v>2301</v>
      </c>
      <c r="Z2480" t="s">
        <v>4006</v>
      </c>
      <c r="AA2480" t="s">
        <v>4007</v>
      </c>
      <c r="AB2480" t="s">
        <v>4006</v>
      </c>
      <c r="AC2480" t="s">
        <v>2304</v>
      </c>
      <c r="AD2480" t="s">
        <v>219</v>
      </c>
      <c r="AE2480" t="s">
        <v>4008</v>
      </c>
      <c r="AF2480" t="s">
        <v>4010</v>
      </c>
    </row>
    <row r="2481" spans="1:32" hidden="1" x14ac:dyDescent="0.35">
      <c r="A2481">
        <v>2054</v>
      </c>
      <c r="B2481" t="s">
        <v>4270</v>
      </c>
      <c r="C2481" t="s">
        <v>72</v>
      </c>
      <c r="D2481" t="s">
        <v>58</v>
      </c>
      <c r="E2481">
        <v>1518</v>
      </c>
      <c r="F2481">
        <v>5</v>
      </c>
      <c r="G2481">
        <v>5</v>
      </c>
      <c r="H2481">
        <v>1</v>
      </c>
      <c r="I2481">
        <v>1</v>
      </c>
      <c r="J2481">
        <v>0.89459629280552899</v>
      </c>
      <c r="K2481">
        <v>0.97816180235535199</v>
      </c>
      <c r="L2481">
        <v>0.93451463316291195</v>
      </c>
      <c r="M2481">
        <v>0.79262672811059898</v>
      </c>
      <c r="N2481">
        <v>1</v>
      </c>
      <c r="O2481">
        <v>0.84562211981566804</v>
      </c>
      <c r="P2481" t="s">
        <v>4271</v>
      </c>
      <c r="Q2481" t="s">
        <v>4272</v>
      </c>
      <c r="R2481" t="s">
        <v>213</v>
      </c>
      <c r="S2481" t="s">
        <v>214</v>
      </c>
      <c r="T2481" t="s">
        <v>4273</v>
      </c>
      <c r="U2481" t="s">
        <v>4274</v>
      </c>
      <c r="V2481" t="s">
        <v>4275</v>
      </c>
      <c r="W2481" t="s">
        <v>4276</v>
      </c>
      <c r="X2481" t="s">
        <v>4275</v>
      </c>
      <c r="Y2481" t="s">
        <v>840</v>
      </c>
      <c r="AD2481" t="s">
        <v>219</v>
      </c>
      <c r="AE2481" t="s">
        <v>4277</v>
      </c>
      <c r="AF2481" t="e">
        <f>---MALMDITVCDHPLVASRLTLMRDARSDNAAFRAALKDLGAMLIFEASRDLRVEVFDVATPVATAKGVRLEKPPIIVPVIRAGLGMVDPALSMIPDAQVGFIGIARNEKTHEPVPYLEALPDDLTGQPVFVVDPMLATGGSLLHAIRLLVERGATDITAVCMVSAQPGVDALAESGLPVRLVTATIDPELNADAYIVPGLGDAGDRLYGPRNIDL</f>
        <v>#NAME?</v>
      </c>
    </row>
    <row r="2482" spans="1:32" hidden="1" x14ac:dyDescent="0.35">
      <c r="A2482">
        <v>2055</v>
      </c>
      <c r="B2482" t="s">
        <v>4270</v>
      </c>
      <c r="C2482" t="s">
        <v>72</v>
      </c>
      <c r="D2482" t="s">
        <v>60</v>
      </c>
      <c r="E2482">
        <v>523</v>
      </c>
      <c r="F2482">
        <v>5</v>
      </c>
      <c r="G2482">
        <v>5</v>
      </c>
      <c r="H2482">
        <v>1</v>
      </c>
      <c r="I2482">
        <v>1</v>
      </c>
      <c r="J2482">
        <v>0.89459629280552899</v>
      </c>
      <c r="K2482">
        <v>0.97816180235535199</v>
      </c>
      <c r="L2482">
        <v>0.93451463316291195</v>
      </c>
      <c r="M2482">
        <v>0.79262672811059898</v>
      </c>
      <c r="N2482">
        <v>1</v>
      </c>
      <c r="O2482">
        <v>0.84562211981566804</v>
      </c>
      <c r="P2482" t="s">
        <v>4271</v>
      </c>
      <c r="Q2482" t="s">
        <v>4272</v>
      </c>
      <c r="R2482" t="s">
        <v>213</v>
      </c>
      <c r="S2482" t="s">
        <v>214</v>
      </c>
      <c r="T2482" t="s">
        <v>4273</v>
      </c>
      <c r="U2482" t="s">
        <v>4274</v>
      </c>
      <c r="V2482" t="s">
        <v>4275</v>
      </c>
      <c r="W2482" t="s">
        <v>4276</v>
      </c>
      <c r="X2482" t="s">
        <v>4275</v>
      </c>
      <c r="Y2482" t="s">
        <v>840</v>
      </c>
      <c r="AD2482" t="s">
        <v>219</v>
      </c>
      <c r="AE2482" t="s">
        <v>4277</v>
      </c>
      <c r="AF2482" t="s">
        <v>4278</v>
      </c>
    </row>
    <row r="2483" spans="1:32" hidden="1" x14ac:dyDescent="0.35">
      <c r="A2483">
        <v>2056</v>
      </c>
      <c r="B2483" t="s">
        <v>4270</v>
      </c>
      <c r="C2483" t="s">
        <v>72</v>
      </c>
      <c r="D2483" t="s">
        <v>62</v>
      </c>
      <c r="E2483">
        <v>607</v>
      </c>
      <c r="F2483">
        <v>5</v>
      </c>
      <c r="G2483">
        <v>5</v>
      </c>
      <c r="H2483">
        <v>1</v>
      </c>
      <c r="I2483">
        <v>1</v>
      </c>
      <c r="J2483">
        <v>0.89459629280552899</v>
      </c>
      <c r="K2483">
        <v>0.97816180235535199</v>
      </c>
      <c r="L2483">
        <v>0.93451463316291195</v>
      </c>
      <c r="M2483">
        <v>0.79262672811059898</v>
      </c>
      <c r="N2483">
        <v>1</v>
      </c>
      <c r="O2483">
        <v>0.84562211981566804</v>
      </c>
      <c r="P2483" t="s">
        <v>4271</v>
      </c>
      <c r="Q2483" t="s">
        <v>4272</v>
      </c>
      <c r="R2483" t="s">
        <v>213</v>
      </c>
      <c r="S2483" t="s">
        <v>214</v>
      </c>
      <c r="T2483" t="s">
        <v>4273</v>
      </c>
      <c r="U2483" t="s">
        <v>4274</v>
      </c>
      <c r="V2483" t="s">
        <v>4275</v>
      </c>
      <c r="W2483" t="s">
        <v>4276</v>
      </c>
      <c r="X2483" t="s">
        <v>4275</v>
      </c>
      <c r="Y2483" t="s">
        <v>840</v>
      </c>
      <c r="AD2483" t="s">
        <v>219</v>
      </c>
      <c r="AE2483" t="s">
        <v>4277</v>
      </c>
      <c r="AF2483" t="s">
        <v>4278</v>
      </c>
    </row>
    <row r="2484" spans="1:32" hidden="1" x14ac:dyDescent="0.35">
      <c r="A2484">
        <v>2057</v>
      </c>
      <c r="B2484" t="s">
        <v>4270</v>
      </c>
      <c r="C2484" t="s">
        <v>72</v>
      </c>
      <c r="D2484" t="s">
        <v>34</v>
      </c>
      <c r="E2484">
        <v>573</v>
      </c>
      <c r="F2484">
        <v>5</v>
      </c>
      <c r="G2484">
        <v>5</v>
      </c>
      <c r="H2484">
        <v>1</v>
      </c>
      <c r="I2484">
        <v>1</v>
      </c>
      <c r="J2484">
        <v>0.89459629280552899</v>
      </c>
      <c r="K2484">
        <v>0.97816180235535199</v>
      </c>
      <c r="L2484">
        <v>0.93451463316291195</v>
      </c>
      <c r="M2484">
        <v>0.79262672811059898</v>
      </c>
      <c r="N2484">
        <v>1</v>
      </c>
      <c r="O2484">
        <v>0.84562211981566804</v>
      </c>
      <c r="P2484" t="s">
        <v>4271</v>
      </c>
      <c r="Q2484" t="s">
        <v>4272</v>
      </c>
      <c r="R2484" t="s">
        <v>213</v>
      </c>
      <c r="S2484" t="s">
        <v>214</v>
      </c>
      <c r="T2484" t="s">
        <v>4273</v>
      </c>
      <c r="U2484" t="s">
        <v>4274</v>
      </c>
      <c r="V2484" t="s">
        <v>4275</v>
      </c>
      <c r="W2484" t="s">
        <v>4276</v>
      </c>
      <c r="X2484" t="s">
        <v>4275</v>
      </c>
      <c r="Y2484" t="s">
        <v>840</v>
      </c>
      <c r="AD2484" t="s">
        <v>219</v>
      </c>
      <c r="AE2484" t="s">
        <v>4277</v>
      </c>
      <c r="AF2484" t="e">
        <f>------MDILLVDHPLVAARLSIMRDERTNNSSFRAALADLGTMLIYEASRDLRVEQFPLTTPVAATTGTRLADPPIIVPVVRAGLGMIDPALKMIPDAQVGFIGLARNEVTHEPVPYLEALPDDLSGRTVFVVDPMLATGGSLLHAVRILADRGATDITAVCMVSAQPGVDALAHSGLPVRLVTATIDPELNDDAYIVPGLGDAGDRLYGPRNIDL</f>
        <v>#NAME?</v>
      </c>
    </row>
    <row r="2485" spans="1:32" hidden="1" x14ac:dyDescent="0.35">
      <c r="A2485">
        <v>2058</v>
      </c>
      <c r="B2485" t="s">
        <v>4270</v>
      </c>
      <c r="C2485" t="s">
        <v>72</v>
      </c>
      <c r="D2485" t="s">
        <v>45</v>
      </c>
      <c r="E2485">
        <v>1839</v>
      </c>
      <c r="F2485">
        <v>5</v>
      </c>
      <c r="G2485">
        <v>5</v>
      </c>
      <c r="H2485">
        <v>1</v>
      </c>
      <c r="I2485">
        <v>1</v>
      </c>
      <c r="J2485">
        <v>0.89459629280552899</v>
      </c>
      <c r="K2485">
        <v>0.97816180235535199</v>
      </c>
      <c r="L2485">
        <v>0.93451463316291195</v>
      </c>
      <c r="M2485">
        <v>0.79262672811059898</v>
      </c>
      <c r="N2485">
        <v>1</v>
      </c>
      <c r="O2485">
        <v>0.84562211981566804</v>
      </c>
      <c r="P2485" t="s">
        <v>4271</v>
      </c>
      <c r="Q2485" t="s">
        <v>4272</v>
      </c>
      <c r="R2485" t="s">
        <v>213</v>
      </c>
      <c r="S2485" t="s">
        <v>214</v>
      </c>
      <c r="T2485" t="s">
        <v>4273</v>
      </c>
      <c r="U2485" t="s">
        <v>4274</v>
      </c>
      <c r="V2485" t="s">
        <v>4275</v>
      </c>
      <c r="W2485" t="s">
        <v>4276</v>
      </c>
      <c r="X2485" t="s">
        <v>4275</v>
      </c>
      <c r="Y2485" t="s">
        <v>840</v>
      </c>
      <c r="AD2485" t="s">
        <v>219</v>
      </c>
      <c r="AE2485" t="s">
        <v>4277</v>
      </c>
      <c r="AF2485" t="e">
        <f>------MDILLVDHPLVAARLSIMRDERTNNSSFRAALADLGTMLIYEASRDLRVEQFPLTTPVAATTGTRLADPPIIVPVVRAGLGMIDPALKMIPDAQVGFIGLARNEVTHEPVPYLEALPDDLSGRTVFVVDPMLATGGSLLHAVRILADRGATDITAVCMVSAQPGVDALAHSGLPVRLVTATIDPELNEDAYIVPGLGDAGDRLYGPRNIDL</f>
        <v>#NAME?</v>
      </c>
    </row>
    <row r="2486" spans="1:32" hidden="1" x14ac:dyDescent="0.35">
      <c r="A2486">
        <v>2404</v>
      </c>
      <c r="B2486" t="s">
        <v>4996</v>
      </c>
      <c r="C2486" t="s">
        <v>72</v>
      </c>
      <c r="D2486" t="s">
        <v>58</v>
      </c>
      <c r="E2486">
        <v>1044</v>
      </c>
      <c r="F2486">
        <v>5</v>
      </c>
      <c r="G2486">
        <v>5</v>
      </c>
      <c r="H2486">
        <v>1</v>
      </c>
      <c r="I2486">
        <v>1</v>
      </c>
      <c r="J2486">
        <v>0.76828371922087502</v>
      </c>
      <c r="K2486">
        <v>0.92767660910518102</v>
      </c>
      <c r="L2486">
        <v>0.84048998502341699</v>
      </c>
      <c r="M2486">
        <v>0.57142857142857095</v>
      </c>
      <c r="N2486">
        <v>1</v>
      </c>
      <c r="O2486">
        <v>0.67704081632653101</v>
      </c>
      <c r="P2486" t="s">
        <v>4997</v>
      </c>
      <c r="Q2486" t="s">
        <v>4998</v>
      </c>
      <c r="R2486" t="s">
        <v>213</v>
      </c>
      <c r="S2486" t="s">
        <v>214</v>
      </c>
      <c r="T2486" t="s">
        <v>4999</v>
      </c>
      <c r="U2486" t="s">
        <v>5000</v>
      </c>
      <c r="V2486" t="s">
        <v>5001</v>
      </c>
      <c r="W2486" t="s">
        <v>5002</v>
      </c>
      <c r="X2486" t="s">
        <v>5001</v>
      </c>
      <c r="Y2486" t="s">
        <v>5003</v>
      </c>
      <c r="AD2486" t="s">
        <v>1157</v>
      </c>
      <c r="AE2486" t="s">
        <v>5004</v>
      </c>
      <c r="AF2486" t="s">
        <v>5005</v>
      </c>
    </row>
    <row r="2487" spans="1:32" hidden="1" x14ac:dyDescent="0.35">
      <c r="A2487">
        <v>2405</v>
      </c>
      <c r="B2487" t="s">
        <v>4996</v>
      </c>
      <c r="C2487" t="s">
        <v>72</v>
      </c>
      <c r="D2487" t="s">
        <v>60</v>
      </c>
      <c r="E2487">
        <v>1414</v>
      </c>
      <c r="F2487">
        <v>5</v>
      </c>
      <c r="G2487">
        <v>5</v>
      </c>
      <c r="H2487">
        <v>1</v>
      </c>
      <c r="I2487">
        <v>1</v>
      </c>
      <c r="J2487">
        <v>0.76828371922087502</v>
      </c>
      <c r="K2487">
        <v>0.92767660910518102</v>
      </c>
      <c r="L2487">
        <v>0.84048998502341699</v>
      </c>
      <c r="M2487">
        <v>0.57142857142857095</v>
      </c>
      <c r="N2487">
        <v>1</v>
      </c>
      <c r="O2487">
        <v>0.67704081632653101</v>
      </c>
      <c r="P2487" t="s">
        <v>4997</v>
      </c>
      <c r="Q2487" t="s">
        <v>4998</v>
      </c>
      <c r="R2487" t="s">
        <v>213</v>
      </c>
      <c r="S2487" t="s">
        <v>214</v>
      </c>
      <c r="T2487" t="s">
        <v>4999</v>
      </c>
      <c r="U2487" t="s">
        <v>5000</v>
      </c>
      <c r="V2487" t="s">
        <v>5001</v>
      </c>
      <c r="W2487" t="s">
        <v>5002</v>
      </c>
      <c r="X2487" t="s">
        <v>5001</v>
      </c>
      <c r="Y2487" t="s">
        <v>5003</v>
      </c>
      <c r="AD2487" t="s">
        <v>1157</v>
      </c>
      <c r="AE2487" t="s">
        <v>5004</v>
      </c>
      <c r="AF2487" t="e">
        <f>------MTYTTVREALADLIRLVPDFPAEGVIFEDLTPVLANKDGLRMVIDALAAAAERYDADLIGGLDARGFLLGSAVAYKLGLGIVAIRKKGKLPPPVFTEEYALEYGVAALEIPAEGIPLAGQKVVLIDDVLATGGTLVAARSLLERRGATVVGHAVVLEVAGLGGRDKLGDTPLTVVNADGEEGGNNKGADS</f>
        <v>#NAME?</v>
      </c>
    </row>
    <row r="2488" spans="1:32" hidden="1" x14ac:dyDescent="0.35">
      <c r="A2488">
        <v>2406</v>
      </c>
      <c r="B2488" t="s">
        <v>4996</v>
      </c>
      <c r="C2488" t="s">
        <v>72</v>
      </c>
      <c r="D2488" t="s">
        <v>62</v>
      </c>
      <c r="E2488">
        <v>1449</v>
      </c>
      <c r="F2488">
        <v>5</v>
      </c>
      <c r="G2488">
        <v>5</v>
      </c>
      <c r="H2488">
        <v>1</v>
      </c>
      <c r="I2488">
        <v>1</v>
      </c>
      <c r="J2488">
        <v>0.76828371922087502</v>
      </c>
      <c r="K2488">
        <v>0.92767660910518102</v>
      </c>
      <c r="L2488">
        <v>0.84048998502341699</v>
      </c>
      <c r="M2488">
        <v>0.57142857142857095</v>
      </c>
      <c r="N2488">
        <v>1</v>
      </c>
      <c r="O2488">
        <v>0.67704081632653101</v>
      </c>
      <c r="P2488" t="s">
        <v>4997</v>
      </c>
      <c r="Q2488" t="s">
        <v>4998</v>
      </c>
      <c r="R2488" t="s">
        <v>213</v>
      </c>
      <c r="S2488" t="s">
        <v>214</v>
      </c>
      <c r="T2488" t="s">
        <v>4999</v>
      </c>
      <c r="U2488" t="s">
        <v>5000</v>
      </c>
      <c r="V2488" t="s">
        <v>5001</v>
      </c>
      <c r="W2488" t="s">
        <v>5002</v>
      </c>
      <c r="X2488" t="s">
        <v>5001</v>
      </c>
      <c r="Y2488" t="s">
        <v>5003</v>
      </c>
      <c r="AD2488" t="s">
        <v>1157</v>
      </c>
      <c r="AE2488" t="s">
        <v>5004</v>
      </c>
      <c r="AF2488" t="e">
        <f>------MTYTTVREALADLIRLVPDFPAEGVIFEDLTPVLANKDGLRMVIDALAAAAERYDADLIGGLDARGFLLGSAVAYKLGLGIVAIRKKGKLPPPVFTEEYALEYGVAALEIPAEGIPLAGQKVVLIDDVLATGGTLVAARSLLERRGATVVGHAVVLEVAGLGGRDKLGDTPLTVVNADGEEGGNNKGADS</f>
        <v>#NAME?</v>
      </c>
    </row>
    <row r="2489" spans="1:32" hidden="1" x14ac:dyDescent="0.35">
      <c r="A2489">
        <v>2407</v>
      </c>
      <c r="B2489" t="s">
        <v>4996</v>
      </c>
      <c r="C2489" t="s">
        <v>72</v>
      </c>
      <c r="D2489" t="s">
        <v>34</v>
      </c>
      <c r="E2489">
        <v>1842</v>
      </c>
      <c r="F2489">
        <v>5</v>
      </c>
      <c r="G2489">
        <v>5</v>
      </c>
      <c r="H2489">
        <v>1</v>
      </c>
      <c r="I2489">
        <v>1</v>
      </c>
      <c r="J2489">
        <v>0.76828371922087502</v>
      </c>
      <c r="K2489">
        <v>0.92767660910518102</v>
      </c>
      <c r="L2489">
        <v>0.84048998502341699</v>
      </c>
      <c r="M2489">
        <v>0.57142857142857095</v>
      </c>
      <c r="N2489">
        <v>1</v>
      </c>
      <c r="O2489">
        <v>0.67704081632653101</v>
      </c>
      <c r="P2489" t="s">
        <v>4997</v>
      </c>
      <c r="Q2489" t="s">
        <v>4998</v>
      </c>
      <c r="R2489" t="s">
        <v>213</v>
      </c>
      <c r="S2489" t="s">
        <v>214</v>
      </c>
      <c r="T2489" t="s">
        <v>4999</v>
      </c>
      <c r="U2489" t="s">
        <v>5000</v>
      </c>
      <c r="V2489" t="s">
        <v>5001</v>
      </c>
      <c r="W2489" t="s">
        <v>5002</v>
      </c>
      <c r="X2489" t="s">
        <v>5001</v>
      </c>
      <c r="Y2489" t="s">
        <v>5003</v>
      </c>
      <c r="AD2489" t="s">
        <v>1157</v>
      </c>
      <c r="AE2489" t="s">
        <v>5004</v>
      </c>
      <c r="AF2489" t="s">
        <v>5006</v>
      </c>
    </row>
    <row r="2490" spans="1:32" hidden="1" x14ac:dyDescent="0.35">
      <c r="A2490">
        <v>2408</v>
      </c>
      <c r="B2490" t="s">
        <v>4996</v>
      </c>
      <c r="C2490" t="s">
        <v>72</v>
      </c>
      <c r="D2490" t="s">
        <v>45</v>
      </c>
      <c r="E2490">
        <v>1031</v>
      </c>
      <c r="F2490">
        <v>5</v>
      </c>
      <c r="G2490">
        <v>5</v>
      </c>
      <c r="H2490">
        <v>1</v>
      </c>
      <c r="I2490">
        <v>1</v>
      </c>
      <c r="J2490">
        <v>0.76828371922087502</v>
      </c>
      <c r="K2490">
        <v>0.92767660910518102</v>
      </c>
      <c r="L2490">
        <v>0.84048998502341699</v>
      </c>
      <c r="M2490">
        <v>0.57142857142857095</v>
      </c>
      <c r="N2490">
        <v>1</v>
      </c>
      <c r="O2490">
        <v>0.67704081632653101</v>
      </c>
      <c r="P2490" t="s">
        <v>4997</v>
      </c>
      <c r="Q2490" t="s">
        <v>4998</v>
      </c>
      <c r="R2490" t="s">
        <v>213</v>
      </c>
      <c r="S2490" t="s">
        <v>214</v>
      </c>
      <c r="T2490" t="s">
        <v>4999</v>
      </c>
      <c r="U2490" t="s">
        <v>5000</v>
      </c>
      <c r="V2490" t="s">
        <v>5001</v>
      </c>
      <c r="W2490" t="s">
        <v>5002</v>
      </c>
      <c r="X2490" t="s">
        <v>5001</v>
      </c>
      <c r="Y2490" t="s">
        <v>5003</v>
      </c>
      <c r="AD2490" t="s">
        <v>1157</v>
      </c>
      <c r="AE2490" t="s">
        <v>5004</v>
      </c>
      <c r="AF2490" t="s">
        <v>5007</v>
      </c>
    </row>
    <row r="2491" spans="1:32" hidden="1" x14ac:dyDescent="0.35">
      <c r="A2491">
        <v>2569</v>
      </c>
      <c r="B2491" t="s">
        <v>5313</v>
      </c>
      <c r="C2491" t="s">
        <v>72</v>
      </c>
      <c r="D2491" t="s">
        <v>58</v>
      </c>
      <c r="E2491">
        <v>1734</v>
      </c>
      <c r="F2491">
        <v>5</v>
      </c>
      <c r="G2491">
        <v>5</v>
      </c>
      <c r="H2491">
        <v>1</v>
      </c>
      <c r="I2491">
        <v>1</v>
      </c>
      <c r="J2491">
        <v>0.95641684177757003</v>
      </c>
      <c r="K2491">
        <v>0.99836829836829499</v>
      </c>
      <c r="L2491">
        <v>0.97694241197782095</v>
      </c>
      <c r="M2491">
        <v>0.91375291375291401</v>
      </c>
      <c r="N2491">
        <v>1</v>
      </c>
      <c r="O2491">
        <v>0.93706293706293697</v>
      </c>
      <c r="P2491" t="s">
        <v>5314</v>
      </c>
      <c r="Q2491" t="s">
        <v>5315</v>
      </c>
      <c r="R2491" t="s">
        <v>213</v>
      </c>
      <c r="S2491" t="s">
        <v>214</v>
      </c>
      <c r="T2491" t="s">
        <v>5316</v>
      </c>
      <c r="U2491" t="s">
        <v>5317</v>
      </c>
      <c r="V2491" t="s">
        <v>5318</v>
      </c>
      <c r="W2491" t="s">
        <v>5319</v>
      </c>
      <c r="X2491" t="s">
        <v>5318</v>
      </c>
      <c r="Y2491" t="s">
        <v>710</v>
      </c>
      <c r="Z2491" t="s">
        <v>5320</v>
      </c>
      <c r="AA2491" t="s">
        <v>5321</v>
      </c>
      <c r="AB2491" t="s">
        <v>5320</v>
      </c>
      <c r="AC2491" t="s">
        <v>713</v>
      </c>
      <c r="AD2491" t="s">
        <v>245</v>
      </c>
      <c r="AE2491" t="s">
        <v>5322</v>
      </c>
      <c r="AF2491" t="s">
        <v>5323</v>
      </c>
    </row>
    <row r="2492" spans="1:32" hidden="1" x14ac:dyDescent="0.35">
      <c r="A2492">
        <v>2570</v>
      </c>
      <c r="B2492" t="s">
        <v>5313</v>
      </c>
      <c r="C2492" t="s">
        <v>72</v>
      </c>
      <c r="D2492" t="s">
        <v>60</v>
      </c>
      <c r="E2492">
        <v>2336</v>
      </c>
      <c r="F2492">
        <v>5</v>
      </c>
      <c r="G2492">
        <v>5</v>
      </c>
      <c r="H2492">
        <v>1</v>
      </c>
      <c r="I2492">
        <v>1</v>
      </c>
      <c r="J2492">
        <v>0.95641684177757003</v>
      </c>
      <c r="K2492">
        <v>0.99836829836829499</v>
      </c>
      <c r="L2492">
        <v>0.97694241197782095</v>
      </c>
      <c r="M2492">
        <v>0.91375291375291401</v>
      </c>
      <c r="N2492">
        <v>1</v>
      </c>
      <c r="O2492">
        <v>0.93706293706293697</v>
      </c>
      <c r="P2492" t="s">
        <v>5314</v>
      </c>
      <c r="Q2492" t="s">
        <v>5315</v>
      </c>
      <c r="R2492" t="s">
        <v>213</v>
      </c>
      <c r="S2492" t="s">
        <v>214</v>
      </c>
      <c r="T2492" t="s">
        <v>5316</v>
      </c>
      <c r="U2492" t="s">
        <v>5317</v>
      </c>
      <c r="V2492" t="s">
        <v>5318</v>
      </c>
      <c r="W2492" t="s">
        <v>5319</v>
      </c>
      <c r="X2492" t="s">
        <v>5318</v>
      </c>
      <c r="Y2492" t="s">
        <v>710</v>
      </c>
      <c r="Z2492" t="s">
        <v>5320</v>
      </c>
      <c r="AA2492" t="s">
        <v>5321</v>
      </c>
      <c r="AB2492" t="s">
        <v>5320</v>
      </c>
      <c r="AC2492" t="s">
        <v>713</v>
      </c>
      <c r="AD2492" t="s">
        <v>245</v>
      </c>
      <c r="AE2492" t="s">
        <v>5322</v>
      </c>
      <c r="AF2492" t="s">
        <v>5324</v>
      </c>
    </row>
    <row r="2493" spans="1:32" hidden="1" x14ac:dyDescent="0.35">
      <c r="A2493">
        <v>2571</v>
      </c>
      <c r="B2493" t="s">
        <v>5313</v>
      </c>
      <c r="C2493" t="s">
        <v>72</v>
      </c>
      <c r="D2493" t="s">
        <v>62</v>
      </c>
      <c r="E2493">
        <v>2364</v>
      </c>
      <c r="F2493">
        <v>5</v>
      </c>
      <c r="G2493">
        <v>5</v>
      </c>
      <c r="H2493">
        <v>1</v>
      </c>
      <c r="I2493">
        <v>1</v>
      </c>
      <c r="J2493">
        <v>0.95641684177757003</v>
      </c>
      <c r="K2493">
        <v>0.99836829836829499</v>
      </c>
      <c r="L2493">
        <v>0.97694241197782095</v>
      </c>
      <c r="M2493">
        <v>0.91375291375291401</v>
      </c>
      <c r="N2493">
        <v>1</v>
      </c>
      <c r="O2493">
        <v>0.93706293706293697</v>
      </c>
      <c r="P2493" t="s">
        <v>5314</v>
      </c>
      <c r="Q2493" t="s">
        <v>5315</v>
      </c>
      <c r="R2493" t="s">
        <v>213</v>
      </c>
      <c r="S2493" t="s">
        <v>214</v>
      </c>
      <c r="T2493" t="s">
        <v>5316</v>
      </c>
      <c r="U2493" t="s">
        <v>5317</v>
      </c>
      <c r="V2493" t="s">
        <v>5318</v>
      </c>
      <c r="W2493" t="s">
        <v>5319</v>
      </c>
      <c r="X2493" t="s">
        <v>5318</v>
      </c>
      <c r="Y2493" t="s">
        <v>710</v>
      </c>
      <c r="Z2493" t="s">
        <v>5320</v>
      </c>
      <c r="AA2493" t="s">
        <v>5321</v>
      </c>
      <c r="AB2493" t="s">
        <v>5320</v>
      </c>
      <c r="AC2493" t="s">
        <v>713</v>
      </c>
      <c r="AD2493" t="s">
        <v>245</v>
      </c>
      <c r="AE2493" t="s">
        <v>5322</v>
      </c>
      <c r="AF2493" t="s">
        <v>5324</v>
      </c>
    </row>
    <row r="2494" spans="1:32" hidden="1" x14ac:dyDescent="0.35">
      <c r="A2494">
        <v>2572</v>
      </c>
      <c r="B2494" t="s">
        <v>5313</v>
      </c>
      <c r="C2494" t="s">
        <v>72</v>
      </c>
      <c r="D2494" t="s">
        <v>34</v>
      </c>
      <c r="E2494">
        <v>1459</v>
      </c>
      <c r="F2494">
        <v>5</v>
      </c>
      <c r="G2494">
        <v>5</v>
      </c>
      <c r="H2494">
        <v>1</v>
      </c>
      <c r="I2494">
        <v>1</v>
      </c>
      <c r="J2494">
        <v>0.95641684177757003</v>
      </c>
      <c r="K2494">
        <v>0.99836829836829499</v>
      </c>
      <c r="L2494">
        <v>0.97694241197782095</v>
      </c>
      <c r="M2494">
        <v>0.91375291375291401</v>
      </c>
      <c r="N2494">
        <v>1</v>
      </c>
      <c r="O2494">
        <v>0.93706293706293697</v>
      </c>
      <c r="P2494" t="s">
        <v>5314</v>
      </c>
      <c r="Q2494" t="s">
        <v>5315</v>
      </c>
      <c r="R2494" t="s">
        <v>213</v>
      </c>
      <c r="S2494" t="s">
        <v>214</v>
      </c>
      <c r="T2494" t="s">
        <v>5316</v>
      </c>
      <c r="U2494" t="s">
        <v>5317</v>
      </c>
      <c r="V2494" t="s">
        <v>5318</v>
      </c>
      <c r="W2494" t="s">
        <v>5319</v>
      </c>
      <c r="X2494" t="s">
        <v>5318</v>
      </c>
      <c r="Y2494" t="s">
        <v>710</v>
      </c>
      <c r="Z2494" t="s">
        <v>5320</v>
      </c>
      <c r="AA2494" t="s">
        <v>5321</v>
      </c>
      <c r="AB2494" t="s">
        <v>5320</v>
      </c>
      <c r="AC2494" t="s">
        <v>713</v>
      </c>
      <c r="AD2494" t="s">
        <v>245</v>
      </c>
      <c r="AE2494" t="s">
        <v>5322</v>
      </c>
      <c r="AF2494" t="s">
        <v>5325</v>
      </c>
    </row>
    <row r="2495" spans="1:32" hidden="1" x14ac:dyDescent="0.35">
      <c r="A2495">
        <v>2573</v>
      </c>
      <c r="B2495" t="s">
        <v>5313</v>
      </c>
      <c r="C2495" t="s">
        <v>72</v>
      </c>
      <c r="D2495" t="s">
        <v>45</v>
      </c>
      <c r="E2495">
        <v>210</v>
      </c>
      <c r="F2495">
        <v>5</v>
      </c>
      <c r="G2495">
        <v>5</v>
      </c>
      <c r="H2495">
        <v>1</v>
      </c>
      <c r="I2495">
        <v>1</v>
      </c>
      <c r="J2495">
        <v>0.95641684177757003</v>
      </c>
      <c r="K2495">
        <v>0.99836829836829499</v>
      </c>
      <c r="L2495">
        <v>0.97694241197782095</v>
      </c>
      <c r="M2495">
        <v>0.91375291375291401</v>
      </c>
      <c r="N2495">
        <v>1</v>
      </c>
      <c r="O2495">
        <v>0.93706293706293697</v>
      </c>
      <c r="P2495" t="s">
        <v>5314</v>
      </c>
      <c r="Q2495" t="s">
        <v>5315</v>
      </c>
      <c r="R2495" t="s">
        <v>213</v>
      </c>
      <c r="S2495" t="s">
        <v>214</v>
      </c>
      <c r="T2495" t="s">
        <v>5316</v>
      </c>
      <c r="U2495" t="s">
        <v>5317</v>
      </c>
      <c r="V2495" t="s">
        <v>5318</v>
      </c>
      <c r="W2495" t="s">
        <v>5319</v>
      </c>
      <c r="X2495" t="s">
        <v>5318</v>
      </c>
      <c r="Y2495" t="s">
        <v>710</v>
      </c>
      <c r="Z2495" t="s">
        <v>5320</v>
      </c>
      <c r="AA2495" t="s">
        <v>5321</v>
      </c>
      <c r="AB2495" t="s">
        <v>5320</v>
      </c>
      <c r="AC2495" t="s">
        <v>713</v>
      </c>
      <c r="AD2495" t="s">
        <v>245</v>
      </c>
      <c r="AE2495" t="s">
        <v>5322</v>
      </c>
      <c r="AF2495" t="s">
        <v>5326</v>
      </c>
    </row>
    <row r="2496" spans="1:32" hidden="1" x14ac:dyDescent="0.35">
      <c r="A2496">
        <v>2729</v>
      </c>
      <c r="B2496" t="s">
        <v>5639</v>
      </c>
      <c r="C2496" t="s">
        <v>72</v>
      </c>
      <c r="D2496" t="s">
        <v>58</v>
      </c>
      <c r="E2496">
        <v>1017</v>
      </c>
      <c r="F2496">
        <v>5</v>
      </c>
      <c r="G2496">
        <v>5</v>
      </c>
      <c r="H2496">
        <v>1</v>
      </c>
      <c r="I2496">
        <v>1</v>
      </c>
      <c r="J2496">
        <v>0.81341610622521099</v>
      </c>
      <c r="K2496">
        <v>0.92401230348598595</v>
      </c>
      <c r="L2496">
        <v>0.86519419828146404</v>
      </c>
      <c r="M2496">
        <v>0.63809523809523805</v>
      </c>
      <c r="N2496">
        <v>1</v>
      </c>
      <c r="O2496">
        <v>0.74476190476190496</v>
      </c>
      <c r="P2496" t="s">
        <v>4997</v>
      </c>
      <c r="Q2496" t="s">
        <v>4998</v>
      </c>
      <c r="R2496" t="s">
        <v>213</v>
      </c>
      <c r="S2496" t="s">
        <v>214</v>
      </c>
      <c r="T2496" t="s">
        <v>5640</v>
      </c>
      <c r="U2496" t="s">
        <v>5641</v>
      </c>
      <c r="V2496" t="s">
        <v>5642</v>
      </c>
      <c r="W2496" t="s">
        <v>5643</v>
      </c>
      <c r="X2496" t="s">
        <v>5642</v>
      </c>
      <c r="Y2496" t="s">
        <v>840</v>
      </c>
      <c r="AD2496" t="s">
        <v>5644</v>
      </c>
      <c r="AE2496" t="s">
        <v>5645</v>
      </c>
      <c r="AF2496" t="s">
        <v>5646</v>
      </c>
    </row>
    <row r="2497" spans="1:32" hidden="1" x14ac:dyDescent="0.35">
      <c r="A2497">
        <v>2730</v>
      </c>
      <c r="B2497" t="s">
        <v>5639</v>
      </c>
      <c r="C2497" t="s">
        <v>72</v>
      </c>
      <c r="D2497" t="s">
        <v>60</v>
      </c>
      <c r="E2497">
        <v>1382</v>
      </c>
      <c r="F2497">
        <v>5</v>
      </c>
      <c r="G2497">
        <v>5</v>
      </c>
      <c r="H2497">
        <v>1</v>
      </c>
      <c r="I2497">
        <v>1</v>
      </c>
      <c r="J2497">
        <v>0.81341610622521099</v>
      </c>
      <c r="K2497">
        <v>0.92401230348598595</v>
      </c>
      <c r="L2497">
        <v>0.86519419828146404</v>
      </c>
      <c r="M2497">
        <v>0.63809523809523805</v>
      </c>
      <c r="N2497">
        <v>1</v>
      </c>
      <c r="O2497">
        <v>0.74476190476190496</v>
      </c>
      <c r="P2497" t="s">
        <v>4997</v>
      </c>
      <c r="Q2497" t="s">
        <v>4998</v>
      </c>
      <c r="R2497" t="s">
        <v>213</v>
      </c>
      <c r="S2497" t="s">
        <v>214</v>
      </c>
      <c r="T2497" t="s">
        <v>5640</v>
      </c>
      <c r="U2497" t="s">
        <v>5641</v>
      </c>
      <c r="V2497" t="s">
        <v>5642</v>
      </c>
      <c r="W2497" t="s">
        <v>5643</v>
      </c>
      <c r="X2497" t="s">
        <v>5642</v>
      </c>
      <c r="Y2497" t="s">
        <v>840</v>
      </c>
      <c r="AD2497" t="s">
        <v>5644</v>
      </c>
      <c r="AE2497" t="s">
        <v>5645</v>
      </c>
      <c r="AF2497" t="s">
        <v>5647</v>
      </c>
    </row>
    <row r="2498" spans="1:32" hidden="1" x14ac:dyDescent="0.35">
      <c r="A2498">
        <v>2731</v>
      </c>
      <c r="B2498" t="s">
        <v>5639</v>
      </c>
      <c r="C2498" t="s">
        <v>72</v>
      </c>
      <c r="D2498" t="s">
        <v>62</v>
      </c>
      <c r="E2498">
        <v>1417</v>
      </c>
      <c r="F2498">
        <v>5</v>
      </c>
      <c r="G2498">
        <v>5</v>
      </c>
      <c r="H2498">
        <v>1</v>
      </c>
      <c r="I2498">
        <v>1</v>
      </c>
      <c r="J2498">
        <v>0.81341610622521099</v>
      </c>
      <c r="K2498">
        <v>0.92401230348598595</v>
      </c>
      <c r="L2498">
        <v>0.86519419828146404</v>
      </c>
      <c r="M2498">
        <v>0.63809523809523805</v>
      </c>
      <c r="N2498">
        <v>1</v>
      </c>
      <c r="O2498">
        <v>0.74476190476190496</v>
      </c>
      <c r="P2498" t="s">
        <v>4997</v>
      </c>
      <c r="Q2498" t="s">
        <v>4998</v>
      </c>
      <c r="R2498" t="s">
        <v>213</v>
      </c>
      <c r="S2498" t="s">
        <v>214</v>
      </c>
      <c r="T2498" t="s">
        <v>5640</v>
      </c>
      <c r="U2498" t="s">
        <v>5641</v>
      </c>
      <c r="V2498" t="s">
        <v>5642</v>
      </c>
      <c r="W2498" t="s">
        <v>5643</v>
      </c>
      <c r="X2498" t="s">
        <v>5642</v>
      </c>
      <c r="Y2498" t="s">
        <v>840</v>
      </c>
      <c r="AD2498" t="s">
        <v>5644</v>
      </c>
      <c r="AE2498" t="s">
        <v>5645</v>
      </c>
      <c r="AF2498" t="s">
        <v>5647</v>
      </c>
    </row>
    <row r="2499" spans="1:32" hidden="1" x14ac:dyDescent="0.35">
      <c r="A2499">
        <v>2732</v>
      </c>
      <c r="B2499" t="s">
        <v>5639</v>
      </c>
      <c r="C2499" t="s">
        <v>72</v>
      </c>
      <c r="D2499" t="s">
        <v>34</v>
      </c>
      <c r="E2499">
        <v>1809</v>
      </c>
      <c r="F2499">
        <v>5</v>
      </c>
      <c r="G2499">
        <v>5</v>
      </c>
      <c r="H2499">
        <v>1</v>
      </c>
      <c r="I2499">
        <v>1</v>
      </c>
      <c r="J2499">
        <v>0.81341610622521099</v>
      </c>
      <c r="K2499">
        <v>0.92401230348598595</v>
      </c>
      <c r="L2499">
        <v>0.86519419828146404</v>
      </c>
      <c r="M2499">
        <v>0.63809523809523805</v>
      </c>
      <c r="N2499">
        <v>1</v>
      </c>
      <c r="O2499">
        <v>0.74476190476190496</v>
      </c>
      <c r="P2499" t="s">
        <v>4997</v>
      </c>
      <c r="Q2499" t="s">
        <v>4998</v>
      </c>
      <c r="R2499" t="s">
        <v>213</v>
      </c>
      <c r="S2499" t="s">
        <v>214</v>
      </c>
      <c r="T2499" t="s">
        <v>5640</v>
      </c>
      <c r="U2499" t="s">
        <v>5641</v>
      </c>
      <c r="V2499" t="s">
        <v>5642</v>
      </c>
      <c r="W2499" t="s">
        <v>5643</v>
      </c>
      <c r="X2499" t="s">
        <v>5642</v>
      </c>
      <c r="Y2499" t="s">
        <v>840</v>
      </c>
      <c r="AD2499" t="s">
        <v>5644</v>
      </c>
      <c r="AE2499" t="s">
        <v>5645</v>
      </c>
      <c r="AF2499" t="s">
        <v>5648</v>
      </c>
    </row>
    <row r="2500" spans="1:32" hidden="1" x14ac:dyDescent="0.35">
      <c r="A2500">
        <v>2733</v>
      </c>
      <c r="B2500" t="s">
        <v>5639</v>
      </c>
      <c r="C2500" t="s">
        <v>72</v>
      </c>
      <c r="D2500" t="s">
        <v>45</v>
      </c>
      <c r="E2500">
        <v>1064</v>
      </c>
      <c r="F2500">
        <v>5</v>
      </c>
      <c r="G2500">
        <v>5</v>
      </c>
      <c r="H2500">
        <v>1</v>
      </c>
      <c r="I2500">
        <v>1</v>
      </c>
      <c r="J2500">
        <v>0.81341610622521099</v>
      </c>
      <c r="K2500">
        <v>0.92401230348598595</v>
      </c>
      <c r="L2500">
        <v>0.86519419828146404</v>
      </c>
      <c r="M2500">
        <v>0.63809523809523805</v>
      </c>
      <c r="N2500">
        <v>1</v>
      </c>
      <c r="O2500">
        <v>0.74476190476190496</v>
      </c>
      <c r="P2500" t="s">
        <v>4997</v>
      </c>
      <c r="Q2500" t="s">
        <v>4998</v>
      </c>
      <c r="R2500" t="s">
        <v>213</v>
      </c>
      <c r="S2500" t="s">
        <v>214</v>
      </c>
      <c r="T2500" t="s">
        <v>5640</v>
      </c>
      <c r="U2500" t="s">
        <v>5641</v>
      </c>
      <c r="V2500" t="s">
        <v>5642</v>
      </c>
      <c r="W2500" t="s">
        <v>5643</v>
      </c>
      <c r="X2500" t="s">
        <v>5642</v>
      </c>
      <c r="Y2500" t="s">
        <v>840</v>
      </c>
      <c r="AD2500" t="s">
        <v>5644</v>
      </c>
      <c r="AE2500" t="s">
        <v>5645</v>
      </c>
      <c r="AF2500" t="s">
        <v>5648</v>
      </c>
    </row>
    <row r="2501" spans="1:32" hidden="1" x14ac:dyDescent="0.35">
      <c r="A2501">
        <v>2944</v>
      </c>
      <c r="B2501" t="s">
        <v>6082</v>
      </c>
      <c r="C2501" t="s">
        <v>72</v>
      </c>
      <c r="D2501" t="s">
        <v>58</v>
      </c>
      <c r="E2501">
        <v>1009</v>
      </c>
      <c r="F2501">
        <v>5</v>
      </c>
      <c r="G2501">
        <v>5</v>
      </c>
      <c r="H2501">
        <v>1</v>
      </c>
      <c r="I2501">
        <v>1</v>
      </c>
      <c r="J2501">
        <v>0.85177453027139904</v>
      </c>
      <c r="K2501">
        <v>0.96345363179534205</v>
      </c>
      <c r="L2501">
        <v>0.90417863914847896</v>
      </c>
      <c r="M2501">
        <v>0.70351758793969899</v>
      </c>
      <c r="N2501">
        <v>1</v>
      </c>
      <c r="O2501">
        <v>0.78894472361808998</v>
      </c>
      <c r="P2501" t="s">
        <v>6083</v>
      </c>
      <c r="Q2501" t="s">
        <v>6084</v>
      </c>
      <c r="R2501" t="s">
        <v>213</v>
      </c>
      <c r="S2501" t="s">
        <v>214</v>
      </c>
      <c r="T2501" t="s">
        <v>6085</v>
      </c>
      <c r="U2501" t="s">
        <v>6086</v>
      </c>
      <c r="V2501" t="s">
        <v>6087</v>
      </c>
      <c r="W2501" t="s">
        <v>6088</v>
      </c>
      <c r="Z2501" t="s">
        <v>5732</v>
      </c>
      <c r="AA2501" t="s">
        <v>5733</v>
      </c>
      <c r="AB2501" t="s">
        <v>5732</v>
      </c>
      <c r="AC2501" t="s">
        <v>713</v>
      </c>
      <c r="AD2501" t="s">
        <v>219</v>
      </c>
      <c r="AE2501" t="s">
        <v>6089</v>
      </c>
      <c r="AF2501" t="s">
        <v>6090</v>
      </c>
    </row>
    <row r="2502" spans="1:32" hidden="1" x14ac:dyDescent="0.35">
      <c r="A2502">
        <v>2945</v>
      </c>
      <c r="B2502" t="s">
        <v>6082</v>
      </c>
      <c r="C2502" t="s">
        <v>72</v>
      </c>
      <c r="D2502" t="s">
        <v>60</v>
      </c>
      <c r="E2502">
        <v>1375</v>
      </c>
      <c r="F2502">
        <v>5</v>
      </c>
      <c r="G2502">
        <v>5</v>
      </c>
      <c r="H2502">
        <v>1</v>
      </c>
      <c r="I2502">
        <v>1</v>
      </c>
      <c r="J2502">
        <v>0.85177453027139904</v>
      </c>
      <c r="K2502">
        <v>0.96345363179534205</v>
      </c>
      <c r="L2502">
        <v>0.90417863914847896</v>
      </c>
      <c r="M2502">
        <v>0.70351758793969899</v>
      </c>
      <c r="N2502">
        <v>1</v>
      </c>
      <c r="O2502">
        <v>0.78894472361808998</v>
      </c>
      <c r="P2502" t="s">
        <v>6083</v>
      </c>
      <c r="Q2502" t="s">
        <v>6084</v>
      </c>
      <c r="R2502" t="s">
        <v>213</v>
      </c>
      <c r="S2502" t="s">
        <v>214</v>
      </c>
      <c r="T2502" t="s">
        <v>6085</v>
      </c>
      <c r="U2502" t="s">
        <v>6086</v>
      </c>
      <c r="V2502" t="s">
        <v>6087</v>
      </c>
      <c r="W2502" t="s">
        <v>6088</v>
      </c>
      <c r="Z2502" t="s">
        <v>5732</v>
      </c>
      <c r="AA2502" t="s">
        <v>5733</v>
      </c>
      <c r="AB2502" t="s">
        <v>5732</v>
      </c>
      <c r="AC2502" t="s">
        <v>713</v>
      </c>
      <c r="AD2502" t="s">
        <v>219</v>
      </c>
      <c r="AE2502" t="s">
        <v>6089</v>
      </c>
      <c r="AF2502" t="s">
        <v>6091</v>
      </c>
    </row>
    <row r="2503" spans="1:32" hidden="1" x14ac:dyDescent="0.35">
      <c r="A2503">
        <v>2946</v>
      </c>
      <c r="B2503" t="s">
        <v>6082</v>
      </c>
      <c r="C2503" t="s">
        <v>72</v>
      </c>
      <c r="D2503" t="s">
        <v>62</v>
      </c>
      <c r="E2503">
        <v>1410</v>
      </c>
      <c r="F2503">
        <v>5</v>
      </c>
      <c r="G2503">
        <v>5</v>
      </c>
      <c r="H2503">
        <v>1</v>
      </c>
      <c r="I2503">
        <v>1</v>
      </c>
      <c r="J2503">
        <v>0.85177453027139904</v>
      </c>
      <c r="K2503">
        <v>0.96345363179534205</v>
      </c>
      <c r="L2503">
        <v>0.90417863914847896</v>
      </c>
      <c r="M2503">
        <v>0.70351758793969899</v>
      </c>
      <c r="N2503">
        <v>1</v>
      </c>
      <c r="O2503">
        <v>0.78894472361808998</v>
      </c>
      <c r="P2503" t="s">
        <v>6083</v>
      </c>
      <c r="Q2503" t="s">
        <v>6084</v>
      </c>
      <c r="R2503" t="s">
        <v>213</v>
      </c>
      <c r="S2503" t="s">
        <v>214</v>
      </c>
      <c r="T2503" t="s">
        <v>6085</v>
      </c>
      <c r="U2503" t="s">
        <v>6086</v>
      </c>
      <c r="V2503" t="s">
        <v>6087</v>
      </c>
      <c r="W2503" t="s">
        <v>6088</v>
      </c>
      <c r="Z2503" t="s">
        <v>5732</v>
      </c>
      <c r="AA2503" t="s">
        <v>5733</v>
      </c>
      <c r="AB2503" t="s">
        <v>5732</v>
      </c>
      <c r="AC2503" t="s">
        <v>713</v>
      </c>
      <c r="AD2503" t="s">
        <v>219</v>
      </c>
      <c r="AE2503" t="s">
        <v>6089</v>
      </c>
      <c r="AF2503" t="s">
        <v>6091</v>
      </c>
    </row>
    <row r="2504" spans="1:32" hidden="1" x14ac:dyDescent="0.35">
      <c r="A2504">
        <v>2947</v>
      </c>
      <c r="B2504" t="s">
        <v>6082</v>
      </c>
      <c r="C2504" t="s">
        <v>72</v>
      </c>
      <c r="D2504" t="s">
        <v>34</v>
      </c>
      <c r="E2504">
        <v>1802</v>
      </c>
      <c r="F2504">
        <v>5</v>
      </c>
      <c r="G2504">
        <v>5</v>
      </c>
      <c r="H2504">
        <v>1</v>
      </c>
      <c r="I2504">
        <v>1</v>
      </c>
      <c r="J2504">
        <v>0.85177453027139904</v>
      </c>
      <c r="K2504">
        <v>0.96345363179534205</v>
      </c>
      <c r="L2504">
        <v>0.90417863914847896</v>
      </c>
      <c r="M2504">
        <v>0.70351758793969899</v>
      </c>
      <c r="N2504">
        <v>1</v>
      </c>
      <c r="O2504">
        <v>0.78894472361808998</v>
      </c>
      <c r="P2504" t="s">
        <v>6083</v>
      </c>
      <c r="Q2504" t="s">
        <v>6084</v>
      </c>
      <c r="R2504" t="s">
        <v>213</v>
      </c>
      <c r="S2504" t="s">
        <v>214</v>
      </c>
      <c r="T2504" t="s">
        <v>6085</v>
      </c>
      <c r="U2504" t="s">
        <v>6086</v>
      </c>
      <c r="V2504" t="s">
        <v>6087</v>
      </c>
      <c r="W2504" t="s">
        <v>6088</v>
      </c>
      <c r="Z2504" t="s">
        <v>5732</v>
      </c>
      <c r="AA2504" t="s">
        <v>5733</v>
      </c>
      <c r="AB2504" t="s">
        <v>5732</v>
      </c>
      <c r="AC2504" t="s">
        <v>713</v>
      </c>
      <c r="AD2504" t="s">
        <v>219</v>
      </c>
      <c r="AE2504" t="s">
        <v>6089</v>
      </c>
      <c r="AF2504" t="s">
        <v>6092</v>
      </c>
    </row>
    <row r="2505" spans="1:32" hidden="1" x14ac:dyDescent="0.35">
      <c r="A2505">
        <v>2948</v>
      </c>
      <c r="B2505" t="s">
        <v>6082</v>
      </c>
      <c r="C2505" t="s">
        <v>72</v>
      </c>
      <c r="D2505" t="s">
        <v>45</v>
      </c>
      <c r="E2505">
        <v>1071</v>
      </c>
      <c r="F2505">
        <v>5</v>
      </c>
      <c r="G2505">
        <v>5</v>
      </c>
      <c r="H2505">
        <v>1</v>
      </c>
      <c r="I2505">
        <v>1</v>
      </c>
      <c r="J2505">
        <v>0.85177453027139904</v>
      </c>
      <c r="K2505">
        <v>0.96345363179534205</v>
      </c>
      <c r="L2505">
        <v>0.90417863914847896</v>
      </c>
      <c r="M2505">
        <v>0.70351758793969899</v>
      </c>
      <c r="N2505">
        <v>1</v>
      </c>
      <c r="O2505">
        <v>0.78894472361808998</v>
      </c>
      <c r="P2505" t="s">
        <v>6083</v>
      </c>
      <c r="Q2505" t="s">
        <v>6084</v>
      </c>
      <c r="R2505" t="s">
        <v>213</v>
      </c>
      <c r="S2505" t="s">
        <v>214</v>
      </c>
      <c r="T2505" t="s">
        <v>6085</v>
      </c>
      <c r="U2505" t="s">
        <v>6086</v>
      </c>
      <c r="V2505" t="s">
        <v>6087</v>
      </c>
      <c r="W2505" t="s">
        <v>6088</v>
      </c>
      <c r="Z2505" t="s">
        <v>5732</v>
      </c>
      <c r="AA2505" t="s">
        <v>5733</v>
      </c>
      <c r="AB2505" t="s">
        <v>5732</v>
      </c>
      <c r="AC2505" t="s">
        <v>713</v>
      </c>
      <c r="AD2505" t="s">
        <v>219</v>
      </c>
      <c r="AE2505" t="s">
        <v>6089</v>
      </c>
      <c r="AF2505" t="s">
        <v>6092</v>
      </c>
    </row>
    <row r="2506" spans="1:32" hidden="1" x14ac:dyDescent="0.35">
      <c r="A2506">
        <v>2999</v>
      </c>
      <c r="B2506" t="s">
        <v>6195</v>
      </c>
      <c r="C2506" t="s">
        <v>72</v>
      </c>
      <c r="D2506" t="s">
        <v>58</v>
      </c>
      <c r="E2506">
        <v>1730</v>
      </c>
      <c r="F2506">
        <v>5</v>
      </c>
      <c r="G2506">
        <v>5</v>
      </c>
      <c r="H2506">
        <v>1</v>
      </c>
      <c r="I2506">
        <v>1</v>
      </c>
      <c r="J2506">
        <v>0.81399999999999995</v>
      </c>
      <c r="K2506">
        <v>0.97589599856878795</v>
      </c>
      <c r="L2506">
        <v>0.88762625702296005</v>
      </c>
      <c r="M2506">
        <v>0.64390243902439004</v>
      </c>
      <c r="N2506">
        <v>1</v>
      </c>
      <c r="O2506">
        <v>0.73560975609756096</v>
      </c>
      <c r="P2506" t="s">
        <v>704</v>
      </c>
      <c r="Q2506" t="s">
        <v>705</v>
      </c>
      <c r="R2506" t="s">
        <v>213</v>
      </c>
      <c r="S2506" t="s">
        <v>214</v>
      </c>
      <c r="T2506" t="s">
        <v>6196</v>
      </c>
      <c r="U2506" t="s">
        <v>6197</v>
      </c>
      <c r="V2506" t="s">
        <v>6198</v>
      </c>
      <c r="W2506" t="s">
        <v>6199</v>
      </c>
      <c r="X2506" t="s">
        <v>6198</v>
      </c>
      <c r="Y2506" t="s">
        <v>710</v>
      </c>
      <c r="Z2506" t="s">
        <v>711</v>
      </c>
      <c r="AA2506" t="s">
        <v>712</v>
      </c>
      <c r="AB2506" t="s">
        <v>711</v>
      </c>
      <c r="AC2506" t="s">
        <v>713</v>
      </c>
      <c r="AD2506" t="s">
        <v>219</v>
      </c>
      <c r="AE2506" t="s">
        <v>6200</v>
      </c>
      <c r="AF2506" t="s">
        <v>6201</v>
      </c>
    </row>
    <row r="2507" spans="1:32" hidden="1" x14ac:dyDescent="0.35">
      <c r="A2507">
        <v>3000</v>
      </c>
      <c r="B2507" t="s">
        <v>6195</v>
      </c>
      <c r="C2507" t="s">
        <v>72</v>
      </c>
      <c r="D2507" t="s">
        <v>60</v>
      </c>
      <c r="E2507">
        <v>2330</v>
      </c>
      <c r="F2507">
        <v>5</v>
      </c>
      <c r="G2507">
        <v>5</v>
      </c>
      <c r="H2507">
        <v>1</v>
      </c>
      <c r="I2507">
        <v>1</v>
      </c>
      <c r="J2507">
        <v>0.81399999999999995</v>
      </c>
      <c r="K2507">
        <v>0.97589599856878795</v>
      </c>
      <c r="L2507">
        <v>0.88762625702296005</v>
      </c>
      <c r="M2507">
        <v>0.64390243902439004</v>
      </c>
      <c r="N2507">
        <v>1</v>
      </c>
      <c r="O2507">
        <v>0.73560975609756096</v>
      </c>
      <c r="P2507" t="s">
        <v>704</v>
      </c>
      <c r="Q2507" t="s">
        <v>705</v>
      </c>
      <c r="R2507" t="s">
        <v>213</v>
      </c>
      <c r="S2507" t="s">
        <v>214</v>
      </c>
      <c r="T2507" t="s">
        <v>6196</v>
      </c>
      <c r="U2507" t="s">
        <v>6197</v>
      </c>
      <c r="V2507" t="s">
        <v>6198</v>
      </c>
      <c r="W2507" t="s">
        <v>6199</v>
      </c>
      <c r="X2507" t="s">
        <v>6198</v>
      </c>
      <c r="Y2507" t="s">
        <v>710</v>
      </c>
      <c r="Z2507" t="s">
        <v>711</v>
      </c>
      <c r="AA2507" t="s">
        <v>712</v>
      </c>
      <c r="AB2507" t="s">
        <v>711</v>
      </c>
      <c r="AC2507" t="s">
        <v>713</v>
      </c>
      <c r="AD2507" t="s">
        <v>219</v>
      </c>
      <c r="AE2507" t="s">
        <v>6200</v>
      </c>
      <c r="AF2507" t="s">
        <v>6202</v>
      </c>
    </row>
    <row r="2508" spans="1:32" hidden="1" x14ac:dyDescent="0.35">
      <c r="A2508">
        <v>3001</v>
      </c>
      <c r="B2508" t="s">
        <v>6195</v>
      </c>
      <c r="C2508" t="s">
        <v>72</v>
      </c>
      <c r="D2508" t="s">
        <v>62</v>
      </c>
      <c r="E2508">
        <v>2358</v>
      </c>
      <c r="F2508">
        <v>5</v>
      </c>
      <c r="G2508">
        <v>5</v>
      </c>
      <c r="H2508">
        <v>1</v>
      </c>
      <c r="I2508">
        <v>1</v>
      </c>
      <c r="J2508">
        <v>0.81399999999999995</v>
      </c>
      <c r="K2508">
        <v>0.97589599856878795</v>
      </c>
      <c r="L2508">
        <v>0.88762625702296005</v>
      </c>
      <c r="M2508">
        <v>0.64390243902439004</v>
      </c>
      <c r="N2508">
        <v>1</v>
      </c>
      <c r="O2508">
        <v>0.73560975609756096</v>
      </c>
      <c r="P2508" t="s">
        <v>704</v>
      </c>
      <c r="Q2508" t="s">
        <v>705</v>
      </c>
      <c r="R2508" t="s">
        <v>213</v>
      </c>
      <c r="S2508" t="s">
        <v>214</v>
      </c>
      <c r="T2508" t="s">
        <v>6196</v>
      </c>
      <c r="U2508" t="s">
        <v>6197</v>
      </c>
      <c r="V2508" t="s">
        <v>6198</v>
      </c>
      <c r="W2508" t="s">
        <v>6199</v>
      </c>
      <c r="X2508" t="s">
        <v>6198</v>
      </c>
      <c r="Y2508" t="s">
        <v>710</v>
      </c>
      <c r="Z2508" t="s">
        <v>711</v>
      </c>
      <c r="AA2508" t="s">
        <v>712</v>
      </c>
      <c r="AB2508" t="s">
        <v>711</v>
      </c>
      <c r="AC2508" t="s">
        <v>713</v>
      </c>
      <c r="AD2508" t="s">
        <v>219</v>
      </c>
      <c r="AE2508" t="s">
        <v>6200</v>
      </c>
      <c r="AF2508" t="s">
        <v>6203</v>
      </c>
    </row>
    <row r="2509" spans="1:32" hidden="1" x14ac:dyDescent="0.35">
      <c r="A2509">
        <v>3002</v>
      </c>
      <c r="B2509" t="s">
        <v>6195</v>
      </c>
      <c r="C2509" t="s">
        <v>72</v>
      </c>
      <c r="D2509" t="s">
        <v>34</v>
      </c>
      <c r="E2509">
        <v>1461</v>
      </c>
      <c r="F2509">
        <v>5</v>
      </c>
      <c r="G2509">
        <v>5</v>
      </c>
      <c r="H2509">
        <v>1</v>
      </c>
      <c r="I2509">
        <v>1</v>
      </c>
      <c r="J2509">
        <v>0.81399999999999995</v>
      </c>
      <c r="K2509">
        <v>0.97589599856878795</v>
      </c>
      <c r="L2509">
        <v>0.88762625702296005</v>
      </c>
      <c r="M2509">
        <v>0.64390243902439004</v>
      </c>
      <c r="N2509">
        <v>1</v>
      </c>
      <c r="O2509">
        <v>0.73560975609756096</v>
      </c>
      <c r="P2509" t="s">
        <v>704</v>
      </c>
      <c r="Q2509" t="s">
        <v>705</v>
      </c>
      <c r="R2509" t="s">
        <v>213</v>
      </c>
      <c r="S2509" t="s">
        <v>214</v>
      </c>
      <c r="T2509" t="s">
        <v>6196</v>
      </c>
      <c r="U2509" t="s">
        <v>6197</v>
      </c>
      <c r="V2509" t="s">
        <v>6198</v>
      </c>
      <c r="W2509" t="s">
        <v>6199</v>
      </c>
      <c r="X2509" t="s">
        <v>6198</v>
      </c>
      <c r="Y2509" t="s">
        <v>710</v>
      </c>
      <c r="Z2509" t="s">
        <v>711</v>
      </c>
      <c r="AA2509" t="s">
        <v>712</v>
      </c>
      <c r="AB2509" t="s">
        <v>711</v>
      </c>
      <c r="AC2509" t="s">
        <v>713</v>
      </c>
      <c r="AD2509" t="s">
        <v>219</v>
      </c>
      <c r="AE2509" t="s">
        <v>6200</v>
      </c>
      <c r="AF2509" t="s">
        <v>6204</v>
      </c>
    </row>
    <row r="2510" spans="1:32" hidden="1" x14ac:dyDescent="0.35">
      <c r="A2510">
        <v>3003</v>
      </c>
      <c r="B2510" t="s">
        <v>6195</v>
      </c>
      <c r="C2510" t="s">
        <v>72</v>
      </c>
      <c r="D2510" t="s">
        <v>45</v>
      </c>
      <c r="E2510">
        <v>212</v>
      </c>
      <c r="F2510">
        <v>5</v>
      </c>
      <c r="G2510">
        <v>5</v>
      </c>
      <c r="H2510">
        <v>1</v>
      </c>
      <c r="I2510">
        <v>1</v>
      </c>
      <c r="J2510">
        <v>0.81399999999999995</v>
      </c>
      <c r="K2510">
        <v>0.97589599856878795</v>
      </c>
      <c r="L2510">
        <v>0.88762625702296005</v>
      </c>
      <c r="M2510">
        <v>0.64390243902439004</v>
      </c>
      <c r="N2510">
        <v>1</v>
      </c>
      <c r="O2510">
        <v>0.73560975609756096</v>
      </c>
      <c r="P2510" t="s">
        <v>704</v>
      </c>
      <c r="Q2510" t="s">
        <v>705</v>
      </c>
      <c r="R2510" t="s">
        <v>213</v>
      </c>
      <c r="S2510" t="s">
        <v>214</v>
      </c>
      <c r="T2510" t="s">
        <v>6196</v>
      </c>
      <c r="U2510" t="s">
        <v>6197</v>
      </c>
      <c r="V2510" t="s">
        <v>6198</v>
      </c>
      <c r="W2510" t="s">
        <v>6199</v>
      </c>
      <c r="X2510" t="s">
        <v>6198</v>
      </c>
      <c r="Y2510" t="s">
        <v>710</v>
      </c>
      <c r="Z2510" t="s">
        <v>711</v>
      </c>
      <c r="AA2510" t="s">
        <v>712</v>
      </c>
      <c r="AB2510" t="s">
        <v>711</v>
      </c>
      <c r="AC2510" t="s">
        <v>713</v>
      </c>
      <c r="AD2510" t="s">
        <v>219</v>
      </c>
      <c r="AE2510" t="s">
        <v>6200</v>
      </c>
      <c r="AF2510" t="s">
        <v>6204</v>
      </c>
    </row>
    <row r="2511" spans="1:32" hidden="1" x14ac:dyDescent="0.35">
      <c r="A2511">
        <v>3009</v>
      </c>
      <c r="B2511" t="s">
        <v>6214</v>
      </c>
      <c r="C2511" t="s">
        <v>72</v>
      </c>
      <c r="D2511" t="s">
        <v>58</v>
      </c>
      <c r="E2511">
        <v>1645</v>
      </c>
      <c r="F2511">
        <v>5</v>
      </c>
      <c r="G2511">
        <v>5</v>
      </c>
      <c r="H2511">
        <v>1</v>
      </c>
      <c r="I2511">
        <v>1</v>
      </c>
      <c r="J2511">
        <v>0.84074544684455699</v>
      </c>
      <c r="K2511">
        <v>0.97197530864197601</v>
      </c>
      <c r="L2511">
        <v>0.90161025928866001</v>
      </c>
      <c r="M2511">
        <v>0.66666666666666696</v>
      </c>
      <c r="N2511">
        <v>1</v>
      </c>
      <c r="O2511">
        <v>0.76543209876543195</v>
      </c>
      <c r="P2511" t="s">
        <v>6215</v>
      </c>
      <c r="Q2511" t="s">
        <v>6216</v>
      </c>
      <c r="R2511" t="s">
        <v>213</v>
      </c>
      <c r="S2511" t="s">
        <v>214</v>
      </c>
      <c r="T2511" t="s">
        <v>6217</v>
      </c>
      <c r="U2511" t="s">
        <v>6218</v>
      </c>
      <c r="V2511" t="s">
        <v>6219</v>
      </c>
      <c r="W2511" t="s">
        <v>6220</v>
      </c>
      <c r="X2511" t="s">
        <v>6219</v>
      </c>
      <c r="Y2511" t="s">
        <v>710</v>
      </c>
      <c r="Z2511" t="s">
        <v>711</v>
      </c>
      <c r="AA2511" t="s">
        <v>712</v>
      </c>
      <c r="AB2511" t="s">
        <v>711</v>
      </c>
      <c r="AC2511" t="s">
        <v>713</v>
      </c>
      <c r="AD2511" t="s">
        <v>219</v>
      </c>
      <c r="AE2511" t="s">
        <v>3081</v>
      </c>
      <c r="AF2511" t="s">
        <v>6221</v>
      </c>
    </row>
    <row r="2512" spans="1:32" hidden="1" x14ac:dyDescent="0.35">
      <c r="A2512">
        <v>3010</v>
      </c>
      <c r="B2512" t="s">
        <v>6214</v>
      </c>
      <c r="C2512" t="s">
        <v>72</v>
      </c>
      <c r="D2512" t="s">
        <v>60</v>
      </c>
      <c r="E2512">
        <v>2209</v>
      </c>
      <c r="F2512">
        <v>5</v>
      </c>
      <c r="G2512">
        <v>5</v>
      </c>
      <c r="H2512">
        <v>1</v>
      </c>
      <c r="I2512">
        <v>1</v>
      </c>
      <c r="J2512">
        <v>0.84074544684455699</v>
      </c>
      <c r="K2512">
        <v>0.97197530864197601</v>
      </c>
      <c r="L2512">
        <v>0.90161025928866001</v>
      </c>
      <c r="M2512">
        <v>0.66666666666666696</v>
      </c>
      <c r="N2512">
        <v>1</v>
      </c>
      <c r="O2512">
        <v>0.76543209876543195</v>
      </c>
      <c r="P2512" t="s">
        <v>6215</v>
      </c>
      <c r="Q2512" t="s">
        <v>6216</v>
      </c>
      <c r="R2512" t="s">
        <v>213</v>
      </c>
      <c r="S2512" t="s">
        <v>214</v>
      </c>
      <c r="T2512" t="s">
        <v>6217</v>
      </c>
      <c r="U2512" t="s">
        <v>6218</v>
      </c>
      <c r="V2512" t="s">
        <v>6219</v>
      </c>
      <c r="W2512" t="s">
        <v>6220</v>
      </c>
      <c r="X2512" t="s">
        <v>6219</v>
      </c>
      <c r="Y2512" t="s">
        <v>710</v>
      </c>
      <c r="Z2512" t="s">
        <v>711</v>
      </c>
      <c r="AA2512" t="s">
        <v>712</v>
      </c>
      <c r="AB2512" t="s">
        <v>711</v>
      </c>
      <c r="AC2512" t="s">
        <v>713</v>
      </c>
      <c r="AD2512" t="s">
        <v>219</v>
      </c>
      <c r="AE2512" t="s">
        <v>3081</v>
      </c>
      <c r="AF2512" t="s">
        <v>6222</v>
      </c>
    </row>
    <row r="2513" spans="1:32" hidden="1" x14ac:dyDescent="0.35">
      <c r="A2513">
        <v>3011</v>
      </c>
      <c r="B2513" t="s">
        <v>6214</v>
      </c>
      <c r="C2513" t="s">
        <v>72</v>
      </c>
      <c r="D2513" t="s">
        <v>62</v>
      </c>
      <c r="E2513">
        <v>2241</v>
      </c>
      <c r="F2513">
        <v>5</v>
      </c>
      <c r="G2513">
        <v>5</v>
      </c>
      <c r="H2513">
        <v>1</v>
      </c>
      <c r="I2513">
        <v>1</v>
      </c>
      <c r="J2513">
        <v>0.84074544684455699</v>
      </c>
      <c r="K2513">
        <v>0.97197530864197601</v>
      </c>
      <c r="L2513">
        <v>0.90161025928866001</v>
      </c>
      <c r="M2513">
        <v>0.66666666666666696</v>
      </c>
      <c r="N2513">
        <v>1</v>
      </c>
      <c r="O2513">
        <v>0.76543209876543195</v>
      </c>
      <c r="P2513" t="s">
        <v>6215</v>
      </c>
      <c r="Q2513" t="s">
        <v>6216</v>
      </c>
      <c r="R2513" t="s">
        <v>213</v>
      </c>
      <c r="S2513" t="s">
        <v>214</v>
      </c>
      <c r="T2513" t="s">
        <v>6217</v>
      </c>
      <c r="U2513" t="s">
        <v>6218</v>
      </c>
      <c r="V2513" t="s">
        <v>6219</v>
      </c>
      <c r="W2513" t="s">
        <v>6220</v>
      </c>
      <c r="X2513" t="s">
        <v>6219</v>
      </c>
      <c r="Y2513" t="s">
        <v>710</v>
      </c>
      <c r="Z2513" t="s">
        <v>711</v>
      </c>
      <c r="AA2513" t="s">
        <v>712</v>
      </c>
      <c r="AB2513" t="s">
        <v>711</v>
      </c>
      <c r="AC2513" t="s">
        <v>713</v>
      </c>
      <c r="AD2513" t="s">
        <v>219</v>
      </c>
      <c r="AE2513" t="s">
        <v>3081</v>
      </c>
      <c r="AF2513" t="s">
        <v>6222</v>
      </c>
    </row>
    <row r="2514" spans="1:32" hidden="1" x14ac:dyDescent="0.35">
      <c r="A2514">
        <v>3012</v>
      </c>
      <c r="B2514" t="s">
        <v>6214</v>
      </c>
      <c r="C2514" t="s">
        <v>72</v>
      </c>
      <c r="D2514" t="s">
        <v>34</v>
      </c>
      <c r="E2514">
        <v>1564</v>
      </c>
      <c r="F2514">
        <v>5</v>
      </c>
      <c r="G2514">
        <v>5</v>
      </c>
      <c r="H2514">
        <v>1</v>
      </c>
      <c r="I2514">
        <v>1</v>
      </c>
      <c r="J2514">
        <v>0.84074544684455699</v>
      </c>
      <c r="K2514">
        <v>0.97197530864197601</v>
      </c>
      <c r="L2514">
        <v>0.90161025928866001</v>
      </c>
      <c r="M2514">
        <v>0.66666666666666696</v>
      </c>
      <c r="N2514">
        <v>1</v>
      </c>
      <c r="O2514">
        <v>0.76543209876543195</v>
      </c>
      <c r="P2514" t="s">
        <v>6215</v>
      </c>
      <c r="Q2514" t="s">
        <v>6216</v>
      </c>
      <c r="R2514" t="s">
        <v>213</v>
      </c>
      <c r="S2514" t="s">
        <v>214</v>
      </c>
      <c r="T2514" t="s">
        <v>6217</v>
      </c>
      <c r="U2514" t="s">
        <v>6218</v>
      </c>
      <c r="V2514" t="s">
        <v>6219</v>
      </c>
      <c r="W2514" t="s">
        <v>6220</v>
      </c>
      <c r="X2514" t="s">
        <v>6219</v>
      </c>
      <c r="Y2514" t="s">
        <v>710</v>
      </c>
      <c r="Z2514" t="s">
        <v>711</v>
      </c>
      <c r="AA2514" t="s">
        <v>712</v>
      </c>
      <c r="AB2514" t="s">
        <v>711</v>
      </c>
      <c r="AC2514" t="s">
        <v>713</v>
      </c>
      <c r="AD2514" t="s">
        <v>219</v>
      </c>
      <c r="AE2514" t="s">
        <v>3081</v>
      </c>
      <c r="AF2514" t="s">
        <v>6223</v>
      </c>
    </row>
    <row r="2515" spans="1:32" hidden="1" x14ac:dyDescent="0.35">
      <c r="A2515">
        <v>3013</v>
      </c>
      <c r="B2515" t="s">
        <v>6214</v>
      </c>
      <c r="C2515" t="s">
        <v>72</v>
      </c>
      <c r="D2515" t="s">
        <v>45</v>
      </c>
      <c r="E2515">
        <v>314</v>
      </c>
      <c r="F2515">
        <v>5</v>
      </c>
      <c r="G2515">
        <v>5</v>
      </c>
      <c r="H2515">
        <v>1</v>
      </c>
      <c r="I2515">
        <v>1</v>
      </c>
      <c r="J2515">
        <v>0.84074544684455699</v>
      </c>
      <c r="K2515">
        <v>0.97197530864197601</v>
      </c>
      <c r="L2515">
        <v>0.90161025928866001</v>
      </c>
      <c r="M2515">
        <v>0.66666666666666696</v>
      </c>
      <c r="N2515">
        <v>1</v>
      </c>
      <c r="O2515">
        <v>0.76543209876543195</v>
      </c>
      <c r="P2515" t="s">
        <v>6215</v>
      </c>
      <c r="Q2515" t="s">
        <v>6216</v>
      </c>
      <c r="R2515" t="s">
        <v>213</v>
      </c>
      <c r="S2515" t="s">
        <v>214</v>
      </c>
      <c r="T2515" t="s">
        <v>6217</v>
      </c>
      <c r="U2515" t="s">
        <v>6218</v>
      </c>
      <c r="V2515" t="s">
        <v>6219</v>
      </c>
      <c r="W2515" t="s">
        <v>6220</v>
      </c>
      <c r="X2515" t="s">
        <v>6219</v>
      </c>
      <c r="Y2515" t="s">
        <v>710</v>
      </c>
      <c r="Z2515" t="s">
        <v>711</v>
      </c>
      <c r="AA2515" t="s">
        <v>712</v>
      </c>
      <c r="AB2515" t="s">
        <v>711</v>
      </c>
      <c r="AC2515" t="s">
        <v>713</v>
      </c>
      <c r="AD2515" t="s">
        <v>219</v>
      </c>
      <c r="AE2515" t="s">
        <v>3081</v>
      </c>
      <c r="AF2515" t="s">
        <v>6224</v>
      </c>
    </row>
    <row r="2516" spans="1:32" hidden="1" x14ac:dyDescent="0.35">
      <c r="A2516">
        <v>3349</v>
      </c>
      <c r="B2516" t="s">
        <v>6891</v>
      </c>
      <c r="C2516" t="s">
        <v>72</v>
      </c>
      <c r="D2516" t="s">
        <v>58</v>
      </c>
      <c r="E2516">
        <v>1764</v>
      </c>
      <c r="F2516">
        <v>5</v>
      </c>
      <c r="G2516">
        <v>5</v>
      </c>
      <c r="H2516">
        <v>1</v>
      </c>
      <c r="I2516">
        <v>1</v>
      </c>
      <c r="J2516">
        <v>0.91922398589065302</v>
      </c>
      <c r="K2516">
        <v>0.96968543484007497</v>
      </c>
      <c r="L2516">
        <v>0.94378068179572205</v>
      </c>
      <c r="M2516">
        <v>0.81025641025641004</v>
      </c>
      <c r="N2516">
        <v>1</v>
      </c>
      <c r="O2516">
        <v>0.86358974358974405</v>
      </c>
      <c r="P2516" t="s">
        <v>6892</v>
      </c>
      <c r="Q2516" t="s">
        <v>6893</v>
      </c>
      <c r="R2516" t="s">
        <v>213</v>
      </c>
      <c r="S2516" t="s">
        <v>214</v>
      </c>
      <c r="T2516" t="s">
        <v>6894</v>
      </c>
      <c r="U2516" t="s">
        <v>6895</v>
      </c>
      <c r="V2516" t="s">
        <v>6896</v>
      </c>
      <c r="W2516" t="s">
        <v>6897</v>
      </c>
      <c r="X2516" t="s">
        <v>6896</v>
      </c>
      <c r="Y2516" t="s">
        <v>3014</v>
      </c>
      <c r="AD2516" t="s">
        <v>219</v>
      </c>
      <c r="AE2516" t="s">
        <v>6898</v>
      </c>
      <c r="AF2516" t="s">
        <v>6899</v>
      </c>
    </row>
    <row r="2517" spans="1:32" hidden="1" x14ac:dyDescent="0.35">
      <c r="A2517">
        <v>3350</v>
      </c>
      <c r="B2517" t="s">
        <v>6891</v>
      </c>
      <c r="C2517" t="s">
        <v>72</v>
      </c>
      <c r="D2517" t="s">
        <v>60</v>
      </c>
      <c r="E2517">
        <v>2395</v>
      </c>
      <c r="F2517">
        <v>5</v>
      </c>
      <c r="G2517">
        <v>5</v>
      </c>
      <c r="H2517">
        <v>1</v>
      </c>
      <c r="I2517">
        <v>1</v>
      </c>
      <c r="J2517">
        <v>0.91922398589065302</v>
      </c>
      <c r="K2517">
        <v>0.96968543484007497</v>
      </c>
      <c r="L2517">
        <v>0.94378068179572205</v>
      </c>
      <c r="M2517">
        <v>0.81025641025641004</v>
      </c>
      <c r="N2517">
        <v>1</v>
      </c>
      <c r="O2517">
        <v>0.86358974358974405</v>
      </c>
      <c r="P2517" t="s">
        <v>6892</v>
      </c>
      <c r="Q2517" t="s">
        <v>6893</v>
      </c>
      <c r="R2517" t="s">
        <v>213</v>
      </c>
      <c r="S2517" t="s">
        <v>214</v>
      </c>
      <c r="T2517" t="s">
        <v>6894</v>
      </c>
      <c r="U2517" t="s">
        <v>6895</v>
      </c>
      <c r="V2517" t="s">
        <v>6896</v>
      </c>
      <c r="W2517" t="s">
        <v>6897</v>
      </c>
      <c r="X2517" t="s">
        <v>6896</v>
      </c>
      <c r="Y2517" t="s">
        <v>3014</v>
      </c>
      <c r="AD2517" t="s">
        <v>219</v>
      </c>
      <c r="AE2517" t="s">
        <v>6898</v>
      </c>
      <c r="AF2517" t="e">
        <f>-------MLLSDRDIRAAVDKGDLIIEPYDPALVQPSSVDVRMDRFFRVFNNSKYTHIDPKQQQDDLTSLVEVPENEPFVLHPGEFVLGATLEKFTLPAHLAGRLEGKSSLGRLGLLTHSTAGFIDPGFSGHITLELSNVANLPITLWPGMKVGQLALFCMSSPAETPYGSGTIGSKYQGQRGPTPSKAYLNFRS</f>
        <v>#NAME?</v>
      </c>
    </row>
    <row r="2518" spans="1:32" hidden="1" x14ac:dyDescent="0.35">
      <c r="A2518">
        <v>3351</v>
      </c>
      <c r="B2518" t="s">
        <v>6891</v>
      </c>
      <c r="C2518" t="s">
        <v>72</v>
      </c>
      <c r="D2518" t="s">
        <v>62</v>
      </c>
      <c r="E2518">
        <v>2422</v>
      </c>
      <c r="F2518">
        <v>5</v>
      </c>
      <c r="G2518">
        <v>5</v>
      </c>
      <c r="H2518">
        <v>1</v>
      </c>
      <c r="I2518">
        <v>1</v>
      </c>
      <c r="J2518">
        <v>0.91922398589065302</v>
      </c>
      <c r="K2518">
        <v>0.96968543484007497</v>
      </c>
      <c r="L2518">
        <v>0.94378068179572205</v>
      </c>
      <c r="M2518">
        <v>0.81025641025641004</v>
      </c>
      <c r="N2518">
        <v>1</v>
      </c>
      <c r="O2518">
        <v>0.86358974358974405</v>
      </c>
      <c r="P2518" t="s">
        <v>6892</v>
      </c>
      <c r="Q2518" t="s">
        <v>6893</v>
      </c>
      <c r="R2518" t="s">
        <v>213</v>
      </c>
      <c r="S2518" t="s">
        <v>214</v>
      </c>
      <c r="T2518" t="s">
        <v>6894</v>
      </c>
      <c r="U2518" t="s">
        <v>6895</v>
      </c>
      <c r="V2518" t="s">
        <v>6896</v>
      </c>
      <c r="W2518" t="s">
        <v>6897</v>
      </c>
      <c r="X2518" t="s">
        <v>6896</v>
      </c>
      <c r="Y2518" t="s">
        <v>3014</v>
      </c>
      <c r="AD2518" t="s">
        <v>219</v>
      </c>
      <c r="AE2518" t="s">
        <v>6898</v>
      </c>
      <c r="AF2518" t="e">
        <f>-------MLLSDRDIRAAVDKGDLIIEPYDPALVQPSSVDVRMDRFFRVFNNSKYTHIDPKQQQDDLTSLVEVPENEPFVLHPGEFVLGATLEKFTLPAHLAGRLEGKSSLGRLGLLTHSTAGFIDPGFSGHITLELSNVANLPITLWPGMKVGQLALFCMSSPAETPYGSGTIGSKYQGQRGPTPSKAYLNFRS</f>
        <v>#NAME?</v>
      </c>
    </row>
    <row r="2519" spans="1:32" hidden="1" x14ac:dyDescent="0.35">
      <c r="A2519">
        <v>3352</v>
      </c>
      <c r="B2519" t="s">
        <v>6891</v>
      </c>
      <c r="C2519" t="s">
        <v>72</v>
      </c>
      <c r="D2519" t="s">
        <v>34</v>
      </c>
      <c r="E2519">
        <v>1349</v>
      </c>
      <c r="F2519">
        <v>5</v>
      </c>
      <c r="G2519">
        <v>5</v>
      </c>
      <c r="H2519">
        <v>1</v>
      </c>
      <c r="I2519">
        <v>1</v>
      </c>
      <c r="J2519">
        <v>0.91922398589065302</v>
      </c>
      <c r="K2519">
        <v>0.96968543484007497</v>
      </c>
      <c r="L2519">
        <v>0.94378068179572205</v>
      </c>
      <c r="M2519">
        <v>0.81025641025641004</v>
      </c>
      <c r="N2519">
        <v>1</v>
      </c>
      <c r="O2519">
        <v>0.86358974358974405</v>
      </c>
      <c r="P2519" t="s">
        <v>6892</v>
      </c>
      <c r="Q2519" t="s">
        <v>6893</v>
      </c>
      <c r="R2519" t="s">
        <v>213</v>
      </c>
      <c r="S2519" t="s">
        <v>214</v>
      </c>
      <c r="T2519" t="s">
        <v>6894</v>
      </c>
      <c r="U2519" t="s">
        <v>6895</v>
      </c>
      <c r="V2519" t="s">
        <v>6896</v>
      </c>
      <c r="W2519" t="s">
        <v>6897</v>
      </c>
      <c r="X2519" t="s">
        <v>6896</v>
      </c>
      <c r="Y2519" t="s">
        <v>3014</v>
      </c>
      <c r="AD2519" t="s">
        <v>219</v>
      </c>
      <c r="AE2519" t="s">
        <v>6898</v>
      </c>
      <c r="AF2519" t="s">
        <v>6900</v>
      </c>
    </row>
    <row r="2520" spans="1:32" hidden="1" x14ac:dyDescent="0.35">
      <c r="A2520">
        <v>3353</v>
      </c>
      <c r="B2520" t="s">
        <v>6891</v>
      </c>
      <c r="C2520" t="s">
        <v>72</v>
      </c>
      <c r="D2520" t="s">
        <v>45</v>
      </c>
      <c r="E2520">
        <v>99</v>
      </c>
      <c r="F2520">
        <v>5</v>
      </c>
      <c r="G2520">
        <v>5</v>
      </c>
      <c r="H2520">
        <v>1</v>
      </c>
      <c r="I2520">
        <v>1</v>
      </c>
      <c r="J2520">
        <v>0.91922398589065302</v>
      </c>
      <c r="K2520">
        <v>0.96968543484007497</v>
      </c>
      <c r="L2520">
        <v>0.94378068179572205</v>
      </c>
      <c r="M2520">
        <v>0.81025641025641004</v>
      </c>
      <c r="N2520">
        <v>1</v>
      </c>
      <c r="O2520">
        <v>0.86358974358974405</v>
      </c>
      <c r="P2520" t="s">
        <v>6892</v>
      </c>
      <c r="Q2520" t="s">
        <v>6893</v>
      </c>
      <c r="R2520" t="s">
        <v>213</v>
      </c>
      <c r="S2520" t="s">
        <v>214</v>
      </c>
      <c r="T2520" t="s">
        <v>6894</v>
      </c>
      <c r="U2520" t="s">
        <v>6895</v>
      </c>
      <c r="V2520" t="s">
        <v>6896</v>
      </c>
      <c r="W2520" t="s">
        <v>6897</v>
      </c>
      <c r="X2520" t="s">
        <v>6896</v>
      </c>
      <c r="Y2520" t="s">
        <v>3014</v>
      </c>
      <c r="AD2520" t="s">
        <v>219</v>
      </c>
      <c r="AE2520" t="s">
        <v>6898</v>
      </c>
      <c r="AF2520" t="s">
        <v>6901</v>
      </c>
    </row>
    <row r="2521" spans="1:32" hidden="1" x14ac:dyDescent="0.35">
      <c r="A2521">
        <v>3364</v>
      </c>
      <c r="B2521" t="s">
        <v>6926</v>
      </c>
      <c r="C2521" t="s">
        <v>72</v>
      </c>
      <c r="D2521" t="s">
        <v>58</v>
      </c>
      <c r="E2521">
        <v>1698</v>
      </c>
      <c r="F2521">
        <v>5</v>
      </c>
      <c r="G2521">
        <v>5</v>
      </c>
      <c r="H2521">
        <v>1</v>
      </c>
      <c r="I2521">
        <v>1</v>
      </c>
      <c r="J2521">
        <v>0.83622154264356097</v>
      </c>
      <c r="K2521">
        <v>0.96237322515212897</v>
      </c>
      <c r="L2521">
        <v>0.89487330592189096</v>
      </c>
      <c r="M2521">
        <v>0.67156862745098</v>
      </c>
      <c r="N2521">
        <v>1</v>
      </c>
      <c r="O2521">
        <v>0.75490196078431404</v>
      </c>
      <c r="P2521" t="s">
        <v>4997</v>
      </c>
      <c r="Q2521" t="s">
        <v>4998</v>
      </c>
      <c r="R2521" t="s">
        <v>213</v>
      </c>
      <c r="S2521" t="s">
        <v>214</v>
      </c>
      <c r="T2521" t="s">
        <v>6927</v>
      </c>
      <c r="U2521" t="s">
        <v>6928</v>
      </c>
      <c r="V2521" t="s">
        <v>6929</v>
      </c>
      <c r="W2521" t="s">
        <v>6930</v>
      </c>
      <c r="X2521" t="s">
        <v>6929</v>
      </c>
      <c r="Y2521" t="s">
        <v>5003</v>
      </c>
      <c r="AD2521" t="s">
        <v>245</v>
      </c>
      <c r="AE2521" t="s">
        <v>6931</v>
      </c>
      <c r="AF2521" t="s">
        <v>6932</v>
      </c>
    </row>
    <row r="2522" spans="1:32" hidden="1" x14ac:dyDescent="0.35">
      <c r="A2522">
        <v>3365</v>
      </c>
      <c r="B2522" t="s">
        <v>6926</v>
      </c>
      <c r="C2522" t="s">
        <v>72</v>
      </c>
      <c r="D2522" t="s">
        <v>60</v>
      </c>
      <c r="E2522">
        <v>2296</v>
      </c>
      <c r="F2522">
        <v>5</v>
      </c>
      <c r="G2522">
        <v>5</v>
      </c>
      <c r="H2522">
        <v>1</v>
      </c>
      <c r="I2522">
        <v>1</v>
      </c>
      <c r="J2522">
        <v>0.83622154264356097</v>
      </c>
      <c r="K2522">
        <v>0.96237322515212897</v>
      </c>
      <c r="L2522">
        <v>0.89487330592189096</v>
      </c>
      <c r="M2522">
        <v>0.67156862745098</v>
      </c>
      <c r="N2522">
        <v>1</v>
      </c>
      <c r="O2522">
        <v>0.75490196078431404</v>
      </c>
      <c r="P2522" t="s">
        <v>4997</v>
      </c>
      <c r="Q2522" t="s">
        <v>4998</v>
      </c>
      <c r="R2522" t="s">
        <v>213</v>
      </c>
      <c r="S2522" t="s">
        <v>214</v>
      </c>
      <c r="T2522" t="s">
        <v>6927</v>
      </c>
      <c r="U2522" t="s">
        <v>6928</v>
      </c>
      <c r="V2522" t="s">
        <v>6929</v>
      </c>
      <c r="W2522" t="s">
        <v>6930</v>
      </c>
      <c r="X2522" t="s">
        <v>6929</v>
      </c>
      <c r="Y2522" t="s">
        <v>5003</v>
      </c>
      <c r="AD2522" t="s">
        <v>245</v>
      </c>
      <c r="AE2522" t="s">
        <v>6931</v>
      </c>
      <c r="AF2522" t="e">
        <f>------MHDKKDYNVPAGPYGDDIEAVLVDAKLLHTRIQEMADRLSEKYKDAGDDLILVCVLKGAVFFITDFARAMSIPTQIEFMAVSSYGNSTSSSGVVRILKDLDRDIEDKHVVIVEDIIDSGLTLSWLVKNLRNRKPKSLDVVTLLRKPEAVRGKVDLFDIGFDIPNEFVIGYGLDYAERYRDLPYVGTLHPRVYSTDNGN</f>
        <v>#NAME?</v>
      </c>
    </row>
    <row r="2523" spans="1:32" hidden="1" x14ac:dyDescent="0.35">
      <c r="A2523">
        <v>3366</v>
      </c>
      <c r="B2523" t="s">
        <v>6926</v>
      </c>
      <c r="C2523" t="s">
        <v>72</v>
      </c>
      <c r="D2523" t="s">
        <v>62</v>
      </c>
      <c r="E2523">
        <v>2325</v>
      </c>
      <c r="F2523">
        <v>5</v>
      </c>
      <c r="G2523">
        <v>5</v>
      </c>
      <c r="H2523">
        <v>1</v>
      </c>
      <c r="I2523">
        <v>1</v>
      </c>
      <c r="J2523">
        <v>0.83622154264356097</v>
      </c>
      <c r="K2523">
        <v>0.96237322515212897</v>
      </c>
      <c r="L2523">
        <v>0.89487330592189096</v>
      </c>
      <c r="M2523">
        <v>0.67156862745098</v>
      </c>
      <c r="N2523">
        <v>1</v>
      </c>
      <c r="O2523">
        <v>0.75490196078431404</v>
      </c>
      <c r="P2523" t="s">
        <v>4997</v>
      </c>
      <c r="Q2523" t="s">
        <v>4998</v>
      </c>
      <c r="R2523" t="s">
        <v>213</v>
      </c>
      <c r="S2523" t="s">
        <v>214</v>
      </c>
      <c r="T2523" t="s">
        <v>6927</v>
      </c>
      <c r="U2523" t="s">
        <v>6928</v>
      </c>
      <c r="V2523" t="s">
        <v>6929</v>
      </c>
      <c r="W2523" t="s">
        <v>6930</v>
      </c>
      <c r="X2523" t="s">
        <v>6929</v>
      </c>
      <c r="Y2523" t="s">
        <v>5003</v>
      </c>
      <c r="AD2523" t="s">
        <v>245</v>
      </c>
      <c r="AE2523" t="s">
        <v>6931</v>
      </c>
      <c r="AF2523" t="e">
        <f>------MHDKKDYNVPAGPYGDDIEAVLVDAKLLHTRIQEMADRLSEKYKDAGDDLILVCVLKGAVFFITDFARAMSIPTQIEFMAVSSYGNSTSSSGVVRILKDLDRDIEDKHVVIVEDIIDSGLTLSWLVKNLRNRKPKSLDVVTLLRKPEAVRGKVDLFDIGFDIPNEFVIGYGLDYAERYRDLPYVGTLHPRVYSTDNGN</f>
        <v>#NAME?</v>
      </c>
    </row>
    <row r="2524" spans="1:32" hidden="1" x14ac:dyDescent="0.35">
      <c r="A2524">
        <v>3367</v>
      </c>
      <c r="B2524" t="s">
        <v>6926</v>
      </c>
      <c r="C2524" t="s">
        <v>72</v>
      </c>
      <c r="D2524" t="s">
        <v>34</v>
      </c>
      <c r="E2524">
        <v>1497</v>
      </c>
      <c r="F2524">
        <v>5</v>
      </c>
      <c r="G2524">
        <v>5</v>
      </c>
      <c r="H2524">
        <v>1</v>
      </c>
      <c r="I2524">
        <v>1</v>
      </c>
      <c r="J2524">
        <v>0.83622154264356097</v>
      </c>
      <c r="K2524">
        <v>0.96237322515212897</v>
      </c>
      <c r="L2524">
        <v>0.89487330592189096</v>
      </c>
      <c r="M2524">
        <v>0.67156862745098</v>
      </c>
      <c r="N2524">
        <v>1</v>
      </c>
      <c r="O2524">
        <v>0.75490196078431404</v>
      </c>
      <c r="P2524" t="s">
        <v>4997</v>
      </c>
      <c r="Q2524" t="s">
        <v>4998</v>
      </c>
      <c r="R2524" t="s">
        <v>213</v>
      </c>
      <c r="S2524" t="s">
        <v>214</v>
      </c>
      <c r="T2524" t="s">
        <v>6927</v>
      </c>
      <c r="U2524" t="s">
        <v>6928</v>
      </c>
      <c r="V2524" t="s">
        <v>6929</v>
      </c>
      <c r="W2524" t="s">
        <v>6930</v>
      </c>
      <c r="X2524" t="s">
        <v>6929</v>
      </c>
      <c r="Y2524" t="s">
        <v>5003</v>
      </c>
      <c r="AD2524" t="s">
        <v>245</v>
      </c>
      <c r="AE2524" t="s">
        <v>6931</v>
      </c>
      <c r="AF2524" t="s">
        <v>6933</v>
      </c>
    </row>
    <row r="2525" spans="1:32" hidden="1" x14ac:dyDescent="0.35">
      <c r="A2525">
        <v>3368</v>
      </c>
      <c r="B2525" t="s">
        <v>6926</v>
      </c>
      <c r="C2525" t="s">
        <v>72</v>
      </c>
      <c r="D2525" t="s">
        <v>45</v>
      </c>
      <c r="E2525">
        <v>247</v>
      </c>
      <c r="F2525">
        <v>5</v>
      </c>
      <c r="G2525">
        <v>5</v>
      </c>
      <c r="H2525">
        <v>1</v>
      </c>
      <c r="I2525">
        <v>1</v>
      </c>
      <c r="J2525">
        <v>0.83622154264356097</v>
      </c>
      <c r="K2525">
        <v>0.96237322515212897</v>
      </c>
      <c r="L2525">
        <v>0.89487330592189096</v>
      </c>
      <c r="M2525">
        <v>0.67156862745098</v>
      </c>
      <c r="N2525">
        <v>1</v>
      </c>
      <c r="O2525">
        <v>0.75490196078431404</v>
      </c>
      <c r="P2525" t="s">
        <v>4997</v>
      </c>
      <c r="Q2525" t="s">
        <v>4998</v>
      </c>
      <c r="R2525" t="s">
        <v>213</v>
      </c>
      <c r="S2525" t="s">
        <v>214</v>
      </c>
      <c r="T2525" t="s">
        <v>6927</v>
      </c>
      <c r="U2525" t="s">
        <v>6928</v>
      </c>
      <c r="V2525" t="s">
        <v>6929</v>
      </c>
      <c r="W2525" t="s">
        <v>6930</v>
      </c>
      <c r="X2525" t="s">
        <v>6929</v>
      </c>
      <c r="Y2525" t="s">
        <v>5003</v>
      </c>
      <c r="AD2525" t="s">
        <v>245</v>
      </c>
      <c r="AE2525" t="s">
        <v>6931</v>
      </c>
      <c r="AF2525" t="s">
        <v>6934</v>
      </c>
    </row>
    <row r="2526" spans="1:32" hidden="1" x14ac:dyDescent="0.35">
      <c r="A2526">
        <v>3479</v>
      </c>
      <c r="B2526" t="s">
        <v>7155</v>
      </c>
      <c r="C2526" t="s">
        <v>72</v>
      </c>
      <c r="D2526" t="s">
        <v>58</v>
      </c>
      <c r="E2526">
        <v>1101</v>
      </c>
      <c r="F2526">
        <v>5</v>
      </c>
      <c r="G2526">
        <v>5</v>
      </c>
      <c r="H2526">
        <v>1</v>
      </c>
      <c r="I2526">
        <v>1</v>
      </c>
      <c r="J2526">
        <v>0.85804597701149399</v>
      </c>
      <c r="K2526">
        <v>0.94223382315030102</v>
      </c>
      <c r="L2526">
        <v>0.89817143011393596</v>
      </c>
      <c r="M2526">
        <v>0.64351851851851805</v>
      </c>
      <c r="N2526">
        <v>1</v>
      </c>
      <c r="O2526">
        <v>0.75624999999999998</v>
      </c>
      <c r="P2526" t="s">
        <v>812</v>
      </c>
      <c r="Q2526" t="s">
        <v>813</v>
      </c>
      <c r="R2526" t="s">
        <v>213</v>
      </c>
      <c r="S2526" t="s">
        <v>214</v>
      </c>
      <c r="V2526" t="s">
        <v>7156</v>
      </c>
      <c r="W2526" t="s">
        <v>7157</v>
      </c>
      <c r="X2526" t="s">
        <v>7156</v>
      </c>
      <c r="Y2526" t="s">
        <v>5826</v>
      </c>
      <c r="AF2526" t="s">
        <v>7158</v>
      </c>
    </row>
    <row r="2527" spans="1:32" hidden="1" x14ac:dyDescent="0.35">
      <c r="A2527">
        <v>3480</v>
      </c>
      <c r="B2527" t="s">
        <v>7155</v>
      </c>
      <c r="C2527" t="s">
        <v>72</v>
      </c>
      <c r="D2527" t="s">
        <v>60</v>
      </c>
      <c r="E2527">
        <v>1486</v>
      </c>
      <c r="F2527">
        <v>5</v>
      </c>
      <c r="G2527">
        <v>5</v>
      </c>
      <c r="H2527">
        <v>1</v>
      </c>
      <c r="I2527">
        <v>1</v>
      </c>
      <c r="J2527">
        <v>0.85804597701149399</v>
      </c>
      <c r="K2527">
        <v>0.94223382315030102</v>
      </c>
      <c r="L2527">
        <v>0.89817143011393596</v>
      </c>
      <c r="M2527">
        <v>0.64351851851851805</v>
      </c>
      <c r="N2527">
        <v>1</v>
      </c>
      <c r="O2527">
        <v>0.75624999999999998</v>
      </c>
      <c r="P2527" t="s">
        <v>812</v>
      </c>
      <c r="Q2527" t="s">
        <v>813</v>
      </c>
      <c r="R2527" t="s">
        <v>213</v>
      </c>
      <c r="S2527" t="s">
        <v>214</v>
      </c>
      <c r="V2527" t="s">
        <v>7156</v>
      </c>
      <c r="W2527" t="s">
        <v>7157</v>
      </c>
      <c r="X2527" t="s">
        <v>7156</v>
      </c>
      <c r="Y2527" t="s">
        <v>5826</v>
      </c>
      <c r="AF2527" t="s">
        <v>7159</v>
      </c>
    </row>
    <row r="2528" spans="1:32" hidden="1" x14ac:dyDescent="0.35">
      <c r="A2528">
        <v>3481</v>
      </c>
      <c r="B2528" t="s">
        <v>7155</v>
      </c>
      <c r="C2528" t="s">
        <v>72</v>
      </c>
      <c r="D2528" t="s">
        <v>62</v>
      </c>
      <c r="E2528">
        <v>1521</v>
      </c>
      <c r="F2528">
        <v>5</v>
      </c>
      <c r="G2528">
        <v>5</v>
      </c>
      <c r="H2528">
        <v>1</v>
      </c>
      <c r="I2528">
        <v>1</v>
      </c>
      <c r="J2528">
        <v>0.85804597701149399</v>
      </c>
      <c r="K2528">
        <v>0.94223382315030102</v>
      </c>
      <c r="L2528">
        <v>0.89817143011393596</v>
      </c>
      <c r="M2528">
        <v>0.64351851851851805</v>
      </c>
      <c r="N2528">
        <v>1</v>
      </c>
      <c r="O2528">
        <v>0.75624999999999998</v>
      </c>
      <c r="P2528" t="s">
        <v>812</v>
      </c>
      <c r="Q2528" t="s">
        <v>813</v>
      </c>
      <c r="R2528" t="s">
        <v>213</v>
      </c>
      <c r="S2528" t="s">
        <v>214</v>
      </c>
      <c r="V2528" t="s">
        <v>7156</v>
      </c>
      <c r="W2528" t="s">
        <v>7157</v>
      </c>
      <c r="X2528" t="s">
        <v>7156</v>
      </c>
      <c r="Y2528" t="s">
        <v>5826</v>
      </c>
      <c r="AF2528" t="s">
        <v>7159</v>
      </c>
    </row>
    <row r="2529" spans="1:32" hidden="1" x14ac:dyDescent="0.35">
      <c r="A2529">
        <v>3482</v>
      </c>
      <c r="B2529" t="s">
        <v>7155</v>
      </c>
      <c r="C2529" t="s">
        <v>72</v>
      </c>
      <c r="D2529" t="s">
        <v>34</v>
      </c>
      <c r="E2529">
        <v>1917</v>
      </c>
      <c r="F2529">
        <v>5</v>
      </c>
      <c r="G2529">
        <v>5</v>
      </c>
      <c r="H2529">
        <v>1</v>
      </c>
      <c r="I2529">
        <v>1</v>
      </c>
      <c r="J2529">
        <v>0.85804597701149399</v>
      </c>
      <c r="K2529">
        <v>0.94223382315030102</v>
      </c>
      <c r="L2529">
        <v>0.89817143011393596</v>
      </c>
      <c r="M2529">
        <v>0.64351851851851805</v>
      </c>
      <c r="N2529">
        <v>1</v>
      </c>
      <c r="O2529">
        <v>0.75624999999999998</v>
      </c>
      <c r="P2529" t="s">
        <v>812</v>
      </c>
      <c r="Q2529" t="s">
        <v>813</v>
      </c>
      <c r="R2529" t="s">
        <v>213</v>
      </c>
      <c r="S2529" t="s">
        <v>214</v>
      </c>
      <c r="V2529" t="s">
        <v>7156</v>
      </c>
      <c r="W2529" t="s">
        <v>7157</v>
      </c>
      <c r="X2529" t="s">
        <v>7156</v>
      </c>
      <c r="Y2529" t="s">
        <v>5826</v>
      </c>
      <c r="AF2529" t="s">
        <v>7160</v>
      </c>
    </row>
    <row r="2530" spans="1:32" hidden="1" x14ac:dyDescent="0.35">
      <c r="A2530">
        <v>3483</v>
      </c>
      <c r="B2530" t="s">
        <v>7155</v>
      </c>
      <c r="C2530" t="s">
        <v>72</v>
      </c>
      <c r="D2530" t="s">
        <v>45</v>
      </c>
      <c r="E2530">
        <v>957</v>
      </c>
      <c r="F2530">
        <v>5</v>
      </c>
      <c r="G2530">
        <v>5</v>
      </c>
      <c r="H2530">
        <v>1</v>
      </c>
      <c r="I2530">
        <v>1</v>
      </c>
      <c r="J2530">
        <v>0.85804597701149399</v>
      </c>
      <c r="K2530">
        <v>0.94223382315030102</v>
      </c>
      <c r="L2530">
        <v>0.89817143011393596</v>
      </c>
      <c r="M2530">
        <v>0.64351851851851805</v>
      </c>
      <c r="N2530">
        <v>1</v>
      </c>
      <c r="O2530">
        <v>0.75624999999999998</v>
      </c>
      <c r="P2530" t="s">
        <v>812</v>
      </c>
      <c r="Q2530" t="s">
        <v>813</v>
      </c>
      <c r="R2530" t="s">
        <v>213</v>
      </c>
      <c r="S2530" t="s">
        <v>214</v>
      </c>
      <c r="V2530" t="s">
        <v>7156</v>
      </c>
      <c r="W2530" t="s">
        <v>7157</v>
      </c>
      <c r="X2530" t="s">
        <v>7156</v>
      </c>
      <c r="Y2530" t="s">
        <v>5826</v>
      </c>
      <c r="AF2530" t="s">
        <v>7161</v>
      </c>
    </row>
    <row r="2531" spans="1:32" hidden="1" x14ac:dyDescent="0.35">
      <c r="A2531">
        <v>3584</v>
      </c>
      <c r="B2531" t="s">
        <v>7367</v>
      </c>
      <c r="C2531" t="s">
        <v>72</v>
      </c>
      <c r="D2531" t="s">
        <v>58</v>
      </c>
      <c r="E2531">
        <v>328</v>
      </c>
      <c r="F2531">
        <v>5</v>
      </c>
      <c r="G2531">
        <v>5</v>
      </c>
      <c r="H2531">
        <v>1</v>
      </c>
      <c r="I2531">
        <v>1</v>
      </c>
      <c r="J2531">
        <v>0.86428715466827999</v>
      </c>
      <c r="K2531">
        <v>0.96735466116270896</v>
      </c>
      <c r="L2531">
        <v>0.91292107487959095</v>
      </c>
      <c r="M2531">
        <v>0.77192982456140302</v>
      </c>
      <c r="N2531">
        <v>0.99415204678362601</v>
      </c>
      <c r="O2531">
        <v>0.83216374269005899</v>
      </c>
      <c r="P2531" t="s">
        <v>7368</v>
      </c>
      <c r="Q2531" t="s">
        <v>7369</v>
      </c>
      <c r="R2531" t="s">
        <v>213</v>
      </c>
      <c r="S2531" t="s">
        <v>214</v>
      </c>
      <c r="T2531" t="s">
        <v>7370</v>
      </c>
      <c r="U2531" t="s">
        <v>7371</v>
      </c>
      <c r="V2531" t="s">
        <v>7372</v>
      </c>
      <c r="W2531" t="s">
        <v>7373</v>
      </c>
      <c r="X2531" t="s">
        <v>7372</v>
      </c>
      <c r="Y2531" t="s">
        <v>710</v>
      </c>
      <c r="Z2531" t="s">
        <v>711</v>
      </c>
      <c r="AA2531" t="s">
        <v>712</v>
      </c>
      <c r="AB2531" t="s">
        <v>711</v>
      </c>
      <c r="AC2531" t="s">
        <v>713</v>
      </c>
      <c r="AD2531" t="s">
        <v>219</v>
      </c>
      <c r="AE2531" t="s">
        <v>7374</v>
      </c>
      <c r="AF2531" t="s">
        <v>7375</v>
      </c>
    </row>
    <row r="2532" spans="1:32" hidden="1" x14ac:dyDescent="0.35">
      <c r="A2532">
        <v>3585</v>
      </c>
      <c r="B2532" t="s">
        <v>7367</v>
      </c>
      <c r="C2532" t="s">
        <v>72</v>
      </c>
      <c r="D2532" t="s">
        <v>60</v>
      </c>
      <c r="E2532">
        <v>547</v>
      </c>
      <c r="F2532">
        <v>5</v>
      </c>
      <c r="G2532">
        <v>5</v>
      </c>
      <c r="H2532">
        <v>1</v>
      </c>
      <c r="I2532">
        <v>1</v>
      </c>
      <c r="J2532">
        <v>0.86428715466827999</v>
      </c>
      <c r="K2532">
        <v>0.96735466116270896</v>
      </c>
      <c r="L2532">
        <v>0.91292107487959095</v>
      </c>
      <c r="M2532">
        <v>0.77192982456140302</v>
      </c>
      <c r="N2532">
        <v>0.99415204678362601</v>
      </c>
      <c r="O2532">
        <v>0.83216374269005899</v>
      </c>
      <c r="P2532" t="s">
        <v>7368</v>
      </c>
      <c r="Q2532" t="s">
        <v>7369</v>
      </c>
      <c r="R2532" t="s">
        <v>213</v>
      </c>
      <c r="S2532" t="s">
        <v>214</v>
      </c>
      <c r="T2532" t="s">
        <v>7370</v>
      </c>
      <c r="U2532" t="s">
        <v>7371</v>
      </c>
      <c r="V2532" t="s">
        <v>7372</v>
      </c>
      <c r="W2532" t="s">
        <v>7373</v>
      </c>
      <c r="X2532" t="s">
        <v>7372</v>
      </c>
      <c r="Y2532" t="s">
        <v>710</v>
      </c>
      <c r="Z2532" t="s">
        <v>711</v>
      </c>
      <c r="AA2532" t="s">
        <v>712</v>
      </c>
      <c r="AB2532" t="s">
        <v>711</v>
      </c>
      <c r="AC2532" t="s">
        <v>713</v>
      </c>
      <c r="AD2532" t="s">
        <v>219</v>
      </c>
      <c r="AE2532" t="s">
        <v>7374</v>
      </c>
      <c r="AF2532" t="s">
        <v>7376</v>
      </c>
    </row>
    <row r="2533" spans="1:32" hidden="1" x14ac:dyDescent="0.35">
      <c r="A2533">
        <v>3586</v>
      </c>
      <c r="B2533" t="s">
        <v>7367</v>
      </c>
      <c r="C2533" t="s">
        <v>72</v>
      </c>
      <c r="D2533" t="s">
        <v>62</v>
      </c>
      <c r="E2533">
        <v>631</v>
      </c>
      <c r="F2533">
        <v>5</v>
      </c>
      <c r="G2533">
        <v>5</v>
      </c>
      <c r="H2533">
        <v>1</v>
      </c>
      <c r="I2533">
        <v>1</v>
      </c>
      <c r="J2533">
        <v>0.86428715466827999</v>
      </c>
      <c r="K2533">
        <v>0.96735466116270896</v>
      </c>
      <c r="L2533">
        <v>0.91292107487959095</v>
      </c>
      <c r="M2533">
        <v>0.77192982456140302</v>
      </c>
      <c r="N2533">
        <v>0.99415204678362601</v>
      </c>
      <c r="O2533">
        <v>0.83216374269005899</v>
      </c>
      <c r="P2533" t="s">
        <v>7368</v>
      </c>
      <c r="Q2533" t="s">
        <v>7369</v>
      </c>
      <c r="R2533" t="s">
        <v>213</v>
      </c>
      <c r="S2533" t="s">
        <v>214</v>
      </c>
      <c r="T2533" t="s">
        <v>7370</v>
      </c>
      <c r="U2533" t="s">
        <v>7371</v>
      </c>
      <c r="V2533" t="s">
        <v>7372</v>
      </c>
      <c r="W2533" t="s">
        <v>7373</v>
      </c>
      <c r="X2533" t="s">
        <v>7372</v>
      </c>
      <c r="Y2533" t="s">
        <v>710</v>
      </c>
      <c r="Z2533" t="s">
        <v>711</v>
      </c>
      <c r="AA2533" t="s">
        <v>712</v>
      </c>
      <c r="AB2533" t="s">
        <v>711</v>
      </c>
      <c r="AC2533" t="s">
        <v>713</v>
      </c>
      <c r="AD2533" t="s">
        <v>219</v>
      </c>
      <c r="AE2533" t="s">
        <v>7374</v>
      </c>
      <c r="AF2533" t="s">
        <v>7377</v>
      </c>
    </row>
    <row r="2534" spans="1:32" hidden="1" x14ac:dyDescent="0.35">
      <c r="A2534">
        <v>3587</v>
      </c>
      <c r="B2534" t="s">
        <v>7367</v>
      </c>
      <c r="C2534" t="s">
        <v>72</v>
      </c>
      <c r="D2534" t="s">
        <v>34</v>
      </c>
      <c r="E2534">
        <v>536</v>
      </c>
      <c r="F2534">
        <v>5</v>
      </c>
      <c r="G2534">
        <v>5</v>
      </c>
      <c r="H2534">
        <v>1</v>
      </c>
      <c r="I2534">
        <v>1</v>
      </c>
      <c r="J2534">
        <v>0.86428715466827999</v>
      </c>
      <c r="K2534">
        <v>0.96735466116270896</v>
      </c>
      <c r="L2534">
        <v>0.91292107487959095</v>
      </c>
      <c r="M2534">
        <v>0.77192982456140302</v>
      </c>
      <c r="N2534">
        <v>0.99415204678362601</v>
      </c>
      <c r="O2534">
        <v>0.83216374269005899</v>
      </c>
      <c r="P2534" t="s">
        <v>7368</v>
      </c>
      <c r="Q2534" t="s">
        <v>7369</v>
      </c>
      <c r="R2534" t="s">
        <v>213</v>
      </c>
      <c r="S2534" t="s">
        <v>214</v>
      </c>
      <c r="T2534" t="s">
        <v>7370</v>
      </c>
      <c r="U2534" t="s">
        <v>7371</v>
      </c>
      <c r="V2534" t="s">
        <v>7372</v>
      </c>
      <c r="W2534" t="s">
        <v>7373</v>
      </c>
      <c r="X2534" t="s">
        <v>7372</v>
      </c>
      <c r="Y2534" t="s">
        <v>710</v>
      </c>
      <c r="Z2534" t="s">
        <v>711</v>
      </c>
      <c r="AA2534" t="s">
        <v>712</v>
      </c>
      <c r="AB2534" t="s">
        <v>711</v>
      </c>
      <c r="AC2534" t="s">
        <v>713</v>
      </c>
      <c r="AD2534" t="s">
        <v>219</v>
      </c>
      <c r="AE2534" t="s">
        <v>7374</v>
      </c>
      <c r="AF2534" t="s">
        <v>7378</v>
      </c>
    </row>
    <row r="2535" spans="1:32" hidden="1" x14ac:dyDescent="0.35">
      <c r="A2535">
        <v>3588</v>
      </c>
      <c r="B2535" t="s">
        <v>7367</v>
      </c>
      <c r="C2535" t="s">
        <v>72</v>
      </c>
      <c r="D2535" t="s">
        <v>45</v>
      </c>
      <c r="E2535">
        <v>1802</v>
      </c>
      <c r="F2535">
        <v>5</v>
      </c>
      <c r="G2535">
        <v>5</v>
      </c>
      <c r="H2535">
        <v>1</v>
      </c>
      <c r="I2535">
        <v>1</v>
      </c>
      <c r="J2535">
        <v>0.86428715466827999</v>
      </c>
      <c r="K2535">
        <v>0.96735466116270896</v>
      </c>
      <c r="L2535">
        <v>0.91292107487959095</v>
      </c>
      <c r="M2535">
        <v>0.77192982456140302</v>
      </c>
      <c r="N2535">
        <v>0.99415204678362601</v>
      </c>
      <c r="O2535">
        <v>0.83216374269005899</v>
      </c>
      <c r="P2535" t="s">
        <v>7368</v>
      </c>
      <c r="Q2535" t="s">
        <v>7369</v>
      </c>
      <c r="R2535" t="s">
        <v>213</v>
      </c>
      <c r="S2535" t="s">
        <v>214</v>
      </c>
      <c r="T2535" t="s">
        <v>7370</v>
      </c>
      <c r="U2535" t="s">
        <v>7371</v>
      </c>
      <c r="V2535" t="s">
        <v>7372</v>
      </c>
      <c r="W2535" t="s">
        <v>7373</v>
      </c>
      <c r="X2535" t="s">
        <v>7372</v>
      </c>
      <c r="Y2535" t="s">
        <v>710</v>
      </c>
      <c r="Z2535" t="s">
        <v>711</v>
      </c>
      <c r="AA2535" t="s">
        <v>712</v>
      </c>
      <c r="AB2535" t="s">
        <v>711</v>
      </c>
      <c r="AC2535" t="s">
        <v>713</v>
      </c>
      <c r="AD2535" t="s">
        <v>219</v>
      </c>
      <c r="AE2535" t="s">
        <v>7374</v>
      </c>
      <c r="AF2535" t="s">
        <v>7379</v>
      </c>
    </row>
    <row r="2536" spans="1:32" hidden="1" x14ac:dyDescent="0.35">
      <c r="A2536">
        <v>3604</v>
      </c>
      <c r="B2536" t="s">
        <v>7415</v>
      </c>
      <c r="C2536" t="s">
        <v>72</v>
      </c>
      <c r="D2536" t="s">
        <v>58</v>
      </c>
      <c r="E2536">
        <v>538</v>
      </c>
      <c r="F2536">
        <v>5</v>
      </c>
      <c r="G2536">
        <v>5</v>
      </c>
      <c r="H2536">
        <v>1</v>
      </c>
      <c r="I2536">
        <v>1</v>
      </c>
      <c r="J2536">
        <v>0.75178907721280597</v>
      </c>
      <c r="K2536">
        <v>0.86132943143812601</v>
      </c>
      <c r="L2536">
        <v>0.80284003309669105</v>
      </c>
      <c r="M2536">
        <v>0.49519230769230799</v>
      </c>
      <c r="N2536">
        <v>0.99519230769230804</v>
      </c>
      <c r="O2536">
        <v>0.64134615384615401</v>
      </c>
      <c r="P2536" t="s">
        <v>7416</v>
      </c>
      <c r="Q2536" t="s">
        <v>7417</v>
      </c>
      <c r="R2536" t="s">
        <v>213</v>
      </c>
      <c r="S2536" t="s">
        <v>214</v>
      </c>
      <c r="T2536" t="s">
        <v>7418</v>
      </c>
      <c r="U2536" t="s">
        <v>7419</v>
      </c>
      <c r="V2536" t="s">
        <v>7420</v>
      </c>
      <c r="W2536" t="s">
        <v>7421</v>
      </c>
      <c r="X2536" t="s">
        <v>7420</v>
      </c>
      <c r="Y2536" t="s">
        <v>710</v>
      </c>
      <c r="Z2536" t="s">
        <v>711</v>
      </c>
      <c r="AA2536" t="s">
        <v>712</v>
      </c>
      <c r="AB2536" t="s">
        <v>711</v>
      </c>
      <c r="AC2536" t="s">
        <v>713</v>
      </c>
      <c r="AD2536" t="s">
        <v>245</v>
      </c>
      <c r="AE2536" t="s">
        <v>7422</v>
      </c>
      <c r="AF2536" t="s">
        <v>7423</v>
      </c>
    </row>
    <row r="2537" spans="1:32" hidden="1" x14ac:dyDescent="0.35">
      <c r="A2537">
        <v>3605</v>
      </c>
      <c r="B2537" t="s">
        <v>7415</v>
      </c>
      <c r="C2537" t="s">
        <v>72</v>
      </c>
      <c r="D2537" t="s">
        <v>60</v>
      </c>
      <c r="E2537">
        <v>752</v>
      </c>
      <c r="F2537">
        <v>5</v>
      </c>
      <c r="G2537">
        <v>5</v>
      </c>
      <c r="H2537">
        <v>1</v>
      </c>
      <c r="I2537">
        <v>1</v>
      </c>
      <c r="J2537">
        <v>0.75178907721280597</v>
      </c>
      <c r="K2537">
        <v>0.86132943143812601</v>
      </c>
      <c r="L2537">
        <v>0.80284003309669105</v>
      </c>
      <c r="M2537">
        <v>0.49519230769230799</v>
      </c>
      <c r="N2537">
        <v>0.99519230769230804</v>
      </c>
      <c r="O2537">
        <v>0.64134615384615401</v>
      </c>
      <c r="P2537" t="s">
        <v>7416</v>
      </c>
      <c r="Q2537" t="s">
        <v>7417</v>
      </c>
      <c r="R2537" t="s">
        <v>213</v>
      </c>
      <c r="S2537" t="s">
        <v>214</v>
      </c>
      <c r="T2537" t="s">
        <v>7418</v>
      </c>
      <c r="U2537" t="s">
        <v>7419</v>
      </c>
      <c r="V2537" t="s">
        <v>7420</v>
      </c>
      <c r="W2537" t="s">
        <v>7421</v>
      </c>
      <c r="X2537" t="s">
        <v>7420</v>
      </c>
      <c r="Y2537" t="s">
        <v>710</v>
      </c>
      <c r="Z2537" t="s">
        <v>711</v>
      </c>
      <c r="AA2537" t="s">
        <v>712</v>
      </c>
      <c r="AB2537" t="s">
        <v>711</v>
      </c>
      <c r="AC2537" t="s">
        <v>713</v>
      </c>
      <c r="AD2537" t="s">
        <v>245</v>
      </c>
      <c r="AE2537" t="s">
        <v>7422</v>
      </c>
      <c r="AF2537" t="s">
        <v>7424</v>
      </c>
    </row>
    <row r="2538" spans="1:32" hidden="1" x14ac:dyDescent="0.35">
      <c r="A2538">
        <v>3606</v>
      </c>
      <c r="B2538" t="s">
        <v>7415</v>
      </c>
      <c r="C2538" t="s">
        <v>72</v>
      </c>
      <c r="D2538" t="s">
        <v>62</v>
      </c>
      <c r="E2538">
        <v>784</v>
      </c>
      <c r="F2538">
        <v>5</v>
      </c>
      <c r="G2538">
        <v>5</v>
      </c>
      <c r="H2538">
        <v>1</v>
      </c>
      <c r="I2538">
        <v>1</v>
      </c>
      <c r="J2538">
        <v>0.75178907721280597</v>
      </c>
      <c r="K2538">
        <v>0.86132943143812601</v>
      </c>
      <c r="L2538">
        <v>0.80284003309669105</v>
      </c>
      <c r="M2538">
        <v>0.49519230769230799</v>
      </c>
      <c r="N2538">
        <v>0.99519230769230804</v>
      </c>
      <c r="O2538">
        <v>0.64134615384615401</v>
      </c>
      <c r="P2538" t="s">
        <v>7416</v>
      </c>
      <c r="Q2538" t="s">
        <v>7417</v>
      </c>
      <c r="R2538" t="s">
        <v>213</v>
      </c>
      <c r="S2538" t="s">
        <v>214</v>
      </c>
      <c r="T2538" t="s">
        <v>7418</v>
      </c>
      <c r="U2538" t="s">
        <v>7419</v>
      </c>
      <c r="V2538" t="s">
        <v>7420</v>
      </c>
      <c r="W2538" t="s">
        <v>7421</v>
      </c>
      <c r="X2538" t="s">
        <v>7420</v>
      </c>
      <c r="Y2538" t="s">
        <v>710</v>
      </c>
      <c r="Z2538" t="s">
        <v>711</v>
      </c>
      <c r="AA2538" t="s">
        <v>712</v>
      </c>
      <c r="AB2538" t="s">
        <v>711</v>
      </c>
      <c r="AC2538" t="s">
        <v>713</v>
      </c>
      <c r="AD2538" t="s">
        <v>245</v>
      </c>
      <c r="AE2538" t="s">
        <v>7422</v>
      </c>
      <c r="AF2538" t="s">
        <v>7425</v>
      </c>
    </row>
    <row r="2539" spans="1:32" hidden="1" x14ac:dyDescent="0.35">
      <c r="A2539">
        <v>3607</v>
      </c>
      <c r="B2539" t="s">
        <v>7415</v>
      </c>
      <c r="C2539" t="s">
        <v>72</v>
      </c>
      <c r="D2539" t="s">
        <v>34</v>
      </c>
      <c r="E2539">
        <v>379</v>
      </c>
      <c r="F2539">
        <v>5</v>
      </c>
      <c r="G2539">
        <v>5</v>
      </c>
      <c r="H2539">
        <v>1</v>
      </c>
      <c r="I2539">
        <v>1</v>
      </c>
      <c r="J2539">
        <v>0.75178907721280597</v>
      </c>
      <c r="K2539">
        <v>0.86132943143812601</v>
      </c>
      <c r="L2539">
        <v>0.80284003309669105</v>
      </c>
      <c r="M2539">
        <v>0.49519230769230799</v>
      </c>
      <c r="N2539">
        <v>0.99519230769230804</v>
      </c>
      <c r="O2539">
        <v>0.64134615384615401</v>
      </c>
      <c r="P2539" t="s">
        <v>7416</v>
      </c>
      <c r="Q2539" t="s">
        <v>7417</v>
      </c>
      <c r="R2539" t="s">
        <v>213</v>
      </c>
      <c r="S2539" t="s">
        <v>214</v>
      </c>
      <c r="T2539" t="s">
        <v>7418</v>
      </c>
      <c r="U2539" t="s">
        <v>7419</v>
      </c>
      <c r="V2539" t="s">
        <v>7420</v>
      </c>
      <c r="W2539" t="s">
        <v>7421</v>
      </c>
      <c r="X2539" t="s">
        <v>7420</v>
      </c>
      <c r="Y2539" t="s">
        <v>710</v>
      </c>
      <c r="Z2539" t="s">
        <v>711</v>
      </c>
      <c r="AA2539" t="s">
        <v>712</v>
      </c>
      <c r="AB2539" t="s">
        <v>711</v>
      </c>
      <c r="AC2539" t="s">
        <v>713</v>
      </c>
      <c r="AD2539" t="s">
        <v>245</v>
      </c>
      <c r="AE2539" t="s">
        <v>7422</v>
      </c>
      <c r="AF2539" t="e">
        <f>--------------------MQSILDNQGK-YQVVGVVSDVECPALDRARQAAIPAELVELARGAD--PQVREEWNERLAEVVDRLQPDVVVSAGFMKILGAPFLSRFGGRTINTHPALLPAFPGAHAVRDALAYGVKVTGSTVHFVDAGVDTGPIIAQEPVAIMPGESESDLHERIKQVERKLIVNVLNSATVAADNQGEVDFANHE</f>
        <v>#NAME?</v>
      </c>
    </row>
    <row r="2540" spans="1:32" hidden="1" x14ac:dyDescent="0.35">
      <c r="A2540">
        <v>3608</v>
      </c>
      <c r="B2540" t="s">
        <v>7415</v>
      </c>
      <c r="C2540" t="s">
        <v>72</v>
      </c>
      <c r="D2540" t="s">
        <v>45</v>
      </c>
      <c r="E2540">
        <v>1641</v>
      </c>
      <c r="F2540">
        <v>5</v>
      </c>
      <c r="G2540">
        <v>5</v>
      </c>
      <c r="H2540">
        <v>1</v>
      </c>
      <c r="I2540">
        <v>1</v>
      </c>
      <c r="J2540">
        <v>0.75178907721280597</v>
      </c>
      <c r="K2540">
        <v>0.86132943143812601</v>
      </c>
      <c r="L2540">
        <v>0.80284003309669105</v>
      </c>
      <c r="M2540">
        <v>0.49519230769230799</v>
      </c>
      <c r="N2540">
        <v>0.99519230769230804</v>
      </c>
      <c r="O2540">
        <v>0.64134615384615401</v>
      </c>
      <c r="P2540" t="s">
        <v>7416</v>
      </c>
      <c r="Q2540" t="s">
        <v>7417</v>
      </c>
      <c r="R2540" t="s">
        <v>213</v>
      </c>
      <c r="S2540" t="s">
        <v>214</v>
      </c>
      <c r="T2540" t="s">
        <v>7418</v>
      </c>
      <c r="U2540" t="s">
        <v>7419</v>
      </c>
      <c r="V2540" t="s">
        <v>7420</v>
      </c>
      <c r="W2540" t="s">
        <v>7421</v>
      </c>
      <c r="X2540" t="s">
        <v>7420</v>
      </c>
      <c r="Y2540" t="s">
        <v>710</v>
      </c>
      <c r="Z2540" t="s">
        <v>711</v>
      </c>
      <c r="AA2540" t="s">
        <v>712</v>
      </c>
      <c r="AB2540" t="s">
        <v>711</v>
      </c>
      <c r="AC2540" t="s">
        <v>713</v>
      </c>
      <c r="AD2540" t="s">
        <v>245</v>
      </c>
      <c r="AE2540" t="s">
        <v>7422</v>
      </c>
      <c r="AF2540" t="e">
        <f>--------------------MQSILDNQGK-YQVVGVVSDVECPALDRARQAAIPAELVELARGAD--PQVREEWNERLAEVVDRLQPDVVVSAGFMKILGAPFLLRFGGRTINTHPALLPAFPGAHAVRDALAYGVKVTGSTVHFVDAGVDTGPIIAQEPVAIMPGESESDLHERIKQVERKLIVNVLNSATVAADNRGEVDFANHE</f>
        <v>#NAME?</v>
      </c>
    </row>
    <row r="2541" spans="1:32" hidden="1" x14ac:dyDescent="0.35">
      <c r="A2541">
        <v>3634</v>
      </c>
      <c r="B2541" t="s">
        <v>7494</v>
      </c>
      <c r="C2541" t="s">
        <v>72</v>
      </c>
      <c r="D2541" t="s">
        <v>58</v>
      </c>
      <c r="E2541">
        <v>1123</v>
      </c>
      <c r="F2541">
        <v>5</v>
      </c>
      <c r="G2541">
        <v>5</v>
      </c>
      <c r="H2541">
        <v>1</v>
      </c>
      <c r="I2541">
        <v>1</v>
      </c>
      <c r="J2541">
        <v>0.81804832465625399</v>
      </c>
      <c r="K2541">
        <v>0.98318913199090996</v>
      </c>
      <c r="L2541">
        <v>0.89304851981317701</v>
      </c>
      <c r="M2541">
        <v>0.63385826771653497</v>
      </c>
      <c r="N2541">
        <v>0.99606299212598404</v>
      </c>
      <c r="O2541">
        <v>0.73740157480314905</v>
      </c>
      <c r="P2541" t="s">
        <v>7495</v>
      </c>
      <c r="Q2541" t="s">
        <v>7496</v>
      </c>
      <c r="R2541" t="s">
        <v>213</v>
      </c>
      <c r="S2541" t="s">
        <v>214</v>
      </c>
      <c r="T2541" t="s">
        <v>7497</v>
      </c>
      <c r="U2541" t="s">
        <v>7498</v>
      </c>
      <c r="V2541" t="s">
        <v>7499</v>
      </c>
      <c r="W2541" t="s">
        <v>7500</v>
      </c>
      <c r="X2541" t="s">
        <v>7499</v>
      </c>
      <c r="Y2541" t="s">
        <v>3014</v>
      </c>
      <c r="Z2541" t="s">
        <v>3015</v>
      </c>
      <c r="AA2541" t="s">
        <v>3016</v>
      </c>
      <c r="AB2541" t="s">
        <v>3015</v>
      </c>
      <c r="AC2541" t="s">
        <v>2304</v>
      </c>
      <c r="AD2541" t="s">
        <v>245</v>
      </c>
      <c r="AE2541" t="s">
        <v>7501</v>
      </c>
      <c r="AF2541" t="s">
        <v>7502</v>
      </c>
    </row>
    <row r="2542" spans="1:32" hidden="1" x14ac:dyDescent="0.35">
      <c r="A2542">
        <v>3635</v>
      </c>
      <c r="B2542" t="s">
        <v>7494</v>
      </c>
      <c r="C2542" t="s">
        <v>72</v>
      </c>
      <c r="D2542" t="s">
        <v>60</v>
      </c>
      <c r="E2542">
        <v>1516</v>
      </c>
      <c r="F2542">
        <v>5</v>
      </c>
      <c r="G2542">
        <v>5</v>
      </c>
      <c r="H2542">
        <v>1</v>
      </c>
      <c r="I2542">
        <v>1</v>
      </c>
      <c r="J2542">
        <v>0.81804832465625399</v>
      </c>
      <c r="K2542">
        <v>0.98318913199090996</v>
      </c>
      <c r="L2542">
        <v>0.89304851981317701</v>
      </c>
      <c r="M2542">
        <v>0.63385826771653497</v>
      </c>
      <c r="N2542">
        <v>0.99606299212598404</v>
      </c>
      <c r="O2542">
        <v>0.73740157480314905</v>
      </c>
      <c r="P2542" t="s">
        <v>7495</v>
      </c>
      <c r="Q2542" t="s">
        <v>7496</v>
      </c>
      <c r="R2542" t="s">
        <v>213</v>
      </c>
      <c r="S2542" t="s">
        <v>214</v>
      </c>
      <c r="T2542" t="s">
        <v>7497</v>
      </c>
      <c r="U2542" t="s">
        <v>7498</v>
      </c>
      <c r="V2542" t="s">
        <v>7499</v>
      </c>
      <c r="W2542" t="s">
        <v>7500</v>
      </c>
      <c r="X2542" t="s">
        <v>7499</v>
      </c>
      <c r="Y2542" t="s">
        <v>3014</v>
      </c>
      <c r="Z2542" t="s">
        <v>3015</v>
      </c>
      <c r="AA2542" t="s">
        <v>3016</v>
      </c>
      <c r="AB2542" t="s">
        <v>3015</v>
      </c>
      <c r="AC2542" t="s">
        <v>2304</v>
      </c>
      <c r="AD2542" t="s">
        <v>245</v>
      </c>
      <c r="AE2542" t="s">
        <v>7501</v>
      </c>
      <c r="AF2542" t="s">
        <v>7503</v>
      </c>
    </row>
    <row r="2543" spans="1:32" hidden="1" x14ac:dyDescent="0.35">
      <c r="A2543">
        <v>3636</v>
      </c>
      <c r="B2543" t="s">
        <v>7494</v>
      </c>
      <c r="C2543" t="s">
        <v>72</v>
      </c>
      <c r="D2543" t="s">
        <v>62</v>
      </c>
      <c r="E2543">
        <v>1551</v>
      </c>
      <c r="F2543">
        <v>5</v>
      </c>
      <c r="G2543">
        <v>5</v>
      </c>
      <c r="H2543">
        <v>1</v>
      </c>
      <c r="I2543">
        <v>1</v>
      </c>
      <c r="J2543">
        <v>0.81804832465625399</v>
      </c>
      <c r="K2543">
        <v>0.98318913199090996</v>
      </c>
      <c r="L2543">
        <v>0.89304851981317701</v>
      </c>
      <c r="M2543">
        <v>0.63385826771653497</v>
      </c>
      <c r="N2543">
        <v>0.99606299212598404</v>
      </c>
      <c r="O2543">
        <v>0.73740157480314905</v>
      </c>
      <c r="P2543" t="s">
        <v>7495</v>
      </c>
      <c r="Q2543" t="s">
        <v>7496</v>
      </c>
      <c r="R2543" t="s">
        <v>213</v>
      </c>
      <c r="S2543" t="s">
        <v>214</v>
      </c>
      <c r="T2543" t="s">
        <v>7497</v>
      </c>
      <c r="U2543" t="s">
        <v>7498</v>
      </c>
      <c r="V2543" t="s">
        <v>7499</v>
      </c>
      <c r="W2543" t="s">
        <v>7500</v>
      </c>
      <c r="X2543" t="s">
        <v>7499</v>
      </c>
      <c r="Y2543" t="s">
        <v>3014</v>
      </c>
      <c r="Z2543" t="s">
        <v>3015</v>
      </c>
      <c r="AA2543" t="s">
        <v>3016</v>
      </c>
      <c r="AB2543" t="s">
        <v>3015</v>
      </c>
      <c r="AC2543" t="s">
        <v>2304</v>
      </c>
      <c r="AD2543" t="s">
        <v>245</v>
      </c>
      <c r="AE2543" t="s">
        <v>7501</v>
      </c>
      <c r="AF2543" t="s">
        <v>7504</v>
      </c>
    </row>
    <row r="2544" spans="1:32" hidden="1" x14ac:dyDescent="0.35">
      <c r="A2544">
        <v>3637</v>
      </c>
      <c r="B2544" t="s">
        <v>7494</v>
      </c>
      <c r="C2544" t="s">
        <v>72</v>
      </c>
      <c r="D2544" t="s">
        <v>34</v>
      </c>
      <c r="E2544">
        <v>1947</v>
      </c>
      <c r="F2544">
        <v>5</v>
      </c>
      <c r="G2544">
        <v>5</v>
      </c>
      <c r="H2544">
        <v>1</v>
      </c>
      <c r="I2544">
        <v>1</v>
      </c>
      <c r="J2544">
        <v>0.81804832465625399</v>
      </c>
      <c r="K2544">
        <v>0.98318913199090996</v>
      </c>
      <c r="L2544">
        <v>0.89304851981317701</v>
      </c>
      <c r="M2544">
        <v>0.63385826771653497</v>
      </c>
      <c r="N2544">
        <v>0.99606299212598404</v>
      </c>
      <c r="O2544">
        <v>0.73740157480314905</v>
      </c>
      <c r="P2544" t="s">
        <v>7495</v>
      </c>
      <c r="Q2544" t="s">
        <v>7496</v>
      </c>
      <c r="R2544" t="s">
        <v>213</v>
      </c>
      <c r="S2544" t="s">
        <v>214</v>
      </c>
      <c r="T2544" t="s">
        <v>7497</v>
      </c>
      <c r="U2544" t="s">
        <v>7498</v>
      </c>
      <c r="V2544" t="s">
        <v>7499</v>
      </c>
      <c r="W2544" t="s">
        <v>7500</v>
      </c>
      <c r="X2544" t="s">
        <v>7499</v>
      </c>
      <c r="Y2544" t="s">
        <v>3014</v>
      </c>
      <c r="Z2544" t="s">
        <v>3015</v>
      </c>
      <c r="AA2544" t="s">
        <v>3016</v>
      </c>
      <c r="AB2544" t="s">
        <v>3015</v>
      </c>
      <c r="AC2544" t="s">
        <v>2304</v>
      </c>
      <c r="AD2544" t="s">
        <v>245</v>
      </c>
      <c r="AE2544" t="s">
        <v>7501</v>
      </c>
      <c r="AF2544" t="s">
        <v>7505</v>
      </c>
    </row>
    <row r="2545" spans="1:32" hidden="1" x14ac:dyDescent="0.35">
      <c r="A2545">
        <v>3638</v>
      </c>
      <c r="B2545" t="s">
        <v>7494</v>
      </c>
      <c r="C2545" t="s">
        <v>72</v>
      </c>
      <c r="D2545" t="s">
        <v>45</v>
      </c>
      <c r="E2545">
        <v>926</v>
      </c>
      <c r="F2545">
        <v>5</v>
      </c>
      <c r="G2545">
        <v>5</v>
      </c>
      <c r="H2545">
        <v>1</v>
      </c>
      <c r="I2545">
        <v>1</v>
      </c>
      <c r="J2545">
        <v>0.81804832465625399</v>
      </c>
      <c r="K2545">
        <v>0.98318913199090996</v>
      </c>
      <c r="L2545">
        <v>0.89304851981317701</v>
      </c>
      <c r="M2545">
        <v>0.63385826771653497</v>
      </c>
      <c r="N2545">
        <v>0.99606299212598404</v>
      </c>
      <c r="O2545">
        <v>0.73740157480314905</v>
      </c>
      <c r="P2545" t="s">
        <v>7495</v>
      </c>
      <c r="Q2545" t="s">
        <v>7496</v>
      </c>
      <c r="R2545" t="s">
        <v>213</v>
      </c>
      <c r="S2545" t="s">
        <v>214</v>
      </c>
      <c r="T2545" t="s">
        <v>7497</v>
      </c>
      <c r="U2545" t="s">
        <v>7498</v>
      </c>
      <c r="V2545" t="s">
        <v>7499</v>
      </c>
      <c r="W2545" t="s">
        <v>7500</v>
      </c>
      <c r="X2545" t="s">
        <v>7499</v>
      </c>
      <c r="Y2545" t="s">
        <v>3014</v>
      </c>
      <c r="Z2545" t="s">
        <v>3015</v>
      </c>
      <c r="AA2545" t="s">
        <v>3016</v>
      </c>
      <c r="AB2545" t="s">
        <v>3015</v>
      </c>
      <c r="AC2545" t="s">
        <v>2304</v>
      </c>
      <c r="AD2545" t="s">
        <v>245</v>
      </c>
      <c r="AE2545" t="s">
        <v>7501</v>
      </c>
      <c r="AF2545" t="s">
        <v>7506</v>
      </c>
    </row>
    <row r="2546" spans="1:32" hidden="1" x14ac:dyDescent="0.35">
      <c r="A2546">
        <v>3679</v>
      </c>
      <c r="B2546" t="s">
        <v>7581</v>
      </c>
      <c r="C2546" t="s">
        <v>72</v>
      </c>
      <c r="D2546" t="s">
        <v>58</v>
      </c>
      <c r="E2546">
        <v>1600</v>
      </c>
      <c r="F2546">
        <v>5</v>
      </c>
      <c r="G2546">
        <v>5</v>
      </c>
      <c r="H2546">
        <v>1</v>
      </c>
      <c r="I2546">
        <v>1</v>
      </c>
      <c r="J2546">
        <v>0.84220225754434497</v>
      </c>
      <c r="K2546">
        <v>0.91488734973330099</v>
      </c>
      <c r="L2546">
        <v>0.87704143050274797</v>
      </c>
      <c r="M2546">
        <v>0.66666666666666696</v>
      </c>
      <c r="N2546">
        <v>0.99371069182389904</v>
      </c>
      <c r="O2546">
        <v>0.75408805031446502</v>
      </c>
      <c r="P2546" t="s">
        <v>7582</v>
      </c>
      <c r="Q2546" t="s">
        <v>7583</v>
      </c>
      <c r="R2546" t="s">
        <v>213</v>
      </c>
      <c r="S2546" t="s">
        <v>214</v>
      </c>
      <c r="T2546" t="s">
        <v>7584</v>
      </c>
      <c r="U2546" t="s">
        <v>7585</v>
      </c>
      <c r="V2546" t="s">
        <v>7586</v>
      </c>
      <c r="W2546" t="s">
        <v>7587</v>
      </c>
      <c r="AD2546" t="s">
        <v>410</v>
      </c>
      <c r="AE2546" t="s">
        <v>7588</v>
      </c>
      <c r="AF2546" t="s">
        <v>7589</v>
      </c>
    </row>
    <row r="2547" spans="1:32" hidden="1" x14ac:dyDescent="0.35">
      <c r="A2547">
        <v>3680</v>
      </c>
      <c r="B2547" t="s">
        <v>7581</v>
      </c>
      <c r="C2547" t="s">
        <v>72</v>
      </c>
      <c r="D2547" t="s">
        <v>60</v>
      </c>
      <c r="E2547">
        <v>2112</v>
      </c>
      <c r="F2547">
        <v>5</v>
      </c>
      <c r="G2547">
        <v>5</v>
      </c>
      <c r="H2547">
        <v>1</v>
      </c>
      <c r="I2547">
        <v>1</v>
      </c>
      <c r="J2547">
        <v>0.84220225754434497</v>
      </c>
      <c r="K2547">
        <v>0.91488734973330099</v>
      </c>
      <c r="L2547">
        <v>0.87704143050274797</v>
      </c>
      <c r="M2547">
        <v>0.66666666666666696</v>
      </c>
      <c r="N2547">
        <v>0.99371069182389904</v>
      </c>
      <c r="O2547">
        <v>0.75408805031446502</v>
      </c>
      <c r="P2547" t="s">
        <v>7582</v>
      </c>
      <c r="Q2547" t="s">
        <v>7583</v>
      </c>
      <c r="R2547" t="s">
        <v>213</v>
      </c>
      <c r="S2547" t="s">
        <v>214</v>
      </c>
      <c r="T2547" t="s">
        <v>7584</v>
      </c>
      <c r="U2547" t="s">
        <v>7585</v>
      </c>
      <c r="V2547" t="s">
        <v>7586</v>
      </c>
      <c r="W2547" t="s">
        <v>7587</v>
      </c>
      <c r="AD2547" t="s">
        <v>410</v>
      </c>
      <c r="AE2547" t="s">
        <v>7588</v>
      </c>
      <c r="AF2547" t="s">
        <v>7590</v>
      </c>
    </row>
    <row r="2548" spans="1:32" hidden="1" x14ac:dyDescent="0.35">
      <c r="A2548">
        <v>3681</v>
      </c>
      <c r="B2548" t="s">
        <v>7581</v>
      </c>
      <c r="C2548" t="s">
        <v>72</v>
      </c>
      <c r="D2548" t="s">
        <v>62</v>
      </c>
      <c r="E2548">
        <v>2147</v>
      </c>
      <c r="F2548">
        <v>5</v>
      </c>
      <c r="G2548">
        <v>5</v>
      </c>
      <c r="H2548">
        <v>1</v>
      </c>
      <c r="I2548">
        <v>1</v>
      </c>
      <c r="J2548">
        <v>0.84220225754434497</v>
      </c>
      <c r="K2548">
        <v>0.91488734973330099</v>
      </c>
      <c r="L2548">
        <v>0.87704143050274797</v>
      </c>
      <c r="M2548">
        <v>0.66666666666666696</v>
      </c>
      <c r="N2548">
        <v>0.99371069182389904</v>
      </c>
      <c r="O2548">
        <v>0.75408805031446502</v>
      </c>
      <c r="P2548" t="s">
        <v>7582</v>
      </c>
      <c r="Q2548" t="s">
        <v>7583</v>
      </c>
      <c r="R2548" t="s">
        <v>213</v>
      </c>
      <c r="S2548" t="s">
        <v>214</v>
      </c>
      <c r="T2548" t="s">
        <v>7584</v>
      </c>
      <c r="U2548" t="s">
        <v>7585</v>
      </c>
      <c r="V2548" t="s">
        <v>7586</v>
      </c>
      <c r="W2548" t="s">
        <v>7587</v>
      </c>
      <c r="AD2548" t="s">
        <v>410</v>
      </c>
      <c r="AE2548" t="s">
        <v>7588</v>
      </c>
      <c r="AF2548" t="s">
        <v>7591</v>
      </c>
    </row>
    <row r="2549" spans="1:32" hidden="1" x14ac:dyDescent="0.35">
      <c r="A2549">
        <v>3682</v>
      </c>
      <c r="B2549" t="s">
        <v>7581</v>
      </c>
      <c r="C2549" t="s">
        <v>72</v>
      </c>
      <c r="D2549" t="s">
        <v>34</v>
      </c>
      <c r="E2549">
        <v>2457</v>
      </c>
      <c r="F2549">
        <v>5</v>
      </c>
      <c r="G2549">
        <v>5</v>
      </c>
      <c r="H2549">
        <v>1</v>
      </c>
      <c r="I2549">
        <v>1</v>
      </c>
      <c r="J2549">
        <v>0.84220225754434497</v>
      </c>
      <c r="K2549">
        <v>0.91488734973330099</v>
      </c>
      <c r="L2549">
        <v>0.87704143050274797</v>
      </c>
      <c r="M2549">
        <v>0.66666666666666696</v>
      </c>
      <c r="N2549">
        <v>0.99371069182389904</v>
      </c>
      <c r="O2549">
        <v>0.75408805031446502</v>
      </c>
      <c r="P2549" t="s">
        <v>7582</v>
      </c>
      <c r="Q2549" t="s">
        <v>7583</v>
      </c>
      <c r="R2549" t="s">
        <v>213</v>
      </c>
      <c r="S2549" t="s">
        <v>214</v>
      </c>
      <c r="T2549" t="s">
        <v>7584</v>
      </c>
      <c r="U2549" t="s">
        <v>7585</v>
      </c>
      <c r="V2549" t="s">
        <v>7586</v>
      </c>
      <c r="W2549" t="s">
        <v>7587</v>
      </c>
      <c r="AD2549" t="s">
        <v>410</v>
      </c>
      <c r="AE2549" t="s">
        <v>7588</v>
      </c>
      <c r="AF2549" t="s">
        <v>7592</v>
      </c>
    </row>
    <row r="2550" spans="1:32" hidden="1" x14ac:dyDescent="0.35">
      <c r="A2550">
        <v>3683</v>
      </c>
      <c r="B2550" t="s">
        <v>7581</v>
      </c>
      <c r="C2550" t="s">
        <v>72</v>
      </c>
      <c r="D2550" t="s">
        <v>45</v>
      </c>
      <c r="E2550">
        <v>444</v>
      </c>
      <c r="F2550">
        <v>5</v>
      </c>
      <c r="G2550">
        <v>5</v>
      </c>
      <c r="H2550">
        <v>1</v>
      </c>
      <c r="I2550">
        <v>1</v>
      </c>
      <c r="J2550">
        <v>0.84220225754434497</v>
      </c>
      <c r="K2550">
        <v>0.91488734973330099</v>
      </c>
      <c r="L2550">
        <v>0.87704143050274797</v>
      </c>
      <c r="M2550">
        <v>0.66666666666666696</v>
      </c>
      <c r="N2550">
        <v>0.99371069182389904</v>
      </c>
      <c r="O2550">
        <v>0.75408805031446502</v>
      </c>
      <c r="P2550" t="s">
        <v>7582</v>
      </c>
      <c r="Q2550" t="s">
        <v>7583</v>
      </c>
      <c r="R2550" t="s">
        <v>213</v>
      </c>
      <c r="S2550" t="s">
        <v>214</v>
      </c>
      <c r="T2550" t="s">
        <v>7584</v>
      </c>
      <c r="U2550" t="s">
        <v>7585</v>
      </c>
      <c r="V2550" t="s">
        <v>7586</v>
      </c>
      <c r="W2550" t="s">
        <v>7587</v>
      </c>
      <c r="AD2550" t="s">
        <v>410</v>
      </c>
      <c r="AE2550" t="s">
        <v>7588</v>
      </c>
      <c r="AF2550" t="s">
        <v>7593</v>
      </c>
    </row>
    <row r="2551" spans="1:32" hidden="1" x14ac:dyDescent="0.35">
      <c r="A2551">
        <v>3719</v>
      </c>
      <c r="B2551" t="s">
        <v>7672</v>
      </c>
      <c r="C2551" t="s">
        <v>72</v>
      </c>
      <c r="D2551" t="s">
        <v>58</v>
      </c>
      <c r="E2551">
        <v>280</v>
      </c>
      <c r="F2551">
        <v>5</v>
      </c>
      <c r="G2551">
        <v>5</v>
      </c>
      <c r="H2551">
        <v>1</v>
      </c>
      <c r="I2551">
        <v>1</v>
      </c>
      <c r="J2551">
        <v>0.88472145615002795</v>
      </c>
      <c r="K2551">
        <v>0.98543300071275797</v>
      </c>
      <c r="L2551">
        <v>0.93236546973921897</v>
      </c>
      <c r="M2551">
        <v>0.77717391304347805</v>
      </c>
      <c r="N2551">
        <v>0.99456521739130399</v>
      </c>
      <c r="O2551">
        <v>0.83858695652173898</v>
      </c>
      <c r="P2551" t="s">
        <v>7673</v>
      </c>
      <c r="Q2551" t="s">
        <v>7674</v>
      </c>
      <c r="R2551" t="s">
        <v>213</v>
      </c>
      <c r="S2551" t="s">
        <v>214</v>
      </c>
      <c r="T2551" t="s">
        <v>7675</v>
      </c>
      <c r="U2551" t="s">
        <v>7676</v>
      </c>
      <c r="V2551" t="s">
        <v>7677</v>
      </c>
      <c r="W2551" t="s">
        <v>7678</v>
      </c>
      <c r="X2551" t="s">
        <v>7677</v>
      </c>
      <c r="Y2551" t="s">
        <v>2301</v>
      </c>
      <c r="Z2551" t="s">
        <v>5320</v>
      </c>
      <c r="AA2551" t="s">
        <v>5321</v>
      </c>
      <c r="AB2551" t="s">
        <v>5320</v>
      </c>
      <c r="AC2551" t="s">
        <v>713</v>
      </c>
      <c r="AD2551" t="s">
        <v>6052</v>
      </c>
      <c r="AE2551" t="s">
        <v>7679</v>
      </c>
      <c r="AF2551" t="s">
        <v>7680</v>
      </c>
    </row>
    <row r="2552" spans="1:32" hidden="1" x14ac:dyDescent="0.35">
      <c r="A2552">
        <v>3720</v>
      </c>
      <c r="B2552" t="s">
        <v>7672</v>
      </c>
      <c r="C2552" t="s">
        <v>72</v>
      </c>
      <c r="D2552" t="s">
        <v>60</v>
      </c>
      <c r="E2552">
        <v>428</v>
      </c>
      <c r="F2552">
        <v>5</v>
      </c>
      <c r="G2552">
        <v>5</v>
      </c>
      <c r="H2552">
        <v>1</v>
      </c>
      <c r="I2552">
        <v>1</v>
      </c>
      <c r="J2552">
        <v>0.88472145615002795</v>
      </c>
      <c r="K2552">
        <v>0.98543300071275797</v>
      </c>
      <c r="L2552">
        <v>0.93236546973921897</v>
      </c>
      <c r="M2552">
        <v>0.77717391304347805</v>
      </c>
      <c r="N2552">
        <v>0.99456521739130399</v>
      </c>
      <c r="O2552">
        <v>0.83858695652173898</v>
      </c>
      <c r="P2552" t="s">
        <v>7673</v>
      </c>
      <c r="Q2552" t="s">
        <v>7674</v>
      </c>
      <c r="R2552" t="s">
        <v>213</v>
      </c>
      <c r="S2552" t="s">
        <v>214</v>
      </c>
      <c r="T2552" t="s">
        <v>7675</v>
      </c>
      <c r="U2552" t="s">
        <v>7676</v>
      </c>
      <c r="V2552" t="s">
        <v>7677</v>
      </c>
      <c r="W2552" t="s">
        <v>7678</v>
      </c>
      <c r="X2552" t="s">
        <v>7677</v>
      </c>
      <c r="Y2552" t="s">
        <v>2301</v>
      </c>
      <c r="Z2552" t="s">
        <v>5320</v>
      </c>
      <c r="AA2552" t="s">
        <v>5321</v>
      </c>
      <c r="AB2552" t="s">
        <v>5320</v>
      </c>
      <c r="AC2552" t="s">
        <v>713</v>
      </c>
      <c r="AD2552" t="s">
        <v>6052</v>
      </c>
      <c r="AE2552" t="s">
        <v>7679</v>
      </c>
      <c r="AF2552" t="s">
        <v>7681</v>
      </c>
    </row>
    <row r="2553" spans="1:32" hidden="1" x14ac:dyDescent="0.35">
      <c r="A2553">
        <v>3721</v>
      </c>
      <c r="B2553" t="s">
        <v>7672</v>
      </c>
      <c r="C2553" t="s">
        <v>72</v>
      </c>
      <c r="D2553" t="s">
        <v>62</v>
      </c>
      <c r="E2553">
        <v>509</v>
      </c>
      <c r="F2553">
        <v>5</v>
      </c>
      <c r="G2553">
        <v>5</v>
      </c>
      <c r="H2553">
        <v>1</v>
      </c>
      <c r="I2553">
        <v>1</v>
      </c>
      <c r="J2553">
        <v>0.88472145615002795</v>
      </c>
      <c r="K2553">
        <v>0.98543300071275797</v>
      </c>
      <c r="L2553">
        <v>0.93236546973921897</v>
      </c>
      <c r="M2553">
        <v>0.77717391304347805</v>
      </c>
      <c r="N2553">
        <v>0.99456521739130399</v>
      </c>
      <c r="O2553">
        <v>0.83858695652173898</v>
      </c>
      <c r="P2553" t="s">
        <v>7673</v>
      </c>
      <c r="Q2553" t="s">
        <v>7674</v>
      </c>
      <c r="R2553" t="s">
        <v>213</v>
      </c>
      <c r="S2553" t="s">
        <v>214</v>
      </c>
      <c r="T2553" t="s">
        <v>7675</v>
      </c>
      <c r="U2553" t="s">
        <v>7676</v>
      </c>
      <c r="V2553" t="s">
        <v>7677</v>
      </c>
      <c r="W2553" t="s">
        <v>7678</v>
      </c>
      <c r="X2553" t="s">
        <v>7677</v>
      </c>
      <c r="Y2553" t="s">
        <v>2301</v>
      </c>
      <c r="Z2553" t="s">
        <v>5320</v>
      </c>
      <c r="AA2553" t="s">
        <v>5321</v>
      </c>
      <c r="AB2553" t="s">
        <v>5320</v>
      </c>
      <c r="AC2553" t="s">
        <v>713</v>
      </c>
      <c r="AD2553" t="s">
        <v>6052</v>
      </c>
      <c r="AE2553" t="s">
        <v>7679</v>
      </c>
      <c r="AF2553" t="s">
        <v>7682</v>
      </c>
    </row>
    <row r="2554" spans="1:32" hidden="1" x14ac:dyDescent="0.35">
      <c r="A2554">
        <v>3722</v>
      </c>
      <c r="B2554" t="s">
        <v>7672</v>
      </c>
      <c r="C2554" t="s">
        <v>72</v>
      </c>
      <c r="D2554" t="s">
        <v>34</v>
      </c>
      <c r="E2554">
        <v>662</v>
      </c>
      <c r="F2554">
        <v>5</v>
      </c>
      <c r="G2554">
        <v>5</v>
      </c>
      <c r="H2554">
        <v>1</v>
      </c>
      <c r="I2554">
        <v>1</v>
      </c>
      <c r="J2554">
        <v>0.88472145615002795</v>
      </c>
      <c r="K2554">
        <v>0.98543300071275797</v>
      </c>
      <c r="L2554">
        <v>0.93236546973921897</v>
      </c>
      <c r="M2554">
        <v>0.77717391304347805</v>
      </c>
      <c r="N2554">
        <v>0.99456521739130399</v>
      </c>
      <c r="O2554">
        <v>0.83858695652173898</v>
      </c>
      <c r="P2554" t="s">
        <v>7673</v>
      </c>
      <c r="Q2554" t="s">
        <v>7674</v>
      </c>
      <c r="R2554" t="s">
        <v>213</v>
      </c>
      <c r="S2554" t="s">
        <v>214</v>
      </c>
      <c r="T2554" t="s">
        <v>7675</v>
      </c>
      <c r="U2554" t="s">
        <v>7676</v>
      </c>
      <c r="V2554" t="s">
        <v>7677</v>
      </c>
      <c r="W2554" t="s">
        <v>7678</v>
      </c>
      <c r="X2554" t="s">
        <v>7677</v>
      </c>
      <c r="Y2554" t="s">
        <v>2301</v>
      </c>
      <c r="Z2554" t="s">
        <v>5320</v>
      </c>
      <c r="AA2554" t="s">
        <v>5321</v>
      </c>
      <c r="AB2554" t="s">
        <v>5320</v>
      </c>
      <c r="AC2554" t="s">
        <v>713</v>
      </c>
      <c r="AD2554" t="s">
        <v>6052</v>
      </c>
      <c r="AE2554" t="s">
        <v>7679</v>
      </c>
      <c r="AF2554" t="s">
        <v>7683</v>
      </c>
    </row>
    <row r="2555" spans="1:32" hidden="1" x14ac:dyDescent="0.35">
      <c r="A2555">
        <v>3723</v>
      </c>
      <c r="B2555" t="s">
        <v>7672</v>
      </c>
      <c r="C2555" t="s">
        <v>72</v>
      </c>
      <c r="D2555" t="s">
        <v>45</v>
      </c>
      <c r="E2555">
        <v>1928</v>
      </c>
      <c r="F2555">
        <v>5</v>
      </c>
      <c r="G2555">
        <v>5</v>
      </c>
      <c r="H2555">
        <v>1</v>
      </c>
      <c r="I2555">
        <v>1</v>
      </c>
      <c r="J2555">
        <v>0.88472145615002795</v>
      </c>
      <c r="K2555">
        <v>0.98543300071275797</v>
      </c>
      <c r="L2555">
        <v>0.93236546973921897</v>
      </c>
      <c r="M2555">
        <v>0.77717391304347805</v>
      </c>
      <c r="N2555">
        <v>0.99456521739130399</v>
      </c>
      <c r="O2555">
        <v>0.83858695652173898</v>
      </c>
      <c r="P2555" t="s">
        <v>7673</v>
      </c>
      <c r="Q2555" t="s">
        <v>7674</v>
      </c>
      <c r="R2555" t="s">
        <v>213</v>
      </c>
      <c r="S2555" t="s">
        <v>214</v>
      </c>
      <c r="T2555" t="s">
        <v>7675</v>
      </c>
      <c r="U2555" t="s">
        <v>7676</v>
      </c>
      <c r="V2555" t="s">
        <v>7677</v>
      </c>
      <c r="W2555" t="s">
        <v>7678</v>
      </c>
      <c r="X2555" t="s">
        <v>7677</v>
      </c>
      <c r="Y2555" t="s">
        <v>2301</v>
      </c>
      <c r="Z2555" t="s">
        <v>5320</v>
      </c>
      <c r="AA2555" t="s">
        <v>5321</v>
      </c>
      <c r="AB2555" t="s">
        <v>5320</v>
      </c>
      <c r="AC2555" t="s">
        <v>713</v>
      </c>
      <c r="AD2555" t="s">
        <v>6052</v>
      </c>
      <c r="AE2555" t="s">
        <v>7679</v>
      </c>
      <c r="AF2555" t="s">
        <v>7684</v>
      </c>
    </row>
    <row r="2556" spans="1:32" hidden="1" x14ac:dyDescent="0.35">
      <c r="A2556">
        <v>3794</v>
      </c>
      <c r="B2556" t="s">
        <v>7836</v>
      </c>
      <c r="C2556" t="s">
        <v>72</v>
      </c>
      <c r="D2556" t="s">
        <v>58</v>
      </c>
      <c r="E2556">
        <v>301</v>
      </c>
      <c r="F2556">
        <v>5</v>
      </c>
      <c r="G2556">
        <v>5</v>
      </c>
      <c r="H2556">
        <v>1</v>
      </c>
      <c r="I2556">
        <v>1</v>
      </c>
      <c r="J2556">
        <v>0.78432335133366105</v>
      </c>
      <c r="K2556">
        <v>0.83970602409638495</v>
      </c>
      <c r="L2556">
        <v>0.81107035736954203</v>
      </c>
      <c r="M2556">
        <v>0.48799999999999999</v>
      </c>
      <c r="N2556">
        <v>0.99199999999999999</v>
      </c>
      <c r="O2556">
        <v>0.68400000000000005</v>
      </c>
      <c r="P2556" t="s">
        <v>7837</v>
      </c>
      <c r="Q2556" t="s">
        <v>7838</v>
      </c>
      <c r="R2556" t="s">
        <v>213</v>
      </c>
      <c r="S2556" t="s">
        <v>214</v>
      </c>
      <c r="T2556" t="s">
        <v>7839</v>
      </c>
      <c r="U2556" t="s">
        <v>7840</v>
      </c>
      <c r="V2556" t="s">
        <v>7841</v>
      </c>
      <c r="W2556" t="s">
        <v>7842</v>
      </c>
      <c r="AD2556" t="s">
        <v>245</v>
      </c>
      <c r="AE2556" t="s">
        <v>7843</v>
      </c>
      <c r="AF2556" t="s">
        <v>7844</v>
      </c>
    </row>
    <row r="2557" spans="1:32" hidden="1" x14ac:dyDescent="0.35">
      <c r="A2557">
        <v>3795</v>
      </c>
      <c r="B2557" t="s">
        <v>7836</v>
      </c>
      <c r="C2557" t="s">
        <v>72</v>
      </c>
      <c r="D2557" t="s">
        <v>60</v>
      </c>
      <c r="E2557">
        <v>2086</v>
      </c>
      <c r="F2557">
        <v>5</v>
      </c>
      <c r="G2557">
        <v>5</v>
      </c>
      <c r="H2557">
        <v>1</v>
      </c>
      <c r="I2557">
        <v>1</v>
      </c>
      <c r="J2557">
        <v>0.78432335133366105</v>
      </c>
      <c r="K2557">
        <v>0.83970602409638495</v>
      </c>
      <c r="L2557">
        <v>0.81107035736954203</v>
      </c>
      <c r="M2557">
        <v>0.48799999999999999</v>
      </c>
      <c r="N2557">
        <v>0.99199999999999999</v>
      </c>
      <c r="O2557">
        <v>0.68400000000000005</v>
      </c>
      <c r="P2557" t="s">
        <v>7837</v>
      </c>
      <c r="Q2557" t="s">
        <v>7838</v>
      </c>
      <c r="R2557" t="s">
        <v>213</v>
      </c>
      <c r="S2557" t="s">
        <v>214</v>
      </c>
      <c r="T2557" t="s">
        <v>7839</v>
      </c>
      <c r="U2557" t="s">
        <v>7840</v>
      </c>
      <c r="V2557" t="s">
        <v>7841</v>
      </c>
      <c r="W2557" t="s">
        <v>7842</v>
      </c>
      <c r="AD2557" t="s">
        <v>245</v>
      </c>
      <c r="AE2557" t="s">
        <v>7843</v>
      </c>
      <c r="AF2557" t="s">
        <v>7845</v>
      </c>
    </row>
    <row r="2558" spans="1:32" hidden="1" x14ac:dyDescent="0.35">
      <c r="A2558">
        <v>3796</v>
      </c>
      <c r="B2558" t="s">
        <v>7836</v>
      </c>
      <c r="C2558" t="s">
        <v>72</v>
      </c>
      <c r="D2558" t="s">
        <v>62</v>
      </c>
      <c r="E2558">
        <v>2121</v>
      </c>
      <c r="F2558">
        <v>5</v>
      </c>
      <c r="G2558">
        <v>5</v>
      </c>
      <c r="H2558">
        <v>1</v>
      </c>
      <c r="I2558">
        <v>1</v>
      </c>
      <c r="J2558">
        <v>0.78432335133366105</v>
      </c>
      <c r="K2558">
        <v>0.83970602409638495</v>
      </c>
      <c r="L2558">
        <v>0.81107035736954203</v>
      </c>
      <c r="M2558">
        <v>0.48799999999999999</v>
      </c>
      <c r="N2558">
        <v>0.99199999999999999</v>
      </c>
      <c r="O2558">
        <v>0.68400000000000005</v>
      </c>
      <c r="P2558" t="s">
        <v>7837</v>
      </c>
      <c r="Q2558" t="s">
        <v>7838</v>
      </c>
      <c r="R2558" t="s">
        <v>213</v>
      </c>
      <c r="S2558" t="s">
        <v>214</v>
      </c>
      <c r="T2558" t="s">
        <v>7839</v>
      </c>
      <c r="U2558" t="s">
        <v>7840</v>
      </c>
      <c r="V2558" t="s">
        <v>7841</v>
      </c>
      <c r="W2558" t="s">
        <v>7842</v>
      </c>
      <c r="AD2558" t="s">
        <v>245</v>
      </c>
      <c r="AE2558" t="s">
        <v>7843</v>
      </c>
      <c r="AF2558" t="s">
        <v>7846</v>
      </c>
    </row>
    <row r="2559" spans="1:32" hidden="1" x14ac:dyDescent="0.35">
      <c r="A2559">
        <v>3797</v>
      </c>
      <c r="B2559" t="s">
        <v>7836</v>
      </c>
      <c r="C2559" t="s">
        <v>72</v>
      </c>
      <c r="D2559" t="s">
        <v>34</v>
      </c>
      <c r="E2559">
        <v>2438</v>
      </c>
      <c r="F2559">
        <v>5</v>
      </c>
      <c r="G2559">
        <v>5</v>
      </c>
      <c r="H2559">
        <v>1</v>
      </c>
      <c r="I2559">
        <v>1</v>
      </c>
      <c r="J2559">
        <v>0.78432335133366105</v>
      </c>
      <c r="K2559">
        <v>0.83970602409638495</v>
      </c>
      <c r="L2559">
        <v>0.81107035736954203</v>
      </c>
      <c r="M2559">
        <v>0.48799999999999999</v>
      </c>
      <c r="N2559">
        <v>0.99199999999999999</v>
      </c>
      <c r="O2559">
        <v>0.68400000000000005</v>
      </c>
      <c r="P2559" t="s">
        <v>7837</v>
      </c>
      <c r="Q2559" t="s">
        <v>7838</v>
      </c>
      <c r="R2559" t="s">
        <v>213</v>
      </c>
      <c r="S2559" t="s">
        <v>214</v>
      </c>
      <c r="T2559" t="s">
        <v>7839</v>
      </c>
      <c r="U2559" t="s">
        <v>7840</v>
      </c>
      <c r="V2559" t="s">
        <v>7841</v>
      </c>
      <c r="W2559" t="s">
        <v>7842</v>
      </c>
      <c r="AD2559" t="s">
        <v>245</v>
      </c>
      <c r="AE2559" t="s">
        <v>7843</v>
      </c>
      <c r="AF2559" t="s">
        <v>7847</v>
      </c>
    </row>
    <row r="2560" spans="1:32" hidden="1" x14ac:dyDescent="0.35">
      <c r="A2560">
        <v>3798</v>
      </c>
      <c r="B2560" t="s">
        <v>7836</v>
      </c>
      <c r="C2560" t="s">
        <v>72</v>
      </c>
      <c r="D2560" t="s">
        <v>45</v>
      </c>
      <c r="E2560">
        <v>464</v>
      </c>
      <c r="F2560">
        <v>5</v>
      </c>
      <c r="G2560">
        <v>5</v>
      </c>
      <c r="H2560">
        <v>1</v>
      </c>
      <c r="I2560">
        <v>1</v>
      </c>
      <c r="J2560">
        <v>0.78432335133366105</v>
      </c>
      <c r="K2560">
        <v>0.83970602409638495</v>
      </c>
      <c r="L2560">
        <v>0.81107035736954203</v>
      </c>
      <c r="M2560">
        <v>0.48799999999999999</v>
      </c>
      <c r="N2560">
        <v>0.99199999999999999</v>
      </c>
      <c r="O2560">
        <v>0.68400000000000005</v>
      </c>
      <c r="P2560" t="s">
        <v>7837</v>
      </c>
      <c r="Q2560" t="s">
        <v>7838</v>
      </c>
      <c r="R2560" t="s">
        <v>213</v>
      </c>
      <c r="S2560" t="s">
        <v>214</v>
      </c>
      <c r="T2560" t="s">
        <v>7839</v>
      </c>
      <c r="U2560" t="s">
        <v>7840</v>
      </c>
      <c r="V2560" t="s">
        <v>7841</v>
      </c>
      <c r="W2560" t="s">
        <v>7842</v>
      </c>
      <c r="AD2560" t="s">
        <v>245</v>
      </c>
      <c r="AE2560" t="s">
        <v>7843</v>
      </c>
      <c r="AF2560" t="s">
        <v>7848</v>
      </c>
    </row>
    <row r="2561" spans="1:32" hidden="1" x14ac:dyDescent="0.35">
      <c r="A2561">
        <v>3879</v>
      </c>
      <c r="B2561" t="s">
        <v>8001</v>
      </c>
      <c r="C2561" t="s">
        <v>72</v>
      </c>
      <c r="D2561" t="s">
        <v>58</v>
      </c>
      <c r="E2561">
        <v>1875</v>
      </c>
      <c r="F2561">
        <v>5</v>
      </c>
      <c r="G2561">
        <v>5</v>
      </c>
      <c r="H2561">
        <v>1</v>
      </c>
      <c r="I2561">
        <v>1</v>
      </c>
      <c r="J2561">
        <v>0.80909768829231898</v>
      </c>
      <c r="K2561">
        <v>0.75380762087014996</v>
      </c>
      <c r="L2561">
        <v>0.78047467097031897</v>
      </c>
      <c r="M2561">
        <v>0.403669724770642</v>
      </c>
      <c r="N2561">
        <v>0.99388379204892996</v>
      </c>
      <c r="O2561">
        <v>0.60061162079510699</v>
      </c>
      <c r="P2561" t="s">
        <v>8002</v>
      </c>
      <c r="Q2561" t="s">
        <v>8003</v>
      </c>
      <c r="R2561" t="s">
        <v>213</v>
      </c>
      <c r="S2561" t="s">
        <v>214</v>
      </c>
      <c r="T2561" t="s">
        <v>7208</v>
      </c>
      <c r="U2561" t="s">
        <v>7209</v>
      </c>
      <c r="V2561" t="s">
        <v>8004</v>
      </c>
      <c r="W2561" t="s">
        <v>8005</v>
      </c>
      <c r="AD2561" t="s">
        <v>7210</v>
      </c>
      <c r="AE2561" t="s">
        <v>7211</v>
      </c>
      <c r="AF2561" t="e">
        <f>-----------------------------------------------------------------------------------------------------MPP------------------------------------------------------SRMQTSDETSAGGLVVSGLAEAVGDDGQVDLSAVYVALIGRVDRRGRLLWSMPKGHVEPGETFEATAEREVWEETGIHGEVFHSLGVIDYWFVSEGTRIHKTVHHFLLRYVDGELNDEDPEVTEVTWVPSTELFERLAYADERKLARLAHDLLPDLARAERAAGRLTPR</f>
        <v>#NAME?</v>
      </c>
    </row>
    <row r="2562" spans="1:32" hidden="1" x14ac:dyDescent="0.35">
      <c r="A2562">
        <v>3880</v>
      </c>
      <c r="B2562" t="s">
        <v>8001</v>
      </c>
      <c r="C2562" t="s">
        <v>72</v>
      </c>
      <c r="D2562" t="s">
        <v>60</v>
      </c>
      <c r="E2562">
        <v>2540</v>
      </c>
      <c r="F2562">
        <v>5</v>
      </c>
      <c r="G2562">
        <v>5</v>
      </c>
      <c r="H2562">
        <v>1</v>
      </c>
      <c r="I2562">
        <v>1</v>
      </c>
      <c r="J2562">
        <v>0.80909768829231898</v>
      </c>
      <c r="K2562">
        <v>0.75380762087014996</v>
      </c>
      <c r="L2562">
        <v>0.78047467097031897</v>
      </c>
      <c r="M2562">
        <v>0.403669724770642</v>
      </c>
      <c r="N2562">
        <v>0.99388379204892996</v>
      </c>
      <c r="O2562">
        <v>0.60061162079510699</v>
      </c>
      <c r="P2562" t="s">
        <v>8002</v>
      </c>
      <c r="Q2562" t="s">
        <v>8003</v>
      </c>
      <c r="R2562" t="s">
        <v>213</v>
      </c>
      <c r="S2562" t="s">
        <v>214</v>
      </c>
      <c r="T2562" t="s">
        <v>7208</v>
      </c>
      <c r="U2562" t="s">
        <v>7209</v>
      </c>
      <c r="V2562" t="s">
        <v>8004</v>
      </c>
      <c r="W2562" t="s">
        <v>8005</v>
      </c>
      <c r="AD2562" t="s">
        <v>7210</v>
      </c>
      <c r="AE2562" t="s">
        <v>7211</v>
      </c>
      <c r="AF2562" t="s">
        <v>8006</v>
      </c>
    </row>
    <row r="2563" spans="1:32" hidden="1" x14ac:dyDescent="0.35">
      <c r="A2563">
        <v>3881</v>
      </c>
      <c r="B2563" t="s">
        <v>8001</v>
      </c>
      <c r="C2563" t="s">
        <v>72</v>
      </c>
      <c r="D2563" t="s">
        <v>62</v>
      </c>
      <c r="E2563">
        <v>65</v>
      </c>
      <c r="F2563">
        <v>5</v>
      </c>
      <c r="G2563">
        <v>5</v>
      </c>
      <c r="H2563">
        <v>1</v>
      </c>
      <c r="I2563">
        <v>1</v>
      </c>
      <c r="J2563">
        <v>0.80909768829231898</v>
      </c>
      <c r="K2563">
        <v>0.75380762087014996</v>
      </c>
      <c r="L2563">
        <v>0.78047467097031897</v>
      </c>
      <c r="M2563">
        <v>0.403669724770642</v>
      </c>
      <c r="N2563">
        <v>0.99388379204892996</v>
      </c>
      <c r="O2563">
        <v>0.60061162079510699</v>
      </c>
      <c r="P2563" t="s">
        <v>8002</v>
      </c>
      <c r="Q2563" t="s">
        <v>8003</v>
      </c>
      <c r="R2563" t="s">
        <v>213</v>
      </c>
      <c r="S2563" t="s">
        <v>214</v>
      </c>
      <c r="T2563" t="s">
        <v>7208</v>
      </c>
      <c r="U2563" t="s">
        <v>7209</v>
      </c>
      <c r="V2563" t="s">
        <v>8004</v>
      </c>
      <c r="W2563" t="s">
        <v>8005</v>
      </c>
      <c r="AD2563" t="s">
        <v>7210</v>
      </c>
      <c r="AE2563" t="s">
        <v>7211</v>
      </c>
      <c r="AF2563" t="s">
        <v>8007</v>
      </c>
    </row>
    <row r="2564" spans="1:32" hidden="1" x14ac:dyDescent="0.35">
      <c r="A2564">
        <v>3882</v>
      </c>
      <c r="B2564" t="s">
        <v>8001</v>
      </c>
      <c r="C2564" t="s">
        <v>72</v>
      </c>
      <c r="D2564" t="s">
        <v>34</v>
      </c>
      <c r="E2564">
        <v>1105</v>
      </c>
      <c r="F2564">
        <v>5</v>
      </c>
      <c r="G2564">
        <v>5</v>
      </c>
      <c r="H2564">
        <v>1</v>
      </c>
      <c r="I2564">
        <v>1</v>
      </c>
      <c r="J2564">
        <v>0.80909768829231898</v>
      </c>
      <c r="K2564">
        <v>0.75380762087014996</v>
      </c>
      <c r="L2564">
        <v>0.78047467097031897</v>
      </c>
      <c r="M2564">
        <v>0.403669724770642</v>
      </c>
      <c r="N2564">
        <v>0.99388379204892996</v>
      </c>
      <c r="O2564">
        <v>0.60061162079510699</v>
      </c>
      <c r="P2564" t="s">
        <v>8002</v>
      </c>
      <c r="Q2564" t="s">
        <v>8003</v>
      </c>
      <c r="R2564" t="s">
        <v>213</v>
      </c>
      <c r="S2564" t="s">
        <v>214</v>
      </c>
      <c r="T2564" t="s">
        <v>7208</v>
      </c>
      <c r="U2564" t="s">
        <v>7209</v>
      </c>
      <c r="V2564" t="s">
        <v>8004</v>
      </c>
      <c r="W2564" t="s">
        <v>8005</v>
      </c>
      <c r="AD2564" t="s">
        <v>7210</v>
      </c>
      <c r="AE2564" t="s">
        <v>7211</v>
      </c>
      <c r="AF2564" t="e">
        <f>------------------------------------------------------------------------MTEKNNDTREARSTRRRNRRRSRQRTPQSQPPTTTLVDATTSGKQ-----------AKTSGKTSGKKRRKATATNRTRSAKPRTAETSMETRNETSAGGLVISGLSEAVAADGSVDLSRVYVALIGRLDRRGRLLWSMPKGHVETGEDITATAAREVWEETGIHGEVFAELGVIDYWFVSEGTRIHKTVHHHLLRYVDGELNDEDPEVTEVAWIPASGLIERFAYADERKLARIAHDLLPDLARDEQAAGRSTPR</f>
        <v>#NAME?</v>
      </c>
    </row>
    <row r="2565" spans="1:32" hidden="1" x14ac:dyDescent="0.35">
      <c r="A2565">
        <v>3883</v>
      </c>
      <c r="B2565" t="s">
        <v>8001</v>
      </c>
      <c r="C2565" t="s">
        <v>72</v>
      </c>
      <c r="D2565" t="s">
        <v>45</v>
      </c>
      <c r="E2565">
        <v>2359</v>
      </c>
      <c r="F2565">
        <v>5</v>
      </c>
      <c r="G2565">
        <v>5</v>
      </c>
      <c r="H2565">
        <v>1</v>
      </c>
      <c r="I2565">
        <v>1</v>
      </c>
      <c r="J2565">
        <v>0.80909768829231898</v>
      </c>
      <c r="K2565">
        <v>0.75380762087014996</v>
      </c>
      <c r="L2565">
        <v>0.78047467097031897</v>
      </c>
      <c r="M2565">
        <v>0.403669724770642</v>
      </c>
      <c r="N2565">
        <v>0.99388379204892996</v>
      </c>
      <c r="O2565">
        <v>0.60061162079510699</v>
      </c>
      <c r="P2565" t="s">
        <v>8002</v>
      </c>
      <c r="Q2565" t="s">
        <v>8003</v>
      </c>
      <c r="R2565" t="s">
        <v>213</v>
      </c>
      <c r="S2565" t="s">
        <v>214</v>
      </c>
      <c r="T2565" t="s">
        <v>7208</v>
      </c>
      <c r="U2565" t="s">
        <v>7209</v>
      </c>
      <c r="V2565" t="s">
        <v>8004</v>
      </c>
      <c r="W2565" t="s">
        <v>8005</v>
      </c>
      <c r="AD2565" t="s">
        <v>7210</v>
      </c>
      <c r="AE2565" t="s">
        <v>7211</v>
      </c>
      <c r="AF2565" t="e">
        <f>------------------------------------------------------------------------MTEKNNDTREARSTRRRNRRRSRQRTPQSQPPTTTLVDATTSGKQ-----------AKTSGKTSGKKRRKATSTNRSRTTKPRTAETSMETRNETSAGGLVISGLSEAVAADGSVDLSRVYVALIGRLDRRGRLLWSMPKGHVETGEDITATAAREVWEETGIHGEVFAELGVIDYWFVSEGTRIHKTVHHHLLRYVDGELNDEDPEVTEVAWIPASGLIERFAYADERKLARIAHDLLPDLARDEQAAGRSTPR</f>
        <v>#NAME?</v>
      </c>
    </row>
    <row r="2566" spans="1:32" hidden="1" x14ac:dyDescent="0.35">
      <c r="A2566">
        <v>3939</v>
      </c>
      <c r="B2566" t="s">
        <v>8129</v>
      </c>
      <c r="C2566" t="s">
        <v>72</v>
      </c>
      <c r="D2566" t="s">
        <v>58</v>
      </c>
      <c r="E2566">
        <v>1599</v>
      </c>
      <c r="F2566">
        <v>5</v>
      </c>
      <c r="G2566">
        <v>5</v>
      </c>
      <c r="H2566">
        <v>1</v>
      </c>
      <c r="I2566">
        <v>1</v>
      </c>
      <c r="J2566">
        <v>0.90071321321321296</v>
      </c>
      <c r="K2566">
        <v>0.98814122059034903</v>
      </c>
      <c r="L2566">
        <v>0.94240385916252301</v>
      </c>
      <c r="M2566">
        <v>0.80250347705145997</v>
      </c>
      <c r="N2566">
        <v>0.99860917941585503</v>
      </c>
      <c r="O2566">
        <v>0.85869262865090401</v>
      </c>
      <c r="P2566" t="s">
        <v>8130</v>
      </c>
      <c r="Q2566" t="s">
        <v>8131</v>
      </c>
      <c r="R2566" t="s">
        <v>213</v>
      </c>
      <c r="S2566" t="s">
        <v>214</v>
      </c>
      <c r="T2566" t="s">
        <v>8132</v>
      </c>
      <c r="U2566" t="s">
        <v>8133</v>
      </c>
      <c r="V2566" t="s">
        <v>8134</v>
      </c>
      <c r="W2566" t="s">
        <v>8135</v>
      </c>
      <c r="X2566" t="s">
        <v>8134</v>
      </c>
      <c r="Y2566" t="s">
        <v>840</v>
      </c>
      <c r="Z2566" t="s">
        <v>841</v>
      </c>
      <c r="AA2566" t="s">
        <v>842</v>
      </c>
      <c r="AB2566" t="s">
        <v>841</v>
      </c>
      <c r="AC2566" t="s">
        <v>843</v>
      </c>
      <c r="AD2566" t="s">
        <v>844</v>
      </c>
      <c r="AE2566" t="s">
        <v>845</v>
      </c>
      <c r="AF2566" t="s">
        <v>8136</v>
      </c>
    </row>
    <row r="2567" spans="1:32" hidden="1" x14ac:dyDescent="0.35">
      <c r="A2567">
        <v>3940</v>
      </c>
      <c r="B2567" t="s">
        <v>8129</v>
      </c>
      <c r="C2567" t="s">
        <v>72</v>
      </c>
      <c r="D2567" t="s">
        <v>60</v>
      </c>
      <c r="E2567">
        <v>2111</v>
      </c>
      <c r="F2567">
        <v>5</v>
      </c>
      <c r="G2567">
        <v>5</v>
      </c>
      <c r="H2567">
        <v>1</v>
      </c>
      <c r="I2567">
        <v>1</v>
      </c>
      <c r="J2567">
        <v>0.90071321321321296</v>
      </c>
      <c r="K2567">
        <v>0.98814122059034903</v>
      </c>
      <c r="L2567">
        <v>0.94240385916252301</v>
      </c>
      <c r="M2567">
        <v>0.80250347705145997</v>
      </c>
      <c r="N2567">
        <v>0.99860917941585503</v>
      </c>
      <c r="O2567">
        <v>0.85869262865090401</v>
      </c>
      <c r="P2567" t="s">
        <v>8130</v>
      </c>
      <c r="Q2567" t="s">
        <v>8131</v>
      </c>
      <c r="R2567" t="s">
        <v>213</v>
      </c>
      <c r="S2567" t="s">
        <v>214</v>
      </c>
      <c r="T2567" t="s">
        <v>8132</v>
      </c>
      <c r="U2567" t="s">
        <v>8133</v>
      </c>
      <c r="V2567" t="s">
        <v>8134</v>
      </c>
      <c r="W2567" t="s">
        <v>8135</v>
      </c>
      <c r="X2567" t="s">
        <v>8134</v>
      </c>
      <c r="Y2567" t="s">
        <v>840</v>
      </c>
      <c r="Z2567" t="s">
        <v>841</v>
      </c>
      <c r="AA2567" t="s">
        <v>842</v>
      </c>
      <c r="AB2567" t="s">
        <v>841</v>
      </c>
      <c r="AC2567" t="s">
        <v>843</v>
      </c>
      <c r="AD2567" t="s">
        <v>844</v>
      </c>
      <c r="AE2567" t="s">
        <v>845</v>
      </c>
      <c r="AF2567" t="s">
        <v>8137</v>
      </c>
    </row>
    <row r="2568" spans="1:32" hidden="1" x14ac:dyDescent="0.35">
      <c r="A2568">
        <v>3941</v>
      </c>
      <c r="B2568" t="s">
        <v>8129</v>
      </c>
      <c r="C2568" t="s">
        <v>72</v>
      </c>
      <c r="D2568" t="s">
        <v>62</v>
      </c>
      <c r="E2568">
        <v>2146</v>
      </c>
      <c r="F2568">
        <v>5</v>
      </c>
      <c r="G2568">
        <v>5</v>
      </c>
      <c r="H2568">
        <v>1</v>
      </c>
      <c r="I2568">
        <v>1</v>
      </c>
      <c r="J2568">
        <v>0.90071321321321296</v>
      </c>
      <c r="K2568">
        <v>0.98814122059034903</v>
      </c>
      <c r="L2568">
        <v>0.94240385916252301</v>
      </c>
      <c r="M2568">
        <v>0.80250347705145997</v>
      </c>
      <c r="N2568">
        <v>0.99860917941585503</v>
      </c>
      <c r="O2568">
        <v>0.85869262865090401</v>
      </c>
      <c r="P2568" t="s">
        <v>8130</v>
      </c>
      <c r="Q2568" t="s">
        <v>8131</v>
      </c>
      <c r="R2568" t="s">
        <v>213</v>
      </c>
      <c r="S2568" t="s">
        <v>214</v>
      </c>
      <c r="T2568" t="s">
        <v>8132</v>
      </c>
      <c r="U2568" t="s">
        <v>8133</v>
      </c>
      <c r="V2568" t="s">
        <v>8134</v>
      </c>
      <c r="W2568" t="s">
        <v>8135</v>
      </c>
      <c r="X2568" t="s">
        <v>8134</v>
      </c>
      <c r="Y2568" t="s">
        <v>840</v>
      </c>
      <c r="Z2568" t="s">
        <v>841</v>
      </c>
      <c r="AA2568" t="s">
        <v>842</v>
      </c>
      <c r="AB2568" t="s">
        <v>841</v>
      </c>
      <c r="AC2568" t="s">
        <v>843</v>
      </c>
      <c r="AD2568" t="s">
        <v>844</v>
      </c>
      <c r="AE2568" t="s">
        <v>845</v>
      </c>
      <c r="AF2568" t="s">
        <v>8137</v>
      </c>
    </row>
    <row r="2569" spans="1:32" hidden="1" x14ac:dyDescent="0.35">
      <c r="A2569">
        <v>3942</v>
      </c>
      <c r="B2569" t="s">
        <v>8129</v>
      </c>
      <c r="C2569" t="s">
        <v>72</v>
      </c>
      <c r="D2569" t="s">
        <v>34</v>
      </c>
      <c r="E2569">
        <v>2456</v>
      </c>
      <c r="F2569">
        <v>5</v>
      </c>
      <c r="G2569">
        <v>5</v>
      </c>
      <c r="H2569">
        <v>1</v>
      </c>
      <c r="I2569">
        <v>1</v>
      </c>
      <c r="J2569">
        <v>0.90071321321321296</v>
      </c>
      <c r="K2569">
        <v>0.98814122059034903</v>
      </c>
      <c r="L2569">
        <v>0.94240385916252301</v>
      </c>
      <c r="M2569">
        <v>0.80250347705145997</v>
      </c>
      <c r="N2569">
        <v>0.99860917941585503</v>
      </c>
      <c r="O2569">
        <v>0.85869262865090401</v>
      </c>
      <c r="P2569" t="s">
        <v>8130</v>
      </c>
      <c r="Q2569" t="s">
        <v>8131</v>
      </c>
      <c r="R2569" t="s">
        <v>213</v>
      </c>
      <c r="S2569" t="s">
        <v>214</v>
      </c>
      <c r="T2569" t="s">
        <v>8132</v>
      </c>
      <c r="U2569" t="s">
        <v>8133</v>
      </c>
      <c r="V2569" t="s">
        <v>8134</v>
      </c>
      <c r="W2569" t="s">
        <v>8135</v>
      </c>
      <c r="X2569" t="s">
        <v>8134</v>
      </c>
      <c r="Y2569" t="s">
        <v>840</v>
      </c>
      <c r="Z2569" t="s">
        <v>841</v>
      </c>
      <c r="AA2569" t="s">
        <v>842</v>
      </c>
      <c r="AB2569" t="s">
        <v>841</v>
      </c>
      <c r="AC2569" t="s">
        <v>843</v>
      </c>
      <c r="AD2569" t="s">
        <v>844</v>
      </c>
      <c r="AE2569" t="s">
        <v>845</v>
      </c>
      <c r="AF2569" t="s">
        <v>8138</v>
      </c>
    </row>
    <row r="2570" spans="1:32" hidden="1" x14ac:dyDescent="0.35">
      <c r="A2570">
        <v>3943</v>
      </c>
      <c r="B2570" t="s">
        <v>8129</v>
      </c>
      <c r="C2570" t="s">
        <v>72</v>
      </c>
      <c r="D2570" t="s">
        <v>45</v>
      </c>
      <c r="E2570">
        <v>445</v>
      </c>
      <c r="F2570">
        <v>5</v>
      </c>
      <c r="G2570">
        <v>5</v>
      </c>
      <c r="H2570">
        <v>1</v>
      </c>
      <c r="I2570">
        <v>1</v>
      </c>
      <c r="J2570">
        <v>0.90071321321321296</v>
      </c>
      <c r="K2570">
        <v>0.98814122059034903</v>
      </c>
      <c r="L2570">
        <v>0.94240385916252301</v>
      </c>
      <c r="M2570">
        <v>0.80250347705145997</v>
      </c>
      <c r="N2570">
        <v>0.99860917941585503</v>
      </c>
      <c r="O2570">
        <v>0.85869262865090401</v>
      </c>
      <c r="P2570" t="s">
        <v>8130</v>
      </c>
      <c r="Q2570" t="s">
        <v>8131</v>
      </c>
      <c r="R2570" t="s">
        <v>213</v>
      </c>
      <c r="S2570" t="s">
        <v>214</v>
      </c>
      <c r="T2570" t="s">
        <v>8132</v>
      </c>
      <c r="U2570" t="s">
        <v>8133</v>
      </c>
      <c r="V2570" t="s">
        <v>8134</v>
      </c>
      <c r="W2570" t="s">
        <v>8135</v>
      </c>
      <c r="X2570" t="s">
        <v>8134</v>
      </c>
      <c r="Y2570" t="s">
        <v>840</v>
      </c>
      <c r="Z2570" t="s">
        <v>841</v>
      </c>
      <c r="AA2570" t="s">
        <v>842</v>
      </c>
      <c r="AB2570" t="s">
        <v>841</v>
      </c>
      <c r="AC2570" t="s">
        <v>843</v>
      </c>
      <c r="AD2570" t="s">
        <v>844</v>
      </c>
      <c r="AE2570" t="s">
        <v>845</v>
      </c>
      <c r="AF2570" t="s">
        <v>8139</v>
      </c>
    </row>
    <row r="2571" spans="1:32" hidden="1" x14ac:dyDescent="0.35">
      <c r="A2571">
        <v>3949</v>
      </c>
      <c r="B2571" t="s">
        <v>8152</v>
      </c>
      <c r="C2571" t="s">
        <v>72</v>
      </c>
      <c r="D2571" t="s">
        <v>58</v>
      </c>
      <c r="E2571">
        <v>1655</v>
      </c>
      <c r="F2571">
        <v>5</v>
      </c>
      <c r="G2571">
        <v>5</v>
      </c>
      <c r="H2571">
        <v>1</v>
      </c>
      <c r="I2571">
        <v>1</v>
      </c>
      <c r="J2571">
        <v>0.83710586927170205</v>
      </c>
      <c r="K2571">
        <v>0.96982294072363195</v>
      </c>
      <c r="L2571">
        <v>0.89859043847575903</v>
      </c>
      <c r="M2571">
        <v>0.69515011547344097</v>
      </c>
      <c r="N2571">
        <v>0.99769053117782902</v>
      </c>
      <c r="O2571">
        <v>0.79006928406466503</v>
      </c>
      <c r="P2571" t="s">
        <v>8153</v>
      </c>
      <c r="Q2571" t="s">
        <v>8154</v>
      </c>
      <c r="R2571" t="s">
        <v>213</v>
      </c>
      <c r="S2571" t="s">
        <v>214</v>
      </c>
      <c r="T2571" t="s">
        <v>8155</v>
      </c>
      <c r="U2571" t="s">
        <v>8156</v>
      </c>
      <c r="V2571" t="s">
        <v>8157</v>
      </c>
      <c r="W2571" t="s">
        <v>8158</v>
      </c>
      <c r="X2571" t="s">
        <v>8157</v>
      </c>
      <c r="Y2571" t="s">
        <v>710</v>
      </c>
      <c r="Z2571" t="s">
        <v>711</v>
      </c>
      <c r="AA2571" t="s">
        <v>712</v>
      </c>
      <c r="AB2571" t="s">
        <v>711</v>
      </c>
      <c r="AC2571" t="s">
        <v>713</v>
      </c>
      <c r="AD2571" t="s">
        <v>219</v>
      </c>
      <c r="AE2571" t="s">
        <v>8159</v>
      </c>
      <c r="AF2571" t="s">
        <v>8160</v>
      </c>
    </row>
    <row r="2572" spans="1:32" hidden="1" x14ac:dyDescent="0.35">
      <c r="A2572">
        <v>3950</v>
      </c>
      <c r="B2572" t="s">
        <v>8152</v>
      </c>
      <c r="C2572" t="s">
        <v>72</v>
      </c>
      <c r="D2572" t="s">
        <v>60</v>
      </c>
      <c r="E2572">
        <v>2242</v>
      </c>
      <c r="F2572">
        <v>5</v>
      </c>
      <c r="G2572">
        <v>5</v>
      </c>
      <c r="H2572">
        <v>1</v>
      </c>
      <c r="I2572">
        <v>1</v>
      </c>
      <c r="J2572">
        <v>0.83710586927170205</v>
      </c>
      <c r="K2572">
        <v>0.96982294072363195</v>
      </c>
      <c r="L2572">
        <v>0.89859043847575903</v>
      </c>
      <c r="M2572">
        <v>0.69515011547344097</v>
      </c>
      <c r="N2572">
        <v>0.99769053117782902</v>
      </c>
      <c r="O2572">
        <v>0.79006928406466503</v>
      </c>
      <c r="P2572" t="s">
        <v>8153</v>
      </c>
      <c r="Q2572" t="s">
        <v>8154</v>
      </c>
      <c r="R2572" t="s">
        <v>213</v>
      </c>
      <c r="S2572" t="s">
        <v>214</v>
      </c>
      <c r="T2572" t="s">
        <v>8155</v>
      </c>
      <c r="U2572" t="s">
        <v>8156</v>
      </c>
      <c r="V2572" t="s">
        <v>8157</v>
      </c>
      <c r="W2572" t="s">
        <v>8158</v>
      </c>
      <c r="X2572" t="s">
        <v>8157</v>
      </c>
      <c r="Y2572" t="s">
        <v>710</v>
      </c>
      <c r="Z2572" t="s">
        <v>711</v>
      </c>
      <c r="AA2572" t="s">
        <v>712</v>
      </c>
      <c r="AB2572" t="s">
        <v>711</v>
      </c>
      <c r="AC2572" t="s">
        <v>713</v>
      </c>
      <c r="AD2572" t="s">
        <v>219</v>
      </c>
      <c r="AE2572" t="s">
        <v>8159</v>
      </c>
      <c r="AF2572" t="s">
        <v>8161</v>
      </c>
    </row>
    <row r="2573" spans="1:32" hidden="1" x14ac:dyDescent="0.35">
      <c r="A2573">
        <v>3951</v>
      </c>
      <c r="B2573" t="s">
        <v>8152</v>
      </c>
      <c r="C2573" t="s">
        <v>72</v>
      </c>
      <c r="D2573" t="s">
        <v>62</v>
      </c>
      <c r="E2573">
        <v>2272</v>
      </c>
      <c r="F2573">
        <v>5</v>
      </c>
      <c r="G2573">
        <v>5</v>
      </c>
      <c r="H2573">
        <v>1</v>
      </c>
      <c r="I2573">
        <v>1</v>
      </c>
      <c r="J2573">
        <v>0.83710586927170205</v>
      </c>
      <c r="K2573">
        <v>0.96982294072363195</v>
      </c>
      <c r="L2573">
        <v>0.89859043847575903</v>
      </c>
      <c r="M2573">
        <v>0.69515011547344097</v>
      </c>
      <c r="N2573">
        <v>0.99769053117782902</v>
      </c>
      <c r="O2573">
        <v>0.79006928406466503</v>
      </c>
      <c r="P2573" t="s">
        <v>8153</v>
      </c>
      <c r="Q2573" t="s">
        <v>8154</v>
      </c>
      <c r="R2573" t="s">
        <v>213</v>
      </c>
      <c r="S2573" t="s">
        <v>214</v>
      </c>
      <c r="T2573" t="s">
        <v>8155</v>
      </c>
      <c r="U2573" t="s">
        <v>8156</v>
      </c>
      <c r="V2573" t="s">
        <v>8157</v>
      </c>
      <c r="W2573" t="s">
        <v>8158</v>
      </c>
      <c r="X2573" t="s">
        <v>8157</v>
      </c>
      <c r="Y2573" t="s">
        <v>710</v>
      </c>
      <c r="Z2573" t="s">
        <v>711</v>
      </c>
      <c r="AA2573" t="s">
        <v>712</v>
      </c>
      <c r="AB2573" t="s">
        <v>711</v>
      </c>
      <c r="AC2573" t="s">
        <v>713</v>
      </c>
      <c r="AD2573" t="s">
        <v>219</v>
      </c>
      <c r="AE2573" t="s">
        <v>8159</v>
      </c>
      <c r="AF2573" t="s">
        <v>8162</v>
      </c>
    </row>
    <row r="2574" spans="1:32" hidden="1" x14ac:dyDescent="0.35">
      <c r="A2574">
        <v>3952</v>
      </c>
      <c r="B2574" t="s">
        <v>8152</v>
      </c>
      <c r="C2574" t="s">
        <v>72</v>
      </c>
      <c r="D2574" t="s">
        <v>34</v>
      </c>
      <c r="E2574">
        <v>1555</v>
      </c>
      <c r="F2574">
        <v>5</v>
      </c>
      <c r="G2574">
        <v>5</v>
      </c>
      <c r="H2574">
        <v>1</v>
      </c>
      <c r="I2574">
        <v>1</v>
      </c>
      <c r="J2574">
        <v>0.83710586927170205</v>
      </c>
      <c r="K2574">
        <v>0.96982294072363195</v>
      </c>
      <c r="L2574">
        <v>0.89859043847575903</v>
      </c>
      <c r="M2574">
        <v>0.69515011547344097</v>
      </c>
      <c r="N2574">
        <v>0.99769053117782902</v>
      </c>
      <c r="O2574">
        <v>0.79006928406466503</v>
      </c>
      <c r="P2574" t="s">
        <v>8153</v>
      </c>
      <c r="Q2574" t="s">
        <v>8154</v>
      </c>
      <c r="R2574" t="s">
        <v>213</v>
      </c>
      <c r="S2574" t="s">
        <v>214</v>
      </c>
      <c r="T2574" t="s">
        <v>8155</v>
      </c>
      <c r="U2574" t="s">
        <v>8156</v>
      </c>
      <c r="V2574" t="s">
        <v>8157</v>
      </c>
      <c r="W2574" t="s">
        <v>8158</v>
      </c>
      <c r="X2574" t="s">
        <v>8157</v>
      </c>
      <c r="Y2574" t="s">
        <v>710</v>
      </c>
      <c r="Z2574" t="s">
        <v>711</v>
      </c>
      <c r="AA2574" t="s">
        <v>712</v>
      </c>
      <c r="AB2574" t="s">
        <v>711</v>
      </c>
      <c r="AC2574" t="s">
        <v>713</v>
      </c>
      <c r="AD2574" t="s">
        <v>219</v>
      </c>
      <c r="AE2574" t="s">
        <v>8159</v>
      </c>
      <c r="AF2574" t="s">
        <v>8163</v>
      </c>
    </row>
    <row r="2575" spans="1:32" hidden="1" x14ac:dyDescent="0.35">
      <c r="A2575">
        <v>3953</v>
      </c>
      <c r="B2575" t="s">
        <v>8152</v>
      </c>
      <c r="C2575" t="s">
        <v>72</v>
      </c>
      <c r="D2575" t="s">
        <v>45</v>
      </c>
      <c r="E2575">
        <v>305</v>
      </c>
      <c r="F2575">
        <v>5</v>
      </c>
      <c r="G2575">
        <v>5</v>
      </c>
      <c r="H2575">
        <v>1</v>
      </c>
      <c r="I2575">
        <v>1</v>
      </c>
      <c r="J2575">
        <v>0.83710586927170205</v>
      </c>
      <c r="K2575">
        <v>0.96982294072363195</v>
      </c>
      <c r="L2575">
        <v>0.89859043847575903</v>
      </c>
      <c r="M2575">
        <v>0.69515011547344097</v>
      </c>
      <c r="N2575">
        <v>0.99769053117782902</v>
      </c>
      <c r="O2575">
        <v>0.79006928406466503</v>
      </c>
      <c r="P2575" t="s">
        <v>8153</v>
      </c>
      <c r="Q2575" t="s">
        <v>8154</v>
      </c>
      <c r="R2575" t="s">
        <v>213</v>
      </c>
      <c r="S2575" t="s">
        <v>214</v>
      </c>
      <c r="T2575" t="s">
        <v>8155</v>
      </c>
      <c r="U2575" t="s">
        <v>8156</v>
      </c>
      <c r="V2575" t="s">
        <v>8157</v>
      </c>
      <c r="W2575" t="s">
        <v>8158</v>
      </c>
      <c r="X2575" t="s">
        <v>8157</v>
      </c>
      <c r="Y2575" t="s">
        <v>710</v>
      </c>
      <c r="Z2575" t="s">
        <v>711</v>
      </c>
      <c r="AA2575" t="s">
        <v>712</v>
      </c>
      <c r="AB2575" t="s">
        <v>711</v>
      </c>
      <c r="AC2575" t="s">
        <v>713</v>
      </c>
      <c r="AD2575" t="s">
        <v>219</v>
      </c>
      <c r="AE2575" t="s">
        <v>8159</v>
      </c>
      <c r="AF2575" t="s">
        <v>8164</v>
      </c>
    </row>
    <row r="2576" spans="1:32" hidden="1" x14ac:dyDescent="0.35">
      <c r="A2576">
        <v>4099</v>
      </c>
      <c r="B2576" t="s">
        <v>8483</v>
      </c>
      <c r="C2576" t="s">
        <v>72</v>
      </c>
      <c r="D2576" t="s">
        <v>58</v>
      </c>
      <c r="E2576">
        <v>1015</v>
      </c>
      <c r="F2576">
        <v>5</v>
      </c>
      <c r="G2576">
        <v>5</v>
      </c>
      <c r="H2576">
        <v>1</v>
      </c>
      <c r="I2576">
        <v>1</v>
      </c>
      <c r="J2576">
        <v>0.875932557445539</v>
      </c>
      <c r="K2576">
        <v>0.94862895390262003</v>
      </c>
      <c r="L2576">
        <v>0.91083252659959402</v>
      </c>
      <c r="M2576">
        <v>0.72457627118644097</v>
      </c>
      <c r="N2576">
        <v>0.99576271186440701</v>
      </c>
      <c r="O2576">
        <v>0.81377118644067803</v>
      </c>
      <c r="P2576" t="s">
        <v>8484</v>
      </c>
      <c r="Q2576" t="s">
        <v>8485</v>
      </c>
      <c r="R2576" t="s">
        <v>213</v>
      </c>
      <c r="S2576" t="s">
        <v>214</v>
      </c>
      <c r="T2576" t="s">
        <v>8486</v>
      </c>
      <c r="U2576" t="s">
        <v>8487</v>
      </c>
      <c r="V2576" t="s">
        <v>8488</v>
      </c>
      <c r="W2576" t="s">
        <v>8489</v>
      </c>
      <c r="X2576" t="s">
        <v>8488</v>
      </c>
      <c r="Y2576" t="s">
        <v>2301</v>
      </c>
      <c r="Z2576" t="s">
        <v>2302</v>
      </c>
      <c r="AA2576" t="s">
        <v>2303</v>
      </c>
      <c r="AB2576" t="s">
        <v>2302</v>
      </c>
      <c r="AC2576" t="s">
        <v>2304</v>
      </c>
      <c r="AD2576" t="s">
        <v>219</v>
      </c>
      <c r="AE2576" t="s">
        <v>8490</v>
      </c>
      <c r="AF2576" t="s">
        <v>8491</v>
      </c>
    </row>
    <row r="2577" spans="1:32" hidden="1" x14ac:dyDescent="0.35">
      <c r="A2577">
        <v>4100</v>
      </c>
      <c r="B2577" t="s">
        <v>8483</v>
      </c>
      <c r="C2577" t="s">
        <v>72</v>
      </c>
      <c r="D2577" t="s">
        <v>60</v>
      </c>
      <c r="E2577">
        <v>1380</v>
      </c>
      <c r="F2577">
        <v>5</v>
      </c>
      <c r="G2577">
        <v>5</v>
      </c>
      <c r="H2577">
        <v>1</v>
      </c>
      <c r="I2577">
        <v>1</v>
      </c>
      <c r="J2577">
        <v>0.875932557445539</v>
      </c>
      <c r="K2577">
        <v>0.94862895390262003</v>
      </c>
      <c r="L2577">
        <v>0.91083252659959402</v>
      </c>
      <c r="M2577">
        <v>0.72457627118644097</v>
      </c>
      <c r="N2577">
        <v>0.99576271186440701</v>
      </c>
      <c r="O2577">
        <v>0.81377118644067803</v>
      </c>
      <c r="P2577" t="s">
        <v>8484</v>
      </c>
      <c r="Q2577" t="s">
        <v>8485</v>
      </c>
      <c r="R2577" t="s">
        <v>213</v>
      </c>
      <c r="S2577" t="s">
        <v>214</v>
      </c>
      <c r="T2577" t="s">
        <v>8486</v>
      </c>
      <c r="U2577" t="s">
        <v>8487</v>
      </c>
      <c r="V2577" t="s">
        <v>8488</v>
      </c>
      <c r="W2577" t="s">
        <v>8489</v>
      </c>
      <c r="X2577" t="s">
        <v>8488</v>
      </c>
      <c r="Y2577" t="s">
        <v>2301</v>
      </c>
      <c r="Z2577" t="s">
        <v>2302</v>
      </c>
      <c r="AA2577" t="s">
        <v>2303</v>
      </c>
      <c r="AB2577" t="s">
        <v>2302</v>
      </c>
      <c r="AC2577" t="s">
        <v>2304</v>
      </c>
      <c r="AD2577" t="s">
        <v>219</v>
      </c>
      <c r="AE2577" t="s">
        <v>8490</v>
      </c>
      <c r="AF2577" t="s">
        <v>8492</v>
      </c>
    </row>
    <row r="2578" spans="1:32" hidden="1" x14ac:dyDescent="0.35">
      <c r="A2578">
        <v>4101</v>
      </c>
      <c r="B2578" t="s">
        <v>8483</v>
      </c>
      <c r="C2578" t="s">
        <v>72</v>
      </c>
      <c r="D2578" t="s">
        <v>62</v>
      </c>
      <c r="E2578">
        <v>1415</v>
      </c>
      <c r="F2578">
        <v>5</v>
      </c>
      <c r="G2578">
        <v>5</v>
      </c>
      <c r="H2578">
        <v>1</v>
      </c>
      <c r="I2578">
        <v>1</v>
      </c>
      <c r="J2578">
        <v>0.875932557445539</v>
      </c>
      <c r="K2578">
        <v>0.94862895390262003</v>
      </c>
      <c r="L2578">
        <v>0.91083252659959402</v>
      </c>
      <c r="M2578">
        <v>0.72457627118644097</v>
      </c>
      <c r="N2578">
        <v>0.99576271186440701</v>
      </c>
      <c r="O2578">
        <v>0.81377118644067803</v>
      </c>
      <c r="P2578" t="s">
        <v>8484</v>
      </c>
      <c r="Q2578" t="s">
        <v>8485</v>
      </c>
      <c r="R2578" t="s">
        <v>213</v>
      </c>
      <c r="S2578" t="s">
        <v>214</v>
      </c>
      <c r="T2578" t="s">
        <v>8486</v>
      </c>
      <c r="U2578" t="s">
        <v>8487</v>
      </c>
      <c r="V2578" t="s">
        <v>8488</v>
      </c>
      <c r="W2578" t="s">
        <v>8489</v>
      </c>
      <c r="X2578" t="s">
        <v>8488</v>
      </c>
      <c r="Y2578" t="s">
        <v>2301</v>
      </c>
      <c r="Z2578" t="s">
        <v>2302</v>
      </c>
      <c r="AA2578" t="s">
        <v>2303</v>
      </c>
      <c r="AB2578" t="s">
        <v>2302</v>
      </c>
      <c r="AC2578" t="s">
        <v>2304</v>
      </c>
      <c r="AD2578" t="s">
        <v>219</v>
      </c>
      <c r="AE2578" t="s">
        <v>8490</v>
      </c>
      <c r="AF2578" t="s">
        <v>8493</v>
      </c>
    </row>
    <row r="2579" spans="1:32" hidden="1" x14ac:dyDescent="0.35">
      <c r="A2579">
        <v>4102</v>
      </c>
      <c r="B2579" t="s">
        <v>8483</v>
      </c>
      <c r="C2579" t="s">
        <v>72</v>
      </c>
      <c r="D2579" t="s">
        <v>34</v>
      </c>
      <c r="E2579">
        <v>1807</v>
      </c>
      <c r="F2579">
        <v>5</v>
      </c>
      <c r="G2579">
        <v>5</v>
      </c>
      <c r="H2579">
        <v>1</v>
      </c>
      <c r="I2579">
        <v>1</v>
      </c>
      <c r="J2579">
        <v>0.875932557445539</v>
      </c>
      <c r="K2579">
        <v>0.94862895390262003</v>
      </c>
      <c r="L2579">
        <v>0.91083252659959402</v>
      </c>
      <c r="M2579">
        <v>0.72457627118644097</v>
      </c>
      <c r="N2579">
        <v>0.99576271186440701</v>
      </c>
      <c r="O2579">
        <v>0.81377118644067803</v>
      </c>
      <c r="P2579" t="s">
        <v>8484</v>
      </c>
      <c r="Q2579" t="s">
        <v>8485</v>
      </c>
      <c r="R2579" t="s">
        <v>213</v>
      </c>
      <c r="S2579" t="s">
        <v>214</v>
      </c>
      <c r="T2579" t="s">
        <v>8486</v>
      </c>
      <c r="U2579" t="s">
        <v>8487</v>
      </c>
      <c r="V2579" t="s">
        <v>8488</v>
      </c>
      <c r="W2579" t="s">
        <v>8489</v>
      </c>
      <c r="X2579" t="s">
        <v>8488</v>
      </c>
      <c r="Y2579" t="s">
        <v>2301</v>
      </c>
      <c r="Z2579" t="s">
        <v>2302</v>
      </c>
      <c r="AA2579" t="s">
        <v>2303</v>
      </c>
      <c r="AB2579" t="s">
        <v>2302</v>
      </c>
      <c r="AC2579" t="s">
        <v>2304</v>
      </c>
      <c r="AD2579" t="s">
        <v>219</v>
      </c>
      <c r="AE2579" t="s">
        <v>8490</v>
      </c>
      <c r="AF2579" t="s">
        <v>8494</v>
      </c>
    </row>
    <row r="2580" spans="1:32" hidden="1" x14ac:dyDescent="0.35">
      <c r="A2580">
        <v>4103</v>
      </c>
      <c r="B2580" t="s">
        <v>8483</v>
      </c>
      <c r="C2580" t="s">
        <v>72</v>
      </c>
      <c r="D2580" t="s">
        <v>45</v>
      </c>
      <c r="E2580">
        <v>1066</v>
      </c>
      <c r="F2580">
        <v>5</v>
      </c>
      <c r="G2580">
        <v>5</v>
      </c>
      <c r="H2580">
        <v>1</v>
      </c>
      <c r="I2580">
        <v>1</v>
      </c>
      <c r="J2580">
        <v>0.875932557445539</v>
      </c>
      <c r="K2580">
        <v>0.94862895390262003</v>
      </c>
      <c r="L2580">
        <v>0.91083252659959402</v>
      </c>
      <c r="M2580">
        <v>0.72457627118644097</v>
      </c>
      <c r="N2580">
        <v>0.99576271186440701</v>
      </c>
      <c r="O2580">
        <v>0.81377118644067803</v>
      </c>
      <c r="P2580" t="s">
        <v>8484</v>
      </c>
      <c r="Q2580" t="s">
        <v>8485</v>
      </c>
      <c r="R2580" t="s">
        <v>213</v>
      </c>
      <c r="S2580" t="s">
        <v>214</v>
      </c>
      <c r="T2580" t="s">
        <v>8486</v>
      </c>
      <c r="U2580" t="s">
        <v>8487</v>
      </c>
      <c r="V2580" t="s">
        <v>8488</v>
      </c>
      <c r="W2580" t="s">
        <v>8489</v>
      </c>
      <c r="X2580" t="s">
        <v>8488</v>
      </c>
      <c r="Y2580" t="s">
        <v>2301</v>
      </c>
      <c r="Z2580" t="s">
        <v>2302</v>
      </c>
      <c r="AA2580" t="s">
        <v>2303</v>
      </c>
      <c r="AB2580" t="s">
        <v>2302</v>
      </c>
      <c r="AC2580" t="s">
        <v>2304</v>
      </c>
      <c r="AD2580" t="s">
        <v>219</v>
      </c>
      <c r="AE2580" t="s">
        <v>8490</v>
      </c>
      <c r="AF2580" t="s">
        <v>8495</v>
      </c>
    </row>
    <row r="2581" spans="1:32" hidden="1" x14ac:dyDescent="0.35">
      <c r="A2581">
        <v>4119</v>
      </c>
      <c r="B2581" t="s">
        <v>8514</v>
      </c>
      <c r="C2581" t="s">
        <v>72</v>
      </c>
      <c r="D2581" t="s">
        <v>58</v>
      </c>
      <c r="E2581">
        <v>861</v>
      </c>
      <c r="F2581">
        <v>5</v>
      </c>
      <c r="G2581">
        <v>5</v>
      </c>
      <c r="H2581">
        <v>1</v>
      </c>
      <c r="I2581">
        <v>1</v>
      </c>
      <c r="J2581">
        <v>0.717894096165551</v>
      </c>
      <c r="K2581">
        <v>0.92492367733610104</v>
      </c>
      <c r="L2581">
        <v>0.80836384664625804</v>
      </c>
      <c r="M2581">
        <v>0.51820728291316498</v>
      </c>
      <c r="N2581">
        <v>0.99719887955182096</v>
      </c>
      <c r="O2581">
        <v>0.64565826330532206</v>
      </c>
      <c r="P2581" t="s">
        <v>8515</v>
      </c>
      <c r="Q2581" t="s">
        <v>8516</v>
      </c>
      <c r="R2581" t="s">
        <v>213</v>
      </c>
      <c r="S2581" t="s">
        <v>214</v>
      </c>
      <c r="T2581" t="s">
        <v>8517</v>
      </c>
      <c r="U2581" t="s">
        <v>8518</v>
      </c>
      <c r="V2581" t="s">
        <v>8519</v>
      </c>
      <c r="W2581" t="s">
        <v>8520</v>
      </c>
      <c r="AD2581" t="s">
        <v>219</v>
      </c>
      <c r="AE2581" t="s">
        <v>8521</v>
      </c>
      <c r="AF2581" t="s">
        <v>8522</v>
      </c>
    </row>
    <row r="2582" spans="1:32" hidden="1" x14ac:dyDescent="0.35">
      <c r="A2582">
        <v>4120</v>
      </c>
      <c r="B2582" t="s">
        <v>8514</v>
      </c>
      <c r="C2582" t="s">
        <v>72</v>
      </c>
      <c r="D2582" t="s">
        <v>60</v>
      </c>
      <c r="E2582">
        <v>1181</v>
      </c>
      <c r="F2582">
        <v>5</v>
      </c>
      <c r="G2582">
        <v>5</v>
      </c>
      <c r="H2582">
        <v>1</v>
      </c>
      <c r="I2582">
        <v>1</v>
      </c>
      <c r="J2582">
        <v>0.717894096165551</v>
      </c>
      <c r="K2582">
        <v>0.92492367733610104</v>
      </c>
      <c r="L2582">
        <v>0.80836384664625804</v>
      </c>
      <c r="M2582">
        <v>0.51820728291316498</v>
      </c>
      <c r="N2582">
        <v>0.99719887955182096</v>
      </c>
      <c r="O2582">
        <v>0.64565826330532206</v>
      </c>
      <c r="P2582" t="s">
        <v>8515</v>
      </c>
      <c r="Q2582" t="s">
        <v>8516</v>
      </c>
      <c r="R2582" t="s">
        <v>213</v>
      </c>
      <c r="S2582" t="s">
        <v>214</v>
      </c>
      <c r="T2582" t="s">
        <v>8517</v>
      </c>
      <c r="U2582" t="s">
        <v>8518</v>
      </c>
      <c r="V2582" t="s">
        <v>8519</v>
      </c>
      <c r="W2582" t="s">
        <v>8520</v>
      </c>
      <c r="AD2582" t="s">
        <v>219</v>
      </c>
      <c r="AE2582" t="s">
        <v>8521</v>
      </c>
      <c r="AF2582" t="s">
        <v>8523</v>
      </c>
    </row>
    <row r="2583" spans="1:32" hidden="1" x14ac:dyDescent="0.35">
      <c r="A2583">
        <v>4121</v>
      </c>
      <c r="B2583" t="s">
        <v>8514</v>
      </c>
      <c r="C2583" t="s">
        <v>72</v>
      </c>
      <c r="D2583" t="s">
        <v>62</v>
      </c>
      <c r="E2583">
        <v>1218</v>
      </c>
      <c r="F2583">
        <v>5</v>
      </c>
      <c r="G2583">
        <v>5</v>
      </c>
      <c r="H2583">
        <v>1</v>
      </c>
      <c r="I2583">
        <v>1</v>
      </c>
      <c r="J2583">
        <v>0.717894096165551</v>
      </c>
      <c r="K2583">
        <v>0.92492367733610104</v>
      </c>
      <c r="L2583">
        <v>0.80836384664625804</v>
      </c>
      <c r="M2583">
        <v>0.51820728291316498</v>
      </c>
      <c r="N2583">
        <v>0.99719887955182096</v>
      </c>
      <c r="O2583">
        <v>0.64565826330532206</v>
      </c>
      <c r="P2583" t="s">
        <v>8515</v>
      </c>
      <c r="Q2583" t="s">
        <v>8516</v>
      </c>
      <c r="R2583" t="s">
        <v>213</v>
      </c>
      <c r="S2583" t="s">
        <v>214</v>
      </c>
      <c r="T2583" t="s">
        <v>8517</v>
      </c>
      <c r="U2583" t="s">
        <v>8518</v>
      </c>
      <c r="V2583" t="s">
        <v>8519</v>
      </c>
      <c r="W2583" t="s">
        <v>8520</v>
      </c>
      <c r="AD2583" t="s">
        <v>219</v>
      </c>
      <c r="AE2583" t="s">
        <v>8521</v>
      </c>
      <c r="AF2583" t="s">
        <v>8524</v>
      </c>
    </row>
    <row r="2584" spans="1:32" hidden="1" x14ac:dyDescent="0.35">
      <c r="A2584">
        <v>4122</v>
      </c>
      <c r="B2584" t="s">
        <v>8514</v>
      </c>
      <c r="C2584" t="s">
        <v>72</v>
      </c>
      <c r="D2584" t="s">
        <v>34</v>
      </c>
      <c r="E2584">
        <v>1648</v>
      </c>
      <c r="F2584">
        <v>5</v>
      </c>
      <c r="G2584">
        <v>5</v>
      </c>
      <c r="H2584">
        <v>1</v>
      </c>
      <c r="I2584">
        <v>1</v>
      </c>
      <c r="J2584">
        <v>0.717894096165551</v>
      </c>
      <c r="K2584">
        <v>0.92492367733610104</v>
      </c>
      <c r="L2584">
        <v>0.80836384664625804</v>
      </c>
      <c r="M2584">
        <v>0.51820728291316498</v>
      </c>
      <c r="N2584">
        <v>0.99719887955182096</v>
      </c>
      <c r="O2584">
        <v>0.64565826330532206</v>
      </c>
      <c r="P2584" t="s">
        <v>8515</v>
      </c>
      <c r="Q2584" t="s">
        <v>8516</v>
      </c>
      <c r="R2584" t="s">
        <v>213</v>
      </c>
      <c r="S2584" t="s">
        <v>214</v>
      </c>
      <c r="T2584" t="s">
        <v>8517</v>
      </c>
      <c r="U2584" t="s">
        <v>8518</v>
      </c>
      <c r="V2584" t="s">
        <v>8519</v>
      </c>
      <c r="W2584" t="s">
        <v>8520</v>
      </c>
      <c r="AD2584" t="s">
        <v>219</v>
      </c>
      <c r="AE2584" t="s">
        <v>8521</v>
      </c>
      <c r="AF2584" t="s">
        <v>8525</v>
      </c>
    </row>
    <row r="2585" spans="1:32" hidden="1" x14ac:dyDescent="0.35">
      <c r="A2585">
        <v>4123</v>
      </c>
      <c r="B2585" t="s">
        <v>8514</v>
      </c>
      <c r="C2585" t="s">
        <v>72</v>
      </c>
      <c r="D2585" t="s">
        <v>45</v>
      </c>
      <c r="E2585">
        <v>1229</v>
      </c>
      <c r="F2585">
        <v>5</v>
      </c>
      <c r="G2585">
        <v>5</v>
      </c>
      <c r="H2585">
        <v>1</v>
      </c>
      <c r="I2585">
        <v>1</v>
      </c>
      <c r="J2585">
        <v>0.717894096165551</v>
      </c>
      <c r="K2585">
        <v>0.92492367733610104</v>
      </c>
      <c r="L2585">
        <v>0.80836384664625804</v>
      </c>
      <c r="M2585">
        <v>0.51820728291316498</v>
      </c>
      <c r="N2585">
        <v>0.99719887955182096</v>
      </c>
      <c r="O2585">
        <v>0.64565826330532206</v>
      </c>
      <c r="P2585" t="s">
        <v>8515</v>
      </c>
      <c r="Q2585" t="s">
        <v>8516</v>
      </c>
      <c r="R2585" t="s">
        <v>213</v>
      </c>
      <c r="S2585" t="s">
        <v>214</v>
      </c>
      <c r="T2585" t="s">
        <v>8517</v>
      </c>
      <c r="U2585" t="s">
        <v>8518</v>
      </c>
      <c r="V2585" t="s">
        <v>8519</v>
      </c>
      <c r="W2585" t="s">
        <v>8520</v>
      </c>
      <c r="AD2585" t="s">
        <v>219</v>
      </c>
      <c r="AE2585" t="s">
        <v>8521</v>
      </c>
      <c r="AF2585" t="s">
        <v>8526</v>
      </c>
    </row>
    <row r="2586" spans="1:32" hidden="1" x14ac:dyDescent="0.35">
      <c r="A2586">
        <v>4144</v>
      </c>
      <c r="B2586" t="s">
        <v>8571</v>
      </c>
      <c r="C2586" t="s">
        <v>72</v>
      </c>
      <c r="D2586" t="s">
        <v>58</v>
      </c>
      <c r="E2586">
        <v>946</v>
      </c>
      <c r="F2586">
        <v>5</v>
      </c>
      <c r="G2586">
        <v>5</v>
      </c>
      <c r="H2586">
        <v>1</v>
      </c>
      <c r="I2586">
        <v>1</v>
      </c>
      <c r="J2586">
        <v>0.84036281179138295</v>
      </c>
      <c r="K2586">
        <v>0.97764609929078095</v>
      </c>
      <c r="L2586">
        <v>0.90382111982920599</v>
      </c>
      <c r="M2586">
        <v>0.72074468085106402</v>
      </c>
      <c r="N2586">
        <v>0.99734042553191504</v>
      </c>
      <c r="O2586">
        <v>0.79202127659574495</v>
      </c>
      <c r="P2586" t="s">
        <v>8572</v>
      </c>
      <c r="Q2586" t="s">
        <v>8573</v>
      </c>
      <c r="R2586" t="s">
        <v>213</v>
      </c>
      <c r="S2586" t="s">
        <v>214</v>
      </c>
      <c r="T2586" t="s">
        <v>8574</v>
      </c>
      <c r="U2586" t="s">
        <v>8575</v>
      </c>
      <c r="V2586" t="s">
        <v>8576</v>
      </c>
      <c r="W2586" t="s">
        <v>8577</v>
      </c>
      <c r="X2586" t="s">
        <v>8576</v>
      </c>
      <c r="Y2586" t="s">
        <v>2301</v>
      </c>
      <c r="Z2586" t="s">
        <v>2302</v>
      </c>
      <c r="AA2586" t="s">
        <v>2303</v>
      </c>
      <c r="AB2586" t="s">
        <v>2302</v>
      </c>
      <c r="AC2586" t="s">
        <v>2304</v>
      </c>
      <c r="AD2586" t="s">
        <v>219</v>
      </c>
      <c r="AE2586" t="s">
        <v>8578</v>
      </c>
      <c r="AF2586" t="s">
        <v>8579</v>
      </c>
    </row>
    <row r="2587" spans="1:32" hidden="1" x14ac:dyDescent="0.35">
      <c r="A2587">
        <v>4145</v>
      </c>
      <c r="B2587" t="s">
        <v>8571</v>
      </c>
      <c r="C2587" t="s">
        <v>72</v>
      </c>
      <c r="D2587" t="s">
        <v>60</v>
      </c>
      <c r="E2587">
        <v>1267</v>
      </c>
      <c r="F2587">
        <v>5</v>
      </c>
      <c r="G2587">
        <v>5</v>
      </c>
      <c r="H2587">
        <v>1</v>
      </c>
      <c r="I2587">
        <v>1</v>
      </c>
      <c r="J2587">
        <v>0.84036281179138295</v>
      </c>
      <c r="K2587">
        <v>0.97764609929078095</v>
      </c>
      <c r="L2587">
        <v>0.90382111982920599</v>
      </c>
      <c r="M2587">
        <v>0.72074468085106402</v>
      </c>
      <c r="N2587">
        <v>0.99734042553191504</v>
      </c>
      <c r="O2587">
        <v>0.79202127659574495</v>
      </c>
      <c r="P2587" t="s">
        <v>8572</v>
      </c>
      <c r="Q2587" t="s">
        <v>8573</v>
      </c>
      <c r="R2587" t="s">
        <v>213</v>
      </c>
      <c r="S2587" t="s">
        <v>214</v>
      </c>
      <c r="T2587" t="s">
        <v>8574</v>
      </c>
      <c r="U2587" t="s">
        <v>8575</v>
      </c>
      <c r="V2587" t="s">
        <v>8576</v>
      </c>
      <c r="W2587" t="s">
        <v>8577</v>
      </c>
      <c r="X2587" t="s">
        <v>8576</v>
      </c>
      <c r="Y2587" t="s">
        <v>2301</v>
      </c>
      <c r="Z2587" t="s">
        <v>2302</v>
      </c>
      <c r="AA2587" t="s">
        <v>2303</v>
      </c>
      <c r="AB2587" t="s">
        <v>2302</v>
      </c>
      <c r="AC2587" t="s">
        <v>2304</v>
      </c>
      <c r="AD2587" t="s">
        <v>219</v>
      </c>
      <c r="AE2587" t="s">
        <v>8578</v>
      </c>
      <c r="AF2587" t="s">
        <v>8580</v>
      </c>
    </row>
    <row r="2588" spans="1:32" hidden="1" x14ac:dyDescent="0.35">
      <c r="A2588">
        <v>4146</v>
      </c>
      <c r="B2588" t="s">
        <v>8571</v>
      </c>
      <c r="C2588" t="s">
        <v>72</v>
      </c>
      <c r="D2588" t="s">
        <v>62</v>
      </c>
      <c r="E2588">
        <v>1303</v>
      </c>
      <c r="F2588">
        <v>5</v>
      </c>
      <c r="G2588">
        <v>5</v>
      </c>
      <c r="H2588">
        <v>1</v>
      </c>
      <c r="I2588">
        <v>1</v>
      </c>
      <c r="J2588">
        <v>0.84036281179138295</v>
      </c>
      <c r="K2588">
        <v>0.97764609929078095</v>
      </c>
      <c r="L2588">
        <v>0.90382111982920599</v>
      </c>
      <c r="M2588">
        <v>0.72074468085106402</v>
      </c>
      <c r="N2588">
        <v>0.99734042553191504</v>
      </c>
      <c r="O2588">
        <v>0.79202127659574495</v>
      </c>
      <c r="P2588" t="s">
        <v>8572</v>
      </c>
      <c r="Q2588" t="s">
        <v>8573</v>
      </c>
      <c r="R2588" t="s">
        <v>213</v>
      </c>
      <c r="S2588" t="s">
        <v>214</v>
      </c>
      <c r="T2588" t="s">
        <v>8574</v>
      </c>
      <c r="U2588" t="s">
        <v>8575</v>
      </c>
      <c r="V2588" t="s">
        <v>8576</v>
      </c>
      <c r="W2588" t="s">
        <v>8577</v>
      </c>
      <c r="X2588" t="s">
        <v>8576</v>
      </c>
      <c r="Y2588" t="s">
        <v>2301</v>
      </c>
      <c r="Z2588" t="s">
        <v>2302</v>
      </c>
      <c r="AA2588" t="s">
        <v>2303</v>
      </c>
      <c r="AB2588" t="s">
        <v>2302</v>
      </c>
      <c r="AC2588" t="s">
        <v>2304</v>
      </c>
      <c r="AD2588" t="s">
        <v>219</v>
      </c>
      <c r="AE2588" t="s">
        <v>8578</v>
      </c>
      <c r="AF2588" t="s">
        <v>8580</v>
      </c>
    </row>
    <row r="2589" spans="1:32" hidden="1" x14ac:dyDescent="0.35">
      <c r="A2589">
        <v>4147</v>
      </c>
      <c r="B2589" t="s">
        <v>8571</v>
      </c>
      <c r="C2589" t="s">
        <v>72</v>
      </c>
      <c r="D2589" t="s">
        <v>34</v>
      </c>
      <c r="E2589">
        <v>1732</v>
      </c>
      <c r="F2589">
        <v>5</v>
      </c>
      <c r="G2589">
        <v>5</v>
      </c>
      <c r="H2589">
        <v>1</v>
      </c>
      <c r="I2589">
        <v>1</v>
      </c>
      <c r="J2589">
        <v>0.84036281179138295</v>
      </c>
      <c r="K2589">
        <v>0.97764609929078095</v>
      </c>
      <c r="L2589">
        <v>0.90382111982920599</v>
      </c>
      <c r="M2589">
        <v>0.72074468085106402</v>
      </c>
      <c r="N2589">
        <v>0.99734042553191504</v>
      </c>
      <c r="O2589">
        <v>0.79202127659574495</v>
      </c>
      <c r="P2589" t="s">
        <v>8572</v>
      </c>
      <c r="Q2589" t="s">
        <v>8573</v>
      </c>
      <c r="R2589" t="s">
        <v>213</v>
      </c>
      <c r="S2589" t="s">
        <v>214</v>
      </c>
      <c r="T2589" t="s">
        <v>8574</v>
      </c>
      <c r="U2589" t="s">
        <v>8575</v>
      </c>
      <c r="V2589" t="s">
        <v>8576</v>
      </c>
      <c r="W2589" t="s">
        <v>8577</v>
      </c>
      <c r="X2589" t="s">
        <v>8576</v>
      </c>
      <c r="Y2589" t="s">
        <v>2301</v>
      </c>
      <c r="Z2589" t="s">
        <v>2302</v>
      </c>
      <c r="AA2589" t="s">
        <v>2303</v>
      </c>
      <c r="AB2589" t="s">
        <v>2302</v>
      </c>
      <c r="AC2589" t="s">
        <v>2304</v>
      </c>
      <c r="AD2589" t="s">
        <v>219</v>
      </c>
      <c r="AE2589" t="s">
        <v>8578</v>
      </c>
      <c r="AF2589" t="s">
        <v>8581</v>
      </c>
    </row>
    <row r="2590" spans="1:32" hidden="1" x14ac:dyDescent="0.35">
      <c r="A2590">
        <v>4148</v>
      </c>
      <c r="B2590" t="s">
        <v>8571</v>
      </c>
      <c r="C2590" t="s">
        <v>72</v>
      </c>
      <c r="D2590" t="s">
        <v>45</v>
      </c>
      <c r="E2590">
        <v>1142</v>
      </c>
      <c r="F2590">
        <v>5</v>
      </c>
      <c r="G2590">
        <v>5</v>
      </c>
      <c r="H2590">
        <v>1</v>
      </c>
      <c r="I2590">
        <v>1</v>
      </c>
      <c r="J2590">
        <v>0.84036281179138295</v>
      </c>
      <c r="K2590">
        <v>0.97764609929078095</v>
      </c>
      <c r="L2590">
        <v>0.90382111982920599</v>
      </c>
      <c r="M2590">
        <v>0.72074468085106402</v>
      </c>
      <c r="N2590">
        <v>0.99734042553191504</v>
      </c>
      <c r="O2590">
        <v>0.79202127659574495</v>
      </c>
      <c r="P2590" t="s">
        <v>8572</v>
      </c>
      <c r="Q2590" t="s">
        <v>8573</v>
      </c>
      <c r="R2590" t="s">
        <v>213</v>
      </c>
      <c r="S2590" t="s">
        <v>214</v>
      </c>
      <c r="T2590" t="s">
        <v>8574</v>
      </c>
      <c r="U2590" t="s">
        <v>8575</v>
      </c>
      <c r="V2590" t="s">
        <v>8576</v>
      </c>
      <c r="W2590" t="s">
        <v>8577</v>
      </c>
      <c r="X2590" t="s">
        <v>8576</v>
      </c>
      <c r="Y2590" t="s">
        <v>2301</v>
      </c>
      <c r="Z2590" t="s">
        <v>2302</v>
      </c>
      <c r="AA2590" t="s">
        <v>2303</v>
      </c>
      <c r="AB2590" t="s">
        <v>2302</v>
      </c>
      <c r="AC2590" t="s">
        <v>2304</v>
      </c>
      <c r="AD2590" t="s">
        <v>219</v>
      </c>
      <c r="AE2590" t="s">
        <v>8578</v>
      </c>
      <c r="AF2590" t="s">
        <v>8582</v>
      </c>
    </row>
    <row r="2591" spans="1:32" hidden="1" x14ac:dyDescent="0.35">
      <c r="A2591">
        <v>4184</v>
      </c>
      <c r="B2591" t="s">
        <v>8668</v>
      </c>
      <c r="C2591" t="s">
        <v>72</v>
      </c>
      <c r="D2591" t="s">
        <v>58</v>
      </c>
      <c r="E2591">
        <v>539</v>
      </c>
      <c r="F2591">
        <v>5</v>
      </c>
      <c r="G2591">
        <v>5</v>
      </c>
      <c r="H2591">
        <v>1</v>
      </c>
      <c r="I2591">
        <v>1</v>
      </c>
      <c r="J2591">
        <v>0.86529810555661202</v>
      </c>
      <c r="K2591">
        <v>0.96268356871648197</v>
      </c>
      <c r="L2591">
        <v>0.91139673880166205</v>
      </c>
      <c r="M2591">
        <v>0.74223034734917703</v>
      </c>
      <c r="N2591">
        <v>0.98903107861060302</v>
      </c>
      <c r="O2591">
        <v>0.81535648994515497</v>
      </c>
      <c r="P2591" t="s">
        <v>8669</v>
      </c>
      <c r="Q2591" t="s">
        <v>8670</v>
      </c>
      <c r="R2591" t="s">
        <v>213</v>
      </c>
      <c r="S2591" t="s">
        <v>214</v>
      </c>
      <c r="T2591" t="s">
        <v>8671</v>
      </c>
      <c r="U2591" t="s">
        <v>8672</v>
      </c>
      <c r="V2591" t="s">
        <v>8673</v>
      </c>
      <c r="W2591" t="s">
        <v>8674</v>
      </c>
      <c r="X2591" t="s">
        <v>8673</v>
      </c>
      <c r="Y2591" t="s">
        <v>710</v>
      </c>
      <c r="Z2591" t="s">
        <v>711</v>
      </c>
      <c r="AA2591" t="s">
        <v>712</v>
      </c>
      <c r="AB2591" t="s">
        <v>711</v>
      </c>
      <c r="AC2591" t="s">
        <v>713</v>
      </c>
      <c r="AD2591" t="s">
        <v>8675</v>
      </c>
      <c r="AE2591" t="s">
        <v>8676</v>
      </c>
      <c r="AF2591" t="e">
        <f>---------------MTQTARKQITRALISVYDKTGLVELASALADNNVEIVSTGSTAKTIAEAGISVTPVEDVTGFPECLEGRVKTLHPRVHAGILADTRKADHLAQLEELDVAAFQLVVVNLYPFTETVSSGADFDACVEQIDIGGPSMVRAAAKNHPSVAVVVDPARYGDVARAVAEGGFSLQQRTELAAQAFQHTAAYDVAVATWMSEQLGAQQGED-SGAYPQWMGRTFERAHVLRYGENPHQSAALYTA--AGERGLAQATQLHGKEMSYNNYTDSDAAWRAAWDHERPCVAVIKHANPCGIAVADD-IAAAHRAAHACDPVSAFGGVIAANREVSVEMAKQVAEIFTEVIIAPSYEDGAVEVLQAKKNIRILVSEAPNGAVPELRQISGGMLVQERDRVDAAGDDASTWTLAAGQAADPELLSELEFAWRAVRAVKSNAILLAREGATVGVGMGQVNRVDSARLAVSRAG-----EERARGSVAASDAFFPFADGFEVLAEAGVKAVVQPGGSIRDEEVIAAAQKAGVTMYFTGTRHFAH</f>
        <v>#NAME?</v>
      </c>
    </row>
    <row r="2592" spans="1:32" hidden="1" x14ac:dyDescent="0.35">
      <c r="A2592">
        <v>4185</v>
      </c>
      <c r="B2592" t="s">
        <v>8668</v>
      </c>
      <c r="C2592" t="s">
        <v>72</v>
      </c>
      <c r="D2592" t="s">
        <v>60</v>
      </c>
      <c r="E2592">
        <v>753</v>
      </c>
      <c r="F2592">
        <v>5</v>
      </c>
      <c r="G2592">
        <v>5</v>
      </c>
      <c r="H2592">
        <v>1</v>
      </c>
      <c r="I2592">
        <v>1</v>
      </c>
      <c r="J2592">
        <v>0.86529810555661202</v>
      </c>
      <c r="K2592">
        <v>0.96268356871648197</v>
      </c>
      <c r="L2592">
        <v>0.91139673880166205</v>
      </c>
      <c r="M2592">
        <v>0.74223034734917703</v>
      </c>
      <c r="N2592">
        <v>0.98903107861060302</v>
      </c>
      <c r="O2592">
        <v>0.81535648994515497</v>
      </c>
      <c r="P2592" t="s">
        <v>8669</v>
      </c>
      <c r="Q2592" t="s">
        <v>8670</v>
      </c>
      <c r="R2592" t="s">
        <v>213</v>
      </c>
      <c r="S2592" t="s">
        <v>214</v>
      </c>
      <c r="T2592" t="s">
        <v>8671</v>
      </c>
      <c r="U2592" t="s">
        <v>8672</v>
      </c>
      <c r="V2592" t="s">
        <v>8673</v>
      </c>
      <c r="W2592" t="s">
        <v>8674</v>
      </c>
      <c r="X2592" t="s">
        <v>8673</v>
      </c>
      <c r="Y2592" t="s">
        <v>710</v>
      </c>
      <c r="Z2592" t="s">
        <v>711</v>
      </c>
      <c r="AA2592" t="s">
        <v>712</v>
      </c>
      <c r="AB2592" t="s">
        <v>711</v>
      </c>
      <c r="AC2592" t="s">
        <v>713</v>
      </c>
      <c r="AD2592" t="s">
        <v>8675</v>
      </c>
      <c r="AE2592" t="s">
        <v>8676</v>
      </c>
      <c r="AF2592" t="e">
        <f>-------------MSTDQSDRKNIKRALISVYDKTGLDDLARALDAAGVEIVSTGSTAATIAGLGINVTPVETLTGFPECLEGRVKTLHPRVHAGILADTRKHDHLDQLANLEIEPFQLVVVNLYPFTETVASGADFDACVEQIDIGGPSMVRAAAKNHPSVAVVVAPARYGEVIDALAAGGFTRAERTALAVDAFRHTAAYDVAVATWLGNN--AEAG---TGKFPAWIGATYELSTPLRYGENPHQAAALYCDE-AAPVGLAQATQLHGKEMSYNNYTDSDAAWRAAWDHERPCVAIIKHANPCGIAVSDQSIAAAHQRAHACDPVSAFGGVIAANREVTVEMATNVAEIFTEVIIAPSYEDGAVDILAQKKNIRILQAPAPERAGVERREISGGLLVQQRDLIDAEGDNPANWTLVAGDAASNEVLAELEFAWRAVRAVKSNAILLARDGATVGVGMGQVNRVDAAKLAVKRANTL-GDEERASGSVAASDAFFPFADGFEVLADAGVTAVVQPGGSIRDAEVIDAANKAGVTMYLTGARHFAH</f>
        <v>#NAME?</v>
      </c>
    </row>
    <row r="2593" spans="1:32" hidden="1" x14ac:dyDescent="0.35">
      <c r="A2593">
        <v>4186</v>
      </c>
      <c r="B2593" t="s">
        <v>8668</v>
      </c>
      <c r="C2593" t="s">
        <v>72</v>
      </c>
      <c r="D2593" t="s">
        <v>62</v>
      </c>
      <c r="E2593">
        <v>785</v>
      </c>
      <c r="F2593">
        <v>5</v>
      </c>
      <c r="G2593">
        <v>5</v>
      </c>
      <c r="H2593">
        <v>1</v>
      </c>
      <c r="I2593">
        <v>1</v>
      </c>
      <c r="J2593">
        <v>0.86529810555661202</v>
      </c>
      <c r="K2593">
        <v>0.96268356871648197</v>
      </c>
      <c r="L2593">
        <v>0.91139673880166205</v>
      </c>
      <c r="M2593">
        <v>0.74223034734917703</v>
      </c>
      <c r="N2593">
        <v>0.98903107861060302</v>
      </c>
      <c r="O2593">
        <v>0.81535648994515497</v>
      </c>
      <c r="P2593" t="s">
        <v>8669</v>
      </c>
      <c r="Q2593" t="s">
        <v>8670</v>
      </c>
      <c r="R2593" t="s">
        <v>213</v>
      </c>
      <c r="S2593" t="s">
        <v>214</v>
      </c>
      <c r="T2593" t="s">
        <v>8671</v>
      </c>
      <c r="U2593" t="s">
        <v>8672</v>
      </c>
      <c r="V2593" t="s">
        <v>8673</v>
      </c>
      <c r="W2593" t="s">
        <v>8674</v>
      </c>
      <c r="X2593" t="s">
        <v>8673</v>
      </c>
      <c r="Y2593" t="s">
        <v>710</v>
      </c>
      <c r="Z2593" t="s">
        <v>711</v>
      </c>
      <c r="AA2593" t="s">
        <v>712</v>
      </c>
      <c r="AB2593" t="s">
        <v>711</v>
      </c>
      <c r="AC2593" t="s">
        <v>713</v>
      </c>
      <c r="AD2593" t="s">
        <v>8675</v>
      </c>
      <c r="AE2593" t="s">
        <v>8676</v>
      </c>
      <c r="AF2593" t="e">
        <f>-------------MSTDQSDRKNIKRALISVYDKTGLDDLARALDAAGVEIVSTGSTAATIAGLGINVTPVETLTGFPECLEGRVKTLHPRVHAGILADTRKHDHLDQLANLEIEPFQLVVVNLYPFTETVASGADFDACVEQIDIGGPSMVRAAAKNHPSVAVVVAPARYGEVIDALAAGGFTRAERTALAVDAFRHTAAYDVAVATWLGNN--AEAG---TGKFPTWIGATYELSTPLRYGENPHQAAALYRAD-AAPVGLAQATQLHGKEMSYNNYTDSDAAWRAAWDHERPCVAIIKHANPCGIAVSDQSIAAAHQRAHACDPVSAFGGVIAANREVTVEMATNVAEIFTEVIIAPSYEDGAVDILAQKKNIRILQAPAPERAGVERREISGGLLVQQRDLIDAEGDNPASWTLVAGDAASNEVLAELEFAWRAVRAVKSNAILLARDGATVGVGMGQVNRVDAAKLAVKRANTL-GDEERAPGSVAASDAFFPFADGFEVLADAGVTAVVQPGGSIRDAEVIDAANKAGVTMYLTGARHFAH</f>
        <v>#NAME?</v>
      </c>
    </row>
    <row r="2594" spans="1:32" hidden="1" x14ac:dyDescent="0.35">
      <c r="A2594">
        <v>4187</v>
      </c>
      <c r="B2594" t="s">
        <v>8668</v>
      </c>
      <c r="C2594" t="s">
        <v>72</v>
      </c>
      <c r="D2594" t="s">
        <v>34</v>
      </c>
      <c r="E2594">
        <v>378</v>
      </c>
      <c r="F2594">
        <v>5</v>
      </c>
      <c r="G2594">
        <v>5</v>
      </c>
      <c r="H2594">
        <v>1</v>
      </c>
      <c r="I2594">
        <v>1</v>
      </c>
      <c r="J2594">
        <v>0.86529810555661202</v>
      </c>
      <c r="K2594">
        <v>0.96268356871648197</v>
      </c>
      <c r="L2594">
        <v>0.91139673880166205</v>
      </c>
      <c r="M2594">
        <v>0.74223034734917703</v>
      </c>
      <c r="N2594">
        <v>0.98903107861060302</v>
      </c>
      <c r="O2594">
        <v>0.81535648994515497</v>
      </c>
      <c r="P2594" t="s">
        <v>8669</v>
      </c>
      <c r="Q2594" t="s">
        <v>8670</v>
      </c>
      <c r="R2594" t="s">
        <v>213</v>
      </c>
      <c r="S2594" t="s">
        <v>214</v>
      </c>
      <c r="T2594" t="s">
        <v>8671</v>
      </c>
      <c r="U2594" t="s">
        <v>8672</v>
      </c>
      <c r="V2594" t="s">
        <v>8673</v>
      </c>
      <c r="W2594" t="s">
        <v>8674</v>
      </c>
      <c r="X2594" t="s">
        <v>8673</v>
      </c>
      <c r="Y2594" t="s">
        <v>710</v>
      </c>
      <c r="Z2594" t="s">
        <v>711</v>
      </c>
      <c r="AA2594" t="s">
        <v>712</v>
      </c>
      <c r="AB2594" t="s">
        <v>711</v>
      </c>
      <c r="AC2594" t="s">
        <v>713</v>
      </c>
      <c r="AD2594" t="s">
        <v>8675</v>
      </c>
      <c r="AE2594" t="s">
        <v>8676</v>
      </c>
      <c r="AF2594" t="s">
        <v>8677</v>
      </c>
    </row>
    <row r="2595" spans="1:32" hidden="1" x14ac:dyDescent="0.35">
      <c r="A2595">
        <v>4188</v>
      </c>
      <c r="B2595" t="s">
        <v>8668</v>
      </c>
      <c r="C2595" t="s">
        <v>72</v>
      </c>
      <c r="D2595" t="s">
        <v>45</v>
      </c>
      <c r="E2595">
        <v>1640</v>
      </c>
      <c r="F2595">
        <v>5</v>
      </c>
      <c r="G2595">
        <v>5</v>
      </c>
      <c r="H2595">
        <v>1</v>
      </c>
      <c r="I2595">
        <v>1</v>
      </c>
      <c r="J2595">
        <v>0.86529810555661202</v>
      </c>
      <c r="K2595">
        <v>0.96268356871648197</v>
      </c>
      <c r="L2595">
        <v>0.91139673880166205</v>
      </c>
      <c r="M2595">
        <v>0.74223034734917703</v>
      </c>
      <c r="N2595">
        <v>0.98903107861060302</v>
      </c>
      <c r="O2595">
        <v>0.81535648994515497</v>
      </c>
      <c r="P2595" t="s">
        <v>8669</v>
      </c>
      <c r="Q2595" t="s">
        <v>8670</v>
      </c>
      <c r="R2595" t="s">
        <v>213</v>
      </c>
      <c r="S2595" t="s">
        <v>214</v>
      </c>
      <c r="T2595" t="s">
        <v>8671</v>
      </c>
      <c r="U2595" t="s">
        <v>8672</v>
      </c>
      <c r="V2595" t="s">
        <v>8673</v>
      </c>
      <c r="W2595" t="s">
        <v>8674</v>
      </c>
      <c r="X2595" t="s">
        <v>8673</v>
      </c>
      <c r="Y2595" t="s">
        <v>710</v>
      </c>
      <c r="Z2595" t="s">
        <v>711</v>
      </c>
      <c r="AA2595" t="s">
        <v>712</v>
      </c>
      <c r="AB2595" t="s">
        <v>711</v>
      </c>
      <c r="AC2595" t="s">
        <v>713</v>
      </c>
      <c r="AD2595" t="s">
        <v>8675</v>
      </c>
      <c r="AE2595" t="s">
        <v>8676</v>
      </c>
      <c r="AF2595" t="s">
        <v>8678</v>
      </c>
    </row>
    <row r="2596" spans="1:32" hidden="1" x14ac:dyDescent="0.35">
      <c r="A2596">
        <v>4259</v>
      </c>
      <c r="B2596" t="s">
        <v>8855</v>
      </c>
      <c r="C2596" t="s">
        <v>72</v>
      </c>
      <c r="D2596" t="s">
        <v>58</v>
      </c>
      <c r="E2596">
        <v>1563</v>
      </c>
      <c r="F2596">
        <v>5</v>
      </c>
      <c r="G2596">
        <v>5</v>
      </c>
      <c r="H2596">
        <v>1</v>
      </c>
      <c r="I2596">
        <v>1</v>
      </c>
      <c r="J2596">
        <v>0.81694060353074205</v>
      </c>
      <c r="K2596">
        <v>0.98793454807000802</v>
      </c>
      <c r="L2596">
        <v>0.89433758920485695</v>
      </c>
      <c r="M2596">
        <v>0.67268041237113396</v>
      </c>
      <c r="N2596">
        <v>0.99742268041237103</v>
      </c>
      <c r="O2596">
        <v>0.74768041237113403</v>
      </c>
      <c r="P2596" t="s">
        <v>5724</v>
      </c>
      <c r="Q2596" t="s">
        <v>5725</v>
      </c>
      <c r="R2596" t="s">
        <v>213</v>
      </c>
      <c r="S2596" t="s">
        <v>214</v>
      </c>
      <c r="V2596" t="s">
        <v>8856</v>
      </c>
      <c r="W2596" t="s">
        <v>8857</v>
      </c>
      <c r="X2596" t="s">
        <v>8856</v>
      </c>
      <c r="Y2596" t="s">
        <v>710</v>
      </c>
      <c r="AF2596" t="s">
        <v>8858</v>
      </c>
    </row>
    <row r="2597" spans="1:32" hidden="1" x14ac:dyDescent="0.35">
      <c r="A2597">
        <v>4260</v>
      </c>
      <c r="B2597" t="s">
        <v>8855</v>
      </c>
      <c r="C2597" t="s">
        <v>72</v>
      </c>
      <c r="D2597" t="s">
        <v>60</v>
      </c>
      <c r="E2597">
        <v>409</v>
      </c>
      <c r="F2597">
        <v>5</v>
      </c>
      <c r="G2597">
        <v>5</v>
      </c>
      <c r="H2597">
        <v>1</v>
      </c>
      <c r="I2597">
        <v>1</v>
      </c>
      <c r="J2597">
        <v>0.81694060353074205</v>
      </c>
      <c r="K2597">
        <v>0.98793454807000802</v>
      </c>
      <c r="L2597">
        <v>0.89433758920485695</v>
      </c>
      <c r="M2597">
        <v>0.67268041237113396</v>
      </c>
      <c r="N2597">
        <v>0.99742268041237103</v>
      </c>
      <c r="O2597">
        <v>0.74768041237113403</v>
      </c>
      <c r="P2597" t="s">
        <v>5724</v>
      </c>
      <c r="Q2597" t="s">
        <v>5725</v>
      </c>
      <c r="R2597" t="s">
        <v>213</v>
      </c>
      <c r="S2597" t="s">
        <v>214</v>
      </c>
      <c r="V2597" t="s">
        <v>8856</v>
      </c>
      <c r="W2597" t="s">
        <v>8857</v>
      </c>
      <c r="X2597" t="s">
        <v>8856</v>
      </c>
      <c r="Y2597" t="s">
        <v>710</v>
      </c>
      <c r="AF2597" t="s">
        <v>8859</v>
      </c>
    </row>
    <row r="2598" spans="1:32" hidden="1" x14ac:dyDescent="0.35">
      <c r="A2598">
        <v>4261</v>
      </c>
      <c r="B2598" t="s">
        <v>8855</v>
      </c>
      <c r="C2598" t="s">
        <v>72</v>
      </c>
      <c r="D2598" t="s">
        <v>62</v>
      </c>
      <c r="E2598">
        <v>490</v>
      </c>
      <c r="F2598">
        <v>5</v>
      </c>
      <c r="G2598">
        <v>5</v>
      </c>
      <c r="H2598">
        <v>1</v>
      </c>
      <c r="I2598">
        <v>1</v>
      </c>
      <c r="J2598">
        <v>0.81694060353074205</v>
      </c>
      <c r="K2598">
        <v>0.98793454807000802</v>
      </c>
      <c r="L2598">
        <v>0.89433758920485695</v>
      </c>
      <c r="M2598">
        <v>0.67268041237113396</v>
      </c>
      <c r="N2598">
        <v>0.99742268041237103</v>
      </c>
      <c r="O2598">
        <v>0.74768041237113403</v>
      </c>
      <c r="P2598" t="s">
        <v>5724</v>
      </c>
      <c r="Q2598" t="s">
        <v>5725</v>
      </c>
      <c r="R2598" t="s">
        <v>213</v>
      </c>
      <c r="S2598" t="s">
        <v>214</v>
      </c>
      <c r="V2598" t="s">
        <v>8856</v>
      </c>
      <c r="W2598" t="s">
        <v>8857</v>
      </c>
      <c r="X2598" t="s">
        <v>8856</v>
      </c>
      <c r="Y2598" t="s">
        <v>710</v>
      </c>
      <c r="AF2598" t="s">
        <v>8860</v>
      </c>
    </row>
    <row r="2599" spans="1:32" hidden="1" x14ac:dyDescent="0.35">
      <c r="A2599">
        <v>4262</v>
      </c>
      <c r="B2599" t="s">
        <v>8855</v>
      </c>
      <c r="C2599" t="s">
        <v>72</v>
      </c>
      <c r="D2599" t="s">
        <v>34</v>
      </c>
      <c r="E2599">
        <v>615</v>
      </c>
      <c r="F2599">
        <v>5</v>
      </c>
      <c r="G2599">
        <v>5</v>
      </c>
      <c r="H2599">
        <v>1</v>
      </c>
      <c r="I2599">
        <v>1</v>
      </c>
      <c r="J2599">
        <v>0.81694060353074205</v>
      </c>
      <c r="K2599">
        <v>0.98793454807000802</v>
      </c>
      <c r="L2599">
        <v>0.89433758920485695</v>
      </c>
      <c r="M2599">
        <v>0.67268041237113396</v>
      </c>
      <c r="N2599">
        <v>0.99742268041237103</v>
      </c>
      <c r="O2599">
        <v>0.74768041237113403</v>
      </c>
      <c r="P2599" t="s">
        <v>5724</v>
      </c>
      <c r="Q2599" t="s">
        <v>5725</v>
      </c>
      <c r="R2599" t="s">
        <v>213</v>
      </c>
      <c r="S2599" t="s">
        <v>214</v>
      </c>
      <c r="V2599" t="s">
        <v>8856</v>
      </c>
      <c r="W2599" t="s">
        <v>8857</v>
      </c>
      <c r="X2599" t="s">
        <v>8856</v>
      </c>
      <c r="Y2599" t="s">
        <v>710</v>
      </c>
      <c r="AF2599" t="s">
        <v>8861</v>
      </c>
    </row>
    <row r="2600" spans="1:32" hidden="1" x14ac:dyDescent="0.35">
      <c r="A2600">
        <v>4263</v>
      </c>
      <c r="B2600" t="s">
        <v>8855</v>
      </c>
      <c r="C2600" t="s">
        <v>72</v>
      </c>
      <c r="D2600" t="s">
        <v>45</v>
      </c>
      <c r="E2600">
        <v>1882</v>
      </c>
      <c r="F2600">
        <v>5</v>
      </c>
      <c r="G2600">
        <v>5</v>
      </c>
      <c r="H2600">
        <v>1</v>
      </c>
      <c r="I2600">
        <v>1</v>
      </c>
      <c r="J2600">
        <v>0.81694060353074205</v>
      </c>
      <c r="K2600">
        <v>0.98793454807000802</v>
      </c>
      <c r="L2600">
        <v>0.89433758920485695</v>
      </c>
      <c r="M2600">
        <v>0.67268041237113396</v>
      </c>
      <c r="N2600">
        <v>0.99742268041237103</v>
      </c>
      <c r="O2600">
        <v>0.74768041237113403</v>
      </c>
      <c r="P2600" t="s">
        <v>5724</v>
      </c>
      <c r="Q2600" t="s">
        <v>5725</v>
      </c>
      <c r="R2600" t="s">
        <v>213</v>
      </c>
      <c r="S2600" t="s">
        <v>214</v>
      </c>
      <c r="V2600" t="s">
        <v>8856</v>
      </c>
      <c r="W2600" t="s">
        <v>8857</v>
      </c>
      <c r="X2600" t="s">
        <v>8856</v>
      </c>
      <c r="Y2600" t="s">
        <v>710</v>
      </c>
      <c r="AF2600" t="s">
        <v>8862</v>
      </c>
    </row>
    <row r="2601" spans="1:32" hidden="1" x14ac:dyDescent="0.35">
      <c r="A2601">
        <v>4309</v>
      </c>
      <c r="B2601" t="s">
        <v>8966</v>
      </c>
      <c r="C2601" t="s">
        <v>72</v>
      </c>
      <c r="D2601" t="s">
        <v>58</v>
      </c>
      <c r="E2601">
        <v>1012</v>
      </c>
      <c r="F2601">
        <v>5</v>
      </c>
      <c r="G2601">
        <v>5</v>
      </c>
      <c r="H2601">
        <v>1</v>
      </c>
      <c r="I2601">
        <v>1</v>
      </c>
      <c r="J2601">
        <v>0.75462287104622905</v>
      </c>
      <c r="K2601">
        <v>0.95219705768486396</v>
      </c>
      <c r="L2601">
        <v>0.84197479227479799</v>
      </c>
      <c r="M2601">
        <v>0.56597222222222199</v>
      </c>
      <c r="N2601">
        <v>0.99305555555555602</v>
      </c>
      <c r="O2601">
        <v>0.67881944444444398</v>
      </c>
      <c r="P2601" t="s">
        <v>8967</v>
      </c>
      <c r="Q2601" t="s">
        <v>8968</v>
      </c>
      <c r="R2601" t="s">
        <v>213</v>
      </c>
      <c r="S2601" t="s">
        <v>214</v>
      </c>
      <c r="T2601" t="s">
        <v>8969</v>
      </c>
      <c r="U2601" t="s">
        <v>8970</v>
      </c>
      <c r="V2601" t="s">
        <v>8971</v>
      </c>
      <c r="W2601" t="s">
        <v>8972</v>
      </c>
      <c r="X2601" t="s">
        <v>8971</v>
      </c>
      <c r="Y2601" t="s">
        <v>2301</v>
      </c>
      <c r="Z2601" t="s">
        <v>2302</v>
      </c>
      <c r="AA2601" t="s">
        <v>2303</v>
      </c>
      <c r="AB2601" t="s">
        <v>2302</v>
      </c>
      <c r="AC2601" t="s">
        <v>2304</v>
      </c>
      <c r="AD2601" t="s">
        <v>219</v>
      </c>
      <c r="AE2601" t="s">
        <v>8973</v>
      </c>
      <c r="AF2601" t="s">
        <v>8974</v>
      </c>
    </row>
    <row r="2602" spans="1:32" hidden="1" x14ac:dyDescent="0.35">
      <c r="A2602">
        <v>4310</v>
      </c>
      <c r="B2602" t="s">
        <v>8966</v>
      </c>
      <c r="C2602" t="s">
        <v>72</v>
      </c>
      <c r="D2602" t="s">
        <v>60</v>
      </c>
      <c r="E2602">
        <v>1377</v>
      </c>
      <c r="F2602">
        <v>5</v>
      </c>
      <c r="G2602">
        <v>5</v>
      </c>
      <c r="H2602">
        <v>1</v>
      </c>
      <c r="I2602">
        <v>1</v>
      </c>
      <c r="J2602">
        <v>0.75462287104622905</v>
      </c>
      <c r="K2602">
        <v>0.95219705768486396</v>
      </c>
      <c r="L2602">
        <v>0.84197479227479799</v>
      </c>
      <c r="M2602">
        <v>0.56597222222222199</v>
      </c>
      <c r="N2602">
        <v>0.99305555555555602</v>
      </c>
      <c r="O2602">
        <v>0.67881944444444398</v>
      </c>
      <c r="P2602" t="s">
        <v>8967</v>
      </c>
      <c r="Q2602" t="s">
        <v>8968</v>
      </c>
      <c r="R2602" t="s">
        <v>213</v>
      </c>
      <c r="S2602" t="s">
        <v>214</v>
      </c>
      <c r="T2602" t="s">
        <v>8969</v>
      </c>
      <c r="U2602" t="s">
        <v>8970</v>
      </c>
      <c r="V2602" t="s">
        <v>8971</v>
      </c>
      <c r="W2602" t="s">
        <v>8972</v>
      </c>
      <c r="X2602" t="s">
        <v>8971</v>
      </c>
      <c r="Y2602" t="s">
        <v>2301</v>
      </c>
      <c r="Z2602" t="s">
        <v>2302</v>
      </c>
      <c r="AA2602" t="s">
        <v>2303</v>
      </c>
      <c r="AB2602" t="s">
        <v>2302</v>
      </c>
      <c r="AC2602" t="s">
        <v>2304</v>
      </c>
      <c r="AD2602" t="s">
        <v>219</v>
      </c>
      <c r="AE2602" t="s">
        <v>8973</v>
      </c>
      <c r="AF2602" t="s">
        <v>8975</v>
      </c>
    </row>
    <row r="2603" spans="1:32" hidden="1" x14ac:dyDescent="0.35">
      <c r="A2603">
        <v>4311</v>
      </c>
      <c r="B2603" t="s">
        <v>8966</v>
      </c>
      <c r="C2603" t="s">
        <v>72</v>
      </c>
      <c r="D2603" t="s">
        <v>62</v>
      </c>
      <c r="E2603">
        <v>1412</v>
      </c>
      <c r="F2603">
        <v>5</v>
      </c>
      <c r="G2603">
        <v>5</v>
      </c>
      <c r="H2603">
        <v>1</v>
      </c>
      <c r="I2603">
        <v>1</v>
      </c>
      <c r="J2603">
        <v>0.75462287104622905</v>
      </c>
      <c r="K2603">
        <v>0.95219705768486396</v>
      </c>
      <c r="L2603">
        <v>0.84197479227479799</v>
      </c>
      <c r="M2603">
        <v>0.56597222222222199</v>
      </c>
      <c r="N2603">
        <v>0.99305555555555602</v>
      </c>
      <c r="O2603">
        <v>0.67881944444444398</v>
      </c>
      <c r="P2603" t="s">
        <v>8967</v>
      </c>
      <c r="Q2603" t="s">
        <v>8968</v>
      </c>
      <c r="R2603" t="s">
        <v>213</v>
      </c>
      <c r="S2603" t="s">
        <v>214</v>
      </c>
      <c r="T2603" t="s">
        <v>8969</v>
      </c>
      <c r="U2603" t="s">
        <v>8970</v>
      </c>
      <c r="V2603" t="s">
        <v>8971</v>
      </c>
      <c r="W2603" t="s">
        <v>8972</v>
      </c>
      <c r="X2603" t="s">
        <v>8971</v>
      </c>
      <c r="Y2603" t="s">
        <v>2301</v>
      </c>
      <c r="Z2603" t="s">
        <v>2302</v>
      </c>
      <c r="AA2603" t="s">
        <v>2303</v>
      </c>
      <c r="AB2603" t="s">
        <v>2302</v>
      </c>
      <c r="AC2603" t="s">
        <v>2304</v>
      </c>
      <c r="AD2603" t="s">
        <v>219</v>
      </c>
      <c r="AE2603" t="s">
        <v>8973</v>
      </c>
      <c r="AF2603" t="s">
        <v>8976</v>
      </c>
    </row>
    <row r="2604" spans="1:32" hidden="1" x14ac:dyDescent="0.35">
      <c r="A2604">
        <v>4312</v>
      </c>
      <c r="B2604" t="s">
        <v>8966</v>
      </c>
      <c r="C2604" t="s">
        <v>72</v>
      </c>
      <c r="D2604" t="s">
        <v>34</v>
      </c>
      <c r="E2604">
        <v>1804</v>
      </c>
      <c r="F2604">
        <v>5</v>
      </c>
      <c r="G2604">
        <v>5</v>
      </c>
      <c r="H2604">
        <v>1</v>
      </c>
      <c r="I2604">
        <v>1</v>
      </c>
      <c r="J2604">
        <v>0.75462287104622905</v>
      </c>
      <c r="K2604">
        <v>0.95219705768486396</v>
      </c>
      <c r="L2604">
        <v>0.84197479227479799</v>
      </c>
      <c r="M2604">
        <v>0.56597222222222199</v>
      </c>
      <c r="N2604">
        <v>0.99305555555555602</v>
      </c>
      <c r="O2604">
        <v>0.67881944444444398</v>
      </c>
      <c r="P2604" t="s">
        <v>8967</v>
      </c>
      <c r="Q2604" t="s">
        <v>8968</v>
      </c>
      <c r="R2604" t="s">
        <v>213</v>
      </c>
      <c r="S2604" t="s">
        <v>214</v>
      </c>
      <c r="T2604" t="s">
        <v>8969</v>
      </c>
      <c r="U2604" t="s">
        <v>8970</v>
      </c>
      <c r="V2604" t="s">
        <v>8971</v>
      </c>
      <c r="W2604" t="s">
        <v>8972</v>
      </c>
      <c r="X2604" t="s">
        <v>8971</v>
      </c>
      <c r="Y2604" t="s">
        <v>2301</v>
      </c>
      <c r="Z2604" t="s">
        <v>2302</v>
      </c>
      <c r="AA2604" t="s">
        <v>2303</v>
      </c>
      <c r="AB2604" t="s">
        <v>2302</v>
      </c>
      <c r="AC2604" t="s">
        <v>2304</v>
      </c>
      <c r="AD2604" t="s">
        <v>219</v>
      </c>
      <c r="AE2604" t="s">
        <v>8973</v>
      </c>
      <c r="AF2604" t="s">
        <v>8977</v>
      </c>
    </row>
    <row r="2605" spans="1:32" hidden="1" x14ac:dyDescent="0.35">
      <c r="A2605">
        <v>4313</v>
      </c>
      <c r="B2605" t="s">
        <v>8966</v>
      </c>
      <c r="C2605" t="s">
        <v>72</v>
      </c>
      <c r="D2605" t="s">
        <v>45</v>
      </c>
      <c r="E2605">
        <v>1069</v>
      </c>
      <c r="F2605">
        <v>5</v>
      </c>
      <c r="G2605">
        <v>5</v>
      </c>
      <c r="H2605">
        <v>1</v>
      </c>
      <c r="I2605">
        <v>1</v>
      </c>
      <c r="J2605">
        <v>0.75462287104622905</v>
      </c>
      <c r="K2605">
        <v>0.95219705768486396</v>
      </c>
      <c r="L2605">
        <v>0.84197479227479799</v>
      </c>
      <c r="M2605">
        <v>0.56597222222222199</v>
      </c>
      <c r="N2605">
        <v>0.99305555555555602</v>
      </c>
      <c r="O2605">
        <v>0.67881944444444398</v>
      </c>
      <c r="P2605" t="s">
        <v>8967</v>
      </c>
      <c r="Q2605" t="s">
        <v>8968</v>
      </c>
      <c r="R2605" t="s">
        <v>213</v>
      </c>
      <c r="S2605" t="s">
        <v>214</v>
      </c>
      <c r="T2605" t="s">
        <v>8969</v>
      </c>
      <c r="U2605" t="s">
        <v>8970</v>
      </c>
      <c r="V2605" t="s">
        <v>8971</v>
      </c>
      <c r="W2605" t="s">
        <v>8972</v>
      </c>
      <c r="X2605" t="s">
        <v>8971</v>
      </c>
      <c r="Y2605" t="s">
        <v>2301</v>
      </c>
      <c r="Z2605" t="s">
        <v>2302</v>
      </c>
      <c r="AA2605" t="s">
        <v>2303</v>
      </c>
      <c r="AB2605" t="s">
        <v>2302</v>
      </c>
      <c r="AC2605" t="s">
        <v>2304</v>
      </c>
      <c r="AD2605" t="s">
        <v>219</v>
      </c>
      <c r="AE2605" t="s">
        <v>8973</v>
      </c>
      <c r="AF2605" t="s">
        <v>8978</v>
      </c>
    </row>
    <row r="2606" spans="1:32" hidden="1" x14ac:dyDescent="0.35">
      <c r="A2606">
        <v>4329</v>
      </c>
      <c r="B2606" t="s">
        <v>9014</v>
      </c>
      <c r="C2606" t="s">
        <v>72</v>
      </c>
      <c r="D2606" t="s">
        <v>58</v>
      </c>
      <c r="E2606">
        <v>1648</v>
      </c>
      <c r="F2606">
        <v>5</v>
      </c>
      <c r="G2606">
        <v>5</v>
      </c>
      <c r="H2606">
        <v>1</v>
      </c>
      <c r="I2606">
        <v>1</v>
      </c>
      <c r="J2606">
        <v>0.82818100358422897</v>
      </c>
      <c r="K2606">
        <v>0.93019859813084005</v>
      </c>
      <c r="L2606">
        <v>0.87623037458037401</v>
      </c>
      <c r="M2606">
        <v>0.61993769470405002</v>
      </c>
      <c r="N2606">
        <v>0.99688473520249199</v>
      </c>
      <c r="O2606">
        <v>0.74953271028037405</v>
      </c>
      <c r="P2606" t="s">
        <v>9015</v>
      </c>
      <c r="Q2606" t="s">
        <v>9016</v>
      </c>
      <c r="R2606" t="s">
        <v>213</v>
      </c>
      <c r="S2606" t="s">
        <v>214</v>
      </c>
      <c r="T2606" t="s">
        <v>9017</v>
      </c>
      <c r="U2606" t="s">
        <v>9018</v>
      </c>
      <c r="V2606" t="s">
        <v>9019</v>
      </c>
      <c r="W2606" t="s">
        <v>9020</v>
      </c>
      <c r="X2606" t="s">
        <v>9019</v>
      </c>
      <c r="Y2606" t="s">
        <v>710</v>
      </c>
      <c r="Z2606" t="s">
        <v>711</v>
      </c>
      <c r="AA2606" t="s">
        <v>712</v>
      </c>
      <c r="AB2606" t="s">
        <v>711</v>
      </c>
      <c r="AC2606" t="s">
        <v>713</v>
      </c>
      <c r="AD2606" t="s">
        <v>219</v>
      </c>
      <c r="AE2606" t="s">
        <v>9021</v>
      </c>
      <c r="AF2606" t="s">
        <v>9022</v>
      </c>
    </row>
    <row r="2607" spans="1:32" hidden="1" x14ac:dyDescent="0.35">
      <c r="A2607">
        <v>4330</v>
      </c>
      <c r="B2607" t="s">
        <v>9014</v>
      </c>
      <c r="C2607" t="s">
        <v>72</v>
      </c>
      <c r="D2607" t="s">
        <v>60</v>
      </c>
      <c r="E2607">
        <v>2237</v>
      </c>
      <c r="F2607">
        <v>5</v>
      </c>
      <c r="G2607">
        <v>5</v>
      </c>
      <c r="H2607">
        <v>1</v>
      </c>
      <c r="I2607">
        <v>1</v>
      </c>
      <c r="J2607">
        <v>0.82818100358422897</v>
      </c>
      <c r="K2607">
        <v>0.93019859813084005</v>
      </c>
      <c r="L2607">
        <v>0.87623037458037401</v>
      </c>
      <c r="M2607">
        <v>0.61993769470405002</v>
      </c>
      <c r="N2607">
        <v>0.99688473520249199</v>
      </c>
      <c r="O2607">
        <v>0.74953271028037405</v>
      </c>
      <c r="P2607" t="s">
        <v>9015</v>
      </c>
      <c r="Q2607" t="s">
        <v>9016</v>
      </c>
      <c r="R2607" t="s">
        <v>213</v>
      </c>
      <c r="S2607" t="s">
        <v>214</v>
      </c>
      <c r="T2607" t="s">
        <v>9017</v>
      </c>
      <c r="U2607" t="s">
        <v>9018</v>
      </c>
      <c r="V2607" t="s">
        <v>9019</v>
      </c>
      <c r="W2607" t="s">
        <v>9020</v>
      </c>
      <c r="X2607" t="s">
        <v>9019</v>
      </c>
      <c r="Y2607" t="s">
        <v>710</v>
      </c>
      <c r="Z2607" t="s">
        <v>711</v>
      </c>
      <c r="AA2607" t="s">
        <v>712</v>
      </c>
      <c r="AB2607" t="s">
        <v>711</v>
      </c>
      <c r="AC2607" t="s">
        <v>713</v>
      </c>
      <c r="AD2607" t="s">
        <v>219</v>
      </c>
      <c r="AE2607" t="s">
        <v>9021</v>
      </c>
      <c r="AF2607" t="s">
        <v>9023</v>
      </c>
    </row>
    <row r="2608" spans="1:32" hidden="1" x14ac:dyDescent="0.35">
      <c r="A2608">
        <v>4331</v>
      </c>
      <c r="B2608" t="s">
        <v>9014</v>
      </c>
      <c r="C2608" t="s">
        <v>72</v>
      </c>
      <c r="D2608" t="s">
        <v>62</v>
      </c>
      <c r="E2608">
        <v>2267</v>
      </c>
      <c r="F2608">
        <v>5</v>
      </c>
      <c r="G2608">
        <v>5</v>
      </c>
      <c r="H2608">
        <v>1</v>
      </c>
      <c r="I2608">
        <v>1</v>
      </c>
      <c r="J2608">
        <v>0.82818100358422897</v>
      </c>
      <c r="K2608">
        <v>0.93019859813084005</v>
      </c>
      <c r="L2608">
        <v>0.87623037458037401</v>
      </c>
      <c r="M2608">
        <v>0.61993769470405002</v>
      </c>
      <c r="N2608">
        <v>0.99688473520249199</v>
      </c>
      <c r="O2608">
        <v>0.74953271028037405</v>
      </c>
      <c r="P2608" t="s">
        <v>9015</v>
      </c>
      <c r="Q2608" t="s">
        <v>9016</v>
      </c>
      <c r="R2608" t="s">
        <v>213</v>
      </c>
      <c r="S2608" t="s">
        <v>214</v>
      </c>
      <c r="T2608" t="s">
        <v>9017</v>
      </c>
      <c r="U2608" t="s">
        <v>9018</v>
      </c>
      <c r="V2608" t="s">
        <v>9019</v>
      </c>
      <c r="W2608" t="s">
        <v>9020</v>
      </c>
      <c r="X2608" t="s">
        <v>9019</v>
      </c>
      <c r="Y2608" t="s">
        <v>710</v>
      </c>
      <c r="Z2608" t="s">
        <v>711</v>
      </c>
      <c r="AA2608" t="s">
        <v>712</v>
      </c>
      <c r="AB2608" t="s">
        <v>711</v>
      </c>
      <c r="AC2608" t="s">
        <v>713</v>
      </c>
      <c r="AD2608" t="s">
        <v>219</v>
      </c>
      <c r="AE2608" t="s">
        <v>9021</v>
      </c>
      <c r="AF2608" t="s">
        <v>9024</v>
      </c>
    </row>
    <row r="2609" spans="1:32" hidden="1" x14ac:dyDescent="0.35">
      <c r="A2609">
        <v>4332</v>
      </c>
      <c r="B2609" t="s">
        <v>9014</v>
      </c>
      <c r="C2609" t="s">
        <v>72</v>
      </c>
      <c r="D2609" t="s">
        <v>34</v>
      </c>
      <c r="E2609">
        <v>1561</v>
      </c>
      <c r="F2609">
        <v>5</v>
      </c>
      <c r="G2609">
        <v>5</v>
      </c>
      <c r="H2609">
        <v>1</v>
      </c>
      <c r="I2609">
        <v>1</v>
      </c>
      <c r="J2609">
        <v>0.82818100358422897</v>
      </c>
      <c r="K2609">
        <v>0.93019859813084005</v>
      </c>
      <c r="L2609">
        <v>0.87623037458037401</v>
      </c>
      <c r="M2609">
        <v>0.61993769470405002</v>
      </c>
      <c r="N2609">
        <v>0.99688473520249199</v>
      </c>
      <c r="O2609">
        <v>0.74953271028037405</v>
      </c>
      <c r="P2609" t="s">
        <v>9015</v>
      </c>
      <c r="Q2609" t="s">
        <v>9016</v>
      </c>
      <c r="R2609" t="s">
        <v>213</v>
      </c>
      <c r="S2609" t="s">
        <v>214</v>
      </c>
      <c r="T2609" t="s">
        <v>9017</v>
      </c>
      <c r="U2609" t="s">
        <v>9018</v>
      </c>
      <c r="V2609" t="s">
        <v>9019</v>
      </c>
      <c r="W2609" t="s">
        <v>9020</v>
      </c>
      <c r="X2609" t="s">
        <v>9019</v>
      </c>
      <c r="Y2609" t="s">
        <v>710</v>
      </c>
      <c r="Z2609" t="s">
        <v>711</v>
      </c>
      <c r="AA2609" t="s">
        <v>712</v>
      </c>
      <c r="AB2609" t="s">
        <v>711</v>
      </c>
      <c r="AC2609" t="s">
        <v>713</v>
      </c>
      <c r="AD2609" t="s">
        <v>219</v>
      </c>
      <c r="AE2609" t="s">
        <v>9021</v>
      </c>
      <c r="AF2609" t="e">
        <f>--------------------MRPELSQYNHVSAGKVREIYEIDDDTLLMVVSDRISAYDHILDPEIPDKGRVLTAMSMYFFDHI----DFPNHLAGDIDDMRIPEEVLGRAIVCKKLKMLPFECVVRGYLTGSGYKEYLATGSVCGIPLPEGLVESSKLPEPIFTPATKADLGDHDENVTFEQVVEKLGERRATELRDASINIYKQAAELAEAKGIILADTKFEFGVDHDGTLVLADEVLTPDSSRYWPLEGYEPGKVQPSFDKQYVRNWLASSKCDWQVDSNATPPPLPGSVVEATRERYVEAFERITGEKFSRWIGCCV</f>
        <v>#NAME?</v>
      </c>
    </row>
    <row r="2610" spans="1:32" hidden="1" x14ac:dyDescent="0.35">
      <c r="A2610">
        <v>4333</v>
      </c>
      <c r="B2610" t="s">
        <v>9014</v>
      </c>
      <c r="C2610" t="s">
        <v>72</v>
      </c>
      <c r="D2610" t="s">
        <v>45</v>
      </c>
      <c r="E2610">
        <v>311</v>
      </c>
      <c r="F2610">
        <v>5</v>
      </c>
      <c r="G2610">
        <v>5</v>
      </c>
      <c r="H2610">
        <v>1</v>
      </c>
      <c r="I2610">
        <v>1</v>
      </c>
      <c r="J2610">
        <v>0.82818100358422897</v>
      </c>
      <c r="K2610">
        <v>0.93019859813084005</v>
      </c>
      <c r="L2610">
        <v>0.87623037458037401</v>
      </c>
      <c r="M2610">
        <v>0.61993769470405002</v>
      </c>
      <c r="N2610">
        <v>0.99688473520249199</v>
      </c>
      <c r="O2610">
        <v>0.74953271028037405</v>
      </c>
      <c r="P2610" t="s">
        <v>9015</v>
      </c>
      <c r="Q2610" t="s">
        <v>9016</v>
      </c>
      <c r="R2610" t="s">
        <v>213</v>
      </c>
      <c r="S2610" t="s">
        <v>214</v>
      </c>
      <c r="T2610" t="s">
        <v>9017</v>
      </c>
      <c r="U2610" t="s">
        <v>9018</v>
      </c>
      <c r="V2610" t="s">
        <v>9019</v>
      </c>
      <c r="W2610" t="s">
        <v>9020</v>
      </c>
      <c r="X2610" t="s">
        <v>9019</v>
      </c>
      <c r="Y2610" t="s">
        <v>710</v>
      </c>
      <c r="Z2610" t="s">
        <v>711</v>
      </c>
      <c r="AA2610" t="s">
        <v>712</v>
      </c>
      <c r="AB2610" t="s">
        <v>711</v>
      </c>
      <c r="AC2610" t="s">
        <v>713</v>
      </c>
      <c r="AD2610" t="s">
        <v>219</v>
      </c>
      <c r="AE2610" t="s">
        <v>9021</v>
      </c>
      <c r="AF2610" t="e">
        <f>--------------------MRPELSQYNHVSAGKVREIYEIDDDTLLMVVSDRISAYDHILDPEIPDKGRVLTAMSMYFFDHI----DFPNHLAGDIDDMRIPEEVLGRAIVCKKLKMLPFECVVRGYLTGSGYKEYLATGSVCGIPLPEGLVESSKLPEPIFTPATKADLGDHDENVTFEQVVEKLGERRATELRDASINIYKQAAELAEAKGIILADTKFEFGVDRDGTLVLADEVLTPDSSRYWPLEGYEPGKVQPSFDKQYVRNWLTSSKCDWQVDSNATPPPLPGSVVEATRERYVEAFERITGEKFSRWIGCCV</f>
        <v>#NAME?</v>
      </c>
    </row>
    <row r="2611" spans="1:32" hidden="1" x14ac:dyDescent="0.35">
      <c r="A2611">
        <v>4404</v>
      </c>
      <c r="B2611" t="s">
        <v>9175</v>
      </c>
      <c r="C2611" t="s">
        <v>72</v>
      </c>
      <c r="D2611" t="s">
        <v>58</v>
      </c>
      <c r="E2611">
        <v>1651</v>
      </c>
      <c r="F2611">
        <v>5</v>
      </c>
      <c r="G2611">
        <v>5</v>
      </c>
      <c r="H2611">
        <v>1</v>
      </c>
      <c r="I2611">
        <v>1</v>
      </c>
      <c r="J2611">
        <v>0.89671957671957703</v>
      </c>
      <c r="K2611">
        <v>0.98654361859173501</v>
      </c>
      <c r="L2611">
        <v>0.939489475800798</v>
      </c>
      <c r="M2611">
        <v>0.80167014613778698</v>
      </c>
      <c r="N2611">
        <v>0.99582463465553195</v>
      </c>
      <c r="O2611">
        <v>0.84885177453027105</v>
      </c>
      <c r="P2611" t="s">
        <v>2503</v>
      </c>
      <c r="Q2611" t="s">
        <v>2504</v>
      </c>
      <c r="R2611" t="s">
        <v>213</v>
      </c>
      <c r="S2611" t="s">
        <v>214</v>
      </c>
      <c r="T2611" t="s">
        <v>9176</v>
      </c>
      <c r="U2611" t="s">
        <v>9177</v>
      </c>
      <c r="V2611" t="s">
        <v>9178</v>
      </c>
      <c r="W2611" t="s">
        <v>9179</v>
      </c>
      <c r="X2611" t="s">
        <v>9178</v>
      </c>
      <c r="Y2611" t="s">
        <v>710</v>
      </c>
      <c r="Z2611" t="s">
        <v>9180</v>
      </c>
      <c r="AA2611" t="s">
        <v>9181</v>
      </c>
      <c r="AB2611" t="s">
        <v>9180</v>
      </c>
      <c r="AC2611" t="s">
        <v>9182</v>
      </c>
      <c r="AD2611" t="s">
        <v>245</v>
      </c>
      <c r="AE2611" t="s">
        <v>9183</v>
      </c>
      <c r="AF2611" t="s">
        <v>9184</v>
      </c>
    </row>
    <row r="2612" spans="1:32" hidden="1" x14ac:dyDescent="0.35">
      <c r="A2612">
        <v>4405</v>
      </c>
      <c r="B2612" t="s">
        <v>9175</v>
      </c>
      <c r="C2612" t="s">
        <v>72</v>
      </c>
      <c r="D2612" t="s">
        <v>60</v>
      </c>
      <c r="E2612">
        <v>2238</v>
      </c>
      <c r="F2612">
        <v>5</v>
      </c>
      <c r="G2612">
        <v>5</v>
      </c>
      <c r="H2612">
        <v>1</v>
      </c>
      <c r="I2612">
        <v>1</v>
      </c>
      <c r="J2612">
        <v>0.89671957671957703</v>
      </c>
      <c r="K2612">
        <v>0.98654361859173501</v>
      </c>
      <c r="L2612">
        <v>0.939489475800798</v>
      </c>
      <c r="M2612">
        <v>0.80167014613778698</v>
      </c>
      <c r="N2612">
        <v>0.99582463465553195</v>
      </c>
      <c r="O2612">
        <v>0.84885177453027105</v>
      </c>
      <c r="P2612" t="s">
        <v>2503</v>
      </c>
      <c r="Q2612" t="s">
        <v>2504</v>
      </c>
      <c r="R2612" t="s">
        <v>213</v>
      </c>
      <c r="S2612" t="s">
        <v>214</v>
      </c>
      <c r="T2612" t="s">
        <v>9176</v>
      </c>
      <c r="U2612" t="s">
        <v>9177</v>
      </c>
      <c r="V2612" t="s">
        <v>9178</v>
      </c>
      <c r="W2612" t="s">
        <v>9179</v>
      </c>
      <c r="X2612" t="s">
        <v>9178</v>
      </c>
      <c r="Y2612" t="s">
        <v>710</v>
      </c>
      <c r="Z2612" t="s">
        <v>9180</v>
      </c>
      <c r="AA2612" t="s">
        <v>9181</v>
      </c>
      <c r="AB2612" t="s">
        <v>9180</v>
      </c>
      <c r="AC2612" t="s">
        <v>9182</v>
      </c>
      <c r="AD2612" t="s">
        <v>245</v>
      </c>
      <c r="AE2612" t="s">
        <v>9183</v>
      </c>
      <c r="AF2612" t="s">
        <v>9185</v>
      </c>
    </row>
    <row r="2613" spans="1:32" hidden="1" x14ac:dyDescent="0.35">
      <c r="A2613">
        <v>4406</v>
      </c>
      <c r="B2613" t="s">
        <v>9175</v>
      </c>
      <c r="C2613" t="s">
        <v>72</v>
      </c>
      <c r="D2613" t="s">
        <v>62</v>
      </c>
      <c r="E2613">
        <v>2268</v>
      </c>
      <c r="F2613">
        <v>5</v>
      </c>
      <c r="G2613">
        <v>5</v>
      </c>
      <c r="H2613">
        <v>1</v>
      </c>
      <c r="I2613">
        <v>1</v>
      </c>
      <c r="J2613">
        <v>0.89671957671957703</v>
      </c>
      <c r="K2613">
        <v>0.98654361859173501</v>
      </c>
      <c r="L2613">
        <v>0.939489475800798</v>
      </c>
      <c r="M2613">
        <v>0.80167014613778698</v>
      </c>
      <c r="N2613">
        <v>0.99582463465553195</v>
      </c>
      <c r="O2613">
        <v>0.84885177453027105</v>
      </c>
      <c r="P2613" t="s">
        <v>2503</v>
      </c>
      <c r="Q2613" t="s">
        <v>2504</v>
      </c>
      <c r="R2613" t="s">
        <v>213</v>
      </c>
      <c r="S2613" t="s">
        <v>214</v>
      </c>
      <c r="T2613" t="s">
        <v>9176</v>
      </c>
      <c r="U2613" t="s">
        <v>9177</v>
      </c>
      <c r="V2613" t="s">
        <v>9178</v>
      </c>
      <c r="W2613" t="s">
        <v>9179</v>
      </c>
      <c r="X2613" t="s">
        <v>9178</v>
      </c>
      <c r="Y2613" t="s">
        <v>710</v>
      </c>
      <c r="Z2613" t="s">
        <v>9180</v>
      </c>
      <c r="AA2613" t="s">
        <v>9181</v>
      </c>
      <c r="AB2613" t="s">
        <v>9180</v>
      </c>
      <c r="AC2613" t="s">
        <v>9182</v>
      </c>
      <c r="AD2613" t="s">
        <v>245</v>
      </c>
      <c r="AE2613" t="s">
        <v>9183</v>
      </c>
      <c r="AF2613" t="s">
        <v>9186</v>
      </c>
    </row>
    <row r="2614" spans="1:32" hidden="1" x14ac:dyDescent="0.35">
      <c r="A2614">
        <v>4407</v>
      </c>
      <c r="B2614" t="s">
        <v>9175</v>
      </c>
      <c r="C2614" t="s">
        <v>72</v>
      </c>
      <c r="D2614" t="s">
        <v>34</v>
      </c>
      <c r="E2614">
        <v>1560</v>
      </c>
      <c r="F2614">
        <v>5</v>
      </c>
      <c r="G2614">
        <v>5</v>
      </c>
      <c r="H2614">
        <v>1</v>
      </c>
      <c r="I2614">
        <v>1</v>
      </c>
      <c r="J2614">
        <v>0.89671957671957703</v>
      </c>
      <c r="K2614">
        <v>0.98654361859173501</v>
      </c>
      <c r="L2614">
        <v>0.939489475800798</v>
      </c>
      <c r="M2614">
        <v>0.80167014613778698</v>
      </c>
      <c r="N2614">
        <v>0.99582463465553195</v>
      </c>
      <c r="O2614">
        <v>0.84885177453027105</v>
      </c>
      <c r="P2614" t="s">
        <v>2503</v>
      </c>
      <c r="Q2614" t="s">
        <v>2504</v>
      </c>
      <c r="R2614" t="s">
        <v>213</v>
      </c>
      <c r="S2614" t="s">
        <v>214</v>
      </c>
      <c r="T2614" t="s">
        <v>9176</v>
      </c>
      <c r="U2614" t="s">
        <v>9177</v>
      </c>
      <c r="V2614" t="s">
        <v>9178</v>
      </c>
      <c r="W2614" t="s">
        <v>9179</v>
      </c>
      <c r="X2614" t="s">
        <v>9178</v>
      </c>
      <c r="Y2614" t="s">
        <v>710</v>
      </c>
      <c r="Z2614" t="s">
        <v>9180</v>
      </c>
      <c r="AA2614" t="s">
        <v>9181</v>
      </c>
      <c r="AB2614" t="s">
        <v>9180</v>
      </c>
      <c r="AC2614" t="s">
        <v>9182</v>
      </c>
      <c r="AD2614" t="s">
        <v>245</v>
      </c>
      <c r="AE2614" t="s">
        <v>9183</v>
      </c>
      <c r="AF2614" t="s">
        <v>9187</v>
      </c>
    </row>
    <row r="2615" spans="1:32" hidden="1" x14ac:dyDescent="0.35">
      <c r="A2615">
        <v>4408</v>
      </c>
      <c r="B2615" t="s">
        <v>9175</v>
      </c>
      <c r="C2615" t="s">
        <v>72</v>
      </c>
      <c r="D2615" t="s">
        <v>45</v>
      </c>
      <c r="E2615">
        <v>310</v>
      </c>
      <c r="F2615">
        <v>5</v>
      </c>
      <c r="G2615">
        <v>5</v>
      </c>
      <c r="H2615">
        <v>1</v>
      </c>
      <c r="I2615">
        <v>1</v>
      </c>
      <c r="J2615">
        <v>0.89671957671957703</v>
      </c>
      <c r="K2615">
        <v>0.98654361859173501</v>
      </c>
      <c r="L2615">
        <v>0.939489475800798</v>
      </c>
      <c r="M2615">
        <v>0.80167014613778698</v>
      </c>
      <c r="N2615">
        <v>0.99582463465553195</v>
      </c>
      <c r="O2615">
        <v>0.84885177453027105</v>
      </c>
      <c r="P2615" t="s">
        <v>2503</v>
      </c>
      <c r="Q2615" t="s">
        <v>2504</v>
      </c>
      <c r="R2615" t="s">
        <v>213</v>
      </c>
      <c r="S2615" t="s">
        <v>214</v>
      </c>
      <c r="T2615" t="s">
        <v>9176</v>
      </c>
      <c r="U2615" t="s">
        <v>9177</v>
      </c>
      <c r="V2615" t="s">
        <v>9178</v>
      </c>
      <c r="W2615" t="s">
        <v>9179</v>
      </c>
      <c r="X2615" t="s">
        <v>9178</v>
      </c>
      <c r="Y2615" t="s">
        <v>710</v>
      </c>
      <c r="Z2615" t="s">
        <v>9180</v>
      </c>
      <c r="AA2615" t="s">
        <v>9181</v>
      </c>
      <c r="AB2615" t="s">
        <v>9180</v>
      </c>
      <c r="AC2615" t="s">
        <v>9182</v>
      </c>
      <c r="AD2615" t="s">
        <v>245</v>
      </c>
      <c r="AE2615" t="s">
        <v>9183</v>
      </c>
      <c r="AF2615" t="s">
        <v>9188</v>
      </c>
    </row>
    <row r="2616" spans="1:32" hidden="1" x14ac:dyDescent="0.35">
      <c r="A2616">
        <v>4409</v>
      </c>
      <c r="B2616" t="s">
        <v>9189</v>
      </c>
      <c r="C2616" t="s">
        <v>72</v>
      </c>
      <c r="D2616" t="s">
        <v>58</v>
      </c>
      <c r="E2616">
        <v>1384</v>
      </c>
      <c r="F2616">
        <v>5</v>
      </c>
      <c r="G2616">
        <v>5</v>
      </c>
      <c r="H2616">
        <v>1</v>
      </c>
      <c r="I2616">
        <v>1</v>
      </c>
      <c r="J2616">
        <v>0.778152339674131</v>
      </c>
      <c r="K2616">
        <v>0.93192784984099397</v>
      </c>
      <c r="L2616">
        <v>0.84812611853818298</v>
      </c>
      <c r="M2616">
        <v>0.56599552572706902</v>
      </c>
      <c r="N2616">
        <v>0.98881431767337802</v>
      </c>
      <c r="O2616">
        <v>0.68635346756152105</v>
      </c>
      <c r="P2616" t="s">
        <v>9190</v>
      </c>
      <c r="Q2616" t="s">
        <v>9191</v>
      </c>
      <c r="R2616" t="s">
        <v>213</v>
      </c>
      <c r="S2616" t="s">
        <v>214</v>
      </c>
      <c r="T2616" t="s">
        <v>9192</v>
      </c>
      <c r="U2616" t="s">
        <v>9193</v>
      </c>
      <c r="V2616" t="s">
        <v>9194</v>
      </c>
      <c r="W2616" t="s">
        <v>9195</v>
      </c>
      <c r="AD2616" t="s">
        <v>219</v>
      </c>
      <c r="AE2616" t="s">
        <v>9196</v>
      </c>
      <c r="AF2616" t="s">
        <v>9197</v>
      </c>
    </row>
    <row r="2617" spans="1:32" hidden="1" x14ac:dyDescent="0.35">
      <c r="A2617">
        <v>4410</v>
      </c>
      <c r="B2617" t="s">
        <v>9189</v>
      </c>
      <c r="C2617" t="s">
        <v>72</v>
      </c>
      <c r="D2617" t="s">
        <v>60</v>
      </c>
      <c r="E2617">
        <v>1881</v>
      </c>
      <c r="F2617">
        <v>5</v>
      </c>
      <c r="G2617">
        <v>5</v>
      </c>
      <c r="H2617">
        <v>1</v>
      </c>
      <c r="I2617">
        <v>1</v>
      </c>
      <c r="J2617">
        <v>0.778152339674131</v>
      </c>
      <c r="K2617">
        <v>0.93192784984099397</v>
      </c>
      <c r="L2617">
        <v>0.84812611853818298</v>
      </c>
      <c r="M2617">
        <v>0.56599552572706902</v>
      </c>
      <c r="N2617">
        <v>0.98881431767337802</v>
      </c>
      <c r="O2617">
        <v>0.68635346756152105</v>
      </c>
      <c r="P2617" t="s">
        <v>9190</v>
      </c>
      <c r="Q2617" t="s">
        <v>9191</v>
      </c>
      <c r="R2617" t="s">
        <v>213</v>
      </c>
      <c r="S2617" t="s">
        <v>214</v>
      </c>
      <c r="T2617" t="s">
        <v>9192</v>
      </c>
      <c r="U2617" t="s">
        <v>9193</v>
      </c>
      <c r="V2617" t="s">
        <v>9194</v>
      </c>
      <c r="W2617" t="s">
        <v>9195</v>
      </c>
      <c r="AD2617" t="s">
        <v>219</v>
      </c>
      <c r="AE2617" t="s">
        <v>9196</v>
      </c>
      <c r="AF2617" t="s">
        <v>9198</v>
      </c>
    </row>
    <row r="2618" spans="1:32" hidden="1" x14ac:dyDescent="0.35">
      <c r="A2618">
        <v>4411</v>
      </c>
      <c r="B2618" t="s">
        <v>9189</v>
      </c>
      <c r="C2618" t="s">
        <v>72</v>
      </c>
      <c r="D2618" t="s">
        <v>62</v>
      </c>
      <c r="E2618">
        <v>1920</v>
      </c>
      <c r="F2618">
        <v>5</v>
      </c>
      <c r="G2618">
        <v>5</v>
      </c>
      <c r="H2618">
        <v>1</v>
      </c>
      <c r="I2618">
        <v>1</v>
      </c>
      <c r="J2618">
        <v>0.778152339674131</v>
      </c>
      <c r="K2618">
        <v>0.93192784984099397</v>
      </c>
      <c r="L2618">
        <v>0.84812611853818298</v>
      </c>
      <c r="M2618">
        <v>0.56599552572706902</v>
      </c>
      <c r="N2618">
        <v>0.98881431767337802</v>
      </c>
      <c r="O2618">
        <v>0.68635346756152105</v>
      </c>
      <c r="P2618" t="s">
        <v>9190</v>
      </c>
      <c r="Q2618" t="s">
        <v>9191</v>
      </c>
      <c r="R2618" t="s">
        <v>213</v>
      </c>
      <c r="S2618" t="s">
        <v>214</v>
      </c>
      <c r="T2618" t="s">
        <v>9192</v>
      </c>
      <c r="U2618" t="s">
        <v>9193</v>
      </c>
      <c r="V2618" t="s">
        <v>9194</v>
      </c>
      <c r="W2618" t="s">
        <v>9195</v>
      </c>
      <c r="AD2618" t="s">
        <v>219</v>
      </c>
      <c r="AE2618" t="s">
        <v>9196</v>
      </c>
      <c r="AF2618" t="s">
        <v>9199</v>
      </c>
    </row>
    <row r="2619" spans="1:32" hidden="1" x14ac:dyDescent="0.35">
      <c r="A2619">
        <v>4412</v>
      </c>
      <c r="B2619" t="s">
        <v>9189</v>
      </c>
      <c r="C2619" t="s">
        <v>72</v>
      </c>
      <c r="D2619" t="s">
        <v>34</v>
      </c>
      <c r="E2619">
        <v>2234</v>
      </c>
      <c r="F2619">
        <v>5</v>
      </c>
      <c r="G2619">
        <v>5</v>
      </c>
      <c r="H2619">
        <v>1</v>
      </c>
      <c r="I2619">
        <v>1</v>
      </c>
      <c r="J2619">
        <v>0.778152339674131</v>
      </c>
      <c r="K2619">
        <v>0.93192784984099397</v>
      </c>
      <c r="L2619">
        <v>0.84812611853818298</v>
      </c>
      <c r="M2619">
        <v>0.56599552572706902</v>
      </c>
      <c r="N2619">
        <v>0.98881431767337802</v>
      </c>
      <c r="O2619">
        <v>0.68635346756152105</v>
      </c>
      <c r="P2619" t="s">
        <v>9190</v>
      </c>
      <c r="Q2619" t="s">
        <v>9191</v>
      </c>
      <c r="R2619" t="s">
        <v>213</v>
      </c>
      <c r="S2619" t="s">
        <v>214</v>
      </c>
      <c r="T2619" t="s">
        <v>9192</v>
      </c>
      <c r="U2619" t="s">
        <v>9193</v>
      </c>
      <c r="V2619" t="s">
        <v>9194</v>
      </c>
      <c r="W2619" t="s">
        <v>9195</v>
      </c>
      <c r="AD2619" t="s">
        <v>219</v>
      </c>
      <c r="AE2619" t="s">
        <v>9196</v>
      </c>
      <c r="AF2619" t="s">
        <v>9200</v>
      </c>
    </row>
    <row r="2620" spans="1:32" hidden="1" x14ac:dyDescent="0.35">
      <c r="A2620">
        <v>4413</v>
      </c>
      <c r="B2620" t="s">
        <v>9189</v>
      </c>
      <c r="C2620" t="s">
        <v>72</v>
      </c>
      <c r="D2620" t="s">
        <v>45</v>
      </c>
      <c r="E2620">
        <v>643</v>
      </c>
      <c r="F2620">
        <v>5</v>
      </c>
      <c r="G2620">
        <v>5</v>
      </c>
      <c r="H2620">
        <v>1</v>
      </c>
      <c r="I2620">
        <v>1</v>
      </c>
      <c r="J2620">
        <v>0.778152339674131</v>
      </c>
      <c r="K2620">
        <v>0.93192784984099397</v>
      </c>
      <c r="L2620">
        <v>0.84812611853818298</v>
      </c>
      <c r="M2620">
        <v>0.56599552572706902</v>
      </c>
      <c r="N2620">
        <v>0.98881431767337802</v>
      </c>
      <c r="O2620">
        <v>0.68635346756152105</v>
      </c>
      <c r="P2620" t="s">
        <v>9190</v>
      </c>
      <c r="Q2620" t="s">
        <v>9191</v>
      </c>
      <c r="R2620" t="s">
        <v>213</v>
      </c>
      <c r="S2620" t="s">
        <v>214</v>
      </c>
      <c r="T2620" t="s">
        <v>9192</v>
      </c>
      <c r="U2620" t="s">
        <v>9193</v>
      </c>
      <c r="V2620" t="s">
        <v>9194</v>
      </c>
      <c r="W2620" t="s">
        <v>9195</v>
      </c>
      <c r="AD2620" t="s">
        <v>219</v>
      </c>
      <c r="AE2620" t="s">
        <v>9196</v>
      </c>
      <c r="AF2620" t="s">
        <v>9201</v>
      </c>
    </row>
    <row r="2621" spans="1:32" hidden="1" x14ac:dyDescent="0.35">
      <c r="A2621">
        <v>1439</v>
      </c>
      <c r="B2621" t="s">
        <v>3005</v>
      </c>
      <c r="C2621" t="s">
        <v>72</v>
      </c>
      <c r="D2621" t="s">
        <v>58</v>
      </c>
      <c r="E2621">
        <v>1071</v>
      </c>
      <c r="F2621">
        <v>5</v>
      </c>
      <c r="G2621">
        <v>5</v>
      </c>
      <c r="H2621">
        <v>1</v>
      </c>
      <c r="I2621">
        <v>1</v>
      </c>
      <c r="J2621">
        <v>0.78604044357469005</v>
      </c>
      <c r="K2621">
        <v>0.76511666876125795</v>
      </c>
      <c r="L2621">
        <v>0.77543743430837597</v>
      </c>
      <c r="M2621">
        <v>0.420091324200913</v>
      </c>
      <c r="N2621">
        <v>1</v>
      </c>
      <c r="O2621">
        <v>0.659360730593607</v>
      </c>
      <c r="P2621" t="s">
        <v>3006</v>
      </c>
      <c r="Q2621" t="s">
        <v>3007</v>
      </c>
      <c r="R2621" t="s">
        <v>3008</v>
      </c>
      <c r="S2621" t="s">
        <v>3009</v>
      </c>
      <c r="T2621" t="s">
        <v>3010</v>
      </c>
      <c r="U2621" t="s">
        <v>3011</v>
      </c>
      <c r="V2621" t="s">
        <v>3012</v>
      </c>
      <c r="W2621" t="s">
        <v>3013</v>
      </c>
      <c r="X2621" t="s">
        <v>3012</v>
      </c>
      <c r="Y2621" t="s">
        <v>3014</v>
      </c>
      <c r="Z2621" t="s">
        <v>3015</v>
      </c>
      <c r="AA2621" t="s">
        <v>3016</v>
      </c>
      <c r="AB2621" t="s">
        <v>3015</v>
      </c>
      <c r="AC2621" t="s">
        <v>2304</v>
      </c>
      <c r="AD2621" t="s">
        <v>3017</v>
      </c>
      <c r="AE2621" t="s">
        <v>3018</v>
      </c>
      <c r="AF2621" t="s">
        <v>3019</v>
      </c>
    </row>
    <row r="2622" spans="1:32" hidden="1" x14ac:dyDescent="0.35">
      <c r="A2622">
        <v>1440</v>
      </c>
      <c r="B2622" t="s">
        <v>3005</v>
      </c>
      <c r="C2622" t="s">
        <v>72</v>
      </c>
      <c r="D2622" t="s">
        <v>60</v>
      </c>
      <c r="E2622">
        <v>1446</v>
      </c>
      <c r="F2622">
        <v>5</v>
      </c>
      <c r="G2622">
        <v>5</v>
      </c>
      <c r="H2622">
        <v>1</v>
      </c>
      <c r="I2622">
        <v>1</v>
      </c>
      <c r="J2622">
        <v>0.78604044357469005</v>
      </c>
      <c r="K2622">
        <v>0.76511666876125795</v>
      </c>
      <c r="L2622">
        <v>0.77543743430837597</v>
      </c>
      <c r="M2622">
        <v>0.420091324200913</v>
      </c>
      <c r="N2622">
        <v>1</v>
      </c>
      <c r="O2622">
        <v>0.659360730593607</v>
      </c>
      <c r="P2622" t="s">
        <v>3006</v>
      </c>
      <c r="Q2622" t="s">
        <v>3007</v>
      </c>
      <c r="R2622" t="s">
        <v>3008</v>
      </c>
      <c r="S2622" t="s">
        <v>3009</v>
      </c>
      <c r="T2622" t="s">
        <v>3010</v>
      </c>
      <c r="U2622" t="s">
        <v>3011</v>
      </c>
      <c r="V2622" t="s">
        <v>3012</v>
      </c>
      <c r="W2622" t="s">
        <v>3013</v>
      </c>
      <c r="X2622" t="s">
        <v>3012</v>
      </c>
      <c r="Y2622" t="s">
        <v>3014</v>
      </c>
      <c r="Z2622" t="s">
        <v>3015</v>
      </c>
      <c r="AA2622" t="s">
        <v>3016</v>
      </c>
      <c r="AB2622" t="s">
        <v>3015</v>
      </c>
      <c r="AC2622" t="s">
        <v>2304</v>
      </c>
      <c r="AD2622" t="s">
        <v>3017</v>
      </c>
      <c r="AE2622" t="s">
        <v>3018</v>
      </c>
      <c r="AF2622" t="s">
        <v>3020</v>
      </c>
    </row>
    <row r="2623" spans="1:32" hidden="1" x14ac:dyDescent="0.35">
      <c r="A2623">
        <v>1441</v>
      </c>
      <c r="B2623" t="s">
        <v>3005</v>
      </c>
      <c r="C2623" t="s">
        <v>72</v>
      </c>
      <c r="D2623" t="s">
        <v>62</v>
      </c>
      <c r="E2623">
        <v>1481</v>
      </c>
      <c r="F2623">
        <v>5</v>
      </c>
      <c r="G2623">
        <v>5</v>
      </c>
      <c r="H2623">
        <v>1</v>
      </c>
      <c r="I2623">
        <v>1</v>
      </c>
      <c r="J2623">
        <v>0.78604044357469005</v>
      </c>
      <c r="K2623">
        <v>0.76511666876125795</v>
      </c>
      <c r="L2623">
        <v>0.77543743430837597</v>
      </c>
      <c r="M2623">
        <v>0.420091324200913</v>
      </c>
      <c r="N2623">
        <v>1</v>
      </c>
      <c r="O2623">
        <v>0.659360730593607</v>
      </c>
      <c r="P2623" t="s">
        <v>3006</v>
      </c>
      <c r="Q2623" t="s">
        <v>3007</v>
      </c>
      <c r="R2623" t="s">
        <v>3008</v>
      </c>
      <c r="S2623" t="s">
        <v>3009</v>
      </c>
      <c r="T2623" t="s">
        <v>3010</v>
      </c>
      <c r="U2623" t="s">
        <v>3011</v>
      </c>
      <c r="V2623" t="s">
        <v>3012</v>
      </c>
      <c r="W2623" t="s">
        <v>3013</v>
      </c>
      <c r="X2623" t="s">
        <v>3012</v>
      </c>
      <c r="Y2623" t="s">
        <v>3014</v>
      </c>
      <c r="Z2623" t="s">
        <v>3015</v>
      </c>
      <c r="AA2623" t="s">
        <v>3016</v>
      </c>
      <c r="AB2623" t="s">
        <v>3015</v>
      </c>
      <c r="AC2623" t="s">
        <v>2304</v>
      </c>
      <c r="AD2623" t="s">
        <v>3017</v>
      </c>
      <c r="AE2623" t="s">
        <v>3018</v>
      </c>
      <c r="AF2623" t="s">
        <v>3020</v>
      </c>
    </row>
    <row r="2624" spans="1:32" hidden="1" x14ac:dyDescent="0.35">
      <c r="A2624">
        <v>1442</v>
      </c>
      <c r="B2624" t="s">
        <v>3005</v>
      </c>
      <c r="C2624" t="s">
        <v>72</v>
      </c>
      <c r="D2624" t="s">
        <v>34</v>
      </c>
      <c r="E2624">
        <v>1876</v>
      </c>
      <c r="F2624">
        <v>5</v>
      </c>
      <c r="G2624">
        <v>5</v>
      </c>
      <c r="H2624">
        <v>1</v>
      </c>
      <c r="I2624">
        <v>1</v>
      </c>
      <c r="J2624">
        <v>0.78604044357469005</v>
      </c>
      <c r="K2624">
        <v>0.76511666876125795</v>
      </c>
      <c r="L2624">
        <v>0.77543743430837597</v>
      </c>
      <c r="M2624">
        <v>0.420091324200913</v>
      </c>
      <c r="N2624">
        <v>1</v>
      </c>
      <c r="O2624">
        <v>0.659360730593607</v>
      </c>
      <c r="P2624" t="s">
        <v>3006</v>
      </c>
      <c r="Q2624" t="s">
        <v>3007</v>
      </c>
      <c r="R2624" t="s">
        <v>3008</v>
      </c>
      <c r="S2624" t="s">
        <v>3009</v>
      </c>
      <c r="T2624" t="s">
        <v>3010</v>
      </c>
      <c r="U2624" t="s">
        <v>3011</v>
      </c>
      <c r="V2624" t="s">
        <v>3012</v>
      </c>
      <c r="W2624" t="s">
        <v>3013</v>
      </c>
      <c r="X2624" t="s">
        <v>3012</v>
      </c>
      <c r="Y2624" t="s">
        <v>3014</v>
      </c>
      <c r="Z2624" t="s">
        <v>3015</v>
      </c>
      <c r="AA2624" t="s">
        <v>3016</v>
      </c>
      <c r="AB2624" t="s">
        <v>3015</v>
      </c>
      <c r="AC2624" t="s">
        <v>2304</v>
      </c>
      <c r="AD2624" t="s">
        <v>3017</v>
      </c>
      <c r="AE2624" t="s">
        <v>3018</v>
      </c>
      <c r="AF2624" t="e">
        <f>---------------MNNNV----------------------------------------------------INHIRIKRIDKELPIPVRAHTGDAGVDLYSTETCVIHPGERALIGTGIAIALPLGTVGLIHPRSGRALREGLGMVNAPGTIDAGYRGELKVCLINLDPRTPIQINRGERIAQLVVQKVELFDFAEVDELDD--TLRGDQGYGSTGID</f>
        <v>#NAME?</v>
      </c>
    </row>
    <row r="2625" spans="1:32" hidden="1" x14ac:dyDescent="0.35">
      <c r="A2625">
        <v>1443</v>
      </c>
      <c r="B2625" t="s">
        <v>3005</v>
      </c>
      <c r="C2625" t="s">
        <v>72</v>
      </c>
      <c r="D2625" t="s">
        <v>45</v>
      </c>
      <c r="E2625">
        <v>997</v>
      </c>
      <c r="F2625">
        <v>5</v>
      </c>
      <c r="G2625">
        <v>5</v>
      </c>
      <c r="H2625">
        <v>1</v>
      </c>
      <c r="I2625">
        <v>1</v>
      </c>
      <c r="J2625">
        <v>0.78604044357469005</v>
      </c>
      <c r="K2625">
        <v>0.76511666876125795</v>
      </c>
      <c r="L2625">
        <v>0.77543743430837597</v>
      </c>
      <c r="M2625">
        <v>0.420091324200913</v>
      </c>
      <c r="N2625">
        <v>1</v>
      </c>
      <c r="O2625">
        <v>0.659360730593607</v>
      </c>
      <c r="P2625" t="s">
        <v>3006</v>
      </c>
      <c r="Q2625" t="s">
        <v>3007</v>
      </c>
      <c r="R2625" t="s">
        <v>3008</v>
      </c>
      <c r="S2625" t="s">
        <v>3009</v>
      </c>
      <c r="T2625" t="s">
        <v>3010</v>
      </c>
      <c r="U2625" t="s">
        <v>3011</v>
      </c>
      <c r="V2625" t="s">
        <v>3012</v>
      </c>
      <c r="W2625" t="s">
        <v>3013</v>
      </c>
      <c r="X2625" t="s">
        <v>3012</v>
      </c>
      <c r="Y2625" t="s">
        <v>3014</v>
      </c>
      <c r="Z2625" t="s">
        <v>3015</v>
      </c>
      <c r="AA2625" t="s">
        <v>3016</v>
      </c>
      <c r="AB2625" t="s">
        <v>3015</v>
      </c>
      <c r="AC2625" t="s">
        <v>2304</v>
      </c>
      <c r="AD2625" t="s">
        <v>3017</v>
      </c>
      <c r="AE2625" t="s">
        <v>3018</v>
      </c>
      <c r="AF2625" t="e">
        <f>---------------MNNNV----------------------------------------------------INHIRIKRIDKELPIPVRVHTGDAGVDLYSTETCVIHPGERALIGTGIAIALPLGTVGLIHPRSGRALREGLGMVNAPGTIDAGYRGELKVCLINLDPRTPIQINRGERIAQLVVQKVELFDFAEVDELDD--TLRGDQGYGSTGID</f>
        <v>#NAME?</v>
      </c>
    </row>
    <row r="2626" spans="1:32" hidden="1" x14ac:dyDescent="0.35">
      <c r="A2626">
        <v>2809</v>
      </c>
      <c r="B2626" t="s">
        <v>5810</v>
      </c>
      <c r="C2626" t="s">
        <v>72</v>
      </c>
      <c r="D2626" t="s">
        <v>60</v>
      </c>
      <c r="E2626">
        <v>389</v>
      </c>
      <c r="F2626">
        <v>4</v>
      </c>
      <c r="G2626">
        <v>5</v>
      </c>
      <c r="H2626">
        <v>2</v>
      </c>
      <c r="I2626">
        <v>0</v>
      </c>
      <c r="J2626">
        <v>0.77663482733284395</v>
      </c>
      <c r="K2626">
        <v>0.71459062676453899</v>
      </c>
      <c r="L2626">
        <v>0.74432201583745805</v>
      </c>
      <c r="M2626">
        <v>0.103896103896104</v>
      </c>
      <c r="N2626">
        <v>1</v>
      </c>
      <c r="O2626">
        <v>0.44155844155844198</v>
      </c>
      <c r="P2626" t="s">
        <v>5811</v>
      </c>
      <c r="Q2626" t="s">
        <v>5812</v>
      </c>
      <c r="R2626" t="s">
        <v>5813</v>
      </c>
      <c r="S2626" t="s">
        <v>5814</v>
      </c>
      <c r="V2626" t="s">
        <v>5815</v>
      </c>
      <c r="W2626" t="s">
        <v>5816</v>
      </c>
      <c r="AF2626" t="s">
        <v>5817</v>
      </c>
    </row>
    <row r="2627" spans="1:32" hidden="1" x14ac:dyDescent="0.35">
      <c r="A2627">
        <v>2810</v>
      </c>
      <c r="B2627" t="s">
        <v>5810</v>
      </c>
      <c r="C2627" t="s">
        <v>72</v>
      </c>
      <c r="D2627" t="s">
        <v>62</v>
      </c>
      <c r="E2627">
        <v>470</v>
      </c>
      <c r="F2627">
        <v>4</v>
      </c>
      <c r="G2627">
        <v>5</v>
      </c>
      <c r="H2627">
        <v>2</v>
      </c>
      <c r="I2627">
        <v>0</v>
      </c>
      <c r="J2627">
        <v>0.77663482733284395</v>
      </c>
      <c r="K2627">
        <v>0.71459062676453899</v>
      </c>
      <c r="L2627">
        <v>0.74432201583745805</v>
      </c>
      <c r="M2627">
        <v>0.103896103896104</v>
      </c>
      <c r="N2627">
        <v>1</v>
      </c>
      <c r="O2627">
        <v>0.44155844155844198</v>
      </c>
      <c r="P2627" t="s">
        <v>5811</v>
      </c>
      <c r="Q2627" t="s">
        <v>5812</v>
      </c>
      <c r="R2627" t="s">
        <v>5813</v>
      </c>
      <c r="S2627" t="s">
        <v>5814</v>
      </c>
      <c r="V2627" t="s">
        <v>5815</v>
      </c>
      <c r="W2627" t="s">
        <v>5816</v>
      </c>
      <c r="AF2627" t="s">
        <v>5817</v>
      </c>
    </row>
    <row r="2628" spans="1:32" hidden="1" x14ac:dyDescent="0.35">
      <c r="A2628">
        <v>2811</v>
      </c>
      <c r="B2628" t="s">
        <v>5810</v>
      </c>
      <c r="C2628" t="s">
        <v>72</v>
      </c>
      <c r="D2628" t="s">
        <v>34</v>
      </c>
      <c r="E2628">
        <v>630</v>
      </c>
      <c r="F2628">
        <v>4</v>
      </c>
      <c r="G2628">
        <v>5</v>
      </c>
      <c r="H2628">
        <v>2</v>
      </c>
      <c r="I2628">
        <v>0</v>
      </c>
      <c r="J2628">
        <v>0.77663482733284395</v>
      </c>
      <c r="K2628">
        <v>0.71459062676453899</v>
      </c>
      <c r="L2628">
        <v>0.74432201583745805</v>
      </c>
      <c r="M2628">
        <v>0.103896103896104</v>
      </c>
      <c r="N2628">
        <v>1</v>
      </c>
      <c r="O2628">
        <v>0.44155844155844198</v>
      </c>
      <c r="P2628" t="s">
        <v>5811</v>
      </c>
      <c r="Q2628" t="s">
        <v>5812</v>
      </c>
      <c r="R2628" t="s">
        <v>5813</v>
      </c>
      <c r="S2628" t="s">
        <v>5814</v>
      </c>
      <c r="V2628" t="s">
        <v>5815</v>
      </c>
      <c r="W2628" t="s">
        <v>5816</v>
      </c>
      <c r="AF2628" t="e">
        <f>-------------------------------------------------------------------MKTKVGMDIGQRLGFFEQLVTVDTVARDPRGHAVSVVYLGCGYNL-SLSGGDCTHALWSVDSLPQVAFDHQEIIAYGRDRLIAKLSYSNAVSGLLGETFTLSQVQTAYEAVLGRFVDKRNFRKKFLRLGLVTETGDMWAEGAHRPAKLYRFNSSELEIFNFISL</f>
        <v>#NAME?</v>
      </c>
    </row>
    <row r="2629" spans="1:32" hidden="1" x14ac:dyDescent="0.35">
      <c r="A2629">
        <v>2813</v>
      </c>
      <c r="B2629" t="s">
        <v>5810</v>
      </c>
      <c r="C2629" t="s">
        <v>72</v>
      </c>
      <c r="D2629" t="s">
        <v>45</v>
      </c>
      <c r="E2629">
        <v>1897</v>
      </c>
      <c r="F2629">
        <v>4</v>
      </c>
      <c r="G2629">
        <v>5</v>
      </c>
      <c r="H2629">
        <v>2</v>
      </c>
      <c r="I2629">
        <v>0</v>
      </c>
      <c r="J2629">
        <v>0.77663482733284395</v>
      </c>
      <c r="K2629">
        <v>0.71459062676453899</v>
      </c>
      <c r="L2629">
        <v>0.74432201583745805</v>
      </c>
      <c r="M2629">
        <v>0.103896103896104</v>
      </c>
      <c r="N2629">
        <v>1</v>
      </c>
      <c r="O2629">
        <v>0.44155844155844198</v>
      </c>
      <c r="P2629" t="s">
        <v>5811</v>
      </c>
      <c r="Q2629" t="s">
        <v>5812</v>
      </c>
      <c r="R2629" t="s">
        <v>5813</v>
      </c>
      <c r="S2629" t="s">
        <v>5814</v>
      </c>
      <c r="V2629" t="s">
        <v>5815</v>
      </c>
      <c r="W2629" t="s">
        <v>5816</v>
      </c>
      <c r="AF2629" t="e">
        <f>-----MANTSDYHPPTLTVDMVVFCVEDAQLKVLLINRTAPPFQGEWALPGGYNAAGETTTQAVERVMKTKVGMDIGQRLGFFEQLVTVDTVARDPRGHAVSVVYLGCGYNL-SLSGGDCTHALWSVDSLPQVAFDHQEIIAYGRDRLIAKLSYSNAVSGLLGETFTLSQVQTAYEAVLGRFVDKRNFRKKFLRLGLVTETGDMWAEGAHRPAKLYRFNSSELEIFNFISL</f>
        <v>#NAME?</v>
      </c>
    </row>
    <row r="2630" spans="1:32" hidden="1" x14ac:dyDescent="0.35">
      <c r="A2630">
        <v>1914</v>
      </c>
      <c r="B2630" t="s">
        <v>3967</v>
      </c>
      <c r="C2630" t="s">
        <v>72</v>
      </c>
      <c r="D2630" t="s">
        <v>58</v>
      </c>
      <c r="E2630">
        <v>1059</v>
      </c>
      <c r="F2630">
        <v>5</v>
      </c>
      <c r="G2630">
        <v>5</v>
      </c>
      <c r="H2630">
        <v>1</v>
      </c>
      <c r="I2630">
        <v>1</v>
      </c>
      <c r="J2630">
        <v>0.75439494794333495</v>
      </c>
      <c r="K2630">
        <v>0.89302407638024195</v>
      </c>
      <c r="L2630">
        <v>0.81787674133438304</v>
      </c>
      <c r="M2630">
        <v>0.54090909090909101</v>
      </c>
      <c r="N2630">
        <v>1</v>
      </c>
      <c r="O2630">
        <v>0.65318181818181797</v>
      </c>
      <c r="P2630" t="s">
        <v>3968</v>
      </c>
      <c r="Q2630" t="s">
        <v>3969</v>
      </c>
      <c r="R2630" t="s">
        <v>3970</v>
      </c>
      <c r="S2630" t="s">
        <v>3971</v>
      </c>
      <c r="T2630" t="s">
        <v>3972</v>
      </c>
      <c r="U2630" t="s">
        <v>3973</v>
      </c>
      <c r="V2630" t="s">
        <v>3974</v>
      </c>
      <c r="W2630" t="s">
        <v>3975</v>
      </c>
      <c r="AD2630" t="s">
        <v>219</v>
      </c>
      <c r="AE2630" t="s">
        <v>3976</v>
      </c>
      <c r="AF2630" t="s">
        <v>3977</v>
      </c>
    </row>
    <row r="2631" spans="1:32" hidden="1" x14ac:dyDescent="0.35">
      <c r="A2631">
        <v>1915</v>
      </c>
      <c r="B2631" t="s">
        <v>3967</v>
      </c>
      <c r="C2631" t="s">
        <v>72</v>
      </c>
      <c r="D2631" t="s">
        <v>60</v>
      </c>
      <c r="E2631">
        <v>1431</v>
      </c>
      <c r="F2631">
        <v>5</v>
      </c>
      <c r="G2631">
        <v>5</v>
      </c>
      <c r="H2631">
        <v>1</v>
      </c>
      <c r="I2631">
        <v>1</v>
      </c>
      <c r="J2631">
        <v>0.75439494794333495</v>
      </c>
      <c r="K2631">
        <v>0.89302407638024195</v>
      </c>
      <c r="L2631">
        <v>0.81787674133438304</v>
      </c>
      <c r="M2631">
        <v>0.54090909090909101</v>
      </c>
      <c r="N2631">
        <v>1</v>
      </c>
      <c r="O2631">
        <v>0.65318181818181797</v>
      </c>
      <c r="P2631" t="s">
        <v>3968</v>
      </c>
      <c r="Q2631" t="s">
        <v>3969</v>
      </c>
      <c r="R2631" t="s">
        <v>3970</v>
      </c>
      <c r="S2631" t="s">
        <v>3971</v>
      </c>
      <c r="T2631" t="s">
        <v>3972</v>
      </c>
      <c r="U2631" t="s">
        <v>3973</v>
      </c>
      <c r="V2631" t="s">
        <v>3974</v>
      </c>
      <c r="W2631" t="s">
        <v>3975</v>
      </c>
      <c r="AD2631" t="s">
        <v>219</v>
      </c>
      <c r="AE2631" t="s">
        <v>3976</v>
      </c>
      <c r="AF2631" t="s">
        <v>3978</v>
      </c>
    </row>
    <row r="2632" spans="1:32" hidden="1" x14ac:dyDescent="0.35">
      <c r="A2632">
        <v>1916</v>
      </c>
      <c r="B2632" t="s">
        <v>3967</v>
      </c>
      <c r="C2632" t="s">
        <v>72</v>
      </c>
      <c r="D2632" t="s">
        <v>62</v>
      </c>
      <c r="E2632">
        <v>1466</v>
      </c>
      <c r="F2632">
        <v>5</v>
      </c>
      <c r="G2632">
        <v>5</v>
      </c>
      <c r="H2632">
        <v>1</v>
      </c>
      <c r="I2632">
        <v>1</v>
      </c>
      <c r="J2632">
        <v>0.75439494794333495</v>
      </c>
      <c r="K2632">
        <v>0.89302407638024195</v>
      </c>
      <c r="L2632">
        <v>0.81787674133438304</v>
      </c>
      <c r="M2632">
        <v>0.54090909090909101</v>
      </c>
      <c r="N2632">
        <v>1</v>
      </c>
      <c r="O2632">
        <v>0.65318181818181797</v>
      </c>
      <c r="P2632" t="s">
        <v>3968</v>
      </c>
      <c r="Q2632" t="s">
        <v>3969</v>
      </c>
      <c r="R2632" t="s">
        <v>3970</v>
      </c>
      <c r="S2632" t="s">
        <v>3971</v>
      </c>
      <c r="T2632" t="s">
        <v>3972</v>
      </c>
      <c r="U2632" t="s">
        <v>3973</v>
      </c>
      <c r="V2632" t="s">
        <v>3974</v>
      </c>
      <c r="W2632" t="s">
        <v>3975</v>
      </c>
      <c r="AD2632" t="s">
        <v>219</v>
      </c>
      <c r="AE2632" t="s">
        <v>3976</v>
      </c>
      <c r="AF2632" t="s">
        <v>3978</v>
      </c>
    </row>
    <row r="2633" spans="1:32" hidden="1" x14ac:dyDescent="0.35">
      <c r="A2633">
        <v>1917</v>
      </c>
      <c r="B2633" t="s">
        <v>3967</v>
      </c>
      <c r="C2633" t="s">
        <v>72</v>
      </c>
      <c r="D2633" t="s">
        <v>34</v>
      </c>
      <c r="E2633">
        <v>1857</v>
      </c>
      <c r="F2633">
        <v>5</v>
      </c>
      <c r="G2633">
        <v>5</v>
      </c>
      <c r="H2633">
        <v>1</v>
      </c>
      <c r="I2633">
        <v>1</v>
      </c>
      <c r="J2633">
        <v>0.75439494794333495</v>
      </c>
      <c r="K2633">
        <v>0.89302407638024195</v>
      </c>
      <c r="L2633">
        <v>0.81787674133438304</v>
      </c>
      <c r="M2633">
        <v>0.54090909090909101</v>
      </c>
      <c r="N2633">
        <v>1</v>
      </c>
      <c r="O2633">
        <v>0.65318181818181797</v>
      </c>
      <c r="P2633" t="s">
        <v>3968</v>
      </c>
      <c r="Q2633" t="s">
        <v>3969</v>
      </c>
      <c r="R2633" t="s">
        <v>3970</v>
      </c>
      <c r="S2633" t="s">
        <v>3971</v>
      </c>
      <c r="T2633" t="s">
        <v>3972</v>
      </c>
      <c r="U2633" t="s">
        <v>3973</v>
      </c>
      <c r="V2633" t="s">
        <v>3974</v>
      </c>
      <c r="W2633" t="s">
        <v>3975</v>
      </c>
      <c r="AD2633" t="s">
        <v>219</v>
      </c>
      <c r="AE2633" t="s">
        <v>3976</v>
      </c>
      <c r="AF2633" t="e">
        <f>----------------MSSTSNEEYVDRGAGDLDRLERLWAPYRMNYIVDKSDT-NGSGNTHTNPFVVIPTLSDEDGLIVARGTYVYCVLNLFPYNSGHMMVVPYREEPNLENLTPAESAELMAFAQAAIRVLKTASRPDACNVGFNLGRSAGGSVAQHLHLHIVPRWNGDSNFMTVISGTKVLPQLLRDTRNLLARTWAELAATDDSFPGAATTGDAHA</f>
        <v>#NAME?</v>
      </c>
    </row>
    <row r="2634" spans="1:32" hidden="1" x14ac:dyDescent="0.35">
      <c r="A2634">
        <v>1918</v>
      </c>
      <c r="B2634" t="s">
        <v>3967</v>
      </c>
      <c r="C2634" t="s">
        <v>72</v>
      </c>
      <c r="D2634" t="s">
        <v>45</v>
      </c>
      <c r="E2634">
        <v>1016</v>
      </c>
      <c r="F2634">
        <v>5</v>
      </c>
      <c r="G2634">
        <v>5</v>
      </c>
      <c r="H2634">
        <v>1</v>
      </c>
      <c r="I2634">
        <v>1</v>
      </c>
      <c r="J2634">
        <v>0.75439494794333495</v>
      </c>
      <c r="K2634">
        <v>0.89302407638024195</v>
      </c>
      <c r="L2634">
        <v>0.81787674133438304</v>
      </c>
      <c r="M2634">
        <v>0.54090909090909101</v>
      </c>
      <c r="N2634">
        <v>1</v>
      </c>
      <c r="O2634">
        <v>0.65318181818181797</v>
      </c>
      <c r="P2634" t="s">
        <v>3968</v>
      </c>
      <c r="Q2634" t="s">
        <v>3969</v>
      </c>
      <c r="R2634" t="s">
        <v>3970</v>
      </c>
      <c r="S2634" t="s">
        <v>3971</v>
      </c>
      <c r="T2634" t="s">
        <v>3972</v>
      </c>
      <c r="U2634" t="s">
        <v>3973</v>
      </c>
      <c r="V2634" t="s">
        <v>3974</v>
      </c>
      <c r="W2634" t="s">
        <v>3975</v>
      </c>
      <c r="AD2634" t="s">
        <v>219</v>
      </c>
      <c r="AE2634" t="s">
        <v>3976</v>
      </c>
      <c r="AF2634" t="e">
        <f>----------------MSSTSNEEYVDRGAGDLDRLERLWAPYRMNYIVDKSDT-NGSGNTHTNPFVVIPTLSDEDGLIVARGTYVYCVLNLFPYNSGHMMVVPYREEPNLENLTPAESAELMAFAQAAIRVLKTASRPDACNVGFNLGRSAGGSVAQHLHLHIVPRWNGDSNFMTVISGTKVLPQLLRDTRNLLARTWAELAAADDSFPGAATTGDAHA</f>
        <v>#NAME?</v>
      </c>
    </row>
    <row r="2635" spans="1:32" hidden="1" x14ac:dyDescent="0.35">
      <c r="A2635">
        <v>3889</v>
      </c>
      <c r="B2635" t="s">
        <v>8018</v>
      </c>
      <c r="C2635" t="s">
        <v>72</v>
      </c>
      <c r="D2635" t="s">
        <v>58</v>
      </c>
      <c r="E2635">
        <v>1656</v>
      </c>
      <c r="F2635">
        <v>5</v>
      </c>
      <c r="G2635">
        <v>5</v>
      </c>
      <c r="H2635">
        <v>1</v>
      </c>
      <c r="I2635">
        <v>1</v>
      </c>
      <c r="J2635">
        <v>0.76906628652886699</v>
      </c>
      <c r="K2635">
        <v>0.88555424528301996</v>
      </c>
      <c r="L2635">
        <v>0.82320979565496399</v>
      </c>
      <c r="M2635">
        <v>0.51249999999999996</v>
      </c>
      <c r="N2635">
        <v>0.98750000000000004</v>
      </c>
      <c r="O2635">
        <v>0.63624999999999998</v>
      </c>
      <c r="P2635" t="s">
        <v>3968</v>
      </c>
      <c r="Q2635" t="s">
        <v>3969</v>
      </c>
      <c r="R2635" t="s">
        <v>3970</v>
      </c>
      <c r="S2635" t="s">
        <v>3971</v>
      </c>
      <c r="T2635" t="s">
        <v>8019</v>
      </c>
      <c r="U2635" t="s">
        <v>8020</v>
      </c>
      <c r="V2635" t="s">
        <v>3974</v>
      </c>
      <c r="W2635" t="s">
        <v>3975</v>
      </c>
      <c r="AD2635" t="s">
        <v>8021</v>
      </c>
      <c r="AE2635" t="s">
        <v>8022</v>
      </c>
      <c r="AF2635" t="s">
        <v>8023</v>
      </c>
    </row>
    <row r="2636" spans="1:32" hidden="1" x14ac:dyDescent="0.35">
      <c r="A2636">
        <v>3890</v>
      </c>
      <c r="B2636" t="s">
        <v>8018</v>
      </c>
      <c r="C2636" t="s">
        <v>72</v>
      </c>
      <c r="D2636" t="s">
        <v>60</v>
      </c>
      <c r="E2636">
        <v>2243</v>
      </c>
      <c r="F2636">
        <v>5</v>
      </c>
      <c r="G2636">
        <v>5</v>
      </c>
      <c r="H2636">
        <v>1</v>
      </c>
      <c r="I2636">
        <v>1</v>
      </c>
      <c r="J2636">
        <v>0.76906628652886699</v>
      </c>
      <c r="K2636">
        <v>0.88555424528301996</v>
      </c>
      <c r="L2636">
        <v>0.82320979565496399</v>
      </c>
      <c r="M2636">
        <v>0.51249999999999996</v>
      </c>
      <c r="N2636">
        <v>0.98750000000000004</v>
      </c>
      <c r="O2636">
        <v>0.63624999999999998</v>
      </c>
      <c r="P2636" t="s">
        <v>3968</v>
      </c>
      <c r="Q2636" t="s">
        <v>3969</v>
      </c>
      <c r="R2636" t="s">
        <v>3970</v>
      </c>
      <c r="S2636" t="s">
        <v>3971</v>
      </c>
      <c r="T2636" t="s">
        <v>8019</v>
      </c>
      <c r="U2636" t="s">
        <v>8020</v>
      </c>
      <c r="V2636" t="s">
        <v>3974</v>
      </c>
      <c r="W2636" t="s">
        <v>3975</v>
      </c>
      <c r="AD2636" t="s">
        <v>8021</v>
      </c>
      <c r="AE2636" t="s">
        <v>8022</v>
      </c>
      <c r="AF2636" t="e">
        <f>-------------------MSSVFTKIINGELPGRFIYRDDTVAAFLTIEPLAYGHTLIVPVEEVDKWTDLAPNVWCEVNEVAQSIGRAVMEAFDAERAGYVIAGFDVPHAHIHVFPTNTMADYDFSKVIKADETDPALMDEAAEKLRAIMDTNEAGYAY</f>
        <v>#NAME?</v>
      </c>
    </row>
    <row r="2637" spans="1:32" hidden="1" x14ac:dyDescent="0.35">
      <c r="A2637">
        <v>3891</v>
      </c>
      <c r="B2637" t="s">
        <v>8018</v>
      </c>
      <c r="C2637" t="s">
        <v>72</v>
      </c>
      <c r="D2637" t="s">
        <v>62</v>
      </c>
      <c r="E2637">
        <v>2273</v>
      </c>
      <c r="F2637">
        <v>5</v>
      </c>
      <c r="G2637">
        <v>5</v>
      </c>
      <c r="H2637">
        <v>1</v>
      </c>
      <c r="I2637">
        <v>1</v>
      </c>
      <c r="J2637">
        <v>0.76906628652886699</v>
      </c>
      <c r="K2637">
        <v>0.88555424528301996</v>
      </c>
      <c r="L2637">
        <v>0.82320979565496399</v>
      </c>
      <c r="M2637">
        <v>0.51249999999999996</v>
      </c>
      <c r="N2637">
        <v>0.98750000000000004</v>
      </c>
      <c r="O2637">
        <v>0.63624999999999998</v>
      </c>
      <c r="P2637" t="s">
        <v>3968</v>
      </c>
      <c r="Q2637" t="s">
        <v>3969</v>
      </c>
      <c r="R2637" t="s">
        <v>3970</v>
      </c>
      <c r="S2637" t="s">
        <v>3971</v>
      </c>
      <c r="T2637" t="s">
        <v>8019</v>
      </c>
      <c r="U2637" t="s">
        <v>8020</v>
      </c>
      <c r="V2637" t="s">
        <v>3974</v>
      </c>
      <c r="W2637" t="s">
        <v>3975</v>
      </c>
      <c r="AD2637" t="s">
        <v>8021</v>
      </c>
      <c r="AE2637" t="s">
        <v>8022</v>
      </c>
      <c r="AF2637" t="e">
        <f>-------------------MSSVFTKIINGELPGRFIYRDDTVAAFLDIEPLTYGHTLIVPVQEVDKWTDLDPKVWCEVNEVAQSIGRAVMEAFDAERAGYVIAGFDVPHAHIHVFPTNTMADYDFSKVIKADETDPALMDEAAEKLRAIMDTNEAGYAY</f>
        <v>#NAME?</v>
      </c>
    </row>
    <row r="2638" spans="1:32" hidden="1" x14ac:dyDescent="0.35">
      <c r="A2638">
        <v>3892</v>
      </c>
      <c r="B2638" t="s">
        <v>8018</v>
      </c>
      <c r="C2638" t="s">
        <v>72</v>
      </c>
      <c r="D2638" t="s">
        <v>34</v>
      </c>
      <c r="E2638">
        <v>1554</v>
      </c>
      <c r="F2638">
        <v>5</v>
      </c>
      <c r="G2638">
        <v>5</v>
      </c>
      <c r="H2638">
        <v>1</v>
      </c>
      <c r="I2638">
        <v>1</v>
      </c>
      <c r="J2638">
        <v>0.76906628652886699</v>
      </c>
      <c r="K2638">
        <v>0.88555424528301996</v>
      </c>
      <c r="L2638">
        <v>0.82320979565496399</v>
      </c>
      <c r="M2638">
        <v>0.51249999999999996</v>
      </c>
      <c r="N2638">
        <v>0.98750000000000004</v>
      </c>
      <c r="O2638">
        <v>0.63624999999999998</v>
      </c>
      <c r="P2638" t="s">
        <v>3968</v>
      </c>
      <c r="Q2638" t="s">
        <v>3969</v>
      </c>
      <c r="R2638" t="s">
        <v>3970</v>
      </c>
      <c r="S2638" t="s">
        <v>3971</v>
      </c>
      <c r="T2638" t="s">
        <v>8019</v>
      </c>
      <c r="U2638" t="s">
        <v>8020</v>
      </c>
      <c r="V2638" t="s">
        <v>3974</v>
      </c>
      <c r="W2638" t="s">
        <v>3975</v>
      </c>
      <c r="AD2638" t="s">
        <v>8021</v>
      </c>
      <c r="AE2638" t="s">
        <v>8022</v>
      </c>
      <c r="AF2638" t="s">
        <v>8024</v>
      </c>
    </row>
    <row r="2639" spans="1:32" hidden="1" x14ac:dyDescent="0.35">
      <c r="A2639">
        <v>3893</v>
      </c>
      <c r="B2639" t="s">
        <v>8018</v>
      </c>
      <c r="C2639" t="s">
        <v>72</v>
      </c>
      <c r="D2639" t="s">
        <v>45</v>
      </c>
      <c r="E2639">
        <v>304</v>
      </c>
      <c r="F2639">
        <v>5</v>
      </c>
      <c r="G2639">
        <v>5</v>
      </c>
      <c r="H2639">
        <v>1</v>
      </c>
      <c r="I2639">
        <v>1</v>
      </c>
      <c r="J2639">
        <v>0.76906628652886699</v>
      </c>
      <c r="K2639">
        <v>0.88555424528301996</v>
      </c>
      <c r="L2639">
        <v>0.82320979565496399</v>
      </c>
      <c r="M2639">
        <v>0.51249999999999996</v>
      </c>
      <c r="N2639">
        <v>0.98750000000000004</v>
      </c>
      <c r="O2639">
        <v>0.63624999999999998</v>
      </c>
      <c r="P2639" t="s">
        <v>3968</v>
      </c>
      <c r="Q2639" t="s">
        <v>3969</v>
      </c>
      <c r="R2639" t="s">
        <v>3970</v>
      </c>
      <c r="S2639" t="s">
        <v>3971</v>
      </c>
      <c r="T2639" t="s">
        <v>8019</v>
      </c>
      <c r="U2639" t="s">
        <v>8020</v>
      </c>
      <c r="V2639" t="s">
        <v>3974</v>
      </c>
      <c r="W2639" t="s">
        <v>3975</v>
      </c>
      <c r="AD2639" t="s">
        <v>8021</v>
      </c>
      <c r="AE2639" t="s">
        <v>8022</v>
      </c>
      <c r="AF2639" t="s">
        <v>8025</v>
      </c>
    </row>
    <row r="2640" spans="1:32" hidden="1" x14ac:dyDescent="0.35">
      <c r="A2640">
        <v>889</v>
      </c>
      <c r="B2640" t="s">
        <v>1849</v>
      </c>
      <c r="C2640" t="s">
        <v>72</v>
      </c>
      <c r="D2640" t="s">
        <v>58</v>
      </c>
      <c r="E2640">
        <v>302</v>
      </c>
      <c r="F2640">
        <v>5</v>
      </c>
      <c r="G2640">
        <v>5</v>
      </c>
      <c r="H2640">
        <v>1</v>
      </c>
      <c r="I2640">
        <v>1</v>
      </c>
      <c r="J2640">
        <v>0.80718667835232205</v>
      </c>
      <c r="K2640">
        <v>0.85180334907685695</v>
      </c>
      <c r="L2640">
        <v>0.82889505612785697</v>
      </c>
      <c r="M2640">
        <v>0.53284671532846695</v>
      </c>
      <c r="N2640">
        <v>1</v>
      </c>
      <c r="O2640">
        <v>0.69781021897810203</v>
      </c>
      <c r="P2640" t="s">
        <v>1850</v>
      </c>
      <c r="Q2640" t="s">
        <v>1851</v>
      </c>
      <c r="R2640" t="s">
        <v>1852</v>
      </c>
      <c r="S2640" t="s">
        <v>1853</v>
      </c>
      <c r="V2640" t="s">
        <v>1854</v>
      </c>
      <c r="W2640" t="s">
        <v>1855</v>
      </c>
      <c r="X2640" t="s">
        <v>1854</v>
      </c>
      <c r="Y2640" t="s">
        <v>1856</v>
      </c>
      <c r="AF2640" t="s">
        <v>1857</v>
      </c>
    </row>
    <row r="2641" spans="1:32" hidden="1" x14ac:dyDescent="0.35">
      <c r="A2641">
        <v>892</v>
      </c>
      <c r="B2641" t="s">
        <v>1849</v>
      </c>
      <c r="C2641" t="s">
        <v>72</v>
      </c>
      <c r="D2641" t="s">
        <v>34</v>
      </c>
      <c r="E2641">
        <v>2436</v>
      </c>
      <c r="F2641">
        <v>5</v>
      </c>
      <c r="G2641">
        <v>5</v>
      </c>
      <c r="H2641">
        <v>1</v>
      </c>
      <c r="I2641">
        <v>1</v>
      </c>
      <c r="J2641">
        <v>0.80718667835232205</v>
      </c>
      <c r="K2641">
        <v>0.85180334907685695</v>
      </c>
      <c r="L2641">
        <v>0.82889505612785697</v>
      </c>
      <c r="M2641">
        <v>0.53284671532846695</v>
      </c>
      <c r="N2641">
        <v>1</v>
      </c>
      <c r="O2641">
        <v>0.69781021897810203</v>
      </c>
      <c r="P2641" t="s">
        <v>1850</v>
      </c>
      <c r="Q2641" t="s">
        <v>1851</v>
      </c>
      <c r="R2641" t="s">
        <v>1852</v>
      </c>
      <c r="S2641" t="s">
        <v>1853</v>
      </c>
      <c r="V2641" t="s">
        <v>1854</v>
      </c>
      <c r="W2641" t="s">
        <v>1855</v>
      </c>
      <c r="X2641" t="s">
        <v>1854</v>
      </c>
      <c r="Y2641" t="s">
        <v>1856</v>
      </c>
      <c r="AF2641" t="e">
        <f>------------MST---------IHPDRKKRVRTALRWFSIAAWVTGVWLLILTTRMIAQYLLGISIPSWAHYIGQVHGLFYILYLLATLNLGTKALWPPLRWVVTALAGCIPFLSFFVERWRRQEVTEKFQLDQP</f>
        <v>#NAME?</v>
      </c>
    </row>
    <row r="2642" spans="1:32" hidden="1" x14ac:dyDescent="0.35">
      <c r="A2642">
        <v>893</v>
      </c>
      <c r="B2642" t="s">
        <v>1849</v>
      </c>
      <c r="C2642" t="s">
        <v>72</v>
      </c>
      <c r="D2642" t="s">
        <v>45</v>
      </c>
      <c r="E2642">
        <v>466</v>
      </c>
      <c r="F2642">
        <v>5</v>
      </c>
      <c r="G2642">
        <v>5</v>
      </c>
      <c r="H2642">
        <v>1</v>
      </c>
      <c r="I2642">
        <v>1</v>
      </c>
      <c r="J2642">
        <v>0.80718667835232205</v>
      </c>
      <c r="K2642">
        <v>0.85180334907685695</v>
      </c>
      <c r="L2642">
        <v>0.82889505612785697</v>
      </c>
      <c r="M2642">
        <v>0.53284671532846695</v>
      </c>
      <c r="N2642">
        <v>1</v>
      </c>
      <c r="O2642">
        <v>0.69781021897810203</v>
      </c>
      <c r="P2642" t="s">
        <v>1850</v>
      </c>
      <c r="Q2642" t="s">
        <v>1851</v>
      </c>
      <c r="R2642" t="s">
        <v>1852</v>
      </c>
      <c r="S2642" t="s">
        <v>1853</v>
      </c>
      <c r="V2642" t="s">
        <v>1854</v>
      </c>
      <c r="W2642" t="s">
        <v>1855</v>
      </c>
      <c r="X2642" t="s">
        <v>1854</v>
      </c>
      <c r="Y2642" t="s">
        <v>1856</v>
      </c>
      <c r="AF2642" t="e">
        <f>------------MST---------IHPDRKKRVRTALRWFSIAAWVTGVWLLILTTRMIAQYLLGMSIPSWAHYIGQVHGLFYILYLLATLNLGTKALWPPLRWVVTALAGCIPFLSFFVERWRRQEVTEKFQLDQP</f>
        <v>#NAME?</v>
      </c>
    </row>
    <row r="2643" spans="1:32" hidden="1" x14ac:dyDescent="0.35">
      <c r="A2643">
        <v>4069</v>
      </c>
      <c r="B2643" t="s">
        <v>8407</v>
      </c>
      <c r="C2643" t="s">
        <v>72</v>
      </c>
      <c r="D2643" t="s">
        <v>58</v>
      </c>
      <c r="E2643">
        <v>1562</v>
      </c>
      <c r="F2643">
        <v>5</v>
      </c>
      <c r="G2643">
        <v>5</v>
      </c>
      <c r="H2643">
        <v>1</v>
      </c>
      <c r="I2643">
        <v>1</v>
      </c>
      <c r="J2643">
        <v>0.91749427043544696</v>
      </c>
      <c r="K2643">
        <v>0.98436769890829201</v>
      </c>
      <c r="L2643">
        <v>0.94975528014972299</v>
      </c>
      <c r="M2643">
        <v>0.84398496240601495</v>
      </c>
      <c r="N2643">
        <v>0.99248120300751896</v>
      </c>
      <c r="O2643">
        <v>0.88120300751879699</v>
      </c>
      <c r="P2643" t="s">
        <v>3484</v>
      </c>
      <c r="Q2643" t="s">
        <v>3485</v>
      </c>
      <c r="R2643" t="s">
        <v>1852</v>
      </c>
      <c r="S2643" t="s">
        <v>1853</v>
      </c>
      <c r="T2643" t="s">
        <v>8408</v>
      </c>
      <c r="U2643" t="s">
        <v>8409</v>
      </c>
      <c r="V2643" t="s">
        <v>1854</v>
      </c>
      <c r="W2643" t="s">
        <v>1855</v>
      </c>
      <c r="X2643" t="s">
        <v>1854</v>
      </c>
      <c r="Y2643" t="s">
        <v>1856</v>
      </c>
      <c r="Z2643" t="s">
        <v>5732</v>
      </c>
      <c r="AA2643" t="s">
        <v>5733</v>
      </c>
      <c r="AB2643" t="s">
        <v>5732</v>
      </c>
      <c r="AC2643" t="s">
        <v>713</v>
      </c>
      <c r="AD2643" t="s">
        <v>3948</v>
      </c>
      <c r="AE2643" t="s">
        <v>8410</v>
      </c>
      <c r="AF2643" t="s">
        <v>8411</v>
      </c>
    </row>
    <row r="2644" spans="1:32" hidden="1" x14ac:dyDescent="0.35">
      <c r="A2644">
        <v>4070</v>
      </c>
      <c r="B2644" t="s">
        <v>8407</v>
      </c>
      <c r="C2644" t="s">
        <v>72</v>
      </c>
      <c r="D2644" t="s">
        <v>60</v>
      </c>
      <c r="E2644">
        <v>458</v>
      </c>
      <c r="F2644">
        <v>5</v>
      </c>
      <c r="G2644">
        <v>5</v>
      </c>
      <c r="H2644">
        <v>1</v>
      </c>
      <c r="I2644">
        <v>1</v>
      </c>
      <c r="J2644">
        <v>0.91749427043544696</v>
      </c>
      <c r="K2644">
        <v>0.98436769890829201</v>
      </c>
      <c r="L2644">
        <v>0.94975528014972299</v>
      </c>
      <c r="M2644">
        <v>0.84398496240601495</v>
      </c>
      <c r="N2644">
        <v>0.99248120300751896</v>
      </c>
      <c r="O2644">
        <v>0.88120300751879699</v>
      </c>
      <c r="P2644" t="s">
        <v>3484</v>
      </c>
      <c r="Q2644" t="s">
        <v>3485</v>
      </c>
      <c r="R2644" t="s">
        <v>1852</v>
      </c>
      <c r="S2644" t="s">
        <v>1853</v>
      </c>
      <c r="T2644" t="s">
        <v>8408</v>
      </c>
      <c r="U2644" t="s">
        <v>8409</v>
      </c>
      <c r="V2644" t="s">
        <v>1854</v>
      </c>
      <c r="W2644" t="s">
        <v>1855</v>
      </c>
      <c r="X2644" t="s">
        <v>1854</v>
      </c>
      <c r="Y2644" t="s">
        <v>1856</v>
      </c>
      <c r="Z2644" t="s">
        <v>5732</v>
      </c>
      <c r="AA2644" t="s">
        <v>5733</v>
      </c>
      <c r="AB2644" t="s">
        <v>5732</v>
      </c>
      <c r="AC2644" t="s">
        <v>713</v>
      </c>
      <c r="AD2644" t="s">
        <v>3948</v>
      </c>
      <c r="AE2644" t="s">
        <v>8410</v>
      </c>
      <c r="AF2644" t="s">
        <v>8412</v>
      </c>
    </row>
    <row r="2645" spans="1:32" hidden="1" x14ac:dyDescent="0.35">
      <c r="A2645">
        <v>4071</v>
      </c>
      <c r="B2645" t="s">
        <v>8407</v>
      </c>
      <c r="C2645" t="s">
        <v>72</v>
      </c>
      <c r="D2645" t="s">
        <v>62</v>
      </c>
      <c r="E2645">
        <v>540</v>
      </c>
      <c r="F2645">
        <v>5</v>
      </c>
      <c r="G2645">
        <v>5</v>
      </c>
      <c r="H2645">
        <v>1</v>
      </c>
      <c r="I2645">
        <v>1</v>
      </c>
      <c r="J2645">
        <v>0.91749427043544696</v>
      </c>
      <c r="K2645">
        <v>0.98436769890829201</v>
      </c>
      <c r="L2645">
        <v>0.94975528014972299</v>
      </c>
      <c r="M2645">
        <v>0.84398496240601495</v>
      </c>
      <c r="N2645">
        <v>0.99248120300751896</v>
      </c>
      <c r="O2645">
        <v>0.88120300751879699</v>
      </c>
      <c r="P2645" t="s">
        <v>3484</v>
      </c>
      <c r="Q2645" t="s">
        <v>3485</v>
      </c>
      <c r="R2645" t="s">
        <v>1852</v>
      </c>
      <c r="S2645" t="s">
        <v>1853</v>
      </c>
      <c r="T2645" t="s">
        <v>8408</v>
      </c>
      <c r="U2645" t="s">
        <v>8409</v>
      </c>
      <c r="V2645" t="s">
        <v>1854</v>
      </c>
      <c r="W2645" t="s">
        <v>1855</v>
      </c>
      <c r="X2645" t="s">
        <v>1854</v>
      </c>
      <c r="Y2645" t="s">
        <v>1856</v>
      </c>
      <c r="Z2645" t="s">
        <v>5732</v>
      </c>
      <c r="AA2645" t="s">
        <v>5733</v>
      </c>
      <c r="AB2645" t="s">
        <v>5732</v>
      </c>
      <c r="AC2645" t="s">
        <v>713</v>
      </c>
      <c r="AD2645" t="s">
        <v>3948</v>
      </c>
      <c r="AE2645" t="s">
        <v>8410</v>
      </c>
      <c r="AF2645" t="s">
        <v>8413</v>
      </c>
    </row>
    <row r="2646" spans="1:32" hidden="1" x14ac:dyDescent="0.35">
      <c r="A2646">
        <v>4072</v>
      </c>
      <c r="B2646" t="s">
        <v>8407</v>
      </c>
      <c r="C2646" t="s">
        <v>72</v>
      </c>
      <c r="D2646" t="s">
        <v>34</v>
      </c>
      <c r="E2646">
        <v>612</v>
      </c>
      <c r="F2646">
        <v>5</v>
      </c>
      <c r="G2646">
        <v>5</v>
      </c>
      <c r="H2646">
        <v>1</v>
      </c>
      <c r="I2646">
        <v>1</v>
      </c>
      <c r="J2646">
        <v>0.91749427043544696</v>
      </c>
      <c r="K2646">
        <v>0.98436769890829201</v>
      </c>
      <c r="L2646">
        <v>0.94975528014972299</v>
      </c>
      <c r="M2646">
        <v>0.84398496240601495</v>
      </c>
      <c r="N2646">
        <v>0.99248120300751896</v>
      </c>
      <c r="O2646">
        <v>0.88120300751879699</v>
      </c>
      <c r="P2646" t="s">
        <v>3484</v>
      </c>
      <c r="Q2646" t="s">
        <v>3485</v>
      </c>
      <c r="R2646" t="s">
        <v>1852</v>
      </c>
      <c r="S2646" t="s">
        <v>1853</v>
      </c>
      <c r="T2646" t="s">
        <v>8408</v>
      </c>
      <c r="U2646" t="s">
        <v>8409</v>
      </c>
      <c r="V2646" t="s">
        <v>1854</v>
      </c>
      <c r="W2646" t="s">
        <v>1855</v>
      </c>
      <c r="X2646" t="s">
        <v>1854</v>
      </c>
      <c r="Y2646" t="s">
        <v>1856</v>
      </c>
      <c r="Z2646" t="s">
        <v>5732</v>
      </c>
      <c r="AA2646" t="s">
        <v>5733</v>
      </c>
      <c r="AB2646" t="s">
        <v>5732</v>
      </c>
      <c r="AC2646" t="s">
        <v>713</v>
      </c>
      <c r="AD2646" t="s">
        <v>3948</v>
      </c>
      <c r="AE2646" t="s">
        <v>8410</v>
      </c>
      <c r="AF2646" t="s">
        <v>8414</v>
      </c>
    </row>
    <row r="2647" spans="1:32" hidden="1" x14ac:dyDescent="0.35">
      <c r="A2647">
        <v>4073</v>
      </c>
      <c r="B2647" t="s">
        <v>8407</v>
      </c>
      <c r="C2647" t="s">
        <v>72</v>
      </c>
      <c r="D2647" t="s">
        <v>45</v>
      </c>
      <c r="E2647">
        <v>1879</v>
      </c>
      <c r="F2647">
        <v>5</v>
      </c>
      <c r="G2647">
        <v>5</v>
      </c>
      <c r="H2647">
        <v>1</v>
      </c>
      <c r="I2647">
        <v>1</v>
      </c>
      <c r="J2647">
        <v>0.91749427043544696</v>
      </c>
      <c r="K2647">
        <v>0.98436769890829201</v>
      </c>
      <c r="L2647">
        <v>0.94975528014972299</v>
      </c>
      <c r="M2647">
        <v>0.84398496240601495</v>
      </c>
      <c r="N2647">
        <v>0.99248120300751896</v>
      </c>
      <c r="O2647">
        <v>0.88120300751879699</v>
      </c>
      <c r="P2647" t="s">
        <v>3484</v>
      </c>
      <c r="Q2647" t="s">
        <v>3485</v>
      </c>
      <c r="R2647" t="s">
        <v>1852</v>
      </c>
      <c r="S2647" t="s">
        <v>1853</v>
      </c>
      <c r="T2647" t="s">
        <v>8408</v>
      </c>
      <c r="U2647" t="s">
        <v>8409</v>
      </c>
      <c r="V2647" t="s">
        <v>1854</v>
      </c>
      <c r="W2647" t="s">
        <v>1855</v>
      </c>
      <c r="X2647" t="s">
        <v>1854</v>
      </c>
      <c r="Y2647" t="s">
        <v>1856</v>
      </c>
      <c r="Z2647" t="s">
        <v>5732</v>
      </c>
      <c r="AA2647" t="s">
        <v>5733</v>
      </c>
      <c r="AB2647" t="s">
        <v>5732</v>
      </c>
      <c r="AC2647" t="s">
        <v>713</v>
      </c>
      <c r="AD2647" t="s">
        <v>3948</v>
      </c>
      <c r="AE2647" t="s">
        <v>8410</v>
      </c>
      <c r="AF2647" t="s">
        <v>8415</v>
      </c>
    </row>
    <row r="2648" spans="1:32" hidden="1" x14ac:dyDescent="0.35">
      <c r="A2648">
        <v>2764</v>
      </c>
      <c r="B2648" t="s">
        <v>5723</v>
      </c>
      <c r="C2648" t="s">
        <v>72</v>
      </c>
      <c r="D2648" t="s">
        <v>58</v>
      </c>
      <c r="E2648">
        <v>1564</v>
      </c>
      <c r="F2648">
        <v>5</v>
      </c>
      <c r="G2648">
        <v>5</v>
      </c>
      <c r="H2648">
        <v>1</v>
      </c>
      <c r="I2648">
        <v>1</v>
      </c>
      <c r="J2648">
        <v>0.91123832083168799</v>
      </c>
      <c r="K2648">
        <v>0.99724720060879701</v>
      </c>
      <c r="L2648">
        <v>0.952304698493046</v>
      </c>
      <c r="M2648">
        <v>0.82283464566929099</v>
      </c>
      <c r="N2648">
        <v>1</v>
      </c>
      <c r="O2648">
        <v>0.87303149606299202</v>
      </c>
      <c r="P2648" t="s">
        <v>5724</v>
      </c>
      <c r="Q2648" t="s">
        <v>5725</v>
      </c>
      <c r="R2648" t="s">
        <v>5726</v>
      </c>
      <c r="S2648" t="s">
        <v>5727</v>
      </c>
      <c r="T2648" t="s">
        <v>5728</v>
      </c>
      <c r="U2648" t="s">
        <v>5729</v>
      </c>
      <c r="V2648" t="s">
        <v>5730</v>
      </c>
      <c r="W2648" t="s">
        <v>5731</v>
      </c>
      <c r="X2648" t="s">
        <v>5730</v>
      </c>
      <c r="Y2648" t="s">
        <v>710</v>
      </c>
      <c r="Z2648" t="s">
        <v>5732</v>
      </c>
      <c r="AA2648" t="s">
        <v>5733</v>
      </c>
      <c r="AB2648" t="s">
        <v>5732</v>
      </c>
      <c r="AC2648" t="s">
        <v>713</v>
      </c>
      <c r="AD2648" t="s">
        <v>5734</v>
      </c>
      <c r="AE2648" t="s">
        <v>5735</v>
      </c>
      <c r="AF2648" t="s">
        <v>5736</v>
      </c>
    </row>
    <row r="2649" spans="1:32" hidden="1" x14ac:dyDescent="0.35">
      <c r="A2649">
        <v>2765</v>
      </c>
      <c r="B2649" t="s">
        <v>5723</v>
      </c>
      <c r="C2649" t="s">
        <v>72</v>
      </c>
      <c r="D2649" t="s">
        <v>60</v>
      </c>
      <c r="E2649">
        <v>408</v>
      </c>
      <c r="F2649">
        <v>5</v>
      </c>
      <c r="G2649">
        <v>5</v>
      </c>
      <c r="H2649">
        <v>1</v>
      </c>
      <c r="I2649">
        <v>1</v>
      </c>
      <c r="J2649">
        <v>0.91123832083168799</v>
      </c>
      <c r="K2649">
        <v>0.99724720060879701</v>
      </c>
      <c r="L2649">
        <v>0.952304698493046</v>
      </c>
      <c r="M2649">
        <v>0.82283464566929099</v>
      </c>
      <c r="N2649">
        <v>1</v>
      </c>
      <c r="O2649">
        <v>0.87303149606299202</v>
      </c>
      <c r="P2649" t="s">
        <v>5724</v>
      </c>
      <c r="Q2649" t="s">
        <v>5725</v>
      </c>
      <c r="R2649" t="s">
        <v>5726</v>
      </c>
      <c r="S2649" t="s">
        <v>5727</v>
      </c>
      <c r="T2649" t="s">
        <v>5728</v>
      </c>
      <c r="U2649" t="s">
        <v>5729</v>
      </c>
      <c r="V2649" t="s">
        <v>5730</v>
      </c>
      <c r="W2649" t="s">
        <v>5731</v>
      </c>
      <c r="X2649" t="s">
        <v>5730</v>
      </c>
      <c r="Y2649" t="s">
        <v>710</v>
      </c>
      <c r="Z2649" t="s">
        <v>5732</v>
      </c>
      <c r="AA2649" t="s">
        <v>5733</v>
      </c>
      <c r="AB2649" t="s">
        <v>5732</v>
      </c>
      <c r="AC2649" t="s">
        <v>713</v>
      </c>
      <c r="AD2649" t="s">
        <v>5734</v>
      </c>
      <c r="AE2649" t="s">
        <v>5735</v>
      </c>
      <c r="AF2649" t="s">
        <v>5737</v>
      </c>
    </row>
    <row r="2650" spans="1:32" hidden="1" x14ac:dyDescent="0.35">
      <c r="A2650">
        <v>2766</v>
      </c>
      <c r="B2650" t="s">
        <v>5723</v>
      </c>
      <c r="C2650" t="s">
        <v>72</v>
      </c>
      <c r="D2650" t="s">
        <v>62</v>
      </c>
      <c r="E2650">
        <v>489</v>
      </c>
      <c r="F2650">
        <v>5</v>
      </c>
      <c r="G2650">
        <v>5</v>
      </c>
      <c r="H2650">
        <v>1</v>
      </c>
      <c r="I2650">
        <v>1</v>
      </c>
      <c r="J2650">
        <v>0.91123832083168799</v>
      </c>
      <c r="K2650">
        <v>0.99724720060879701</v>
      </c>
      <c r="L2650">
        <v>0.952304698493046</v>
      </c>
      <c r="M2650">
        <v>0.82283464566929099</v>
      </c>
      <c r="N2650">
        <v>1</v>
      </c>
      <c r="O2650">
        <v>0.87303149606299202</v>
      </c>
      <c r="P2650" t="s">
        <v>5724</v>
      </c>
      <c r="Q2650" t="s">
        <v>5725</v>
      </c>
      <c r="R2650" t="s">
        <v>5726</v>
      </c>
      <c r="S2650" t="s">
        <v>5727</v>
      </c>
      <c r="T2650" t="s">
        <v>5728</v>
      </c>
      <c r="U2650" t="s">
        <v>5729</v>
      </c>
      <c r="V2650" t="s">
        <v>5730</v>
      </c>
      <c r="W2650" t="s">
        <v>5731</v>
      </c>
      <c r="X2650" t="s">
        <v>5730</v>
      </c>
      <c r="Y2650" t="s">
        <v>710</v>
      </c>
      <c r="Z2650" t="s">
        <v>5732</v>
      </c>
      <c r="AA2650" t="s">
        <v>5733</v>
      </c>
      <c r="AB2650" t="s">
        <v>5732</v>
      </c>
      <c r="AC2650" t="s">
        <v>713</v>
      </c>
      <c r="AD2650" t="s">
        <v>5734</v>
      </c>
      <c r="AE2650" t="s">
        <v>5735</v>
      </c>
      <c r="AF2650" t="s">
        <v>5738</v>
      </c>
    </row>
    <row r="2651" spans="1:32" hidden="1" x14ac:dyDescent="0.35">
      <c r="A2651">
        <v>2767</v>
      </c>
      <c r="B2651" t="s">
        <v>5723</v>
      </c>
      <c r="C2651" t="s">
        <v>72</v>
      </c>
      <c r="D2651" t="s">
        <v>34</v>
      </c>
      <c r="E2651">
        <v>616</v>
      </c>
      <c r="F2651">
        <v>5</v>
      </c>
      <c r="G2651">
        <v>5</v>
      </c>
      <c r="H2651">
        <v>1</v>
      </c>
      <c r="I2651">
        <v>1</v>
      </c>
      <c r="J2651">
        <v>0.91123832083168799</v>
      </c>
      <c r="K2651">
        <v>0.99724720060879701</v>
      </c>
      <c r="L2651">
        <v>0.952304698493046</v>
      </c>
      <c r="M2651">
        <v>0.82283464566929099</v>
      </c>
      <c r="N2651">
        <v>1</v>
      </c>
      <c r="O2651">
        <v>0.87303149606299202</v>
      </c>
      <c r="P2651" t="s">
        <v>5724</v>
      </c>
      <c r="Q2651" t="s">
        <v>5725</v>
      </c>
      <c r="R2651" t="s">
        <v>5726</v>
      </c>
      <c r="S2651" t="s">
        <v>5727</v>
      </c>
      <c r="T2651" t="s">
        <v>5728</v>
      </c>
      <c r="U2651" t="s">
        <v>5729</v>
      </c>
      <c r="V2651" t="s">
        <v>5730</v>
      </c>
      <c r="W2651" t="s">
        <v>5731</v>
      </c>
      <c r="X2651" t="s">
        <v>5730</v>
      </c>
      <c r="Y2651" t="s">
        <v>710</v>
      </c>
      <c r="Z2651" t="s">
        <v>5732</v>
      </c>
      <c r="AA2651" t="s">
        <v>5733</v>
      </c>
      <c r="AB2651" t="s">
        <v>5732</v>
      </c>
      <c r="AC2651" t="s">
        <v>713</v>
      </c>
      <c r="AD2651" t="s">
        <v>5734</v>
      </c>
      <c r="AE2651" t="s">
        <v>5735</v>
      </c>
      <c r="AF2651" t="s">
        <v>5739</v>
      </c>
    </row>
    <row r="2652" spans="1:32" hidden="1" x14ac:dyDescent="0.35">
      <c r="A2652">
        <v>2768</v>
      </c>
      <c r="B2652" t="s">
        <v>5723</v>
      </c>
      <c r="C2652" t="s">
        <v>72</v>
      </c>
      <c r="D2652" t="s">
        <v>45</v>
      </c>
      <c r="E2652">
        <v>1883</v>
      </c>
      <c r="F2652">
        <v>5</v>
      </c>
      <c r="G2652">
        <v>5</v>
      </c>
      <c r="H2652">
        <v>1</v>
      </c>
      <c r="I2652">
        <v>1</v>
      </c>
      <c r="J2652">
        <v>0.91123832083168799</v>
      </c>
      <c r="K2652">
        <v>0.99724720060879701</v>
      </c>
      <c r="L2652">
        <v>0.952304698493046</v>
      </c>
      <c r="M2652">
        <v>0.82283464566929099</v>
      </c>
      <c r="N2652">
        <v>1</v>
      </c>
      <c r="O2652">
        <v>0.87303149606299202</v>
      </c>
      <c r="P2652" t="s">
        <v>5724</v>
      </c>
      <c r="Q2652" t="s">
        <v>5725</v>
      </c>
      <c r="R2652" t="s">
        <v>5726</v>
      </c>
      <c r="S2652" t="s">
        <v>5727</v>
      </c>
      <c r="T2652" t="s">
        <v>5728</v>
      </c>
      <c r="U2652" t="s">
        <v>5729</v>
      </c>
      <c r="V2652" t="s">
        <v>5730</v>
      </c>
      <c r="W2652" t="s">
        <v>5731</v>
      </c>
      <c r="X2652" t="s">
        <v>5730</v>
      </c>
      <c r="Y2652" t="s">
        <v>710</v>
      </c>
      <c r="Z2652" t="s">
        <v>5732</v>
      </c>
      <c r="AA2652" t="s">
        <v>5733</v>
      </c>
      <c r="AB2652" t="s">
        <v>5732</v>
      </c>
      <c r="AC2652" t="s">
        <v>713</v>
      </c>
      <c r="AD2652" t="s">
        <v>5734</v>
      </c>
      <c r="AE2652" t="s">
        <v>5735</v>
      </c>
      <c r="AF2652" t="s">
        <v>5739</v>
      </c>
    </row>
    <row r="2653" spans="1:32" hidden="1" x14ac:dyDescent="0.35">
      <c r="A2653">
        <v>2864</v>
      </c>
      <c r="B2653" t="s">
        <v>5920</v>
      </c>
      <c r="C2653" t="s">
        <v>72</v>
      </c>
      <c r="D2653" t="s">
        <v>58</v>
      </c>
      <c r="E2653">
        <v>657</v>
      </c>
      <c r="F2653">
        <v>5</v>
      </c>
      <c r="G2653">
        <v>5</v>
      </c>
      <c r="H2653">
        <v>1</v>
      </c>
      <c r="I2653">
        <v>1</v>
      </c>
      <c r="J2653">
        <v>0.75968013468013496</v>
      </c>
      <c r="K2653">
        <v>0.96100211844892902</v>
      </c>
      <c r="L2653">
        <v>0.84856366414376905</v>
      </c>
      <c r="M2653">
        <v>0.56363636363636405</v>
      </c>
      <c r="N2653">
        <v>1</v>
      </c>
      <c r="O2653">
        <v>0.68727272727272704</v>
      </c>
      <c r="P2653" t="s">
        <v>5921</v>
      </c>
      <c r="Q2653" t="s">
        <v>5922</v>
      </c>
      <c r="R2653" t="s">
        <v>5726</v>
      </c>
      <c r="S2653" t="s">
        <v>5727</v>
      </c>
      <c r="T2653" t="s">
        <v>5923</v>
      </c>
      <c r="U2653" t="s">
        <v>5924</v>
      </c>
      <c r="V2653" t="s">
        <v>5925</v>
      </c>
      <c r="W2653" t="s">
        <v>5926</v>
      </c>
      <c r="AD2653" t="s">
        <v>191</v>
      </c>
      <c r="AE2653" t="s">
        <v>5927</v>
      </c>
      <c r="AF2653" t="s">
        <v>5928</v>
      </c>
    </row>
    <row r="2654" spans="1:32" hidden="1" x14ac:dyDescent="0.35">
      <c r="A2654">
        <v>2865</v>
      </c>
      <c r="B2654" t="s">
        <v>5920</v>
      </c>
      <c r="C2654" t="s">
        <v>72</v>
      </c>
      <c r="D2654" t="s">
        <v>60</v>
      </c>
      <c r="E2654">
        <v>846</v>
      </c>
      <c r="F2654">
        <v>5</v>
      </c>
      <c r="G2654">
        <v>5</v>
      </c>
      <c r="H2654">
        <v>1</v>
      </c>
      <c r="I2654">
        <v>1</v>
      </c>
      <c r="J2654">
        <v>0.75968013468013496</v>
      </c>
      <c r="K2654">
        <v>0.96100211844892902</v>
      </c>
      <c r="L2654">
        <v>0.84856366414376905</v>
      </c>
      <c r="M2654">
        <v>0.56363636363636405</v>
      </c>
      <c r="N2654">
        <v>1</v>
      </c>
      <c r="O2654">
        <v>0.68727272727272704</v>
      </c>
      <c r="P2654" t="s">
        <v>5921</v>
      </c>
      <c r="Q2654" t="s">
        <v>5922</v>
      </c>
      <c r="R2654" t="s">
        <v>5726</v>
      </c>
      <c r="S2654" t="s">
        <v>5727</v>
      </c>
      <c r="T2654" t="s">
        <v>5923</v>
      </c>
      <c r="U2654" t="s">
        <v>5924</v>
      </c>
      <c r="V2654" t="s">
        <v>5925</v>
      </c>
      <c r="W2654" t="s">
        <v>5926</v>
      </c>
      <c r="AD2654" t="s">
        <v>191</v>
      </c>
      <c r="AE2654" t="s">
        <v>5927</v>
      </c>
      <c r="AF2654" t="s">
        <v>5929</v>
      </c>
    </row>
    <row r="2655" spans="1:32" hidden="1" x14ac:dyDescent="0.35">
      <c r="A2655">
        <v>2866</v>
      </c>
      <c r="B2655" t="s">
        <v>5920</v>
      </c>
      <c r="C2655" t="s">
        <v>72</v>
      </c>
      <c r="D2655" t="s">
        <v>62</v>
      </c>
      <c r="E2655">
        <v>880</v>
      </c>
      <c r="F2655">
        <v>5</v>
      </c>
      <c r="G2655">
        <v>5</v>
      </c>
      <c r="H2655">
        <v>1</v>
      </c>
      <c r="I2655">
        <v>1</v>
      </c>
      <c r="J2655">
        <v>0.75968013468013496</v>
      </c>
      <c r="K2655">
        <v>0.96100211844892902</v>
      </c>
      <c r="L2655">
        <v>0.84856366414376905</v>
      </c>
      <c r="M2655">
        <v>0.56363636363636405</v>
      </c>
      <c r="N2655">
        <v>1</v>
      </c>
      <c r="O2655">
        <v>0.68727272727272704</v>
      </c>
      <c r="P2655" t="s">
        <v>5921</v>
      </c>
      <c r="Q2655" t="s">
        <v>5922</v>
      </c>
      <c r="R2655" t="s">
        <v>5726</v>
      </c>
      <c r="S2655" t="s">
        <v>5727</v>
      </c>
      <c r="T2655" t="s">
        <v>5923</v>
      </c>
      <c r="U2655" t="s">
        <v>5924</v>
      </c>
      <c r="V2655" t="s">
        <v>5925</v>
      </c>
      <c r="W2655" t="s">
        <v>5926</v>
      </c>
      <c r="AD2655" t="s">
        <v>191</v>
      </c>
      <c r="AE2655" t="s">
        <v>5927</v>
      </c>
      <c r="AF2655" t="s">
        <v>5929</v>
      </c>
    </row>
    <row r="2656" spans="1:32" hidden="1" x14ac:dyDescent="0.35">
      <c r="A2656">
        <v>2867</v>
      </c>
      <c r="B2656" t="s">
        <v>5920</v>
      </c>
      <c r="C2656" t="s">
        <v>72</v>
      </c>
      <c r="D2656" t="s">
        <v>34</v>
      </c>
      <c r="E2656">
        <v>300</v>
      </c>
      <c r="F2656">
        <v>5</v>
      </c>
      <c r="G2656">
        <v>5</v>
      </c>
      <c r="H2656">
        <v>1</v>
      </c>
      <c r="I2656">
        <v>1</v>
      </c>
      <c r="J2656">
        <v>0.75968013468013496</v>
      </c>
      <c r="K2656">
        <v>0.96100211844892902</v>
      </c>
      <c r="L2656">
        <v>0.84856366414376905</v>
      </c>
      <c r="M2656">
        <v>0.56363636363636405</v>
      </c>
      <c r="N2656">
        <v>1</v>
      </c>
      <c r="O2656">
        <v>0.68727272727272704</v>
      </c>
      <c r="P2656" t="s">
        <v>5921</v>
      </c>
      <c r="Q2656" t="s">
        <v>5922</v>
      </c>
      <c r="R2656" t="s">
        <v>5726</v>
      </c>
      <c r="S2656" t="s">
        <v>5727</v>
      </c>
      <c r="T2656" t="s">
        <v>5923</v>
      </c>
      <c r="U2656" t="s">
        <v>5924</v>
      </c>
      <c r="V2656" t="s">
        <v>5925</v>
      </c>
      <c r="W2656" t="s">
        <v>5926</v>
      </c>
      <c r="AD2656" t="s">
        <v>191</v>
      </c>
      <c r="AE2656" t="s">
        <v>5927</v>
      </c>
      <c r="AF2656" t="s">
        <v>5930</v>
      </c>
    </row>
    <row r="2657" spans="1:32" hidden="1" x14ac:dyDescent="0.35">
      <c r="A2657">
        <v>2868</v>
      </c>
      <c r="B2657" t="s">
        <v>5920</v>
      </c>
      <c r="C2657" t="s">
        <v>72</v>
      </c>
      <c r="D2657" t="s">
        <v>45</v>
      </c>
      <c r="E2657">
        <v>1562</v>
      </c>
      <c r="F2657">
        <v>5</v>
      </c>
      <c r="G2657">
        <v>5</v>
      </c>
      <c r="H2657">
        <v>1</v>
      </c>
      <c r="I2657">
        <v>1</v>
      </c>
      <c r="J2657">
        <v>0.75968013468013496</v>
      </c>
      <c r="K2657">
        <v>0.96100211844892902</v>
      </c>
      <c r="L2657">
        <v>0.84856366414376905</v>
      </c>
      <c r="M2657">
        <v>0.56363636363636405</v>
      </c>
      <c r="N2657">
        <v>1</v>
      </c>
      <c r="O2657">
        <v>0.68727272727272704</v>
      </c>
      <c r="P2657" t="s">
        <v>5921</v>
      </c>
      <c r="Q2657" t="s">
        <v>5922</v>
      </c>
      <c r="R2657" t="s">
        <v>5726</v>
      </c>
      <c r="S2657" t="s">
        <v>5727</v>
      </c>
      <c r="T2657" t="s">
        <v>5923</v>
      </c>
      <c r="U2657" t="s">
        <v>5924</v>
      </c>
      <c r="V2657" t="s">
        <v>5925</v>
      </c>
      <c r="W2657" t="s">
        <v>5926</v>
      </c>
      <c r="AD2657" t="s">
        <v>191</v>
      </c>
      <c r="AE2657" t="s">
        <v>5927</v>
      </c>
      <c r="AF2657" t="s">
        <v>5931</v>
      </c>
    </row>
    <row r="2658" spans="1:32" hidden="1" x14ac:dyDescent="0.35">
      <c r="A2658">
        <v>3804</v>
      </c>
      <c r="B2658" t="s">
        <v>7860</v>
      </c>
      <c r="C2658" t="s">
        <v>72</v>
      </c>
      <c r="D2658" t="s">
        <v>58</v>
      </c>
      <c r="E2658">
        <v>1226</v>
      </c>
      <c r="F2658">
        <v>5</v>
      </c>
      <c r="G2658">
        <v>5</v>
      </c>
      <c r="H2658">
        <v>1</v>
      </c>
      <c r="I2658">
        <v>1</v>
      </c>
      <c r="J2658">
        <v>0.71152288375860695</v>
      </c>
      <c r="K2658">
        <v>0.94218256242324805</v>
      </c>
      <c r="L2658">
        <v>0.81076645830764504</v>
      </c>
      <c r="M2658">
        <v>0.5</v>
      </c>
      <c r="N2658">
        <v>0.994285714285714</v>
      </c>
      <c r="O2658">
        <v>0.621428571428571</v>
      </c>
      <c r="P2658" t="s">
        <v>7861</v>
      </c>
      <c r="Q2658" t="s">
        <v>7862</v>
      </c>
      <c r="R2658" t="s">
        <v>5726</v>
      </c>
      <c r="S2658" t="s">
        <v>5727</v>
      </c>
      <c r="T2658" t="s">
        <v>7863</v>
      </c>
      <c r="U2658" t="s">
        <v>7864</v>
      </c>
      <c r="V2658" t="s">
        <v>7865</v>
      </c>
      <c r="W2658" t="s">
        <v>7866</v>
      </c>
      <c r="AD2658" t="s">
        <v>219</v>
      </c>
      <c r="AE2658" t="s">
        <v>7867</v>
      </c>
      <c r="AF2658" t="s">
        <v>7868</v>
      </c>
    </row>
    <row r="2659" spans="1:32" hidden="1" x14ac:dyDescent="0.35">
      <c r="A2659">
        <v>3805</v>
      </c>
      <c r="B2659" t="s">
        <v>7860</v>
      </c>
      <c r="C2659" t="s">
        <v>72</v>
      </c>
      <c r="D2659" t="s">
        <v>60</v>
      </c>
      <c r="E2659">
        <v>1708</v>
      </c>
      <c r="F2659">
        <v>5</v>
      </c>
      <c r="G2659">
        <v>5</v>
      </c>
      <c r="H2659">
        <v>1</v>
      </c>
      <c r="I2659">
        <v>1</v>
      </c>
      <c r="J2659">
        <v>0.71152288375860695</v>
      </c>
      <c r="K2659">
        <v>0.94218256242324805</v>
      </c>
      <c r="L2659">
        <v>0.81076645830764504</v>
      </c>
      <c r="M2659">
        <v>0.5</v>
      </c>
      <c r="N2659">
        <v>0.994285714285714</v>
      </c>
      <c r="O2659">
        <v>0.621428571428571</v>
      </c>
      <c r="P2659" t="s">
        <v>7861</v>
      </c>
      <c r="Q2659" t="s">
        <v>7862</v>
      </c>
      <c r="R2659" t="s">
        <v>5726</v>
      </c>
      <c r="S2659" t="s">
        <v>5727</v>
      </c>
      <c r="T2659" t="s">
        <v>7863</v>
      </c>
      <c r="U2659" t="s">
        <v>7864</v>
      </c>
      <c r="V2659" t="s">
        <v>7865</v>
      </c>
      <c r="W2659" t="s">
        <v>7866</v>
      </c>
      <c r="AD2659" t="s">
        <v>219</v>
      </c>
      <c r="AE2659" t="s">
        <v>7867</v>
      </c>
      <c r="AF2659" t="s">
        <v>7869</v>
      </c>
    </row>
    <row r="2660" spans="1:32" hidden="1" x14ac:dyDescent="0.35">
      <c r="A2660">
        <v>3806</v>
      </c>
      <c r="B2660" t="s">
        <v>7860</v>
      </c>
      <c r="C2660" t="s">
        <v>72</v>
      </c>
      <c r="D2660" t="s">
        <v>62</v>
      </c>
      <c r="E2660">
        <v>1743</v>
      </c>
      <c r="F2660">
        <v>5</v>
      </c>
      <c r="G2660">
        <v>5</v>
      </c>
      <c r="H2660">
        <v>1</v>
      </c>
      <c r="I2660">
        <v>1</v>
      </c>
      <c r="J2660">
        <v>0.71152288375860695</v>
      </c>
      <c r="K2660">
        <v>0.94218256242324805</v>
      </c>
      <c r="L2660">
        <v>0.81076645830764504</v>
      </c>
      <c r="M2660">
        <v>0.5</v>
      </c>
      <c r="N2660">
        <v>0.994285714285714</v>
      </c>
      <c r="O2660">
        <v>0.621428571428571</v>
      </c>
      <c r="P2660" t="s">
        <v>7861</v>
      </c>
      <c r="Q2660" t="s">
        <v>7862</v>
      </c>
      <c r="R2660" t="s">
        <v>5726</v>
      </c>
      <c r="S2660" t="s">
        <v>5727</v>
      </c>
      <c r="T2660" t="s">
        <v>7863</v>
      </c>
      <c r="U2660" t="s">
        <v>7864</v>
      </c>
      <c r="V2660" t="s">
        <v>7865</v>
      </c>
      <c r="W2660" t="s">
        <v>7866</v>
      </c>
      <c r="AD2660" t="s">
        <v>219</v>
      </c>
      <c r="AE2660" t="s">
        <v>7867</v>
      </c>
      <c r="AF2660" t="s">
        <v>7870</v>
      </c>
    </row>
    <row r="2661" spans="1:32" hidden="1" x14ac:dyDescent="0.35">
      <c r="A2661">
        <v>3807</v>
      </c>
      <c r="B2661" t="s">
        <v>7860</v>
      </c>
      <c r="C2661" t="s">
        <v>72</v>
      </c>
      <c r="D2661" t="s">
        <v>34</v>
      </c>
      <c r="E2661">
        <v>2084</v>
      </c>
      <c r="F2661">
        <v>5</v>
      </c>
      <c r="G2661">
        <v>5</v>
      </c>
      <c r="H2661">
        <v>1</v>
      </c>
      <c r="I2661">
        <v>1</v>
      </c>
      <c r="J2661">
        <v>0.71152288375860695</v>
      </c>
      <c r="K2661">
        <v>0.94218256242324805</v>
      </c>
      <c r="L2661">
        <v>0.81076645830764504</v>
      </c>
      <c r="M2661">
        <v>0.5</v>
      </c>
      <c r="N2661">
        <v>0.994285714285714</v>
      </c>
      <c r="O2661">
        <v>0.621428571428571</v>
      </c>
      <c r="P2661" t="s">
        <v>7861</v>
      </c>
      <c r="Q2661" t="s">
        <v>7862</v>
      </c>
      <c r="R2661" t="s">
        <v>5726</v>
      </c>
      <c r="S2661" t="s">
        <v>5727</v>
      </c>
      <c r="T2661" t="s">
        <v>7863</v>
      </c>
      <c r="U2661" t="s">
        <v>7864</v>
      </c>
      <c r="V2661" t="s">
        <v>7865</v>
      </c>
      <c r="W2661" t="s">
        <v>7866</v>
      </c>
      <c r="AD2661" t="s">
        <v>219</v>
      </c>
      <c r="AE2661" t="s">
        <v>7867</v>
      </c>
      <c r="AF2661" t="e">
        <f>---MTNLQQLHQRYQEFCTRYPNAAADFLGAIEDVLSDAGLTYDHVTARVKEWRSLRSKSRKRRPDGTPMYPHPWQDIHDLIGVRVTTYHSTEIPRIIEALTEVFEVRRSVDKTAQTRVSGSFGYGSHHLILRVPPARVAPVLQAYAGREFEVQIRTVLQHAWAEFEHDIRYKRRGNTGKLAPEVDRAFTLAAGLIELADQQFDLIAAQQSTTD------TTAPIDLDVKFTAETLPGIIALLHGNTIPQSRLEHYHWLEELLHAHGLTTVAQLTELMSPANLERVKTALHYTFQPGQVRIIDDLLLAAFGEEHIAKTGTTGNFPAQRPARLRHRLALINAAQAGEGRFK</f>
        <v>#NAME?</v>
      </c>
    </row>
    <row r="2662" spans="1:32" hidden="1" x14ac:dyDescent="0.35">
      <c r="A2662">
        <v>3808</v>
      </c>
      <c r="B2662" t="s">
        <v>7860</v>
      </c>
      <c r="C2662" t="s">
        <v>72</v>
      </c>
      <c r="D2662" t="s">
        <v>45</v>
      </c>
      <c r="E2662">
        <v>788</v>
      </c>
      <c r="F2662">
        <v>5</v>
      </c>
      <c r="G2662">
        <v>5</v>
      </c>
      <c r="H2662">
        <v>1</v>
      </c>
      <c r="I2662">
        <v>1</v>
      </c>
      <c r="J2662">
        <v>0.71152288375860695</v>
      </c>
      <c r="K2662">
        <v>0.94218256242324805</v>
      </c>
      <c r="L2662">
        <v>0.81076645830764504</v>
      </c>
      <c r="M2662">
        <v>0.5</v>
      </c>
      <c r="N2662">
        <v>0.994285714285714</v>
      </c>
      <c r="O2662">
        <v>0.621428571428571</v>
      </c>
      <c r="P2662" t="s">
        <v>7861</v>
      </c>
      <c r="Q2662" t="s">
        <v>7862</v>
      </c>
      <c r="R2662" t="s">
        <v>5726</v>
      </c>
      <c r="S2662" t="s">
        <v>5727</v>
      </c>
      <c r="T2662" t="s">
        <v>7863</v>
      </c>
      <c r="U2662" t="s">
        <v>7864</v>
      </c>
      <c r="V2662" t="s">
        <v>7865</v>
      </c>
      <c r="W2662" t="s">
        <v>7866</v>
      </c>
      <c r="AD2662" t="s">
        <v>219</v>
      </c>
      <c r="AE2662" t="s">
        <v>7867</v>
      </c>
      <c r="AF2662" t="e">
        <f>---MTNLQQLHQRYQEFCTRYPNAAADFLGAIEDVLSDAGLTYDHVTARVKEWRSLRSKSRKRRPDGTPMYPHPWQDIHDLIGVRVTTYHSTEIPRIIEALTEVFEVRRSVDKTAQTRVSGSFGYGSHHLILRVPPARVAPVLQAYAGREFEVQIRTVLQHAWAEFEHDIRYKRHGNTGKLAPEVDRAFTLAAGLIELADQQFDLIAAQQSATD------TTAPIDLDVKFTAETLPGIIALLHGNTIPQSRLEHYHWLEELLHAHGLTTVAQLTELMSPANLERVKTALHYTFQPGQVRIIDDLLLAAFGEEHIAKTGTTGNFPAQRPARLRHRLALINAAQAGEGRFK</f>
        <v>#NAME?</v>
      </c>
    </row>
    <row r="2663" spans="1:32" hidden="1" x14ac:dyDescent="0.35">
      <c r="A2663">
        <v>125</v>
      </c>
      <c r="B2663" t="s">
        <v>201</v>
      </c>
      <c r="C2663" t="s">
        <v>72</v>
      </c>
      <c r="D2663" t="s">
        <v>58</v>
      </c>
      <c r="E2663">
        <v>877</v>
      </c>
      <c r="F2663">
        <v>5</v>
      </c>
      <c r="G2663">
        <v>9</v>
      </c>
      <c r="H2663">
        <v>2</v>
      </c>
      <c r="I2663">
        <v>0</v>
      </c>
      <c r="J2663">
        <v>0.654994471065241</v>
      </c>
      <c r="K2663">
        <v>0.66860895156984401</v>
      </c>
      <c r="L2663">
        <v>0.66173169258072195</v>
      </c>
      <c r="M2663">
        <v>8.9385474860335198E-2</v>
      </c>
      <c r="N2663">
        <v>0.99860335195530703</v>
      </c>
      <c r="O2663">
        <v>0.54360645561762899</v>
      </c>
      <c r="P2663" t="s">
        <v>202</v>
      </c>
      <c r="Q2663" t="s">
        <v>203</v>
      </c>
      <c r="R2663" t="s">
        <v>204</v>
      </c>
      <c r="S2663" t="s">
        <v>205</v>
      </c>
      <c r="T2663" t="s">
        <v>206</v>
      </c>
      <c r="U2663" t="s">
        <v>207</v>
      </c>
      <c r="V2663" t="s">
        <v>208</v>
      </c>
      <c r="W2663" t="s">
        <v>209</v>
      </c>
      <c r="AD2663" t="s">
        <v>210</v>
      </c>
      <c r="AE2663" t="s">
        <v>211</v>
      </c>
      <c r="AF2663" t="s">
        <v>212</v>
      </c>
    </row>
    <row r="2664" spans="1:32" hidden="1" x14ac:dyDescent="0.35">
      <c r="A2664">
        <v>69</v>
      </c>
      <c r="B2664" t="s">
        <v>93</v>
      </c>
      <c r="C2664" t="s">
        <v>72</v>
      </c>
      <c r="D2664" t="s">
        <v>58</v>
      </c>
      <c r="E2664">
        <v>1710</v>
      </c>
      <c r="F2664">
        <v>5</v>
      </c>
      <c r="G2664">
        <v>10</v>
      </c>
      <c r="H2664">
        <v>2</v>
      </c>
      <c r="I2664">
        <v>0</v>
      </c>
      <c r="J2664">
        <v>0.78384279475982499</v>
      </c>
      <c r="K2664">
        <v>0.98272698129904101</v>
      </c>
      <c r="L2664">
        <v>0.872089485449975</v>
      </c>
      <c r="M2664">
        <v>0.53916211293260496</v>
      </c>
      <c r="N2664">
        <v>1</v>
      </c>
      <c r="O2664">
        <v>0.70370370370370405</v>
      </c>
      <c r="P2664" t="s">
        <v>94</v>
      </c>
      <c r="Q2664" t="s">
        <v>95</v>
      </c>
      <c r="R2664" t="s">
        <v>96</v>
      </c>
      <c r="S2664" t="s">
        <v>97</v>
      </c>
      <c r="T2664" t="s">
        <v>98</v>
      </c>
      <c r="U2664" t="s">
        <v>99</v>
      </c>
      <c r="V2664" t="s">
        <v>100</v>
      </c>
      <c r="W2664" t="s">
        <v>101</v>
      </c>
      <c r="AD2664" t="s">
        <v>102</v>
      </c>
      <c r="AE2664" t="s">
        <v>103</v>
      </c>
      <c r="AF2664" t="s">
        <v>104</v>
      </c>
    </row>
    <row r="2665" spans="1:32" hidden="1" x14ac:dyDescent="0.35">
      <c r="A2665">
        <v>70</v>
      </c>
      <c r="B2665" t="s">
        <v>93</v>
      </c>
      <c r="C2665" t="s">
        <v>72</v>
      </c>
      <c r="D2665" t="s">
        <v>58</v>
      </c>
      <c r="E2665">
        <v>1568</v>
      </c>
      <c r="F2665">
        <v>5</v>
      </c>
      <c r="G2665">
        <v>10</v>
      </c>
      <c r="H2665">
        <v>2</v>
      </c>
      <c r="I2665">
        <v>0</v>
      </c>
      <c r="J2665">
        <v>0.78384279475982499</v>
      </c>
      <c r="K2665">
        <v>0.98272698129904101</v>
      </c>
      <c r="L2665">
        <v>0.872089485449975</v>
      </c>
      <c r="M2665">
        <v>0.53916211293260496</v>
      </c>
      <c r="N2665">
        <v>1</v>
      </c>
      <c r="O2665">
        <v>0.70370370370370405</v>
      </c>
      <c r="P2665" t="s">
        <v>94</v>
      </c>
      <c r="Q2665" t="s">
        <v>95</v>
      </c>
      <c r="R2665" t="s">
        <v>96</v>
      </c>
      <c r="S2665" t="s">
        <v>97</v>
      </c>
      <c r="T2665" t="s">
        <v>98</v>
      </c>
      <c r="U2665" t="s">
        <v>99</v>
      </c>
      <c r="V2665" t="s">
        <v>100</v>
      </c>
      <c r="W2665" t="s">
        <v>101</v>
      </c>
      <c r="AD2665" t="s">
        <v>102</v>
      </c>
      <c r="AE2665" t="s">
        <v>103</v>
      </c>
      <c r="AF2665" t="s">
        <v>105</v>
      </c>
    </row>
    <row r="2666" spans="1:32" hidden="1" x14ac:dyDescent="0.35">
      <c r="A2666">
        <v>71</v>
      </c>
      <c r="B2666" t="s">
        <v>93</v>
      </c>
      <c r="C2666" t="s">
        <v>72</v>
      </c>
      <c r="D2666" t="s">
        <v>60</v>
      </c>
      <c r="E2666">
        <v>2306</v>
      </c>
      <c r="F2666">
        <v>5</v>
      </c>
      <c r="G2666">
        <v>10</v>
      </c>
      <c r="H2666">
        <v>2</v>
      </c>
      <c r="I2666">
        <v>0</v>
      </c>
      <c r="J2666">
        <v>0.78384279475982499</v>
      </c>
      <c r="K2666">
        <v>0.98272698129904101</v>
      </c>
      <c r="L2666">
        <v>0.872089485449975</v>
      </c>
      <c r="M2666">
        <v>0.53916211293260496</v>
      </c>
      <c r="N2666">
        <v>1</v>
      </c>
      <c r="O2666">
        <v>0.70370370370370405</v>
      </c>
      <c r="P2666" t="s">
        <v>94</v>
      </c>
      <c r="Q2666" t="s">
        <v>95</v>
      </c>
      <c r="R2666" t="s">
        <v>96</v>
      </c>
      <c r="S2666" t="s">
        <v>97</v>
      </c>
      <c r="T2666" t="s">
        <v>98</v>
      </c>
      <c r="U2666" t="s">
        <v>99</v>
      </c>
      <c r="V2666" t="s">
        <v>100</v>
      </c>
      <c r="W2666" t="s">
        <v>101</v>
      </c>
      <c r="AD2666" t="s">
        <v>102</v>
      </c>
      <c r="AE2666" t="s">
        <v>103</v>
      </c>
      <c r="AF2666" t="s">
        <v>106</v>
      </c>
    </row>
    <row r="2667" spans="1:32" hidden="1" x14ac:dyDescent="0.35">
      <c r="A2667">
        <v>72</v>
      </c>
      <c r="B2667" t="s">
        <v>93</v>
      </c>
      <c r="C2667" t="s">
        <v>72</v>
      </c>
      <c r="D2667" t="s">
        <v>60</v>
      </c>
      <c r="E2667">
        <v>404</v>
      </c>
      <c r="F2667">
        <v>5</v>
      </c>
      <c r="G2667">
        <v>10</v>
      </c>
      <c r="H2667">
        <v>2</v>
      </c>
      <c r="I2667">
        <v>0</v>
      </c>
      <c r="J2667">
        <v>0.78384279475982499</v>
      </c>
      <c r="K2667">
        <v>0.98272698129904101</v>
      </c>
      <c r="L2667">
        <v>0.872089485449975</v>
      </c>
      <c r="M2667">
        <v>0.53916211293260496</v>
      </c>
      <c r="N2667">
        <v>1</v>
      </c>
      <c r="O2667">
        <v>0.70370370370370405</v>
      </c>
      <c r="P2667" t="s">
        <v>94</v>
      </c>
      <c r="Q2667" t="s">
        <v>95</v>
      </c>
      <c r="R2667" t="s">
        <v>96</v>
      </c>
      <c r="S2667" t="s">
        <v>97</v>
      </c>
      <c r="T2667" t="s">
        <v>98</v>
      </c>
      <c r="U2667" t="s">
        <v>99</v>
      </c>
      <c r="V2667" t="s">
        <v>100</v>
      </c>
      <c r="W2667" t="s">
        <v>101</v>
      </c>
      <c r="AD2667" t="s">
        <v>102</v>
      </c>
      <c r="AE2667" t="s">
        <v>103</v>
      </c>
      <c r="AF2667" t="s">
        <v>107</v>
      </c>
    </row>
    <row r="2668" spans="1:32" hidden="1" x14ac:dyDescent="0.35">
      <c r="A2668">
        <v>73</v>
      </c>
      <c r="B2668" t="s">
        <v>93</v>
      </c>
      <c r="C2668" t="s">
        <v>72</v>
      </c>
      <c r="D2668" t="s">
        <v>62</v>
      </c>
      <c r="E2668">
        <v>2335</v>
      </c>
      <c r="F2668">
        <v>5</v>
      </c>
      <c r="G2668">
        <v>10</v>
      </c>
      <c r="H2668">
        <v>2</v>
      </c>
      <c r="I2668">
        <v>0</v>
      </c>
      <c r="J2668">
        <v>0.78384279475982499</v>
      </c>
      <c r="K2668">
        <v>0.98272698129904101</v>
      </c>
      <c r="L2668">
        <v>0.872089485449975</v>
      </c>
      <c r="M2668">
        <v>0.53916211293260496</v>
      </c>
      <c r="N2668">
        <v>1</v>
      </c>
      <c r="O2668">
        <v>0.70370370370370405</v>
      </c>
      <c r="P2668" t="s">
        <v>94</v>
      </c>
      <c r="Q2668" t="s">
        <v>95</v>
      </c>
      <c r="R2668" t="s">
        <v>96</v>
      </c>
      <c r="S2668" t="s">
        <v>97</v>
      </c>
      <c r="T2668" t="s">
        <v>98</v>
      </c>
      <c r="U2668" t="s">
        <v>99</v>
      </c>
      <c r="V2668" t="s">
        <v>100</v>
      </c>
      <c r="W2668" t="s">
        <v>101</v>
      </c>
      <c r="AD2668" t="s">
        <v>102</v>
      </c>
      <c r="AE2668" t="s">
        <v>103</v>
      </c>
      <c r="AF2668" t="s">
        <v>106</v>
      </c>
    </row>
    <row r="2669" spans="1:32" hidden="1" x14ac:dyDescent="0.35">
      <c r="A2669">
        <v>74</v>
      </c>
      <c r="B2669" t="s">
        <v>93</v>
      </c>
      <c r="C2669" t="s">
        <v>72</v>
      </c>
      <c r="D2669" t="s">
        <v>62</v>
      </c>
      <c r="E2669">
        <v>485</v>
      </c>
      <c r="F2669">
        <v>5</v>
      </c>
      <c r="G2669">
        <v>10</v>
      </c>
      <c r="H2669">
        <v>2</v>
      </c>
      <c r="I2669">
        <v>0</v>
      </c>
      <c r="J2669">
        <v>0.78384279475982499</v>
      </c>
      <c r="K2669">
        <v>0.98272698129904101</v>
      </c>
      <c r="L2669">
        <v>0.872089485449975</v>
      </c>
      <c r="M2669">
        <v>0.53916211293260496</v>
      </c>
      <c r="N2669">
        <v>1</v>
      </c>
      <c r="O2669">
        <v>0.70370370370370405</v>
      </c>
      <c r="P2669" t="s">
        <v>94</v>
      </c>
      <c r="Q2669" t="s">
        <v>95</v>
      </c>
      <c r="R2669" t="s">
        <v>96</v>
      </c>
      <c r="S2669" t="s">
        <v>97</v>
      </c>
      <c r="T2669" t="s">
        <v>98</v>
      </c>
      <c r="U2669" t="s">
        <v>99</v>
      </c>
      <c r="V2669" t="s">
        <v>100</v>
      </c>
      <c r="W2669" t="s">
        <v>101</v>
      </c>
      <c r="AD2669" t="s">
        <v>102</v>
      </c>
      <c r="AE2669" t="s">
        <v>103</v>
      </c>
      <c r="AF2669" t="s">
        <v>107</v>
      </c>
    </row>
    <row r="2670" spans="1:32" hidden="1" x14ac:dyDescent="0.35">
      <c r="A2670">
        <v>75</v>
      </c>
      <c r="B2670" t="s">
        <v>93</v>
      </c>
      <c r="C2670" t="s">
        <v>72</v>
      </c>
      <c r="D2670" t="s">
        <v>34</v>
      </c>
      <c r="E2670">
        <v>1485</v>
      </c>
      <c r="F2670">
        <v>5</v>
      </c>
      <c r="G2670">
        <v>10</v>
      </c>
      <c r="H2670">
        <v>2</v>
      </c>
      <c r="I2670">
        <v>0</v>
      </c>
      <c r="J2670">
        <v>0.78384279475982499</v>
      </c>
      <c r="K2670">
        <v>0.98272698129904101</v>
      </c>
      <c r="L2670">
        <v>0.872089485449975</v>
      </c>
      <c r="M2670">
        <v>0.53916211293260496</v>
      </c>
      <c r="N2670">
        <v>1</v>
      </c>
      <c r="O2670">
        <v>0.70370370370370405</v>
      </c>
      <c r="P2670" t="s">
        <v>94</v>
      </c>
      <c r="Q2670" t="s">
        <v>95</v>
      </c>
      <c r="R2670" t="s">
        <v>96</v>
      </c>
      <c r="S2670" t="s">
        <v>97</v>
      </c>
      <c r="T2670" t="s">
        <v>98</v>
      </c>
      <c r="U2670" t="s">
        <v>99</v>
      </c>
      <c r="V2670" t="s">
        <v>100</v>
      </c>
      <c r="W2670" t="s">
        <v>101</v>
      </c>
      <c r="AD2670" t="s">
        <v>102</v>
      </c>
      <c r="AE2670" t="s">
        <v>103</v>
      </c>
      <c r="AF2670" t="s">
        <v>108</v>
      </c>
    </row>
    <row r="2671" spans="1:32" hidden="1" x14ac:dyDescent="0.35">
      <c r="A2671">
        <v>76</v>
      </c>
      <c r="B2671" t="s">
        <v>93</v>
      </c>
      <c r="C2671" t="s">
        <v>72</v>
      </c>
      <c r="D2671" t="s">
        <v>34</v>
      </c>
      <c r="E2671">
        <v>620</v>
      </c>
      <c r="F2671">
        <v>5</v>
      </c>
      <c r="G2671">
        <v>10</v>
      </c>
      <c r="H2671">
        <v>2</v>
      </c>
      <c r="I2671">
        <v>0</v>
      </c>
      <c r="J2671">
        <v>0.78384279475982499</v>
      </c>
      <c r="K2671">
        <v>0.98272698129904101</v>
      </c>
      <c r="L2671">
        <v>0.872089485449975</v>
      </c>
      <c r="M2671">
        <v>0.53916211293260496</v>
      </c>
      <c r="N2671">
        <v>1</v>
      </c>
      <c r="O2671">
        <v>0.70370370370370405</v>
      </c>
      <c r="P2671" t="s">
        <v>94</v>
      </c>
      <c r="Q2671" t="s">
        <v>95</v>
      </c>
      <c r="R2671" t="s">
        <v>96</v>
      </c>
      <c r="S2671" t="s">
        <v>97</v>
      </c>
      <c r="T2671" t="s">
        <v>98</v>
      </c>
      <c r="U2671" t="s">
        <v>99</v>
      </c>
      <c r="V2671" t="s">
        <v>100</v>
      </c>
      <c r="W2671" t="s">
        <v>101</v>
      </c>
      <c r="AD2671" t="s">
        <v>102</v>
      </c>
      <c r="AE2671" t="s">
        <v>103</v>
      </c>
      <c r="AF2671" t="s">
        <v>109</v>
      </c>
    </row>
    <row r="2672" spans="1:32" hidden="1" x14ac:dyDescent="0.35">
      <c r="A2672">
        <v>77</v>
      </c>
      <c r="B2672" t="s">
        <v>93</v>
      </c>
      <c r="C2672" t="s">
        <v>72</v>
      </c>
      <c r="D2672" t="s">
        <v>45</v>
      </c>
      <c r="E2672">
        <v>235</v>
      </c>
      <c r="F2672">
        <v>5</v>
      </c>
      <c r="G2672">
        <v>10</v>
      </c>
      <c r="H2672">
        <v>2</v>
      </c>
      <c r="I2672">
        <v>0</v>
      </c>
      <c r="J2672">
        <v>0.78384279475982499</v>
      </c>
      <c r="K2672">
        <v>0.98272698129904101</v>
      </c>
      <c r="L2672">
        <v>0.872089485449975</v>
      </c>
      <c r="M2672">
        <v>0.53916211293260496</v>
      </c>
      <c r="N2672">
        <v>1</v>
      </c>
      <c r="O2672">
        <v>0.70370370370370405</v>
      </c>
      <c r="P2672" t="s">
        <v>94</v>
      </c>
      <c r="Q2672" t="s">
        <v>95</v>
      </c>
      <c r="R2672" t="s">
        <v>96</v>
      </c>
      <c r="S2672" t="s">
        <v>97</v>
      </c>
      <c r="T2672" t="s">
        <v>98</v>
      </c>
      <c r="U2672" t="s">
        <v>99</v>
      </c>
      <c r="V2672" t="s">
        <v>100</v>
      </c>
      <c r="W2672" t="s">
        <v>101</v>
      </c>
      <c r="AD2672" t="s">
        <v>102</v>
      </c>
      <c r="AE2672" t="s">
        <v>103</v>
      </c>
      <c r="AF2672" t="s">
        <v>108</v>
      </c>
    </row>
    <row r="2673" spans="1:32" hidden="1" x14ac:dyDescent="0.35">
      <c r="A2673">
        <v>78</v>
      </c>
      <c r="B2673" t="s">
        <v>93</v>
      </c>
      <c r="C2673" t="s">
        <v>72</v>
      </c>
      <c r="D2673" t="s">
        <v>45</v>
      </c>
      <c r="E2673">
        <v>1887</v>
      </c>
      <c r="F2673">
        <v>5</v>
      </c>
      <c r="G2673">
        <v>10</v>
      </c>
      <c r="H2673">
        <v>2</v>
      </c>
      <c r="I2673">
        <v>0</v>
      </c>
      <c r="J2673">
        <v>0.78384279475982499</v>
      </c>
      <c r="K2673">
        <v>0.98272698129904101</v>
      </c>
      <c r="L2673">
        <v>0.872089485449975</v>
      </c>
      <c r="M2673">
        <v>0.53916211293260496</v>
      </c>
      <c r="N2673">
        <v>1</v>
      </c>
      <c r="O2673">
        <v>0.70370370370370405</v>
      </c>
      <c r="P2673" t="s">
        <v>94</v>
      </c>
      <c r="Q2673" t="s">
        <v>95</v>
      </c>
      <c r="R2673" t="s">
        <v>96</v>
      </c>
      <c r="S2673" t="s">
        <v>97</v>
      </c>
      <c r="T2673" t="s">
        <v>98</v>
      </c>
      <c r="U2673" t="s">
        <v>99</v>
      </c>
      <c r="V2673" t="s">
        <v>100</v>
      </c>
      <c r="W2673" t="s">
        <v>101</v>
      </c>
      <c r="AD2673" t="s">
        <v>102</v>
      </c>
      <c r="AE2673" t="s">
        <v>103</v>
      </c>
      <c r="AF2673" t="s">
        <v>109</v>
      </c>
    </row>
    <row r="2674" spans="1:32" hidden="1" x14ac:dyDescent="0.35">
      <c r="A2674">
        <v>325</v>
      </c>
      <c r="B2674" t="s">
        <v>569</v>
      </c>
      <c r="C2674" t="s">
        <v>72</v>
      </c>
      <c r="D2674" t="s">
        <v>58</v>
      </c>
      <c r="E2674">
        <v>923</v>
      </c>
      <c r="F2674">
        <v>5</v>
      </c>
      <c r="G2674">
        <v>6</v>
      </c>
      <c r="H2674">
        <v>2</v>
      </c>
      <c r="I2674">
        <v>0</v>
      </c>
      <c r="J2674">
        <v>0.71612811791383202</v>
      </c>
      <c r="K2674">
        <v>0.72832083722738294</v>
      </c>
      <c r="L2674">
        <v>0.722173017668293</v>
      </c>
      <c r="M2674">
        <v>5.2434456928839003E-2</v>
      </c>
      <c r="N2674">
        <v>1</v>
      </c>
      <c r="O2674">
        <v>0.43957553058676702</v>
      </c>
      <c r="P2674" t="s">
        <v>570</v>
      </c>
      <c r="Q2674" t="s">
        <v>571</v>
      </c>
      <c r="R2674" t="s">
        <v>96</v>
      </c>
      <c r="S2674" t="s">
        <v>97</v>
      </c>
      <c r="T2674" t="s">
        <v>572</v>
      </c>
      <c r="U2674" t="s">
        <v>573</v>
      </c>
      <c r="V2674" t="s">
        <v>574</v>
      </c>
      <c r="W2674" t="s">
        <v>575</v>
      </c>
      <c r="AD2674" t="s">
        <v>576</v>
      </c>
      <c r="AE2674" t="s">
        <v>577</v>
      </c>
      <c r="AF2674" t="s">
        <v>578</v>
      </c>
    </row>
    <row r="2675" spans="1:32" hidden="1" x14ac:dyDescent="0.35">
      <c r="A2675">
        <v>326</v>
      </c>
      <c r="B2675" t="s">
        <v>569</v>
      </c>
      <c r="C2675" t="s">
        <v>72</v>
      </c>
      <c r="D2675" t="s">
        <v>60</v>
      </c>
      <c r="E2675">
        <v>1320</v>
      </c>
      <c r="F2675">
        <v>5</v>
      </c>
      <c r="G2675">
        <v>6</v>
      </c>
      <c r="H2675">
        <v>2</v>
      </c>
      <c r="I2675">
        <v>0</v>
      </c>
      <c r="J2675">
        <v>0.71612811791383202</v>
      </c>
      <c r="K2675">
        <v>0.72832083722738294</v>
      </c>
      <c r="L2675">
        <v>0.722173017668293</v>
      </c>
      <c r="M2675">
        <v>5.2434456928839003E-2</v>
      </c>
      <c r="N2675">
        <v>1</v>
      </c>
      <c r="O2675">
        <v>0.43957553058676702</v>
      </c>
      <c r="P2675" t="s">
        <v>570</v>
      </c>
      <c r="Q2675" t="s">
        <v>571</v>
      </c>
      <c r="R2675" t="s">
        <v>96</v>
      </c>
      <c r="S2675" t="s">
        <v>97</v>
      </c>
      <c r="T2675" t="s">
        <v>572</v>
      </c>
      <c r="U2675" t="s">
        <v>573</v>
      </c>
      <c r="V2675" t="s">
        <v>574</v>
      </c>
      <c r="W2675" t="s">
        <v>575</v>
      </c>
      <c r="AD2675" t="s">
        <v>576</v>
      </c>
      <c r="AE2675" t="s">
        <v>577</v>
      </c>
      <c r="AF2675" t="s">
        <v>579</v>
      </c>
    </row>
    <row r="2676" spans="1:32" hidden="1" x14ac:dyDescent="0.35">
      <c r="A2676">
        <v>327</v>
      </c>
      <c r="B2676" t="s">
        <v>569</v>
      </c>
      <c r="C2676" t="s">
        <v>72</v>
      </c>
      <c r="D2676" t="s">
        <v>62</v>
      </c>
      <c r="E2676">
        <v>1356</v>
      </c>
      <c r="F2676">
        <v>5</v>
      </c>
      <c r="G2676">
        <v>6</v>
      </c>
      <c r="H2676">
        <v>2</v>
      </c>
      <c r="I2676">
        <v>0</v>
      </c>
      <c r="J2676">
        <v>0.71612811791383202</v>
      </c>
      <c r="K2676">
        <v>0.72832083722738294</v>
      </c>
      <c r="L2676">
        <v>0.722173017668293</v>
      </c>
      <c r="M2676">
        <v>5.2434456928839003E-2</v>
      </c>
      <c r="N2676">
        <v>1</v>
      </c>
      <c r="O2676">
        <v>0.43957553058676702</v>
      </c>
      <c r="P2676" t="s">
        <v>570</v>
      </c>
      <c r="Q2676" t="s">
        <v>571</v>
      </c>
      <c r="R2676" t="s">
        <v>96</v>
      </c>
      <c r="S2676" t="s">
        <v>97</v>
      </c>
      <c r="T2676" t="s">
        <v>572</v>
      </c>
      <c r="U2676" t="s">
        <v>573</v>
      </c>
      <c r="V2676" t="s">
        <v>574</v>
      </c>
      <c r="W2676" t="s">
        <v>575</v>
      </c>
      <c r="AD2676" t="s">
        <v>576</v>
      </c>
      <c r="AE2676" t="s">
        <v>577</v>
      </c>
      <c r="AF2676" t="s">
        <v>579</v>
      </c>
    </row>
    <row r="2677" spans="1:32" hidden="1" x14ac:dyDescent="0.35">
      <c r="A2677">
        <v>328</v>
      </c>
      <c r="B2677" t="s">
        <v>569</v>
      </c>
      <c r="C2677" t="s">
        <v>72</v>
      </c>
      <c r="D2677" t="s">
        <v>34</v>
      </c>
      <c r="E2677">
        <v>1715</v>
      </c>
      <c r="F2677">
        <v>5</v>
      </c>
      <c r="G2677">
        <v>6</v>
      </c>
      <c r="H2677">
        <v>2</v>
      </c>
      <c r="I2677">
        <v>0</v>
      </c>
      <c r="J2677">
        <v>0.71612811791383202</v>
      </c>
      <c r="K2677">
        <v>0.72832083722738294</v>
      </c>
      <c r="L2677">
        <v>0.722173017668293</v>
      </c>
      <c r="M2677">
        <v>5.2434456928839003E-2</v>
      </c>
      <c r="N2677">
        <v>1</v>
      </c>
      <c r="O2677">
        <v>0.43957553058676702</v>
      </c>
      <c r="P2677" t="s">
        <v>570</v>
      </c>
      <c r="Q2677" t="s">
        <v>571</v>
      </c>
      <c r="R2677" t="s">
        <v>96</v>
      </c>
      <c r="S2677" t="s">
        <v>97</v>
      </c>
      <c r="T2677" t="s">
        <v>572</v>
      </c>
      <c r="U2677" t="s">
        <v>573</v>
      </c>
      <c r="V2677" t="s">
        <v>574</v>
      </c>
      <c r="W2677" t="s">
        <v>575</v>
      </c>
      <c r="AD2677" t="s">
        <v>576</v>
      </c>
      <c r="AE2677" t="s">
        <v>577</v>
      </c>
      <c r="AF2677" t="s">
        <v>580</v>
      </c>
    </row>
    <row r="2678" spans="1:32" hidden="1" x14ac:dyDescent="0.35">
      <c r="A2678">
        <v>329</v>
      </c>
      <c r="B2678" t="s">
        <v>569</v>
      </c>
      <c r="C2678" t="s">
        <v>72</v>
      </c>
      <c r="D2678" t="s">
        <v>45</v>
      </c>
      <c r="E2678">
        <v>1160</v>
      </c>
      <c r="F2678">
        <v>5</v>
      </c>
      <c r="G2678">
        <v>6</v>
      </c>
      <c r="H2678">
        <v>2</v>
      </c>
      <c r="I2678">
        <v>0</v>
      </c>
      <c r="J2678">
        <v>0.71612811791383202</v>
      </c>
      <c r="K2678">
        <v>0.72832083722738294</v>
      </c>
      <c r="L2678">
        <v>0.722173017668293</v>
      </c>
      <c r="M2678">
        <v>5.2434456928839003E-2</v>
      </c>
      <c r="N2678">
        <v>1</v>
      </c>
      <c r="O2678">
        <v>0.43957553058676702</v>
      </c>
      <c r="P2678" t="s">
        <v>570</v>
      </c>
      <c r="Q2678" t="s">
        <v>571</v>
      </c>
      <c r="R2678" t="s">
        <v>96</v>
      </c>
      <c r="S2678" t="s">
        <v>97</v>
      </c>
      <c r="T2678" t="s">
        <v>572</v>
      </c>
      <c r="U2678" t="s">
        <v>573</v>
      </c>
      <c r="V2678" t="s">
        <v>574</v>
      </c>
      <c r="W2678" t="s">
        <v>575</v>
      </c>
      <c r="AD2678" t="s">
        <v>576</v>
      </c>
      <c r="AE2678" t="s">
        <v>577</v>
      </c>
      <c r="AF2678" t="s">
        <v>581</v>
      </c>
    </row>
    <row r="2679" spans="1:32" hidden="1" x14ac:dyDescent="0.35">
      <c r="A2679">
        <v>337</v>
      </c>
      <c r="B2679" t="s">
        <v>596</v>
      </c>
      <c r="C2679" t="s">
        <v>72</v>
      </c>
      <c r="D2679" t="s">
        <v>58</v>
      </c>
      <c r="E2679">
        <v>117</v>
      </c>
      <c r="F2679">
        <v>5</v>
      </c>
      <c r="G2679">
        <v>6</v>
      </c>
      <c r="H2679">
        <v>2</v>
      </c>
      <c r="I2679">
        <v>0</v>
      </c>
      <c r="J2679">
        <v>0.76372397177766305</v>
      </c>
      <c r="K2679">
        <v>0.72842487315284599</v>
      </c>
      <c r="L2679">
        <v>0.74565689496189602</v>
      </c>
      <c r="M2679">
        <v>9.9255583126550903E-3</v>
      </c>
      <c r="N2679">
        <v>1</v>
      </c>
      <c r="O2679">
        <v>0.444168734491315</v>
      </c>
      <c r="P2679" t="s">
        <v>597</v>
      </c>
      <c r="Q2679" t="s">
        <v>598</v>
      </c>
      <c r="R2679" t="s">
        <v>96</v>
      </c>
      <c r="S2679" t="s">
        <v>97</v>
      </c>
      <c r="T2679" t="s">
        <v>599</v>
      </c>
      <c r="U2679" t="s">
        <v>600</v>
      </c>
      <c r="V2679" t="s">
        <v>601</v>
      </c>
      <c r="W2679" t="s">
        <v>602</v>
      </c>
      <c r="AD2679" t="s">
        <v>410</v>
      </c>
      <c r="AE2679" t="s">
        <v>603</v>
      </c>
      <c r="AF2679" t="s">
        <v>604</v>
      </c>
    </row>
    <row r="2680" spans="1:32" hidden="1" x14ac:dyDescent="0.35">
      <c r="A2680">
        <v>338</v>
      </c>
      <c r="B2680" t="s">
        <v>596</v>
      </c>
      <c r="C2680" t="s">
        <v>72</v>
      </c>
      <c r="D2680" t="s">
        <v>60</v>
      </c>
      <c r="E2680">
        <v>211</v>
      </c>
      <c r="F2680">
        <v>5</v>
      </c>
      <c r="G2680">
        <v>6</v>
      </c>
      <c r="H2680">
        <v>2</v>
      </c>
      <c r="I2680">
        <v>0</v>
      </c>
      <c r="J2680">
        <v>0.76372397177766305</v>
      </c>
      <c r="K2680">
        <v>0.72842487315284599</v>
      </c>
      <c r="L2680">
        <v>0.74565689496189602</v>
      </c>
      <c r="M2680">
        <v>9.9255583126550903E-3</v>
      </c>
      <c r="N2680">
        <v>1</v>
      </c>
      <c r="O2680">
        <v>0.444168734491315</v>
      </c>
      <c r="P2680" t="s">
        <v>597</v>
      </c>
      <c r="Q2680" t="s">
        <v>598</v>
      </c>
      <c r="R2680" t="s">
        <v>96</v>
      </c>
      <c r="S2680" t="s">
        <v>97</v>
      </c>
      <c r="T2680" t="s">
        <v>599</v>
      </c>
      <c r="U2680" t="s">
        <v>600</v>
      </c>
      <c r="V2680" t="s">
        <v>601</v>
      </c>
      <c r="W2680" t="s">
        <v>602</v>
      </c>
      <c r="AD2680" t="s">
        <v>410</v>
      </c>
      <c r="AE2680" t="s">
        <v>603</v>
      </c>
      <c r="AF2680" t="s">
        <v>605</v>
      </c>
    </row>
    <row r="2681" spans="1:32" hidden="1" x14ac:dyDescent="0.35">
      <c r="A2681">
        <v>339</v>
      </c>
      <c r="B2681" t="s">
        <v>596</v>
      </c>
      <c r="C2681" t="s">
        <v>72</v>
      </c>
      <c r="D2681" t="s">
        <v>62</v>
      </c>
      <c r="E2681">
        <v>288</v>
      </c>
      <c r="F2681">
        <v>5</v>
      </c>
      <c r="G2681">
        <v>6</v>
      </c>
      <c r="H2681">
        <v>2</v>
      </c>
      <c r="I2681">
        <v>0</v>
      </c>
      <c r="J2681">
        <v>0.76372397177766305</v>
      </c>
      <c r="K2681">
        <v>0.72842487315284599</v>
      </c>
      <c r="L2681">
        <v>0.74565689496189602</v>
      </c>
      <c r="M2681">
        <v>9.9255583126550903E-3</v>
      </c>
      <c r="N2681">
        <v>1</v>
      </c>
      <c r="O2681">
        <v>0.444168734491315</v>
      </c>
      <c r="P2681" t="s">
        <v>597</v>
      </c>
      <c r="Q2681" t="s">
        <v>598</v>
      </c>
      <c r="R2681" t="s">
        <v>96</v>
      </c>
      <c r="S2681" t="s">
        <v>97</v>
      </c>
      <c r="T2681" t="s">
        <v>599</v>
      </c>
      <c r="U2681" t="s">
        <v>600</v>
      </c>
      <c r="V2681" t="s">
        <v>601</v>
      </c>
      <c r="W2681" t="s">
        <v>602</v>
      </c>
      <c r="AD2681" t="s">
        <v>410</v>
      </c>
      <c r="AE2681" t="s">
        <v>603</v>
      </c>
      <c r="AF2681" t="s">
        <v>605</v>
      </c>
    </row>
    <row r="2682" spans="1:32" hidden="1" x14ac:dyDescent="0.35">
      <c r="A2682">
        <v>340</v>
      </c>
      <c r="B2682" t="s">
        <v>596</v>
      </c>
      <c r="C2682" t="s">
        <v>72</v>
      </c>
      <c r="D2682" t="s">
        <v>34</v>
      </c>
      <c r="E2682">
        <v>1234</v>
      </c>
      <c r="F2682">
        <v>5</v>
      </c>
      <c r="G2682">
        <v>6</v>
      </c>
      <c r="H2682">
        <v>2</v>
      </c>
      <c r="I2682">
        <v>0</v>
      </c>
      <c r="J2682">
        <v>0.76372397177766305</v>
      </c>
      <c r="K2682">
        <v>0.72842487315284599</v>
      </c>
      <c r="L2682">
        <v>0.74565689496189602</v>
      </c>
      <c r="M2682">
        <v>9.9255583126550903E-3</v>
      </c>
      <c r="N2682">
        <v>1</v>
      </c>
      <c r="O2682">
        <v>0.444168734491315</v>
      </c>
      <c r="P2682" t="s">
        <v>597</v>
      </c>
      <c r="Q2682" t="s">
        <v>598</v>
      </c>
      <c r="R2682" t="s">
        <v>96</v>
      </c>
      <c r="S2682" t="s">
        <v>97</v>
      </c>
      <c r="T2682" t="s">
        <v>599</v>
      </c>
      <c r="U2682" t="s">
        <v>600</v>
      </c>
      <c r="V2682" t="s">
        <v>601</v>
      </c>
      <c r="W2682" t="s">
        <v>602</v>
      </c>
      <c r="AD2682" t="s">
        <v>410</v>
      </c>
      <c r="AE2682" t="s">
        <v>603</v>
      </c>
      <c r="AF2682" t="s">
        <v>606</v>
      </c>
    </row>
    <row r="2683" spans="1:32" hidden="1" x14ac:dyDescent="0.35">
      <c r="A2683">
        <v>341</v>
      </c>
      <c r="B2683" t="s">
        <v>596</v>
      </c>
      <c r="C2683" t="s">
        <v>72</v>
      </c>
      <c r="D2683" t="s">
        <v>45</v>
      </c>
      <c r="E2683">
        <v>2477</v>
      </c>
      <c r="F2683">
        <v>5</v>
      </c>
      <c r="G2683">
        <v>6</v>
      </c>
      <c r="H2683">
        <v>2</v>
      </c>
      <c r="I2683">
        <v>0</v>
      </c>
      <c r="J2683">
        <v>0.76372397177766305</v>
      </c>
      <c r="K2683">
        <v>0.72842487315284599</v>
      </c>
      <c r="L2683">
        <v>0.74565689496189602</v>
      </c>
      <c r="M2683">
        <v>9.9255583126550903E-3</v>
      </c>
      <c r="N2683">
        <v>1</v>
      </c>
      <c r="O2683">
        <v>0.444168734491315</v>
      </c>
      <c r="P2683" t="s">
        <v>607</v>
      </c>
      <c r="Q2683" t="s">
        <v>608</v>
      </c>
      <c r="R2683" t="s">
        <v>96</v>
      </c>
      <c r="S2683" t="s">
        <v>97</v>
      </c>
      <c r="T2683" t="s">
        <v>599</v>
      </c>
      <c r="U2683" t="s">
        <v>600</v>
      </c>
      <c r="V2683" t="s">
        <v>601</v>
      </c>
      <c r="W2683" t="s">
        <v>602</v>
      </c>
      <c r="AD2683" t="s">
        <v>410</v>
      </c>
      <c r="AE2683" t="s">
        <v>603</v>
      </c>
      <c r="AF2683" t="s">
        <v>609</v>
      </c>
    </row>
    <row r="2684" spans="1:32" hidden="1" x14ac:dyDescent="0.35">
      <c r="A2684">
        <v>342</v>
      </c>
      <c r="B2684" t="s">
        <v>596</v>
      </c>
      <c r="C2684" t="s">
        <v>72</v>
      </c>
      <c r="D2684" t="s">
        <v>45</v>
      </c>
      <c r="E2684">
        <v>2478</v>
      </c>
      <c r="F2684">
        <v>5</v>
      </c>
      <c r="G2684">
        <v>6</v>
      </c>
      <c r="H2684">
        <v>2</v>
      </c>
      <c r="I2684">
        <v>0</v>
      </c>
      <c r="J2684">
        <v>0.76372397177766305</v>
      </c>
      <c r="K2684">
        <v>0.72842487315284599</v>
      </c>
      <c r="L2684">
        <v>0.74565689496189602</v>
      </c>
      <c r="M2684">
        <v>9.9255583126550903E-3</v>
      </c>
      <c r="N2684">
        <v>1</v>
      </c>
      <c r="O2684">
        <v>0.444168734491315</v>
      </c>
      <c r="P2684" t="s">
        <v>597</v>
      </c>
      <c r="Q2684" t="s">
        <v>598</v>
      </c>
      <c r="R2684" t="s">
        <v>96</v>
      </c>
      <c r="S2684" t="s">
        <v>97</v>
      </c>
      <c r="V2684" t="s">
        <v>601</v>
      </c>
      <c r="W2684" t="s">
        <v>602</v>
      </c>
      <c r="AF2684" t="e">
        <f>----------------------------------------------------------------------------------------------------------------------------------------------------------------------------------------------------------------------------------------MITNAHVVAGTEEVWLDTVLGTFKADVVFYDPQLDIAVLRSEELTMAPLQWASATAVTGEDAIVMGFPNSGPFEAAPARISERLKIAGPNIYATGRVEREAYTARGSIRQGNSGGPMLNLDGQ--VLGVVFGASADESDIGYALTADEVKEAIGNIAALDTPVGTQECVVR</f>
        <v>#NAME?</v>
      </c>
    </row>
    <row r="2685" spans="1:32" hidden="1" x14ac:dyDescent="0.35">
      <c r="A2685">
        <v>449</v>
      </c>
      <c r="B2685" t="s">
        <v>822</v>
      </c>
      <c r="C2685" t="s">
        <v>72</v>
      </c>
      <c r="D2685" t="s">
        <v>58</v>
      </c>
      <c r="E2685">
        <v>972</v>
      </c>
      <c r="F2685">
        <v>5</v>
      </c>
      <c r="G2685">
        <v>5</v>
      </c>
      <c r="H2685">
        <v>1</v>
      </c>
      <c r="I2685">
        <v>1</v>
      </c>
      <c r="J2685">
        <v>0.87711006076974996</v>
      </c>
      <c r="K2685">
        <v>0.99395973154362505</v>
      </c>
      <c r="L2685">
        <v>0.93188622265021104</v>
      </c>
      <c r="M2685">
        <v>0.74496644295301995</v>
      </c>
      <c r="N2685">
        <v>1</v>
      </c>
      <c r="O2685">
        <v>0.82818791946308701</v>
      </c>
      <c r="P2685" t="s">
        <v>823</v>
      </c>
      <c r="Q2685" t="s">
        <v>824</v>
      </c>
      <c r="R2685" t="s">
        <v>96</v>
      </c>
      <c r="S2685" t="s">
        <v>97</v>
      </c>
      <c r="T2685" t="s">
        <v>825</v>
      </c>
      <c r="U2685" t="s">
        <v>826</v>
      </c>
      <c r="V2685" t="s">
        <v>827</v>
      </c>
      <c r="W2685" t="s">
        <v>828</v>
      </c>
      <c r="AD2685" t="s">
        <v>410</v>
      </c>
      <c r="AE2685" t="s">
        <v>829</v>
      </c>
      <c r="AF2685" t="s">
        <v>830</v>
      </c>
    </row>
    <row r="2686" spans="1:32" hidden="1" x14ac:dyDescent="0.35">
      <c r="A2686">
        <v>450</v>
      </c>
      <c r="B2686" t="s">
        <v>822</v>
      </c>
      <c r="C2686" t="s">
        <v>72</v>
      </c>
      <c r="D2686" t="s">
        <v>60</v>
      </c>
      <c r="E2686">
        <v>1237</v>
      </c>
      <c r="F2686">
        <v>5</v>
      </c>
      <c r="G2686">
        <v>5</v>
      </c>
      <c r="H2686">
        <v>1</v>
      </c>
      <c r="I2686">
        <v>1</v>
      </c>
      <c r="J2686">
        <v>0.87711006076974996</v>
      </c>
      <c r="K2686">
        <v>0.99395973154362505</v>
      </c>
      <c r="L2686">
        <v>0.93188622265021104</v>
      </c>
      <c r="M2686">
        <v>0.74496644295301995</v>
      </c>
      <c r="N2686">
        <v>1</v>
      </c>
      <c r="O2686">
        <v>0.82818791946308701</v>
      </c>
      <c r="P2686" t="s">
        <v>823</v>
      </c>
      <c r="Q2686" t="s">
        <v>824</v>
      </c>
      <c r="R2686" t="s">
        <v>96</v>
      </c>
      <c r="S2686" t="s">
        <v>97</v>
      </c>
      <c r="T2686" t="s">
        <v>825</v>
      </c>
      <c r="U2686" t="s">
        <v>826</v>
      </c>
      <c r="V2686" t="s">
        <v>827</v>
      </c>
      <c r="W2686" t="s">
        <v>828</v>
      </c>
      <c r="AD2686" t="s">
        <v>410</v>
      </c>
      <c r="AE2686" t="s">
        <v>829</v>
      </c>
      <c r="AF2686" t="s">
        <v>831</v>
      </c>
    </row>
    <row r="2687" spans="1:32" hidden="1" x14ac:dyDescent="0.35">
      <c r="A2687">
        <v>451</v>
      </c>
      <c r="B2687" t="s">
        <v>822</v>
      </c>
      <c r="C2687" t="s">
        <v>72</v>
      </c>
      <c r="D2687" t="s">
        <v>62</v>
      </c>
      <c r="E2687">
        <v>1274</v>
      </c>
      <c r="F2687">
        <v>5</v>
      </c>
      <c r="G2687">
        <v>5</v>
      </c>
      <c r="H2687">
        <v>1</v>
      </c>
      <c r="I2687">
        <v>1</v>
      </c>
      <c r="J2687">
        <v>0.87711006076974996</v>
      </c>
      <c r="K2687">
        <v>0.99395973154362505</v>
      </c>
      <c r="L2687">
        <v>0.93188622265021104</v>
      </c>
      <c r="M2687">
        <v>0.74496644295301995</v>
      </c>
      <c r="N2687">
        <v>1</v>
      </c>
      <c r="O2687">
        <v>0.82818791946308701</v>
      </c>
      <c r="P2687" t="s">
        <v>823</v>
      </c>
      <c r="Q2687" t="s">
        <v>824</v>
      </c>
      <c r="R2687" t="s">
        <v>96</v>
      </c>
      <c r="S2687" t="s">
        <v>97</v>
      </c>
      <c r="T2687" t="s">
        <v>825</v>
      </c>
      <c r="U2687" t="s">
        <v>826</v>
      </c>
      <c r="V2687" t="s">
        <v>827</v>
      </c>
      <c r="W2687" t="s">
        <v>828</v>
      </c>
      <c r="AD2687" t="s">
        <v>410</v>
      </c>
      <c r="AE2687" t="s">
        <v>829</v>
      </c>
      <c r="AF2687" t="s">
        <v>831</v>
      </c>
    </row>
    <row r="2688" spans="1:32" hidden="1" x14ac:dyDescent="0.35">
      <c r="A2688">
        <v>452</v>
      </c>
      <c r="B2688" t="s">
        <v>822</v>
      </c>
      <c r="C2688" t="s">
        <v>72</v>
      </c>
      <c r="D2688" t="s">
        <v>34</v>
      </c>
      <c r="E2688">
        <v>1765</v>
      </c>
      <c r="F2688">
        <v>5</v>
      </c>
      <c r="G2688">
        <v>5</v>
      </c>
      <c r="H2688">
        <v>1</v>
      </c>
      <c r="I2688">
        <v>1</v>
      </c>
      <c r="J2688">
        <v>0.87711006076974996</v>
      </c>
      <c r="K2688">
        <v>0.99395973154362505</v>
      </c>
      <c r="L2688">
        <v>0.93188622265021104</v>
      </c>
      <c r="M2688">
        <v>0.74496644295301995</v>
      </c>
      <c r="N2688">
        <v>1</v>
      </c>
      <c r="O2688">
        <v>0.82818791946308701</v>
      </c>
      <c r="P2688" t="s">
        <v>823</v>
      </c>
      <c r="Q2688" t="s">
        <v>824</v>
      </c>
      <c r="R2688" t="s">
        <v>96</v>
      </c>
      <c r="S2688" t="s">
        <v>97</v>
      </c>
      <c r="T2688" t="s">
        <v>825</v>
      </c>
      <c r="U2688" t="s">
        <v>826</v>
      </c>
      <c r="V2688" t="s">
        <v>827</v>
      </c>
      <c r="W2688" t="s">
        <v>828</v>
      </c>
      <c r="AD2688" t="s">
        <v>410</v>
      </c>
      <c r="AE2688" t="s">
        <v>829</v>
      </c>
      <c r="AF2688" t="s">
        <v>832</v>
      </c>
    </row>
    <row r="2689" spans="1:32" hidden="1" x14ac:dyDescent="0.35">
      <c r="A2689">
        <v>453</v>
      </c>
      <c r="B2689" t="s">
        <v>822</v>
      </c>
      <c r="C2689" t="s">
        <v>72</v>
      </c>
      <c r="D2689" t="s">
        <v>45</v>
      </c>
      <c r="E2689">
        <v>1108</v>
      </c>
      <c r="F2689">
        <v>5</v>
      </c>
      <c r="G2689">
        <v>5</v>
      </c>
      <c r="H2689">
        <v>1</v>
      </c>
      <c r="I2689">
        <v>1</v>
      </c>
      <c r="J2689">
        <v>0.87711006076974996</v>
      </c>
      <c r="K2689">
        <v>0.99395973154362505</v>
      </c>
      <c r="L2689">
        <v>0.93188622265021104</v>
      </c>
      <c r="M2689">
        <v>0.74496644295301995</v>
      </c>
      <c r="N2689">
        <v>1</v>
      </c>
      <c r="O2689">
        <v>0.82818791946308701</v>
      </c>
      <c r="P2689" t="s">
        <v>823</v>
      </c>
      <c r="Q2689" t="s">
        <v>824</v>
      </c>
      <c r="R2689" t="s">
        <v>96</v>
      </c>
      <c r="S2689" t="s">
        <v>97</v>
      </c>
      <c r="T2689" t="s">
        <v>825</v>
      </c>
      <c r="U2689" t="s">
        <v>826</v>
      </c>
      <c r="V2689" t="s">
        <v>827</v>
      </c>
      <c r="W2689" t="s">
        <v>828</v>
      </c>
      <c r="AD2689" t="s">
        <v>410</v>
      </c>
      <c r="AE2689" t="s">
        <v>829</v>
      </c>
      <c r="AF2689" t="s">
        <v>832</v>
      </c>
    </row>
    <row r="2690" spans="1:32" hidden="1" x14ac:dyDescent="0.35">
      <c r="A2690">
        <v>479</v>
      </c>
      <c r="B2690" t="s">
        <v>910</v>
      </c>
      <c r="C2690" t="s">
        <v>72</v>
      </c>
      <c r="D2690" t="s">
        <v>58</v>
      </c>
      <c r="E2690">
        <v>976</v>
      </c>
      <c r="F2690">
        <v>5</v>
      </c>
      <c r="G2690">
        <v>5</v>
      </c>
      <c r="H2690">
        <v>1</v>
      </c>
      <c r="I2690">
        <v>1</v>
      </c>
      <c r="J2690">
        <v>0.95198873636043602</v>
      </c>
      <c r="K2690">
        <v>0.98859461395340198</v>
      </c>
      <c r="L2690">
        <v>0.96994642065544801</v>
      </c>
      <c r="M2690">
        <v>0.89144050104384098</v>
      </c>
      <c r="N2690">
        <v>1</v>
      </c>
      <c r="O2690">
        <v>0.92901878914405001</v>
      </c>
      <c r="P2690" t="s">
        <v>911</v>
      </c>
      <c r="Q2690" t="s">
        <v>912</v>
      </c>
      <c r="R2690" t="s">
        <v>96</v>
      </c>
      <c r="S2690" t="s">
        <v>97</v>
      </c>
      <c r="T2690" t="s">
        <v>913</v>
      </c>
      <c r="U2690" t="s">
        <v>914</v>
      </c>
      <c r="V2690" t="s">
        <v>915</v>
      </c>
      <c r="W2690" t="s">
        <v>916</v>
      </c>
      <c r="AD2690" t="s">
        <v>410</v>
      </c>
      <c r="AE2690" t="s">
        <v>603</v>
      </c>
      <c r="AF2690" t="s">
        <v>917</v>
      </c>
    </row>
    <row r="2691" spans="1:32" hidden="1" x14ac:dyDescent="0.35">
      <c r="A2691">
        <v>480</v>
      </c>
      <c r="B2691" t="s">
        <v>910</v>
      </c>
      <c r="C2691" t="s">
        <v>72</v>
      </c>
      <c r="D2691" t="s">
        <v>60</v>
      </c>
      <c r="E2691">
        <v>1233</v>
      </c>
      <c r="F2691">
        <v>5</v>
      </c>
      <c r="G2691">
        <v>5</v>
      </c>
      <c r="H2691">
        <v>1</v>
      </c>
      <c r="I2691">
        <v>1</v>
      </c>
      <c r="J2691">
        <v>0.95198873636043602</v>
      </c>
      <c r="K2691">
        <v>0.98859461395340198</v>
      </c>
      <c r="L2691">
        <v>0.96994642065544801</v>
      </c>
      <c r="M2691">
        <v>0.89144050104384098</v>
      </c>
      <c r="N2691">
        <v>1</v>
      </c>
      <c r="O2691">
        <v>0.92901878914405001</v>
      </c>
      <c r="P2691" t="s">
        <v>911</v>
      </c>
      <c r="Q2691" t="s">
        <v>912</v>
      </c>
      <c r="R2691" t="s">
        <v>96</v>
      </c>
      <c r="S2691" t="s">
        <v>97</v>
      </c>
      <c r="T2691" t="s">
        <v>913</v>
      </c>
      <c r="U2691" t="s">
        <v>914</v>
      </c>
      <c r="V2691" t="s">
        <v>915</v>
      </c>
      <c r="W2691" t="s">
        <v>916</v>
      </c>
      <c r="AD2691" t="s">
        <v>410</v>
      </c>
      <c r="AE2691" t="s">
        <v>603</v>
      </c>
      <c r="AF2691" t="s">
        <v>918</v>
      </c>
    </row>
    <row r="2692" spans="1:32" hidden="1" x14ac:dyDescent="0.35">
      <c r="A2692">
        <v>481</v>
      </c>
      <c r="B2692" t="s">
        <v>910</v>
      </c>
      <c r="C2692" t="s">
        <v>72</v>
      </c>
      <c r="D2692" t="s">
        <v>62</v>
      </c>
      <c r="E2692">
        <v>1270</v>
      </c>
      <c r="F2692">
        <v>5</v>
      </c>
      <c r="G2692">
        <v>5</v>
      </c>
      <c r="H2692">
        <v>1</v>
      </c>
      <c r="I2692">
        <v>1</v>
      </c>
      <c r="J2692">
        <v>0.95198873636043602</v>
      </c>
      <c r="K2692">
        <v>0.98859461395340198</v>
      </c>
      <c r="L2692">
        <v>0.96994642065544801</v>
      </c>
      <c r="M2692">
        <v>0.89144050104384098</v>
      </c>
      <c r="N2692">
        <v>1</v>
      </c>
      <c r="O2692">
        <v>0.92901878914405001</v>
      </c>
      <c r="P2692" t="s">
        <v>911</v>
      </c>
      <c r="Q2692" t="s">
        <v>912</v>
      </c>
      <c r="R2692" t="s">
        <v>96</v>
      </c>
      <c r="S2692" t="s">
        <v>97</v>
      </c>
      <c r="T2692" t="s">
        <v>913</v>
      </c>
      <c r="U2692" t="s">
        <v>914</v>
      </c>
      <c r="V2692" t="s">
        <v>915</v>
      </c>
      <c r="W2692" t="s">
        <v>916</v>
      </c>
      <c r="AD2692" t="s">
        <v>410</v>
      </c>
      <c r="AE2692" t="s">
        <v>603</v>
      </c>
      <c r="AF2692" t="s">
        <v>918</v>
      </c>
    </row>
    <row r="2693" spans="1:32" hidden="1" x14ac:dyDescent="0.35">
      <c r="A2693">
        <v>482</v>
      </c>
      <c r="B2693" t="s">
        <v>910</v>
      </c>
      <c r="C2693" t="s">
        <v>72</v>
      </c>
      <c r="D2693" t="s">
        <v>34</v>
      </c>
      <c r="E2693">
        <v>1769</v>
      </c>
      <c r="F2693">
        <v>5</v>
      </c>
      <c r="G2693">
        <v>5</v>
      </c>
      <c r="H2693">
        <v>1</v>
      </c>
      <c r="I2693">
        <v>1</v>
      </c>
      <c r="J2693">
        <v>0.95198873636043602</v>
      </c>
      <c r="K2693">
        <v>0.98859461395340198</v>
      </c>
      <c r="L2693">
        <v>0.96994642065544801</v>
      </c>
      <c r="M2693">
        <v>0.89144050104384098</v>
      </c>
      <c r="N2693">
        <v>1</v>
      </c>
      <c r="O2693">
        <v>0.92901878914405001</v>
      </c>
      <c r="P2693" t="s">
        <v>911</v>
      </c>
      <c r="Q2693" t="s">
        <v>912</v>
      </c>
      <c r="R2693" t="s">
        <v>96</v>
      </c>
      <c r="S2693" t="s">
        <v>97</v>
      </c>
      <c r="T2693" t="s">
        <v>913</v>
      </c>
      <c r="U2693" t="s">
        <v>914</v>
      </c>
      <c r="V2693" t="s">
        <v>915</v>
      </c>
      <c r="W2693" t="s">
        <v>916</v>
      </c>
      <c r="AD2693" t="s">
        <v>410</v>
      </c>
      <c r="AE2693" t="s">
        <v>603</v>
      </c>
      <c r="AF2693" t="s">
        <v>919</v>
      </c>
    </row>
    <row r="2694" spans="1:32" hidden="1" x14ac:dyDescent="0.35">
      <c r="A2694">
        <v>483</v>
      </c>
      <c r="B2694" t="s">
        <v>910</v>
      </c>
      <c r="C2694" t="s">
        <v>72</v>
      </c>
      <c r="D2694" t="s">
        <v>45</v>
      </c>
      <c r="E2694">
        <v>1104</v>
      </c>
      <c r="F2694">
        <v>5</v>
      </c>
      <c r="G2694">
        <v>5</v>
      </c>
      <c r="H2694">
        <v>1</v>
      </c>
      <c r="I2694">
        <v>1</v>
      </c>
      <c r="J2694">
        <v>0.95198873636043602</v>
      </c>
      <c r="K2694">
        <v>0.98859461395340198</v>
      </c>
      <c r="L2694">
        <v>0.96994642065544801</v>
      </c>
      <c r="M2694">
        <v>0.89144050104384098</v>
      </c>
      <c r="N2694">
        <v>1</v>
      </c>
      <c r="O2694">
        <v>0.92901878914405001</v>
      </c>
      <c r="P2694" t="s">
        <v>911</v>
      </c>
      <c r="Q2694" t="s">
        <v>912</v>
      </c>
      <c r="R2694" t="s">
        <v>96</v>
      </c>
      <c r="S2694" t="s">
        <v>97</v>
      </c>
      <c r="T2694" t="s">
        <v>913</v>
      </c>
      <c r="U2694" t="s">
        <v>914</v>
      </c>
      <c r="V2694" t="s">
        <v>915</v>
      </c>
      <c r="W2694" t="s">
        <v>916</v>
      </c>
      <c r="AD2694" t="s">
        <v>410</v>
      </c>
      <c r="AE2694" t="s">
        <v>603</v>
      </c>
      <c r="AF2694" t="s">
        <v>919</v>
      </c>
    </row>
    <row r="2695" spans="1:32" hidden="1" x14ac:dyDescent="0.35">
      <c r="A2695">
        <v>594</v>
      </c>
      <c r="B2695" t="s">
        <v>1198</v>
      </c>
      <c r="C2695" t="s">
        <v>72</v>
      </c>
      <c r="D2695" t="s">
        <v>58</v>
      </c>
      <c r="E2695">
        <v>1682</v>
      </c>
      <c r="F2695">
        <v>5</v>
      </c>
      <c r="G2695">
        <v>5</v>
      </c>
      <c r="H2695">
        <v>1</v>
      </c>
      <c r="I2695">
        <v>1</v>
      </c>
      <c r="J2695">
        <v>0.92011461318051602</v>
      </c>
      <c r="K2695">
        <v>0.96373946556413004</v>
      </c>
      <c r="L2695">
        <v>0.94142192388408896</v>
      </c>
      <c r="M2695">
        <v>0.81788079470198705</v>
      </c>
      <c r="N2695">
        <v>1</v>
      </c>
      <c r="O2695">
        <v>0.87317880794701996</v>
      </c>
      <c r="P2695" t="s">
        <v>1199</v>
      </c>
      <c r="Q2695" t="s">
        <v>1200</v>
      </c>
      <c r="R2695" t="s">
        <v>96</v>
      </c>
      <c r="S2695" t="s">
        <v>97</v>
      </c>
      <c r="T2695" t="s">
        <v>1201</v>
      </c>
      <c r="U2695" t="s">
        <v>1202</v>
      </c>
      <c r="V2695" t="s">
        <v>1203</v>
      </c>
      <c r="W2695" t="s">
        <v>1204</v>
      </c>
      <c r="AD2695" t="s">
        <v>941</v>
      </c>
      <c r="AE2695" t="s">
        <v>1205</v>
      </c>
      <c r="AF2695" t="s">
        <v>1206</v>
      </c>
    </row>
    <row r="2696" spans="1:32" hidden="1" x14ac:dyDescent="0.35">
      <c r="A2696">
        <v>595</v>
      </c>
      <c r="B2696" t="s">
        <v>1198</v>
      </c>
      <c r="C2696" t="s">
        <v>72</v>
      </c>
      <c r="D2696" t="s">
        <v>60</v>
      </c>
      <c r="E2696">
        <v>2275</v>
      </c>
      <c r="F2696">
        <v>5</v>
      </c>
      <c r="G2696">
        <v>5</v>
      </c>
      <c r="H2696">
        <v>1</v>
      </c>
      <c r="I2696">
        <v>1</v>
      </c>
      <c r="J2696">
        <v>0.92011461318051602</v>
      </c>
      <c r="K2696">
        <v>0.96373946556413004</v>
      </c>
      <c r="L2696">
        <v>0.94142192388408896</v>
      </c>
      <c r="M2696">
        <v>0.81788079470198705</v>
      </c>
      <c r="N2696">
        <v>1</v>
      </c>
      <c r="O2696">
        <v>0.87317880794701996</v>
      </c>
      <c r="P2696" t="s">
        <v>1199</v>
      </c>
      <c r="Q2696" t="s">
        <v>1200</v>
      </c>
      <c r="R2696" t="s">
        <v>96</v>
      </c>
      <c r="S2696" t="s">
        <v>97</v>
      </c>
      <c r="T2696" t="s">
        <v>1201</v>
      </c>
      <c r="U2696" t="s">
        <v>1202</v>
      </c>
      <c r="V2696" t="s">
        <v>1203</v>
      </c>
      <c r="W2696" t="s">
        <v>1204</v>
      </c>
      <c r="AD2696" t="s">
        <v>941</v>
      </c>
      <c r="AE2696" t="s">
        <v>1205</v>
      </c>
      <c r="AF2696" t="s">
        <v>1207</v>
      </c>
    </row>
    <row r="2697" spans="1:32" hidden="1" x14ac:dyDescent="0.35">
      <c r="A2697">
        <v>596</v>
      </c>
      <c r="B2697" t="s">
        <v>1198</v>
      </c>
      <c r="C2697" t="s">
        <v>72</v>
      </c>
      <c r="D2697" t="s">
        <v>62</v>
      </c>
      <c r="E2697">
        <v>2304</v>
      </c>
      <c r="F2697">
        <v>5</v>
      </c>
      <c r="G2697">
        <v>5</v>
      </c>
      <c r="H2697">
        <v>1</v>
      </c>
      <c r="I2697">
        <v>1</v>
      </c>
      <c r="J2697">
        <v>0.92011461318051602</v>
      </c>
      <c r="K2697">
        <v>0.96373946556413004</v>
      </c>
      <c r="L2697">
        <v>0.94142192388408896</v>
      </c>
      <c r="M2697">
        <v>0.81788079470198705</v>
      </c>
      <c r="N2697">
        <v>1</v>
      </c>
      <c r="O2697">
        <v>0.87317880794701996</v>
      </c>
      <c r="P2697" t="s">
        <v>1199</v>
      </c>
      <c r="Q2697" t="s">
        <v>1200</v>
      </c>
      <c r="R2697" t="s">
        <v>96</v>
      </c>
      <c r="S2697" t="s">
        <v>97</v>
      </c>
      <c r="T2697" t="s">
        <v>1201</v>
      </c>
      <c r="U2697" t="s">
        <v>1202</v>
      </c>
      <c r="V2697" t="s">
        <v>1203</v>
      </c>
      <c r="W2697" t="s">
        <v>1204</v>
      </c>
      <c r="AD2697" t="s">
        <v>941</v>
      </c>
      <c r="AE2697" t="s">
        <v>1205</v>
      </c>
      <c r="AF2697" t="s">
        <v>1207</v>
      </c>
    </row>
    <row r="2698" spans="1:32" hidden="1" x14ac:dyDescent="0.35">
      <c r="A2698">
        <v>597</v>
      </c>
      <c r="B2698" t="s">
        <v>1198</v>
      </c>
      <c r="C2698" t="s">
        <v>72</v>
      </c>
      <c r="D2698" t="s">
        <v>34</v>
      </c>
      <c r="E2698">
        <v>1510</v>
      </c>
      <c r="F2698">
        <v>5</v>
      </c>
      <c r="G2698">
        <v>5</v>
      </c>
      <c r="H2698">
        <v>1</v>
      </c>
      <c r="I2698">
        <v>1</v>
      </c>
      <c r="J2698">
        <v>0.92011461318051602</v>
      </c>
      <c r="K2698">
        <v>0.96373946556413004</v>
      </c>
      <c r="L2698">
        <v>0.94142192388408896</v>
      </c>
      <c r="M2698">
        <v>0.81788079470198705</v>
      </c>
      <c r="N2698">
        <v>1</v>
      </c>
      <c r="O2698">
        <v>0.87317880794701996</v>
      </c>
      <c r="P2698" t="s">
        <v>1199</v>
      </c>
      <c r="Q2698" t="s">
        <v>1200</v>
      </c>
      <c r="R2698" t="s">
        <v>96</v>
      </c>
      <c r="S2698" t="s">
        <v>97</v>
      </c>
      <c r="T2698" t="s">
        <v>1201</v>
      </c>
      <c r="U2698" t="s">
        <v>1202</v>
      </c>
      <c r="V2698" t="s">
        <v>1203</v>
      </c>
      <c r="W2698" t="s">
        <v>1204</v>
      </c>
      <c r="AD2698" t="s">
        <v>941</v>
      </c>
      <c r="AE2698" t="s">
        <v>1205</v>
      </c>
      <c r="AF2698" t="s">
        <v>1208</v>
      </c>
    </row>
    <row r="2699" spans="1:32" hidden="1" x14ac:dyDescent="0.35">
      <c r="A2699">
        <v>598</v>
      </c>
      <c r="B2699" t="s">
        <v>1198</v>
      </c>
      <c r="C2699" t="s">
        <v>72</v>
      </c>
      <c r="D2699" t="s">
        <v>45</v>
      </c>
      <c r="E2699">
        <v>260</v>
      </c>
      <c r="F2699">
        <v>5</v>
      </c>
      <c r="G2699">
        <v>5</v>
      </c>
      <c r="H2699">
        <v>1</v>
      </c>
      <c r="I2699">
        <v>1</v>
      </c>
      <c r="J2699">
        <v>0.92011461318051602</v>
      </c>
      <c r="K2699">
        <v>0.96373946556413004</v>
      </c>
      <c r="L2699">
        <v>0.94142192388408896</v>
      </c>
      <c r="M2699">
        <v>0.81788079470198705</v>
      </c>
      <c r="N2699">
        <v>1</v>
      </c>
      <c r="O2699">
        <v>0.87317880794701996</v>
      </c>
      <c r="P2699" t="s">
        <v>1199</v>
      </c>
      <c r="Q2699" t="s">
        <v>1200</v>
      </c>
      <c r="R2699" t="s">
        <v>96</v>
      </c>
      <c r="S2699" t="s">
        <v>97</v>
      </c>
      <c r="T2699" t="s">
        <v>1201</v>
      </c>
      <c r="U2699" t="s">
        <v>1202</v>
      </c>
      <c r="V2699" t="s">
        <v>1203</v>
      </c>
      <c r="W2699" t="s">
        <v>1204</v>
      </c>
      <c r="AD2699" t="s">
        <v>941</v>
      </c>
      <c r="AE2699" t="s">
        <v>1205</v>
      </c>
      <c r="AF2699" t="s">
        <v>1209</v>
      </c>
    </row>
    <row r="2700" spans="1:32" hidden="1" x14ac:dyDescent="0.35">
      <c r="A2700">
        <v>639</v>
      </c>
      <c r="B2700" t="s">
        <v>1304</v>
      </c>
      <c r="C2700" t="s">
        <v>72</v>
      </c>
      <c r="D2700" t="s">
        <v>58</v>
      </c>
      <c r="E2700">
        <v>453</v>
      </c>
      <c r="F2700">
        <v>5</v>
      </c>
      <c r="G2700">
        <v>5</v>
      </c>
      <c r="H2700">
        <v>1</v>
      </c>
      <c r="I2700">
        <v>1</v>
      </c>
      <c r="J2700">
        <v>0.79318117779656205</v>
      </c>
      <c r="K2700">
        <v>0.96264161002265802</v>
      </c>
      <c r="L2700">
        <v>0.86973379242002002</v>
      </c>
      <c r="M2700">
        <v>0.58536585365853699</v>
      </c>
      <c r="N2700">
        <v>1</v>
      </c>
      <c r="O2700">
        <v>0.72682926829268302</v>
      </c>
      <c r="P2700" t="s">
        <v>1305</v>
      </c>
      <c r="Q2700" t="s">
        <v>1306</v>
      </c>
      <c r="R2700" t="s">
        <v>96</v>
      </c>
      <c r="S2700" t="s">
        <v>97</v>
      </c>
      <c r="T2700" t="s">
        <v>1307</v>
      </c>
      <c r="U2700" t="s">
        <v>1308</v>
      </c>
      <c r="V2700" t="s">
        <v>1309</v>
      </c>
      <c r="W2700" t="s">
        <v>1310</v>
      </c>
      <c r="AD2700" t="s">
        <v>219</v>
      </c>
      <c r="AE2700" t="s">
        <v>1311</v>
      </c>
      <c r="AF2700" t="s">
        <v>1312</v>
      </c>
    </row>
    <row r="2701" spans="1:32" hidden="1" x14ac:dyDescent="0.35">
      <c r="A2701">
        <v>640</v>
      </c>
      <c r="B2701" t="s">
        <v>1304</v>
      </c>
      <c r="C2701" t="s">
        <v>72</v>
      </c>
      <c r="D2701" t="s">
        <v>60</v>
      </c>
      <c r="E2701">
        <v>722</v>
      </c>
      <c r="F2701">
        <v>5</v>
      </c>
      <c r="G2701">
        <v>5</v>
      </c>
      <c r="H2701">
        <v>1</v>
      </c>
      <c r="I2701">
        <v>1</v>
      </c>
      <c r="J2701">
        <v>0.79318117779656205</v>
      </c>
      <c r="K2701">
        <v>0.96264161002265802</v>
      </c>
      <c r="L2701">
        <v>0.86973379242002002</v>
      </c>
      <c r="M2701">
        <v>0.58536585365853699</v>
      </c>
      <c r="N2701">
        <v>1</v>
      </c>
      <c r="O2701">
        <v>0.72682926829268302</v>
      </c>
      <c r="P2701" t="s">
        <v>1305</v>
      </c>
      <c r="Q2701" t="s">
        <v>1306</v>
      </c>
      <c r="R2701" t="s">
        <v>96</v>
      </c>
      <c r="S2701" t="s">
        <v>97</v>
      </c>
      <c r="T2701" t="s">
        <v>1307</v>
      </c>
      <c r="U2701" t="s">
        <v>1308</v>
      </c>
      <c r="V2701" t="s">
        <v>1309</v>
      </c>
      <c r="W2701" t="s">
        <v>1310</v>
      </c>
      <c r="AD2701" t="s">
        <v>219</v>
      </c>
      <c r="AE2701" t="s">
        <v>1311</v>
      </c>
      <c r="AF2701" t="e">
        <f>---MEKPHVEAKTAPA-PEDVVIADLIEGDGPEAQPDGYVEVHYVGVDYETNQEFDSSWDRGGPVGFWLNGLIAGWQEGIPGMKVGGRRELIVPPEAAYGPEGGGHPLAGRTLVFIIDLIGVG</f>
        <v>#NAME?</v>
      </c>
    </row>
    <row r="2702" spans="1:32" hidden="1" x14ac:dyDescent="0.35">
      <c r="A2702">
        <v>641</v>
      </c>
      <c r="B2702" t="s">
        <v>1304</v>
      </c>
      <c r="C2702" t="s">
        <v>72</v>
      </c>
      <c r="D2702" t="s">
        <v>62</v>
      </c>
      <c r="E2702">
        <v>753</v>
      </c>
      <c r="F2702">
        <v>5</v>
      </c>
      <c r="G2702">
        <v>5</v>
      </c>
      <c r="H2702">
        <v>1</v>
      </c>
      <c r="I2702">
        <v>1</v>
      </c>
      <c r="J2702">
        <v>0.79318117779656205</v>
      </c>
      <c r="K2702">
        <v>0.96264161002265802</v>
      </c>
      <c r="L2702">
        <v>0.86973379242002002</v>
      </c>
      <c r="M2702">
        <v>0.58536585365853699</v>
      </c>
      <c r="N2702">
        <v>1</v>
      </c>
      <c r="O2702">
        <v>0.72682926829268302</v>
      </c>
      <c r="P2702" t="s">
        <v>1305</v>
      </c>
      <c r="Q2702" t="s">
        <v>1306</v>
      </c>
      <c r="R2702" t="s">
        <v>96</v>
      </c>
      <c r="S2702" t="s">
        <v>97</v>
      </c>
      <c r="T2702" t="s">
        <v>1307</v>
      </c>
      <c r="U2702" t="s">
        <v>1308</v>
      </c>
      <c r="V2702" t="s">
        <v>1309</v>
      </c>
      <c r="W2702" t="s">
        <v>1310</v>
      </c>
      <c r="AD2702" t="s">
        <v>219</v>
      </c>
      <c r="AE2702" t="s">
        <v>1311</v>
      </c>
      <c r="AF2702" t="e">
        <f>---MEKPHVEAKTAPA-PEDVVIADLIEGDGPEAQPDGYVEVHYVGVDYETNQEFDSSWDRGGPVGFWLNGLIAGWQEGIPGMKVGGRRELIVPPEAAYGPEGGGHPLAGRTLVFIIDLIGVG</f>
        <v>#NAME?</v>
      </c>
    </row>
    <row r="2703" spans="1:32" hidden="1" x14ac:dyDescent="0.35">
      <c r="A2703">
        <v>642</v>
      </c>
      <c r="B2703" t="s">
        <v>1304</v>
      </c>
      <c r="C2703" t="s">
        <v>72</v>
      </c>
      <c r="D2703" t="s">
        <v>34</v>
      </c>
      <c r="E2703">
        <v>415</v>
      </c>
      <c r="F2703">
        <v>5</v>
      </c>
      <c r="G2703">
        <v>5</v>
      </c>
      <c r="H2703">
        <v>1</v>
      </c>
      <c r="I2703">
        <v>1</v>
      </c>
      <c r="J2703">
        <v>0.79318117779656205</v>
      </c>
      <c r="K2703">
        <v>0.96264161002265802</v>
      </c>
      <c r="L2703">
        <v>0.86973379242002002</v>
      </c>
      <c r="M2703">
        <v>0.58536585365853699</v>
      </c>
      <c r="N2703">
        <v>1</v>
      </c>
      <c r="O2703">
        <v>0.72682926829268302</v>
      </c>
      <c r="P2703" t="s">
        <v>1305</v>
      </c>
      <c r="Q2703" t="s">
        <v>1306</v>
      </c>
      <c r="R2703" t="s">
        <v>96</v>
      </c>
      <c r="S2703" t="s">
        <v>97</v>
      </c>
      <c r="T2703" t="s">
        <v>1307</v>
      </c>
      <c r="U2703" t="s">
        <v>1308</v>
      </c>
      <c r="V2703" t="s">
        <v>1309</v>
      </c>
      <c r="W2703" t="s">
        <v>1310</v>
      </c>
      <c r="AD2703" t="s">
        <v>219</v>
      </c>
      <c r="AE2703" t="s">
        <v>1311</v>
      </c>
      <c r="AF2703" t="s">
        <v>1313</v>
      </c>
    </row>
    <row r="2704" spans="1:32" hidden="1" x14ac:dyDescent="0.35">
      <c r="A2704">
        <v>643</v>
      </c>
      <c r="B2704" t="s">
        <v>1304</v>
      </c>
      <c r="C2704" t="s">
        <v>72</v>
      </c>
      <c r="D2704" t="s">
        <v>45</v>
      </c>
      <c r="E2704">
        <v>1677</v>
      </c>
      <c r="F2704">
        <v>5</v>
      </c>
      <c r="G2704">
        <v>5</v>
      </c>
      <c r="H2704">
        <v>1</v>
      </c>
      <c r="I2704">
        <v>1</v>
      </c>
      <c r="J2704">
        <v>0.79318117779656205</v>
      </c>
      <c r="K2704">
        <v>0.96264161002265802</v>
      </c>
      <c r="L2704">
        <v>0.86973379242002002</v>
      </c>
      <c r="M2704">
        <v>0.58536585365853699</v>
      </c>
      <c r="N2704">
        <v>1</v>
      </c>
      <c r="O2704">
        <v>0.72682926829268302</v>
      </c>
      <c r="P2704" t="s">
        <v>1305</v>
      </c>
      <c r="Q2704" t="s">
        <v>1306</v>
      </c>
      <c r="R2704" t="s">
        <v>96</v>
      </c>
      <c r="S2704" t="s">
        <v>97</v>
      </c>
      <c r="T2704" t="s">
        <v>1307</v>
      </c>
      <c r="U2704" t="s">
        <v>1308</v>
      </c>
      <c r="V2704" t="s">
        <v>1309</v>
      </c>
      <c r="W2704" t="s">
        <v>1310</v>
      </c>
      <c r="AD2704" t="s">
        <v>219</v>
      </c>
      <c r="AE2704" t="s">
        <v>1311</v>
      </c>
      <c r="AF2704" t="s">
        <v>1313</v>
      </c>
    </row>
    <row r="2705" spans="1:32" hidden="1" x14ac:dyDescent="0.35">
      <c r="A2705">
        <v>654</v>
      </c>
      <c r="B2705" t="s">
        <v>1338</v>
      </c>
      <c r="C2705" t="s">
        <v>72</v>
      </c>
      <c r="D2705" t="s">
        <v>58</v>
      </c>
      <c r="E2705">
        <v>1569</v>
      </c>
      <c r="F2705">
        <v>5</v>
      </c>
      <c r="G2705">
        <v>5</v>
      </c>
      <c r="H2705">
        <v>1</v>
      </c>
      <c r="I2705">
        <v>1</v>
      </c>
      <c r="J2705">
        <v>0.87656832824686304</v>
      </c>
      <c r="K2705">
        <v>0.99292929292929399</v>
      </c>
      <c r="L2705">
        <v>0.93112755053712803</v>
      </c>
      <c r="M2705">
        <v>0.70707070707070696</v>
      </c>
      <c r="N2705">
        <v>1</v>
      </c>
      <c r="O2705">
        <v>0.81616161616161598</v>
      </c>
      <c r="P2705" t="s">
        <v>1339</v>
      </c>
      <c r="Q2705" t="s">
        <v>1340</v>
      </c>
      <c r="R2705" t="s">
        <v>96</v>
      </c>
      <c r="S2705" t="s">
        <v>97</v>
      </c>
      <c r="T2705" t="s">
        <v>1341</v>
      </c>
      <c r="U2705" t="s">
        <v>1342</v>
      </c>
      <c r="V2705" t="s">
        <v>1343</v>
      </c>
      <c r="W2705" t="s">
        <v>1344</v>
      </c>
      <c r="AD2705" t="s">
        <v>1345</v>
      </c>
      <c r="AE2705" t="s">
        <v>1346</v>
      </c>
      <c r="AF2705" t="s">
        <v>1347</v>
      </c>
    </row>
    <row r="2706" spans="1:32" hidden="1" x14ac:dyDescent="0.35">
      <c r="A2706">
        <v>655</v>
      </c>
      <c r="B2706" t="s">
        <v>1338</v>
      </c>
      <c r="C2706" t="s">
        <v>72</v>
      </c>
      <c r="D2706" t="s">
        <v>60</v>
      </c>
      <c r="E2706">
        <v>403</v>
      </c>
      <c r="F2706">
        <v>5</v>
      </c>
      <c r="G2706">
        <v>5</v>
      </c>
      <c r="H2706">
        <v>1</v>
      </c>
      <c r="I2706">
        <v>1</v>
      </c>
      <c r="J2706">
        <v>0.87656832824686304</v>
      </c>
      <c r="K2706">
        <v>0.99292929292929399</v>
      </c>
      <c r="L2706">
        <v>0.93112755053712803</v>
      </c>
      <c r="M2706">
        <v>0.70707070707070696</v>
      </c>
      <c r="N2706">
        <v>1</v>
      </c>
      <c r="O2706">
        <v>0.81616161616161598</v>
      </c>
      <c r="P2706" t="s">
        <v>1339</v>
      </c>
      <c r="Q2706" t="s">
        <v>1340</v>
      </c>
      <c r="R2706" t="s">
        <v>96</v>
      </c>
      <c r="S2706" t="s">
        <v>97</v>
      </c>
      <c r="T2706" t="s">
        <v>1341</v>
      </c>
      <c r="U2706" t="s">
        <v>1342</v>
      </c>
      <c r="V2706" t="s">
        <v>1343</v>
      </c>
      <c r="W2706" t="s">
        <v>1344</v>
      </c>
      <c r="AD2706" t="s">
        <v>1345</v>
      </c>
      <c r="AE2706" t="s">
        <v>1346</v>
      </c>
      <c r="AF2706" t="s">
        <v>1348</v>
      </c>
    </row>
    <row r="2707" spans="1:32" hidden="1" x14ac:dyDescent="0.35">
      <c r="A2707">
        <v>656</v>
      </c>
      <c r="B2707" t="s">
        <v>1338</v>
      </c>
      <c r="C2707" t="s">
        <v>72</v>
      </c>
      <c r="D2707" t="s">
        <v>62</v>
      </c>
      <c r="E2707">
        <v>484</v>
      </c>
      <c r="F2707">
        <v>5</v>
      </c>
      <c r="G2707">
        <v>5</v>
      </c>
      <c r="H2707">
        <v>1</v>
      </c>
      <c r="I2707">
        <v>1</v>
      </c>
      <c r="J2707">
        <v>0.87656832824686304</v>
      </c>
      <c r="K2707">
        <v>0.99292929292929399</v>
      </c>
      <c r="L2707">
        <v>0.93112755053712803</v>
      </c>
      <c r="M2707">
        <v>0.70707070707070696</v>
      </c>
      <c r="N2707">
        <v>1</v>
      </c>
      <c r="O2707">
        <v>0.81616161616161598</v>
      </c>
      <c r="P2707" t="s">
        <v>1339</v>
      </c>
      <c r="Q2707" t="s">
        <v>1340</v>
      </c>
      <c r="R2707" t="s">
        <v>96</v>
      </c>
      <c r="S2707" t="s">
        <v>97</v>
      </c>
      <c r="T2707" t="s">
        <v>1341</v>
      </c>
      <c r="U2707" t="s">
        <v>1342</v>
      </c>
      <c r="V2707" t="s">
        <v>1343</v>
      </c>
      <c r="W2707" t="s">
        <v>1344</v>
      </c>
      <c r="AD2707" t="s">
        <v>1345</v>
      </c>
      <c r="AE2707" t="s">
        <v>1346</v>
      </c>
      <c r="AF2707" t="s">
        <v>1348</v>
      </c>
    </row>
    <row r="2708" spans="1:32" hidden="1" x14ac:dyDescent="0.35">
      <c r="A2708">
        <v>657</v>
      </c>
      <c r="B2708" t="s">
        <v>1338</v>
      </c>
      <c r="C2708" t="s">
        <v>72</v>
      </c>
      <c r="D2708" t="s">
        <v>34</v>
      </c>
      <c r="E2708">
        <v>621</v>
      </c>
      <c r="F2708">
        <v>5</v>
      </c>
      <c r="G2708">
        <v>5</v>
      </c>
      <c r="H2708">
        <v>1</v>
      </c>
      <c r="I2708">
        <v>1</v>
      </c>
      <c r="J2708">
        <v>0.87656832824686304</v>
      </c>
      <c r="K2708">
        <v>0.99292929292929399</v>
      </c>
      <c r="L2708">
        <v>0.93112755053712803</v>
      </c>
      <c r="M2708">
        <v>0.70707070707070696</v>
      </c>
      <c r="N2708">
        <v>1</v>
      </c>
      <c r="O2708">
        <v>0.81616161616161598</v>
      </c>
      <c r="P2708" t="s">
        <v>1339</v>
      </c>
      <c r="Q2708" t="s">
        <v>1340</v>
      </c>
      <c r="R2708" t="s">
        <v>96</v>
      </c>
      <c r="S2708" t="s">
        <v>97</v>
      </c>
      <c r="T2708" t="s">
        <v>1341</v>
      </c>
      <c r="U2708" t="s">
        <v>1342</v>
      </c>
      <c r="V2708" t="s">
        <v>1343</v>
      </c>
      <c r="W2708" t="s">
        <v>1344</v>
      </c>
      <c r="AD2708" t="s">
        <v>1345</v>
      </c>
      <c r="AE2708" t="s">
        <v>1346</v>
      </c>
      <c r="AF2708" t="s">
        <v>1349</v>
      </c>
    </row>
    <row r="2709" spans="1:32" hidden="1" x14ac:dyDescent="0.35">
      <c r="A2709">
        <v>658</v>
      </c>
      <c r="B2709" t="s">
        <v>1338</v>
      </c>
      <c r="C2709" t="s">
        <v>72</v>
      </c>
      <c r="D2709" t="s">
        <v>45</v>
      </c>
      <c r="E2709">
        <v>1888</v>
      </c>
      <c r="F2709">
        <v>5</v>
      </c>
      <c r="G2709">
        <v>5</v>
      </c>
      <c r="H2709">
        <v>1</v>
      </c>
      <c r="I2709">
        <v>1</v>
      </c>
      <c r="J2709">
        <v>0.87656832824686304</v>
      </c>
      <c r="K2709">
        <v>0.99292929292929399</v>
      </c>
      <c r="L2709">
        <v>0.93112755053712803</v>
      </c>
      <c r="M2709">
        <v>0.70707070707070696</v>
      </c>
      <c r="N2709">
        <v>1</v>
      </c>
      <c r="O2709">
        <v>0.81616161616161598</v>
      </c>
      <c r="P2709" t="s">
        <v>1339</v>
      </c>
      <c r="Q2709" t="s">
        <v>1340</v>
      </c>
      <c r="R2709" t="s">
        <v>96</v>
      </c>
      <c r="S2709" t="s">
        <v>97</v>
      </c>
      <c r="T2709" t="s">
        <v>1341</v>
      </c>
      <c r="U2709" t="s">
        <v>1342</v>
      </c>
      <c r="V2709" t="s">
        <v>1343</v>
      </c>
      <c r="W2709" t="s">
        <v>1344</v>
      </c>
      <c r="AD2709" t="s">
        <v>1345</v>
      </c>
      <c r="AE2709" t="s">
        <v>1346</v>
      </c>
      <c r="AF2709" t="s">
        <v>1349</v>
      </c>
    </row>
    <row r="2710" spans="1:32" hidden="1" x14ac:dyDescent="0.35">
      <c r="A2710">
        <v>794</v>
      </c>
      <c r="B2710" t="s">
        <v>1630</v>
      </c>
      <c r="C2710" t="s">
        <v>72</v>
      </c>
      <c r="D2710" t="s">
        <v>58</v>
      </c>
      <c r="E2710">
        <v>1601</v>
      </c>
      <c r="F2710">
        <v>5</v>
      </c>
      <c r="G2710">
        <v>5</v>
      </c>
      <c r="H2710">
        <v>1</v>
      </c>
      <c r="I2710">
        <v>1</v>
      </c>
      <c r="J2710">
        <v>0.87792207792207799</v>
      </c>
      <c r="K2710">
        <v>1</v>
      </c>
      <c r="L2710">
        <v>0.93499308437067796</v>
      </c>
      <c r="M2710">
        <v>0.72727272727272696</v>
      </c>
      <c r="N2710">
        <v>1</v>
      </c>
      <c r="O2710">
        <v>0.81558441558441597</v>
      </c>
      <c r="P2710" t="s">
        <v>1631</v>
      </c>
      <c r="Q2710" t="s">
        <v>1632</v>
      </c>
      <c r="R2710" t="s">
        <v>96</v>
      </c>
      <c r="S2710" t="s">
        <v>97</v>
      </c>
      <c r="T2710" t="s">
        <v>1633</v>
      </c>
      <c r="U2710" t="s">
        <v>1634</v>
      </c>
      <c r="V2710" t="s">
        <v>1635</v>
      </c>
      <c r="W2710" t="s">
        <v>1636</v>
      </c>
      <c r="AD2710" t="s">
        <v>410</v>
      </c>
      <c r="AE2710" t="s">
        <v>1637</v>
      </c>
      <c r="AF2710" t="s">
        <v>1638</v>
      </c>
    </row>
    <row r="2711" spans="1:32" hidden="1" x14ac:dyDescent="0.35">
      <c r="A2711">
        <v>795</v>
      </c>
      <c r="B2711" t="s">
        <v>1630</v>
      </c>
      <c r="C2711" t="s">
        <v>72</v>
      </c>
      <c r="D2711" t="s">
        <v>60</v>
      </c>
      <c r="E2711">
        <v>2113</v>
      </c>
      <c r="F2711">
        <v>5</v>
      </c>
      <c r="G2711">
        <v>5</v>
      </c>
      <c r="H2711">
        <v>1</v>
      </c>
      <c r="I2711">
        <v>1</v>
      </c>
      <c r="J2711">
        <v>0.87792207792207799</v>
      </c>
      <c r="K2711">
        <v>1</v>
      </c>
      <c r="L2711">
        <v>0.93499308437067796</v>
      </c>
      <c r="M2711">
        <v>0.72727272727272696</v>
      </c>
      <c r="N2711">
        <v>1</v>
      </c>
      <c r="O2711">
        <v>0.81558441558441597</v>
      </c>
      <c r="P2711" t="s">
        <v>1631</v>
      </c>
      <c r="Q2711" t="s">
        <v>1632</v>
      </c>
      <c r="R2711" t="s">
        <v>96</v>
      </c>
      <c r="S2711" t="s">
        <v>97</v>
      </c>
      <c r="T2711" t="s">
        <v>1633</v>
      </c>
      <c r="U2711" t="s">
        <v>1634</v>
      </c>
      <c r="V2711" t="s">
        <v>1635</v>
      </c>
      <c r="W2711" t="s">
        <v>1636</v>
      </c>
      <c r="AD2711" t="s">
        <v>410</v>
      </c>
      <c r="AE2711" t="s">
        <v>1637</v>
      </c>
      <c r="AF2711" t="s">
        <v>1639</v>
      </c>
    </row>
    <row r="2712" spans="1:32" hidden="1" x14ac:dyDescent="0.35">
      <c r="A2712">
        <v>796</v>
      </c>
      <c r="B2712" t="s">
        <v>1630</v>
      </c>
      <c r="C2712" t="s">
        <v>72</v>
      </c>
      <c r="D2712" t="s">
        <v>62</v>
      </c>
      <c r="E2712">
        <v>2148</v>
      </c>
      <c r="F2712">
        <v>5</v>
      </c>
      <c r="G2712">
        <v>5</v>
      </c>
      <c r="H2712">
        <v>1</v>
      </c>
      <c r="I2712">
        <v>1</v>
      </c>
      <c r="J2712">
        <v>0.87792207792207799</v>
      </c>
      <c r="K2712">
        <v>1</v>
      </c>
      <c r="L2712">
        <v>0.93499308437067796</v>
      </c>
      <c r="M2712">
        <v>0.72727272727272696</v>
      </c>
      <c r="N2712">
        <v>1</v>
      </c>
      <c r="O2712">
        <v>0.81558441558441597</v>
      </c>
      <c r="P2712" t="s">
        <v>1631</v>
      </c>
      <c r="Q2712" t="s">
        <v>1632</v>
      </c>
      <c r="R2712" t="s">
        <v>96</v>
      </c>
      <c r="S2712" t="s">
        <v>97</v>
      </c>
      <c r="T2712" t="s">
        <v>1633</v>
      </c>
      <c r="U2712" t="s">
        <v>1634</v>
      </c>
      <c r="V2712" t="s">
        <v>1635</v>
      </c>
      <c r="W2712" t="s">
        <v>1636</v>
      </c>
      <c r="AD2712" t="s">
        <v>410</v>
      </c>
      <c r="AE2712" t="s">
        <v>1637</v>
      </c>
      <c r="AF2712" t="s">
        <v>1639</v>
      </c>
    </row>
    <row r="2713" spans="1:32" hidden="1" x14ac:dyDescent="0.35">
      <c r="A2713">
        <v>797</v>
      </c>
      <c r="B2713" t="s">
        <v>1630</v>
      </c>
      <c r="C2713" t="s">
        <v>72</v>
      </c>
      <c r="D2713" t="s">
        <v>34</v>
      </c>
      <c r="E2713">
        <v>2458</v>
      </c>
      <c r="F2713">
        <v>5</v>
      </c>
      <c r="G2713">
        <v>5</v>
      </c>
      <c r="H2713">
        <v>1</v>
      </c>
      <c r="I2713">
        <v>1</v>
      </c>
      <c r="J2713">
        <v>0.87792207792207799</v>
      </c>
      <c r="K2713">
        <v>1</v>
      </c>
      <c r="L2713">
        <v>0.93499308437067796</v>
      </c>
      <c r="M2713">
        <v>0.72727272727272696</v>
      </c>
      <c r="N2713">
        <v>1</v>
      </c>
      <c r="O2713">
        <v>0.81558441558441597</v>
      </c>
      <c r="P2713" t="s">
        <v>1631</v>
      </c>
      <c r="Q2713" t="s">
        <v>1632</v>
      </c>
      <c r="R2713" t="s">
        <v>96</v>
      </c>
      <c r="S2713" t="s">
        <v>97</v>
      </c>
      <c r="T2713" t="s">
        <v>1633</v>
      </c>
      <c r="U2713" t="s">
        <v>1634</v>
      </c>
      <c r="V2713" t="s">
        <v>1635</v>
      </c>
      <c r="W2713" t="s">
        <v>1636</v>
      </c>
      <c r="AD2713" t="s">
        <v>410</v>
      </c>
      <c r="AE2713" t="s">
        <v>1637</v>
      </c>
      <c r="AF2713" t="s">
        <v>1640</v>
      </c>
    </row>
    <row r="2714" spans="1:32" hidden="1" x14ac:dyDescent="0.35">
      <c r="A2714">
        <v>798</v>
      </c>
      <c r="B2714" t="s">
        <v>1630</v>
      </c>
      <c r="C2714" t="s">
        <v>72</v>
      </c>
      <c r="D2714" t="s">
        <v>45</v>
      </c>
      <c r="E2714">
        <v>443</v>
      </c>
      <c r="F2714">
        <v>5</v>
      </c>
      <c r="G2714">
        <v>5</v>
      </c>
      <c r="H2714">
        <v>1</v>
      </c>
      <c r="I2714">
        <v>1</v>
      </c>
      <c r="J2714">
        <v>0.87792207792207799</v>
      </c>
      <c r="K2714">
        <v>1</v>
      </c>
      <c r="L2714">
        <v>0.93499308437067796</v>
      </c>
      <c r="M2714">
        <v>0.72727272727272696</v>
      </c>
      <c r="N2714">
        <v>1</v>
      </c>
      <c r="O2714">
        <v>0.81558441558441597</v>
      </c>
      <c r="P2714" t="s">
        <v>1631</v>
      </c>
      <c r="Q2714" t="s">
        <v>1632</v>
      </c>
      <c r="R2714" t="s">
        <v>96</v>
      </c>
      <c r="S2714" t="s">
        <v>97</v>
      </c>
      <c r="T2714" t="s">
        <v>1633</v>
      </c>
      <c r="U2714" t="s">
        <v>1634</v>
      </c>
      <c r="V2714" t="s">
        <v>1635</v>
      </c>
      <c r="W2714" t="s">
        <v>1636</v>
      </c>
      <c r="AD2714" t="s">
        <v>410</v>
      </c>
      <c r="AE2714" t="s">
        <v>1637</v>
      </c>
      <c r="AF2714" t="s">
        <v>1640</v>
      </c>
    </row>
    <row r="2715" spans="1:32" hidden="1" x14ac:dyDescent="0.35">
      <c r="A2715">
        <v>929</v>
      </c>
      <c r="B2715" t="s">
        <v>1929</v>
      </c>
      <c r="C2715" t="s">
        <v>72</v>
      </c>
      <c r="D2715" t="s">
        <v>58</v>
      </c>
      <c r="E2715">
        <v>295</v>
      </c>
      <c r="F2715">
        <v>5</v>
      </c>
      <c r="G2715">
        <v>5</v>
      </c>
      <c r="H2715">
        <v>1</v>
      </c>
      <c r="I2715">
        <v>1</v>
      </c>
      <c r="J2715">
        <v>0.85364281108962003</v>
      </c>
      <c r="K2715">
        <v>0.81093643198906296</v>
      </c>
      <c r="L2715">
        <v>0.83174178495437201</v>
      </c>
      <c r="M2715">
        <v>0.55639097744360899</v>
      </c>
      <c r="N2715">
        <v>1</v>
      </c>
      <c r="O2715">
        <v>0.68270676691729304</v>
      </c>
      <c r="P2715" t="s">
        <v>1930</v>
      </c>
      <c r="Q2715" t="s">
        <v>1931</v>
      </c>
      <c r="R2715" t="s">
        <v>96</v>
      </c>
      <c r="S2715" t="s">
        <v>97</v>
      </c>
      <c r="T2715" t="s">
        <v>1932</v>
      </c>
      <c r="U2715" t="s">
        <v>1931</v>
      </c>
      <c r="V2715" t="s">
        <v>1933</v>
      </c>
      <c r="W2715" t="s">
        <v>1934</v>
      </c>
      <c r="AD2715" t="s">
        <v>410</v>
      </c>
      <c r="AE2715" t="s">
        <v>1637</v>
      </c>
      <c r="AF2715" t="s">
        <v>1935</v>
      </c>
    </row>
    <row r="2716" spans="1:32" hidden="1" x14ac:dyDescent="0.35">
      <c r="A2716">
        <v>930</v>
      </c>
      <c r="B2716" t="s">
        <v>1929</v>
      </c>
      <c r="C2716" t="s">
        <v>72</v>
      </c>
      <c r="D2716" t="s">
        <v>60</v>
      </c>
      <c r="E2716">
        <v>2095</v>
      </c>
      <c r="F2716">
        <v>5</v>
      </c>
      <c r="G2716">
        <v>5</v>
      </c>
      <c r="H2716">
        <v>1</v>
      </c>
      <c r="I2716">
        <v>1</v>
      </c>
      <c r="J2716">
        <v>0.85364281108962003</v>
      </c>
      <c r="K2716">
        <v>0.81093643198906296</v>
      </c>
      <c r="L2716">
        <v>0.83174178495437201</v>
      </c>
      <c r="M2716">
        <v>0.55639097744360899</v>
      </c>
      <c r="N2716">
        <v>1</v>
      </c>
      <c r="O2716">
        <v>0.68270676691729304</v>
      </c>
      <c r="P2716" t="s">
        <v>1930</v>
      </c>
      <c r="Q2716" t="s">
        <v>1931</v>
      </c>
      <c r="R2716" t="s">
        <v>96</v>
      </c>
      <c r="S2716" t="s">
        <v>97</v>
      </c>
      <c r="T2716" t="s">
        <v>1932</v>
      </c>
      <c r="U2716" t="s">
        <v>1931</v>
      </c>
      <c r="V2716" t="s">
        <v>1933</v>
      </c>
      <c r="W2716" t="s">
        <v>1934</v>
      </c>
      <c r="AD2716" t="s">
        <v>410</v>
      </c>
      <c r="AE2716" t="s">
        <v>1637</v>
      </c>
      <c r="AF2716" t="e">
        <f>-----------MSSPAA-----------VPV--------------ESQQVEVVTSENLPWMCIVWDDPVNLMSYVTYVFHTILGYDKKRAHELMMQVHTEGKAVVSTGEKDKVEGDVKKLHTAGLWATMQQAG</f>
        <v>#NAME?</v>
      </c>
    </row>
    <row r="2717" spans="1:32" hidden="1" x14ac:dyDescent="0.35">
      <c r="A2717">
        <v>931</v>
      </c>
      <c r="B2717" t="s">
        <v>1929</v>
      </c>
      <c r="C2717" t="s">
        <v>72</v>
      </c>
      <c r="D2717" t="s">
        <v>62</v>
      </c>
      <c r="E2717">
        <v>2130</v>
      </c>
      <c r="F2717">
        <v>5</v>
      </c>
      <c r="G2717">
        <v>5</v>
      </c>
      <c r="H2717">
        <v>1</v>
      </c>
      <c r="I2717">
        <v>1</v>
      </c>
      <c r="J2717">
        <v>0.85364281108962003</v>
      </c>
      <c r="K2717">
        <v>0.81093643198906296</v>
      </c>
      <c r="L2717">
        <v>0.83174178495437201</v>
      </c>
      <c r="M2717">
        <v>0.55639097744360899</v>
      </c>
      <c r="N2717">
        <v>1</v>
      </c>
      <c r="O2717">
        <v>0.68270676691729304</v>
      </c>
      <c r="P2717" t="s">
        <v>1930</v>
      </c>
      <c r="Q2717" t="s">
        <v>1931</v>
      </c>
      <c r="R2717" t="s">
        <v>96</v>
      </c>
      <c r="S2717" t="s">
        <v>97</v>
      </c>
      <c r="T2717" t="s">
        <v>1932</v>
      </c>
      <c r="U2717" t="s">
        <v>1931</v>
      </c>
      <c r="V2717" t="s">
        <v>1933</v>
      </c>
      <c r="W2717" t="s">
        <v>1934</v>
      </c>
      <c r="AD2717" t="s">
        <v>410</v>
      </c>
      <c r="AE2717" t="s">
        <v>1637</v>
      </c>
      <c r="AF2717" t="e">
        <f>-----------MSSPAA-----------VPV--------------ESQQVEVVTSENLPWMCIVWDDPVNLMSYVTYVFHTILGYDKKRAHELMMQVHTEGKAVVSTGEKDKVEGDVKKLHTAGLWATMQQAG</f>
        <v>#NAME?</v>
      </c>
    </row>
    <row r="2718" spans="1:32" hidden="1" x14ac:dyDescent="0.35">
      <c r="A2718">
        <v>932</v>
      </c>
      <c r="B2718" t="s">
        <v>1929</v>
      </c>
      <c r="C2718" t="s">
        <v>72</v>
      </c>
      <c r="D2718" t="s">
        <v>34</v>
      </c>
      <c r="E2718">
        <v>2447</v>
      </c>
      <c r="F2718">
        <v>5</v>
      </c>
      <c r="G2718">
        <v>5</v>
      </c>
      <c r="H2718">
        <v>1</v>
      </c>
      <c r="I2718">
        <v>1</v>
      </c>
      <c r="J2718">
        <v>0.85364281108962003</v>
      </c>
      <c r="K2718">
        <v>0.81093643198906296</v>
      </c>
      <c r="L2718">
        <v>0.83174178495437201</v>
      </c>
      <c r="M2718">
        <v>0.55639097744360899</v>
      </c>
      <c r="N2718">
        <v>1</v>
      </c>
      <c r="O2718">
        <v>0.68270676691729304</v>
      </c>
      <c r="P2718" t="s">
        <v>1930</v>
      </c>
      <c r="Q2718" t="s">
        <v>1931</v>
      </c>
      <c r="R2718" t="s">
        <v>96</v>
      </c>
      <c r="S2718" t="s">
        <v>97</v>
      </c>
      <c r="T2718" t="s">
        <v>1932</v>
      </c>
      <c r="U2718" t="s">
        <v>1931</v>
      </c>
      <c r="V2718" t="s">
        <v>1933</v>
      </c>
      <c r="W2718" t="s">
        <v>1934</v>
      </c>
      <c r="AD2718" t="s">
        <v>410</v>
      </c>
      <c r="AE2718" t="s">
        <v>1637</v>
      </c>
      <c r="AF2718" t="s">
        <v>1936</v>
      </c>
    </row>
    <row r="2719" spans="1:32" hidden="1" x14ac:dyDescent="0.35">
      <c r="A2719">
        <v>933</v>
      </c>
      <c r="B2719" t="s">
        <v>1929</v>
      </c>
      <c r="C2719" t="s">
        <v>72</v>
      </c>
      <c r="D2719" t="s">
        <v>45</v>
      </c>
      <c r="E2719">
        <v>455</v>
      </c>
      <c r="F2719">
        <v>5</v>
      </c>
      <c r="G2719">
        <v>5</v>
      </c>
      <c r="H2719">
        <v>1</v>
      </c>
      <c r="I2719">
        <v>1</v>
      </c>
      <c r="J2719">
        <v>0.85364281108962003</v>
      </c>
      <c r="K2719">
        <v>0.81093643198906296</v>
      </c>
      <c r="L2719">
        <v>0.83174178495437201</v>
      </c>
      <c r="M2719">
        <v>0.55639097744360899</v>
      </c>
      <c r="N2719">
        <v>1</v>
      </c>
      <c r="O2719">
        <v>0.68270676691729304</v>
      </c>
      <c r="P2719" t="s">
        <v>1930</v>
      </c>
      <c r="Q2719" t="s">
        <v>1931</v>
      </c>
      <c r="R2719" t="s">
        <v>96</v>
      </c>
      <c r="S2719" t="s">
        <v>97</v>
      </c>
      <c r="T2719" t="s">
        <v>1932</v>
      </c>
      <c r="U2719" t="s">
        <v>1931</v>
      </c>
      <c r="V2719" t="s">
        <v>1933</v>
      </c>
      <c r="W2719" t="s">
        <v>1934</v>
      </c>
      <c r="AD2719" t="s">
        <v>410</v>
      </c>
      <c r="AE2719" t="s">
        <v>1637</v>
      </c>
      <c r="AF2719" t="s">
        <v>1936</v>
      </c>
    </row>
    <row r="2720" spans="1:32" hidden="1" x14ac:dyDescent="0.35">
      <c r="A2720">
        <v>999</v>
      </c>
      <c r="B2720" t="s">
        <v>2081</v>
      </c>
      <c r="C2720" t="s">
        <v>72</v>
      </c>
      <c r="D2720" t="s">
        <v>58</v>
      </c>
      <c r="E2720">
        <v>1811</v>
      </c>
      <c r="F2720">
        <v>5</v>
      </c>
      <c r="G2720">
        <v>5</v>
      </c>
      <c r="H2720">
        <v>1</v>
      </c>
      <c r="I2720">
        <v>1</v>
      </c>
      <c r="J2720">
        <v>0.78260869565217395</v>
      </c>
      <c r="K2720">
        <v>1</v>
      </c>
      <c r="L2720">
        <v>0.87804878048780499</v>
      </c>
      <c r="M2720">
        <v>0.55652173913043501</v>
      </c>
      <c r="N2720">
        <v>1</v>
      </c>
      <c r="O2720">
        <v>0.685217391304348</v>
      </c>
      <c r="P2720" t="s">
        <v>2082</v>
      </c>
      <c r="Q2720" t="s">
        <v>2083</v>
      </c>
      <c r="R2720" t="s">
        <v>96</v>
      </c>
      <c r="S2720" t="s">
        <v>97</v>
      </c>
      <c r="V2720" t="s">
        <v>2084</v>
      </c>
      <c r="W2720" t="s">
        <v>2085</v>
      </c>
      <c r="AF2720" t="s">
        <v>2086</v>
      </c>
    </row>
    <row r="2721" spans="1:32" hidden="1" x14ac:dyDescent="0.35">
      <c r="A2721">
        <v>1000</v>
      </c>
      <c r="B2721" t="s">
        <v>2081</v>
      </c>
      <c r="C2721" t="s">
        <v>72</v>
      </c>
      <c r="D2721" t="s">
        <v>60</v>
      </c>
      <c r="E2721">
        <v>2440</v>
      </c>
      <c r="F2721">
        <v>5</v>
      </c>
      <c r="G2721">
        <v>5</v>
      </c>
      <c r="H2721">
        <v>1</v>
      </c>
      <c r="I2721">
        <v>1</v>
      </c>
      <c r="J2721">
        <v>0.78260869565217395</v>
      </c>
      <c r="K2721">
        <v>1</v>
      </c>
      <c r="L2721">
        <v>0.87804878048780499</v>
      </c>
      <c r="M2721">
        <v>0.55652173913043501</v>
      </c>
      <c r="N2721">
        <v>1</v>
      </c>
      <c r="O2721">
        <v>0.685217391304348</v>
      </c>
      <c r="P2721" t="s">
        <v>2082</v>
      </c>
      <c r="Q2721" t="s">
        <v>2083</v>
      </c>
      <c r="R2721" t="s">
        <v>96</v>
      </c>
      <c r="S2721" t="s">
        <v>97</v>
      </c>
      <c r="V2721" t="s">
        <v>2084</v>
      </c>
      <c r="W2721" t="s">
        <v>2085</v>
      </c>
      <c r="AF2721" t="s">
        <v>2087</v>
      </c>
    </row>
    <row r="2722" spans="1:32" hidden="1" x14ac:dyDescent="0.35">
      <c r="A2722">
        <v>1001</v>
      </c>
      <c r="B2722" t="s">
        <v>2081</v>
      </c>
      <c r="C2722" t="s">
        <v>72</v>
      </c>
      <c r="D2722" t="s">
        <v>62</v>
      </c>
      <c r="E2722">
        <v>2466</v>
      </c>
      <c r="F2722">
        <v>5</v>
      </c>
      <c r="G2722">
        <v>5</v>
      </c>
      <c r="H2722">
        <v>1</v>
      </c>
      <c r="I2722">
        <v>1</v>
      </c>
      <c r="J2722">
        <v>0.78260869565217395</v>
      </c>
      <c r="K2722">
        <v>1</v>
      </c>
      <c r="L2722">
        <v>0.87804878048780499</v>
      </c>
      <c r="M2722">
        <v>0.55652173913043501</v>
      </c>
      <c r="N2722">
        <v>1</v>
      </c>
      <c r="O2722">
        <v>0.685217391304348</v>
      </c>
      <c r="P2722" t="s">
        <v>2082</v>
      </c>
      <c r="Q2722" t="s">
        <v>2083</v>
      </c>
      <c r="R2722" t="s">
        <v>96</v>
      </c>
      <c r="S2722" t="s">
        <v>97</v>
      </c>
      <c r="V2722" t="s">
        <v>2084</v>
      </c>
      <c r="W2722" t="s">
        <v>2085</v>
      </c>
      <c r="AF2722" t="s">
        <v>2087</v>
      </c>
    </row>
    <row r="2723" spans="1:32" hidden="1" x14ac:dyDescent="0.35">
      <c r="A2723">
        <v>1002</v>
      </c>
      <c r="B2723" t="s">
        <v>2081</v>
      </c>
      <c r="C2723" t="s">
        <v>72</v>
      </c>
      <c r="D2723" t="s">
        <v>34</v>
      </c>
      <c r="E2723">
        <v>1287</v>
      </c>
      <c r="F2723">
        <v>5</v>
      </c>
      <c r="G2723">
        <v>5</v>
      </c>
      <c r="H2723">
        <v>1</v>
      </c>
      <c r="I2723">
        <v>1</v>
      </c>
      <c r="J2723">
        <v>0.78260869565217395</v>
      </c>
      <c r="K2723">
        <v>1</v>
      </c>
      <c r="L2723">
        <v>0.87804878048780499</v>
      </c>
      <c r="M2723">
        <v>0.55652173913043501</v>
      </c>
      <c r="N2723">
        <v>1</v>
      </c>
      <c r="O2723">
        <v>0.685217391304348</v>
      </c>
      <c r="P2723" t="s">
        <v>2082</v>
      </c>
      <c r="Q2723" t="s">
        <v>2083</v>
      </c>
      <c r="R2723" t="s">
        <v>96</v>
      </c>
      <c r="S2723" t="s">
        <v>97</v>
      </c>
      <c r="V2723" t="s">
        <v>2084</v>
      </c>
      <c r="W2723" t="s">
        <v>2085</v>
      </c>
      <c r="AF2723" t="s">
        <v>2088</v>
      </c>
    </row>
    <row r="2724" spans="1:32" hidden="1" x14ac:dyDescent="0.35">
      <c r="A2724">
        <v>1003</v>
      </c>
      <c r="B2724" t="s">
        <v>2081</v>
      </c>
      <c r="C2724" t="s">
        <v>72</v>
      </c>
      <c r="D2724" t="s">
        <v>45</v>
      </c>
      <c r="E2724">
        <v>39</v>
      </c>
      <c r="F2724">
        <v>5</v>
      </c>
      <c r="G2724">
        <v>5</v>
      </c>
      <c r="H2724">
        <v>1</v>
      </c>
      <c r="I2724">
        <v>1</v>
      </c>
      <c r="J2724">
        <v>0.78260869565217395</v>
      </c>
      <c r="K2724">
        <v>1</v>
      </c>
      <c r="L2724">
        <v>0.87804878048780499</v>
      </c>
      <c r="M2724">
        <v>0.55652173913043501</v>
      </c>
      <c r="N2724">
        <v>1</v>
      </c>
      <c r="O2724">
        <v>0.685217391304348</v>
      </c>
      <c r="P2724" t="s">
        <v>2082</v>
      </c>
      <c r="Q2724" t="s">
        <v>2083</v>
      </c>
      <c r="R2724" t="s">
        <v>96</v>
      </c>
      <c r="S2724" t="s">
        <v>97</v>
      </c>
      <c r="V2724" t="s">
        <v>2084</v>
      </c>
      <c r="W2724" t="s">
        <v>2085</v>
      </c>
      <c r="AF2724" t="s">
        <v>2088</v>
      </c>
    </row>
    <row r="2725" spans="1:32" hidden="1" x14ac:dyDescent="0.35">
      <c r="A2725">
        <v>1314</v>
      </c>
      <c r="B2725" t="s">
        <v>2721</v>
      </c>
      <c r="C2725" t="s">
        <v>72</v>
      </c>
      <c r="D2725" t="s">
        <v>58</v>
      </c>
      <c r="E2725">
        <v>974</v>
      </c>
      <c r="F2725">
        <v>5</v>
      </c>
      <c r="G2725">
        <v>5</v>
      </c>
      <c r="H2725">
        <v>1</v>
      </c>
      <c r="I2725">
        <v>1</v>
      </c>
      <c r="J2725">
        <v>0.91284708383154001</v>
      </c>
      <c r="K2725">
        <v>0.99563492063492298</v>
      </c>
      <c r="L2725">
        <v>0.95244537987301403</v>
      </c>
      <c r="M2725">
        <v>0.81349206349206304</v>
      </c>
      <c r="N2725">
        <v>1</v>
      </c>
      <c r="O2725">
        <v>0.878571428571428</v>
      </c>
      <c r="P2725" t="s">
        <v>169</v>
      </c>
      <c r="Q2725" t="s">
        <v>170</v>
      </c>
      <c r="R2725" t="s">
        <v>96</v>
      </c>
      <c r="S2725" t="s">
        <v>97</v>
      </c>
      <c r="T2725" t="s">
        <v>2722</v>
      </c>
      <c r="U2725" t="s">
        <v>2723</v>
      </c>
      <c r="V2725" t="s">
        <v>2724</v>
      </c>
      <c r="W2725" t="s">
        <v>2725</v>
      </c>
      <c r="AD2725" t="s">
        <v>166</v>
      </c>
      <c r="AE2725" t="s">
        <v>2726</v>
      </c>
      <c r="AF2725" t="s">
        <v>2727</v>
      </c>
    </row>
    <row r="2726" spans="1:32" hidden="1" x14ac:dyDescent="0.35">
      <c r="A2726">
        <v>1315</v>
      </c>
      <c r="B2726" t="s">
        <v>2721</v>
      </c>
      <c r="C2726" t="s">
        <v>72</v>
      </c>
      <c r="D2726" t="s">
        <v>60</v>
      </c>
      <c r="E2726">
        <v>1235</v>
      </c>
      <c r="F2726">
        <v>5</v>
      </c>
      <c r="G2726">
        <v>5</v>
      </c>
      <c r="H2726">
        <v>1</v>
      </c>
      <c r="I2726">
        <v>1</v>
      </c>
      <c r="J2726">
        <v>0.91284708383154001</v>
      </c>
      <c r="K2726">
        <v>0.99563492063492298</v>
      </c>
      <c r="L2726">
        <v>0.95244537987301403</v>
      </c>
      <c r="M2726">
        <v>0.81349206349206304</v>
      </c>
      <c r="N2726">
        <v>1</v>
      </c>
      <c r="O2726">
        <v>0.878571428571428</v>
      </c>
      <c r="P2726" t="s">
        <v>169</v>
      </c>
      <c r="Q2726" t="s">
        <v>170</v>
      </c>
      <c r="R2726" t="s">
        <v>96</v>
      </c>
      <c r="S2726" t="s">
        <v>97</v>
      </c>
      <c r="T2726" t="s">
        <v>2722</v>
      </c>
      <c r="U2726" t="s">
        <v>2723</v>
      </c>
      <c r="V2726" t="s">
        <v>2724</v>
      </c>
      <c r="W2726" t="s">
        <v>2725</v>
      </c>
      <c r="AD2726" t="s">
        <v>166</v>
      </c>
      <c r="AE2726" t="s">
        <v>2726</v>
      </c>
      <c r="AF2726" t="s">
        <v>2728</v>
      </c>
    </row>
    <row r="2727" spans="1:32" hidden="1" x14ac:dyDescent="0.35">
      <c r="A2727">
        <v>1316</v>
      </c>
      <c r="B2727" t="s">
        <v>2721</v>
      </c>
      <c r="C2727" t="s">
        <v>72</v>
      </c>
      <c r="D2727" t="s">
        <v>62</v>
      </c>
      <c r="E2727">
        <v>1272</v>
      </c>
      <c r="F2727">
        <v>5</v>
      </c>
      <c r="G2727">
        <v>5</v>
      </c>
      <c r="H2727">
        <v>1</v>
      </c>
      <c r="I2727">
        <v>1</v>
      </c>
      <c r="J2727">
        <v>0.91284708383154001</v>
      </c>
      <c r="K2727">
        <v>0.99563492063492298</v>
      </c>
      <c r="L2727">
        <v>0.95244537987301403</v>
      </c>
      <c r="M2727">
        <v>0.81349206349206304</v>
      </c>
      <c r="N2727">
        <v>1</v>
      </c>
      <c r="O2727">
        <v>0.878571428571428</v>
      </c>
      <c r="P2727" t="s">
        <v>169</v>
      </c>
      <c r="Q2727" t="s">
        <v>170</v>
      </c>
      <c r="R2727" t="s">
        <v>96</v>
      </c>
      <c r="S2727" t="s">
        <v>97</v>
      </c>
      <c r="T2727" t="s">
        <v>2722</v>
      </c>
      <c r="U2727" t="s">
        <v>2723</v>
      </c>
      <c r="V2727" t="s">
        <v>2724</v>
      </c>
      <c r="W2727" t="s">
        <v>2725</v>
      </c>
      <c r="AD2727" t="s">
        <v>166</v>
      </c>
      <c r="AE2727" t="s">
        <v>2726</v>
      </c>
      <c r="AF2727" t="s">
        <v>2728</v>
      </c>
    </row>
    <row r="2728" spans="1:32" hidden="1" x14ac:dyDescent="0.35">
      <c r="A2728">
        <v>1317</v>
      </c>
      <c r="B2728" t="s">
        <v>2721</v>
      </c>
      <c r="C2728" t="s">
        <v>72</v>
      </c>
      <c r="D2728" t="s">
        <v>34</v>
      </c>
      <c r="E2728">
        <v>1767</v>
      </c>
      <c r="F2728">
        <v>5</v>
      </c>
      <c r="G2728">
        <v>5</v>
      </c>
      <c r="H2728">
        <v>1</v>
      </c>
      <c r="I2728">
        <v>1</v>
      </c>
      <c r="J2728">
        <v>0.91284708383154001</v>
      </c>
      <c r="K2728">
        <v>0.99563492063492298</v>
      </c>
      <c r="L2728">
        <v>0.95244537987301403</v>
      </c>
      <c r="M2728">
        <v>0.81349206349206304</v>
      </c>
      <c r="N2728">
        <v>1</v>
      </c>
      <c r="O2728">
        <v>0.878571428571428</v>
      </c>
      <c r="P2728" t="s">
        <v>169</v>
      </c>
      <c r="Q2728" t="s">
        <v>170</v>
      </c>
      <c r="R2728" t="s">
        <v>96</v>
      </c>
      <c r="S2728" t="s">
        <v>97</v>
      </c>
      <c r="T2728" t="s">
        <v>2722</v>
      </c>
      <c r="U2728" t="s">
        <v>2723</v>
      </c>
      <c r="V2728" t="s">
        <v>2724</v>
      </c>
      <c r="W2728" t="s">
        <v>2725</v>
      </c>
      <c r="AD2728" t="s">
        <v>166</v>
      </c>
      <c r="AE2728" t="s">
        <v>2726</v>
      </c>
      <c r="AF2728" t="s">
        <v>2729</v>
      </c>
    </row>
    <row r="2729" spans="1:32" hidden="1" x14ac:dyDescent="0.35">
      <c r="A2729">
        <v>1318</v>
      </c>
      <c r="B2729" t="s">
        <v>2721</v>
      </c>
      <c r="C2729" t="s">
        <v>72</v>
      </c>
      <c r="D2729" t="s">
        <v>45</v>
      </c>
      <c r="E2729">
        <v>1106</v>
      </c>
      <c r="F2729">
        <v>5</v>
      </c>
      <c r="G2729">
        <v>5</v>
      </c>
      <c r="H2729">
        <v>1</v>
      </c>
      <c r="I2729">
        <v>1</v>
      </c>
      <c r="J2729">
        <v>0.91284708383154001</v>
      </c>
      <c r="K2729">
        <v>0.99563492063492298</v>
      </c>
      <c r="L2729">
        <v>0.95244537987301403</v>
      </c>
      <c r="M2729">
        <v>0.81349206349206304</v>
      </c>
      <c r="N2729">
        <v>1</v>
      </c>
      <c r="O2729">
        <v>0.878571428571428</v>
      </c>
      <c r="P2729" t="s">
        <v>169</v>
      </c>
      <c r="Q2729" t="s">
        <v>170</v>
      </c>
      <c r="R2729" t="s">
        <v>96</v>
      </c>
      <c r="S2729" t="s">
        <v>97</v>
      </c>
      <c r="T2729" t="s">
        <v>2722</v>
      </c>
      <c r="U2729" t="s">
        <v>2723</v>
      </c>
      <c r="V2729" t="s">
        <v>2724</v>
      </c>
      <c r="W2729" t="s">
        <v>2725</v>
      </c>
      <c r="AD2729" t="s">
        <v>166</v>
      </c>
      <c r="AE2729" t="s">
        <v>2726</v>
      </c>
      <c r="AF2729" t="s">
        <v>2730</v>
      </c>
    </row>
    <row r="2730" spans="1:32" hidden="1" x14ac:dyDescent="0.35">
      <c r="A2730">
        <v>1339</v>
      </c>
      <c r="B2730" t="s">
        <v>2774</v>
      </c>
      <c r="C2730" t="s">
        <v>72</v>
      </c>
      <c r="D2730" t="s">
        <v>58</v>
      </c>
      <c r="E2730">
        <v>1478</v>
      </c>
      <c r="F2730">
        <v>5</v>
      </c>
      <c r="G2730">
        <v>5</v>
      </c>
      <c r="H2730">
        <v>1</v>
      </c>
      <c r="I2730">
        <v>1</v>
      </c>
      <c r="J2730">
        <v>0.857472361409369</v>
      </c>
      <c r="K2730">
        <v>0.98177590130949999</v>
      </c>
      <c r="L2730">
        <v>0.91542367339383601</v>
      </c>
      <c r="M2730">
        <v>0.74004683840749397</v>
      </c>
      <c r="N2730">
        <v>1</v>
      </c>
      <c r="O2730">
        <v>0.79531615925058596</v>
      </c>
      <c r="P2730" t="s">
        <v>1199</v>
      </c>
      <c r="Q2730" t="s">
        <v>1200</v>
      </c>
      <c r="R2730" t="s">
        <v>96</v>
      </c>
      <c r="S2730" t="s">
        <v>97</v>
      </c>
      <c r="T2730" t="s">
        <v>2775</v>
      </c>
      <c r="U2730" t="s">
        <v>2776</v>
      </c>
      <c r="V2730" t="s">
        <v>2777</v>
      </c>
      <c r="W2730" t="s">
        <v>2778</v>
      </c>
      <c r="AD2730" t="s">
        <v>2779</v>
      </c>
      <c r="AE2730" t="s">
        <v>2780</v>
      </c>
      <c r="AF2730" t="s">
        <v>2781</v>
      </c>
    </row>
    <row r="2731" spans="1:32" hidden="1" x14ac:dyDescent="0.35">
      <c r="A2731">
        <v>1340</v>
      </c>
      <c r="B2731" t="s">
        <v>2774</v>
      </c>
      <c r="C2731" t="s">
        <v>72</v>
      </c>
      <c r="D2731" t="s">
        <v>60</v>
      </c>
      <c r="E2731">
        <v>1991</v>
      </c>
      <c r="F2731">
        <v>5</v>
      </c>
      <c r="G2731">
        <v>5</v>
      </c>
      <c r="H2731">
        <v>1</v>
      </c>
      <c r="I2731">
        <v>1</v>
      </c>
      <c r="J2731">
        <v>0.857472361409369</v>
      </c>
      <c r="K2731">
        <v>0.98177590130949999</v>
      </c>
      <c r="L2731">
        <v>0.91542367339383601</v>
      </c>
      <c r="M2731">
        <v>0.74004683840749397</v>
      </c>
      <c r="N2731">
        <v>1</v>
      </c>
      <c r="O2731">
        <v>0.79531615925058596</v>
      </c>
      <c r="P2731" t="s">
        <v>1199</v>
      </c>
      <c r="Q2731" t="s">
        <v>1200</v>
      </c>
      <c r="R2731" t="s">
        <v>96</v>
      </c>
      <c r="S2731" t="s">
        <v>97</v>
      </c>
      <c r="T2731" t="s">
        <v>2775</v>
      </c>
      <c r="U2731" t="s">
        <v>2776</v>
      </c>
      <c r="V2731" t="s">
        <v>2777</v>
      </c>
      <c r="W2731" t="s">
        <v>2778</v>
      </c>
      <c r="AD2731" t="s">
        <v>2779</v>
      </c>
      <c r="AE2731" t="s">
        <v>2780</v>
      </c>
      <c r="AF2731" t="s">
        <v>2782</v>
      </c>
    </row>
    <row r="2732" spans="1:32" hidden="1" x14ac:dyDescent="0.35">
      <c r="A2732">
        <v>1341</v>
      </c>
      <c r="B2732" t="s">
        <v>2774</v>
      </c>
      <c r="C2732" t="s">
        <v>72</v>
      </c>
      <c r="D2732" t="s">
        <v>62</v>
      </c>
      <c r="E2732">
        <v>2032</v>
      </c>
      <c r="F2732">
        <v>5</v>
      </c>
      <c r="G2732">
        <v>5</v>
      </c>
      <c r="H2732">
        <v>1</v>
      </c>
      <c r="I2732">
        <v>1</v>
      </c>
      <c r="J2732">
        <v>0.857472361409369</v>
      </c>
      <c r="K2732">
        <v>0.98177590130949999</v>
      </c>
      <c r="L2732">
        <v>0.91542367339383601</v>
      </c>
      <c r="M2732">
        <v>0.74004683840749397</v>
      </c>
      <c r="N2732">
        <v>1</v>
      </c>
      <c r="O2732">
        <v>0.79531615925058596</v>
      </c>
      <c r="P2732" t="s">
        <v>1199</v>
      </c>
      <c r="Q2732" t="s">
        <v>1200</v>
      </c>
      <c r="R2732" t="s">
        <v>96</v>
      </c>
      <c r="S2732" t="s">
        <v>97</v>
      </c>
      <c r="T2732" t="s">
        <v>2775</v>
      </c>
      <c r="U2732" t="s">
        <v>2776</v>
      </c>
      <c r="V2732" t="s">
        <v>2777</v>
      </c>
      <c r="W2732" t="s">
        <v>2778</v>
      </c>
      <c r="AD2732" t="s">
        <v>2779</v>
      </c>
      <c r="AE2732" t="s">
        <v>2780</v>
      </c>
      <c r="AF2732" t="s">
        <v>2782</v>
      </c>
    </row>
    <row r="2733" spans="1:32" hidden="1" x14ac:dyDescent="0.35">
      <c r="A2733">
        <v>1342</v>
      </c>
      <c r="B2733" t="s">
        <v>2774</v>
      </c>
      <c r="C2733" t="s">
        <v>72</v>
      </c>
      <c r="D2733" t="s">
        <v>34</v>
      </c>
      <c r="E2733">
        <v>2345</v>
      </c>
      <c r="F2733">
        <v>5</v>
      </c>
      <c r="G2733">
        <v>5</v>
      </c>
      <c r="H2733">
        <v>1</v>
      </c>
      <c r="I2733">
        <v>1</v>
      </c>
      <c r="J2733">
        <v>0.857472361409369</v>
      </c>
      <c r="K2733">
        <v>0.98177590130949999</v>
      </c>
      <c r="L2733">
        <v>0.91542367339383601</v>
      </c>
      <c r="M2733">
        <v>0.74004683840749397</v>
      </c>
      <c r="N2733">
        <v>1</v>
      </c>
      <c r="O2733">
        <v>0.79531615925058596</v>
      </c>
      <c r="P2733" t="s">
        <v>1199</v>
      </c>
      <c r="Q2733" t="s">
        <v>1200</v>
      </c>
      <c r="R2733" t="s">
        <v>96</v>
      </c>
      <c r="S2733" t="s">
        <v>97</v>
      </c>
      <c r="T2733" t="s">
        <v>2775</v>
      </c>
      <c r="U2733" t="s">
        <v>2776</v>
      </c>
      <c r="V2733" t="s">
        <v>2777</v>
      </c>
      <c r="W2733" t="s">
        <v>2778</v>
      </c>
      <c r="AD2733" t="s">
        <v>2779</v>
      </c>
      <c r="AE2733" t="s">
        <v>2780</v>
      </c>
      <c r="AF2733" t="s">
        <v>2783</v>
      </c>
    </row>
    <row r="2734" spans="1:32" hidden="1" x14ac:dyDescent="0.35">
      <c r="A2734">
        <v>1343</v>
      </c>
      <c r="B2734" t="s">
        <v>2774</v>
      </c>
      <c r="C2734" t="s">
        <v>72</v>
      </c>
      <c r="D2734" t="s">
        <v>45</v>
      </c>
      <c r="E2734">
        <v>534</v>
      </c>
      <c r="F2734">
        <v>5</v>
      </c>
      <c r="G2734">
        <v>5</v>
      </c>
      <c r="H2734">
        <v>1</v>
      </c>
      <c r="I2734">
        <v>1</v>
      </c>
      <c r="J2734">
        <v>0.857472361409369</v>
      </c>
      <c r="K2734">
        <v>0.98177590130949999</v>
      </c>
      <c r="L2734">
        <v>0.91542367339383601</v>
      </c>
      <c r="M2734">
        <v>0.74004683840749397</v>
      </c>
      <c r="N2734">
        <v>1</v>
      </c>
      <c r="O2734">
        <v>0.79531615925058596</v>
      </c>
      <c r="P2734" t="s">
        <v>1199</v>
      </c>
      <c r="Q2734" t="s">
        <v>1200</v>
      </c>
      <c r="R2734" t="s">
        <v>96</v>
      </c>
      <c r="S2734" t="s">
        <v>97</v>
      </c>
      <c r="T2734" t="s">
        <v>2775</v>
      </c>
      <c r="U2734" t="s">
        <v>2776</v>
      </c>
      <c r="V2734" t="s">
        <v>2777</v>
      </c>
      <c r="W2734" t="s">
        <v>2778</v>
      </c>
      <c r="AD2734" t="s">
        <v>2779</v>
      </c>
      <c r="AE2734" t="s">
        <v>2780</v>
      </c>
      <c r="AF2734" t="s">
        <v>2783</v>
      </c>
    </row>
    <row r="2735" spans="1:32" hidden="1" x14ac:dyDescent="0.35">
      <c r="A2735">
        <v>1419</v>
      </c>
      <c r="B2735" t="s">
        <v>2961</v>
      </c>
      <c r="C2735" t="s">
        <v>72</v>
      </c>
      <c r="D2735" t="s">
        <v>58</v>
      </c>
      <c r="E2735">
        <v>951</v>
      </c>
      <c r="F2735">
        <v>5</v>
      </c>
      <c r="G2735">
        <v>5</v>
      </c>
      <c r="H2735">
        <v>1</v>
      </c>
      <c r="I2735">
        <v>1</v>
      </c>
      <c r="J2735">
        <v>0.90392694063926904</v>
      </c>
      <c r="K2735">
        <v>0.99188336689965795</v>
      </c>
      <c r="L2735">
        <v>0.94586477744865405</v>
      </c>
      <c r="M2735">
        <v>0.83695652173913004</v>
      </c>
      <c r="N2735">
        <v>1</v>
      </c>
      <c r="O2735">
        <v>0.87608695652173896</v>
      </c>
      <c r="P2735" t="s">
        <v>2962</v>
      </c>
      <c r="Q2735" t="s">
        <v>2963</v>
      </c>
      <c r="R2735" t="s">
        <v>96</v>
      </c>
      <c r="S2735" t="s">
        <v>97</v>
      </c>
      <c r="T2735" t="s">
        <v>2964</v>
      </c>
      <c r="U2735" t="s">
        <v>2965</v>
      </c>
      <c r="V2735" t="s">
        <v>2966</v>
      </c>
      <c r="W2735" t="s">
        <v>2967</v>
      </c>
      <c r="AF2735" t="s">
        <v>2968</v>
      </c>
    </row>
    <row r="2736" spans="1:32" hidden="1" x14ac:dyDescent="0.35">
      <c r="A2736">
        <v>1420</v>
      </c>
      <c r="B2736" t="s">
        <v>2961</v>
      </c>
      <c r="C2736" t="s">
        <v>72</v>
      </c>
      <c r="D2736" t="s">
        <v>60</v>
      </c>
      <c r="E2736">
        <v>1259</v>
      </c>
      <c r="F2736">
        <v>5</v>
      </c>
      <c r="G2736">
        <v>5</v>
      </c>
      <c r="H2736">
        <v>1</v>
      </c>
      <c r="I2736">
        <v>1</v>
      </c>
      <c r="J2736">
        <v>0.90392694063926904</v>
      </c>
      <c r="K2736">
        <v>0.99188336689965795</v>
      </c>
      <c r="L2736">
        <v>0.94586477744865405</v>
      </c>
      <c r="M2736">
        <v>0.83695652173913004</v>
      </c>
      <c r="N2736">
        <v>1</v>
      </c>
      <c r="O2736">
        <v>0.87608695652173896</v>
      </c>
      <c r="P2736" t="s">
        <v>2962</v>
      </c>
      <c r="Q2736" t="s">
        <v>2963</v>
      </c>
      <c r="R2736" t="s">
        <v>96</v>
      </c>
      <c r="S2736" t="s">
        <v>97</v>
      </c>
      <c r="T2736" t="s">
        <v>2964</v>
      </c>
      <c r="U2736" t="s">
        <v>2965</v>
      </c>
      <c r="V2736" t="s">
        <v>2966</v>
      </c>
      <c r="W2736" t="s">
        <v>2967</v>
      </c>
      <c r="AF2736" t="s">
        <v>2969</v>
      </c>
    </row>
    <row r="2737" spans="1:32" hidden="1" x14ac:dyDescent="0.35">
      <c r="A2737">
        <v>1421</v>
      </c>
      <c r="B2737" t="s">
        <v>2961</v>
      </c>
      <c r="C2737" t="s">
        <v>72</v>
      </c>
      <c r="D2737" t="s">
        <v>62</v>
      </c>
      <c r="E2737">
        <v>1296</v>
      </c>
      <c r="F2737">
        <v>5</v>
      </c>
      <c r="G2737">
        <v>5</v>
      </c>
      <c r="H2737">
        <v>1</v>
      </c>
      <c r="I2737">
        <v>1</v>
      </c>
      <c r="J2737">
        <v>0.90392694063926904</v>
      </c>
      <c r="K2737">
        <v>0.99188336689965795</v>
      </c>
      <c r="L2737">
        <v>0.94586477744865405</v>
      </c>
      <c r="M2737">
        <v>0.83695652173913004</v>
      </c>
      <c r="N2737">
        <v>1</v>
      </c>
      <c r="O2737">
        <v>0.87608695652173896</v>
      </c>
      <c r="P2737" t="s">
        <v>2962</v>
      </c>
      <c r="Q2737" t="s">
        <v>2963</v>
      </c>
      <c r="R2737" t="s">
        <v>96</v>
      </c>
      <c r="S2737" t="s">
        <v>97</v>
      </c>
      <c r="T2737" t="s">
        <v>2964</v>
      </c>
      <c r="U2737" t="s">
        <v>2965</v>
      </c>
      <c r="V2737" t="s">
        <v>2966</v>
      </c>
      <c r="W2737" t="s">
        <v>2967</v>
      </c>
      <c r="AF2737" t="s">
        <v>2969</v>
      </c>
    </row>
    <row r="2738" spans="1:32" hidden="1" x14ac:dyDescent="0.35">
      <c r="A2738">
        <v>1422</v>
      </c>
      <c r="B2738" t="s">
        <v>2961</v>
      </c>
      <c r="C2738" t="s">
        <v>72</v>
      </c>
      <c r="D2738" t="s">
        <v>34</v>
      </c>
      <c r="E2738">
        <v>1746</v>
      </c>
      <c r="F2738">
        <v>5</v>
      </c>
      <c r="G2738">
        <v>5</v>
      </c>
      <c r="H2738">
        <v>1</v>
      </c>
      <c r="I2738">
        <v>1</v>
      </c>
      <c r="J2738">
        <v>0.90392694063926904</v>
      </c>
      <c r="K2738">
        <v>0.99188336689965795</v>
      </c>
      <c r="L2738">
        <v>0.94586477744865405</v>
      </c>
      <c r="M2738">
        <v>0.83695652173913004</v>
      </c>
      <c r="N2738">
        <v>1</v>
      </c>
      <c r="O2738">
        <v>0.87608695652173896</v>
      </c>
      <c r="P2738" t="s">
        <v>2962</v>
      </c>
      <c r="Q2738" t="s">
        <v>2963</v>
      </c>
      <c r="R2738" t="s">
        <v>96</v>
      </c>
      <c r="S2738" t="s">
        <v>97</v>
      </c>
      <c r="T2738" t="s">
        <v>2964</v>
      </c>
      <c r="U2738" t="s">
        <v>2965</v>
      </c>
      <c r="V2738" t="s">
        <v>2966</v>
      </c>
      <c r="W2738" t="s">
        <v>2967</v>
      </c>
      <c r="AF2738" t="s">
        <v>2970</v>
      </c>
    </row>
    <row r="2739" spans="1:32" hidden="1" x14ac:dyDescent="0.35">
      <c r="A2739">
        <v>1423</v>
      </c>
      <c r="B2739" t="s">
        <v>2961</v>
      </c>
      <c r="C2739" t="s">
        <v>72</v>
      </c>
      <c r="D2739" t="s">
        <v>45</v>
      </c>
      <c r="E2739">
        <v>1127</v>
      </c>
      <c r="F2739">
        <v>5</v>
      </c>
      <c r="G2739">
        <v>5</v>
      </c>
      <c r="H2739">
        <v>1</v>
      </c>
      <c r="I2739">
        <v>1</v>
      </c>
      <c r="J2739">
        <v>0.90392694063926904</v>
      </c>
      <c r="K2739">
        <v>0.99188336689965795</v>
      </c>
      <c r="L2739">
        <v>0.94586477744865405</v>
      </c>
      <c r="M2739">
        <v>0.83695652173913004</v>
      </c>
      <c r="N2739">
        <v>1</v>
      </c>
      <c r="O2739">
        <v>0.87608695652173896</v>
      </c>
      <c r="P2739" t="s">
        <v>2962</v>
      </c>
      <c r="Q2739" t="s">
        <v>2963</v>
      </c>
      <c r="R2739" t="s">
        <v>96</v>
      </c>
      <c r="S2739" t="s">
        <v>97</v>
      </c>
      <c r="T2739" t="s">
        <v>2964</v>
      </c>
      <c r="U2739" t="s">
        <v>2965</v>
      </c>
      <c r="V2739" t="s">
        <v>2966</v>
      </c>
      <c r="W2739" t="s">
        <v>2967</v>
      </c>
      <c r="AF2739" t="s">
        <v>2970</v>
      </c>
    </row>
    <row r="2740" spans="1:32" hidden="1" x14ac:dyDescent="0.35">
      <c r="A2740">
        <v>1454</v>
      </c>
      <c r="B2740" t="s">
        <v>3050</v>
      </c>
      <c r="C2740" t="s">
        <v>72</v>
      </c>
      <c r="D2740" t="s">
        <v>58</v>
      </c>
      <c r="E2740">
        <v>187</v>
      </c>
      <c r="F2740">
        <v>5</v>
      </c>
      <c r="G2740">
        <v>5</v>
      </c>
      <c r="H2740">
        <v>1</v>
      </c>
      <c r="I2740">
        <v>1</v>
      </c>
      <c r="J2740">
        <v>0.79895866539156302</v>
      </c>
      <c r="K2740">
        <v>0.90382726156365201</v>
      </c>
      <c r="L2740">
        <v>0.84816371948133795</v>
      </c>
      <c r="M2740">
        <v>0.50857142857142901</v>
      </c>
      <c r="N2740">
        <v>1</v>
      </c>
      <c r="O2740">
        <v>0.67028571428571404</v>
      </c>
      <c r="P2740" t="s">
        <v>3051</v>
      </c>
      <c r="Q2740" t="s">
        <v>3052</v>
      </c>
      <c r="R2740" t="s">
        <v>96</v>
      </c>
      <c r="S2740" t="s">
        <v>97</v>
      </c>
      <c r="V2740" t="s">
        <v>3053</v>
      </c>
      <c r="W2740" t="s">
        <v>3054</v>
      </c>
      <c r="AF2740" t="s">
        <v>3055</v>
      </c>
    </row>
    <row r="2741" spans="1:32" hidden="1" x14ac:dyDescent="0.35">
      <c r="A2741">
        <v>1455</v>
      </c>
      <c r="B2741" t="s">
        <v>3050</v>
      </c>
      <c r="C2741" t="s">
        <v>72</v>
      </c>
      <c r="D2741" t="s">
        <v>60</v>
      </c>
      <c r="E2741">
        <v>323</v>
      </c>
      <c r="F2741">
        <v>5</v>
      </c>
      <c r="G2741">
        <v>5</v>
      </c>
      <c r="H2741">
        <v>1</v>
      </c>
      <c r="I2741">
        <v>1</v>
      </c>
      <c r="J2741">
        <v>0.79895866539156302</v>
      </c>
      <c r="K2741">
        <v>0.90382726156365201</v>
      </c>
      <c r="L2741">
        <v>0.84816371948133795</v>
      </c>
      <c r="M2741">
        <v>0.50857142857142901</v>
      </c>
      <c r="N2741">
        <v>1</v>
      </c>
      <c r="O2741">
        <v>0.67028571428571404</v>
      </c>
      <c r="P2741" t="s">
        <v>3051</v>
      </c>
      <c r="Q2741" t="s">
        <v>3052</v>
      </c>
      <c r="R2741" t="s">
        <v>96</v>
      </c>
      <c r="S2741" t="s">
        <v>97</v>
      </c>
      <c r="V2741" t="s">
        <v>3053</v>
      </c>
      <c r="W2741" t="s">
        <v>3054</v>
      </c>
      <c r="AF2741" t="s">
        <v>3056</v>
      </c>
    </row>
    <row r="2742" spans="1:32" hidden="1" x14ac:dyDescent="0.35">
      <c r="A2742">
        <v>1456</v>
      </c>
      <c r="B2742" t="s">
        <v>3050</v>
      </c>
      <c r="C2742" t="s">
        <v>72</v>
      </c>
      <c r="D2742" t="s">
        <v>62</v>
      </c>
      <c r="E2742">
        <v>403</v>
      </c>
      <c r="F2742">
        <v>5</v>
      </c>
      <c r="G2742">
        <v>5</v>
      </c>
      <c r="H2742">
        <v>1</v>
      </c>
      <c r="I2742">
        <v>1</v>
      </c>
      <c r="J2742">
        <v>0.79895866539156302</v>
      </c>
      <c r="K2742">
        <v>0.90382726156365201</v>
      </c>
      <c r="L2742">
        <v>0.84816371948133795</v>
      </c>
      <c r="M2742">
        <v>0.50857142857142901</v>
      </c>
      <c r="N2742">
        <v>1</v>
      </c>
      <c r="O2742">
        <v>0.67028571428571404</v>
      </c>
      <c r="P2742" t="s">
        <v>3051</v>
      </c>
      <c r="Q2742" t="s">
        <v>3052</v>
      </c>
      <c r="R2742" t="s">
        <v>96</v>
      </c>
      <c r="S2742" t="s">
        <v>97</v>
      </c>
      <c r="V2742" t="s">
        <v>3053</v>
      </c>
      <c r="W2742" t="s">
        <v>3054</v>
      </c>
      <c r="AF2742" t="s">
        <v>3056</v>
      </c>
    </row>
    <row r="2743" spans="1:32" hidden="1" x14ac:dyDescent="0.35">
      <c r="A2743">
        <v>1457</v>
      </c>
      <c r="B2743" t="s">
        <v>3050</v>
      </c>
      <c r="C2743" t="s">
        <v>72</v>
      </c>
      <c r="D2743" t="s">
        <v>34</v>
      </c>
      <c r="E2743">
        <v>833</v>
      </c>
      <c r="F2743">
        <v>5</v>
      </c>
      <c r="G2743">
        <v>5</v>
      </c>
      <c r="H2743">
        <v>1</v>
      </c>
      <c r="I2743">
        <v>1</v>
      </c>
      <c r="J2743">
        <v>0.79895866539156302</v>
      </c>
      <c r="K2743">
        <v>0.90382726156365201</v>
      </c>
      <c r="L2743">
        <v>0.84816371948133795</v>
      </c>
      <c r="M2743">
        <v>0.50857142857142901</v>
      </c>
      <c r="N2743">
        <v>1</v>
      </c>
      <c r="O2743">
        <v>0.67028571428571404</v>
      </c>
      <c r="P2743" t="s">
        <v>3051</v>
      </c>
      <c r="Q2743" t="s">
        <v>3052</v>
      </c>
      <c r="R2743" t="s">
        <v>96</v>
      </c>
      <c r="S2743" t="s">
        <v>97</v>
      </c>
      <c r="V2743" t="s">
        <v>3053</v>
      </c>
      <c r="W2743" t="s">
        <v>3054</v>
      </c>
      <c r="AF2743" t="s">
        <v>3057</v>
      </c>
    </row>
    <row r="2744" spans="1:32" hidden="1" x14ac:dyDescent="0.35">
      <c r="A2744">
        <v>1458</v>
      </c>
      <c r="B2744" t="s">
        <v>3050</v>
      </c>
      <c r="C2744" t="s">
        <v>72</v>
      </c>
      <c r="D2744" t="s">
        <v>45</v>
      </c>
      <c r="E2744">
        <v>2090</v>
      </c>
      <c r="F2744">
        <v>5</v>
      </c>
      <c r="G2744">
        <v>5</v>
      </c>
      <c r="H2744">
        <v>1</v>
      </c>
      <c r="I2744">
        <v>1</v>
      </c>
      <c r="J2744">
        <v>0.79895866539156302</v>
      </c>
      <c r="K2744">
        <v>0.90382726156365201</v>
      </c>
      <c r="L2744">
        <v>0.84816371948133795</v>
      </c>
      <c r="M2744">
        <v>0.50857142857142901</v>
      </c>
      <c r="N2744">
        <v>1</v>
      </c>
      <c r="O2744">
        <v>0.67028571428571404</v>
      </c>
      <c r="P2744" t="s">
        <v>3051</v>
      </c>
      <c r="Q2744" t="s">
        <v>3052</v>
      </c>
      <c r="R2744" t="s">
        <v>96</v>
      </c>
      <c r="S2744" t="s">
        <v>97</v>
      </c>
      <c r="V2744" t="s">
        <v>3053</v>
      </c>
      <c r="W2744" t="s">
        <v>3054</v>
      </c>
      <c r="AF2744" t="s">
        <v>3058</v>
      </c>
    </row>
    <row r="2745" spans="1:32" hidden="1" x14ac:dyDescent="0.35">
      <c r="A2745">
        <v>1494</v>
      </c>
      <c r="B2745" t="s">
        <v>3134</v>
      </c>
      <c r="C2745" t="s">
        <v>72</v>
      </c>
      <c r="D2745" t="s">
        <v>58</v>
      </c>
      <c r="E2745">
        <v>975</v>
      </c>
      <c r="F2745">
        <v>5</v>
      </c>
      <c r="G2745">
        <v>5</v>
      </c>
      <c r="H2745">
        <v>1</v>
      </c>
      <c r="I2745">
        <v>1</v>
      </c>
      <c r="J2745">
        <v>0.82527654385506499</v>
      </c>
      <c r="K2745">
        <v>0.96449380454418199</v>
      </c>
      <c r="L2745">
        <v>0.88947066789407503</v>
      </c>
      <c r="M2745">
        <v>0.65743073047858902</v>
      </c>
      <c r="N2745">
        <v>1</v>
      </c>
      <c r="O2745">
        <v>0.76120906801007604</v>
      </c>
      <c r="P2745" t="s">
        <v>911</v>
      </c>
      <c r="Q2745" t="s">
        <v>912</v>
      </c>
      <c r="R2745" t="s">
        <v>96</v>
      </c>
      <c r="S2745" t="s">
        <v>97</v>
      </c>
      <c r="T2745" t="s">
        <v>3135</v>
      </c>
      <c r="U2745" t="s">
        <v>3136</v>
      </c>
      <c r="V2745" t="s">
        <v>915</v>
      </c>
      <c r="W2745" t="s">
        <v>916</v>
      </c>
      <c r="AD2745" t="s">
        <v>410</v>
      </c>
      <c r="AE2745" t="s">
        <v>603</v>
      </c>
      <c r="AF2745" t="s">
        <v>3137</v>
      </c>
    </row>
    <row r="2746" spans="1:32" hidden="1" x14ac:dyDescent="0.35">
      <c r="A2746">
        <v>1495</v>
      </c>
      <c r="B2746" t="s">
        <v>3134</v>
      </c>
      <c r="C2746" t="s">
        <v>72</v>
      </c>
      <c r="D2746" t="s">
        <v>60</v>
      </c>
      <c r="E2746">
        <v>1234</v>
      </c>
      <c r="F2746">
        <v>5</v>
      </c>
      <c r="G2746">
        <v>5</v>
      </c>
      <c r="H2746">
        <v>1</v>
      </c>
      <c r="I2746">
        <v>1</v>
      </c>
      <c r="J2746">
        <v>0.82527654385506499</v>
      </c>
      <c r="K2746">
        <v>0.96449380454418199</v>
      </c>
      <c r="L2746">
        <v>0.88947066789407503</v>
      </c>
      <c r="M2746">
        <v>0.65743073047858902</v>
      </c>
      <c r="N2746">
        <v>1</v>
      </c>
      <c r="O2746">
        <v>0.76120906801007604</v>
      </c>
      <c r="P2746" t="s">
        <v>911</v>
      </c>
      <c r="Q2746" t="s">
        <v>912</v>
      </c>
      <c r="R2746" t="s">
        <v>96</v>
      </c>
      <c r="S2746" t="s">
        <v>97</v>
      </c>
      <c r="T2746" t="s">
        <v>3135</v>
      </c>
      <c r="U2746" t="s">
        <v>3136</v>
      </c>
      <c r="V2746" t="s">
        <v>915</v>
      </c>
      <c r="W2746" t="s">
        <v>916</v>
      </c>
      <c r="AD2746" t="s">
        <v>410</v>
      </c>
      <c r="AE2746" t="s">
        <v>603</v>
      </c>
      <c r="AF2746" t="s">
        <v>3138</v>
      </c>
    </row>
    <row r="2747" spans="1:32" hidden="1" x14ac:dyDescent="0.35">
      <c r="A2747">
        <v>1496</v>
      </c>
      <c r="B2747" t="s">
        <v>3134</v>
      </c>
      <c r="C2747" t="s">
        <v>72</v>
      </c>
      <c r="D2747" t="s">
        <v>62</v>
      </c>
      <c r="E2747">
        <v>1271</v>
      </c>
      <c r="F2747">
        <v>5</v>
      </c>
      <c r="G2747">
        <v>5</v>
      </c>
      <c r="H2747">
        <v>1</v>
      </c>
      <c r="I2747">
        <v>1</v>
      </c>
      <c r="J2747">
        <v>0.82527654385506499</v>
      </c>
      <c r="K2747">
        <v>0.96449380454418199</v>
      </c>
      <c r="L2747">
        <v>0.88947066789407503</v>
      </c>
      <c r="M2747">
        <v>0.65743073047858902</v>
      </c>
      <c r="N2747">
        <v>1</v>
      </c>
      <c r="O2747">
        <v>0.76120906801007604</v>
      </c>
      <c r="P2747" t="s">
        <v>911</v>
      </c>
      <c r="Q2747" t="s">
        <v>912</v>
      </c>
      <c r="R2747" t="s">
        <v>96</v>
      </c>
      <c r="S2747" t="s">
        <v>97</v>
      </c>
      <c r="T2747" t="s">
        <v>3135</v>
      </c>
      <c r="U2747" t="s">
        <v>3136</v>
      </c>
      <c r="V2747" t="s">
        <v>915</v>
      </c>
      <c r="W2747" t="s">
        <v>916</v>
      </c>
      <c r="AD2747" t="s">
        <v>410</v>
      </c>
      <c r="AE2747" t="s">
        <v>603</v>
      </c>
      <c r="AF2747" t="s">
        <v>3138</v>
      </c>
    </row>
    <row r="2748" spans="1:32" hidden="1" x14ac:dyDescent="0.35">
      <c r="A2748">
        <v>1497</v>
      </c>
      <c r="B2748" t="s">
        <v>3134</v>
      </c>
      <c r="C2748" t="s">
        <v>72</v>
      </c>
      <c r="D2748" t="s">
        <v>34</v>
      </c>
      <c r="E2748">
        <v>1768</v>
      </c>
      <c r="F2748">
        <v>5</v>
      </c>
      <c r="G2748">
        <v>5</v>
      </c>
      <c r="H2748">
        <v>1</v>
      </c>
      <c r="I2748">
        <v>1</v>
      </c>
      <c r="J2748">
        <v>0.82527654385506499</v>
      </c>
      <c r="K2748">
        <v>0.96449380454418199</v>
      </c>
      <c r="L2748">
        <v>0.88947066789407503</v>
      </c>
      <c r="M2748">
        <v>0.65743073047858902</v>
      </c>
      <c r="N2748">
        <v>1</v>
      </c>
      <c r="O2748">
        <v>0.76120906801007604</v>
      </c>
      <c r="P2748" t="s">
        <v>911</v>
      </c>
      <c r="Q2748" t="s">
        <v>912</v>
      </c>
      <c r="R2748" t="s">
        <v>96</v>
      </c>
      <c r="S2748" t="s">
        <v>97</v>
      </c>
      <c r="T2748" t="s">
        <v>3135</v>
      </c>
      <c r="U2748" t="s">
        <v>3136</v>
      </c>
      <c r="V2748" t="s">
        <v>915</v>
      </c>
      <c r="W2748" t="s">
        <v>916</v>
      </c>
      <c r="AD2748" t="s">
        <v>410</v>
      </c>
      <c r="AE2748" t="s">
        <v>603</v>
      </c>
      <c r="AF2748" t="s">
        <v>3139</v>
      </c>
    </row>
    <row r="2749" spans="1:32" hidden="1" x14ac:dyDescent="0.35">
      <c r="A2749">
        <v>1498</v>
      </c>
      <c r="B2749" t="s">
        <v>3134</v>
      </c>
      <c r="C2749" t="s">
        <v>72</v>
      </c>
      <c r="D2749" t="s">
        <v>45</v>
      </c>
      <c r="E2749">
        <v>1105</v>
      </c>
      <c r="F2749">
        <v>5</v>
      </c>
      <c r="G2749">
        <v>5</v>
      </c>
      <c r="H2749">
        <v>1</v>
      </c>
      <c r="I2749">
        <v>1</v>
      </c>
      <c r="J2749">
        <v>0.82527654385506499</v>
      </c>
      <c r="K2749">
        <v>0.96449380454418199</v>
      </c>
      <c r="L2749">
        <v>0.88947066789407503</v>
      </c>
      <c r="M2749">
        <v>0.65743073047858902</v>
      </c>
      <c r="N2749">
        <v>1</v>
      </c>
      <c r="O2749">
        <v>0.76120906801007604</v>
      </c>
      <c r="P2749" t="s">
        <v>911</v>
      </c>
      <c r="Q2749" t="s">
        <v>912</v>
      </c>
      <c r="R2749" t="s">
        <v>96</v>
      </c>
      <c r="S2749" t="s">
        <v>97</v>
      </c>
      <c r="T2749" t="s">
        <v>3135</v>
      </c>
      <c r="U2749" t="s">
        <v>3136</v>
      </c>
      <c r="V2749" t="s">
        <v>915</v>
      </c>
      <c r="W2749" t="s">
        <v>916</v>
      </c>
      <c r="AD2749" t="s">
        <v>410</v>
      </c>
      <c r="AE2749" t="s">
        <v>603</v>
      </c>
      <c r="AF2749" t="s">
        <v>3140</v>
      </c>
    </row>
    <row r="2750" spans="1:32" hidden="1" x14ac:dyDescent="0.35">
      <c r="A2750">
        <v>1514</v>
      </c>
      <c r="B2750" t="s">
        <v>3167</v>
      </c>
      <c r="C2750" t="s">
        <v>72</v>
      </c>
      <c r="D2750" t="s">
        <v>58</v>
      </c>
      <c r="E2750">
        <v>924</v>
      </c>
      <c r="F2750">
        <v>5</v>
      </c>
      <c r="G2750">
        <v>5</v>
      </c>
      <c r="H2750">
        <v>1</v>
      </c>
      <c r="I2750">
        <v>1</v>
      </c>
      <c r="J2750">
        <v>0.80192582562250803</v>
      </c>
      <c r="K2750">
        <v>0.842700208536449</v>
      </c>
      <c r="L2750">
        <v>0.82180756773492203</v>
      </c>
      <c r="M2750">
        <v>0.42830882352941202</v>
      </c>
      <c r="N2750">
        <v>1</v>
      </c>
      <c r="O2750">
        <v>0.63180147058823499</v>
      </c>
      <c r="P2750" t="s">
        <v>3168</v>
      </c>
      <c r="Q2750" t="s">
        <v>3169</v>
      </c>
      <c r="R2750" t="s">
        <v>96</v>
      </c>
      <c r="S2750" t="s">
        <v>97</v>
      </c>
      <c r="T2750" t="s">
        <v>3170</v>
      </c>
      <c r="U2750" t="s">
        <v>3171</v>
      </c>
      <c r="V2750" t="s">
        <v>574</v>
      </c>
      <c r="W2750" t="s">
        <v>575</v>
      </c>
      <c r="AD2750" t="s">
        <v>3172</v>
      </c>
      <c r="AE2750" t="s">
        <v>3173</v>
      </c>
      <c r="AF2750" t="s">
        <v>3174</v>
      </c>
    </row>
    <row r="2751" spans="1:32" hidden="1" x14ac:dyDescent="0.35">
      <c r="A2751">
        <v>1515</v>
      </c>
      <c r="B2751" t="s">
        <v>3167</v>
      </c>
      <c r="C2751" t="s">
        <v>72</v>
      </c>
      <c r="D2751" t="s">
        <v>60</v>
      </c>
      <c r="E2751">
        <v>1321</v>
      </c>
      <c r="F2751">
        <v>5</v>
      </c>
      <c r="G2751">
        <v>5</v>
      </c>
      <c r="H2751">
        <v>1</v>
      </c>
      <c r="I2751">
        <v>1</v>
      </c>
      <c r="J2751">
        <v>0.80192582562250803</v>
      </c>
      <c r="K2751">
        <v>0.842700208536449</v>
      </c>
      <c r="L2751">
        <v>0.82180756773492203</v>
      </c>
      <c r="M2751">
        <v>0.42830882352941202</v>
      </c>
      <c r="N2751">
        <v>1</v>
      </c>
      <c r="O2751">
        <v>0.63180147058823499</v>
      </c>
      <c r="P2751" t="s">
        <v>3168</v>
      </c>
      <c r="Q2751" t="s">
        <v>3169</v>
      </c>
      <c r="R2751" t="s">
        <v>96</v>
      </c>
      <c r="S2751" t="s">
        <v>97</v>
      </c>
      <c r="T2751" t="s">
        <v>3170</v>
      </c>
      <c r="U2751" t="s">
        <v>3171</v>
      </c>
      <c r="V2751" t="s">
        <v>574</v>
      </c>
      <c r="W2751" t="s">
        <v>575</v>
      </c>
      <c r="AD2751" t="s">
        <v>3172</v>
      </c>
      <c r="AE2751" t="s">
        <v>3173</v>
      </c>
      <c r="AF2751" t="s">
        <v>3175</v>
      </c>
    </row>
    <row r="2752" spans="1:32" hidden="1" x14ac:dyDescent="0.35">
      <c r="A2752">
        <v>1516</v>
      </c>
      <c r="B2752" t="s">
        <v>3167</v>
      </c>
      <c r="C2752" t="s">
        <v>72</v>
      </c>
      <c r="D2752" t="s">
        <v>62</v>
      </c>
      <c r="E2752">
        <v>1357</v>
      </c>
      <c r="F2752">
        <v>5</v>
      </c>
      <c r="G2752">
        <v>5</v>
      </c>
      <c r="H2752">
        <v>1</v>
      </c>
      <c r="I2752">
        <v>1</v>
      </c>
      <c r="J2752">
        <v>0.80192582562250803</v>
      </c>
      <c r="K2752">
        <v>0.842700208536449</v>
      </c>
      <c r="L2752">
        <v>0.82180756773492203</v>
      </c>
      <c r="M2752">
        <v>0.42830882352941202</v>
      </c>
      <c r="N2752">
        <v>1</v>
      </c>
      <c r="O2752">
        <v>0.63180147058823499</v>
      </c>
      <c r="P2752" t="s">
        <v>3168</v>
      </c>
      <c r="Q2752" t="s">
        <v>3169</v>
      </c>
      <c r="R2752" t="s">
        <v>96</v>
      </c>
      <c r="S2752" t="s">
        <v>97</v>
      </c>
      <c r="T2752" t="s">
        <v>3170</v>
      </c>
      <c r="U2752" t="s">
        <v>3171</v>
      </c>
      <c r="V2752" t="s">
        <v>574</v>
      </c>
      <c r="W2752" t="s">
        <v>575</v>
      </c>
      <c r="AD2752" t="s">
        <v>3172</v>
      </c>
      <c r="AE2752" t="s">
        <v>3173</v>
      </c>
      <c r="AF2752" t="s">
        <v>3175</v>
      </c>
    </row>
    <row r="2753" spans="1:32" hidden="1" x14ac:dyDescent="0.35">
      <c r="A2753">
        <v>1517</v>
      </c>
      <c r="B2753" t="s">
        <v>3167</v>
      </c>
      <c r="C2753" t="s">
        <v>72</v>
      </c>
      <c r="D2753" t="s">
        <v>34</v>
      </c>
      <c r="E2753">
        <v>1716</v>
      </c>
      <c r="F2753">
        <v>5</v>
      </c>
      <c r="G2753">
        <v>5</v>
      </c>
      <c r="H2753">
        <v>1</v>
      </c>
      <c r="I2753">
        <v>1</v>
      </c>
      <c r="J2753">
        <v>0.80192582562250803</v>
      </c>
      <c r="K2753">
        <v>0.842700208536449</v>
      </c>
      <c r="L2753">
        <v>0.82180756773492203</v>
      </c>
      <c r="M2753">
        <v>0.42830882352941202</v>
      </c>
      <c r="N2753">
        <v>1</v>
      </c>
      <c r="O2753">
        <v>0.63180147058823499</v>
      </c>
      <c r="P2753" t="s">
        <v>3168</v>
      </c>
      <c r="Q2753" t="s">
        <v>3169</v>
      </c>
      <c r="R2753" t="s">
        <v>96</v>
      </c>
      <c r="S2753" t="s">
        <v>97</v>
      </c>
      <c r="T2753" t="s">
        <v>3170</v>
      </c>
      <c r="U2753" t="s">
        <v>3171</v>
      </c>
      <c r="V2753" t="s">
        <v>574</v>
      </c>
      <c r="W2753" t="s">
        <v>575</v>
      </c>
      <c r="AD2753" t="s">
        <v>3172</v>
      </c>
      <c r="AE2753" t="s">
        <v>3173</v>
      </c>
      <c r="AF2753" t="s">
        <v>3176</v>
      </c>
    </row>
    <row r="2754" spans="1:32" hidden="1" x14ac:dyDescent="0.35">
      <c r="A2754">
        <v>1518</v>
      </c>
      <c r="B2754" t="s">
        <v>3167</v>
      </c>
      <c r="C2754" t="s">
        <v>72</v>
      </c>
      <c r="D2754" t="s">
        <v>45</v>
      </c>
      <c r="E2754">
        <v>1159</v>
      </c>
      <c r="F2754">
        <v>5</v>
      </c>
      <c r="G2754">
        <v>5</v>
      </c>
      <c r="H2754">
        <v>1</v>
      </c>
      <c r="I2754">
        <v>1</v>
      </c>
      <c r="J2754">
        <v>0.80192582562250803</v>
      </c>
      <c r="K2754">
        <v>0.842700208536449</v>
      </c>
      <c r="L2754">
        <v>0.82180756773492203</v>
      </c>
      <c r="M2754">
        <v>0.42830882352941202</v>
      </c>
      <c r="N2754">
        <v>1</v>
      </c>
      <c r="O2754">
        <v>0.63180147058823499</v>
      </c>
      <c r="P2754" t="s">
        <v>3168</v>
      </c>
      <c r="Q2754" t="s">
        <v>3169</v>
      </c>
      <c r="R2754" t="s">
        <v>96</v>
      </c>
      <c r="S2754" t="s">
        <v>97</v>
      </c>
      <c r="T2754" t="s">
        <v>3170</v>
      </c>
      <c r="U2754" t="s">
        <v>3171</v>
      </c>
      <c r="V2754" t="s">
        <v>574</v>
      </c>
      <c r="W2754" t="s">
        <v>575</v>
      </c>
      <c r="AD2754" t="s">
        <v>3172</v>
      </c>
      <c r="AE2754" t="s">
        <v>3173</v>
      </c>
      <c r="AF2754" t="s">
        <v>3177</v>
      </c>
    </row>
    <row r="2755" spans="1:32" hidden="1" x14ac:dyDescent="0.35">
      <c r="A2755">
        <v>1529</v>
      </c>
      <c r="B2755" t="s">
        <v>3198</v>
      </c>
      <c r="C2755" t="s">
        <v>72</v>
      </c>
      <c r="D2755" t="s">
        <v>58</v>
      </c>
      <c r="E2755">
        <v>1751</v>
      </c>
      <c r="F2755">
        <v>5</v>
      </c>
      <c r="G2755">
        <v>5</v>
      </c>
      <c r="H2755">
        <v>1</v>
      </c>
      <c r="I2755">
        <v>1</v>
      </c>
      <c r="J2755">
        <v>0.78755157580545998</v>
      </c>
      <c r="K2755">
        <v>0.92498700777171206</v>
      </c>
      <c r="L2755">
        <v>0.85075452612406699</v>
      </c>
      <c r="M2755">
        <v>0.60922330097087396</v>
      </c>
      <c r="N2755">
        <v>1</v>
      </c>
      <c r="O2755">
        <v>0.69174757281553401</v>
      </c>
      <c r="P2755" t="s">
        <v>3199</v>
      </c>
      <c r="Q2755" t="s">
        <v>3200</v>
      </c>
      <c r="R2755" t="s">
        <v>96</v>
      </c>
      <c r="S2755" t="s">
        <v>97</v>
      </c>
      <c r="T2755" t="s">
        <v>3201</v>
      </c>
      <c r="U2755" t="s">
        <v>3202</v>
      </c>
      <c r="V2755" t="s">
        <v>3203</v>
      </c>
      <c r="W2755" t="s">
        <v>3204</v>
      </c>
      <c r="AD2755" t="s">
        <v>1345</v>
      </c>
      <c r="AE2755" t="s">
        <v>3205</v>
      </c>
      <c r="AF2755" t="s">
        <v>3206</v>
      </c>
    </row>
    <row r="2756" spans="1:32" hidden="1" x14ac:dyDescent="0.35">
      <c r="A2756">
        <v>1530</v>
      </c>
      <c r="B2756" t="s">
        <v>3198</v>
      </c>
      <c r="C2756" t="s">
        <v>72</v>
      </c>
      <c r="D2756" t="s">
        <v>60</v>
      </c>
      <c r="E2756">
        <v>2373</v>
      </c>
      <c r="F2756">
        <v>5</v>
      </c>
      <c r="G2756">
        <v>5</v>
      </c>
      <c r="H2756">
        <v>1</v>
      </c>
      <c r="I2756">
        <v>1</v>
      </c>
      <c r="J2756">
        <v>0.78755157580545998</v>
      </c>
      <c r="K2756">
        <v>0.92498700777171206</v>
      </c>
      <c r="L2756">
        <v>0.85075452612406699</v>
      </c>
      <c r="M2756">
        <v>0.60922330097087396</v>
      </c>
      <c r="N2756">
        <v>1</v>
      </c>
      <c r="O2756">
        <v>0.69174757281553401</v>
      </c>
      <c r="P2756" t="s">
        <v>3199</v>
      </c>
      <c r="Q2756" t="s">
        <v>3200</v>
      </c>
      <c r="R2756" t="s">
        <v>96</v>
      </c>
      <c r="S2756" t="s">
        <v>97</v>
      </c>
      <c r="T2756" t="s">
        <v>3201</v>
      </c>
      <c r="U2756" t="s">
        <v>3202</v>
      </c>
      <c r="V2756" t="s">
        <v>3203</v>
      </c>
      <c r="W2756" t="s">
        <v>3204</v>
      </c>
      <c r="AD2756" t="s">
        <v>1345</v>
      </c>
      <c r="AE2756" t="s">
        <v>3205</v>
      </c>
      <c r="AF2756" t="s">
        <v>3207</v>
      </c>
    </row>
    <row r="2757" spans="1:32" hidden="1" x14ac:dyDescent="0.35">
      <c r="A2757">
        <v>1531</v>
      </c>
      <c r="B2757" t="s">
        <v>3198</v>
      </c>
      <c r="C2757" t="s">
        <v>72</v>
      </c>
      <c r="D2757" t="s">
        <v>62</v>
      </c>
      <c r="E2757">
        <v>2401</v>
      </c>
      <c r="F2757">
        <v>5</v>
      </c>
      <c r="G2757">
        <v>5</v>
      </c>
      <c r="H2757">
        <v>1</v>
      </c>
      <c r="I2757">
        <v>1</v>
      </c>
      <c r="J2757">
        <v>0.78755157580545998</v>
      </c>
      <c r="K2757">
        <v>0.92498700777171206</v>
      </c>
      <c r="L2757">
        <v>0.85075452612406699</v>
      </c>
      <c r="M2757">
        <v>0.60922330097087396</v>
      </c>
      <c r="N2757">
        <v>1</v>
      </c>
      <c r="O2757">
        <v>0.69174757281553401</v>
      </c>
      <c r="P2757" t="s">
        <v>3199</v>
      </c>
      <c r="Q2757" t="s">
        <v>3200</v>
      </c>
      <c r="R2757" t="s">
        <v>96</v>
      </c>
      <c r="S2757" t="s">
        <v>97</v>
      </c>
      <c r="T2757" t="s">
        <v>3201</v>
      </c>
      <c r="U2757" t="s">
        <v>3202</v>
      </c>
      <c r="V2757" t="s">
        <v>3203</v>
      </c>
      <c r="W2757" t="s">
        <v>3204</v>
      </c>
      <c r="AD2757" t="s">
        <v>1345</v>
      </c>
      <c r="AE2757" t="s">
        <v>3205</v>
      </c>
      <c r="AF2757" t="s">
        <v>3207</v>
      </c>
    </row>
    <row r="2758" spans="1:32" hidden="1" x14ac:dyDescent="0.35">
      <c r="A2758">
        <v>1532</v>
      </c>
      <c r="B2758" t="s">
        <v>3198</v>
      </c>
      <c r="C2758" t="s">
        <v>72</v>
      </c>
      <c r="D2758" t="s">
        <v>34</v>
      </c>
      <c r="E2758">
        <v>1411</v>
      </c>
      <c r="F2758">
        <v>5</v>
      </c>
      <c r="G2758">
        <v>5</v>
      </c>
      <c r="H2758">
        <v>1</v>
      </c>
      <c r="I2758">
        <v>1</v>
      </c>
      <c r="J2758">
        <v>0.78755157580545998</v>
      </c>
      <c r="K2758">
        <v>0.92498700777171206</v>
      </c>
      <c r="L2758">
        <v>0.85075452612406699</v>
      </c>
      <c r="M2758">
        <v>0.60922330097087396</v>
      </c>
      <c r="N2758">
        <v>1</v>
      </c>
      <c r="O2758">
        <v>0.69174757281553401</v>
      </c>
      <c r="P2758" t="s">
        <v>3199</v>
      </c>
      <c r="Q2758" t="s">
        <v>3200</v>
      </c>
      <c r="R2758" t="s">
        <v>96</v>
      </c>
      <c r="S2758" t="s">
        <v>97</v>
      </c>
      <c r="T2758" t="s">
        <v>3201</v>
      </c>
      <c r="U2758" t="s">
        <v>3202</v>
      </c>
      <c r="V2758" t="s">
        <v>3203</v>
      </c>
      <c r="W2758" t="s">
        <v>3204</v>
      </c>
      <c r="AD2758" t="s">
        <v>1345</v>
      </c>
      <c r="AE2758" t="s">
        <v>3205</v>
      </c>
      <c r="AF2758" t="s">
        <v>3208</v>
      </c>
    </row>
    <row r="2759" spans="1:32" hidden="1" x14ac:dyDescent="0.35">
      <c r="A2759">
        <v>1533</v>
      </c>
      <c r="B2759" t="s">
        <v>3198</v>
      </c>
      <c r="C2759" t="s">
        <v>72</v>
      </c>
      <c r="D2759" t="s">
        <v>45</v>
      </c>
      <c r="E2759">
        <v>162</v>
      </c>
      <c r="F2759">
        <v>5</v>
      </c>
      <c r="G2759">
        <v>5</v>
      </c>
      <c r="H2759">
        <v>1</v>
      </c>
      <c r="I2759">
        <v>1</v>
      </c>
      <c r="J2759">
        <v>0.78755157580545998</v>
      </c>
      <c r="K2759">
        <v>0.92498700777171206</v>
      </c>
      <c r="L2759">
        <v>0.85075452612406699</v>
      </c>
      <c r="M2759">
        <v>0.60922330097087396</v>
      </c>
      <c r="N2759">
        <v>1</v>
      </c>
      <c r="O2759">
        <v>0.69174757281553401</v>
      </c>
      <c r="P2759" t="s">
        <v>3199</v>
      </c>
      <c r="Q2759" t="s">
        <v>3200</v>
      </c>
      <c r="R2759" t="s">
        <v>96</v>
      </c>
      <c r="S2759" t="s">
        <v>97</v>
      </c>
      <c r="T2759" t="s">
        <v>3201</v>
      </c>
      <c r="U2759" t="s">
        <v>3202</v>
      </c>
      <c r="V2759" t="s">
        <v>3203</v>
      </c>
      <c r="W2759" t="s">
        <v>3204</v>
      </c>
      <c r="AD2759" t="s">
        <v>1345</v>
      </c>
      <c r="AE2759" t="s">
        <v>3205</v>
      </c>
      <c r="AF2759" t="s">
        <v>3208</v>
      </c>
    </row>
    <row r="2760" spans="1:32" hidden="1" x14ac:dyDescent="0.35">
      <c r="A2760">
        <v>1594</v>
      </c>
      <c r="B2760" t="s">
        <v>3346</v>
      </c>
      <c r="C2760" t="s">
        <v>72</v>
      </c>
      <c r="D2760" t="s">
        <v>58</v>
      </c>
      <c r="E2760">
        <v>971</v>
      </c>
      <c r="F2760">
        <v>5</v>
      </c>
      <c r="G2760">
        <v>5</v>
      </c>
      <c r="H2760">
        <v>1</v>
      </c>
      <c r="I2760">
        <v>1</v>
      </c>
      <c r="J2760">
        <v>0.81011997913406397</v>
      </c>
      <c r="K2760">
        <v>0.94817025981205005</v>
      </c>
      <c r="L2760">
        <v>0.87372568428165898</v>
      </c>
      <c r="M2760">
        <v>0.65185185185185202</v>
      </c>
      <c r="N2760">
        <v>1</v>
      </c>
      <c r="O2760">
        <v>0.74518518518518495</v>
      </c>
      <c r="P2760" t="s">
        <v>3347</v>
      </c>
      <c r="Q2760" t="s">
        <v>3348</v>
      </c>
      <c r="R2760" t="s">
        <v>96</v>
      </c>
      <c r="S2760" t="s">
        <v>97</v>
      </c>
      <c r="V2760" t="s">
        <v>3349</v>
      </c>
      <c r="W2760" t="s">
        <v>3350</v>
      </c>
      <c r="AF2760" t="s">
        <v>3351</v>
      </c>
    </row>
    <row r="2761" spans="1:32" hidden="1" x14ac:dyDescent="0.35">
      <c r="A2761">
        <v>1595</v>
      </c>
      <c r="B2761" t="s">
        <v>3346</v>
      </c>
      <c r="C2761" t="s">
        <v>72</v>
      </c>
      <c r="D2761" t="s">
        <v>60</v>
      </c>
      <c r="E2761">
        <v>1238</v>
      </c>
      <c r="F2761">
        <v>5</v>
      </c>
      <c r="G2761">
        <v>5</v>
      </c>
      <c r="H2761">
        <v>1</v>
      </c>
      <c r="I2761">
        <v>1</v>
      </c>
      <c r="J2761">
        <v>0.81011997913406397</v>
      </c>
      <c r="K2761">
        <v>0.94817025981205005</v>
      </c>
      <c r="L2761">
        <v>0.87372568428165898</v>
      </c>
      <c r="M2761">
        <v>0.65185185185185202</v>
      </c>
      <c r="N2761">
        <v>1</v>
      </c>
      <c r="O2761">
        <v>0.74518518518518495</v>
      </c>
      <c r="P2761" t="s">
        <v>3347</v>
      </c>
      <c r="Q2761" t="s">
        <v>3348</v>
      </c>
      <c r="R2761" t="s">
        <v>96</v>
      </c>
      <c r="S2761" t="s">
        <v>97</v>
      </c>
      <c r="V2761" t="s">
        <v>3349</v>
      </c>
      <c r="W2761" t="s">
        <v>3350</v>
      </c>
      <c r="AF2761" t="e">
        <f>--MIEEHDLPEDRSDQLED-KVKPE-QSDKDLALAADVEEYMRDVIDPELGINVVDLGLVYDIWIENDTEAVVEMTLTSPACPLTDVLEDQAQNAVVMNGIASKLTLKWVWMPPWGPHMITEDGREQLRALGFSV</f>
        <v>#NAME?</v>
      </c>
    </row>
    <row r="2762" spans="1:32" hidden="1" x14ac:dyDescent="0.35">
      <c r="A2762">
        <v>1596</v>
      </c>
      <c r="B2762" t="s">
        <v>3346</v>
      </c>
      <c r="C2762" t="s">
        <v>72</v>
      </c>
      <c r="D2762" t="s">
        <v>62</v>
      </c>
      <c r="E2762">
        <v>1275</v>
      </c>
      <c r="F2762">
        <v>5</v>
      </c>
      <c r="G2762">
        <v>5</v>
      </c>
      <c r="H2762">
        <v>1</v>
      </c>
      <c r="I2762">
        <v>1</v>
      </c>
      <c r="J2762">
        <v>0.81011997913406397</v>
      </c>
      <c r="K2762">
        <v>0.94817025981205005</v>
      </c>
      <c r="L2762">
        <v>0.87372568428165898</v>
      </c>
      <c r="M2762">
        <v>0.65185185185185202</v>
      </c>
      <c r="N2762">
        <v>1</v>
      </c>
      <c r="O2762">
        <v>0.74518518518518495</v>
      </c>
      <c r="P2762" t="s">
        <v>3347</v>
      </c>
      <c r="Q2762" t="s">
        <v>3348</v>
      </c>
      <c r="R2762" t="s">
        <v>96</v>
      </c>
      <c r="S2762" t="s">
        <v>97</v>
      </c>
      <c r="V2762" t="s">
        <v>3349</v>
      </c>
      <c r="W2762" t="s">
        <v>3350</v>
      </c>
      <c r="AF2762" t="e">
        <f>--MIEEHDLPEDRSDQLED-KVKPE-QSDKDLALAADVEEYMRDVIDPELGINVVDLGLVYDIWIENDTEAVVEMTLTSPACPLTDVLEDQAQNAVVMNGIASKLTLKWVWMPPWGPHMITEDGREQLRALGFSV</f>
        <v>#NAME?</v>
      </c>
    </row>
    <row r="2763" spans="1:32" hidden="1" x14ac:dyDescent="0.35">
      <c r="A2763">
        <v>1597</v>
      </c>
      <c r="B2763" t="s">
        <v>3346</v>
      </c>
      <c r="C2763" t="s">
        <v>72</v>
      </c>
      <c r="D2763" t="s">
        <v>34</v>
      </c>
      <c r="E2763">
        <v>1764</v>
      </c>
      <c r="F2763">
        <v>5</v>
      </c>
      <c r="G2763">
        <v>5</v>
      </c>
      <c r="H2763">
        <v>1</v>
      </c>
      <c r="I2763">
        <v>1</v>
      </c>
      <c r="J2763">
        <v>0.81011997913406397</v>
      </c>
      <c r="K2763">
        <v>0.94817025981205005</v>
      </c>
      <c r="L2763">
        <v>0.87372568428165898</v>
      </c>
      <c r="M2763">
        <v>0.65185185185185202</v>
      </c>
      <c r="N2763">
        <v>1</v>
      </c>
      <c r="O2763">
        <v>0.74518518518518495</v>
      </c>
      <c r="P2763" t="s">
        <v>3347</v>
      </c>
      <c r="Q2763" t="s">
        <v>3348</v>
      </c>
      <c r="R2763" t="s">
        <v>96</v>
      </c>
      <c r="S2763" t="s">
        <v>97</v>
      </c>
      <c r="V2763" t="s">
        <v>3349</v>
      </c>
      <c r="W2763" t="s">
        <v>3350</v>
      </c>
      <c r="AF2763" t="e">
        <f>--MTEENGIPTRT-----DLADIPE-QTPEDKRKRDEVEECMRDVIDPELGINVVDLGLVYSIWIENGVDAHIEMTLTSPACPLTDVLEEQAQEAVVGSGVVENLTLDWVWMPPWGPNMITEEGREQLRALGFNV</f>
        <v>#NAME?</v>
      </c>
    </row>
    <row r="2764" spans="1:32" hidden="1" x14ac:dyDescent="0.35">
      <c r="A2764">
        <v>1598</v>
      </c>
      <c r="B2764" t="s">
        <v>3346</v>
      </c>
      <c r="C2764" t="s">
        <v>72</v>
      </c>
      <c r="D2764" t="s">
        <v>45</v>
      </c>
      <c r="E2764">
        <v>1109</v>
      </c>
      <c r="F2764">
        <v>5</v>
      </c>
      <c r="G2764">
        <v>5</v>
      </c>
      <c r="H2764">
        <v>1</v>
      </c>
      <c r="I2764">
        <v>1</v>
      </c>
      <c r="J2764">
        <v>0.81011997913406397</v>
      </c>
      <c r="K2764">
        <v>0.94817025981205005</v>
      </c>
      <c r="L2764">
        <v>0.87372568428165898</v>
      </c>
      <c r="M2764">
        <v>0.65185185185185202</v>
      </c>
      <c r="N2764">
        <v>1</v>
      </c>
      <c r="O2764">
        <v>0.74518518518518495</v>
      </c>
      <c r="P2764" t="s">
        <v>3347</v>
      </c>
      <c r="Q2764" t="s">
        <v>3348</v>
      </c>
      <c r="R2764" t="s">
        <v>96</v>
      </c>
      <c r="S2764" t="s">
        <v>97</v>
      </c>
      <c r="V2764" t="s">
        <v>3349</v>
      </c>
      <c r="W2764" t="s">
        <v>3350</v>
      </c>
      <c r="AF2764" t="e">
        <f>--MTEENGIPTRT-----DLADIPE-QTPEDKRKRDEVEECMRDVIDPELGINVVDLGLVYSIWIENGVDAHIEMTLTSPACPLTDVLEEQAQEAVVGSGVVENLTLDWVWMPPWGPNMITEEGREQLRALGFNV</f>
        <v>#NAME?</v>
      </c>
    </row>
    <row r="2765" spans="1:32" hidden="1" x14ac:dyDescent="0.35">
      <c r="A2765">
        <v>1614</v>
      </c>
      <c r="B2765" t="s">
        <v>3380</v>
      </c>
      <c r="C2765" t="s">
        <v>72</v>
      </c>
      <c r="D2765" t="s">
        <v>58</v>
      </c>
      <c r="E2765">
        <v>184</v>
      </c>
      <c r="F2765">
        <v>5</v>
      </c>
      <c r="G2765">
        <v>5</v>
      </c>
      <c r="H2765">
        <v>1</v>
      </c>
      <c r="I2765">
        <v>1</v>
      </c>
      <c r="J2765">
        <v>0.77310061601642699</v>
      </c>
      <c r="K2765">
        <v>0.92191719574353803</v>
      </c>
      <c r="L2765">
        <v>0.84097612072338301</v>
      </c>
      <c r="M2765">
        <v>0.54716981132075504</v>
      </c>
      <c r="N2765">
        <v>1</v>
      </c>
      <c r="O2765">
        <v>0.67264150943396195</v>
      </c>
      <c r="P2765" t="s">
        <v>1981</v>
      </c>
      <c r="Q2765" t="s">
        <v>1982</v>
      </c>
      <c r="R2765" t="s">
        <v>96</v>
      </c>
      <c r="S2765" t="s">
        <v>97</v>
      </c>
      <c r="T2765" t="s">
        <v>3381</v>
      </c>
      <c r="U2765" t="s">
        <v>3382</v>
      </c>
      <c r="V2765" t="s">
        <v>3383</v>
      </c>
      <c r="W2765" t="s">
        <v>3384</v>
      </c>
      <c r="AD2765" t="s">
        <v>941</v>
      </c>
      <c r="AE2765" t="s">
        <v>3385</v>
      </c>
      <c r="AF2765" t="s">
        <v>3386</v>
      </c>
    </row>
    <row r="2766" spans="1:32" hidden="1" x14ac:dyDescent="0.35">
      <c r="A2766">
        <v>1615</v>
      </c>
      <c r="B2766" t="s">
        <v>3380</v>
      </c>
      <c r="C2766" t="s">
        <v>72</v>
      </c>
      <c r="D2766" t="s">
        <v>60</v>
      </c>
      <c r="E2766">
        <v>320</v>
      </c>
      <c r="F2766">
        <v>5</v>
      </c>
      <c r="G2766">
        <v>5</v>
      </c>
      <c r="H2766">
        <v>1</v>
      </c>
      <c r="I2766">
        <v>1</v>
      </c>
      <c r="J2766">
        <v>0.77310061601642699</v>
      </c>
      <c r="K2766">
        <v>0.92191719574353803</v>
      </c>
      <c r="L2766">
        <v>0.84097612072338301</v>
      </c>
      <c r="M2766">
        <v>0.54716981132075504</v>
      </c>
      <c r="N2766">
        <v>1</v>
      </c>
      <c r="O2766">
        <v>0.67264150943396195</v>
      </c>
      <c r="P2766" t="s">
        <v>1981</v>
      </c>
      <c r="Q2766" t="s">
        <v>1982</v>
      </c>
      <c r="R2766" t="s">
        <v>96</v>
      </c>
      <c r="S2766" t="s">
        <v>97</v>
      </c>
      <c r="T2766" t="s">
        <v>3381</v>
      </c>
      <c r="U2766" t="s">
        <v>3382</v>
      </c>
      <c r="V2766" t="s">
        <v>3383</v>
      </c>
      <c r="W2766" t="s">
        <v>3384</v>
      </c>
      <c r="AD2766" t="s">
        <v>941</v>
      </c>
      <c r="AE2766" t="s">
        <v>3385</v>
      </c>
      <c r="AF2766" t="e">
        <f>------MRNTVIATLAAASLL-----LAACGEDNTAGQDAVAVGGTFTFYAPGGQTKVTYPQNERKPVKNFSGESLMDPEKTISLDDYKGQIVVLNAWGQWCAPCRSESDDLQEVQETISSKGGTVLGINVRDHSAEAARDFVTDNGISYPSIYDPPFKTAAALGGVPASVVPTTIVLDRQHRPAAVFVREITAKELMETVQPLLDEPLDGQ</f>
        <v>#NAME?</v>
      </c>
    </row>
    <row r="2767" spans="1:32" hidden="1" x14ac:dyDescent="0.35">
      <c r="A2767">
        <v>1616</v>
      </c>
      <c r="B2767" t="s">
        <v>3380</v>
      </c>
      <c r="C2767" t="s">
        <v>72</v>
      </c>
      <c r="D2767" t="s">
        <v>62</v>
      </c>
      <c r="E2767">
        <v>400</v>
      </c>
      <c r="F2767">
        <v>5</v>
      </c>
      <c r="G2767">
        <v>5</v>
      </c>
      <c r="H2767">
        <v>1</v>
      </c>
      <c r="I2767">
        <v>1</v>
      </c>
      <c r="J2767">
        <v>0.77310061601642699</v>
      </c>
      <c r="K2767">
        <v>0.92191719574353803</v>
      </c>
      <c r="L2767">
        <v>0.84097612072338301</v>
      </c>
      <c r="M2767">
        <v>0.54716981132075504</v>
      </c>
      <c r="N2767">
        <v>1</v>
      </c>
      <c r="O2767">
        <v>0.67264150943396195</v>
      </c>
      <c r="P2767" t="s">
        <v>1981</v>
      </c>
      <c r="Q2767" t="s">
        <v>1982</v>
      </c>
      <c r="R2767" t="s">
        <v>96</v>
      </c>
      <c r="S2767" t="s">
        <v>97</v>
      </c>
      <c r="T2767" t="s">
        <v>3381</v>
      </c>
      <c r="U2767" t="s">
        <v>3382</v>
      </c>
      <c r="V2767" t="s">
        <v>3383</v>
      </c>
      <c r="W2767" t="s">
        <v>3384</v>
      </c>
      <c r="AD2767" t="s">
        <v>941</v>
      </c>
      <c r="AE2767" t="s">
        <v>3385</v>
      </c>
      <c r="AF2767" t="e">
        <f>------MRNTVIATLAAASLL-----LAACGEDNTAGQDAVAVGGTFTFYAPGGQTKVTYPQNERKPVKNFSGESLMDPEKTISLDDYKGQIVVLNAWGQWCAPCRSESDDLQEVQETISSKGGTVLGINVRDHSAEAARDFVTDNGISYPSIYDPPFKTAAALGGVPASVVPTTIVLDRQHRPAAVFVREITAKELMETVQPLLDEPLDGQ</f>
        <v>#NAME?</v>
      </c>
    </row>
    <row r="2768" spans="1:32" hidden="1" x14ac:dyDescent="0.35">
      <c r="A2768">
        <v>1617</v>
      </c>
      <c r="B2768" t="s">
        <v>3380</v>
      </c>
      <c r="C2768" t="s">
        <v>72</v>
      </c>
      <c r="D2768" t="s">
        <v>34</v>
      </c>
      <c r="E2768">
        <v>836</v>
      </c>
      <c r="F2768">
        <v>5</v>
      </c>
      <c r="G2768">
        <v>5</v>
      </c>
      <c r="H2768">
        <v>1</v>
      </c>
      <c r="I2768">
        <v>1</v>
      </c>
      <c r="J2768">
        <v>0.77310061601642699</v>
      </c>
      <c r="K2768">
        <v>0.92191719574353803</v>
      </c>
      <c r="L2768">
        <v>0.84097612072338301</v>
      </c>
      <c r="M2768">
        <v>0.54716981132075504</v>
      </c>
      <c r="N2768">
        <v>1</v>
      </c>
      <c r="O2768">
        <v>0.67264150943396195</v>
      </c>
      <c r="P2768" t="s">
        <v>1981</v>
      </c>
      <c r="Q2768" t="s">
        <v>1982</v>
      </c>
      <c r="R2768" t="s">
        <v>96</v>
      </c>
      <c r="S2768" t="s">
        <v>97</v>
      </c>
      <c r="T2768" t="s">
        <v>3381</v>
      </c>
      <c r="U2768" t="s">
        <v>3382</v>
      </c>
      <c r="V2768" t="s">
        <v>3383</v>
      </c>
      <c r="W2768" t="s">
        <v>3384</v>
      </c>
      <c r="AD2768" t="s">
        <v>941</v>
      </c>
      <c r="AE2768" t="s">
        <v>3385</v>
      </c>
      <c r="AF2768" t="s">
        <v>3387</v>
      </c>
    </row>
    <row r="2769" spans="1:32" hidden="1" x14ac:dyDescent="0.35">
      <c r="A2769">
        <v>1618</v>
      </c>
      <c r="B2769" t="s">
        <v>3380</v>
      </c>
      <c r="C2769" t="s">
        <v>72</v>
      </c>
      <c r="D2769" t="s">
        <v>45</v>
      </c>
      <c r="E2769">
        <v>2093</v>
      </c>
      <c r="F2769">
        <v>5</v>
      </c>
      <c r="G2769">
        <v>5</v>
      </c>
      <c r="H2769">
        <v>1</v>
      </c>
      <c r="I2769">
        <v>1</v>
      </c>
      <c r="J2769">
        <v>0.77310061601642699</v>
      </c>
      <c r="K2769">
        <v>0.92191719574353803</v>
      </c>
      <c r="L2769">
        <v>0.84097612072338301</v>
      </c>
      <c r="M2769">
        <v>0.54716981132075504</v>
      </c>
      <c r="N2769">
        <v>1</v>
      </c>
      <c r="O2769">
        <v>0.67264150943396195</v>
      </c>
      <c r="P2769" t="s">
        <v>1981</v>
      </c>
      <c r="Q2769" t="s">
        <v>1982</v>
      </c>
      <c r="R2769" t="s">
        <v>96</v>
      </c>
      <c r="S2769" t="s">
        <v>97</v>
      </c>
      <c r="T2769" t="s">
        <v>3381</v>
      </c>
      <c r="U2769" t="s">
        <v>3382</v>
      </c>
      <c r="V2769" t="s">
        <v>3383</v>
      </c>
      <c r="W2769" t="s">
        <v>3384</v>
      </c>
      <c r="AD2769" t="s">
        <v>941</v>
      </c>
      <c r="AE2769" t="s">
        <v>3385</v>
      </c>
      <c r="AF2769" t="s">
        <v>3387</v>
      </c>
    </row>
    <row r="2770" spans="1:32" hidden="1" x14ac:dyDescent="0.35">
      <c r="A2770">
        <v>1679</v>
      </c>
      <c r="B2770" t="s">
        <v>3517</v>
      </c>
      <c r="C2770" t="s">
        <v>72</v>
      </c>
      <c r="D2770" t="s">
        <v>58</v>
      </c>
      <c r="E2770">
        <v>1742</v>
      </c>
      <c r="F2770">
        <v>5</v>
      </c>
      <c r="G2770">
        <v>5</v>
      </c>
      <c r="H2770">
        <v>1</v>
      </c>
      <c r="I2770">
        <v>1</v>
      </c>
      <c r="J2770">
        <v>0.901256380054967</v>
      </c>
      <c r="K2770">
        <v>0.99648549345425697</v>
      </c>
      <c r="L2770">
        <v>0.94648162760635401</v>
      </c>
      <c r="M2770">
        <v>0.83098591549295797</v>
      </c>
      <c r="N2770">
        <v>1</v>
      </c>
      <c r="O2770">
        <v>0.86866197183098603</v>
      </c>
      <c r="P2770" t="s">
        <v>1199</v>
      </c>
      <c r="Q2770" t="s">
        <v>1200</v>
      </c>
      <c r="R2770" t="s">
        <v>96</v>
      </c>
      <c r="S2770" t="s">
        <v>97</v>
      </c>
      <c r="T2770" t="s">
        <v>3518</v>
      </c>
      <c r="U2770" t="s">
        <v>3519</v>
      </c>
      <c r="V2770" t="s">
        <v>1203</v>
      </c>
      <c r="W2770" t="s">
        <v>1204</v>
      </c>
      <c r="AD2770" t="s">
        <v>941</v>
      </c>
      <c r="AE2770" t="s">
        <v>1205</v>
      </c>
      <c r="AF2770" t="s">
        <v>3520</v>
      </c>
    </row>
    <row r="2771" spans="1:32" hidden="1" x14ac:dyDescent="0.35">
      <c r="A2771">
        <v>1680</v>
      </c>
      <c r="B2771" t="s">
        <v>3517</v>
      </c>
      <c r="C2771" t="s">
        <v>72</v>
      </c>
      <c r="D2771" t="s">
        <v>60</v>
      </c>
      <c r="E2771">
        <v>2363</v>
      </c>
      <c r="F2771">
        <v>5</v>
      </c>
      <c r="G2771">
        <v>5</v>
      </c>
      <c r="H2771">
        <v>1</v>
      </c>
      <c r="I2771">
        <v>1</v>
      </c>
      <c r="J2771">
        <v>0.901256380054967</v>
      </c>
      <c r="K2771">
        <v>0.99648549345425697</v>
      </c>
      <c r="L2771">
        <v>0.94648162760635401</v>
      </c>
      <c r="M2771">
        <v>0.83098591549295797</v>
      </c>
      <c r="N2771">
        <v>1</v>
      </c>
      <c r="O2771">
        <v>0.86866197183098603</v>
      </c>
      <c r="P2771" t="s">
        <v>1199</v>
      </c>
      <c r="Q2771" t="s">
        <v>1200</v>
      </c>
      <c r="R2771" t="s">
        <v>96</v>
      </c>
      <c r="S2771" t="s">
        <v>97</v>
      </c>
      <c r="T2771" t="s">
        <v>3518</v>
      </c>
      <c r="U2771" t="s">
        <v>3519</v>
      </c>
      <c r="V2771" t="s">
        <v>1203</v>
      </c>
      <c r="W2771" t="s">
        <v>1204</v>
      </c>
      <c r="AD2771" t="s">
        <v>941</v>
      </c>
      <c r="AE2771" t="s">
        <v>1205</v>
      </c>
      <c r="AF2771" t="s">
        <v>3521</v>
      </c>
    </row>
    <row r="2772" spans="1:32" hidden="1" x14ac:dyDescent="0.35">
      <c r="A2772">
        <v>1681</v>
      </c>
      <c r="B2772" t="s">
        <v>3517</v>
      </c>
      <c r="C2772" t="s">
        <v>72</v>
      </c>
      <c r="D2772" t="s">
        <v>62</v>
      </c>
      <c r="E2772">
        <v>2391</v>
      </c>
      <c r="F2772">
        <v>5</v>
      </c>
      <c r="G2772">
        <v>5</v>
      </c>
      <c r="H2772">
        <v>1</v>
      </c>
      <c r="I2772">
        <v>1</v>
      </c>
      <c r="J2772">
        <v>0.901256380054967</v>
      </c>
      <c r="K2772">
        <v>0.99648549345425697</v>
      </c>
      <c r="L2772">
        <v>0.94648162760635401</v>
      </c>
      <c r="M2772">
        <v>0.83098591549295797</v>
      </c>
      <c r="N2772">
        <v>1</v>
      </c>
      <c r="O2772">
        <v>0.86866197183098603</v>
      </c>
      <c r="P2772" t="s">
        <v>1199</v>
      </c>
      <c r="Q2772" t="s">
        <v>1200</v>
      </c>
      <c r="R2772" t="s">
        <v>96</v>
      </c>
      <c r="S2772" t="s">
        <v>97</v>
      </c>
      <c r="T2772" t="s">
        <v>3518</v>
      </c>
      <c r="U2772" t="s">
        <v>3519</v>
      </c>
      <c r="V2772" t="s">
        <v>1203</v>
      </c>
      <c r="W2772" t="s">
        <v>1204</v>
      </c>
      <c r="AD2772" t="s">
        <v>941</v>
      </c>
      <c r="AE2772" t="s">
        <v>1205</v>
      </c>
      <c r="AF2772" t="s">
        <v>3522</v>
      </c>
    </row>
    <row r="2773" spans="1:32" hidden="1" x14ac:dyDescent="0.35">
      <c r="A2773">
        <v>1682</v>
      </c>
      <c r="B2773" t="s">
        <v>3517</v>
      </c>
      <c r="C2773" t="s">
        <v>72</v>
      </c>
      <c r="D2773" t="s">
        <v>34</v>
      </c>
      <c r="E2773">
        <v>1421</v>
      </c>
      <c r="F2773">
        <v>5</v>
      </c>
      <c r="G2773">
        <v>5</v>
      </c>
      <c r="H2773">
        <v>1</v>
      </c>
      <c r="I2773">
        <v>1</v>
      </c>
      <c r="J2773">
        <v>0.901256380054967</v>
      </c>
      <c r="K2773">
        <v>0.99648549345425697</v>
      </c>
      <c r="L2773">
        <v>0.94648162760635401</v>
      </c>
      <c r="M2773">
        <v>0.83098591549295797</v>
      </c>
      <c r="N2773">
        <v>1</v>
      </c>
      <c r="O2773">
        <v>0.86866197183098603</v>
      </c>
      <c r="P2773" t="s">
        <v>1199</v>
      </c>
      <c r="Q2773" t="s">
        <v>1200</v>
      </c>
      <c r="R2773" t="s">
        <v>96</v>
      </c>
      <c r="S2773" t="s">
        <v>97</v>
      </c>
      <c r="T2773" t="s">
        <v>3518</v>
      </c>
      <c r="U2773" t="s">
        <v>3519</v>
      </c>
      <c r="V2773" t="s">
        <v>1203</v>
      </c>
      <c r="W2773" t="s">
        <v>1204</v>
      </c>
      <c r="AD2773" t="s">
        <v>941</v>
      </c>
      <c r="AE2773" t="s">
        <v>1205</v>
      </c>
      <c r="AF2773" t="s">
        <v>3523</v>
      </c>
    </row>
    <row r="2774" spans="1:32" hidden="1" x14ac:dyDescent="0.35">
      <c r="A2774">
        <v>1683</v>
      </c>
      <c r="B2774" t="s">
        <v>3517</v>
      </c>
      <c r="C2774" t="s">
        <v>72</v>
      </c>
      <c r="D2774" t="s">
        <v>45</v>
      </c>
      <c r="E2774">
        <v>172</v>
      </c>
      <c r="F2774">
        <v>5</v>
      </c>
      <c r="G2774">
        <v>5</v>
      </c>
      <c r="H2774">
        <v>1</v>
      </c>
      <c r="I2774">
        <v>1</v>
      </c>
      <c r="J2774">
        <v>0.901256380054967</v>
      </c>
      <c r="K2774">
        <v>0.99648549345425697</v>
      </c>
      <c r="L2774">
        <v>0.94648162760635401</v>
      </c>
      <c r="M2774">
        <v>0.83098591549295797</v>
      </c>
      <c r="N2774">
        <v>1</v>
      </c>
      <c r="O2774">
        <v>0.86866197183098603</v>
      </c>
      <c r="P2774" t="s">
        <v>1199</v>
      </c>
      <c r="Q2774" t="s">
        <v>1200</v>
      </c>
      <c r="R2774" t="s">
        <v>96</v>
      </c>
      <c r="S2774" t="s">
        <v>97</v>
      </c>
      <c r="T2774" t="s">
        <v>3518</v>
      </c>
      <c r="U2774" t="s">
        <v>3519</v>
      </c>
      <c r="V2774" t="s">
        <v>1203</v>
      </c>
      <c r="W2774" t="s">
        <v>1204</v>
      </c>
      <c r="AD2774" t="s">
        <v>941</v>
      </c>
      <c r="AE2774" t="s">
        <v>1205</v>
      </c>
      <c r="AF2774" t="s">
        <v>3523</v>
      </c>
    </row>
    <row r="2775" spans="1:32" hidden="1" x14ac:dyDescent="0.35">
      <c r="A2775">
        <v>1724</v>
      </c>
      <c r="B2775" t="s">
        <v>3595</v>
      </c>
      <c r="C2775" t="s">
        <v>72</v>
      </c>
      <c r="D2775" t="s">
        <v>58</v>
      </c>
      <c r="E2775">
        <v>563</v>
      </c>
      <c r="F2775">
        <v>5</v>
      </c>
      <c r="G2775">
        <v>5</v>
      </c>
      <c r="H2775">
        <v>1</v>
      </c>
      <c r="I2775">
        <v>1</v>
      </c>
      <c r="J2775">
        <v>0.742130910048729</v>
      </c>
      <c r="K2775">
        <v>0.88633514492753496</v>
      </c>
      <c r="L2775">
        <v>0.80784822711312998</v>
      </c>
      <c r="M2775">
        <v>0.48784722222222199</v>
      </c>
      <c r="N2775">
        <v>1</v>
      </c>
      <c r="O2775">
        <v>0.60243055555555602</v>
      </c>
      <c r="P2775" t="s">
        <v>3596</v>
      </c>
      <c r="Q2775" t="s">
        <v>3597</v>
      </c>
      <c r="R2775" t="s">
        <v>96</v>
      </c>
      <c r="S2775" t="s">
        <v>97</v>
      </c>
      <c r="T2775" t="s">
        <v>3598</v>
      </c>
      <c r="U2775" t="s">
        <v>3599</v>
      </c>
      <c r="V2775" t="s">
        <v>3600</v>
      </c>
      <c r="W2775" t="s">
        <v>3601</v>
      </c>
      <c r="Z2775" t="s">
        <v>3602</v>
      </c>
      <c r="AA2775" t="s">
        <v>3603</v>
      </c>
      <c r="AB2775" t="s">
        <v>3602</v>
      </c>
      <c r="AC2775" t="s">
        <v>3604</v>
      </c>
      <c r="AD2775" t="s">
        <v>360</v>
      </c>
      <c r="AE2775" t="s">
        <v>3605</v>
      </c>
      <c r="AF2775" t="s">
        <v>3606</v>
      </c>
    </row>
    <row r="2776" spans="1:32" hidden="1" x14ac:dyDescent="0.35">
      <c r="A2776">
        <v>1725</v>
      </c>
      <c r="B2776" t="s">
        <v>3595</v>
      </c>
      <c r="C2776" t="s">
        <v>72</v>
      </c>
      <c r="D2776" t="s">
        <v>60</v>
      </c>
      <c r="E2776">
        <v>783</v>
      </c>
      <c r="F2776">
        <v>5</v>
      </c>
      <c r="G2776">
        <v>5</v>
      </c>
      <c r="H2776">
        <v>1</v>
      </c>
      <c r="I2776">
        <v>1</v>
      </c>
      <c r="J2776">
        <v>0.742130910048729</v>
      </c>
      <c r="K2776">
        <v>0.88633514492753496</v>
      </c>
      <c r="L2776">
        <v>0.80784822711312998</v>
      </c>
      <c r="M2776">
        <v>0.48784722222222199</v>
      </c>
      <c r="N2776">
        <v>1</v>
      </c>
      <c r="O2776">
        <v>0.60243055555555602</v>
      </c>
      <c r="P2776" t="s">
        <v>3596</v>
      </c>
      <c r="Q2776" t="s">
        <v>3597</v>
      </c>
      <c r="R2776" t="s">
        <v>96</v>
      </c>
      <c r="S2776" t="s">
        <v>97</v>
      </c>
      <c r="T2776" t="s">
        <v>3598</v>
      </c>
      <c r="U2776" t="s">
        <v>3599</v>
      </c>
      <c r="V2776" t="s">
        <v>3600</v>
      </c>
      <c r="W2776" t="s">
        <v>3601</v>
      </c>
      <c r="Z2776" t="s">
        <v>3602</v>
      </c>
      <c r="AA2776" t="s">
        <v>3603</v>
      </c>
      <c r="AB2776" t="s">
        <v>3602</v>
      </c>
      <c r="AC2776" t="s">
        <v>3604</v>
      </c>
      <c r="AD2776" t="s">
        <v>360</v>
      </c>
      <c r="AE2776" t="s">
        <v>3605</v>
      </c>
      <c r="AF2776" t="s">
        <v>3607</v>
      </c>
    </row>
    <row r="2777" spans="1:32" hidden="1" x14ac:dyDescent="0.35">
      <c r="A2777">
        <v>1726</v>
      </c>
      <c r="B2777" t="s">
        <v>3595</v>
      </c>
      <c r="C2777" t="s">
        <v>72</v>
      </c>
      <c r="D2777" t="s">
        <v>62</v>
      </c>
      <c r="E2777">
        <v>816</v>
      </c>
      <c r="F2777">
        <v>5</v>
      </c>
      <c r="G2777">
        <v>5</v>
      </c>
      <c r="H2777">
        <v>1</v>
      </c>
      <c r="I2777">
        <v>1</v>
      </c>
      <c r="J2777">
        <v>0.742130910048729</v>
      </c>
      <c r="K2777">
        <v>0.88633514492753496</v>
      </c>
      <c r="L2777">
        <v>0.80784822711312998</v>
      </c>
      <c r="M2777">
        <v>0.48784722222222199</v>
      </c>
      <c r="N2777">
        <v>1</v>
      </c>
      <c r="O2777">
        <v>0.60243055555555602</v>
      </c>
      <c r="P2777" t="s">
        <v>3596</v>
      </c>
      <c r="Q2777" t="s">
        <v>3597</v>
      </c>
      <c r="R2777" t="s">
        <v>96</v>
      </c>
      <c r="S2777" t="s">
        <v>97</v>
      </c>
      <c r="T2777" t="s">
        <v>3598</v>
      </c>
      <c r="U2777" t="s">
        <v>3599</v>
      </c>
      <c r="V2777" t="s">
        <v>3600</v>
      </c>
      <c r="W2777" t="s">
        <v>3601</v>
      </c>
      <c r="Z2777" t="s">
        <v>3602</v>
      </c>
      <c r="AA2777" t="s">
        <v>3603</v>
      </c>
      <c r="AB2777" t="s">
        <v>3602</v>
      </c>
      <c r="AC2777" t="s">
        <v>3604</v>
      </c>
      <c r="AD2777" t="s">
        <v>360</v>
      </c>
      <c r="AE2777" t="s">
        <v>3605</v>
      </c>
      <c r="AF2777" t="s">
        <v>3607</v>
      </c>
    </row>
    <row r="2778" spans="1:32" hidden="1" x14ac:dyDescent="0.35">
      <c r="A2778">
        <v>1727</v>
      </c>
      <c r="B2778" t="s">
        <v>3595</v>
      </c>
      <c r="C2778" t="s">
        <v>72</v>
      </c>
      <c r="D2778" t="s">
        <v>34</v>
      </c>
      <c r="E2778">
        <v>349</v>
      </c>
      <c r="F2778">
        <v>5</v>
      </c>
      <c r="G2778">
        <v>5</v>
      </c>
      <c r="H2778">
        <v>1</v>
      </c>
      <c r="I2778">
        <v>1</v>
      </c>
      <c r="J2778">
        <v>0.742130910048729</v>
      </c>
      <c r="K2778">
        <v>0.88633514492753496</v>
      </c>
      <c r="L2778">
        <v>0.80784822711312998</v>
      </c>
      <c r="M2778">
        <v>0.48784722222222199</v>
      </c>
      <c r="N2778">
        <v>1</v>
      </c>
      <c r="O2778">
        <v>0.60243055555555602</v>
      </c>
      <c r="P2778" t="s">
        <v>3608</v>
      </c>
      <c r="Q2778" t="s">
        <v>3609</v>
      </c>
      <c r="R2778" t="s">
        <v>96</v>
      </c>
      <c r="S2778" t="s">
        <v>97</v>
      </c>
      <c r="T2778" t="s">
        <v>3598</v>
      </c>
      <c r="U2778" t="s">
        <v>3599</v>
      </c>
      <c r="V2778" t="s">
        <v>3600</v>
      </c>
      <c r="W2778" t="s">
        <v>3601</v>
      </c>
      <c r="Z2778" t="s">
        <v>3602</v>
      </c>
      <c r="AA2778" t="s">
        <v>3603</v>
      </c>
      <c r="AB2778" t="s">
        <v>3602</v>
      </c>
      <c r="AC2778" t="s">
        <v>3604</v>
      </c>
      <c r="AD2778" t="s">
        <v>360</v>
      </c>
      <c r="AE2778" t="s">
        <v>3605</v>
      </c>
      <c r="AF2778" t="s">
        <v>3610</v>
      </c>
    </row>
    <row r="2779" spans="1:32" hidden="1" x14ac:dyDescent="0.35">
      <c r="A2779">
        <v>1728</v>
      </c>
      <c r="B2779" t="s">
        <v>3595</v>
      </c>
      <c r="C2779" t="s">
        <v>72</v>
      </c>
      <c r="D2779" t="s">
        <v>45</v>
      </c>
      <c r="E2779">
        <v>1611</v>
      </c>
      <c r="F2779">
        <v>5</v>
      </c>
      <c r="G2779">
        <v>5</v>
      </c>
      <c r="H2779">
        <v>1</v>
      </c>
      <c r="I2779">
        <v>1</v>
      </c>
      <c r="J2779">
        <v>0.742130910048729</v>
      </c>
      <c r="K2779">
        <v>0.88633514492753496</v>
      </c>
      <c r="L2779">
        <v>0.80784822711312998</v>
      </c>
      <c r="M2779">
        <v>0.48784722222222199</v>
      </c>
      <c r="N2779">
        <v>1</v>
      </c>
      <c r="O2779">
        <v>0.60243055555555602</v>
      </c>
      <c r="P2779" t="s">
        <v>3596</v>
      </c>
      <c r="Q2779" t="s">
        <v>3597</v>
      </c>
      <c r="R2779" t="s">
        <v>96</v>
      </c>
      <c r="S2779" t="s">
        <v>97</v>
      </c>
      <c r="T2779" t="s">
        <v>3598</v>
      </c>
      <c r="U2779" t="s">
        <v>3599</v>
      </c>
      <c r="V2779" t="s">
        <v>3600</v>
      </c>
      <c r="W2779" t="s">
        <v>3601</v>
      </c>
      <c r="Z2779" t="s">
        <v>3602</v>
      </c>
      <c r="AA2779" t="s">
        <v>3603</v>
      </c>
      <c r="AB2779" t="s">
        <v>3602</v>
      </c>
      <c r="AC2779" t="s">
        <v>3604</v>
      </c>
      <c r="AD2779" t="s">
        <v>360</v>
      </c>
      <c r="AE2779" t="s">
        <v>3605</v>
      </c>
      <c r="AF2779" t="e">
        <f>--------MAQVISLTSNLRRKAAHTSADEPRPPVGRFTRPATPPEPRRIVWTKFDTNTTIIIGLWTLITRFVGLNSAVADGTPVFDEKHYVPQAWDMVNSWVNPLIGGIESNPGYGLVVHPPLAKQIEAYGELIFGYTALGWRIMAALFGTATVLLIMNLARQLTGSSVIAAFAGILALFDGVLLITSRFGMLDIFQTLFIVGAAYCLTRDYNQMRVRLHQA-------WLAGGLGT---HRFGPRFGFRWWRFGGGVCLGLALSVKWSGLYYMAFFGLMTVLFDVYLRHRYQVKQPVLGTLVRDTIAAFCSIVILPIALYAWSWRAWFTSETSIYRHVDTWKDVAINNHDFAPDSWVFRLPEALASWIYYHKSVLAFHASLTTSAGHVHPWDSKPWSWLVSGRPILYYSVTDIHC--GESTCRRMIYLFGTPAIWWLTIPIILWSLWCVIIRKDLRLIIPLVSFAAGFLPWLAAYDRQMYFFYATPLIPFTIIMIAIGLGELIPLGKRLKIP------AIFHKIGTETTTVGGLIVALYLGLVVAMFVYFSPILYGYTIPDALYETLMWIPSWR</f>
        <v>#NAME?</v>
      </c>
    </row>
    <row r="2780" spans="1:32" hidden="1" x14ac:dyDescent="0.35">
      <c r="A2780">
        <v>2109</v>
      </c>
      <c r="B2780" t="s">
        <v>4388</v>
      </c>
      <c r="C2780" t="s">
        <v>72</v>
      </c>
      <c r="D2780" t="s">
        <v>58</v>
      </c>
      <c r="E2780">
        <v>1480</v>
      </c>
      <c r="F2780">
        <v>5</v>
      </c>
      <c r="G2780">
        <v>5</v>
      </c>
      <c r="H2780">
        <v>1</v>
      </c>
      <c r="I2780">
        <v>1</v>
      </c>
      <c r="J2780">
        <v>0.92246415294742401</v>
      </c>
      <c r="K2780">
        <v>0.94765240343129997</v>
      </c>
      <c r="L2780">
        <v>0.93488865026957402</v>
      </c>
      <c r="M2780">
        <v>0.80402010050251305</v>
      </c>
      <c r="N2780">
        <v>1</v>
      </c>
      <c r="O2780">
        <v>0.86733668341708503</v>
      </c>
      <c r="P2780" t="s">
        <v>4389</v>
      </c>
      <c r="Q2780" t="s">
        <v>4390</v>
      </c>
      <c r="R2780" t="s">
        <v>96</v>
      </c>
      <c r="S2780" t="s">
        <v>97</v>
      </c>
      <c r="T2780" t="s">
        <v>4391</v>
      </c>
      <c r="U2780" t="s">
        <v>4392</v>
      </c>
      <c r="V2780" t="s">
        <v>4393</v>
      </c>
      <c r="W2780" t="s">
        <v>4394</v>
      </c>
      <c r="AD2780" t="s">
        <v>546</v>
      </c>
      <c r="AE2780" t="s">
        <v>4395</v>
      </c>
      <c r="AF2780" t="s">
        <v>4396</v>
      </c>
    </row>
    <row r="2781" spans="1:32" hidden="1" x14ac:dyDescent="0.35">
      <c r="A2781">
        <v>2110</v>
      </c>
      <c r="B2781" t="s">
        <v>4388</v>
      </c>
      <c r="C2781" t="s">
        <v>72</v>
      </c>
      <c r="D2781" t="s">
        <v>60</v>
      </c>
      <c r="E2781">
        <v>1993</v>
      </c>
      <c r="F2781">
        <v>5</v>
      </c>
      <c r="G2781">
        <v>5</v>
      </c>
      <c r="H2781">
        <v>1</v>
      </c>
      <c r="I2781">
        <v>1</v>
      </c>
      <c r="J2781">
        <v>0.92246415294742401</v>
      </c>
      <c r="K2781">
        <v>0.94765240343129997</v>
      </c>
      <c r="L2781">
        <v>0.93488865026957402</v>
      </c>
      <c r="M2781">
        <v>0.80402010050251305</v>
      </c>
      <c r="N2781">
        <v>1</v>
      </c>
      <c r="O2781">
        <v>0.86733668341708503</v>
      </c>
      <c r="P2781" t="s">
        <v>4389</v>
      </c>
      <c r="Q2781" t="s">
        <v>4390</v>
      </c>
      <c r="R2781" t="s">
        <v>96</v>
      </c>
      <c r="S2781" t="s">
        <v>97</v>
      </c>
      <c r="T2781" t="s">
        <v>4391</v>
      </c>
      <c r="U2781" t="s">
        <v>4392</v>
      </c>
      <c r="V2781" t="s">
        <v>4393</v>
      </c>
      <c r="W2781" t="s">
        <v>4394</v>
      </c>
      <c r="AD2781" t="s">
        <v>546</v>
      </c>
      <c r="AE2781" t="s">
        <v>4395</v>
      </c>
      <c r="AF2781" t="s">
        <v>4397</v>
      </c>
    </row>
    <row r="2782" spans="1:32" hidden="1" x14ac:dyDescent="0.35">
      <c r="A2782">
        <v>2111</v>
      </c>
      <c r="B2782" t="s">
        <v>4388</v>
      </c>
      <c r="C2782" t="s">
        <v>72</v>
      </c>
      <c r="D2782" t="s">
        <v>62</v>
      </c>
      <c r="E2782">
        <v>2034</v>
      </c>
      <c r="F2782">
        <v>5</v>
      </c>
      <c r="G2782">
        <v>5</v>
      </c>
      <c r="H2782">
        <v>1</v>
      </c>
      <c r="I2782">
        <v>1</v>
      </c>
      <c r="J2782">
        <v>0.92246415294742401</v>
      </c>
      <c r="K2782">
        <v>0.94765240343129997</v>
      </c>
      <c r="L2782">
        <v>0.93488865026957402</v>
      </c>
      <c r="M2782">
        <v>0.80402010050251305</v>
      </c>
      <c r="N2782">
        <v>1</v>
      </c>
      <c r="O2782">
        <v>0.86733668341708503</v>
      </c>
      <c r="P2782" t="s">
        <v>4389</v>
      </c>
      <c r="Q2782" t="s">
        <v>4390</v>
      </c>
      <c r="R2782" t="s">
        <v>96</v>
      </c>
      <c r="S2782" t="s">
        <v>97</v>
      </c>
      <c r="T2782" t="s">
        <v>4391</v>
      </c>
      <c r="U2782" t="s">
        <v>4392</v>
      </c>
      <c r="V2782" t="s">
        <v>4393</v>
      </c>
      <c r="W2782" t="s">
        <v>4394</v>
      </c>
      <c r="AD2782" t="s">
        <v>546</v>
      </c>
      <c r="AE2782" t="s">
        <v>4395</v>
      </c>
      <c r="AF2782" t="s">
        <v>4397</v>
      </c>
    </row>
    <row r="2783" spans="1:32" hidden="1" x14ac:dyDescent="0.35">
      <c r="A2783">
        <v>2112</v>
      </c>
      <c r="B2783" t="s">
        <v>4388</v>
      </c>
      <c r="C2783" t="s">
        <v>72</v>
      </c>
      <c r="D2783" t="s">
        <v>34</v>
      </c>
      <c r="E2783">
        <v>2347</v>
      </c>
      <c r="F2783">
        <v>5</v>
      </c>
      <c r="G2783">
        <v>5</v>
      </c>
      <c r="H2783">
        <v>1</v>
      </c>
      <c r="I2783">
        <v>1</v>
      </c>
      <c r="J2783">
        <v>0.92246415294742401</v>
      </c>
      <c r="K2783">
        <v>0.94765240343129997</v>
      </c>
      <c r="L2783">
        <v>0.93488865026957402</v>
      </c>
      <c r="M2783">
        <v>0.80402010050251305</v>
      </c>
      <c r="N2783">
        <v>1</v>
      </c>
      <c r="O2783">
        <v>0.86733668341708503</v>
      </c>
      <c r="P2783" t="s">
        <v>4389</v>
      </c>
      <c r="Q2783" t="s">
        <v>4390</v>
      </c>
      <c r="R2783" t="s">
        <v>96</v>
      </c>
      <c r="S2783" t="s">
        <v>97</v>
      </c>
      <c r="T2783" t="s">
        <v>4391</v>
      </c>
      <c r="U2783" t="s">
        <v>4392</v>
      </c>
      <c r="V2783" t="s">
        <v>4393</v>
      </c>
      <c r="W2783" t="s">
        <v>4394</v>
      </c>
      <c r="AD2783" t="s">
        <v>546</v>
      </c>
      <c r="AE2783" t="s">
        <v>4395</v>
      </c>
      <c r="AF2783" t="s">
        <v>4398</v>
      </c>
    </row>
    <row r="2784" spans="1:32" hidden="1" x14ac:dyDescent="0.35">
      <c r="A2784">
        <v>2113</v>
      </c>
      <c r="B2784" t="s">
        <v>4388</v>
      </c>
      <c r="C2784" t="s">
        <v>72</v>
      </c>
      <c r="D2784" t="s">
        <v>45</v>
      </c>
      <c r="E2784">
        <v>532</v>
      </c>
      <c r="F2784">
        <v>5</v>
      </c>
      <c r="G2784">
        <v>5</v>
      </c>
      <c r="H2784">
        <v>1</v>
      </c>
      <c r="I2784">
        <v>1</v>
      </c>
      <c r="J2784">
        <v>0.92246415294742401</v>
      </c>
      <c r="K2784">
        <v>0.94765240343129997</v>
      </c>
      <c r="L2784">
        <v>0.93488865026957402</v>
      </c>
      <c r="M2784">
        <v>0.80402010050251305</v>
      </c>
      <c r="N2784">
        <v>1</v>
      </c>
      <c r="O2784">
        <v>0.86733668341708503</v>
      </c>
      <c r="P2784" t="s">
        <v>4389</v>
      </c>
      <c r="Q2784" t="s">
        <v>4390</v>
      </c>
      <c r="R2784" t="s">
        <v>96</v>
      </c>
      <c r="S2784" t="s">
        <v>97</v>
      </c>
      <c r="T2784" t="s">
        <v>4391</v>
      </c>
      <c r="U2784" t="s">
        <v>4392</v>
      </c>
      <c r="V2784" t="s">
        <v>4393</v>
      </c>
      <c r="W2784" t="s">
        <v>4394</v>
      </c>
      <c r="AD2784" t="s">
        <v>546</v>
      </c>
      <c r="AE2784" t="s">
        <v>4395</v>
      </c>
      <c r="AF2784" t="s">
        <v>4398</v>
      </c>
    </row>
    <row r="2785" spans="1:32" hidden="1" x14ac:dyDescent="0.35">
      <c r="A2785">
        <v>2274</v>
      </c>
      <c r="B2785" t="s">
        <v>4737</v>
      </c>
      <c r="C2785" t="s">
        <v>72</v>
      </c>
      <c r="D2785" t="s">
        <v>58</v>
      </c>
      <c r="E2785">
        <v>1479</v>
      </c>
      <c r="F2785">
        <v>5</v>
      </c>
      <c r="G2785">
        <v>5</v>
      </c>
      <c r="H2785">
        <v>1</v>
      </c>
      <c r="I2785">
        <v>1</v>
      </c>
      <c r="J2785">
        <v>0.91786513263023295</v>
      </c>
      <c r="K2785">
        <v>0.97497696459128802</v>
      </c>
      <c r="L2785">
        <v>0.94555944442445905</v>
      </c>
      <c r="M2785">
        <v>0.82242990654205606</v>
      </c>
      <c r="N2785">
        <v>1</v>
      </c>
      <c r="O2785">
        <v>0.87943925233644904</v>
      </c>
      <c r="P2785" t="s">
        <v>4389</v>
      </c>
      <c r="Q2785" t="s">
        <v>4390</v>
      </c>
      <c r="R2785" t="s">
        <v>96</v>
      </c>
      <c r="S2785" t="s">
        <v>97</v>
      </c>
      <c r="T2785" t="s">
        <v>4391</v>
      </c>
      <c r="U2785" t="s">
        <v>4392</v>
      </c>
      <c r="V2785" t="s">
        <v>4393</v>
      </c>
      <c r="W2785" t="s">
        <v>4394</v>
      </c>
      <c r="AD2785" t="s">
        <v>546</v>
      </c>
      <c r="AE2785" t="s">
        <v>4395</v>
      </c>
      <c r="AF2785" t="e">
        <f>-----MNTPKMPEARYILPSFVEHSAYGVKESNPYNKLFEERIIFLGTQVDDASANDIMAQLLVLEGQDPDRDITMYINSPGGSFTSLMAIYDTMQYVRCDVQTVCLGQAASAAAVILAAGTPGKRAALPNARVLIHQPATGGVQGQVSDLEIQAAEIERMRTLMDETLARHTGRTAEEVRKDTDRDKILTAAEAVEYGIIDQVFDYRKLSANA</f>
        <v>#NAME?</v>
      </c>
    </row>
    <row r="2786" spans="1:32" hidden="1" x14ac:dyDescent="0.35">
      <c r="A2786">
        <v>2275</v>
      </c>
      <c r="B2786" t="s">
        <v>4737</v>
      </c>
      <c r="C2786" t="s">
        <v>72</v>
      </c>
      <c r="D2786" t="s">
        <v>60</v>
      </c>
      <c r="E2786">
        <v>1992</v>
      </c>
      <c r="F2786">
        <v>5</v>
      </c>
      <c r="G2786">
        <v>5</v>
      </c>
      <c r="H2786">
        <v>1</v>
      </c>
      <c r="I2786">
        <v>1</v>
      </c>
      <c r="J2786">
        <v>0.91786513263023295</v>
      </c>
      <c r="K2786">
        <v>0.97497696459128802</v>
      </c>
      <c r="L2786">
        <v>0.94555944442445905</v>
      </c>
      <c r="M2786">
        <v>0.82242990654205606</v>
      </c>
      <c r="N2786">
        <v>1</v>
      </c>
      <c r="O2786">
        <v>0.87943925233644904</v>
      </c>
      <c r="P2786" t="s">
        <v>4389</v>
      </c>
      <c r="Q2786" t="s">
        <v>4390</v>
      </c>
      <c r="R2786" t="s">
        <v>96</v>
      </c>
      <c r="S2786" t="s">
        <v>97</v>
      </c>
      <c r="T2786" t="s">
        <v>4391</v>
      </c>
      <c r="U2786" t="s">
        <v>4392</v>
      </c>
      <c r="V2786" t="s">
        <v>4393</v>
      </c>
      <c r="W2786" t="s">
        <v>4394</v>
      </c>
      <c r="AD2786" t="s">
        <v>546</v>
      </c>
      <c r="AE2786" t="s">
        <v>4395</v>
      </c>
      <c r="AF2786" t="e">
        <f>----MSSEMQMPSSRYVLPSFVEHSAFGAKESNPYNKLFEERIIFLGTQVDDASANDIMAQLLVLEGQDPDRDITMYINSPGGSFTSLMAIYDTMQYVRPDVQTVCLGQAASAAAVLLAAGAPGKRAALPNARVLIHQPATGGVQGQVSDLEIQAQEIERMRKLMEETLARHTGRPAEQIRLDTDRDKILTASEAVDYGIIDQVFDYRKLSAQS</f>
        <v>#NAME?</v>
      </c>
    </row>
    <row r="2787" spans="1:32" hidden="1" x14ac:dyDescent="0.35">
      <c r="A2787">
        <v>2276</v>
      </c>
      <c r="B2787" t="s">
        <v>4737</v>
      </c>
      <c r="C2787" t="s">
        <v>72</v>
      </c>
      <c r="D2787" t="s">
        <v>62</v>
      </c>
      <c r="E2787">
        <v>2033</v>
      </c>
      <c r="F2787">
        <v>5</v>
      </c>
      <c r="G2787">
        <v>5</v>
      </c>
      <c r="H2787">
        <v>1</v>
      </c>
      <c r="I2787">
        <v>1</v>
      </c>
      <c r="J2787">
        <v>0.91786513263023295</v>
      </c>
      <c r="K2787">
        <v>0.97497696459128802</v>
      </c>
      <c r="L2787">
        <v>0.94555944442445905</v>
      </c>
      <c r="M2787">
        <v>0.82242990654205606</v>
      </c>
      <c r="N2787">
        <v>1</v>
      </c>
      <c r="O2787">
        <v>0.87943925233644904</v>
      </c>
      <c r="P2787" t="s">
        <v>4389</v>
      </c>
      <c r="Q2787" t="s">
        <v>4390</v>
      </c>
      <c r="R2787" t="s">
        <v>96</v>
      </c>
      <c r="S2787" t="s">
        <v>97</v>
      </c>
      <c r="T2787" t="s">
        <v>4391</v>
      </c>
      <c r="U2787" t="s">
        <v>4392</v>
      </c>
      <c r="V2787" t="s">
        <v>4393</v>
      </c>
      <c r="W2787" t="s">
        <v>4394</v>
      </c>
      <c r="AD2787" t="s">
        <v>546</v>
      </c>
      <c r="AE2787" t="s">
        <v>4395</v>
      </c>
      <c r="AF2787" t="e">
        <f>----MSSEMQMPSSRYVLPSFVEHSAFGAKESNPYNKLFEERIIFLGTQVDDASANDIMAQLLVLEGQDPDRDITMYINSPGGSFTSLMAIYDTMQYVRPDVQTVCLGQAASAAAVLLAAGAPGKRAALPNARVLIHQPATGGVQGQVSDLEIQAQEIERMRKLMEETLARHTGRPAEQIRLDTDRDKILTASEAVDYGIIDQVFDYRKLSAQS</f>
        <v>#NAME?</v>
      </c>
    </row>
    <row r="2788" spans="1:32" hidden="1" x14ac:dyDescent="0.35">
      <c r="A2788">
        <v>2277</v>
      </c>
      <c r="B2788" t="s">
        <v>4737</v>
      </c>
      <c r="C2788" t="s">
        <v>72</v>
      </c>
      <c r="D2788" t="s">
        <v>34</v>
      </c>
      <c r="E2788">
        <v>2346</v>
      </c>
      <c r="F2788">
        <v>5</v>
      </c>
      <c r="G2788">
        <v>5</v>
      </c>
      <c r="H2788">
        <v>1</v>
      </c>
      <c r="I2788">
        <v>1</v>
      </c>
      <c r="J2788">
        <v>0.91786513263023295</v>
      </c>
      <c r="K2788">
        <v>0.97497696459128802</v>
      </c>
      <c r="L2788">
        <v>0.94555944442445905</v>
      </c>
      <c r="M2788">
        <v>0.82242990654205606</v>
      </c>
      <c r="N2788">
        <v>1</v>
      </c>
      <c r="O2788">
        <v>0.87943925233644904</v>
      </c>
      <c r="P2788" t="s">
        <v>4389</v>
      </c>
      <c r="Q2788" t="s">
        <v>4390</v>
      </c>
      <c r="R2788" t="s">
        <v>96</v>
      </c>
      <c r="S2788" t="s">
        <v>97</v>
      </c>
      <c r="T2788" t="s">
        <v>4391</v>
      </c>
      <c r="U2788" t="s">
        <v>4392</v>
      </c>
      <c r="V2788" t="s">
        <v>4393</v>
      </c>
      <c r="W2788" t="s">
        <v>4394</v>
      </c>
      <c r="AD2788" t="s">
        <v>546</v>
      </c>
      <c r="AE2788" t="s">
        <v>4395</v>
      </c>
      <c r="AF2788" t="s">
        <v>4738</v>
      </c>
    </row>
    <row r="2789" spans="1:32" hidden="1" x14ac:dyDescent="0.35">
      <c r="A2789">
        <v>2278</v>
      </c>
      <c r="B2789" t="s">
        <v>4737</v>
      </c>
      <c r="C2789" t="s">
        <v>72</v>
      </c>
      <c r="D2789" t="s">
        <v>45</v>
      </c>
      <c r="E2789">
        <v>533</v>
      </c>
      <c r="F2789">
        <v>5</v>
      </c>
      <c r="G2789">
        <v>5</v>
      </c>
      <c r="H2789">
        <v>1</v>
      </c>
      <c r="I2789">
        <v>1</v>
      </c>
      <c r="J2789">
        <v>0.91786513263023295</v>
      </c>
      <c r="K2789">
        <v>0.97497696459128802</v>
      </c>
      <c r="L2789">
        <v>0.94555944442445905</v>
      </c>
      <c r="M2789">
        <v>0.82242990654205606</v>
      </c>
      <c r="N2789">
        <v>1</v>
      </c>
      <c r="O2789">
        <v>0.87943925233644904</v>
      </c>
      <c r="P2789" t="s">
        <v>4389</v>
      </c>
      <c r="Q2789" t="s">
        <v>4390</v>
      </c>
      <c r="R2789" t="s">
        <v>96</v>
      </c>
      <c r="S2789" t="s">
        <v>97</v>
      </c>
      <c r="T2789" t="s">
        <v>4391</v>
      </c>
      <c r="U2789" t="s">
        <v>4392</v>
      </c>
      <c r="V2789" t="s">
        <v>4393</v>
      </c>
      <c r="W2789" t="s">
        <v>4394</v>
      </c>
      <c r="AD2789" t="s">
        <v>546</v>
      </c>
      <c r="AE2789" t="s">
        <v>4395</v>
      </c>
      <c r="AF2789" t="s">
        <v>4738</v>
      </c>
    </row>
    <row r="2790" spans="1:32" hidden="1" x14ac:dyDescent="0.35">
      <c r="A2790">
        <v>2339</v>
      </c>
      <c r="B2790" t="s">
        <v>4866</v>
      </c>
      <c r="C2790" t="s">
        <v>72</v>
      </c>
      <c r="D2790" t="s">
        <v>58</v>
      </c>
      <c r="E2790">
        <v>1839</v>
      </c>
      <c r="F2790">
        <v>5</v>
      </c>
      <c r="G2790">
        <v>5</v>
      </c>
      <c r="H2790">
        <v>1</v>
      </c>
      <c r="I2790">
        <v>1</v>
      </c>
      <c r="J2790">
        <v>0.71475953565505801</v>
      </c>
      <c r="K2790">
        <v>0.78683632507763301</v>
      </c>
      <c r="L2790">
        <v>0.749068082905614</v>
      </c>
      <c r="M2790">
        <v>0.31901840490797501</v>
      </c>
      <c r="N2790">
        <v>1</v>
      </c>
      <c r="O2790">
        <v>0.52883435582822103</v>
      </c>
      <c r="P2790" t="s">
        <v>4867</v>
      </c>
      <c r="Q2790" t="s">
        <v>4868</v>
      </c>
      <c r="R2790" t="s">
        <v>96</v>
      </c>
      <c r="S2790" t="s">
        <v>97</v>
      </c>
      <c r="T2790" t="s">
        <v>4869</v>
      </c>
      <c r="U2790" t="s">
        <v>4870</v>
      </c>
      <c r="V2790" t="s">
        <v>4871</v>
      </c>
      <c r="W2790" t="s">
        <v>4872</v>
      </c>
      <c r="AD2790" t="s">
        <v>941</v>
      </c>
      <c r="AE2790" t="s">
        <v>3385</v>
      </c>
      <c r="AF2790" t="s">
        <v>4873</v>
      </c>
    </row>
    <row r="2791" spans="1:32" hidden="1" x14ac:dyDescent="0.35">
      <c r="A2791">
        <v>2340</v>
      </c>
      <c r="B2791" t="s">
        <v>4866</v>
      </c>
      <c r="C2791" t="s">
        <v>72</v>
      </c>
      <c r="D2791" t="s">
        <v>60</v>
      </c>
      <c r="E2791">
        <v>2479</v>
      </c>
      <c r="F2791">
        <v>5</v>
      </c>
      <c r="G2791">
        <v>5</v>
      </c>
      <c r="H2791">
        <v>1</v>
      </c>
      <c r="I2791">
        <v>1</v>
      </c>
      <c r="J2791">
        <v>0.71475953565505801</v>
      </c>
      <c r="K2791">
        <v>0.78683632507763301</v>
      </c>
      <c r="L2791">
        <v>0.749068082905614</v>
      </c>
      <c r="M2791">
        <v>0.31901840490797501</v>
      </c>
      <c r="N2791">
        <v>1</v>
      </c>
      <c r="O2791">
        <v>0.52883435582822103</v>
      </c>
      <c r="P2791" t="s">
        <v>4867</v>
      </c>
      <c r="Q2791" t="s">
        <v>4868</v>
      </c>
      <c r="R2791" t="s">
        <v>96</v>
      </c>
      <c r="S2791" t="s">
        <v>97</v>
      </c>
      <c r="T2791" t="s">
        <v>4869</v>
      </c>
      <c r="U2791" t="s">
        <v>4870</v>
      </c>
      <c r="V2791" t="s">
        <v>4871</v>
      </c>
      <c r="W2791" t="s">
        <v>4872</v>
      </c>
      <c r="AD2791" t="s">
        <v>941</v>
      </c>
      <c r="AE2791" t="s">
        <v>3385</v>
      </c>
      <c r="AF2791" t="s">
        <v>4874</v>
      </c>
    </row>
    <row r="2792" spans="1:32" hidden="1" x14ac:dyDescent="0.35">
      <c r="A2792">
        <v>2341</v>
      </c>
      <c r="B2792" t="s">
        <v>4866</v>
      </c>
      <c r="C2792" t="s">
        <v>72</v>
      </c>
      <c r="D2792" t="s">
        <v>62</v>
      </c>
      <c r="E2792">
        <v>6</v>
      </c>
      <c r="F2792">
        <v>5</v>
      </c>
      <c r="G2792">
        <v>5</v>
      </c>
      <c r="H2792">
        <v>1</v>
      </c>
      <c r="I2792">
        <v>1</v>
      </c>
      <c r="J2792">
        <v>0.71475953565505801</v>
      </c>
      <c r="K2792">
        <v>0.78683632507763301</v>
      </c>
      <c r="L2792">
        <v>0.749068082905614</v>
      </c>
      <c r="M2792">
        <v>0.31901840490797501</v>
      </c>
      <c r="N2792">
        <v>1</v>
      </c>
      <c r="O2792">
        <v>0.52883435582822103</v>
      </c>
      <c r="P2792" t="s">
        <v>4867</v>
      </c>
      <c r="Q2792" t="s">
        <v>4868</v>
      </c>
      <c r="R2792" t="s">
        <v>96</v>
      </c>
      <c r="S2792" t="s">
        <v>97</v>
      </c>
      <c r="T2792" t="s">
        <v>4869</v>
      </c>
      <c r="U2792" t="s">
        <v>4870</v>
      </c>
      <c r="V2792" t="s">
        <v>4871</v>
      </c>
      <c r="W2792" t="s">
        <v>4872</v>
      </c>
      <c r="AD2792" t="s">
        <v>941</v>
      </c>
      <c r="AE2792" t="s">
        <v>3385</v>
      </c>
      <c r="AF2792" t="s">
        <v>4874</v>
      </c>
    </row>
    <row r="2793" spans="1:32" hidden="1" x14ac:dyDescent="0.35">
      <c r="A2793">
        <v>2342</v>
      </c>
      <c r="B2793" t="s">
        <v>4866</v>
      </c>
      <c r="C2793" t="s">
        <v>72</v>
      </c>
      <c r="D2793" t="s">
        <v>34</v>
      </c>
      <c r="E2793">
        <v>1197</v>
      </c>
      <c r="F2793">
        <v>5</v>
      </c>
      <c r="G2793">
        <v>5</v>
      </c>
      <c r="H2793">
        <v>1</v>
      </c>
      <c r="I2793">
        <v>1</v>
      </c>
      <c r="J2793">
        <v>0.71475953565505801</v>
      </c>
      <c r="K2793">
        <v>0.78683632507763301</v>
      </c>
      <c r="L2793">
        <v>0.749068082905614</v>
      </c>
      <c r="M2793">
        <v>0.31901840490797501</v>
      </c>
      <c r="N2793">
        <v>1</v>
      </c>
      <c r="O2793">
        <v>0.52883435582822103</v>
      </c>
      <c r="P2793" t="s">
        <v>4867</v>
      </c>
      <c r="Q2793" t="s">
        <v>4868</v>
      </c>
      <c r="R2793" t="s">
        <v>96</v>
      </c>
      <c r="S2793" t="s">
        <v>97</v>
      </c>
      <c r="T2793" t="s">
        <v>4869</v>
      </c>
      <c r="U2793" t="s">
        <v>4870</v>
      </c>
      <c r="V2793" t="s">
        <v>4871</v>
      </c>
      <c r="W2793" t="s">
        <v>4872</v>
      </c>
      <c r="AD2793" t="s">
        <v>941</v>
      </c>
      <c r="AE2793" t="s">
        <v>3385</v>
      </c>
      <c r="AF2793" t="s">
        <v>4875</v>
      </c>
    </row>
    <row r="2794" spans="1:32" hidden="1" x14ac:dyDescent="0.35">
      <c r="A2794">
        <v>2343</v>
      </c>
      <c r="B2794" t="s">
        <v>4866</v>
      </c>
      <c r="C2794" t="s">
        <v>72</v>
      </c>
      <c r="D2794" t="s">
        <v>45</v>
      </c>
      <c r="E2794">
        <v>2439</v>
      </c>
      <c r="F2794">
        <v>5</v>
      </c>
      <c r="G2794">
        <v>5</v>
      </c>
      <c r="H2794">
        <v>1</v>
      </c>
      <c r="I2794">
        <v>1</v>
      </c>
      <c r="J2794">
        <v>0.71475953565505801</v>
      </c>
      <c r="K2794">
        <v>0.78683632507763301</v>
      </c>
      <c r="L2794">
        <v>0.749068082905614</v>
      </c>
      <c r="M2794">
        <v>0.31901840490797501</v>
      </c>
      <c r="N2794">
        <v>1</v>
      </c>
      <c r="O2794">
        <v>0.52883435582822103</v>
      </c>
      <c r="P2794" t="s">
        <v>4867</v>
      </c>
      <c r="Q2794" t="s">
        <v>4868</v>
      </c>
      <c r="R2794" t="s">
        <v>96</v>
      </c>
      <c r="S2794" t="s">
        <v>97</v>
      </c>
      <c r="T2794" t="s">
        <v>4869</v>
      </c>
      <c r="U2794" t="s">
        <v>4870</v>
      </c>
      <c r="V2794" t="s">
        <v>4871</v>
      </c>
      <c r="W2794" t="s">
        <v>4872</v>
      </c>
      <c r="AD2794" t="s">
        <v>941</v>
      </c>
      <c r="AE2794" t="s">
        <v>3385</v>
      </c>
      <c r="AF2794" t="s">
        <v>4876</v>
      </c>
    </row>
    <row r="2795" spans="1:32" hidden="1" x14ac:dyDescent="0.35">
      <c r="A2795">
        <v>2424</v>
      </c>
      <c r="B2795" t="s">
        <v>5030</v>
      </c>
      <c r="C2795" t="s">
        <v>72</v>
      </c>
      <c r="D2795" t="s">
        <v>58</v>
      </c>
      <c r="E2795">
        <v>1397</v>
      </c>
      <c r="F2795">
        <v>5</v>
      </c>
      <c r="G2795">
        <v>5</v>
      </c>
      <c r="H2795">
        <v>1</v>
      </c>
      <c r="I2795">
        <v>1</v>
      </c>
      <c r="J2795">
        <v>0.78936113338679503</v>
      </c>
      <c r="K2795">
        <v>0.98973025697163597</v>
      </c>
      <c r="L2795">
        <v>0.87826246771160599</v>
      </c>
      <c r="M2795">
        <v>0.637566137566138</v>
      </c>
      <c r="N2795">
        <v>1</v>
      </c>
      <c r="O2795">
        <v>0.72222222222222199</v>
      </c>
      <c r="P2795" t="s">
        <v>3199</v>
      </c>
      <c r="Q2795" t="s">
        <v>3200</v>
      </c>
      <c r="R2795" t="s">
        <v>96</v>
      </c>
      <c r="S2795" t="s">
        <v>97</v>
      </c>
      <c r="T2795" t="s">
        <v>3201</v>
      </c>
      <c r="U2795" t="s">
        <v>3202</v>
      </c>
      <c r="V2795" t="s">
        <v>3203</v>
      </c>
      <c r="W2795" t="s">
        <v>3204</v>
      </c>
      <c r="AD2795" t="s">
        <v>1345</v>
      </c>
      <c r="AE2795" t="s">
        <v>3205</v>
      </c>
      <c r="AF2795" t="s">
        <v>5031</v>
      </c>
    </row>
    <row r="2796" spans="1:32" hidden="1" x14ac:dyDescent="0.35">
      <c r="A2796">
        <v>2425</v>
      </c>
      <c r="B2796" t="s">
        <v>5030</v>
      </c>
      <c r="C2796" t="s">
        <v>72</v>
      </c>
      <c r="D2796" t="s">
        <v>60</v>
      </c>
      <c r="E2796">
        <v>1899</v>
      </c>
      <c r="F2796">
        <v>5</v>
      </c>
      <c r="G2796">
        <v>5</v>
      </c>
      <c r="H2796">
        <v>1</v>
      </c>
      <c r="I2796">
        <v>1</v>
      </c>
      <c r="J2796">
        <v>0.78936113338679503</v>
      </c>
      <c r="K2796">
        <v>0.98973025697163597</v>
      </c>
      <c r="L2796">
        <v>0.87826246771160599</v>
      </c>
      <c r="M2796">
        <v>0.637566137566138</v>
      </c>
      <c r="N2796">
        <v>1</v>
      </c>
      <c r="O2796">
        <v>0.72222222222222199</v>
      </c>
      <c r="P2796" t="s">
        <v>3199</v>
      </c>
      <c r="Q2796" t="s">
        <v>3200</v>
      </c>
      <c r="R2796" t="s">
        <v>96</v>
      </c>
      <c r="S2796" t="s">
        <v>97</v>
      </c>
      <c r="T2796" t="s">
        <v>3201</v>
      </c>
      <c r="U2796" t="s">
        <v>3202</v>
      </c>
      <c r="V2796" t="s">
        <v>3203</v>
      </c>
      <c r="W2796" t="s">
        <v>3204</v>
      </c>
      <c r="AD2796" t="s">
        <v>1345</v>
      </c>
      <c r="AE2796" t="s">
        <v>3205</v>
      </c>
      <c r="AF2796" t="s">
        <v>5032</v>
      </c>
    </row>
    <row r="2797" spans="1:32" hidden="1" x14ac:dyDescent="0.35">
      <c r="A2797">
        <v>2426</v>
      </c>
      <c r="B2797" t="s">
        <v>5030</v>
      </c>
      <c r="C2797" t="s">
        <v>72</v>
      </c>
      <c r="D2797" t="s">
        <v>62</v>
      </c>
      <c r="E2797">
        <v>1939</v>
      </c>
      <c r="F2797">
        <v>5</v>
      </c>
      <c r="G2797">
        <v>5</v>
      </c>
      <c r="H2797">
        <v>1</v>
      </c>
      <c r="I2797">
        <v>1</v>
      </c>
      <c r="J2797">
        <v>0.78936113338679503</v>
      </c>
      <c r="K2797">
        <v>0.98973025697163597</v>
      </c>
      <c r="L2797">
        <v>0.87826246771160599</v>
      </c>
      <c r="M2797">
        <v>0.637566137566138</v>
      </c>
      <c r="N2797">
        <v>1</v>
      </c>
      <c r="O2797">
        <v>0.72222222222222199</v>
      </c>
      <c r="P2797" t="s">
        <v>3199</v>
      </c>
      <c r="Q2797" t="s">
        <v>3200</v>
      </c>
      <c r="R2797" t="s">
        <v>96</v>
      </c>
      <c r="S2797" t="s">
        <v>97</v>
      </c>
      <c r="T2797" t="s">
        <v>3201</v>
      </c>
      <c r="U2797" t="s">
        <v>3202</v>
      </c>
      <c r="V2797" t="s">
        <v>3203</v>
      </c>
      <c r="W2797" t="s">
        <v>3204</v>
      </c>
      <c r="AD2797" t="s">
        <v>1345</v>
      </c>
      <c r="AE2797" t="s">
        <v>3205</v>
      </c>
      <c r="AF2797" t="s">
        <v>5032</v>
      </c>
    </row>
    <row r="2798" spans="1:32" hidden="1" x14ac:dyDescent="0.35">
      <c r="A2798">
        <v>2427</v>
      </c>
      <c r="B2798" t="s">
        <v>5030</v>
      </c>
      <c r="C2798" t="s">
        <v>72</v>
      </c>
      <c r="D2798" t="s">
        <v>34</v>
      </c>
      <c r="E2798">
        <v>2254</v>
      </c>
      <c r="F2798">
        <v>5</v>
      </c>
      <c r="G2798">
        <v>5</v>
      </c>
      <c r="H2798">
        <v>1</v>
      </c>
      <c r="I2798">
        <v>1</v>
      </c>
      <c r="J2798">
        <v>0.78936113338679503</v>
      </c>
      <c r="K2798">
        <v>0.98973025697163597</v>
      </c>
      <c r="L2798">
        <v>0.87826246771160599</v>
      </c>
      <c r="M2798">
        <v>0.637566137566138</v>
      </c>
      <c r="N2798">
        <v>1</v>
      </c>
      <c r="O2798">
        <v>0.72222222222222199</v>
      </c>
      <c r="P2798" t="s">
        <v>3199</v>
      </c>
      <c r="Q2798" t="s">
        <v>3200</v>
      </c>
      <c r="R2798" t="s">
        <v>96</v>
      </c>
      <c r="S2798" t="s">
        <v>97</v>
      </c>
      <c r="T2798" t="s">
        <v>3201</v>
      </c>
      <c r="U2798" t="s">
        <v>3202</v>
      </c>
      <c r="V2798" t="s">
        <v>3203</v>
      </c>
      <c r="W2798" t="s">
        <v>3204</v>
      </c>
      <c r="AD2798" t="s">
        <v>1345</v>
      </c>
      <c r="AE2798" t="s">
        <v>3205</v>
      </c>
      <c r="AF2798" t="s">
        <v>5033</v>
      </c>
    </row>
    <row r="2799" spans="1:32" hidden="1" x14ac:dyDescent="0.35">
      <c r="A2799">
        <v>2428</v>
      </c>
      <c r="B2799" t="s">
        <v>5030</v>
      </c>
      <c r="C2799" t="s">
        <v>72</v>
      </c>
      <c r="D2799" t="s">
        <v>45</v>
      </c>
      <c r="E2799">
        <v>623</v>
      </c>
      <c r="F2799">
        <v>5</v>
      </c>
      <c r="G2799">
        <v>5</v>
      </c>
      <c r="H2799">
        <v>1</v>
      </c>
      <c r="I2799">
        <v>1</v>
      </c>
      <c r="J2799">
        <v>0.78936113338679503</v>
      </c>
      <c r="K2799">
        <v>0.98973025697163597</v>
      </c>
      <c r="L2799">
        <v>0.87826246771160599</v>
      </c>
      <c r="M2799">
        <v>0.637566137566138</v>
      </c>
      <c r="N2799">
        <v>1</v>
      </c>
      <c r="O2799">
        <v>0.72222222222222199</v>
      </c>
      <c r="P2799" t="s">
        <v>3199</v>
      </c>
      <c r="Q2799" t="s">
        <v>3200</v>
      </c>
      <c r="R2799" t="s">
        <v>96</v>
      </c>
      <c r="S2799" t="s">
        <v>97</v>
      </c>
      <c r="T2799" t="s">
        <v>3201</v>
      </c>
      <c r="U2799" t="s">
        <v>3202</v>
      </c>
      <c r="V2799" t="s">
        <v>3203</v>
      </c>
      <c r="W2799" t="s">
        <v>3204</v>
      </c>
      <c r="AD2799" t="s">
        <v>1345</v>
      </c>
      <c r="AE2799" t="s">
        <v>3205</v>
      </c>
      <c r="AF2799" t="s">
        <v>5033</v>
      </c>
    </row>
    <row r="2800" spans="1:32" hidden="1" x14ac:dyDescent="0.35">
      <c r="A2800">
        <v>2439</v>
      </c>
      <c r="B2800" t="s">
        <v>5056</v>
      </c>
      <c r="C2800" t="s">
        <v>72</v>
      </c>
      <c r="D2800" t="s">
        <v>58</v>
      </c>
      <c r="E2800">
        <v>1331</v>
      </c>
      <c r="F2800">
        <v>5</v>
      </c>
      <c r="G2800">
        <v>5</v>
      </c>
      <c r="H2800">
        <v>1</v>
      </c>
      <c r="I2800">
        <v>1</v>
      </c>
      <c r="J2800">
        <v>0.93040935672514602</v>
      </c>
      <c r="K2800">
        <v>0.94446280991735498</v>
      </c>
      <c r="L2800">
        <v>0.93738341318454999</v>
      </c>
      <c r="M2800">
        <v>0.79338842975206603</v>
      </c>
      <c r="N2800">
        <v>1</v>
      </c>
      <c r="O2800">
        <v>0.86942148760330595</v>
      </c>
      <c r="P2800" t="s">
        <v>5057</v>
      </c>
      <c r="Q2800" t="s">
        <v>5058</v>
      </c>
      <c r="R2800" t="s">
        <v>96</v>
      </c>
      <c r="S2800" t="s">
        <v>97</v>
      </c>
      <c r="V2800" t="s">
        <v>5059</v>
      </c>
      <c r="W2800" t="s">
        <v>5060</v>
      </c>
      <c r="AF2800" t="s">
        <v>5061</v>
      </c>
    </row>
    <row r="2801" spans="1:32" hidden="1" x14ac:dyDescent="0.35">
      <c r="A2801">
        <v>2440</v>
      </c>
      <c r="B2801" t="s">
        <v>5056</v>
      </c>
      <c r="C2801" t="s">
        <v>72</v>
      </c>
      <c r="D2801" t="s">
        <v>60</v>
      </c>
      <c r="E2801">
        <v>1787</v>
      </c>
      <c r="F2801">
        <v>5</v>
      </c>
      <c r="G2801">
        <v>5</v>
      </c>
      <c r="H2801">
        <v>1</v>
      </c>
      <c r="I2801">
        <v>1</v>
      </c>
      <c r="J2801">
        <v>0.93040935672514602</v>
      </c>
      <c r="K2801">
        <v>0.94446280991735498</v>
      </c>
      <c r="L2801">
        <v>0.93738341318454999</v>
      </c>
      <c r="M2801">
        <v>0.79338842975206603</v>
      </c>
      <c r="N2801">
        <v>1</v>
      </c>
      <c r="O2801">
        <v>0.86942148760330595</v>
      </c>
      <c r="P2801" t="s">
        <v>5057</v>
      </c>
      <c r="Q2801" t="s">
        <v>5058</v>
      </c>
      <c r="R2801" t="s">
        <v>96</v>
      </c>
      <c r="S2801" t="s">
        <v>97</v>
      </c>
      <c r="V2801" t="s">
        <v>5059</v>
      </c>
      <c r="W2801" t="s">
        <v>5060</v>
      </c>
      <c r="AF2801" t="e">
        <f>------MTAP-STNTGVILTDAAAAKAKALLEQEGREDLALRIAVQPGGCAGLRYQLFFDDREIDGDKVDVVGGVRLVVDKMSVPYLAGARIDFQDTIESQGFTIDNPNAAGSCACGDSFN</f>
        <v>#NAME?</v>
      </c>
    </row>
    <row r="2802" spans="1:32" hidden="1" x14ac:dyDescent="0.35">
      <c r="A2802">
        <v>2441</v>
      </c>
      <c r="B2802" t="s">
        <v>5056</v>
      </c>
      <c r="C2802" t="s">
        <v>72</v>
      </c>
      <c r="D2802" t="s">
        <v>62</v>
      </c>
      <c r="E2802">
        <v>1823</v>
      </c>
      <c r="F2802">
        <v>5</v>
      </c>
      <c r="G2802">
        <v>5</v>
      </c>
      <c r="H2802">
        <v>1</v>
      </c>
      <c r="I2802">
        <v>1</v>
      </c>
      <c r="J2802">
        <v>0.93040935672514602</v>
      </c>
      <c r="K2802">
        <v>0.94446280991735498</v>
      </c>
      <c r="L2802">
        <v>0.93738341318454999</v>
      </c>
      <c r="M2802">
        <v>0.79338842975206603</v>
      </c>
      <c r="N2802">
        <v>1</v>
      </c>
      <c r="O2802">
        <v>0.86942148760330595</v>
      </c>
      <c r="P2802" t="s">
        <v>5057</v>
      </c>
      <c r="Q2802" t="s">
        <v>5058</v>
      </c>
      <c r="R2802" t="s">
        <v>96</v>
      </c>
      <c r="S2802" t="s">
        <v>97</v>
      </c>
      <c r="V2802" t="s">
        <v>5059</v>
      </c>
      <c r="W2802" t="s">
        <v>5060</v>
      </c>
      <c r="AF2802" t="e">
        <f>------MTAP-STNTGVILTDAAAAKAKALLEQEGREDLALRIAVQPGGCAGLRYQLFFDDREIDGDKVDVVGGVRLVVDKMSVPYLAGARIDFQDTIESQGFTIDNPNAAGSCACGDSFN</f>
        <v>#NAME?</v>
      </c>
    </row>
    <row r="2803" spans="1:32" hidden="1" x14ac:dyDescent="0.35">
      <c r="A2803">
        <v>2442</v>
      </c>
      <c r="B2803" t="s">
        <v>5056</v>
      </c>
      <c r="C2803" t="s">
        <v>72</v>
      </c>
      <c r="D2803" t="s">
        <v>34</v>
      </c>
      <c r="E2803">
        <v>2154</v>
      </c>
      <c r="F2803">
        <v>5</v>
      </c>
      <c r="G2803">
        <v>5</v>
      </c>
      <c r="H2803">
        <v>1</v>
      </c>
      <c r="I2803">
        <v>1</v>
      </c>
      <c r="J2803">
        <v>0.93040935672514602</v>
      </c>
      <c r="K2803">
        <v>0.94446280991735498</v>
      </c>
      <c r="L2803">
        <v>0.93738341318454999</v>
      </c>
      <c r="M2803">
        <v>0.79338842975206603</v>
      </c>
      <c r="N2803">
        <v>1</v>
      </c>
      <c r="O2803">
        <v>0.86942148760330595</v>
      </c>
      <c r="P2803" t="s">
        <v>5057</v>
      </c>
      <c r="Q2803" t="s">
        <v>5058</v>
      </c>
      <c r="R2803" t="s">
        <v>96</v>
      </c>
      <c r="S2803" t="s">
        <v>97</v>
      </c>
      <c r="V2803" t="s">
        <v>5059</v>
      </c>
      <c r="W2803" t="s">
        <v>5060</v>
      </c>
      <c r="AF2803" t="e">
        <f>------MTAP-TSNTGVILTEAAAAKAKALLEQEGRNDLALRIAVQPGGCAGLRYQLFFDDRELDGDKIDLIGGVSLVVDKMSIPYLNGARIDFADTIESQGFTIENPNAGGSCSCGDSFN</f>
        <v>#NAME?</v>
      </c>
    </row>
    <row r="2804" spans="1:32" hidden="1" x14ac:dyDescent="0.35">
      <c r="A2804">
        <v>2443</v>
      </c>
      <c r="B2804" t="s">
        <v>5056</v>
      </c>
      <c r="C2804" t="s">
        <v>72</v>
      </c>
      <c r="D2804" t="s">
        <v>45</v>
      </c>
      <c r="E2804">
        <v>719</v>
      </c>
      <c r="F2804">
        <v>5</v>
      </c>
      <c r="G2804">
        <v>5</v>
      </c>
      <c r="H2804">
        <v>1</v>
      </c>
      <c r="I2804">
        <v>1</v>
      </c>
      <c r="J2804">
        <v>0.93040935672514602</v>
      </c>
      <c r="K2804">
        <v>0.94446280991735498</v>
      </c>
      <c r="L2804">
        <v>0.93738341318454999</v>
      </c>
      <c r="M2804">
        <v>0.79338842975206603</v>
      </c>
      <c r="N2804">
        <v>1</v>
      </c>
      <c r="O2804">
        <v>0.86942148760330595</v>
      </c>
      <c r="P2804" t="s">
        <v>5057</v>
      </c>
      <c r="Q2804" t="s">
        <v>5058</v>
      </c>
      <c r="R2804" t="s">
        <v>96</v>
      </c>
      <c r="S2804" t="s">
        <v>97</v>
      </c>
      <c r="V2804" t="s">
        <v>5059</v>
      </c>
      <c r="W2804" t="s">
        <v>5060</v>
      </c>
      <c r="AF2804" t="e">
        <f>------MTAP-TSNTGVILTEAAAAKAKALLEQEGRNDLALRIAVQPGGCAGLRYQLFFDDRELDGDKIDLIGGVSLVVDKMSIPYLNGARIDFADTIESQGFTIENPNAGGSCSCGDSFN</f>
        <v>#NAME?</v>
      </c>
    </row>
    <row r="2805" spans="1:32" hidden="1" x14ac:dyDescent="0.35">
      <c r="A2805">
        <v>2604</v>
      </c>
      <c r="B2805" t="s">
        <v>5394</v>
      </c>
      <c r="C2805" t="s">
        <v>72</v>
      </c>
      <c r="D2805" t="s">
        <v>58</v>
      </c>
      <c r="E2805">
        <v>1065</v>
      </c>
      <c r="F2805">
        <v>5</v>
      </c>
      <c r="G2805">
        <v>5</v>
      </c>
      <c r="H2805">
        <v>1</v>
      </c>
      <c r="I2805">
        <v>1</v>
      </c>
      <c r="J2805">
        <v>0.75967823026646597</v>
      </c>
      <c r="K2805">
        <v>0.96207553157727799</v>
      </c>
      <c r="L2805">
        <v>0.84898067703786395</v>
      </c>
      <c r="M2805">
        <v>0.5</v>
      </c>
      <c r="N2805">
        <v>1</v>
      </c>
      <c r="O2805">
        <v>0.69565217391304301</v>
      </c>
      <c r="P2805" t="s">
        <v>5395</v>
      </c>
      <c r="Q2805" t="s">
        <v>5396</v>
      </c>
      <c r="R2805" t="s">
        <v>96</v>
      </c>
      <c r="S2805" t="s">
        <v>97</v>
      </c>
      <c r="T2805" t="s">
        <v>5397</v>
      </c>
      <c r="U2805" t="s">
        <v>5398</v>
      </c>
      <c r="V2805" t="s">
        <v>5399</v>
      </c>
      <c r="W2805" t="s">
        <v>5400</v>
      </c>
      <c r="AD2805" t="s">
        <v>219</v>
      </c>
      <c r="AE2805" t="s">
        <v>5401</v>
      </c>
      <c r="AF2805" t="e">
        <f>------MSEAQWREFLGAAEFAVLRQAATEPPGTNEFLGDDAVGVYHCAGCGLELFRSETKFHSGCGWPAFYAPQDSDAVVLRPDDSLGRRRTEVLCAGCGGHLGHLFDGEGFNTPTDQRFCINSVALRF-----SDS</f>
        <v>#NAME?</v>
      </c>
    </row>
    <row r="2806" spans="1:32" hidden="1" x14ac:dyDescent="0.35">
      <c r="A2806">
        <v>2605</v>
      </c>
      <c r="B2806" t="s">
        <v>5394</v>
      </c>
      <c r="C2806" t="s">
        <v>72</v>
      </c>
      <c r="D2806" t="s">
        <v>60</v>
      </c>
      <c r="E2806">
        <v>1437</v>
      </c>
      <c r="F2806">
        <v>5</v>
      </c>
      <c r="G2806">
        <v>5</v>
      </c>
      <c r="H2806">
        <v>1</v>
      </c>
      <c r="I2806">
        <v>1</v>
      </c>
      <c r="J2806">
        <v>0.75967823026646597</v>
      </c>
      <c r="K2806">
        <v>0.96207553157727799</v>
      </c>
      <c r="L2806">
        <v>0.84898067703786395</v>
      </c>
      <c r="M2806">
        <v>0.5</v>
      </c>
      <c r="N2806">
        <v>1</v>
      </c>
      <c r="O2806">
        <v>0.69565217391304301</v>
      </c>
      <c r="P2806" t="s">
        <v>5395</v>
      </c>
      <c r="Q2806" t="s">
        <v>5396</v>
      </c>
      <c r="R2806" t="s">
        <v>96</v>
      </c>
      <c r="S2806" t="s">
        <v>97</v>
      </c>
      <c r="T2806" t="s">
        <v>5397</v>
      </c>
      <c r="U2806" t="s">
        <v>5398</v>
      </c>
      <c r="V2806" t="s">
        <v>5399</v>
      </c>
      <c r="W2806" t="s">
        <v>5400</v>
      </c>
      <c r="AD2806" t="s">
        <v>219</v>
      </c>
      <c r="AE2806" t="s">
        <v>5401</v>
      </c>
      <c r="AF2806" t="s">
        <v>5402</v>
      </c>
    </row>
    <row r="2807" spans="1:32" hidden="1" x14ac:dyDescent="0.35">
      <c r="A2807">
        <v>2606</v>
      </c>
      <c r="B2807" t="s">
        <v>5394</v>
      </c>
      <c r="C2807" t="s">
        <v>72</v>
      </c>
      <c r="D2807" t="s">
        <v>62</v>
      </c>
      <c r="E2807">
        <v>1472</v>
      </c>
      <c r="F2807">
        <v>5</v>
      </c>
      <c r="G2807">
        <v>5</v>
      </c>
      <c r="H2807">
        <v>1</v>
      </c>
      <c r="I2807">
        <v>1</v>
      </c>
      <c r="J2807">
        <v>0.75967823026646597</v>
      </c>
      <c r="K2807">
        <v>0.96207553157727799</v>
      </c>
      <c r="L2807">
        <v>0.84898067703786395</v>
      </c>
      <c r="M2807">
        <v>0.5</v>
      </c>
      <c r="N2807">
        <v>1</v>
      </c>
      <c r="O2807">
        <v>0.69565217391304301</v>
      </c>
      <c r="P2807" t="s">
        <v>5395</v>
      </c>
      <c r="Q2807" t="s">
        <v>5396</v>
      </c>
      <c r="R2807" t="s">
        <v>96</v>
      </c>
      <c r="S2807" t="s">
        <v>97</v>
      </c>
      <c r="T2807" t="s">
        <v>5397</v>
      </c>
      <c r="U2807" t="s">
        <v>5398</v>
      </c>
      <c r="V2807" t="s">
        <v>5399</v>
      </c>
      <c r="W2807" t="s">
        <v>5400</v>
      </c>
      <c r="AD2807" t="s">
        <v>219</v>
      </c>
      <c r="AE2807" t="s">
        <v>5401</v>
      </c>
      <c r="AF2807" t="s">
        <v>5403</v>
      </c>
    </row>
    <row r="2808" spans="1:32" hidden="1" x14ac:dyDescent="0.35">
      <c r="A2808">
        <v>2607</v>
      </c>
      <c r="B2808" t="s">
        <v>5394</v>
      </c>
      <c r="C2808" t="s">
        <v>72</v>
      </c>
      <c r="D2808" t="s">
        <v>34</v>
      </c>
      <c r="E2808">
        <v>1864</v>
      </c>
      <c r="F2808">
        <v>5</v>
      </c>
      <c r="G2808">
        <v>5</v>
      </c>
      <c r="H2808">
        <v>1</v>
      </c>
      <c r="I2808">
        <v>1</v>
      </c>
      <c r="J2808">
        <v>0.75967823026646597</v>
      </c>
      <c r="K2808">
        <v>0.96207553157727799</v>
      </c>
      <c r="L2808">
        <v>0.84898067703786395</v>
      </c>
      <c r="M2808">
        <v>0.5</v>
      </c>
      <c r="N2808">
        <v>1</v>
      </c>
      <c r="O2808">
        <v>0.69565217391304301</v>
      </c>
      <c r="P2808" t="s">
        <v>5395</v>
      </c>
      <c r="Q2808" t="s">
        <v>5396</v>
      </c>
      <c r="R2808" t="s">
        <v>96</v>
      </c>
      <c r="S2808" t="s">
        <v>97</v>
      </c>
      <c r="T2808" t="s">
        <v>5397</v>
      </c>
      <c r="U2808" t="s">
        <v>5398</v>
      </c>
      <c r="V2808" t="s">
        <v>5399</v>
      </c>
      <c r="W2808" t="s">
        <v>5400</v>
      </c>
      <c r="AD2808" t="s">
        <v>219</v>
      </c>
      <c r="AE2808" t="s">
        <v>5401</v>
      </c>
      <c r="AF2808" t="s">
        <v>5404</v>
      </c>
    </row>
    <row r="2809" spans="1:32" hidden="1" x14ac:dyDescent="0.35">
      <c r="A2809">
        <v>2608</v>
      </c>
      <c r="B2809" t="s">
        <v>5394</v>
      </c>
      <c r="C2809" t="s">
        <v>72</v>
      </c>
      <c r="D2809" t="s">
        <v>45</v>
      </c>
      <c r="E2809">
        <v>1009</v>
      </c>
      <c r="F2809">
        <v>5</v>
      </c>
      <c r="G2809">
        <v>5</v>
      </c>
      <c r="H2809">
        <v>1</v>
      </c>
      <c r="I2809">
        <v>1</v>
      </c>
      <c r="J2809">
        <v>0.75967823026646597</v>
      </c>
      <c r="K2809">
        <v>0.96207553157727799</v>
      </c>
      <c r="L2809">
        <v>0.84898067703786395</v>
      </c>
      <c r="M2809">
        <v>0.5</v>
      </c>
      <c r="N2809">
        <v>1</v>
      </c>
      <c r="O2809">
        <v>0.69565217391304301</v>
      </c>
      <c r="P2809" t="s">
        <v>5395</v>
      </c>
      <c r="Q2809" t="s">
        <v>5396</v>
      </c>
      <c r="R2809" t="s">
        <v>96</v>
      </c>
      <c r="S2809" t="s">
        <v>97</v>
      </c>
      <c r="T2809" t="s">
        <v>5397</v>
      </c>
      <c r="U2809" t="s">
        <v>5398</v>
      </c>
      <c r="V2809" t="s">
        <v>5399</v>
      </c>
      <c r="W2809" t="s">
        <v>5400</v>
      </c>
      <c r="AD2809" t="s">
        <v>219</v>
      </c>
      <c r="AE2809" t="s">
        <v>5401</v>
      </c>
      <c r="AF2809" t="s">
        <v>5404</v>
      </c>
    </row>
    <row r="2810" spans="1:32" hidden="1" x14ac:dyDescent="0.35">
      <c r="A2810">
        <v>2744</v>
      </c>
      <c r="B2810" t="s">
        <v>5677</v>
      </c>
      <c r="C2810" t="s">
        <v>72</v>
      </c>
      <c r="D2810" t="s">
        <v>58</v>
      </c>
      <c r="E2810">
        <v>1351</v>
      </c>
      <c r="F2810">
        <v>5</v>
      </c>
      <c r="G2810">
        <v>5</v>
      </c>
      <c r="H2810">
        <v>1</v>
      </c>
      <c r="I2810">
        <v>1</v>
      </c>
      <c r="J2810">
        <v>0.808130400628437</v>
      </c>
      <c r="K2810">
        <v>0.97666704085182598</v>
      </c>
      <c r="L2810">
        <v>0.88444134741651503</v>
      </c>
      <c r="M2810">
        <v>0.66730584851390196</v>
      </c>
      <c r="N2810">
        <v>1</v>
      </c>
      <c r="O2810">
        <v>0.74515819750719103</v>
      </c>
      <c r="P2810" t="s">
        <v>5678</v>
      </c>
      <c r="Q2810" t="s">
        <v>5679</v>
      </c>
      <c r="R2810" t="s">
        <v>96</v>
      </c>
      <c r="S2810" t="s">
        <v>97</v>
      </c>
      <c r="T2810" t="s">
        <v>5680</v>
      </c>
      <c r="U2810" t="s">
        <v>5681</v>
      </c>
      <c r="V2810" t="s">
        <v>5682</v>
      </c>
      <c r="W2810" t="s">
        <v>5683</v>
      </c>
      <c r="AD2810" t="s">
        <v>191</v>
      </c>
      <c r="AE2810" t="s">
        <v>5684</v>
      </c>
      <c r="AF2810" t="s">
        <v>5685</v>
      </c>
    </row>
    <row r="2811" spans="1:32" hidden="1" x14ac:dyDescent="0.35">
      <c r="A2811">
        <v>2745</v>
      </c>
      <c r="B2811" t="s">
        <v>5677</v>
      </c>
      <c r="C2811" t="s">
        <v>72</v>
      </c>
      <c r="D2811" t="s">
        <v>60</v>
      </c>
      <c r="E2811">
        <v>1831</v>
      </c>
      <c r="F2811">
        <v>5</v>
      </c>
      <c r="G2811">
        <v>5</v>
      </c>
      <c r="H2811">
        <v>1</v>
      </c>
      <c r="I2811">
        <v>1</v>
      </c>
      <c r="J2811">
        <v>0.808130400628437</v>
      </c>
      <c r="K2811">
        <v>0.97666704085182598</v>
      </c>
      <c r="L2811">
        <v>0.88444134741651503</v>
      </c>
      <c r="M2811">
        <v>0.66730584851390196</v>
      </c>
      <c r="N2811">
        <v>1</v>
      </c>
      <c r="O2811">
        <v>0.74515819750719103</v>
      </c>
      <c r="P2811" t="s">
        <v>5678</v>
      </c>
      <c r="Q2811" t="s">
        <v>5679</v>
      </c>
      <c r="R2811" t="s">
        <v>96</v>
      </c>
      <c r="S2811" t="s">
        <v>97</v>
      </c>
      <c r="T2811" t="s">
        <v>5680</v>
      </c>
      <c r="U2811" t="s">
        <v>5681</v>
      </c>
      <c r="V2811" t="s">
        <v>5682</v>
      </c>
      <c r="W2811" t="s">
        <v>5683</v>
      </c>
      <c r="AD2811" t="s">
        <v>191</v>
      </c>
      <c r="AE2811" t="s">
        <v>5684</v>
      </c>
      <c r="AF2811" t="s">
        <v>5686</v>
      </c>
    </row>
    <row r="2812" spans="1:32" hidden="1" x14ac:dyDescent="0.35">
      <c r="A2812">
        <v>2746</v>
      </c>
      <c r="B2812" t="s">
        <v>5677</v>
      </c>
      <c r="C2812" t="s">
        <v>72</v>
      </c>
      <c r="D2812" t="s">
        <v>62</v>
      </c>
      <c r="E2812">
        <v>1869</v>
      </c>
      <c r="F2812">
        <v>5</v>
      </c>
      <c r="G2812">
        <v>5</v>
      </c>
      <c r="H2812">
        <v>1</v>
      </c>
      <c r="I2812">
        <v>1</v>
      </c>
      <c r="J2812">
        <v>0.808130400628437</v>
      </c>
      <c r="K2812">
        <v>0.97666704085182598</v>
      </c>
      <c r="L2812">
        <v>0.88444134741651503</v>
      </c>
      <c r="M2812">
        <v>0.66730584851390196</v>
      </c>
      <c r="N2812">
        <v>1</v>
      </c>
      <c r="O2812">
        <v>0.74515819750719103</v>
      </c>
      <c r="P2812" t="s">
        <v>5678</v>
      </c>
      <c r="Q2812" t="s">
        <v>5679</v>
      </c>
      <c r="R2812" t="s">
        <v>96</v>
      </c>
      <c r="S2812" t="s">
        <v>97</v>
      </c>
      <c r="T2812" t="s">
        <v>5680</v>
      </c>
      <c r="U2812" t="s">
        <v>5681</v>
      </c>
      <c r="V2812" t="s">
        <v>5682</v>
      </c>
      <c r="W2812" t="s">
        <v>5683</v>
      </c>
      <c r="AD2812" t="s">
        <v>191</v>
      </c>
      <c r="AE2812" t="s">
        <v>5684</v>
      </c>
      <c r="AF2812" t="s">
        <v>5686</v>
      </c>
    </row>
    <row r="2813" spans="1:32" hidden="1" x14ac:dyDescent="0.35">
      <c r="A2813">
        <v>2747</v>
      </c>
      <c r="B2813" t="s">
        <v>5677</v>
      </c>
      <c r="C2813" t="s">
        <v>72</v>
      </c>
      <c r="D2813" t="s">
        <v>34</v>
      </c>
      <c r="E2813">
        <v>2189</v>
      </c>
      <c r="F2813">
        <v>5</v>
      </c>
      <c r="G2813">
        <v>5</v>
      </c>
      <c r="H2813">
        <v>1</v>
      </c>
      <c r="I2813">
        <v>1</v>
      </c>
      <c r="J2813">
        <v>0.808130400628437</v>
      </c>
      <c r="K2813">
        <v>0.97666704085182598</v>
      </c>
      <c r="L2813">
        <v>0.88444134741651503</v>
      </c>
      <c r="M2813">
        <v>0.66730584851390196</v>
      </c>
      <c r="N2813">
        <v>1</v>
      </c>
      <c r="O2813">
        <v>0.74515819750719103</v>
      </c>
      <c r="P2813" t="s">
        <v>5678</v>
      </c>
      <c r="Q2813" t="s">
        <v>5679</v>
      </c>
      <c r="R2813" t="s">
        <v>96</v>
      </c>
      <c r="S2813" t="s">
        <v>97</v>
      </c>
      <c r="T2813" t="s">
        <v>5680</v>
      </c>
      <c r="U2813" t="s">
        <v>5681</v>
      </c>
      <c r="V2813" t="s">
        <v>5682</v>
      </c>
      <c r="W2813" t="s">
        <v>5683</v>
      </c>
      <c r="AD2813" t="s">
        <v>191</v>
      </c>
      <c r="AE2813" t="s">
        <v>5684</v>
      </c>
      <c r="AF2813" t="s">
        <v>5687</v>
      </c>
    </row>
    <row r="2814" spans="1:32" hidden="1" x14ac:dyDescent="0.35">
      <c r="A2814">
        <v>2748</v>
      </c>
      <c r="B2814" t="s">
        <v>5677</v>
      </c>
      <c r="C2814" t="s">
        <v>72</v>
      </c>
      <c r="D2814" t="s">
        <v>45</v>
      </c>
      <c r="E2814">
        <v>685</v>
      </c>
      <c r="F2814">
        <v>5</v>
      </c>
      <c r="G2814">
        <v>5</v>
      </c>
      <c r="H2814">
        <v>1</v>
      </c>
      <c r="I2814">
        <v>1</v>
      </c>
      <c r="J2814">
        <v>0.808130400628437</v>
      </c>
      <c r="K2814">
        <v>0.97666704085182598</v>
      </c>
      <c r="L2814">
        <v>0.88444134741651503</v>
      </c>
      <c r="M2814">
        <v>0.66730584851390196</v>
      </c>
      <c r="N2814">
        <v>1</v>
      </c>
      <c r="O2814">
        <v>0.74515819750719103</v>
      </c>
      <c r="P2814" t="s">
        <v>5678</v>
      </c>
      <c r="Q2814" t="s">
        <v>5679</v>
      </c>
      <c r="R2814" t="s">
        <v>96</v>
      </c>
      <c r="S2814" t="s">
        <v>97</v>
      </c>
      <c r="T2814" t="s">
        <v>5680</v>
      </c>
      <c r="U2814" t="s">
        <v>5681</v>
      </c>
      <c r="V2814" t="s">
        <v>5682</v>
      </c>
      <c r="W2814" t="s">
        <v>5683</v>
      </c>
      <c r="AD2814" t="s">
        <v>191</v>
      </c>
      <c r="AE2814" t="s">
        <v>5684</v>
      </c>
      <c r="AF2814" t="s">
        <v>5688</v>
      </c>
    </row>
    <row r="2815" spans="1:32" hidden="1" x14ac:dyDescent="0.35">
      <c r="A2815">
        <v>2959</v>
      </c>
      <c r="B2815" t="s">
        <v>6107</v>
      </c>
      <c r="C2815" t="s">
        <v>72</v>
      </c>
      <c r="D2815" t="s">
        <v>58</v>
      </c>
      <c r="E2815">
        <v>1880</v>
      </c>
      <c r="F2815">
        <v>5</v>
      </c>
      <c r="G2815">
        <v>5</v>
      </c>
      <c r="H2815">
        <v>1</v>
      </c>
      <c r="I2815">
        <v>1</v>
      </c>
      <c r="J2815">
        <v>0.68924427720288495</v>
      </c>
      <c r="K2815">
        <v>0.99345794392523401</v>
      </c>
      <c r="L2815">
        <v>0.81385190308140398</v>
      </c>
      <c r="M2815">
        <v>0.50467289719626196</v>
      </c>
      <c r="N2815">
        <v>1</v>
      </c>
      <c r="O2815">
        <v>0.61775700934579403</v>
      </c>
      <c r="P2815" t="s">
        <v>4867</v>
      </c>
      <c r="Q2815" t="s">
        <v>4868</v>
      </c>
      <c r="R2815" t="s">
        <v>96</v>
      </c>
      <c r="S2815" t="s">
        <v>97</v>
      </c>
      <c r="T2815" t="s">
        <v>4869</v>
      </c>
      <c r="U2815" t="s">
        <v>4870</v>
      </c>
      <c r="V2815" t="s">
        <v>4871</v>
      </c>
      <c r="W2815" t="s">
        <v>4872</v>
      </c>
      <c r="AD2815" t="s">
        <v>941</v>
      </c>
      <c r="AE2815" t="s">
        <v>3385</v>
      </c>
      <c r="AF2815" t="s">
        <v>6108</v>
      </c>
    </row>
    <row r="2816" spans="1:32" hidden="1" x14ac:dyDescent="0.35">
      <c r="A2816">
        <v>2960</v>
      </c>
      <c r="B2816" t="s">
        <v>6107</v>
      </c>
      <c r="C2816" t="s">
        <v>72</v>
      </c>
      <c r="D2816" t="s">
        <v>60</v>
      </c>
      <c r="E2816">
        <v>2545</v>
      </c>
      <c r="F2816">
        <v>5</v>
      </c>
      <c r="G2816">
        <v>5</v>
      </c>
      <c r="H2816">
        <v>1</v>
      </c>
      <c r="I2816">
        <v>1</v>
      </c>
      <c r="J2816">
        <v>0.68924427720288495</v>
      </c>
      <c r="K2816">
        <v>0.99345794392523401</v>
      </c>
      <c r="L2816">
        <v>0.81385190308140398</v>
      </c>
      <c r="M2816">
        <v>0.50467289719626196</v>
      </c>
      <c r="N2816">
        <v>1</v>
      </c>
      <c r="O2816">
        <v>0.61775700934579403</v>
      </c>
      <c r="P2816" t="s">
        <v>4867</v>
      </c>
      <c r="Q2816" t="s">
        <v>4868</v>
      </c>
      <c r="R2816" t="s">
        <v>96</v>
      </c>
      <c r="S2816" t="s">
        <v>97</v>
      </c>
      <c r="T2816" t="s">
        <v>4869</v>
      </c>
      <c r="U2816" t="s">
        <v>4870</v>
      </c>
      <c r="V2816" t="s">
        <v>4871</v>
      </c>
      <c r="W2816" t="s">
        <v>4872</v>
      </c>
      <c r="AD2816" t="s">
        <v>941</v>
      </c>
      <c r="AE2816" t="s">
        <v>3385</v>
      </c>
      <c r="AF2816" t="s">
        <v>6109</v>
      </c>
    </row>
    <row r="2817" spans="1:32" hidden="1" x14ac:dyDescent="0.35">
      <c r="A2817">
        <v>2961</v>
      </c>
      <c r="B2817" t="s">
        <v>6107</v>
      </c>
      <c r="C2817" t="s">
        <v>72</v>
      </c>
      <c r="D2817" t="s">
        <v>62</v>
      </c>
      <c r="E2817">
        <v>70</v>
      </c>
      <c r="F2817">
        <v>5</v>
      </c>
      <c r="G2817">
        <v>5</v>
      </c>
      <c r="H2817">
        <v>1</v>
      </c>
      <c r="I2817">
        <v>1</v>
      </c>
      <c r="J2817">
        <v>0.68924427720288495</v>
      </c>
      <c r="K2817">
        <v>0.99345794392523401</v>
      </c>
      <c r="L2817">
        <v>0.81385190308140398</v>
      </c>
      <c r="M2817">
        <v>0.50467289719626196</v>
      </c>
      <c r="N2817">
        <v>1</v>
      </c>
      <c r="O2817">
        <v>0.61775700934579403</v>
      </c>
      <c r="P2817" t="s">
        <v>4867</v>
      </c>
      <c r="Q2817" t="s">
        <v>4868</v>
      </c>
      <c r="R2817" t="s">
        <v>96</v>
      </c>
      <c r="S2817" t="s">
        <v>97</v>
      </c>
      <c r="T2817" t="s">
        <v>4869</v>
      </c>
      <c r="U2817" t="s">
        <v>4870</v>
      </c>
      <c r="V2817" t="s">
        <v>4871</v>
      </c>
      <c r="W2817" t="s">
        <v>4872</v>
      </c>
      <c r="AD2817" t="s">
        <v>941</v>
      </c>
      <c r="AE2817" t="s">
        <v>3385</v>
      </c>
      <c r="AF2817" t="s">
        <v>6110</v>
      </c>
    </row>
    <row r="2818" spans="1:32" hidden="1" x14ac:dyDescent="0.35">
      <c r="A2818">
        <v>2962</v>
      </c>
      <c r="B2818" t="s">
        <v>6107</v>
      </c>
      <c r="C2818" t="s">
        <v>72</v>
      </c>
      <c r="D2818" t="s">
        <v>34</v>
      </c>
      <c r="E2818">
        <v>1100</v>
      </c>
      <c r="F2818">
        <v>5</v>
      </c>
      <c r="G2818">
        <v>5</v>
      </c>
      <c r="H2818">
        <v>1</v>
      </c>
      <c r="I2818">
        <v>1</v>
      </c>
      <c r="J2818">
        <v>0.68924427720288495</v>
      </c>
      <c r="K2818">
        <v>0.99345794392523401</v>
      </c>
      <c r="L2818">
        <v>0.81385190308140398</v>
      </c>
      <c r="M2818">
        <v>0.50467289719626196</v>
      </c>
      <c r="N2818">
        <v>1</v>
      </c>
      <c r="O2818">
        <v>0.61775700934579403</v>
      </c>
      <c r="P2818" t="s">
        <v>4867</v>
      </c>
      <c r="Q2818" t="s">
        <v>4868</v>
      </c>
      <c r="R2818" t="s">
        <v>96</v>
      </c>
      <c r="S2818" t="s">
        <v>97</v>
      </c>
      <c r="T2818" t="s">
        <v>4869</v>
      </c>
      <c r="U2818" t="s">
        <v>4870</v>
      </c>
      <c r="V2818" t="s">
        <v>4871</v>
      </c>
      <c r="W2818" t="s">
        <v>4872</v>
      </c>
      <c r="AD2818" t="s">
        <v>941</v>
      </c>
      <c r="AE2818" t="s">
        <v>3385</v>
      </c>
      <c r="AF2818" t="e">
        <f>-MKPIEVTETTFRSVVVESDKPVLVDFWAEWCGPCKKLAPVIDQVAEEFDGQVVVAKVNVDNERNLGAMFQIMSIPTLLIFKDGKKVEQFIARGSKTEIVAQLKKHL</f>
        <v>#NAME?</v>
      </c>
    </row>
    <row r="2819" spans="1:32" hidden="1" x14ac:dyDescent="0.35">
      <c r="A2819">
        <v>2963</v>
      </c>
      <c r="B2819" t="s">
        <v>6107</v>
      </c>
      <c r="C2819" t="s">
        <v>72</v>
      </c>
      <c r="D2819" t="s">
        <v>45</v>
      </c>
      <c r="E2819">
        <v>2354</v>
      </c>
      <c r="F2819">
        <v>5</v>
      </c>
      <c r="G2819">
        <v>5</v>
      </c>
      <c r="H2819">
        <v>1</v>
      </c>
      <c r="I2819">
        <v>1</v>
      </c>
      <c r="J2819">
        <v>0.68924427720288495</v>
      </c>
      <c r="K2819">
        <v>0.99345794392523401</v>
      </c>
      <c r="L2819">
        <v>0.81385190308140398</v>
      </c>
      <c r="M2819">
        <v>0.50467289719626196</v>
      </c>
      <c r="N2819">
        <v>1</v>
      </c>
      <c r="O2819">
        <v>0.61775700934579403</v>
      </c>
      <c r="P2819" t="s">
        <v>4867</v>
      </c>
      <c r="Q2819" t="s">
        <v>4868</v>
      </c>
      <c r="R2819" t="s">
        <v>96</v>
      </c>
      <c r="S2819" t="s">
        <v>97</v>
      </c>
      <c r="T2819" t="s">
        <v>4869</v>
      </c>
      <c r="U2819" t="s">
        <v>4870</v>
      </c>
      <c r="V2819" t="s">
        <v>4871</v>
      </c>
      <c r="W2819" t="s">
        <v>4872</v>
      </c>
      <c r="AD2819" t="s">
        <v>941</v>
      </c>
      <c r="AE2819" t="s">
        <v>3385</v>
      </c>
      <c r="AF2819" t="e">
        <f>-MKPIEVTETTFRSVVVESDKPVLVDFWAEWCGPCKKLAPVIDQVAEEFDGQVVVAKVNVDNERNLGAMFQIMSIPTLLIFKDGKKVEQFIARGSKTEIVAQLKKHL</f>
        <v>#NAME?</v>
      </c>
    </row>
    <row r="2820" spans="1:32" hidden="1" x14ac:dyDescent="0.35">
      <c r="A2820">
        <v>3064</v>
      </c>
      <c r="B2820" t="s">
        <v>6331</v>
      </c>
      <c r="C2820" t="s">
        <v>72</v>
      </c>
      <c r="D2820" t="s">
        <v>58</v>
      </c>
      <c r="E2820">
        <v>1819</v>
      </c>
      <c r="F2820">
        <v>5</v>
      </c>
      <c r="G2820">
        <v>5</v>
      </c>
      <c r="H2820">
        <v>1</v>
      </c>
      <c r="I2820">
        <v>1</v>
      </c>
      <c r="J2820">
        <v>0.75353432123999298</v>
      </c>
      <c r="K2820">
        <v>0.89874948580830905</v>
      </c>
      <c r="L2820">
        <v>0.81976060149521102</v>
      </c>
      <c r="M2820">
        <v>0.420814479638009</v>
      </c>
      <c r="N2820">
        <v>1</v>
      </c>
      <c r="O2820">
        <v>0.61493212669683295</v>
      </c>
      <c r="P2820" t="s">
        <v>6332</v>
      </c>
      <c r="Q2820" t="s">
        <v>6333</v>
      </c>
      <c r="R2820" t="s">
        <v>96</v>
      </c>
      <c r="S2820" t="s">
        <v>97</v>
      </c>
      <c r="T2820" t="s">
        <v>6334</v>
      </c>
      <c r="U2820" t="s">
        <v>6335</v>
      </c>
      <c r="V2820" t="s">
        <v>6336</v>
      </c>
      <c r="W2820" t="s">
        <v>6337</v>
      </c>
      <c r="AD2820" t="s">
        <v>219</v>
      </c>
      <c r="AE2820" t="s">
        <v>6338</v>
      </c>
      <c r="AF2820" t="e">
        <f>-----------------------------------------------------MGCFWGAEKLFWETPGVTDTQVGYAGGRTSNPSYRAVCSGSTGHAEVVRVRFDPQVTSLEDLVVLALENHDPTQGNRQGADIGTQYRSVFFL---PTSDDAATVERILDAYGKQLAQQGYGPITTQVV-LMDQAGTGFWSAEDYHQRYLEKNPGGYCPHHGTGVCYVR</f>
        <v>#NAME?</v>
      </c>
    </row>
    <row r="2821" spans="1:32" hidden="1" x14ac:dyDescent="0.35">
      <c r="A2821">
        <v>3065</v>
      </c>
      <c r="B2821" t="s">
        <v>6331</v>
      </c>
      <c r="C2821" t="s">
        <v>72</v>
      </c>
      <c r="D2821" t="s">
        <v>60</v>
      </c>
      <c r="E2821">
        <v>2453</v>
      </c>
      <c r="F2821">
        <v>5</v>
      </c>
      <c r="G2821">
        <v>5</v>
      </c>
      <c r="H2821">
        <v>1</v>
      </c>
      <c r="I2821">
        <v>1</v>
      </c>
      <c r="J2821">
        <v>0.75353432123999298</v>
      </c>
      <c r="K2821">
        <v>0.89874948580830905</v>
      </c>
      <c r="L2821">
        <v>0.81976060149521102</v>
      </c>
      <c r="M2821">
        <v>0.420814479638009</v>
      </c>
      <c r="N2821">
        <v>1</v>
      </c>
      <c r="O2821">
        <v>0.61493212669683295</v>
      </c>
      <c r="P2821" t="s">
        <v>6332</v>
      </c>
      <c r="Q2821" t="s">
        <v>6333</v>
      </c>
      <c r="R2821" t="s">
        <v>96</v>
      </c>
      <c r="S2821" t="s">
        <v>97</v>
      </c>
      <c r="T2821" t="s">
        <v>6334</v>
      </c>
      <c r="U2821" t="s">
        <v>6335</v>
      </c>
      <c r="V2821" t="s">
        <v>6336</v>
      </c>
      <c r="W2821" t="s">
        <v>6337</v>
      </c>
      <c r="AD2821" t="s">
        <v>219</v>
      </c>
      <c r="AE2821" t="s">
        <v>6338</v>
      </c>
      <c r="AF2821" t="s">
        <v>6339</v>
      </c>
    </row>
    <row r="2822" spans="1:32" hidden="1" x14ac:dyDescent="0.35">
      <c r="A2822">
        <v>3066</v>
      </c>
      <c r="B2822" t="s">
        <v>6331</v>
      </c>
      <c r="C2822" t="s">
        <v>72</v>
      </c>
      <c r="D2822" t="s">
        <v>62</v>
      </c>
      <c r="E2822">
        <v>2479</v>
      </c>
      <c r="F2822">
        <v>5</v>
      </c>
      <c r="G2822">
        <v>5</v>
      </c>
      <c r="H2822">
        <v>1</v>
      </c>
      <c r="I2822">
        <v>1</v>
      </c>
      <c r="J2822">
        <v>0.75353432123999298</v>
      </c>
      <c r="K2822">
        <v>0.89874948580830905</v>
      </c>
      <c r="L2822">
        <v>0.81976060149521102</v>
      </c>
      <c r="M2822">
        <v>0.420814479638009</v>
      </c>
      <c r="N2822">
        <v>1</v>
      </c>
      <c r="O2822">
        <v>0.61493212669683295</v>
      </c>
      <c r="P2822" t="s">
        <v>6332</v>
      </c>
      <c r="Q2822" t="s">
        <v>6333</v>
      </c>
      <c r="R2822" t="s">
        <v>96</v>
      </c>
      <c r="S2822" t="s">
        <v>97</v>
      </c>
      <c r="T2822" t="s">
        <v>6334</v>
      </c>
      <c r="U2822" t="s">
        <v>6335</v>
      </c>
      <c r="V2822" t="s">
        <v>6336</v>
      </c>
      <c r="W2822" t="s">
        <v>6337</v>
      </c>
      <c r="AD2822" t="s">
        <v>219</v>
      </c>
      <c r="AE2822" t="s">
        <v>6338</v>
      </c>
      <c r="AF2822" t="s">
        <v>6340</v>
      </c>
    </row>
    <row r="2823" spans="1:32" hidden="1" x14ac:dyDescent="0.35">
      <c r="A2823">
        <v>3067</v>
      </c>
      <c r="B2823" t="s">
        <v>6331</v>
      </c>
      <c r="C2823" t="s">
        <v>72</v>
      </c>
      <c r="D2823" t="s">
        <v>34</v>
      </c>
      <c r="E2823">
        <v>1218</v>
      </c>
      <c r="F2823">
        <v>5</v>
      </c>
      <c r="G2823">
        <v>5</v>
      </c>
      <c r="H2823">
        <v>1</v>
      </c>
      <c r="I2823">
        <v>1</v>
      </c>
      <c r="J2823">
        <v>0.75353432123999298</v>
      </c>
      <c r="K2823">
        <v>0.89874948580830905</v>
      </c>
      <c r="L2823">
        <v>0.81976060149521102</v>
      </c>
      <c r="M2823">
        <v>0.420814479638009</v>
      </c>
      <c r="N2823">
        <v>1</v>
      </c>
      <c r="O2823">
        <v>0.61493212669683295</v>
      </c>
      <c r="P2823" t="s">
        <v>6332</v>
      </c>
      <c r="Q2823" t="s">
        <v>6333</v>
      </c>
      <c r="R2823" t="s">
        <v>96</v>
      </c>
      <c r="S2823" t="s">
        <v>97</v>
      </c>
      <c r="T2823" t="s">
        <v>6334</v>
      </c>
      <c r="U2823" t="s">
        <v>6335</v>
      </c>
      <c r="V2823" t="s">
        <v>6336</v>
      </c>
      <c r="W2823" t="s">
        <v>6337</v>
      </c>
      <c r="AD2823" t="s">
        <v>219</v>
      </c>
      <c r="AE2823" t="s">
        <v>6338</v>
      </c>
      <c r="AF2823" t="s">
        <v>6341</v>
      </c>
    </row>
    <row r="2824" spans="1:32" hidden="1" x14ac:dyDescent="0.35">
      <c r="A2824">
        <v>3068</v>
      </c>
      <c r="B2824" t="s">
        <v>6331</v>
      </c>
      <c r="C2824" t="s">
        <v>72</v>
      </c>
      <c r="D2824" t="s">
        <v>45</v>
      </c>
      <c r="E2824">
        <v>2461</v>
      </c>
      <c r="F2824">
        <v>5</v>
      </c>
      <c r="G2824">
        <v>5</v>
      </c>
      <c r="H2824">
        <v>1</v>
      </c>
      <c r="I2824">
        <v>1</v>
      </c>
      <c r="J2824">
        <v>0.75353432123999298</v>
      </c>
      <c r="K2824">
        <v>0.89874948580830905</v>
      </c>
      <c r="L2824">
        <v>0.81976060149521102</v>
      </c>
      <c r="M2824">
        <v>0.420814479638009</v>
      </c>
      <c r="N2824">
        <v>1</v>
      </c>
      <c r="O2824">
        <v>0.61493212669683295</v>
      </c>
      <c r="P2824" t="s">
        <v>6332</v>
      </c>
      <c r="Q2824" t="s">
        <v>6333</v>
      </c>
      <c r="R2824" t="s">
        <v>96</v>
      </c>
      <c r="S2824" t="s">
        <v>97</v>
      </c>
      <c r="T2824" t="s">
        <v>6334</v>
      </c>
      <c r="U2824" t="s">
        <v>6335</v>
      </c>
      <c r="V2824" t="s">
        <v>6336</v>
      </c>
      <c r="W2824" t="s">
        <v>6337</v>
      </c>
      <c r="AD2824" t="s">
        <v>219</v>
      </c>
      <c r="AE2824" t="s">
        <v>6338</v>
      </c>
      <c r="AF2824" t="s">
        <v>6341</v>
      </c>
    </row>
    <row r="2825" spans="1:32" hidden="1" x14ac:dyDescent="0.35">
      <c r="A2825">
        <v>3299</v>
      </c>
      <c r="B2825" t="s">
        <v>6784</v>
      </c>
      <c r="C2825" t="s">
        <v>72</v>
      </c>
      <c r="D2825" t="s">
        <v>58</v>
      </c>
      <c r="E2825">
        <v>174</v>
      </c>
      <c r="F2825">
        <v>5</v>
      </c>
      <c r="G2825">
        <v>5</v>
      </c>
      <c r="H2825">
        <v>1</v>
      </c>
      <c r="I2825">
        <v>1</v>
      </c>
      <c r="J2825">
        <v>0.81567614125753696</v>
      </c>
      <c r="K2825">
        <v>0.90612859097127196</v>
      </c>
      <c r="L2825">
        <v>0.85852647368419099</v>
      </c>
      <c r="M2825">
        <v>0.61627906976744196</v>
      </c>
      <c r="N2825">
        <v>1</v>
      </c>
      <c r="O2825">
        <v>0.73488372093023302</v>
      </c>
      <c r="P2825" t="s">
        <v>6785</v>
      </c>
      <c r="Q2825" t="s">
        <v>6786</v>
      </c>
      <c r="R2825" t="s">
        <v>96</v>
      </c>
      <c r="S2825" t="s">
        <v>97</v>
      </c>
      <c r="V2825" t="s">
        <v>1635</v>
      </c>
      <c r="W2825" t="s">
        <v>1636</v>
      </c>
      <c r="AF2825" t="s">
        <v>6787</v>
      </c>
    </row>
    <row r="2826" spans="1:32" hidden="1" x14ac:dyDescent="0.35">
      <c r="A2826">
        <v>3300</v>
      </c>
      <c r="B2826" t="s">
        <v>6784</v>
      </c>
      <c r="C2826" t="s">
        <v>72</v>
      </c>
      <c r="D2826" t="s">
        <v>60</v>
      </c>
      <c r="E2826">
        <v>307</v>
      </c>
      <c r="F2826">
        <v>5</v>
      </c>
      <c r="G2826">
        <v>5</v>
      </c>
      <c r="H2826">
        <v>1</v>
      </c>
      <c r="I2826">
        <v>1</v>
      </c>
      <c r="J2826">
        <v>0.81567614125753696</v>
      </c>
      <c r="K2826">
        <v>0.90612859097127196</v>
      </c>
      <c r="L2826">
        <v>0.85852647368419099</v>
      </c>
      <c r="M2826">
        <v>0.61627906976744196</v>
      </c>
      <c r="N2826">
        <v>1</v>
      </c>
      <c r="O2826">
        <v>0.73488372093023302</v>
      </c>
      <c r="P2826" t="s">
        <v>6785</v>
      </c>
      <c r="Q2826" t="s">
        <v>6786</v>
      </c>
      <c r="R2826" t="s">
        <v>96</v>
      </c>
      <c r="S2826" t="s">
        <v>97</v>
      </c>
      <c r="V2826" t="s">
        <v>1635</v>
      </c>
      <c r="W2826" t="s">
        <v>1636</v>
      </c>
      <c r="AF2826" t="e">
        <f>--------MHVVELMVRRTCGSCERVREQITPVVASADAHLTVVDVDTDASLAMEFGDRVPVVVVDGEEFACWEVDSEELAEALLW</f>
        <v>#NAME?</v>
      </c>
    </row>
    <row r="2827" spans="1:32" hidden="1" x14ac:dyDescent="0.35">
      <c r="A2827">
        <v>3301</v>
      </c>
      <c r="B2827" t="s">
        <v>6784</v>
      </c>
      <c r="C2827" t="s">
        <v>72</v>
      </c>
      <c r="D2827" t="s">
        <v>62</v>
      </c>
      <c r="E2827">
        <v>387</v>
      </c>
      <c r="F2827">
        <v>5</v>
      </c>
      <c r="G2827">
        <v>5</v>
      </c>
      <c r="H2827">
        <v>1</v>
      </c>
      <c r="I2827">
        <v>1</v>
      </c>
      <c r="J2827">
        <v>0.81567614125753696</v>
      </c>
      <c r="K2827">
        <v>0.90612859097127196</v>
      </c>
      <c r="L2827">
        <v>0.85852647368419099</v>
      </c>
      <c r="M2827">
        <v>0.61627906976744196</v>
      </c>
      <c r="N2827">
        <v>1</v>
      </c>
      <c r="O2827">
        <v>0.73488372093023302</v>
      </c>
      <c r="P2827" t="s">
        <v>6785</v>
      </c>
      <c r="Q2827" t="s">
        <v>6786</v>
      </c>
      <c r="R2827" t="s">
        <v>96</v>
      </c>
      <c r="S2827" t="s">
        <v>97</v>
      </c>
      <c r="V2827" t="s">
        <v>1635</v>
      </c>
      <c r="W2827" t="s">
        <v>1636</v>
      </c>
      <c r="AF2827" t="e">
        <f>--------MHVVELMVRRTCGSCERVREQITPVVASADAHLTVVDVDTDASLAMEFGDRVPVVVVDGEEFACWEVDSEELAEALLW</f>
        <v>#NAME?</v>
      </c>
    </row>
    <row r="2828" spans="1:32" hidden="1" x14ac:dyDescent="0.35">
      <c r="A2828">
        <v>3302</v>
      </c>
      <c r="B2828" t="s">
        <v>6784</v>
      </c>
      <c r="C2828" t="s">
        <v>72</v>
      </c>
      <c r="D2828" t="s">
        <v>34</v>
      </c>
      <c r="E2828">
        <v>851</v>
      </c>
      <c r="F2828">
        <v>5</v>
      </c>
      <c r="G2828">
        <v>5</v>
      </c>
      <c r="H2828">
        <v>1</v>
      </c>
      <c r="I2828">
        <v>1</v>
      </c>
      <c r="J2828">
        <v>0.81567614125753696</v>
      </c>
      <c r="K2828">
        <v>0.90612859097127196</v>
      </c>
      <c r="L2828">
        <v>0.85852647368419099</v>
      </c>
      <c r="M2828">
        <v>0.61627906976744196</v>
      </c>
      <c r="N2828">
        <v>1</v>
      </c>
      <c r="O2828">
        <v>0.73488372093023302</v>
      </c>
      <c r="P2828" t="s">
        <v>6785</v>
      </c>
      <c r="Q2828" t="s">
        <v>6786</v>
      </c>
      <c r="R2828" t="s">
        <v>96</v>
      </c>
      <c r="S2828" t="s">
        <v>97</v>
      </c>
      <c r="V2828" t="s">
        <v>1635</v>
      </c>
      <c r="W2828" t="s">
        <v>1636</v>
      </c>
      <c r="AF2828" t="s">
        <v>6788</v>
      </c>
    </row>
    <row r="2829" spans="1:32" hidden="1" x14ac:dyDescent="0.35">
      <c r="A2829">
        <v>3303</v>
      </c>
      <c r="B2829" t="s">
        <v>6784</v>
      </c>
      <c r="C2829" t="s">
        <v>72</v>
      </c>
      <c r="D2829" t="s">
        <v>45</v>
      </c>
      <c r="E2829">
        <v>2108</v>
      </c>
      <c r="F2829">
        <v>5</v>
      </c>
      <c r="G2829">
        <v>5</v>
      </c>
      <c r="H2829">
        <v>1</v>
      </c>
      <c r="I2829">
        <v>1</v>
      </c>
      <c r="J2829">
        <v>0.81567614125753696</v>
      </c>
      <c r="K2829">
        <v>0.90612859097127196</v>
      </c>
      <c r="L2829">
        <v>0.85852647368419099</v>
      </c>
      <c r="M2829">
        <v>0.61627906976744196</v>
      </c>
      <c r="N2829">
        <v>1</v>
      </c>
      <c r="O2829">
        <v>0.73488372093023302</v>
      </c>
      <c r="P2829" t="s">
        <v>6785</v>
      </c>
      <c r="Q2829" t="s">
        <v>6786</v>
      </c>
      <c r="R2829" t="s">
        <v>96</v>
      </c>
      <c r="S2829" t="s">
        <v>97</v>
      </c>
      <c r="V2829" t="s">
        <v>1635</v>
      </c>
      <c r="W2829" t="s">
        <v>1636</v>
      </c>
      <c r="AF2829" t="s">
        <v>6789</v>
      </c>
    </row>
    <row r="2830" spans="1:32" hidden="1" x14ac:dyDescent="0.35">
      <c r="A2830">
        <v>3359</v>
      </c>
      <c r="B2830" t="s">
        <v>6913</v>
      </c>
      <c r="C2830" t="s">
        <v>72</v>
      </c>
      <c r="D2830" t="s">
        <v>58</v>
      </c>
      <c r="E2830">
        <v>1753</v>
      </c>
      <c r="F2830">
        <v>5</v>
      </c>
      <c r="G2830">
        <v>5</v>
      </c>
      <c r="H2830">
        <v>1</v>
      </c>
      <c r="I2830">
        <v>1</v>
      </c>
      <c r="J2830">
        <v>0.92366912366912401</v>
      </c>
      <c r="K2830">
        <v>0.99112105374300696</v>
      </c>
      <c r="L2830">
        <v>0.95620703089055004</v>
      </c>
      <c r="M2830">
        <v>0.85227272727272696</v>
      </c>
      <c r="N2830">
        <v>1</v>
      </c>
      <c r="O2830">
        <v>0.88831168831168805</v>
      </c>
      <c r="P2830" t="s">
        <v>6914</v>
      </c>
      <c r="Q2830" t="s">
        <v>6915</v>
      </c>
      <c r="R2830" t="s">
        <v>96</v>
      </c>
      <c r="S2830" t="s">
        <v>97</v>
      </c>
      <c r="T2830" t="s">
        <v>6916</v>
      </c>
      <c r="U2830" t="s">
        <v>6917</v>
      </c>
      <c r="V2830" t="s">
        <v>6918</v>
      </c>
      <c r="W2830" t="s">
        <v>6919</v>
      </c>
      <c r="AD2830" t="s">
        <v>6920</v>
      </c>
      <c r="AE2830" t="s">
        <v>6921</v>
      </c>
      <c r="AF2830" t="s">
        <v>6922</v>
      </c>
    </row>
    <row r="2831" spans="1:32" hidden="1" x14ac:dyDescent="0.35">
      <c r="A2831">
        <v>3360</v>
      </c>
      <c r="B2831" t="s">
        <v>6913</v>
      </c>
      <c r="C2831" t="s">
        <v>72</v>
      </c>
      <c r="D2831" t="s">
        <v>60</v>
      </c>
      <c r="E2831">
        <v>2376</v>
      </c>
      <c r="F2831">
        <v>5</v>
      </c>
      <c r="G2831">
        <v>5</v>
      </c>
      <c r="H2831">
        <v>1</v>
      </c>
      <c r="I2831">
        <v>1</v>
      </c>
      <c r="J2831">
        <v>0.92366912366912401</v>
      </c>
      <c r="K2831">
        <v>0.99112105374300696</v>
      </c>
      <c r="L2831">
        <v>0.95620703089055004</v>
      </c>
      <c r="M2831">
        <v>0.85227272727272696</v>
      </c>
      <c r="N2831">
        <v>1</v>
      </c>
      <c r="O2831">
        <v>0.88831168831168805</v>
      </c>
      <c r="P2831" t="s">
        <v>6914</v>
      </c>
      <c r="Q2831" t="s">
        <v>6915</v>
      </c>
      <c r="R2831" t="s">
        <v>96</v>
      </c>
      <c r="S2831" t="s">
        <v>97</v>
      </c>
      <c r="T2831" t="s">
        <v>6916</v>
      </c>
      <c r="U2831" t="s">
        <v>6917</v>
      </c>
      <c r="V2831" t="s">
        <v>6918</v>
      </c>
      <c r="W2831" t="s">
        <v>6919</v>
      </c>
      <c r="AD2831" t="s">
        <v>6920</v>
      </c>
      <c r="AE2831" t="s">
        <v>6921</v>
      </c>
      <c r="AF2831" t="s">
        <v>6923</v>
      </c>
    </row>
    <row r="2832" spans="1:32" hidden="1" x14ac:dyDescent="0.35">
      <c r="A2832">
        <v>3361</v>
      </c>
      <c r="B2832" t="s">
        <v>6913</v>
      </c>
      <c r="C2832" t="s">
        <v>72</v>
      </c>
      <c r="D2832" t="s">
        <v>62</v>
      </c>
      <c r="E2832">
        <v>2404</v>
      </c>
      <c r="F2832">
        <v>5</v>
      </c>
      <c r="G2832">
        <v>5</v>
      </c>
      <c r="H2832">
        <v>1</v>
      </c>
      <c r="I2832">
        <v>1</v>
      </c>
      <c r="J2832">
        <v>0.92366912366912401</v>
      </c>
      <c r="K2832">
        <v>0.99112105374300696</v>
      </c>
      <c r="L2832">
        <v>0.95620703089055004</v>
      </c>
      <c r="M2832">
        <v>0.85227272727272696</v>
      </c>
      <c r="N2832">
        <v>1</v>
      </c>
      <c r="O2832">
        <v>0.88831168831168805</v>
      </c>
      <c r="P2832" t="s">
        <v>6914</v>
      </c>
      <c r="Q2832" t="s">
        <v>6915</v>
      </c>
      <c r="R2832" t="s">
        <v>96</v>
      </c>
      <c r="S2832" t="s">
        <v>97</v>
      </c>
      <c r="T2832" t="s">
        <v>6916</v>
      </c>
      <c r="U2832" t="s">
        <v>6917</v>
      </c>
      <c r="V2832" t="s">
        <v>6918</v>
      </c>
      <c r="W2832" t="s">
        <v>6919</v>
      </c>
      <c r="AD2832" t="s">
        <v>6920</v>
      </c>
      <c r="AE2832" t="s">
        <v>6921</v>
      </c>
      <c r="AF2832" t="s">
        <v>6923</v>
      </c>
    </row>
    <row r="2833" spans="1:32" hidden="1" x14ac:dyDescent="0.35">
      <c r="A2833">
        <v>3362</v>
      </c>
      <c r="B2833" t="s">
        <v>6913</v>
      </c>
      <c r="C2833" t="s">
        <v>72</v>
      </c>
      <c r="D2833" t="s">
        <v>34</v>
      </c>
      <c r="E2833">
        <v>1381</v>
      </c>
      <c r="F2833">
        <v>5</v>
      </c>
      <c r="G2833">
        <v>5</v>
      </c>
      <c r="H2833">
        <v>1</v>
      </c>
      <c r="I2833">
        <v>1</v>
      </c>
      <c r="J2833">
        <v>0.92366912366912401</v>
      </c>
      <c r="K2833">
        <v>0.99112105374300696</v>
      </c>
      <c r="L2833">
        <v>0.95620703089055004</v>
      </c>
      <c r="M2833">
        <v>0.85227272727272696</v>
      </c>
      <c r="N2833">
        <v>1</v>
      </c>
      <c r="O2833">
        <v>0.88831168831168805</v>
      </c>
      <c r="P2833" t="s">
        <v>6914</v>
      </c>
      <c r="Q2833" t="s">
        <v>6915</v>
      </c>
      <c r="R2833" t="s">
        <v>96</v>
      </c>
      <c r="S2833" t="s">
        <v>97</v>
      </c>
      <c r="T2833" t="s">
        <v>6916</v>
      </c>
      <c r="U2833" t="s">
        <v>6917</v>
      </c>
      <c r="V2833" t="s">
        <v>6918</v>
      </c>
      <c r="W2833" t="s">
        <v>6919</v>
      </c>
      <c r="AD2833" t="s">
        <v>6920</v>
      </c>
      <c r="AE2833" t="s">
        <v>6921</v>
      </c>
      <c r="AF2833" t="s">
        <v>6924</v>
      </c>
    </row>
    <row r="2834" spans="1:32" hidden="1" x14ac:dyDescent="0.35">
      <c r="A2834">
        <v>3363</v>
      </c>
      <c r="B2834" t="s">
        <v>6913</v>
      </c>
      <c r="C2834" t="s">
        <v>72</v>
      </c>
      <c r="D2834" t="s">
        <v>45</v>
      </c>
      <c r="E2834">
        <v>131</v>
      </c>
      <c r="F2834">
        <v>5</v>
      </c>
      <c r="G2834">
        <v>5</v>
      </c>
      <c r="H2834">
        <v>1</v>
      </c>
      <c r="I2834">
        <v>1</v>
      </c>
      <c r="J2834">
        <v>0.92366912366912401</v>
      </c>
      <c r="K2834">
        <v>0.99112105374300696</v>
      </c>
      <c r="L2834">
        <v>0.95620703089055004</v>
      </c>
      <c r="M2834">
        <v>0.85227272727272696</v>
      </c>
      <c r="N2834">
        <v>1</v>
      </c>
      <c r="O2834">
        <v>0.88831168831168805</v>
      </c>
      <c r="P2834" t="s">
        <v>6914</v>
      </c>
      <c r="Q2834" t="s">
        <v>6915</v>
      </c>
      <c r="R2834" t="s">
        <v>96</v>
      </c>
      <c r="S2834" t="s">
        <v>97</v>
      </c>
      <c r="T2834" t="s">
        <v>6916</v>
      </c>
      <c r="U2834" t="s">
        <v>6917</v>
      </c>
      <c r="V2834" t="s">
        <v>6918</v>
      </c>
      <c r="W2834" t="s">
        <v>6919</v>
      </c>
      <c r="AD2834" t="s">
        <v>6920</v>
      </c>
      <c r="AE2834" t="s">
        <v>6921</v>
      </c>
      <c r="AF2834" t="s">
        <v>6925</v>
      </c>
    </row>
    <row r="2835" spans="1:32" hidden="1" x14ac:dyDescent="0.35">
      <c r="A2835">
        <v>3369</v>
      </c>
      <c r="B2835" t="s">
        <v>6935</v>
      </c>
      <c r="C2835" t="s">
        <v>72</v>
      </c>
      <c r="D2835" t="s">
        <v>58</v>
      </c>
      <c r="E2835">
        <v>338</v>
      </c>
      <c r="F2835">
        <v>5</v>
      </c>
      <c r="G2835">
        <v>5</v>
      </c>
      <c r="H2835">
        <v>1</v>
      </c>
      <c r="I2835">
        <v>1</v>
      </c>
      <c r="J2835">
        <v>0.75532441802872696</v>
      </c>
      <c r="K2835">
        <v>0.90422371364653198</v>
      </c>
      <c r="L2835">
        <v>0.82309423540297499</v>
      </c>
      <c r="M2835">
        <v>0.5</v>
      </c>
      <c r="N2835">
        <v>1</v>
      </c>
      <c r="O2835">
        <v>0.62933333333333297</v>
      </c>
      <c r="R2835" t="s">
        <v>96</v>
      </c>
      <c r="S2835" t="s">
        <v>97</v>
      </c>
      <c r="V2835" t="s">
        <v>2084</v>
      </c>
      <c r="W2835" t="s">
        <v>2085</v>
      </c>
      <c r="AF2835" t="e">
        <f>--------------------MPIYKSRSDLFDAAVLEAYGPIARKFPQQLESIDVAVDLIPRMRF---MEIYPEEVISDGPVPLGRVIPAGVDHRGKPTRARLVVFRQPIEQRCADSKERAELLAYVLTSLAATYLNVDPSVIDPDFERF</f>
        <v>#NAME?</v>
      </c>
    </row>
    <row r="2836" spans="1:32" hidden="1" x14ac:dyDescent="0.35">
      <c r="A2836">
        <v>3370</v>
      </c>
      <c r="B2836" t="s">
        <v>6935</v>
      </c>
      <c r="C2836" t="s">
        <v>72</v>
      </c>
      <c r="D2836" t="s">
        <v>60</v>
      </c>
      <c r="E2836">
        <v>574</v>
      </c>
      <c r="F2836">
        <v>5</v>
      </c>
      <c r="G2836">
        <v>5</v>
      </c>
      <c r="H2836">
        <v>1</v>
      </c>
      <c r="I2836">
        <v>1</v>
      </c>
      <c r="J2836">
        <v>0.75532441802872696</v>
      </c>
      <c r="K2836">
        <v>0.90422371364653198</v>
      </c>
      <c r="L2836">
        <v>0.82309423540297499</v>
      </c>
      <c r="M2836">
        <v>0.5</v>
      </c>
      <c r="N2836">
        <v>1</v>
      </c>
      <c r="O2836">
        <v>0.62933333333333297</v>
      </c>
      <c r="R2836" t="s">
        <v>96</v>
      </c>
      <c r="S2836" t="s">
        <v>97</v>
      </c>
      <c r="V2836" t="s">
        <v>2084</v>
      </c>
      <c r="W2836" t="s">
        <v>2085</v>
      </c>
      <c r="AF2836" t="e">
        <f>-----------MRGTVYPRTVRRYRNRSQLFDAALIEAYSPIQAAFPDELASIDIAVDTVPRMRLNPDVSHYSDEIAADGPVPLGRLIPAGIDQRGRPTRPRIVLFRMPIEQRCDDMKEKVELLHTVLTSLVAAYLNIEPTTINPN-HPW</f>
        <v>#NAME?</v>
      </c>
    </row>
    <row r="2837" spans="1:32" hidden="1" x14ac:dyDescent="0.35">
      <c r="A2837">
        <v>3371</v>
      </c>
      <c r="B2837" t="s">
        <v>6935</v>
      </c>
      <c r="C2837" t="s">
        <v>72</v>
      </c>
      <c r="D2837" t="s">
        <v>62</v>
      </c>
      <c r="E2837">
        <v>658</v>
      </c>
      <c r="F2837">
        <v>5</v>
      </c>
      <c r="G2837">
        <v>5</v>
      </c>
      <c r="H2837">
        <v>1</v>
      </c>
      <c r="I2837">
        <v>1</v>
      </c>
      <c r="J2837">
        <v>0.75532441802872696</v>
      </c>
      <c r="K2837">
        <v>0.90422371364653198</v>
      </c>
      <c r="L2837">
        <v>0.82309423540297499</v>
      </c>
      <c r="M2837">
        <v>0.5</v>
      </c>
      <c r="N2837">
        <v>1</v>
      </c>
      <c r="O2837">
        <v>0.62933333333333297</v>
      </c>
      <c r="R2837" t="s">
        <v>96</v>
      </c>
      <c r="S2837" t="s">
        <v>97</v>
      </c>
      <c r="V2837" t="s">
        <v>2084</v>
      </c>
      <c r="W2837" t="s">
        <v>2085</v>
      </c>
      <c r="AF2837" t="e">
        <f>-----------MRGTVYPRTVRRYRNRSQLFDAALIEAYSPIQAAFPDELASIDIAVDTVPRMRLNPDVSHYSDEIAADGPVPLGRLIPAGIDQRGRPTRPRIVLFRMPIEQRCDDMKEKVELLHTVLTSLVAAYLNIEPTTINPN-HPW</f>
        <v>#NAME?</v>
      </c>
    </row>
    <row r="2838" spans="1:32" hidden="1" x14ac:dyDescent="0.35">
      <c r="A2838">
        <v>3372</v>
      </c>
      <c r="B2838" t="s">
        <v>6935</v>
      </c>
      <c r="C2838" t="s">
        <v>72</v>
      </c>
      <c r="D2838" t="s">
        <v>34</v>
      </c>
      <c r="E2838">
        <v>518</v>
      </c>
      <c r="F2838">
        <v>5</v>
      </c>
      <c r="G2838">
        <v>5</v>
      </c>
      <c r="H2838">
        <v>1</v>
      </c>
      <c r="I2838">
        <v>1</v>
      </c>
      <c r="J2838">
        <v>0.75532441802872696</v>
      </c>
      <c r="K2838">
        <v>0.90422371364653198</v>
      </c>
      <c r="L2838">
        <v>0.82309423540297499</v>
      </c>
      <c r="M2838">
        <v>0.5</v>
      </c>
      <c r="N2838">
        <v>1</v>
      </c>
      <c r="O2838">
        <v>0.62933333333333297</v>
      </c>
      <c r="P2838" t="s">
        <v>2082</v>
      </c>
      <c r="Q2838" t="s">
        <v>2083</v>
      </c>
      <c r="R2838" t="s">
        <v>96</v>
      </c>
      <c r="S2838" t="s">
        <v>97</v>
      </c>
      <c r="V2838" t="s">
        <v>2084</v>
      </c>
      <c r="W2838" t="s">
        <v>2085</v>
      </c>
      <c r="AF2838" t="s">
        <v>6936</v>
      </c>
    </row>
    <row r="2839" spans="1:32" hidden="1" x14ac:dyDescent="0.35">
      <c r="A2839">
        <v>3373</v>
      </c>
      <c r="B2839" t="s">
        <v>6935</v>
      </c>
      <c r="C2839" t="s">
        <v>72</v>
      </c>
      <c r="D2839" t="s">
        <v>45</v>
      </c>
      <c r="E2839">
        <v>1783</v>
      </c>
      <c r="F2839">
        <v>5</v>
      </c>
      <c r="G2839">
        <v>5</v>
      </c>
      <c r="H2839">
        <v>1</v>
      </c>
      <c r="I2839">
        <v>1</v>
      </c>
      <c r="J2839">
        <v>0.75532441802872696</v>
      </c>
      <c r="K2839">
        <v>0.90422371364653198</v>
      </c>
      <c r="L2839">
        <v>0.82309423540297499</v>
      </c>
      <c r="M2839">
        <v>0.5</v>
      </c>
      <c r="N2839">
        <v>1</v>
      </c>
      <c r="O2839">
        <v>0.62933333333333297</v>
      </c>
      <c r="P2839" t="s">
        <v>2082</v>
      </c>
      <c r="Q2839" t="s">
        <v>2083</v>
      </c>
      <c r="R2839" t="s">
        <v>96</v>
      </c>
      <c r="S2839" t="s">
        <v>97</v>
      </c>
      <c r="V2839" t="s">
        <v>2084</v>
      </c>
      <c r="W2839" t="s">
        <v>2085</v>
      </c>
      <c r="AF2839" t="s">
        <v>6936</v>
      </c>
    </row>
    <row r="2840" spans="1:32" hidden="1" x14ac:dyDescent="0.35">
      <c r="A2840">
        <v>3384</v>
      </c>
      <c r="B2840" t="s">
        <v>6954</v>
      </c>
      <c r="C2840" t="s">
        <v>72</v>
      </c>
      <c r="D2840" t="s">
        <v>58</v>
      </c>
      <c r="E2840">
        <v>413</v>
      </c>
      <c r="F2840">
        <v>5</v>
      </c>
      <c r="G2840">
        <v>5</v>
      </c>
      <c r="H2840">
        <v>1</v>
      </c>
      <c r="I2840">
        <v>1</v>
      </c>
      <c r="J2840">
        <v>0.89120228618085295</v>
      </c>
      <c r="K2840">
        <v>0.98974131559497602</v>
      </c>
      <c r="L2840">
        <v>0.93789066546505795</v>
      </c>
      <c r="M2840">
        <v>0.77575757575757598</v>
      </c>
      <c r="N2840">
        <v>1</v>
      </c>
      <c r="O2840">
        <v>0.84424242424242402</v>
      </c>
      <c r="P2840" t="s">
        <v>6955</v>
      </c>
      <c r="Q2840" t="s">
        <v>6956</v>
      </c>
      <c r="R2840" t="s">
        <v>96</v>
      </c>
      <c r="S2840" t="s">
        <v>97</v>
      </c>
      <c r="T2840" t="s">
        <v>6957</v>
      </c>
      <c r="U2840" t="s">
        <v>6958</v>
      </c>
      <c r="V2840" t="s">
        <v>6959</v>
      </c>
      <c r="W2840" t="s">
        <v>6960</v>
      </c>
      <c r="AD2840" t="s">
        <v>410</v>
      </c>
      <c r="AE2840" t="s">
        <v>1637</v>
      </c>
      <c r="AF2840" t="e">
        <f>---MAKKKKPTQNPVVATNRKARHNYNILDTYECGIVLVGTEIKALREGKVSLVDTFATIDDGEVWLRNLYINEYSHGSWTNHKPRRVRKLLLHRKEIDTLMGKVRDGNKTLVPLKLYFVDGRLKVELGLAAGKQDYDKRQDLKRRAEERDITRELGRRVKGIKG</f>
        <v>#NAME?</v>
      </c>
    </row>
    <row r="2841" spans="1:32" hidden="1" x14ac:dyDescent="0.35">
      <c r="A2841">
        <v>3385</v>
      </c>
      <c r="B2841" t="s">
        <v>6954</v>
      </c>
      <c r="C2841" t="s">
        <v>72</v>
      </c>
      <c r="D2841" t="s">
        <v>60</v>
      </c>
      <c r="E2841">
        <v>637</v>
      </c>
      <c r="F2841">
        <v>5</v>
      </c>
      <c r="G2841">
        <v>5</v>
      </c>
      <c r="H2841">
        <v>1</v>
      </c>
      <c r="I2841">
        <v>1</v>
      </c>
      <c r="J2841">
        <v>0.89120228618085295</v>
      </c>
      <c r="K2841">
        <v>0.98974131559497602</v>
      </c>
      <c r="L2841">
        <v>0.93789066546505795</v>
      </c>
      <c r="M2841">
        <v>0.77575757575757598</v>
      </c>
      <c r="N2841">
        <v>1</v>
      </c>
      <c r="O2841">
        <v>0.84424242424242402</v>
      </c>
      <c r="P2841" t="s">
        <v>6955</v>
      </c>
      <c r="Q2841" t="s">
        <v>6956</v>
      </c>
      <c r="R2841" t="s">
        <v>96</v>
      </c>
      <c r="S2841" t="s">
        <v>97</v>
      </c>
      <c r="T2841" t="s">
        <v>6957</v>
      </c>
      <c r="U2841" t="s">
        <v>6958</v>
      </c>
      <c r="V2841" t="s">
        <v>6959</v>
      </c>
      <c r="W2841" t="s">
        <v>6960</v>
      </c>
      <c r="AD2841" t="s">
        <v>410</v>
      </c>
      <c r="AE2841" t="s">
        <v>1637</v>
      </c>
      <c r="AF2841" t="s">
        <v>6961</v>
      </c>
    </row>
    <row r="2842" spans="1:32" hidden="1" x14ac:dyDescent="0.35">
      <c r="A2842">
        <v>3386</v>
      </c>
      <c r="B2842" t="s">
        <v>6954</v>
      </c>
      <c r="C2842" t="s">
        <v>72</v>
      </c>
      <c r="D2842" t="s">
        <v>62</v>
      </c>
      <c r="E2842">
        <v>721</v>
      </c>
      <c r="F2842">
        <v>5</v>
      </c>
      <c r="G2842">
        <v>5</v>
      </c>
      <c r="H2842">
        <v>1</v>
      </c>
      <c r="I2842">
        <v>1</v>
      </c>
      <c r="J2842">
        <v>0.89120228618085295</v>
      </c>
      <c r="K2842">
        <v>0.98974131559497602</v>
      </c>
      <c r="L2842">
        <v>0.93789066546505795</v>
      </c>
      <c r="M2842">
        <v>0.77575757575757598</v>
      </c>
      <c r="N2842">
        <v>1</v>
      </c>
      <c r="O2842">
        <v>0.84424242424242402</v>
      </c>
      <c r="P2842" t="s">
        <v>6955</v>
      </c>
      <c r="Q2842" t="s">
        <v>6956</v>
      </c>
      <c r="R2842" t="s">
        <v>96</v>
      </c>
      <c r="S2842" t="s">
        <v>97</v>
      </c>
      <c r="T2842" t="s">
        <v>6957</v>
      </c>
      <c r="U2842" t="s">
        <v>6958</v>
      </c>
      <c r="V2842" t="s">
        <v>6959</v>
      </c>
      <c r="W2842" t="s">
        <v>6960</v>
      </c>
      <c r="AD2842" t="s">
        <v>410</v>
      </c>
      <c r="AE2842" t="s">
        <v>1637</v>
      </c>
      <c r="AF2842" t="s">
        <v>6961</v>
      </c>
    </row>
    <row r="2843" spans="1:32" hidden="1" x14ac:dyDescent="0.35">
      <c r="A2843">
        <v>3387</v>
      </c>
      <c r="B2843" t="s">
        <v>6954</v>
      </c>
      <c r="C2843" t="s">
        <v>72</v>
      </c>
      <c r="D2843" t="s">
        <v>34</v>
      </c>
      <c r="E2843">
        <v>449</v>
      </c>
      <c r="F2843">
        <v>5</v>
      </c>
      <c r="G2843">
        <v>5</v>
      </c>
      <c r="H2843">
        <v>1</v>
      </c>
      <c r="I2843">
        <v>1</v>
      </c>
      <c r="J2843">
        <v>0.89120228618085295</v>
      </c>
      <c r="K2843">
        <v>0.98974131559497602</v>
      </c>
      <c r="L2843">
        <v>0.93789066546505795</v>
      </c>
      <c r="M2843">
        <v>0.77575757575757598</v>
      </c>
      <c r="N2843">
        <v>1</v>
      </c>
      <c r="O2843">
        <v>0.84424242424242402</v>
      </c>
      <c r="P2843" t="s">
        <v>6955</v>
      </c>
      <c r="Q2843" t="s">
        <v>6956</v>
      </c>
      <c r="R2843" t="s">
        <v>96</v>
      </c>
      <c r="S2843" t="s">
        <v>97</v>
      </c>
      <c r="T2843" t="s">
        <v>6957</v>
      </c>
      <c r="U2843" t="s">
        <v>6958</v>
      </c>
      <c r="V2843" t="s">
        <v>6959</v>
      </c>
      <c r="W2843" t="s">
        <v>6960</v>
      </c>
      <c r="AD2843" t="s">
        <v>410</v>
      </c>
      <c r="AE2843" t="s">
        <v>1637</v>
      </c>
      <c r="AF2843" t="e">
        <f>-MAKKKKKTTNLNPTIATNRKARHDYNILETYECGMVLVGTEVKSLREGKASLVDAFATIDDGEVWLRNLHIPEYSRGHWTNHSPRRVRKLLLHRREIDTLTGKVRDGNKTLVPLSLYFKNGHLKCELGLAQGKQAYDKRQDIKRRTEEREIVRDLGRRVKGIIG</f>
        <v>#NAME?</v>
      </c>
    </row>
    <row r="2844" spans="1:32" hidden="1" x14ac:dyDescent="0.35">
      <c r="A2844">
        <v>3388</v>
      </c>
      <c r="B2844" t="s">
        <v>6954</v>
      </c>
      <c r="C2844" t="s">
        <v>72</v>
      </c>
      <c r="D2844" t="s">
        <v>45</v>
      </c>
      <c r="E2844">
        <v>1712</v>
      </c>
      <c r="F2844">
        <v>5</v>
      </c>
      <c r="G2844">
        <v>5</v>
      </c>
      <c r="H2844">
        <v>1</v>
      </c>
      <c r="I2844">
        <v>1</v>
      </c>
      <c r="J2844">
        <v>0.89120228618085295</v>
      </c>
      <c r="K2844">
        <v>0.98974131559497602</v>
      </c>
      <c r="L2844">
        <v>0.93789066546505795</v>
      </c>
      <c r="M2844">
        <v>0.77575757575757598</v>
      </c>
      <c r="N2844">
        <v>1</v>
      </c>
      <c r="O2844">
        <v>0.84424242424242402</v>
      </c>
      <c r="P2844" t="s">
        <v>6955</v>
      </c>
      <c r="Q2844" t="s">
        <v>6956</v>
      </c>
      <c r="R2844" t="s">
        <v>96</v>
      </c>
      <c r="S2844" t="s">
        <v>97</v>
      </c>
      <c r="T2844" t="s">
        <v>6957</v>
      </c>
      <c r="U2844" t="s">
        <v>6958</v>
      </c>
      <c r="V2844" t="s">
        <v>6959</v>
      </c>
      <c r="W2844" t="s">
        <v>6960</v>
      </c>
      <c r="AD2844" t="s">
        <v>410</v>
      </c>
      <c r="AE2844" t="s">
        <v>1637</v>
      </c>
      <c r="AF2844" t="e">
        <f>-MAKKKKKTTNLNPTIATNRKARHDYNILETYECGMVLVGTEVKSLREGKASLVDAFATIDDGEVWLRNLHIPEYSRGHWTNHSPRRVRKLLLHRREIDTLTGKVRDGNKTLVPLSLYFKNGHLKCELGLAQGKQAYDKRQDIKRRTEEREIVRDLGRRVKGITG</f>
        <v>#NAME?</v>
      </c>
    </row>
    <row r="2845" spans="1:32" hidden="1" x14ac:dyDescent="0.35">
      <c r="A2845">
        <v>3494</v>
      </c>
      <c r="B2845" t="s">
        <v>7174</v>
      </c>
      <c r="C2845" t="s">
        <v>72</v>
      </c>
      <c r="D2845" t="s">
        <v>58</v>
      </c>
      <c r="E2845">
        <v>1237</v>
      </c>
      <c r="F2845">
        <v>5</v>
      </c>
      <c r="G2845">
        <v>5</v>
      </c>
      <c r="H2845">
        <v>1</v>
      </c>
      <c r="I2845">
        <v>1</v>
      </c>
      <c r="J2845">
        <v>0.72689168321200104</v>
      </c>
      <c r="K2845">
        <v>0.93160113960113999</v>
      </c>
      <c r="L2845">
        <v>0.81661266317483105</v>
      </c>
      <c r="M2845">
        <v>0.47384615384615397</v>
      </c>
      <c r="N2845">
        <v>1</v>
      </c>
      <c r="O2845">
        <v>0.624</v>
      </c>
      <c r="P2845" t="s">
        <v>7175</v>
      </c>
      <c r="Q2845" t="s">
        <v>7176</v>
      </c>
      <c r="R2845" t="s">
        <v>96</v>
      </c>
      <c r="S2845" t="s">
        <v>97</v>
      </c>
      <c r="T2845" t="s">
        <v>7177</v>
      </c>
      <c r="U2845" t="s">
        <v>7178</v>
      </c>
      <c r="V2845" t="s">
        <v>4871</v>
      </c>
      <c r="W2845" t="s">
        <v>4872</v>
      </c>
      <c r="AD2845" t="s">
        <v>941</v>
      </c>
      <c r="AE2845" t="s">
        <v>3385</v>
      </c>
      <c r="AF2845" t="e">
        <f>---MTST--FGGGAIDLGEVKARAEAQAAAEASEARRAAGGSS-IDPVVEATEANIQAEVLERSQQVPVVVQVGSARSPQSEQLRQDLSMLAQQANGSWIYAHIDAEAYPQLAQMLGVQAVPTVVAIAGARPLADFQGGQPLEALQQWTAAVVNACAGMLSGLGDQDAE----------PA----EDPRFEPALDALNAGDFDAAIAVYEDILAKEPNNAEAKAARDNARLLSRLKAHEGVDAASAIADSDASPSDVQKAFVAADFEIAAGAQQQAFDRLISALSLTAGEDKTRVKERLLELFALFEPSDPVVLTARQKMASALF</f>
        <v>#NAME?</v>
      </c>
    </row>
    <row r="2846" spans="1:32" hidden="1" x14ac:dyDescent="0.35">
      <c r="A2846">
        <v>3495</v>
      </c>
      <c r="B2846" t="s">
        <v>7174</v>
      </c>
      <c r="C2846" t="s">
        <v>72</v>
      </c>
      <c r="D2846" t="s">
        <v>60</v>
      </c>
      <c r="E2846">
        <v>999</v>
      </c>
      <c r="F2846">
        <v>5</v>
      </c>
      <c r="G2846">
        <v>5</v>
      </c>
      <c r="H2846">
        <v>1</v>
      </c>
      <c r="I2846">
        <v>1</v>
      </c>
      <c r="J2846">
        <v>0.72689168321200104</v>
      </c>
      <c r="K2846">
        <v>0.93160113960113999</v>
      </c>
      <c r="L2846">
        <v>0.81661266317483105</v>
      </c>
      <c r="M2846">
        <v>0.47384615384615397</v>
      </c>
      <c r="N2846">
        <v>1</v>
      </c>
      <c r="O2846">
        <v>0.624</v>
      </c>
      <c r="P2846" t="s">
        <v>7175</v>
      </c>
      <c r="Q2846" t="s">
        <v>7176</v>
      </c>
      <c r="R2846" t="s">
        <v>96</v>
      </c>
      <c r="S2846" t="s">
        <v>97</v>
      </c>
      <c r="T2846" t="s">
        <v>7177</v>
      </c>
      <c r="U2846" t="s">
        <v>7178</v>
      </c>
      <c r="V2846" t="s">
        <v>4871</v>
      </c>
      <c r="W2846" t="s">
        <v>4872</v>
      </c>
      <c r="AD2846" t="s">
        <v>941</v>
      </c>
      <c r="AE2846" t="s">
        <v>3385</v>
      </c>
      <c r="AF2846" t="e">
        <f>---MTTPDRFVAGAIDLGEVKARAEARAQA----SRQPAG--S-VAPTLTITQENFEHDVVRRSLQVPVIVLVGTSRSEQSEQLRADFTTLATQANLAWIFAYLDADATPELAQMLGVTGLPTVIALADGRPLADFQGGQPLEALQQWTTAVVSAVEGKLVGLSDAAAEGSDDEGAQGAPAQSTPEDPRFEPATEALNNGDFDAAIAVYDSILAQEPANAEAKAARDNARFLARISAAMADGEADPIACADAAPGDVDLALTAADAEIAAGKVEQAFDRLLAVIM----KDKERVRTRMVELFALFDAGDPRVADARARMANALF</f>
        <v>#NAME?</v>
      </c>
    </row>
    <row r="2847" spans="1:32" hidden="1" x14ac:dyDescent="0.35">
      <c r="A2847">
        <v>3496</v>
      </c>
      <c r="B2847" t="s">
        <v>7174</v>
      </c>
      <c r="C2847" t="s">
        <v>72</v>
      </c>
      <c r="D2847" t="s">
        <v>62</v>
      </c>
      <c r="E2847">
        <v>1035</v>
      </c>
      <c r="F2847">
        <v>5</v>
      </c>
      <c r="G2847">
        <v>5</v>
      </c>
      <c r="H2847">
        <v>1</v>
      </c>
      <c r="I2847">
        <v>1</v>
      </c>
      <c r="J2847">
        <v>0.72689168321200104</v>
      </c>
      <c r="K2847">
        <v>0.93160113960113999</v>
      </c>
      <c r="L2847">
        <v>0.81661266317483105</v>
      </c>
      <c r="M2847">
        <v>0.47384615384615397</v>
      </c>
      <c r="N2847">
        <v>1</v>
      </c>
      <c r="O2847">
        <v>0.624</v>
      </c>
      <c r="P2847" t="s">
        <v>7175</v>
      </c>
      <c r="Q2847" t="s">
        <v>7176</v>
      </c>
      <c r="R2847" t="s">
        <v>96</v>
      </c>
      <c r="S2847" t="s">
        <v>97</v>
      </c>
      <c r="T2847" t="s">
        <v>7177</v>
      </c>
      <c r="U2847" t="s">
        <v>7178</v>
      </c>
      <c r="V2847" t="s">
        <v>4871</v>
      </c>
      <c r="W2847" t="s">
        <v>4872</v>
      </c>
      <c r="AD2847" t="s">
        <v>941</v>
      </c>
      <c r="AE2847" t="s">
        <v>3385</v>
      </c>
      <c r="AF2847" t="e">
        <f>---MTTPDRFVAGAIDLGEVKARAEARAQA----SRQPAG--S-VAPTLTITQENFEHDVVRRSLQVPVIVLVGTSRSEQSEQLRADFTTLATQANLAWIFAYLDADATPELAQMLGVTGLPTVIALADGRPLADFQGGQPLEALQQWTTAVVSAVEGKLVGLSDAAAEGSDDEGAQGAPAQSTPEDPRFEPATEALNNGDFDAAIAVYDSILAQEPANAEAKAARDNARFLARISAAMADGEADPIACADAAPGDVDLALTAADAEIAAGKVEQAFDRLLAVIM----KDKERVRTRMVELFALFDAGDPRVADARARMANALF</f>
        <v>#NAME?</v>
      </c>
    </row>
    <row r="2848" spans="1:32" hidden="1" x14ac:dyDescent="0.35">
      <c r="A2848">
        <v>3497</v>
      </c>
      <c r="B2848" t="s">
        <v>7174</v>
      </c>
      <c r="C2848" t="s">
        <v>72</v>
      </c>
      <c r="D2848" t="s">
        <v>34</v>
      </c>
      <c r="E2848">
        <v>127</v>
      </c>
      <c r="F2848">
        <v>5</v>
      </c>
      <c r="G2848">
        <v>5</v>
      </c>
      <c r="H2848">
        <v>1</v>
      </c>
      <c r="I2848">
        <v>1</v>
      </c>
      <c r="J2848">
        <v>0.72689168321200104</v>
      </c>
      <c r="K2848">
        <v>0.93160113960113999</v>
      </c>
      <c r="L2848">
        <v>0.81661266317483105</v>
      </c>
      <c r="M2848">
        <v>0.47384615384615397</v>
      </c>
      <c r="N2848">
        <v>1</v>
      </c>
      <c r="O2848">
        <v>0.624</v>
      </c>
      <c r="P2848" t="s">
        <v>7175</v>
      </c>
      <c r="Q2848" t="s">
        <v>7176</v>
      </c>
      <c r="R2848" t="s">
        <v>96</v>
      </c>
      <c r="S2848" t="s">
        <v>97</v>
      </c>
      <c r="T2848" t="s">
        <v>7177</v>
      </c>
      <c r="U2848" t="s">
        <v>7178</v>
      </c>
      <c r="V2848" t="s">
        <v>4871</v>
      </c>
      <c r="W2848" t="s">
        <v>4872</v>
      </c>
      <c r="AD2848" t="s">
        <v>941</v>
      </c>
      <c r="AE2848" t="s">
        <v>3385</v>
      </c>
      <c r="AF2848" t="s">
        <v>7179</v>
      </c>
    </row>
    <row r="2849" spans="1:32" hidden="1" x14ac:dyDescent="0.35">
      <c r="A2849">
        <v>3498</v>
      </c>
      <c r="B2849" t="s">
        <v>7174</v>
      </c>
      <c r="C2849" t="s">
        <v>72</v>
      </c>
      <c r="D2849" t="s">
        <v>45</v>
      </c>
      <c r="E2849">
        <v>1389</v>
      </c>
      <c r="F2849">
        <v>5</v>
      </c>
      <c r="G2849">
        <v>5</v>
      </c>
      <c r="H2849">
        <v>1</v>
      </c>
      <c r="I2849">
        <v>1</v>
      </c>
      <c r="J2849">
        <v>0.72689168321200104</v>
      </c>
      <c r="K2849">
        <v>0.93160113960113999</v>
      </c>
      <c r="L2849">
        <v>0.81661266317483105</v>
      </c>
      <c r="M2849">
        <v>0.47384615384615397</v>
      </c>
      <c r="N2849">
        <v>1</v>
      </c>
      <c r="O2849">
        <v>0.624</v>
      </c>
      <c r="P2849" t="s">
        <v>7175</v>
      </c>
      <c r="Q2849" t="s">
        <v>7176</v>
      </c>
      <c r="R2849" t="s">
        <v>96</v>
      </c>
      <c r="S2849" t="s">
        <v>97</v>
      </c>
      <c r="T2849" t="s">
        <v>7177</v>
      </c>
      <c r="U2849" t="s">
        <v>7178</v>
      </c>
      <c r="V2849" t="s">
        <v>4871</v>
      </c>
      <c r="W2849" t="s">
        <v>4872</v>
      </c>
      <c r="AD2849" t="s">
        <v>941</v>
      </c>
      <c r="AE2849" t="s">
        <v>3385</v>
      </c>
      <c r="AF2849" t="s">
        <v>7180</v>
      </c>
    </row>
    <row r="2850" spans="1:32" hidden="1" x14ac:dyDescent="0.35">
      <c r="A2850">
        <v>3559</v>
      </c>
      <c r="B2850" t="s">
        <v>7308</v>
      </c>
      <c r="C2850" t="s">
        <v>72</v>
      </c>
      <c r="D2850" t="s">
        <v>58</v>
      </c>
      <c r="E2850">
        <v>1696</v>
      </c>
      <c r="F2850">
        <v>5</v>
      </c>
      <c r="G2850">
        <v>5</v>
      </c>
      <c r="H2850">
        <v>1</v>
      </c>
      <c r="I2850">
        <v>1</v>
      </c>
      <c r="J2850">
        <v>0.80589670917965694</v>
      </c>
      <c r="K2850">
        <v>0.859909690309696</v>
      </c>
      <c r="L2850">
        <v>0.83202752711805905</v>
      </c>
      <c r="M2850">
        <v>0.58441558441558406</v>
      </c>
      <c r="N2850">
        <v>0.99800199800199796</v>
      </c>
      <c r="O2850">
        <v>0.70019980019979999</v>
      </c>
      <c r="P2850" t="s">
        <v>7309</v>
      </c>
      <c r="Q2850" t="s">
        <v>7310</v>
      </c>
      <c r="R2850" t="s">
        <v>96</v>
      </c>
      <c r="S2850" t="s">
        <v>97</v>
      </c>
      <c r="T2850" t="s">
        <v>7311</v>
      </c>
      <c r="U2850" t="s">
        <v>7312</v>
      </c>
      <c r="V2850" t="s">
        <v>7313</v>
      </c>
      <c r="W2850" t="s">
        <v>7314</v>
      </c>
      <c r="AD2850" t="s">
        <v>7315</v>
      </c>
      <c r="AE2850" t="s">
        <v>7316</v>
      </c>
      <c r="AF2850" t="s">
        <v>7317</v>
      </c>
    </row>
    <row r="2851" spans="1:32" hidden="1" x14ac:dyDescent="0.35">
      <c r="A2851">
        <v>3560</v>
      </c>
      <c r="B2851" t="s">
        <v>7308</v>
      </c>
      <c r="C2851" t="s">
        <v>72</v>
      </c>
      <c r="D2851" t="s">
        <v>60</v>
      </c>
      <c r="E2851">
        <v>2295</v>
      </c>
      <c r="F2851">
        <v>5</v>
      </c>
      <c r="G2851">
        <v>5</v>
      </c>
      <c r="H2851">
        <v>1</v>
      </c>
      <c r="I2851">
        <v>1</v>
      </c>
      <c r="J2851">
        <v>0.80589670917965694</v>
      </c>
      <c r="K2851">
        <v>0.859909690309696</v>
      </c>
      <c r="L2851">
        <v>0.83202752711805905</v>
      </c>
      <c r="M2851">
        <v>0.58441558441558406</v>
      </c>
      <c r="N2851">
        <v>0.99800199800199796</v>
      </c>
      <c r="O2851">
        <v>0.70019980019979999</v>
      </c>
      <c r="P2851" t="s">
        <v>7309</v>
      </c>
      <c r="Q2851" t="s">
        <v>7310</v>
      </c>
      <c r="R2851" t="s">
        <v>96</v>
      </c>
      <c r="S2851" t="s">
        <v>97</v>
      </c>
      <c r="T2851" t="s">
        <v>7311</v>
      </c>
      <c r="U2851" t="s">
        <v>7312</v>
      </c>
      <c r="V2851" t="s">
        <v>7313</v>
      </c>
      <c r="W2851" t="s">
        <v>7314</v>
      </c>
      <c r="AD2851" t="s">
        <v>7315</v>
      </c>
      <c r="AE2851" t="s">
        <v>7316</v>
      </c>
      <c r="AF2851" t="s">
        <v>7318</v>
      </c>
    </row>
    <row r="2852" spans="1:32" hidden="1" x14ac:dyDescent="0.35">
      <c r="A2852">
        <v>3561</v>
      </c>
      <c r="B2852" t="s">
        <v>7308</v>
      </c>
      <c r="C2852" t="s">
        <v>72</v>
      </c>
      <c r="D2852" t="s">
        <v>62</v>
      </c>
      <c r="E2852">
        <v>2324</v>
      </c>
      <c r="F2852">
        <v>5</v>
      </c>
      <c r="G2852">
        <v>5</v>
      </c>
      <c r="H2852">
        <v>1</v>
      </c>
      <c r="I2852">
        <v>1</v>
      </c>
      <c r="J2852">
        <v>0.80589670917965694</v>
      </c>
      <c r="K2852">
        <v>0.859909690309696</v>
      </c>
      <c r="L2852">
        <v>0.83202752711805905</v>
      </c>
      <c r="M2852">
        <v>0.58441558441558406</v>
      </c>
      <c r="N2852">
        <v>0.99800199800199796</v>
      </c>
      <c r="O2852">
        <v>0.70019980019979999</v>
      </c>
      <c r="P2852" t="s">
        <v>7309</v>
      </c>
      <c r="Q2852" t="s">
        <v>7310</v>
      </c>
      <c r="R2852" t="s">
        <v>96</v>
      </c>
      <c r="S2852" t="s">
        <v>97</v>
      </c>
      <c r="T2852" t="s">
        <v>7311</v>
      </c>
      <c r="U2852" t="s">
        <v>7312</v>
      </c>
      <c r="V2852" t="s">
        <v>7313</v>
      </c>
      <c r="W2852" t="s">
        <v>7314</v>
      </c>
      <c r="AD2852" t="s">
        <v>7315</v>
      </c>
      <c r="AE2852" t="s">
        <v>7316</v>
      </c>
      <c r="AF2852" t="s">
        <v>7319</v>
      </c>
    </row>
    <row r="2853" spans="1:32" hidden="1" x14ac:dyDescent="0.35">
      <c r="A2853">
        <v>3562</v>
      </c>
      <c r="B2853" t="s">
        <v>7308</v>
      </c>
      <c r="C2853" t="s">
        <v>72</v>
      </c>
      <c r="D2853" t="s">
        <v>34</v>
      </c>
      <c r="E2853">
        <v>1498</v>
      </c>
      <c r="F2853">
        <v>5</v>
      </c>
      <c r="G2853">
        <v>5</v>
      </c>
      <c r="H2853">
        <v>1</v>
      </c>
      <c r="I2853">
        <v>1</v>
      </c>
      <c r="J2853">
        <v>0.80589670917965694</v>
      </c>
      <c r="K2853">
        <v>0.859909690309696</v>
      </c>
      <c r="L2853">
        <v>0.83202752711805905</v>
      </c>
      <c r="M2853">
        <v>0.58441558441558406</v>
      </c>
      <c r="N2853">
        <v>0.99800199800199796</v>
      </c>
      <c r="O2853">
        <v>0.70019980019979999</v>
      </c>
      <c r="P2853" t="s">
        <v>7309</v>
      </c>
      <c r="Q2853" t="s">
        <v>7310</v>
      </c>
      <c r="R2853" t="s">
        <v>96</v>
      </c>
      <c r="S2853" t="s">
        <v>97</v>
      </c>
      <c r="T2853" t="s">
        <v>7311</v>
      </c>
      <c r="U2853" t="s">
        <v>7312</v>
      </c>
      <c r="V2853" t="s">
        <v>7313</v>
      </c>
      <c r="W2853" t="s">
        <v>7314</v>
      </c>
      <c r="AD2853" t="s">
        <v>7315</v>
      </c>
      <c r="AE2853" t="s">
        <v>7316</v>
      </c>
      <c r="AF2853" t="s">
        <v>7320</v>
      </c>
    </row>
    <row r="2854" spans="1:32" hidden="1" x14ac:dyDescent="0.35">
      <c r="A2854">
        <v>3563</v>
      </c>
      <c r="B2854" t="s">
        <v>7308</v>
      </c>
      <c r="C2854" t="s">
        <v>72</v>
      </c>
      <c r="D2854" t="s">
        <v>45</v>
      </c>
      <c r="E2854">
        <v>248</v>
      </c>
      <c r="F2854">
        <v>5</v>
      </c>
      <c r="G2854">
        <v>5</v>
      </c>
      <c r="H2854">
        <v>1</v>
      </c>
      <c r="I2854">
        <v>1</v>
      </c>
      <c r="J2854">
        <v>0.80589670917965694</v>
      </c>
      <c r="K2854">
        <v>0.859909690309696</v>
      </c>
      <c r="L2854">
        <v>0.83202752711805905</v>
      </c>
      <c r="M2854">
        <v>0.58441558441558406</v>
      </c>
      <c r="N2854">
        <v>0.99800199800199796</v>
      </c>
      <c r="O2854">
        <v>0.70019980019979999</v>
      </c>
      <c r="P2854" t="s">
        <v>7309</v>
      </c>
      <c r="Q2854" t="s">
        <v>7310</v>
      </c>
      <c r="R2854" t="s">
        <v>96</v>
      </c>
      <c r="S2854" t="s">
        <v>97</v>
      </c>
      <c r="T2854" t="s">
        <v>7311</v>
      </c>
      <c r="U2854" t="s">
        <v>7312</v>
      </c>
      <c r="V2854" t="s">
        <v>7313</v>
      </c>
      <c r="W2854" t="s">
        <v>7314</v>
      </c>
      <c r="AD2854" t="s">
        <v>7315</v>
      </c>
      <c r="AE2854" t="s">
        <v>7316</v>
      </c>
      <c r="AF2854" t="s">
        <v>7321</v>
      </c>
    </row>
    <row r="2855" spans="1:32" hidden="1" x14ac:dyDescent="0.35">
      <c r="A2855">
        <v>3579</v>
      </c>
      <c r="B2855" t="s">
        <v>7355</v>
      </c>
      <c r="C2855" t="s">
        <v>72</v>
      </c>
      <c r="D2855" t="s">
        <v>58</v>
      </c>
      <c r="E2855">
        <v>1481</v>
      </c>
      <c r="F2855">
        <v>5</v>
      </c>
      <c r="G2855">
        <v>5</v>
      </c>
      <c r="H2855">
        <v>1</v>
      </c>
      <c r="I2855">
        <v>1</v>
      </c>
      <c r="J2855">
        <v>0.72397476340694</v>
      </c>
      <c r="K2855">
        <v>0.96726317892513403</v>
      </c>
      <c r="L2855">
        <v>0.82812017586236197</v>
      </c>
      <c r="M2855">
        <v>0.47712418300653597</v>
      </c>
      <c r="N2855">
        <v>0.99782135076252698</v>
      </c>
      <c r="O2855">
        <v>0.62156862745097996</v>
      </c>
      <c r="P2855" t="s">
        <v>7356</v>
      </c>
      <c r="Q2855" t="s">
        <v>7357</v>
      </c>
      <c r="R2855" t="s">
        <v>96</v>
      </c>
      <c r="S2855" t="s">
        <v>97</v>
      </c>
      <c r="T2855" t="s">
        <v>7358</v>
      </c>
      <c r="U2855" t="s">
        <v>7359</v>
      </c>
      <c r="V2855" t="s">
        <v>7360</v>
      </c>
      <c r="W2855" t="s">
        <v>7361</v>
      </c>
      <c r="AD2855" t="s">
        <v>410</v>
      </c>
      <c r="AE2855" t="s">
        <v>1637</v>
      </c>
      <c r="AF2855" t="s">
        <v>7362</v>
      </c>
    </row>
    <row r="2856" spans="1:32" hidden="1" x14ac:dyDescent="0.35">
      <c r="A2856">
        <v>3580</v>
      </c>
      <c r="B2856" t="s">
        <v>7355</v>
      </c>
      <c r="C2856" t="s">
        <v>72</v>
      </c>
      <c r="D2856" t="s">
        <v>60</v>
      </c>
      <c r="E2856">
        <v>1994</v>
      </c>
      <c r="F2856">
        <v>5</v>
      </c>
      <c r="G2856">
        <v>5</v>
      </c>
      <c r="H2856">
        <v>1</v>
      </c>
      <c r="I2856">
        <v>1</v>
      </c>
      <c r="J2856">
        <v>0.72397476340694</v>
      </c>
      <c r="K2856">
        <v>0.96726317892513403</v>
      </c>
      <c r="L2856">
        <v>0.82812017586236197</v>
      </c>
      <c r="M2856">
        <v>0.47712418300653597</v>
      </c>
      <c r="N2856">
        <v>0.99782135076252698</v>
      </c>
      <c r="O2856">
        <v>0.62156862745097996</v>
      </c>
      <c r="P2856" t="s">
        <v>7356</v>
      </c>
      <c r="Q2856" t="s">
        <v>7357</v>
      </c>
      <c r="R2856" t="s">
        <v>96</v>
      </c>
      <c r="S2856" t="s">
        <v>97</v>
      </c>
      <c r="T2856" t="s">
        <v>7358</v>
      </c>
      <c r="U2856" t="s">
        <v>7359</v>
      </c>
      <c r="V2856" t="s">
        <v>7360</v>
      </c>
      <c r="W2856" t="s">
        <v>7361</v>
      </c>
      <c r="AD2856" t="s">
        <v>410</v>
      </c>
      <c r="AE2856" t="s">
        <v>1637</v>
      </c>
      <c r="AF2856" t="s">
        <v>7363</v>
      </c>
    </row>
    <row r="2857" spans="1:32" hidden="1" x14ac:dyDescent="0.35">
      <c r="A2857">
        <v>3581</v>
      </c>
      <c r="B2857" t="s">
        <v>7355</v>
      </c>
      <c r="C2857" t="s">
        <v>72</v>
      </c>
      <c r="D2857" t="s">
        <v>62</v>
      </c>
      <c r="E2857">
        <v>2035</v>
      </c>
      <c r="F2857">
        <v>5</v>
      </c>
      <c r="G2857">
        <v>5</v>
      </c>
      <c r="H2857">
        <v>1</v>
      </c>
      <c r="I2857">
        <v>1</v>
      </c>
      <c r="J2857">
        <v>0.72397476340694</v>
      </c>
      <c r="K2857">
        <v>0.96726317892513403</v>
      </c>
      <c r="L2857">
        <v>0.82812017586236197</v>
      </c>
      <c r="M2857">
        <v>0.47712418300653597</v>
      </c>
      <c r="N2857">
        <v>0.99782135076252698</v>
      </c>
      <c r="O2857">
        <v>0.62156862745097996</v>
      </c>
      <c r="P2857" t="s">
        <v>7356</v>
      </c>
      <c r="Q2857" t="s">
        <v>7357</v>
      </c>
      <c r="R2857" t="s">
        <v>96</v>
      </c>
      <c r="S2857" t="s">
        <v>97</v>
      </c>
      <c r="T2857" t="s">
        <v>7358</v>
      </c>
      <c r="U2857" t="s">
        <v>7359</v>
      </c>
      <c r="V2857" t="s">
        <v>7360</v>
      </c>
      <c r="W2857" t="s">
        <v>7361</v>
      </c>
      <c r="AD2857" t="s">
        <v>410</v>
      </c>
      <c r="AE2857" t="s">
        <v>1637</v>
      </c>
      <c r="AF2857" t="s">
        <v>7364</v>
      </c>
    </row>
    <row r="2858" spans="1:32" hidden="1" x14ac:dyDescent="0.35">
      <c r="A2858">
        <v>3582</v>
      </c>
      <c r="B2858" t="s">
        <v>7355</v>
      </c>
      <c r="C2858" t="s">
        <v>72</v>
      </c>
      <c r="D2858" t="s">
        <v>34</v>
      </c>
      <c r="E2858">
        <v>2348</v>
      </c>
      <c r="F2858">
        <v>5</v>
      </c>
      <c r="G2858">
        <v>5</v>
      </c>
      <c r="H2858">
        <v>1</v>
      </c>
      <c r="I2858">
        <v>1</v>
      </c>
      <c r="J2858">
        <v>0.72397476340694</v>
      </c>
      <c r="K2858">
        <v>0.96726317892513403</v>
      </c>
      <c r="L2858">
        <v>0.82812017586236197</v>
      </c>
      <c r="M2858">
        <v>0.47712418300653597</v>
      </c>
      <c r="N2858">
        <v>0.99782135076252698</v>
      </c>
      <c r="O2858">
        <v>0.62156862745097996</v>
      </c>
      <c r="P2858" t="s">
        <v>7356</v>
      </c>
      <c r="Q2858" t="s">
        <v>7357</v>
      </c>
      <c r="R2858" t="s">
        <v>96</v>
      </c>
      <c r="S2858" t="s">
        <v>97</v>
      </c>
      <c r="T2858" t="s">
        <v>7358</v>
      </c>
      <c r="U2858" t="s">
        <v>7359</v>
      </c>
      <c r="V2858" t="s">
        <v>7360</v>
      </c>
      <c r="W2858" t="s">
        <v>7361</v>
      </c>
      <c r="AD2858" t="s">
        <v>410</v>
      </c>
      <c r="AE2858" t="s">
        <v>1637</v>
      </c>
      <c r="AF2858" t="s">
        <v>7365</v>
      </c>
    </row>
    <row r="2859" spans="1:32" hidden="1" x14ac:dyDescent="0.35">
      <c r="A2859">
        <v>3583</v>
      </c>
      <c r="B2859" t="s">
        <v>7355</v>
      </c>
      <c r="C2859" t="s">
        <v>72</v>
      </c>
      <c r="D2859" t="s">
        <v>45</v>
      </c>
      <c r="E2859">
        <v>531</v>
      </c>
      <c r="F2859">
        <v>5</v>
      </c>
      <c r="G2859">
        <v>5</v>
      </c>
      <c r="H2859">
        <v>1</v>
      </c>
      <c r="I2859">
        <v>1</v>
      </c>
      <c r="J2859">
        <v>0.72397476340694</v>
      </c>
      <c r="K2859">
        <v>0.96726317892513403</v>
      </c>
      <c r="L2859">
        <v>0.82812017586236197</v>
      </c>
      <c r="M2859">
        <v>0.47712418300653597</v>
      </c>
      <c r="N2859">
        <v>0.99782135076252698</v>
      </c>
      <c r="O2859">
        <v>0.62156862745097996</v>
      </c>
      <c r="P2859" t="s">
        <v>7356</v>
      </c>
      <c r="Q2859" t="s">
        <v>7357</v>
      </c>
      <c r="R2859" t="s">
        <v>96</v>
      </c>
      <c r="S2859" t="s">
        <v>97</v>
      </c>
      <c r="T2859" t="s">
        <v>7358</v>
      </c>
      <c r="U2859" t="s">
        <v>7359</v>
      </c>
      <c r="V2859" t="s">
        <v>7360</v>
      </c>
      <c r="W2859" t="s">
        <v>7361</v>
      </c>
      <c r="AD2859" t="s">
        <v>410</v>
      </c>
      <c r="AE2859" t="s">
        <v>1637</v>
      </c>
      <c r="AF2859" t="s">
        <v>7366</v>
      </c>
    </row>
    <row r="2860" spans="1:32" hidden="1" x14ac:dyDescent="0.35">
      <c r="A2860">
        <v>3724</v>
      </c>
      <c r="B2860" t="s">
        <v>7685</v>
      </c>
      <c r="C2860" t="s">
        <v>72</v>
      </c>
      <c r="D2860" t="s">
        <v>58</v>
      </c>
      <c r="E2860">
        <v>465</v>
      </c>
      <c r="F2860">
        <v>5</v>
      </c>
      <c r="G2860">
        <v>5</v>
      </c>
      <c r="H2860">
        <v>1</v>
      </c>
      <c r="I2860">
        <v>1</v>
      </c>
      <c r="J2860">
        <v>0.73137254901960802</v>
      </c>
      <c r="K2860">
        <v>0.79686293436293398</v>
      </c>
      <c r="L2860">
        <v>0.76271449244759904</v>
      </c>
      <c r="M2860">
        <v>0.44642857142857101</v>
      </c>
      <c r="N2860">
        <v>0.99107142857142905</v>
      </c>
      <c r="O2860">
        <v>0.62589285714285703</v>
      </c>
      <c r="P2860" t="s">
        <v>1631</v>
      </c>
      <c r="Q2860" t="s">
        <v>1632</v>
      </c>
      <c r="R2860" t="s">
        <v>96</v>
      </c>
      <c r="S2860" t="s">
        <v>97</v>
      </c>
      <c r="T2860" t="s">
        <v>7686</v>
      </c>
      <c r="U2860" t="s">
        <v>7687</v>
      </c>
      <c r="V2860" t="s">
        <v>1635</v>
      </c>
      <c r="W2860" t="s">
        <v>1636</v>
      </c>
      <c r="AD2860" t="s">
        <v>219</v>
      </c>
      <c r="AE2860" t="s">
        <v>7688</v>
      </c>
      <c r="AF2860" t="s">
        <v>7689</v>
      </c>
    </row>
    <row r="2861" spans="1:32" hidden="1" x14ac:dyDescent="0.35">
      <c r="A2861">
        <v>3725</v>
      </c>
      <c r="B2861" t="s">
        <v>7685</v>
      </c>
      <c r="C2861" t="s">
        <v>72</v>
      </c>
      <c r="D2861" t="s">
        <v>60</v>
      </c>
      <c r="E2861">
        <v>736</v>
      </c>
      <c r="F2861">
        <v>5</v>
      </c>
      <c r="G2861">
        <v>5</v>
      </c>
      <c r="H2861">
        <v>1</v>
      </c>
      <c r="I2861">
        <v>1</v>
      </c>
      <c r="J2861">
        <v>0.73137254901960802</v>
      </c>
      <c r="K2861">
        <v>0.79686293436293398</v>
      </c>
      <c r="L2861">
        <v>0.76271449244759904</v>
      </c>
      <c r="M2861">
        <v>0.44642857142857101</v>
      </c>
      <c r="N2861">
        <v>0.99107142857142905</v>
      </c>
      <c r="O2861">
        <v>0.62589285714285703</v>
      </c>
      <c r="P2861" t="s">
        <v>1631</v>
      </c>
      <c r="Q2861" t="s">
        <v>1632</v>
      </c>
      <c r="R2861" t="s">
        <v>96</v>
      </c>
      <c r="S2861" t="s">
        <v>97</v>
      </c>
      <c r="T2861" t="s">
        <v>7686</v>
      </c>
      <c r="U2861" t="s">
        <v>7687</v>
      </c>
      <c r="V2861" t="s">
        <v>1635</v>
      </c>
      <c r="W2861" t="s">
        <v>1636</v>
      </c>
      <c r="AD2861" t="s">
        <v>219</v>
      </c>
      <c r="AE2861" t="s">
        <v>7688</v>
      </c>
      <c r="AF2861" t="s">
        <v>7690</v>
      </c>
    </row>
    <row r="2862" spans="1:32" hidden="1" x14ac:dyDescent="0.35">
      <c r="A2862">
        <v>3726</v>
      </c>
      <c r="B2862" t="s">
        <v>7685</v>
      </c>
      <c r="C2862" t="s">
        <v>72</v>
      </c>
      <c r="D2862" t="s">
        <v>62</v>
      </c>
      <c r="E2862">
        <v>768</v>
      </c>
      <c r="F2862">
        <v>5</v>
      </c>
      <c r="G2862">
        <v>5</v>
      </c>
      <c r="H2862">
        <v>1</v>
      </c>
      <c r="I2862">
        <v>1</v>
      </c>
      <c r="J2862">
        <v>0.73137254901960802</v>
      </c>
      <c r="K2862">
        <v>0.79686293436293398</v>
      </c>
      <c r="L2862">
        <v>0.76271449244759904</v>
      </c>
      <c r="M2862">
        <v>0.44642857142857101</v>
      </c>
      <c r="N2862">
        <v>0.99107142857142905</v>
      </c>
      <c r="O2862">
        <v>0.62589285714285703</v>
      </c>
      <c r="P2862" t="s">
        <v>1631</v>
      </c>
      <c r="Q2862" t="s">
        <v>1632</v>
      </c>
      <c r="R2862" t="s">
        <v>96</v>
      </c>
      <c r="S2862" t="s">
        <v>97</v>
      </c>
      <c r="T2862" t="s">
        <v>7686</v>
      </c>
      <c r="U2862" t="s">
        <v>7687</v>
      </c>
      <c r="V2862" t="s">
        <v>1635</v>
      </c>
      <c r="W2862" t="s">
        <v>1636</v>
      </c>
      <c r="AD2862" t="s">
        <v>219</v>
      </c>
      <c r="AE2862" t="s">
        <v>7688</v>
      </c>
      <c r="AF2862" t="s">
        <v>7691</v>
      </c>
    </row>
    <row r="2863" spans="1:32" hidden="1" x14ac:dyDescent="0.35">
      <c r="A2863">
        <v>3727</v>
      </c>
      <c r="B2863" t="s">
        <v>7685</v>
      </c>
      <c r="C2863" t="s">
        <v>72</v>
      </c>
      <c r="D2863" t="s">
        <v>34</v>
      </c>
      <c r="E2863">
        <v>402</v>
      </c>
      <c r="F2863">
        <v>5</v>
      </c>
      <c r="G2863">
        <v>5</v>
      </c>
      <c r="H2863">
        <v>1</v>
      </c>
      <c r="I2863">
        <v>1</v>
      </c>
      <c r="J2863">
        <v>0.73137254901960802</v>
      </c>
      <c r="K2863">
        <v>0.79686293436293398</v>
      </c>
      <c r="L2863">
        <v>0.76271449244759904</v>
      </c>
      <c r="M2863">
        <v>0.44642857142857101</v>
      </c>
      <c r="N2863">
        <v>0.99107142857142905</v>
      </c>
      <c r="O2863">
        <v>0.62589285714285703</v>
      </c>
      <c r="P2863" t="s">
        <v>1631</v>
      </c>
      <c r="Q2863" t="s">
        <v>1632</v>
      </c>
      <c r="R2863" t="s">
        <v>96</v>
      </c>
      <c r="S2863" t="s">
        <v>97</v>
      </c>
      <c r="T2863" t="s">
        <v>7686</v>
      </c>
      <c r="U2863" t="s">
        <v>7687</v>
      </c>
      <c r="V2863" t="s">
        <v>1635</v>
      </c>
      <c r="W2863" t="s">
        <v>1636</v>
      </c>
      <c r="AD2863" t="s">
        <v>219</v>
      </c>
      <c r="AE2863" t="s">
        <v>7688</v>
      </c>
      <c r="AF2863" t="e">
        <f>------------------MVFVIPDMTNDLVTLYVTSWCPFCQRLISALDDAAVPYAAIDVDHDAEAARWVESVNNGNRVVPTVLYSDGTHATNPPAKVVARKYARLAAAKA</f>
        <v>#NAME?</v>
      </c>
    </row>
    <row r="2864" spans="1:32" hidden="1" x14ac:dyDescent="0.35">
      <c r="A2864">
        <v>3728</v>
      </c>
      <c r="B2864" t="s">
        <v>7685</v>
      </c>
      <c r="C2864" t="s">
        <v>72</v>
      </c>
      <c r="D2864" t="s">
        <v>45</v>
      </c>
      <c r="E2864">
        <v>1663</v>
      </c>
      <c r="F2864">
        <v>5</v>
      </c>
      <c r="G2864">
        <v>5</v>
      </c>
      <c r="H2864">
        <v>1</v>
      </c>
      <c r="I2864">
        <v>1</v>
      </c>
      <c r="J2864">
        <v>0.73137254901960802</v>
      </c>
      <c r="K2864">
        <v>0.79686293436293398</v>
      </c>
      <c r="L2864">
        <v>0.76271449244759904</v>
      </c>
      <c r="M2864">
        <v>0.44642857142857101</v>
      </c>
      <c r="N2864">
        <v>0.99107142857142905</v>
      </c>
      <c r="O2864">
        <v>0.62589285714285703</v>
      </c>
      <c r="P2864" t="s">
        <v>1631</v>
      </c>
      <c r="Q2864" t="s">
        <v>1632</v>
      </c>
      <c r="R2864" t="s">
        <v>96</v>
      </c>
      <c r="S2864" t="s">
        <v>97</v>
      </c>
      <c r="T2864" t="s">
        <v>7686</v>
      </c>
      <c r="U2864" t="s">
        <v>7687</v>
      </c>
      <c r="V2864" t="s">
        <v>1635</v>
      </c>
      <c r="W2864" t="s">
        <v>1636</v>
      </c>
      <c r="AD2864" t="s">
        <v>219</v>
      </c>
      <c r="AE2864" t="s">
        <v>7688</v>
      </c>
      <c r="AF2864" t="e">
        <f>------------------MVFVIPDMTNDLVTLYVTSWCPFCQRLISALDDAAVPYAAIDVDHDAEAARWVESVNNGNRVVPTVLYSDGTHATNPPAKVVARKYARLAATKA</f>
        <v>#NAME?</v>
      </c>
    </row>
    <row r="2865" spans="1:32" hidden="1" x14ac:dyDescent="0.35">
      <c r="A2865">
        <v>3734</v>
      </c>
      <c r="B2865" t="s">
        <v>7701</v>
      </c>
      <c r="C2865" t="s">
        <v>72</v>
      </c>
      <c r="D2865" t="s">
        <v>58</v>
      </c>
      <c r="E2865">
        <v>53</v>
      </c>
      <c r="F2865">
        <v>5</v>
      </c>
      <c r="G2865">
        <v>5</v>
      </c>
      <c r="H2865">
        <v>1</v>
      </c>
      <c r="I2865">
        <v>1</v>
      </c>
      <c r="J2865">
        <v>0.74384680670485903</v>
      </c>
      <c r="K2865">
        <v>0.91364919566266301</v>
      </c>
      <c r="L2865">
        <v>0.82005028750765196</v>
      </c>
      <c r="M2865">
        <v>0.51230101302460196</v>
      </c>
      <c r="N2865">
        <v>0.99710564399421098</v>
      </c>
      <c r="O2865">
        <v>0.66526772793053601</v>
      </c>
      <c r="P2865" t="s">
        <v>7702</v>
      </c>
      <c r="Q2865" t="s">
        <v>7703</v>
      </c>
      <c r="R2865" t="s">
        <v>96</v>
      </c>
      <c r="S2865" t="s">
        <v>97</v>
      </c>
      <c r="T2865" t="s">
        <v>7704</v>
      </c>
      <c r="U2865" t="s">
        <v>7705</v>
      </c>
      <c r="V2865" t="s">
        <v>7706</v>
      </c>
      <c r="W2865" t="s">
        <v>7707</v>
      </c>
      <c r="AD2865" t="s">
        <v>7708</v>
      </c>
      <c r="AE2865" t="s">
        <v>7709</v>
      </c>
      <c r="AF2865" t="s">
        <v>7710</v>
      </c>
    </row>
    <row r="2866" spans="1:32" hidden="1" x14ac:dyDescent="0.35">
      <c r="A2866">
        <v>3735</v>
      </c>
      <c r="B2866" t="s">
        <v>7701</v>
      </c>
      <c r="C2866" t="s">
        <v>72</v>
      </c>
      <c r="D2866" t="s">
        <v>60</v>
      </c>
      <c r="E2866">
        <v>97</v>
      </c>
      <c r="F2866">
        <v>5</v>
      </c>
      <c r="G2866">
        <v>5</v>
      </c>
      <c r="H2866">
        <v>1</v>
      </c>
      <c r="I2866">
        <v>1</v>
      </c>
      <c r="J2866">
        <v>0.74384680670485903</v>
      </c>
      <c r="K2866">
        <v>0.91364919566266301</v>
      </c>
      <c r="L2866">
        <v>0.82005028750765196</v>
      </c>
      <c r="M2866">
        <v>0.51230101302460196</v>
      </c>
      <c r="N2866">
        <v>0.99710564399421098</v>
      </c>
      <c r="O2866">
        <v>0.66526772793053601</v>
      </c>
      <c r="P2866" t="s">
        <v>7702</v>
      </c>
      <c r="Q2866" t="s">
        <v>7703</v>
      </c>
      <c r="R2866" t="s">
        <v>96</v>
      </c>
      <c r="S2866" t="s">
        <v>97</v>
      </c>
      <c r="T2866" t="s">
        <v>7704</v>
      </c>
      <c r="U2866" t="s">
        <v>7705</v>
      </c>
      <c r="V2866" t="s">
        <v>7706</v>
      </c>
      <c r="W2866" t="s">
        <v>7707</v>
      </c>
      <c r="AD2866" t="s">
        <v>7708</v>
      </c>
      <c r="AE2866" t="s">
        <v>7709</v>
      </c>
      <c r="AF2866" t="s">
        <v>7711</v>
      </c>
    </row>
    <row r="2867" spans="1:32" hidden="1" x14ac:dyDescent="0.35">
      <c r="A2867">
        <v>3736</v>
      </c>
      <c r="B2867" t="s">
        <v>7701</v>
      </c>
      <c r="C2867" t="s">
        <v>72</v>
      </c>
      <c r="D2867" t="s">
        <v>62</v>
      </c>
      <c r="E2867">
        <v>169</v>
      </c>
      <c r="F2867">
        <v>5</v>
      </c>
      <c r="G2867">
        <v>5</v>
      </c>
      <c r="H2867">
        <v>1</v>
      </c>
      <c r="I2867">
        <v>1</v>
      </c>
      <c r="J2867">
        <v>0.74384680670485903</v>
      </c>
      <c r="K2867">
        <v>0.91364919566266301</v>
      </c>
      <c r="L2867">
        <v>0.82005028750765196</v>
      </c>
      <c r="M2867">
        <v>0.51230101302460196</v>
      </c>
      <c r="N2867">
        <v>0.99710564399421098</v>
      </c>
      <c r="O2867">
        <v>0.66526772793053601</v>
      </c>
      <c r="P2867" t="s">
        <v>7702</v>
      </c>
      <c r="Q2867" t="s">
        <v>7703</v>
      </c>
      <c r="R2867" t="s">
        <v>96</v>
      </c>
      <c r="S2867" t="s">
        <v>97</v>
      </c>
      <c r="T2867" t="s">
        <v>7704</v>
      </c>
      <c r="U2867" t="s">
        <v>7705</v>
      </c>
      <c r="V2867" t="s">
        <v>7706</v>
      </c>
      <c r="W2867" t="s">
        <v>7707</v>
      </c>
      <c r="AD2867" t="s">
        <v>7708</v>
      </c>
      <c r="AE2867" t="s">
        <v>7709</v>
      </c>
      <c r="AF2867" t="s">
        <v>7712</v>
      </c>
    </row>
    <row r="2868" spans="1:32" hidden="1" x14ac:dyDescent="0.35">
      <c r="A2868">
        <v>3737</v>
      </c>
      <c r="B2868" t="s">
        <v>7701</v>
      </c>
      <c r="C2868" t="s">
        <v>72</v>
      </c>
      <c r="D2868" t="s">
        <v>34</v>
      </c>
      <c r="E2868">
        <v>973</v>
      </c>
      <c r="F2868">
        <v>5</v>
      </c>
      <c r="G2868">
        <v>5</v>
      </c>
      <c r="H2868">
        <v>1</v>
      </c>
      <c r="I2868">
        <v>1</v>
      </c>
      <c r="J2868">
        <v>0.74384680670485903</v>
      </c>
      <c r="K2868">
        <v>0.91364919566266301</v>
      </c>
      <c r="L2868">
        <v>0.82005028750765196</v>
      </c>
      <c r="M2868">
        <v>0.51230101302460196</v>
      </c>
      <c r="N2868">
        <v>0.99710564399421098</v>
      </c>
      <c r="O2868">
        <v>0.66526772793053601</v>
      </c>
      <c r="P2868" t="s">
        <v>7702</v>
      </c>
      <c r="Q2868" t="s">
        <v>7703</v>
      </c>
      <c r="R2868" t="s">
        <v>96</v>
      </c>
      <c r="S2868" t="s">
        <v>97</v>
      </c>
      <c r="T2868" t="s">
        <v>7704</v>
      </c>
      <c r="U2868" t="s">
        <v>7705</v>
      </c>
      <c r="V2868" t="s">
        <v>7706</v>
      </c>
      <c r="W2868" t="s">
        <v>7707</v>
      </c>
      <c r="AD2868" t="s">
        <v>7708</v>
      </c>
      <c r="AE2868" t="s">
        <v>7709</v>
      </c>
      <c r="AF2868" t="s">
        <v>7713</v>
      </c>
    </row>
    <row r="2869" spans="1:32" hidden="1" x14ac:dyDescent="0.35">
      <c r="A2869">
        <v>3738</v>
      </c>
      <c r="B2869" t="s">
        <v>7701</v>
      </c>
      <c r="C2869" t="s">
        <v>72</v>
      </c>
      <c r="D2869" t="s">
        <v>45</v>
      </c>
      <c r="E2869">
        <v>2227</v>
      </c>
      <c r="F2869">
        <v>5</v>
      </c>
      <c r="G2869">
        <v>5</v>
      </c>
      <c r="H2869">
        <v>1</v>
      </c>
      <c r="I2869">
        <v>1</v>
      </c>
      <c r="J2869">
        <v>0.74384680670485903</v>
      </c>
      <c r="K2869">
        <v>0.91364919566266301</v>
      </c>
      <c r="L2869">
        <v>0.82005028750765196</v>
      </c>
      <c r="M2869">
        <v>0.51230101302460196</v>
      </c>
      <c r="N2869">
        <v>0.99710564399421098</v>
      </c>
      <c r="O2869">
        <v>0.66526772793053601</v>
      </c>
      <c r="P2869" t="s">
        <v>7702</v>
      </c>
      <c r="Q2869" t="s">
        <v>7703</v>
      </c>
      <c r="R2869" t="s">
        <v>96</v>
      </c>
      <c r="S2869" t="s">
        <v>97</v>
      </c>
      <c r="T2869" t="s">
        <v>7704</v>
      </c>
      <c r="U2869" t="s">
        <v>7705</v>
      </c>
      <c r="V2869" t="s">
        <v>7706</v>
      </c>
      <c r="W2869" t="s">
        <v>7707</v>
      </c>
      <c r="AD2869" t="s">
        <v>7708</v>
      </c>
      <c r="AE2869" t="s">
        <v>7709</v>
      </c>
      <c r="AF2869" t="s">
        <v>7714</v>
      </c>
    </row>
    <row r="2870" spans="1:32" hidden="1" x14ac:dyDescent="0.35">
      <c r="A2870">
        <v>3874</v>
      </c>
      <c r="B2870" t="s">
        <v>7992</v>
      </c>
      <c r="C2870" t="s">
        <v>72</v>
      </c>
      <c r="D2870" t="s">
        <v>58</v>
      </c>
      <c r="E2870">
        <v>1747</v>
      </c>
      <c r="F2870">
        <v>5</v>
      </c>
      <c r="G2870">
        <v>5</v>
      </c>
      <c r="H2870">
        <v>1</v>
      </c>
      <c r="I2870">
        <v>1</v>
      </c>
      <c r="J2870">
        <v>0.79215930304916005</v>
      </c>
      <c r="K2870">
        <v>0.96865467913951797</v>
      </c>
      <c r="L2870">
        <v>0.87156147473191303</v>
      </c>
      <c r="M2870">
        <v>0.593373493975904</v>
      </c>
      <c r="N2870">
        <v>0.99698795180722899</v>
      </c>
      <c r="O2870">
        <v>0.69518072289156596</v>
      </c>
      <c r="P2870" t="s">
        <v>7993</v>
      </c>
      <c r="Q2870" t="s">
        <v>7994</v>
      </c>
      <c r="R2870" t="s">
        <v>96</v>
      </c>
      <c r="S2870" t="s">
        <v>97</v>
      </c>
      <c r="V2870" t="s">
        <v>7995</v>
      </c>
      <c r="W2870" t="s">
        <v>7996</v>
      </c>
      <c r="AF2870" t="e">
        <f>-----MSNDPKIPQTVEVSTDPVGHTGTNVDVQERPATTGGAAAAIITLVIAVALLGIAALLALQAMAALMETSVG--LGILLGIVAVLALIASPILFSMVKVVSPGHTQVLQLFGKYLGTNRRTGLTVVPPLSYATKVSVRVRNFETNVIKVNDAGGNPIDIAAIIVWQVADTAKATFAVEEVDEFIRAQAESALRHVASTHPYAPS-AQYAHSLSGSTDVVSAEIADEVAARVAVAGLEIVEARISALSYAPEIAQAMLQRQQASAIVDARETIVEGAVSMVESALDQLEKRDIVDLDHERRAAMVSNLLVVLCSENNTTPVVNAGNLYP</f>
        <v>#NAME?</v>
      </c>
    </row>
    <row r="2871" spans="1:32" hidden="1" x14ac:dyDescent="0.35">
      <c r="A2871">
        <v>3875</v>
      </c>
      <c r="B2871" t="s">
        <v>7992</v>
      </c>
      <c r="C2871" t="s">
        <v>72</v>
      </c>
      <c r="D2871" t="s">
        <v>60</v>
      </c>
      <c r="E2871">
        <v>2282</v>
      </c>
      <c r="F2871">
        <v>5</v>
      </c>
      <c r="G2871">
        <v>5</v>
      </c>
      <c r="H2871">
        <v>1</v>
      </c>
      <c r="I2871">
        <v>1</v>
      </c>
      <c r="J2871">
        <v>0.79215930304916005</v>
      </c>
      <c r="K2871">
        <v>0.96865467913951797</v>
      </c>
      <c r="L2871">
        <v>0.87156147473191303</v>
      </c>
      <c r="M2871">
        <v>0.593373493975904</v>
      </c>
      <c r="N2871">
        <v>0.99698795180722899</v>
      </c>
      <c r="O2871">
        <v>0.69518072289156596</v>
      </c>
      <c r="P2871" t="s">
        <v>7993</v>
      </c>
      <c r="Q2871" t="s">
        <v>7994</v>
      </c>
      <c r="R2871" t="s">
        <v>96</v>
      </c>
      <c r="S2871" t="s">
        <v>97</v>
      </c>
      <c r="V2871" t="s">
        <v>7995</v>
      </c>
      <c r="W2871" t="s">
        <v>7996</v>
      </c>
      <c r="AF2871" t="s">
        <v>7997</v>
      </c>
    </row>
    <row r="2872" spans="1:32" hidden="1" x14ac:dyDescent="0.35">
      <c r="A2872">
        <v>3876</v>
      </c>
      <c r="B2872" t="s">
        <v>7992</v>
      </c>
      <c r="C2872" t="s">
        <v>72</v>
      </c>
      <c r="D2872" t="s">
        <v>62</v>
      </c>
      <c r="E2872">
        <v>2311</v>
      </c>
      <c r="F2872">
        <v>5</v>
      </c>
      <c r="G2872">
        <v>5</v>
      </c>
      <c r="H2872">
        <v>1</v>
      </c>
      <c r="I2872">
        <v>1</v>
      </c>
      <c r="J2872">
        <v>0.79215930304916005</v>
      </c>
      <c r="K2872">
        <v>0.96865467913951797</v>
      </c>
      <c r="L2872">
        <v>0.87156147473191303</v>
      </c>
      <c r="M2872">
        <v>0.593373493975904</v>
      </c>
      <c r="N2872">
        <v>0.99698795180722899</v>
      </c>
      <c r="O2872">
        <v>0.69518072289156596</v>
      </c>
      <c r="P2872" t="s">
        <v>7993</v>
      </c>
      <c r="Q2872" t="s">
        <v>7994</v>
      </c>
      <c r="R2872" t="s">
        <v>96</v>
      </c>
      <c r="S2872" t="s">
        <v>97</v>
      </c>
      <c r="V2872" t="s">
        <v>7995</v>
      </c>
      <c r="W2872" t="s">
        <v>7996</v>
      </c>
      <c r="AF2872" t="s">
        <v>7998</v>
      </c>
    </row>
    <row r="2873" spans="1:32" hidden="1" x14ac:dyDescent="0.35">
      <c r="A2873">
        <v>3877</v>
      </c>
      <c r="B2873" t="s">
        <v>7992</v>
      </c>
      <c r="C2873" t="s">
        <v>72</v>
      </c>
      <c r="D2873" t="s">
        <v>34</v>
      </c>
      <c r="E2873">
        <v>26</v>
      </c>
      <c r="F2873">
        <v>5</v>
      </c>
      <c r="G2873">
        <v>5</v>
      </c>
      <c r="H2873">
        <v>1</v>
      </c>
      <c r="I2873">
        <v>1</v>
      </c>
      <c r="J2873">
        <v>0.79215930304916005</v>
      </c>
      <c r="K2873">
        <v>0.96865467913951797</v>
      </c>
      <c r="L2873">
        <v>0.87156147473191303</v>
      </c>
      <c r="M2873">
        <v>0.593373493975904</v>
      </c>
      <c r="N2873">
        <v>0.99698795180722899</v>
      </c>
      <c r="O2873">
        <v>0.69518072289156596</v>
      </c>
      <c r="P2873" t="s">
        <v>7993</v>
      </c>
      <c r="Q2873" t="s">
        <v>7994</v>
      </c>
      <c r="R2873" t="s">
        <v>96</v>
      </c>
      <c r="S2873" t="s">
        <v>97</v>
      </c>
      <c r="V2873" t="s">
        <v>7995</v>
      </c>
      <c r="W2873" t="s">
        <v>7996</v>
      </c>
      <c r="AF2873" t="s">
        <v>7999</v>
      </c>
    </row>
    <row r="2874" spans="1:32" hidden="1" x14ac:dyDescent="0.35">
      <c r="A2874">
        <v>3878</v>
      </c>
      <c r="B2874" t="s">
        <v>7992</v>
      </c>
      <c r="C2874" t="s">
        <v>72</v>
      </c>
      <c r="D2874" t="s">
        <v>45</v>
      </c>
      <c r="E2874">
        <v>1283</v>
      </c>
      <c r="F2874">
        <v>5</v>
      </c>
      <c r="G2874">
        <v>5</v>
      </c>
      <c r="H2874">
        <v>1</v>
      </c>
      <c r="I2874">
        <v>1</v>
      </c>
      <c r="J2874">
        <v>0.79215930304916005</v>
      </c>
      <c r="K2874">
        <v>0.96865467913951797</v>
      </c>
      <c r="L2874">
        <v>0.87156147473191303</v>
      </c>
      <c r="M2874">
        <v>0.593373493975904</v>
      </c>
      <c r="N2874">
        <v>0.99698795180722899</v>
      </c>
      <c r="O2874">
        <v>0.69518072289156596</v>
      </c>
      <c r="P2874" t="s">
        <v>7993</v>
      </c>
      <c r="Q2874" t="s">
        <v>7994</v>
      </c>
      <c r="R2874" t="s">
        <v>96</v>
      </c>
      <c r="S2874" t="s">
        <v>97</v>
      </c>
      <c r="V2874" t="s">
        <v>7995</v>
      </c>
      <c r="W2874" t="s">
        <v>7996</v>
      </c>
      <c r="AF2874" t="s">
        <v>8000</v>
      </c>
    </row>
    <row r="2875" spans="1:32" hidden="1" x14ac:dyDescent="0.35">
      <c r="A2875">
        <v>3969</v>
      </c>
      <c r="B2875" t="s">
        <v>8208</v>
      </c>
      <c r="C2875" t="s">
        <v>72</v>
      </c>
      <c r="D2875" t="s">
        <v>58</v>
      </c>
      <c r="E2875">
        <v>1879</v>
      </c>
      <c r="F2875">
        <v>5</v>
      </c>
      <c r="G2875">
        <v>5</v>
      </c>
      <c r="H2875">
        <v>1</v>
      </c>
      <c r="I2875">
        <v>1</v>
      </c>
      <c r="J2875">
        <v>0.85309446254071697</v>
      </c>
      <c r="K2875">
        <v>0.95460033668079203</v>
      </c>
      <c r="L2875">
        <v>0.90099751519183102</v>
      </c>
      <c r="M2875">
        <v>0.71428571428571397</v>
      </c>
      <c r="N2875">
        <v>0.99068322981366497</v>
      </c>
      <c r="O2875">
        <v>0.77857142857142903</v>
      </c>
      <c r="P2875" t="s">
        <v>182</v>
      </c>
      <c r="Q2875" t="s">
        <v>183</v>
      </c>
      <c r="R2875" t="s">
        <v>96</v>
      </c>
      <c r="S2875" t="s">
        <v>97</v>
      </c>
      <c r="T2875" t="s">
        <v>8209</v>
      </c>
      <c r="U2875" t="s">
        <v>8210</v>
      </c>
      <c r="V2875" t="s">
        <v>8211</v>
      </c>
      <c r="W2875" t="s">
        <v>8212</v>
      </c>
      <c r="AD2875" t="s">
        <v>219</v>
      </c>
      <c r="AE2875" t="s">
        <v>8213</v>
      </c>
      <c r="AF2875" t="e">
        <f>----MTNPTDVRDVIIVGSGPAGYTAAVYAARAELKPVVFEGIEYGGSLMTTTEVENYPGFAEGIMGPELMEQMRSQAERFGAELRMELVEEIRLDTTADATGTPVHTVVADGVEHQARTVILAMGAAPRYLGVPGEQELLGRGVSACATCDGFFFKDHDIAVIGGGDSAMEEALFLTKFAKSVTIVHRREEFRASKIMLERAQSNDKIRFVTNATVARVLGEQS-VTGLELRNTVTDELTELPVTAMFVAIGLDPRSELVRDVINTDDAGYVQVAQPSTRTNVPGVFAVGDLVDSTYQQAITAAGSGCRAAIDAEHYLAEH</f>
        <v>#NAME?</v>
      </c>
    </row>
    <row r="2876" spans="1:32" hidden="1" x14ac:dyDescent="0.35">
      <c r="A2876">
        <v>3970</v>
      </c>
      <c r="B2876" t="s">
        <v>8208</v>
      </c>
      <c r="C2876" t="s">
        <v>72</v>
      </c>
      <c r="D2876" t="s">
        <v>60</v>
      </c>
      <c r="E2876">
        <v>2544</v>
      </c>
      <c r="F2876">
        <v>5</v>
      </c>
      <c r="G2876">
        <v>5</v>
      </c>
      <c r="H2876">
        <v>1</v>
      </c>
      <c r="I2876">
        <v>1</v>
      </c>
      <c r="J2876">
        <v>0.85309446254071697</v>
      </c>
      <c r="K2876">
        <v>0.95460033668079203</v>
      </c>
      <c r="L2876">
        <v>0.90099751519183102</v>
      </c>
      <c r="M2876">
        <v>0.71428571428571397</v>
      </c>
      <c r="N2876">
        <v>0.99068322981366497</v>
      </c>
      <c r="O2876">
        <v>0.77857142857142903</v>
      </c>
      <c r="P2876" t="s">
        <v>182</v>
      </c>
      <c r="Q2876" t="s">
        <v>183</v>
      </c>
      <c r="R2876" t="s">
        <v>96</v>
      </c>
      <c r="S2876" t="s">
        <v>97</v>
      </c>
      <c r="T2876" t="s">
        <v>8209</v>
      </c>
      <c r="U2876" t="s">
        <v>8210</v>
      </c>
      <c r="V2876" t="s">
        <v>8211</v>
      </c>
      <c r="W2876" t="s">
        <v>8212</v>
      </c>
      <c r="AD2876" t="s">
        <v>219</v>
      </c>
      <c r="AE2876" t="s">
        <v>8213</v>
      </c>
      <c r="AF2876" t="s">
        <v>8214</v>
      </c>
    </row>
    <row r="2877" spans="1:32" hidden="1" x14ac:dyDescent="0.35">
      <c r="A2877">
        <v>3971</v>
      </c>
      <c r="B2877" t="s">
        <v>8208</v>
      </c>
      <c r="C2877" t="s">
        <v>72</v>
      </c>
      <c r="D2877" t="s">
        <v>62</v>
      </c>
      <c r="E2877">
        <v>69</v>
      </c>
      <c r="F2877">
        <v>5</v>
      </c>
      <c r="G2877">
        <v>5</v>
      </c>
      <c r="H2877">
        <v>1</v>
      </c>
      <c r="I2877">
        <v>1</v>
      </c>
      <c r="J2877">
        <v>0.85309446254071697</v>
      </c>
      <c r="K2877">
        <v>0.95460033668079203</v>
      </c>
      <c r="L2877">
        <v>0.90099751519183102</v>
      </c>
      <c r="M2877">
        <v>0.71428571428571397</v>
      </c>
      <c r="N2877">
        <v>0.99068322981366497</v>
      </c>
      <c r="O2877">
        <v>0.77857142857142903</v>
      </c>
      <c r="P2877" t="s">
        <v>182</v>
      </c>
      <c r="Q2877" t="s">
        <v>183</v>
      </c>
      <c r="R2877" t="s">
        <v>96</v>
      </c>
      <c r="S2877" t="s">
        <v>97</v>
      </c>
      <c r="T2877" t="s">
        <v>8209</v>
      </c>
      <c r="U2877" t="s">
        <v>8210</v>
      </c>
      <c r="V2877" t="s">
        <v>8211</v>
      </c>
      <c r="W2877" t="s">
        <v>8212</v>
      </c>
      <c r="AD2877" t="s">
        <v>219</v>
      </c>
      <c r="AE2877" t="s">
        <v>8213</v>
      </c>
      <c r="AF2877" t="s">
        <v>8215</v>
      </c>
    </row>
    <row r="2878" spans="1:32" hidden="1" x14ac:dyDescent="0.35">
      <c r="A2878">
        <v>3972</v>
      </c>
      <c r="B2878" t="s">
        <v>8208</v>
      </c>
      <c r="C2878" t="s">
        <v>72</v>
      </c>
      <c r="D2878" t="s">
        <v>34</v>
      </c>
      <c r="E2878">
        <v>1101</v>
      </c>
      <c r="F2878">
        <v>5</v>
      </c>
      <c r="G2878">
        <v>5</v>
      </c>
      <c r="H2878">
        <v>1</v>
      </c>
      <c r="I2878">
        <v>1</v>
      </c>
      <c r="J2878">
        <v>0.85309446254071697</v>
      </c>
      <c r="K2878">
        <v>0.95460033668079203</v>
      </c>
      <c r="L2878">
        <v>0.90099751519183102</v>
      </c>
      <c r="M2878">
        <v>0.71428571428571397</v>
      </c>
      <c r="N2878">
        <v>0.99068322981366497</v>
      </c>
      <c r="O2878">
        <v>0.77857142857142903</v>
      </c>
      <c r="P2878" t="s">
        <v>182</v>
      </c>
      <c r="Q2878" t="s">
        <v>183</v>
      </c>
      <c r="R2878" t="s">
        <v>96</v>
      </c>
      <c r="S2878" t="s">
        <v>97</v>
      </c>
      <c r="T2878" t="s">
        <v>8209</v>
      </c>
      <c r="U2878" t="s">
        <v>8210</v>
      </c>
      <c r="V2878" t="s">
        <v>8211</v>
      </c>
      <c r="W2878" t="s">
        <v>8212</v>
      </c>
      <c r="AD2878" t="s">
        <v>219</v>
      </c>
      <c r="AE2878" t="s">
        <v>8213</v>
      </c>
      <c r="AF2878" t="e">
        <f>--------MTVHDVIIIGSGPAGYTAALYSARADLKPLVFEGYEYGGALMTTTEVENFPGFPDGIMGPDLMEAMRNQAERFGANLRPELVT--KVDLTGD-----TKKVWVDDEEFQARVVILATGSAARYLGVPGEQELLGHGVSACATCDGFFFRDHDIAVVGGGDSAMEEAIFLTKFAKSVTIVHRREGFRASAIMLERAQANDKIRFATNKVVEKVLGESA-VTGLELRDTQTGETSVLDVTAMFVAIGHDPRTQLFRDVIDTDEAGYVTVQHPTTKTNIPGVFAVGDLVDNHYQQAITAAGSGARGAIDAEHYLAAL</f>
        <v>#NAME?</v>
      </c>
    </row>
    <row r="2879" spans="1:32" hidden="1" x14ac:dyDescent="0.35">
      <c r="A2879">
        <v>3973</v>
      </c>
      <c r="B2879" t="s">
        <v>8208</v>
      </c>
      <c r="C2879" t="s">
        <v>72</v>
      </c>
      <c r="D2879" t="s">
        <v>45</v>
      </c>
      <c r="E2879">
        <v>2355</v>
      </c>
      <c r="F2879">
        <v>5</v>
      </c>
      <c r="G2879">
        <v>5</v>
      </c>
      <c r="H2879">
        <v>1</v>
      </c>
      <c r="I2879">
        <v>1</v>
      </c>
      <c r="J2879">
        <v>0.85309446254071697</v>
      </c>
      <c r="K2879">
        <v>0.95460033668079203</v>
      </c>
      <c r="L2879">
        <v>0.90099751519183102</v>
      </c>
      <c r="M2879">
        <v>0.71428571428571397</v>
      </c>
      <c r="N2879">
        <v>0.99068322981366497</v>
      </c>
      <c r="O2879">
        <v>0.77857142857142903</v>
      </c>
      <c r="P2879" t="s">
        <v>182</v>
      </c>
      <c r="Q2879" t="s">
        <v>183</v>
      </c>
      <c r="R2879" t="s">
        <v>96</v>
      </c>
      <c r="S2879" t="s">
        <v>97</v>
      </c>
      <c r="T2879" t="s">
        <v>8209</v>
      </c>
      <c r="U2879" t="s">
        <v>8210</v>
      </c>
      <c r="V2879" t="s">
        <v>8211</v>
      </c>
      <c r="W2879" t="s">
        <v>8212</v>
      </c>
      <c r="AD2879" t="s">
        <v>219</v>
      </c>
      <c r="AE2879" t="s">
        <v>8213</v>
      </c>
      <c r="AF2879" t="e">
        <f>--------MTVHDVIIIGSGPAGYTAALYSARADLKPLVFEGYEYGGALMTTTEVENFPGFPDGIMGPDLMEAMRNQAERFGADLRPELVT--KVDLTGD-----TKKVWVDDEEFQARVVILATGSAARYLGVPGEQELLGHGVSACATCDGFFFRDHDIAVVGGGDSAMEEAIFLTRFAKSVTIVHRREGFRASAIMLERARANDKIRFATNKVVEKVLGESA-VTGLELRDTQTGETSVLDVTAMFVAIGHDPRTQLFRDVIDTDETGYVTVQHPTTKTNIPGVFAVGDLVDNHYQQAITAAGSGARGAIDAEHYLAAL</f>
        <v>#NAME?</v>
      </c>
    </row>
    <row r="2880" spans="1:32" hidden="1" x14ac:dyDescent="0.35">
      <c r="A2880">
        <v>4044</v>
      </c>
      <c r="B2880" t="s">
        <v>8347</v>
      </c>
      <c r="C2880" t="s">
        <v>72</v>
      </c>
      <c r="D2880" t="s">
        <v>58</v>
      </c>
      <c r="E2880">
        <v>1370</v>
      </c>
      <c r="F2880">
        <v>5</v>
      </c>
      <c r="G2880">
        <v>5</v>
      </c>
      <c r="H2880">
        <v>1</v>
      </c>
      <c r="I2880">
        <v>1</v>
      </c>
      <c r="J2880">
        <v>0.77073218576823099</v>
      </c>
      <c r="K2880">
        <v>0.92835492780218298</v>
      </c>
      <c r="L2880">
        <v>0.84223229869612204</v>
      </c>
      <c r="M2880">
        <v>0.58775510204081605</v>
      </c>
      <c r="N2880">
        <v>0.98367346938775502</v>
      </c>
      <c r="O2880">
        <v>0.70217687074829904</v>
      </c>
      <c r="P2880" t="s">
        <v>8348</v>
      </c>
      <c r="Q2880" t="s">
        <v>8349</v>
      </c>
      <c r="R2880" t="s">
        <v>96</v>
      </c>
      <c r="S2880" t="s">
        <v>97</v>
      </c>
      <c r="T2880" t="s">
        <v>8350</v>
      </c>
      <c r="U2880" t="s">
        <v>8351</v>
      </c>
      <c r="V2880" t="s">
        <v>8352</v>
      </c>
      <c r="W2880" t="s">
        <v>8353</v>
      </c>
      <c r="AD2880" t="s">
        <v>5476</v>
      </c>
      <c r="AE2880" t="s">
        <v>8354</v>
      </c>
      <c r="AF2880" t="s">
        <v>8355</v>
      </c>
    </row>
    <row r="2881" spans="1:32" hidden="1" x14ac:dyDescent="0.35">
      <c r="A2881">
        <v>4045</v>
      </c>
      <c r="B2881" t="s">
        <v>8347</v>
      </c>
      <c r="C2881" t="s">
        <v>72</v>
      </c>
      <c r="D2881" t="s">
        <v>60</v>
      </c>
      <c r="E2881">
        <v>1909</v>
      </c>
      <c r="F2881">
        <v>5</v>
      </c>
      <c r="G2881">
        <v>5</v>
      </c>
      <c r="H2881">
        <v>1</v>
      </c>
      <c r="I2881">
        <v>1</v>
      </c>
      <c r="J2881">
        <v>0.77073218576823099</v>
      </c>
      <c r="K2881">
        <v>0.92835492780218298</v>
      </c>
      <c r="L2881">
        <v>0.84223229869612204</v>
      </c>
      <c r="M2881">
        <v>0.58775510204081605</v>
      </c>
      <c r="N2881">
        <v>0.98367346938775502</v>
      </c>
      <c r="O2881">
        <v>0.70217687074829904</v>
      </c>
      <c r="P2881" t="s">
        <v>8348</v>
      </c>
      <c r="Q2881" t="s">
        <v>8349</v>
      </c>
      <c r="R2881" t="s">
        <v>96</v>
      </c>
      <c r="S2881" t="s">
        <v>97</v>
      </c>
      <c r="T2881" t="s">
        <v>8350</v>
      </c>
      <c r="U2881" t="s">
        <v>8351</v>
      </c>
      <c r="V2881" t="s">
        <v>8352</v>
      </c>
      <c r="W2881" t="s">
        <v>8353</v>
      </c>
      <c r="AD2881" t="s">
        <v>5476</v>
      </c>
      <c r="AE2881" t="s">
        <v>8354</v>
      </c>
      <c r="AF2881" t="s">
        <v>8356</v>
      </c>
    </row>
    <row r="2882" spans="1:32" hidden="1" x14ac:dyDescent="0.35">
      <c r="A2882">
        <v>4046</v>
      </c>
      <c r="B2882" t="s">
        <v>8347</v>
      </c>
      <c r="C2882" t="s">
        <v>72</v>
      </c>
      <c r="D2882" t="s">
        <v>62</v>
      </c>
      <c r="E2882">
        <v>1949</v>
      </c>
      <c r="F2882">
        <v>5</v>
      </c>
      <c r="G2882">
        <v>5</v>
      </c>
      <c r="H2882">
        <v>1</v>
      </c>
      <c r="I2882">
        <v>1</v>
      </c>
      <c r="J2882">
        <v>0.77073218576823099</v>
      </c>
      <c r="K2882">
        <v>0.92835492780218298</v>
      </c>
      <c r="L2882">
        <v>0.84223229869612204</v>
      </c>
      <c r="M2882">
        <v>0.58775510204081605</v>
      </c>
      <c r="N2882">
        <v>0.98367346938775502</v>
      </c>
      <c r="O2882">
        <v>0.70217687074829904</v>
      </c>
      <c r="P2882" t="s">
        <v>8348</v>
      </c>
      <c r="Q2882" t="s">
        <v>8349</v>
      </c>
      <c r="R2882" t="s">
        <v>96</v>
      </c>
      <c r="S2882" t="s">
        <v>97</v>
      </c>
      <c r="T2882" t="s">
        <v>8350</v>
      </c>
      <c r="U2882" t="s">
        <v>8351</v>
      </c>
      <c r="V2882" t="s">
        <v>8352</v>
      </c>
      <c r="W2882" t="s">
        <v>8353</v>
      </c>
      <c r="AD2882" t="s">
        <v>5476</v>
      </c>
      <c r="AE2882" t="s">
        <v>8354</v>
      </c>
      <c r="AF2882" t="s">
        <v>8357</v>
      </c>
    </row>
    <row r="2883" spans="1:32" hidden="1" x14ac:dyDescent="0.35">
      <c r="A2883">
        <v>4047</v>
      </c>
      <c r="B2883" t="s">
        <v>8347</v>
      </c>
      <c r="C2883" t="s">
        <v>72</v>
      </c>
      <c r="D2883" t="s">
        <v>34</v>
      </c>
      <c r="E2883">
        <v>2270</v>
      </c>
      <c r="F2883">
        <v>5</v>
      </c>
      <c r="G2883">
        <v>5</v>
      </c>
      <c r="H2883">
        <v>1</v>
      </c>
      <c r="I2883">
        <v>1</v>
      </c>
      <c r="J2883">
        <v>0.77073218576823099</v>
      </c>
      <c r="K2883">
        <v>0.92835492780218298</v>
      </c>
      <c r="L2883">
        <v>0.84223229869612204</v>
      </c>
      <c r="M2883">
        <v>0.58775510204081605</v>
      </c>
      <c r="N2883">
        <v>0.98367346938775502</v>
      </c>
      <c r="O2883">
        <v>0.70217687074829904</v>
      </c>
      <c r="P2883" t="s">
        <v>8348</v>
      </c>
      <c r="Q2883" t="s">
        <v>8349</v>
      </c>
      <c r="R2883" t="s">
        <v>96</v>
      </c>
      <c r="S2883" t="s">
        <v>97</v>
      </c>
      <c r="T2883" t="s">
        <v>8350</v>
      </c>
      <c r="U2883" t="s">
        <v>8351</v>
      </c>
      <c r="V2883" t="s">
        <v>8352</v>
      </c>
      <c r="W2883" t="s">
        <v>8353</v>
      </c>
      <c r="AD2883" t="s">
        <v>5476</v>
      </c>
      <c r="AE2883" t="s">
        <v>8354</v>
      </c>
      <c r="AF2883" t="s">
        <v>8358</v>
      </c>
    </row>
    <row r="2884" spans="1:32" hidden="1" x14ac:dyDescent="0.35">
      <c r="A2884">
        <v>4048</v>
      </c>
      <c r="B2884" t="s">
        <v>8347</v>
      </c>
      <c r="C2884" t="s">
        <v>72</v>
      </c>
      <c r="D2884" t="s">
        <v>45</v>
      </c>
      <c r="E2884">
        <v>605</v>
      </c>
      <c r="F2884">
        <v>5</v>
      </c>
      <c r="G2884">
        <v>5</v>
      </c>
      <c r="H2884">
        <v>1</v>
      </c>
      <c r="I2884">
        <v>1</v>
      </c>
      <c r="J2884">
        <v>0.77073218576823099</v>
      </c>
      <c r="K2884">
        <v>0.92835492780218298</v>
      </c>
      <c r="L2884">
        <v>0.84223229869612204</v>
      </c>
      <c r="M2884">
        <v>0.58775510204081605</v>
      </c>
      <c r="N2884">
        <v>0.98367346938775502</v>
      </c>
      <c r="O2884">
        <v>0.70217687074829904</v>
      </c>
      <c r="P2884" t="s">
        <v>8348</v>
      </c>
      <c r="Q2884" t="s">
        <v>8349</v>
      </c>
      <c r="R2884" t="s">
        <v>96</v>
      </c>
      <c r="S2884" t="s">
        <v>97</v>
      </c>
      <c r="T2884" t="s">
        <v>8350</v>
      </c>
      <c r="U2884" t="s">
        <v>8351</v>
      </c>
      <c r="V2884" t="s">
        <v>8352</v>
      </c>
      <c r="W2884" t="s">
        <v>8353</v>
      </c>
      <c r="AD2884" t="s">
        <v>5476</v>
      </c>
      <c r="AE2884" t="s">
        <v>8354</v>
      </c>
      <c r="AF2884" t="s">
        <v>8359</v>
      </c>
    </row>
    <row r="2885" spans="1:32" hidden="1" x14ac:dyDescent="0.35">
      <c r="A2885">
        <v>4574</v>
      </c>
      <c r="B2885" t="s">
        <v>9563</v>
      </c>
      <c r="C2885" t="s">
        <v>72</v>
      </c>
      <c r="D2885" t="s">
        <v>58</v>
      </c>
      <c r="E2885">
        <v>1715</v>
      </c>
      <c r="F2885">
        <v>5</v>
      </c>
      <c r="G2885">
        <v>5</v>
      </c>
      <c r="H2885">
        <v>1</v>
      </c>
      <c r="I2885">
        <v>1</v>
      </c>
      <c r="J2885">
        <v>0.74514629477714001</v>
      </c>
      <c r="K2885">
        <v>0.93091861381278995</v>
      </c>
      <c r="L2885">
        <v>0.82773710286107605</v>
      </c>
      <c r="M2885">
        <v>0.487309644670051</v>
      </c>
      <c r="N2885">
        <v>0.99746192893400998</v>
      </c>
      <c r="O2885">
        <v>0.666497461928934</v>
      </c>
      <c r="P2885" t="s">
        <v>9564</v>
      </c>
      <c r="Q2885" t="s">
        <v>9565</v>
      </c>
      <c r="R2885" t="s">
        <v>96</v>
      </c>
      <c r="S2885" t="s">
        <v>97</v>
      </c>
      <c r="T2885" t="s">
        <v>9566</v>
      </c>
      <c r="U2885" t="s">
        <v>9567</v>
      </c>
      <c r="V2885" t="s">
        <v>9568</v>
      </c>
      <c r="W2885" t="s">
        <v>9569</v>
      </c>
      <c r="AD2885" t="s">
        <v>219</v>
      </c>
      <c r="AE2885" t="s">
        <v>9570</v>
      </c>
      <c r="AF2885" t="s">
        <v>9571</v>
      </c>
    </row>
    <row r="2886" spans="1:32" hidden="1" x14ac:dyDescent="0.35">
      <c r="A2886">
        <v>4575</v>
      </c>
      <c r="B2886" t="s">
        <v>9563</v>
      </c>
      <c r="C2886" t="s">
        <v>72</v>
      </c>
      <c r="D2886" t="s">
        <v>60</v>
      </c>
      <c r="E2886">
        <v>2311</v>
      </c>
      <c r="F2886">
        <v>5</v>
      </c>
      <c r="G2886">
        <v>5</v>
      </c>
      <c r="H2886">
        <v>1</v>
      </c>
      <c r="I2886">
        <v>1</v>
      </c>
      <c r="J2886">
        <v>0.74514629477714001</v>
      </c>
      <c r="K2886">
        <v>0.93091861381278995</v>
      </c>
      <c r="L2886">
        <v>0.82773710286107605</v>
      </c>
      <c r="M2886">
        <v>0.487309644670051</v>
      </c>
      <c r="N2886">
        <v>0.99746192893400998</v>
      </c>
      <c r="O2886">
        <v>0.666497461928934</v>
      </c>
      <c r="P2886" t="s">
        <v>9564</v>
      </c>
      <c r="Q2886" t="s">
        <v>9565</v>
      </c>
      <c r="R2886" t="s">
        <v>96</v>
      </c>
      <c r="S2886" t="s">
        <v>97</v>
      </c>
      <c r="T2886" t="s">
        <v>9566</v>
      </c>
      <c r="U2886" t="s">
        <v>9567</v>
      </c>
      <c r="V2886" t="s">
        <v>9568</v>
      </c>
      <c r="W2886" t="s">
        <v>9569</v>
      </c>
      <c r="AD2886" t="s">
        <v>219</v>
      </c>
      <c r="AE2886" t="s">
        <v>9570</v>
      </c>
      <c r="AF2886" t="s">
        <v>9572</v>
      </c>
    </row>
    <row r="2887" spans="1:32" hidden="1" x14ac:dyDescent="0.35">
      <c r="A2887">
        <v>4576</v>
      </c>
      <c r="B2887" t="s">
        <v>9563</v>
      </c>
      <c r="C2887" t="s">
        <v>72</v>
      </c>
      <c r="D2887" t="s">
        <v>62</v>
      </c>
      <c r="E2887">
        <v>2339</v>
      </c>
      <c r="F2887">
        <v>5</v>
      </c>
      <c r="G2887">
        <v>5</v>
      </c>
      <c r="H2887">
        <v>1</v>
      </c>
      <c r="I2887">
        <v>1</v>
      </c>
      <c r="J2887">
        <v>0.74514629477714001</v>
      </c>
      <c r="K2887">
        <v>0.93091861381278995</v>
      </c>
      <c r="L2887">
        <v>0.82773710286107605</v>
      </c>
      <c r="M2887">
        <v>0.487309644670051</v>
      </c>
      <c r="N2887">
        <v>0.99746192893400998</v>
      </c>
      <c r="O2887">
        <v>0.666497461928934</v>
      </c>
      <c r="P2887" t="s">
        <v>9564</v>
      </c>
      <c r="Q2887" t="s">
        <v>9565</v>
      </c>
      <c r="R2887" t="s">
        <v>96</v>
      </c>
      <c r="S2887" t="s">
        <v>97</v>
      </c>
      <c r="T2887" t="s">
        <v>9566</v>
      </c>
      <c r="U2887" t="s">
        <v>9567</v>
      </c>
      <c r="V2887" t="s">
        <v>9568</v>
      </c>
      <c r="W2887" t="s">
        <v>9569</v>
      </c>
      <c r="AD2887" t="s">
        <v>219</v>
      </c>
      <c r="AE2887" t="s">
        <v>9570</v>
      </c>
      <c r="AF2887" t="s">
        <v>9573</v>
      </c>
    </row>
    <row r="2888" spans="1:32" hidden="1" x14ac:dyDescent="0.35">
      <c r="A2888">
        <v>4577</v>
      </c>
      <c r="B2888" t="s">
        <v>9563</v>
      </c>
      <c r="C2888" t="s">
        <v>72</v>
      </c>
      <c r="D2888" t="s">
        <v>34</v>
      </c>
      <c r="E2888">
        <v>1481</v>
      </c>
      <c r="F2888">
        <v>5</v>
      </c>
      <c r="G2888">
        <v>5</v>
      </c>
      <c r="H2888">
        <v>1</v>
      </c>
      <c r="I2888">
        <v>1</v>
      </c>
      <c r="J2888">
        <v>0.74514629477714001</v>
      </c>
      <c r="K2888">
        <v>0.93091861381278995</v>
      </c>
      <c r="L2888">
        <v>0.82773710286107605</v>
      </c>
      <c r="M2888">
        <v>0.487309644670051</v>
      </c>
      <c r="N2888">
        <v>0.99746192893400998</v>
      </c>
      <c r="O2888">
        <v>0.666497461928934</v>
      </c>
      <c r="P2888" t="s">
        <v>9564</v>
      </c>
      <c r="Q2888" t="s">
        <v>9565</v>
      </c>
      <c r="R2888" t="s">
        <v>96</v>
      </c>
      <c r="S2888" t="s">
        <v>97</v>
      </c>
      <c r="T2888" t="s">
        <v>9566</v>
      </c>
      <c r="U2888" t="s">
        <v>9567</v>
      </c>
      <c r="V2888" t="s">
        <v>9568</v>
      </c>
      <c r="W2888" t="s">
        <v>9569</v>
      </c>
      <c r="AD2888" t="s">
        <v>219</v>
      </c>
      <c r="AE2888" t="s">
        <v>9570</v>
      </c>
      <c r="AF2888" t="s">
        <v>9574</v>
      </c>
    </row>
    <row r="2889" spans="1:32" hidden="1" x14ac:dyDescent="0.35">
      <c r="A2889">
        <v>4578</v>
      </c>
      <c r="B2889" t="s">
        <v>9563</v>
      </c>
      <c r="C2889" t="s">
        <v>72</v>
      </c>
      <c r="D2889" t="s">
        <v>45</v>
      </c>
      <c r="E2889">
        <v>231</v>
      </c>
      <c r="F2889">
        <v>5</v>
      </c>
      <c r="G2889">
        <v>5</v>
      </c>
      <c r="H2889">
        <v>1</v>
      </c>
      <c r="I2889">
        <v>1</v>
      </c>
      <c r="J2889">
        <v>0.74514629477714001</v>
      </c>
      <c r="K2889">
        <v>0.93091861381278995</v>
      </c>
      <c r="L2889">
        <v>0.82773710286107605</v>
      </c>
      <c r="M2889">
        <v>0.487309644670051</v>
      </c>
      <c r="N2889">
        <v>0.99746192893400998</v>
      </c>
      <c r="O2889">
        <v>0.666497461928934</v>
      </c>
      <c r="P2889" t="s">
        <v>9564</v>
      </c>
      <c r="Q2889" t="s">
        <v>9565</v>
      </c>
      <c r="R2889" t="s">
        <v>96</v>
      </c>
      <c r="S2889" t="s">
        <v>97</v>
      </c>
      <c r="T2889" t="s">
        <v>9566</v>
      </c>
      <c r="U2889" t="s">
        <v>9567</v>
      </c>
      <c r="V2889" t="s">
        <v>9568</v>
      </c>
      <c r="W2889" t="s">
        <v>9569</v>
      </c>
      <c r="AD2889" t="s">
        <v>219</v>
      </c>
      <c r="AE2889" t="s">
        <v>9570</v>
      </c>
      <c r="AF2889" t="s">
        <v>9574</v>
      </c>
    </row>
    <row r="2890" spans="1:32" hidden="1" x14ac:dyDescent="0.35">
      <c r="A2890">
        <v>3739</v>
      </c>
      <c r="B2890" t="s">
        <v>7715</v>
      </c>
      <c r="C2890" t="s">
        <v>72</v>
      </c>
      <c r="D2890" t="s">
        <v>60</v>
      </c>
      <c r="E2890">
        <v>55</v>
      </c>
      <c r="F2890">
        <v>4</v>
      </c>
      <c r="G2890">
        <v>5</v>
      </c>
      <c r="H2890">
        <v>2</v>
      </c>
      <c r="I2890">
        <v>0</v>
      </c>
      <c r="J2890">
        <v>0.75649452269170603</v>
      </c>
      <c r="K2890">
        <v>0.69417334931022701</v>
      </c>
      <c r="L2890">
        <v>0.72399526685187898</v>
      </c>
      <c r="M2890">
        <v>0.157618213660245</v>
      </c>
      <c r="N2890">
        <v>0.98774080560420296</v>
      </c>
      <c r="O2890">
        <v>0.41611208406304701</v>
      </c>
      <c r="P2890" t="s">
        <v>7716</v>
      </c>
      <c r="Q2890" t="s">
        <v>7717</v>
      </c>
      <c r="R2890" t="s">
        <v>7718</v>
      </c>
      <c r="S2890" t="s">
        <v>7719</v>
      </c>
      <c r="T2890" t="s">
        <v>5359</v>
      </c>
      <c r="U2890" t="s">
        <v>5360</v>
      </c>
      <c r="V2890" t="s">
        <v>7720</v>
      </c>
      <c r="W2890" t="s">
        <v>7721</v>
      </c>
      <c r="AD2890" t="s">
        <v>166</v>
      </c>
      <c r="AE2890" t="s">
        <v>5363</v>
      </c>
      <c r="AF2890" t="s">
        <v>7722</v>
      </c>
    </row>
    <row r="2891" spans="1:32" hidden="1" x14ac:dyDescent="0.35">
      <c r="A2891">
        <v>3740</v>
      </c>
      <c r="B2891" t="s">
        <v>7715</v>
      </c>
      <c r="C2891" t="s">
        <v>72</v>
      </c>
      <c r="D2891" t="s">
        <v>62</v>
      </c>
      <c r="E2891">
        <v>128</v>
      </c>
      <c r="F2891">
        <v>4</v>
      </c>
      <c r="G2891">
        <v>5</v>
      </c>
      <c r="H2891">
        <v>2</v>
      </c>
      <c r="I2891">
        <v>0</v>
      </c>
      <c r="J2891">
        <v>0.75649452269170603</v>
      </c>
      <c r="K2891">
        <v>0.69417334931022701</v>
      </c>
      <c r="L2891">
        <v>0.72399526685187898</v>
      </c>
      <c r="M2891">
        <v>0.157618213660245</v>
      </c>
      <c r="N2891">
        <v>0.98774080560420296</v>
      </c>
      <c r="O2891">
        <v>0.41611208406304701</v>
      </c>
      <c r="P2891" t="s">
        <v>7716</v>
      </c>
      <c r="Q2891" t="s">
        <v>7717</v>
      </c>
      <c r="R2891" t="s">
        <v>7718</v>
      </c>
      <c r="S2891" t="s">
        <v>7719</v>
      </c>
      <c r="T2891" t="s">
        <v>5359</v>
      </c>
      <c r="U2891" t="s">
        <v>5360</v>
      </c>
      <c r="V2891" t="s">
        <v>7720</v>
      </c>
      <c r="W2891" t="s">
        <v>7721</v>
      </c>
      <c r="AD2891" t="s">
        <v>166</v>
      </c>
      <c r="AE2891" t="s">
        <v>5363</v>
      </c>
      <c r="AF2891" t="s">
        <v>7723</v>
      </c>
    </row>
    <row r="2892" spans="1:32" hidden="1" x14ac:dyDescent="0.35">
      <c r="A2892">
        <v>3741</v>
      </c>
      <c r="B2892" t="s">
        <v>7715</v>
      </c>
      <c r="C2892" t="s">
        <v>72</v>
      </c>
      <c r="D2892" t="s">
        <v>34</v>
      </c>
      <c r="E2892">
        <v>1260</v>
      </c>
      <c r="F2892">
        <v>4</v>
      </c>
      <c r="G2892">
        <v>5</v>
      </c>
      <c r="H2892">
        <v>2</v>
      </c>
      <c r="I2892">
        <v>0</v>
      </c>
      <c r="J2892">
        <v>0.75649452269170603</v>
      </c>
      <c r="K2892">
        <v>0.69417334931022701</v>
      </c>
      <c r="L2892">
        <v>0.72399526685187898</v>
      </c>
      <c r="M2892">
        <v>0.157618213660245</v>
      </c>
      <c r="N2892">
        <v>0.98774080560420296</v>
      </c>
      <c r="O2892">
        <v>0.41611208406304701</v>
      </c>
      <c r="P2892" t="s">
        <v>7716</v>
      </c>
      <c r="Q2892" t="s">
        <v>7717</v>
      </c>
      <c r="R2892" t="s">
        <v>7718</v>
      </c>
      <c r="S2892" t="s">
        <v>7719</v>
      </c>
      <c r="T2892" t="s">
        <v>5359</v>
      </c>
      <c r="U2892" t="s">
        <v>5360</v>
      </c>
      <c r="V2892" t="s">
        <v>7720</v>
      </c>
      <c r="W2892" t="s">
        <v>7721</v>
      </c>
      <c r="AD2892" t="s">
        <v>166</v>
      </c>
      <c r="AE2892" t="s">
        <v>5363</v>
      </c>
      <c r="AF2892" t="s">
        <v>7724</v>
      </c>
    </row>
    <row r="2893" spans="1:32" hidden="1" x14ac:dyDescent="0.35">
      <c r="A2893">
        <v>3742</v>
      </c>
      <c r="B2893" t="s">
        <v>7715</v>
      </c>
      <c r="C2893" t="s">
        <v>72</v>
      </c>
      <c r="D2893" t="s">
        <v>45</v>
      </c>
      <c r="E2893">
        <v>2502</v>
      </c>
      <c r="F2893">
        <v>4</v>
      </c>
      <c r="G2893">
        <v>5</v>
      </c>
      <c r="H2893">
        <v>2</v>
      </c>
      <c r="I2893">
        <v>0</v>
      </c>
      <c r="J2893">
        <v>0.75649452269170603</v>
      </c>
      <c r="K2893">
        <v>0.69417334931022701</v>
      </c>
      <c r="L2893">
        <v>0.72399526685187898</v>
      </c>
      <c r="M2893">
        <v>0.157618213660245</v>
      </c>
      <c r="N2893">
        <v>0.98774080560420296</v>
      </c>
      <c r="O2893">
        <v>0.41611208406304701</v>
      </c>
      <c r="P2893" t="s">
        <v>7716</v>
      </c>
      <c r="Q2893" t="s">
        <v>7717</v>
      </c>
      <c r="R2893" t="s">
        <v>7718</v>
      </c>
      <c r="S2893" t="s">
        <v>7719</v>
      </c>
      <c r="V2893" t="s">
        <v>7720</v>
      </c>
      <c r="W2893" t="s">
        <v>7721</v>
      </c>
      <c r="AF2893" t="e">
        <f>------------------------------------------------------------------------------------------------------------------------------------------------------------------------MFALGGNRMSDWF---RSHHTAFRRSAGAVVIAMAVLLAVDAPTALQRLVPDWTSSAQQALGNH---------------IIGNQDLESCRKGDPGTPHDCGPVPQLSRLENWINTDQAIDPATSGKVTLVDFWAYACINCQRANEHVVKLYDHYKDYGLDVIGVHAPEYAFERDADNVRKAIVAQHIKYPVAQDNSFATWKNFHNRYWPAHYLADHTGRLRQVHEGEGKYAETERVVRQLLQERNPGIALPNPIE-------QDEHAITEPRSPETYLGASRSQYRVS---------------GTPPLGYYALQGEWDVNPMDITP-RSDGAAVELHYQARWVQLVASGRGTVTVKRADGTEQTFDITG-DGTVDIIRKDNGDPELITIAPSPGVHLYSITFG</f>
        <v>#NAME?</v>
      </c>
    </row>
    <row r="2894" spans="1:32" hidden="1" x14ac:dyDescent="0.35">
      <c r="A2894">
        <v>3743</v>
      </c>
      <c r="B2894" t="s">
        <v>7715</v>
      </c>
      <c r="C2894" t="s">
        <v>72</v>
      </c>
      <c r="D2894" t="s">
        <v>45</v>
      </c>
      <c r="E2894">
        <v>2501</v>
      </c>
      <c r="F2894">
        <v>4</v>
      </c>
      <c r="G2894">
        <v>5</v>
      </c>
      <c r="H2894">
        <v>2</v>
      </c>
      <c r="I2894">
        <v>0</v>
      </c>
      <c r="J2894">
        <v>0.75649452269170603</v>
      </c>
      <c r="K2894">
        <v>0.69417334931022701</v>
      </c>
      <c r="L2894">
        <v>0.72399526685187898</v>
      </c>
      <c r="M2894">
        <v>0.157618213660245</v>
      </c>
      <c r="N2894">
        <v>0.98774080560420296</v>
      </c>
      <c r="O2894">
        <v>0.41611208406304701</v>
      </c>
      <c r="R2894" t="s">
        <v>7718</v>
      </c>
      <c r="S2894" t="s">
        <v>7719</v>
      </c>
      <c r="V2894" t="s">
        <v>7720</v>
      </c>
      <c r="W2894" t="s">
        <v>7721</v>
      </c>
      <c r="AF2894" t="s">
        <v>7725</v>
      </c>
    </row>
    <row r="2895" spans="1:32" hidden="1" x14ac:dyDescent="0.35">
      <c r="A2895">
        <v>2734</v>
      </c>
      <c r="B2895" t="s">
        <v>5649</v>
      </c>
      <c r="C2895" t="s">
        <v>72</v>
      </c>
      <c r="D2895" t="s">
        <v>58</v>
      </c>
      <c r="E2895">
        <v>1160</v>
      </c>
      <c r="F2895">
        <v>5</v>
      </c>
      <c r="G2895">
        <v>5</v>
      </c>
      <c r="H2895">
        <v>1</v>
      </c>
      <c r="I2895">
        <v>1</v>
      </c>
      <c r="J2895">
        <v>0.74587293646823405</v>
      </c>
      <c r="K2895">
        <v>0.98482636988383898</v>
      </c>
      <c r="L2895">
        <v>0.84885379420979701</v>
      </c>
      <c r="M2895">
        <v>0.51724137931034497</v>
      </c>
      <c r="N2895">
        <v>1</v>
      </c>
      <c r="O2895">
        <v>0.65517241379310398</v>
      </c>
      <c r="P2895" t="s">
        <v>5650</v>
      </c>
      <c r="Q2895" t="s">
        <v>5651</v>
      </c>
      <c r="R2895" t="s">
        <v>5652</v>
      </c>
      <c r="S2895" t="s">
        <v>5653</v>
      </c>
      <c r="T2895" t="s">
        <v>5654</v>
      </c>
      <c r="U2895" t="s">
        <v>5655</v>
      </c>
      <c r="V2895" t="s">
        <v>5656</v>
      </c>
      <c r="W2895" t="s">
        <v>5657</v>
      </c>
      <c r="AD2895" t="s">
        <v>5658</v>
      </c>
      <c r="AE2895" t="s">
        <v>5659</v>
      </c>
      <c r="AF2895" t="s">
        <v>5660</v>
      </c>
    </row>
    <row r="2896" spans="1:32" hidden="1" x14ac:dyDescent="0.35">
      <c r="A2896">
        <v>2735</v>
      </c>
      <c r="B2896" t="s">
        <v>5649</v>
      </c>
      <c r="C2896" t="s">
        <v>72</v>
      </c>
      <c r="D2896" t="s">
        <v>60</v>
      </c>
      <c r="E2896">
        <v>1594</v>
      </c>
      <c r="F2896">
        <v>5</v>
      </c>
      <c r="G2896">
        <v>5</v>
      </c>
      <c r="H2896">
        <v>1</v>
      </c>
      <c r="I2896">
        <v>1</v>
      </c>
      <c r="J2896">
        <v>0.74587293646823405</v>
      </c>
      <c r="K2896">
        <v>0.98482636988383898</v>
      </c>
      <c r="L2896">
        <v>0.84885379420979701</v>
      </c>
      <c r="M2896">
        <v>0.51724137931034497</v>
      </c>
      <c r="N2896">
        <v>1</v>
      </c>
      <c r="O2896">
        <v>0.65517241379310398</v>
      </c>
      <c r="P2896" t="s">
        <v>5650</v>
      </c>
      <c r="Q2896" t="s">
        <v>5651</v>
      </c>
      <c r="R2896" t="s">
        <v>5652</v>
      </c>
      <c r="S2896" t="s">
        <v>5653</v>
      </c>
      <c r="T2896" t="s">
        <v>5654</v>
      </c>
      <c r="U2896" t="s">
        <v>5655</v>
      </c>
      <c r="V2896" t="s">
        <v>5656</v>
      </c>
      <c r="W2896" t="s">
        <v>5657</v>
      </c>
      <c r="AD2896" t="s">
        <v>5658</v>
      </c>
      <c r="AE2896" t="s">
        <v>5659</v>
      </c>
      <c r="AF2896" t="s">
        <v>5661</v>
      </c>
    </row>
    <row r="2897" spans="1:32" hidden="1" x14ac:dyDescent="0.35">
      <c r="A2897">
        <v>2736</v>
      </c>
      <c r="B2897" t="s">
        <v>5649</v>
      </c>
      <c r="C2897" t="s">
        <v>72</v>
      </c>
      <c r="D2897" t="s">
        <v>62</v>
      </c>
      <c r="E2897">
        <v>1630</v>
      </c>
      <c r="F2897">
        <v>5</v>
      </c>
      <c r="G2897">
        <v>5</v>
      </c>
      <c r="H2897">
        <v>1</v>
      </c>
      <c r="I2897">
        <v>1</v>
      </c>
      <c r="J2897">
        <v>0.74587293646823405</v>
      </c>
      <c r="K2897">
        <v>0.98482636988383898</v>
      </c>
      <c r="L2897">
        <v>0.84885379420979701</v>
      </c>
      <c r="M2897">
        <v>0.51724137931034497</v>
      </c>
      <c r="N2897">
        <v>1</v>
      </c>
      <c r="O2897">
        <v>0.65517241379310398</v>
      </c>
      <c r="P2897" t="s">
        <v>5650</v>
      </c>
      <c r="Q2897" t="s">
        <v>5651</v>
      </c>
      <c r="R2897" t="s">
        <v>5652</v>
      </c>
      <c r="S2897" t="s">
        <v>5653</v>
      </c>
      <c r="T2897" t="s">
        <v>5654</v>
      </c>
      <c r="U2897" t="s">
        <v>5655</v>
      </c>
      <c r="V2897" t="s">
        <v>5656</v>
      </c>
      <c r="W2897" t="s">
        <v>5657</v>
      </c>
      <c r="AD2897" t="s">
        <v>5658</v>
      </c>
      <c r="AE2897" t="s">
        <v>5659</v>
      </c>
      <c r="AF2897" t="s">
        <v>5662</v>
      </c>
    </row>
    <row r="2898" spans="1:32" hidden="1" x14ac:dyDescent="0.35">
      <c r="A2898">
        <v>2737</v>
      </c>
      <c r="B2898" t="s">
        <v>5649</v>
      </c>
      <c r="C2898" t="s">
        <v>72</v>
      </c>
      <c r="D2898" t="s">
        <v>34</v>
      </c>
      <c r="E2898">
        <v>1990</v>
      </c>
      <c r="F2898">
        <v>5</v>
      </c>
      <c r="G2898">
        <v>5</v>
      </c>
      <c r="H2898">
        <v>1</v>
      </c>
      <c r="I2898">
        <v>1</v>
      </c>
      <c r="J2898">
        <v>0.74587293646823405</v>
      </c>
      <c r="K2898">
        <v>0.98482636988383898</v>
      </c>
      <c r="L2898">
        <v>0.84885379420979701</v>
      </c>
      <c r="M2898">
        <v>0.51724137931034497</v>
      </c>
      <c r="N2898">
        <v>1</v>
      </c>
      <c r="O2898">
        <v>0.65517241379310398</v>
      </c>
      <c r="P2898" t="s">
        <v>5650</v>
      </c>
      <c r="Q2898" t="s">
        <v>5651</v>
      </c>
      <c r="R2898" t="s">
        <v>5652</v>
      </c>
      <c r="S2898" t="s">
        <v>5653</v>
      </c>
      <c r="T2898" t="s">
        <v>5654</v>
      </c>
      <c r="U2898" t="s">
        <v>5655</v>
      </c>
      <c r="V2898" t="s">
        <v>5656</v>
      </c>
      <c r="W2898" t="s">
        <v>5657</v>
      </c>
      <c r="AD2898" t="s">
        <v>5658</v>
      </c>
      <c r="AE2898" t="s">
        <v>5659</v>
      </c>
      <c r="AF2898" t="s">
        <v>5663</v>
      </c>
    </row>
    <row r="2899" spans="1:32" hidden="1" x14ac:dyDescent="0.35">
      <c r="A2899">
        <v>2738</v>
      </c>
      <c r="B2899" t="s">
        <v>5649</v>
      </c>
      <c r="C2899" t="s">
        <v>72</v>
      </c>
      <c r="D2899" t="s">
        <v>45</v>
      </c>
      <c r="E2899">
        <v>883</v>
      </c>
      <c r="F2899">
        <v>5</v>
      </c>
      <c r="G2899">
        <v>5</v>
      </c>
      <c r="H2899">
        <v>1</v>
      </c>
      <c r="I2899">
        <v>1</v>
      </c>
      <c r="J2899">
        <v>0.74587293646823405</v>
      </c>
      <c r="K2899">
        <v>0.98482636988383898</v>
      </c>
      <c r="L2899">
        <v>0.84885379420979701</v>
      </c>
      <c r="M2899">
        <v>0.51724137931034497</v>
      </c>
      <c r="N2899">
        <v>1</v>
      </c>
      <c r="O2899">
        <v>0.65517241379310398</v>
      </c>
      <c r="P2899" t="s">
        <v>5650</v>
      </c>
      <c r="Q2899" t="s">
        <v>5651</v>
      </c>
      <c r="R2899" t="s">
        <v>5652</v>
      </c>
      <c r="S2899" t="s">
        <v>5653</v>
      </c>
      <c r="T2899" t="s">
        <v>5654</v>
      </c>
      <c r="U2899" t="s">
        <v>5655</v>
      </c>
      <c r="V2899" t="s">
        <v>5656</v>
      </c>
      <c r="W2899" t="s">
        <v>5657</v>
      </c>
      <c r="AD2899" t="s">
        <v>5658</v>
      </c>
      <c r="AE2899" t="s">
        <v>5659</v>
      </c>
      <c r="AF2899" t="s">
        <v>5663</v>
      </c>
    </row>
    <row r="2900" spans="1:32" hidden="1" x14ac:dyDescent="0.35">
      <c r="A2900">
        <v>6029</v>
      </c>
      <c r="B2900" t="s">
        <v>12391</v>
      </c>
      <c r="C2900" t="s">
        <v>68</v>
      </c>
      <c r="D2900" t="s">
        <v>58</v>
      </c>
      <c r="E2900">
        <v>1851</v>
      </c>
      <c r="F2900">
        <v>3</v>
      </c>
      <c r="G2900">
        <v>3</v>
      </c>
      <c r="H2900">
        <v>1</v>
      </c>
      <c r="I2900">
        <v>0</v>
      </c>
      <c r="J2900">
        <v>0.78457059679767105</v>
      </c>
      <c r="K2900">
        <v>0.99137028548793205</v>
      </c>
      <c r="L2900">
        <v>0.87593003155795401</v>
      </c>
      <c r="M2900">
        <v>0.58441558441558406</v>
      </c>
      <c r="N2900">
        <v>1</v>
      </c>
      <c r="O2900">
        <v>0.722943722943723</v>
      </c>
      <c r="P2900" t="s">
        <v>1494</v>
      </c>
      <c r="Q2900" t="s">
        <v>1487</v>
      </c>
      <c r="R2900" t="s">
        <v>113</v>
      </c>
      <c r="S2900" t="s">
        <v>114</v>
      </c>
      <c r="T2900" t="s">
        <v>12392</v>
      </c>
      <c r="U2900" t="s">
        <v>12393</v>
      </c>
      <c r="V2900" t="s">
        <v>1490</v>
      </c>
      <c r="W2900" t="s">
        <v>1491</v>
      </c>
      <c r="AD2900" t="s">
        <v>312</v>
      </c>
      <c r="AE2900" t="s">
        <v>1492</v>
      </c>
      <c r="AF2900" t="s">
        <v>12394</v>
      </c>
    </row>
    <row r="2901" spans="1:32" hidden="1" x14ac:dyDescent="0.35">
      <c r="A2901">
        <v>219</v>
      </c>
      <c r="B2901" t="s">
        <v>368</v>
      </c>
      <c r="C2901" t="s">
        <v>72</v>
      </c>
      <c r="D2901" t="s">
        <v>60</v>
      </c>
      <c r="E2901">
        <v>1149</v>
      </c>
      <c r="F2901">
        <v>5</v>
      </c>
      <c r="G2901">
        <v>7</v>
      </c>
      <c r="H2901">
        <v>3</v>
      </c>
      <c r="I2901">
        <v>0</v>
      </c>
      <c r="J2901">
        <v>0.73496385171512102</v>
      </c>
      <c r="K2901">
        <v>0.63127363801831804</v>
      </c>
      <c r="L2901">
        <v>0.67918397492471405</v>
      </c>
      <c r="M2901">
        <v>9.9346405228758206E-2</v>
      </c>
      <c r="N2901">
        <v>0.973856209150327</v>
      </c>
      <c r="O2901">
        <v>0.38549642079053797</v>
      </c>
      <c r="P2901" t="s">
        <v>376</v>
      </c>
      <c r="Q2901" t="s">
        <v>377</v>
      </c>
      <c r="R2901" t="s">
        <v>371</v>
      </c>
      <c r="S2901" t="s">
        <v>372</v>
      </c>
      <c r="V2901" t="s">
        <v>373</v>
      </c>
      <c r="W2901" t="s">
        <v>374</v>
      </c>
      <c r="AF2901" t="s">
        <v>378</v>
      </c>
    </row>
    <row r="2902" spans="1:32" hidden="1" x14ac:dyDescent="0.35">
      <c r="A2902">
        <v>220</v>
      </c>
      <c r="B2902" t="s">
        <v>368</v>
      </c>
      <c r="C2902" t="s">
        <v>72</v>
      </c>
      <c r="D2902" t="s">
        <v>62</v>
      </c>
      <c r="E2902">
        <v>1186</v>
      </c>
      <c r="F2902">
        <v>5</v>
      </c>
      <c r="G2902">
        <v>7</v>
      </c>
      <c r="H2902">
        <v>3</v>
      </c>
      <c r="I2902">
        <v>0</v>
      </c>
      <c r="J2902">
        <v>0.73496385171512102</v>
      </c>
      <c r="K2902">
        <v>0.63127363801831804</v>
      </c>
      <c r="L2902">
        <v>0.67918397492471405</v>
      </c>
      <c r="M2902">
        <v>9.9346405228758206E-2</v>
      </c>
      <c r="N2902">
        <v>0.973856209150327</v>
      </c>
      <c r="O2902">
        <v>0.38549642079053797</v>
      </c>
      <c r="P2902" t="s">
        <v>376</v>
      </c>
      <c r="Q2902" t="s">
        <v>377</v>
      </c>
      <c r="R2902" t="s">
        <v>371</v>
      </c>
      <c r="S2902" t="s">
        <v>372</v>
      </c>
      <c r="V2902" t="s">
        <v>373</v>
      </c>
      <c r="W2902" t="s">
        <v>374</v>
      </c>
      <c r="AF2902" t="s">
        <v>379</v>
      </c>
    </row>
    <row r="2903" spans="1:32" hidden="1" x14ac:dyDescent="0.35">
      <c r="A2903">
        <v>221</v>
      </c>
      <c r="B2903" t="s">
        <v>368</v>
      </c>
      <c r="C2903" t="s">
        <v>72</v>
      </c>
      <c r="D2903" t="s">
        <v>34</v>
      </c>
      <c r="E2903">
        <v>2527</v>
      </c>
      <c r="F2903">
        <v>5</v>
      </c>
      <c r="G2903">
        <v>7</v>
      </c>
      <c r="H2903">
        <v>3</v>
      </c>
      <c r="I2903">
        <v>0</v>
      </c>
      <c r="J2903">
        <v>0.73496385171512102</v>
      </c>
      <c r="K2903">
        <v>0.63127363801831804</v>
      </c>
      <c r="L2903">
        <v>0.67918397492471405</v>
      </c>
      <c r="M2903">
        <v>9.9346405228758206E-2</v>
      </c>
      <c r="N2903">
        <v>0.973856209150327</v>
      </c>
      <c r="O2903">
        <v>0.38549642079053797</v>
      </c>
      <c r="R2903" t="s">
        <v>371</v>
      </c>
      <c r="S2903" t="s">
        <v>372</v>
      </c>
      <c r="V2903" t="s">
        <v>373</v>
      </c>
      <c r="W2903" t="s">
        <v>374</v>
      </c>
      <c r="AF2903" t="s">
        <v>380</v>
      </c>
    </row>
    <row r="2904" spans="1:32" hidden="1" x14ac:dyDescent="0.35">
      <c r="A2904">
        <v>222</v>
      </c>
      <c r="B2904" t="s">
        <v>368</v>
      </c>
      <c r="C2904" t="s">
        <v>72</v>
      </c>
      <c r="D2904" t="s">
        <v>45</v>
      </c>
      <c r="E2904">
        <v>1254</v>
      </c>
      <c r="F2904">
        <v>5</v>
      </c>
      <c r="G2904">
        <v>7</v>
      </c>
      <c r="H2904">
        <v>3</v>
      </c>
      <c r="I2904">
        <v>0</v>
      </c>
      <c r="J2904">
        <v>0.73496385171512102</v>
      </c>
      <c r="K2904">
        <v>0.63127363801831804</v>
      </c>
      <c r="L2904">
        <v>0.67918397492471405</v>
      </c>
      <c r="M2904">
        <v>9.9346405228758206E-2</v>
      </c>
      <c r="N2904">
        <v>0.973856209150327</v>
      </c>
      <c r="O2904">
        <v>0.38549642079053797</v>
      </c>
      <c r="P2904" t="s">
        <v>381</v>
      </c>
      <c r="Q2904" t="s">
        <v>382</v>
      </c>
      <c r="R2904" t="s">
        <v>371</v>
      </c>
      <c r="S2904" t="s">
        <v>372</v>
      </c>
      <c r="V2904" t="s">
        <v>373</v>
      </c>
      <c r="W2904" t="s">
        <v>374</v>
      </c>
      <c r="AF2904" t="s">
        <v>383</v>
      </c>
    </row>
    <row r="2905" spans="1:32" hidden="1" x14ac:dyDescent="0.35">
      <c r="A2905">
        <v>223</v>
      </c>
      <c r="B2905" t="s">
        <v>368</v>
      </c>
      <c r="C2905" t="s">
        <v>72</v>
      </c>
      <c r="D2905" t="s">
        <v>45</v>
      </c>
      <c r="E2905">
        <v>1253</v>
      </c>
      <c r="F2905">
        <v>5</v>
      </c>
      <c r="G2905">
        <v>7</v>
      </c>
      <c r="H2905">
        <v>3</v>
      </c>
      <c r="I2905">
        <v>0</v>
      </c>
      <c r="J2905">
        <v>0.73496385171512102</v>
      </c>
      <c r="K2905">
        <v>0.63127363801831804</v>
      </c>
      <c r="L2905">
        <v>0.67918397492471405</v>
      </c>
      <c r="M2905">
        <v>9.9346405228758206E-2</v>
      </c>
      <c r="N2905">
        <v>0.973856209150327</v>
      </c>
      <c r="O2905">
        <v>0.38549642079053797</v>
      </c>
      <c r="R2905" t="s">
        <v>371</v>
      </c>
      <c r="S2905" t="s">
        <v>372</v>
      </c>
      <c r="V2905" t="s">
        <v>373</v>
      </c>
      <c r="W2905" t="s">
        <v>374</v>
      </c>
      <c r="AF2905" t="s">
        <v>384</v>
      </c>
    </row>
    <row r="2906" spans="1:32" hidden="1" x14ac:dyDescent="0.35">
      <c r="A2906">
        <v>224</v>
      </c>
      <c r="B2906" t="s">
        <v>368</v>
      </c>
      <c r="C2906" t="s">
        <v>72</v>
      </c>
      <c r="D2906" t="s">
        <v>45</v>
      </c>
      <c r="E2906">
        <v>1255</v>
      </c>
      <c r="F2906">
        <v>5</v>
      </c>
      <c r="G2906">
        <v>7</v>
      </c>
      <c r="H2906">
        <v>3</v>
      </c>
      <c r="I2906">
        <v>0</v>
      </c>
      <c r="J2906">
        <v>0.73496385171512102</v>
      </c>
      <c r="K2906">
        <v>0.63127363801831804</v>
      </c>
      <c r="L2906">
        <v>0.67918397492471405</v>
      </c>
      <c r="M2906">
        <v>9.9346405228758206E-2</v>
      </c>
      <c r="N2906">
        <v>0.973856209150327</v>
      </c>
      <c r="O2906">
        <v>0.38549642079053797</v>
      </c>
      <c r="R2906" t="s">
        <v>371</v>
      </c>
      <c r="S2906" t="s">
        <v>372</v>
      </c>
      <c r="V2906" t="s">
        <v>373</v>
      </c>
      <c r="W2906" t="s">
        <v>374</v>
      </c>
      <c r="AF2906" t="s">
        <v>385</v>
      </c>
    </row>
    <row r="2907" spans="1:32" hidden="1" x14ac:dyDescent="0.35">
      <c r="A2907">
        <v>11834</v>
      </c>
      <c r="B2907" t="s">
        <v>24333</v>
      </c>
      <c r="C2907" t="s">
        <v>33</v>
      </c>
      <c r="D2907" t="s">
        <v>58</v>
      </c>
      <c r="E2907">
        <v>749</v>
      </c>
      <c r="F2907">
        <v>1</v>
      </c>
      <c r="G2907">
        <v>1</v>
      </c>
      <c r="H2907">
        <v>1</v>
      </c>
      <c r="I2907">
        <v>0</v>
      </c>
      <c r="J2907">
        <v>1</v>
      </c>
      <c r="K2907">
        <v>1</v>
      </c>
      <c r="L2907">
        <v>1</v>
      </c>
      <c r="M2907">
        <v>0</v>
      </c>
      <c r="N2907">
        <v>0</v>
      </c>
      <c r="O2907">
        <v>0</v>
      </c>
      <c r="R2907" t="s">
        <v>113</v>
      </c>
      <c r="S2907" t="s">
        <v>114</v>
      </c>
      <c r="V2907" t="s">
        <v>1490</v>
      </c>
      <c r="W2907" t="s">
        <v>1491</v>
      </c>
      <c r="AF2907" t="s">
        <v>24334</v>
      </c>
    </row>
    <row r="2908" spans="1:32" hidden="1" x14ac:dyDescent="0.35">
      <c r="A2908">
        <v>261</v>
      </c>
      <c r="B2908" t="s">
        <v>447</v>
      </c>
      <c r="C2908" t="s">
        <v>72</v>
      </c>
      <c r="D2908" t="s">
        <v>60</v>
      </c>
      <c r="E2908">
        <v>1185</v>
      </c>
      <c r="F2908">
        <v>5</v>
      </c>
      <c r="G2908">
        <v>7</v>
      </c>
      <c r="H2908">
        <v>2</v>
      </c>
      <c r="I2908">
        <v>0</v>
      </c>
      <c r="J2908">
        <v>0.75956854558107201</v>
      </c>
      <c r="K2908">
        <v>0.66038135103159501</v>
      </c>
      <c r="L2908">
        <v>0.70651070650947001</v>
      </c>
      <c r="M2908">
        <v>1.73010380622837E-2</v>
      </c>
      <c r="N2908">
        <v>0.98961937716263004</v>
      </c>
      <c r="O2908">
        <v>0.38902619871478</v>
      </c>
      <c r="P2908" t="s">
        <v>448</v>
      </c>
      <c r="Q2908" t="s">
        <v>449</v>
      </c>
      <c r="R2908" t="s">
        <v>371</v>
      </c>
      <c r="S2908" t="s">
        <v>372</v>
      </c>
      <c r="T2908" t="s">
        <v>450</v>
      </c>
      <c r="U2908" t="s">
        <v>451</v>
      </c>
      <c r="V2908" t="s">
        <v>452</v>
      </c>
      <c r="W2908" t="s">
        <v>453</v>
      </c>
      <c r="AD2908" t="s">
        <v>454</v>
      </c>
      <c r="AE2908" t="s">
        <v>455</v>
      </c>
      <c r="AF2908" t="s">
        <v>457</v>
      </c>
    </row>
    <row r="2909" spans="1:32" hidden="1" x14ac:dyDescent="0.35">
      <c r="A2909">
        <v>262</v>
      </c>
      <c r="B2909" t="s">
        <v>447</v>
      </c>
      <c r="C2909" t="s">
        <v>72</v>
      </c>
      <c r="D2909" t="s">
        <v>62</v>
      </c>
      <c r="E2909">
        <v>1222</v>
      </c>
      <c r="F2909">
        <v>5</v>
      </c>
      <c r="G2909">
        <v>7</v>
      </c>
      <c r="H2909">
        <v>2</v>
      </c>
      <c r="I2909">
        <v>0</v>
      </c>
      <c r="J2909">
        <v>0.75956854558107201</v>
      </c>
      <c r="K2909">
        <v>0.66038135103159501</v>
      </c>
      <c r="L2909">
        <v>0.70651070650947001</v>
      </c>
      <c r="M2909">
        <v>1.73010380622837E-2</v>
      </c>
      <c r="N2909">
        <v>0.98961937716263004</v>
      </c>
      <c r="O2909">
        <v>0.38902619871478</v>
      </c>
      <c r="P2909" t="s">
        <v>448</v>
      </c>
      <c r="Q2909" t="s">
        <v>449</v>
      </c>
      <c r="R2909" t="s">
        <v>371</v>
      </c>
      <c r="S2909" t="s">
        <v>372</v>
      </c>
      <c r="T2909" t="s">
        <v>450</v>
      </c>
      <c r="U2909" t="s">
        <v>451</v>
      </c>
      <c r="V2909" t="s">
        <v>452</v>
      </c>
      <c r="W2909" t="s">
        <v>453</v>
      </c>
      <c r="AD2909" t="s">
        <v>454</v>
      </c>
      <c r="AE2909" t="s">
        <v>455</v>
      </c>
      <c r="AF2909" t="s">
        <v>458</v>
      </c>
    </row>
    <row r="2910" spans="1:32" hidden="1" x14ac:dyDescent="0.35">
      <c r="A2910">
        <v>263</v>
      </c>
      <c r="B2910" t="s">
        <v>447</v>
      </c>
      <c r="C2910" t="s">
        <v>72</v>
      </c>
      <c r="D2910" t="s">
        <v>34</v>
      </c>
      <c r="E2910">
        <v>1651</v>
      </c>
      <c r="F2910">
        <v>5</v>
      </c>
      <c r="G2910">
        <v>7</v>
      </c>
      <c r="H2910">
        <v>2</v>
      </c>
      <c r="I2910">
        <v>0</v>
      </c>
      <c r="J2910">
        <v>0.75956854558107201</v>
      </c>
      <c r="K2910">
        <v>0.66038135103159501</v>
      </c>
      <c r="L2910">
        <v>0.70651070650947001</v>
      </c>
      <c r="M2910">
        <v>1.73010380622837E-2</v>
      </c>
      <c r="N2910">
        <v>0.98961937716263004</v>
      </c>
      <c r="O2910">
        <v>0.38902619871478</v>
      </c>
      <c r="P2910" t="s">
        <v>459</v>
      </c>
      <c r="Q2910" t="s">
        <v>370</v>
      </c>
      <c r="R2910" t="s">
        <v>371</v>
      </c>
      <c r="S2910" t="s">
        <v>372</v>
      </c>
      <c r="T2910" t="s">
        <v>450</v>
      </c>
      <c r="U2910" t="s">
        <v>451</v>
      </c>
      <c r="V2910" t="s">
        <v>452</v>
      </c>
      <c r="W2910" t="s">
        <v>453</v>
      </c>
      <c r="AD2910" t="s">
        <v>454</v>
      </c>
      <c r="AE2910" t="s">
        <v>455</v>
      </c>
      <c r="AF2910" t="s">
        <v>460</v>
      </c>
    </row>
    <row r="2911" spans="1:32" hidden="1" x14ac:dyDescent="0.35">
      <c r="A2911">
        <v>264</v>
      </c>
      <c r="B2911" t="s">
        <v>447</v>
      </c>
      <c r="C2911" t="s">
        <v>72</v>
      </c>
      <c r="D2911" t="s">
        <v>34</v>
      </c>
      <c r="E2911">
        <v>1652</v>
      </c>
      <c r="F2911">
        <v>5</v>
      </c>
      <c r="G2911">
        <v>7</v>
      </c>
      <c r="H2911">
        <v>2</v>
      </c>
      <c r="I2911">
        <v>0</v>
      </c>
      <c r="J2911">
        <v>0.75956854558107201</v>
      </c>
      <c r="K2911">
        <v>0.66038135103159501</v>
      </c>
      <c r="L2911">
        <v>0.70651070650947001</v>
      </c>
      <c r="M2911">
        <v>1.73010380622837E-2</v>
      </c>
      <c r="N2911">
        <v>0.98961937716263004</v>
      </c>
      <c r="O2911">
        <v>0.38902619871478</v>
      </c>
      <c r="R2911" t="s">
        <v>371</v>
      </c>
      <c r="S2911" t="s">
        <v>372</v>
      </c>
      <c r="T2911" t="s">
        <v>450</v>
      </c>
      <c r="U2911" t="s">
        <v>451</v>
      </c>
      <c r="V2911" t="s">
        <v>452</v>
      </c>
      <c r="W2911" t="s">
        <v>453</v>
      </c>
      <c r="AD2911" t="s">
        <v>454</v>
      </c>
      <c r="AE2911" t="s">
        <v>455</v>
      </c>
      <c r="AF2911" t="s">
        <v>221</v>
      </c>
    </row>
    <row r="2912" spans="1:32" hidden="1" x14ac:dyDescent="0.35">
      <c r="A2912">
        <v>265</v>
      </c>
      <c r="B2912" t="s">
        <v>447</v>
      </c>
      <c r="C2912" t="s">
        <v>72</v>
      </c>
      <c r="D2912" t="s">
        <v>45</v>
      </c>
      <c r="E2912">
        <v>1226</v>
      </c>
      <c r="F2912">
        <v>5</v>
      </c>
      <c r="G2912">
        <v>7</v>
      </c>
      <c r="H2912">
        <v>2</v>
      </c>
      <c r="I2912">
        <v>0</v>
      </c>
      <c r="J2912">
        <v>0.75956854558107201</v>
      </c>
      <c r="K2912">
        <v>0.66038135103159501</v>
      </c>
      <c r="L2912">
        <v>0.70651070650947001</v>
      </c>
      <c r="M2912">
        <v>1.73010380622837E-2</v>
      </c>
      <c r="N2912">
        <v>0.98961937716263004</v>
      </c>
      <c r="O2912">
        <v>0.38902619871478</v>
      </c>
      <c r="P2912" t="s">
        <v>459</v>
      </c>
      <c r="Q2912" t="s">
        <v>370</v>
      </c>
      <c r="R2912" t="s">
        <v>371</v>
      </c>
      <c r="S2912" t="s">
        <v>372</v>
      </c>
      <c r="T2912" t="s">
        <v>450</v>
      </c>
      <c r="U2912" t="s">
        <v>451</v>
      </c>
      <c r="V2912" t="s">
        <v>452</v>
      </c>
      <c r="W2912" t="s">
        <v>453</v>
      </c>
      <c r="AD2912" t="s">
        <v>454</v>
      </c>
      <c r="AE2912" t="s">
        <v>455</v>
      </c>
      <c r="AF2912" t="s">
        <v>461</v>
      </c>
    </row>
    <row r="2913" spans="1:32" hidden="1" x14ac:dyDescent="0.35">
      <c r="A2913">
        <v>266</v>
      </c>
      <c r="B2913" t="s">
        <v>447</v>
      </c>
      <c r="C2913" t="s">
        <v>72</v>
      </c>
      <c r="D2913" t="s">
        <v>45</v>
      </c>
      <c r="E2913">
        <v>1225</v>
      </c>
      <c r="F2913">
        <v>5</v>
      </c>
      <c r="G2913">
        <v>7</v>
      </c>
      <c r="H2913">
        <v>2</v>
      </c>
      <c r="I2913">
        <v>0</v>
      </c>
      <c r="J2913">
        <v>0.75956854558107201</v>
      </c>
      <c r="K2913">
        <v>0.66038135103159501</v>
      </c>
      <c r="L2913">
        <v>0.70651070650947001</v>
      </c>
      <c r="M2913">
        <v>1.73010380622837E-2</v>
      </c>
      <c r="N2913">
        <v>0.98961937716263004</v>
      </c>
      <c r="O2913">
        <v>0.38902619871478</v>
      </c>
      <c r="R2913" t="s">
        <v>371</v>
      </c>
      <c r="S2913" t="s">
        <v>372</v>
      </c>
      <c r="T2913" t="s">
        <v>450</v>
      </c>
      <c r="U2913" t="s">
        <v>451</v>
      </c>
      <c r="V2913" t="s">
        <v>452</v>
      </c>
      <c r="W2913" t="s">
        <v>453</v>
      </c>
      <c r="AD2913" t="s">
        <v>454</v>
      </c>
      <c r="AE2913" t="s">
        <v>455</v>
      </c>
      <c r="AF2913" t="s">
        <v>221</v>
      </c>
    </row>
    <row r="2914" spans="1:32" hidden="1" x14ac:dyDescent="0.35">
      <c r="A2914">
        <v>3334</v>
      </c>
      <c r="B2914" t="s">
        <v>6851</v>
      </c>
      <c r="C2914" t="s">
        <v>72</v>
      </c>
      <c r="D2914" t="s">
        <v>58</v>
      </c>
      <c r="E2914">
        <v>1750</v>
      </c>
      <c r="F2914">
        <v>5</v>
      </c>
      <c r="G2914">
        <v>5</v>
      </c>
      <c r="H2914">
        <v>1</v>
      </c>
      <c r="I2914">
        <v>1</v>
      </c>
      <c r="J2914">
        <v>0.78510378510378498</v>
      </c>
      <c r="K2914">
        <v>0.89838321293429702</v>
      </c>
      <c r="L2914">
        <v>0.83793229382869405</v>
      </c>
      <c r="M2914">
        <v>0.55555555555555602</v>
      </c>
      <c r="N2914">
        <v>1</v>
      </c>
      <c r="O2914">
        <v>0.69673202614379104</v>
      </c>
      <c r="P2914" t="s">
        <v>6852</v>
      </c>
      <c r="Q2914" t="s">
        <v>6853</v>
      </c>
      <c r="R2914" t="s">
        <v>113</v>
      </c>
      <c r="S2914" t="s">
        <v>114</v>
      </c>
      <c r="T2914" t="s">
        <v>6854</v>
      </c>
      <c r="U2914" t="s">
        <v>6855</v>
      </c>
      <c r="V2914" t="s">
        <v>6856</v>
      </c>
      <c r="W2914" t="s">
        <v>6857</v>
      </c>
      <c r="AD2914" t="s">
        <v>312</v>
      </c>
      <c r="AE2914" t="s">
        <v>6858</v>
      </c>
      <c r="AF2914" t="s">
        <v>6859</v>
      </c>
    </row>
    <row r="2915" spans="1:32" hidden="1" x14ac:dyDescent="0.35">
      <c r="A2915">
        <v>600</v>
      </c>
      <c r="B2915" t="s">
        <v>1210</v>
      </c>
      <c r="C2915" t="s">
        <v>72</v>
      </c>
      <c r="D2915" t="s">
        <v>60</v>
      </c>
      <c r="E2915">
        <v>1285</v>
      </c>
      <c r="F2915">
        <v>5</v>
      </c>
      <c r="G2915">
        <v>5</v>
      </c>
      <c r="H2915">
        <v>1</v>
      </c>
      <c r="I2915">
        <v>1</v>
      </c>
      <c r="J2915">
        <v>0.84517837235228499</v>
      </c>
      <c r="K2915">
        <v>0.84040389775455504</v>
      </c>
      <c r="L2915">
        <v>0.84278437311480403</v>
      </c>
      <c r="M2915">
        <v>0.60616438356164404</v>
      </c>
      <c r="N2915">
        <v>1</v>
      </c>
      <c r="O2915">
        <v>0.71678082191780801</v>
      </c>
      <c r="P2915" t="s">
        <v>1211</v>
      </c>
      <c r="Q2915" t="s">
        <v>1212</v>
      </c>
      <c r="R2915" t="s">
        <v>371</v>
      </c>
      <c r="S2915" t="s">
        <v>372</v>
      </c>
      <c r="T2915" t="s">
        <v>1213</v>
      </c>
      <c r="U2915" t="s">
        <v>1214</v>
      </c>
      <c r="V2915" t="s">
        <v>1215</v>
      </c>
      <c r="W2915" t="s">
        <v>1216</v>
      </c>
      <c r="AD2915" t="s">
        <v>410</v>
      </c>
      <c r="AE2915" t="s">
        <v>1217</v>
      </c>
      <c r="AF2915" t="s">
        <v>1219</v>
      </c>
    </row>
    <row r="2916" spans="1:32" hidden="1" x14ac:dyDescent="0.35">
      <c r="A2916">
        <v>601</v>
      </c>
      <c r="B2916" t="s">
        <v>1210</v>
      </c>
      <c r="C2916" t="s">
        <v>72</v>
      </c>
      <c r="D2916" t="s">
        <v>62</v>
      </c>
      <c r="E2916">
        <v>1321</v>
      </c>
      <c r="F2916">
        <v>5</v>
      </c>
      <c r="G2916">
        <v>5</v>
      </c>
      <c r="H2916">
        <v>1</v>
      </c>
      <c r="I2916">
        <v>1</v>
      </c>
      <c r="J2916">
        <v>0.84517837235228499</v>
      </c>
      <c r="K2916">
        <v>0.84040389775455504</v>
      </c>
      <c r="L2916">
        <v>0.84278437311480403</v>
      </c>
      <c r="M2916">
        <v>0.60616438356164404</v>
      </c>
      <c r="N2916">
        <v>1</v>
      </c>
      <c r="O2916">
        <v>0.71678082191780801</v>
      </c>
      <c r="P2916" t="s">
        <v>1211</v>
      </c>
      <c r="Q2916" t="s">
        <v>1212</v>
      </c>
      <c r="R2916" t="s">
        <v>371</v>
      </c>
      <c r="S2916" t="s">
        <v>372</v>
      </c>
      <c r="T2916" t="s">
        <v>1213</v>
      </c>
      <c r="U2916" t="s">
        <v>1214</v>
      </c>
      <c r="V2916" t="s">
        <v>1215</v>
      </c>
      <c r="W2916" t="s">
        <v>1216</v>
      </c>
      <c r="AD2916" t="s">
        <v>410</v>
      </c>
      <c r="AE2916" t="s">
        <v>1217</v>
      </c>
      <c r="AF2916" t="s">
        <v>1220</v>
      </c>
    </row>
    <row r="2917" spans="1:32" hidden="1" x14ac:dyDescent="0.35">
      <c r="A2917">
        <v>602</v>
      </c>
      <c r="B2917" t="s">
        <v>1210</v>
      </c>
      <c r="C2917" t="s">
        <v>72</v>
      </c>
      <c r="D2917" t="s">
        <v>34</v>
      </c>
      <c r="E2917">
        <v>1719</v>
      </c>
      <c r="F2917">
        <v>5</v>
      </c>
      <c r="G2917">
        <v>5</v>
      </c>
      <c r="H2917">
        <v>1</v>
      </c>
      <c r="I2917">
        <v>1</v>
      </c>
      <c r="J2917">
        <v>0.84517837235228499</v>
      </c>
      <c r="K2917">
        <v>0.84040389775455504</v>
      </c>
      <c r="L2917">
        <v>0.84278437311480403</v>
      </c>
      <c r="M2917">
        <v>0.60616438356164404</v>
      </c>
      <c r="N2917">
        <v>1</v>
      </c>
      <c r="O2917">
        <v>0.71678082191780801</v>
      </c>
      <c r="P2917" t="s">
        <v>1211</v>
      </c>
      <c r="Q2917" t="s">
        <v>1212</v>
      </c>
      <c r="R2917" t="s">
        <v>371</v>
      </c>
      <c r="S2917" t="s">
        <v>372</v>
      </c>
      <c r="T2917" t="s">
        <v>1213</v>
      </c>
      <c r="U2917" t="s">
        <v>1214</v>
      </c>
      <c r="V2917" t="s">
        <v>1215</v>
      </c>
      <c r="W2917" t="s">
        <v>1216</v>
      </c>
      <c r="AD2917" t="s">
        <v>410</v>
      </c>
      <c r="AE2917" t="s">
        <v>1217</v>
      </c>
      <c r="AF2917" t="s">
        <v>1221</v>
      </c>
    </row>
    <row r="2918" spans="1:32" hidden="1" x14ac:dyDescent="0.35">
      <c r="A2918">
        <v>603</v>
      </c>
      <c r="B2918" t="s">
        <v>1210</v>
      </c>
      <c r="C2918" t="s">
        <v>72</v>
      </c>
      <c r="D2918" t="s">
        <v>45</v>
      </c>
      <c r="E2918">
        <v>1155</v>
      </c>
      <c r="F2918">
        <v>5</v>
      </c>
      <c r="G2918">
        <v>5</v>
      </c>
      <c r="H2918">
        <v>1</v>
      </c>
      <c r="I2918">
        <v>1</v>
      </c>
      <c r="J2918">
        <v>0.84517837235228499</v>
      </c>
      <c r="K2918">
        <v>0.84040389775455504</v>
      </c>
      <c r="L2918">
        <v>0.84278437311480403</v>
      </c>
      <c r="M2918">
        <v>0.60616438356164404</v>
      </c>
      <c r="N2918">
        <v>1</v>
      </c>
      <c r="O2918">
        <v>0.71678082191780801</v>
      </c>
      <c r="P2918" t="s">
        <v>1211</v>
      </c>
      <c r="Q2918" t="s">
        <v>1212</v>
      </c>
      <c r="R2918" t="s">
        <v>371</v>
      </c>
      <c r="S2918" t="s">
        <v>372</v>
      </c>
      <c r="T2918" t="s">
        <v>1213</v>
      </c>
      <c r="U2918" t="s">
        <v>1214</v>
      </c>
      <c r="V2918" t="s">
        <v>1215</v>
      </c>
      <c r="W2918" t="s">
        <v>1216</v>
      </c>
      <c r="AD2918" t="s">
        <v>410</v>
      </c>
      <c r="AE2918" t="s">
        <v>1217</v>
      </c>
      <c r="AF2918" t="s">
        <v>1221</v>
      </c>
    </row>
    <row r="2919" spans="1:32" hidden="1" x14ac:dyDescent="0.35">
      <c r="A2919">
        <v>4369</v>
      </c>
      <c r="B2919" t="s">
        <v>9110</v>
      </c>
      <c r="C2919" t="s">
        <v>72</v>
      </c>
      <c r="D2919" t="s">
        <v>58</v>
      </c>
      <c r="E2919">
        <v>883</v>
      </c>
      <c r="F2919">
        <v>5</v>
      </c>
      <c r="G2919">
        <v>5</v>
      </c>
      <c r="H2919">
        <v>1</v>
      </c>
      <c r="I2919">
        <v>1</v>
      </c>
      <c r="J2919">
        <v>0.88852157943067001</v>
      </c>
      <c r="K2919">
        <v>0.97598081952920701</v>
      </c>
      <c r="L2919">
        <v>0.93019995012706003</v>
      </c>
      <c r="M2919">
        <v>0.77419354838709697</v>
      </c>
      <c r="N2919">
        <v>0.99462365591397806</v>
      </c>
      <c r="O2919">
        <v>0.85</v>
      </c>
      <c r="P2919" t="s">
        <v>6852</v>
      </c>
      <c r="Q2919" t="s">
        <v>6853</v>
      </c>
      <c r="R2919" t="s">
        <v>113</v>
      </c>
      <c r="S2919" t="s">
        <v>114</v>
      </c>
      <c r="V2919" t="s">
        <v>6856</v>
      </c>
      <c r="W2919" t="s">
        <v>6857</v>
      </c>
      <c r="AF2919" t="s">
        <v>9111</v>
      </c>
    </row>
    <row r="2920" spans="1:32" hidden="1" x14ac:dyDescent="0.35">
      <c r="A2920">
        <v>635</v>
      </c>
      <c r="B2920" t="s">
        <v>1292</v>
      </c>
      <c r="C2920" t="s">
        <v>72</v>
      </c>
      <c r="D2920" t="s">
        <v>60</v>
      </c>
      <c r="E2920">
        <v>2485</v>
      </c>
      <c r="F2920">
        <v>5</v>
      </c>
      <c r="G2920">
        <v>5</v>
      </c>
      <c r="H2920">
        <v>1</v>
      </c>
      <c r="I2920">
        <v>1</v>
      </c>
      <c r="J2920">
        <v>0.79686434901158798</v>
      </c>
      <c r="K2920">
        <v>0.91177433247200701</v>
      </c>
      <c r="L2920">
        <v>0.85045535696278995</v>
      </c>
      <c r="M2920">
        <v>0.57407407407407396</v>
      </c>
      <c r="N2920">
        <v>1</v>
      </c>
      <c r="O2920">
        <v>0.68888888888888899</v>
      </c>
      <c r="P2920" t="s">
        <v>1293</v>
      </c>
      <c r="Q2920" t="s">
        <v>1294</v>
      </c>
      <c r="R2920" t="s">
        <v>371</v>
      </c>
      <c r="S2920" t="s">
        <v>372</v>
      </c>
      <c r="T2920" t="s">
        <v>1295</v>
      </c>
      <c r="U2920" t="s">
        <v>1296</v>
      </c>
      <c r="V2920" t="s">
        <v>1297</v>
      </c>
      <c r="W2920" t="s">
        <v>1298</v>
      </c>
      <c r="AD2920" t="s">
        <v>1299</v>
      </c>
      <c r="AE2920" t="s">
        <v>1300</v>
      </c>
      <c r="AF2920" t="s">
        <v>1302</v>
      </c>
    </row>
    <row r="2921" spans="1:32" hidden="1" x14ac:dyDescent="0.35">
      <c r="A2921">
        <v>636</v>
      </c>
      <c r="B2921" t="s">
        <v>1292</v>
      </c>
      <c r="C2921" t="s">
        <v>72</v>
      </c>
      <c r="D2921" t="s">
        <v>62</v>
      </c>
      <c r="E2921">
        <v>12</v>
      </c>
      <c r="F2921">
        <v>5</v>
      </c>
      <c r="G2921">
        <v>5</v>
      </c>
      <c r="H2921">
        <v>1</v>
      </c>
      <c r="I2921">
        <v>1</v>
      </c>
      <c r="J2921">
        <v>0.79686434901158798</v>
      </c>
      <c r="K2921">
        <v>0.91177433247200701</v>
      </c>
      <c r="L2921">
        <v>0.85045535696278995</v>
      </c>
      <c r="M2921">
        <v>0.57407407407407396</v>
      </c>
      <c r="N2921">
        <v>1</v>
      </c>
      <c r="O2921">
        <v>0.68888888888888899</v>
      </c>
      <c r="P2921" t="s">
        <v>1293</v>
      </c>
      <c r="Q2921" t="s">
        <v>1294</v>
      </c>
      <c r="R2921" t="s">
        <v>371</v>
      </c>
      <c r="S2921" t="s">
        <v>372</v>
      </c>
      <c r="T2921" t="s">
        <v>1295</v>
      </c>
      <c r="U2921" t="s">
        <v>1296</v>
      </c>
      <c r="V2921" t="s">
        <v>1297</v>
      </c>
      <c r="W2921" t="s">
        <v>1298</v>
      </c>
      <c r="AD2921" t="s">
        <v>1299</v>
      </c>
      <c r="AE2921" t="s">
        <v>1300</v>
      </c>
      <c r="AF2921" t="s">
        <v>1302</v>
      </c>
    </row>
    <row r="2922" spans="1:32" hidden="1" x14ac:dyDescent="0.35">
      <c r="A2922">
        <v>637</v>
      </c>
      <c r="B2922" t="s">
        <v>1292</v>
      </c>
      <c r="C2922" t="s">
        <v>72</v>
      </c>
      <c r="D2922" t="s">
        <v>34</v>
      </c>
      <c r="E2922">
        <v>1181</v>
      </c>
      <c r="F2922">
        <v>5</v>
      </c>
      <c r="G2922">
        <v>5</v>
      </c>
      <c r="H2922">
        <v>1</v>
      </c>
      <c r="I2922">
        <v>1</v>
      </c>
      <c r="J2922">
        <v>0.79686434901158798</v>
      </c>
      <c r="K2922">
        <v>0.91177433247200701</v>
      </c>
      <c r="L2922">
        <v>0.85045535696278995</v>
      </c>
      <c r="M2922">
        <v>0.57407407407407396</v>
      </c>
      <c r="N2922">
        <v>1</v>
      </c>
      <c r="O2922">
        <v>0.68888888888888899</v>
      </c>
      <c r="P2922" t="s">
        <v>1293</v>
      </c>
      <c r="Q2922" t="s">
        <v>1294</v>
      </c>
      <c r="R2922" t="s">
        <v>371</v>
      </c>
      <c r="S2922" t="s">
        <v>372</v>
      </c>
      <c r="T2922" t="s">
        <v>1295</v>
      </c>
      <c r="U2922" t="s">
        <v>1296</v>
      </c>
      <c r="V2922" t="s">
        <v>1297</v>
      </c>
      <c r="W2922" t="s">
        <v>1298</v>
      </c>
      <c r="AD2922" t="s">
        <v>1299</v>
      </c>
      <c r="AE2922" t="s">
        <v>1300</v>
      </c>
      <c r="AF2922" t="s">
        <v>1303</v>
      </c>
    </row>
    <row r="2923" spans="1:32" hidden="1" x14ac:dyDescent="0.35">
      <c r="A2923">
        <v>638</v>
      </c>
      <c r="B2923" t="s">
        <v>1292</v>
      </c>
      <c r="C2923" t="s">
        <v>72</v>
      </c>
      <c r="D2923" t="s">
        <v>45</v>
      </c>
      <c r="E2923">
        <v>2425</v>
      </c>
      <c r="F2923">
        <v>5</v>
      </c>
      <c r="G2923">
        <v>5</v>
      </c>
      <c r="H2923">
        <v>1</v>
      </c>
      <c r="I2923">
        <v>1</v>
      </c>
      <c r="J2923">
        <v>0.79686434901158798</v>
      </c>
      <c r="K2923">
        <v>0.91177433247200701</v>
      </c>
      <c r="L2923">
        <v>0.85045535696278995</v>
      </c>
      <c r="M2923">
        <v>0.57407407407407396</v>
      </c>
      <c r="N2923">
        <v>1</v>
      </c>
      <c r="O2923">
        <v>0.68888888888888899</v>
      </c>
      <c r="P2923" t="s">
        <v>1293</v>
      </c>
      <c r="Q2923" t="s">
        <v>1294</v>
      </c>
      <c r="R2923" t="s">
        <v>371</v>
      </c>
      <c r="S2923" t="s">
        <v>372</v>
      </c>
      <c r="T2923" t="s">
        <v>1295</v>
      </c>
      <c r="U2923" t="s">
        <v>1296</v>
      </c>
      <c r="V2923" t="s">
        <v>1297</v>
      </c>
      <c r="W2923" t="s">
        <v>1298</v>
      </c>
      <c r="AD2923" t="s">
        <v>1299</v>
      </c>
      <c r="AE2923" t="s">
        <v>1300</v>
      </c>
      <c r="AF2923" t="s">
        <v>1303</v>
      </c>
    </row>
    <row r="2924" spans="1:32" hidden="1" x14ac:dyDescent="0.35">
      <c r="A2924">
        <v>10934</v>
      </c>
      <c r="B2924" t="s">
        <v>22038</v>
      </c>
      <c r="C2924" t="s">
        <v>33</v>
      </c>
      <c r="D2924" t="s">
        <v>58</v>
      </c>
      <c r="E2924">
        <v>1428</v>
      </c>
      <c r="F2924">
        <v>1</v>
      </c>
      <c r="G2924">
        <v>1</v>
      </c>
      <c r="H2924">
        <v>1</v>
      </c>
      <c r="I2924">
        <v>0</v>
      </c>
      <c r="J2924">
        <v>1</v>
      </c>
      <c r="K2924">
        <v>1</v>
      </c>
      <c r="L2924">
        <v>1</v>
      </c>
      <c r="M2924">
        <v>0</v>
      </c>
      <c r="N2924">
        <v>0</v>
      </c>
      <c r="O2924">
        <v>0</v>
      </c>
      <c r="R2924" t="s">
        <v>113</v>
      </c>
      <c r="S2924" t="s">
        <v>114</v>
      </c>
      <c r="V2924" t="s">
        <v>6856</v>
      </c>
      <c r="W2924" t="s">
        <v>6857</v>
      </c>
      <c r="AF2924" t="s">
        <v>22039</v>
      </c>
    </row>
    <row r="2925" spans="1:32" hidden="1" x14ac:dyDescent="0.35">
      <c r="A2925">
        <v>700</v>
      </c>
      <c r="B2925" t="s">
        <v>1430</v>
      </c>
      <c r="C2925" t="s">
        <v>72</v>
      </c>
      <c r="D2925" t="s">
        <v>60</v>
      </c>
      <c r="E2925">
        <v>876</v>
      </c>
      <c r="F2925">
        <v>5</v>
      </c>
      <c r="G2925">
        <v>5</v>
      </c>
      <c r="H2925">
        <v>1</v>
      </c>
      <c r="I2925">
        <v>1</v>
      </c>
      <c r="J2925">
        <v>0.78875638841567297</v>
      </c>
      <c r="K2925">
        <v>0.98084639892202297</v>
      </c>
      <c r="L2925">
        <v>0.87437572854208701</v>
      </c>
      <c r="M2925">
        <v>0.62291169451074002</v>
      </c>
      <c r="N2925">
        <v>1</v>
      </c>
      <c r="O2925">
        <v>0.730310262529833</v>
      </c>
      <c r="P2925" t="s">
        <v>1431</v>
      </c>
      <c r="Q2925" t="s">
        <v>1432</v>
      </c>
      <c r="R2925" t="s">
        <v>371</v>
      </c>
      <c r="S2925" t="s">
        <v>372</v>
      </c>
      <c r="T2925" t="s">
        <v>1433</v>
      </c>
      <c r="U2925" t="s">
        <v>1434</v>
      </c>
      <c r="V2925" t="s">
        <v>1435</v>
      </c>
      <c r="W2925" t="s">
        <v>1436</v>
      </c>
      <c r="AD2925" t="s">
        <v>1437</v>
      </c>
      <c r="AE2925" t="s">
        <v>1438</v>
      </c>
      <c r="AF2925" t="s">
        <v>1440</v>
      </c>
    </row>
    <row r="2926" spans="1:32" hidden="1" x14ac:dyDescent="0.35">
      <c r="A2926">
        <v>701</v>
      </c>
      <c r="B2926" t="s">
        <v>1430</v>
      </c>
      <c r="C2926" t="s">
        <v>72</v>
      </c>
      <c r="D2926" t="s">
        <v>62</v>
      </c>
      <c r="E2926">
        <v>910</v>
      </c>
      <c r="F2926">
        <v>5</v>
      </c>
      <c r="G2926">
        <v>5</v>
      </c>
      <c r="H2926">
        <v>1</v>
      </c>
      <c r="I2926">
        <v>1</v>
      </c>
      <c r="J2926">
        <v>0.78875638841567297</v>
      </c>
      <c r="K2926">
        <v>0.98084639892202297</v>
      </c>
      <c r="L2926">
        <v>0.87437572854208701</v>
      </c>
      <c r="M2926">
        <v>0.62291169451074002</v>
      </c>
      <c r="N2926">
        <v>1</v>
      </c>
      <c r="O2926">
        <v>0.730310262529833</v>
      </c>
      <c r="P2926" t="s">
        <v>1431</v>
      </c>
      <c r="Q2926" t="s">
        <v>1432</v>
      </c>
      <c r="R2926" t="s">
        <v>371</v>
      </c>
      <c r="S2926" t="s">
        <v>372</v>
      </c>
      <c r="T2926" t="s">
        <v>1433</v>
      </c>
      <c r="U2926" t="s">
        <v>1434</v>
      </c>
      <c r="V2926" t="s">
        <v>1435</v>
      </c>
      <c r="W2926" t="s">
        <v>1436</v>
      </c>
      <c r="AD2926" t="s">
        <v>1437</v>
      </c>
      <c r="AE2926" t="s">
        <v>1438</v>
      </c>
      <c r="AF2926" t="s">
        <v>1440</v>
      </c>
    </row>
    <row r="2927" spans="1:32" hidden="1" x14ac:dyDescent="0.35">
      <c r="A2927">
        <v>702</v>
      </c>
      <c r="B2927" t="s">
        <v>1430</v>
      </c>
      <c r="C2927" t="s">
        <v>72</v>
      </c>
      <c r="D2927" t="s">
        <v>34</v>
      </c>
      <c r="E2927">
        <v>280</v>
      </c>
      <c r="F2927">
        <v>5</v>
      </c>
      <c r="G2927">
        <v>5</v>
      </c>
      <c r="H2927">
        <v>1</v>
      </c>
      <c r="I2927">
        <v>1</v>
      </c>
      <c r="J2927">
        <v>0.78875638841567297</v>
      </c>
      <c r="K2927">
        <v>0.98084639892202297</v>
      </c>
      <c r="L2927">
        <v>0.87437572854208701</v>
      </c>
      <c r="M2927">
        <v>0.62291169451074002</v>
      </c>
      <c r="N2927">
        <v>1</v>
      </c>
      <c r="O2927">
        <v>0.730310262529833</v>
      </c>
      <c r="P2927" t="s">
        <v>1431</v>
      </c>
      <c r="Q2927" t="s">
        <v>1432</v>
      </c>
      <c r="R2927" t="s">
        <v>371</v>
      </c>
      <c r="S2927" t="s">
        <v>372</v>
      </c>
      <c r="T2927" t="s">
        <v>1433</v>
      </c>
      <c r="U2927" t="s">
        <v>1434</v>
      </c>
      <c r="V2927" t="s">
        <v>1435</v>
      </c>
      <c r="W2927" t="s">
        <v>1436</v>
      </c>
      <c r="AD2927" t="s">
        <v>1437</v>
      </c>
      <c r="AE2927" t="s">
        <v>1438</v>
      </c>
      <c r="AF2927" t="s">
        <v>1441</v>
      </c>
    </row>
    <row r="2928" spans="1:32" hidden="1" x14ac:dyDescent="0.35">
      <c r="A2928">
        <v>703</v>
      </c>
      <c r="B2928" t="s">
        <v>1430</v>
      </c>
      <c r="C2928" t="s">
        <v>72</v>
      </c>
      <c r="D2928" t="s">
        <v>45</v>
      </c>
      <c r="E2928">
        <v>1542</v>
      </c>
      <c r="F2928">
        <v>5</v>
      </c>
      <c r="G2928">
        <v>5</v>
      </c>
      <c r="H2928">
        <v>1</v>
      </c>
      <c r="I2928">
        <v>1</v>
      </c>
      <c r="J2928">
        <v>0.78875638841567297</v>
      </c>
      <c r="K2928">
        <v>0.98084639892202297</v>
      </c>
      <c r="L2928">
        <v>0.87437572854208701</v>
      </c>
      <c r="M2928">
        <v>0.62291169451074002</v>
      </c>
      <c r="N2928">
        <v>1</v>
      </c>
      <c r="O2928">
        <v>0.730310262529833</v>
      </c>
      <c r="P2928" t="s">
        <v>1431</v>
      </c>
      <c r="Q2928" t="s">
        <v>1432</v>
      </c>
      <c r="R2928" t="s">
        <v>371</v>
      </c>
      <c r="S2928" t="s">
        <v>372</v>
      </c>
      <c r="T2928" t="s">
        <v>1433</v>
      </c>
      <c r="U2928" t="s">
        <v>1434</v>
      </c>
      <c r="V2928" t="s">
        <v>1435</v>
      </c>
      <c r="W2928" t="s">
        <v>1436</v>
      </c>
      <c r="AD2928" t="s">
        <v>1437</v>
      </c>
      <c r="AE2928" t="s">
        <v>1438</v>
      </c>
      <c r="AF2928" t="s">
        <v>1442</v>
      </c>
    </row>
    <row r="2929" spans="1:32" hidden="1" x14ac:dyDescent="0.35">
      <c r="A2929">
        <v>10981</v>
      </c>
      <c r="B2929" t="s">
        <v>22157</v>
      </c>
      <c r="C2929" t="s">
        <v>33</v>
      </c>
      <c r="D2929" t="s">
        <v>58</v>
      </c>
      <c r="E2929">
        <v>882</v>
      </c>
      <c r="F2929">
        <v>1</v>
      </c>
      <c r="G2929">
        <v>1</v>
      </c>
      <c r="H2929">
        <v>1</v>
      </c>
      <c r="I2929">
        <v>0</v>
      </c>
      <c r="J2929">
        <v>1</v>
      </c>
      <c r="K2929">
        <v>1</v>
      </c>
      <c r="L2929">
        <v>1</v>
      </c>
      <c r="M2929">
        <v>0</v>
      </c>
      <c r="N2929">
        <v>0</v>
      </c>
      <c r="O2929">
        <v>0</v>
      </c>
      <c r="P2929" t="s">
        <v>6852</v>
      </c>
      <c r="Q2929" t="s">
        <v>6853</v>
      </c>
      <c r="R2929" t="s">
        <v>113</v>
      </c>
      <c r="S2929" t="s">
        <v>114</v>
      </c>
      <c r="V2929" t="s">
        <v>6856</v>
      </c>
      <c r="W2929" t="s">
        <v>6857</v>
      </c>
      <c r="AF2929" t="s">
        <v>22158</v>
      </c>
    </row>
    <row r="2930" spans="1:32" hidden="1" x14ac:dyDescent="0.35">
      <c r="A2930">
        <v>1145</v>
      </c>
      <c r="B2930" t="s">
        <v>2373</v>
      </c>
      <c r="C2930" t="s">
        <v>72</v>
      </c>
      <c r="D2930" t="s">
        <v>60</v>
      </c>
      <c r="E2930">
        <v>2483</v>
      </c>
      <c r="F2930">
        <v>5</v>
      </c>
      <c r="G2930">
        <v>5</v>
      </c>
      <c r="H2930">
        <v>1</v>
      </c>
      <c r="I2930">
        <v>1</v>
      </c>
      <c r="J2930">
        <v>0.84506098378233496</v>
      </c>
      <c r="K2930">
        <v>0.93428968948289404</v>
      </c>
      <c r="L2930">
        <v>0.88743807052182999</v>
      </c>
      <c r="M2930">
        <v>0.67977528089887596</v>
      </c>
      <c r="N2930">
        <v>1</v>
      </c>
      <c r="O2930">
        <v>0.78277153558052404</v>
      </c>
      <c r="P2930" t="s">
        <v>2374</v>
      </c>
      <c r="Q2930" t="s">
        <v>2375</v>
      </c>
      <c r="R2930" t="s">
        <v>371</v>
      </c>
      <c r="S2930" t="s">
        <v>372</v>
      </c>
      <c r="T2930" t="s">
        <v>2376</v>
      </c>
      <c r="U2930" t="s">
        <v>2377</v>
      </c>
      <c r="V2930" t="s">
        <v>2378</v>
      </c>
      <c r="W2930" t="s">
        <v>2379</v>
      </c>
      <c r="AD2930" t="s">
        <v>2380</v>
      </c>
      <c r="AE2930" t="s">
        <v>2381</v>
      </c>
      <c r="AF2930" t="s">
        <v>2383</v>
      </c>
    </row>
    <row r="2931" spans="1:32" hidden="1" x14ac:dyDescent="0.35">
      <c r="A2931">
        <v>1146</v>
      </c>
      <c r="B2931" t="s">
        <v>2373</v>
      </c>
      <c r="C2931" t="s">
        <v>72</v>
      </c>
      <c r="D2931" t="s">
        <v>62</v>
      </c>
      <c r="E2931">
        <v>10</v>
      </c>
      <c r="F2931">
        <v>5</v>
      </c>
      <c r="G2931">
        <v>5</v>
      </c>
      <c r="H2931">
        <v>1</v>
      </c>
      <c r="I2931">
        <v>1</v>
      </c>
      <c r="J2931">
        <v>0.84506098378233496</v>
      </c>
      <c r="K2931">
        <v>0.93428968948289404</v>
      </c>
      <c r="L2931">
        <v>0.88743807052182999</v>
      </c>
      <c r="M2931">
        <v>0.67977528089887596</v>
      </c>
      <c r="N2931">
        <v>1</v>
      </c>
      <c r="O2931">
        <v>0.78277153558052404</v>
      </c>
      <c r="P2931" t="s">
        <v>2374</v>
      </c>
      <c r="Q2931" t="s">
        <v>2375</v>
      </c>
      <c r="R2931" t="s">
        <v>371</v>
      </c>
      <c r="S2931" t="s">
        <v>372</v>
      </c>
      <c r="T2931" t="s">
        <v>2376</v>
      </c>
      <c r="U2931" t="s">
        <v>2377</v>
      </c>
      <c r="V2931" t="s">
        <v>2378</v>
      </c>
      <c r="W2931" t="s">
        <v>2379</v>
      </c>
      <c r="AD2931" t="s">
        <v>2380</v>
      </c>
      <c r="AE2931" t="s">
        <v>2381</v>
      </c>
      <c r="AF2931" t="s">
        <v>2383</v>
      </c>
    </row>
    <row r="2932" spans="1:32" hidden="1" x14ac:dyDescent="0.35">
      <c r="A2932">
        <v>1147</v>
      </c>
      <c r="B2932" t="s">
        <v>2373</v>
      </c>
      <c r="C2932" t="s">
        <v>72</v>
      </c>
      <c r="D2932" t="s">
        <v>34</v>
      </c>
      <c r="E2932">
        <v>1184</v>
      </c>
      <c r="F2932">
        <v>5</v>
      </c>
      <c r="G2932">
        <v>5</v>
      </c>
      <c r="H2932">
        <v>1</v>
      </c>
      <c r="I2932">
        <v>1</v>
      </c>
      <c r="J2932">
        <v>0.84506098378233496</v>
      </c>
      <c r="K2932">
        <v>0.93428968948289404</v>
      </c>
      <c r="L2932">
        <v>0.88743807052182999</v>
      </c>
      <c r="M2932">
        <v>0.67977528089887596</v>
      </c>
      <c r="N2932">
        <v>1</v>
      </c>
      <c r="O2932">
        <v>0.78277153558052404</v>
      </c>
      <c r="P2932" t="s">
        <v>2374</v>
      </c>
      <c r="Q2932" t="s">
        <v>2375</v>
      </c>
      <c r="R2932" t="s">
        <v>371</v>
      </c>
      <c r="S2932" t="s">
        <v>372</v>
      </c>
      <c r="T2932" t="s">
        <v>2376</v>
      </c>
      <c r="U2932" t="s">
        <v>2377</v>
      </c>
      <c r="V2932" t="s">
        <v>2378</v>
      </c>
      <c r="W2932" t="s">
        <v>2379</v>
      </c>
      <c r="AD2932" t="s">
        <v>2380</v>
      </c>
      <c r="AE2932" t="s">
        <v>2381</v>
      </c>
      <c r="AF2932" t="s">
        <v>2384</v>
      </c>
    </row>
    <row r="2933" spans="1:32" hidden="1" x14ac:dyDescent="0.35">
      <c r="A2933">
        <v>1148</v>
      </c>
      <c r="B2933" t="s">
        <v>2373</v>
      </c>
      <c r="C2933" t="s">
        <v>72</v>
      </c>
      <c r="D2933" t="s">
        <v>45</v>
      </c>
      <c r="E2933">
        <v>2428</v>
      </c>
      <c r="F2933">
        <v>5</v>
      </c>
      <c r="G2933">
        <v>5</v>
      </c>
      <c r="H2933">
        <v>1</v>
      </c>
      <c r="I2933">
        <v>1</v>
      </c>
      <c r="J2933">
        <v>0.84506098378233496</v>
      </c>
      <c r="K2933">
        <v>0.93428968948289404</v>
      </c>
      <c r="L2933">
        <v>0.88743807052182999</v>
      </c>
      <c r="M2933">
        <v>0.67977528089887596</v>
      </c>
      <c r="N2933">
        <v>1</v>
      </c>
      <c r="O2933">
        <v>0.78277153558052404</v>
      </c>
      <c r="P2933" t="s">
        <v>2374</v>
      </c>
      <c r="Q2933" t="s">
        <v>2375</v>
      </c>
      <c r="R2933" t="s">
        <v>371</v>
      </c>
      <c r="S2933" t="s">
        <v>372</v>
      </c>
      <c r="T2933" t="s">
        <v>2376</v>
      </c>
      <c r="U2933" t="s">
        <v>2377</v>
      </c>
      <c r="V2933" t="s">
        <v>2378</v>
      </c>
      <c r="W2933" t="s">
        <v>2379</v>
      </c>
      <c r="AD2933" t="s">
        <v>2380</v>
      </c>
      <c r="AE2933" t="s">
        <v>2381</v>
      </c>
      <c r="AF2933" t="s">
        <v>2384</v>
      </c>
    </row>
    <row r="2934" spans="1:32" hidden="1" x14ac:dyDescent="0.35">
      <c r="A2934">
        <v>11282</v>
      </c>
      <c r="B2934" t="s">
        <v>22950</v>
      </c>
      <c r="C2934" t="s">
        <v>33</v>
      </c>
      <c r="D2934" t="s">
        <v>58</v>
      </c>
      <c r="E2934">
        <v>247</v>
      </c>
      <c r="F2934">
        <v>1</v>
      </c>
      <c r="G2934">
        <v>1</v>
      </c>
      <c r="H2934">
        <v>1</v>
      </c>
      <c r="I2934">
        <v>0</v>
      </c>
      <c r="J2934">
        <v>1</v>
      </c>
      <c r="K2934">
        <v>1</v>
      </c>
      <c r="L2934">
        <v>1</v>
      </c>
      <c r="M2934">
        <v>0</v>
      </c>
      <c r="N2934">
        <v>0</v>
      </c>
      <c r="O2934">
        <v>0</v>
      </c>
      <c r="P2934" t="s">
        <v>22951</v>
      </c>
      <c r="Q2934" t="s">
        <v>22952</v>
      </c>
      <c r="R2934" t="s">
        <v>113</v>
      </c>
      <c r="S2934" t="s">
        <v>114</v>
      </c>
      <c r="V2934" t="s">
        <v>6856</v>
      </c>
      <c r="W2934" t="s">
        <v>6857</v>
      </c>
      <c r="AF2934" t="s">
        <v>22953</v>
      </c>
    </row>
    <row r="2935" spans="1:32" hidden="1" x14ac:dyDescent="0.35">
      <c r="A2935">
        <v>1285</v>
      </c>
      <c r="B2935" t="s">
        <v>2659</v>
      </c>
      <c r="C2935" t="s">
        <v>72</v>
      </c>
      <c r="D2935" t="s">
        <v>60</v>
      </c>
      <c r="E2935">
        <v>996</v>
      </c>
      <c r="F2935">
        <v>5</v>
      </c>
      <c r="G2935">
        <v>5</v>
      </c>
      <c r="H2935">
        <v>1</v>
      </c>
      <c r="I2935">
        <v>1</v>
      </c>
      <c r="J2935">
        <v>0.90357362908194705</v>
      </c>
      <c r="K2935">
        <v>0.94362635276248397</v>
      </c>
      <c r="L2935">
        <v>0.92316576054921995</v>
      </c>
      <c r="M2935">
        <v>0.69130434782608696</v>
      </c>
      <c r="N2935">
        <v>1</v>
      </c>
      <c r="O2935">
        <v>0.81652173913043502</v>
      </c>
      <c r="P2935" t="s">
        <v>2660</v>
      </c>
      <c r="Q2935" t="s">
        <v>2661</v>
      </c>
      <c r="R2935" t="s">
        <v>371</v>
      </c>
      <c r="S2935" t="s">
        <v>372</v>
      </c>
      <c r="T2935" t="s">
        <v>2662</v>
      </c>
      <c r="U2935" t="s">
        <v>2663</v>
      </c>
      <c r="V2935" t="s">
        <v>2664</v>
      </c>
      <c r="W2935" t="s">
        <v>2665</v>
      </c>
      <c r="AD2935" t="s">
        <v>410</v>
      </c>
      <c r="AE2935" t="s">
        <v>563</v>
      </c>
      <c r="AF2935" t="s">
        <v>2666</v>
      </c>
    </row>
    <row r="2936" spans="1:32" hidden="1" x14ac:dyDescent="0.35">
      <c r="A2936">
        <v>1286</v>
      </c>
      <c r="B2936" t="s">
        <v>2659</v>
      </c>
      <c r="C2936" t="s">
        <v>72</v>
      </c>
      <c r="D2936" t="s">
        <v>62</v>
      </c>
      <c r="E2936">
        <v>1032</v>
      </c>
      <c r="F2936">
        <v>5</v>
      </c>
      <c r="G2936">
        <v>5</v>
      </c>
      <c r="H2936">
        <v>1</v>
      </c>
      <c r="I2936">
        <v>1</v>
      </c>
      <c r="J2936">
        <v>0.90357362908194705</v>
      </c>
      <c r="K2936">
        <v>0.94362635276248397</v>
      </c>
      <c r="L2936">
        <v>0.92316576054921995</v>
      </c>
      <c r="M2936">
        <v>0.69130434782608696</v>
      </c>
      <c r="N2936">
        <v>1</v>
      </c>
      <c r="O2936">
        <v>0.81652173913043502</v>
      </c>
      <c r="P2936" t="s">
        <v>2660</v>
      </c>
      <c r="Q2936" t="s">
        <v>2661</v>
      </c>
      <c r="R2936" t="s">
        <v>371</v>
      </c>
      <c r="S2936" t="s">
        <v>372</v>
      </c>
      <c r="T2936" t="s">
        <v>2662</v>
      </c>
      <c r="U2936" t="s">
        <v>2663</v>
      </c>
      <c r="V2936" t="s">
        <v>2664</v>
      </c>
      <c r="W2936" t="s">
        <v>2665</v>
      </c>
      <c r="AD2936" t="s">
        <v>410</v>
      </c>
      <c r="AE2936" t="s">
        <v>563</v>
      </c>
      <c r="AF2936" t="s">
        <v>2666</v>
      </c>
    </row>
    <row r="2937" spans="1:32" hidden="1" x14ac:dyDescent="0.35">
      <c r="A2937">
        <v>1287</v>
      </c>
      <c r="B2937" t="s">
        <v>2659</v>
      </c>
      <c r="C2937" t="s">
        <v>72</v>
      </c>
      <c r="D2937" t="s">
        <v>34</v>
      </c>
      <c r="E2937">
        <v>130</v>
      </c>
      <c r="F2937">
        <v>5</v>
      </c>
      <c r="G2937">
        <v>5</v>
      </c>
      <c r="H2937">
        <v>1</v>
      </c>
      <c r="I2937">
        <v>1</v>
      </c>
      <c r="J2937">
        <v>0.90357362908194705</v>
      </c>
      <c r="K2937">
        <v>0.94362635276248397</v>
      </c>
      <c r="L2937">
        <v>0.92316576054921995</v>
      </c>
      <c r="M2937">
        <v>0.69130434782608696</v>
      </c>
      <c r="N2937">
        <v>1</v>
      </c>
      <c r="O2937">
        <v>0.81652173913043502</v>
      </c>
      <c r="P2937" t="s">
        <v>2660</v>
      </c>
      <c r="Q2937" t="s">
        <v>2661</v>
      </c>
      <c r="R2937" t="s">
        <v>371</v>
      </c>
      <c r="S2937" t="s">
        <v>372</v>
      </c>
      <c r="T2937" t="s">
        <v>2662</v>
      </c>
      <c r="U2937" t="s">
        <v>2663</v>
      </c>
      <c r="V2937" t="s">
        <v>2664</v>
      </c>
      <c r="W2937" t="s">
        <v>2665</v>
      </c>
      <c r="AD2937" t="s">
        <v>410</v>
      </c>
      <c r="AE2937" t="s">
        <v>563</v>
      </c>
      <c r="AF2937" t="s">
        <v>2667</v>
      </c>
    </row>
    <row r="2938" spans="1:32" hidden="1" x14ac:dyDescent="0.35">
      <c r="A2938">
        <v>1288</v>
      </c>
      <c r="B2938" t="s">
        <v>2659</v>
      </c>
      <c r="C2938" t="s">
        <v>72</v>
      </c>
      <c r="D2938" t="s">
        <v>45</v>
      </c>
      <c r="E2938">
        <v>1392</v>
      </c>
      <c r="F2938">
        <v>5</v>
      </c>
      <c r="G2938">
        <v>5</v>
      </c>
      <c r="H2938">
        <v>1</v>
      </c>
      <c r="I2938">
        <v>1</v>
      </c>
      <c r="J2938">
        <v>0.90357362908194705</v>
      </c>
      <c r="K2938">
        <v>0.94362635276248397</v>
      </c>
      <c r="L2938">
        <v>0.92316576054921995</v>
      </c>
      <c r="M2938">
        <v>0.69130434782608696</v>
      </c>
      <c r="N2938">
        <v>1</v>
      </c>
      <c r="O2938">
        <v>0.81652173913043502</v>
      </c>
      <c r="P2938" t="s">
        <v>2660</v>
      </c>
      <c r="Q2938" t="s">
        <v>2661</v>
      </c>
      <c r="R2938" t="s">
        <v>371</v>
      </c>
      <c r="S2938" t="s">
        <v>372</v>
      </c>
      <c r="T2938" t="s">
        <v>2662</v>
      </c>
      <c r="U2938" t="s">
        <v>2663</v>
      </c>
      <c r="V2938" t="s">
        <v>2664</v>
      </c>
      <c r="W2938" t="s">
        <v>2665</v>
      </c>
      <c r="AD2938" t="s">
        <v>410</v>
      </c>
      <c r="AE2938" t="s">
        <v>563</v>
      </c>
      <c r="AF2938" t="s">
        <v>2667</v>
      </c>
    </row>
    <row r="2939" spans="1:32" hidden="1" x14ac:dyDescent="0.35">
      <c r="A2939">
        <v>11876</v>
      </c>
      <c r="B2939" t="s">
        <v>24438</v>
      </c>
      <c r="C2939" t="s">
        <v>33</v>
      </c>
      <c r="D2939" t="s">
        <v>58</v>
      </c>
      <c r="E2939">
        <v>1330</v>
      </c>
      <c r="F2939">
        <v>1</v>
      </c>
      <c r="G2939">
        <v>1</v>
      </c>
      <c r="H2939">
        <v>1</v>
      </c>
      <c r="I2939">
        <v>0</v>
      </c>
      <c r="J2939">
        <v>1</v>
      </c>
      <c r="K2939">
        <v>1</v>
      </c>
      <c r="L2939">
        <v>1</v>
      </c>
      <c r="M2939">
        <v>0</v>
      </c>
      <c r="N2939">
        <v>0</v>
      </c>
      <c r="O2939">
        <v>0</v>
      </c>
      <c r="P2939" t="s">
        <v>20917</v>
      </c>
      <c r="Q2939" t="s">
        <v>20918</v>
      </c>
      <c r="R2939" t="s">
        <v>113</v>
      </c>
      <c r="S2939" t="s">
        <v>114</v>
      </c>
      <c r="T2939" t="s">
        <v>24439</v>
      </c>
      <c r="U2939" t="s">
        <v>24440</v>
      </c>
      <c r="V2939" t="s">
        <v>13654</v>
      </c>
      <c r="W2939" t="s">
        <v>13655</v>
      </c>
      <c r="AD2939" t="s">
        <v>312</v>
      </c>
      <c r="AE2939" t="s">
        <v>24441</v>
      </c>
      <c r="AF2939" t="s">
        <v>24442</v>
      </c>
    </row>
    <row r="2940" spans="1:32" hidden="1" x14ac:dyDescent="0.35">
      <c r="A2940">
        <v>1475</v>
      </c>
      <c r="B2940" t="s">
        <v>3088</v>
      </c>
      <c r="C2940" t="s">
        <v>72</v>
      </c>
      <c r="D2940" t="s">
        <v>60</v>
      </c>
      <c r="E2940">
        <v>149</v>
      </c>
      <c r="F2940">
        <v>5</v>
      </c>
      <c r="G2940">
        <v>5</v>
      </c>
      <c r="H2940">
        <v>1</v>
      </c>
      <c r="I2940">
        <v>1</v>
      </c>
      <c r="J2940">
        <v>0.89210110584518199</v>
      </c>
      <c r="K2940">
        <v>0.96865091108950296</v>
      </c>
      <c r="L2940">
        <v>0.92880141050113996</v>
      </c>
      <c r="M2940">
        <v>0.76605504587156004</v>
      </c>
      <c r="N2940">
        <v>1</v>
      </c>
      <c r="O2940">
        <v>0.83532110091743095</v>
      </c>
      <c r="P2940" t="s">
        <v>3089</v>
      </c>
      <c r="Q2940" t="s">
        <v>3090</v>
      </c>
      <c r="R2940" t="s">
        <v>371</v>
      </c>
      <c r="S2940" t="s">
        <v>372</v>
      </c>
      <c r="T2940" t="s">
        <v>3091</v>
      </c>
      <c r="U2940" t="s">
        <v>3092</v>
      </c>
      <c r="V2940" t="s">
        <v>3093</v>
      </c>
      <c r="W2940" t="s">
        <v>3094</v>
      </c>
      <c r="AD2940" t="s">
        <v>3095</v>
      </c>
      <c r="AE2940" t="s">
        <v>3096</v>
      </c>
      <c r="AF2940" t="s">
        <v>3098</v>
      </c>
    </row>
    <row r="2941" spans="1:32" hidden="1" x14ac:dyDescent="0.35">
      <c r="A2941">
        <v>1476</v>
      </c>
      <c r="B2941" t="s">
        <v>3088</v>
      </c>
      <c r="C2941" t="s">
        <v>72</v>
      </c>
      <c r="D2941" t="s">
        <v>62</v>
      </c>
      <c r="E2941">
        <v>225</v>
      </c>
      <c r="F2941">
        <v>5</v>
      </c>
      <c r="G2941">
        <v>5</v>
      </c>
      <c r="H2941">
        <v>1</v>
      </c>
      <c r="I2941">
        <v>1</v>
      </c>
      <c r="J2941">
        <v>0.89210110584518199</v>
      </c>
      <c r="K2941">
        <v>0.96865091108950296</v>
      </c>
      <c r="L2941">
        <v>0.92880141050113996</v>
      </c>
      <c r="M2941">
        <v>0.76605504587156004</v>
      </c>
      <c r="N2941">
        <v>1</v>
      </c>
      <c r="O2941">
        <v>0.83532110091743095</v>
      </c>
      <c r="P2941" t="s">
        <v>3089</v>
      </c>
      <c r="Q2941" t="s">
        <v>3090</v>
      </c>
      <c r="R2941" t="s">
        <v>371</v>
      </c>
      <c r="S2941" t="s">
        <v>372</v>
      </c>
      <c r="T2941" t="s">
        <v>3091</v>
      </c>
      <c r="U2941" t="s">
        <v>3092</v>
      </c>
      <c r="V2941" t="s">
        <v>3093</v>
      </c>
      <c r="W2941" t="s">
        <v>3094</v>
      </c>
      <c r="AD2941" t="s">
        <v>3095</v>
      </c>
      <c r="AE2941" t="s">
        <v>3096</v>
      </c>
      <c r="AF2941" t="s">
        <v>3099</v>
      </c>
    </row>
    <row r="2942" spans="1:32" hidden="1" x14ac:dyDescent="0.35">
      <c r="A2942">
        <v>1477</v>
      </c>
      <c r="B2942" t="s">
        <v>3088</v>
      </c>
      <c r="C2942" t="s">
        <v>72</v>
      </c>
      <c r="D2942" t="s">
        <v>34</v>
      </c>
      <c r="E2942">
        <v>920</v>
      </c>
      <c r="F2942">
        <v>5</v>
      </c>
      <c r="G2942">
        <v>5</v>
      </c>
      <c r="H2942">
        <v>1</v>
      </c>
      <c r="I2942">
        <v>1</v>
      </c>
      <c r="J2942">
        <v>0.89210110584518199</v>
      </c>
      <c r="K2942">
        <v>0.96865091108950296</v>
      </c>
      <c r="L2942">
        <v>0.92880141050113996</v>
      </c>
      <c r="M2942">
        <v>0.76605504587156004</v>
      </c>
      <c r="N2942">
        <v>1</v>
      </c>
      <c r="O2942">
        <v>0.83532110091743095</v>
      </c>
      <c r="P2942" t="s">
        <v>3089</v>
      </c>
      <c r="Q2942" t="s">
        <v>3090</v>
      </c>
      <c r="R2942" t="s">
        <v>371</v>
      </c>
      <c r="S2942" t="s">
        <v>372</v>
      </c>
      <c r="T2942" t="s">
        <v>3091</v>
      </c>
      <c r="U2942" t="s">
        <v>3092</v>
      </c>
      <c r="V2942" t="s">
        <v>3093</v>
      </c>
      <c r="W2942" t="s">
        <v>3094</v>
      </c>
      <c r="AD2942" t="s">
        <v>3095</v>
      </c>
      <c r="AE2942" t="s">
        <v>3096</v>
      </c>
      <c r="AF2942" t="s">
        <v>3100</v>
      </c>
    </row>
    <row r="2943" spans="1:32" hidden="1" x14ac:dyDescent="0.35">
      <c r="A2943">
        <v>1478</v>
      </c>
      <c r="B2943" t="s">
        <v>3088</v>
      </c>
      <c r="C2943" t="s">
        <v>72</v>
      </c>
      <c r="D2943" t="s">
        <v>45</v>
      </c>
      <c r="E2943">
        <v>2176</v>
      </c>
      <c r="F2943">
        <v>5</v>
      </c>
      <c r="G2943">
        <v>5</v>
      </c>
      <c r="H2943">
        <v>1</v>
      </c>
      <c r="I2943">
        <v>1</v>
      </c>
      <c r="J2943">
        <v>0.89210110584518199</v>
      </c>
      <c r="K2943">
        <v>0.96865091108950296</v>
      </c>
      <c r="L2943">
        <v>0.92880141050113996</v>
      </c>
      <c r="M2943">
        <v>0.76605504587156004</v>
      </c>
      <c r="N2943">
        <v>1</v>
      </c>
      <c r="O2943">
        <v>0.83532110091743095</v>
      </c>
      <c r="P2943" t="s">
        <v>3089</v>
      </c>
      <c r="Q2943" t="s">
        <v>3090</v>
      </c>
      <c r="R2943" t="s">
        <v>371</v>
      </c>
      <c r="S2943" t="s">
        <v>372</v>
      </c>
      <c r="T2943" t="s">
        <v>3091</v>
      </c>
      <c r="U2943" t="s">
        <v>3092</v>
      </c>
      <c r="V2943" t="s">
        <v>3093</v>
      </c>
      <c r="W2943" t="s">
        <v>3094</v>
      </c>
      <c r="AD2943" t="s">
        <v>3095</v>
      </c>
      <c r="AE2943" t="s">
        <v>3096</v>
      </c>
      <c r="AF2943" t="s">
        <v>3100</v>
      </c>
    </row>
    <row r="2944" spans="1:32" hidden="1" x14ac:dyDescent="0.35">
      <c r="A2944">
        <v>11298</v>
      </c>
      <c r="B2944" t="s">
        <v>22999</v>
      </c>
      <c r="C2944" t="s">
        <v>33</v>
      </c>
      <c r="D2944" t="s">
        <v>58</v>
      </c>
      <c r="E2944">
        <v>1361</v>
      </c>
      <c r="F2944">
        <v>1</v>
      </c>
      <c r="G2944">
        <v>1</v>
      </c>
      <c r="H2944">
        <v>1</v>
      </c>
      <c r="I2944">
        <v>0</v>
      </c>
      <c r="J2944">
        <v>1</v>
      </c>
      <c r="K2944">
        <v>1</v>
      </c>
      <c r="L2944">
        <v>1</v>
      </c>
      <c r="M2944">
        <v>0</v>
      </c>
      <c r="N2944">
        <v>0</v>
      </c>
      <c r="O2944">
        <v>0</v>
      </c>
      <c r="P2944" t="s">
        <v>23000</v>
      </c>
      <c r="Q2944" t="s">
        <v>23001</v>
      </c>
      <c r="R2944" t="s">
        <v>113</v>
      </c>
      <c r="S2944" t="s">
        <v>114</v>
      </c>
      <c r="T2944" t="s">
        <v>23002</v>
      </c>
      <c r="U2944" t="s">
        <v>23003</v>
      </c>
      <c r="V2944" t="s">
        <v>23004</v>
      </c>
      <c r="W2944" t="s">
        <v>23005</v>
      </c>
      <c r="AD2944" t="s">
        <v>312</v>
      </c>
      <c r="AE2944" t="s">
        <v>805</v>
      </c>
      <c r="AF2944" t="s">
        <v>23006</v>
      </c>
    </row>
    <row r="2945" spans="1:32" hidden="1" x14ac:dyDescent="0.35">
      <c r="A2945">
        <v>1550</v>
      </c>
      <c r="B2945" t="s">
        <v>3246</v>
      </c>
      <c r="C2945" t="s">
        <v>72</v>
      </c>
      <c r="D2945" t="s">
        <v>60</v>
      </c>
      <c r="E2945">
        <v>2271</v>
      </c>
      <c r="F2945">
        <v>5</v>
      </c>
      <c r="G2945">
        <v>5</v>
      </c>
      <c r="H2945">
        <v>1</v>
      </c>
      <c r="I2945">
        <v>1</v>
      </c>
      <c r="J2945">
        <v>0.73335516262824696</v>
      </c>
      <c r="K2945">
        <v>0.888257733504354</v>
      </c>
      <c r="L2945">
        <v>0.80340800959764602</v>
      </c>
      <c r="M2945">
        <v>0.51873198847262203</v>
      </c>
      <c r="N2945">
        <v>1</v>
      </c>
      <c r="O2945">
        <v>0.63717579250720502</v>
      </c>
      <c r="P2945" t="s">
        <v>3247</v>
      </c>
      <c r="Q2945" t="s">
        <v>3248</v>
      </c>
      <c r="R2945" t="s">
        <v>371</v>
      </c>
      <c r="S2945" t="s">
        <v>372</v>
      </c>
      <c r="T2945" t="s">
        <v>3249</v>
      </c>
      <c r="U2945" t="s">
        <v>3250</v>
      </c>
      <c r="V2945" t="s">
        <v>3251</v>
      </c>
      <c r="W2945" t="s">
        <v>3252</v>
      </c>
      <c r="AD2945" t="s">
        <v>3253</v>
      </c>
      <c r="AE2945" t="s">
        <v>3254</v>
      </c>
      <c r="AF2945" t="s">
        <v>3256</v>
      </c>
    </row>
    <row r="2946" spans="1:32" hidden="1" x14ac:dyDescent="0.35">
      <c r="A2946">
        <v>1551</v>
      </c>
      <c r="B2946" t="s">
        <v>3246</v>
      </c>
      <c r="C2946" t="s">
        <v>72</v>
      </c>
      <c r="D2946" t="s">
        <v>62</v>
      </c>
      <c r="E2946">
        <v>2300</v>
      </c>
      <c r="F2946">
        <v>5</v>
      </c>
      <c r="G2946">
        <v>5</v>
      </c>
      <c r="H2946">
        <v>1</v>
      </c>
      <c r="I2946">
        <v>1</v>
      </c>
      <c r="J2946">
        <v>0.73335516262824696</v>
      </c>
      <c r="K2946">
        <v>0.888257733504354</v>
      </c>
      <c r="L2946">
        <v>0.80340800959764602</v>
      </c>
      <c r="M2946">
        <v>0.51873198847262203</v>
      </c>
      <c r="N2946">
        <v>1</v>
      </c>
      <c r="O2946">
        <v>0.63717579250720502</v>
      </c>
      <c r="P2946" t="s">
        <v>3247</v>
      </c>
      <c r="Q2946" t="s">
        <v>3248</v>
      </c>
      <c r="R2946" t="s">
        <v>371</v>
      </c>
      <c r="S2946" t="s">
        <v>372</v>
      </c>
      <c r="T2946" t="s">
        <v>3249</v>
      </c>
      <c r="U2946" t="s">
        <v>3250</v>
      </c>
      <c r="V2946" t="s">
        <v>3251</v>
      </c>
      <c r="W2946" t="s">
        <v>3252</v>
      </c>
      <c r="AD2946" t="s">
        <v>3253</v>
      </c>
      <c r="AE2946" t="s">
        <v>3254</v>
      </c>
      <c r="AF2946" t="s">
        <v>3256</v>
      </c>
    </row>
    <row r="2947" spans="1:32" hidden="1" x14ac:dyDescent="0.35">
      <c r="A2947">
        <v>1552</v>
      </c>
      <c r="B2947" t="s">
        <v>3246</v>
      </c>
      <c r="C2947" t="s">
        <v>72</v>
      </c>
      <c r="D2947" t="s">
        <v>34</v>
      </c>
      <c r="E2947">
        <v>1517</v>
      </c>
      <c r="F2947">
        <v>5</v>
      </c>
      <c r="G2947">
        <v>5</v>
      </c>
      <c r="H2947">
        <v>1</v>
      </c>
      <c r="I2947">
        <v>1</v>
      </c>
      <c r="J2947">
        <v>0.73335516262824696</v>
      </c>
      <c r="K2947">
        <v>0.888257733504354</v>
      </c>
      <c r="L2947">
        <v>0.80340800959764602</v>
      </c>
      <c r="M2947">
        <v>0.51873198847262203</v>
      </c>
      <c r="N2947">
        <v>1</v>
      </c>
      <c r="O2947">
        <v>0.63717579250720502</v>
      </c>
      <c r="P2947" t="s">
        <v>3247</v>
      </c>
      <c r="Q2947" t="s">
        <v>3248</v>
      </c>
      <c r="R2947" t="s">
        <v>371</v>
      </c>
      <c r="S2947" t="s">
        <v>372</v>
      </c>
      <c r="T2947" t="s">
        <v>3249</v>
      </c>
      <c r="U2947" t="s">
        <v>3250</v>
      </c>
      <c r="V2947" t="s">
        <v>3251</v>
      </c>
      <c r="W2947" t="s">
        <v>3252</v>
      </c>
      <c r="AD2947" t="s">
        <v>3253</v>
      </c>
      <c r="AE2947" t="s">
        <v>3254</v>
      </c>
      <c r="AF2947" t="s">
        <v>3257</v>
      </c>
    </row>
    <row r="2948" spans="1:32" hidden="1" x14ac:dyDescent="0.35">
      <c r="A2948">
        <v>1553</v>
      </c>
      <c r="B2948" t="s">
        <v>3246</v>
      </c>
      <c r="C2948" t="s">
        <v>72</v>
      </c>
      <c r="D2948" t="s">
        <v>45</v>
      </c>
      <c r="E2948">
        <v>267</v>
      </c>
      <c r="F2948">
        <v>5</v>
      </c>
      <c r="G2948">
        <v>5</v>
      </c>
      <c r="H2948">
        <v>1</v>
      </c>
      <c r="I2948">
        <v>1</v>
      </c>
      <c r="J2948">
        <v>0.73335516262824696</v>
      </c>
      <c r="K2948">
        <v>0.888257733504354</v>
      </c>
      <c r="L2948">
        <v>0.80340800959764602</v>
      </c>
      <c r="M2948">
        <v>0.51873198847262203</v>
      </c>
      <c r="N2948">
        <v>1</v>
      </c>
      <c r="O2948">
        <v>0.63717579250720502</v>
      </c>
      <c r="P2948" t="s">
        <v>3247</v>
      </c>
      <c r="Q2948" t="s">
        <v>3248</v>
      </c>
      <c r="R2948" t="s">
        <v>371</v>
      </c>
      <c r="S2948" t="s">
        <v>372</v>
      </c>
      <c r="T2948" t="s">
        <v>3249</v>
      </c>
      <c r="U2948" t="s">
        <v>3250</v>
      </c>
      <c r="V2948" t="s">
        <v>3251</v>
      </c>
      <c r="W2948" t="s">
        <v>3252</v>
      </c>
      <c r="AD2948" t="s">
        <v>3253</v>
      </c>
      <c r="AE2948" t="s">
        <v>3254</v>
      </c>
      <c r="AF2948" t="s">
        <v>3258</v>
      </c>
    </row>
    <row r="2949" spans="1:32" hidden="1" x14ac:dyDescent="0.35">
      <c r="A2949">
        <v>709</v>
      </c>
      <c r="B2949" t="s">
        <v>1451</v>
      </c>
      <c r="C2949" t="s">
        <v>72</v>
      </c>
      <c r="D2949" t="s">
        <v>58</v>
      </c>
      <c r="E2949">
        <v>727</v>
      </c>
      <c r="F2949">
        <v>5</v>
      </c>
      <c r="G2949">
        <v>5</v>
      </c>
      <c r="H2949">
        <v>1</v>
      </c>
      <c r="I2949">
        <v>1</v>
      </c>
      <c r="J2949">
        <v>0.81221964423820603</v>
      </c>
      <c r="K2949">
        <v>0.96269418641896198</v>
      </c>
      <c r="L2949">
        <v>0.88107841191804803</v>
      </c>
      <c r="M2949">
        <v>0.62053571428571397</v>
      </c>
      <c r="N2949">
        <v>1</v>
      </c>
      <c r="O2949">
        <v>0.74464285714285705</v>
      </c>
      <c r="P2949" t="s">
        <v>1452</v>
      </c>
      <c r="Q2949" t="s">
        <v>1453</v>
      </c>
      <c r="R2949" t="s">
        <v>113</v>
      </c>
      <c r="S2949" t="s">
        <v>114</v>
      </c>
      <c r="T2949" t="s">
        <v>1454</v>
      </c>
      <c r="U2949" t="s">
        <v>1455</v>
      </c>
      <c r="V2949" t="s">
        <v>807</v>
      </c>
      <c r="W2949" t="s">
        <v>808</v>
      </c>
      <c r="X2949" t="s">
        <v>807</v>
      </c>
      <c r="Y2949" t="s">
        <v>119</v>
      </c>
      <c r="AD2949" t="s">
        <v>125</v>
      </c>
      <c r="AE2949" t="s">
        <v>126</v>
      </c>
      <c r="AF2949" t="s">
        <v>1456</v>
      </c>
    </row>
    <row r="2950" spans="1:32" hidden="1" x14ac:dyDescent="0.35">
      <c r="A2950">
        <v>1910</v>
      </c>
      <c r="B2950" t="s">
        <v>3954</v>
      </c>
      <c r="C2950" t="s">
        <v>72</v>
      </c>
      <c r="D2950" t="s">
        <v>60</v>
      </c>
      <c r="E2950">
        <v>1</v>
      </c>
      <c r="F2950">
        <v>5</v>
      </c>
      <c r="G2950">
        <v>5</v>
      </c>
      <c r="H2950">
        <v>1</v>
      </c>
      <c r="I2950">
        <v>1</v>
      </c>
      <c r="J2950">
        <v>0.79952550415183898</v>
      </c>
      <c r="K2950">
        <v>0.99345480117631801</v>
      </c>
      <c r="L2950">
        <v>0.88600242668832496</v>
      </c>
      <c r="M2950">
        <v>0.65656565656565702</v>
      </c>
      <c r="N2950">
        <v>1</v>
      </c>
      <c r="O2950">
        <v>0.73888888888888904</v>
      </c>
      <c r="P2950" t="s">
        <v>3955</v>
      </c>
      <c r="Q2950" t="s">
        <v>3956</v>
      </c>
      <c r="R2950" t="s">
        <v>371</v>
      </c>
      <c r="S2950" t="s">
        <v>372</v>
      </c>
      <c r="T2950" t="s">
        <v>3957</v>
      </c>
      <c r="U2950" t="s">
        <v>3958</v>
      </c>
      <c r="V2950" t="s">
        <v>3959</v>
      </c>
      <c r="W2950" t="s">
        <v>3960</v>
      </c>
      <c r="AD2950" t="s">
        <v>3961</v>
      </c>
      <c r="AE2950" t="s">
        <v>3962</v>
      </c>
      <c r="AF2950" t="s">
        <v>3964</v>
      </c>
    </row>
    <row r="2951" spans="1:32" hidden="1" x14ac:dyDescent="0.35">
      <c r="A2951">
        <v>1911</v>
      </c>
      <c r="B2951" t="s">
        <v>3954</v>
      </c>
      <c r="C2951" t="s">
        <v>72</v>
      </c>
      <c r="D2951" t="s">
        <v>62</v>
      </c>
      <c r="E2951">
        <v>80</v>
      </c>
      <c r="F2951">
        <v>5</v>
      </c>
      <c r="G2951">
        <v>5</v>
      </c>
      <c r="H2951">
        <v>1</v>
      </c>
      <c r="I2951">
        <v>1</v>
      </c>
      <c r="J2951">
        <v>0.79952550415183898</v>
      </c>
      <c r="K2951">
        <v>0.99345480117631801</v>
      </c>
      <c r="L2951">
        <v>0.88600242668832496</v>
      </c>
      <c r="M2951">
        <v>0.65656565656565702</v>
      </c>
      <c r="N2951">
        <v>1</v>
      </c>
      <c r="O2951">
        <v>0.73888888888888904</v>
      </c>
      <c r="P2951" t="s">
        <v>3955</v>
      </c>
      <c r="Q2951" t="s">
        <v>3956</v>
      </c>
      <c r="R2951" t="s">
        <v>371</v>
      </c>
      <c r="S2951" t="s">
        <v>372</v>
      </c>
      <c r="T2951" t="s">
        <v>3957</v>
      </c>
      <c r="U2951" t="s">
        <v>3958</v>
      </c>
      <c r="V2951" t="s">
        <v>3959</v>
      </c>
      <c r="W2951" t="s">
        <v>3960</v>
      </c>
      <c r="AD2951" t="s">
        <v>3961</v>
      </c>
      <c r="AE2951" t="s">
        <v>3962</v>
      </c>
      <c r="AF2951" t="s">
        <v>3964</v>
      </c>
    </row>
    <row r="2952" spans="1:32" hidden="1" x14ac:dyDescent="0.35">
      <c r="A2952">
        <v>1912</v>
      </c>
      <c r="B2952" t="s">
        <v>3954</v>
      </c>
      <c r="C2952" t="s">
        <v>72</v>
      </c>
      <c r="D2952" t="s">
        <v>34</v>
      </c>
      <c r="E2952">
        <v>1082</v>
      </c>
      <c r="F2952">
        <v>5</v>
      </c>
      <c r="G2952">
        <v>5</v>
      </c>
      <c r="H2952">
        <v>1</v>
      </c>
      <c r="I2952">
        <v>1</v>
      </c>
      <c r="J2952">
        <v>0.79952550415183898</v>
      </c>
      <c r="K2952">
        <v>0.99345480117631801</v>
      </c>
      <c r="L2952">
        <v>0.88600242668832496</v>
      </c>
      <c r="M2952">
        <v>0.65656565656565702</v>
      </c>
      <c r="N2952">
        <v>1</v>
      </c>
      <c r="O2952">
        <v>0.73888888888888904</v>
      </c>
      <c r="P2952" t="s">
        <v>3955</v>
      </c>
      <c r="Q2952" t="s">
        <v>3956</v>
      </c>
      <c r="R2952" t="s">
        <v>371</v>
      </c>
      <c r="S2952" t="s">
        <v>372</v>
      </c>
      <c r="T2952" t="s">
        <v>3957</v>
      </c>
      <c r="U2952" t="s">
        <v>3958</v>
      </c>
      <c r="V2952" t="s">
        <v>3959</v>
      </c>
      <c r="W2952" t="s">
        <v>3960</v>
      </c>
      <c r="AD2952" t="s">
        <v>3961</v>
      </c>
      <c r="AE2952" t="s">
        <v>3962</v>
      </c>
      <c r="AF2952" t="s">
        <v>3965</v>
      </c>
    </row>
    <row r="2953" spans="1:32" hidden="1" x14ac:dyDescent="0.35">
      <c r="A2953">
        <v>1913</v>
      </c>
      <c r="B2953" t="s">
        <v>3954</v>
      </c>
      <c r="C2953" t="s">
        <v>72</v>
      </c>
      <c r="D2953" t="s">
        <v>45</v>
      </c>
      <c r="E2953">
        <v>2339</v>
      </c>
      <c r="F2953">
        <v>5</v>
      </c>
      <c r="G2953">
        <v>5</v>
      </c>
      <c r="H2953">
        <v>1</v>
      </c>
      <c r="I2953">
        <v>1</v>
      </c>
      <c r="J2953">
        <v>0.79952550415183898</v>
      </c>
      <c r="K2953">
        <v>0.99345480117631801</v>
      </c>
      <c r="L2953">
        <v>0.88600242668832496</v>
      </c>
      <c r="M2953">
        <v>0.65656565656565702</v>
      </c>
      <c r="N2953">
        <v>1</v>
      </c>
      <c r="O2953">
        <v>0.73888888888888904</v>
      </c>
      <c r="P2953" t="s">
        <v>3955</v>
      </c>
      <c r="Q2953" t="s">
        <v>3956</v>
      </c>
      <c r="R2953" t="s">
        <v>371</v>
      </c>
      <c r="S2953" t="s">
        <v>372</v>
      </c>
      <c r="T2953" t="s">
        <v>3957</v>
      </c>
      <c r="U2953" t="s">
        <v>3958</v>
      </c>
      <c r="V2953" t="s">
        <v>3959</v>
      </c>
      <c r="W2953" t="s">
        <v>3960</v>
      </c>
      <c r="AD2953" t="s">
        <v>3961</v>
      </c>
      <c r="AE2953" t="s">
        <v>3962</v>
      </c>
      <c r="AF2953" t="s">
        <v>3966</v>
      </c>
    </row>
    <row r="2954" spans="1:32" hidden="1" x14ac:dyDescent="0.35">
      <c r="A2954">
        <v>1209</v>
      </c>
      <c r="B2954" t="s">
        <v>2518</v>
      </c>
      <c r="C2954" t="s">
        <v>72</v>
      </c>
      <c r="D2954" t="s">
        <v>58</v>
      </c>
      <c r="E2954">
        <v>366</v>
      </c>
      <c r="F2954">
        <v>5</v>
      </c>
      <c r="G2954">
        <v>5</v>
      </c>
      <c r="H2954">
        <v>1</v>
      </c>
      <c r="I2954">
        <v>1</v>
      </c>
      <c r="J2954">
        <v>0.82419855222337102</v>
      </c>
      <c r="K2954">
        <v>0.93218599033816196</v>
      </c>
      <c r="L2954">
        <v>0.87487258629493003</v>
      </c>
      <c r="M2954">
        <v>0.67307692307692302</v>
      </c>
      <c r="N2954">
        <v>1</v>
      </c>
      <c r="O2954">
        <v>0.76346153846153897</v>
      </c>
      <c r="P2954" t="s">
        <v>2519</v>
      </c>
      <c r="Q2954" t="s">
        <v>2520</v>
      </c>
      <c r="R2954" t="s">
        <v>113</v>
      </c>
      <c r="S2954" t="s">
        <v>114</v>
      </c>
      <c r="T2954" t="s">
        <v>1454</v>
      </c>
      <c r="U2954" t="s">
        <v>1455</v>
      </c>
      <c r="V2954" t="s">
        <v>807</v>
      </c>
      <c r="W2954" t="s">
        <v>808</v>
      </c>
      <c r="X2954" t="s">
        <v>807</v>
      </c>
      <c r="Y2954" t="s">
        <v>119</v>
      </c>
      <c r="AD2954" t="s">
        <v>125</v>
      </c>
      <c r="AE2954" t="s">
        <v>126</v>
      </c>
      <c r="AF2954" t="e">
        <f>-----MGQTP---FEQQALPLLDQLYGGALRLTRNPADAEDLVQETYIKAFQAFDGFTQGTNLKAWMYRIMTNLYITNYRKAQRRPTQTSAEEITDYQLLSSASHESQGLESAEVEALKKLPTSEISEALNALSEDYRMVVYYADVEGLAYKEIAEIMGVPLGTVMSRLHRGRKKLRDALKDVARERGIGIAASEKRTQTAGTVGEEN</f>
        <v>#NAME?</v>
      </c>
    </row>
    <row r="2955" spans="1:32" hidden="1" x14ac:dyDescent="0.35">
      <c r="A2955">
        <v>1960</v>
      </c>
      <c r="B2955" t="s">
        <v>4061</v>
      </c>
      <c r="C2955" t="s">
        <v>72</v>
      </c>
      <c r="D2955" t="s">
        <v>60</v>
      </c>
      <c r="E2955">
        <v>12</v>
      </c>
      <c r="F2955">
        <v>5</v>
      </c>
      <c r="G2955">
        <v>5</v>
      </c>
      <c r="H2955">
        <v>1</v>
      </c>
      <c r="I2955">
        <v>1</v>
      </c>
      <c r="J2955">
        <v>0.920061400401464</v>
      </c>
      <c r="K2955">
        <v>0.98485624170886199</v>
      </c>
      <c r="L2955">
        <v>0.95135683864730403</v>
      </c>
      <c r="M2955">
        <v>0.837209302325581</v>
      </c>
      <c r="N2955">
        <v>1</v>
      </c>
      <c r="O2955">
        <v>0.88313953488372099</v>
      </c>
      <c r="P2955" t="s">
        <v>4062</v>
      </c>
      <c r="Q2955" t="s">
        <v>4063</v>
      </c>
      <c r="R2955" t="s">
        <v>371</v>
      </c>
      <c r="S2955" t="s">
        <v>372</v>
      </c>
      <c r="T2955" t="s">
        <v>4064</v>
      </c>
      <c r="U2955" t="s">
        <v>4065</v>
      </c>
      <c r="V2955" t="s">
        <v>4066</v>
      </c>
      <c r="W2955" t="s">
        <v>4067</v>
      </c>
      <c r="AD2955" t="s">
        <v>4068</v>
      </c>
      <c r="AE2955" t="s">
        <v>4069</v>
      </c>
      <c r="AF2955" t="s">
        <v>4071</v>
      </c>
    </row>
    <row r="2956" spans="1:32" hidden="1" x14ac:dyDescent="0.35">
      <c r="A2956">
        <v>1961</v>
      </c>
      <c r="B2956" t="s">
        <v>4061</v>
      </c>
      <c r="C2956" t="s">
        <v>72</v>
      </c>
      <c r="D2956" t="s">
        <v>62</v>
      </c>
      <c r="E2956">
        <v>91</v>
      </c>
      <c r="F2956">
        <v>5</v>
      </c>
      <c r="G2956">
        <v>5</v>
      </c>
      <c r="H2956">
        <v>1</v>
      </c>
      <c r="I2956">
        <v>1</v>
      </c>
      <c r="J2956">
        <v>0.920061400401464</v>
      </c>
      <c r="K2956">
        <v>0.98485624170886199</v>
      </c>
      <c r="L2956">
        <v>0.95135683864730403</v>
      </c>
      <c r="M2956">
        <v>0.837209302325581</v>
      </c>
      <c r="N2956">
        <v>1</v>
      </c>
      <c r="O2956">
        <v>0.88313953488372099</v>
      </c>
      <c r="P2956" t="s">
        <v>4062</v>
      </c>
      <c r="Q2956" t="s">
        <v>4063</v>
      </c>
      <c r="R2956" t="s">
        <v>371</v>
      </c>
      <c r="S2956" t="s">
        <v>372</v>
      </c>
      <c r="T2956" t="s">
        <v>4064</v>
      </c>
      <c r="U2956" t="s">
        <v>4065</v>
      </c>
      <c r="V2956" t="s">
        <v>4066</v>
      </c>
      <c r="W2956" t="s">
        <v>4067</v>
      </c>
      <c r="AD2956" t="s">
        <v>4068</v>
      </c>
      <c r="AE2956" t="s">
        <v>4069</v>
      </c>
      <c r="AF2956" t="s">
        <v>4071</v>
      </c>
    </row>
    <row r="2957" spans="1:32" hidden="1" x14ac:dyDescent="0.35">
      <c r="A2957">
        <v>1962</v>
      </c>
      <c r="B2957" t="s">
        <v>4061</v>
      </c>
      <c r="C2957" t="s">
        <v>72</v>
      </c>
      <c r="D2957" t="s">
        <v>34</v>
      </c>
      <c r="E2957">
        <v>1066</v>
      </c>
      <c r="F2957">
        <v>5</v>
      </c>
      <c r="G2957">
        <v>5</v>
      </c>
      <c r="H2957">
        <v>1</v>
      </c>
      <c r="I2957">
        <v>1</v>
      </c>
      <c r="J2957">
        <v>0.920061400401464</v>
      </c>
      <c r="K2957">
        <v>0.98485624170886199</v>
      </c>
      <c r="L2957">
        <v>0.95135683864730403</v>
      </c>
      <c r="M2957">
        <v>0.837209302325581</v>
      </c>
      <c r="N2957">
        <v>1</v>
      </c>
      <c r="O2957">
        <v>0.88313953488372099</v>
      </c>
      <c r="P2957" t="s">
        <v>4062</v>
      </c>
      <c r="Q2957" t="s">
        <v>4063</v>
      </c>
      <c r="R2957" t="s">
        <v>371</v>
      </c>
      <c r="S2957" t="s">
        <v>372</v>
      </c>
      <c r="T2957" t="s">
        <v>4064</v>
      </c>
      <c r="U2957" t="s">
        <v>4065</v>
      </c>
      <c r="V2957" t="s">
        <v>4066</v>
      </c>
      <c r="W2957" t="s">
        <v>4067</v>
      </c>
      <c r="AD2957" t="s">
        <v>4068</v>
      </c>
      <c r="AE2957" t="s">
        <v>4069</v>
      </c>
      <c r="AF2957" t="s">
        <v>4072</v>
      </c>
    </row>
    <row r="2958" spans="1:32" hidden="1" x14ac:dyDescent="0.35">
      <c r="A2958">
        <v>1963</v>
      </c>
      <c r="B2958" t="s">
        <v>4061</v>
      </c>
      <c r="C2958" t="s">
        <v>72</v>
      </c>
      <c r="D2958" t="s">
        <v>45</v>
      </c>
      <c r="E2958">
        <v>2323</v>
      </c>
      <c r="F2958">
        <v>5</v>
      </c>
      <c r="G2958">
        <v>5</v>
      </c>
      <c r="H2958">
        <v>1</v>
      </c>
      <c r="I2958">
        <v>1</v>
      </c>
      <c r="J2958">
        <v>0.920061400401464</v>
      </c>
      <c r="K2958">
        <v>0.98485624170886199</v>
      </c>
      <c r="L2958">
        <v>0.95135683864730403</v>
      </c>
      <c r="M2958">
        <v>0.837209302325581</v>
      </c>
      <c r="N2958">
        <v>1</v>
      </c>
      <c r="O2958">
        <v>0.88313953488372099</v>
      </c>
      <c r="P2958" t="s">
        <v>4062</v>
      </c>
      <c r="Q2958" t="s">
        <v>4063</v>
      </c>
      <c r="R2958" t="s">
        <v>371</v>
      </c>
      <c r="S2958" t="s">
        <v>372</v>
      </c>
      <c r="T2958" t="s">
        <v>4064</v>
      </c>
      <c r="U2958" t="s">
        <v>4065</v>
      </c>
      <c r="V2958" t="s">
        <v>4066</v>
      </c>
      <c r="W2958" t="s">
        <v>4067</v>
      </c>
      <c r="AD2958" t="s">
        <v>4068</v>
      </c>
      <c r="AE2958" t="s">
        <v>4069</v>
      </c>
      <c r="AF2958" t="s">
        <v>4073</v>
      </c>
    </row>
    <row r="2959" spans="1:32" hidden="1" x14ac:dyDescent="0.35">
      <c r="A2959">
        <v>1975</v>
      </c>
      <c r="B2959" t="s">
        <v>4097</v>
      </c>
      <c r="C2959" t="s">
        <v>72</v>
      </c>
      <c r="D2959" t="s">
        <v>60</v>
      </c>
      <c r="E2959">
        <v>611</v>
      </c>
      <c r="F2959">
        <v>5</v>
      </c>
      <c r="G2959">
        <v>5</v>
      </c>
      <c r="H2959">
        <v>1</v>
      </c>
      <c r="I2959">
        <v>1</v>
      </c>
      <c r="J2959">
        <v>0.79919091485109905</v>
      </c>
      <c r="K2959">
        <v>0.97046421663443205</v>
      </c>
      <c r="L2959">
        <v>0.87653935653695803</v>
      </c>
      <c r="M2959">
        <v>0.608510638297872</v>
      </c>
      <c r="N2959">
        <v>1</v>
      </c>
      <c r="O2959">
        <v>0.72624113475177299</v>
      </c>
      <c r="P2959" t="s">
        <v>381</v>
      </c>
      <c r="Q2959" t="s">
        <v>382</v>
      </c>
      <c r="R2959" t="s">
        <v>371</v>
      </c>
      <c r="S2959" t="s">
        <v>372</v>
      </c>
      <c r="T2959" t="s">
        <v>4100</v>
      </c>
      <c r="U2959" t="s">
        <v>4101</v>
      </c>
      <c r="V2959" t="s">
        <v>4106</v>
      </c>
      <c r="W2959" t="s">
        <v>4107</v>
      </c>
      <c r="AD2959" t="s">
        <v>3017</v>
      </c>
      <c r="AE2959" t="s">
        <v>4104</v>
      </c>
      <c r="AF2959" t="e">
        <f>----MFSLDDLDPDQRLAATAPRGPVCILAGAGTGKTRTITYRIAHLIAQGFVSPNRVLAVTFTARAAGEMRHRLNMMGIGGVQARTFHAAARRQLQYFWPQVAGDLPWRLLDNKFPLVGRAARSVGVESTTENVRDLLSEIEWAKASLVTADMYAERVA-QTKRTPPVTPDKVAEVYRRYEAMKTTDEGMLLDFDDLLLHTAGALENSAAIAEEFRQQYRSFVVDEYQDVTPLQQRLLEAWLGERDDLTVVGDANQTIYSFTGATPEYLLQFSRTYPHAAITRLQRDYRSTPQVTTLANTVIGHASGRMAGTR---LELMGMRPAGPDPVYNAYPDEPTEAREVAAQIDALLKQGVPASEIAVLYRINAQSAVFEQALSDAGIVYQIRGGEGFFTRPEIRQAITQLIRTAQRPD-LPQDAVGPEVHRIARSALAPLGLTPTEPEGAQARERWQSLQALVDLIQELGTATPDIDLSGVLVQLRQRAEAKHPPTMEGVTLASLHAAKGLEWDAVFLVGLVDGSVPISHAIKAG-DAQIEEERRLFYVGITRAREHLRCSWALARQEGGRASRKRTRFLDQIAPDTELEQSRN---KKVRPKKCRVCGKPLETPAAKVLMRCEDCPSDADSEVFETLRSWRAEVARELQTPAYIVFSDATLMAVAESMPTSVEELLGISGIGPVKVERFGEELLAVVRTCAEASDVS</f>
        <v>#NAME?</v>
      </c>
    </row>
    <row r="2960" spans="1:32" hidden="1" x14ac:dyDescent="0.35">
      <c r="A2960">
        <v>1976</v>
      </c>
      <c r="B2960" t="s">
        <v>4097</v>
      </c>
      <c r="C2960" t="s">
        <v>72</v>
      </c>
      <c r="D2960" t="s">
        <v>62</v>
      </c>
      <c r="E2960">
        <v>695</v>
      </c>
      <c r="F2960">
        <v>5</v>
      </c>
      <c r="G2960">
        <v>5</v>
      </c>
      <c r="H2960">
        <v>1</v>
      </c>
      <c r="I2960">
        <v>1</v>
      </c>
      <c r="J2960">
        <v>0.79919091485109905</v>
      </c>
      <c r="K2960">
        <v>0.97046421663443205</v>
      </c>
      <c r="L2960">
        <v>0.87653935653695803</v>
      </c>
      <c r="M2960">
        <v>0.608510638297872</v>
      </c>
      <c r="N2960">
        <v>1</v>
      </c>
      <c r="O2960">
        <v>0.72624113475177299</v>
      </c>
      <c r="P2960" t="s">
        <v>381</v>
      </c>
      <c r="Q2960" t="s">
        <v>382</v>
      </c>
      <c r="R2960" t="s">
        <v>371</v>
      </c>
      <c r="S2960" t="s">
        <v>372</v>
      </c>
      <c r="T2960" t="s">
        <v>4100</v>
      </c>
      <c r="U2960" t="s">
        <v>4101</v>
      </c>
      <c r="V2960" t="s">
        <v>4106</v>
      </c>
      <c r="W2960" t="s">
        <v>4107</v>
      </c>
      <c r="AD2960" t="s">
        <v>3017</v>
      </c>
      <c r="AE2960" t="s">
        <v>4104</v>
      </c>
      <c r="AF2960" t="e">
        <f>----MFSLDDLDPDQRLAATAPRGPVCILAGAGTGKTRTITYRIAHLIAQGFVSPNRVLAVTFTARAAGEMRHRLNMMGIGGVQARTFHAAARRQLQYFWPQVAGDLPWRLLDNKFPLVGRAARSVGVESTTENVRDLLSEIEWAKASLVTADMYAERVA-QTKRTPPVTPDKVAEVYRRYEAMKTTDEGMLLDFDDLLLHTAGALENSAAIAEEFRQQYRSFVVDEYQDVTPLQQRLLEAWLGERDDLTVVGDANQTIYSFTGATPEYLLQFSRTYPHAAITRLQRDYRSTPQVTTLANTVIGHASGRMAGTR---LELMGMRPAGPDPVYNAYPDEPTEAREVAAQIDALLKQGVPASEIAVLYRINAQSAVFEQALSDAGIVYQVRGGEGFFTRPEIRQAITQLIRTAQRPD-LPQDAVGPEVHRIARSALAPLGLTPTEPEGAQARERWQSLQALVDLIQELGTATPDIDLSGVLVQLRQRAEAKHPPTMEGVTLASLHAAKGLEWDAVFLVGLVDGSVPISHAIKAG-DAQIEEERRLFYVGITRAREHLRCSWALARQEGGRASRKRTRFLDQIAPDTELEQSRN---KKVRPKKCRVCGKPLETPAAKVLMRCEDCPSDADSEVFETLRSWRAEVARELQTPAYIVFSDATLMAVAESMPTSVEELLGISGIGPVKVERFGEELLAVVRTCAEASDVS</f>
        <v>#NAME?</v>
      </c>
    </row>
    <row r="2961" spans="1:32" hidden="1" x14ac:dyDescent="0.35">
      <c r="A2961">
        <v>2539</v>
      </c>
      <c r="B2961" t="s">
        <v>5254</v>
      </c>
      <c r="C2961" t="s">
        <v>72</v>
      </c>
      <c r="D2961" t="s">
        <v>58</v>
      </c>
      <c r="E2961">
        <v>97</v>
      </c>
      <c r="F2961">
        <v>5</v>
      </c>
      <c r="G2961">
        <v>5</v>
      </c>
      <c r="H2961">
        <v>1</v>
      </c>
      <c r="I2961">
        <v>1</v>
      </c>
      <c r="J2961">
        <v>0.80686847229598202</v>
      </c>
      <c r="K2961">
        <v>0.96611683848797003</v>
      </c>
      <c r="L2961">
        <v>0.87934086400922495</v>
      </c>
      <c r="M2961">
        <v>0.66666666666666696</v>
      </c>
      <c r="N2961">
        <v>1</v>
      </c>
      <c r="O2961">
        <v>0.74102564102564095</v>
      </c>
      <c r="P2961" t="s">
        <v>2519</v>
      </c>
      <c r="Q2961" t="s">
        <v>2520</v>
      </c>
      <c r="R2961" t="s">
        <v>113</v>
      </c>
      <c r="S2961" t="s">
        <v>114</v>
      </c>
      <c r="T2961" t="s">
        <v>1454</v>
      </c>
      <c r="U2961" t="s">
        <v>1455</v>
      </c>
      <c r="V2961" t="s">
        <v>807</v>
      </c>
      <c r="W2961" t="s">
        <v>808</v>
      </c>
      <c r="X2961" t="s">
        <v>807</v>
      </c>
      <c r="Y2961" t="s">
        <v>119</v>
      </c>
      <c r="AD2961" t="s">
        <v>125</v>
      </c>
      <c r="AE2961" t="s">
        <v>126</v>
      </c>
      <c r="AF2961" t="e">
        <f>--MTYADVETDAYVTQLALKAGRGDRQALDEFIGATHKDVWRLLAHLSSPDTADDLTQETFLRVLGALPRFAARSSARTWILSLARRTWVDSIRHDRARPLKSATEYEDAQATTPTSNSWSEWVDARLLIDELPEERREALILTQVLGFSYEEAAKIAGVRVGTIRSRVARARADIIAASTETNSGEDSPGLRAI</f>
        <v>#NAME?</v>
      </c>
    </row>
    <row r="2962" spans="1:32" hidden="1" x14ac:dyDescent="0.35">
      <c r="A2962">
        <v>1995</v>
      </c>
      <c r="B2962" t="s">
        <v>4130</v>
      </c>
      <c r="C2962" t="s">
        <v>72</v>
      </c>
      <c r="D2962" t="s">
        <v>60</v>
      </c>
      <c r="E2962">
        <v>510</v>
      </c>
      <c r="F2962">
        <v>5</v>
      </c>
      <c r="G2962">
        <v>5</v>
      </c>
      <c r="H2962">
        <v>1</v>
      </c>
      <c r="I2962">
        <v>1</v>
      </c>
      <c r="J2962">
        <v>0.76387039502885001</v>
      </c>
      <c r="K2962">
        <v>0.94663412892089904</v>
      </c>
      <c r="L2962">
        <v>0.84548830579748002</v>
      </c>
      <c r="M2962">
        <v>0.55660377358490598</v>
      </c>
      <c r="N2962">
        <v>1</v>
      </c>
      <c r="O2962">
        <v>0.69433962264150995</v>
      </c>
      <c r="P2962" t="s">
        <v>4131</v>
      </c>
      <c r="Q2962" t="s">
        <v>4132</v>
      </c>
      <c r="R2962" t="s">
        <v>371</v>
      </c>
      <c r="S2962" t="s">
        <v>372</v>
      </c>
      <c r="T2962" t="s">
        <v>4133</v>
      </c>
      <c r="U2962" t="s">
        <v>4134</v>
      </c>
      <c r="V2962" t="s">
        <v>4135</v>
      </c>
      <c r="W2962" t="s">
        <v>4136</v>
      </c>
      <c r="AD2962" t="s">
        <v>1437</v>
      </c>
      <c r="AE2962" t="s">
        <v>4137</v>
      </c>
      <c r="AF2962" t="e">
        <f>-------MSLTITTVNVNGIRAAVRQRSEENRGFHQWLRRSSTDVVLMQEVRATEQQTLDVLAPAIDAGWHYIGAEASAKGRAGVGVLSRFPLADVQVGIPGFEDAGRYIEASLVDAPL--SDVRVASLYLPSGAANTEKQDEKYRFLDIFEDILEQKATSYSHMTIGGDWNICHRREDLKNWKANQKKSGFLADERAFMDAVFGTFPDEESQVADH--GDFLGAVDYV-GTKGR-RQAAVHPQWFDVARRLHPDDAPYTWWTYRGQAFDTNAGWRIDYQAATGAMLERAEKTWVDKASAYELRWSDHSPLNVTYTTN</f>
        <v>#NAME?</v>
      </c>
    </row>
    <row r="2963" spans="1:32" hidden="1" x14ac:dyDescent="0.35">
      <c r="A2963">
        <v>1996</v>
      </c>
      <c r="B2963" t="s">
        <v>4130</v>
      </c>
      <c r="C2963" t="s">
        <v>72</v>
      </c>
      <c r="D2963" t="s">
        <v>62</v>
      </c>
      <c r="E2963">
        <v>594</v>
      </c>
      <c r="F2963">
        <v>5</v>
      </c>
      <c r="G2963">
        <v>5</v>
      </c>
      <c r="H2963">
        <v>1</v>
      </c>
      <c r="I2963">
        <v>1</v>
      </c>
      <c r="J2963">
        <v>0.76387039502885001</v>
      </c>
      <c r="K2963">
        <v>0.94663412892089904</v>
      </c>
      <c r="L2963">
        <v>0.84548830579748002</v>
      </c>
      <c r="M2963">
        <v>0.55660377358490598</v>
      </c>
      <c r="N2963">
        <v>1</v>
      </c>
      <c r="O2963">
        <v>0.69433962264150995</v>
      </c>
      <c r="P2963" t="s">
        <v>4131</v>
      </c>
      <c r="Q2963" t="s">
        <v>4132</v>
      </c>
      <c r="R2963" t="s">
        <v>371</v>
      </c>
      <c r="S2963" t="s">
        <v>372</v>
      </c>
      <c r="T2963" t="s">
        <v>4133</v>
      </c>
      <c r="U2963" t="s">
        <v>4134</v>
      </c>
      <c r="V2963" t="s">
        <v>4135</v>
      </c>
      <c r="W2963" t="s">
        <v>4136</v>
      </c>
      <c r="AD2963" t="s">
        <v>1437</v>
      </c>
      <c r="AE2963" t="s">
        <v>4137</v>
      </c>
      <c r="AF2963" t="e">
        <f>-------MSLTITTVNVNGIRAAVRQRSEENRGFHQWLRRSSTDVVLMQEVRATEQQTLDVLAPAIDAGWHYIGAEASAKGRAGVGVLSRFPLADVQVGIPGFEDAGRYIEASLVDAPL--SDVRVASLYLPSGAANTEKQDEKYRFLDIFEDILEQKATSYSHMTIGGDWNICHRREDLKNWKANQKKSGFLADERAFMDAVFGTFPDEESQVADH--GDFLGAVDYV-GTKGR-RQAAVHPQWFDVARRLHPDDAPYTWWTYRGQAFDTNAGWRIDYQAATGAMLERAEKTWVDKASAYELRWSDHSPLNVTYTTN</f>
        <v>#NAME?</v>
      </c>
    </row>
    <row r="2964" spans="1:32" hidden="1" x14ac:dyDescent="0.35">
      <c r="A2964">
        <v>1997</v>
      </c>
      <c r="B2964" t="s">
        <v>4130</v>
      </c>
      <c r="C2964" t="s">
        <v>72</v>
      </c>
      <c r="D2964" t="s">
        <v>34</v>
      </c>
      <c r="E2964">
        <v>582</v>
      </c>
      <c r="F2964">
        <v>5</v>
      </c>
      <c r="G2964">
        <v>5</v>
      </c>
      <c r="H2964">
        <v>1</v>
      </c>
      <c r="I2964">
        <v>1</v>
      </c>
      <c r="J2964">
        <v>0.76387039502885001</v>
      </c>
      <c r="K2964">
        <v>0.94663412892089904</v>
      </c>
      <c r="L2964">
        <v>0.84548830579748002</v>
      </c>
      <c r="M2964">
        <v>0.55660377358490598</v>
      </c>
      <c r="N2964">
        <v>1</v>
      </c>
      <c r="O2964">
        <v>0.69433962264150995</v>
      </c>
      <c r="P2964" t="s">
        <v>4131</v>
      </c>
      <c r="Q2964" t="s">
        <v>4132</v>
      </c>
      <c r="R2964" t="s">
        <v>371</v>
      </c>
      <c r="S2964" t="s">
        <v>372</v>
      </c>
      <c r="T2964" t="s">
        <v>4133</v>
      </c>
      <c r="U2964" t="s">
        <v>4134</v>
      </c>
      <c r="V2964" t="s">
        <v>4135</v>
      </c>
      <c r="W2964" t="s">
        <v>4136</v>
      </c>
      <c r="AD2964" t="s">
        <v>1437</v>
      </c>
      <c r="AE2964" t="s">
        <v>4137</v>
      </c>
      <c r="AF2964" t="s">
        <v>4139</v>
      </c>
    </row>
    <row r="2965" spans="1:32" hidden="1" x14ac:dyDescent="0.35">
      <c r="A2965">
        <v>1998</v>
      </c>
      <c r="B2965" t="s">
        <v>4130</v>
      </c>
      <c r="C2965" t="s">
        <v>72</v>
      </c>
      <c r="D2965" t="s">
        <v>45</v>
      </c>
      <c r="E2965">
        <v>1848</v>
      </c>
      <c r="F2965">
        <v>5</v>
      </c>
      <c r="G2965">
        <v>5</v>
      </c>
      <c r="H2965">
        <v>1</v>
      </c>
      <c r="I2965">
        <v>1</v>
      </c>
      <c r="J2965">
        <v>0.76387039502885001</v>
      </c>
      <c r="K2965">
        <v>0.94663412892089904</v>
      </c>
      <c r="L2965">
        <v>0.84548830579748002</v>
      </c>
      <c r="M2965">
        <v>0.55660377358490598</v>
      </c>
      <c r="N2965">
        <v>1</v>
      </c>
      <c r="O2965">
        <v>0.69433962264150995</v>
      </c>
      <c r="P2965" t="s">
        <v>4131</v>
      </c>
      <c r="Q2965" t="s">
        <v>4132</v>
      </c>
      <c r="R2965" t="s">
        <v>371</v>
      </c>
      <c r="S2965" t="s">
        <v>372</v>
      </c>
      <c r="T2965" t="s">
        <v>4133</v>
      </c>
      <c r="U2965" t="s">
        <v>4134</v>
      </c>
      <c r="V2965" t="s">
        <v>4135</v>
      </c>
      <c r="W2965" t="s">
        <v>4136</v>
      </c>
      <c r="AD2965" t="s">
        <v>1437</v>
      </c>
      <c r="AE2965" t="s">
        <v>4137</v>
      </c>
      <c r="AF2965" t="s">
        <v>4140</v>
      </c>
    </row>
    <row r="2966" spans="1:32" hidden="1" x14ac:dyDescent="0.35">
      <c r="A2966">
        <v>2904</v>
      </c>
      <c r="B2966" t="s">
        <v>5987</v>
      </c>
      <c r="C2966" t="s">
        <v>72</v>
      </c>
      <c r="D2966" t="s">
        <v>58</v>
      </c>
      <c r="E2966">
        <v>1567</v>
      </c>
      <c r="F2966">
        <v>5</v>
      </c>
      <c r="G2966">
        <v>5</v>
      </c>
      <c r="H2966">
        <v>1</v>
      </c>
      <c r="I2966">
        <v>1</v>
      </c>
      <c r="J2966">
        <v>0.81731784582893396</v>
      </c>
      <c r="K2966">
        <v>0.91590022296544205</v>
      </c>
      <c r="L2966">
        <v>0.86380543880328597</v>
      </c>
      <c r="M2966">
        <v>0.62019230769230804</v>
      </c>
      <c r="N2966">
        <v>1</v>
      </c>
      <c r="O2966">
        <v>0.71826923076923099</v>
      </c>
      <c r="P2966" t="s">
        <v>5988</v>
      </c>
      <c r="Q2966" t="s">
        <v>2520</v>
      </c>
      <c r="R2966" t="s">
        <v>113</v>
      </c>
      <c r="S2966" t="s">
        <v>114</v>
      </c>
      <c r="T2966" t="s">
        <v>1454</v>
      </c>
      <c r="U2966" t="s">
        <v>1455</v>
      </c>
      <c r="V2966" t="s">
        <v>807</v>
      </c>
      <c r="W2966" t="s">
        <v>808</v>
      </c>
      <c r="X2966" t="s">
        <v>807</v>
      </c>
      <c r="Y2966" t="s">
        <v>119</v>
      </c>
      <c r="AD2966" t="s">
        <v>125</v>
      </c>
      <c r="AE2966" t="s">
        <v>126</v>
      </c>
      <c r="AF2966" t="e">
        <f>------------------MAAAEADRELDALVPQAAAGDQAALARIMAIIQPPLLRYTRARITGGRHPNAEDVTQEICLAVATSIPNYVDRGRPFMAFVYGIAANKVADAHRFFARDVANPTEDVPETEHDSFTPEQFALVSEGSNRVRLLLDSLNDKAREVITLRVFVGLSAEETAEIVGSTPGAVRVVQHRALASLRKTLEEQELQ</f>
        <v>#NAME?</v>
      </c>
    </row>
    <row r="2967" spans="1:32" hidden="1" x14ac:dyDescent="0.35">
      <c r="A2967">
        <v>2240</v>
      </c>
      <c r="B2967" t="s">
        <v>4659</v>
      </c>
      <c r="C2967" t="s">
        <v>72</v>
      </c>
      <c r="D2967" t="s">
        <v>60</v>
      </c>
      <c r="E2967">
        <v>1022</v>
      </c>
      <c r="F2967">
        <v>5</v>
      </c>
      <c r="G2967">
        <v>5</v>
      </c>
      <c r="H2967">
        <v>1</v>
      </c>
      <c r="I2967">
        <v>1</v>
      </c>
      <c r="J2967">
        <v>0.80627324329614403</v>
      </c>
      <c r="K2967">
        <v>0.91407866460092402</v>
      </c>
      <c r="L2967">
        <v>0.85679815408986804</v>
      </c>
      <c r="M2967">
        <v>0.63818424566088106</v>
      </c>
      <c r="N2967">
        <v>1</v>
      </c>
      <c r="O2967">
        <v>0.72483311081441903</v>
      </c>
      <c r="P2967" t="s">
        <v>4660</v>
      </c>
      <c r="Q2967" t="s">
        <v>4661</v>
      </c>
      <c r="R2967" t="s">
        <v>371</v>
      </c>
      <c r="S2967" t="s">
        <v>372</v>
      </c>
      <c r="T2967" t="s">
        <v>4662</v>
      </c>
      <c r="U2967" t="s">
        <v>4663</v>
      </c>
      <c r="V2967" t="s">
        <v>4664</v>
      </c>
      <c r="W2967" t="s">
        <v>4665</v>
      </c>
      <c r="AD2967" t="s">
        <v>4666</v>
      </c>
      <c r="AE2967" t="s">
        <v>4667</v>
      </c>
      <c r="AF2967" t="s">
        <v>4669</v>
      </c>
    </row>
    <row r="2968" spans="1:32" hidden="1" x14ac:dyDescent="0.35">
      <c r="A2968">
        <v>2241</v>
      </c>
      <c r="B2968" t="s">
        <v>4659</v>
      </c>
      <c r="C2968" t="s">
        <v>72</v>
      </c>
      <c r="D2968" t="s">
        <v>62</v>
      </c>
      <c r="E2968">
        <v>1058</v>
      </c>
      <c r="F2968">
        <v>5</v>
      </c>
      <c r="G2968">
        <v>5</v>
      </c>
      <c r="H2968">
        <v>1</v>
      </c>
      <c r="I2968">
        <v>1</v>
      </c>
      <c r="J2968">
        <v>0.80627324329614403</v>
      </c>
      <c r="K2968">
        <v>0.91407866460092402</v>
      </c>
      <c r="L2968">
        <v>0.85679815408986804</v>
      </c>
      <c r="M2968">
        <v>0.63818424566088106</v>
      </c>
      <c r="N2968">
        <v>1</v>
      </c>
      <c r="O2968">
        <v>0.72483311081441903</v>
      </c>
      <c r="P2968" t="s">
        <v>4660</v>
      </c>
      <c r="Q2968" t="s">
        <v>4661</v>
      </c>
      <c r="R2968" t="s">
        <v>371</v>
      </c>
      <c r="S2968" t="s">
        <v>372</v>
      </c>
      <c r="T2968" t="s">
        <v>4662</v>
      </c>
      <c r="U2968" t="s">
        <v>4663</v>
      </c>
      <c r="V2968" t="s">
        <v>4664</v>
      </c>
      <c r="W2968" t="s">
        <v>4665</v>
      </c>
      <c r="AD2968" t="s">
        <v>4666</v>
      </c>
      <c r="AE2968" t="s">
        <v>4667</v>
      </c>
      <c r="AF2968" t="s">
        <v>4669</v>
      </c>
    </row>
    <row r="2969" spans="1:32" hidden="1" x14ac:dyDescent="0.35">
      <c r="A2969">
        <v>2242</v>
      </c>
      <c r="B2969" t="s">
        <v>4659</v>
      </c>
      <c r="C2969" t="s">
        <v>72</v>
      </c>
      <c r="D2969" t="s">
        <v>34</v>
      </c>
      <c r="E2969">
        <v>110</v>
      </c>
      <c r="F2969">
        <v>5</v>
      </c>
      <c r="G2969">
        <v>5</v>
      </c>
      <c r="H2969">
        <v>1</v>
      </c>
      <c r="I2969">
        <v>1</v>
      </c>
      <c r="J2969">
        <v>0.80627324329614403</v>
      </c>
      <c r="K2969">
        <v>0.91407866460092402</v>
      </c>
      <c r="L2969">
        <v>0.85679815408986804</v>
      </c>
      <c r="M2969">
        <v>0.63818424566088106</v>
      </c>
      <c r="N2969">
        <v>1</v>
      </c>
      <c r="O2969">
        <v>0.72483311081441903</v>
      </c>
      <c r="P2969" t="s">
        <v>4660</v>
      </c>
      <c r="Q2969" t="s">
        <v>4661</v>
      </c>
      <c r="R2969" t="s">
        <v>371</v>
      </c>
      <c r="S2969" t="s">
        <v>372</v>
      </c>
      <c r="T2969" t="s">
        <v>4662</v>
      </c>
      <c r="U2969" t="s">
        <v>4663</v>
      </c>
      <c r="V2969" t="s">
        <v>4664</v>
      </c>
      <c r="W2969" t="s">
        <v>4665</v>
      </c>
      <c r="AD2969" t="s">
        <v>4666</v>
      </c>
      <c r="AE2969" t="s">
        <v>4667</v>
      </c>
      <c r="AF2969" t="s">
        <v>4670</v>
      </c>
    </row>
    <row r="2970" spans="1:32" hidden="1" x14ac:dyDescent="0.35">
      <c r="A2970">
        <v>2243</v>
      </c>
      <c r="B2970" t="s">
        <v>4659</v>
      </c>
      <c r="C2970" t="s">
        <v>72</v>
      </c>
      <c r="D2970" t="s">
        <v>45</v>
      </c>
      <c r="E2970">
        <v>1372</v>
      </c>
      <c r="F2970">
        <v>5</v>
      </c>
      <c r="G2970">
        <v>5</v>
      </c>
      <c r="H2970">
        <v>1</v>
      </c>
      <c r="I2970">
        <v>1</v>
      </c>
      <c r="J2970">
        <v>0.80627324329614403</v>
      </c>
      <c r="K2970">
        <v>0.91407866460092402</v>
      </c>
      <c r="L2970">
        <v>0.85679815408986804</v>
      </c>
      <c r="M2970">
        <v>0.63818424566088106</v>
      </c>
      <c r="N2970">
        <v>1</v>
      </c>
      <c r="O2970">
        <v>0.72483311081441903</v>
      </c>
      <c r="P2970" t="s">
        <v>4660</v>
      </c>
      <c r="Q2970" t="s">
        <v>4661</v>
      </c>
      <c r="R2970" t="s">
        <v>371</v>
      </c>
      <c r="S2970" t="s">
        <v>372</v>
      </c>
      <c r="T2970" t="s">
        <v>4662</v>
      </c>
      <c r="U2970" t="s">
        <v>4663</v>
      </c>
      <c r="V2970" t="s">
        <v>4664</v>
      </c>
      <c r="W2970" t="s">
        <v>4665</v>
      </c>
      <c r="AD2970" t="s">
        <v>4666</v>
      </c>
      <c r="AE2970" t="s">
        <v>4667</v>
      </c>
      <c r="AF2970" t="s">
        <v>4671</v>
      </c>
    </row>
    <row r="2971" spans="1:32" hidden="1" x14ac:dyDescent="0.35">
      <c r="A2971">
        <v>11730</v>
      </c>
      <c r="B2971" t="s">
        <v>24093</v>
      </c>
      <c r="C2971" t="s">
        <v>33</v>
      </c>
      <c r="D2971" t="s">
        <v>58</v>
      </c>
      <c r="E2971">
        <v>1878</v>
      </c>
      <c r="F2971">
        <v>1</v>
      </c>
      <c r="G2971">
        <v>1</v>
      </c>
      <c r="H2971">
        <v>1</v>
      </c>
      <c r="I2971">
        <v>0</v>
      </c>
      <c r="J2971">
        <v>1</v>
      </c>
      <c r="K2971">
        <v>1</v>
      </c>
      <c r="L2971">
        <v>1</v>
      </c>
      <c r="M2971">
        <v>0</v>
      </c>
      <c r="N2971">
        <v>0</v>
      </c>
      <c r="O2971">
        <v>0</v>
      </c>
      <c r="P2971" t="s">
        <v>2519</v>
      </c>
      <c r="Q2971" t="s">
        <v>2520</v>
      </c>
      <c r="R2971" t="s">
        <v>113</v>
      </c>
      <c r="S2971" t="s">
        <v>114</v>
      </c>
      <c r="T2971" t="s">
        <v>1454</v>
      </c>
      <c r="U2971" t="s">
        <v>1455</v>
      </c>
      <c r="V2971" t="s">
        <v>807</v>
      </c>
      <c r="W2971" t="s">
        <v>808</v>
      </c>
      <c r="X2971" t="s">
        <v>807</v>
      </c>
      <c r="Y2971" t="s">
        <v>119</v>
      </c>
      <c r="AD2971" t="s">
        <v>125</v>
      </c>
      <c r="AE2971" t="s">
        <v>126</v>
      </c>
      <c r="AF2971" t="s">
        <v>24094</v>
      </c>
    </row>
    <row r="2972" spans="1:32" hidden="1" x14ac:dyDescent="0.35">
      <c r="A2972">
        <v>2465</v>
      </c>
      <c r="B2972" t="s">
        <v>5102</v>
      </c>
      <c r="C2972" t="s">
        <v>72</v>
      </c>
      <c r="D2972" t="s">
        <v>60</v>
      </c>
      <c r="E2972">
        <v>1192</v>
      </c>
      <c r="F2972">
        <v>5</v>
      </c>
      <c r="G2972">
        <v>5</v>
      </c>
      <c r="H2972">
        <v>1</v>
      </c>
      <c r="I2972">
        <v>1</v>
      </c>
      <c r="J2972">
        <v>0.80850277264325299</v>
      </c>
      <c r="K2972">
        <v>0.95710347592912803</v>
      </c>
      <c r="L2972">
        <v>0.87654970027534096</v>
      </c>
      <c r="M2972">
        <v>0.61837455830388699</v>
      </c>
      <c r="N2972">
        <v>1</v>
      </c>
      <c r="O2972">
        <v>0.72932862190812697</v>
      </c>
      <c r="P2972" t="s">
        <v>5103</v>
      </c>
      <c r="Q2972" t="s">
        <v>5104</v>
      </c>
      <c r="R2972" t="s">
        <v>371</v>
      </c>
      <c r="S2972" t="s">
        <v>372</v>
      </c>
      <c r="T2972" t="s">
        <v>5105</v>
      </c>
      <c r="U2972" t="s">
        <v>5106</v>
      </c>
      <c r="V2972" t="s">
        <v>5107</v>
      </c>
      <c r="W2972" t="s">
        <v>5108</v>
      </c>
      <c r="AD2972" t="s">
        <v>1480</v>
      </c>
      <c r="AE2972" t="s">
        <v>5109</v>
      </c>
      <c r="AF2972" t="s">
        <v>5111</v>
      </c>
    </row>
    <row r="2973" spans="1:32" hidden="1" x14ac:dyDescent="0.35">
      <c r="A2973">
        <v>2466</v>
      </c>
      <c r="B2973" t="s">
        <v>5102</v>
      </c>
      <c r="C2973" t="s">
        <v>72</v>
      </c>
      <c r="D2973" t="s">
        <v>62</v>
      </c>
      <c r="E2973">
        <v>1229</v>
      </c>
      <c r="F2973">
        <v>5</v>
      </c>
      <c r="G2973">
        <v>5</v>
      </c>
      <c r="H2973">
        <v>1</v>
      </c>
      <c r="I2973">
        <v>1</v>
      </c>
      <c r="J2973">
        <v>0.80850277264325299</v>
      </c>
      <c r="K2973">
        <v>0.95710347592912803</v>
      </c>
      <c r="L2973">
        <v>0.87654970027534096</v>
      </c>
      <c r="M2973">
        <v>0.61837455830388699</v>
      </c>
      <c r="N2973">
        <v>1</v>
      </c>
      <c r="O2973">
        <v>0.72932862190812697</v>
      </c>
      <c r="P2973" t="s">
        <v>5103</v>
      </c>
      <c r="Q2973" t="s">
        <v>5104</v>
      </c>
      <c r="R2973" t="s">
        <v>371</v>
      </c>
      <c r="S2973" t="s">
        <v>372</v>
      </c>
      <c r="T2973" t="s">
        <v>5105</v>
      </c>
      <c r="U2973" t="s">
        <v>5106</v>
      </c>
      <c r="V2973" t="s">
        <v>5107</v>
      </c>
      <c r="W2973" t="s">
        <v>5108</v>
      </c>
      <c r="AD2973" t="s">
        <v>1480</v>
      </c>
      <c r="AE2973" t="s">
        <v>5109</v>
      </c>
      <c r="AF2973" t="s">
        <v>5112</v>
      </c>
    </row>
    <row r="2974" spans="1:32" hidden="1" x14ac:dyDescent="0.35">
      <c r="A2974">
        <v>2467</v>
      </c>
      <c r="B2974" t="s">
        <v>5102</v>
      </c>
      <c r="C2974" t="s">
        <v>72</v>
      </c>
      <c r="D2974" t="s">
        <v>34</v>
      </c>
      <c r="E2974">
        <v>1658</v>
      </c>
      <c r="F2974">
        <v>5</v>
      </c>
      <c r="G2974">
        <v>5</v>
      </c>
      <c r="H2974">
        <v>1</v>
      </c>
      <c r="I2974">
        <v>1</v>
      </c>
      <c r="J2974">
        <v>0.80850277264325299</v>
      </c>
      <c r="K2974">
        <v>0.95710347592912803</v>
      </c>
      <c r="L2974">
        <v>0.87654970027534096</v>
      </c>
      <c r="M2974">
        <v>0.61837455830388699</v>
      </c>
      <c r="N2974">
        <v>1</v>
      </c>
      <c r="O2974">
        <v>0.72932862190812697</v>
      </c>
      <c r="P2974" t="s">
        <v>5103</v>
      </c>
      <c r="Q2974" t="s">
        <v>5104</v>
      </c>
      <c r="R2974" t="s">
        <v>371</v>
      </c>
      <c r="S2974" t="s">
        <v>372</v>
      </c>
      <c r="T2974" t="s">
        <v>5105</v>
      </c>
      <c r="U2974" t="s">
        <v>5106</v>
      </c>
      <c r="V2974" t="s">
        <v>5107</v>
      </c>
      <c r="W2974" t="s">
        <v>5108</v>
      </c>
      <c r="AD2974" t="s">
        <v>1480</v>
      </c>
      <c r="AE2974" t="s">
        <v>5109</v>
      </c>
      <c r="AF2974" t="s">
        <v>5113</v>
      </c>
    </row>
    <row r="2975" spans="1:32" hidden="1" x14ac:dyDescent="0.35">
      <c r="A2975">
        <v>2468</v>
      </c>
      <c r="B2975" t="s">
        <v>5102</v>
      </c>
      <c r="C2975" t="s">
        <v>72</v>
      </c>
      <c r="D2975" t="s">
        <v>45</v>
      </c>
      <c r="E2975">
        <v>1219</v>
      </c>
      <c r="F2975">
        <v>5</v>
      </c>
      <c r="G2975">
        <v>5</v>
      </c>
      <c r="H2975">
        <v>1</v>
      </c>
      <c r="I2975">
        <v>1</v>
      </c>
      <c r="J2975">
        <v>0.80850277264325299</v>
      </c>
      <c r="K2975">
        <v>0.95710347592912803</v>
      </c>
      <c r="L2975">
        <v>0.87654970027534096</v>
      </c>
      <c r="M2975">
        <v>0.61837455830388699</v>
      </c>
      <c r="N2975">
        <v>1</v>
      </c>
      <c r="O2975">
        <v>0.72932862190812697</v>
      </c>
      <c r="P2975" t="s">
        <v>5103</v>
      </c>
      <c r="Q2975" t="s">
        <v>5104</v>
      </c>
      <c r="R2975" t="s">
        <v>371</v>
      </c>
      <c r="S2975" t="s">
        <v>372</v>
      </c>
      <c r="T2975" t="s">
        <v>5105</v>
      </c>
      <c r="U2975" t="s">
        <v>5106</v>
      </c>
      <c r="V2975" t="s">
        <v>5107</v>
      </c>
      <c r="W2975" t="s">
        <v>5108</v>
      </c>
      <c r="AD2975" t="s">
        <v>1480</v>
      </c>
      <c r="AE2975" t="s">
        <v>5109</v>
      </c>
      <c r="AF2975" t="s">
        <v>5113</v>
      </c>
    </row>
    <row r="2976" spans="1:32" hidden="1" x14ac:dyDescent="0.35">
      <c r="A2976">
        <v>919</v>
      </c>
      <c r="B2976" t="s">
        <v>1912</v>
      </c>
      <c r="C2976" t="s">
        <v>72</v>
      </c>
      <c r="D2976" t="s">
        <v>58</v>
      </c>
      <c r="E2976">
        <v>287</v>
      </c>
      <c r="F2976">
        <v>5</v>
      </c>
      <c r="G2976">
        <v>5</v>
      </c>
      <c r="H2976">
        <v>1</v>
      </c>
      <c r="I2976">
        <v>1</v>
      </c>
      <c r="J2976">
        <v>0.91254565195933302</v>
      </c>
      <c r="K2976">
        <v>0.98748863850731605</v>
      </c>
      <c r="L2976">
        <v>0.94853915842516201</v>
      </c>
      <c r="M2976">
        <v>0.82456140350877205</v>
      </c>
      <c r="N2976">
        <v>1</v>
      </c>
      <c r="O2976">
        <v>0.87602339181286504</v>
      </c>
      <c r="P2976" t="s">
        <v>1913</v>
      </c>
      <c r="Q2976" t="s">
        <v>1914</v>
      </c>
      <c r="R2976" t="s">
        <v>113</v>
      </c>
      <c r="S2976" t="s">
        <v>114</v>
      </c>
      <c r="T2976" t="s">
        <v>1915</v>
      </c>
      <c r="U2976" t="s">
        <v>1916</v>
      </c>
      <c r="V2976" t="s">
        <v>1917</v>
      </c>
      <c r="W2976" t="s">
        <v>1918</v>
      </c>
      <c r="X2976" t="s">
        <v>1917</v>
      </c>
      <c r="Y2976" t="s">
        <v>119</v>
      </c>
      <c r="AD2976" t="s">
        <v>1566</v>
      </c>
      <c r="AE2976" t="s">
        <v>1567</v>
      </c>
      <c r="AF2976" t="s">
        <v>1919</v>
      </c>
    </row>
    <row r="2977" spans="1:32" hidden="1" x14ac:dyDescent="0.35">
      <c r="A2977">
        <v>2490</v>
      </c>
      <c r="B2977" t="s">
        <v>5153</v>
      </c>
      <c r="C2977" t="s">
        <v>72</v>
      </c>
      <c r="D2977" t="s">
        <v>60</v>
      </c>
      <c r="E2977">
        <v>1421</v>
      </c>
      <c r="F2977">
        <v>5</v>
      </c>
      <c r="G2977">
        <v>5</v>
      </c>
      <c r="H2977">
        <v>1</v>
      </c>
      <c r="I2977">
        <v>1</v>
      </c>
      <c r="J2977">
        <v>0.85381054131054102</v>
      </c>
      <c r="K2977">
        <v>0.85317335272492201</v>
      </c>
      <c r="L2977">
        <v>0.85349182809180202</v>
      </c>
      <c r="M2977">
        <v>0.59641255605381205</v>
      </c>
      <c r="N2977">
        <v>1</v>
      </c>
      <c r="O2977">
        <v>0.73677130044842998</v>
      </c>
      <c r="P2977" t="s">
        <v>5154</v>
      </c>
      <c r="Q2977" t="s">
        <v>5155</v>
      </c>
      <c r="R2977" t="s">
        <v>371</v>
      </c>
      <c r="S2977" t="s">
        <v>372</v>
      </c>
      <c r="T2977" t="s">
        <v>5156</v>
      </c>
      <c r="U2977" t="s">
        <v>5157</v>
      </c>
      <c r="V2977" t="s">
        <v>5158</v>
      </c>
      <c r="W2977" t="s">
        <v>5159</v>
      </c>
      <c r="AD2977" t="s">
        <v>3253</v>
      </c>
      <c r="AE2977" t="s">
        <v>5160</v>
      </c>
      <c r="AF2977" t="s">
        <v>5162</v>
      </c>
    </row>
    <row r="2978" spans="1:32" hidden="1" x14ac:dyDescent="0.35">
      <c r="A2978">
        <v>2491</v>
      </c>
      <c r="B2978" t="s">
        <v>5153</v>
      </c>
      <c r="C2978" t="s">
        <v>72</v>
      </c>
      <c r="D2978" t="s">
        <v>62</v>
      </c>
      <c r="E2978">
        <v>1456</v>
      </c>
      <c r="F2978">
        <v>5</v>
      </c>
      <c r="G2978">
        <v>5</v>
      </c>
      <c r="H2978">
        <v>1</v>
      </c>
      <c r="I2978">
        <v>1</v>
      </c>
      <c r="J2978">
        <v>0.85381054131054102</v>
      </c>
      <c r="K2978">
        <v>0.85317335272492201</v>
      </c>
      <c r="L2978">
        <v>0.85349182809180202</v>
      </c>
      <c r="M2978">
        <v>0.59641255605381205</v>
      </c>
      <c r="N2978">
        <v>1</v>
      </c>
      <c r="O2978">
        <v>0.73677130044842998</v>
      </c>
      <c r="P2978" t="s">
        <v>5154</v>
      </c>
      <c r="Q2978" t="s">
        <v>5155</v>
      </c>
      <c r="R2978" t="s">
        <v>371</v>
      </c>
      <c r="S2978" t="s">
        <v>372</v>
      </c>
      <c r="T2978" t="s">
        <v>5156</v>
      </c>
      <c r="U2978" t="s">
        <v>5157</v>
      </c>
      <c r="V2978" t="s">
        <v>5158</v>
      </c>
      <c r="W2978" t="s">
        <v>5159</v>
      </c>
      <c r="AD2978" t="s">
        <v>3253</v>
      </c>
      <c r="AE2978" t="s">
        <v>5160</v>
      </c>
      <c r="AF2978" t="s">
        <v>5163</v>
      </c>
    </row>
    <row r="2979" spans="1:32" hidden="1" x14ac:dyDescent="0.35">
      <c r="A2979">
        <v>2492</v>
      </c>
      <c r="B2979" t="s">
        <v>5153</v>
      </c>
      <c r="C2979" t="s">
        <v>72</v>
      </c>
      <c r="D2979" t="s">
        <v>34</v>
      </c>
      <c r="E2979">
        <v>1849</v>
      </c>
      <c r="F2979">
        <v>5</v>
      </c>
      <c r="G2979">
        <v>5</v>
      </c>
      <c r="H2979">
        <v>1</v>
      </c>
      <c r="I2979">
        <v>1</v>
      </c>
      <c r="J2979">
        <v>0.85381054131054102</v>
      </c>
      <c r="K2979">
        <v>0.85317335272492201</v>
      </c>
      <c r="L2979">
        <v>0.85349182809180202</v>
      </c>
      <c r="M2979">
        <v>0.59641255605381205</v>
      </c>
      <c r="N2979">
        <v>1</v>
      </c>
      <c r="O2979">
        <v>0.73677130044842998</v>
      </c>
      <c r="P2979" t="s">
        <v>5154</v>
      </c>
      <c r="Q2979" t="s">
        <v>5155</v>
      </c>
      <c r="R2979" t="s">
        <v>371</v>
      </c>
      <c r="S2979" t="s">
        <v>372</v>
      </c>
      <c r="T2979" t="s">
        <v>5156</v>
      </c>
      <c r="U2979" t="s">
        <v>5157</v>
      </c>
      <c r="V2979" t="s">
        <v>5158</v>
      </c>
      <c r="W2979" t="s">
        <v>5159</v>
      </c>
      <c r="AD2979" t="s">
        <v>3253</v>
      </c>
      <c r="AE2979" t="s">
        <v>5160</v>
      </c>
      <c r="AF2979" t="e">
        <f>-----------MGIDPGLTRCGLSVVQAGRGRSVIPVAVGVVRTPSDSDIAHRLLELSEAANDWLDQYQPDVVAIERIFERGNVSTVMNTAHGVGVLMLAAAQRGIDVHLYTPSEVKKAISGNGRADKKQMTAMITRILGLTEAPKPADAADALALAVCHCWRAPLLITNREAEARAQAQSRHQRGILGQAKQAHHSKHPTTPEELRAQLQTQHLNPRGAWRR</f>
        <v>#NAME?</v>
      </c>
    </row>
    <row r="2980" spans="1:32" hidden="1" x14ac:dyDescent="0.35">
      <c r="A2980">
        <v>2493</v>
      </c>
      <c r="B2980" t="s">
        <v>5153</v>
      </c>
      <c r="C2980" t="s">
        <v>72</v>
      </c>
      <c r="D2980" t="s">
        <v>45</v>
      </c>
      <c r="E2980">
        <v>1024</v>
      </c>
      <c r="F2980">
        <v>5</v>
      </c>
      <c r="G2980">
        <v>5</v>
      </c>
      <c r="H2980">
        <v>1</v>
      </c>
      <c r="I2980">
        <v>1</v>
      </c>
      <c r="J2980">
        <v>0.85381054131054102</v>
      </c>
      <c r="K2980">
        <v>0.85317335272492201</v>
      </c>
      <c r="L2980">
        <v>0.85349182809180202</v>
      </c>
      <c r="M2980">
        <v>0.59641255605381205</v>
      </c>
      <c r="N2980">
        <v>1</v>
      </c>
      <c r="O2980">
        <v>0.73677130044842998</v>
      </c>
      <c r="P2980" t="s">
        <v>5154</v>
      </c>
      <c r="Q2980" t="s">
        <v>5155</v>
      </c>
      <c r="R2980" t="s">
        <v>371</v>
      </c>
      <c r="S2980" t="s">
        <v>372</v>
      </c>
      <c r="T2980" t="s">
        <v>5156</v>
      </c>
      <c r="U2980" t="s">
        <v>5157</v>
      </c>
      <c r="V2980" t="s">
        <v>5158</v>
      </c>
      <c r="W2980" t="s">
        <v>5159</v>
      </c>
      <c r="AD2980" t="s">
        <v>3253</v>
      </c>
      <c r="AE2980" t="s">
        <v>5160</v>
      </c>
      <c r="AF2980" t="e">
        <f>-----------MGIDPGLTRCGLSVVQAGRGRSVIPVAVGVVRTPSDSDIAHRLLELSEAANDWLDQYQPDVVAIERIFERGNVSTVMNTAHGVGVLMLAAAQRGIDVHLYTPSEVKKAISGNGRADKKQMTAMITRILGLTEAPKPADAADALALAVCHCWRAPLLITNREAEARAQAQSRHQRGILGQAKQAHHSKHPTTPEELRAQLQTQHLNPRGAWRR</f>
        <v>#NAME?</v>
      </c>
    </row>
    <row r="2981" spans="1:32" hidden="1" x14ac:dyDescent="0.35">
      <c r="A2981">
        <v>2129</v>
      </c>
      <c r="B2981" t="s">
        <v>4434</v>
      </c>
      <c r="C2981" t="s">
        <v>72</v>
      </c>
      <c r="D2981" t="s">
        <v>58</v>
      </c>
      <c r="E2981">
        <v>223</v>
      </c>
      <c r="F2981">
        <v>5</v>
      </c>
      <c r="G2981">
        <v>5</v>
      </c>
      <c r="H2981">
        <v>1</v>
      </c>
      <c r="I2981">
        <v>1</v>
      </c>
      <c r="J2981">
        <v>0.94651591000632995</v>
      </c>
      <c r="K2981">
        <v>0.98454447199441697</v>
      </c>
      <c r="L2981">
        <v>0.96515574089504197</v>
      </c>
      <c r="M2981">
        <v>0.89379779099405299</v>
      </c>
      <c r="N2981">
        <v>1</v>
      </c>
      <c r="O2981">
        <v>0.92310960067969405</v>
      </c>
      <c r="P2981" t="s">
        <v>4435</v>
      </c>
      <c r="Q2981" t="s">
        <v>4436</v>
      </c>
      <c r="R2981" t="s">
        <v>113</v>
      </c>
      <c r="S2981" t="s">
        <v>114</v>
      </c>
      <c r="T2981" t="s">
        <v>4437</v>
      </c>
      <c r="U2981" t="s">
        <v>4438</v>
      </c>
      <c r="V2981" t="s">
        <v>4439</v>
      </c>
      <c r="W2981" t="s">
        <v>4440</v>
      </c>
      <c r="X2981" t="s">
        <v>4439</v>
      </c>
      <c r="Y2981" t="s">
        <v>119</v>
      </c>
      <c r="AD2981" t="s">
        <v>1566</v>
      </c>
      <c r="AE2981" t="s">
        <v>1567</v>
      </c>
      <c r="AF2981" t="s">
        <v>4441</v>
      </c>
    </row>
    <row r="2982" spans="1:32" hidden="1" x14ac:dyDescent="0.35">
      <c r="A2982">
        <v>2780</v>
      </c>
      <c r="B2982" t="s">
        <v>5748</v>
      </c>
      <c r="C2982" t="s">
        <v>72</v>
      </c>
      <c r="D2982" t="s">
        <v>60</v>
      </c>
      <c r="E2982">
        <v>4</v>
      </c>
      <c r="F2982">
        <v>5</v>
      </c>
      <c r="G2982">
        <v>5</v>
      </c>
      <c r="H2982">
        <v>1</v>
      </c>
      <c r="I2982">
        <v>1</v>
      </c>
      <c r="J2982">
        <v>0.90172134765337697</v>
      </c>
      <c r="K2982">
        <v>0.966272589874556</v>
      </c>
      <c r="L2982">
        <v>0.93288163782295397</v>
      </c>
      <c r="M2982">
        <v>0.78977272727272696</v>
      </c>
      <c r="N2982">
        <v>1</v>
      </c>
      <c r="O2982">
        <v>0.84232954545454597</v>
      </c>
      <c r="P2982" t="s">
        <v>5749</v>
      </c>
      <c r="Q2982" t="s">
        <v>5750</v>
      </c>
      <c r="R2982" t="s">
        <v>371</v>
      </c>
      <c r="S2982" t="s">
        <v>372</v>
      </c>
      <c r="T2982" t="s">
        <v>5751</v>
      </c>
      <c r="U2982" t="s">
        <v>5752</v>
      </c>
      <c r="V2982" t="s">
        <v>5753</v>
      </c>
      <c r="W2982" t="s">
        <v>5754</v>
      </c>
      <c r="AD2982" t="s">
        <v>4068</v>
      </c>
      <c r="AE2982" t="s">
        <v>4069</v>
      </c>
      <c r="AF2982" t="s">
        <v>5756</v>
      </c>
    </row>
    <row r="2983" spans="1:32" hidden="1" x14ac:dyDescent="0.35">
      <c r="A2983">
        <v>2781</v>
      </c>
      <c r="B2983" t="s">
        <v>5748</v>
      </c>
      <c r="C2983" t="s">
        <v>72</v>
      </c>
      <c r="D2983" t="s">
        <v>62</v>
      </c>
      <c r="E2983">
        <v>83</v>
      </c>
      <c r="F2983">
        <v>5</v>
      </c>
      <c r="G2983">
        <v>5</v>
      </c>
      <c r="H2983">
        <v>1</v>
      </c>
      <c r="I2983">
        <v>1</v>
      </c>
      <c r="J2983">
        <v>0.90172134765337697</v>
      </c>
      <c r="K2983">
        <v>0.966272589874556</v>
      </c>
      <c r="L2983">
        <v>0.93288163782295397</v>
      </c>
      <c r="M2983">
        <v>0.78977272727272696</v>
      </c>
      <c r="N2983">
        <v>1</v>
      </c>
      <c r="O2983">
        <v>0.84232954545454597</v>
      </c>
      <c r="P2983" t="s">
        <v>5749</v>
      </c>
      <c r="Q2983" t="s">
        <v>5750</v>
      </c>
      <c r="R2983" t="s">
        <v>371</v>
      </c>
      <c r="S2983" t="s">
        <v>372</v>
      </c>
      <c r="T2983" t="s">
        <v>5751</v>
      </c>
      <c r="U2983" t="s">
        <v>5752</v>
      </c>
      <c r="V2983" t="s">
        <v>5753</v>
      </c>
      <c r="W2983" t="s">
        <v>5754</v>
      </c>
      <c r="AD2983" t="s">
        <v>4068</v>
      </c>
      <c r="AE2983" t="s">
        <v>4069</v>
      </c>
      <c r="AF2983" t="s">
        <v>5756</v>
      </c>
    </row>
    <row r="2984" spans="1:32" hidden="1" x14ac:dyDescent="0.35">
      <c r="A2984">
        <v>2782</v>
      </c>
      <c r="B2984" t="s">
        <v>5748</v>
      </c>
      <c r="C2984" t="s">
        <v>72</v>
      </c>
      <c r="D2984" t="s">
        <v>34</v>
      </c>
      <c r="E2984">
        <v>1079</v>
      </c>
      <c r="F2984">
        <v>5</v>
      </c>
      <c r="G2984">
        <v>5</v>
      </c>
      <c r="H2984">
        <v>1</v>
      </c>
      <c r="I2984">
        <v>1</v>
      </c>
      <c r="J2984">
        <v>0.90172134765337697</v>
      </c>
      <c r="K2984">
        <v>0.966272589874556</v>
      </c>
      <c r="L2984">
        <v>0.93288163782295397</v>
      </c>
      <c r="M2984">
        <v>0.78977272727272696</v>
      </c>
      <c r="N2984">
        <v>1</v>
      </c>
      <c r="O2984">
        <v>0.84232954545454597</v>
      </c>
      <c r="P2984" t="s">
        <v>5749</v>
      </c>
      <c r="Q2984" t="s">
        <v>5750</v>
      </c>
      <c r="R2984" t="s">
        <v>371</v>
      </c>
      <c r="S2984" t="s">
        <v>372</v>
      </c>
      <c r="T2984" t="s">
        <v>5751</v>
      </c>
      <c r="U2984" t="s">
        <v>5752</v>
      </c>
      <c r="V2984" t="s">
        <v>5753</v>
      </c>
      <c r="W2984" t="s">
        <v>5754</v>
      </c>
      <c r="AD2984" t="s">
        <v>4068</v>
      </c>
      <c r="AE2984" t="s">
        <v>4069</v>
      </c>
      <c r="AF2984" t="s">
        <v>5757</v>
      </c>
    </row>
    <row r="2985" spans="1:32" hidden="1" x14ac:dyDescent="0.35">
      <c r="A2985">
        <v>2783</v>
      </c>
      <c r="B2985" t="s">
        <v>5748</v>
      </c>
      <c r="C2985" t="s">
        <v>72</v>
      </c>
      <c r="D2985" t="s">
        <v>45</v>
      </c>
      <c r="E2985">
        <v>2336</v>
      </c>
      <c r="F2985">
        <v>5</v>
      </c>
      <c r="G2985">
        <v>5</v>
      </c>
      <c r="H2985">
        <v>1</v>
      </c>
      <c r="I2985">
        <v>1</v>
      </c>
      <c r="J2985">
        <v>0.90172134765337697</v>
      </c>
      <c r="K2985">
        <v>0.966272589874556</v>
      </c>
      <c r="L2985">
        <v>0.93288163782295397</v>
      </c>
      <c r="M2985">
        <v>0.78977272727272696</v>
      </c>
      <c r="N2985">
        <v>1</v>
      </c>
      <c r="O2985">
        <v>0.84232954545454597</v>
      </c>
      <c r="P2985" t="s">
        <v>5749</v>
      </c>
      <c r="Q2985" t="s">
        <v>5750</v>
      </c>
      <c r="R2985" t="s">
        <v>371</v>
      </c>
      <c r="S2985" t="s">
        <v>372</v>
      </c>
      <c r="T2985" t="s">
        <v>5751</v>
      </c>
      <c r="U2985" t="s">
        <v>5752</v>
      </c>
      <c r="V2985" t="s">
        <v>5753</v>
      </c>
      <c r="W2985" t="s">
        <v>5754</v>
      </c>
      <c r="AD2985" t="s">
        <v>4068</v>
      </c>
      <c r="AE2985" t="s">
        <v>4069</v>
      </c>
      <c r="AF2985" t="s">
        <v>5757</v>
      </c>
    </row>
    <row r="2986" spans="1:32" hidden="1" x14ac:dyDescent="0.35">
      <c r="A2986">
        <v>764</v>
      </c>
      <c r="B2986" t="s">
        <v>1559</v>
      </c>
      <c r="C2986" t="s">
        <v>72</v>
      </c>
      <c r="D2986" t="s">
        <v>58</v>
      </c>
      <c r="E2986">
        <v>224</v>
      </c>
      <c r="F2986">
        <v>5</v>
      </c>
      <c r="G2986">
        <v>5</v>
      </c>
      <c r="H2986">
        <v>1</v>
      </c>
      <c r="I2986">
        <v>1</v>
      </c>
      <c r="J2986">
        <v>0.94471520331908698</v>
      </c>
      <c r="K2986">
        <v>0.98231398204693798</v>
      </c>
      <c r="L2986">
        <v>0.96314779279939899</v>
      </c>
      <c r="M2986">
        <v>0.87334315169366705</v>
      </c>
      <c r="N2986">
        <v>1</v>
      </c>
      <c r="O2986">
        <v>0.91148748159057402</v>
      </c>
      <c r="P2986" t="s">
        <v>1560</v>
      </c>
      <c r="Q2986" t="s">
        <v>1561</v>
      </c>
      <c r="R2986" t="s">
        <v>113</v>
      </c>
      <c r="S2986" t="s">
        <v>114</v>
      </c>
      <c r="T2986" t="s">
        <v>1562</v>
      </c>
      <c r="U2986" t="s">
        <v>1563</v>
      </c>
      <c r="V2986" t="s">
        <v>1564</v>
      </c>
      <c r="W2986" t="s">
        <v>1565</v>
      </c>
      <c r="X2986" t="s">
        <v>1564</v>
      </c>
      <c r="Y2986" t="s">
        <v>119</v>
      </c>
      <c r="AD2986" t="s">
        <v>1566</v>
      </c>
      <c r="AE2986" t="s">
        <v>1567</v>
      </c>
      <c r="AF2986" t="s">
        <v>1568</v>
      </c>
    </row>
    <row r="2987" spans="1:32" hidden="1" x14ac:dyDescent="0.35">
      <c r="A2987">
        <v>2820</v>
      </c>
      <c r="B2987" t="s">
        <v>5830</v>
      </c>
      <c r="C2987" t="s">
        <v>72</v>
      </c>
      <c r="D2987" t="s">
        <v>60</v>
      </c>
      <c r="E2987">
        <v>1020</v>
      </c>
      <c r="F2987">
        <v>5</v>
      </c>
      <c r="G2987">
        <v>5</v>
      </c>
      <c r="H2987">
        <v>1</v>
      </c>
      <c r="I2987">
        <v>1</v>
      </c>
      <c r="J2987">
        <v>0.76014652014651996</v>
      </c>
      <c r="K2987">
        <v>0.96456725567977197</v>
      </c>
      <c r="L2987">
        <v>0.85024246124663005</v>
      </c>
      <c r="M2987">
        <v>0.58474576271186396</v>
      </c>
      <c r="N2987">
        <v>1</v>
      </c>
      <c r="O2987">
        <v>0.68771186440678</v>
      </c>
      <c r="P2987" t="s">
        <v>5831</v>
      </c>
      <c r="Q2987" t="s">
        <v>5832</v>
      </c>
      <c r="R2987" t="s">
        <v>371</v>
      </c>
      <c r="S2987" t="s">
        <v>372</v>
      </c>
      <c r="T2987" t="s">
        <v>5833</v>
      </c>
      <c r="U2987" t="s">
        <v>5834</v>
      </c>
      <c r="V2987" t="s">
        <v>5835</v>
      </c>
      <c r="W2987" t="s">
        <v>5836</v>
      </c>
      <c r="AD2987" t="s">
        <v>3961</v>
      </c>
      <c r="AE2987" t="s">
        <v>3962</v>
      </c>
      <c r="AF2987" t="s">
        <v>5838</v>
      </c>
    </row>
    <row r="2988" spans="1:32" hidden="1" x14ac:dyDescent="0.35">
      <c r="A2988">
        <v>2821</v>
      </c>
      <c r="B2988" t="s">
        <v>5830</v>
      </c>
      <c r="C2988" t="s">
        <v>72</v>
      </c>
      <c r="D2988" t="s">
        <v>62</v>
      </c>
      <c r="E2988">
        <v>1056</v>
      </c>
      <c r="F2988">
        <v>5</v>
      </c>
      <c r="G2988">
        <v>5</v>
      </c>
      <c r="H2988">
        <v>1</v>
      </c>
      <c r="I2988">
        <v>1</v>
      </c>
      <c r="J2988">
        <v>0.76014652014651996</v>
      </c>
      <c r="K2988">
        <v>0.96456725567977197</v>
      </c>
      <c r="L2988">
        <v>0.85024246124663005</v>
      </c>
      <c r="M2988">
        <v>0.58474576271186396</v>
      </c>
      <c r="N2988">
        <v>1</v>
      </c>
      <c r="O2988">
        <v>0.68771186440678</v>
      </c>
      <c r="P2988" t="s">
        <v>5831</v>
      </c>
      <c r="Q2988" t="s">
        <v>5832</v>
      </c>
      <c r="R2988" t="s">
        <v>371</v>
      </c>
      <c r="S2988" t="s">
        <v>372</v>
      </c>
      <c r="T2988" t="s">
        <v>5833</v>
      </c>
      <c r="U2988" t="s">
        <v>5834</v>
      </c>
      <c r="V2988" t="s">
        <v>5835</v>
      </c>
      <c r="W2988" t="s">
        <v>5836</v>
      </c>
      <c r="AD2988" t="s">
        <v>3961</v>
      </c>
      <c r="AE2988" t="s">
        <v>3962</v>
      </c>
      <c r="AF2988" t="s">
        <v>5838</v>
      </c>
    </row>
    <row r="2989" spans="1:32" hidden="1" x14ac:dyDescent="0.35">
      <c r="A2989">
        <v>2822</v>
      </c>
      <c r="B2989" t="s">
        <v>5830</v>
      </c>
      <c r="C2989" t="s">
        <v>72</v>
      </c>
      <c r="D2989" t="s">
        <v>34</v>
      </c>
      <c r="E2989">
        <v>111</v>
      </c>
      <c r="F2989">
        <v>5</v>
      </c>
      <c r="G2989">
        <v>5</v>
      </c>
      <c r="H2989">
        <v>1</v>
      </c>
      <c r="I2989">
        <v>1</v>
      </c>
      <c r="J2989">
        <v>0.76014652014651996</v>
      </c>
      <c r="K2989">
        <v>0.96456725567977197</v>
      </c>
      <c r="L2989">
        <v>0.85024246124663005</v>
      </c>
      <c r="M2989">
        <v>0.58474576271186396</v>
      </c>
      <c r="N2989">
        <v>1</v>
      </c>
      <c r="O2989">
        <v>0.68771186440678</v>
      </c>
      <c r="P2989" t="s">
        <v>5831</v>
      </c>
      <c r="Q2989" t="s">
        <v>5832</v>
      </c>
      <c r="R2989" t="s">
        <v>371</v>
      </c>
      <c r="S2989" t="s">
        <v>372</v>
      </c>
      <c r="T2989" t="s">
        <v>5833</v>
      </c>
      <c r="U2989" t="s">
        <v>5834</v>
      </c>
      <c r="V2989" t="s">
        <v>5835</v>
      </c>
      <c r="W2989" t="s">
        <v>5836</v>
      </c>
      <c r="AD2989" t="s">
        <v>3961</v>
      </c>
      <c r="AE2989" t="s">
        <v>3962</v>
      </c>
      <c r="AF2989" t="e">
        <f>-MDSLTQ-----PFNPLKVLSFDLETTSANPFEARIVTSALVHIDSGGAHPQELLADPGVPIPEAATKVHGITTEYAREHGRPHADVLAETIAAIRKAWTDGYTLIVYNASYDLTVLHSLEPGFLITGPVYDPYVMDKLLDPYRRGKRTLTALCEEYQVRLENAHEATSDALAAARIAWKQAKKRFASQISPQTMEQLMEFQAVGYYRSQNDFKKYLLGRGKDASDVNTAWPLQTP</f>
        <v>#NAME?</v>
      </c>
    </row>
    <row r="2990" spans="1:32" hidden="1" x14ac:dyDescent="0.35">
      <c r="A2990">
        <v>2823</v>
      </c>
      <c r="B2990" t="s">
        <v>5830</v>
      </c>
      <c r="C2990" t="s">
        <v>72</v>
      </c>
      <c r="D2990" t="s">
        <v>45</v>
      </c>
      <c r="E2990">
        <v>1373</v>
      </c>
      <c r="F2990">
        <v>5</v>
      </c>
      <c r="G2990">
        <v>5</v>
      </c>
      <c r="H2990">
        <v>1</v>
      </c>
      <c r="I2990">
        <v>1</v>
      </c>
      <c r="J2990">
        <v>0.76014652014651996</v>
      </c>
      <c r="K2990">
        <v>0.96456725567977197</v>
      </c>
      <c r="L2990">
        <v>0.85024246124663005</v>
      </c>
      <c r="M2990">
        <v>0.58474576271186396</v>
      </c>
      <c r="N2990">
        <v>1</v>
      </c>
      <c r="O2990">
        <v>0.68771186440678</v>
      </c>
      <c r="P2990" t="s">
        <v>5831</v>
      </c>
      <c r="Q2990" t="s">
        <v>5832</v>
      </c>
      <c r="R2990" t="s">
        <v>371</v>
      </c>
      <c r="S2990" t="s">
        <v>372</v>
      </c>
      <c r="T2990" t="s">
        <v>5833</v>
      </c>
      <c r="U2990" t="s">
        <v>5834</v>
      </c>
      <c r="V2990" t="s">
        <v>5835</v>
      </c>
      <c r="W2990" t="s">
        <v>5836</v>
      </c>
      <c r="AD2990" t="s">
        <v>3961</v>
      </c>
      <c r="AE2990" t="s">
        <v>3962</v>
      </c>
      <c r="AF2990" t="e">
        <f>-MDSLTQ-----PFNPLKVLSFDLETTSANPFEARIVTSALVHIDSGGAHPQEFLADPGVPIPEAATKVHGITTEYAREHGSPHADVLAETIAAIRKAWTDGYTLIVYNASYDLTVLHSLEPGFLITGPVYDPYVMDKLLDPYRRGKRTLTALCEEYQVRLENAHEATSDALAAARIAWKQAKKRFASQISPQTMEQLMEFQAVGYYRSQNDFKKYLLGRGKDASDVNTAWPLQTP</f>
        <v>#NAME?</v>
      </c>
    </row>
    <row r="2991" spans="1:32" hidden="1" x14ac:dyDescent="0.35">
      <c r="A2991">
        <v>79</v>
      </c>
      <c r="B2991" t="s">
        <v>110</v>
      </c>
      <c r="C2991" t="s">
        <v>72</v>
      </c>
      <c r="D2991" t="s">
        <v>58</v>
      </c>
      <c r="E2991">
        <v>1081</v>
      </c>
      <c r="F2991">
        <v>5</v>
      </c>
      <c r="G2991">
        <v>10</v>
      </c>
      <c r="H2991">
        <v>2</v>
      </c>
      <c r="I2991">
        <v>0</v>
      </c>
      <c r="J2991">
        <v>0.76139240506329098</v>
      </c>
      <c r="K2991">
        <v>0.72727659874001505</v>
      </c>
      <c r="L2991">
        <v>0.74394358617824097</v>
      </c>
      <c r="M2991">
        <v>0.31818181818181801</v>
      </c>
      <c r="N2991">
        <v>1</v>
      </c>
      <c r="O2991">
        <v>0.57972582972582998</v>
      </c>
      <c r="P2991" t="s">
        <v>111</v>
      </c>
      <c r="Q2991" t="s">
        <v>112</v>
      </c>
      <c r="R2991" t="s">
        <v>113</v>
      </c>
      <c r="S2991" t="s">
        <v>114</v>
      </c>
      <c r="T2991" t="s">
        <v>115</v>
      </c>
      <c r="U2991" t="s">
        <v>116</v>
      </c>
      <c r="V2991" t="s">
        <v>117</v>
      </c>
      <c r="W2991" t="s">
        <v>118</v>
      </c>
      <c r="X2991" t="s">
        <v>117</v>
      </c>
      <c r="Y2991" t="s">
        <v>119</v>
      </c>
      <c r="AD2991" t="s">
        <v>120</v>
      </c>
      <c r="AE2991" t="s">
        <v>121</v>
      </c>
      <c r="AF2991" t="s">
        <v>122</v>
      </c>
    </row>
    <row r="2992" spans="1:32" hidden="1" x14ac:dyDescent="0.35">
      <c r="A2992">
        <v>2955</v>
      </c>
      <c r="B2992" t="s">
        <v>6099</v>
      </c>
      <c r="C2992" t="s">
        <v>72</v>
      </c>
      <c r="D2992" t="s">
        <v>60</v>
      </c>
      <c r="E2992">
        <v>1470</v>
      </c>
      <c r="F2992">
        <v>5</v>
      </c>
      <c r="G2992">
        <v>5</v>
      </c>
      <c r="H2992">
        <v>1</v>
      </c>
      <c r="I2992">
        <v>1</v>
      </c>
      <c r="J2992">
        <v>0.86205401143307703</v>
      </c>
      <c r="K2992">
        <v>0.967051977770509</v>
      </c>
      <c r="L2992">
        <v>0.91153934394402103</v>
      </c>
      <c r="M2992">
        <v>0.71199999999999997</v>
      </c>
      <c r="N2992">
        <v>1</v>
      </c>
      <c r="O2992">
        <v>0.8024</v>
      </c>
      <c r="P2992" t="s">
        <v>6100</v>
      </c>
      <c r="Q2992" t="s">
        <v>6101</v>
      </c>
      <c r="R2992" t="s">
        <v>371</v>
      </c>
      <c r="S2992" t="s">
        <v>372</v>
      </c>
      <c r="V2992" t="s">
        <v>6102</v>
      </c>
      <c r="W2992" t="s">
        <v>6103</v>
      </c>
      <c r="AF2992" t="s">
        <v>6105</v>
      </c>
    </row>
    <row r="2993" spans="1:32" hidden="1" x14ac:dyDescent="0.35">
      <c r="A2993">
        <v>2956</v>
      </c>
      <c r="B2993" t="s">
        <v>6099</v>
      </c>
      <c r="C2993" t="s">
        <v>72</v>
      </c>
      <c r="D2993" t="s">
        <v>62</v>
      </c>
      <c r="E2993">
        <v>1505</v>
      </c>
      <c r="F2993">
        <v>5</v>
      </c>
      <c r="G2993">
        <v>5</v>
      </c>
      <c r="H2993">
        <v>1</v>
      </c>
      <c r="I2993">
        <v>1</v>
      </c>
      <c r="J2993">
        <v>0.86205401143307703</v>
      </c>
      <c r="K2993">
        <v>0.967051977770509</v>
      </c>
      <c r="L2993">
        <v>0.91153934394402103</v>
      </c>
      <c r="M2993">
        <v>0.71199999999999997</v>
      </c>
      <c r="N2993">
        <v>1</v>
      </c>
      <c r="O2993">
        <v>0.8024</v>
      </c>
      <c r="P2993" t="s">
        <v>6100</v>
      </c>
      <c r="Q2993" t="s">
        <v>6101</v>
      </c>
      <c r="R2993" t="s">
        <v>371</v>
      </c>
      <c r="S2993" t="s">
        <v>372</v>
      </c>
      <c r="V2993" t="s">
        <v>6102</v>
      </c>
      <c r="W2993" t="s">
        <v>6103</v>
      </c>
      <c r="AF2993" t="s">
        <v>6105</v>
      </c>
    </row>
    <row r="2994" spans="1:32" hidden="1" x14ac:dyDescent="0.35">
      <c r="A2994">
        <v>2957</v>
      </c>
      <c r="B2994" t="s">
        <v>6099</v>
      </c>
      <c r="C2994" t="s">
        <v>72</v>
      </c>
      <c r="D2994" t="s">
        <v>34</v>
      </c>
      <c r="E2994">
        <v>1899</v>
      </c>
      <c r="F2994">
        <v>5</v>
      </c>
      <c r="G2994">
        <v>5</v>
      </c>
      <c r="H2994">
        <v>1</v>
      </c>
      <c r="I2994">
        <v>1</v>
      </c>
      <c r="J2994">
        <v>0.86205401143307703</v>
      </c>
      <c r="K2994">
        <v>0.967051977770509</v>
      </c>
      <c r="L2994">
        <v>0.91153934394402103</v>
      </c>
      <c r="M2994">
        <v>0.71199999999999997</v>
      </c>
      <c r="N2994">
        <v>1</v>
      </c>
      <c r="O2994">
        <v>0.8024</v>
      </c>
      <c r="P2994" t="s">
        <v>6100</v>
      </c>
      <c r="Q2994" t="s">
        <v>6101</v>
      </c>
      <c r="R2994" t="s">
        <v>371</v>
      </c>
      <c r="S2994" t="s">
        <v>372</v>
      </c>
      <c r="V2994" t="s">
        <v>6102</v>
      </c>
      <c r="W2994" t="s">
        <v>6103</v>
      </c>
      <c r="AF2994" t="s">
        <v>6106</v>
      </c>
    </row>
    <row r="2995" spans="1:32" hidden="1" x14ac:dyDescent="0.35">
      <c r="A2995">
        <v>2958</v>
      </c>
      <c r="B2995" t="s">
        <v>6099</v>
      </c>
      <c r="C2995" t="s">
        <v>72</v>
      </c>
      <c r="D2995" t="s">
        <v>45</v>
      </c>
      <c r="E2995">
        <v>975</v>
      </c>
      <c r="F2995">
        <v>5</v>
      </c>
      <c r="G2995">
        <v>5</v>
      </c>
      <c r="H2995">
        <v>1</v>
      </c>
      <c r="I2995">
        <v>1</v>
      </c>
      <c r="J2995">
        <v>0.86205401143307703</v>
      </c>
      <c r="K2995">
        <v>0.967051977770509</v>
      </c>
      <c r="L2995">
        <v>0.91153934394402103</v>
      </c>
      <c r="M2995">
        <v>0.71199999999999997</v>
      </c>
      <c r="N2995">
        <v>1</v>
      </c>
      <c r="O2995">
        <v>0.8024</v>
      </c>
      <c r="P2995" t="s">
        <v>6100</v>
      </c>
      <c r="Q2995" t="s">
        <v>6101</v>
      </c>
      <c r="R2995" t="s">
        <v>371</v>
      </c>
      <c r="S2995" t="s">
        <v>372</v>
      </c>
      <c r="V2995" t="s">
        <v>6102</v>
      </c>
      <c r="W2995" t="s">
        <v>6103</v>
      </c>
      <c r="AF2995" t="s">
        <v>6106</v>
      </c>
    </row>
    <row r="2996" spans="1:32" hidden="1" x14ac:dyDescent="0.35">
      <c r="A2996">
        <v>80</v>
      </c>
      <c r="B2996" t="s">
        <v>110</v>
      </c>
      <c r="C2996" t="s">
        <v>72</v>
      </c>
      <c r="D2996" t="s">
        <v>58</v>
      </c>
      <c r="E2996">
        <v>1075</v>
      </c>
      <c r="F2996">
        <v>5</v>
      </c>
      <c r="G2996">
        <v>10</v>
      </c>
      <c r="H2996">
        <v>2</v>
      </c>
      <c r="I2996">
        <v>0</v>
      </c>
      <c r="J2996">
        <v>0.76139240506329098</v>
      </c>
      <c r="K2996">
        <v>0.72727659874001505</v>
      </c>
      <c r="L2996">
        <v>0.74394358617824097</v>
      </c>
      <c r="M2996">
        <v>0.31818181818181801</v>
      </c>
      <c r="N2996">
        <v>1</v>
      </c>
      <c r="O2996">
        <v>0.57972582972582998</v>
      </c>
      <c r="P2996" t="s">
        <v>111</v>
      </c>
      <c r="Q2996" t="s">
        <v>112</v>
      </c>
      <c r="R2996" t="s">
        <v>113</v>
      </c>
      <c r="S2996" t="s">
        <v>114</v>
      </c>
      <c r="T2996" t="s">
        <v>123</v>
      </c>
      <c r="U2996" t="s">
        <v>124</v>
      </c>
      <c r="V2996" t="s">
        <v>117</v>
      </c>
      <c r="W2996" t="s">
        <v>118</v>
      </c>
      <c r="X2996" t="s">
        <v>117</v>
      </c>
      <c r="Y2996" t="s">
        <v>119</v>
      </c>
      <c r="AD2996" t="s">
        <v>125</v>
      </c>
      <c r="AE2996" t="s">
        <v>126</v>
      </c>
      <c r="AF2996" t="s">
        <v>127</v>
      </c>
    </row>
    <row r="2997" spans="1:32" hidden="1" x14ac:dyDescent="0.35">
      <c r="A2997">
        <v>3030</v>
      </c>
      <c r="B2997" t="s">
        <v>6261</v>
      </c>
      <c r="C2997" t="s">
        <v>72</v>
      </c>
      <c r="D2997" t="s">
        <v>60</v>
      </c>
      <c r="E2997">
        <v>1212</v>
      </c>
      <c r="F2997">
        <v>5</v>
      </c>
      <c r="G2997">
        <v>5</v>
      </c>
      <c r="H2997">
        <v>1</v>
      </c>
      <c r="I2997">
        <v>1</v>
      </c>
      <c r="J2997">
        <v>0.80278291230232102</v>
      </c>
      <c r="K2997">
        <v>0.94116655131189497</v>
      </c>
      <c r="L2997">
        <v>0.86648431137203297</v>
      </c>
      <c r="M2997">
        <v>0.61794500723588996</v>
      </c>
      <c r="N2997">
        <v>1</v>
      </c>
      <c r="O2997">
        <v>0.71505065123010103</v>
      </c>
      <c r="P2997" t="s">
        <v>6262</v>
      </c>
      <c r="Q2997" t="s">
        <v>6263</v>
      </c>
      <c r="R2997" t="s">
        <v>371</v>
      </c>
      <c r="S2997" t="s">
        <v>372</v>
      </c>
      <c r="T2997" t="s">
        <v>6264</v>
      </c>
      <c r="U2997" t="s">
        <v>6265</v>
      </c>
      <c r="V2997" t="s">
        <v>6266</v>
      </c>
      <c r="W2997" t="s">
        <v>6267</v>
      </c>
      <c r="AD2997" t="s">
        <v>6268</v>
      </c>
      <c r="AE2997" t="s">
        <v>6269</v>
      </c>
      <c r="AF2997" t="s">
        <v>6271</v>
      </c>
    </row>
    <row r="2998" spans="1:32" hidden="1" x14ac:dyDescent="0.35">
      <c r="A2998">
        <v>3031</v>
      </c>
      <c r="B2998" t="s">
        <v>6261</v>
      </c>
      <c r="C2998" t="s">
        <v>72</v>
      </c>
      <c r="D2998" t="s">
        <v>62</v>
      </c>
      <c r="E2998">
        <v>1249</v>
      </c>
      <c r="F2998">
        <v>5</v>
      </c>
      <c r="G2998">
        <v>5</v>
      </c>
      <c r="H2998">
        <v>1</v>
      </c>
      <c r="I2998">
        <v>1</v>
      </c>
      <c r="J2998">
        <v>0.80278291230232102</v>
      </c>
      <c r="K2998">
        <v>0.94116655131189497</v>
      </c>
      <c r="L2998">
        <v>0.86648431137203297</v>
      </c>
      <c r="M2998">
        <v>0.61794500723588996</v>
      </c>
      <c r="N2998">
        <v>1</v>
      </c>
      <c r="O2998">
        <v>0.71505065123010103</v>
      </c>
      <c r="P2998" t="s">
        <v>6262</v>
      </c>
      <c r="Q2998" t="s">
        <v>6263</v>
      </c>
      <c r="R2998" t="s">
        <v>371</v>
      </c>
      <c r="S2998" t="s">
        <v>372</v>
      </c>
      <c r="T2998" t="s">
        <v>6264</v>
      </c>
      <c r="U2998" t="s">
        <v>6265</v>
      </c>
      <c r="V2998" t="s">
        <v>6266</v>
      </c>
      <c r="W2998" t="s">
        <v>6267</v>
      </c>
      <c r="AD2998" t="s">
        <v>6268</v>
      </c>
      <c r="AE2998" t="s">
        <v>6269</v>
      </c>
      <c r="AF2998" t="s">
        <v>6272</v>
      </c>
    </row>
    <row r="2999" spans="1:32" hidden="1" x14ac:dyDescent="0.35">
      <c r="A2999">
        <v>3032</v>
      </c>
      <c r="B2999" t="s">
        <v>6261</v>
      </c>
      <c r="C2999" t="s">
        <v>72</v>
      </c>
      <c r="D2999" t="s">
        <v>34</v>
      </c>
      <c r="E2999">
        <v>1791</v>
      </c>
      <c r="F2999">
        <v>5</v>
      </c>
      <c r="G2999">
        <v>5</v>
      </c>
      <c r="H2999">
        <v>1</v>
      </c>
      <c r="I2999">
        <v>1</v>
      </c>
      <c r="J2999">
        <v>0.80278291230232102</v>
      </c>
      <c r="K2999">
        <v>0.94116655131189497</v>
      </c>
      <c r="L2999">
        <v>0.86648431137203297</v>
      </c>
      <c r="M2999">
        <v>0.61794500723588996</v>
      </c>
      <c r="N2999">
        <v>1</v>
      </c>
      <c r="O2999">
        <v>0.71505065123010103</v>
      </c>
      <c r="P2999" t="s">
        <v>6262</v>
      </c>
      <c r="Q2999" t="s">
        <v>6263</v>
      </c>
      <c r="R2999" t="s">
        <v>371</v>
      </c>
      <c r="S2999" t="s">
        <v>372</v>
      </c>
      <c r="T2999" t="s">
        <v>6264</v>
      </c>
      <c r="U2999" t="s">
        <v>6265</v>
      </c>
      <c r="V2999" t="s">
        <v>6266</v>
      </c>
      <c r="W2999" t="s">
        <v>6267</v>
      </c>
      <c r="AD2999" t="s">
        <v>6268</v>
      </c>
      <c r="AE2999" t="s">
        <v>6269</v>
      </c>
      <c r="AF2999" t="s">
        <v>6273</v>
      </c>
    </row>
    <row r="3000" spans="1:32" hidden="1" x14ac:dyDescent="0.35">
      <c r="A3000">
        <v>3033</v>
      </c>
      <c r="B3000" t="s">
        <v>6261</v>
      </c>
      <c r="C3000" t="s">
        <v>72</v>
      </c>
      <c r="D3000" t="s">
        <v>45</v>
      </c>
      <c r="E3000">
        <v>1082</v>
      </c>
      <c r="F3000">
        <v>5</v>
      </c>
      <c r="G3000">
        <v>5</v>
      </c>
      <c r="H3000">
        <v>1</v>
      </c>
      <c r="I3000">
        <v>1</v>
      </c>
      <c r="J3000">
        <v>0.80278291230232102</v>
      </c>
      <c r="K3000">
        <v>0.94116655131189497</v>
      </c>
      <c r="L3000">
        <v>0.86648431137203297</v>
      </c>
      <c r="M3000">
        <v>0.61794500723588996</v>
      </c>
      <c r="N3000">
        <v>1</v>
      </c>
      <c r="O3000">
        <v>0.71505065123010103</v>
      </c>
      <c r="P3000" t="s">
        <v>6262</v>
      </c>
      <c r="Q3000" t="s">
        <v>6263</v>
      </c>
      <c r="R3000" t="s">
        <v>371</v>
      </c>
      <c r="S3000" t="s">
        <v>372</v>
      </c>
      <c r="T3000" t="s">
        <v>6264</v>
      </c>
      <c r="U3000" t="s">
        <v>6265</v>
      </c>
      <c r="V3000" t="s">
        <v>6266</v>
      </c>
      <c r="W3000" t="s">
        <v>6267</v>
      </c>
      <c r="AD3000" t="s">
        <v>6268</v>
      </c>
      <c r="AE3000" t="s">
        <v>6269</v>
      </c>
      <c r="AF3000" t="s">
        <v>6273</v>
      </c>
    </row>
    <row r="3001" spans="1:32" hidden="1" x14ac:dyDescent="0.35">
      <c r="A3001">
        <v>1794</v>
      </c>
      <c r="B3001" t="s">
        <v>3726</v>
      </c>
      <c r="C3001" t="s">
        <v>72</v>
      </c>
      <c r="D3001" t="s">
        <v>58</v>
      </c>
      <c r="E3001">
        <v>1008</v>
      </c>
      <c r="F3001">
        <v>5</v>
      </c>
      <c r="G3001">
        <v>5</v>
      </c>
      <c r="H3001">
        <v>1</v>
      </c>
      <c r="I3001">
        <v>1</v>
      </c>
      <c r="J3001">
        <v>0.83564567769477005</v>
      </c>
      <c r="K3001">
        <v>0.93097029702970202</v>
      </c>
      <c r="L3001">
        <v>0.88073618251575103</v>
      </c>
      <c r="M3001">
        <v>0.66336633663366296</v>
      </c>
      <c r="N3001">
        <v>1</v>
      </c>
      <c r="O3001">
        <v>0.75049504950495005</v>
      </c>
      <c r="P3001" t="s">
        <v>3727</v>
      </c>
      <c r="Q3001" t="s">
        <v>3728</v>
      </c>
      <c r="R3001" t="s">
        <v>113</v>
      </c>
      <c r="S3001" t="s">
        <v>114</v>
      </c>
      <c r="T3001" t="s">
        <v>3729</v>
      </c>
      <c r="U3001" t="s">
        <v>3730</v>
      </c>
      <c r="V3001" t="s">
        <v>3731</v>
      </c>
      <c r="W3001" t="s">
        <v>3732</v>
      </c>
      <c r="X3001" t="s">
        <v>3731</v>
      </c>
      <c r="Y3001" t="s">
        <v>119</v>
      </c>
      <c r="AD3001" t="s">
        <v>1566</v>
      </c>
      <c r="AE3001" t="s">
        <v>1567</v>
      </c>
      <c r="AF3001" t="s">
        <v>3733</v>
      </c>
    </row>
    <row r="3002" spans="1:32" hidden="1" x14ac:dyDescent="0.35">
      <c r="A3002">
        <v>3395</v>
      </c>
      <c r="B3002" t="s">
        <v>6972</v>
      </c>
      <c r="C3002" t="s">
        <v>72</v>
      </c>
      <c r="D3002" t="s">
        <v>60</v>
      </c>
      <c r="E3002">
        <v>962</v>
      </c>
      <c r="F3002">
        <v>5</v>
      </c>
      <c r="G3002">
        <v>5</v>
      </c>
      <c r="H3002">
        <v>1</v>
      </c>
      <c r="I3002">
        <v>1</v>
      </c>
      <c r="J3002">
        <v>0.85853093691788795</v>
      </c>
      <c r="K3002">
        <v>0.89462365591397797</v>
      </c>
      <c r="L3002">
        <v>0.87620577060473004</v>
      </c>
      <c r="M3002">
        <v>0.69261744966442995</v>
      </c>
      <c r="N3002">
        <v>1</v>
      </c>
      <c r="O3002">
        <v>0.77288590604026797</v>
      </c>
      <c r="P3002" t="s">
        <v>6973</v>
      </c>
      <c r="Q3002" t="s">
        <v>6974</v>
      </c>
      <c r="R3002" t="s">
        <v>371</v>
      </c>
      <c r="S3002" t="s">
        <v>372</v>
      </c>
      <c r="T3002" t="s">
        <v>6975</v>
      </c>
      <c r="U3002" t="s">
        <v>6976</v>
      </c>
      <c r="V3002" t="s">
        <v>6977</v>
      </c>
      <c r="W3002" t="s">
        <v>6978</v>
      </c>
      <c r="AD3002" t="s">
        <v>5171</v>
      </c>
      <c r="AE3002" t="s">
        <v>6979</v>
      </c>
      <c r="AF3002" t="s">
        <v>6981</v>
      </c>
    </row>
    <row r="3003" spans="1:32" hidden="1" x14ac:dyDescent="0.35">
      <c r="A3003">
        <v>3396</v>
      </c>
      <c r="B3003" t="s">
        <v>6972</v>
      </c>
      <c r="C3003" t="s">
        <v>72</v>
      </c>
      <c r="D3003" t="s">
        <v>62</v>
      </c>
      <c r="E3003">
        <v>998</v>
      </c>
      <c r="F3003">
        <v>5</v>
      </c>
      <c r="G3003">
        <v>5</v>
      </c>
      <c r="H3003">
        <v>1</v>
      </c>
      <c r="I3003">
        <v>1</v>
      </c>
      <c r="J3003">
        <v>0.85853093691788795</v>
      </c>
      <c r="K3003">
        <v>0.89462365591397797</v>
      </c>
      <c r="L3003">
        <v>0.87620577060473004</v>
      </c>
      <c r="M3003">
        <v>0.69261744966442995</v>
      </c>
      <c r="N3003">
        <v>1</v>
      </c>
      <c r="O3003">
        <v>0.77288590604026797</v>
      </c>
      <c r="P3003" t="s">
        <v>6973</v>
      </c>
      <c r="Q3003" t="s">
        <v>6974</v>
      </c>
      <c r="R3003" t="s">
        <v>371</v>
      </c>
      <c r="S3003" t="s">
        <v>372</v>
      </c>
      <c r="T3003" t="s">
        <v>6975</v>
      </c>
      <c r="U3003" t="s">
        <v>6976</v>
      </c>
      <c r="V3003" t="s">
        <v>6977</v>
      </c>
      <c r="W3003" t="s">
        <v>6978</v>
      </c>
      <c r="AD3003" t="s">
        <v>5171</v>
      </c>
      <c r="AE3003" t="s">
        <v>6979</v>
      </c>
      <c r="AF3003" t="s">
        <v>6981</v>
      </c>
    </row>
    <row r="3004" spans="1:32" hidden="1" x14ac:dyDescent="0.35">
      <c r="A3004">
        <v>3397</v>
      </c>
      <c r="B3004" t="s">
        <v>6972</v>
      </c>
      <c r="C3004" t="s">
        <v>72</v>
      </c>
      <c r="D3004" t="s">
        <v>34</v>
      </c>
      <c r="E3004">
        <v>195</v>
      </c>
      <c r="F3004">
        <v>5</v>
      </c>
      <c r="G3004">
        <v>5</v>
      </c>
      <c r="H3004">
        <v>1</v>
      </c>
      <c r="I3004">
        <v>1</v>
      </c>
      <c r="J3004">
        <v>0.85853093691788795</v>
      </c>
      <c r="K3004">
        <v>0.89462365591397797</v>
      </c>
      <c r="L3004">
        <v>0.87620577060473004</v>
      </c>
      <c r="M3004">
        <v>0.69261744966442995</v>
      </c>
      <c r="N3004">
        <v>1</v>
      </c>
      <c r="O3004">
        <v>0.77288590604026797</v>
      </c>
      <c r="P3004" t="s">
        <v>6973</v>
      </c>
      <c r="Q3004" t="s">
        <v>6974</v>
      </c>
      <c r="R3004" t="s">
        <v>371</v>
      </c>
      <c r="S3004" t="s">
        <v>372</v>
      </c>
      <c r="T3004" t="s">
        <v>6975</v>
      </c>
      <c r="U3004" t="s">
        <v>6976</v>
      </c>
      <c r="V3004" t="s">
        <v>6977</v>
      </c>
      <c r="W3004" t="s">
        <v>6978</v>
      </c>
      <c r="AD3004" t="s">
        <v>5171</v>
      </c>
      <c r="AE3004" t="s">
        <v>6979</v>
      </c>
      <c r="AF3004" t="s">
        <v>6982</v>
      </c>
    </row>
    <row r="3005" spans="1:32" hidden="1" x14ac:dyDescent="0.35">
      <c r="A3005">
        <v>3398</v>
      </c>
      <c r="B3005" t="s">
        <v>6972</v>
      </c>
      <c r="C3005" t="s">
        <v>72</v>
      </c>
      <c r="D3005" t="s">
        <v>45</v>
      </c>
      <c r="E3005">
        <v>1458</v>
      </c>
      <c r="F3005">
        <v>5</v>
      </c>
      <c r="G3005">
        <v>5</v>
      </c>
      <c r="H3005">
        <v>1</v>
      </c>
      <c r="I3005">
        <v>1</v>
      </c>
      <c r="J3005">
        <v>0.85853093691788795</v>
      </c>
      <c r="K3005">
        <v>0.89462365591397797</v>
      </c>
      <c r="L3005">
        <v>0.87620577060473004</v>
      </c>
      <c r="M3005">
        <v>0.69261744966442995</v>
      </c>
      <c r="N3005">
        <v>1</v>
      </c>
      <c r="O3005">
        <v>0.77288590604026797</v>
      </c>
      <c r="P3005" t="s">
        <v>6973</v>
      </c>
      <c r="Q3005" t="s">
        <v>6974</v>
      </c>
      <c r="R3005" t="s">
        <v>371</v>
      </c>
      <c r="S3005" t="s">
        <v>372</v>
      </c>
      <c r="T3005" t="s">
        <v>6975</v>
      </c>
      <c r="U3005" t="s">
        <v>6976</v>
      </c>
      <c r="V3005" t="s">
        <v>6977</v>
      </c>
      <c r="W3005" t="s">
        <v>6978</v>
      </c>
      <c r="AD3005" t="s">
        <v>5171</v>
      </c>
      <c r="AE3005" t="s">
        <v>6979</v>
      </c>
      <c r="AF3005" t="s">
        <v>6983</v>
      </c>
    </row>
    <row r="3006" spans="1:32" hidden="1" x14ac:dyDescent="0.35">
      <c r="A3006">
        <v>1919</v>
      </c>
      <c r="B3006" t="s">
        <v>3979</v>
      </c>
      <c r="C3006" t="s">
        <v>72</v>
      </c>
      <c r="D3006" t="s">
        <v>58</v>
      </c>
      <c r="E3006">
        <v>1194</v>
      </c>
      <c r="F3006">
        <v>5</v>
      </c>
      <c r="G3006">
        <v>5</v>
      </c>
      <c r="H3006">
        <v>1</v>
      </c>
      <c r="I3006">
        <v>1</v>
      </c>
      <c r="J3006">
        <v>0.69917743830787304</v>
      </c>
      <c r="K3006">
        <v>0.86786604116630595</v>
      </c>
      <c r="L3006">
        <v>0.774442270945362</v>
      </c>
      <c r="M3006">
        <v>0.45484949832775901</v>
      </c>
      <c r="N3006">
        <v>1</v>
      </c>
      <c r="O3006">
        <v>0.62408026755852797</v>
      </c>
      <c r="P3006" t="s">
        <v>3980</v>
      </c>
      <c r="Q3006" t="s">
        <v>3981</v>
      </c>
      <c r="R3006" t="s">
        <v>113</v>
      </c>
      <c r="S3006" t="s">
        <v>114</v>
      </c>
      <c r="T3006" t="s">
        <v>3982</v>
      </c>
      <c r="U3006" t="s">
        <v>3983</v>
      </c>
      <c r="V3006" t="s">
        <v>3984</v>
      </c>
      <c r="W3006" t="s">
        <v>3985</v>
      </c>
      <c r="AD3006" t="s">
        <v>3986</v>
      </c>
      <c r="AE3006" t="s">
        <v>3987</v>
      </c>
      <c r="AF3006" t="s">
        <v>3988</v>
      </c>
    </row>
    <row r="3007" spans="1:32" hidden="1" x14ac:dyDescent="0.35">
      <c r="A3007">
        <v>3445</v>
      </c>
      <c r="B3007" t="s">
        <v>7081</v>
      </c>
      <c r="C3007" t="s">
        <v>72</v>
      </c>
      <c r="D3007" t="s">
        <v>60</v>
      </c>
      <c r="E3007">
        <v>1419</v>
      </c>
      <c r="F3007">
        <v>5</v>
      </c>
      <c r="G3007">
        <v>5</v>
      </c>
      <c r="H3007">
        <v>1</v>
      </c>
      <c r="I3007">
        <v>1</v>
      </c>
      <c r="J3007">
        <v>0.88741599926355497</v>
      </c>
      <c r="K3007">
        <v>0.98407401374244396</v>
      </c>
      <c r="L3007">
        <v>0.93324892805799797</v>
      </c>
      <c r="M3007">
        <v>0.79619565217391297</v>
      </c>
      <c r="N3007">
        <v>1</v>
      </c>
      <c r="O3007">
        <v>0.84538043478260905</v>
      </c>
      <c r="P3007" t="s">
        <v>7082</v>
      </c>
      <c r="Q3007" t="s">
        <v>7083</v>
      </c>
      <c r="R3007" t="s">
        <v>371</v>
      </c>
      <c r="S3007" t="s">
        <v>372</v>
      </c>
      <c r="T3007" t="s">
        <v>7084</v>
      </c>
      <c r="U3007" t="s">
        <v>7085</v>
      </c>
      <c r="V3007" t="s">
        <v>7086</v>
      </c>
      <c r="W3007" t="s">
        <v>7087</v>
      </c>
      <c r="AD3007" t="s">
        <v>3253</v>
      </c>
      <c r="AE3007" t="s">
        <v>7088</v>
      </c>
      <c r="AF3007" t="s">
        <v>7090</v>
      </c>
    </row>
    <row r="3008" spans="1:32" hidden="1" x14ac:dyDescent="0.35">
      <c r="A3008">
        <v>3446</v>
      </c>
      <c r="B3008" t="s">
        <v>7081</v>
      </c>
      <c r="C3008" t="s">
        <v>72</v>
      </c>
      <c r="D3008" t="s">
        <v>62</v>
      </c>
      <c r="E3008">
        <v>1454</v>
      </c>
      <c r="F3008">
        <v>5</v>
      </c>
      <c r="G3008">
        <v>5</v>
      </c>
      <c r="H3008">
        <v>1</v>
      </c>
      <c r="I3008">
        <v>1</v>
      </c>
      <c r="J3008">
        <v>0.88741599926355497</v>
      </c>
      <c r="K3008">
        <v>0.98407401374244396</v>
      </c>
      <c r="L3008">
        <v>0.93324892805799797</v>
      </c>
      <c r="M3008">
        <v>0.79619565217391297</v>
      </c>
      <c r="N3008">
        <v>1</v>
      </c>
      <c r="O3008">
        <v>0.84538043478260905</v>
      </c>
      <c r="P3008" t="s">
        <v>7082</v>
      </c>
      <c r="Q3008" t="s">
        <v>7083</v>
      </c>
      <c r="R3008" t="s">
        <v>371</v>
      </c>
      <c r="S3008" t="s">
        <v>372</v>
      </c>
      <c r="T3008" t="s">
        <v>7084</v>
      </c>
      <c r="U3008" t="s">
        <v>7085</v>
      </c>
      <c r="V3008" t="s">
        <v>7086</v>
      </c>
      <c r="W3008" t="s">
        <v>7087</v>
      </c>
      <c r="AD3008" t="s">
        <v>3253</v>
      </c>
      <c r="AE3008" t="s">
        <v>7088</v>
      </c>
      <c r="AF3008" t="s">
        <v>7090</v>
      </c>
    </row>
    <row r="3009" spans="1:32" hidden="1" x14ac:dyDescent="0.35">
      <c r="A3009">
        <v>3447</v>
      </c>
      <c r="B3009" t="s">
        <v>7081</v>
      </c>
      <c r="C3009" t="s">
        <v>72</v>
      </c>
      <c r="D3009" t="s">
        <v>34</v>
      </c>
      <c r="E3009">
        <v>1847</v>
      </c>
      <c r="F3009">
        <v>5</v>
      </c>
      <c r="G3009">
        <v>5</v>
      </c>
      <c r="H3009">
        <v>1</v>
      </c>
      <c r="I3009">
        <v>1</v>
      </c>
      <c r="J3009">
        <v>0.88741599926355497</v>
      </c>
      <c r="K3009">
        <v>0.98407401374244396</v>
      </c>
      <c r="L3009">
        <v>0.93324892805799797</v>
      </c>
      <c r="M3009">
        <v>0.79619565217391297</v>
      </c>
      <c r="N3009">
        <v>1</v>
      </c>
      <c r="O3009">
        <v>0.84538043478260905</v>
      </c>
      <c r="P3009" t="s">
        <v>7082</v>
      </c>
      <c r="Q3009" t="s">
        <v>7083</v>
      </c>
      <c r="R3009" t="s">
        <v>371</v>
      </c>
      <c r="S3009" t="s">
        <v>372</v>
      </c>
      <c r="T3009" t="s">
        <v>7084</v>
      </c>
      <c r="U3009" t="s">
        <v>7085</v>
      </c>
      <c r="V3009" t="s">
        <v>7086</v>
      </c>
      <c r="W3009" t="s">
        <v>7087</v>
      </c>
      <c r="AD3009" t="s">
        <v>3253</v>
      </c>
      <c r="AE3009" t="s">
        <v>7088</v>
      </c>
      <c r="AF3009" t="s">
        <v>7091</v>
      </c>
    </row>
    <row r="3010" spans="1:32" hidden="1" x14ac:dyDescent="0.35">
      <c r="A3010">
        <v>3448</v>
      </c>
      <c r="B3010" t="s">
        <v>7081</v>
      </c>
      <c r="C3010" t="s">
        <v>72</v>
      </c>
      <c r="D3010" t="s">
        <v>45</v>
      </c>
      <c r="E3010">
        <v>1026</v>
      </c>
      <c r="F3010">
        <v>5</v>
      </c>
      <c r="G3010">
        <v>5</v>
      </c>
      <c r="H3010">
        <v>1</v>
      </c>
      <c r="I3010">
        <v>1</v>
      </c>
      <c r="J3010">
        <v>0.88741599926355497</v>
      </c>
      <c r="K3010">
        <v>0.98407401374244396</v>
      </c>
      <c r="L3010">
        <v>0.93324892805799797</v>
      </c>
      <c r="M3010">
        <v>0.79619565217391297</v>
      </c>
      <c r="N3010">
        <v>1</v>
      </c>
      <c r="O3010">
        <v>0.84538043478260905</v>
      </c>
      <c r="P3010" t="s">
        <v>7082</v>
      </c>
      <c r="Q3010" t="s">
        <v>7083</v>
      </c>
      <c r="R3010" t="s">
        <v>371</v>
      </c>
      <c r="S3010" t="s">
        <v>372</v>
      </c>
      <c r="T3010" t="s">
        <v>7084</v>
      </c>
      <c r="U3010" t="s">
        <v>7085</v>
      </c>
      <c r="V3010" t="s">
        <v>7086</v>
      </c>
      <c r="W3010" t="s">
        <v>7087</v>
      </c>
      <c r="AD3010" t="s">
        <v>3253</v>
      </c>
      <c r="AE3010" t="s">
        <v>7088</v>
      </c>
      <c r="AF3010" t="s">
        <v>7092</v>
      </c>
    </row>
    <row r="3011" spans="1:32" hidden="1" x14ac:dyDescent="0.35">
      <c r="A3011">
        <v>2934</v>
      </c>
      <c r="B3011" t="s">
        <v>6058</v>
      </c>
      <c r="C3011" t="s">
        <v>72</v>
      </c>
      <c r="D3011" t="s">
        <v>58</v>
      </c>
      <c r="E3011">
        <v>138</v>
      </c>
      <c r="F3011">
        <v>5</v>
      </c>
      <c r="G3011">
        <v>5</v>
      </c>
      <c r="H3011">
        <v>1</v>
      </c>
      <c r="I3011">
        <v>1</v>
      </c>
      <c r="J3011">
        <v>0.74891020052310397</v>
      </c>
      <c r="K3011">
        <v>0.82848771057718895</v>
      </c>
      <c r="L3011">
        <v>0.78669166871977703</v>
      </c>
      <c r="M3011">
        <v>0.45539906103286398</v>
      </c>
      <c r="N3011">
        <v>1</v>
      </c>
      <c r="O3011">
        <v>0.60563380281690105</v>
      </c>
      <c r="P3011" t="s">
        <v>6059</v>
      </c>
      <c r="Q3011" t="s">
        <v>6060</v>
      </c>
      <c r="R3011" t="s">
        <v>157</v>
      </c>
      <c r="S3011" t="s">
        <v>158</v>
      </c>
      <c r="T3011" t="s">
        <v>6061</v>
      </c>
      <c r="U3011" t="s">
        <v>6062</v>
      </c>
      <c r="V3011" t="s">
        <v>6063</v>
      </c>
      <c r="W3011" t="s">
        <v>6064</v>
      </c>
      <c r="Z3011" t="s">
        <v>6065</v>
      </c>
      <c r="AA3011" t="s">
        <v>6066</v>
      </c>
      <c r="AB3011" t="s">
        <v>6065</v>
      </c>
      <c r="AC3011" t="s">
        <v>4023</v>
      </c>
      <c r="AD3011" t="s">
        <v>590</v>
      </c>
      <c r="AE3011" t="s">
        <v>6067</v>
      </c>
      <c r="AF3011" t="s">
        <v>6068</v>
      </c>
    </row>
    <row r="3012" spans="1:32" hidden="1" x14ac:dyDescent="0.35">
      <c r="A3012">
        <v>3465</v>
      </c>
      <c r="B3012" t="s">
        <v>7120</v>
      </c>
      <c r="C3012" t="s">
        <v>72</v>
      </c>
      <c r="D3012" t="s">
        <v>60</v>
      </c>
      <c r="E3012">
        <v>1499</v>
      </c>
      <c r="F3012">
        <v>5</v>
      </c>
      <c r="G3012">
        <v>5</v>
      </c>
      <c r="H3012">
        <v>1</v>
      </c>
      <c r="I3012">
        <v>1</v>
      </c>
      <c r="J3012">
        <v>0.90146182999458602</v>
      </c>
      <c r="K3012">
        <v>0.98777795300425797</v>
      </c>
      <c r="L3012">
        <v>0.94264807374540605</v>
      </c>
      <c r="M3012">
        <v>0.79946524064171098</v>
      </c>
      <c r="N3012">
        <v>1</v>
      </c>
      <c r="O3012">
        <v>0.86096256684492001</v>
      </c>
      <c r="P3012" t="s">
        <v>7121</v>
      </c>
      <c r="Q3012" t="s">
        <v>7122</v>
      </c>
      <c r="R3012" t="s">
        <v>371</v>
      </c>
      <c r="S3012" t="s">
        <v>372</v>
      </c>
      <c r="T3012" t="s">
        <v>7123</v>
      </c>
      <c r="U3012" t="s">
        <v>7124</v>
      </c>
      <c r="V3012" t="s">
        <v>7125</v>
      </c>
      <c r="W3012" t="s">
        <v>7126</v>
      </c>
      <c r="AD3012" t="s">
        <v>7127</v>
      </c>
      <c r="AE3012" t="s">
        <v>7128</v>
      </c>
      <c r="AF3012" t="s">
        <v>7130</v>
      </c>
    </row>
    <row r="3013" spans="1:32" hidden="1" x14ac:dyDescent="0.35">
      <c r="A3013">
        <v>3466</v>
      </c>
      <c r="B3013" t="s">
        <v>7120</v>
      </c>
      <c r="C3013" t="s">
        <v>72</v>
      </c>
      <c r="D3013" t="s">
        <v>62</v>
      </c>
      <c r="E3013">
        <v>1534</v>
      </c>
      <c r="F3013">
        <v>5</v>
      </c>
      <c r="G3013">
        <v>5</v>
      </c>
      <c r="H3013">
        <v>1</v>
      </c>
      <c r="I3013">
        <v>1</v>
      </c>
      <c r="J3013">
        <v>0.90146182999458602</v>
      </c>
      <c r="K3013">
        <v>0.98777795300425797</v>
      </c>
      <c r="L3013">
        <v>0.94264807374540605</v>
      </c>
      <c r="M3013">
        <v>0.79946524064171098</v>
      </c>
      <c r="N3013">
        <v>1</v>
      </c>
      <c r="O3013">
        <v>0.86096256684492001</v>
      </c>
      <c r="P3013" t="s">
        <v>7121</v>
      </c>
      <c r="Q3013" t="s">
        <v>7122</v>
      </c>
      <c r="R3013" t="s">
        <v>371</v>
      </c>
      <c r="S3013" t="s">
        <v>372</v>
      </c>
      <c r="T3013" t="s">
        <v>7123</v>
      </c>
      <c r="U3013" t="s">
        <v>7124</v>
      </c>
      <c r="V3013" t="s">
        <v>7125</v>
      </c>
      <c r="W3013" t="s">
        <v>7126</v>
      </c>
      <c r="AD3013" t="s">
        <v>7127</v>
      </c>
      <c r="AE3013" t="s">
        <v>7128</v>
      </c>
      <c r="AF3013" t="s">
        <v>7130</v>
      </c>
    </row>
    <row r="3014" spans="1:32" hidden="1" x14ac:dyDescent="0.35">
      <c r="A3014">
        <v>3467</v>
      </c>
      <c r="B3014" t="s">
        <v>7120</v>
      </c>
      <c r="C3014" t="s">
        <v>72</v>
      </c>
      <c r="D3014" t="s">
        <v>34</v>
      </c>
      <c r="E3014">
        <v>1931</v>
      </c>
      <c r="F3014">
        <v>5</v>
      </c>
      <c r="G3014">
        <v>5</v>
      </c>
      <c r="H3014">
        <v>1</v>
      </c>
      <c r="I3014">
        <v>1</v>
      </c>
      <c r="J3014">
        <v>0.90146182999458602</v>
      </c>
      <c r="K3014">
        <v>0.98777795300425797</v>
      </c>
      <c r="L3014">
        <v>0.94264807374540605</v>
      </c>
      <c r="M3014">
        <v>0.79946524064171098</v>
      </c>
      <c r="N3014">
        <v>1</v>
      </c>
      <c r="O3014">
        <v>0.86096256684492001</v>
      </c>
      <c r="P3014" t="s">
        <v>7121</v>
      </c>
      <c r="Q3014" t="s">
        <v>7122</v>
      </c>
      <c r="R3014" t="s">
        <v>371</v>
      </c>
      <c r="S3014" t="s">
        <v>372</v>
      </c>
      <c r="T3014" t="s">
        <v>7123</v>
      </c>
      <c r="U3014" t="s">
        <v>7124</v>
      </c>
      <c r="V3014" t="s">
        <v>7125</v>
      </c>
      <c r="W3014" t="s">
        <v>7126</v>
      </c>
      <c r="AD3014" t="s">
        <v>7127</v>
      </c>
      <c r="AE3014" t="s">
        <v>7128</v>
      </c>
      <c r="AF3014" t="s">
        <v>7131</v>
      </c>
    </row>
    <row r="3015" spans="1:32" hidden="1" x14ac:dyDescent="0.35">
      <c r="A3015">
        <v>3468</v>
      </c>
      <c r="B3015" t="s">
        <v>7120</v>
      </c>
      <c r="C3015" t="s">
        <v>72</v>
      </c>
      <c r="D3015" t="s">
        <v>45</v>
      </c>
      <c r="E3015">
        <v>942</v>
      </c>
      <c r="F3015">
        <v>5</v>
      </c>
      <c r="G3015">
        <v>5</v>
      </c>
      <c r="H3015">
        <v>1</v>
      </c>
      <c r="I3015">
        <v>1</v>
      </c>
      <c r="J3015">
        <v>0.90146182999458602</v>
      </c>
      <c r="K3015">
        <v>0.98777795300425797</v>
      </c>
      <c r="L3015">
        <v>0.94264807374540605</v>
      </c>
      <c r="M3015">
        <v>0.79946524064171098</v>
      </c>
      <c r="N3015">
        <v>1</v>
      </c>
      <c r="O3015">
        <v>0.86096256684492001</v>
      </c>
      <c r="P3015" t="s">
        <v>7121</v>
      </c>
      <c r="Q3015" t="s">
        <v>7122</v>
      </c>
      <c r="R3015" t="s">
        <v>371</v>
      </c>
      <c r="S3015" t="s">
        <v>372</v>
      </c>
      <c r="T3015" t="s">
        <v>7123</v>
      </c>
      <c r="U3015" t="s">
        <v>7124</v>
      </c>
      <c r="V3015" t="s">
        <v>7125</v>
      </c>
      <c r="W3015" t="s">
        <v>7126</v>
      </c>
      <c r="AD3015" t="s">
        <v>7127</v>
      </c>
      <c r="AE3015" t="s">
        <v>7128</v>
      </c>
      <c r="AF3015" t="s">
        <v>7131</v>
      </c>
    </row>
    <row r="3016" spans="1:32" hidden="1" x14ac:dyDescent="0.35">
      <c r="A3016">
        <v>3104</v>
      </c>
      <c r="B3016" t="s">
        <v>6397</v>
      </c>
      <c r="C3016" t="s">
        <v>72</v>
      </c>
      <c r="D3016" t="s">
        <v>58</v>
      </c>
      <c r="E3016">
        <v>140</v>
      </c>
      <c r="F3016">
        <v>5</v>
      </c>
      <c r="G3016">
        <v>5</v>
      </c>
      <c r="H3016">
        <v>1</v>
      </c>
      <c r="I3016">
        <v>1</v>
      </c>
      <c r="J3016">
        <v>0.76953580592488902</v>
      </c>
      <c r="K3016">
        <v>0.98232018011612898</v>
      </c>
      <c r="L3016">
        <v>0.86300535832315695</v>
      </c>
      <c r="M3016">
        <v>0.58075601374570496</v>
      </c>
      <c r="N3016">
        <v>1</v>
      </c>
      <c r="O3016">
        <v>0.69347079037800696</v>
      </c>
      <c r="P3016" t="s">
        <v>3800</v>
      </c>
      <c r="Q3016" t="s">
        <v>3801</v>
      </c>
      <c r="R3016" t="s">
        <v>157</v>
      </c>
      <c r="S3016" t="s">
        <v>158</v>
      </c>
      <c r="T3016" t="s">
        <v>6398</v>
      </c>
      <c r="U3016" t="s">
        <v>6399</v>
      </c>
      <c r="V3016" t="s">
        <v>6400</v>
      </c>
      <c r="W3016" t="s">
        <v>6401</v>
      </c>
      <c r="Z3016" t="s">
        <v>6065</v>
      </c>
      <c r="AA3016" t="s">
        <v>6066</v>
      </c>
      <c r="AB3016" t="s">
        <v>6065</v>
      </c>
      <c r="AC3016" t="s">
        <v>4023</v>
      </c>
      <c r="AD3016" t="s">
        <v>1140</v>
      </c>
      <c r="AE3016" t="s">
        <v>6402</v>
      </c>
      <c r="AF3016" t="s">
        <v>6403</v>
      </c>
    </row>
    <row r="3017" spans="1:32" hidden="1" x14ac:dyDescent="0.35">
      <c r="A3017">
        <v>3615</v>
      </c>
      <c r="B3017" t="s">
        <v>7441</v>
      </c>
      <c r="C3017" t="s">
        <v>72</v>
      </c>
      <c r="D3017" t="s">
        <v>60</v>
      </c>
      <c r="E3017">
        <v>906</v>
      </c>
      <c r="F3017">
        <v>5</v>
      </c>
      <c r="G3017">
        <v>5</v>
      </c>
      <c r="H3017">
        <v>1</v>
      </c>
      <c r="I3017">
        <v>1</v>
      </c>
      <c r="J3017">
        <v>0.78085916258836296</v>
      </c>
      <c r="K3017">
        <v>0.91890785592992996</v>
      </c>
      <c r="L3017">
        <v>0.84427761106083798</v>
      </c>
      <c r="M3017">
        <v>0.53432835820895497</v>
      </c>
      <c r="N3017">
        <v>0.99402985074626904</v>
      </c>
      <c r="O3017">
        <v>0.66597014925373099</v>
      </c>
      <c r="P3017" t="s">
        <v>7442</v>
      </c>
      <c r="Q3017" t="s">
        <v>7443</v>
      </c>
      <c r="R3017" t="s">
        <v>371</v>
      </c>
      <c r="S3017" t="s">
        <v>372</v>
      </c>
      <c r="T3017" t="s">
        <v>7444</v>
      </c>
      <c r="U3017" t="s">
        <v>407</v>
      </c>
      <c r="V3017" t="s">
        <v>7445</v>
      </c>
      <c r="W3017" t="s">
        <v>7446</v>
      </c>
      <c r="AD3017" t="s">
        <v>410</v>
      </c>
      <c r="AE3017" t="s">
        <v>411</v>
      </c>
      <c r="AF3017" t="s">
        <v>7448</v>
      </c>
    </row>
    <row r="3018" spans="1:32" hidden="1" x14ac:dyDescent="0.35">
      <c r="A3018">
        <v>3616</v>
      </c>
      <c r="B3018" t="s">
        <v>7441</v>
      </c>
      <c r="C3018" t="s">
        <v>72</v>
      </c>
      <c r="D3018" t="s">
        <v>62</v>
      </c>
      <c r="E3018">
        <v>940</v>
      </c>
      <c r="F3018">
        <v>5</v>
      </c>
      <c r="G3018">
        <v>5</v>
      </c>
      <c r="H3018">
        <v>1</v>
      </c>
      <c r="I3018">
        <v>1</v>
      </c>
      <c r="J3018">
        <v>0.78085916258836296</v>
      </c>
      <c r="K3018">
        <v>0.91890785592992996</v>
      </c>
      <c r="L3018">
        <v>0.84427761106083798</v>
      </c>
      <c r="M3018">
        <v>0.53432835820895497</v>
      </c>
      <c r="N3018">
        <v>0.99402985074626904</v>
      </c>
      <c r="O3018">
        <v>0.66597014925373099</v>
      </c>
      <c r="P3018" t="s">
        <v>7442</v>
      </c>
      <c r="Q3018" t="s">
        <v>7443</v>
      </c>
      <c r="R3018" t="s">
        <v>371</v>
      </c>
      <c r="S3018" t="s">
        <v>372</v>
      </c>
      <c r="T3018" t="s">
        <v>7444</v>
      </c>
      <c r="U3018" t="s">
        <v>407</v>
      </c>
      <c r="V3018" t="s">
        <v>7445</v>
      </c>
      <c r="W3018" t="s">
        <v>7446</v>
      </c>
      <c r="AD3018" t="s">
        <v>410</v>
      </c>
      <c r="AE3018" t="s">
        <v>411</v>
      </c>
      <c r="AF3018" t="s">
        <v>7449</v>
      </c>
    </row>
    <row r="3019" spans="1:32" hidden="1" x14ac:dyDescent="0.35">
      <c r="A3019">
        <v>3617</v>
      </c>
      <c r="B3019" t="s">
        <v>7441</v>
      </c>
      <c r="C3019" t="s">
        <v>72</v>
      </c>
      <c r="D3019" t="s">
        <v>34</v>
      </c>
      <c r="E3019">
        <v>250</v>
      </c>
      <c r="F3019">
        <v>5</v>
      </c>
      <c r="G3019">
        <v>5</v>
      </c>
      <c r="H3019">
        <v>1</v>
      </c>
      <c r="I3019">
        <v>1</v>
      </c>
      <c r="J3019">
        <v>0.78085916258836296</v>
      </c>
      <c r="K3019">
        <v>0.91890785592992996</v>
      </c>
      <c r="L3019">
        <v>0.84427761106083798</v>
      </c>
      <c r="M3019">
        <v>0.53432835820895497</v>
      </c>
      <c r="N3019">
        <v>0.99402985074626904</v>
      </c>
      <c r="O3019">
        <v>0.66597014925373099</v>
      </c>
      <c r="P3019" t="s">
        <v>7442</v>
      </c>
      <c r="Q3019" t="s">
        <v>7443</v>
      </c>
      <c r="R3019" t="s">
        <v>371</v>
      </c>
      <c r="S3019" t="s">
        <v>372</v>
      </c>
      <c r="T3019" t="s">
        <v>7444</v>
      </c>
      <c r="U3019" t="s">
        <v>407</v>
      </c>
      <c r="V3019" t="s">
        <v>7445</v>
      </c>
      <c r="W3019" t="s">
        <v>7446</v>
      </c>
      <c r="AD3019" t="s">
        <v>410</v>
      </c>
      <c r="AE3019" t="s">
        <v>411</v>
      </c>
      <c r="AF3019" t="s">
        <v>7450</v>
      </c>
    </row>
    <row r="3020" spans="1:32" hidden="1" x14ac:dyDescent="0.35">
      <c r="A3020">
        <v>3618</v>
      </c>
      <c r="B3020" t="s">
        <v>7441</v>
      </c>
      <c r="C3020" t="s">
        <v>72</v>
      </c>
      <c r="D3020" t="s">
        <v>45</v>
      </c>
      <c r="E3020">
        <v>1513</v>
      </c>
      <c r="F3020">
        <v>5</v>
      </c>
      <c r="G3020">
        <v>5</v>
      </c>
      <c r="H3020">
        <v>1</v>
      </c>
      <c r="I3020">
        <v>1</v>
      </c>
      <c r="J3020">
        <v>0.78085916258836296</v>
      </c>
      <c r="K3020">
        <v>0.91890785592992996</v>
      </c>
      <c r="L3020">
        <v>0.84427761106083798</v>
      </c>
      <c r="M3020">
        <v>0.53432835820895497</v>
      </c>
      <c r="N3020">
        <v>0.99402985074626904</v>
      </c>
      <c r="O3020">
        <v>0.66597014925373099</v>
      </c>
      <c r="P3020" t="s">
        <v>7442</v>
      </c>
      <c r="Q3020" t="s">
        <v>7443</v>
      </c>
      <c r="R3020" t="s">
        <v>371</v>
      </c>
      <c r="S3020" t="s">
        <v>372</v>
      </c>
      <c r="T3020" t="s">
        <v>7444</v>
      </c>
      <c r="U3020" t="s">
        <v>407</v>
      </c>
      <c r="V3020" t="s">
        <v>7445</v>
      </c>
      <c r="W3020" t="s">
        <v>7446</v>
      </c>
      <c r="AD3020" t="s">
        <v>410</v>
      </c>
      <c r="AE3020" t="s">
        <v>411</v>
      </c>
      <c r="AF3020" t="s">
        <v>7451</v>
      </c>
    </row>
    <row r="3021" spans="1:32" hidden="1" x14ac:dyDescent="0.35">
      <c r="A3021">
        <v>3589</v>
      </c>
      <c r="B3021" t="s">
        <v>7380</v>
      </c>
      <c r="C3021" t="s">
        <v>72</v>
      </c>
      <c r="D3021" t="s">
        <v>58</v>
      </c>
      <c r="E3021">
        <v>702</v>
      </c>
      <c r="F3021">
        <v>5</v>
      </c>
      <c r="G3021">
        <v>5</v>
      </c>
      <c r="H3021">
        <v>1</v>
      </c>
      <c r="I3021">
        <v>1</v>
      </c>
      <c r="J3021">
        <v>0.76642819289878095</v>
      </c>
      <c r="K3021">
        <v>0.97923151750973003</v>
      </c>
      <c r="L3021">
        <v>0.85985904116316303</v>
      </c>
      <c r="M3021">
        <v>0.54085603112840497</v>
      </c>
      <c r="N3021">
        <v>0.99610894941634198</v>
      </c>
      <c r="O3021">
        <v>0.65797665369649805</v>
      </c>
      <c r="P3021" t="s">
        <v>7381</v>
      </c>
      <c r="Q3021" t="s">
        <v>7382</v>
      </c>
      <c r="R3021" t="s">
        <v>869</v>
      </c>
      <c r="S3021" t="s">
        <v>870</v>
      </c>
      <c r="T3021" t="s">
        <v>7383</v>
      </c>
      <c r="U3021" t="s">
        <v>7384</v>
      </c>
      <c r="V3021" t="s">
        <v>7385</v>
      </c>
      <c r="W3021" t="s">
        <v>7386</v>
      </c>
      <c r="AD3021" t="s">
        <v>439</v>
      </c>
      <c r="AE3021" t="s">
        <v>7387</v>
      </c>
      <c r="AF3021" t="s">
        <v>7388</v>
      </c>
    </row>
    <row r="3022" spans="1:32" hidden="1" x14ac:dyDescent="0.35">
      <c r="A3022">
        <v>3745</v>
      </c>
      <c r="B3022" t="s">
        <v>7726</v>
      </c>
      <c r="C3022" t="s">
        <v>72</v>
      </c>
      <c r="D3022" t="s">
        <v>60</v>
      </c>
      <c r="E3022">
        <v>1954</v>
      </c>
      <c r="F3022">
        <v>5</v>
      </c>
      <c r="G3022">
        <v>5</v>
      </c>
      <c r="H3022">
        <v>1</v>
      </c>
      <c r="I3022">
        <v>1</v>
      </c>
      <c r="J3022">
        <v>0.74708743354824103</v>
      </c>
      <c r="K3022">
        <v>0.89275772778767004</v>
      </c>
      <c r="L3022">
        <v>0.81345250802813496</v>
      </c>
      <c r="M3022">
        <v>0.46407185628742498</v>
      </c>
      <c r="N3022">
        <v>0.99101796407185605</v>
      </c>
      <c r="O3022">
        <v>0.60718562874251503</v>
      </c>
      <c r="P3022" t="s">
        <v>7731</v>
      </c>
      <c r="Q3022" t="s">
        <v>7732</v>
      </c>
      <c r="R3022" t="s">
        <v>371</v>
      </c>
      <c r="S3022" t="s">
        <v>372</v>
      </c>
      <c r="T3022" t="s">
        <v>7727</v>
      </c>
      <c r="U3022" t="s">
        <v>7728</v>
      </c>
      <c r="V3022" t="s">
        <v>7729</v>
      </c>
      <c r="W3022" t="s">
        <v>7730</v>
      </c>
      <c r="AD3022" t="s">
        <v>3961</v>
      </c>
      <c r="AE3022" t="s">
        <v>3962</v>
      </c>
      <c r="AF3022" t="s">
        <v>7733</v>
      </c>
    </row>
    <row r="3023" spans="1:32" hidden="1" x14ac:dyDescent="0.35">
      <c r="A3023">
        <v>3746</v>
      </c>
      <c r="B3023" t="s">
        <v>7726</v>
      </c>
      <c r="C3023" t="s">
        <v>72</v>
      </c>
      <c r="D3023" t="s">
        <v>62</v>
      </c>
      <c r="E3023">
        <v>1995</v>
      </c>
      <c r="F3023">
        <v>5</v>
      </c>
      <c r="G3023">
        <v>5</v>
      </c>
      <c r="H3023">
        <v>1</v>
      </c>
      <c r="I3023">
        <v>1</v>
      </c>
      <c r="J3023">
        <v>0.74708743354824103</v>
      </c>
      <c r="K3023">
        <v>0.89275772778767004</v>
      </c>
      <c r="L3023">
        <v>0.81345250802813496</v>
      </c>
      <c r="M3023">
        <v>0.46407185628742498</v>
      </c>
      <c r="N3023">
        <v>0.99101796407185605</v>
      </c>
      <c r="O3023">
        <v>0.60718562874251503</v>
      </c>
      <c r="P3023" t="s">
        <v>7731</v>
      </c>
      <c r="Q3023" t="s">
        <v>7732</v>
      </c>
      <c r="R3023" t="s">
        <v>371</v>
      </c>
      <c r="S3023" t="s">
        <v>372</v>
      </c>
      <c r="T3023" t="s">
        <v>7727</v>
      </c>
      <c r="U3023" t="s">
        <v>7728</v>
      </c>
      <c r="V3023" t="s">
        <v>7729</v>
      </c>
      <c r="W3023" t="s">
        <v>7730</v>
      </c>
      <c r="AD3023" t="s">
        <v>3961</v>
      </c>
      <c r="AE3023" t="s">
        <v>3962</v>
      </c>
      <c r="AF3023" t="s">
        <v>7734</v>
      </c>
    </row>
    <row r="3024" spans="1:32" hidden="1" x14ac:dyDescent="0.35">
      <c r="A3024">
        <v>3747</v>
      </c>
      <c r="B3024" t="s">
        <v>7726</v>
      </c>
      <c r="C3024" t="s">
        <v>72</v>
      </c>
      <c r="D3024" t="s">
        <v>34</v>
      </c>
      <c r="E3024">
        <v>2312</v>
      </c>
      <c r="F3024">
        <v>5</v>
      </c>
      <c r="G3024">
        <v>5</v>
      </c>
      <c r="H3024">
        <v>1</v>
      </c>
      <c r="I3024">
        <v>1</v>
      </c>
      <c r="J3024">
        <v>0.74708743354824103</v>
      </c>
      <c r="K3024">
        <v>0.89275772778767004</v>
      </c>
      <c r="L3024">
        <v>0.81345250802813496</v>
      </c>
      <c r="M3024">
        <v>0.46407185628742498</v>
      </c>
      <c r="N3024">
        <v>0.99101796407185605</v>
      </c>
      <c r="O3024">
        <v>0.60718562874251503</v>
      </c>
      <c r="P3024" t="s">
        <v>7731</v>
      </c>
      <c r="Q3024" t="s">
        <v>7732</v>
      </c>
      <c r="R3024" t="s">
        <v>371</v>
      </c>
      <c r="S3024" t="s">
        <v>372</v>
      </c>
      <c r="T3024" t="s">
        <v>7727</v>
      </c>
      <c r="U3024" t="s">
        <v>7728</v>
      </c>
      <c r="V3024" t="s">
        <v>7729</v>
      </c>
      <c r="W3024" t="s">
        <v>7730</v>
      </c>
      <c r="AD3024" t="s">
        <v>3961</v>
      </c>
      <c r="AE3024" t="s">
        <v>3962</v>
      </c>
      <c r="AF3024" t="s">
        <v>7735</v>
      </c>
    </row>
    <row r="3025" spans="1:32" hidden="1" x14ac:dyDescent="0.35">
      <c r="A3025">
        <v>3748</v>
      </c>
      <c r="B3025" t="s">
        <v>7726</v>
      </c>
      <c r="C3025" t="s">
        <v>72</v>
      </c>
      <c r="D3025" t="s">
        <v>45</v>
      </c>
      <c r="E3025">
        <v>566</v>
      </c>
      <c r="F3025">
        <v>5</v>
      </c>
      <c r="G3025">
        <v>5</v>
      </c>
      <c r="H3025">
        <v>1</v>
      </c>
      <c r="I3025">
        <v>1</v>
      </c>
      <c r="J3025">
        <v>0.74708743354824103</v>
      </c>
      <c r="K3025">
        <v>0.89275772778767004</v>
      </c>
      <c r="L3025">
        <v>0.81345250802813496</v>
      </c>
      <c r="M3025">
        <v>0.46407185628742498</v>
      </c>
      <c r="N3025">
        <v>0.99101796407185605</v>
      </c>
      <c r="O3025">
        <v>0.60718562874251503</v>
      </c>
      <c r="P3025" t="s">
        <v>7731</v>
      </c>
      <c r="Q3025" t="s">
        <v>7732</v>
      </c>
      <c r="R3025" t="s">
        <v>371</v>
      </c>
      <c r="S3025" t="s">
        <v>372</v>
      </c>
      <c r="T3025" t="s">
        <v>7727</v>
      </c>
      <c r="U3025" t="s">
        <v>7728</v>
      </c>
      <c r="V3025" t="s">
        <v>7729</v>
      </c>
      <c r="W3025" t="s">
        <v>7730</v>
      </c>
      <c r="AD3025" t="s">
        <v>3961</v>
      </c>
      <c r="AE3025" t="s">
        <v>3962</v>
      </c>
      <c r="AF3025" t="s">
        <v>7736</v>
      </c>
    </row>
    <row r="3026" spans="1:32" hidden="1" x14ac:dyDescent="0.35">
      <c r="A3026">
        <v>6269</v>
      </c>
      <c r="B3026" t="s">
        <v>12910</v>
      </c>
      <c r="C3026" t="s">
        <v>68</v>
      </c>
      <c r="D3026" t="s">
        <v>58</v>
      </c>
      <c r="E3026">
        <v>1621</v>
      </c>
      <c r="F3026">
        <v>3</v>
      </c>
      <c r="G3026">
        <v>3</v>
      </c>
      <c r="H3026">
        <v>1</v>
      </c>
      <c r="I3026">
        <v>0</v>
      </c>
      <c r="J3026">
        <v>0.78867403314917095</v>
      </c>
      <c r="K3026">
        <v>0.97727746508234403</v>
      </c>
      <c r="L3026">
        <v>0.87290433589387895</v>
      </c>
      <c r="M3026">
        <v>0.56680161943319796</v>
      </c>
      <c r="N3026">
        <v>0.99595141700404899</v>
      </c>
      <c r="O3026">
        <v>0.70985155195681504</v>
      </c>
      <c r="P3026" t="s">
        <v>7381</v>
      </c>
      <c r="Q3026" t="s">
        <v>7382</v>
      </c>
      <c r="R3026" t="s">
        <v>869</v>
      </c>
      <c r="S3026" t="s">
        <v>870</v>
      </c>
      <c r="T3026" t="s">
        <v>12911</v>
      </c>
      <c r="U3026" t="s">
        <v>12292</v>
      </c>
      <c r="V3026" t="s">
        <v>7385</v>
      </c>
      <c r="W3026" t="s">
        <v>7386</v>
      </c>
      <c r="AD3026" t="s">
        <v>12295</v>
      </c>
      <c r="AE3026" t="s">
        <v>12296</v>
      </c>
      <c r="AF3026" t="s">
        <v>12912</v>
      </c>
    </row>
    <row r="3027" spans="1:32" hidden="1" x14ac:dyDescent="0.35">
      <c r="A3027">
        <v>3920</v>
      </c>
      <c r="B3027" t="s">
        <v>8076</v>
      </c>
      <c r="C3027" t="s">
        <v>72</v>
      </c>
      <c r="D3027" t="s">
        <v>60</v>
      </c>
      <c r="E3027">
        <v>2268</v>
      </c>
      <c r="F3027">
        <v>5</v>
      </c>
      <c r="G3027">
        <v>5</v>
      </c>
      <c r="H3027">
        <v>1</v>
      </c>
      <c r="I3027">
        <v>1</v>
      </c>
      <c r="J3027">
        <v>0.830747942611609</v>
      </c>
      <c r="K3027">
        <v>0.93832511984981004</v>
      </c>
      <c r="L3027">
        <v>0.88126565189053196</v>
      </c>
      <c r="M3027">
        <v>0.61758691206544003</v>
      </c>
      <c r="N3027">
        <v>0.99182004089979503</v>
      </c>
      <c r="O3027">
        <v>0.74233128834355799</v>
      </c>
      <c r="P3027" t="s">
        <v>8077</v>
      </c>
      <c r="Q3027" t="s">
        <v>370</v>
      </c>
      <c r="R3027" t="s">
        <v>371</v>
      </c>
      <c r="S3027" t="s">
        <v>372</v>
      </c>
      <c r="T3027" t="s">
        <v>8078</v>
      </c>
      <c r="U3027" t="s">
        <v>8079</v>
      </c>
      <c r="V3027" t="s">
        <v>8080</v>
      </c>
      <c r="W3027" t="s">
        <v>8081</v>
      </c>
      <c r="AD3027" t="s">
        <v>8082</v>
      </c>
      <c r="AE3027" t="s">
        <v>8083</v>
      </c>
      <c r="AF3027" t="s">
        <v>8085</v>
      </c>
    </row>
    <row r="3028" spans="1:32" hidden="1" x14ac:dyDescent="0.35">
      <c r="A3028">
        <v>3921</v>
      </c>
      <c r="B3028" t="s">
        <v>8076</v>
      </c>
      <c r="C3028" t="s">
        <v>72</v>
      </c>
      <c r="D3028" t="s">
        <v>62</v>
      </c>
      <c r="E3028">
        <v>2297</v>
      </c>
      <c r="F3028">
        <v>5</v>
      </c>
      <c r="G3028">
        <v>5</v>
      </c>
      <c r="H3028">
        <v>1</v>
      </c>
      <c r="I3028">
        <v>1</v>
      </c>
      <c r="J3028">
        <v>0.830747942611609</v>
      </c>
      <c r="K3028">
        <v>0.93832511984981004</v>
      </c>
      <c r="L3028">
        <v>0.88126565189053196</v>
      </c>
      <c r="M3028">
        <v>0.61758691206544003</v>
      </c>
      <c r="N3028">
        <v>0.99182004089979503</v>
      </c>
      <c r="O3028">
        <v>0.74233128834355799</v>
      </c>
      <c r="P3028" t="s">
        <v>8077</v>
      </c>
      <c r="Q3028" t="s">
        <v>370</v>
      </c>
      <c r="R3028" t="s">
        <v>371</v>
      </c>
      <c r="S3028" t="s">
        <v>372</v>
      </c>
      <c r="T3028" t="s">
        <v>8078</v>
      </c>
      <c r="U3028" t="s">
        <v>8079</v>
      </c>
      <c r="V3028" t="s">
        <v>8080</v>
      </c>
      <c r="W3028" t="s">
        <v>8081</v>
      </c>
      <c r="AD3028" t="s">
        <v>8082</v>
      </c>
      <c r="AE3028" t="s">
        <v>8083</v>
      </c>
      <c r="AF3028" t="s">
        <v>8086</v>
      </c>
    </row>
    <row r="3029" spans="1:32" hidden="1" x14ac:dyDescent="0.35">
      <c r="A3029">
        <v>3922</v>
      </c>
      <c r="B3029" t="s">
        <v>8076</v>
      </c>
      <c r="C3029" t="s">
        <v>72</v>
      </c>
      <c r="D3029" t="s">
        <v>34</v>
      </c>
      <c r="E3029">
        <v>1520</v>
      </c>
      <c r="F3029">
        <v>5</v>
      </c>
      <c r="G3029">
        <v>5</v>
      </c>
      <c r="H3029">
        <v>1</v>
      </c>
      <c r="I3029">
        <v>1</v>
      </c>
      <c r="J3029">
        <v>0.830747942611609</v>
      </c>
      <c r="K3029">
        <v>0.93832511984981004</v>
      </c>
      <c r="L3029">
        <v>0.88126565189053196</v>
      </c>
      <c r="M3029">
        <v>0.61758691206544003</v>
      </c>
      <c r="N3029">
        <v>0.99182004089979503</v>
      </c>
      <c r="O3029">
        <v>0.74233128834355799</v>
      </c>
      <c r="P3029" t="s">
        <v>8077</v>
      </c>
      <c r="Q3029" t="s">
        <v>370</v>
      </c>
      <c r="R3029" t="s">
        <v>371</v>
      </c>
      <c r="S3029" t="s">
        <v>372</v>
      </c>
      <c r="T3029" t="s">
        <v>8078</v>
      </c>
      <c r="U3029" t="s">
        <v>8079</v>
      </c>
      <c r="V3029" t="s">
        <v>8080</v>
      </c>
      <c r="W3029" t="s">
        <v>8081</v>
      </c>
      <c r="AD3029" t="s">
        <v>8082</v>
      </c>
      <c r="AE3029" t="s">
        <v>8083</v>
      </c>
      <c r="AF3029" t="s">
        <v>8087</v>
      </c>
    </row>
    <row r="3030" spans="1:32" hidden="1" x14ac:dyDescent="0.35">
      <c r="A3030">
        <v>3923</v>
      </c>
      <c r="B3030" t="s">
        <v>8076</v>
      </c>
      <c r="C3030" t="s">
        <v>72</v>
      </c>
      <c r="D3030" t="s">
        <v>45</v>
      </c>
      <c r="E3030">
        <v>270</v>
      </c>
      <c r="F3030">
        <v>5</v>
      </c>
      <c r="G3030">
        <v>5</v>
      </c>
      <c r="H3030">
        <v>1</v>
      </c>
      <c r="I3030">
        <v>1</v>
      </c>
      <c r="J3030">
        <v>0.830747942611609</v>
      </c>
      <c r="K3030">
        <v>0.93832511984981004</v>
      </c>
      <c r="L3030">
        <v>0.88126565189053196</v>
      </c>
      <c r="M3030">
        <v>0.61758691206544003</v>
      </c>
      <c r="N3030">
        <v>0.99182004089979503</v>
      </c>
      <c r="O3030">
        <v>0.74233128834355799</v>
      </c>
      <c r="P3030" t="s">
        <v>8077</v>
      </c>
      <c r="Q3030" t="s">
        <v>370</v>
      </c>
      <c r="R3030" t="s">
        <v>371</v>
      </c>
      <c r="S3030" t="s">
        <v>372</v>
      </c>
      <c r="T3030" t="s">
        <v>8078</v>
      </c>
      <c r="U3030" t="s">
        <v>8079</v>
      </c>
      <c r="V3030" t="s">
        <v>8080</v>
      </c>
      <c r="W3030" t="s">
        <v>8081</v>
      </c>
      <c r="AD3030" t="s">
        <v>8082</v>
      </c>
      <c r="AE3030" t="s">
        <v>8083</v>
      </c>
      <c r="AF3030" t="s">
        <v>8088</v>
      </c>
    </row>
    <row r="3031" spans="1:32" hidden="1" x14ac:dyDescent="0.35">
      <c r="A3031">
        <v>11754</v>
      </c>
      <c r="B3031" t="s">
        <v>24145</v>
      </c>
      <c r="C3031" t="s">
        <v>33</v>
      </c>
      <c r="D3031" t="s">
        <v>58</v>
      </c>
      <c r="E3031">
        <v>1454</v>
      </c>
      <c r="F3031">
        <v>1</v>
      </c>
      <c r="G3031">
        <v>1</v>
      </c>
      <c r="H3031">
        <v>1</v>
      </c>
      <c r="I3031">
        <v>0</v>
      </c>
      <c r="J3031">
        <v>1</v>
      </c>
      <c r="K3031">
        <v>1</v>
      </c>
      <c r="L3031">
        <v>1</v>
      </c>
      <c r="M3031">
        <v>0</v>
      </c>
      <c r="N3031">
        <v>0</v>
      </c>
      <c r="O3031">
        <v>0</v>
      </c>
      <c r="P3031" t="s">
        <v>7381</v>
      </c>
      <c r="Q3031" t="s">
        <v>7382</v>
      </c>
      <c r="R3031" t="s">
        <v>869</v>
      </c>
      <c r="S3031" t="s">
        <v>870</v>
      </c>
      <c r="T3031" t="s">
        <v>11238</v>
      </c>
      <c r="U3031" t="s">
        <v>11239</v>
      </c>
      <c r="V3031" t="s">
        <v>7385</v>
      </c>
      <c r="W3031" t="s">
        <v>7386</v>
      </c>
      <c r="AD3031" t="s">
        <v>439</v>
      </c>
      <c r="AE3031" t="s">
        <v>4527</v>
      </c>
      <c r="AF3031" t="s">
        <v>24146</v>
      </c>
    </row>
    <row r="3032" spans="1:32" hidden="1" x14ac:dyDescent="0.35">
      <c r="A3032">
        <v>3945</v>
      </c>
      <c r="B3032" t="s">
        <v>8140</v>
      </c>
      <c r="C3032" t="s">
        <v>72</v>
      </c>
      <c r="D3032" t="s">
        <v>60</v>
      </c>
      <c r="E3032">
        <v>1371</v>
      </c>
      <c r="F3032">
        <v>5</v>
      </c>
      <c r="G3032">
        <v>5</v>
      </c>
      <c r="H3032">
        <v>1</v>
      </c>
      <c r="I3032">
        <v>1</v>
      </c>
      <c r="J3032">
        <v>0.76232829330961605</v>
      </c>
      <c r="K3032">
        <v>0.95406827607700795</v>
      </c>
      <c r="L3032">
        <v>0.84748857411495204</v>
      </c>
      <c r="M3032">
        <v>0.56497175141242895</v>
      </c>
      <c r="N3032">
        <v>0.99717514124293805</v>
      </c>
      <c r="O3032">
        <v>0.67514124293785305</v>
      </c>
      <c r="P3032" t="s">
        <v>8141</v>
      </c>
      <c r="Q3032" t="s">
        <v>8142</v>
      </c>
      <c r="R3032" t="s">
        <v>371</v>
      </c>
      <c r="S3032" t="s">
        <v>372</v>
      </c>
      <c r="T3032" t="s">
        <v>8143</v>
      </c>
      <c r="U3032" t="s">
        <v>8144</v>
      </c>
      <c r="V3032" t="s">
        <v>8145</v>
      </c>
      <c r="W3032" t="s">
        <v>8146</v>
      </c>
      <c r="AD3032" t="s">
        <v>1437</v>
      </c>
      <c r="AE3032" t="s">
        <v>8147</v>
      </c>
      <c r="AF3032" t="s">
        <v>8149</v>
      </c>
    </row>
    <row r="3033" spans="1:32" hidden="1" x14ac:dyDescent="0.35">
      <c r="A3033">
        <v>3946</v>
      </c>
      <c r="B3033" t="s">
        <v>8140</v>
      </c>
      <c r="C3033" t="s">
        <v>72</v>
      </c>
      <c r="D3033" t="s">
        <v>62</v>
      </c>
      <c r="E3033">
        <v>1406</v>
      </c>
      <c r="F3033">
        <v>5</v>
      </c>
      <c r="G3033">
        <v>5</v>
      </c>
      <c r="H3033">
        <v>1</v>
      </c>
      <c r="I3033">
        <v>1</v>
      </c>
      <c r="J3033">
        <v>0.76232829330961605</v>
      </c>
      <c r="K3033">
        <v>0.95406827607700795</v>
      </c>
      <c r="L3033">
        <v>0.84748857411495204</v>
      </c>
      <c r="M3033">
        <v>0.56497175141242895</v>
      </c>
      <c r="N3033">
        <v>0.99717514124293805</v>
      </c>
      <c r="O3033">
        <v>0.67514124293785305</v>
      </c>
      <c r="P3033" t="s">
        <v>8141</v>
      </c>
      <c r="Q3033" t="s">
        <v>8142</v>
      </c>
      <c r="R3033" t="s">
        <v>371</v>
      </c>
      <c r="S3033" t="s">
        <v>372</v>
      </c>
      <c r="T3033" t="s">
        <v>8143</v>
      </c>
      <c r="U3033" t="s">
        <v>8144</v>
      </c>
      <c r="V3033" t="s">
        <v>8145</v>
      </c>
      <c r="W3033" t="s">
        <v>8146</v>
      </c>
      <c r="AD3033" t="s">
        <v>1437</v>
      </c>
      <c r="AE3033" t="s">
        <v>8147</v>
      </c>
      <c r="AF3033" t="s">
        <v>8150</v>
      </c>
    </row>
    <row r="3034" spans="1:32" hidden="1" x14ac:dyDescent="0.35">
      <c r="A3034">
        <v>3947</v>
      </c>
      <c r="B3034" t="s">
        <v>8140</v>
      </c>
      <c r="C3034" t="s">
        <v>72</v>
      </c>
      <c r="D3034" t="s">
        <v>34</v>
      </c>
      <c r="E3034">
        <v>1798</v>
      </c>
      <c r="F3034">
        <v>5</v>
      </c>
      <c r="G3034">
        <v>5</v>
      </c>
      <c r="H3034">
        <v>1</v>
      </c>
      <c r="I3034">
        <v>1</v>
      </c>
      <c r="J3034">
        <v>0.76232829330961605</v>
      </c>
      <c r="K3034">
        <v>0.95406827607700795</v>
      </c>
      <c r="L3034">
        <v>0.84748857411495204</v>
      </c>
      <c r="M3034">
        <v>0.56497175141242895</v>
      </c>
      <c r="N3034">
        <v>0.99717514124293805</v>
      </c>
      <c r="O3034">
        <v>0.67514124293785305</v>
      </c>
      <c r="P3034" t="s">
        <v>8141</v>
      </c>
      <c r="Q3034" t="s">
        <v>8142</v>
      </c>
      <c r="R3034" t="s">
        <v>371</v>
      </c>
      <c r="S3034" t="s">
        <v>372</v>
      </c>
      <c r="T3034" t="s">
        <v>8143</v>
      </c>
      <c r="U3034" t="s">
        <v>8144</v>
      </c>
      <c r="V3034" t="s">
        <v>8145</v>
      </c>
      <c r="W3034" t="s">
        <v>8146</v>
      </c>
      <c r="AD3034" t="s">
        <v>1437</v>
      </c>
      <c r="AE3034" t="s">
        <v>8147</v>
      </c>
      <c r="AF3034" t="s">
        <v>8151</v>
      </c>
    </row>
    <row r="3035" spans="1:32" hidden="1" x14ac:dyDescent="0.35">
      <c r="A3035">
        <v>3948</v>
      </c>
      <c r="B3035" t="s">
        <v>8140</v>
      </c>
      <c r="C3035" t="s">
        <v>72</v>
      </c>
      <c r="D3035" t="s">
        <v>45</v>
      </c>
      <c r="E3035">
        <v>1075</v>
      </c>
      <c r="F3035">
        <v>5</v>
      </c>
      <c r="G3035">
        <v>5</v>
      </c>
      <c r="H3035">
        <v>1</v>
      </c>
      <c r="I3035">
        <v>1</v>
      </c>
      <c r="J3035">
        <v>0.76232829330961605</v>
      </c>
      <c r="K3035">
        <v>0.95406827607700795</v>
      </c>
      <c r="L3035">
        <v>0.84748857411495204</v>
      </c>
      <c r="M3035">
        <v>0.56497175141242895</v>
      </c>
      <c r="N3035">
        <v>0.99717514124293805</v>
      </c>
      <c r="O3035">
        <v>0.67514124293785305</v>
      </c>
      <c r="P3035" t="s">
        <v>8141</v>
      </c>
      <c r="Q3035" t="s">
        <v>8142</v>
      </c>
      <c r="R3035" t="s">
        <v>371</v>
      </c>
      <c r="S3035" t="s">
        <v>372</v>
      </c>
      <c r="T3035" t="s">
        <v>8143</v>
      </c>
      <c r="U3035" t="s">
        <v>8144</v>
      </c>
      <c r="V3035" t="s">
        <v>8145</v>
      </c>
      <c r="W3035" t="s">
        <v>8146</v>
      </c>
      <c r="AD3035" t="s">
        <v>1437</v>
      </c>
      <c r="AE3035" t="s">
        <v>8147</v>
      </c>
      <c r="AF3035" t="s">
        <v>8151</v>
      </c>
    </row>
    <row r="3036" spans="1:32" hidden="1" x14ac:dyDescent="0.35">
      <c r="A3036">
        <v>4449</v>
      </c>
      <c r="B3036" t="s">
        <v>9258</v>
      </c>
      <c r="C3036" t="s">
        <v>72</v>
      </c>
      <c r="D3036" t="s">
        <v>58</v>
      </c>
      <c r="E3036">
        <v>756</v>
      </c>
      <c r="F3036">
        <v>5</v>
      </c>
      <c r="G3036">
        <v>5</v>
      </c>
      <c r="H3036">
        <v>1</v>
      </c>
      <c r="I3036">
        <v>1</v>
      </c>
      <c r="J3036">
        <v>0.75960920426790102</v>
      </c>
      <c r="K3036">
        <v>0.96098719537381005</v>
      </c>
      <c r="L3036">
        <v>0.84851359556668604</v>
      </c>
      <c r="M3036">
        <v>0.54444444444444395</v>
      </c>
      <c r="N3036">
        <v>0.99629629629629601</v>
      </c>
      <c r="O3036">
        <v>0.67333333333333301</v>
      </c>
      <c r="P3036" t="s">
        <v>664</v>
      </c>
      <c r="Q3036" t="s">
        <v>665</v>
      </c>
      <c r="R3036" t="s">
        <v>652</v>
      </c>
      <c r="S3036" t="s">
        <v>653</v>
      </c>
      <c r="T3036" t="s">
        <v>9259</v>
      </c>
      <c r="U3036" t="s">
        <v>9260</v>
      </c>
      <c r="V3036" t="s">
        <v>9261</v>
      </c>
      <c r="W3036" t="s">
        <v>9262</v>
      </c>
      <c r="AD3036" t="s">
        <v>410</v>
      </c>
      <c r="AE3036" t="s">
        <v>829</v>
      </c>
      <c r="AF3036" t="s">
        <v>9263</v>
      </c>
    </row>
    <row r="3037" spans="1:32" hidden="1" x14ac:dyDescent="0.35">
      <c r="A3037">
        <v>4020</v>
      </c>
      <c r="B3037" t="s">
        <v>8293</v>
      </c>
      <c r="C3037" t="s">
        <v>72</v>
      </c>
      <c r="D3037" t="s">
        <v>60</v>
      </c>
      <c r="E3037">
        <v>2097</v>
      </c>
      <c r="F3037">
        <v>5</v>
      </c>
      <c r="G3037">
        <v>5</v>
      </c>
      <c r="H3037">
        <v>1</v>
      </c>
      <c r="I3037">
        <v>1</v>
      </c>
      <c r="J3037">
        <v>0.79117269694636905</v>
      </c>
      <c r="K3037">
        <v>0.93267318388673703</v>
      </c>
      <c r="L3037">
        <v>0.85611546423002605</v>
      </c>
      <c r="M3037">
        <v>0.60171919770773596</v>
      </c>
      <c r="N3037">
        <v>0.99283667621776495</v>
      </c>
      <c r="O3037">
        <v>0.69813753581661897</v>
      </c>
      <c r="P3037" t="s">
        <v>8294</v>
      </c>
      <c r="Q3037" t="s">
        <v>8295</v>
      </c>
      <c r="R3037" t="s">
        <v>371</v>
      </c>
      <c r="S3037" t="s">
        <v>372</v>
      </c>
      <c r="T3037" t="s">
        <v>8296</v>
      </c>
      <c r="U3037" t="s">
        <v>8297</v>
      </c>
      <c r="V3037" t="s">
        <v>8298</v>
      </c>
      <c r="W3037" t="s">
        <v>8299</v>
      </c>
      <c r="AD3037" t="s">
        <v>8300</v>
      </c>
      <c r="AE3037" t="s">
        <v>8301</v>
      </c>
      <c r="AF3037" t="s">
        <v>8303</v>
      </c>
    </row>
    <row r="3038" spans="1:32" hidden="1" x14ac:dyDescent="0.35">
      <c r="A3038">
        <v>4021</v>
      </c>
      <c r="B3038" t="s">
        <v>8293</v>
      </c>
      <c r="C3038" t="s">
        <v>72</v>
      </c>
      <c r="D3038" t="s">
        <v>62</v>
      </c>
      <c r="E3038">
        <v>2132</v>
      </c>
      <c r="F3038">
        <v>5</v>
      </c>
      <c r="G3038">
        <v>5</v>
      </c>
      <c r="H3038">
        <v>1</v>
      </c>
      <c r="I3038">
        <v>1</v>
      </c>
      <c r="J3038">
        <v>0.79117269694636905</v>
      </c>
      <c r="K3038">
        <v>0.93267318388673703</v>
      </c>
      <c r="L3038">
        <v>0.85611546423002605</v>
      </c>
      <c r="M3038">
        <v>0.60171919770773596</v>
      </c>
      <c r="N3038">
        <v>0.99283667621776495</v>
      </c>
      <c r="O3038">
        <v>0.69813753581661897</v>
      </c>
      <c r="P3038" t="s">
        <v>8294</v>
      </c>
      <c r="Q3038" t="s">
        <v>8295</v>
      </c>
      <c r="R3038" t="s">
        <v>371</v>
      </c>
      <c r="S3038" t="s">
        <v>372</v>
      </c>
      <c r="T3038" t="s">
        <v>8296</v>
      </c>
      <c r="U3038" t="s">
        <v>8297</v>
      </c>
      <c r="V3038" t="s">
        <v>8298</v>
      </c>
      <c r="W3038" t="s">
        <v>8299</v>
      </c>
      <c r="AD3038" t="s">
        <v>8300</v>
      </c>
      <c r="AE3038" t="s">
        <v>8301</v>
      </c>
      <c r="AF3038" t="s">
        <v>8304</v>
      </c>
    </row>
    <row r="3039" spans="1:32" hidden="1" x14ac:dyDescent="0.35">
      <c r="A3039">
        <v>4022</v>
      </c>
      <c r="B3039" t="s">
        <v>8293</v>
      </c>
      <c r="C3039" t="s">
        <v>72</v>
      </c>
      <c r="D3039" t="s">
        <v>34</v>
      </c>
      <c r="E3039">
        <v>2450</v>
      </c>
      <c r="F3039">
        <v>5</v>
      </c>
      <c r="G3039">
        <v>5</v>
      </c>
      <c r="H3039">
        <v>1</v>
      </c>
      <c r="I3039">
        <v>1</v>
      </c>
      <c r="J3039">
        <v>0.79117269694636905</v>
      </c>
      <c r="K3039">
        <v>0.93267318388673703</v>
      </c>
      <c r="L3039">
        <v>0.85611546423002605</v>
      </c>
      <c r="M3039">
        <v>0.60171919770773596</v>
      </c>
      <c r="N3039">
        <v>0.99283667621776495</v>
      </c>
      <c r="O3039">
        <v>0.69813753581661897</v>
      </c>
      <c r="P3039" t="s">
        <v>8294</v>
      </c>
      <c r="Q3039" t="s">
        <v>8295</v>
      </c>
      <c r="R3039" t="s">
        <v>371</v>
      </c>
      <c r="S3039" t="s">
        <v>372</v>
      </c>
      <c r="T3039" t="s">
        <v>8296</v>
      </c>
      <c r="U3039" t="s">
        <v>8297</v>
      </c>
      <c r="V3039" t="s">
        <v>8298</v>
      </c>
      <c r="W3039" t="s">
        <v>8299</v>
      </c>
      <c r="AD3039" t="s">
        <v>8300</v>
      </c>
      <c r="AE3039" t="s">
        <v>8301</v>
      </c>
      <c r="AF3039" t="s">
        <v>8305</v>
      </c>
    </row>
    <row r="3040" spans="1:32" hidden="1" x14ac:dyDescent="0.35">
      <c r="A3040">
        <v>4023</v>
      </c>
      <c r="B3040" t="s">
        <v>8293</v>
      </c>
      <c r="C3040" t="s">
        <v>72</v>
      </c>
      <c r="D3040" t="s">
        <v>45</v>
      </c>
      <c r="E3040">
        <v>452</v>
      </c>
      <c r="F3040">
        <v>5</v>
      </c>
      <c r="G3040">
        <v>5</v>
      </c>
      <c r="H3040">
        <v>1</v>
      </c>
      <c r="I3040">
        <v>1</v>
      </c>
      <c r="J3040">
        <v>0.79117269694636905</v>
      </c>
      <c r="K3040">
        <v>0.93267318388673703</v>
      </c>
      <c r="L3040">
        <v>0.85611546423002605</v>
      </c>
      <c r="M3040">
        <v>0.60171919770773596</v>
      </c>
      <c r="N3040">
        <v>0.99283667621776495</v>
      </c>
      <c r="O3040">
        <v>0.69813753581661897</v>
      </c>
      <c r="P3040" t="s">
        <v>8294</v>
      </c>
      <c r="Q3040" t="s">
        <v>8295</v>
      </c>
      <c r="R3040" t="s">
        <v>371</v>
      </c>
      <c r="S3040" t="s">
        <v>372</v>
      </c>
      <c r="T3040" t="s">
        <v>8296</v>
      </c>
      <c r="U3040" t="s">
        <v>8297</v>
      </c>
      <c r="V3040" t="s">
        <v>8298</v>
      </c>
      <c r="W3040" t="s">
        <v>8299</v>
      </c>
      <c r="AD3040" t="s">
        <v>8300</v>
      </c>
      <c r="AE3040" t="s">
        <v>8301</v>
      </c>
      <c r="AF3040" t="s">
        <v>8306</v>
      </c>
    </row>
    <row r="3041" spans="1:32" hidden="1" x14ac:dyDescent="0.35">
      <c r="A3041">
        <v>361</v>
      </c>
      <c r="B3041" t="s">
        <v>649</v>
      </c>
      <c r="C3041" t="s">
        <v>72</v>
      </c>
      <c r="D3041" t="s">
        <v>58</v>
      </c>
      <c r="E3041">
        <v>757</v>
      </c>
      <c r="F3041">
        <v>5</v>
      </c>
      <c r="G3041">
        <v>6</v>
      </c>
      <c r="H3041">
        <v>2</v>
      </c>
      <c r="I3041">
        <v>0</v>
      </c>
      <c r="J3041">
        <v>0.74729126832377302</v>
      </c>
      <c r="K3041">
        <v>0.73894788401253697</v>
      </c>
      <c r="L3041">
        <v>0.74309615730529699</v>
      </c>
      <c r="M3041">
        <v>7.8125E-2</v>
      </c>
      <c r="N3041">
        <v>0.98750000000000004</v>
      </c>
      <c r="O3041">
        <v>0.456666666666667</v>
      </c>
      <c r="P3041" t="s">
        <v>650</v>
      </c>
      <c r="Q3041" t="s">
        <v>651</v>
      </c>
      <c r="R3041" t="s">
        <v>652</v>
      </c>
      <c r="S3041" t="s">
        <v>653</v>
      </c>
      <c r="T3041" t="s">
        <v>654</v>
      </c>
      <c r="U3041" t="s">
        <v>655</v>
      </c>
      <c r="V3041" t="s">
        <v>656</v>
      </c>
      <c r="W3041" t="s">
        <v>657</v>
      </c>
      <c r="AD3041" t="s">
        <v>658</v>
      </c>
      <c r="AE3041" t="s">
        <v>659</v>
      </c>
      <c r="AF3041" t="s">
        <v>660</v>
      </c>
    </row>
    <row r="3042" spans="1:32" hidden="1" x14ac:dyDescent="0.35">
      <c r="A3042">
        <v>4030</v>
      </c>
      <c r="B3042" t="s">
        <v>8319</v>
      </c>
      <c r="C3042" t="s">
        <v>72</v>
      </c>
      <c r="D3042" t="s">
        <v>60</v>
      </c>
      <c r="E3042">
        <v>1145</v>
      </c>
      <c r="F3042">
        <v>5</v>
      </c>
      <c r="G3042">
        <v>5</v>
      </c>
      <c r="H3042">
        <v>1</v>
      </c>
      <c r="I3042">
        <v>1</v>
      </c>
      <c r="J3042">
        <v>0.89194432319705097</v>
      </c>
      <c r="K3042">
        <v>0.97528529980657097</v>
      </c>
      <c r="L3042">
        <v>0.93175491213628603</v>
      </c>
      <c r="M3042">
        <v>0.77872340425531905</v>
      </c>
      <c r="N3042">
        <v>0.99432624113475199</v>
      </c>
      <c r="O3042">
        <v>0.83659574468085096</v>
      </c>
      <c r="P3042" t="s">
        <v>8320</v>
      </c>
      <c r="Q3042" t="s">
        <v>8321</v>
      </c>
      <c r="R3042" t="s">
        <v>371</v>
      </c>
      <c r="S3042" t="s">
        <v>372</v>
      </c>
      <c r="T3042" t="s">
        <v>8322</v>
      </c>
      <c r="U3042" t="s">
        <v>8323</v>
      </c>
      <c r="V3042" t="s">
        <v>8324</v>
      </c>
      <c r="W3042" t="s">
        <v>8325</v>
      </c>
      <c r="AD3042" t="s">
        <v>3095</v>
      </c>
      <c r="AE3042" t="s">
        <v>8326</v>
      </c>
      <c r="AF3042" t="s">
        <v>8328</v>
      </c>
    </row>
    <row r="3043" spans="1:32" hidden="1" x14ac:dyDescent="0.35">
      <c r="A3043">
        <v>4031</v>
      </c>
      <c r="B3043" t="s">
        <v>8319</v>
      </c>
      <c r="C3043" t="s">
        <v>72</v>
      </c>
      <c r="D3043" t="s">
        <v>62</v>
      </c>
      <c r="E3043">
        <v>1182</v>
      </c>
      <c r="F3043">
        <v>5</v>
      </c>
      <c r="G3043">
        <v>5</v>
      </c>
      <c r="H3043">
        <v>1</v>
      </c>
      <c r="I3043">
        <v>1</v>
      </c>
      <c r="J3043">
        <v>0.89194432319705097</v>
      </c>
      <c r="K3043">
        <v>0.97528529980657097</v>
      </c>
      <c r="L3043">
        <v>0.93175491213628603</v>
      </c>
      <c r="M3043">
        <v>0.77872340425531905</v>
      </c>
      <c r="N3043">
        <v>0.99432624113475199</v>
      </c>
      <c r="O3043">
        <v>0.83659574468085096</v>
      </c>
      <c r="P3043" t="s">
        <v>8320</v>
      </c>
      <c r="Q3043" t="s">
        <v>8321</v>
      </c>
      <c r="R3043" t="s">
        <v>371</v>
      </c>
      <c r="S3043" t="s">
        <v>372</v>
      </c>
      <c r="T3043" t="s">
        <v>8322</v>
      </c>
      <c r="U3043" t="s">
        <v>8323</v>
      </c>
      <c r="V3043" t="s">
        <v>8324</v>
      </c>
      <c r="W3043" t="s">
        <v>8325</v>
      </c>
      <c r="AD3043" t="s">
        <v>3095</v>
      </c>
      <c r="AE3043" t="s">
        <v>8326</v>
      </c>
      <c r="AF3043" t="s">
        <v>8329</v>
      </c>
    </row>
    <row r="3044" spans="1:32" hidden="1" x14ac:dyDescent="0.35">
      <c r="A3044">
        <v>4032</v>
      </c>
      <c r="B3044" t="s">
        <v>8319</v>
      </c>
      <c r="C3044" t="s">
        <v>72</v>
      </c>
      <c r="D3044" t="s">
        <v>34</v>
      </c>
      <c r="E3044">
        <v>2</v>
      </c>
      <c r="F3044">
        <v>5</v>
      </c>
      <c r="G3044">
        <v>5</v>
      </c>
      <c r="H3044">
        <v>1</v>
      </c>
      <c r="I3044">
        <v>1</v>
      </c>
      <c r="J3044">
        <v>0.89194432319705097</v>
      </c>
      <c r="K3044">
        <v>0.97528529980657097</v>
      </c>
      <c r="L3044">
        <v>0.93175491213628603</v>
      </c>
      <c r="M3044">
        <v>0.77872340425531905</v>
      </c>
      <c r="N3044">
        <v>0.99432624113475199</v>
      </c>
      <c r="O3044">
        <v>0.83659574468085096</v>
      </c>
      <c r="P3044" t="s">
        <v>8320</v>
      </c>
      <c r="Q3044" t="s">
        <v>8321</v>
      </c>
      <c r="R3044" t="s">
        <v>371</v>
      </c>
      <c r="S3044" t="s">
        <v>372</v>
      </c>
      <c r="T3044" t="s">
        <v>8322</v>
      </c>
      <c r="U3044" t="s">
        <v>8323</v>
      </c>
      <c r="V3044" t="s">
        <v>8324</v>
      </c>
      <c r="W3044" t="s">
        <v>8325</v>
      </c>
      <c r="AD3044" t="s">
        <v>3095</v>
      </c>
      <c r="AE3044" t="s">
        <v>8326</v>
      </c>
      <c r="AF3044" t="s">
        <v>8330</v>
      </c>
    </row>
    <row r="3045" spans="1:32" hidden="1" x14ac:dyDescent="0.35">
      <c r="A3045">
        <v>4033</v>
      </c>
      <c r="B3045" t="s">
        <v>8319</v>
      </c>
      <c r="C3045" t="s">
        <v>72</v>
      </c>
      <c r="D3045" t="s">
        <v>45</v>
      </c>
      <c r="E3045">
        <v>1259</v>
      </c>
      <c r="F3045">
        <v>5</v>
      </c>
      <c r="G3045">
        <v>5</v>
      </c>
      <c r="H3045">
        <v>1</v>
      </c>
      <c r="I3045">
        <v>1</v>
      </c>
      <c r="J3045">
        <v>0.89194432319705097</v>
      </c>
      <c r="K3045">
        <v>0.97528529980657097</v>
      </c>
      <c r="L3045">
        <v>0.93175491213628603</v>
      </c>
      <c r="M3045">
        <v>0.77872340425531905</v>
      </c>
      <c r="N3045">
        <v>0.99432624113475199</v>
      </c>
      <c r="O3045">
        <v>0.83659574468085096</v>
      </c>
      <c r="P3045" t="s">
        <v>8320</v>
      </c>
      <c r="Q3045" t="s">
        <v>8321</v>
      </c>
      <c r="R3045" t="s">
        <v>371</v>
      </c>
      <c r="S3045" t="s">
        <v>372</v>
      </c>
      <c r="T3045" t="s">
        <v>8322</v>
      </c>
      <c r="U3045" t="s">
        <v>8323</v>
      </c>
      <c r="V3045" t="s">
        <v>8324</v>
      </c>
      <c r="W3045" t="s">
        <v>8325</v>
      </c>
      <c r="AD3045" t="s">
        <v>3095</v>
      </c>
      <c r="AE3045" t="s">
        <v>8326</v>
      </c>
      <c r="AF3045" t="s">
        <v>8331</v>
      </c>
    </row>
    <row r="3046" spans="1:32" hidden="1" x14ac:dyDescent="0.35">
      <c r="A3046">
        <v>2814</v>
      </c>
      <c r="B3046" t="s">
        <v>5821</v>
      </c>
      <c r="C3046" t="s">
        <v>72</v>
      </c>
      <c r="D3046" t="s">
        <v>58</v>
      </c>
      <c r="E3046">
        <v>111</v>
      </c>
      <c r="F3046">
        <v>5</v>
      </c>
      <c r="G3046">
        <v>5</v>
      </c>
      <c r="H3046">
        <v>1</v>
      </c>
      <c r="I3046">
        <v>1</v>
      </c>
      <c r="J3046">
        <v>0.86902379364020499</v>
      </c>
      <c r="K3046">
        <v>0.98621906587661301</v>
      </c>
      <c r="L3046">
        <v>0.92391983032518399</v>
      </c>
      <c r="M3046">
        <v>0.75</v>
      </c>
      <c r="N3046">
        <v>1</v>
      </c>
      <c r="O3046">
        <v>0.81381578947368405</v>
      </c>
      <c r="P3046" t="s">
        <v>5822</v>
      </c>
      <c r="Q3046" t="s">
        <v>5823</v>
      </c>
      <c r="R3046" t="s">
        <v>138</v>
      </c>
      <c r="S3046" t="s">
        <v>139</v>
      </c>
      <c r="V3046" t="s">
        <v>5824</v>
      </c>
      <c r="W3046" t="s">
        <v>5825</v>
      </c>
      <c r="X3046" t="s">
        <v>5824</v>
      </c>
      <c r="Y3046" t="s">
        <v>5826</v>
      </c>
      <c r="AF3046" t="s">
        <v>5827</v>
      </c>
    </row>
    <row r="3047" spans="1:32" hidden="1" x14ac:dyDescent="0.35">
      <c r="A3047">
        <v>4060</v>
      </c>
      <c r="B3047" t="s">
        <v>8385</v>
      </c>
      <c r="C3047" t="s">
        <v>72</v>
      </c>
      <c r="D3047" t="s">
        <v>60</v>
      </c>
      <c r="E3047">
        <v>2</v>
      </c>
      <c r="F3047">
        <v>5</v>
      </c>
      <c r="G3047">
        <v>5</v>
      </c>
      <c r="H3047">
        <v>1</v>
      </c>
      <c r="I3047">
        <v>1</v>
      </c>
      <c r="J3047">
        <v>0.79218533886583697</v>
      </c>
      <c r="K3047">
        <v>0.94691670279905504</v>
      </c>
      <c r="L3047">
        <v>0.862667642396033</v>
      </c>
      <c r="M3047">
        <v>0.59803921568627405</v>
      </c>
      <c r="N3047">
        <v>0.99754901960784303</v>
      </c>
      <c r="O3047">
        <v>0.70735294117647096</v>
      </c>
      <c r="P3047" t="s">
        <v>448</v>
      </c>
      <c r="Q3047" t="s">
        <v>449</v>
      </c>
      <c r="R3047" t="s">
        <v>371</v>
      </c>
      <c r="S3047" t="s">
        <v>372</v>
      </c>
      <c r="T3047" t="s">
        <v>8386</v>
      </c>
      <c r="U3047" t="s">
        <v>8387</v>
      </c>
      <c r="V3047" t="s">
        <v>8388</v>
      </c>
      <c r="W3047" t="s">
        <v>8389</v>
      </c>
      <c r="AD3047" t="s">
        <v>6268</v>
      </c>
      <c r="AE3047" t="s">
        <v>8390</v>
      </c>
      <c r="AF3047" t="s">
        <v>8392</v>
      </c>
    </row>
    <row r="3048" spans="1:32" hidden="1" x14ac:dyDescent="0.35">
      <c r="A3048">
        <v>4061</v>
      </c>
      <c r="B3048" t="s">
        <v>8385</v>
      </c>
      <c r="C3048" t="s">
        <v>72</v>
      </c>
      <c r="D3048" t="s">
        <v>62</v>
      </c>
      <c r="E3048">
        <v>81</v>
      </c>
      <c r="F3048">
        <v>5</v>
      </c>
      <c r="G3048">
        <v>5</v>
      </c>
      <c r="H3048">
        <v>1</v>
      </c>
      <c r="I3048">
        <v>1</v>
      </c>
      <c r="J3048">
        <v>0.79218533886583697</v>
      </c>
      <c r="K3048">
        <v>0.94691670279905504</v>
      </c>
      <c r="L3048">
        <v>0.862667642396033</v>
      </c>
      <c r="M3048">
        <v>0.59803921568627405</v>
      </c>
      <c r="N3048">
        <v>0.99754901960784303</v>
      </c>
      <c r="O3048">
        <v>0.70735294117647096</v>
      </c>
      <c r="P3048" t="s">
        <v>448</v>
      </c>
      <c r="Q3048" t="s">
        <v>449</v>
      </c>
      <c r="R3048" t="s">
        <v>371</v>
      </c>
      <c r="S3048" t="s">
        <v>372</v>
      </c>
      <c r="T3048" t="s">
        <v>8386</v>
      </c>
      <c r="U3048" t="s">
        <v>8387</v>
      </c>
      <c r="V3048" t="s">
        <v>8388</v>
      </c>
      <c r="W3048" t="s">
        <v>8389</v>
      </c>
      <c r="AD3048" t="s">
        <v>6268</v>
      </c>
      <c r="AE3048" t="s">
        <v>8390</v>
      </c>
      <c r="AF3048" t="s">
        <v>8393</v>
      </c>
    </row>
    <row r="3049" spans="1:32" hidden="1" x14ac:dyDescent="0.35">
      <c r="A3049">
        <v>4062</v>
      </c>
      <c r="B3049" t="s">
        <v>8385</v>
      </c>
      <c r="C3049" t="s">
        <v>72</v>
      </c>
      <c r="D3049" t="s">
        <v>34</v>
      </c>
      <c r="E3049">
        <v>1081</v>
      </c>
      <c r="F3049">
        <v>5</v>
      </c>
      <c r="G3049">
        <v>5</v>
      </c>
      <c r="H3049">
        <v>1</v>
      </c>
      <c r="I3049">
        <v>1</v>
      </c>
      <c r="J3049">
        <v>0.79218533886583697</v>
      </c>
      <c r="K3049">
        <v>0.94691670279905504</v>
      </c>
      <c r="L3049">
        <v>0.862667642396033</v>
      </c>
      <c r="M3049">
        <v>0.59803921568627405</v>
      </c>
      <c r="N3049">
        <v>0.99754901960784303</v>
      </c>
      <c r="O3049">
        <v>0.70735294117647096</v>
      </c>
      <c r="P3049" t="s">
        <v>448</v>
      </c>
      <c r="Q3049" t="s">
        <v>449</v>
      </c>
      <c r="R3049" t="s">
        <v>371</v>
      </c>
      <c r="S3049" t="s">
        <v>372</v>
      </c>
      <c r="T3049" t="s">
        <v>8386</v>
      </c>
      <c r="U3049" t="s">
        <v>8387</v>
      </c>
      <c r="V3049" t="s">
        <v>8388</v>
      </c>
      <c r="W3049" t="s">
        <v>8389</v>
      </c>
      <c r="AD3049" t="s">
        <v>6268</v>
      </c>
      <c r="AE3049" t="s">
        <v>8390</v>
      </c>
      <c r="AF3049" t="s">
        <v>8394</v>
      </c>
    </row>
    <row r="3050" spans="1:32" hidden="1" x14ac:dyDescent="0.35">
      <c r="A3050">
        <v>4063</v>
      </c>
      <c r="B3050" t="s">
        <v>8385</v>
      </c>
      <c r="C3050" t="s">
        <v>72</v>
      </c>
      <c r="D3050" t="s">
        <v>45</v>
      </c>
      <c r="E3050">
        <v>2338</v>
      </c>
      <c r="F3050">
        <v>5</v>
      </c>
      <c r="G3050">
        <v>5</v>
      </c>
      <c r="H3050">
        <v>1</v>
      </c>
      <c r="I3050">
        <v>1</v>
      </c>
      <c r="J3050">
        <v>0.79218533886583697</v>
      </c>
      <c r="K3050">
        <v>0.94691670279905504</v>
      </c>
      <c r="L3050">
        <v>0.862667642396033</v>
      </c>
      <c r="M3050">
        <v>0.59803921568627405</v>
      </c>
      <c r="N3050">
        <v>0.99754901960784303</v>
      </c>
      <c r="O3050">
        <v>0.70735294117647096</v>
      </c>
      <c r="P3050" t="s">
        <v>448</v>
      </c>
      <c r="Q3050" t="s">
        <v>449</v>
      </c>
      <c r="R3050" t="s">
        <v>371</v>
      </c>
      <c r="S3050" t="s">
        <v>372</v>
      </c>
      <c r="T3050" t="s">
        <v>8386</v>
      </c>
      <c r="U3050" t="s">
        <v>8387</v>
      </c>
      <c r="V3050" t="s">
        <v>8388</v>
      </c>
      <c r="W3050" t="s">
        <v>8389</v>
      </c>
      <c r="AD3050" t="s">
        <v>6268</v>
      </c>
      <c r="AE3050" t="s">
        <v>8390</v>
      </c>
      <c r="AF3050" t="s">
        <v>8395</v>
      </c>
    </row>
    <row r="3051" spans="1:32" hidden="1" x14ac:dyDescent="0.35">
      <c r="A3051">
        <v>3854</v>
      </c>
      <c r="B3051" t="s">
        <v>7949</v>
      </c>
      <c r="C3051" t="s">
        <v>72</v>
      </c>
      <c r="D3051" t="s">
        <v>58</v>
      </c>
      <c r="E3051">
        <v>1030</v>
      </c>
      <c r="F3051">
        <v>5</v>
      </c>
      <c r="G3051">
        <v>5</v>
      </c>
      <c r="H3051">
        <v>1</v>
      </c>
      <c r="I3051">
        <v>1</v>
      </c>
      <c r="J3051">
        <v>0.73943783410932895</v>
      </c>
      <c r="K3051">
        <v>0.95782251922462303</v>
      </c>
      <c r="L3051">
        <v>0.83458051404473199</v>
      </c>
      <c r="M3051">
        <v>0.52722772277227703</v>
      </c>
      <c r="N3051">
        <v>0.99752475247524797</v>
      </c>
      <c r="O3051">
        <v>0.65990099009901004</v>
      </c>
      <c r="P3051" t="s">
        <v>7950</v>
      </c>
      <c r="Q3051" t="s">
        <v>7951</v>
      </c>
      <c r="R3051" t="s">
        <v>157</v>
      </c>
      <c r="S3051" t="s">
        <v>158</v>
      </c>
      <c r="T3051" t="s">
        <v>7952</v>
      </c>
      <c r="U3051" t="s">
        <v>7953</v>
      </c>
      <c r="V3051" t="s">
        <v>7954</v>
      </c>
      <c r="W3051" t="s">
        <v>7955</v>
      </c>
      <c r="AD3051" t="s">
        <v>7956</v>
      </c>
      <c r="AE3051" t="s">
        <v>7957</v>
      </c>
      <c r="AF3051" t="s">
        <v>7958</v>
      </c>
    </row>
    <row r="3052" spans="1:32" hidden="1" x14ac:dyDescent="0.35">
      <c r="A3052">
        <v>4065</v>
      </c>
      <c r="B3052" t="s">
        <v>8396</v>
      </c>
      <c r="C3052" t="s">
        <v>72</v>
      </c>
      <c r="D3052" t="s">
        <v>60</v>
      </c>
      <c r="E3052">
        <v>2504</v>
      </c>
      <c r="F3052">
        <v>5</v>
      </c>
      <c r="G3052">
        <v>5</v>
      </c>
      <c r="H3052">
        <v>1</v>
      </c>
      <c r="I3052">
        <v>1</v>
      </c>
      <c r="J3052">
        <v>0.75212075848303395</v>
      </c>
      <c r="K3052">
        <v>0.94867873097599797</v>
      </c>
      <c r="L3052">
        <v>0.83904184017051597</v>
      </c>
      <c r="M3052">
        <v>0.55673758865248202</v>
      </c>
      <c r="N3052">
        <v>0.99290780141844004</v>
      </c>
      <c r="O3052">
        <v>0.67836879432624098</v>
      </c>
      <c r="P3052" t="s">
        <v>8397</v>
      </c>
      <c r="Q3052" t="s">
        <v>8398</v>
      </c>
      <c r="R3052" t="s">
        <v>371</v>
      </c>
      <c r="S3052" t="s">
        <v>372</v>
      </c>
      <c r="T3052" t="s">
        <v>8399</v>
      </c>
      <c r="U3052" t="s">
        <v>8400</v>
      </c>
      <c r="V3052" t="s">
        <v>8401</v>
      </c>
      <c r="W3052" t="s">
        <v>8402</v>
      </c>
      <c r="AD3052" t="s">
        <v>1437</v>
      </c>
      <c r="AE3052" t="s">
        <v>8403</v>
      </c>
      <c r="AF3052" t="e">
        <f>-------MPEGHVIHRLARELNRDFSEAPLHVSSPQGRFRTEAELLDAHPLAAAEAWGKHLFIDFDTDRPEHIVHIHLGLIGKLQINPLAEPVGEVRFRMATDELA--ADLRGPQWCRLITDGERDAAIDKLGGDPLREDSDP--DATWMRLRRASRSIGALLMDQKLFAGVGNIYRAETLFRQGISPFTSAKMLDRGEFDAIWSDLSELMRDGVDVGRIDTVRPEHTPETMGREPRKDDHGGEVYVYRRAGQPCYVCGTPISETVMEGRNLFWCEGCQPSP</f>
        <v>#NAME?</v>
      </c>
    </row>
    <row r="3053" spans="1:32" hidden="1" x14ac:dyDescent="0.35">
      <c r="A3053">
        <v>4066</v>
      </c>
      <c r="B3053" t="s">
        <v>8396</v>
      </c>
      <c r="C3053" t="s">
        <v>72</v>
      </c>
      <c r="D3053" t="s">
        <v>62</v>
      </c>
      <c r="E3053">
        <v>31</v>
      </c>
      <c r="F3053">
        <v>5</v>
      </c>
      <c r="G3053">
        <v>5</v>
      </c>
      <c r="H3053">
        <v>1</v>
      </c>
      <c r="I3053">
        <v>1</v>
      </c>
      <c r="J3053">
        <v>0.75212075848303395</v>
      </c>
      <c r="K3053">
        <v>0.94867873097599797</v>
      </c>
      <c r="L3053">
        <v>0.83904184017051597</v>
      </c>
      <c r="M3053">
        <v>0.55673758865248202</v>
      </c>
      <c r="N3053">
        <v>0.99290780141844004</v>
      </c>
      <c r="O3053">
        <v>0.67836879432624098</v>
      </c>
      <c r="P3053" t="s">
        <v>8397</v>
      </c>
      <c r="Q3053" t="s">
        <v>8398</v>
      </c>
      <c r="R3053" t="s">
        <v>371</v>
      </c>
      <c r="S3053" t="s">
        <v>372</v>
      </c>
      <c r="T3053" t="s">
        <v>8399</v>
      </c>
      <c r="U3053" t="s">
        <v>8400</v>
      </c>
      <c r="V3053" t="s">
        <v>8401</v>
      </c>
      <c r="W3053" t="s">
        <v>8402</v>
      </c>
      <c r="AD3053" t="s">
        <v>1437</v>
      </c>
      <c r="AE3053" t="s">
        <v>8403</v>
      </c>
      <c r="AF3053" t="e">
        <f>-------MPEGHVIHRLARELNRDFSEAPLHVSSPQGRFRSEAELLDAHPLAAAEAWGKHLFIDFDTDQLEHIVHIHLGLIGKLQINPLAEPVGEVRFRMATDELA--ADLRGPQWCRLITDGERDAAIDKLGGDPLREDSDP--DATWMRLRRASRSIGALLMDQKLFAGVGNIYRAETLFRQGISPFTSAKMLDRGEFDAIWSDLSELMRDGVDVGRIDTVRPEHTPEAMGREPRKDDHGGEVYVYRRAGQPCYVCGTPISETVMEGRNLFWCEACQPSP</f>
        <v>#NAME?</v>
      </c>
    </row>
    <row r="3054" spans="1:32" hidden="1" x14ac:dyDescent="0.35">
      <c r="A3054">
        <v>4067</v>
      </c>
      <c r="B3054" t="s">
        <v>8396</v>
      </c>
      <c r="C3054" t="s">
        <v>72</v>
      </c>
      <c r="D3054" t="s">
        <v>34</v>
      </c>
      <c r="E3054">
        <v>1159</v>
      </c>
      <c r="F3054">
        <v>5</v>
      </c>
      <c r="G3054">
        <v>5</v>
      </c>
      <c r="H3054">
        <v>1</v>
      </c>
      <c r="I3054">
        <v>1</v>
      </c>
      <c r="J3054">
        <v>0.75212075848303395</v>
      </c>
      <c r="K3054">
        <v>0.94867873097599797</v>
      </c>
      <c r="L3054">
        <v>0.83904184017051597</v>
      </c>
      <c r="M3054">
        <v>0.55673758865248202</v>
      </c>
      <c r="N3054">
        <v>0.99290780141844004</v>
      </c>
      <c r="O3054">
        <v>0.67836879432624098</v>
      </c>
      <c r="P3054" t="s">
        <v>8397</v>
      </c>
      <c r="Q3054" t="s">
        <v>8398</v>
      </c>
      <c r="R3054" t="s">
        <v>371</v>
      </c>
      <c r="S3054" t="s">
        <v>372</v>
      </c>
      <c r="T3054" t="s">
        <v>8399</v>
      </c>
      <c r="U3054" t="s">
        <v>8400</v>
      </c>
      <c r="V3054" t="s">
        <v>8401</v>
      </c>
      <c r="W3054" t="s">
        <v>8402</v>
      </c>
      <c r="AD3054" t="s">
        <v>1437</v>
      </c>
      <c r="AE3054" t="s">
        <v>8403</v>
      </c>
      <c r="AF3054" t="s">
        <v>8405</v>
      </c>
    </row>
    <row r="3055" spans="1:32" hidden="1" x14ac:dyDescent="0.35">
      <c r="A3055">
        <v>4068</v>
      </c>
      <c r="B3055" t="s">
        <v>8396</v>
      </c>
      <c r="C3055" t="s">
        <v>72</v>
      </c>
      <c r="D3055" t="s">
        <v>45</v>
      </c>
      <c r="E3055">
        <v>2404</v>
      </c>
      <c r="F3055">
        <v>5</v>
      </c>
      <c r="G3055">
        <v>5</v>
      </c>
      <c r="H3055">
        <v>1</v>
      </c>
      <c r="I3055">
        <v>1</v>
      </c>
      <c r="J3055">
        <v>0.75212075848303395</v>
      </c>
      <c r="K3055">
        <v>0.94867873097599797</v>
      </c>
      <c r="L3055">
        <v>0.83904184017051597</v>
      </c>
      <c r="M3055">
        <v>0.55673758865248202</v>
      </c>
      <c r="N3055">
        <v>0.99290780141844004</v>
      </c>
      <c r="O3055">
        <v>0.67836879432624098</v>
      </c>
      <c r="P3055" t="s">
        <v>8397</v>
      </c>
      <c r="Q3055" t="s">
        <v>8398</v>
      </c>
      <c r="R3055" t="s">
        <v>371</v>
      </c>
      <c r="S3055" t="s">
        <v>372</v>
      </c>
      <c r="T3055" t="s">
        <v>8399</v>
      </c>
      <c r="U3055" t="s">
        <v>8400</v>
      </c>
      <c r="V3055" t="s">
        <v>8401</v>
      </c>
      <c r="W3055" t="s">
        <v>8402</v>
      </c>
      <c r="AD3055" t="s">
        <v>1437</v>
      </c>
      <c r="AE3055" t="s">
        <v>8403</v>
      </c>
      <c r="AF3055" t="s">
        <v>8406</v>
      </c>
    </row>
    <row r="3056" spans="1:32" hidden="1" x14ac:dyDescent="0.35">
      <c r="A3056">
        <v>6155</v>
      </c>
      <c r="B3056" t="s">
        <v>12662</v>
      </c>
      <c r="C3056" t="s">
        <v>68</v>
      </c>
      <c r="D3056" t="s">
        <v>58</v>
      </c>
      <c r="E3056">
        <v>114</v>
      </c>
      <c r="F3056">
        <v>3</v>
      </c>
      <c r="G3056">
        <v>3</v>
      </c>
      <c r="H3056">
        <v>1</v>
      </c>
      <c r="I3056">
        <v>0</v>
      </c>
      <c r="J3056">
        <v>0.80414312617702399</v>
      </c>
      <c r="K3056">
        <v>0.84447319962175804</v>
      </c>
      <c r="L3056">
        <v>0.82381486594527098</v>
      </c>
      <c r="M3056">
        <v>0.5</v>
      </c>
      <c r="N3056">
        <v>1</v>
      </c>
      <c r="O3056">
        <v>0.66666666666666696</v>
      </c>
      <c r="P3056" t="s">
        <v>3247</v>
      </c>
      <c r="Q3056" t="s">
        <v>3248</v>
      </c>
      <c r="R3056" t="s">
        <v>371</v>
      </c>
      <c r="S3056" t="s">
        <v>372</v>
      </c>
      <c r="T3056" t="s">
        <v>12663</v>
      </c>
      <c r="U3056" t="s">
        <v>12664</v>
      </c>
      <c r="V3056" t="s">
        <v>12665</v>
      </c>
      <c r="W3056" t="s">
        <v>12666</v>
      </c>
      <c r="AD3056" t="s">
        <v>3253</v>
      </c>
      <c r="AE3056" t="s">
        <v>12667</v>
      </c>
      <c r="AF3056" t="s">
        <v>12668</v>
      </c>
    </row>
    <row r="3057" spans="1:32" hidden="1" x14ac:dyDescent="0.35">
      <c r="A3057">
        <v>4135</v>
      </c>
      <c r="B3057" t="s">
        <v>8547</v>
      </c>
      <c r="C3057" t="s">
        <v>72</v>
      </c>
      <c r="D3057" t="s">
        <v>60</v>
      </c>
      <c r="E3057">
        <v>1151</v>
      </c>
      <c r="F3057">
        <v>5</v>
      </c>
      <c r="G3057">
        <v>5</v>
      </c>
      <c r="H3057">
        <v>1</v>
      </c>
      <c r="I3057">
        <v>1</v>
      </c>
      <c r="J3057">
        <v>0.88576641055327499</v>
      </c>
      <c r="K3057">
        <v>0.99905362776024897</v>
      </c>
      <c r="L3057">
        <v>0.93900545179181005</v>
      </c>
      <c r="M3057">
        <v>0.79390115667718197</v>
      </c>
      <c r="N3057">
        <v>0.99684542586750802</v>
      </c>
      <c r="O3057">
        <v>0.84521556256571995</v>
      </c>
      <c r="P3057" t="s">
        <v>8548</v>
      </c>
      <c r="Q3057" t="s">
        <v>8549</v>
      </c>
      <c r="R3057" t="s">
        <v>371</v>
      </c>
      <c r="S3057" t="s">
        <v>372</v>
      </c>
      <c r="T3057" t="s">
        <v>8550</v>
      </c>
      <c r="U3057" t="s">
        <v>8551</v>
      </c>
      <c r="V3057" t="s">
        <v>8552</v>
      </c>
      <c r="W3057" t="s">
        <v>8553</v>
      </c>
      <c r="AD3057" t="s">
        <v>3095</v>
      </c>
      <c r="AE3057" t="s">
        <v>8326</v>
      </c>
      <c r="AF3057" t="s">
        <v>8555</v>
      </c>
    </row>
    <row r="3058" spans="1:32" hidden="1" x14ac:dyDescent="0.35">
      <c r="A3058">
        <v>4136</v>
      </c>
      <c r="B3058" t="s">
        <v>8547</v>
      </c>
      <c r="C3058" t="s">
        <v>72</v>
      </c>
      <c r="D3058" t="s">
        <v>62</v>
      </c>
      <c r="E3058">
        <v>1188</v>
      </c>
      <c r="F3058">
        <v>5</v>
      </c>
      <c r="G3058">
        <v>5</v>
      </c>
      <c r="H3058">
        <v>1</v>
      </c>
      <c r="I3058">
        <v>1</v>
      </c>
      <c r="J3058">
        <v>0.88576641055327499</v>
      </c>
      <c r="K3058">
        <v>0.99905362776024897</v>
      </c>
      <c r="L3058">
        <v>0.93900545179181005</v>
      </c>
      <c r="M3058">
        <v>0.79390115667718197</v>
      </c>
      <c r="N3058">
        <v>0.99684542586750802</v>
      </c>
      <c r="O3058">
        <v>0.84521556256571995</v>
      </c>
      <c r="P3058" t="s">
        <v>8548</v>
      </c>
      <c r="Q3058" t="s">
        <v>8549</v>
      </c>
      <c r="R3058" t="s">
        <v>371</v>
      </c>
      <c r="S3058" t="s">
        <v>372</v>
      </c>
      <c r="T3058" t="s">
        <v>8550</v>
      </c>
      <c r="U3058" t="s">
        <v>8551</v>
      </c>
      <c r="V3058" t="s">
        <v>8552</v>
      </c>
      <c r="W3058" t="s">
        <v>8553</v>
      </c>
      <c r="AD3058" t="s">
        <v>3095</v>
      </c>
      <c r="AE3058" t="s">
        <v>8326</v>
      </c>
      <c r="AF3058" t="s">
        <v>8556</v>
      </c>
    </row>
    <row r="3059" spans="1:32" hidden="1" x14ac:dyDescent="0.35">
      <c r="A3059">
        <v>4137</v>
      </c>
      <c r="B3059" t="s">
        <v>8547</v>
      </c>
      <c r="C3059" t="s">
        <v>72</v>
      </c>
      <c r="D3059" t="s">
        <v>34</v>
      </c>
      <c r="E3059">
        <v>2524</v>
      </c>
      <c r="F3059">
        <v>5</v>
      </c>
      <c r="G3059">
        <v>5</v>
      </c>
      <c r="H3059">
        <v>1</v>
      </c>
      <c r="I3059">
        <v>1</v>
      </c>
      <c r="J3059">
        <v>0.88576641055327499</v>
      </c>
      <c r="K3059">
        <v>0.99905362776024897</v>
      </c>
      <c r="L3059">
        <v>0.93900545179181005</v>
      </c>
      <c r="M3059">
        <v>0.79390115667718197</v>
      </c>
      <c r="N3059">
        <v>0.99684542586750802</v>
      </c>
      <c r="O3059">
        <v>0.84521556256571995</v>
      </c>
      <c r="P3059" t="s">
        <v>8548</v>
      </c>
      <c r="Q3059" t="s">
        <v>8549</v>
      </c>
      <c r="R3059" t="s">
        <v>371</v>
      </c>
      <c r="S3059" t="s">
        <v>372</v>
      </c>
      <c r="T3059" t="s">
        <v>8550</v>
      </c>
      <c r="U3059" t="s">
        <v>8551</v>
      </c>
      <c r="V3059" t="s">
        <v>8552</v>
      </c>
      <c r="W3059" t="s">
        <v>8553</v>
      </c>
      <c r="AD3059" t="s">
        <v>3095</v>
      </c>
      <c r="AE3059" t="s">
        <v>8326</v>
      </c>
      <c r="AF3059" t="s">
        <v>8557</v>
      </c>
    </row>
    <row r="3060" spans="1:32" hidden="1" x14ac:dyDescent="0.35">
      <c r="A3060">
        <v>4138</v>
      </c>
      <c r="B3060" t="s">
        <v>8547</v>
      </c>
      <c r="C3060" t="s">
        <v>72</v>
      </c>
      <c r="D3060" t="s">
        <v>45</v>
      </c>
      <c r="E3060">
        <v>1250</v>
      </c>
      <c r="F3060">
        <v>5</v>
      </c>
      <c r="G3060">
        <v>5</v>
      </c>
      <c r="H3060">
        <v>1</v>
      </c>
      <c r="I3060">
        <v>1</v>
      </c>
      <c r="J3060">
        <v>0.88576641055327499</v>
      </c>
      <c r="K3060">
        <v>0.99905362776024897</v>
      </c>
      <c r="L3060">
        <v>0.93900545179181005</v>
      </c>
      <c r="M3060">
        <v>0.79390115667718197</v>
      </c>
      <c r="N3060">
        <v>0.99684542586750802</v>
      </c>
      <c r="O3060">
        <v>0.84521556256571995</v>
      </c>
      <c r="P3060" t="s">
        <v>8548</v>
      </c>
      <c r="Q3060" t="s">
        <v>8549</v>
      </c>
      <c r="R3060" t="s">
        <v>371</v>
      </c>
      <c r="S3060" t="s">
        <v>372</v>
      </c>
      <c r="T3060" t="s">
        <v>8550</v>
      </c>
      <c r="U3060" t="s">
        <v>8551</v>
      </c>
      <c r="V3060" t="s">
        <v>8552</v>
      </c>
      <c r="W3060" t="s">
        <v>8553</v>
      </c>
      <c r="AD3060" t="s">
        <v>3095</v>
      </c>
      <c r="AE3060" t="s">
        <v>8326</v>
      </c>
      <c r="AF3060" t="s">
        <v>8558</v>
      </c>
    </row>
    <row r="3061" spans="1:32" s="2" customFormat="1" hidden="1" x14ac:dyDescent="0.35">
      <c r="A3061">
        <v>1284</v>
      </c>
      <c r="B3061" t="s">
        <v>2659</v>
      </c>
      <c r="C3061" t="s">
        <v>72</v>
      </c>
      <c r="D3061" t="s">
        <v>58</v>
      </c>
      <c r="E3061">
        <v>1239</v>
      </c>
      <c r="F3061">
        <v>5</v>
      </c>
      <c r="G3061">
        <v>5</v>
      </c>
      <c r="H3061">
        <v>1</v>
      </c>
      <c r="I3061">
        <v>1</v>
      </c>
      <c r="J3061">
        <v>0.90357362908194705</v>
      </c>
      <c r="K3061">
        <v>0.94362635276248397</v>
      </c>
      <c r="L3061">
        <v>0.92316576054921995</v>
      </c>
      <c r="M3061">
        <v>0.69130434782608696</v>
      </c>
      <c r="N3061">
        <v>1</v>
      </c>
      <c r="O3061">
        <v>0.81652173913043502</v>
      </c>
      <c r="P3061" t="s">
        <v>2660</v>
      </c>
      <c r="Q3061" t="s">
        <v>2661</v>
      </c>
      <c r="R3061" t="s">
        <v>371</v>
      </c>
      <c r="S3061" t="s">
        <v>372</v>
      </c>
      <c r="T3061" t="s">
        <v>2662</v>
      </c>
      <c r="U3061" t="s">
        <v>2663</v>
      </c>
      <c r="V3061" t="s">
        <v>2664</v>
      </c>
      <c r="W3061" t="s">
        <v>2665</v>
      </c>
      <c r="X3061"/>
      <c r="Y3061"/>
      <c r="Z3061"/>
      <c r="AA3061"/>
      <c r="AB3061"/>
      <c r="AC3061"/>
      <c r="AD3061" t="s">
        <v>410</v>
      </c>
      <c r="AE3061" t="s">
        <v>563</v>
      </c>
      <c r="AF3061" t="e">
        <f>---------------------------MVKADGSVSIHADDRAYKPLNWMTPPCSLSEAPILDEEGNPTGQQFWTVENKKGEQLRITIDTIHSEQSFDLGQDPGLVKDGVETHLQELLAEHIDTLGEGYSLIRREYPTAIGPVDILCKDGDGATVAVEIKRRGGIDGVEQLSRYLELLNRDDLLKPVRGVFAAQEIKPQAKTLASDRGIRCVTLDYQALRGIESDELRLF</f>
        <v>#NAME?</v>
      </c>
    </row>
    <row r="3062" spans="1:32" s="2" customFormat="1" hidden="1" x14ac:dyDescent="0.35">
      <c r="A3062" s="2">
        <v>4190</v>
      </c>
      <c r="B3062" s="2" t="s">
        <v>8679</v>
      </c>
      <c r="C3062" s="2" t="s">
        <v>72</v>
      </c>
      <c r="D3062" s="2" t="s">
        <v>60</v>
      </c>
      <c r="E3062" s="2">
        <v>0</v>
      </c>
      <c r="F3062" s="2">
        <v>5</v>
      </c>
      <c r="G3062" s="2">
        <v>5</v>
      </c>
      <c r="H3062" s="2">
        <v>1</v>
      </c>
      <c r="I3062" s="2">
        <v>1</v>
      </c>
      <c r="J3062" s="2">
        <v>0.72910256410256402</v>
      </c>
      <c r="K3062" s="2">
        <v>0.86545640528682299</v>
      </c>
      <c r="L3062" s="2">
        <v>0.79144954351264296</v>
      </c>
      <c r="M3062" s="2">
        <v>0.485245901639344</v>
      </c>
      <c r="N3062" s="2">
        <v>0.99344262295081998</v>
      </c>
      <c r="O3062" s="2">
        <v>0.61803278688524599</v>
      </c>
      <c r="P3062" s="2" t="s">
        <v>8680</v>
      </c>
      <c r="Q3062" s="2" t="s">
        <v>8681</v>
      </c>
      <c r="R3062" s="2" t="s">
        <v>371</v>
      </c>
      <c r="S3062" s="2" t="s">
        <v>372</v>
      </c>
      <c r="T3062" s="2" t="s">
        <v>8682</v>
      </c>
      <c r="U3062" s="2" t="s">
        <v>8683</v>
      </c>
      <c r="V3062" s="2" t="s">
        <v>8684</v>
      </c>
      <c r="W3062" s="2" t="s">
        <v>8685</v>
      </c>
      <c r="AD3062" s="2" t="s">
        <v>8686</v>
      </c>
      <c r="AE3062" s="2" t="s">
        <v>8687</v>
      </c>
      <c r="AF3062" s="2" t="s">
        <v>8688</v>
      </c>
    </row>
    <row r="3063" spans="1:32" s="2" customFormat="1" hidden="1" x14ac:dyDescent="0.35">
      <c r="A3063" s="2">
        <v>4191</v>
      </c>
      <c r="B3063" s="2" t="s">
        <v>8679</v>
      </c>
      <c r="C3063" s="2" t="s">
        <v>72</v>
      </c>
      <c r="D3063" s="2" t="s">
        <v>62</v>
      </c>
      <c r="E3063" s="2">
        <v>79</v>
      </c>
      <c r="F3063" s="2">
        <v>5</v>
      </c>
      <c r="G3063" s="2">
        <v>5</v>
      </c>
      <c r="H3063" s="2">
        <v>1</v>
      </c>
      <c r="I3063" s="2">
        <v>1</v>
      </c>
      <c r="J3063" s="2">
        <v>0.72910256410256402</v>
      </c>
      <c r="K3063" s="2">
        <v>0.86545640528682299</v>
      </c>
      <c r="L3063" s="2">
        <v>0.79144954351264296</v>
      </c>
      <c r="M3063" s="2">
        <v>0.485245901639344</v>
      </c>
      <c r="N3063" s="2">
        <v>0.99344262295081998</v>
      </c>
      <c r="O3063" s="2">
        <v>0.61803278688524599</v>
      </c>
      <c r="P3063" s="2" t="s">
        <v>8680</v>
      </c>
      <c r="Q3063" s="2" t="s">
        <v>8681</v>
      </c>
      <c r="R3063" s="2" t="s">
        <v>371</v>
      </c>
      <c r="S3063" s="2" t="s">
        <v>372</v>
      </c>
      <c r="T3063" s="2" t="s">
        <v>8682</v>
      </c>
      <c r="U3063" s="2" t="s">
        <v>8683</v>
      </c>
      <c r="V3063" s="2" t="s">
        <v>8684</v>
      </c>
      <c r="W3063" s="2" t="s">
        <v>8685</v>
      </c>
      <c r="AD3063" s="2" t="s">
        <v>8686</v>
      </c>
      <c r="AE3063" s="2" t="s">
        <v>8687</v>
      </c>
      <c r="AF3063" s="2" t="s">
        <v>8689</v>
      </c>
    </row>
    <row r="3064" spans="1:32" s="2" customFormat="1" hidden="1" x14ac:dyDescent="0.35">
      <c r="A3064" s="2">
        <v>4192</v>
      </c>
      <c r="B3064" s="2" t="s">
        <v>8679</v>
      </c>
      <c r="C3064" s="2" t="s">
        <v>72</v>
      </c>
      <c r="D3064" s="2" t="s">
        <v>34</v>
      </c>
      <c r="E3064" s="2">
        <v>1090</v>
      </c>
      <c r="F3064" s="2">
        <v>5</v>
      </c>
      <c r="G3064" s="2">
        <v>5</v>
      </c>
      <c r="H3064" s="2">
        <v>1</v>
      </c>
      <c r="I3064" s="2">
        <v>1</v>
      </c>
      <c r="J3064" s="2">
        <v>0.72910256410256402</v>
      </c>
      <c r="K3064" s="2">
        <v>0.86545640528682299</v>
      </c>
      <c r="L3064" s="2">
        <v>0.79144954351264296</v>
      </c>
      <c r="M3064" s="2">
        <v>0.485245901639344</v>
      </c>
      <c r="N3064" s="2">
        <v>0.99344262295081998</v>
      </c>
      <c r="O3064" s="2">
        <v>0.61803278688524599</v>
      </c>
      <c r="P3064" s="2" t="s">
        <v>8680</v>
      </c>
      <c r="Q3064" s="2" t="s">
        <v>8681</v>
      </c>
      <c r="R3064" s="2" t="s">
        <v>371</v>
      </c>
      <c r="S3064" s="2" t="s">
        <v>372</v>
      </c>
      <c r="T3064" s="2" t="s">
        <v>8682</v>
      </c>
      <c r="U3064" s="2" t="s">
        <v>8683</v>
      </c>
      <c r="V3064" s="2" t="s">
        <v>8684</v>
      </c>
      <c r="W3064" s="2" t="s">
        <v>8685</v>
      </c>
      <c r="AD3064" s="2" t="s">
        <v>8686</v>
      </c>
      <c r="AE3064" s="2" t="s">
        <v>8687</v>
      </c>
      <c r="AF3064" s="2" t="s">
        <v>8690</v>
      </c>
    </row>
    <row r="3065" spans="1:32" s="2" customFormat="1" hidden="1" x14ac:dyDescent="0.35">
      <c r="A3065" s="2">
        <v>4193</v>
      </c>
      <c r="B3065" s="2" t="s">
        <v>8679</v>
      </c>
      <c r="C3065" s="2" t="s">
        <v>72</v>
      </c>
      <c r="D3065" s="2" t="s">
        <v>45</v>
      </c>
      <c r="E3065" s="2">
        <v>2344</v>
      </c>
      <c r="F3065" s="2">
        <v>5</v>
      </c>
      <c r="G3065" s="2">
        <v>5</v>
      </c>
      <c r="H3065" s="2">
        <v>1</v>
      </c>
      <c r="I3065" s="2">
        <v>1</v>
      </c>
      <c r="J3065" s="2">
        <v>0.72910256410256402</v>
      </c>
      <c r="K3065" s="2">
        <v>0.86545640528682299</v>
      </c>
      <c r="L3065" s="2">
        <v>0.79144954351264296</v>
      </c>
      <c r="M3065" s="2">
        <v>0.485245901639344</v>
      </c>
      <c r="N3065" s="2">
        <v>0.99344262295081998</v>
      </c>
      <c r="O3065" s="2">
        <v>0.61803278688524599</v>
      </c>
      <c r="P3065" s="2" t="s">
        <v>8680</v>
      </c>
      <c r="Q3065" s="2" t="s">
        <v>8681</v>
      </c>
      <c r="R3065" s="2" t="s">
        <v>371</v>
      </c>
      <c r="S3065" s="2" t="s">
        <v>372</v>
      </c>
      <c r="T3065" s="2" t="s">
        <v>8682</v>
      </c>
      <c r="U3065" s="2" t="s">
        <v>8683</v>
      </c>
      <c r="V3065" s="2" t="s">
        <v>8684</v>
      </c>
      <c r="W3065" s="2" t="s">
        <v>8685</v>
      </c>
      <c r="AD3065" s="2" t="s">
        <v>8686</v>
      </c>
      <c r="AE3065" s="2" t="s">
        <v>8687</v>
      </c>
      <c r="AF3065" s="2" t="s">
        <v>8691</v>
      </c>
    </row>
    <row r="3066" spans="1:32" hidden="1" x14ac:dyDescent="0.35">
      <c r="A3066">
        <v>2174</v>
      </c>
      <c r="B3066" t="s">
        <v>4520</v>
      </c>
      <c r="C3066" t="s">
        <v>72</v>
      </c>
      <c r="D3066" t="s">
        <v>58</v>
      </c>
      <c r="E3066">
        <v>1455</v>
      </c>
      <c r="F3066">
        <v>5</v>
      </c>
      <c r="G3066">
        <v>5</v>
      </c>
      <c r="H3066">
        <v>1</v>
      </c>
      <c r="I3066">
        <v>1</v>
      </c>
      <c r="J3066">
        <v>0.791259259259259</v>
      </c>
      <c r="K3066">
        <v>0.97861780899943296</v>
      </c>
      <c r="L3066">
        <v>0.87502167979231604</v>
      </c>
      <c r="M3066">
        <v>0.53913043478260902</v>
      </c>
      <c r="N3066">
        <v>1</v>
      </c>
      <c r="O3066">
        <v>0.70739130434782604</v>
      </c>
      <c r="P3066" t="s">
        <v>169</v>
      </c>
      <c r="Q3066" t="s">
        <v>170</v>
      </c>
      <c r="R3066" t="s">
        <v>4521</v>
      </c>
      <c r="S3066" t="s">
        <v>4522</v>
      </c>
      <c r="T3066" t="s">
        <v>4523</v>
      </c>
      <c r="U3066" t="s">
        <v>4524</v>
      </c>
      <c r="V3066" t="s">
        <v>4525</v>
      </c>
      <c r="W3066" t="s">
        <v>4526</v>
      </c>
      <c r="AD3066" t="s">
        <v>439</v>
      </c>
      <c r="AE3066" t="s">
        <v>4527</v>
      </c>
      <c r="AF3066" t="s">
        <v>4528</v>
      </c>
    </row>
    <row r="3067" spans="1:32" hidden="1" x14ac:dyDescent="0.35">
      <c r="A3067">
        <v>4220</v>
      </c>
      <c r="B3067" t="s">
        <v>8746</v>
      </c>
      <c r="C3067" t="s">
        <v>72</v>
      </c>
      <c r="D3067" t="s">
        <v>60</v>
      </c>
      <c r="E3067">
        <v>740</v>
      </c>
      <c r="F3067">
        <v>5</v>
      </c>
      <c r="G3067">
        <v>5</v>
      </c>
      <c r="H3067">
        <v>1</v>
      </c>
      <c r="I3067">
        <v>1</v>
      </c>
      <c r="J3067">
        <v>0.755948189403154</v>
      </c>
      <c r="K3067">
        <v>0.85027747973552303</v>
      </c>
      <c r="L3067">
        <v>0.80034298249139801</v>
      </c>
      <c r="M3067">
        <v>0.46951871657754002</v>
      </c>
      <c r="N3067">
        <v>0.99518716577540101</v>
      </c>
      <c r="O3067">
        <v>0.631283422459893</v>
      </c>
      <c r="P3067" t="s">
        <v>8747</v>
      </c>
      <c r="Q3067" t="s">
        <v>8748</v>
      </c>
      <c r="R3067" t="s">
        <v>371</v>
      </c>
      <c r="S3067" t="s">
        <v>372</v>
      </c>
      <c r="T3067" t="s">
        <v>8749</v>
      </c>
      <c r="U3067" t="s">
        <v>8750</v>
      </c>
      <c r="V3067" t="s">
        <v>8751</v>
      </c>
      <c r="W3067" t="s">
        <v>8752</v>
      </c>
      <c r="AD3067" t="s">
        <v>8753</v>
      </c>
      <c r="AE3067" t="s">
        <v>8754</v>
      </c>
      <c r="AF3067" t="s">
        <v>8756</v>
      </c>
    </row>
    <row r="3068" spans="1:32" hidden="1" x14ac:dyDescent="0.35">
      <c r="A3068">
        <v>4221</v>
      </c>
      <c r="B3068" t="s">
        <v>8746</v>
      </c>
      <c r="C3068" t="s">
        <v>72</v>
      </c>
      <c r="D3068" t="s">
        <v>62</v>
      </c>
      <c r="E3068">
        <v>772</v>
      </c>
      <c r="F3068">
        <v>5</v>
      </c>
      <c r="G3068">
        <v>5</v>
      </c>
      <c r="H3068">
        <v>1</v>
      </c>
      <c r="I3068">
        <v>1</v>
      </c>
      <c r="J3068">
        <v>0.755948189403154</v>
      </c>
      <c r="K3068">
        <v>0.85027747973552303</v>
      </c>
      <c r="L3068">
        <v>0.80034298249139801</v>
      </c>
      <c r="M3068">
        <v>0.46951871657754002</v>
      </c>
      <c r="N3068">
        <v>0.99518716577540101</v>
      </c>
      <c r="O3068">
        <v>0.631283422459893</v>
      </c>
      <c r="P3068" t="s">
        <v>8747</v>
      </c>
      <c r="Q3068" t="s">
        <v>8748</v>
      </c>
      <c r="R3068" t="s">
        <v>371</v>
      </c>
      <c r="S3068" t="s">
        <v>372</v>
      </c>
      <c r="T3068" t="s">
        <v>8749</v>
      </c>
      <c r="U3068" t="s">
        <v>8750</v>
      </c>
      <c r="V3068" t="s">
        <v>8751</v>
      </c>
      <c r="W3068" t="s">
        <v>8752</v>
      </c>
      <c r="AD3068" t="s">
        <v>8753</v>
      </c>
      <c r="AE3068" t="s">
        <v>8754</v>
      </c>
      <c r="AF3068" t="s">
        <v>8757</v>
      </c>
    </row>
    <row r="3069" spans="1:32" hidden="1" x14ac:dyDescent="0.35">
      <c r="A3069">
        <v>4222</v>
      </c>
      <c r="B3069" t="s">
        <v>8746</v>
      </c>
      <c r="C3069" t="s">
        <v>72</v>
      </c>
      <c r="D3069" t="s">
        <v>34</v>
      </c>
      <c r="E3069">
        <v>398</v>
      </c>
      <c r="F3069">
        <v>5</v>
      </c>
      <c r="G3069">
        <v>5</v>
      </c>
      <c r="H3069">
        <v>1</v>
      </c>
      <c r="I3069">
        <v>1</v>
      </c>
      <c r="J3069">
        <v>0.755948189403154</v>
      </c>
      <c r="K3069">
        <v>0.85027747973552303</v>
      </c>
      <c r="L3069">
        <v>0.80034298249139801</v>
      </c>
      <c r="M3069">
        <v>0.46951871657754002</v>
      </c>
      <c r="N3069">
        <v>0.99518716577540101</v>
      </c>
      <c r="O3069">
        <v>0.631283422459893</v>
      </c>
      <c r="P3069" t="s">
        <v>8747</v>
      </c>
      <c r="Q3069" t="s">
        <v>8748</v>
      </c>
      <c r="R3069" t="s">
        <v>371</v>
      </c>
      <c r="S3069" t="s">
        <v>372</v>
      </c>
      <c r="T3069" t="s">
        <v>8749</v>
      </c>
      <c r="U3069" t="s">
        <v>8750</v>
      </c>
      <c r="V3069" t="s">
        <v>8751</v>
      </c>
      <c r="W3069" t="s">
        <v>8752</v>
      </c>
      <c r="AD3069" t="s">
        <v>8753</v>
      </c>
      <c r="AE3069" t="s">
        <v>8754</v>
      </c>
      <c r="AF3069" t="s">
        <v>8758</v>
      </c>
    </row>
    <row r="3070" spans="1:32" hidden="1" x14ac:dyDescent="0.35">
      <c r="A3070">
        <v>4223</v>
      </c>
      <c r="B3070" t="s">
        <v>8746</v>
      </c>
      <c r="C3070" t="s">
        <v>72</v>
      </c>
      <c r="D3070" t="s">
        <v>45</v>
      </c>
      <c r="E3070">
        <v>1659</v>
      </c>
      <c r="F3070">
        <v>5</v>
      </c>
      <c r="G3070">
        <v>5</v>
      </c>
      <c r="H3070">
        <v>1</v>
      </c>
      <c r="I3070">
        <v>1</v>
      </c>
      <c r="J3070">
        <v>0.755948189403154</v>
      </c>
      <c r="K3070">
        <v>0.85027747973552303</v>
      </c>
      <c r="L3070">
        <v>0.80034298249139801</v>
      </c>
      <c r="M3070">
        <v>0.46951871657754002</v>
      </c>
      <c r="N3070">
        <v>0.99518716577540101</v>
      </c>
      <c r="O3070">
        <v>0.631283422459893</v>
      </c>
      <c r="P3070" t="s">
        <v>8747</v>
      </c>
      <c r="Q3070" t="s">
        <v>8748</v>
      </c>
      <c r="R3070" t="s">
        <v>371</v>
      </c>
      <c r="S3070" t="s">
        <v>372</v>
      </c>
      <c r="T3070" t="s">
        <v>8749</v>
      </c>
      <c r="U3070" t="s">
        <v>8750</v>
      </c>
      <c r="V3070" t="s">
        <v>8751</v>
      </c>
      <c r="W3070" t="s">
        <v>8752</v>
      </c>
      <c r="AD3070" t="s">
        <v>8753</v>
      </c>
      <c r="AE3070" t="s">
        <v>8754</v>
      </c>
      <c r="AF3070" t="s">
        <v>8759</v>
      </c>
    </row>
    <row r="3071" spans="1:32" hidden="1" x14ac:dyDescent="0.35">
      <c r="A3071">
        <v>6023</v>
      </c>
      <c r="B3071" t="s">
        <v>12384</v>
      </c>
      <c r="C3071" t="s">
        <v>68</v>
      </c>
      <c r="D3071" t="s">
        <v>58</v>
      </c>
      <c r="E3071">
        <v>1622</v>
      </c>
      <c r="F3071">
        <v>3</v>
      </c>
      <c r="G3071">
        <v>3</v>
      </c>
      <c r="H3071">
        <v>1</v>
      </c>
      <c r="I3071">
        <v>0</v>
      </c>
      <c r="J3071">
        <v>0.810126582278481</v>
      </c>
      <c r="K3071">
        <v>0.96846284639316804</v>
      </c>
      <c r="L3071">
        <v>0.88224688977056798</v>
      </c>
      <c r="M3071">
        <v>0.58455882352941202</v>
      </c>
      <c r="N3071">
        <v>1</v>
      </c>
      <c r="O3071">
        <v>0.72303921568627405</v>
      </c>
      <c r="P3071" t="s">
        <v>169</v>
      </c>
      <c r="Q3071" t="s">
        <v>170</v>
      </c>
      <c r="R3071" t="s">
        <v>4521</v>
      </c>
      <c r="S3071" t="s">
        <v>4522</v>
      </c>
      <c r="T3071" t="s">
        <v>12385</v>
      </c>
      <c r="U3071" t="s">
        <v>12386</v>
      </c>
      <c r="V3071" t="s">
        <v>4525</v>
      </c>
      <c r="W3071" t="s">
        <v>4526</v>
      </c>
      <c r="AD3071" t="s">
        <v>12295</v>
      </c>
      <c r="AE3071" t="s">
        <v>12296</v>
      </c>
      <c r="AF3071" t="e">
        <f>-MGLDATEILRVEGVSFAHFDGPPVLRDVNLAINRGDRIALLGANGAGKSTLFRLLAGAWKPTEGRVLLDDTAFSYSRK---GRDTVRRRVQLVLQEPDDQLFAMTVAADVSYGPVNQGLDEDEVRTRVDAAMDAAEISDLAERVPHQLSYGQRKRVALAGALAMRPEVLLLDEPTAGLDPAGGRQLLRTLERLHEQGTAVVLSTHDVNLAYAFSETAAVIHDGQVVVGPKEDILGDAALMRTARLELPWAPAVSAALGRVVSRPEELIGEG</f>
        <v>#NAME?</v>
      </c>
    </row>
    <row r="3072" spans="1:32" hidden="1" x14ac:dyDescent="0.35">
      <c r="A3072">
        <v>4280</v>
      </c>
      <c r="B3072" t="s">
        <v>8894</v>
      </c>
      <c r="C3072" t="s">
        <v>72</v>
      </c>
      <c r="D3072" t="s">
        <v>60</v>
      </c>
      <c r="E3072">
        <v>1614</v>
      </c>
      <c r="F3072">
        <v>5</v>
      </c>
      <c r="G3072">
        <v>5</v>
      </c>
      <c r="H3072">
        <v>1</v>
      </c>
      <c r="I3072">
        <v>1</v>
      </c>
      <c r="J3072">
        <v>0.78038674033149202</v>
      </c>
      <c r="K3072">
        <v>0.92465200144248205</v>
      </c>
      <c r="L3072">
        <v>0.84641614723185499</v>
      </c>
      <c r="M3072">
        <v>0.58898305084745795</v>
      </c>
      <c r="N3072">
        <v>0.99152542372881403</v>
      </c>
      <c r="O3072">
        <v>0.69618644067796598</v>
      </c>
      <c r="P3072" t="s">
        <v>8895</v>
      </c>
      <c r="Q3072" t="s">
        <v>8896</v>
      </c>
      <c r="R3072" t="s">
        <v>371</v>
      </c>
      <c r="S3072" t="s">
        <v>372</v>
      </c>
      <c r="T3072" t="s">
        <v>8897</v>
      </c>
      <c r="U3072" t="s">
        <v>8898</v>
      </c>
      <c r="V3072" t="s">
        <v>8899</v>
      </c>
      <c r="W3072" t="s">
        <v>8900</v>
      </c>
      <c r="AD3072" t="s">
        <v>8901</v>
      </c>
      <c r="AE3072" t="s">
        <v>8902</v>
      </c>
      <c r="AF3072" t="s">
        <v>8904</v>
      </c>
    </row>
    <row r="3073" spans="1:32" hidden="1" x14ac:dyDescent="0.35">
      <c r="A3073">
        <v>4281</v>
      </c>
      <c r="B3073" t="s">
        <v>8894</v>
      </c>
      <c r="C3073" t="s">
        <v>72</v>
      </c>
      <c r="D3073" t="s">
        <v>62</v>
      </c>
      <c r="E3073">
        <v>1650</v>
      </c>
      <c r="F3073">
        <v>5</v>
      </c>
      <c r="G3073">
        <v>5</v>
      </c>
      <c r="H3073">
        <v>1</v>
      </c>
      <c r="I3073">
        <v>1</v>
      </c>
      <c r="J3073">
        <v>0.78038674033149202</v>
      </c>
      <c r="K3073">
        <v>0.92465200144248205</v>
      </c>
      <c r="L3073">
        <v>0.84641614723185499</v>
      </c>
      <c r="M3073">
        <v>0.58898305084745795</v>
      </c>
      <c r="N3073">
        <v>0.99152542372881403</v>
      </c>
      <c r="O3073">
        <v>0.69618644067796598</v>
      </c>
      <c r="P3073" t="s">
        <v>8895</v>
      </c>
      <c r="Q3073" t="s">
        <v>8896</v>
      </c>
      <c r="R3073" t="s">
        <v>371</v>
      </c>
      <c r="S3073" t="s">
        <v>372</v>
      </c>
      <c r="T3073" t="s">
        <v>8897</v>
      </c>
      <c r="U3073" t="s">
        <v>8898</v>
      </c>
      <c r="V3073" t="s">
        <v>8899</v>
      </c>
      <c r="W3073" t="s">
        <v>8900</v>
      </c>
      <c r="AD3073" t="s">
        <v>8901</v>
      </c>
      <c r="AE3073" t="s">
        <v>8902</v>
      </c>
      <c r="AF3073" t="s">
        <v>8905</v>
      </c>
    </row>
    <row r="3074" spans="1:32" hidden="1" x14ac:dyDescent="0.35">
      <c r="A3074">
        <v>4282</v>
      </c>
      <c r="B3074" t="s">
        <v>8894</v>
      </c>
      <c r="C3074" t="s">
        <v>72</v>
      </c>
      <c r="D3074" t="s">
        <v>34</v>
      </c>
      <c r="E3074">
        <v>2007</v>
      </c>
      <c r="F3074">
        <v>5</v>
      </c>
      <c r="G3074">
        <v>5</v>
      </c>
      <c r="H3074">
        <v>1</v>
      </c>
      <c r="I3074">
        <v>1</v>
      </c>
      <c r="J3074">
        <v>0.78038674033149202</v>
      </c>
      <c r="K3074">
        <v>0.92465200144248205</v>
      </c>
      <c r="L3074">
        <v>0.84641614723185499</v>
      </c>
      <c r="M3074">
        <v>0.58898305084745795</v>
      </c>
      <c r="N3074">
        <v>0.99152542372881403</v>
      </c>
      <c r="O3074">
        <v>0.69618644067796598</v>
      </c>
      <c r="P3074" t="s">
        <v>8895</v>
      </c>
      <c r="Q3074" t="s">
        <v>8896</v>
      </c>
      <c r="R3074" t="s">
        <v>371</v>
      </c>
      <c r="S3074" t="s">
        <v>372</v>
      </c>
      <c r="T3074" t="s">
        <v>8897</v>
      </c>
      <c r="U3074" t="s">
        <v>8898</v>
      </c>
      <c r="V3074" t="s">
        <v>8899</v>
      </c>
      <c r="W3074" t="s">
        <v>8900</v>
      </c>
      <c r="AD3074" t="s">
        <v>8901</v>
      </c>
      <c r="AE3074" t="s">
        <v>8902</v>
      </c>
      <c r="AF3074" t="s">
        <v>8906</v>
      </c>
    </row>
    <row r="3075" spans="1:32" hidden="1" x14ac:dyDescent="0.35">
      <c r="A3075">
        <v>4283</v>
      </c>
      <c r="B3075" t="s">
        <v>8894</v>
      </c>
      <c r="C3075" t="s">
        <v>72</v>
      </c>
      <c r="D3075" t="s">
        <v>45</v>
      </c>
      <c r="E3075">
        <v>865</v>
      </c>
      <c r="F3075">
        <v>5</v>
      </c>
      <c r="G3075">
        <v>5</v>
      </c>
      <c r="H3075">
        <v>1</v>
      </c>
      <c r="I3075">
        <v>1</v>
      </c>
      <c r="J3075">
        <v>0.78038674033149202</v>
      </c>
      <c r="K3075">
        <v>0.92465200144248205</v>
      </c>
      <c r="L3075">
        <v>0.84641614723185499</v>
      </c>
      <c r="M3075">
        <v>0.58898305084745795</v>
      </c>
      <c r="N3075">
        <v>0.99152542372881403</v>
      </c>
      <c r="O3075">
        <v>0.69618644067796598</v>
      </c>
      <c r="P3075" t="s">
        <v>8895</v>
      </c>
      <c r="Q3075" t="s">
        <v>8896</v>
      </c>
      <c r="R3075" t="s">
        <v>371</v>
      </c>
      <c r="S3075" t="s">
        <v>372</v>
      </c>
      <c r="T3075" t="s">
        <v>8897</v>
      </c>
      <c r="U3075" t="s">
        <v>8898</v>
      </c>
      <c r="V3075" t="s">
        <v>8899</v>
      </c>
      <c r="W3075" t="s">
        <v>8900</v>
      </c>
      <c r="AD3075" t="s">
        <v>8901</v>
      </c>
      <c r="AE3075" t="s">
        <v>8902</v>
      </c>
      <c r="AF3075" t="s">
        <v>8907</v>
      </c>
    </row>
    <row r="3076" spans="1:32" hidden="1" x14ac:dyDescent="0.35">
      <c r="A3076">
        <v>10998</v>
      </c>
      <c r="B3076" t="s">
        <v>22206</v>
      </c>
      <c r="C3076" t="s">
        <v>33</v>
      </c>
      <c r="D3076" t="s">
        <v>58</v>
      </c>
      <c r="E3076">
        <v>701</v>
      </c>
      <c r="F3076">
        <v>1</v>
      </c>
      <c r="G3076">
        <v>1</v>
      </c>
      <c r="H3076">
        <v>1</v>
      </c>
      <c r="I3076">
        <v>0</v>
      </c>
      <c r="J3076">
        <v>1</v>
      </c>
      <c r="K3076">
        <v>1</v>
      </c>
      <c r="L3076">
        <v>1</v>
      </c>
      <c r="M3076">
        <v>0</v>
      </c>
      <c r="N3076">
        <v>0</v>
      </c>
      <c r="O3076">
        <v>0</v>
      </c>
      <c r="P3076" t="s">
        <v>169</v>
      </c>
      <c r="Q3076" t="s">
        <v>170</v>
      </c>
      <c r="R3076" t="s">
        <v>4521</v>
      </c>
      <c r="S3076" t="s">
        <v>4522</v>
      </c>
      <c r="T3076" t="s">
        <v>10879</v>
      </c>
      <c r="U3076" t="s">
        <v>10880</v>
      </c>
      <c r="V3076" t="s">
        <v>4525</v>
      </c>
      <c r="W3076" t="s">
        <v>4526</v>
      </c>
      <c r="AD3076" t="s">
        <v>166</v>
      </c>
      <c r="AE3076" t="s">
        <v>8638</v>
      </c>
      <c r="AF3076" t="s">
        <v>22207</v>
      </c>
    </row>
    <row r="3077" spans="1:32" hidden="1" x14ac:dyDescent="0.35">
      <c r="A3077">
        <v>4325</v>
      </c>
      <c r="B3077" t="s">
        <v>9002</v>
      </c>
      <c r="C3077" t="s">
        <v>72</v>
      </c>
      <c r="D3077" t="s">
        <v>60</v>
      </c>
      <c r="E3077">
        <v>1190</v>
      </c>
      <c r="F3077">
        <v>5</v>
      </c>
      <c r="G3077">
        <v>5</v>
      </c>
      <c r="H3077">
        <v>1</v>
      </c>
      <c r="I3077">
        <v>1</v>
      </c>
      <c r="J3077">
        <v>0.77664361760509304</v>
      </c>
      <c r="K3077">
        <v>0.96172292545710403</v>
      </c>
      <c r="L3077">
        <v>0.85933081828074998</v>
      </c>
      <c r="M3077">
        <v>0.531645569620253</v>
      </c>
      <c r="N3077">
        <v>0.990506329113924</v>
      </c>
      <c r="O3077">
        <v>0.70221518987341802</v>
      </c>
      <c r="P3077" t="s">
        <v>9003</v>
      </c>
      <c r="Q3077" t="s">
        <v>9004</v>
      </c>
      <c r="R3077" t="s">
        <v>371</v>
      </c>
      <c r="S3077" t="s">
        <v>372</v>
      </c>
      <c r="T3077" t="s">
        <v>9005</v>
      </c>
      <c r="U3077" t="s">
        <v>9006</v>
      </c>
      <c r="V3077" t="s">
        <v>9007</v>
      </c>
      <c r="W3077" t="s">
        <v>9008</v>
      </c>
      <c r="AD3077" t="s">
        <v>1480</v>
      </c>
      <c r="AE3077" t="s">
        <v>2816</v>
      </c>
      <c r="AF3077" t="s">
        <v>9010</v>
      </c>
    </row>
    <row r="3078" spans="1:32" hidden="1" x14ac:dyDescent="0.35">
      <c r="A3078">
        <v>4326</v>
      </c>
      <c r="B3078" t="s">
        <v>9002</v>
      </c>
      <c r="C3078" t="s">
        <v>72</v>
      </c>
      <c r="D3078" t="s">
        <v>62</v>
      </c>
      <c r="E3078">
        <v>1227</v>
      </c>
      <c r="F3078">
        <v>5</v>
      </c>
      <c r="G3078">
        <v>5</v>
      </c>
      <c r="H3078">
        <v>1</v>
      </c>
      <c r="I3078">
        <v>1</v>
      </c>
      <c r="J3078">
        <v>0.77664361760509304</v>
      </c>
      <c r="K3078">
        <v>0.96172292545710403</v>
      </c>
      <c r="L3078">
        <v>0.85933081828074998</v>
      </c>
      <c r="M3078">
        <v>0.531645569620253</v>
      </c>
      <c r="N3078">
        <v>0.990506329113924</v>
      </c>
      <c r="O3078">
        <v>0.70221518987341802</v>
      </c>
      <c r="P3078" t="s">
        <v>9003</v>
      </c>
      <c r="Q3078" t="s">
        <v>9004</v>
      </c>
      <c r="R3078" t="s">
        <v>371</v>
      </c>
      <c r="S3078" t="s">
        <v>372</v>
      </c>
      <c r="T3078" t="s">
        <v>9005</v>
      </c>
      <c r="U3078" t="s">
        <v>9006</v>
      </c>
      <c r="V3078" t="s">
        <v>9007</v>
      </c>
      <c r="W3078" t="s">
        <v>9008</v>
      </c>
      <c r="AD3078" t="s">
        <v>1480</v>
      </c>
      <c r="AE3078" t="s">
        <v>2816</v>
      </c>
      <c r="AF3078" t="s">
        <v>9011</v>
      </c>
    </row>
    <row r="3079" spans="1:32" hidden="1" x14ac:dyDescent="0.35">
      <c r="A3079">
        <v>4327</v>
      </c>
      <c r="B3079" t="s">
        <v>9002</v>
      </c>
      <c r="C3079" t="s">
        <v>72</v>
      </c>
      <c r="D3079" t="s">
        <v>34</v>
      </c>
      <c r="E3079">
        <v>1656</v>
      </c>
      <c r="F3079">
        <v>5</v>
      </c>
      <c r="G3079">
        <v>5</v>
      </c>
      <c r="H3079">
        <v>1</v>
      </c>
      <c r="I3079">
        <v>1</v>
      </c>
      <c r="J3079">
        <v>0.77664361760509304</v>
      </c>
      <c r="K3079">
        <v>0.96172292545710403</v>
      </c>
      <c r="L3079">
        <v>0.85933081828074998</v>
      </c>
      <c r="M3079">
        <v>0.531645569620253</v>
      </c>
      <c r="N3079">
        <v>0.990506329113924</v>
      </c>
      <c r="O3079">
        <v>0.70221518987341802</v>
      </c>
      <c r="P3079" t="s">
        <v>9003</v>
      </c>
      <c r="Q3079" t="s">
        <v>9004</v>
      </c>
      <c r="R3079" t="s">
        <v>371</v>
      </c>
      <c r="S3079" t="s">
        <v>372</v>
      </c>
      <c r="T3079" t="s">
        <v>9005</v>
      </c>
      <c r="U3079" t="s">
        <v>9006</v>
      </c>
      <c r="V3079" t="s">
        <v>9007</v>
      </c>
      <c r="W3079" t="s">
        <v>9008</v>
      </c>
      <c r="AD3079" t="s">
        <v>1480</v>
      </c>
      <c r="AE3079" t="s">
        <v>2816</v>
      </c>
      <c r="AF3079" t="s">
        <v>9012</v>
      </c>
    </row>
    <row r="3080" spans="1:32" hidden="1" x14ac:dyDescent="0.35">
      <c r="A3080">
        <v>4328</v>
      </c>
      <c r="B3080" t="s">
        <v>9002</v>
      </c>
      <c r="C3080" t="s">
        <v>72</v>
      </c>
      <c r="D3080" t="s">
        <v>45</v>
      </c>
      <c r="E3080">
        <v>1221</v>
      </c>
      <c r="F3080">
        <v>5</v>
      </c>
      <c r="G3080">
        <v>5</v>
      </c>
      <c r="H3080">
        <v>1</v>
      </c>
      <c r="I3080">
        <v>1</v>
      </c>
      <c r="J3080">
        <v>0.77664361760509304</v>
      </c>
      <c r="K3080">
        <v>0.96172292545710403</v>
      </c>
      <c r="L3080">
        <v>0.85933081828074998</v>
      </c>
      <c r="M3080">
        <v>0.531645569620253</v>
      </c>
      <c r="N3080">
        <v>0.990506329113924</v>
      </c>
      <c r="O3080">
        <v>0.70221518987341802</v>
      </c>
      <c r="P3080" t="s">
        <v>9003</v>
      </c>
      <c r="Q3080" t="s">
        <v>9004</v>
      </c>
      <c r="R3080" t="s">
        <v>371</v>
      </c>
      <c r="S3080" t="s">
        <v>372</v>
      </c>
      <c r="T3080" t="s">
        <v>9005</v>
      </c>
      <c r="U3080" t="s">
        <v>9006</v>
      </c>
      <c r="V3080" t="s">
        <v>9007</v>
      </c>
      <c r="W3080" t="s">
        <v>9008</v>
      </c>
      <c r="AD3080" t="s">
        <v>1480</v>
      </c>
      <c r="AE3080" t="s">
        <v>2816</v>
      </c>
      <c r="AF3080" t="s">
        <v>9013</v>
      </c>
    </row>
    <row r="3081" spans="1:32" hidden="1" x14ac:dyDescent="0.35">
      <c r="A3081">
        <v>6083</v>
      </c>
      <c r="B3081" t="s">
        <v>12514</v>
      </c>
      <c r="C3081" t="s">
        <v>68</v>
      </c>
      <c r="D3081" t="s">
        <v>58</v>
      </c>
      <c r="E3081">
        <v>590</v>
      </c>
      <c r="F3081">
        <v>3</v>
      </c>
      <c r="G3081">
        <v>3</v>
      </c>
      <c r="H3081">
        <v>1</v>
      </c>
      <c r="I3081">
        <v>0</v>
      </c>
      <c r="J3081">
        <v>0.76199494949494995</v>
      </c>
      <c r="K3081">
        <v>0.97543859649122799</v>
      </c>
      <c r="L3081">
        <v>0.85560600091541095</v>
      </c>
      <c r="M3081">
        <v>0.52908587257617701</v>
      </c>
      <c r="N3081">
        <v>1</v>
      </c>
      <c r="O3081">
        <v>0.68605724838411797</v>
      </c>
      <c r="P3081" t="s">
        <v>12515</v>
      </c>
      <c r="Q3081" t="s">
        <v>10273</v>
      </c>
      <c r="R3081" t="s">
        <v>75</v>
      </c>
      <c r="S3081" t="s">
        <v>76</v>
      </c>
      <c r="T3081" t="s">
        <v>12516</v>
      </c>
      <c r="U3081" t="s">
        <v>12517</v>
      </c>
      <c r="V3081" t="s">
        <v>12518</v>
      </c>
      <c r="W3081" t="s">
        <v>12519</v>
      </c>
      <c r="X3081" t="s">
        <v>12518</v>
      </c>
      <c r="Y3081" t="s">
        <v>2750</v>
      </c>
      <c r="Z3081" t="s">
        <v>12520</v>
      </c>
      <c r="AA3081" t="s">
        <v>12521</v>
      </c>
      <c r="AB3081" t="s">
        <v>12520</v>
      </c>
      <c r="AC3081" t="s">
        <v>4023</v>
      </c>
      <c r="AD3081" t="s">
        <v>951</v>
      </c>
      <c r="AE3081" t="s">
        <v>12522</v>
      </c>
      <c r="AF3081" t="s">
        <v>12523</v>
      </c>
    </row>
    <row r="3082" spans="1:32" hidden="1" x14ac:dyDescent="0.35">
      <c r="A3082">
        <v>4375</v>
      </c>
      <c r="B3082" t="s">
        <v>9114</v>
      </c>
      <c r="C3082" t="s">
        <v>72</v>
      </c>
      <c r="D3082" t="s">
        <v>60</v>
      </c>
      <c r="E3082">
        <v>603</v>
      </c>
      <c r="F3082">
        <v>5</v>
      </c>
      <c r="G3082">
        <v>5</v>
      </c>
      <c r="H3082">
        <v>1</v>
      </c>
      <c r="I3082">
        <v>1</v>
      </c>
      <c r="J3082">
        <v>0.80993750952598698</v>
      </c>
      <c r="K3082">
        <v>0.92449655785032003</v>
      </c>
      <c r="L3082">
        <v>0.86343373174551197</v>
      </c>
      <c r="M3082">
        <v>0.60842105263157897</v>
      </c>
      <c r="N3082">
        <v>0.995789473684211</v>
      </c>
      <c r="O3082">
        <v>0.71831578947368402</v>
      </c>
      <c r="P3082" t="s">
        <v>6973</v>
      </c>
      <c r="Q3082" t="s">
        <v>6974</v>
      </c>
      <c r="R3082" t="s">
        <v>371</v>
      </c>
      <c r="S3082" t="s">
        <v>372</v>
      </c>
      <c r="V3082" t="s">
        <v>6977</v>
      </c>
      <c r="W3082" t="s">
        <v>6978</v>
      </c>
      <c r="AF3082" t="s">
        <v>9116</v>
      </c>
    </row>
    <row r="3083" spans="1:32" hidden="1" x14ac:dyDescent="0.35">
      <c r="A3083">
        <v>4376</v>
      </c>
      <c r="B3083" t="s">
        <v>9114</v>
      </c>
      <c r="C3083" t="s">
        <v>72</v>
      </c>
      <c r="D3083" t="s">
        <v>62</v>
      </c>
      <c r="E3083">
        <v>687</v>
      </c>
      <c r="F3083">
        <v>5</v>
      </c>
      <c r="G3083">
        <v>5</v>
      </c>
      <c r="H3083">
        <v>1</v>
      </c>
      <c r="I3083">
        <v>1</v>
      </c>
      <c r="J3083">
        <v>0.80993750952598698</v>
      </c>
      <c r="K3083">
        <v>0.92449655785032003</v>
      </c>
      <c r="L3083">
        <v>0.86343373174551197</v>
      </c>
      <c r="M3083">
        <v>0.60842105263157897</v>
      </c>
      <c r="N3083">
        <v>0.995789473684211</v>
      </c>
      <c r="O3083">
        <v>0.71831578947368402</v>
      </c>
      <c r="P3083" t="s">
        <v>6973</v>
      </c>
      <c r="Q3083" t="s">
        <v>6974</v>
      </c>
      <c r="R3083" t="s">
        <v>371</v>
      </c>
      <c r="S3083" t="s">
        <v>372</v>
      </c>
      <c r="V3083" t="s">
        <v>6977</v>
      </c>
      <c r="W3083" t="s">
        <v>6978</v>
      </c>
      <c r="AF3083" t="s">
        <v>9117</v>
      </c>
    </row>
    <row r="3084" spans="1:32" hidden="1" x14ac:dyDescent="0.35">
      <c r="A3084">
        <v>4377</v>
      </c>
      <c r="B3084" t="s">
        <v>9114</v>
      </c>
      <c r="C3084" t="s">
        <v>72</v>
      </c>
      <c r="D3084" t="s">
        <v>34</v>
      </c>
      <c r="E3084">
        <v>486</v>
      </c>
      <c r="F3084">
        <v>5</v>
      </c>
      <c r="G3084">
        <v>5</v>
      </c>
      <c r="H3084">
        <v>1</v>
      </c>
      <c r="I3084">
        <v>1</v>
      </c>
      <c r="J3084">
        <v>0.80993750952598698</v>
      </c>
      <c r="K3084">
        <v>0.92449655785032003</v>
      </c>
      <c r="L3084">
        <v>0.86343373174551197</v>
      </c>
      <c r="M3084">
        <v>0.60842105263157897</v>
      </c>
      <c r="N3084">
        <v>0.995789473684211</v>
      </c>
      <c r="O3084">
        <v>0.71831578947368402</v>
      </c>
      <c r="P3084" t="s">
        <v>6973</v>
      </c>
      <c r="Q3084" t="s">
        <v>6974</v>
      </c>
      <c r="R3084" t="s">
        <v>371</v>
      </c>
      <c r="S3084" t="s">
        <v>372</v>
      </c>
      <c r="V3084" t="s">
        <v>6977</v>
      </c>
      <c r="W3084" t="s">
        <v>6978</v>
      </c>
      <c r="AF3084" t="s">
        <v>9118</v>
      </c>
    </row>
    <row r="3085" spans="1:32" hidden="1" x14ac:dyDescent="0.35">
      <c r="A3085">
        <v>4378</v>
      </c>
      <c r="B3085" t="s">
        <v>9114</v>
      </c>
      <c r="C3085" t="s">
        <v>72</v>
      </c>
      <c r="D3085" t="s">
        <v>45</v>
      </c>
      <c r="E3085">
        <v>1751</v>
      </c>
      <c r="F3085">
        <v>5</v>
      </c>
      <c r="G3085">
        <v>5</v>
      </c>
      <c r="H3085">
        <v>1</v>
      </c>
      <c r="I3085">
        <v>1</v>
      </c>
      <c r="J3085">
        <v>0.80993750952598698</v>
      </c>
      <c r="K3085">
        <v>0.92449655785032003</v>
      </c>
      <c r="L3085">
        <v>0.86343373174551197</v>
      </c>
      <c r="M3085">
        <v>0.60842105263157897</v>
      </c>
      <c r="N3085">
        <v>0.995789473684211</v>
      </c>
      <c r="O3085">
        <v>0.71831578947368402</v>
      </c>
      <c r="P3085" t="s">
        <v>6973</v>
      </c>
      <c r="Q3085" t="s">
        <v>6974</v>
      </c>
      <c r="R3085" t="s">
        <v>371</v>
      </c>
      <c r="S3085" t="s">
        <v>372</v>
      </c>
      <c r="V3085" t="s">
        <v>6977</v>
      </c>
      <c r="W3085" t="s">
        <v>6978</v>
      </c>
      <c r="AF3085" t="s">
        <v>9119</v>
      </c>
    </row>
    <row r="3086" spans="1:32" hidden="1" x14ac:dyDescent="0.35">
      <c r="A3086">
        <v>10880</v>
      </c>
      <c r="B3086" t="s">
        <v>21878</v>
      </c>
      <c r="C3086" t="s">
        <v>33</v>
      </c>
      <c r="D3086" t="s">
        <v>58</v>
      </c>
      <c r="E3086">
        <v>1266</v>
      </c>
      <c r="F3086">
        <v>1</v>
      </c>
      <c r="G3086">
        <v>1</v>
      </c>
      <c r="H3086">
        <v>1</v>
      </c>
      <c r="I3086">
        <v>0</v>
      </c>
      <c r="J3086">
        <v>1</v>
      </c>
      <c r="K3086">
        <v>1</v>
      </c>
      <c r="L3086">
        <v>1</v>
      </c>
      <c r="M3086">
        <v>0</v>
      </c>
      <c r="N3086">
        <v>0</v>
      </c>
      <c r="O3086">
        <v>0</v>
      </c>
      <c r="P3086" t="s">
        <v>10272</v>
      </c>
      <c r="Q3086" t="s">
        <v>10273</v>
      </c>
      <c r="R3086" t="s">
        <v>75</v>
      </c>
      <c r="S3086" t="s">
        <v>76</v>
      </c>
      <c r="V3086" t="s">
        <v>12518</v>
      </c>
      <c r="W3086" t="s">
        <v>12519</v>
      </c>
      <c r="X3086" t="s">
        <v>12518</v>
      </c>
      <c r="Y3086" t="s">
        <v>2750</v>
      </c>
      <c r="AF3086" t="s">
        <v>21879</v>
      </c>
    </row>
    <row r="3087" spans="1:32" hidden="1" x14ac:dyDescent="0.35">
      <c r="A3087">
        <v>4440</v>
      </c>
      <c r="B3087" t="s">
        <v>9251</v>
      </c>
      <c r="C3087" t="s">
        <v>72</v>
      </c>
      <c r="D3087" t="s">
        <v>60</v>
      </c>
      <c r="E3087">
        <v>741</v>
      </c>
      <c r="F3087">
        <v>5</v>
      </c>
      <c r="G3087">
        <v>5</v>
      </c>
      <c r="H3087">
        <v>1</v>
      </c>
      <c r="I3087">
        <v>1</v>
      </c>
      <c r="J3087">
        <v>0.76704754883892401</v>
      </c>
      <c r="K3087">
        <v>0.95335310106251703</v>
      </c>
      <c r="L3087">
        <v>0.85011262857856196</v>
      </c>
      <c r="M3087">
        <v>0.56491228070175403</v>
      </c>
      <c r="N3087">
        <v>0.99649122807017498</v>
      </c>
      <c r="O3087">
        <v>0.67719298245614001</v>
      </c>
      <c r="P3087" t="s">
        <v>8397</v>
      </c>
      <c r="Q3087" t="s">
        <v>8398</v>
      </c>
      <c r="R3087" t="s">
        <v>371</v>
      </c>
      <c r="S3087" t="s">
        <v>372</v>
      </c>
      <c r="T3087" t="s">
        <v>8399</v>
      </c>
      <c r="U3087" t="s">
        <v>8400</v>
      </c>
      <c r="V3087" t="s">
        <v>8401</v>
      </c>
      <c r="W3087" t="s">
        <v>8402</v>
      </c>
      <c r="AD3087" t="s">
        <v>1437</v>
      </c>
      <c r="AE3087" t="s">
        <v>8403</v>
      </c>
      <c r="AF3087" t="e">
        <f>---MPEGDSVFQLASRMQFLVGREVLHTDLRVASVATTTFTGETVERIWPYGKHLFMQLGEQVLHTHLKMEGTWSFHLKGDRWKKPGYKARVVLAVDGTPHP----RPIEAVGFELGFVRVFSLRDYPDRIAHLGPDVLGENWNP---EEATKRILARTERPIGTALLDQRNLAGVGNEYRAEVCFIAGVHPATPVAH---TDVPKIVDIVRRVMWANRNSPIRVTTGVRRAGENGYVFGRNNRPCRRCGTLIVKGELGGVDKGGDEGELERIIWWCPACQPRVL</f>
        <v>#NAME?</v>
      </c>
    </row>
    <row r="3088" spans="1:32" hidden="1" x14ac:dyDescent="0.35">
      <c r="A3088">
        <v>4441</v>
      </c>
      <c r="B3088" t="s">
        <v>9251</v>
      </c>
      <c r="C3088" t="s">
        <v>72</v>
      </c>
      <c r="D3088" t="s">
        <v>62</v>
      </c>
      <c r="E3088">
        <v>773</v>
      </c>
      <c r="F3088">
        <v>5</v>
      </c>
      <c r="G3088">
        <v>5</v>
      </c>
      <c r="H3088">
        <v>1</v>
      </c>
      <c r="I3088">
        <v>1</v>
      </c>
      <c r="J3088">
        <v>0.76704754883892401</v>
      </c>
      <c r="K3088">
        <v>0.95335310106251703</v>
      </c>
      <c r="L3088">
        <v>0.85011262857856196</v>
      </c>
      <c r="M3088">
        <v>0.56491228070175403</v>
      </c>
      <c r="N3088">
        <v>0.99649122807017498</v>
      </c>
      <c r="O3088">
        <v>0.67719298245614001</v>
      </c>
      <c r="P3088" t="s">
        <v>8397</v>
      </c>
      <c r="Q3088" t="s">
        <v>8398</v>
      </c>
      <c r="R3088" t="s">
        <v>371</v>
      </c>
      <c r="S3088" t="s">
        <v>372</v>
      </c>
      <c r="T3088" t="s">
        <v>8399</v>
      </c>
      <c r="U3088" t="s">
        <v>8400</v>
      </c>
      <c r="V3088" t="s">
        <v>8401</v>
      </c>
      <c r="W3088" t="s">
        <v>8402</v>
      </c>
      <c r="AD3088" t="s">
        <v>1437</v>
      </c>
      <c r="AE3088" t="s">
        <v>8403</v>
      </c>
      <c r="AF3088" t="e">
        <f>---MPEGDSVFQLASRMQFLVGREVLHTDLRVASVATTTFTGETVERIWPYGKHLFMQLGEQVLHTHLKMEGTWSFHLKGDRWKKPGYKARVVLAVDGTPHP----RPIEAVGFELGFVRVFSLRDYPDRIAHLGPDVLGENWNP---EEATKRILARPERPIGTALLDQRNLAGVGNEYRAEVCFIAGVHPATPVAH---TDVPKIVDIVRRVMWANRNSPIRVTTGVRRAGENGYVFGRNNRPCRRCGTLIVKGELGGVDKGGDEGELERIIWWCPACQPRVL</f>
        <v>#NAME?</v>
      </c>
    </row>
    <row r="3089" spans="1:32" hidden="1" x14ac:dyDescent="0.35">
      <c r="A3089">
        <v>4442</v>
      </c>
      <c r="B3089" t="s">
        <v>9251</v>
      </c>
      <c r="C3089" t="s">
        <v>72</v>
      </c>
      <c r="D3089" t="s">
        <v>34</v>
      </c>
      <c r="E3089">
        <v>397</v>
      </c>
      <c r="F3089">
        <v>5</v>
      </c>
      <c r="G3089">
        <v>5</v>
      </c>
      <c r="H3089">
        <v>1</v>
      </c>
      <c r="I3089">
        <v>1</v>
      </c>
      <c r="J3089">
        <v>0.76704754883892401</v>
      </c>
      <c r="K3089">
        <v>0.95335310106251703</v>
      </c>
      <c r="L3089">
        <v>0.85011262857856196</v>
      </c>
      <c r="M3089">
        <v>0.56491228070175403</v>
      </c>
      <c r="N3089">
        <v>0.99649122807017498</v>
      </c>
      <c r="O3089">
        <v>0.67719298245614001</v>
      </c>
      <c r="P3089" t="s">
        <v>8397</v>
      </c>
      <c r="Q3089" t="s">
        <v>8398</v>
      </c>
      <c r="R3089" t="s">
        <v>371</v>
      </c>
      <c r="S3089" t="s">
        <v>372</v>
      </c>
      <c r="T3089" t="s">
        <v>8399</v>
      </c>
      <c r="U3089" t="s">
        <v>8400</v>
      </c>
      <c r="V3089" t="s">
        <v>8401</v>
      </c>
      <c r="W3089" t="s">
        <v>8402</v>
      </c>
      <c r="AD3089" t="s">
        <v>1437</v>
      </c>
      <c r="AE3089" t="s">
        <v>8403</v>
      </c>
      <c r="AF3089" t="e">
        <f>---MPEGDSIYQLSRRLQFLVGRTVLAADIRVPRHATVNLAGTTIRRVWPYGKHLFMQLDDTIIHTHLKMEGTWTIHRVGDRWRRPAHTARVILRVADPPH-----QPIELVGHSLGFVKIFSAKTYPKHIGHLGPDVLAPDWEHVGEPEAWRRIMLRPDRPVGTALLDQTNLAGIGNEYRAEICFIAGIHPQTPVKL---CDIHQVLAIARRLIWGNRLSPLRVTTGVRRVGESTYVFGRDGQPCRRCRTIIATGTLGG-AAGGDEGELERMIWWCPRCQPPVI</f>
        <v>#NAME?</v>
      </c>
    </row>
    <row r="3090" spans="1:32" hidden="1" x14ac:dyDescent="0.35">
      <c r="A3090">
        <v>4443</v>
      </c>
      <c r="B3090" t="s">
        <v>9251</v>
      </c>
      <c r="C3090" t="s">
        <v>72</v>
      </c>
      <c r="D3090" t="s">
        <v>45</v>
      </c>
      <c r="E3090">
        <v>1658</v>
      </c>
      <c r="F3090">
        <v>5</v>
      </c>
      <c r="G3090">
        <v>5</v>
      </c>
      <c r="H3090">
        <v>1</v>
      </c>
      <c r="I3090">
        <v>1</v>
      </c>
      <c r="J3090">
        <v>0.76704754883892401</v>
      </c>
      <c r="K3090">
        <v>0.95335310106251703</v>
      </c>
      <c r="L3090">
        <v>0.85011262857856196</v>
      </c>
      <c r="M3090">
        <v>0.56491228070175403</v>
      </c>
      <c r="N3090">
        <v>0.99649122807017498</v>
      </c>
      <c r="O3090">
        <v>0.67719298245614001</v>
      </c>
      <c r="P3090" t="s">
        <v>8397</v>
      </c>
      <c r="Q3090" t="s">
        <v>8398</v>
      </c>
      <c r="R3090" t="s">
        <v>371</v>
      </c>
      <c r="S3090" t="s">
        <v>372</v>
      </c>
      <c r="T3090" t="s">
        <v>8399</v>
      </c>
      <c r="U3090" t="s">
        <v>8400</v>
      </c>
      <c r="V3090" t="s">
        <v>8401</v>
      </c>
      <c r="W3090" t="s">
        <v>8402</v>
      </c>
      <c r="AD3090" t="s">
        <v>1437</v>
      </c>
      <c r="AE3090" t="s">
        <v>8403</v>
      </c>
      <c r="AF3090" t="e">
        <f>---MPEGDSIYQLSRRLQFLVGRTVLAADIRVPRHATVNLAGTTIRRVWPYGKHLFMQLDDAIIHTHLKMEGTWAIHRVGDRWRKPAHTARLILRVADPPH-----QPIELVGHSLGFVKIFSAKTYLEHVGHLGPDVLALDWEHMGEPEAWRRIMLRPDRPVGTALLDQTNLAGIGNEYRAEICFIAGIHPQTPVKL---CDMHQVLAIARRLIWGNRLSPLRVTTGVRRVGESTYVFGRDGQPCRRCGTVIATGTLGG-AAGGDEGELERMIWWCPRCQPPVI</f>
        <v>#NAME?</v>
      </c>
    </row>
    <row r="3091" spans="1:32" hidden="1" x14ac:dyDescent="0.35">
      <c r="A3091">
        <v>10992</v>
      </c>
      <c r="B3091" t="s">
        <v>22183</v>
      </c>
      <c r="C3091" t="s">
        <v>33</v>
      </c>
      <c r="D3091" t="s">
        <v>58</v>
      </c>
      <c r="E3091">
        <v>1626</v>
      </c>
      <c r="F3091">
        <v>1</v>
      </c>
      <c r="G3091">
        <v>1</v>
      </c>
      <c r="H3091">
        <v>1</v>
      </c>
      <c r="I3091">
        <v>0</v>
      </c>
      <c r="J3091">
        <v>1</v>
      </c>
      <c r="K3091">
        <v>1</v>
      </c>
      <c r="L3091">
        <v>1</v>
      </c>
      <c r="M3091">
        <v>0</v>
      </c>
      <c r="N3091">
        <v>0</v>
      </c>
      <c r="O3091">
        <v>0</v>
      </c>
      <c r="P3091" t="s">
        <v>10272</v>
      </c>
      <c r="Q3091" t="s">
        <v>10273</v>
      </c>
      <c r="R3091" t="s">
        <v>75</v>
      </c>
      <c r="S3091" t="s">
        <v>76</v>
      </c>
      <c r="T3091" t="s">
        <v>22184</v>
      </c>
      <c r="U3091" t="s">
        <v>22185</v>
      </c>
      <c r="V3091" t="s">
        <v>12518</v>
      </c>
      <c r="W3091" t="s">
        <v>12519</v>
      </c>
      <c r="X3091" t="s">
        <v>12518</v>
      </c>
      <c r="Y3091" t="s">
        <v>2750</v>
      </c>
      <c r="Z3091" t="s">
        <v>22186</v>
      </c>
      <c r="AA3091" t="s">
        <v>22187</v>
      </c>
      <c r="AB3091" t="s">
        <v>22186</v>
      </c>
      <c r="AC3091" t="s">
        <v>22188</v>
      </c>
      <c r="AD3091" t="s">
        <v>22189</v>
      </c>
      <c r="AE3091" t="s">
        <v>22190</v>
      </c>
      <c r="AF3091" t="s">
        <v>22191</v>
      </c>
    </row>
    <row r="3092" spans="1:32" hidden="1" x14ac:dyDescent="0.35">
      <c r="A3092">
        <v>4445</v>
      </c>
      <c r="B3092" t="s">
        <v>9253</v>
      </c>
      <c r="C3092" t="s">
        <v>72</v>
      </c>
      <c r="D3092" t="s">
        <v>60</v>
      </c>
      <c r="E3092">
        <v>2317</v>
      </c>
      <c r="F3092">
        <v>5</v>
      </c>
      <c r="G3092">
        <v>5</v>
      </c>
      <c r="H3092">
        <v>1</v>
      </c>
      <c r="I3092">
        <v>1</v>
      </c>
      <c r="J3092">
        <v>0.750970402717128</v>
      </c>
      <c r="K3092">
        <v>0.82950201602345996</v>
      </c>
      <c r="L3092">
        <v>0.78828514264639304</v>
      </c>
      <c r="M3092">
        <v>0.53097345132743401</v>
      </c>
      <c r="N3092">
        <v>0.98525073746312697</v>
      </c>
      <c r="O3092">
        <v>0.64218289085545699</v>
      </c>
      <c r="P3092" t="s">
        <v>4131</v>
      </c>
      <c r="Q3092" t="s">
        <v>4132</v>
      </c>
      <c r="R3092" t="s">
        <v>371</v>
      </c>
      <c r="S3092" t="s">
        <v>372</v>
      </c>
      <c r="T3092" t="s">
        <v>4133</v>
      </c>
      <c r="U3092" t="s">
        <v>4134</v>
      </c>
      <c r="V3092" t="s">
        <v>4135</v>
      </c>
      <c r="W3092" t="s">
        <v>4136</v>
      </c>
      <c r="AD3092" t="s">
        <v>1437</v>
      </c>
      <c r="AE3092" t="s">
        <v>4137</v>
      </c>
      <c r="AF3092" t="s">
        <v>9254</v>
      </c>
    </row>
    <row r="3093" spans="1:32" hidden="1" x14ac:dyDescent="0.35">
      <c r="A3093">
        <v>4446</v>
      </c>
      <c r="B3093" t="s">
        <v>9253</v>
      </c>
      <c r="C3093" t="s">
        <v>72</v>
      </c>
      <c r="D3093" t="s">
        <v>62</v>
      </c>
      <c r="E3093">
        <v>2345</v>
      </c>
      <c r="F3093">
        <v>5</v>
      </c>
      <c r="G3093">
        <v>5</v>
      </c>
      <c r="H3093">
        <v>1</v>
      </c>
      <c r="I3093">
        <v>1</v>
      </c>
      <c r="J3093">
        <v>0.750970402717128</v>
      </c>
      <c r="K3093">
        <v>0.82950201602345996</v>
      </c>
      <c r="L3093">
        <v>0.78828514264639304</v>
      </c>
      <c r="M3093">
        <v>0.53097345132743401</v>
      </c>
      <c r="N3093">
        <v>0.98525073746312697</v>
      </c>
      <c r="O3093">
        <v>0.64218289085545699</v>
      </c>
      <c r="P3093" t="s">
        <v>4131</v>
      </c>
      <c r="Q3093" t="s">
        <v>4132</v>
      </c>
      <c r="R3093" t="s">
        <v>371</v>
      </c>
      <c r="S3093" t="s">
        <v>372</v>
      </c>
      <c r="T3093" t="s">
        <v>4133</v>
      </c>
      <c r="U3093" t="s">
        <v>4134</v>
      </c>
      <c r="V3093" t="s">
        <v>4135</v>
      </c>
      <c r="W3093" t="s">
        <v>4136</v>
      </c>
      <c r="AD3093" t="s">
        <v>1437</v>
      </c>
      <c r="AE3093" t="s">
        <v>4137</v>
      </c>
      <c r="AF3093" t="s">
        <v>9255</v>
      </c>
    </row>
    <row r="3094" spans="1:32" hidden="1" x14ac:dyDescent="0.35">
      <c r="A3094">
        <v>4447</v>
      </c>
      <c r="B3094" t="s">
        <v>9253</v>
      </c>
      <c r="C3094" t="s">
        <v>72</v>
      </c>
      <c r="D3094" t="s">
        <v>34</v>
      </c>
      <c r="E3094">
        <v>1476</v>
      </c>
      <c r="F3094">
        <v>5</v>
      </c>
      <c r="G3094">
        <v>5</v>
      </c>
      <c r="H3094">
        <v>1</v>
      </c>
      <c r="I3094">
        <v>1</v>
      </c>
      <c r="J3094">
        <v>0.750970402717128</v>
      </c>
      <c r="K3094">
        <v>0.82950201602345996</v>
      </c>
      <c r="L3094">
        <v>0.78828514264639304</v>
      </c>
      <c r="M3094">
        <v>0.53097345132743401</v>
      </c>
      <c r="N3094">
        <v>0.98525073746312697</v>
      </c>
      <c r="O3094">
        <v>0.64218289085545699</v>
      </c>
      <c r="P3094" t="s">
        <v>4131</v>
      </c>
      <c r="Q3094" t="s">
        <v>4132</v>
      </c>
      <c r="R3094" t="s">
        <v>371</v>
      </c>
      <c r="S3094" t="s">
        <v>372</v>
      </c>
      <c r="T3094" t="s">
        <v>4133</v>
      </c>
      <c r="U3094" t="s">
        <v>4134</v>
      </c>
      <c r="V3094" t="s">
        <v>4135</v>
      </c>
      <c r="W3094" t="s">
        <v>4136</v>
      </c>
      <c r="AD3094" t="s">
        <v>1437</v>
      </c>
      <c r="AE3094" t="s">
        <v>4137</v>
      </c>
      <c r="AF3094" t="s">
        <v>9256</v>
      </c>
    </row>
    <row r="3095" spans="1:32" hidden="1" x14ac:dyDescent="0.35">
      <c r="A3095">
        <v>4448</v>
      </c>
      <c r="B3095" t="s">
        <v>9253</v>
      </c>
      <c r="C3095" t="s">
        <v>72</v>
      </c>
      <c r="D3095" t="s">
        <v>45</v>
      </c>
      <c r="E3095">
        <v>226</v>
      </c>
      <c r="F3095">
        <v>5</v>
      </c>
      <c r="G3095">
        <v>5</v>
      </c>
      <c r="H3095">
        <v>1</v>
      </c>
      <c r="I3095">
        <v>1</v>
      </c>
      <c r="J3095">
        <v>0.750970402717128</v>
      </c>
      <c r="K3095">
        <v>0.82950201602345996</v>
      </c>
      <c r="L3095">
        <v>0.78828514264639304</v>
      </c>
      <c r="M3095">
        <v>0.53097345132743401</v>
      </c>
      <c r="N3095">
        <v>0.98525073746312697</v>
      </c>
      <c r="O3095">
        <v>0.64218289085545699</v>
      </c>
      <c r="P3095" t="s">
        <v>4131</v>
      </c>
      <c r="Q3095" t="s">
        <v>4132</v>
      </c>
      <c r="R3095" t="s">
        <v>371</v>
      </c>
      <c r="S3095" t="s">
        <v>372</v>
      </c>
      <c r="T3095" t="s">
        <v>4133</v>
      </c>
      <c r="U3095" t="s">
        <v>4134</v>
      </c>
      <c r="V3095" t="s">
        <v>4135</v>
      </c>
      <c r="W3095" t="s">
        <v>4136</v>
      </c>
      <c r="AD3095" t="s">
        <v>1437</v>
      </c>
      <c r="AE3095" t="s">
        <v>4137</v>
      </c>
      <c r="AF3095" t="s">
        <v>9257</v>
      </c>
    </row>
    <row r="3096" spans="1:32" hidden="1" x14ac:dyDescent="0.35">
      <c r="A3096">
        <v>11400</v>
      </c>
      <c r="B3096" t="s">
        <v>23228</v>
      </c>
      <c r="C3096" t="s">
        <v>33</v>
      </c>
      <c r="D3096" t="s">
        <v>58</v>
      </c>
      <c r="E3096">
        <v>456</v>
      </c>
      <c r="F3096">
        <v>1</v>
      </c>
      <c r="G3096">
        <v>1</v>
      </c>
      <c r="H3096">
        <v>1</v>
      </c>
      <c r="I3096">
        <v>0</v>
      </c>
      <c r="J3096">
        <v>1</v>
      </c>
      <c r="K3096">
        <v>1</v>
      </c>
      <c r="L3096">
        <v>1</v>
      </c>
      <c r="M3096">
        <v>0</v>
      </c>
      <c r="N3096">
        <v>0</v>
      </c>
      <c r="O3096">
        <v>0</v>
      </c>
      <c r="P3096" t="s">
        <v>10272</v>
      </c>
      <c r="Q3096" t="s">
        <v>10273</v>
      </c>
      <c r="R3096" t="s">
        <v>75</v>
      </c>
      <c r="S3096" t="s">
        <v>76</v>
      </c>
      <c r="V3096" t="s">
        <v>12518</v>
      </c>
      <c r="W3096" t="s">
        <v>12519</v>
      </c>
      <c r="X3096" t="s">
        <v>12518</v>
      </c>
      <c r="Y3096" t="s">
        <v>2750</v>
      </c>
      <c r="AF3096" t="s">
        <v>23229</v>
      </c>
    </row>
    <row r="3097" spans="1:32" hidden="1" x14ac:dyDescent="0.35">
      <c r="A3097">
        <v>4505</v>
      </c>
      <c r="B3097" t="s">
        <v>9382</v>
      </c>
      <c r="C3097" t="s">
        <v>72</v>
      </c>
      <c r="D3097" t="s">
        <v>60</v>
      </c>
      <c r="E3097">
        <v>747</v>
      </c>
      <c r="F3097">
        <v>5</v>
      </c>
      <c r="G3097">
        <v>5</v>
      </c>
      <c r="H3097">
        <v>1</v>
      </c>
      <c r="I3097">
        <v>1</v>
      </c>
      <c r="J3097">
        <v>0.79737737990165203</v>
      </c>
      <c r="K3097">
        <v>0.86676719498163401</v>
      </c>
      <c r="L3097">
        <v>0.83062561432516502</v>
      </c>
      <c r="M3097">
        <v>0.54144241119483305</v>
      </c>
      <c r="N3097">
        <v>0.99677072120559695</v>
      </c>
      <c r="O3097">
        <v>0.68471474703982804</v>
      </c>
      <c r="P3097" t="s">
        <v>381</v>
      </c>
      <c r="Q3097" t="s">
        <v>382</v>
      </c>
      <c r="R3097" t="s">
        <v>371</v>
      </c>
      <c r="S3097" t="s">
        <v>372</v>
      </c>
      <c r="T3097" t="s">
        <v>4100</v>
      </c>
      <c r="U3097" t="s">
        <v>4101</v>
      </c>
      <c r="V3097" t="s">
        <v>4106</v>
      </c>
      <c r="W3097" t="s">
        <v>4107</v>
      </c>
      <c r="AD3097" t="s">
        <v>3017</v>
      </c>
      <c r="AE3097" t="s">
        <v>4104</v>
      </c>
      <c r="AF3097" t="s">
        <v>9384</v>
      </c>
    </row>
    <row r="3098" spans="1:32" hidden="1" x14ac:dyDescent="0.35">
      <c r="A3098">
        <v>4506</v>
      </c>
      <c r="B3098" t="s">
        <v>9382</v>
      </c>
      <c r="C3098" t="s">
        <v>72</v>
      </c>
      <c r="D3098" t="s">
        <v>62</v>
      </c>
      <c r="E3098">
        <v>779</v>
      </c>
      <c r="F3098">
        <v>5</v>
      </c>
      <c r="G3098">
        <v>5</v>
      </c>
      <c r="H3098">
        <v>1</v>
      </c>
      <c r="I3098">
        <v>1</v>
      </c>
      <c r="J3098">
        <v>0.79737737990165203</v>
      </c>
      <c r="K3098">
        <v>0.86676719498163401</v>
      </c>
      <c r="L3098">
        <v>0.83062561432516502</v>
      </c>
      <c r="M3098">
        <v>0.54144241119483305</v>
      </c>
      <c r="N3098">
        <v>0.99677072120559695</v>
      </c>
      <c r="O3098">
        <v>0.68471474703982804</v>
      </c>
      <c r="P3098" t="s">
        <v>381</v>
      </c>
      <c r="Q3098" t="s">
        <v>382</v>
      </c>
      <c r="R3098" t="s">
        <v>371</v>
      </c>
      <c r="S3098" t="s">
        <v>372</v>
      </c>
      <c r="T3098" t="s">
        <v>4100</v>
      </c>
      <c r="U3098" t="s">
        <v>4101</v>
      </c>
      <c r="V3098" t="s">
        <v>4106</v>
      </c>
      <c r="W3098" t="s">
        <v>4107</v>
      </c>
      <c r="AD3098" t="s">
        <v>3017</v>
      </c>
      <c r="AE3098" t="s">
        <v>4104</v>
      </c>
      <c r="AF3098" t="s">
        <v>9385</v>
      </c>
    </row>
    <row r="3099" spans="1:32" hidden="1" x14ac:dyDescent="0.35">
      <c r="A3099">
        <v>4507</v>
      </c>
      <c r="B3099" t="s">
        <v>9382</v>
      </c>
      <c r="C3099" t="s">
        <v>72</v>
      </c>
      <c r="D3099" t="s">
        <v>34</v>
      </c>
      <c r="E3099">
        <v>386</v>
      </c>
      <c r="F3099">
        <v>5</v>
      </c>
      <c r="G3099">
        <v>5</v>
      </c>
      <c r="H3099">
        <v>1</v>
      </c>
      <c r="I3099">
        <v>1</v>
      </c>
      <c r="J3099">
        <v>0.79737737990165203</v>
      </c>
      <c r="K3099">
        <v>0.86676719498163401</v>
      </c>
      <c r="L3099">
        <v>0.83062561432516502</v>
      </c>
      <c r="M3099">
        <v>0.54144241119483305</v>
      </c>
      <c r="N3099">
        <v>0.99677072120559695</v>
      </c>
      <c r="O3099">
        <v>0.68471474703982804</v>
      </c>
      <c r="P3099" t="s">
        <v>381</v>
      </c>
      <c r="Q3099" t="s">
        <v>382</v>
      </c>
      <c r="R3099" t="s">
        <v>371</v>
      </c>
      <c r="S3099" t="s">
        <v>372</v>
      </c>
      <c r="T3099" t="s">
        <v>4100</v>
      </c>
      <c r="U3099" t="s">
        <v>4101</v>
      </c>
      <c r="V3099" t="s">
        <v>4106</v>
      </c>
      <c r="W3099" t="s">
        <v>4107</v>
      </c>
      <c r="AD3099" t="s">
        <v>3017</v>
      </c>
      <c r="AE3099" t="s">
        <v>4104</v>
      </c>
      <c r="AF3099" t="s">
        <v>9386</v>
      </c>
    </row>
    <row r="3100" spans="1:32" hidden="1" x14ac:dyDescent="0.35">
      <c r="A3100">
        <v>4508</v>
      </c>
      <c r="B3100" t="s">
        <v>9382</v>
      </c>
      <c r="C3100" t="s">
        <v>72</v>
      </c>
      <c r="D3100" t="s">
        <v>45</v>
      </c>
      <c r="E3100">
        <v>1647</v>
      </c>
      <c r="F3100">
        <v>5</v>
      </c>
      <c r="G3100">
        <v>5</v>
      </c>
      <c r="H3100">
        <v>1</v>
      </c>
      <c r="I3100">
        <v>1</v>
      </c>
      <c r="J3100">
        <v>0.79737737990165203</v>
      </c>
      <c r="K3100">
        <v>0.86676719498163401</v>
      </c>
      <c r="L3100">
        <v>0.83062561432516502</v>
      </c>
      <c r="M3100">
        <v>0.54144241119483305</v>
      </c>
      <c r="N3100">
        <v>0.99677072120559695</v>
      </c>
      <c r="O3100">
        <v>0.68471474703982804</v>
      </c>
      <c r="P3100" t="s">
        <v>381</v>
      </c>
      <c r="Q3100" t="s">
        <v>382</v>
      </c>
      <c r="R3100" t="s">
        <v>371</v>
      </c>
      <c r="S3100" t="s">
        <v>372</v>
      </c>
      <c r="T3100" t="s">
        <v>4100</v>
      </c>
      <c r="U3100" t="s">
        <v>4101</v>
      </c>
      <c r="V3100" t="s">
        <v>4106</v>
      </c>
      <c r="W3100" t="s">
        <v>4107</v>
      </c>
      <c r="AD3100" t="s">
        <v>3017</v>
      </c>
      <c r="AE3100" t="s">
        <v>4104</v>
      </c>
      <c r="AF3100" t="s">
        <v>9387</v>
      </c>
    </row>
    <row r="3101" spans="1:32" hidden="1" x14ac:dyDescent="0.35">
      <c r="A3101">
        <v>11250</v>
      </c>
      <c r="B3101" t="s">
        <v>22863</v>
      </c>
      <c r="C3101" t="s">
        <v>33</v>
      </c>
      <c r="D3101" t="s">
        <v>58</v>
      </c>
      <c r="E3101">
        <v>931</v>
      </c>
      <c r="F3101">
        <v>1</v>
      </c>
      <c r="G3101">
        <v>1</v>
      </c>
      <c r="H3101">
        <v>1</v>
      </c>
      <c r="I3101">
        <v>0</v>
      </c>
      <c r="J3101">
        <v>1</v>
      </c>
      <c r="K3101">
        <v>1</v>
      </c>
      <c r="L3101">
        <v>1</v>
      </c>
      <c r="M3101">
        <v>0</v>
      </c>
      <c r="N3101">
        <v>0</v>
      </c>
      <c r="O3101">
        <v>0</v>
      </c>
      <c r="P3101" t="s">
        <v>19396</v>
      </c>
      <c r="Q3101" t="s">
        <v>19397</v>
      </c>
      <c r="R3101" t="s">
        <v>342</v>
      </c>
      <c r="S3101" t="s">
        <v>343</v>
      </c>
      <c r="V3101" t="s">
        <v>16338</v>
      </c>
      <c r="W3101" t="s">
        <v>16339</v>
      </c>
      <c r="AF3101" t="s">
        <v>22864</v>
      </c>
    </row>
    <row r="3102" spans="1:32" hidden="1" x14ac:dyDescent="0.35">
      <c r="A3102">
        <v>4530</v>
      </c>
      <c r="B3102" t="s">
        <v>9449</v>
      </c>
      <c r="C3102" t="s">
        <v>72</v>
      </c>
      <c r="D3102" t="s">
        <v>60</v>
      </c>
      <c r="E3102">
        <v>1728</v>
      </c>
      <c r="F3102">
        <v>5</v>
      </c>
      <c r="G3102">
        <v>5</v>
      </c>
      <c r="H3102">
        <v>1</v>
      </c>
      <c r="I3102">
        <v>1</v>
      </c>
      <c r="J3102">
        <v>0.75200759234924797</v>
      </c>
      <c r="K3102">
        <v>0.98420998733894605</v>
      </c>
      <c r="L3102">
        <v>0.85258137183216898</v>
      </c>
      <c r="M3102">
        <v>0.59267241379310298</v>
      </c>
      <c r="N3102">
        <v>0.98922413793103403</v>
      </c>
      <c r="O3102">
        <v>0.68125000000000002</v>
      </c>
      <c r="P3102" t="s">
        <v>9450</v>
      </c>
      <c r="Q3102" t="s">
        <v>9451</v>
      </c>
      <c r="R3102" t="s">
        <v>371</v>
      </c>
      <c r="S3102" t="s">
        <v>372</v>
      </c>
      <c r="T3102" t="s">
        <v>9452</v>
      </c>
      <c r="U3102" t="s">
        <v>9453</v>
      </c>
      <c r="V3102" t="s">
        <v>9454</v>
      </c>
      <c r="W3102" t="s">
        <v>9455</v>
      </c>
      <c r="AD3102" t="s">
        <v>8300</v>
      </c>
      <c r="AE3102" t="s">
        <v>9456</v>
      </c>
      <c r="AF3102" t="s">
        <v>9458</v>
      </c>
    </row>
    <row r="3103" spans="1:32" hidden="1" x14ac:dyDescent="0.35">
      <c r="A3103">
        <v>4531</v>
      </c>
      <c r="B3103" t="s">
        <v>9449</v>
      </c>
      <c r="C3103" t="s">
        <v>72</v>
      </c>
      <c r="D3103" t="s">
        <v>62</v>
      </c>
      <c r="E3103">
        <v>1765</v>
      </c>
      <c r="F3103">
        <v>5</v>
      </c>
      <c r="G3103">
        <v>5</v>
      </c>
      <c r="H3103">
        <v>1</v>
      </c>
      <c r="I3103">
        <v>1</v>
      </c>
      <c r="J3103">
        <v>0.75200759234924797</v>
      </c>
      <c r="K3103">
        <v>0.98420998733894605</v>
      </c>
      <c r="L3103">
        <v>0.85258137183216898</v>
      </c>
      <c r="M3103">
        <v>0.59267241379310298</v>
      </c>
      <c r="N3103">
        <v>0.98922413793103403</v>
      </c>
      <c r="O3103">
        <v>0.68125000000000002</v>
      </c>
      <c r="P3103" t="s">
        <v>9450</v>
      </c>
      <c r="Q3103" t="s">
        <v>9451</v>
      </c>
      <c r="R3103" t="s">
        <v>371</v>
      </c>
      <c r="S3103" t="s">
        <v>372</v>
      </c>
      <c r="T3103" t="s">
        <v>9452</v>
      </c>
      <c r="U3103" t="s">
        <v>9453</v>
      </c>
      <c r="V3103" t="s">
        <v>9454</v>
      </c>
      <c r="W3103" t="s">
        <v>9455</v>
      </c>
      <c r="AD3103" t="s">
        <v>8300</v>
      </c>
      <c r="AE3103" t="s">
        <v>9456</v>
      </c>
      <c r="AF3103" t="s">
        <v>9459</v>
      </c>
    </row>
    <row r="3104" spans="1:32" hidden="1" x14ac:dyDescent="0.35">
      <c r="A3104">
        <v>4532</v>
      </c>
      <c r="B3104" t="s">
        <v>9449</v>
      </c>
      <c r="C3104" t="s">
        <v>72</v>
      </c>
      <c r="D3104" t="s">
        <v>34</v>
      </c>
      <c r="E3104">
        <v>2105</v>
      </c>
      <c r="F3104">
        <v>5</v>
      </c>
      <c r="G3104">
        <v>5</v>
      </c>
      <c r="H3104">
        <v>1</v>
      </c>
      <c r="I3104">
        <v>1</v>
      </c>
      <c r="J3104">
        <v>0.75200759234924797</v>
      </c>
      <c r="K3104">
        <v>0.98420998733894605</v>
      </c>
      <c r="L3104">
        <v>0.85258137183216898</v>
      </c>
      <c r="M3104">
        <v>0.59267241379310298</v>
      </c>
      <c r="N3104">
        <v>0.98922413793103403</v>
      </c>
      <c r="O3104">
        <v>0.68125000000000002</v>
      </c>
      <c r="P3104" t="s">
        <v>9450</v>
      </c>
      <c r="Q3104" t="s">
        <v>9451</v>
      </c>
      <c r="R3104" t="s">
        <v>371</v>
      </c>
      <c r="S3104" t="s">
        <v>372</v>
      </c>
      <c r="T3104" t="s">
        <v>9452</v>
      </c>
      <c r="U3104" t="s">
        <v>9453</v>
      </c>
      <c r="V3104" t="s">
        <v>9454</v>
      </c>
      <c r="W3104" t="s">
        <v>9455</v>
      </c>
      <c r="AD3104" t="s">
        <v>8300</v>
      </c>
      <c r="AE3104" t="s">
        <v>9456</v>
      </c>
      <c r="AF3104" t="s">
        <v>9460</v>
      </c>
    </row>
    <row r="3105" spans="1:32" hidden="1" x14ac:dyDescent="0.35">
      <c r="A3105">
        <v>4533</v>
      </c>
      <c r="B3105" t="s">
        <v>9449</v>
      </c>
      <c r="C3105" t="s">
        <v>72</v>
      </c>
      <c r="D3105" t="s">
        <v>45</v>
      </c>
      <c r="E3105">
        <v>767</v>
      </c>
      <c r="F3105">
        <v>5</v>
      </c>
      <c r="G3105">
        <v>5</v>
      </c>
      <c r="H3105">
        <v>1</v>
      </c>
      <c r="I3105">
        <v>1</v>
      </c>
      <c r="J3105">
        <v>0.75200759234924797</v>
      </c>
      <c r="K3105">
        <v>0.98420998733894605</v>
      </c>
      <c r="L3105">
        <v>0.85258137183216898</v>
      </c>
      <c r="M3105">
        <v>0.59267241379310298</v>
      </c>
      <c r="N3105">
        <v>0.98922413793103403</v>
      </c>
      <c r="O3105">
        <v>0.68125000000000002</v>
      </c>
      <c r="P3105" t="s">
        <v>9450</v>
      </c>
      <c r="Q3105" t="s">
        <v>9451</v>
      </c>
      <c r="R3105" t="s">
        <v>371</v>
      </c>
      <c r="S3105" t="s">
        <v>372</v>
      </c>
      <c r="T3105" t="s">
        <v>9452</v>
      </c>
      <c r="U3105" t="s">
        <v>9453</v>
      </c>
      <c r="V3105" t="s">
        <v>9454</v>
      </c>
      <c r="W3105" t="s">
        <v>9455</v>
      </c>
      <c r="AD3105" t="s">
        <v>8300</v>
      </c>
      <c r="AE3105" t="s">
        <v>9456</v>
      </c>
      <c r="AF3105" t="s">
        <v>9461</v>
      </c>
    </row>
    <row r="3106" spans="1:32" hidden="1" x14ac:dyDescent="0.35">
      <c r="A3106">
        <v>11506</v>
      </c>
      <c r="B3106" t="s">
        <v>23494</v>
      </c>
      <c r="C3106" t="s">
        <v>33</v>
      </c>
      <c r="D3106" t="s">
        <v>58</v>
      </c>
      <c r="E3106">
        <v>1657</v>
      </c>
      <c r="F3106">
        <v>1</v>
      </c>
      <c r="G3106">
        <v>1</v>
      </c>
      <c r="H3106">
        <v>1</v>
      </c>
      <c r="I3106">
        <v>0</v>
      </c>
      <c r="J3106">
        <v>1</v>
      </c>
      <c r="K3106">
        <v>1</v>
      </c>
      <c r="L3106">
        <v>1</v>
      </c>
      <c r="M3106">
        <v>0</v>
      </c>
      <c r="N3106">
        <v>0</v>
      </c>
      <c r="O3106">
        <v>0</v>
      </c>
      <c r="P3106" t="s">
        <v>4551</v>
      </c>
      <c r="Q3106" t="s">
        <v>4552</v>
      </c>
      <c r="R3106" t="s">
        <v>516</v>
      </c>
      <c r="S3106" t="s">
        <v>517</v>
      </c>
      <c r="V3106" t="s">
        <v>20989</v>
      </c>
      <c r="W3106" t="s">
        <v>20990</v>
      </c>
      <c r="AF3106" t="s">
        <v>23495</v>
      </c>
    </row>
    <row r="3107" spans="1:32" hidden="1" x14ac:dyDescent="0.35">
      <c r="A3107">
        <v>4545</v>
      </c>
      <c r="B3107" t="s">
        <v>9489</v>
      </c>
      <c r="C3107" t="s">
        <v>72</v>
      </c>
      <c r="D3107" t="s">
        <v>60</v>
      </c>
      <c r="E3107">
        <v>1875</v>
      </c>
      <c r="F3107">
        <v>5</v>
      </c>
      <c r="G3107">
        <v>5</v>
      </c>
      <c r="H3107">
        <v>1</v>
      </c>
      <c r="I3107">
        <v>1</v>
      </c>
      <c r="J3107">
        <v>0.81519615608004603</v>
      </c>
      <c r="K3107">
        <v>0.97024742998936397</v>
      </c>
      <c r="L3107">
        <v>0.88598932113571105</v>
      </c>
      <c r="M3107">
        <v>0.65591397849462396</v>
      </c>
      <c r="N3107">
        <v>0.998463901689708</v>
      </c>
      <c r="O3107">
        <v>0.74777265745007704</v>
      </c>
      <c r="P3107" t="s">
        <v>9490</v>
      </c>
      <c r="Q3107" t="s">
        <v>9491</v>
      </c>
      <c r="R3107" t="s">
        <v>371</v>
      </c>
      <c r="S3107" t="s">
        <v>372</v>
      </c>
      <c r="T3107" t="s">
        <v>9492</v>
      </c>
      <c r="U3107" t="s">
        <v>9493</v>
      </c>
      <c r="V3107" t="s">
        <v>9494</v>
      </c>
      <c r="W3107" t="s">
        <v>9495</v>
      </c>
      <c r="AD3107" t="s">
        <v>9496</v>
      </c>
      <c r="AE3107" t="s">
        <v>9497</v>
      </c>
      <c r="AF3107" t="s">
        <v>9499</v>
      </c>
    </row>
    <row r="3108" spans="1:32" hidden="1" x14ac:dyDescent="0.35">
      <c r="A3108">
        <v>4546</v>
      </c>
      <c r="B3108" t="s">
        <v>9489</v>
      </c>
      <c r="C3108" t="s">
        <v>72</v>
      </c>
      <c r="D3108" t="s">
        <v>62</v>
      </c>
      <c r="E3108">
        <v>1914</v>
      </c>
      <c r="F3108">
        <v>5</v>
      </c>
      <c r="G3108">
        <v>5</v>
      </c>
      <c r="H3108">
        <v>1</v>
      </c>
      <c r="I3108">
        <v>1</v>
      </c>
      <c r="J3108">
        <v>0.81519615608004603</v>
      </c>
      <c r="K3108">
        <v>0.97024742998936397</v>
      </c>
      <c r="L3108">
        <v>0.88598932113571105</v>
      </c>
      <c r="M3108">
        <v>0.65591397849462396</v>
      </c>
      <c r="N3108">
        <v>0.998463901689708</v>
      </c>
      <c r="O3108">
        <v>0.74777265745007704</v>
      </c>
      <c r="P3108" t="s">
        <v>9490</v>
      </c>
      <c r="Q3108" t="s">
        <v>9491</v>
      </c>
      <c r="R3108" t="s">
        <v>371</v>
      </c>
      <c r="S3108" t="s">
        <v>372</v>
      </c>
      <c r="T3108" t="s">
        <v>9492</v>
      </c>
      <c r="U3108" t="s">
        <v>9493</v>
      </c>
      <c r="V3108" t="s">
        <v>9494</v>
      </c>
      <c r="W3108" t="s">
        <v>9495</v>
      </c>
      <c r="AD3108" t="s">
        <v>9496</v>
      </c>
      <c r="AE3108" t="s">
        <v>9497</v>
      </c>
      <c r="AF3108" t="s">
        <v>9500</v>
      </c>
    </row>
    <row r="3109" spans="1:32" hidden="1" x14ac:dyDescent="0.35">
      <c r="A3109">
        <v>4547</v>
      </c>
      <c r="B3109" t="s">
        <v>9489</v>
      </c>
      <c r="C3109" t="s">
        <v>72</v>
      </c>
      <c r="D3109" t="s">
        <v>34</v>
      </c>
      <c r="E3109">
        <v>2224</v>
      </c>
      <c r="F3109">
        <v>5</v>
      </c>
      <c r="G3109">
        <v>5</v>
      </c>
      <c r="H3109">
        <v>1</v>
      </c>
      <c r="I3109">
        <v>1</v>
      </c>
      <c r="J3109">
        <v>0.81519615608004603</v>
      </c>
      <c r="K3109">
        <v>0.97024742998936397</v>
      </c>
      <c r="L3109">
        <v>0.88598932113571105</v>
      </c>
      <c r="M3109">
        <v>0.65591397849462396</v>
      </c>
      <c r="N3109">
        <v>0.998463901689708</v>
      </c>
      <c r="O3109">
        <v>0.74777265745007704</v>
      </c>
      <c r="P3109" t="s">
        <v>9490</v>
      </c>
      <c r="Q3109" t="s">
        <v>9491</v>
      </c>
      <c r="R3109" t="s">
        <v>371</v>
      </c>
      <c r="S3109" t="s">
        <v>372</v>
      </c>
      <c r="T3109" t="s">
        <v>9492</v>
      </c>
      <c r="U3109" t="s">
        <v>9493</v>
      </c>
      <c r="V3109" t="s">
        <v>9494</v>
      </c>
      <c r="W3109" t="s">
        <v>9495</v>
      </c>
      <c r="AD3109" t="s">
        <v>9496</v>
      </c>
      <c r="AE3109" t="s">
        <v>9497</v>
      </c>
      <c r="AF3109" t="s">
        <v>9501</v>
      </c>
    </row>
    <row r="3110" spans="1:32" hidden="1" x14ac:dyDescent="0.35">
      <c r="A3110">
        <v>4548</v>
      </c>
      <c r="B3110" t="s">
        <v>9489</v>
      </c>
      <c r="C3110" t="s">
        <v>72</v>
      </c>
      <c r="D3110" t="s">
        <v>45</v>
      </c>
      <c r="E3110">
        <v>652</v>
      </c>
      <c r="F3110">
        <v>5</v>
      </c>
      <c r="G3110">
        <v>5</v>
      </c>
      <c r="H3110">
        <v>1</v>
      </c>
      <c r="I3110">
        <v>1</v>
      </c>
      <c r="J3110">
        <v>0.81519615608004603</v>
      </c>
      <c r="K3110">
        <v>0.97024742998936397</v>
      </c>
      <c r="L3110">
        <v>0.88598932113571105</v>
      </c>
      <c r="M3110">
        <v>0.65591397849462396</v>
      </c>
      <c r="N3110">
        <v>0.998463901689708</v>
      </c>
      <c r="O3110">
        <v>0.74777265745007704</v>
      </c>
      <c r="P3110" t="s">
        <v>9490</v>
      </c>
      <c r="Q3110" t="s">
        <v>9491</v>
      </c>
      <c r="R3110" t="s">
        <v>371</v>
      </c>
      <c r="S3110" t="s">
        <v>372</v>
      </c>
      <c r="T3110" t="s">
        <v>9492</v>
      </c>
      <c r="U3110" t="s">
        <v>9493</v>
      </c>
      <c r="V3110" t="s">
        <v>9494</v>
      </c>
      <c r="W3110" t="s">
        <v>9495</v>
      </c>
      <c r="AD3110" t="s">
        <v>9496</v>
      </c>
      <c r="AE3110" t="s">
        <v>9497</v>
      </c>
      <c r="AF3110" t="s">
        <v>9502</v>
      </c>
    </row>
    <row r="3111" spans="1:32" hidden="1" x14ac:dyDescent="0.35">
      <c r="A3111">
        <v>4134</v>
      </c>
      <c r="B3111" t="s">
        <v>8547</v>
      </c>
      <c r="C3111" t="s">
        <v>72</v>
      </c>
      <c r="D3111" t="s">
        <v>58</v>
      </c>
      <c r="E3111">
        <v>831</v>
      </c>
      <c r="F3111">
        <v>5</v>
      </c>
      <c r="G3111">
        <v>5</v>
      </c>
      <c r="H3111">
        <v>1</v>
      </c>
      <c r="I3111">
        <v>1</v>
      </c>
      <c r="J3111">
        <v>0.88576641055327499</v>
      </c>
      <c r="K3111">
        <v>0.99905362776024897</v>
      </c>
      <c r="L3111">
        <v>0.93900545179181005</v>
      </c>
      <c r="M3111">
        <v>0.79390115667718197</v>
      </c>
      <c r="N3111">
        <v>0.99684542586750802</v>
      </c>
      <c r="O3111">
        <v>0.84521556256571995</v>
      </c>
      <c r="P3111" t="s">
        <v>8548</v>
      </c>
      <c r="Q3111" t="s">
        <v>8549</v>
      </c>
      <c r="R3111" t="s">
        <v>371</v>
      </c>
      <c r="S3111" t="s">
        <v>372</v>
      </c>
      <c r="T3111" t="s">
        <v>8550</v>
      </c>
      <c r="U3111" t="s">
        <v>8551</v>
      </c>
      <c r="V3111" t="s">
        <v>8552</v>
      </c>
      <c r="W3111" t="s">
        <v>8553</v>
      </c>
      <c r="AD3111" t="s">
        <v>3095</v>
      </c>
      <c r="AE3111" t="s">
        <v>8326</v>
      </c>
      <c r="AF3111" t="s">
        <v>8554</v>
      </c>
    </row>
    <row r="3112" spans="1:32" hidden="1" x14ac:dyDescent="0.35">
      <c r="A3112">
        <v>11925</v>
      </c>
      <c r="B3112" t="s">
        <v>24591</v>
      </c>
      <c r="C3112" t="s">
        <v>10130</v>
      </c>
      <c r="D3112" t="s">
        <v>60</v>
      </c>
      <c r="E3112">
        <v>640</v>
      </c>
      <c r="F3112">
        <v>1</v>
      </c>
      <c r="G3112">
        <v>1</v>
      </c>
      <c r="H3112">
        <v>1</v>
      </c>
      <c r="I3112">
        <v>0</v>
      </c>
      <c r="J3112">
        <v>1</v>
      </c>
      <c r="K3112">
        <v>1</v>
      </c>
      <c r="L3112">
        <v>1</v>
      </c>
      <c r="M3112">
        <v>0</v>
      </c>
      <c r="N3112">
        <v>0</v>
      </c>
      <c r="O3112">
        <v>0</v>
      </c>
      <c r="P3112" t="s">
        <v>9003</v>
      </c>
      <c r="Q3112" t="s">
        <v>9004</v>
      </c>
      <c r="R3112" t="s">
        <v>371</v>
      </c>
      <c r="S3112" t="s">
        <v>372</v>
      </c>
      <c r="T3112" t="s">
        <v>16650</v>
      </c>
      <c r="U3112" t="s">
        <v>16651</v>
      </c>
      <c r="V3112" t="s">
        <v>9007</v>
      </c>
      <c r="W3112" t="s">
        <v>9008</v>
      </c>
      <c r="AD3112" t="s">
        <v>410</v>
      </c>
      <c r="AE3112" t="s">
        <v>1217</v>
      </c>
      <c r="AF3112" t="s">
        <v>24592</v>
      </c>
    </row>
    <row r="3113" spans="1:32" hidden="1" x14ac:dyDescent="0.35">
      <c r="A3113">
        <v>1969</v>
      </c>
      <c r="B3113" t="s">
        <v>4084</v>
      </c>
      <c r="C3113" t="s">
        <v>72</v>
      </c>
      <c r="D3113" t="s">
        <v>58</v>
      </c>
      <c r="E3113">
        <v>1357</v>
      </c>
      <c r="F3113">
        <v>5</v>
      </c>
      <c r="G3113">
        <v>5</v>
      </c>
      <c r="H3113">
        <v>1</v>
      </c>
      <c r="I3113">
        <v>1</v>
      </c>
      <c r="J3113">
        <v>0.74914737031053702</v>
      </c>
      <c r="K3113">
        <v>0.92102187996577201</v>
      </c>
      <c r="L3113">
        <v>0.82624095643082396</v>
      </c>
      <c r="M3113">
        <v>0.48641975308641999</v>
      </c>
      <c r="N3113">
        <v>1</v>
      </c>
      <c r="O3113">
        <v>0.64271604938271598</v>
      </c>
      <c r="P3113" t="s">
        <v>1444</v>
      </c>
      <c r="Q3113" t="s">
        <v>1445</v>
      </c>
      <c r="R3113" t="s">
        <v>4085</v>
      </c>
      <c r="S3113" t="s">
        <v>4086</v>
      </c>
      <c r="T3113" t="s">
        <v>4087</v>
      </c>
      <c r="U3113" t="s">
        <v>4088</v>
      </c>
      <c r="V3113" t="s">
        <v>4089</v>
      </c>
      <c r="W3113" t="s">
        <v>4090</v>
      </c>
      <c r="Z3113" t="s">
        <v>1092</v>
      </c>
      <c r="AA3113" t="s">
        <v>1093</v>
      </c>
      <c r="AB3113" t="s">
        <v>1092</v>
      </c>
      <c r="AC3113" t="s">
        <v>1094</v>
      </c>
      <c r="AD3113" t="s">
        <v>4091</v>
      </c>
      <c r="AE3113" t="s">
        <v>4092</v>
      </c>
      <c r="AF3113" t="s">
        <v>4093</v>
      </c>
    </row>
    <row r="3114" spans="1:32" hidden="1" x14ac:dyDescent="0.35">
      <c r="A3114">
        <v>1970</v>
      </c>
      <c r="B3114" t="s">
        <v>4084</v>
      </c>
      <c r="C3114" t="s">
        <v>72</v>
      </c>
      <c r="D3114" t="s">
        <v>60</v>
      </c>
      <c r="E3114">
        <v>1841</v>
      </c>
      <c r="F3114">
        <v>5</v>
      </c>
      <c r="G3114">
        <v>5</v>
      </c>
      <c r="H3114">
        <v>1</v>
      </c>
      <c r="I3114">
        <v>1</v>
      </c>
      <c r="J3114">
        <v>0.74914737031053702</v>
      </c>
      <c r="K3114">
        <v>0.92102187996577201</v>
      </c>
      <c r="L3114">
        <v>0.82624095643082396</v>
      </c>
      <c r="M3114">
        <v>0.48641975308641999</v>
      </c>
      <c r="N3114">
        <v>1</v>
      </c>
      <c r="O3114">
        <v>0.64271604938271598</v>
      </c>
      <c r="P3114" t="s">
        <v>1444</v>
      </c>
      <c r="Q3114" t="s">
        <v>1445</v>
      </c>
      <c r="R3114" t="s">
        <v>4085</v>
      </c>
      <c r="S3114" t="s">
        <v>4086</v>
      </c>
      <c r="T3114" t="s">
        <v>4087</v>
      </c>
      <c r="U3114" t="s">
        <v>4088</v>
      </c>
      <c r="V3114" t="s">
        <v>4089</v>
      </c>
      <c r="W3114" t="s">
        <v>4090</v>
      </c>
      <c r="Z3114" t="s">
        <v>1092</v>
      </c>
      <c r="AA3114" t="s">
        <v>1093</v>
      </c>
      <c r="AB3114" t="s">
        <v>1092</v>
      </c>
      <c r="AC3114" t="s">
        <v>1094</v>
      </c>
      <c r="AD3114" t="s">
        <v>4091</v>
      </c>
      <c r="AE3114" t="s">
        <v>4092</v>
      </c>
      <c r="AF3114" t="s">
        <v>4094</v>
      </c>
    </row>
    <row r="3115" spans="1:32" hidden="1" x14ac:dyDescent="0.35">
      <c r="A3115">
        <v>1971</v>
      </c>
      <c r="B3115" t="s">
        <v>4084</v>
      </c>
      <c r="C3115" t="s">
        <v>72</v>
      </c>
      <c r="D3115" t="s">
        <v>62</v>
      </c>
      <c r="E3115">
        <v>1879</v>
      </c>
      <c r="F3115">
        <v>5</v>
      </c>
      <c r="G3115">
        <v>5</v>
      </c>
      <c r="H3115">
        <v>1</v>
      </c>
      <c r="I3115">
        <v>1</v>
      </c>
      <c r="J3115">
        <v>0.74914737031053702</v>
      </c>
      <c r="K3115">
        <v>0.92102187996577201</v>
      </c>
      <c r="L3115">
        <v>0.82624095643082396</v>
      </c>
      <c r="M3115">
        <v>0.48641975308641999</v>
      </c>
      <c r="N3115">
        <v>1</v>
      </c>
      <c r="O3115">
        <v>0.64271604938271598</v>
      </c>
      <c r="P3115" t="s">
        <v>1444</v>
      </c>
      <c r="Q3115" t="s">
        <v>1445</v>
      </c>
      <c r="R3115" t="s">
        <v>4085</v>
      </c>
      <c r="S3115" t="s">
        <v>4086</v>
      </c>
      <c r="T3115" t="s">
        <v>4087</v>
      </c>
      <c r="U3115" t="s">
        <v>4088</v>
      </c>
      <c r="V3115" t="s">
        <v>4089</v>
      </c>
      <c r="W3115" t="s">
        <v>4090</v>
      </c>
      <c r="Z3115" t="s">
        <v>1092</v>
      </c>
      <c r="AA3115" t="s">
        <v>1093</v>
      </c>
      <c r="AB3115" t="s">
        <v>1092</v>
      </c>
      <c r="AC3115" t="s">
        <v>1094</v>
      </c>
      <c r="AD3115" t="s">
        <v>4091</v>
      </c>
      <c r="AE3115" t="s">
        <v>4092</v>
      </c>
      <c r="AF3115" t="s">
        <v>4094</v>
      </c>
    </row>
    <row r="3116" spans="1:32" hidden="1" x14ac:dyDescent="0.35">
      <c r="A3116">
        <v>1972</v>
      </c>
      <c r="B3116" t="s">
        <v>4084</v>
      </c>
      <c r="C3116" t="s">
        <v>72</v>
      </c>
      <c r="D3116" t="s">
        <v>34</v>
      </c>
      <c r="E3116">
        <v>2195</v>
      </c>
      <c r="F3116">
        <v>5</v>
      </c>
      <c r="G3116">
        <v>5</v>
      </c>
      <c r="H3116">
        <v>1</v>
      </c>
      <c r="I3116">
        <v>1</v>
      </c>
      <c r="J3116">
        <v>0.74914737031053702</v>
      </c>
      <c r="K3116">
        <v>0.92102187996577201</v>
      </c>
      <c r="L3116">
        <v>0.82624095643082396</v>
      </c>
      <c r="M3116">
        <v>0.48641975308641999</v>
      </c>
      <c r="N3116">
        <v>1</v>
      </c>
      <c r="O3116">
        <v>0.64271604938271598</v>
      </c>
      <c r="P3116" t="s">
        <v>1444</v>
      </c>
      <c r="Q3116" t="s">
        <v>1445</v>
      </c>
      <c r="R3116" t="s">
        <v>4085</v>
      </c>
      <c r="S3116" t="s">
        <v>4086</v>
      </c>
      <c r="T3116" t="s">
        <v>4087</v>
      </c>
      <c r="U3116" t="s">
        <v>4088</v>
      </c>
      <c r="V3116" t="s">
        <v>4089</v>
      </c>
      <c r="W3116" t="s">
        <v>4090</v>
      </c>
      <c r="Z3116" t="s">
        <v>1092</v>
      </c>
      <c r="AA3116" t="s">
        <v>1093</v>
      </c>
      <c r="AB3116" t="s">
        <v>1092</v>
      </c>
      <c r="AC3116" t="s">
        <v>1094</v>
      </c>
      <c r="AD3116" t="s">
        <v>4091</v>
      </c>
      <c r="AE3116" t="s">
        <v>4092</v>
      </c>
      <c r="AF3116" t="s">
        <v>4095</v>
      </c>
    </row>
    <row r="3117" spans="1:32" hidden="1" x14ac:dyDescent="0.35">
      <c r="A3117">
        <v>1973</v>
      </c>
      <c r="B3117" t="s">
        <v>4084</v>
      </c>
      <c r="C3117" t="s">
        <v>72</v>
      </c>
      <c r="D3117" t="s">
        <v>45</v>
      </c>
      <c r="E3117">
        <v>679</v>
      </c>
      <c r="F3117">
        <v>5</v>
      </c>
      <c r="G3117">
        <v>5</v>
      </c>
      <c r="H3117">
        <v>1</v>
      </c>
      <c r="I3117">
        <v>1</v>
      </c>
      <c r="J3117">
        <v>0.74914737031053702</v>
      </c>
      <c r="K3117">
        <v>0.92102187996577201</v>
      </c>
      <c r="L3117">
        <v>0.82624095643082396</v>
      </c>
      <c r="M3117">
        <v>0.48641975308641999</v>
      </c>
      <c r="N3117">
        <v>1</v>
      </c>
      <c r="O3117">
        <v>0.64271604938271598</v>
      </c>
      <c r="P3117" t="s">
        <v>1444</v>
      </c>
      <c r="Q3117" t="s">
        <v>1445</v>
      </c>
      <c r="R3117" t="s">
        <v>4085</v>
      </c>
      <c r="S3117" t="s">
        <v>4086</v>
      </c>
      <c r="T3117" t="s">
        <v>4087</v>
      </c>
      <c r="U3117" t="s">
        <v>4088</v>
      </c>
      <c r="V3117" t="s">
        <v>4089</v>
      </c>
      <c r="W3117" t="s">
        <v>4090</v>
      </c>
      <c r="Z3117" t="s">
        <v>1092</v>
      </c>
      <c r="AA3117" t="s">
        <v>1093</v>
      </c>
      <c r="AB3117" t="s">
        <v>1092</v>
      </c>
      <c r="AC3117" t="s">
        <v>1094</v>
      </c>
      <c r="AD3117" t="s">
        <v>4091</v>
      </c>
      <c r="AE3117" t="s">
        <v>4092</v>
      </c>
      <c r="AF3117" t="s">
        <v>4096</v>
      </c>
    </row>
    <row r="3118" spans="1:32" hidden="1" x14ac:dyDescent="0.35">
      <c r="A3118">
        <v>3624</v>
      </c>
      <c r="B3118" t="s">
        <v>7466</v>
      </c>
      <c r="C3118" t="s">
        <v>72</v>
      </c>
      <c r="D3118" t="s">
        <v>58</v>
      </c>
      <c r="E3118">
        <v>131</v>
      </c>
      <c r="F3118">
        <v>5</v>
      </c>
      <c r="G3118">
        <v>5</v>
      </c>
      <c r="H3118">
        <v>1</v>
      </c>
      <c r="I3118">
        <v>1</v>
      </c>
      <c r="J3118">
        <v>0.85346266166040896</v>
      </c>
      <c r="K3118">
        <v>0.95961881881882904</v>
      </c>
      <c r="L3118">
        <v>0.90343301181594504</v>
      </c>
      <c r="M3118">
        <v>0.71699999999999997</v>
      </c>
      <c r="N3118">
        <v>0.997</v>
      </c>
      <c r="O3118">
        <v>0.79410000000000003</v>
      </c>
      <c r="P3118" t="s">
        <v>7467</v>
      </c>
      <c r="Q3118" t="s">
        <v>7468</v>
      </c>
      <c r="R3118" t="s">
        <v>7469</v>
      </c>
      <c r="S3118" t="s">
        <v>7470</v>
      </c>
      <c r="T3118" t="s">
        <v>7471</v>
      </c>
      <c r="U3118" t="s">
        <v>7472</v>
      </c>
      <c r="V3118" t="s">
        <v>7473</v>
      </c>
      <c r="W3118" t="s">
        <v>7474</v>
      </c>
      <c r="AD3118" t="s">
        <v>4068</v>
      </c>
      <c r="AE3118" t="s">
        <v>7475</v>
      </c>
      <c r="AF3118" t="s">
        <v>7476</v>
      </c>
    </row>
    <row r="3119" spans="1:32" hidden="1" x14ac:dyDescent="0.35">
      <c r="A3119">
        <v>3625</v>
      </c>
      <c r="B3119" t="s">
        <v>7466</v>
      </c>
      <c r="C3119" t="s">
        <v>72</v>
      </c>
      <c r="D3119" t="s">
        <v>60</v>
      </c>
      <c r="E3119">
        <v>226</v>
      </c>
      <c r="F3119">
        <v>5</v>
      </c>
      <c r="G3119">
        <v>5</v>
      </c>
      <c r="H3119">
        <v>1</v>
      </c>
      <c r="I3119">
        <v>1</v>
      </c>
      <c r="J3119">
        <v>0.85346266166040896</v>
      </c>
      <c r="K3119">
        <v>0.95961881881882904</v>
      </c>
      <c r="L3119">
        <v>0.90343301181594504</v>
      </c>
      <c r="M3119">
        <v>0.71699999999999997</v>
      </c>
      <c r="N3119">
        <v>0.997</v>
      </c>
      <c r="O3119">
        <v>0.79410000000000003</v>
      </c>
      <c r="P3119" t="s">
        <v>7467</v>
      </c>
      <c r="Q3119" t="s">
        <v>7468</v>
      </c>
      <c r="R3119" t="s">
        <v>7469</v>
      </c>
      <c r="S3119" t="s">
        <v>7470</v>
      </c>
      <c r="T3119" t="s">
        <v>7471</v>
      </c>
      <c r="U3119" t="s">
        <v>7472</v>
      </c>
      <c r="V3119" t="s">
        <v>7473</v>
      </c>
      <c r="W3119" t="s">
        <v>7474</v>
      </c>
      <c r="AD3119" t="s">
        <v>4068</v>
      </c>
      <c r="AE3119" t="s">
        <v>7475</v>
      </c>
      <c r="AF3119" t="s">
        <v>7477</v>
      </c>
    </row>
    <row r="3120" spans="1:32" hidden="1" x14ac:dyDescent="0.35">
      <c r="A3120">
        <v>3626</v>
      </c>
      <c r="B3120" t="s">
        <v>7466</v>
      </c>
      <c r="C3120" t="s">
        <v>72</v>
      </c>
      <c r="D3120" t="s">
        <v>62</v>
      </c>
      <c r="E3120">
        <v>303</v>
      </c>
      <c r="F3120">
        <v>5</v>
      </c>
      <c r="G3120">
        <v>5</v>
      </c>
      <c r="H3120">
        <v>1</v>
      </c>
      <c r="I3120">
        <v>1</v>
      </c>
      <c r="J3120">
        <v>0.85346266166040896</v>
      </c>
      <c r="K3120">
        <v>0.95961881881882904</v>
      </c>
      <c r="L3120">
        <v>0.90343301181594504</v>
      </c>
      <c r="M3120">
        <v>0.71699999999999997</v>
      </c>
      <c r="N3120">
        <v>0.997</v>
      </c>
      <c r="O3120">
        <v>0.79410000000000003</v>
      </c>
      <c r="P3120" t="s">
        <v>7467</v>
      </c>
      <c r="Q3120" t="s">
        <v>7468</v>
      </c>
      <c r="R3120" t="s">
        <v>7469</v>
      </c>
      <c r="S3120" t="s">
        <v>7470</v>
      </c>
      <c r="T3120" t="s">
        <v>7471</v>
      </c>
      <c r="U3120" t="s">
        <v>7472</v>
      </c>
      <c r="V3120" t="s">
        <v>7473</v>
      </c>
      <c r="W3120" t="s">
        <v>7474</v>
      </c>
      <c r="AD3120" t="s">
        <v>4068</v>
      </c>
      <c r="AE3120" t="s">
        <v>7475</v>
      </c>
      <c r="AF3120" t="s">
        <v>7478</v>
      </c>
    </row>
    <row r="3121" spans="1:32" hidden="1" x14ac:dyDescent="0.35">
      <c r="A3121">
        <v>3627</v>
      </c>
      <c r="B3121" t="s">
        <v>7466</v>
      </c>
      <c r="C3121" t="s">
        <v>72</v>
      </c>
      <c r="D3121" t="s">
        <v>34</v>
      </c>
      <c r="E3121">
        <v>1249</v>
      </c>
      <c r="F3121">
        <v>5</v>
      </c>
      <c r="G3121">
        <v>5</v>
      </c>
      <c r="H3121">
        <v>1</v>
      </c>
      <c r="I3121">
        <v>1</v>
      </c>
      <c r="J3121">
        <v>0.85346266166040896</v>
      </c>
      <c r="K3121">
        <v>0.95961881881882904</v>
      </c>
      <c r="L3121">
        <v>0.90343301181594504</v>
      </c>
      <c r="M3121">
        <v>0.71699999999999997</v>
      </c>
      <c r="N3121">
        <v>0.997</v>
      </c>
      <c r="O3121">
        <v>0.79410000000000003</v>
      </c>
      <c r="P3121" t="s">
        <v>7467</v>
      </c>
      <c r="Q3121" t="s">
        <v>7468</v>
      </c>
      <c r="R3121" t="s">
        <v>7469</v>
      </c>
      <c r="S3121" t="s">
        <v>7470</v>
      </c>
      <c r="T3121" t="s">
        <v>7471</v>
      </c>
      <c r="U3121" t="s">
        <v>7472</v>
      </c>
      <c r="V3121" t="s">
        <v>7473</v>
      </c>
      <c r="W3121" t="s">
        <v>7474</v>
      </c>
      <c r="AD3121" t="s">
        <v>4068</v>
      </c>
      <c r="AE3121" t="s">
        <v>7475</v>
      </c>
      <c r="AF3121" t="s">
        <v>7479</v>
      </c>
    </row>
    <row r="3122" spans="1:32" hidden="1" x14ac:dyDescent="0.35">
      <c r="A3122">
        <v>3628</v>
      </c>
      <c r="B3122" t="s">
        <v>7466</v>
      </c>
      <c r="C3122" t="s">
        <v>72</v>
      </c>
      <c r="D3122" t="s">
        <v>45</v>
      </c>
      <c r="E3122">
        <v>2493</v>
      </c>
      <c r="F3122">
        <v>5</v>
      </c>
      <c r="G3122">
        <v>5</v>
      </c>
      <c r="H3122">
        <v>1</v>
      </c>
      <c r="I3122">
        <v>1</v>
      </c>
      <c r="J3122">
        <v>0.85346266166040896</v>
      </c>
      <c r="K3122">
        <v>0.95961881881882904</v>
      </c>
      <c r="L3122">
        <v>0.90343301181594504</v>
      </c>
      <c r="M3122">
        <v>0.71699999999999997</v>
      </c>
      <c r="N3122">
        <v>0.997</v>
      </c>
      <c r="O3122">
        <v>0.79410000000000003</v>
      </c>
      <c r="P3122" t="s">
        <v>7467</v>
      </c>
      <c r="Q3122" t="s">
        <v>7468</v>
      </c>
      <c r="R3122" t="s">
        <v>7469</v>
      </c>
      <c r="S3122" t="s">
        <v>7470</v>
      </c>
      <c r="T3122" t="s">
        <v>7471</v>
      </c>
      <c r="U3122" t="s">
        <v>7472</v>
      </c>
      <c r="V3122" t="s">
        <v>7473</v>
      </c>
      <c r="W3122" t="s">
        <v>7474</v>
      </c>
      <c r="AD3122" t="s">
        <v>4068</v>
      </c>
      <c r="AE3122" t="s">
        <v>7475</v>
      </c>
      <c r="AF3122" t="s">
        <v>7480</v>
      </c>
    </row>
    <row r="3123" spans="1:32" hidden="1" x14ac:dyDescent="0.35">
      <c r="A3123">
        <v>1974</v>
      </c>
      <c r="B3123" t="s">
        <v>4097</v>
      </c>
      <c r="C3123" t="s">
        <v>72</v>
      </c>
      <c r="D3123" t="s">
        <v>58</v>
      </c>
      <c r="E3123">
        <v>379</v>
      </c>
      <c r="F3123">
        <v>5</v>
      </c>
      <c r="G3123">
        <v>5</v>
      </c>
      <c r="H3123">
        <v>1</v>
      </c>
      <c r="I3123">
        <v>1</v>
      </c>
      <c r="J3123">
        <v>0.79919091485109905</v>
      </c>
      <c r="K3123">
        <v>0.97046421663443205</v>
      </c>
      <c r="L3123">
        <v>0.87653935653695803</v>
      </c>
      <c r="M3123">
        <v>0.608510638297872</v>
      </c>
      <c r="N3123">
        <v>1</v>
      </c>
      <c r="O3123">
        <v>0.72624113475177299</v>
      </c>
      <c r="P3123" t="s">
        <v>381</v>
      </c>
      <c r="Q3123" t="s">
        <v>382</v>
      </c>
      <c r="R3123" t="s">
        <v>4098</v>
      </c>
      <c r="S3123" t="s">
        <v>4099</v>
      </c>
      <c r="T3123" t="s">
        <v>4100</v>
      </c>
      <c r="U3123" t="s">
        <v>4101</v>
      </c>
      <c r="V3123" t="s">
        <v>4102</v>
      </c>
      <c r="W3123" t="s">
        <v>4103</v>
      </c>
      <c r="AD3123" t="s">
        <v>3017</v>
      </c>
      <c r="AE3123" t="s">
        <v>4104</v>
      </c>
      <c r="AF3123" t="s">
        <v>4105</v>
      </c>
    </row>
    <row r="3124" spans="1:32" hidden="1" x14ac:dyDescent="0.35">
      <c r="A3124">
        <v>1977</v>
      </c>
      <c r="B3124" t="s">
        <v>4097</v>
      </c>
      <c r="C3124" t="s">
        <v>72</v>
      </c>
      <c r="D3124" t="s">
        <v>34</v>
      </c>
      <c r="E3124">
        <v>477</v>
      </c>
      <c r="F3124">
        <v>5</v>
      </c>
      <c r="G3124">
        <v>5</v>
      </c>
      <c r="H3124">
        <v>1</v>
      </c>
      <c r="I3124">
        <v>1</v>
      </c>
      <c r="J3124">
        <v>0.79919091485109905</v>
      </c>
      <c r="K3124">
        <v>0.97046421663443205</v>
      </c>
      <c r="L3124">
        <v>0.87653935653695803</v>
      </c>
      <c r="M3124">
        <v>0.608510638297872</v>
      </c>
      <c r="N3124">
        <v>1</v>
      </c>
      <c r="O3124">
        <v>0.72624113475177299</v>
      </c>
      <c r="P3124" t="s">
        <v>381</v>
      </c>
      <c r="Q3124" t="s">
        <v>382</v>
      </c>
      <c r="R3124" t="s">
        <v>4098</v>
      </c>
      <c r="S3124" t="s">
        <v>4099</v>
      </c>
      <c r="T3124" t="s">
        <v>4100</v>
      </c>
      <c r="U3124" t="s">
        <v>4101</v>
      </c>
      <c r="V3124" t="s">
        <v>4102</v>
      </c>
      <c r="W3124" t="s">
        <v>4103</v>
      </c>
      <c r="AD3124" t="s">
        <v>3017</v>
      </c>
      <c r="AE3124" t="s">
        <v>4104</v>
      </c>
      <c r="AF3124" t="s">
        <v>4108</v>
      </c>
    </row>
    <row r="3125" spans="1:32" hidden="1" x14ac:dyDescent="0.35">
      <c r="A3125">
        <v>1978</v>
      </c>
      <c r="B3125" t="s">
        <v>4097</v>
      </c>
      <c r="C3125" t="s">
        <v>72</v>
      </c>
      <c r="D3125" t="s">
        <v>45</v>
      </c>
      <c r="E3125">
        <v>1742</v>
      </c>
      <c r="F3125">
        <v>5</v>
      </c>
      <c r="G3125">
        <v>5</v>
      </c>
      <c r="H3125">
        <v>1</v>
      </c>
      <c r="I3125">
        <v>1</v>
      </c>
      <c r="J3125">
        <v>0.79919091485109905</v>
      </c>
      <c r="K3125">
        <v>0.97046421663443205</v>
      </c>
      <c r="L3125">
        <v>0.87653935653695803</v>
      </c>
      <c r="M3125">
        <v>0.608510638297872</v>
      </c>
      <c r="N3125">
        <v>1</v>
      </c>
      <c r="O3125">
        <v>0.72624113475177299</v>
      </c>
      <c r="P3125" t="s">
        <v>381</v>
      </c>
      <c r="Q3125" t="s">
        <v>382</v>
      </c>
      <c r="R3125" t="s">
        <v>4098</v>
      </c>
      <c r="S3125" t="s">
        <v>4099</v>
      </c>
      <c r="T3125" t="s">
        <v>4100</v>
      </c>
      <c r="U3125" t="s">
        <v>4101</v>
      </c>
      <c r="V3125" t="s">
        <v>4102</v>
      </c>
      <c r="W3125" t="s">
        <v>4103</v>
      </c>
      <c r="AD3125" t="s">
        <v>3017</v>
      </c>
      <c r="AE3125" t="s">
        <v>4104</v>
      </c>
      <c r="AF3125" t="s">
        <v>4108</v>
      </c>
    </row>
    <row r="3126" spans="1:32" hidden="1" x14ac:dyDescent="0.35">
      <c r="A3126">
        <v>3774</v>
      </c>
      <c r="B3126" t="s">
        <v>7796</v>
      </c>
      <c r="C3126" t="s">
        <v>72</v>
      </c>
      <c r="D3126" t="s">
        <v>58</v>
      </c>
      <c r="E3126">
        <v>822</v>
      </c>
      <c r="F3126">
        <v>5</v>
      </c>
      <c r="G3126">
        <v>5</v>
      </c>
      <c r="H3126">
        <v>1</v>
      </c>
      <c r="I3126">
        <v>1</v>
      </c>
      <c r="J3126">
        <v>0.78831701207014304</v>
      </c>
      <c r="K3126">
        <v>0.91593361873735402</v>
      </c>
      <c r="L3126">
        <v>0.84734726280900297</v>
      </c>
      <c r="M3126">
        <v>0.60124610591900296</v>
      </c>
      <c r="N3126">
        <v>0.98442367601246095</v>
      </c>
      <c r="O3126">
        <v>0.70809968847352001</v>
      </c>
      <c r="P3126" t="s">
        <v>7797</v>
      </c>
      <c r="Q3126" t="s">
        <v>7798</v>
      </c>
      <c r="R3126" t="s">
        <v>4098</v>
      </c>
      <c r="S3126" t="s">
        <v>4099</v>
      </c>
      <c r="T3126" t="s">
        <v>7799</v>
      </c>
      <c r="U3126" t="s">
        <v>7800</v>
      </c>
      <c r="V3126" t="s">
        <v>7801</v>
      </c>
      <c r="W3126" t="s">
        <v>7802</v>
      </c>
      <c r="AD3126" t="s">
        <v>7803</v>
      </c>
      <c r="AE3126" t="s">
        <v>7804</v>
      </c>
      <c r="AF3126" t="s">
        <v>7805</v>
      </c>
    </row>
    <row r="3127" spans="1:32" hidden="1" x14ac:dyDescent="0.35">
      <c r="A3127">
        <v>3775</v>
      </c>
      <c r="B3127" t="s">
        <v>7796</v>
      </c>
      <c r="C3127" t="s">
        <v>72</v>
      </c>
      <c r="D3127" t="s">
        <v>60</v>
      </c>
      <c r="E3127">
        <v>1136</v>
      </c>
      <c r="F3127">
        <v>5</v>
      </c>
      <c r="G3127">
        <v>5</v>
      </c>
      <c r="H3127">
        <v>1</v>
      </c>
      <c r="I3127">
        <v>1</v>
      </c>
      <c r="J3127">
        <v>0.78831701207014304</v>
      </c>
      <c r="K3127">
        <v>0.91593361873735402</v>
      </c>
      <c r="L3127">
        <v>0.84734726280900297</v>
      </c>
      <c r="M3127">
        <v>0.60124610591900296</v>
      </c>
      <c r="N3127">
        <v>0.98442367601246095</v>
      </c>
      <c r="O3127">
        <v>0.70809968847352001</v>
      </c>
      <c r="P3127" t="s">
        <v>7797</v>
      </c>
      <c r="Q3127" t="s">
        <v>7798</v>
      </c>
      <c r="R3127" t="s">
        <v>4098</v>
      </c>
      <c r="S3127" t="s">
        <v>4099</v>
      </c>
      <c r="T3127" t="s">
        <v>7799</v>
      </c>
      <c r="U3127" t="s">
        <v>7800</v>
      </c>
      <c r="V3127" t="s">
        <v>7801</v>
      </c>
      <c r="W3127" t="s">
        <v>7802</v>
      </c>
      <c r="AD3127" t="s">
        <v>7803</v>
      </c>
      <c r="AE3127" t="s">
        <v>7804</v>
      </c>
      <c r="AF3127" t="s">
        <v>7806</v>
      </c>
    </row>
    <row r="3128" spans="1:32" hidden="1" x14ac:dyDescent="0.35">
      <c r="A3128">
        <v>3776</v>
      </c>
      <c r="B3128" t="s">
        <v>7796</v>
      </c>
      <c r="C3128" t="s">
        <v>72</v>
      </c>
      <c r="D3128" t="s">
        <v>62</v>
      </c>
      <c r="E3128">
        <v>1173</v>
      </c>
      <c r="F3128">
        <v>5</v>
      </c>
      <c r="G3128">
        <v>5</v>
      </c>
      <c r="H3128">
        <v>1</v>
      </c>
      <c r="I3128">
        <v>1</v>
      </c>
      <c r="J3128">
        <v>0.78831701207014304</v>
      </c>
      <c r="K3128">
        <v>0.91593361873735402</v>
      </c>
      <c r="L3128">
        <v>0.84734726280900297</v>
      </c>
      <c r="M3128">
        <v>0.60124610591900296</v>
      </c>
      <c r="N3128">
        <v>0.98442367601246095</v>
      </c>
      <c r="O3128">
        <v>0.70809968847352001</v>
      </c>
      <c r="P3128" t="s">
        <v>7797</v>
      </c>
      <c r="Q3128" t="s">
        <v>7798</v>
      </c>
      <c r="R3128" t="s">
        <v>4098</v>
      </c>
      <c r="S3128" t="s">
        <v>4099</v>
      </c>
      <c r="T3128" t="s">
        <v>7799</v>
      </c>
      <c r="U3128" t="s">
        <v>7800</v>
      </c>
      <c r="V3128" t="s">
        <v>7801</v>
      </c>
      <c r="W3128" t="s">
        <v>7802</v>
      </c>
      <c r="AD3128" t="s">
        <v>7803</v>
      </c>
      <c r="AE3128" t="s">
        <v>7804</v>
      </c>
      <c r="AF3128" t="s">
        <v>7807</v>
      </c>
    </row>
    <row r="3129" spans="1:32" hidden="1" x14ac:dyDescent="0.35">
      <c r="A3129">
        <v>3777</v>
      </c>
      <c r="B3129" t="s">
        <v>7796</v>
      </c>
      <c r="C3129" t="s">
        <v>72</v>
      </c>
      <c r="D3129" t="s">
        <v>34</v>
      </c>
      <c r="E3129">
        <v>9</v>
      </c>
      <c r="F3129">
        <v>5</v>
      </c>
      <c r="G3129">
        <v>5</v>
      </c>
      <c r="H3129">
        <v>1</v>
      </c>
      <c r="I3129">
        <v>1</v>
      </c>
      <c r="J3129">
        <v>0.78831701207014304</v>
      </c>
      <c r="K3129">
        <v>0.91593361873735402</v>
      </c>
      <c r="L3129">
        <v>0.84734726280900297</v>
      </c>
      <c r="M3129">
        <v>0.60124610591900296</v>
      </c>
      <c r="N3129">
        <v>0.98442367601246095</v>
      </c>
      <c r="O3129">
        <v>0.70809968847352001</v>
      </c>
      <c r="P3129" t="s">
        <v>7797</v>
      </c>
      <c r="Q3129" t="s">
        <v>7798</v>
      </c>
      <c r="R3129" t="s">
        <v>4098</v>
      </c>
      <c r="S3129" t="s">
        <v>4099</v>
      </c>
      <c r="T3129" t="s">
        <v>7799</v>
      </c>
      <c r="U3129" t="s">
        <v>7800</v>
      </c>
      <c r="V3129" t="s">
        <v>7801</v>
      </c>
      <c r="W3129" t="s">
        <v>7802</v>
      </c>
      <c r="AD3129" t="s">
        <v>7803</v>
      </c>
      <c r="AE3129" t="s">
        <v>7804</v>
      </c>
      <c r="AF3129" t="s">
        <v>7808</v>
      </c>
    </row>
    <row r="3130" spans="1:32" hidden="1" x14ac:dyDescent="0.35">
      <c r="A3130">
        <v>3778</v>
      </c>
      <c r="B3130" t="s">
        <v>7796</v>
      </c>
      <c r="C3130" t="s">
        <v>72</v>
      </c>
      <c r="D3130" t="s">
        <v>45</v>
      </c>
      <c r="E3130">
        <v>1266</v>
      </c>
      <c r="F3130">
        <v>5</v>
      </c>
      <c r="G3130">
        <v>5</v>
      </c>
      <c r="H3130">
        <v>1</v>
      </c>
      <c r="I3130">
        <v>1</v>
      </c>
      <c r="J3130">
        <v>0.78831701207014304</v>
      </c>
      <c r="K3130">
        <v>0.91593361873735402</v>
      </c>
      <c r="L3130">
        <v>0.84734726280900297</v>
      </c>
      <c r="M3130">
        <v>0.60124610591900296</v>
      </c>
      <c r="N3130">
        <v>0.98442367601246095</v>
      </c>
      <c r="O3130">
        <v>0.70809968847352001</v>
      </c>
      <c r="P3130" t="s">
        <v>7797</v>
      </c>
      <c r="Q3130" t="s">
        <v>7798</v>
      </c>
      <c r="R3130" t="s">
        <v>4098</v>
      </c>
      <c r="S3130" t="s">
        <v>4099</v>
      </c>
      <c r="T3130" t="s">
        <v>7799</v>
      </c>
      <c r="U3130" t="s">
        <v>7800</v>
      </c>
      <c r="V3130" t="s">
        <v>7801</v>
      </c>
      <c r="W3130" t="s">
        <v>7802</v>
      </c>
      <c r="AD3130" t="s">
        <v>7803</v>
      </c>
      <c r="AE3130" t="s">
        <v>7804</v>
      </c>
      <c r="AF3130" t="s">
        <v>7809</v>
      </c>
    </row>
    <row r="3131" spans="1:32" hidden="1" x14ac:dyDescent="0.35">
      <c r="A3131">
        <v>4469</v>
      </c>
      <c r="B3131" t="s">
        <v>9302</v>
      </c>
      <c r="C3131" t="s">
        <v>72</v>
      </c>
      <c r="D3131" t="s">
        <v>58</v>
      </c>
      <c r="E3131">
        <v>647</v>
      </c>
      <c r="F3131">
        <v>5</v>
      </c>
      <c r="G3131">
        <v>5</v>
      </c>
      <c r="H3131">
        <v>1</v>
      </c>
      <c r="I3131">
        <v>1</v>
      </c>
      <c r="J3131">
        <v>0.84106359649122797</v>
      </c>
      <c r="K3131">
        <v>0.95476886139071204</v>
      </c>
      <c r="L3131">
        <v>0.89431653699612401</v>
      </c>
      <c r="M3131">
        <v>0.67058823529411804</v>
      </c>
      <c r="N3131">
        <v>0.99137254901960803</v>
      </c>
      <c r="O3131">
        <v>0.76784313725490205</v>
      </c>
      <c r="P3131" t="s">
        <v>6973</v>
      </c>
      <c r="Q3131" t="s">
        <v>6974</v>
      </c>
      <c r="R3131" t="s">
        <v>9303</v>
      </c>
      <c r="S3131" t="s">
        <v>9304</v>
      </c>
      <c r="T3131" t="s">
        <v>9305</v>
      </c>
      <c r="U3131" t="s">
        <v>9306</v>
      </c>
      <c r="V3131" t="s">
        <v>9307</v>
      </c>
      <c r="W3131" t="s">
        <v>9308</v>
      </c>
      <c r="AD3131" t="s">
        <v>1437</v>
      </c>
      <c r="AE3131" t="s">
        <v>9309</v>
      </c>
      <c r="AF3131" t="s">
        <v>9310</v>
      </c>
    </row>
    <row r="3132" spans="1:32" hidden="1" x14ac:dyDescent="0.35">
      <c r="A3132">
        <v>4470</v>
      </c>
      <c r="B3132" t="s">
        <v>9302</v>
      </c>
      <c r="C3132" t="s">
        <v>72</v>
      </c>
      <c r="D3132" t="s">
        <v>60</v>
      </c>
      <c r="E3132">
        <v>835</v>
      </c>
      <c r="F3132">
        <v>5</v>
      </c>
      <c r="G3132">
        <v>5</v>
      </c>
      <c r="H3132">
        <v>1</v>
      </c>
      <c r="I3132">
        <v>1</v>
      </c>
      <c r="J3132">
        <v>0.84106359649122797</v>
      </c>
      <c r="K3132">
        <v>0.95476886139071204</v>
      </c>
      <c r="L3132">
        <v>0.89431653699612401</v>
      </c>
      <c r="M3132">
        <v>0.67058823529411804</v>
      </c>
      <c r="N3132">
        <v>0.99137254901960803</v>
      </c>
      <c r="O3132">
        <v>0.76784313725490205</v>
      </c>
      <c r="P3132" t="s">
        <v>6973</v>
      </c>
      <c r="Q3132" t="s">
        <v>6974</v>
      </c>
      <c r="R3132" t="s">
        <v>9303</v>
      </c>
      <c r="S3132" t="s">
        <v>9304</v>
      </c>
      <c r="T3132" t="s">
        <v>9305</v>
      </c>
      <c r="U3132" t="s">
        <v>9306</v>
      </c>
      <c r="V3132" t="s">
        <v>9307</v>
      </c>
      <c r="W3132" t="s">
        <v>9308</v>
      </c>
      <c r="AD3132" t="s">
        <v>1437</v>
      </c>
      <c r="AE3132" t="s">
        <v>9309</v>
      </c>
      <c r="AF3132" t="s">
        <v>9311</v>
      </c>
    </row>
    <row r="3133" spans="1:32" hidden="1" x14ac:dyDescent="0.35">
      <c r="A3133">
        <v>4471</v>
      </c>
      <c r="B3133" t="s">
        <v>9302</v>
      </c>
      <c r="C3133" t="s">
        <v>72</v>
      </c>
      <c r="D3133" t="s">
        <v>62</v>
      </c>
      <c r="E3133">
        <v>869</v>
      </c>
      <c r="F3133">
        <v>5</v>
      </c>
      <c r="G3133">
        <v>5</v>
      </c>
      <c r="H3133">
        <v>1</v>
      </c>
      <c r="I3133">
        <v>1</v>
      </c>
      <c r="J3133">
        <v>0.84106359649122797</v>
      </c>
      <c r="K3133">
        <v>0.95476886139071204</v>
      </c>
      <c r="L3133">
        <v>0.89431653699612401</v>
      </c>
      <c r="M3133">
        <v>0.67058823529411804</v>
      </c>
      <c r="N3133">
        <v>0.99137254901960803</v>
      </c>
      <c r="O3133">
        <v>0.76784313725490205</v>
      </c>
      <c r="P3133" t="s">
        <v>6973</v>
      </c>
      <c r="Q3133" t="s">
        <v>6974</v>
      </c>
      <c r="R3133" t="s">
        <v>9303</v>
      </c>
      <c r="S3133" t="s">
        <v>9304</v>
      </c>
      <c r="T3133" t="s">
        <v>9305</v>
      </c>
      <c r="U3133" t="s">
        <v>9306</v>
      </c>
      <c r="V3133" t="s">
        <v>9307</v>
      </c>
      <c r="W3133" t="s">
        <v>9308</v>
      </c>
      <c r="AD3133" t="s">
        <v>1437</v>
      </c>
      <c r="AE3133" t="s">
        <v>9309</v>
      </c>
      <c r="AF3133" t="s">
        <v>9312</v>
      </c>
    </row>
    <row r="3134" spans="1:32" hidden="1" x14ac:dyDescent="0.35">
      <c r="A3134">
        <v>4472</v>
      </c>
      <c r="B3134" t="s">
        <v>9302</v>
      </c>
      <c r="C3134" t="s">
        <v>72</v>
      </c>
      <c r="D3134" t="s">
        <v>34</v>
      </c>
      <c r="E3134">
        <v>307</v>
      </c>
      <c r="F3134">
        <v>5</v>
      </c>
      <c r="G3134">
        <v>5</v>
      </c>
      <c r="H3134">
        <v>1</v>
      </c>
      <c r="I3134">
        <v>1</v>
      </c>
      <c r="J3134">
        <v>0.84106359649122797</v>
      </c>
      <c r="K3134">
        <v>0.95476886139071204</v>
      </c>
      <c r="L3134">
        <v>0.89431653699612401</v>
      </c>
      <c r="M3134">
        <v>0.67058823529411804</v>
      </c>
      <c r="N3134">
        <v>0.99137254901960803</v>
      </c>
      <c r="O3134">
        <v>0.76784313725490205</v>
      </c>
      <c r="P3134" t="s">
        <v>6973</v>
      </c>
      <c r="Q3134" t="s">
        <v>6974</v>
      </c>
      <c r="R3134" t="s">
        <v>9303</v>
      </c>
      <c r="S3134" t="s">
        <v>9304</v>
      </c>
      <c r="T3134" t="s">
        <v>9305</v>
      </c>
      <c r="U3134" t="s">
        <v>9306</v>
      </c>
      <c r="V3134" t="s">
        <v>9307</v>
      </c>
      <c r="W3134" t="s">
        <v>9308</v>
      </c>
      <c r="AD3134" t="s">
        <v>1437</v>
      </c>
      <c r="AE3134" t="s">
        <v>9309</v>
      </c>
      <c r="AF3134" t="s">
        <v>9313</v>
      </c>
    </row>
    <row r="3135" spans="1:32" hidden="1" x14ac:dyDescent="0.35">
      <c r="A3135">
        <v>4473</v>
      </c>
      <c r="B3135" t="s">
        <v>9302</v>
      </c>
      <c r="C3135" t="s">
        <v>72</v>
      </c>
      <c r="D3135" t="s">
        <v>45</v>
      </c>
      <c r="E3135">
        <v>1569</v>
      </c>
      <c r="F3135">
        <v>5</v>
      </c>
      <c r="G3135">
        <v>5</v>
      </c>
      <c r="H3135">
        <v>1</v>
      </c>
      <c r="I3135">
        <v>1</v>
      </c>
      <c r="J3135">
        <v>0.84106359649122797</v>
      </c>
      <c r="K3135">
        <v>0.95476886139071204</v>
      </c>
      <c r="L3135">
        <v>0.89431653699612401</v>
      </c>
      <c r="M3135">
        <v>0.67058823529411804</v>
      </c>
      <c r="N3135">
        <v>0.99137254901960803</v>
      </c>
      <c r="O3135">
        <v>0.76784313725490205</v>
      </c>
      <c r="P3135" t="s">
        <v>6973</v>
      </c>
      <c r="Q3135" t="s">
        <v>6974</v>
      </c>
      <c r="R3135" t="s">
        <v>9303</v>
      </c>
      <c r="S3135" t="s">
        <v>9304</v>
      </c>
      <c r="T3135" t="s">
        <v>9305</v>
      </c>
      <c r="U3135" t="s">
        <v>9306</v>
      </c>
      <c r="V3135" t="s">
        <v>9307</v>
      </c>
      <c r="W3135" t="s">
        <v>9308</v>
      </c>
      <c r="AD3135" t="s">
        <v>1437</v>
      </c>
      <c r="AE3135" t="s">
        <v>9309</v>
      </c>
      <c r="AF3135" t="s">
        <v>9314</v>
      </c>
    </row>
    <row r="3136" spans="1:32" hidden="1" x14ac:dyDescent="0.35">
      <c r="A3136">
        <v>4384</v>
      </c>
      <c r="B3136" t="s">
        <v>9127</v>
      </c>
      <c r="C3136" t="s">
        <v>72</v>
      </c>
      <c r="D3136" t="s">
        <v>58</v>
      </c>
      <c r="E3136">
        <v>313</v>
      </c>
      <c r="F3136">
        <v>5</v>
      </c>
      <c r="G3136">
        <v>5</v>
      </c>
      <c r="H3136">
        <v>1</v>
      </c>
      <c r="I3136">
        <v>1</v>
      </c>
      <c r="J3136">
        <v>0.77105866928875799</v>
      </c>
      <c r="K3136">
        <v>0.96006885451131296</v>
      </c>
      <c r="L3136">
        <v>0.85524538568952801</v>
      </c>
      <c r="M3136">
        <v>0.570754716981132</v>
      </c>
      <c r="N3136">
        <v>0.99056603773584895</v>
      </c>
      <c r="O3136">
        <v>0.695754716981132</v>
      </c>
      <c r="P3136" t="s">
        <v>5831</v>
      </c>
      <c r="Q3136" t="s">
        <v>5832</v>
      </c>
      <c r="R3136" t="s">
        <v>9128</v>
      </c>
      <c r="S3136" t="s">
        <v>9129</v>
      </c>
      <c r="T3136" t="s">
        <v>9130</v>
      </c>
      <c r="U3136" t="s">
        <v>9131</v>
      </c>
      <c r="V3136" t="s">
        <v>9132</v>
      </c>
      <c r="W3136" t="s">
        <v>9133</v>
      </c>
      <c r="AD3136" t="s">
        <v>9134</v>
      </c>
      <c r="AE3136" t="s">
        <v>9135</v>
      </c>
      <c r="AF3136" t="e">
        <f>----MDNNRLVWVDLEMTGLDTSRHVIVEVAAIVTDGDLNPLGEGIDLVVHATDEQLAEMDDFVTNMHTSSGLVDEIRVSTTTLEQAEDAVLALIEQHCS--GAAPLAGNSIATDRSFIRAFMPRLDKALHYRMVDVSSIKELARRWYPQVYYSQPPKGMTHRALQDIQESIKELEYYRAAVFVPQPGPSKEYAERIA----SGFVKSAEPN</f>
        <v>#NAME?</v>
      </c>
    </row>
    <row r="3137" spans="1:32" hidden="1" x14ac:dyDescent="0.35">
      <c r="A3137">
        <v>4385</v>
      </c>
      <c r="B3137" t="s">
        <v>9127</v>
      </c>
      <c r="C3137" t="s">
        <v>72</v>
      </c>
      <c r="D3137" t="s">
        <v>60</v>
      </c>
      <c r="E3137">
        <v>2034</v>
      </c>
      <c r="F3137">
        <v>5</v>
      </c>
      <c r="G3137">
        <v>5</v>
      </c>
      <c r="H3137">
        <v>1</v>
      </c>
      <c r="I3137">
        <v>1</v>
      </c>
      <c r="J3137">
        <v>0.77105866928875799</v>
      </c>
      <c r="K3137">
        <v>0.96006885451131296</v>
      </c>
      <c r="L3137">
        <v>0.85524538568952801</v>
      </c>
      <c r="M3137">
        <v>0.570754716981132</v>
      </c>
      <c r="N3137">
        <v>0.99056603773584895</v>
      </c>
      <c r="O3137">
        <v>0.695754716981132</v>
      </c>
      <c r="P3137" t="s">
        <v>5831</v>
      </c>
      <c r="Q3137" t="s">
        <v>5832</v>
      </c>
      <c r="R3137" t="s">
        <v>9128</v>
      </c>
      <c r="S3137" t="s">
        <v>9129</v>
      </c>
      <c r="T3137" t="s">
        <v>9130</v>
      </c>
      <c r="U3137" t="s">
        <v>9131</v>
      </c>
      <c r="V3137" t="s">
        <v>9132</v>
      </c>
      <c r="W3137" t="s">
        <v>9133</v>
      </c>
      <c r="AD3137" t="s">
        <v>9134</v>
      </c>
      <c r="AE3137" t="s">
        <v>9135</v>
      </c>
      <c r="AF3137" t="s">
        <v>9136</v>
      </c>
    </row>
    <row r="3138" spans="1:32" hidden="1" x14ac:dyDescent="0.35">
      <c r="A3138">
        <v>4386</v>
      </c>
      <c r="B3138" t="s">
        <v>9127</v>
      </c>
      <c r="C3138" t="s">
        <v>72</v>
      </c>
      <c r="D3138" t="s">
        <v>62</v>
      </c>
      <c r="E3138">
        <v>2073</v>
      </c>
      <c r="F3138">
        <v>5</v>
      </c>
      <c r="G3138">
        <v>5</v>
      </c>
      <c r="H3138">
        <v>1</v>
      </c>
      <c r="I3138">
        <v>1</v>
      </c>
      <c r="J3138">
        <v>0.77105866928875799</v>
      </c>
      <c r="K3138">
        <v>0.96006885451131296</v>
      </c>
      <c r="L3138">
        <v>0.85524538568952801</v>
      </c>
      <c r="M3138">
        <v>0.570754716981132</v>
      </c>
      <c r="N3138">
        <v>0.99056603773584895</v>
      </c>
      <c r="O3138">
        <v>0.695754716981132</v>
      </c>
      <c r="P3138" t="s">
        <v>5831</v>
      </c>
      <c r="Q3138" t="s">
        <v>5832</v>
      </c>
      <c r="R3138" t="s">
        <v>9128</v>
      </c>
      <c r="S3138" t="s">
        <v>9129</v>
      </c>
      <c r="T3138" t="s">
        <v>9130</v>
      </c>
      <c r="U3138" t="s">
        <v>9131</v>
      </c>
      <c r="V3138" t="s">
        <v>9132</v>
      </c>
      <c r="W3138" t="s">
        <v>9133</v>
      </c>
      <c r="AD3138" t="s">
        <v>9134</v>
      </c>
      <c r="AE3138" t="s">
        <v>9135</v>
      </c>
      <c r="AF3138" t="s">
        <v>9137</v>
      </c>
    </row>
    <row r="3139" spans="1:32" hidden="1" x14ac:dyDescent="0.35">
      <c r="A3139">
        <v>4387</v>
      </c>
      <c r="B3139" t="s">
        <v>9127</v>
      </c>
      <c r="C3139" t="s">
        <v>72</v>
      </c>
      <c r="D3139" t="s">
        <v>34</v>
      </c>
      <c r="E3139">
        <v>2374</v>
      </c>
      <c r="F3139">
        <v>5</v>
      </c>
      <c r="G3139">
        <v>5</v>
      </c>
      <c r="H3139">
        <v>1</v>
      </c>
      <c r="I3139">
        <v>1</v>
      </c>
      <c r="J3139">
        <v>0.77105866928875799</v>
      </c>
      <c r="K3139">
        <v>0.96006885451131296</v>
      </c>
      <c r="L3139">
        <v>0.85524538568952801</v>
      </c>
      <c r="M3139">
        <v>0.570754716981132</v>
      </c>
      <c r="N3139">
        <v>0.99056603773584895</v>
      </c>
      <c r="O3139">
        <v>0.695754716981132</v>
      </c>
      <c r="P3139" t="s">
        <v>5831</v>
      </c>
      <c r="Q3139" t="s">
        <v>5832</v>
      </c>
      <c r="R3139" t="s">
        <v>9128</v>
      </c>
      <c r="S3139" t="s">
        <v>9129</v>
      </c>
      <c r="T3139" t="s">
        <v>9130</v>
      </c>
      <c r="U3139" t="s">
        <v>9131</v>
      </c>
      <c r="V3139" t="s">
        <v>9132</v>
      </c>
      <c r="W3139" t="s">
        <v>9133</v>
      </c>
      <c r="AD3139" t="s">
        <v>9134</v>
      </c>
      <c r="AE3139" t="s">
        <v>9135</v>
      </c>
      <c r="AF3139" t="s">
        <v>9138</v>
      </c>
    </row>
    <row r="3140" spans="1:32" hidden="1" x14ac:dyDescent="0.35">
      <c r="A3140">
        <v>4388</v>
      </c>
      <c r="B3140" t="s">
        <v>9127</v>
      </c>
      <c r="C3140" t="s">
        <v>72</v>
      </c>
      <c r="D3140" t="s">
        <v>45</v>
      </c>
      <c r="E3140">
        <v>505</v>
      </c>
      <c r="F3140">
        <v>5</v>
      </c>
      <c r="G3140">
        <v>5</v>
      </c>
      <c r="H3140">
        <v>1</v>
      </c>
      <c r="I3140">
        <v>1</v>
      </c>
      <c r="J3140">
        <v>0.77105866928875799</v>
      </c>
      <c r="K3140">
        <v>0.96006885451131296</v>
      </c>
      <c r="L3140">
        <v>0.85524538568952801</v>
      </c>
      <c r="M3140">
        <v>0.570754716981132</v>
      </c>
      <c r="N3140">
        <v>0.99056603773584895</v>
      </c>
      <c r="O3140">
        <v>0.695754716981132</v>
      </c>
      <c r="P3140" t="s">
        <v>5831</v>
      </c>
      <c r="Q3140" t="s">
        <v>5832</v>
      </c>
      <c r="R3140" t="s">
        <v>9128</v>
      </c>
      <c r="S3140" t="s">
        <v>9129</v>
      </c>
      <c r="T3140" t="s">
        <v>9130</v>
      </c>
      <c r="U3140" t="s">
        <v>9131</v>
      </c>
      <c r="V3140" t="s">
        <v>9132</v>
      </c>
      <c r="W3140" t="s">
        <v>9133</v>
      </c>
      <c r="AD3140" t="s">
        <v>9134</v>
      </c>
      <c r="AE3140" t="s">
        <v>9135</v>
      </c>
      <c r="AF3140" t="s">
        <v>9139</v>
      </c>
    </row>
    <row r="3141" spans="1:32" hidden="1" x14ac:dyDescent="0.35">
      <c r="A3141">
        <v>301</v>
      </c>
      <c r="B3141" t="s">
        <v>513</v>
      </c>
      <c r="C3141" t="s">
        <v>72</v>
      </c>
      <c r="D3141" t="s">
        <v>60</v>
      </c>
      <c r="E3141">
        <v>1901</v>
      </c>
      <c r="F3141">
        <v>4</v>
      </c>
      <c r="G3141">
        <v>6</v>
      </c>
      <c r="H3141">
        <v>2</v>
      </c>
      <c r="I3141">
        <v>0</v>
      </c>
      <c r="J3141">
        <v>0.75994616872739496</v>
      </c>
      <c r="K3141">
        <v>0.98956942919095403</v>
      </c>
      <c r="L3141">
        <v>0.85968881591933999</v>
      </c>
      <c r="M3141">
        <v>0.60674157303370801</v>
      </c>
      <c r="N3141">
        <v>1</v>
      </c>
      <c r="O3141">
        <v>0.68938826466916403</v>
      </c>
      <c r="P3141" t="s">
        <v>514</v>
      </c>
      <c r="Q3141" t="s">
        <v>515</v>
      </c>
      <c r="R3141" t="s">
        <v>516</v>
      </c>
      <c r="S3141" t="s">
        <v>517</v>
      </c>
      <c r="V3141" t="s">
        <v>518</v>
      </c>
      <c r="W3141" t="s">
        <v>519</v>
      </c>
      <c r="AF3141" t="s">
        <v>520</v>
      </c>
    </row>
    <row r="3142" spans="1:32" hidden="1" x14ac:dyDescent="0.35">
      <c r="A3142">
        <v>302</v>
      </c>
      <c r="B3142" t="s">
        <v>513</v>
      </c>
      <c r="C3142" t="s">
        <v>72</v>
      </c>
      <c r="D3142" t="s">
        <v>62</v>
      </c>
      <c r="E3142">
        <v>1941</v>
      </c>
      <c r="F3142">
        <v>4</v>
      </c>
      <c r="G3142">
        <v>6</v>
      </c>
      <c r="H3142">
        <v>2</v>
      </c>
      <c r="I3142">
        <v>0</v>
      </c>
      <c r="J3142">
        <v>0.75994616872739496</v>
      </c>
      <c r="K3142">
        <v>0.98956942919095403</v>
      </c>
      <c r="L3142">
        <v>0.85968881591933999</v>
      </c>
      <c r="M3142">
        <v>0.60674157303370801</v>
      </c>
      <c r="N3142">
        <v>1</v>
      </c>
      <c r="O3142">
        <v>0.68938826466916403</v>
      </c>
      <c r="P3142" t="s">
        <v>514</v>
      </c>
      <c r="Q3142" t="s">
        <v>515</v>
      </c>
      <c r="R3142" t="s">
        <v>516</v>
      </c>
      <c r="S3142" t="s">
        <v>517</v>
      </c>
      <c r="V3142" t="s">
        <v>518</v>
      </c>
      <c r="W3142" t="s">
        <v>519</v>
      </c>
      <c r="AF3142" t="s">
        <v>520</v>
      </c>
    </row>
    <row r="3143" spans="1:32" hidden="1" x14ac:dyDescent="0.35">
      <c r="A3143">
        <v>303</v>
      </c>
      <c r="B3143" t="s">
        <v>513</v>
      </c>
      <c r="C3143" t="s">
        <v>72</v>
      </c>
      <c r="D3143" t="s">
        <v>34</v>
      </c>
      <c r="E3143">
        <v>2208</v>
      </c>
      <c r="F3143">
        <v>4</v>
      </c>
      <c r="G3143">
        <v>6</v>
      </c>
      <c r="H3143">
        <v>2</v>
      </c>
      <c r="I3143">
        <v>0</v>
      </c>
      <c r="J3143">
        <v>0.75994616872739496</v>
      </c>
      <c r="K3143">
        <v>0.98956942919095403</v>
      </c>
      <c r="L3143">
        <v>0.85968881591933999</v>
      </c>
      <c r="M3143">
        <v>0.60674157303370801</v>
      </c>
      <c r="N3143">
        <v>1</v>
      </c>
      <c r="O3143">
        <v>0.68938826466916403</v>
      </c>
      <c r="P3143" t="s">
        <v>514</v>
      </c>
      <c r="Q3143" t="s">
        <v>515</v>
      </c>
      <c r="R3143" t="s">
        <v>516</v>
      </c>
      <c r="S3143" t="s">
        <v>517</v>
      </c>
      <c r="V3143" t="s">
        <v>518</v>
      </c>
      <c r="W3143" t="s">
        <v>519</v>
      </c>
      <c r="AF3143" t="s">
        <v>521</v>
      </c>
    </row>
    <row r="3144" spans="1:32" hidden="1" x14ac:dyDescent="0.35">
      <c r="A3144">
        <v>304</v>
      </c>
      <c r="B3144" t="s">
        <v>513</v>
      </c>
      <c r="C3144" t="s">
        <v>72</v>
      </c>
      <c r="D3144" t="s">
        <v>34</v>
      </c>
      <c r="E3144">
        <v>2209</v>
      </c>
      <c r="F3144">
        <v>4</v>
      </c>
      <c r="G3144">
        <v>6</v>
      </c>
      <c r="H3144">
        <v>2</v>
      </c>
      <c r="I3144">
        <v>0</v>
      </c>
      <c r="J3144">
        <v>0.75994616872739496</v>
      </c>
      <c r="K3144">
        <v>0.98956942919095403</v>
      </c>
      <c r="L3144">
        <v>0.85968881591933999</v>
      </c>
      <c r="M3144">
        <v>0.60674157303370801</v>
      </c>
      <c r="N3144">
        <v>1</v>
      </c>
      <c r="O3144">
        <v>0.68938826466916403</v>
      </c>
      <c r="R3144" t="s">
        <v>516</v>
      </c>
      <c r="S3144" t="s">
        <v>517</v>
      </c>
      <c r="V3144" t="s">
        <v>518</v>
      </c>
      <c r="W3144" t="s">
        <v>519</v>
      </c>
      <c r="AF3144" t="s">
        <v>522</v>
      </c>
    </row>
    <row r="3145" spans="1:32" hidden="1" x14ac:dyDescent="0.35">
      <c r="A3145">
        <v>305</v>
      </c>
      <c r="B3145" t="s">
        <v>513</v>
      </c>
      <c r="C3145" t="s">
        <v>72</v>
      </c>
      <c r="D3145" t="s">
        <v>45</v>
      </c>
      <c r="E3145">
        <v>666</v>
      </c>
      <c r="F3145">
        <v>4</v>
      </c>
      <c r="G3145">
        <v>6</v>
      </c>
      <c r="H3145">
        <v>2</v>
      </c>
      <c r="I3145">
        <v>0</v>
      </c>
      <c r="J3145">
        <v>0.75994616872739496</v>
      </c>
      <c r="K3145">
        <v>0.98956942919095403</v>
      </c>
      <c r="L3145">
        <v>0.85968881591933999</v>
      </c>
      <c r="M3145">
        <v>0.60674157303370801</v>
      </c>
      <c r="N3145">
        <v>1</v>
      </c>
      <c r="O3145">
        <v>0.68938826466916403</v>
      </c>
      <c r="P3145" t="s">
        <v>514</v>
      </c>
      <c r="Q3145" t="s">
        <v>515</v>
      </c>
      <c r="R3145" t="s">
        <v>516</v>
      </c>
      <c r="S3145" t="s">
        <v>517</v>
      </c>
      <c r="V3145" t="s">
        <v>518</v>
      </c>
      <c r="W3145" t="s">
        <v>519</v>
      </c>
      <c r="AF3145" t="s">
        <v>523</v>
      </c>
    </row>
    <row r="3146" spans="1:32" hidden="1" x14ac:dyDescent="0.35">
      <c r="A3146">
        <v>306</v>
      </c>
      <c r="B3146" t="s">
        <v>513</v>
      </c>
      <c r="C3146" t="s">
        <v>72</v>
      </c>
      <c r="D3146" t="s">
        <v>45</v>
      </c>
      <c r="E3146">
        <v>665</v>
      </c>
      <c r="F3146">
        <v>4</v>
      </c>
      <c r="G3146">
        <v>6</v>
      </c>
      <c r="H3146">
        <v>2</v>
      </c>
      <c r="I3146">
        <v>0</v>
      </c>
      <c r="J3146">
        <v>0.75994616872739496</v>
      </c>
      <c r="K3146">
        <v>0.98956942919095403</v>
      </c>
      <c r="L3146">
        <v>0.85968881591933999</v>
      </c>
      <c r="M3146">
        <v>0.60674157303370801</v>
      </c>
      <c r="N3146">
        <v>1</v>
      </c>
      <c r="O3146">
        <v>0.68938826466916403</v>
      </c>
      <c r="R3146" t="s">
        <v>516</v>
      </c>
      <c r="S3146" t="s">
        <v>517</v>
      </c>
      <c r="V3146" t="s">
        <v>518</v>
      </c>
      <c r="W3146" t="s">
        <v>519</v>
      </c>
      <c r="AF3146" t="s">
        <v>524</v>
      </c>
    </row>
    <row r="3147" spans="1:32" hidden="1" x14ac:dyDescent="0.35">
      <c r="A3147">
        <v>4029</v>
      </c>
      <c r="B3147" t="s">
        <v>8319</v>
      </c>
      <c r="C3147" t="s">
        <v>72</v>
      </c>
      <c r="D3147" t="s">
        <v>58</v>
      </c>
      <c r="E3147">
        <v>826</v>
      </c>
      <c r="F3147">
        <v>5</v>
      </c>
      <c r="G3147">
        <v>5</v>
      </c>
      <c r="H3147">
        <v>1</v>
      </c>
      <c r="I3147">
        <v>1</v>
      </c>
      <c r="J3147">
        <v>0.89194432319705097</v>
      </c>
      <c r="K3147">
        <v>0.97528529980657097</v>
      </c>
      <c r="L3147">
        <v>0.93175491213628603</v>
      </c>
      <c r="M3147">
        <v>0.77872340425531905</v>
      </c>
      <c r="N3147">
        <v>0.99432624113475199</v>
      </c>
      <c r="O3147">
        <v>0.83659574468085096</v>
      </c>
      <c r="P3147" t="s">
        <v>8320</v>
      </c>
      <c r="Q3147" t="s">
        <v>8321</v>
      </c>
      <c r="R3147" t="s">
        <v>371</v>
      </c>
      <c r="S3147" t="s">
        <v>372</v>
      </c>
      <c r="T3147" t="s">
        <v>8322</v>
      </c>
      <c r="U3147" t="s">
        <v>8323</v>
      </c>
      <c r="V3147" t="s">
        <v>8324</v>
      </c>
      <c r="W3147" t="s">
        <v>8325</v>
      </c>
      <c r="AD3147" t="s">
        <v>3095</v>
      </c>
      <c r="AE3147" t="s">
        <v>8326</v>
      </c>
      <c r="AF3147" t="s">
        <v>8327</v>
      </c>
    </row>
    <row r="3148" spans="1:32" hidden="1" x14ac:dyDescent="0.35">
      <c r="A3148">
        <v>585</v>
      </c>
      <c r="B3148" t="s">
        <v>1176</v>
      </c>
      <c r="C3148" t="s">
        <v>72</v>
      </c>
      <c r="D3148" t="s">
        <v>60</v>
      </c>
      <c r="E3148">
        <v>1530</v>
      </c>
      <c r="F3148">
        <v>5</v>
      </c>
      <c r="G3148">
        <v>5</v>
      </c>
      <c r="H3148">
        <v>1</v>
      </c>
      <c r="I3148">
        <v>1</v>
      </c>
      <c r="J3148">
        <v>0.83149847094801199</v>
      </c>
      <c r="K3148">
        <v>0.96539626352015595</v>
      </c>
      <c r="L3148">
        <v>0.89345858895125396</v>
      </c>
      <c r="M3148">
        <v>0.68141592920353999</v>
      </c>
      <c r="N3148">
        <v>1</v>
      </c>
      <c r="O3148">
        <v>0.75486725663716803</v>
      </c>
      <c r="P3148" t="s">
        <v>1177</v>
      </c>
      <c r="Q3148" t="s">
        <v>1178</v>
      </c>
      <c r="R3148" t="s">
        <v>516</v>
      </c>
      <c r="S3148" t="s">
        <v>517</v>
      </c>
      <c r="T3148" t="s">
        <v>1179</v>
      </c>
      <c r="U3148" t="s">
        <v>1180</v>
      </c>
      <c r="V3148" t="s">
        <v>1181</v>
      </c>
      <c r="W3148" t="s">
        <v>1182</v>
      </c>
      <c r="AD3148" t="s">
        <v>1183</v>
      </c>
      <c r="AE3148" t="s">
        <v>1184</v>
      </c>
      <c r="AF3148" t="s">
        <v>1186</v>
      </c>
    </row>
    <row r="3149" spans="1:32" hidden="1" x14ac:dyDescent="0.35">
      <c r="A3149">
        <v>586</v>
      </c>
      <c r="B3149" t="s">
        <v>1176</v>
      </c>
      <c r="C3149" t="s">
        <v>72</v>
      </c>
      <c r="D3149" t="s">
        <v>62</v>
      </c>
      <c r="E3149">
        <v>1565</v>
      </c>
      <c r="F3149">
        <v>5</v>
      </c>
      <c r="G3149">
        <v>5</v>
      </c>
      <c r="H3149">
        <v>1</v>
      </c>
      <c r="I3149">
        <v>1</v>
      </c>
      <c r="J3149">
        <v>0.83149847094801199</v>
      </c>
      <c r="K3149">
        <v>0.96539626352015595</v>
      </c>
      <c r="L3149">
        <v>0.89345858895125396</v>
      </c>
      <c r="M3149">
        <v>0.68141592920353999</v>
      </c>
      <c r="N3149">
        <v>1</v>
      </c>
      <c r="O3149">
        <v>0.75486725663716803</v>
      </c>
      <c r="P3149" t="s">
        <v>1177</v>
      </c>
      <c r="Q3149" t="s">
        <v>1178</v>
      </c>
      <c r="R3149" t="s">
        <v>516</v>
      </c>
      <c r="S3149" t="s">
        <v>517</v>
      </c>
      <c r="T3149" t="s">
        <v>1179</v>
      </c>
      <c r="U3149" t="s">
        <v>1180</v>
      </c>
      <c r="V3149" t="s">
        <v>1181</v>
      </c>
      <c r="W3149" t="s">
        <v>1182</v>
      </c>
      <c r="AD3149" t="s">
        <v>1183</v>
      </c>
      <c r="AE3149" t="s">
        <v>1184</v>
      </c>
      <c r="AF3149" t="s">
        <v>1186</v>
      </c>
    </row>
    <row r="3150" spans="1:32" hidden="1" x14ac:dyDescent="0.35">
      <c r="A3150">
        <v>587</v>
      </c>
      <c r="B3150" t="s">
        <v>1176</v>
      </c>
      <c r="C3150" t="s">
        <v>72</v>
      </c>
      <c r="D3150" t="s">
        <v>34</v>
      </c>
      <c r="E3150">
        <v>1954</v>
      </c>
      <c r="F3150">
        <v>5</v>
      </c>
      <c r="G3150">
        <v>5</v>
      </c>
      <c r="H3150">
        <v>1</v>
      </c>
      <c r="I3150">
        <v>1</v>
      </c>
      <c r="J3150">
        <v>0.83149847094801199</v>
      </c>
      <c r="K3150">
        <v>0.96539626352015595</v>
      </c>
      <c r="L3150">
        <v>0.89345858895125396</v>
      </c>
      <c r="M3150">
        <v>0.68141592920353999</v>
      </c>
      <c r="N3150">
        <v>1</v>
      </c>
      <c r="O3150">
        <v>0.75486725663716803</v>
      </c>
      <c r="P3150" t="s">
        <v>1177</v>
      </c>
      <c r="Q3150" t="s">
        <v>1178</v>
      </c>
      <c r="R3150" t="s">
        <v>516</v>
      </c>
      <c r="S3150" t="s">
        <v>517</v>
      </c>
      <c r="T3150" t="s">
        <v>1179</v>
      </c>
      <c r="U3150" t="s">
        <v>1180</v>
      </c>
      <c r="V3150" t="s">
        <v>1181</v>
      </c>
      <c r="W3150" t="s">
        <v>1182</v>
      </c>
      <c r="AD3150" t="s">
        <v>1183</v>
      </c>
      <c r="AE3150" t="s">
        <v>1184</v>
      </c>
      <c r="AF3150" t="s">
        <v>1187</v>
      </c>
    </row>
    <row r="3151" spans="1:32" hidden="1" x14ac:dyDescent="0.35">
      <c r="A3151">
        <v>588</v>
      </c>
      <c r="B3151" t="s">
        <v>1176</v>
      </c>
      <c r="C3151" t="s">
        <v>72</v>
      </c>
      <c r="D3151" t="s">
        <v>45</v>
      </c>
      <c r="E3151">
        <v>919</v>
      </c>
      <c r="F3151">
        <v>5</v>
      </c>
      <c r="G3151">
        <v>5</v>
      </c>
      <c r="H3151">
        <v>1</v>
      </c>
      <c r="I3151">
        <v>1</v>
      </c>
      <c r="J3151">
        <v>0.83149847094801199</v>
      </c>
      <c r="K3151">
        <v>0.96539626352015595</v>
      </c>
      <c r="L3151">
        <v>0.89345858895125396</v>
      </c>
      <c r="M3151">
        <v>0.68141592920353999</v>
      </c>
      <c r="N3151">
        <v>1</v>
      </c>
      <c r="O3151">
        <v>0.75486725663716803</v>
      </c>
      <c r="P3151" t="s">
        <v>1177</v>
      </c>
      <c r="Q3151" t="s">
        <v>1178</v>
      </c>
      <c r="R3151" t="s">
        <v>516</v>
      </c>
      <c r="S3151" t="s">
        <v>517</v>
      </c>
      <c r="T3151" t="s">
        <v>1179</v>
      </c>
      <c r="U3151" t="s">
        <v>1180</v>
      </c>
      <c r="V3151" t="s">
        <v>1181</v>
      </c>
      <c r="W3151" t="s">
        <v>1182</v>
      </c>
      <c r="AD3151" t="s">
        <v>1183</v>
      </c>
      <c r="AE3151" t="s">
        <v>1184</v>
      </c>
      <c r="AF3151" t="s">
        <v>1187</v>
      </c>
    </row>
    <row r="3152" spans="1:32" hidden="1" x14ac:dyDescent="0.35">
      <c r="A3152">
        <v>3029</v>
      </c>
      <c r="B3152" t="s">
        <v>6261</v>
      </c>
      <c r="C3152" t="s">
        <v>72</v>
      </c>
      <c r="D3152" t="s">
        <v>58</v>
      </c>
      <c r="E3152">
        <v>999</v>
      </c>
      <c r="F3152">
        <v>5</v>
      </c>
      <c r="G3152">
        <v>5</v>
      </c>
      <c r="H3152">
        <v>1</v>
      </c>
      <c r="I3152">
        <v>1</v>
      </c>
      <c r="J3152">
        <v>0.80278291230232102</v>
      </c>
      <c r="K3152">
        <v>0.94116655131189497</v>
      </c>
      <c r="L3152">
        <v>0.86648431137203297</v>
      </c>
      <c r="M3152">
        <v>0.61794500723588996</v>
      </c>
      <c r="N3152">
        <v>1</v>
      </c>
      <c r="O3152">
        <v>0.71505065123010103</v>
      </c>
      <c r="P3152" t="s">
        <v>6262</v>
      </c>
      <c r="Q3152" t="s">
        <v>6263</v>
      </c>
      <c r="R3152" t="s">
        <v>371</v>
      </c>
      <c r="S3152" t="s">
        <v>372</v>
      </c>
      <c r="T3152" t="s">
        <v>6264</v>
      </c>
      <c r="U3152" t="s">
        <v>6265</v>
      </c>
      <c r="V3152" t="s">
        <v>6266</v>
      </c>
      <c r="W3152" t="s">
        <v>6267</v>
      </c>
      <c r="AD3152" t="s">
        <v>6268</v>
      </c>
      <c r="AE3152" t="s">
        <v>6269</v>
      </c>
      <c r="AF3152" t="s">
        <v>6270</v>
      </c>
    </row>
    <row r="3153" spans="1:32" hidden="1" x14ac:dyDescent="0.35">
      <c r="A3153">
        <v>1305</v>
      </c>
      <c r="B3153" t="s">
        <v>2703</v>
      </c>
      <c r="C3153" t="s">
        <v>72</v>
      </c>
      <c r="D3153" t="s">
        <v>60</v>
      </c>
      <c r="E3153">
        <v>453</v>
      </c>
      <c r="F3153">
        <v>5</v>
      </c>
      <c r="G3153">
        <v>5</v>
      </c>
      <c r="H3153">
        <v>1</v>
      </c>
      <c r="I3153">
        <v>1</v>
      </c>
      <c r="J3153">
        <v>0.69997603642463502</v>
      </c>
      <c r="K3153">
        <v>0.96011693115379804</v>
      </c>
      <c r="L3153">
        <v>0.80966410568384894</v>
      </c>
      <c r="M3153">
        <v>0.50689655172413794</v>
      </c>
      <c r="N3153">
        <v>1</v>
      </c>
      <c r="O3153">
        <v>0.61655172413793102</v>
      </c>
      <c r="P3153" t="s">
        <v>2704</v>
      </c>
      <c r="Q3153" t="s">
        <v>2705</v>
      </c>
      <c r="R3153" t="s">
        <v>516</v>
      </c>
      <c r="S3153" t="s">
        <v>517</v>
      </c>
      <c r="V3153" t="s">
        <v>2706</v>
      </c>
      <c r="W3153" t="s">
        <v>2707</v>
      </c>
      <c r="AF3153" t="s">
        <v>2709</v>
      </c>
    </row>
    <row r="3154" spans="1:32" hidden="1" x14ac:dyDescent="0.35">
      <c r="A3154">
        <v>1306</v>
      </c>
      <c r="B3154" t="s">
        <v>2703</v>
      </c>
      <c r="C3154" t="s">
        <v>72</v>
      </c>
      <c r="D3154" t="s">
        <v>62</v>
      </c>
      <c r="E3154">
        <v>534</v>
      </c>
      <c r="F3154">
        <v>5</v>
      </c>
      <c r="G3154">
        <v>5</v>
      </c>
      <c r="H3154">
        <v>1</v>
      </c>
      <c r="I3154">
        <v>1</v>
      </c>
      <c r="J3154">
        <v>0.69997603642463502</v>
      </c>
      <c r="K3154">
        <v>0.96011693115379804</v>
      </c>
      <c r="L3154">
        <v>0.80966410568384894</v>
      </c>
      <c r="M3154">
        <v>0.50689655172413794</v>
      </c>
      <c r="N3154">
        <v>1</v>
      </c>
      <c r="O3154">
        <v>0.61655172413793102</v>
      </c>
      <c r="P3154" t="s">
        <v>2704</v>
      </c>
      <c r="Q3154" t="s">
        <v>2705</v>
      </c>
      <c r="R3154" t="s">
        <v>516</v>
      </c>
      <c r="S3154" t="s">
        <v>517</v>
      </c>
      <c r="V3154" t="s">
        <v>2706</v>
      </c>
      <c r="W3154" t="s">
        <v>2707</v>
      </c>
      <c r="AF3154" t="s">
        <v>2709</v>
      </c>
    </row>
    <row r="3155" spans="1:32" hidden="1" x14ac:dyDescent="0.35">
      <c r="A3155">
        <v>1307</v>
      </c>
      <c r="B3155" t="s">
        <v>2703</v>
      </c>
      <c r="C3155" t="s">
        <v>72</v>
      </c>
      <c r="D3155" t="s">
        <v>34</v>
      </c>
      <c r="E3155">
        <v>632</v>
      </c>
      <c r="F3155">
        <v>5</v>
      </c>
      <c r="G3155">
        <v>5</v>
      </c>
      <c r="H3155">
        <v>1</v>
      </c>
      <c r="I3155">
        <v>1</v>
      </c>
      <c r="J3155">
        <v>0.69997603642463502</v>
      </c>
      <c r="K3155">
        <v>0.96011693115379804</v>
      </c>
      <c r="L3155">
        <v>0.80966410568384894</v>
      </c>
      <c r="M3155">
        <v>0.50689655172413794</v>
      </c>
      <c r="N3155">
        <v>1</v>
      </c>
      <c r="O3155">
        <v>0.61655172413793102</v>
      </c>
      <c r="P3155" t="s">
        <v>2704</v>
      </c>
      <c r="Q3155" t="s">
        <v>2705</v>
      </c>
      <c r="R3155" t="s">
        <v>516</v>
      </c>
      <c r="S3155" t="s">
        <v>517</v>
      </c>
      <c r="V3155" t="s">
        <v>2706</v>
      </c>
      <c r="W3155" t="s">
        <v>2707</v>
      </c>
      <c r="AF3155" t="e">
        <f>--MAENLSKLMSKLSKRGPHRVMVGNLDYVGLPGKLYTPSEGKQLPAIAFGHDWLKDVKAYHAALRHFASWGIVVVAPNTEKNFNPNHRGFASDLETCLQIATGVKLGNGNVSVAPGRLGLVGHGMGGGAAVLAAAGRPNVGAVVAAYPSSVTPSAEAAAASVTAPGLILGTGEYAVLDFGNPAAIAAKWKGEVAYREITGADQSALAHDPVAKLLTGQG-TKANVREKVCGLITGFLLATLGSDKKYQGFTAADAYAKNPVPFRHTTDVVSFTGSKLLEKADFAQTSST</f>
        <v>#NAME?</v>
      </c>
    </row>
    <row r="3156" spans="1:32" hidden="1" x14ac:dyDescent="0.35">
      <c r="A3156">
        <v>1308</v>
      </c>
      <c r="B3156" t="s">
        <v>2703</v>
      </c>
      <c r="C3156" t="s">
        <v>72</v>
      </c>
      <c r="D3156" t="s">
        <v>45</v>
      </c>
      <c r="E3156">
        <v>1898</v>
      </c>
      <c r="F3156">
        <v>5</v>
      </c>
      <c r="G3156">
        <v>5</v>
      </c>
      <c r="H3156">
        <v>1</v>
      </c>
      <c r="I3156">
        <v>1</v>
      </c>
      <c r="J3156">
        <v>0.69997603642463502</v>
      </c>
      <c r="K3156">
        <v>0.96011693115379804</v>
      </c>
      <c r="L3156">
        <v>0.80966410568384894</v>
      </c>
      <c r="M3156">
        <v>0.50689655172413794</v>
      </c>
      <c r="N3156">
        <v>1</v>
      </c>
      <c r="O3156">
        <v>0.61655172413793102</v>
      </c>
      <c r="P3156" t="s">
        <v>2704</v>
      </c>
      <c r="Q3156" t="s">
        <v>2705</v>
      </c>
      <c r="R3156" t="s">
        <v>516</v>
      </c>
      <c r="S3156" t="s">
        <v>517</v>
      </c>
      <c r="V3156" t="s">
        <v>2706</v>
      </c>
      <c r="W3156" t="s">
        <v>2707</v>
      </c>
      <c r="AF3156" t="e">
        <f>--MAENLSKLMSKLSKRGPHRVMVGNLDYVGLPGKLYTPSEGKQLPAIAFGHDWLKDVKAYHAALRHFASWGIVVVAPNTEKNFNPNHRGFASDLETCLQIATGVKLGNGNVSVAPGRLGLVGHGMGGGAAVLAAAGRPNVGAVVAAYPSSVTPSAEAAAASVTAPGLILGTGEYAVLDFGNPAAIAAKWKGEVAYREITGADQSALAHDPVAKLLTGQG-TKANVREKVCGLITGFLLATLGSDKKYQGFTAANAYAKNPVPFRHTADVVSFTGSKLLEKADFAQTSST</f>
        <v>#NAME?</v>
      </c>
    </row>
    <row r="3157" spans="1:32" hidden="1" x14ac:dyDescent="0.35">
      <c r="A3157">
        <v>1994</v>
      </c>
      <c r="B3157" t="s">
        <v>4130</v>
      </c>
      <c r="C3157" t="s">
        <v>72</v>
      </c>
      <c r="D3157" t="s">
        <v>58</v>
      </c>
      <c r="E3157">
        <v>1526</v>
      </c>
      <c r="F3157">
        <v>5</v>
      </c>
      <c r="G3157">
        <v>5</v>
      </c>
      <c r="H3157">
        <v>1</v>
      </c>
      <c r="I3157">
        <v>1</v>
      </c>
      <c r="J3157">
        <v>0.76387039502885001</v>
      </c>
      <c r="K3157">
        <v>0.94663412892089904</v>
      </c>
      <c r="L3157">
        <v>0.84548830579748002</v>
      </c>
      <c r="M3157">
        <v>0.55660377358490598</v>
      </c>
      <c r="N3157">
        <v>1</v>
      </c>
      <c r="O3157">
        <v>0.69433962264150995</v>
      </c>
      <c r="P3157" t="s">
        <v>4131</v>
      </c>
      <c r="Q3157" t="s">
        <v>4132</v>
      </c>
      <c r="R3157" t="s">
        <v>371</v>
      </c>
      <c r="S3157" t="s">
        <v>372</v>
      </c>
      <c r="T3157" t="s">
        <v>4133</v>
      </c>
      <c r="U3157" t="s">
        <v>4134</v>
      </c>
      <c r="V3157" t="s">
        <v>4135</v>
      </c>
      <c r="W3157" t="s">
        <v>4136</v>
      </c>
      <c r="AD3157" t="s">
        <v>1437</v>
      </c>
      <c r="AE3157" t="s">
        <v>4137</v>
      </c>
      <c r="AF3157" t="s">
        <v>4138</v>
      </c>
    </row>
    <row r="3158" spans="1:32" hidden="1" x14ac:dyDescent="0.35">
      <c r="A3158">
        <v>3670</v>
      </c>
      <c r="B3158" t="s">
        <v>7560</v>
      </c>
      <c r="C3158" t="s">
        <v>72</v>
      </c>
      <c r="D3158" t="s">
        <v>60</v>
      </c>
      <c r="E3158">
        <v>538</v>
      </c>
      <c r="F3158">
        <v>5</v>
      </c>
      <c r="G3158">
        <v>5</v>
      </c>
      <c r="H3158">
        <v>1</v>
      </c>
      <c r="I3158">
        <v>1</v>
      </c>
      <c r="J3158">
        <v>0.79569298729983395</v>
      </c>
      <c r="K3158">
        <v>0.89397517627740497</v>
      </c>
      <c r="L3158">
        <v>0.84197571324074705</v>
      </c>
      <c r="M3158">
        <v>0.55392156862745101</v>
      </c>
      <c r="N3158">
        <v>0.99019607843137303</v>
      </c>
      <c r="O3158">
        <v>0.67058823529411804</v>
      </c>
      <c r="P3158" t="s">
        <v>7561</v>
      </c>
      <c r="Q3158" t="s">
        <v>7562</v>
      </c>
      <c r="R3158" t="s">
        <v>516</v>
      </c>
      <c r="S3158" t="s">
        <v>517</v>
      </c>
      <c r="T3158" t="s">
        <v>7563</v>
      </c>
      <c r="U3158" t="s">
        <v>7564</v>
      </c>
      <c r="V3158" t="s">
        <v>7565</v>
      </c>
      <c r="W3158" t="s">
        <v>7566</v>
      </c>
      <c r="AD3158" t="s">
        <v>410</v>
      </c>
      <c r="AE3158" t="s">
        <v>7567</v>
      </c>
      <c r="AF3158" t="s">
        <v>7569</v>
      </c>
    </row>
    <row r="3159" spans="1:32" hidden="1" x14ac:dyDescent="0.35">
      <c r="A3159">
        <v>3671</v>
      </c>
      <c r="B3159" t="s">
        <v>7560</v>
      </c>
      <c r="C3159" t="s">
        <v>72</v>
      </c>
      <c r="D3159" t="s">
        <v>62</v>
      </c>
      <c r="E3159">
        <v>622</v>
      </c>
      <c r="F3159">
        <v>5</v>
      </c>
      <c r="G3159">
        <v>5</v>
      </c>
      <c r="H3159">
        <v>1</v>
      </c>
      <c r="I3159">
        <v>1</v>
      </c>
      <c r="J3159">
        <v>0.79569298729983395</v>
      </c>
      <c r="K3159">
        <v>0.89397517627740497</v>
      </c>
      <c r="L3159">
        <v>0.84197571324074705</v>
      </c>
      <c r="M3159">
        <v>0.55392156862745101</v>
      </c>
      <c r="N3159">
        <v>0.99019607843137303</v>
      </c>
      <c r="O3159">
        <v>0.67058823529411804</v>
      </c>
      <c r="P3159" t="s">
        <v>7561</v>
      </c>
      <c r="Q3159" t="s">
        <v>7562</v>
      </c>
      <c r="R3159" t="s">
        <v>516</v>
      </c>
      <c r="S3159" t="s">
        <v>517</v>
      </c>
      <c r="T3159" t="s">
        <v>7563</v>
      </c>
      <c r="U3159" t="s">
        <v>7564</v>
      </c>
      <c r="V3159" t="s">
        <v>7565</v>
      </c>
      <c r="W3159" t="s">
        <v>7566</v>
      </c>
      <c r="AD3159" t="s">
        <v>410</v>
      </c>
      <c r="AE3159" t="s">
        <v>7567</v>
      </c>
      <c r="AF3159" t="s">
        <v>7570</v>
      </c>
    </row>
    <row r="3160" spans="1:32" hidden="1" x14ac:dyDescent="0.35">
      <c r="A3160">
        <v>3672</v>
      </c>
      <c r="B3160" t="s">
        <v>7560</v>
      </c>
      <c r="C3160" t="s">
        <v>72</v>
      </c>
      <c r="D3160" t="s">
        <v>34</v>
      </c>
      <c r="E3160">
        <v>550</v>
      </c>
      <c r="F3160">
        <v>5</v>
      </c>
      <c r="G3160">
        <v>5</v>
      </c>
      <c r="H3160">
        <v>1</v>
      </c>
      <c r="I3160">
        <v>1</v>
      </c>
      <c r="J3160">
        <v>0.79569298729983395</v>
      </c>
      <c r="K3160">
        <v>0.89397517627740497</v>
      </c>
      <c r="L3160">
        <v>0.84197571324074705</v>
      </c>
      <c r="M3160">
        <v>0.55392156862745101</v>
      </c>
      <c r="N3160">
        <v>0.99019607843137303</v>
      </c>
      <c r="O3160">
        <v>0.67058823529411804</v>
      </c>
      <c r="P3160" t="s">
        <v>7561</v>
      </c>
      <c r="Q3160" t="s">
        <v>7562</v>
      </c>
      <c r="R3160" t="s">
        <v>516</v>
      </c>
      <c r="S3160" t="s">
        <v>517</v>
      </c>
      <c r="T3160" t="s">
        <v>7563</v>
      </c>
      <c r="U3160" t="s">
        <v>7564</v>
      </c>
      <c r="V3160" t="s">
        <v>7565</v>
      </c>
      <c r="W3160" t="s">
        <v>7566</v>
      </c>
      <c r="AD3160" t="s">
        <v>410</v>
      </c>
      <c r="AE3160" t="s">
        <v>7567</v>
      </c>
      <c r="AF3160" t="e">
        <f>-----------------------MLHPANVDEDAIIATLTGAAPEDVVLALARAKATMVATEYPHDVVIGADSMLLLDGELQGKPHTETEAINRWHRQRGKTAQLITGHHIIAPS--TNYCAAATTTVRFAADITDADIAAYAATGEPLPCAGAFTLEALGGWFIDRIEGDPSNVIGLSLPVVRRALYHFGYDVHDFWNRRKAE</f>
        <v>#NAME?</v>
      </c>
    </row>
    <row r="3161" spans="1:32" hidden="1" x14ac:dyDescent="0.35">
      <c r="A3161">
        <v>3673</v>
      </c>
      <c r="B3161" t="s">
        <v>7560</v>
      </c>
      <c r="C3161" t="s">
        <v>72</v>
      </c>
      <c r="D3161" t="s">
        <v>45</v>
      </c>
      <c r="E3161">
        <v>1817</v>
      </c>
      <c r="F3161">
        <v>5</v>
      </c>
      <c r="G3161">
        <v>5</v>
      </c>
      <c r="H3161">
        <v>1</v>
      </c>
      <c r="I3161">
        <v>1</v>
      </c>
      <c r="J3161">
        <v>0.79569298729983395</v>
      </c>
      <c r="K3161">
        <v>0.89397517627740497</v>
      </c>
      <c r="L3161">
        <v>0.84197571324074705</v>
      </c>
      <c r="M3161">
        <v>0.55392156862745101</v>
      </c>
      <c r="N3161">
        <v>0.99019607843137303</v>
      </c>
      <c r="O3161">
        <v>0.67058823529411804</v>
      </c>
      <c r="P3161" t="s">
        <v>7561</v>
      </c>
      <c r="Q3161" t="s">
        <v>7562</v>
      </c>
      <c r="R3161" t="s">
        <v>516</v>
      </c>
      <c r="S3161" t="s">
        <v>517</v>
      </c>
      <c r="T3161" t="s">
        <v>7563</v>
      </c>
      <c r="U3161" t="s">
        <v>7564</v>
      </c>
      <c r="V3161" t="s">
        <v>7565</v>
      </c>
      <c r="W3161" t="s">
        <v>7566</v>
      </c>
      <c r="AD3161" t="s">
        <v>410</v>
      </c>
      <c r="AE3161" t="s">
        <v>7567</v>
      </c>
      <c r="AF3161" t="e">
        <f>-----------------------MLHPADVDEDAIIATLTDVAPEDVVLALAHAKATMVATEHPHDVVIGADSMLLLDGELQGKPHTETEAINRWHRQRGKTAQLITGHHIIAPS--TNYCAAATTTVRFAADITDADIAAYAATGEPLPCAGAFTLEALGGWFIDRIEGDPSNVIGLSLPVVRRALYHFGYDVHDFWNRRKAE</f>
        <v>#NAME?</v>
      </c>
    </row>
    <row r="3162" spans="1:32" hidden="1" x14ac:dyDescent="0.35">
      <c r="A3162">
        <v>4444</v>
      </c>
      <c r="B3162" t="s">
        <v>9253</v>
      </c>
      <c r="C3162" t="s">
        <v>72</v>
      </c>
      <c r="D3162" t="s">
        <v>58</v>
      </c>
      <c r="E3162">
        <v>1720</v>
      </c>
      <c r="F3162">
        <v>5</v>
      </c>
      <c r="G3162">
        <v>5</v>
      </c>
      <c r="H3162">
        <v>1</v>
      </c>
      <c r="I3162">
        <v>1</v>
      </c>
      <c r="J3162">
        <v>0.750970402717128</v>
      </c>
      <c r="K3162">
        <v>0.82950201602345996</v>
      </c>
      <c r="L3162">
        <v>0.78828514264639304</v>
      </c>
      <c r="M3162">
        <v>0.53097345132743401</v>
      </c>
      <c r="N3162">
        <v>0.98525073746312697</v>
      </c>
      <c r="O3162">
        <v>0.64218289085545699</v>
      </c>
      <c r="P3162" t="s">
        <v>4131</v>
      </c>
      <c r="Q3162" t="s">
        <v>4132</v>
      </c>
      <c r="R3162" t="s">
        <v>371</v>
      </c>
      <c r="S3162" t="s">
        <v>372</v>
      </c>
      <c r="T3162" t="s">
        <v>4133</v>
      </c>
      <c r="U3162" t="s">
        <v>4134</v>
      </c>
      <c r="V3162" t="s">
        <v>4135</v>
      </c>
      <c r="W3162" t="s">
        <v>4136</v>
      </c>
      <c r="AD3162" t="s">
        <v>1437</v>
      </c>
      <c r="AE3162" t="s">
        <v>4137</v>
      </c>
      <c r="AF3162" t="e">
        <f>----------------------------MGFRVATWNINSIRSRVDRVVALLERHDIDVLLLQETKCPPDAFPFEAFFERGYDVAHNGVNQWNGVAIVSRVGIDHDSVRMSFAGQPGFAKDPAAEQSLEPRAVFAQCGGVDCWSLYVPNGRSLKDRHFDYKIAWLKAFAEQVSS---------SGLTVVGGDFNVAPLDEDVWDIAYFSGSTHVSETERAALDLFDDAGLVEVTRPLTGPGFTYWDYTQGRFAKNEGMRIDFQFASPDLASHARAALIDVEERSAERTSDHAPVVVDYD-----LEPSREWMLAP-----------EDCPQREQEDCAS</f>
        <v>#NAME?</v>
      </c>
    </row>
    <row r="3163" spans="1:32" hidden="1" x14ac:dyDescent="0.35">
      <c r="A3163">
        <v>3915</v>
      </c>
      <c r="B3163" t="s">
        <v>8067</v>
      </c>
      <c r="C3163" t="s">
        <v>72</v>
      </c>
      <c r="D3163" t="s">
        <v>60</v>
      </c>
      <c r="E3163">
        <v>2000</v>
      </c>
      <c r="F3163">
        <v>5</v>
      </c>
      <c r="G3163">
        <v>5</v>
      </c>
      <c r="H3163">
        <v>1</v>
      </c>
      <c r="I3163">
        <v>1</v>
      </c>
      <c r="J3163">
        <v>0.76111944027986</v>
      </c>
      <c r="K3163">
        <v>0.94980365605958095</v>
      </c>
      <c r="L3163">
        <v>0.84505730108211696</v>
      </c>
      <c r="M3163">
        <v>0.52132701421800998</v>
      </c>
      <c r="N3163">
        <v>0.98104265402843605</v>
      </c>
      <c r="O3163">
        <v>0.67772511848341199</v>
      </c>
      <c r="P3163" t="s">
        <v>8068</v>
      </c>
      <c r="Q3163" t="s">
        <v>8069</v>
      </c>
      <c r="R3163" t="s">
        <v>516</v>
      </c>
      <c r="S3163" t="s">
        <v>517</v>
      </c>
      <c r="V3163" t="s">
        <v>8070</v>
      </c>
      <c r="W3163" t="s">
        <v>8071</v>
      </c>
      <c r="AF3163" t="s">
        <v>8073</v>
      </c>
    </row>
    <row r="3164" spans="1:32" hidden="1" x14ac:dyDescent="0.35">
      <c r="A3164">
        <v>3916</v>
      </c>
      <c r="B3164" t="s">
        <v>8067</v>
      </c>
      <c r="C3164" t="s">
        <v>72</v>
      </c>
      <c r="D3164" t="s">
        <v>62</v>
      </c>
      <c r="E3164">
        <v>2041</v>
      </c>
      <c r="F3164">
        <v>5</v>
      </c>
      <c r="G3164">
        <v>5</v>
      </c>
      <c r="H3164">
        <v>1</v>
      </c>
      <c r="I3164">
        <v>1</v>
      </c>
      <c r="J3164">
        <v>0.76111944027986</v>
      </c>
      <c r="K3164">
        <v>0.94980365605958095</v>
      </c>
      <c r="L3164">
        <v>0.84505730108211696</v>
      </c>
      <c r="M3164">
        <v>0.52132701421800998</v>
      </c>
      <c r="N3164">
        <v>0.98104265402843605</v>
      </c>
      <c r="O3164">
        <v>0.67772511848341199</v>
      </c>
      <c r="P3164" t="s">
        <v>8068</v>
      </c>
      <c r="Q3164" t="s">
        <v>8069</v>
      </c>
      <c r="R3164" t="s">
        <v>516</v>
      </c>
      <c r="S3164" t="s">
        <v>517</v>
      </c>
      <c r="V3164" t="s">
        <v>8070</v>
      </c>
      <c r="W3164" t="s">
        <v>8071</v>
      </c>
      <c r="AF3164" t="s">
        <v>8074</v>
      </c>
    </row>
    <row r="3165" spans="1:32" hidden="1" x14ac:dyDescent="0.35">
      <c r="A3165">
        <v>3917</v>
      </c>
      <c r="B3165" t="s">
        <v>8067</v>
      </c>
      <c r="C3165" t="s">
        <v>72</v>
      </c>
      <c r="D3165" t="s">
        <v>34</v>
      </c>
      <c r="E3165">
        <v>2357</v>
      </c>
      <c r="F3165">
        <v>5</v>
      </c>
      <c r="G3165">
        <v>5</v>
      </c>
      <c r="H3165">
        <v>1</v>
      </c>
      <c r="I3165">
        <v>1</v>
      </c>
      <c r="J3165">
        <v>0.76111944027986</v>
      </c>
      <c r="K3165">
        <v>0.94980365605958095</v>
      </c>
      <c r="L3165">
        <v>0.84505730108211696</v>
      </c>
      <c r="M3165">
        <v>0.52132701421800998</v>
      </c>
      <c r="N3165">
        <v>0.98104265402843605</v>
      </c>
      <c r="O3165">
        <v>0.67772511848341199</v>
      </c>
      <c r="P3165" t="s">
        <v>8068</v>
      </c>
      <c r="Q3165" t="s">
        <v>8069</v>
      </c>
      <c r="R3165" t="s">
        <v>516</v>
      </c>
      <c r="S3165" t="s">
        <v>517</v>
      </c>
      <c r="V3165" t="s">
        <v>8070</v>
      </c>
      <c r="W3165" t="s">
        <v>8071</v>
      </c>
      <c r="AF3165" t="e">
        <f>---MSEKVTFWFDVSCPFCWITSRWIKEVEQVRDITIDWVPMSLSVLNDGRDLDPD-YMKKMEANWGPARVFAAVAAREPEKLDELYTILGTKIHHGQQGGKQGYGAYNELIREALADAGLDPAYADVADTDTVDDKLRAFHQTAMDEVGNDVGTPVVKFGDTAFFGP------------EAYSGVVNNDPYHPVNDHPRKHRKTRPVVYL</f>
        <v>#NAME?</v>
      </c>
    </row>
    <row r="3166" spans="1:32" hidden="1" x14ac:dyDescent="0.35">
      <c r="A3166">
        <v>3918</v>
      </c>
      <c r="B3166" t="s">
        <v>8067</v>
      </c>
      <c r="C3166" t="s">
        <v>72</v>
      </c>
      <c r="D3166" t="s">
        <v>45</v>
      </c>
      <c r="E3166">
        <v>523</v>
      </c>
      <c r="F3166">
        <v>5</v>
      </c>
      <c r="G3166">
        <v>5</v>
      </c>
      <c r="H3166">
        <v>1</v>
      </c>
      <c r="I3166">
        <v>1</v>
      </c>
      <c r="J3166">
        <v>0.76111944027986</v>
      </c>
      <c r="K3166">
        <v>0.94980365605958095</v>
      </c>
      <c r="L3166">
        <v>0.84505730108211696</v>
      </c>
      <c r="M3166">
        <v>0.52132701421800998</v>
      </c>
      <c r="N3166">
        <v>0.98104265402843605</v>
      </c>
      <c r="O3166">
        <v>0.67772511848341199</v>
      </c>
      <c r="P3166" t="s">
        <v>8068</v>
      </c>
      <c r="Q3166" t="s">
        <v>8069</v>
      </c>
      <c r="R3166" t="s">
        <v>516</v>
      </c>
      <c r="S3166" t="s">
        <v>517</v>
      </c>
      <c r="V3166" t="s">
        <v>8070</v>
      </c>
      <c r="W3166" t="s">
        <v>8071</v>
      </c>
      <c r="AF3166" t="s">
        <v>8075</v>
      </c>
    </row>
    <row r="3167" spans="1:32" hidden="1" x14ac:dyDescent="0.35">
      <c r="A3167">
        <v>11006</v>
      </c>
      <c r="B3167" t="s">
        <v>22222</v>
      </c>
      <c r="C3167" t="s">
        <v>33</v>
      </c>
      <c r="D3167" t="s">
        <v>58</v>
      </c>
      <c r="E3167">
        <v>681</v>
      </c>
      <c r="F3167">
        <v>1</v>
      </c>
      <c r="G3167">
        <v>1</v>
      </c>
      <c r="H3167">
        <v>1</v>
      </c>
      <c r="I3167">
        <v>0</v>
      </c>
      <c r="J3167">
        <v>1</v>
      </c>
      <c r="K3167">
        <v>1</v>
      </c>
      <c r="L3167">
        <v>1</v>
      </c>
      <c r="M3167">
        <v>0</v>
      </c>
      <c r="N3167">
        <v>0</v>
      </c>
      <c r="O3167">
        <v>0</v>
      </c>
      <c r="P3167" t="s">
        <v>10312</v>
      </c>
      <c r="Q3167" t="s">
        <v>10313</v>
      </c>
      <c r="R3167" t="s">
        <v>371</v>
      </c>
      <c r="S3167" t="s">
        <v>372</v>
      </c>
      <c r="T3167" t="s">
        <v>10314</v>
      </c>
      <c r="U3167" t="s">
        <v>10315</v>
      </c>
      <c r="V3167" t="s">
        <v>10316</v>
      </c>
      <c r="W3167" t="s">
        <v>10317</v>
      </c>
      <c r="AD3167" t="s">
        <v>1437</v>
      </c>
      <c r="AE3167" t="s">
        <v>1438</v>
      </c>
      <c r="AF3167" t="s">
        <v>22223</v>
      </c>
    </row>
    <row r="3168" spans="1:32" hidden="1" x14ac:dyDescent="0.35">
      <c r="A3168">
        <v>4305</v>
      </c>
      <c r="B3168" t="s">
        <v>8951</v>
      </c>
      <c r="C3168" t="s">
        <v>72</v>
      </c>
      <c r="D3168" t="s">
        <v>60</v>
      </c>
      <c r="E3168">
        <v>1080</v>
      </c>
      <c r="F3168">
        <v>5</v>
      </c>
      <c r="G3168">
        <v>5</v>
      </c>
      <c r="H3168">
        <v>1</v>
      </c>
      <c r="I3168">
        <v>1</v>
      </c>
      <c r="J3168">
        <v>0.86591194968553498</v>
      </c>
      <c r="K3168">
        <v>1</v>
      </c>
      <c r="L3168">
        <v>0.92813806121073195</v>
      </c>
      <c r="M3168">
        <v>0.76603773584905699</v>
      </c>
      <c r="N3168">
        <v>0.99245283018867902</v>
      </c>
      <c r="O3168">
        <v>0.82037735849056603</v>
      </c>
      <c r="P3168" t="s">
        <v>8952</v>
      </c>
      <c r="Q3168" t="s">
        <v>8953</v>
      </c>
      <c r="R3168" t="s">
        <v>516</v>
      </c>
      <c r="S3168" t="s">
        <v>517</v>
      </c>
      <c r="T3168" t="s">
        <v>8954</v>
      </c>
      <c r="U3168" t="s">
        <v>8955</v>
      </c>
      <c r="V3168" t="s">
        <v>8956</v>
      </c>
      <c r="W3168" t="s">
        <v>8957</v>
      </c>
      <c r="Z3168" t="s">
        <v>8958</v>
      </c>
      <c r="AA3168" t="s">
        <v>8959</v>
      </c>
      <c r="AB3168" t="s">
        <v>8958</v>
      </c>
      <c r="AC3168" t="s">
        <v>244</v>
      </c>
      <c r="AD3168" t="s">
        <v>219</v>
      </c>
      <c r="AE3168" t="s">
        <v>8960</v>
      </c>
      <c r="AF3168" t="s">
        <v>8962</v>
      </c>
    </row>
    <row r="3169" spans="1:32" hidden="1" x14ac:dyDescent="0.35">
      <c r="A3169">
        <v>4306</v>
      </c>
      <c r="B3169" t="s">
        <v>8951</v>
      </c>
      <c r="C3169" t="s">
        <v>72</v>
      </c>
      <c r="D3169" t="s">
        <v>62</v>
      </c>
      <c r="E3169">
        <v>1116</v>
      </c>
      <c r="F3169">
        <v>5</v>
      </c>
      <c r="G3169">
        <v>5</v>
      </c>
      <c r="H3169">
        <v>1</v>
      </c>
      <c r="I3169">
        <v>1</v>
      </c>
      <c r="J3169">
        <v>0.86591194968553498</v>
      </c>
      <c r="K3169">
        <v>1</v>
      </c>
      <c r="L3169">
        <v>0.92813806121073195</v>
      </c>
      <c r="M3169">
        <v>0.76603773584905699</v>
      </c>
      <c r="N3169">
        <v>0.99245283018867902</v>
      </c>
      <c r="O3169">
        <v>0.82037735849056603</v>
      </c>
      <c r="P3169" t="s">
        <v>8952</v>
      </c>
      <c r="Q3169" t="s">
        <v>8953</v>
      </c>
      <c r="R3169" t="s">
        <v>516</v>
      </c>
      <c r="S3169" t="s">
        <v>517</v>
      </c>
      <c r="T3169" t="s">
        <v>8954</v>
      </c>
      <c r="U3169" t="s">
        <v>8955</v>
      </c>
      <c r="V3169" t="s">
        <v>8956</v>
      </c>
      <c r="W3169" t="s">
        <v>8957</v>
      </c>
      <c r="Z3169" t="s">
        <v>8958</v>
      </c>
      <c r="AA3169" t="s">
        <v>8959</v>
      </c>
      <c r="AB3169" t="s">
        <v>8958</v>
      </c>
      <c r="AC3169" t="s">
        <v>244</v>
      </c>
      <c r="AD3169" t="s">
        <v>219</v>
      </c>
      <c r="AE3169" t="s">
        <v>8960</v>
      </c>
      <c r="AF3169" t="s">
        <v>8963</v>
      </c>
    </row>
    <row r="3170" spans="1:32" hidden="1" x14ac:dyDescent="0.35">
      <c r="A3170">
        <v>4307</v>
      </c>
      <c r="B3170" t="s">
        <v>8951</v>
      </c>
      <c r="C3170" t="s">
        <v>72</v>
      </c>
      <c r="D3170" t="s">
        <v>34</v>
      </c>
      <c r="E3170">
        <v>45</v>
      </c>
      <c r="F3170">
        <v>5</v>
      </c>
      <c r="G3170">
        <v>5</v>
      </c>
      <c r="H3170">
        <v>1</v>
      </c>
      <c r="I3170">
        <v>1</v>
      </c>
      <c r="J3170">
        <v>0.86591194968553498</v>
      </c>
      <c r="K3170">
        <v>1</v>
      </c>
      <c r="L3170">
        <v>0.92813806121073195</v>
      </c>
      <c r="M3170">
        <v>0.76603773584905699</v>
      </c>
      <c r="N3170">
        <v>0.99245283018867902</v>
      </c>
      <c r="O3170">
        <v>0.82037735849056603</v>
      </c>
      <c r="P3170" t="s">
        <v>8952</v>
      </c>
      <c r="Q3170" t="s">
        <v>8953</v>
      </c>
      <c r="R3170" t="s">
        <v>516</v>
      </c>
      <c r="S3170" t="s">
        <v>517</v>
      </c>
      <c r="V3170" t="s">
        <v>8956</v>
      </c>
      <c r="W3170" t="s">
        <v>8957</v>
      </c>
      <c r="AF3170" t="s">
        <v>8964</v>
      </c>
    </row>
    <row r="3171" spans="1:32" hidden="1" x14ac:dyDescent="0.35">
      <c r="A3171">
        <v>4308</v>
      </c>
      <c r="B3171" t="s">
        <v>8951</v>
      </c>
      <c r="C3171" t="s">
        <v>72</v>
      </c>
      <c r="D3171" t="s">
        <v>45</v>
      </c>
      <c r="E3171">
        <v>1302</v>
      </c>
      <c r="F3171">
        <v>5</v>
      </c>
      <c r="G3171">
        <v>5</v>
      </c>
      <c r="H3171">
        <v>1</v>
      </c>
      <c r="I3171">
        <v>1</v>
      </c>
      <c r="J3171">
        <v>0.86591194968553498</v>
      </c>
      <c r="K3171">
        <v>1</v>
      </c>
      <c r="L3171">
        <v>0.92813806121073195</v>
      </c>
      <c r="M3171">
        <v>0.76603773584905699</v>
      </c>
      <c r="N3171">
        <v>0.99245283018867902</v>
      </c>
      <c r="O3171">
        <v>0.82037735849056603</v>
      </c>
      <c r="P3171" t="s">
        <v>8952</v>
      </c>
      <c r="Q3171" t="s">
        <v>8953</v>
      </c>
      <c r="R3171" t="s">
        <v>516</v>
      </c>
      <c r="S3171" t="s">
        <v>517</v>
      </c>
      <c r="V3171" t="s">
        <v>8956</v>
      </c>
      <c r="W3171" t="s">
        <v>8957</v>
      </c>
      <c r="AF3171" t="s">
        <v>8965</v>
      </c>
    </row>
    <row r="3172" spans="1:32" hidden="1" x14ac:dyDescent="0.35">
      <c r="A3172">
        <v>699</v>
      </c>
      <c r="B3172" t="s">
        <v>1430</v>
      </c>
      <c r="C3172" t="s">
        <v>72</v>
      </c>
      <c r="D3172" t="s">
        <v>58</v>
      </c>
      <c r="E3172">
        <v>682</v>
      </c>
      <c r="F3172">
        <v>5</v>
      </c>
      <c r="G3172">
        <v>5</v>
      </c>
      <c r="H3172">
        <v>1</v>
      </c>
      <c r="I3172">
        <v>1</v>
      </c>
      <c r="J3172">
        <v>0.78875638841567297</v>
      </c>
      <c r="K3172">
        <v>0.98084639892202297</v>
      </c>
      <c r="L3172">
        <v>0.87437572854208701</v>
      </c>
      <c r="M3172">
        <v>0.62291169451074002</v>
      </c>
      <c r="N3172">
        <v>1</v>
      </c>
      <c r="O3172">
        <v>0.730310262529833</v>
      </c>
      <c r="P3172" t="s">
        <v>1431</v>
      </c>
      <c r="Q3172" t="s">
        <v>1432</v>
      </c>
      <c r="R3172" t="s">
        <v>371</v>
      </c>
      <c r="S3172" t="s">
        <v>372</v>
      </c>
      <c r="T3172" t="s">
        <v>1433</v>
      </c>
      <c r="U3172" t="s">
        <v>1434</v>
      </c>
      <c r="V3172" t="s">
        <v>1435</v>
      </c>
      <c r="W3172" t="s">
        <v>1436</v>
      </c>
      <c r="AD3172" t="s">
        <v>1437</v>
      </c>
      <c r="AE3172" t="s">
        <v>1438</v>
      </c>
      <c r="AF3172" t="s">
        <v>1439</v>
      </c>
    </row>
    <row r="3173" spans="1:32" hidden="1" x14ac:dyDescent="0.35">
      <c r="A3173">
        <v>1444</v>
      </c>
      <c r="B3173" t="s">
        <v>3021</v>
      </c>
      <c r="C3173" t="s">
        <v>72</v>
      </c>
      <c r="D3173" t="s">
        <v>58</v>
      </c>
      <c r="E3173">
        <v>1127</v>
      </c>
      <c r="F3173">
        <v>5</v>
      </c>
      <c r="G3173">
        <v>5</v>
      </c>
      <c r="H3173">
        <v>1</v>
      </c>
      <c r="I3173">
        <v>1</v>
      </c>
      <c r="J3173">
        <v>0.74944855326326698</v>
      </c>
      <c r="K3173">
        <v>0.79618768328445699</v>
      </c>
      <c r="L3173">
        <v>0.77211143638342705</v>
      </c>
      <c r="M3173">
        <v>0.38123167155425203</v>
      </c>
      <c r="N3173">
        <v>1</v>
      </c>
      <c r="O3173">
        <v>0.57800586510263896</v>
      </c>
      <c r="P3173" t="s">
        <v>3022</v>
      </c>
      <c r="Q3173" t="s">
        <v>3023</v>
      </c>
      <c r="R3173" t="s">
        <v>869</v>
      </c>
      <c r="S3173" t="s">
        <v>870</v>
      </c>
      <c r="T3173" t="s">
        <v>3024</v>
      </c>
      <c r="U3173" t="s">
        <v>3025</v>
      </c>
      <c r="V3173" t="s">
        <v>3026</v>
      </c>
      <c r="W3173" t="s">
        <v>3027</v>
      </c>
      <c r="X3173" t="s">
        <v>3026</v>
      </c>
      <c r="Y3173" t="s">
        <v>3028</v>
      </c>
      <c r="Z3173" t="s">
        <v>3029</v>
      </c>
      <c r="AA3173" t="s">
        <v>3030</v>
      </c>
      <c r="AB3173" t="s">
        <v>3029</v>
      </c>
      <c r="AC3173" t="s">
        <v>1094</v>
      </c>
      <c r="AD3173" t="s">
        <v>191</v>
      </c>
      <c r="AE3173" t="s">
        <v>3031</v>
      </c>
      <c r="AF3173" t="s">
        <v>3032</v>
      </c>
    </row>
    <row r="3174" spans="1:32" hidden="1" x14ac:dyDescent="0.35">
      <c r="A3174">
        <v>11896</v>
      </c>
      <c r="B3174" t="s">
        <v>24500</v>
      </c>
      <c r="C3174" t="s">
        <v>10130</v>
      </c>
      <c r="D3174" t="s">
        <v>58</v>
      </c>
      <c r="E3174">
        <v>1433</v>
      </c>
      <c r="F3174">
        <v>1</v>
      </c>
      <c r="G3174">
        <v>1</v>
      </c>
      <c r="H3174">
        <v>1</v>
      </c>
      <c r="I3174">
        <v>0</v>
      </c>
      <c r="J3174">
        <v>1</v>
      </c>
      <c r="K3174">
        <v>1</v>
      </c>
      <c r="L3174">
        <v>1</v>
      </c>
      <c r="M3174">
        <v>0</v>
      </c>
      <c r="N3174">
        <v>0</v>
      </c>
      <c r="O3174">
        <v>0</v>
      </c>
      <c r="P3174" t="s">
        <v>20027</v>
      </c>
      <c r="Q3174" t="s">
        <v>20028</v>
      </c>
      <c r="R3174" t="s">
        <v>24501</v>
      </c>
      <c r="S3174" t="s">
        <v>24502</v>
      </c>
      <c r="V3174" t="s">
        <v>24503</v>
      </c>
      <c r="W3174" t="s">
        <v>24504</v>
      </c>
      <c r="X3174" t="s">
        <v>24503</v>
      </c>
      <c r="Y3174" t="s">
        <v>2750</v>
      </c>
      <c r="AF3174" t="s">
        <v>24505</v>
      </c>
    </row>
    <row r="3175" spans="1:32" hidden="1" x14ac:dyDescent="0.35">
      <c r="A3175">
        <v>3049</v>
      </c>
      <c r="B3175" t="s">
        <v>6304</v>
      </c>
      <c r="C3175" t="s">
        <v>72</v>
      </c>
      <c r="D3175" t="s">
        <v>58</v>
      </c>
      <c r="E3175">
        <v>60</v>
      </c>
      <c r="F3175">
        <v>5</v>
      </c>
      <c r="G3175">
        <v>5</v>
      </c>
      <c r="H3175">
        <v>1</v>
      </c>
      <c r="I3175">
        <v>1</v>
      </c>
      <c r="J3175">
        <v>0.925600835945664</v>
      </c>
      <c r="K3175">
        <v>0.97495074608254495</v>
      </c>
      <c r="L3175">
        <v>0.94963507869312602</v>
      </c>
      <c r="M3175">
        <v>0.83910386965376804</v>
      </c>
      <c r="N3175">
        <v>1</v>
      </c>
      <c r="O3175">
        <v>0.884725050916497</v>
      </c>
      <c r="P3175" t="s">
        <v>6305</v>
      </c>
      <c r="Q3175" t="s">
        <v>6306</v>
      </c>
      <c r="R3175" t="s">
        <v>652</v>
      </c>
      <c r="S3175" t="s">
        <v>653</v>
      </c>
      <c r="T3175" t="s">
        <v>6307</v>
      </c>
      <c r="U3175" t="s">
        <v>6308</v>
      </c>
      <c r="V3175" t="s">
        <v>6309</v>
      </c>
      <c r="W3175" t="s">
        <v>6310</v>
      </c>
      <c r="AD3175" t="s">
        <v>219</v>
      </c>
      <c r="AE3175" t="s">
        <v>6311</v>
      </c>
      <c r="AF3175" t="s">
        <v>6312</v>
      </c>
    </row>
    <row r="3176" spans="1:32" hidden="1" x14ac:dyDescent="0.35">
      <c r="A3176">
        <v>590</v>
      </c>
      <c r="B3176" t="s">
        <v>1188</v>
      </c>
      <c r="C3176" t="s">
        <v>72</v>
      </c>
      <c r="D3176" t="s">
        <v>60</v>
      </c>
      <c r="E3176">
        <v>1531</v>
      </c>
      <c r="F3176">
        <v>5</v>
      </c>
      <c r="G3176">
        <v>5</v>
      </c>
      <c r="H3176">
        <v>1</v>
      </c>
      <c r="I3176">
        <v>1</v>
      </c>
      <c r="J3176">
        <v>0.81836327345309401</v>
      </c>
      <c r="K3176">
        <v>0.94024709661478001</v>
      </c>
      <c r="L3176">
        <v>0.87508149040510996</v>
      </c>
      <c r="M3176">
        <v>0.63508771929824603</v>
      </c>
      <c r="N3176">
        <v>1</v>
      </c>
      <c r="O3176">
        <v>0.74877192982456098</v>
      </c>
      <c r="P3176" t="s">
        <v>1189</v>
      </c>
      <c r="Q3176" t="s">
        <v>1190</v>
      </c>
      <c r="R3176" t="s">
        <v>1191</v>
      </c>
      <c r="S3176" t="s">
        <v>1192</v>
      </c>
      <c r="V3176" t="s">
        <v>1193</v>
      </c>
      <c r="W3176" t="s">
        <v>1194</v>
      </c>
      <c r="AF3176" t="s">
        <v>1196</v>
      </c>
    </row>
    <row r="3177" spans="1:32" hidden="1" x14ac:dyDescent="0.35">
      <c r="A3177">
        <v>591</v>
      </c>
      <c r="B3177" t="s">
        <v>1188</v>
      </c>
      <c r="C3177" t="s">
        <v>72</v>
      </c>
      <c r="D3177" t="s">
        <v>62</v>
      </c>
      <c r="E3177">
        <v>1566</v>
      </c>
      <c r="F3177">
        <v>5</v>
      </c>
      <c r="G3177">
        <v>5</v>
      </c>
      <c r="H3177">
        <v>1</v>
      </c>
      <c r="I3177">
        <v>1</v>
      </c>
      <c r="J3177">
        <v>0.81836327345309401</v>
      </c>
      <c r="K3177">
        <v>0.94024709661478001</v>
      </c>
      <c r="L3177">
        <v>0.87508149040510996</v>
      </c>
      <c r="M3177">
        <v>0.63508771929824603</v>
      </c>
      <c r="N3177">
        <v>1</v>
      </c>
      <c r="O3177">
        <v>0.74877192982456098</v>
      </c>
      <c r="P3177" t="s">
        <v>1189</v>
      </c>
      <c r="Q3177" t="s">
        <v>1190</v>
      </c>
      <c r="R3177" t="s">
        <v>1191</v>
      </c>
      <c r="S3177" t="s">
        <v>1192</v>
      </c>
      <c r="V3177" t="s">
        <v>1193</v>
      </c>
      <c r="W3177" t="s">
        <v>1194</v>
      </c>
      <c r="AF3177" t="s">
        <v>1196</v>
      </c>
    </row>
    <row r="3178" spans="1:32" hidden="1" x14ac:dyDescent="0.35">
      <c r="A3178">
        <v>592</v>
      </c>
      <c r="B3178" t="s">
        <v>1188</v>
      </c>
      <c r="C3178" t="s">
        <v>72</v>
      </c>
      <c r="D3178" t="s">
        <v>34</v>
      </c>
      <c r="E3178">
        <v>1955</v>
      </c>
      <c r="F3178">
        <v>5</v>
      </c>
      <c r="G3178">
        <v>5</v>
      </c>
      <c r="H3178">
        <v>1</v>
      </c>
      <c r="I3178">
        <v>1</v>
      </c>
      <c r="J3178">
        <v>0.81836327345309401</v>
      </c>
      <c r="K3178">
        <v>0.94024709661478001</v>
      </c>
      <c r="L3178">
        <v>0.87508149040510996</v>
      </c>
      <c r="M3178">
        <v>0.63508771929824603</v>
      </c>
      <c r="N3178">
        <v>1</v>
      </c>
      <c r="O3178">
        <v>0.74877192982456098</v>
      </c>
      <c r="P3178" t="s">
        <v>1189</v>
      </c>
      <c r="Q3178" t="s">
        <v>1190</v>
      </c>
      <c r="R3178" t="s">
        <v>1191</v>
      </c>
      <c r="S3178" t="s">
        <v>1192</v>
      </c>
      <c r="V3178" t="s">
        <v>1193</v>
      </c>
      <c r="W3178" t="s">
        <v>1194</v>
      </c>
      <c r="AF3178" t="s">
        <v>1197</v>
      </c>
    </row>
    <row r="3179" spans="1:32" hidden="1" x14ac:dyDescent="0.35">
      <c r="A3179">
        <v>593</v>
      </c>
      <c r="B3179" t="s">
        <v>1188</v>
      </c>
      <c r="C3179" t="s">
        <v>72</v>
      </c>
      <c r="D3179" t="s">
        <v>45</v>
      </c>
      <c r="E3179">
        <v>918</v>
      </c>
      <c r="F3179">
        <v>5</v>
      </c>
      <c r="G3179">
        <v>5</v>
      </c>
      <c r="H3179">
        <v>1</v>
      </c>
      <c r="I3179">
        <v>1</v>
      </c>
      <c r="J3179">
        <v>0.81836327345309401</v>
      </c>
      <c r="K3179">
        <v>0.94024709661478001</v>
      </c>
      <c r="L3179">
        <v>0.87508149040510996</v>
      </c>
      <c r="M3179">
        <v>0.63508771929824603</v>
      </c>
      <c r="N3179">
        <v>1</v>
      </c>
      <c r="O3179">
        <v>0.74877192982456098</v>
      </c>
      <c r="P3179" t="s">
        <v>1189</v>
      </c>
      <c r="Q3179" t="s">
        <v>1190</v>
      </c>
      <c r="R3179" t="s">
        <v>1191</v>
      </c>
      <c r="S3179" t="s">
        <v>1192</v>
      </c>
      <c r="V3179" t="s">
        <v>1193</v>
      </c>
      <c r="W3179" t="s">
        <v>1194</v>
      </c>
      <c r="AF3179" t="s">
        <v>1197</v>
      </c>
    </row>
    <row r="3180" spans="1:32" hidden="1" x14ac:dyDescent="0.35">
      <c r="A3180">
        <v>11029</v>
      </c>
      <c r="B3180" t="s">
        <v>22279</v>
      </c>
      <c r="C3180" t="s">
        <v>33</v>
      </c>
      <c r="D3180" t="s">
        <v>58</v>
      </c>
      <c r="E3180">
        <v>360</v>
      </c>
      <c r="F3180">
        <v>1</v>
      </c>
      <c r="G3180">
        <v>1</v>
      </c>
      <c r="H3180">
        <v>1</v>
      </c>
      <c r="I3180">
        <v>0</v>
      </c>
      <c r="J3180">
        <v>1</v>
      </c>
      <c r="K3180">
        <v>1</v>
      </c>
      <c r="L3180">
        <v>1</v>
      </c>
      <c r="M3180">
        <v>0</v>
      </c>
      <c r="N3180">
        <v>0</v>
      </c>
      <c r="O3180">
        <v>0</v>
      </c>
      <c r="P3180" t="s">
        <v>22280</v>
      </c>
      <c r="Q3180" t="s">
        <v>22281</v>
      </c>
      <c r="R3180" t="s">
        <v>75</v>
      </c>
      <c r="S3180" t="s">
        <v>76</v>
      </c>
      <c r="T3180" t="s">
        <v>22282</v>
      </c>
      <c r="U3180" t="s">
        <v>22283</v>
      </c>
      <c r="V3180" t="s">
        <v>22284</v>
      </c>
      <c r="W3180" t="s">
        <v>22285</v>
      </c>
      <c r="AD3180" t="s">
        <v>2751</v>
      </c>
      <c r="AE3180" t="s">
        <v>22286</v>
      </c>
      <c r="AF3180" t="s">
        <v>22287</v>
      </c>
    </row>
    <row r="3181" spans="1:32" hidden="1" x14ac:dyDescent="0.35">
      <c r="A3181">
        <v>685</v>
      </c>
      <c r="B3181" t="s">
        <v>1400</v>
      </c>
      <c r="C3181" t="s">
        <v>72</v>
      </c>
      <c r="D3181" t="s">
        <v>60</v>
      </c>
      <c r="E3181">
        <v>923</v>
      </c>
      <c r="F3181">
        <v>5</v>
      </c>
      <c r="G3181">
        <v>5</v>
      </c>
      <c r="H3181">
        <v>1</v>
      </c>
      <c r="I3181">
        <v>1</v>
      </c>
      <c r="J3181">
        <v>0.92448284891332799</v>
      </c>
      <c r="K3181">
        <v>0.993001170046801</v>
      </c>
      <c r="L3181">
        <v>0.95751781144646197</v>
      </c>
      <c r="M3181">
        <v>0.84243369734789397</v>
      </c>
      <c r="N3181">
        <v>1</v>
      </c>
      <c r="O3181">
        <v>0.88705148205928197</v>
      </c>
      <c r="P3181" t="s">
        <v>1401</v>
      </c>
      <c r="Q3181" t="s">
        <v>1402</v>
      </c>
      <c r="R3181" t="s">
        <v>1191</v>
      </c>
      <c r="S3181" t="s">
        <v>1192</v>
      </c>
      <c r="T3181" t="s">
        <v>1403</v>
      </c>
      <c r="U3181" t="s">
        <v>1404</v>
      </c>
      <c r="V3181" t="s">
        <v>1405</v>
      </c>
      <c r="W3181" t="s">
        <v>1406</v>
      </c>
      <c r="AD3181" t="s">
        <v>410</v>
      </c>
      <c r="AE3181" t="s">
        <v>1407</v>
      </c>
      <c r="AF3181" t="s">
        <v>1409</v>
      </c>
    </row>
    <row r="3182" spans="1:32" hidden="1" x14ac:dyDescent="0.35">
      <c r="A3182">
        <v>686</v>
      </c>
      <c r="B3182" t="s">
        <v>1400</v>
      </c>
      <c r="C3182" t="s">
        <v>72</v>
      </c>
      <c r="D3182" t="s">
        <v>62</v>
      </c>
      <c r="E3182">
        <v>959</v>
      </c>
      <c r="F3182">
        <v>5</v>
      </c>
      <c r="G3182">
        <v>5</v>
      </c>
      <c r="H3182">
        <v>1</v>
      </c>
      <c r="I3182">
        <v>1</v>
      </c>
      <c r="J3182">
        <v>0.92448284891332799</v>
      </c>
      <c r="K3182">
        <v>0.993001170046801</v>
      </c>
      <c r="L3182">
        <v>0.95751781144646197</v>
      </c>
      <c r="M3182">
        <v>0.84243369734789397</v>
      </c>
      <c r="N3182">
        <v>1</v>
      </c>
      <c r="O3182">
        <v>0.88705148205928197</v>
      </c>
      <c r="P3182" t="s">
        <v>1401</v>
      </c>
      <c r="Q3182" t="s">
        <v>1402</v>
      </c>
      <c r="R3182" t="s">
        <v>1191</v>
      </c>
      <c r="S3182" t="s">
        <v>1192</v>
      </c>
      <c r="T3182" t="s">
        <v>1403</v>
      </c>
      <c r="U3182" t="s">
        <v>1404</v>
      </c>
      <c r="V3182" t="s">
        <v>1405</v>
      </c>
      <c r="W3182" t="s">
        <v>1406</v>
      </c>
      <c r="AD3182" t="s">
        <v>410</v>
      </c>
      <c r="AE3182" t="s">
        <v>1407</v>
      </c>
      <c r="AF3182" t="s">
        <v>1409</v>
      </c>
    </row>
    <row r="3183" spans="1:32" hidden="1" x14ac:dyDescent="0.35">
      <c r="A3183">
        <v>687</v>
      </c>
      <c r="B3183" t="s">
        <v>1400</v>
      </c>
      <c r="C3183" t="s">
        <v>72</v>
      </c>
      <c r="D3183" t="s">
        <v>34</v>
      </c>
      <c r="E3183">
        <v>239</v>
      </c>
      <c r="F3183">
        <v>5</v>
      </c>
      <c r="G3183">
        <v>5</v>
      </c>
      <c r="H3183">
        <v>1</v>
      </c>
      <c r="I3183">
        <v>1</v>
      </c>
      <c r="J3183">
        <v>0.92448284891332799</v>
      </c>
      <c r="K3183">
        <v>0.993001170046801</v>
      </c>
      <c r="L3183">
        <v>0.95751781144646197</v>
      </c>
      <c r="M3183">
        <v>0.84243369734789397</v>
      </c>
      <c r="N3183">
        <v>1</v>
      </c>
      <c r="O3183">
        <v>0.88705148205928197</v>
      </c>
      <c r="P3183" t="s">
        <v>1401</v>
      </c>
      <c r="Q3183" t="s">
        <v>1402</v>
      </c>
      <c r="R3183" t="s">
        <v>1191</v>
      </c>
      <c r="S3183" t="s">
        <v>1192</v>
      </c>
      <c r="T3183" t="s">
        <v>1403</v>
      </c>
      <c r="U3183" t="s">
        <v>1404</v>
      </c>
      <c r="V3183" t="s">
        <v>1405</v>
      </c>
      <c r="W3183" t="s">
        <v>1406</v>
      </c>
      <c r="AD3183" t="s">
        <v>410</v>
      </c>
      <c r="AE3183" t="s">
        <v>1407</v>
      </c>
      <c r="AF3183" t="s">
        <v>1410</v>
      </c>
    </row>
    <row r="3184" spans="1:32" hidden="1" x14ac:dyDescent="0.35">
      <c r="A3184">
        <v>688</v>
      </c>
      <c r="B3184" t="s">
        <v>1400</v>
      </c>
      <c r="C3184" t="s">
        <v>72</v>
      </c>
      <c r="D3184" t="s">
        <v>45</v>
      </c>
      <c r="E3184">
        <v>1502</v>
      </c>
      <c r="F3184">
        <v>5</v>
      </c>
      <c r="G3184">
        <v>5</v>
      </c>
      <c r="H3184">
        <v>1</v>
      </c>
      <c r="I3184">
        <v>1</v>
      </c>
      <c r="J3184">
        <v>0.92448284891332799</v>
      </c>
      <c r="K3184">
        <v>0.993001170046801</v>
      </c>
      <c r="L3184">
        <v>0.95751781144646197</v>
      </c>
      <c r="M3184">
        <v>0.84243369734789397</v>
      </c>
      <c r="N3184">
        <v>1</v>
      </c>
      <c r="O3184">
        <v>0.88705148205928197</v>
      </c>
      <c r="P3184" t="s">
        <v>1401</v>
      </c>
      <c r="Q3184" t="s">
        <v>1402</v>
      </c>
      <c r="R3184" t="s">
        <v>1191</v>
      </c>
      <c r="S3184" t="s">
        <v>1192</v>
      </c>
      <c r="T3184" t="s">
        <v>1403</v>
      </c>
      <c r="U3184" t="s">
        <v>1404</v>
      </c>
      <c r="V3184" t="s">
        <v>1405</v>
      </c>
      <c r="W3184" t="s">
        <v>1406</v>
      </c>
      <c r="AD3184" t="s">
        <v>410</v>
      </c>
      <c r="AE3184" t="s">
        <v>1407</v>
      </c>
      <c r="AF3184" t="s">
        <v>1410</v>
      </c>
    </row>
    <row r="3185" spans="1:32" hidden="1" x14ac:dyDescent="0.35">
      <c r="A3185">
        <v>1809</v>
      </c>
      <c r="B3185" t="s">
        <v>3757</v>
      </c>
      <c r="C3185" t="s">
        <v>72</v>
      </c>
      <c r="D3185" t="s">
        <v>58</v>
      </c>
      <c r="E3185">
        <v>1450</v>
      </c>
      <c r="F3185">
        <v>5</v>
      </c>
      <c r="G3185">
        <v>5</v>
      </c>
      <c r="H3185">
        <v>1</v>
      </c>
      <c r="I3185">
        <v>1</v>
      </c>
      <c r="J3185">
        <v>0.76178139649642196</v>
      </c>
      <c r="K3185">
        <v>0.83929868781970496</v>
      </c>
      <c r="L3185">
        <v>0.79866351814375602</v>
      </c>
      <c r="M3185">
        <v>0.45592705167173297</v>
      </c>
      <c r="N3185">
        <v>1</v>
      </c>
      <c r="O3185">
        <v>0.62279635258358701</v>
      </c>
      <c r="P3185" t="s">
        <v>3758</v>
      </c>
      <c r="Q3185" t="s">
        <v>3759</v>
      </c>
      <c r="R3185" t="s">
        <v>75</v>
      </c>
      <c r="S3185" t="s">
        <v>76</v>
      </c>
      <c r="T3185" t="s">
        <v>3760</v>
      </c>
      <c r="U3185" t="s">
        <v>3761</v>
      </c>
      <c r="V3185" t="s">
        <v>3762</v>
      </c>
      <c r="W3185" t="s">
        <v>3763</v>
      </c>
      <c r="AD3185" t="s">
        <v>410</v>
      </c>
      <c r="AE3185" t="s">
        <v>3764</v>
      </c>
      <c r="AF3185" t="s">
        <v>3765</v>
      </c>
    </row>
    <row r="3186" spans="1:32" hidden="1" x14ac:dyDescent="0.35">
      <c r="A3186">
        <v>905</v>
      </c>
      <c r="B3186" t="s">
        <v>1879</v>
      </c>
      <c r="C3186" t="s">
        <v>72</v>
      </c>
      <c r="D3186" t="s">
        <v>60</v>
      </c>
      <c r="E3186">
        <v>1846</v>
      </c>
      <c r="F3186">
        <v>5</v>
      </c>
      <c r="G3186">
        <v>5</v>
      </c>
      <c r="H3186">
        <v>1</v>
      </c>
      <c r="I3186">
        <v>1</v>
      </c>
      <c r="J3186">
        <v>0.70276008492568998</v>
      </c>
      <c r="K3186">
        <v>0.85649771884801795</v>
      </c>
      <c r="L3186">
        <v>0.77204989217247799</v>
      </c>
      <c r="M3186">
        <v>0.44047619047619002</v>
      </c>
      <c r="N3186">
        <v>1</v>
      </c>
      <c r="O3186">
        <v>0.580952380952381</v>
      </c>
      <c r="P3186" t="s">
        <v>1880</v>
      </c>
      <c r="Q3186" t="s">
        <v>1881</v>
      </c>
      <c r="R3186" t="s">
        <v>1191</v>
      </c>
      <c r="S3186" t="s">
        <v>1192</v>
      </c>
      <c r="T3186" t="s">
        <v>1882</v>
      </c>
      <c r="U3186" t="s">
        <v>1883</v>
      </c>
      <c r="V3186" t="s">
        <v>1884</v>
      </c>
      <c r="W3186" t="s">
        <v>1885</v>
      </c>
      <c r="AD3186" t="s">
        <v>219</v>
      </c>
      <c r="AE3186" t="s">
        <v>1886</v>
      </c>
      <c r="AF3186" t="s">
        <v>1887</v>
      </c>
    </row>
    <row r="3187" spans="1:32" hidden="1" x14ac:dyDescent="0.35">
      <c r="A3187">
        <v>906</v>
      </c>
      <c r="B3187" t="s">
        <v>1879</v>
      </c>
      <c r="C3187" t="s">
        <v>72</v>
      </c>
      <c r="D3187" t="s">
        <v>62</v>
      </c>
      <c r="E3187">
        <v>1884</v>
      </c>
      <c r="F3187">
        <v>5</v>
      </c>
      <c r="G3187">
        <v>5</v>
      </c>
      <c r="H3187">
        <v>1</v>
      </c>
      <c r="I3187">
        <v>1</v>
      </c>
      <c r="J3187">
        <v>0.70276008492568998</v>
      </c>
      <c r="K3187">
        <v>0.85649771884801795</v>
      </c>
      <c r="L3187">
        <v>0.77204989217247799</v>
      </c>
      <c r="M3187">
        <v>0.44047619047619002</v>
      </c>
      <c r="N3187">
        <v>1</v>
      </c>
      <c r="O3187">
        <v>0.580952380952381</v>
      </c>
      <c r="P3187" t="s">
        <v>1880</v>
      </c>
      <c r="Q3187" t="s">
        <v>1881</v>
      </c>
      <c r="R3187" t="s">
        <v>1191</v>
      </c>
      <c r="S3187" t="s">
        <v>1192</v>
      </c>
      <c r="T3187" t="s">
        <v>1882</v>
      </c>
      <c r="U3187" t="s">
        <v>1883</v>
      </c>
      <c r="V3187" t="s">
        <v>1884</v>
      </c>
      <c r="W3187" t="s">
        <v>1885</v>
      </c>
      <c r="AD3187" t="s">
        <v>219</v>
      </c>
      <c r="AE3187" t="s">
        <v>1886</v>
      </c>
      <c r="AF3187" t="s">
        <v>1887</v>
      </c>
    </row>
    <row r="3188" spans="1:32" hidden="1" x14ac:dyDescent="0.35">
      <c r="A3188">
        <v>907</v>
      </c>
      <c r="B3188" t="s">
        <v>1879</v>
      </c>
      <c r="C3188" t="s">
        <v>72</v>
      </c>
      <c r="D3188" t="s">
        <v>34</v>
      </c>
      <c r="E3188">
        <v>2200</v>
      </c>
      <c r="F3188">
        <v>5</v>
      </c>
      <c r="G3188">
        <v>5</v>
      </c>
      <c r="H3188">
        <v>1</v>
      </c>
      <c r="I3188">
        <v>1</v>
      </c>
      <c r="J3188">
        <v>0.70276008492568998</v>
      </c>
      <c r="K3188">
        <v>0.85649771884801795</v>
      </c>
      <c r="L3188">
        <v>0.77204989217247799</v>
      </c>
      <c r="M3188">
        <v>0.44047619047619002</v>
      </c>
      <c r="N3188">
        <v>1</v>
      </c>
      <c r="O3188">
        <v>0.580952380952381</v>
      </c>
      <c r="P3188" t="s">
        <v>1880</v>
      </c>
      <c r="Q3188" t="s">
        <v>1881</v>
      </c>
      <c r="R3188" t="s">
        <v>1191</v>
      </c>
      <c r="S3188" t="s">
        <v>1192</v>
      </c>
      <c r="T3188" t="s">
        <v>1882</v>
      </c>
      <c r="U3188" t="s">
        <v>1883</v>
      </c>
      <c r="V3188" t="s">
        <v>1884</v>
      </c>
      <c r="W3188" t="s">
        <v>1885</v>
      </c>
      <c r="AD3188" t="s">
        <v>219</v>
      </c>
      <c r="AE3188" t="s">
        <v>1886</v>
      </c>
      <c r="AF3188" t="s">
        <v>1888</v>
      </c>
    </row>
    <row r="3189" spans="1:32" hidden="1" x14ac:dyDescent="0.35">
      <c r="A3189">
        <v>908</v>
      </c>
      <c r="B3189" t="s">
        <v>1879</v>
      </c>
      <c r="C3189" t="s">
        <v>72</v>
      </c>
      <c r="D3189" t="s">
        <v>45</v>
      </c>
      <c r="E3189">
        <v>674</v>
      </c>
      <c r="F3189">
        <v>5</v>
      </c>
      <c r="G3189">
        <v>5</v>
      </c>
      <c r="H3189">
        <v>1</v>
      </c>
      <c r="I3189">
        <v>1</v>
      </c>
      <c r="J3189">
        <v>0.70276008492568998</v>
      </c>
      <c r="K3189">
        <v>0.85649771884801795</v>
      </c>
      <c r="L3189">
        <v>0.77204989217247799</v>
      </c>
      <c r="M3189">
        <v>0.44047619047619002</v>
      </c>
      <c r="N3189">
        <v>1</v>
      </c>
      <c r="O3189">
        <v>0.580952380952381</v>
      </c>
      <c r="P3189" t="s">
        <v>1880</v>
      </c>
      <c r="Q3189" t="s">
        <v>1881</v>
      </c>
      <c r="R3189" t="s">
        <v>1191</v>
      </c>
      <c r="S3189" t="s">
        <v>1192</v>
      </c>
      <c r="T3189" t="s">
        <v>1882</v>
      </c>
      <c r="U3189" t="s">
        <v>1883</v>
      </c>
      <c r="V3189" t="s">
        <v>1884</v>
      </c>
      <c r="W3189" t="s">
        <v>1885</v>
      </c>
      <c r="AD3189" t="s">
        <v>219</v>
      </c>
      <c r="AE3189" t="s">
        <v>1886</v>
      </c>
      <c r="AF3189" t="s">
        <v>1889</v>
      </c>
    </row>
    <row r="3190" spans="1:32" hidden="1" x14ac:dyDescent="0.35">
      <c r="A3190">
        <v>3844</v>
      </c>
      <c r="B3190" t="s">
        <v>7932</v>
      </c>
      <c r="C3190" t="s">
        <v>72</v>
      </c>
      <c r="D3190" t="s">
        <v>58</v>
      </c>
      <c r="E3190">
        <v>1388</v>
      </c>
      <c r="F3190">
        <v>5</v>
      </c>
      <c r="G3190">
        <v>5</v>
      </c>
      <c r="H3190">
        <v>1</v>
      </c>
      <c r="I3190">
        <v>1</v>
      </c>
      <c r="J3190">
        <v>0.800481347773767</v>
      </c>
      <c r="K3190">
        <v>0.89648883374689903</v>
      </c>
      <c r="L3190">
        <v>0.84576923945568006</v>
      </c>
      <c r="M3190">
        <v>0.57051282051282004</v>
      </c>
      <c r="N3190">
        <v>0.99358974358974395</v>
      </c>
      <c r="O3190">
        <v>0.71730769230769198</v>
      </c>
      <c r="P3190" t="s">
        <v>7933</v>
      </c>
      <c r="Q3190" t="s">
        <v>7934</v>
      </c>
      <c r="R3190" t="s">
        <v>342</v>
      </c>
      <c r="S3190" t="s">
        <v>343</v>
      </c>
      <c r="T3190" t="s">
        <v>7935</v>
      </c>
      <c r="U3190" t="s">
        <v>7936</v>
      </c>
      <c r="V3190" t="s">
        <v>7937</v>
      </c>
      <c r="W3190" t="s">
        <v>7938</v>
      </c>
      <c r="AD3190" t="s">
        <v>312</v>
      </c>
      <c r="AE3190" t="s">
        <v>7939</v>
      </c>
      <c r="AF3190" t="s">
        <v>7940</v>
      </c>
    </row>
    <row r="3191" spans="1:32" hidden="1" x14ac:dyDescent="0.35">
      <c r="A3191">
        <v>915</v>
      </c>
      <c r="B3191" t="s">
        <v>1900</v>
      </c>
      <c r="C3191" t="s">
        <v>72</v>
      </c>
      <c r="D3191" t="s">
        <v>60</v>
      </c>
      <c r="E3191">
        <v>230</v>
      </c>
      <c r="F3191">
        <v>5</v>
      </c>
      <c r="G3191">
        <v>5</v>
      </c>
      <c r="H3191">
        <v>1</v>
      </c>
      <c r="I3191">
        <v>1</v>
      </c>
      <c r="J3191">
        <v>0.80379456983971198</v>
      </c>
      <c r="K3191">
        <v>0.95534533521652998</v>
      </c>
      <c r="L3191">
        <v>0.87304186615469404</v>
      </c>
      <c r="M3191">
        <v>0.61985018726591801</v>
      </c>
      <c r="N3191">
        <v>1</v>
      </c>
      <c r="O3191">
        <v>0.71479400749063704</v>
      </c>
      <c r="P3191" t="s">
        <v>1901</v>
      </c>
      <c r="Q3191" t="s">
        <v>1902</v>
      </c>
      <c r="R3191" t="s">
        <v>1191</v>
      </c>
      <c r="S3191" t="s">
        <v>1192</v>
      </c>
      <c r="T3191" t="s">
        <v>1903</v>
      </c>
      <c r="U3191" t="s">
        <v>1904</v>
      </c>
      <c r="V3191" t="s">
        <v>1905</v>
      </c>
      <c r="W3191" t="s">
        <v>1906</v>
      </c>
      <c r="AD3191" t="s">
        <v>951</v>
      </c>
      <c r="AE3191" t="s">
        <v>1907</v>
      </c>
      <c r="AF3191" t="s">
        <v>1909</v>
      </c>
    </row>
    <row r="3192" spans="1:32" hidden="1" x14ac:dyDescent="0.35">
      <c r="A3192">
        <v>916</v>
      </c>
      <c r="B3192" t="s">
        <v>1900</v>
      </c>
      <c r="C3192" t="s">
        <v>72</v>
      </c>
      <c r="D3192" t="s">
        <v>62</v>
      </c>
      <c r="E3192">
        <v>307</v>
      </c>
      <c r="F3192">
        <v>5</v>
      </c>
      <c r="G3192">
        <v>5</v>
      </c>
      <c r="H3192">
        <v>1</v>
      </c>
      <c r="I3192">
        <v>1</v>
      </c>
      <c r="J3192">
        <v>0.80379456983971198</v>
      </c>
      <c r="K3192">
        <v>0.95534533521652998</v>
      </c>
      <c r="L3192">
        <v>0.87304186615469404</v>
      </c>
      <c r="M3192">
        <v>0.61985018726591801</v>
      </c>
      <c r="N3192">
        <v>1</v>
      </c>
      <c r="O3192">
        <v>0.71479400749063704</v>
      </c>
      <c r="P3192" t="s">
        <v>1901</v>
      </c>
      <c r="Q3192" t="s">
        <v>1902</v>
      </c>
      <c r="R3192" t="s">
        <v>1191</v>
      </c>
      <c r="S3192" t="s">
        <v>1192</v>
      </c>
      <c r="T3192" t="s">
        <v>1903</v>
      </c>
      <c r="U3192" t="s">
        <v>1904</v>
      </c>
      <c r="V3192" t="s">
        <v>1905</v>
      </c>
      <c r="W3192" t="s">
        <v>1906</v>
      </c>
      <c r="AD3192" t="s">
        <v>951</v>
      </c>
      <c r="AE3192" t="s">
        <v>1907</v>
      </c>
      <c r="AF3192" t="s">
        <v>1910</v>
      </c>
    </row>
    <row r="3193" spans="1:32" hidden="1" x14ac:dyDescent="0.35">
      <c r="A3193">
        <v>917</v>
      </c>
      <c r="B3193" t="s">
        <v>1900</v>
      </c>
      <c r="C3193" t="s">
        <v>72</v>
      </c>
      <c r="D3193" t="s">
        <v>34</v>
      </c>
      <c r="E3193">
        <v>896</v>
      </c>
      <c r="F3193">
        <v>5</v>
      </c>
      <c r="G3193">
        <v>5</v>
      </c>
      <c r="H3193">
        <v>1</v>
      </c>
      <c r="I3193">
        <v>1</v>
      </c>
      <c r="J3193">
        <v>0.80379456983971198</v>
      </c>
      <c r="K3193">
        <v>0.95534533521652998</v>
      </c>
      <c r="L3193">
        <v>0.87304186615469404</v>
      </c>
      <c r="M3193">
        <v>0.61985018726591801</v>
      </c>
      <c r="N3193">
        <v>1</v>
      </c>
      <c r="O3193">
        <v>0.71479400749063704</v>
      </c>
      <c r="P3193" t="s">
        <v>1901</v>
      </c>
      <c r="Q3193" t="s">
        <v>1902</v>
      </c>
      <c r="R3193" t="s">
        <v>1191</v>
      </c>
      <c r="S3193" t="s">
        <v>1192</v>
      </c>
      <c r="T3193" t="s">
        <v>1903</v>
      </c>
      <c r="U3193" t="s">
        <v>1904</v>
      </c>
      <c r="V3193" t="s">
        <v>1905</v>
      </c>
      <c r="W3193" t="s">
        <v>1906</v>
      </c>
      <c r="AD3193" t="s">
        <v>951</v>
      </c>
      <c r="AE3193" t="s">
        <v>1907</v>
      </c>
      <c r="AF3193" t="s">
        <v>1911</v>
      </c>
    </row>
    <row r="3194" spans="1:32" hidden="1" x14ac:dyDescent="0.35">
      <c r="A3194">
        <v>918</v>
      </c>
      <c r="B3194" t="s">
        <v>1900</v>
      </c>
      <c r="C3194" t="s">
        <v>72</v>
      </c>
      <c r="D3194" t="s">
        <v>45</v>
      </c>
      <c r="E3194">
        <v>2152</v>
      </c>
      <c r="F3194">
        <v>5</v>
      </c>
      <c r="G3194">
        <v>5</v>
      </c>
      <c r="H3194">
        <v>1</v>
      </c>
      <c r="I3194">
        <v>1</v>
      </c>
      <c r="J3194">
        <v>0.80379456983971198</v>
      </c>
      <c r="K3194">
        <v>0.95534533521652998</v>
      </c>
      <c r="L3194">
        <v>0.87304186615469404</v>
      </c>
      <c r="M3194">
        <v>0.61985018726591801</v>
      </c>
      <c r="N3194">
        <v>1</v>
      </c>
      <c r="O3194">
        <v>0.71479400749063704</v>
      </c>
      <c r="P3194" t="s">
        <v>1901</v>
      </c>
      <c r="Q3194" t="s">
        <v>1902</v>
      </c>
      <c r="R3194" t="s">
        <v>1191</v>
      </c>
      <c r="S3194" t="s">
        <v>1192</v>
      </c>
      <c r="T3194" t="s">
        <v>1903</v>
      </c>
      <c r="U3194" t="s">
        <v>1904</v>
      </c>
      <c r="V3194" t="s">
        <v>1905</v>
      </c>
      <c r="W3194" t="s">
        <v>1906</v>
      </c>
      <c r="AD3194" t="s">
        <v>951</v>
      </c>
      <c r="AE3194" t="s">
        <v>1907</v>
      </c>
      <c r="AF3194" t="s">
        <v>1911</v>
      </c>
    </row>
    <row r="3195" spans="1:32" hidden="1" x14ac:dyDescent="0.35">
      <c r="A3195">
        <v>11947</v>
      </c>
      <c r="B3195" t="s">
        <v>24655</v>
      </c>
      <c r="C3195" t="s">
        <v>10130</v>
      </c>
      <c r="D3195" t="s">
        <v>58</v>
      </c>
      <c r="E3195">
        <v>1658</v>
      </c>
      <c r="F3195">
        <v>1</v>
      </c>
      <c r="G3195">
        <v>1</v>
      </c>
      <c r="H3195">
        <v>1</v>
      </c>
      <c r="I3195">
        <v>0</v>
      </c>
      <c r="J3195">
        <v>1</v>
      </c>
      <c r="K3195">
        <v>1</v>
      </c>
      <c r="L3195">
        <v>1</v>
      </c>
      <c r="M3195">
        <v>0</v>
      </c>
      <c r="N3195">
        <v>0</v>
      </c>
      <c r="O3195">
        <v>0</v>
      </c>
      <c r="P3195" t="s">
        <v>17878</v>
      </c>
      <c r="Q3195" t="s">
        <v>4594</v>
      </c>
      <c r="R3195" t="s">
        <v>652</v>
      </c>
      <c r="S3195" t="s">
        <v>653</v>
      </c>
      <c r="V3195" t="s">
        <v>17879</v>
      </c>
      <c r="W3195" t="s">
        <v>17880</v>
      </c>
      <c r="AF3195" t="s">
        <v>24656</v>
      </c>
    </row>
    <row r="3196" spans="1:32" hidden="1" x14ac:dyDescent="0.35">
      <c r="A3196">
        <v>960</v>
      </c>
      <c r="B3196" t="s">
        <v>1991</v>
      </c>
      <c r="C3196" t="s">
        <v>72</v>
      </c>
      <c r="D3196" t="s">
        <v>60</v>
      </c>
      <c r="E3196">
        <v>584</v>
      </c>
      <c r="F3196">
        <v>5</v>
      </c>
      <c r="G3196">
        <v>5</v>
      </c>
      <c r="H3196">
        <v>1</v>
      </c>
      <c r="I3196">
        <v>1</v>
      </c>
      <c r="J3196">
        <v>0.78773789597669097</v>
      </c>
      <c r="K3196">
        <v>0.85055013735265095</v>
      </c>
      <c r="L3196">
        <v>0.81793990066479605</v>
      </c>
      <c r="M3196">
        <v>0.57076205287713799</v>
      </c>
      <c r="N3196">
        <v>1</v>
      </c>
      <c r="O3196">
        <v>0.65878693623639195</v>
      </c>
      <c r="P3196" t="s">
        <v>1992</v>
      </c>
      <c r="Q3196" t="s">
        <v>1993</v>
      </c>
      <c r="R3196" t="s">
        <v>1191</v>
      </c>
      <c r="S3196" t="s">
        <v>1192</v>
      </c>
      <c r="T3196" t="s">
        <v>1994</v>
      </c>
      <c r="U3196" t="s">
        <v>1995</v>
      </c>
      <c r="V3196" t="s">
        <v>1996</v>
      </c>
      <c r="W3196" t="s">
        <v>1997</v>
      </c>
      <c r="AD3196" t="s">
        <v>1998</v>
      </c>
      <c r="AE3196" t="s">
        <v>1999</v>
      </c>
      <c r="AF3196" t="s">
        <v>2001</v>
      </c>
    </row>
    <row r="3197" spans="1:32" hidden="1" x14ac:dyDescent="0.35">
      <c r="A3197">
        <v>961</v>
      </c>
      <c r="B3197" t="s">
        <v>1991</v>
      </c>
      <c r="C3197" t="s">
        <v>72</v>
      </c>
      <c r="D3197" t="s">
        <v>62</v>
      </c>
      <c r="E3197">
        <v>668</v>
      </c>
      <c r="F3197">
        <v>5</v>
      </c>
      <c r="G3197">
        <v>5</v>
      </c>
      <c r="H3197">
        <v>1</v>
      </c>
      <c r="I3197">
        <v>1</v>
      </c>
      <c r="J3197">
        <v>0.78773789597669097</v>
      </c>
      <c r="K3197">
        <v>0.85055013735265095</v>
      </c>
      <c r="L3197">
        <v>0.81793990066479605</v>
      </c>
      <c r="M3197">
        <v>0.57076205287713799</v>
      </c>
      <c r="N3197">
        <v>1</v>
      </c>
      <c r="O3197">
        <v>0.65878693623639195</v>
      </c>
      <c r="P3197" t="s">
        <v>1992</v>
      </c>
      <c r="Q3197" t="s">
        <v>1993</v>
      </c>
      <c r="R3197" t="s">
        <v>1191</v>
      </c>
      <c r="S3197" t="s">
        <v>1192</v>
      </c>
      <c r="T3197" t="s">
        <v>1994</v>
      </c>
      <c r="U3197" t="s">
        <v>1995</v>
      </c>
      <c r="V3197" t="s">
        <v>1996</v>
      </c>
      <c r="W3197" t="s">
        <v>1997</v>
      </c>
      <c r="AD3197" t="s">
        <v>1998</v>
      </c>
      <c r="AE3197" t="s">
        <v>1999</v>
      </c>
      <c r="AF3197" t="s">
        <v>2001</v>
      </c>
    </row>
    <row r="3198" spans="1:32" hidden="1" x14ac:dyDescent="0.35">
      <c r="A3198">
        <v>962</v>
      </c>
      <c r="B3198" t="s">
        <v>1991</v>
      </c>
      <c r="C3198" t="s">
        <v>72</v>
      </c>
      <c r="D3198" t="s">
        <v>34</v>
      </c>
      <c r="E3198">
        <v>508</v>
      </c>
      <c r="F3198">
        <v>5</v>
      </c>
      <c r="G3198">
        <v>5</v>
      </c>
      <c r="H3198">
        <v>1</v>
      </c>
      <c r="I3198">
        <v>1</v>
      </c>
      <c r="J3198">
        <v>0.78773789597669097</v>
      </c>
      <c r="K3198">
        <v>0.85055013735265095</v>
      </c>
      <c r="L3198">
        <v>0.81793990066479605</v>
      </c>
      <c r="M3198">
        <v>0.57076205287713799</v>
      </c>
      <c r="N3198">
        <v>1</v>
      </c>
      <c r="O3198">
        <v>0.65878693623639195</v>
      </c>
      <c r="P3198" t="s">
        <v>1992</v>
      </c>
      <c r="Q3198" t="s">
        <v>1993</v>
      </c>
      <c r="R3198" t="s">
        <v>1191</v>
      </c>
      <c r="S3198" t="s">
        <v>1192</v>
      </c>
      <c r="T3198" t="s">
        <v>1994</v>
      </c>
      <c r="U3198" t="s">
        <v>1995</v>
      </c>
      <c r="V3198" t="s">
        <v>1996</v>
      </c>
      <c r="W3198" t="s">
        <v>1997</v>
      </c>
      <c r="AD3198" t="s">
        <v>1998</v>
      </c>
      <c r="AE3198" t="s">
        <v>1999</v>
      </c>
      <c r="AF3198" t="s">
        <v>2002</v>
      </c>
    </row>
    <row r="3199" spans="1:32" hidden="1" x14ac:dyDescent="0.35">
      <c r="A3199">
        <v>963</v>
      </c>
      <c r="B3199" t="s">
        <v>1991</v>
      </c>
      <c r="C3199" t="s">
        <v>72</v>
      </c>
      <c r="D3199" t="s">
        <v>45</v>
      </c>
      <c r="E3199">
        <v>1773</v>
      </c>
      <c r="F3199">
        <v>5</v>
      </c>
      <c r="G3199">
        <v>5</v>
      </c>
      <c r="H3199">
        <v>1</v>
      </c>
      <c r="I3199">
        <v>1</v>
      </c>
      <c r="J3199">
        <v>0.78773789597669097</v>
      </c>
      <c r="K3199">
        <v>0.85055013735265095</v>
      </c>
      <c r="L3199">
        <v>0.81793990066479605</v>
      </c>
      <c r="M3199">
        <v>0.57076205287713799</v>
      </c>
      <c r="N3199">
        <v>1</v>
      </c>
      <c r="O3199">
        <v>0.65878693623639195</v>
      </c>
      <c r="P3199" t="s">
        <v>1992</v>
      </c>
      <c r="Q3199" t="s">
        <v>1993</v>
      </c>
      <c r="R3199" t="s">
        <v>1191</v>
      </c>
      <c r="S3199" t="s">
        <v>1192</v>
      </c>
      <c r="T3199" t="s">
        <v>1994</v>
      </c>
      <c r="U3199" t="s">
        <v>1995</v>
      </c>
      <c r="V3199" t="s">
        <v>1996</v>
      </c>
      <c r="W3199" t="s">
        <v>1997</v>
      </c>
      <c r="AD3199" t="s">
        <v>1998</v>
      </c>
      <c r="AE3199" t="s">
        <v>1999</v>
      </c>
      <c r="AF3199" t="s">
        <v>2002</v>
      </c>
    </row>
    <row r="3200" spans="1:32" hidden="1" x14ac:dyDescent="0.35">
      <c r="A3200">
        <v>2169</v>
      </c>
      <c r="B3200" t="s">
        <v>4510</v>
      </c>
      <c r="C3200" t="s">
        <v>72</v>
      </c>
      <c r="D3200" t="s">
        <v>58</v>
      </c>
      <c r="E3200">
        <v>1597</v>
      </c>
      <c r="F3200">
        <v>5</v>
      </c>
      <c r="G3200">
        <v>5</v>
      </c>
      <c r="H3200">
        <v>1</v>
      </c>
      <c r="I3200">
        <v>1</v>
      </c>
      <c r="J3200">
        <v>0.76564417177914101</v>
      </c>
      <c r="K3200">
        <v>0.91584960140606397</v>
      </c>
      <c r="L3200">
        <v>0.83403806868045804</v>
      </c>
      <c r="M3200">
        <v>0.53072625698324005</v>
      </c>
      <c r="N3200">
        <v>1</v>
      </c>
      <c r="O3200">
        <v>0.68156424581005604</v>
      </c>
      <c r="P3200" t="s">
        <v>4511</v>
      </c>
      <c r="Q3200" t="s">
        <v>4512</v>
      </c>
      <c r="R3200" t="s">
        <v>342</v>
      </c>
      <c r="S3200" t="s">
        <v>343</v>
      </c>
      <c r="T3200" t="s">
        <v>4513</v>
      </c>
      <c r="U3200" t="s">
        <v>4514</v>
      </c>
      <c r="V3200" t="s">
        <v>4515</v>
      </c>
      <c r="W3200" t="s">
        <v>4516</v>
      </c>
      <c r="AD3200" t="s">
        <v>219</v>
      </c>
      <c r="AE3200" t="s">
        <v>4517</v>
      </c>
      <c r="AF3200" t="s">
        <v>4518</v>
      </c>
    </row>
    <row r="3201" spans="1:32" hidden="1" x14ac:dyDescent="0.35">
      <c r="A3201">
        <v>975</v>
      </c>
      <c r="B3201" t="s">
        <v>2021</v>
      </c>
      <c r="C3201" t="s">
        <v>72</v>
      </c>
      <c r="D3201" t="s">
        <v>60</v>
      </c>
      <c r="E3201">
        <v>207</v>
      </c>
      <c r="F3201">
        <v>5</v>
      </c>
      <c r="G3201">
        <v>5</v>
      </c>
      <c r="H3201">
        <v>1</v>
      </c>
      <c r="I3201">
        <v>1</v>
      </c>
      <c r="J3201">
        <v>0.95389133627019096</v>
      </c>
      <c r="K3201">
        <v>1</v>
      </c>
      <c r="L3201">
        <v>0.97640162332782199</v>
      </c>
      <c r="M3201">
        <v>0.91189427312775295</v>
      </c>
      <c r="N3201">
        <v>1</v>
      </c>
      <c r="O3201">
        <v>0.93392070484581502</v>
      </c>
      <c r="P3201" t="s">
        <v>2022</v>
      </c>
      <c r="Q3201" t="s">
        <v>2023</v>
      </c>
      <c r="R3201" t="s">
        <v>1191</v>
      </c>
      <c r="S3201" t="s">
        <v>1192</v>
      </c>
      <c r="T3201" t="s">
        <v>2024</v>
      </c>
      <c r="U3201" t="s">
        <v>2025</v>
      </c>
      <c r="V3201" t="s">
        <v>2026</v>
      </c>
      <c r="W3201" t="s">
        <v>2027</v>
      </c>
      <c r="AD3201" t="s">
        <v>2028</v>
      </c>
      <c r="AE3201" t="s">
        <v>2029</v>
      </c>
      <c r="AF3201" t="s">
        <v>2031</v>
      </c>
    </row>
    <row r="3202" spans="1:32" hidden="1" x14ac:dyDescent="0.35">
      <c r="A3202">
        <v>976</v>
      </c>
      <c r="B3202" t="s">
        <v>2021</v>
      </c>
      <c r="C3202" t="s">
        <v>72</v>
      </c>
      <c r="D3202" t="s">
        <v>62</v>
      </c>
      <c r="E3202">
        <v>284</v>
      </c>
      <c r="F3202">
        <v>5</v>
      </c>
      <c r="G3202">
        <v>5</v>
      </c>
      <c r="H3202">
        <v>1</v>
      </c>
      <c r="I3202">
        <v>1</v>
      </c>
      <c r="J3202">
        <v>0.95389133627019096</v>
      </c>
      <c r="K3202">
        <v>1</v>
      </c>
      <c r="L3202">
        <v>0.97640162332782199</v>
      </c>
      <c r="M3202">
        <v>0.91189427312775295</v>
      </c>
      <c r="N3202">
        <v>1</v>
      </c>
      <c r="O3202">
        <v>0.93392070484581502</v>
      </c>
      <c r="P3202" t="s">
        <v>2022</v>
      </c>
      <c r="Q3202" t="s">
        <v>2023</v>
      </c>
      <c r="R3202" t="s">
        <v>1191</v>
      </c>
      <c r="S3202" t="s">
        <v>1192</v>
      </c>
      <c r="T3202" t="s">
        <v>2024</v>
      </c>
      <c r="U3202" t="s">
        <v>2025</v>
      </c>
      <c r="V3202" t="s">
        <v>2026</v>
      </c>
      <c r="W3202" t="s">
        <v>2027</v>
      </c>
      <c r="AD3202" t="s">
        <v>2028</v>
      </c>
      <c r="AE3202" t="s">
        <v>2029</v>
      </c>
      <c r="AF3202" t="s">
        <v>2031</v>
      </c>
    </row>
    <row r="3203" spans="1:32" hidden="1" x14ac:dyDescent="0.35">
      <c r="A3203">
        <v>977</v>
      </c>
      <c r="B3203" t="s">
        <v>2021</v>
      </c>
      <c r="C3203" t="s">
        <v>72</v>
      </c>
      <c r="D3203" t="s">
        <v>34</v>
      </c>
      <c r="E3203">
        <v>1231</v>
      </c>
      <c r="F3203">
        <v>5</v>
      </c>
      <c r="G3203">
        <v>5</v>
      </c>
      <c r="H3203">
        <v>1</v>
      </c>
      <c r="I3203">
        <v>1</v>
      </c>
      <c r="J3203">
        <v>0.95389133627019096</v>
      </c>
      <c r="K3203">
        <v>1</v>
      </c>
      <c r="L3203">
        <v>0.97640162332782199</v>
      </c>
      <c r="M3203">
        <v>0.91189427312775295</v>
      </c>
      <c r="N3203">
        <v>1</v>
      </c>
      <c r="O3203">
        <v>0.93392070484581502</v>
      </c>
      <c r="P3203" t="s">
        <v>2022</v>
      </c>
      <c r="Q3203" t="s">
        <v>2023</v>
      </c>
      <c r="R3203" t="s">
        <v>1191</v>
      </c>
      <c r="S3203" t="s">
        <v>1192</v>
      </c>
      <c r="T3203" t="s">
        <v>2024</v>
      </c>
      <c r="U3203" t="s">
        <v>2025</v>
      </c>
      <c r="V3203" t="s">
        <v>2026</v>
      </c>
      <c r="W3203" t="s">
        <v>2027</v>
      </c>
      <c r="AD3203" t="s">
        <v>2028</v>
      </c>
      <c r="AE3203" t="s">
        <v>2029</v>
      </c>
      <c r="AF3203" t="s">
        <v>2032</v>
      </c>
    </row>
    <row r="3204" spans="1:32" hidden="1" x14ac:dyDescent="0.35">
      <c r="A3204">
        <v>978</v>
      </c>
      <c r="B3204" t="s">
        <v>2021</v>
      </c>
      <c r="C3204" t="s">
        <v>72</v>
      </c>
      <c r="D3204" t="s">
        <v>45</v>
      </c>
      <c r="E3204">
        <v>2474</v>
      </c>
      <c r="F3204">
        <v>5</v>
      </c>
      <c r="G3204">
        <v>5</v>
      </c>
      <c r="H3204">
        <v>1</v>
      </c>
      <c r="I3204">
        <v>1</v>
      </c>
      <c r="J3204">
        <v>0.95389133627019096</v>
      </c>
      <c r="K3204">
        <v>1</v>
      </c>
      <c r="L3204">
        <v>0.97640162332782199</v>
      </c>
      <c r="M3204">
        <v>0.91189427312775295</v>
      </c>
      <c r="N3204">
        <v>1</v>
      </c>
      <c r="O3204">
        <v>0.93392070484581502</v>
      </c>
      <c r="P3204" t="s">
        <v>2022</v>
      </c>
      <c r="Q3204" t="s">
        <v>2023</v>
      </c>
      <c r="R3204" t="s">
        <v>1191</v>
      </c>
      <c r="S3204" t="s">
        <v>1192</v>
      </c>
      <c r="T3204" t="s">
        <v>2024</v>
      </c>
      <c r="U3204" t="s">
        <v>2025</v>
      </c>
      <c r="V3204" t="s">
        <v>2026</v>
      </c>
      <c r="W3204" t="s">
        <v>2027</v>
      </c>
      <c r="AD3204" t="s">
        <v>2028</v>
      </c>
      <c r="AE3204" t="s">
        <v>2029</v>
      </c>
      <c r="AF3204" t="s">
        <v>2032</v>
      </c>
    </row>
    <row r="3205" spans="1:32" hidden="1" x14ac:dyDescent="0.35">
      <c r="A3205">
        <v>1699</v>
      </c>
      <c r="B3205" t="s">
        <v>3553</v>
      </c>
      <c r="C3205" t="s">
        <v>72</v>
      </c>
      <c r="D3205" t="s">
        <v>58</v>
      </c>
      <c r="E3205">
        <v>752</v>
      </c>
      <c r="F3205">
        <v>5</v>
      </c>
      <c r="G3205">
        <v>5</v>
      </c>
      <c r="H3205">
        <v>1</v>
      </c>
      <c r="I3205">
        <v>1</v>
      </c>
      <c r="J3205">
        <v>0.89578544061302701</v>
      </c>
      <c r="K3205">
        <v>1</v>
      </c>
      <c r="L3205">
        <v>0.94502829426030699</v>
      </c>
      <c r="M3205">
        <v>0.75862068965517204</v>
      </c>
      <c r="N3205">
        <v>1</v>
      </c>
      <c r="O3205">
        <v>0.840613026819923</v>
      </c>
      <c r="P3205" t="s">
        <v>3554</v>
      </c>
      <c r="Q3205" t="s">
        <v>3555</v>
      </c>
      <c r="R3205" t="s">
        <v>652</v>
      </c>
      <c r="S3205" t="s">
        <v>653</v>
      </c>
      <c r="T3205" t="s">
        <v>3556</v>
      </c>
      <c r="U3205" t="s">
        <v>3557</v>
      </c>
      <c r="V3205" t="s">
        <v>3558</v>
      </c>
      <c r="W3205" t="s">
        <v>3559</v>
      </c>
      <c r="AD3205" t="s">
        <v>410</v>
      </c>
      <c r="AE3205" t="s">
        <v>3308</v>
      </c>
      <c r="AF3205" t="s">
        <v>3560</v>
      </c>
    </row>
    <row r="3206" spans="1:32" hidden="1" x14ac:dyDescent="0.35">
      <c r="A3206">
        <v>1345</v>
      </c>
      <c r="B3206" t="s">
        <v>2784</v>
      </c>
      <c r="C3206" t="s">
        <v>72</v>
      </c>
      <c r="D3206" t="s">
        <v>60</v>
      </c>
      <c r="E3206">
        <v>1897</v>
      </c>
      <c r="F3206">
        <v>5</v>
      </c>
      <c r="G3206">
        <v>5</v>
      </c>
      <c r="H3206">
        <v>1</v>
      </c>
      <c r="I3206">
        <v>1</v>
      </c>
      <c r="J3206">
        <v>0.85066337550138804</v>
      </c>
      <c r="K3206">
        <v>0.94629942202444794</v>
      </c>
      <c r="L3206">
        <v>0.89593647868801296</v>
      </c>
      <c r="M3206">
        <v>0.64723032069970798</v>
      </c>
      <c r="N3206">
        <v>1</v>
      </c>
      <c r="O3206">
        <v>0.76268221574343997</v>
      </c>
      <c r="P3206" t="s">
        <v>2785</v>
      </c>
      <c r="Q3206" t="s">
        <v>2786</v>
      </c>
      <c r="R3206" t="s">
        <v>1191</v>
      </c>
      <c r="S3206" t="s">
        <v>1192</v>
      </c>
      <c r="T3206" t="s">
        <v>2787</v>
      </c>
      <c r="U3206" t="s">
        <v>2788</v>
      </c>
      <c r="V3206" t="s">
        <v>2789</v>
      </c>
      <c r="W3206" t="s">
        <v>2790</v>
      </c>
      <c r="AD3206" t="s">
        <v>410</v>
      </c>
      <c r="AE3206" t="s">
        <v>1407</v>
      </c>
      <c r="AF3206" t="s">
        <v>2791</v>
      </c>
    </row>
    <row r="3207" spans="1:32" hidden="1" x14ac:dyDescent="0.35">
      <c r="A3207">
        <v>1346</v>
      </c>
      <c r="B3207" t="s">
        <v>2784</v>
      </c>
      <c r="C3207" t="s">
        <v>72</v>
      </c>
      <c r="D3207" t="s">
        <v>62</v>
      </c>
      <c r="E3207">
        <v>1937</v>
      </c>
      <c r="F3207">
        <v>5</v>
      </c>
      <c r="G3207">
        <v>5</v>
      </c>
      <c r="H3207">
        <v>1</v>
      </c>
      <c r="I3207">
        <v>1</v>
      </c>
      <c r="J3207">
        <v>0.85066337550138804</v>
      </c>
      <c r="K3207">
        <v>0.94629942202444794</v>
      </c>
      <c r="L3207">
        <v>0.89593647868801296</v>
      </c>
      <c r="M3207">
        <v>0.64723032069970798</v>
      </c>
      <c r="N3207">
        <v>1</v>
      </c>
      <c r="O3207">
        <v>0.76268221574343997</v>
      </c>
      <c r="P3207" t="s">
        <v>2785</v>
      </c>
      <c r="Q3207" t="s">
        <v>2786</v>
      </c>
      <c r="R3207" t="s">
        <v>1191</v>
      </c>
      <c r="S3207" t="s">
        <v>1192</v>
      </c>
      <c r="T3207" t="s">
        <v>2787</v>
      </c>
      <c r="U3207" t="s">
        <v>2788</v>
      </c>
      <c r="V3207" t="s">
        <v>2789</v>
      </c>
      <c r="W3207" t="s">
        <v>2790</v>
      </c>
      <c r="AD3207" t="s">
        <v>410</v>
      </c>
      <c r="AE3207" t="s">
        <v>1407</v>
      </c>
      <c r="AF3207" t="s">
        <v>2791</v>
      </c>
    </row>
    <row r="3208" spans="1:32" hidden="1" x14ac:dyDescent="0.35">
      <c r="A3208">
        <v>1347</v>
      </c>
      <c r="B3208" t="s">
        <v>2784</v>
      </c>
      <c r="C3208" t="s">
        <v>72</v>
      </c>
      <c r="D3208" t="s">
        <v>34</v>
      </c>
      <c r="E3208">
        <v>2252</v>
      </c>
      <c r="F3208">
        <v>5</v>
      </c>
      <c r="G3208">
        <v>5</v>
      </c>
      <c r="H3208">
        <v>1</v>
      </c>
      <c r="I3208">
        <v>1</v>
      </c>
      <c r="J3208">
        <v>0.85066337550138804</v>
      </c>
      <c r="K3208">
        <v>0.94629942202444794</v>
      </c>
      <c r="L3208">
        <v>0.89593647868801296</v>
      </c>
      <c r="M3208">
        <v>0.64723032069970798</v>
      </c>
      <c r="N3208">
        <v>1</v>
      </c>
      <c r="O3208">
        <v>0.76268221574343997</v>
      </c>
      <c r="P3208" t="s">
        <v>2785</v>
      </c>
      <c r="Q3208" t="s">
        <v>2786</v>
      </c>
      <c r="R3208" t="s">
        <v>1191</v>
      </c>
      <c r="S3208" t="s">
        <v>1192</v>
      </c>
      <c r="T3208" t="s">
        <v>2787</v>
      </c>
      <c r="U3208" t="s">
        <v>2788</v>
      </c>
      <c r="V3208" t="s">
        <v>2789</v>
      </c>
      <c r="W3208" t="s">
        <v>2790</v>
      </c>
      <c r="AD3208" t="s">
        <v>410</v>
      </c>
      <c r="AE3208" t="s">
        <v>1407</v>
      </c>
      <c r="AF3208" t="s">
        <v>2792</v>
      </c>
    </row>
    <row r="3209" spans="1:32" hidden="1" x14ac:dyDescent="0.35">
      <c r="A3209">
        <v>1348</v>
      </c>
      <c r="B3209" t="s">
        <v>2784</v>
      </c>
      <c r="C3209" t="s">
        <v>72</v>
      </c>
      <c r="D3209" t="s">
        <v>45</v>
      </c>
      <c r="E3209">
        <v>625</v>
      </c>
      <c r="F3209">
        <v>5</v>
      </c>
      <c r="G3209">
        <v>5</v>
      </c>
      <c r="H3209">
        <v>1</v>
      </c>
      <c r="I3209">
        <v>1</v>
      </c>
      <c r="J3209">
        <v>0.85066337550138804</v>
      </c>
      <c r="K3209">
        <v>0.94629942202444794</v>
      </c>
      <c r="L3209">
        <v>0.89593647868801296</v>
      </c>
      <c r="M3209">
        <v>0.64723032069970798</v>
      </c>
      <c r="N3209">
        <v>1</v>
      </c>
      <c r="O3209">
        <v>0.76268221574343997</v>
      </c>
      <c r="P3209" t="s">
        <v>2785</v>
      </c>
      <c r="Q3209" t="s">
        <v>2786</v>
      </c>
      <c r="R3209" t="s">
        <v>1191</v>
      </c>
      <c r="S3209" t="s">
        <v>1192</v>
      </c>
      <c r="T3209" t="s">
        <v>2787</v>
      </c>
      <c r="U3209" t="s">
        <v>2788</v>
      </c>
      <c r="V3209" t="s">
        <v>2789</v>
      </c>
      <c r="W3209" t="s">
        <v>2790</v>
      </c>
      <c r="AD3209" t="s">
        <v>410</v>
      </c>
      <c r="AE3209" t="s">
        <v>1407</v>
      </c>
      <c r="AF3209" t="s">
        <v>2793</v>
      </c>
    </row>
    <row r="3210" spans="1:32" hidden="1" x14ac:dyDescent="0.35">
      <c r="A3210">
        <v>4289</v>
      </c>
      <c r="B3210" t="s">
        <v>8920</v>
      </c>
      <c r="C3210" t="s">
        <v>72</v>
      </c>
      <c r="D3210" t="s">
        <v>58</v>
      </c>
      <c r="E3210">
        <v>1756</v>
      </c>
      <c r="F3210">
        <v>5</v>
      </c>
      <c r="G3210">
        <v>5</v>
      </c>
      <c r="H3210">
        <v>1</v>
      </c>
      <c r="I3210">
        <v>1</v>
      </c>
      <c r="J3210">
        <v>0.77084725625603301</v>
      </c>
      <c r="K3210">
        <v>0.85233478963724796</v>
      </c>
      <c r="L3210">
        <v>0.80954559060793496</v>
      </c>
      <c r="M3210">
        <v>0.50652985074626899</v>
      </c>
      <c r="N3210">
        <v>0.98880597014925398</v>
      </c>
      <c r="O3210">
        <v>0.65671641791044799</v>
      </c>
      <c r="P3210" t="s">
        <v>3554</v>
      </c>
      <c r="Q3210" t="s">
        <v>3555</v>
      </c>
      <c r="R3210" t="s">
        <v>652</v>
      </c>
      <c r="S3210" t="s">
        <v>653</v>
      </c>
      <c r="T3210" t="s">
        <v>8921</v>
      </c>
      <c r="U3210" t="s">
        <v>8922</v>
      </c>
      <c r="V3210" t="s">
        <v>3558</v>
      </c>
      <c r="W3210" t="s">
        <v>3559</v>
      </c>
      <c r="Z3210" t="s">
        <v>8923</v>
      </c>
      <c r="AA3210" t="s">
        <v>8924</v>
      </c>
      <c r="AB3210" t="s">
        <v>8923</v>
      </c>
      <c r="AC3210" t="s">
        <v>8925</v>
      </c>
      <c r="AD3210" t="s">
        <v>219</v>
      </c>
      <c r="AE3210" t="s">
        <v>8926</v>
      </c>
      <c r="AF3210" t="s">
        <v>8927</v>
      </c>
    </row>
    <row r="3211" spans="1:32" hidden="1" x14ac:dyDescent="0.35">
      <c r="A3211">
        <v>1690</v>
      </c>
      <c r="B3211" t="s">
        <v>3530</v>
      </c>
      <c r="C3211" t="s">
        <v>72</v>
      </c>
      <c r="D3211" t="s">
        <v>60</v>
      </c>
      <c r="E3211">
        <v>1213</v>
      </c>
      <c r="F3211">
        <v>5</v>
      </c>
      <c r="G3211">
        <v>5</v>
      </c>
      <c r="H3211">
        <v>1</v>
      </c>
      <c r="I3211">
        <v>1</v>
      </c>
      <c r="J3211">
        <v>0.77347143334446999</v>
      </c>
      <c r="K3211">
        <v>0.96030897023662298</v>
      </c>
      <c r="L3211">
        <v>0.85682310646526105</v>
      </c>
      <c r="M3211">
        <v>0.61538461538461497</v>
      </c>
      <c r="N3211">
        <v>1</v>
      </c>
      <c r="O3211">
        <v>0.69615384615384601</v>
      </c>
      <c r="P3211" t="s">
        <v>3531</v>
      </c>
      <c r="Q3211" t="s">
        <v>3532</v>
      </c>
      <c r="R3211" t="s">
        <v>1191</v>
      </c>
      <c r="S3211" t="s">
        <v>1192</v>
      </c>
      <c r="T3211" t="s">
        <v>3533</v>
      </c>
      <c r="U3211" t="s">
        <v>3534</v>
      </c>
      <c r="V3211" t="s">
        <v>3535</v>
      </c>
      <c r="W3211" t="s">
        <v>3536</v>
      </c>
      <c r="AD3211" t="s">
        <v>3537</v>
      </c>
      <c r="AE3211" t="s">
        <v>3538</v>
      </c>
      <c r="AF3211" t="s">
        <v>3540</v>
      </c>
    </row>
    <row r="3212" spans="1:32" hidden="1" x14ac:dyDescent="0.35">
      <c r="A3212">
        <v>1691</v>
      </c>
      <c r="B3212" t="s">
        <v>3530</v>
      </c>
      <c r="C3212" t="s">
        <v>72</v>
      </c>
      <c r="D3212" t="s">
        <v>62</v>
      </c>
      <c r="E3212">
        <v>1250</v>
      </c>
      <c r="F3212">
        <v>5</v>
      </c>
      <c r="G3212">
        <v>5</v>
      </c>
      <c r="H3212">
        <v>1</v>
      </c>
      <c r="I3212">
        <v>1</v>
      </c>
      <c r="J3212">
        <v>0.77347143334446999</v>
      </c>
      <c r="K3212">
        <v>0.96030897023662298</v>
      </c>
      <c r="L3212">
        <v>0.85682310646526105</v>
      </c>
      <c r="M3212">
        <v>0.61538461538461497</v>
      </c>
      <c r="N3212">
        <v>1</v>
      </c>
      <c r="O3212">
        <v>0.69615384615384601</v>
      </c>
      <c r="P3212" t="s">
        <v>3531</v>
      </c>
      <c r="Q3212" t="s">
        <v>3532</v>
      </c>
      <c r="R3212" t="s">
        <v>1191</v>
      </c>
      <c r="S3212" t="s">
        <v>1192</v>
      </c>
      <c r="T3212" t="s">
        <v>3533</v>
      </c>
      <c r="U3212" t="s">
        <v>3534</v>
      </c>
      <c r="V3212" t="s">
        <v>3535</v>
      </c>
      <c r="W3212" t="s">
        <v>3536</v>
      </c>
      <c r="AD3212" t="s">
        <v>3537</v>
      </c>
      <c r="AE3212" t="s">
        <v>3538</v>
      </c>
      <c r="AF3212" t="s">
        <v>3540</v>
      </c>
    </row>
    <row r="3213" spans="1:32" hidden="1" x14ac:dyDescent="0.35">
      <c r="A3213">
        <v>1692</v>
      </c>
      <c r="B3213" t="s">
        <v>3530</v>
      </c>
      <c r="C3213" t="s">
        <v>72</v>
      </c>
      <c r="D3213" t="s">
        <v>34</v>
      </c>
      <c r="E3213">
        <v>1790</v>
      </c>
      <c r="F3213">
        <v>5</v>
      </c>
      <c r="G3213">
        <v>5</v>
      </c>
      <c r="H3213">
        <v>1</v>
      </c>
      <c r="I3213">
        <v>1</v>
      </c>
      <c r="J3213">
        <v>0.77347143334446999</v>
      </c>
      <c r="K3213">
        <v>0.96030897023662298</v>
      </c>
      <c r="L3213">
        <v>0.85682310646526105</v>
      </c>
      <c r="M3213">
        <v>0.61538461538461497</v>
      </c>
      <c r="N3213">
        <v>1</v>
      </c>
      <c r="O3213">
        <v>0.69615384615384601</v>
      </c>
      <c r="P3213" t="s">
        <v>3531</v>
      </c>
      <c r="Q3213" t="s">
        <v>3532</v>
      </c>
      <c r="R3213" t="s">
        <v>1191</v>
      </c>
      <c r="S3213" t="s">
        <v>1192</v>
      </c>
      <c r="T3213" t="s">
        <v>3533</v>
      </c>
      <c r="U3213" t="s">
        <v>3534</v>
      </c>
      <c r="V3213" t="s">
        <v>3535</v>
      </c>
      <c r="W3213" t="s">
        <v>3536</v>
      </c>
      <c r="AD3213" t="s">
        <v>3537</v>
      </c>
      <c r="AE3213" t="s">
        <v>3538</v>
      </c>
      <c r="AF3213" t="s">
        <v>3541</v>
      </c>
    </row>
    <row r="3214" spans="1:32" hidden="1" x14ac:dyDescent="0.35">
      <c r="A3214">
        <v>1693</v>
      </c>
      <c r="B3214" t="s">
        <v>3530</v>
      </c>
      <c r="C3214" t="s">
        <v>72</v>
      </c>
      <c r="D3214" t="s">
        <v>45</v>
      </c>
      <c r="E3214">
        <v>1083</v>
      </c>
      <c r="F3214">
        <v>5</v>
      </c>
      <c r="G3214">
        <v>5</v>
      </c>
      <c r="H3214">
        <v>1</v>
      </c>
      <c r="I3214">
        <v>1</v>
      </c>
      <c r="J3214">
        <v>0.77347143334446999</v>
      </c>
      <c r="K3214">
        <v>0.96030897023662298</v>
      </c>
      <c r="L3214">
        <v>0.85682310646526105</v>
      </c>
      <c r="M3214">
        <v>0.61538461538461497</v>
      </c>
      <c r="N3214">
        <v>1</v>
      </c>
      <c r="O3214">
        <v>0.69615384615384601</v>
      </c>
      <c r="P3214" t="s">
        <v>3531</v>
      </c>
      <c r="Q3214" t="s">
        <v>3532</v>
      </c>
      <c r="R3214" t="s">
        <v>1191</v>
      </c>
      <c r="S3214" t="s">
        <v>1192</v>
      </c>
      <c r="T3214" t="s">
        <v>3533</v>
      </c>
      <c r="U3214" t="s">
        <v>3534</v>
      </c>
      <c r="V3214" t="s">
        <v>3535</v>
      </c>
      <c r="W3214" t="s">
        <v>3536</v>
      </c>
      <c r="AD3214" t="s">
        <v>3537</v>
      </c>
      <c r="AE3214" t="s">
        <v>3538</v>
      </c>
      <c r="AF3214" t="s">
        <v>3541</v>
      </c>
    </row>
    <row r="3215" spans="1:32" hidden="1" x14ac:dyDescent="0.35">
      <c r="A3215">
        <v>1664</v>
      </c>
      <c r="B3215" t="s">
        <v>3494</v>
      </c>
      <c r="C3215" t="s">
        <v>72</v>
      </c>
      <c r="D3215" t="s">
        <v>58</v>
      </c>
      <c r="E3215">
        <v>357</v>
      </c>
      <c r="F3215">
        <v>5</v>
      </c>
      <c r="G3215">
        <v>5</v>
      </c>
      <c r="H3215">
        <v>1</v>
      </c>
      <c r="I3215">
        <v>1</v>
      </c>
      <c r="J3215">
        <v>0.84362745098039205</v>
      </c>
      <c r="K3215">
        <v>0.92377275234418199</v>
      </c>
      <c r="L3215">
        <v>0.88188294974654902</v>
      </c>
      <c r="M3215">
        <v>0.61486486486486502</v>
      </c>
      <c r="N3215">
        <v>1</v>
      </c>
      <c r="O3215">
        <v>0.76351351351351304</v>
      </c>
      <c r="P3215" t="s">
        <v>3495</v>
      </c>
      <c r="Q3215" t="s">
        <v>3188</v>
      </c>
      <c r="R3215" t="s">
        <v>869</v>
      </c>
      <c r="S3215" t="s">
        <v>870</v>
      </c>
      <c r="V3215" t="s">
        <v>3496</v>
      </c>
      <c r="W3215" t="s">
        <v>3497</v>
      </c>
      <c r="AF3215" t="s">
        <v>3498</v>
      </c>
    </row>
    <row r="3216" spans="1:32" hidden="1" x14ac:dyDescent="0.35">
      <c r="A3216">
        <v>1845</v>
      </c>
      <c r="B3216" t="s">
        <v>3822</v>
      </c>
      <c r="C3216" t="s">
        <v>72</v>
      </c>
      <c r="D3216" t="s">
        <v>60</v>
      </c>
      <c r="E3216">
        <v>1357</v>
      </c>
      <c r="F3216">
        <v>5</v>
      </c>
      <c r="G3216">
        <v>5</v>
      </c>
      <c r="H3216">
        <v>1</v>
      </c>
      <c r="I3216">
        <v>1</v>
      </c>
      <c r="J3216">
        <v>0.87259786476868295</v>
      </c>
      <c r="K3216">
        <v>0.98271446862996203</v>
      </c>
      <c r="L3216">
        <v>0.92438834321007501</v>
      </c>
      <c r="M3216">
        <v>0.74825174825174801</v>
      </c>
      <c r="N3216">
        <v>1</v>
      </c>
      <c r="O3216">
        <v>0.83006993006993002</v>
      </c>
      <c r="P3216" t="s">
        <v>3823</v>
      </c>
      <c r="Q3216" t="s">
        <v>3824</v>
      </c>
      <c r="R3216" t="s">
        <v>1191</v>
      </c>
      <c r="S3216" t="s">
        <v>1192</v>
      </c>
      <c r="V3216" t="s">
        <v>3825</v>
      </c>
      <c r="W3216" t="s">
        <v>3826</v>
      </c>
      <c r="AF3216" t="s">
        <v>3828</v>
      </c>
    </row>
    <row r="3217" spans="1:32" hidden="1" x14ac:dyDescent="0.35">
      <c r="A3217">
        <v>1846</v>
      </c>
      <c r="B3217" t="s">
        <v>3822</v>
      </c>
      <c r="C3217" t="s">
        <v>72</v>
      </c>
      <c r="D3217" t="s">
        <v>62</v>
      </c>
      <c r="E3217">
        <v>1393</v>
      </c>
      <c r="F3217">
        <v>5</v>
      </c>
      <c r="G3217">
        <v>5</v>
      </c>
      <c r="H3217">
        <v>1</v>
      </c>
      <c r="I3217">
        <v>1</v>
      </c>
      <c r="J3217">
        <v>0.87259786476868295</v>
      </c>
      <c r="K3217">
        <v>0.98271446862996203</v>
      </c>
      <c r="L3217">
        <v>0.92438834321007501</v>
      </c>
      <c r="M3217">
        <v>0.74825174825174801</v>
      </c>
      <c r="N3217">
        <v>1</v>
      </c>
      <c r="O3217">
        <v>0.83006993006993002</v>
      </c>
      <c r="P3217" t="s">
        <v>3823</v>
      </c>
      <c r="Q3217" t="s">
        <v>3824</v>
      </c>
      <c r="R3217" t="s">
        <v>1191</v>
      </c>
      <c r="S3217" t="s">
        <v>1192</v>
      </c>
      <c r="V3217" t="s">
        <v>3825</v>
      </c>
      <c r="W3217" t="s">
        <v>3826</v>
      </c>
      <c r="AF3217" t="s">
        <v>3829</v>
      </c>
    </row>
    <row r="3218" spans="1:32" hidden="1" x14ac:dyDescent="0.35">
      <c r="A3218">
        <v>1847</v>
      </c>
      <c r="B3218" t="s">
        <v>3822</v>
      </c>
      <c r="C3218" t="s">
        <v>72</v>
      </c>
      <c r="D3218" t="s">
        <v>34</v>
      </c>
      <c r="E3218">
        <v>1673</v>
      </c>
      <c r="F3218">
        <v>5</v>
      </c>
      <c r="G3218">
        <v>5</v>
      </c>
      <c r="H3218">
        <v>1</v>
      </c>
      <c r="I3218">
        <v>1</v>
      </c>
      <c r="J3218">
        <v>0.87259786476868295</v>
      </c>
      <c r="K3218">
        <v>0.98271446862996203</v>
      </c>
      <c r="L3218">
        <v>0.92438834321007501</v>
      </c>
      <c r="M3218">
        <v>0.74825174825174801</v>
      </c>
      <c r="N3218">
        <v>1</v>
      </c>
      <c r="O3218">
        <v>0.83006993006993002</v>
      </c>
      <c r="P3218" t="s">
        <v>3823</v>
      </c>
      <c r="Q3218" t="s">
        <v>3824</v>
      </c>
      <c r="R3218" t="s">
        <v>1191</v>
      </c>
      <c r="S3218" t="s">
        <v>1192</v>
      </c>
      <c r="V3218" t="s">
        <v>3825</v>
      </c>
      <c r="W3218" t="s">
        <v>3826</v>
      </c>
      <c r="AF3218" t="s">
        <v>3830</v>
      </c>
    </row>
    <row r="3219" spans="1:32" hidden="1" x14ac:dyDescent="0.35">
      <c r="A3219">
        <v>1848</v>
      </c>
      <c r="B3219" t="s">
        <v>3822</v>
      </c>
      <c r="C3219" t="s">
        <v>72</v>
      </c>
      <c r="D3219" t="s">
        <v>45</v>
      </c>
      <c r="E3219">
        <v>1203</v>
      </c>
      <c r="F3219">
        <v>5</v>
      </c>
      <c r="G3219">
        <v>5</v>
      </c>
      <c r="H3219">
        <v>1</v>
      </c>
      <c r="I3219">
        <v>1</v>
      </c>
      <c r="J3219">
        <v>0.87259786476868295</v>
      </c>
      <c r="K3219">
        <v>0.98271446862996203</v>
      </c>
      <c r="L3219">
        <v>0.92438834321007501</v>
      </c>
      <c r="M3219">
        <v>0.74825174825174801</v>
      </c>
      <c r="N3219">
        <v>1</v>
      </c>
      <c r="O3219">
        <v>0.83006993006993002</v>
      </c>
      <c r="P3219" t="s">
        <v>3823</v>
      </c>
      <c r="Q3219" t="s">
        <v>3824</v>
      </c>
      <c r="R3219" t="s">
        <v>1191</v>
      </c>
      <c r="S3219" t="s">
        <v>1192</v>
      </c>
      <c r="V3219" t="s">
        <v>3825</v>
      </c>
      <c r="W3219" t="s">
        <v>3826</v>
      </c>
      <c r="AF3219" t="s">
        <v>3830</v>
      </c>
    </row>
    <row r="3220" spans="1:32" hidden="1" x14ac:dyDescent="0.35">
      <c r="A3220">
        <v>11553</v>
      </c>
      <c r="B3220" t="s">
        <v>23622</v>
      </c>
      <c r="C3220" t="s">
        <v>33</v>
      </c>
      <c r="D3220" t="s">
        <v>58</v>
      </c>
      <c r="E3220">
        <v>794</v>
      </c>
      <c r="F3220">
        <v>1</v>
      </c>
      <c r="G3220">
        <v>1</v>
      </c>
      <c r="H3220">
        <v>1</v>
      </c>
      <c r="I3220">
        <v>0</v>
      </c>
      <c r="J3220">
        <v>1</v>
      </c>
      <c r="K3220">
        <v>1</v>
      </c>
      <c r="L3220">
        <v>1</v>
      </c>
      <c r="M3220">
        <v>0</v>
      </c>
      <c r="N3220">
        <v>0</v>
      </c>
      <c r="O3220">
        <v>0</v>
      </c>
      <c r="P3220" t="s">
        <v>10988</v>
      </c>
      <c r="Q3220" t="s">
        <v>10989</v>
      </c>
      <c r="R3220" t="s">
        <v>652</v>
      </c>
      <c r="S3220" t="s">
        <v>653</v>
      </c>
      <c r="V3220" t="s">
        <v>10990</v>
      </c>
      <c r="W3220" t="s">
        <v>10991</v>
      </c>
      <c r="X3220" t="s">
        <v>10990</v>
      </c>
      <c r="Y3220" t="s">
        <v>5826</v>
      </c>
      <c r="AF3220" t="s">
        <v>23623</v>
      </c>
    </row>
    <row r="3221" spans="1:32" hidden="1" x14ac:dyDescent="0.35">
      <c r="A3221">
        <v>1890</v>
      </c>
      <c r="B3221" t="s">
        <v>3911</v>
      </c>
      <c r="C3221" t="s">
        <v>72</v>
      </c>
      <c r="D3221" t="s">
        <v>60</v>
      </c>
      <c r="E3221">
        <v>2466</v>
      </c>
      <c r="F3221">
        <v>5</v>
      </c>
      <c r="G3221">
        <v>5</v>
      </c>
      <c r="H3221">
        <v>1</v>
      </c>
      <c r="I3221">
        <v>1</v>
      </c>
      <c r="J3221">
        <v>0.81592039800994998</v>
      </c>
      <c r="K3221">
        <v>0.92521159874608305</v>
      </c>
      <c r="L3221">
        <v>0.86713588320564605</v>
      </c>
      <c r="M3221">
        <v>0.55000000000000004</v>
      </c>
      <c r="N3221">
        <v>1</v>
      </c>
      <c r="O3221">
        <v>0.72</v>
      </c>
      <c r="P3221" t="s">
        <v>3912</v>
      </c>
      <c r="Q3221" t="s">
        <v>3913</v>
      </c>
      <c r="R3221" t="s">
        <v>1191</v>
      </c>
      <c r="S3221" t="s">
        <v>1192</v>
      </c>
      <c r="V3221" t="s">
        <v>3914</v>
      </c>
      <c r="W3221" t="s">
        <v>3915</v>
      </c>
      <c r="AF3221" t="s">
        <v>3917</v>
      </c>
    </row>
    <row r="3222" spans="1:32" hidden="1" x14ac:dyDescent="0.35">
      <c r="A3222">
        <v>1891</v>
      </c>
      <c r="B3222" t="s">
        <v>3911</v>
      </c>
      <c r="C3222" t="s">
        <v>72</v>
      </c>
      <c r="D3222" t="s">
        <v>62</v>
      </c>
      <c r="E3222">
        <v>2492</v>
      </c>
      <c r="F3222">
        <v>5</v>
      </c>
      <c r="G3222">
        <v>5</v>
      </c>
      <c r="H3222">
        <v>1</v>
      </c>
      <c r="I3222">
        <v>1</v>
      </c>
      <c r="J3222">
        <v>0.81592039800994998</v>
      </c>
      <c r="K3222">
        <v>0.92521159874608305</v>
      </c>
      <c r="L3222">
        <v>0.86713588320564605</v>
      </c>
      <c r="M3222">
        <v>0.55000000000000004</v>
      </c>
      <c r="N3222">
        <v>1</v>
      </c>
      <c r="O3222">
        <v>0.72</v>
      </c>
      <c r="P3222" t="s">
        <v>3912</v>
      </c>
      <c r="Q3222" t="s">
        <v>3913</v>
      </c>
      <c r="R3222" t="s">
        <v>1191</v>
      </c>
      <c r="S3222" t="s">
        <v>1192</v>
      </c>
      <c r="V3222" t="s">
        <v>3914</v>
      </c>
      <c r="W3222" t="s">
        <v>3915</v>
      </c>
      <c r="AF3222" t="s">
        <v>3917</v>
      </c>
    </row>
    <row r="3223" spans="1:32" hidden="1" x14ac:dyDescent="0.35">
      <c r="A3223">
        <v>1892</v>
      </c>
      <c r="B3223" t="s">
        <v>3911</v>
      </c>
      <c r="C3223" t="s">
        <v>72</v>
      </c>
      <c r="D3223" t="s">
        <v>34</v>
      </c>
      <c r="E3223">
        <v>1204</v>
      </c>
      <c r="F3223">
        <v>5</v>
      </c>
      <c r="G3223">
        <v>5</v>
      </c>
      <c r="H3223">
        <v>1</v>
      </c>
      <c r="I3223">
        <v>1</v>
      </c>
      <c r="J3223">
        <v>0.81592039800994998</v>
      </c>
      <c r="K3223">
        <v>0.92521159874608305</v>
      </c>
      <c r="L3223">
        <v>0.86713588320564605</v>
      </c>
      <c r="M3223">
        <v>0.55000000000000004</v>
      </c>
      <c r="N3223">
        <v>1</v>
      </c>
      <c r="O3223">
        <v>0.72</v>
      </c>
      <c r="P3223" t="s">
        <v>3912</v>
      </c>
      <c r="Q3223" t="s">
        <v>3913</v>
      </c>
      <c r="R3223" t="s">
        <v>1191</v>
      </c>
      <c r="S3223" t="s">
        <v>1192</v>
      </c>
      <c r="V3223" t="s">
        <v>3914</v>
      </c>
      <c r="W3223" t="s">
        <v>3915</v>
      </c>
      <c r="AF3223" t="s">
        <v>3918</v>
      </c>
    </row>
    <row r="3224" spans="1:32" hidden="1" x14ac:dyDescent="0.35">
      <c r="A3224">
        <v>1893</v>
      </c>
      <c r="B3224" t="s">
        <v>3911</v>
      </c>
      <c r="C3224" t="s">
        <v>72</v>
      </c>
      <c r="D3224" t="s">
        <v>45</v>
      </c>
      <c r="E3224">
        <v>2447</v>
      </c>
      <c r="F3224">
        <v>5</v>
      </c>
      <c r="G3224">
        <v>5</v>
      </c>
      <c r="H3224">
        <v>1</v>
      </c>
      <c r="I3224">
        <v>1</v>
      </c>
      <c r="J3224">
        <v>0.81592039800994998</v>
      </c>
      <c r="K3224">
        <v>0.92521159874608305</v>
      </c>
      <c r="L3224">
        <v>0.86713588320564605</v>
      </c>
      <c r="M3224">
        <v>0.55000000000000004</v>
      </c>
      <c r="N3224">
        <v>1</v>
      </c>
      <c r="O3224">
        <v>0.72</v>
      </c>
      <c r="P3224" t="s">
        <v>3912</v>
      </c>
      <c r="Q3224" t="s">
        <v>3913</v>
      </c>
      <c r="R3224" t="s">
        <v>1191</v>
      </c>
      <c r="S3224" t="s">
        <v>1192</v>
      </c>
      <c r="V3224" t="s">
        <v>3914</v>
      </c>
      <c r="W3224" t="s">
        <v>3915</v>
      </c>
      <c r="AF3224" t="s">
        <v>3918</v>
      </c>
    </row>
    <row r="3225" spans="1:32" hidden="1" x14ac:dyDescent="0.35">
      <c r="A3225">
        <v>2459</v>
      </c>
      <c r="B3225" t="s">
        <v>5093</v>
      </c>
      <c r="C3225" t="s">
        <v>72</v>
      </c>
      <c r="D3225" t="s">
        <v>58</v>
      </c>
      <c r="E3225">
        <v>1244</v>
      </c>
      <c r="F3225">
        <v>5</v>
      </c>
      <c r="G3225">
        <v>5</v>
      </c>
      <c r="H3225">
        <v>1</v>
      </c>
      <c r="I3225">
        <v>1</v>
      </c>
      <c r="J3225">
        <v>0.93081876724931001</v>
      </c>
      <c r="K3225">
        <v>0.99362824865567101</v>
      </c>
      <c r="L3225">
        <v>0.96119853014797496</v>
      </c>
      <c r="M3225">
        <v>0.85191956124314405</v>
      </c>
      <c r="N3225">
        <v>1</v>
      </c>
      <c r="O3225">
        <v>0.90310786106032903</v>
      </c>
      <c r="P3225" t="s">
        <v>4603</v>
      </c>
      <c r="Q3225" t="s">
        <v>4604</v>
      </c>
      <c r="R3225" t="s">
        <v>652</v>
      </c>
      <c r="S3225" t="s">
        <v>653</v>
      </c>
      <c r="T3225" t="s">
        <v>5094</v>
      </c>
      <c r="U3225" t="s">
        <v>5095</v>
      </c>
      <c r="V3225" t="s">
        <v>5096</v>
      </c>
      <c r="W3225" t="s">
        <v>5097</v>
      </c>
      <c r="X3225" t="s">
        <v>5096</v>
      </c>
      <c r="Y3225" t="s">
        <v>3395</v>
      </c>
      <c r="Z3225" t="s">
        <v>3396</v>
      </c>
      <c r="AA3225" t="s">
        <v>3397</v>
      </c>
      <c r="AB3225" t="s">
        <v>3396</v>
      </c>
      <c r="AC3225" t="s">
        <v>729</v>
      </c>
      <c r="AD3225" t="s">
        <v>4609</v>
      </c>
      <c r="AE3225" t="s">
        <v>4610</v>
      </c>
      <c r="AF3225" t="s">
        <v>5098</v>
      </c>
    </row>
    <row r="3226" spans="1:32" hidden="1" x14ac:dyDescent="0.35">
      <c r="A3226">
        <v>2840</v>
      </c>
      <c r="B3226" t="s">
        <v>5872</v>
      </c>
      <c r="C3226" t="s">
        <v>72</v>
      </c>
      <c r="D3226" t="s">
        <v>60</v>
      </c>
      <c r="E3226">
        <v>2325</v>
      </c>
      <c r="F3226">
        <v>5</v>
      </c>
      <c r="G3226">
        <v>5</v>
      </c>
      <c r="H3226">
        <v>1</v>
      </c>
      <c r="I3226">
        <v>1</v>
      </c>
      <c r="J3226">
        <v>0.78340536646857595</v>
      </c>
      <c r="K3226">
        <v>0.96459148196435496</v>
      </c>
      <c r="L3226">
        <v>0.86460813027003103</v>
      </c>
      <c r="M3226">
        <v>0.59895833333333304</v>
      </c>
      <c r="N3226">
        <v>1</v>
      </c>
      <c r="O3226">
        <v>0.70664062500000002</v>
      </c>
      <c r="P3226" t="s">
        <v>5873</v>
      </c>
      <c r="Q3226" t="s">
        <v>5874</v>
      </c>
      <c r="R3226" t="s">
        <v>1191</v>
      </c>
      <c r="S3226" t="s">
        <v>1192</v>
      </c>
      <c r="T3226" t="s">
        <v>5875</v>
      </c>
      <c r="U3226" t="s">
        <v>5876</v>
      </c>
      <c r="V3226" t="s">
        <v>5877</v>
      </c>
      <c r="W3226" t="s">
        <v>5878</v>
      </c>
      <c r="AD3226" t="s">
        <v>5879</v>
      </c>
      <c r="AE3226" t="s">
        <v>5880</v>
      </c>
      <c r="AF3226" t="s">
        <v>5882</v>
      </c>
    </row>
    <row r="3227" spans="1:32" hidden="1" x14ac:dyDescent="0.35">
      <c r="A3227">
        <v>2841</v>
      </c>
      <c r="B3227" t="s">
        <v>5872</v>
      </c>
      <c r="C3227" t="s">
        <v>72</v>
      </c>
      <c r="D3227" t="s">
        <v>62</v>
      </c>
      <c r="E3227">
        <v>2353</v>
      </c>
      <c r="F3227">
        <v>5</v>
      </c>
      <c r="G3227">
        <v>5</v>
      </c>
      <c r="H3227">
        <v>1</v>
      </c>
      <c r="I3227">
        <v>1</v>
      </c>
      <c r="J3227">
        <v>0.78340536646857595</v>
      </c>
      <c r="K3227">
        <v>0.96459148196435496</v>
      </c>
      <c r="L3227">
        <v>0.86460813027003103</v>
      </c>
      <c r="M3227">
        <v>0.59895833333333304</v>
      </c>
      <c r="N3227">
        <v>1</v>
      </c>
      <c r="O3227">
        <v>0.70664062500000002</v>
      </c>
      <c r="P3227" t="s">
        <v>5873</v>
      </c>
      <c r="Q3227" t="s">
        <v>5874</v>
      </c>
      <c r="R3227" t="s">
        <v>1191</v>
      </c>
      <c r="S3227" t="s">
        <v>1192</v>
      </c>
      <c r="T3227" t="s">
        <v>5875</v>
      </c>
      <c r="U3227" t="s">
        <v>5876</v>
      </c>
      <c r="V3227" t="s">
        <v>5877</v>
      </c>
      <c r="W3227" t="s">
        <v>5878</v>
      </c>
      <c r="AD3227" t="s">
        <v>5879</v>
      </c>
      <c r="AE3227" t="s">
        <v>5880</v>
      </c>
      <c r="AF3227" t="s">
        <v>5882</v>
      </c>
    </row>
    <row r="3228" spans="1:32" hidden="1" x14ac:dyDescent="0.35">
      <c r="A3228">
        <v>2842</v>
      </c>
      <c r="B3228" t="s">
        <v>5872</v>
      </c>
      <c r="C3228" t="s">
        <v>72</v>
      </c>
      <c r="D3228" t="s">
        <v>34</v>
      </c>
      <c r="E3228">
        <v>1466</v>
      </c>
      <c r="F3228">
        <v>5</v>
      </c>
      <c r="G3228">
        <v>5</v>
      </c>
      <c r="H3228">
        <v>1</v>
      </c>
      <c r="I3228">
        <v>1</v>
      </c>
      <c r="J3228">
        <v>0.78340536646857595</v>
      </c>
      <c r="K3228">
        <v>0.96459148196435496</v>
      </c>
      <c r="L3228">
        <v>0.86460813027003103</v>
      </c>
      <c r="M3228">
        <v>0.59895833333333304</v>
      </c>
      <c r="N3228">
        <v>1</v>
      </c>
      <c r="O3228">
        <v>0.70664062500000002</v>
      </c>
      <c r="P3228" t="s">
        <v>5873</v>
      </c>
      <c r="Q3228" t="s">
        <v>5874</v>
      </c>
      <c r="R3228" t="s">
        <v>1191</v>
      </c>
      <c r="S3228" t="s">
        <v>1192</v>
      </c>
      <c r="T3228" t="s">
        <v>5875</v>
      </c>
      <c r="U3228" t="s">
        <v>5876</v>
      </c>
      <c r="V3228" t="s">
        <v>5877</v>
      </c>
      <c r="W3228" t="s">
        <v>5878</v>
      </c>
      <c r="AD3228" t="s">
        <v>5879</v>
      </c>
      <c r="AE3228" t="s">
        <v>5880</v>
      </c>
      <c r="AF3228" t="s">
        <v>5883</v>
      </c>
    </row>
    <row r="3229" spans="1:32" hidden="1" x14ac:dyDescent="0.35">
      <c r="A3229">
        <v>2843</v>
      </c>
      <c r="B3229" t="s">
        <v>5872</v>
      </c>
      <c r="C3229" t="s">
        <v>72</v>
      </c>
      <c r="D3229" t="s">
        <v>45</v>
      </c>
      <c r="E3229">
        <v>217</v>
      </c>
      <c r="F3229">
        <v>5</v>
      </c>
      <c r="G3229">
        <v>5</v>
      </c>
      <c r="H3229">
        <v>1</v>
      </c>
      <c r="I3229">
        <v>1</v>
      </c>
      <c r="J3229">
        <v>0.78340536646857595</v>
      </c>
      <c r="K3229">
        <v>0.96459148196435496</v>
      </c>
      <c r="L3229">
        <v>0.86460813027003103</v>
      </c>
      <c r="M3229">
        <v>0.59895833333333304</v>
      </c>
      <c r="N3229">
        <v>1</v>
      </c>
      <c r="O3229">
        <v>0.70664062500000002</v>
      </c>
      <c r="P3229" t="s">
        <v>5873</v>
      </c>
      <c r="Q3229" t="s">
        <v>5874</v>
      </c>
      <c r="R3229" t="s">
        <v>1191</v>
      </c>
      <c r="S3229" t="s">
        <v>1192</v>
      </c>
      <c r="T3229" t="s">
        <v>5875</v>
      </c>
      <c r="U3229" t="s">
        <v>5876</v>
      </c>
      <c r="V3229" t="s">
        <v>5877</v>
      </c>
      <c r="W3229" t="s">
        <v>5878</v>
      </c>
      <c r="AD3229" t="s">
        <v>5879</v>
      </c>
      <c r="AE3229" t="s">
        <v>5880</v>
      </c>
      <c r="AF3229" t="s">
        <v>5884</v>
      </c>
    </row>
    <row r="3230" spans="1:32" hidden="1" x14ac:dyDescent="0.35">
      <c r="A3230">
        <v>2214</v>
      </c>
      <c r="B3230" t="s">
        <v>4602</v>
      </c>
      <c r="C3230" t="s">
        <v>72</v>
      </c>
      <c r="D3230" t="s">
        <v>58</v>
      </c>
      <c r="E3230">
        <v>1242</v>
      </c>
      <c r="F3230">
        <v>5</v>
      </c>
      <c r="G3230">
        <v>5</v>
      </c>
      <c r="H3230">
        <v>1</v>
      </c>
      <c r="I3230">
        <v>1</v>
      </c>
      <c r="J3230">
        <v>0.97726957726957697</v>
      </c>
      <c r="K3230">
        <v>0.99792531120332395</v>
      </c>
      <c r="L3230">
        <v>0.98748943987019</v>
      </c>
      <c r="M3230">
        <v>0.95643153526971003</v>
      </c>
      <c r="N3230">
        <v>1</v>
      </c>
      <c r="O3230">
        <v>0.96680497925311204</v>
      </c>
      <c r="P3230" t="s">
        <v>4603</v>
      </c>
      <c r="Q3230" t="s">
        <v>4604</v>
      </c>
      <c r="R3230" t="s">
        <v>652</v>
      </c>
      <c r="S3230" t="s">
        <v>653</v>
      </c>
      <c r="T3230" t="s">
        <v>4605</v>
      </c>
      <c r="U3230" t="s">
        <v>4606</v>
      </c>
      <c r="V3230" t="s">
        <v>4607</v>
      </c>
      <c r="W3230" t="s">
        <v>4608</v>
      </c>
      <c r="X3230" t="s">
        <v>4607</v>
      </c>
      <c r="Y3230" t="s">
        <v>3395</v>
      </c>
      <c r="Z3230" t="s">
        <v>3396</v>
      </c>
      <c r="AA3230" t="s">
        <v>3397</v>
      </c>
      <c r="AB3230" t="s">
        <v>3396</v>
      </c>
      <c r="AC3230" t="s">
        <v>729</v>
      </c>
      <c r="AD3230" t="s">
        <v>4609</v>
      </c>
      <c r="AE3230" t="s">
        <v>4610</v>
      </c>
      <c r="AF3230" t="s">
        <v>4611</v>
      </c>
    </row>
    <row r="3231" spans="1:32" hidden="1" x14ac:dyDescent="0.35">
      <c r="A3231">
        <v>3110</v>
      </c>
      <c r="B3231" t="s">
        <v>6407</v>
      </c>
      <c r="C3231" t="s">
        <v>72</v>
      </c>
      <c r="D3231" t="s">
        <v>60</v>
      </c>
      <c r="E3231">
        <v>1146</v>
      </c>
      <c r="F3231">
        <v>5</v>
      </c>
      <c r="G3231">
        <v>5</v>
      </c>
      <c r="H3231">
        <v>1</v>
      </c>
      <c r="I3231">
        <v>1</v>
      </c>
      <c r="J3231">
        <v>0.89246575342465795</v>
      </c>
      <c r="K3231">
        <v>1</v>
      </c>
      <c r="L3231">
        <v>0.94317770539268897</v>
      </c>
      <c r="M3231">
        <v>0.80821917808219201</v>
      </c>
      <c r="N3231">
        <v>1</v>
      </c>
      <c r="O3231">
        <v>0.85547945205479503</v>
      </c>
      <c r="P3231" t="s">
        <v>3912</v>
      </c>
      <c r="Q3231" t="s">
        <v>3913</v>
      </c>
      <c r="R3231" t="s">
        <v>1191</v>
      </c>
      <c r="S3231" t="s">
        <v>1192</v>
      </c>
      <c r="V3231" t="s">
        <v>3914</v>
      </c>
      <c r="W3231" t="s">
        <v>3915</v>
      </c>
      <c r="AF3231" t="s">
        <v>6409</v>
      </c>
    </row>
    <row r="3232" spans="1:32" hidden="1" x14ac:dyDescent="0.35">
      <c r="A3232">
        <v>3111</v>
      </c>
      <c r="B3232" t="s">
        <v>6407</v>
      </c>
      <c r="C3232" t="s">
        <v>72</v>
      </c>
      <c r="D3232" t="s">
        <v>62</v>
      </c>
      <c r="E3232">
        <v>1183</v>
      </c>
      <c r="F3232">
        <v>5</v>
      </c>
      <c r="G3232">
        <v>5</v>
      </c>
      <c r="H3232">
        <v>1</v>
      </c>
      <c r="I3232">
        <v>1</v>
      </c>
      <c r="J3232">
        <v>0.89246575342465795</v>
      </c>
      <c r="K3232">
        <v>1</v>
      </c>
      <c r="L3232">
        <v>0.94317770539268897</v>
      </c>
      <c r="M3232">
        <v>0.80821917808219201</v>
      </c>
      <c r="N3232">
        <v>1</v>
      </c>
      <c r="O3232">
        <v>0.85547945205479503</v>
      </c>
      <c r="P3232" t="s">
        <v>3912</v>
      </c>
      <c r="Q3232" t="s">
        <v>3913</v>
      </c>
      <c r="R3232" t="s">
        <v>1191</v>
      </c>
      <c r="S3232" t="s">
        <v>1192</v>
      </c>
      <c r="V3232" t="s">
        <v>3914</v>
      </c>
      <c r="W3232" t="s">
        <v>3915</v>
      </c>
      <c r="AF3232" t="s">
        <v>6409</v>
      </c>
    </row>
    <row r="3233" spans="1:32" hidden="1" x14ac:dyDescent="0.35">
      <c r="A3233">
        <v>3112</v>
      </c>
      <c r="B3233" t="s">
        <v>6407</v>
      </c>
      <c r="C3233" t="s">
        <v>72</v>
      </c>
      <c r="D3233" t="s">
        <v>34</v>
      </c>
      <c r="E3233">
        <v>1</v>
      </c>
      <c r="F3233">
        <v>5</v>
      </c>
      <c r="G3233">
        <v>5</v>
      </c>
      <c r="H3233">
        <v>1</v>
      </c>
      <c r="I3233">
        <v>1</v>
      </c>
      <c r="J3233">
        <v>0.89246575342465795</v>
      </c>
      <c r="K3233">
        <v>1</v>
      </c>
      <c r="L3233">
        <v>0.94317770539268897</v>
      </c>
      <c r="M3233">
        <v>0.80821917808219201</v>
      </c>
      <c r="N3233">
        <v>1</v>
      </c>
      <c r="O3233">
        <v>0.85547945205479503</v>
      </c>
      <c r="P3233" t="s">
        <v>3912</v>
      </c>
      <c r="Q3233" t="s">
        <v>3913</v>
      </c>
      <c r="R3233" t="s">
        <v>1191</v>
      </c>
      <c r="S3233" t="s">
        <v>1192</v>
      </c>
      <c r="V3233" t="s">
        <v>3914</v>
      </c>
      <c r="W3233" t="s">
        <v>3915</v>
      </c>
      <c r="AF3233" t="s">
        <v>6410</v>
      </c>
    </row>
    <row r="3234" spans="1:32" hidden="1" x14ac:dyDescent="0.35">
      <c r="A3234">
        <v>3113</v>
      </c>
      <c r="B3234" t="s">
        <v>6407</v>
      </c>
      <c r="C3234" t="s">
        <v>72</v>
      </c>
      <c r="D3234" t="s">
        <v>45</v>
      </c>
      <c r="E3234">
        <v>1258</v>
      </c>
      <c r="F3234">
        <v>5</v>
      </c>
      <c r="G3234">
        <v>5</v>
      </c>
      <c r="H3234">
        <v>1</v>
      </c>
      <c r="I3234">
        <v>1</v>
      </c>
      <c r="J3234">
        <v>0.89246575342465795</v>
      </c>
      <c r="K3234">
        <v>1</v>
      </c>
      <c r="L3234">
        <v>0.94317770539268897</v>
      </c>
      <c r="M3234">
        <v>0.80821917808219201</v>
      </c>
      <c r="N3234">
        <v>1</v>
      </c>
      <c r="O3234">
        <v>0.85547945205479503</v>
      </c>
      <c r="P3234" t="s">
        <v>3912</v>
      </c>
      <c r="Q3234" t="s">
        <v>3913</v>
      </c>
      <c r="R3234" t="s">
        <v>1191</v>
      </c>
      <c r="S3234" t="s">
        <v>1192</v>
      </c>
      <c r="V3234" t="s">
        <v>3914</v>
      </c>
      <c r="W3234" t="s">
        <v>3915</v>
      </c>
      <c r="AF3234" t="s">
        <v>6411</v>
      </c>
    </row>
    <row r="3235" spans="1:32" hidden="1" x14ac:dyDescent="0.35">
      <c r="A3235">
        <v>1619</v>
      </c>
      <c r="B3235" t="s">
        <v>3388</v>
      </c>
      <c r="C3235" t="s">
        <v>72</v>
      </c>
      <c r="D3235" t="s">
        <v>58</v>
      </c>
      <c r="E3235">
        <v>1245</v>
      </c>
      <c r="F3235">
        <v>5</v>
      </c>
      <c r="G3235">
        <v>5</v>
      </c>
      <c r="H3235">
        <v>1</v>
      </c>
      <c r="I3235">
        <v>1</v>
      </c>
      <c r="J3235">
        <v>0.76372549019607805</v>
      </c>
      <c r="K3235">
        <v>1</v>
      </c>
      <c r="L3235">
        <v>0.86603668704836001</v>
      </c>
      <c r="M3235">
        <v>0.58823529411764697</v>
      </c>
      <c r="N3235">
        <v>1</v>
      </c>
      <c r="O3235">
        <v>0.70147058823529396</v>
      </c>
      <c r="P3235" t="s">
        <v>3389</v>
      </c>
      <c r="Q3235" t="s">
        <v>3390</v>
      </c>
      <c r="R3235" t="s">
        <v>652</v>
      </c>
      <c r="S3235" t="s">
        <v>653</v>
      </c>
      <c r="T3235" t="s">
        <v>3391</v>
      </c>
      <c r="U3235" t="s">
        <v>3392</v>
      </c>
      <c r="V3235" t="s">
        <v>3393</v>
      </c>
      <c r="W3235" t="s">
        <v>3394</v>
      </c>
      <c r="X3235" t="s">
        <v>3393</v>
      </c>
      <c r="Y3235" t="s">
        <v>3395</v>
      </c>
      <c r="Z3235" t="s">
        <v>3396</v>
      </c>
      <c r="AA3235" t="s">
        <v>3397</v>
      </c>
      <c r="AB3235" t="s">
        <v>3396</v>
      </c>
      <c r="AC3235" t="s">
        <v>729</v>
      </c>
      <c r="AD3235" t="s">
        <v>3398</v>
      </c>
      <c r="AE3235" t="s">
        <v>3399</v>
      </c>
      <c r="AF3235" t="s">
        <v>3400</v>
      </c>
    </row>
    <row r="3236" spans="1:32" hidden="1" x14ac:dyDescent="0.35">
      <c r="A3236">
        <v>3190</v>
      </c>
      <c r="B3236" t="s">
        <v>6554</v>
      </c>
      <c r="C3236" t="s">
        <v>72</v>
      </c>
      <c r="D3236" t="s">
        <v>60</v>
      </c>
      <c r="E3236">
        <v>32</v>
      </c>
      <c r="F3236">
        <v>5</v>
      </c>
      <c r="G3236">
        <v>5</v>
      </c>
      <c r="H3236">
        <v>1</v>
      </c>
      <c r="I3236">
        <v>1</v>
      </c>
      <c r="J3236">
        <v>0.76785273041759305</v>
      </c>
      <c r="K3236">
        <v>0.86157320872274201</v>
      </c>
      <c r="L3236">
        <v>0.812017686574249</v>
      </c>
      <c r="M3236">
        <v>0.467289719626168</v>
      </c>
      <c r="N3236">
        <v>1</v>
      </c>
      <c r="O3236">
        <v>0.61526479750778795</v>
      </c>
      <c r="P3236" t="s">
        <v>6555</v>
      </c>
      <c r="Q3236" t="s">
        <v>6556</v>
      </c>
      <c r="R3236" t="s">
        <v>1191</v>
      </c>
      <c r="S3236" t="s">
        <v>1192</v>
      </c>
      <c r="V3236" t="s">
        <v>3825</v>
      </c>
      <c r="W3236" t="s">
        <v>3826</v>
      </c>
      <c r="AF3236" t="s">
        <v>6558</v>
      </c>
    </row>
    <row r="3237" spans="1:32" hidden="1" x14ac:dyDescent="0.35">
      <c r="A3237">
        <v>3191</v>
      </c>
      <c r="B3237" t="s">
        <v>6554</v>
      </c>
      <c r="C3237" t="s">
        <v>72</v>
      </c>
      <c r="D3237" t="s">
        <v>62</v>
      </c>
      <c r="E3237">
        <v>105</v>
      </c>
      <c r="F3237">
        <v>5</v>
      </c>
      <c r="G3237">
        <v>5</v>
      </c>
      <c r="H3237">
        <v>1</v>
      </c>
      <c r="I3237">
        <v>1</v>
      </c>
      <c r="J3237">
        <v>0.76785273041759305</v>
      </c>
      <c r="K3237">
        <v>0.86157320872274201</v>
      </c>
      <c r="L3237">
        <v>0.812017686574249</v>
      </c>
      <c r="M3237">
        <v>0.467289719626168</v>
      </c>
      <c r="N3237">
        <v>1</v>
      </c>
      <c r="O3237">
        <v>0.61526479750778795</v>
      </c>
      <c r="P3237" t="s">
        <v>6555</v>
      </c>
      <c r="Q3237" t="s">
        <v>6556</v>
      </c>
      <c r="R3237" t="s">
        <v>1191</v>
      </c>
      <c r="S3237" t="s">
        <v>1192</v>
      </c>
      <c r="V3237" t="s">
        <v>3825</v>
      </c>
      <c r="W3237" t="s">
        <v>3826</v>
      </c>
      <c r="AF3237" t="s">
        <v>6559</v>
      </c>
    </row>
    <row r="3238" spans="1:32" hidden="1" x14ac:dyDescent="0.35">
      <c r="A3238">
        <v>3192</v>
      </c>
      <c r="B3238" t="s">
        <v>6554</v>
      </c>
      <c r="C3238" t="s">
        <v>72</v>
      </c>
      <c r="D3238" t="s">
        <v>34</v>
      </c>
      <c r="E3238">
        <v>1042</v>
      </c>
      <c r="F3238">
        <v>5</v>
      </c>
      <c r="G3238">
        <v>5</v>
      </c>
      <c r="H3238">
        <v>1</v>
      </c>
      <c r="I3238">
        <v>1</v>
      </c>
      <c r="J3238">
        <v>0.76785273041759305</v>
      </c>
      <c r="K3238">
        <v>0.86157320872274201</v>
      </c>
      <c r="L3238">
        <v>0.812017686574249</v>
      </c>
      <c r="M3238">
        <v>0.467289719626168</v>
      </c>
      <c r="N3238">
        <v>1</v>
      </c>
      <c r="O3238">
        <v>0.61526479750778795</v>
      </c>
      <c r="P3238" t="s">
        <v>6555</v>
      </c>
      <c r="Q3238" t="s">
        <v>6556</v>
      </c>
      <c r="R3238" t="s">
        <v>1191</v>
      </c>
      <c r="S3238" t="s">
        <v>1192</v>
      </c>
      <c r="V3238" t="s">
        <v>3825</v>
      </c>
      <c r="W3238" t="s">
        <v>3826</v>
      </c>
      <c r="AF3238" t="s">
        <v>6560</v>
      </c>
    </row>
    <row r="3239" spans="1:32" hidden="1" x14ac:dyDescent="0.35">
      <c r="A3239">
        <v>3193</v>
      </c>
      <c r="B3239" t="s">
        <v>6554</v>
      </c>
      <c r="C3239" t="s">
        <v>72</v>
      </c>
      <c r="D3239" t="s">
        <v>45</v>
      </c>
      <c r="E3239">
        <v>2297</v>
      </c>
      <c r="F3239">
        <v>5</v>
      </c>
      <c r="G3239">
        <v>5</v>
      </c>
      <c r="H3239">
        <v>1</v>
      </c>
      <c r="I3239">
        <v>1</v>
      </c>
      <c r="J3239">
        <v>0.76785273041759305</v>
      </c>
      <c r="K3239">
        <v>0.86157320872274201</v>
      </c>
      <c r="L3239">
        <v>0.812017686574249</v>
      </c>
      <c r="M3239">
        <v>0.467289719626168</v>
      </c>
      <c r="N3239">
        <v>1</v>
      </c>
      <c r="O3239">
        <v>0.61526479750778795</v>
      </c>
      <c r="P3239" t="s">
        <v>6555</v>
      </c>
      <c r="Q3239" t="s">
        <v>6556</v>
      </c>
      <c r="R3239" t="s">
        <v>1191</v>
      </c>
      <c r="S3239" t="s">
        <v>1192</v>
      </c>
      <c r="V3239" t="s">
        <v>3825</v>
      </c>
      <c r="W3239" t="s">
        <v>3826</v>
      </c>
      <c r="AF3239" t="s">
        <v>6560</v>
      </c>
    </row>
    <row r="3240" spans="1:32" hidden="1" x14ac:dyDescent="0.35">
      <c r="A3240">
        <v>3449</v>
      </c>
      <c r="B3240" t="s">
        <v>7093</v>
      </c>
      <c r="C3240" t="s">
        <v>72</v>
      </c>
      <c r="D3240" t="s">
        <v>58</v>
      </c>
      <c r="E3240">
        <v>1241</v>
      </c>
      <c r="F3240">
        <v>5</v>
      </c>
      <c r="G3240">
        <v>5</v>
      </c>
      <c r="H3240">
        <v>1</v>
      </c>
      <c r="I3240">
        <v>1</v>
      </c>
      <c r="J3240">
        <v>0.792682926829268</v>
      </c>
      <c r="K3240">
        <v>1</v>
      </c>
      <c r="L3240">
        <v>0.88435374149659896</v>
      </c>
      <c r="M3240">
        <v>0.57723577235772405</v>
      </c>
      <c r="N3240">
        <v>1</v>
      </c>
      <c r="O3240">
        <v>0.71951219512195097</v>
      </c>
      <c r="P3240" t="s">
        <v>7094</v>
      </c>
      <c r="Q3240" t="s">
        <v>7095</v>
      </c>
      <c r="R3240" t="s">
        <v>652</v>
      </c>
      <c r="S3240" t="s">
        <v>653</v>
      </c>
      <c r="T3240" t="s">
        <v>7096</v>
      </c>
      <c r="U3240" t="s">
        <v>7097</v>
      </c>
      <c r="V3240" t="s">
        <v>7098</v>
      </c>
      <c r="W3240" t="s">
        <v>7099</v>
      </c>
      <c r="X3240" t="s">
        <v>7098</v>
      </c>
      <c r="Y3240" t="s">
        <v>3395</v>
      </c>
      <c r="Z3240" t="s">
        <v>3396</v>
      </c>
      <c r="AA3240" t="s">
        <v>3397</v>
      </c>
      <c r="AB3240" t="s">
        <v>3396</v>
      </c>
      <c r="AC3240" t="s">
        <v>729</v>
      </c>
      <c r="AD3240" t="s">
        <v>3398</v>
      </c>
      <c r="AE3240" t="s">
        <v>3399</v>
      </c>
      <c r="AF3240" t="s">
        <v>7100</v>
      </c>
    </row>
    <row r="3241" spans="1:32" hidden="1" x14ac:dyDescent="0.35">
      <c r="A3241">
        <v>3215</v>
      </c>
      <c r="B3241" t="s">
        <v>6599</v>
      </c>
      <c r="C3241" t="s">
        <v>72</v>
      </c>
      <c r="D3241" t="s">
        <v>60</v>
      </c>
      <c r="E3241">
        <v>2460</v>
      </c>
      <c r="F3241">
        <v>5</v>
      </c>
      <c r="G3241">
        <v>5</v>
      </c>
      <c r="H3241">
        <v>1</v>
      </c>
      <c r="I3241">
        <v>1</v>
      </c>
      <c r="J3241">
        <v>0.77466008487052895</v>
      </c>
      <c r="K3241">
        <v>0.88950068543709804</v>
      </c>
      <c r="L3241">
        <v>0.82811791837362003</v>
      </c>
      <c r="M3241">
        <v>0.51834862385321101</v>
      </c>
      <c r="N3241">
        <v>1</v>
      </c>
      <c r="O3241">
        <v>0.652293577981651</v>
      </c>
      <c r="P3241" t="s">
        <v>1992</v>
      </c>
      <c r="Q3241" t="s">
        <v>1993</v>
      </c>
      <c r="R3241" t="s">
        <v>1191</v>
      </c>
      <c r="S3241" t="s">
        <v>1192</v>
      </c>
      <c r="T3241" t="s">
        <v>6602</v>
      </c>
      <c r="U3241" t="s">
        <v>6603</v>
      </c>
      <c r="V3241" t="s">
        <v>6600</v>
      </c>
      <c r="W3241" t="s">
        <v>6601</v>
      </c>
      <c r="AD3241" t="s">
        <v>1998</v>
      </c>
      <c r="AE3241" t="s">
        <v>6604</v>
      </c>
      <c r="AF3241" t="s">
        <v>6605</v>
      </c>
    </row>
    <row r="3242" spans="1:32" hidden="1" x14ac:dyDescent="0.35">
      <c r="A3242">
        <v>3216</v>
      </c>
      <c r="B3242" t="s">
        <v>6599</v>
      </c>
      <c r="C3242" t="s">
        <v>72</v>
      </c>
      <c r="D3242" t="s">
        <v>62</v>
      </c>
      <c r="E3242">
        <v>2486</v>
      </c>
      <c r="F3242">
        <v>5</v>
      </c>
      <c r="G3242">
        <v>5</v>
      </c>
      <c r="H3242">
        <v>1</v>
      </c>
      <c r="I3242">
        <v>1</v>
      </c>
      <c r="J3242">
        <v>0.77466008487052895</v>
      </c>
      <c r="K3242">
        <v>0.88950068543709804</v>
      </c>
      <c r="L3242">
        <v>0.82811791837362003</v>
      </c>
      <c r="M3242">
        <v>0.51834862385321101</v>
      </c>
      <c r="N3242">
        <v>1</v>
      </c>
      <c r="O3242">
        <v>0.652293577981651</v>
      </c>
      <c r="P3242" t="s">
        <v>1992</v>
      </c>
      <c r="Q3242" t="s">
        <v>1993</v>
      </c>
      <c r="R3242" t="s">
        <v>1191</v>
      </c>
      <c r="S3242" t="s">
        <v>1192</v>
      </c>
      <c r="T3242" t="s">
        <v>6602</v>
      </c>
      <c r="U3242" t="s">
        <v>6603</v>
      </c>
      <c r="V3242" t="s">
        <v>6600</v>
      </c>
      <c r="W3242" t="s">
        <v>6601</v>
      </c>
      <c r="AD3242" t="s">
        <v>1998</v>
      </c>
      <c r="AE3242" t="s">
        <v>6604</v>
      </c>
      <c r="AF3242" t="s">
        <v>6605</v>
      </c>
    </row>
    <row r="3243" spans="1:32" hidden="1" x14ac:dyDescent="0.35">
      <c r="A3243">
        <v>3217</v>
      </c>
      <c r="B3243" t="s">
        <v>6599</v>
      </c>
      <c r="C3243" t="s">
        <v>72</v>
      </c>
      <c r="D3243" t="s">
        <v>34</v>
      </c>
      <c r="E3243">
        <v>1213</v>
      </c>
      <c r="F3243">
        <v>5</v>
      </c>
      <c r="G3243">
        <v>5</v>
      </c>
      <c r="H3243">
        <v>1</v>
      </c>
      <c r="I3243">
        <v>1</v>
      </c>
      <c r="J3243">
        <v>0.77466008487052895</v>
      </c>
      <c r="K3243">
        <v>0.88950068543709804</v>
      </c>
      <c r="L3243">
        <v>0.82811791837362003</v>
      </c>
      <c r="M3243">
        <v>0.51834862385321101</v>
      </c>
      <c r="N3243">
        <v>1</v>
      </c>
      <c r="O3243">
        <v>0.652293577981651</v>
      </c>
      <c r="P3243" t="s">
        <v>6606</v>
      </c>
      <c r="Q3243" t="s">
        <v>6607</v>
      </c>
      <c r="R3243" t="s">
        <v>1191</v>
      </c>
      <c r="S3243" t="s">
        <v>1192</v>
      </c>
      <c r="V3243" t="s">
        <v>6600</v>
      </c>
      <c r="W3243" t="s">
        <v>6601</v>
      </c>
      <c r="AF3243" t="s">
        <v>6608</v>
      </c>
    </row>
    <row r="3244" spans="1:32" hidden="1" x14ac:dyDescent="0.35">
      <c r="A3244">
        <v>3218</v>
      </c>
      <c r="B3244" t="s">
        <v>6599</v>
      </c>
      <c r="C3244" t="s">
        <v>72</v>
      </c>
      <c r="D3244" t="s">
        <v>45</v>
      </c>
      <c r="E3244">
        <v>2456</v>
      </c>
      <c r="F3244">
        <v>5</v>
      </c>
      <c r="G3244">
        <v>5</v>
      </c>
      <c r="H3244">
        <v>1</v>
      </c>
      <c r="I3244">
        <v>1</v>
      </c>
      <c r="J3244">
        <v>0.77466008487052895</v>
      </c>
      <c r="K3244">
        <v>0.88950068543709804</v>
      </c>
      <c r="L3244">
        <v>0.82811791837362003</v>
      </c>
      <c r="M3244">
        <v>0.51834862385321101</v>
      </c>
      <c r="N3244">
        <v>1</v>
      </c>
      <c r="O3244">
        <v>0.652293577981651</v>
      </c>
      <c r="P3244" t="s">
        <v>6606</v>
      </c>
      <c r="Q3244" t="s">
        <v>6607</v>
      </c>
      <c r="R3244" t="s">
        <v>1191</v>
      </c>
      <c r="S3244" t="s">
        <v>1192</v>
      </c>
      <c r="V3244" t="s">
        <v>6600</v>
      </c>
      <c r="W3244" t="s">
        <v>6601</v>
      </c>
      <c r="AF3244" t="s">
        <v>6609</v>
      </c>
    </row>
    <row r="3245" spans="1:32" hidden="1" x14ac:dyDescent="0.35">
      <c r="A3245">
        <v>2069</v>
      </c>
      <c r="B3245" t="s">
        <v>4304</v>
      </c>
      <c r="C3245" t="s">
        <v>72</v>
      </c>
      <c r="D3245" t="s">
        <v>58</v>
      </c>
      <c r="E3245">
        <v>1243</v>
      </c>
      <c r="F3245">
        <v>5</v>
      </c>
      <c r="G3245">
        <v>5</v>
      </c>
      <c r="H3245">
        <v>1</v>
      </c>
      <c r="I3245">
        <v>1</v>
      </c>
      <c r="J3245">
        <v>0.87226650316779097</v>
      </c>
      <c r="K3245">
        <v>0.99755726909438802</v>
      </c>
      <c r="L3245">
        <v>0.93071422422857697</v>
      </c>
      <c r="M3245">
        <v>0.76758409785932702</v>
      </c>
      <c r="N3245">
        <v>1</v>
      </c>
      <c r="O3245">
        <v>0.83058103975535202</v>
      </c>
      <c r="P3245" t="s">
        <v>4305</v>
      </c>
      <c r="Q3245" t="s">
        <v>4306</v>
      </c>
      <c r="R3245" t="s">
        <v>652</v>
      </c>
      <c r="S3245" t="s">
        <v>653</v>
      </c>
      <c r="T3245" t="s">
        <v>4307</v>
      </c>
      <c r="U3245" t="s">
        <v>4308</v>
      </c>
      <c r="V3245" t="s">
        <v>4309</v>
      </c>
      <c r="W3245" t="s">
        <v>4310</v>
      </c>
      <c r="X3245" t="s">
        <v>4309</v>
      </c>
      <c r="Y3245" t="s">
        <v>3395</v>
      </c>
      <c r="Z3245" t="s">
        <v>3396</v>
      </c>
      <c r="AA3245" t="s">
        <v>3397</v>
      </c>
      <c r="AB3245" t="s">
        <v>3396</v>
      </c>
      <c r="AC3245" t="s">
        <v>729</v>
      </c>
      <c r="AD3245" t="s">
        <v>3398</v>
      </c>
      <c r="AE3245" t="s">
        <v>3399</v>
      </c>
      <c r="AF3245" t="s">
        <v>4311</v>
      </c>
    </row>
    <row r="3246" spans="1:32" hidden="1" x14ac:dyDescent="0.35">
      <c r="A3246">
        <v>2724</v>
      </c>
      <c r="B3246" t="s">
        <v>5626</v>
      </c>
      <c r="C3246" t="s">
        <v>72</v>
      </c>
      <c r="D3246" t="s">
        <v>58</v>
      </c>
      <c r="E3246">
        <v>1248</v>
      </c>
      <c r="F3246">
        <v>5</v>
      </c>
      <c r="G3246">
        <v>5</v>
      </c>
      <c r="H3246">
        <v>1</v>
      </c>
      <c r="I3246">
        <v>1</v>
      </c>
      <c r="J3246">
        <v>0.85879806468041797</v>
      </c>
      <c r="K3246">
        <v>0.97361149642124201</v>
      </c>
      <c r="L3246">
        <v>0.91260784338461598</v>
      </c>
      <c r="M3246">
        <v>0.67657992565055802</v>
      </c>
      <c r="N3246">
        <v>1</v>
      </c>
      <c r="O3246">
        <v>0.77063197026022301</v>
      </c>
      <c r="P3246" t="s">
        <v>5627</v>
      </c>
      <c r="Q3246" t="s">
        <v>5628</v>
      </c>
      <c r="R3246" t="s">
        <v>652</v>
      </c>
      <c r="S3246" t="s">
        <v>653</v>
      </c>
      <c r="T3246" t="s">
        <v>5629</v>
      </c>
      <c r="U3246" t="s">
        <v>5630</v>
      </c>
      <c r="V3246" t="s">
        <v>5631</v>
      </c>
      <c r="W3246" t="s">
        <v>5632</v>
      </c>
      <c r="X3246" t="s">
        <v>5631</v>
      </c>
      <c r="Y3246" t="s">
        <v>3395</v>
      </c>
      <c r="Z3246" t="s">
        <v>3396</v>
      </c>
      <c r="AA3246" t="s">
        <v>3397</v>
      </c>
      <c r="AB3246" t="s">
        <v>3396</v>
      </c>
      <c r="AC3246" t="s">
        <v>729</v>
      </c>
      <c r="AD3246" t="s">
        <v>5633</v>
      </c>
      <c r="AE3246" t="s">
        <v>5634</v>
      </c>
      <c r="AF3246" t="s">
        <v>5635</v>
      </c>
    </row>
    <row r="3247" spans="1:32" hidden="1" x14ac:dyDescent="0.35">
      <c r="A3247">
        <v>2234</v>
      </c>
      <c r="B3247" t="s">
        <v>4648</v>
      </c>
      <c r="C3247" t="s">
        <v>72</v>
      </c>
      <c r="D3247" t="s">
        <v>58</v>
      </c>
      <c r="E3247">
        <v>1189</v>
      </c>
      <c r="F3247">
        <v>5</v>
      </c>
      <c r="G3247">
        <v>5</v>
      </c>
      <c r="H3247">
        <v>1</v>
      </c>
      <c r="I3247">
        <v>1</v>
      </c>
      <c r="J3247">
        <v>0.84425036390101904</v>
      </c>
      <c r="K3247">
        <v>0.85508802060970401</v>
      </c>
      <c r="L3247">
        <v>0.84963463327523003</v>
      </c>
      <c r="M3247">
        <v>0.56934306569343096</v>
      </c>
      <c r="N3247">
        <v>1</v>
      </c>
      <c r="O3247">
        <v>0.69416058394160596</v>
      </c>
      <c r="P3247" t="s">
        <v>4649</v>
      </c>
      <c r="Q3247" t="s">
        <v>4650</v>
      </c>
      <c r="R3247" t="s">
        <v>4651</v>
      </c>
      <c r="S3247" t="s">
        <v>4652</v>
      </c>
      <c r="T3247" t="s">
        <v>4653</v>
      </c>
      <c r="U3247" t="s">
        <v>4654</v>
      </c>
      <c r="V3247" t="s">
        <v>4655</v>
      </c>
      <c r="W3247" t="s">
        <v>4656</v>
      </c>
      <c r="AD3247" t="s">
        <v>410</v>
      </c>
      <c r="AE3247" t="s">
        <v>4657</v>
      </c>
      <c r="AF3247" t="e">
        <f>-------------------------MKLITAIVKPFTLDDIKDALEQLDIHGMTVSETQGFGQQKGHSELYRGAEYAVDFVPKLKIEIVVADSAVDDALDAIVDAARTGKVGDGKIWVTAVERLIRVRTGESGEQAL</f>
        <v>#NAME?</v>
      </c>
    </row>
    <row r="3248" spans="1:32" hidden="1" x14ac:dyDescent="0.35">
      <c r="A3248">
        <v>2235</v>
      </c>
      <c r="B3248" t="s">
        <v>4648</v>
      </c>
      <c r="C3248" t="s">
        <v>72</v>
      </c>
      <c r="D3248" t="s">
        <v>60</v>
      </c>
      <c r="E3248">
        <v>1630</v>
      </c>
      <c r="F3248">
        <v>5</v>
      </c>
      <c r="G3248">
        <v>5</v>
      </c>
      <c r="H3248">
        <v>1</v>
      </c>
      <c r="I3248">
        <v>1</v>
      </c>
      <c r="J3248">
        <v>0.84425036390101904</v>
      </c>
      <c r="K3248">
        <v>0.85508802060970401</v>
      </c>
      <c r="L3248">
        <v>0.84963463327523003</v>
      </c>
      <c r="M3248">
        <v>0.56934306569343096</v>
      </c>
      <c r="N3248">
        <v>1</v>
      </c>
      <c r="O3248">
        <v>0.69416058394160596</v>
      </c>
      <c r="P3248" t="s">
        <v>4649</v>
      </c>
      <c r="Q3248" t="s">
        <v>4650</v>
      </c>
      <c r="R3248" t="s">
        <v>4651</v>
      </c>
      <c r="S3248" t="s">
        <v>4652</v>
      </c>
      <c r="T3248" t="s">
        <v>4653</v>
      </c>
      <c r="U3248" t="s">
        <v>4654</v>
      </c>
      <c r="V3248" t="s">
        <v>4655</v>
      </c>
      <c r="W3248" t="s">
        <v>4656</v>
      </c>
      <c r="AD3248" t="s">
        <v>410</v>
      </c>
      <c r="AE3248" t="s">
        <v>4657</v>
      </c>
      <c r="AF3248" t="e">
        <f>-------------------------MKLITAVIKPFTLEDVKQSLEQVGVYGMTVTEIQGFGQQKGHTEVYRGAEYAVDFVPKVKVEIVVSNEQLDEVVAAIVDTARTGKIGDGKVWVMDVEELVRVRTGERGNDAL</f>
        <v>#NAME?</v>
      </c>
    </row>
    <row r="3249" spans="1:32" hidden="1" x14ac:dyDescent="0.35">
      <c r="A3249">
        <v>2236</v>
      </c>
      <c r="B3249" t="s">
        <v>4648</v>
      </c>
      <c r="C3249" t="s">
        <v>72</v>
      </c>
      <c r="D3249" t="s">
        <v>62</v>
      </c>
      <c r="E3249">
        <v>1666</v>
      </c>
      <c r="F3249">
        <v>5</v>
      </c>
      <c r="G3249">
        <v>5</v>
      </c>
      <c r="H3249">
        <v>1</v>
      </c>
      <c r="I3249">
        <v>1</v>
      </c>
      <c r="J3249">
        <v>0.84425036390101904</v>
      </c>
      <c r="K3249">
        <v>0.85508802060970401</v>
      </c>
      <c r="L3249">
        <v>0.84963463327523003</v>
      </c>
      <c r="M3249">
        <v>0.56934306569343096</v>
      </c>
      <c r="N3249">
        <v>1</v>
      </c>
      <c r="O3249">
        <v>0.69416058394160596</v>
      </c>
      <c r="P3249" t="s">
        <v>4649</v>
      </c>
      <c r="Q3249" t="s">
        <v>4650</v>
      </c>
      <c r="R3249" t="s">
        <v>4651</v>
      </c>
      <c r="S3249" t="s">
        <v>4652</v>
      </c>
      <c r="T3249" t="s">
        <v>4653</v>
      </c>
      <c r="U3249" t="s">
        <v>4654</v>
      </c>
      <c r="V3249" t="s">
        <v>4655</v>
      </c>
      <c r="W3249" t="s">
        <v>4656</v>
      </c>
      <c r="AD3249" t="s">
        <v>410</v>
      </c>
      <c r="AE3249" t="s">
        <v>4657</v>
      </c>
      <c r="AF3249" t="e">
        <f>-------------------------MKLITAVIKPFTLEDVKQSLQQVGVYGMTVTEIQGFGQQKGHTEVYRGAEYAVDFVPKVKVEIVVSSEQLDEVVAAIVDTARTGKIGDGKVWVMDVEELVRVRTGERGNDAL</f>
        <v>#NAME?</v>
      </c>
    </row>
    <row r="3250" spans="1:32" hidden="1" x14ac:dyDescent="0.35">
      <c r="A3250">
        <v>2237</v>
      </c>
      <c r="B3250" t="s">
        <v>4648</v>
      </c>
      <c r="C3250" t="s">
        <v>72</v>
      </c>
      <c r="D3250" t="s">
        <v>34</v>
      </c>
      <c r="E3250">
        <v>2032</v>
      </c>
      <c r="F3250">
        <v>5</v>
      </c>
      <c r="G3250">
        <v>5</v>
      </c>
      <c r="H3250">
        <v>1</v>
      </c>
      <c r="I3250">
        <v>1</v>
      </c>
      <c r="J3250">
        <v>0.84425036390101904</v>
      </c>
      <c r="K3250">
        <v>0.85508802060970401</v>
      </c>
      <c r="L3250">
        <v>0.84963463327523003</v>
      </c>
      <c r="M3250">
        <v>0.56934306569343096</v>
      </c>
      <c r="N3250">
        <v>1</v>
      </c>
      <c r="O3250">
        <v>0.69416058394160596</v>
      </c>
      <c r="P3250" t="s">
        <v>4649</v>
      </c>
      <c r="Q3250" t="s">
        <v>4650</v>
      </c>
      <c r="R3250" t="s">
        <v>4651</v>
      </c>
      <c r="S3250" t="s">
        <v>4652</v>
      </c>
      <c r="T3250" t="s">
        <v>4653</v>
      </c>
      <c r="U3250" t="s">
        <v>4654</v>
      </c>
      <c r="V3250" t="s">
        <v>4655</v>
      </c>
      <c r="W3250" t="s">
        <v>4656</v>
      </c>
      <c r="AD3250" t="s">
        <v>410</v>
      </c>
      <c r="AE3250" t="s">
        <v>4657</v>
      </c>
      <c r="AF3250" t="s">
        <v>4658</v>
      </c>
    </row>
    <row r="3251" spans="1:32" hidden="1" x14ac:dyDescent="0.35">
      <c r="A3251">
        <v>2238</v>
      </c>
      <c r="B3251" t="s">
        <v>4648</v>
      </c>
      <c r="C3251" t="s">
        <v>72</v>
      </c>
      <c r="D3251" t="s">
        <v>45</v>
      </c>
      <c r="E3251">
        <v>840</v>
      </c>
      <c r="F3251">
        <v>5</v>
      </c>
      <c r="G3251">
        <v>5</v>
      </c>
      <c r="H3251">
        <v>1</v>
      </c>
      <c r="I3251">
        <v>1</v>
      </c>
      <c r="J3251">
        <v>0.84425036390101904</v>
      </c>
      <c r="K3251">
        <v>0.85508802060970401</v>
      </c>
      <c r="L3251">
        <v>0.84963463327523003</v>
      </c>
      <c r="M3251">
        <v>0.56934306569343096</v>
      </c>
      <c r="N3251">
        <v>1</v>
      </c>
      <c r="O3251">
        <v>0.69416058394160596</v>
      </c>
      <c r="P3251" t="s">
        <v>4649</v>
      </c>
      <c r="Q3251" t="s">
        <v>4650</v>
      </c>
      <c r="R3251" t="s">
        <v>4651</v>
      </c>
      <c r="S3251" t="s">
        <v>4652</v>
      </c>
      <c r="T3251" t="s">
        <v>4653</v>
      </c>
      <c r="U3251" t="s">
        <v>4654</v>
      </c>
      <c r="V3251" t="s">
        <v>4655</v>
      </c>
      <c r="W3251" t="s">
        <v>4656</v>
      </c>
      <c r="AD3251" t="s">
        <v>410</v>
      </c>
      <c r="AE3251" t="s">
        <v>4657</v>
      </c>
      <c r="AF3251" t="s">
        <v>4658</v>
      </c>
    </row>
    <row r="3252" spans="1:32" hidden="1" x14ac:dyDescent="0.35">
      <c r="A3252">
        <v>564</v>
      </c>
      <c r="B3252" t="s">
        <v>1116</v>
      </c>
      <c r="C3252" t="s">
        <v>72</v>
      </c>
      <c r="D3252" t="s">
        <v>58</v>
      </c>
      <c r="E3252">
        <v>1100</v>
      </c>
      <c r="F3252">
        <v>5</v>
      </c>
      <c r="G3252">
        <v>5</v>
      </c>
      <c r="H3252">
        <v>1</v>
      </c>
      <c r="I3252">
        <v>1</v>
      </c>
      <c r="J3252">
        <v>0.88713318284424403</v>
      </c>
      <c r="K3252">
        <v>0.98454431960050004</v>
      </c>
      <c r="L3252">
        <v>0.93330387821359995</v>
      </c>
      <c r="M3252">
        <v>0.74444444444444402</v>
      </c>
      <c r="N3252">
        <v>1</v>
      </c>
      <c r="O3252">
        <v>0.83111111111111102</v>
      </c>
      <c r="P3252" t="s">
        <v>1117</v>
      </c>
      <c r="Q3252" t="s">
        <v>1118</v>
      </c>
      <c r="R3252" t="s">
        <v>1119</v>
      </c>
      <c r="S3252" t="s">
        <v>1120</v>
      </c>
      <c r="T3252" t="s">
        <v>1121</v>
      </c>
      <c r="U3252" t="s">
        <v>1122</v>
      </c>
      <c r="V3252" t="s">
        <v>1123</v>
      </c>
      <c r="W3252" t="s">
        <v>1124</v>
      </c>
      <c r="AD3252" t="s">
        <v>439</v>
      </c>
      <c r="AE3252" t="s">
        <v>1125</v>
      </c>
      <c r="AF3252" t="s">
        <v>1126</v>
      </c>
    </row>
    <row r="3253" spans="1:32" hidden="1" x14ac:dyDescent="0.35">
      <c r="A3253">
        <v>565</v>
      </c>
      <c r="B3253" t="s">
        <v>1116</v>
      </c>
      <c r="C3253" t="s">
        <v>72</v>
      </c>
      <c r="D3253" t="s">
        <v>60</v>
      </c>
      <c r="E3253">
        <v>1484</v>
      </c>
      <c r="F3253">
        <v>5</v>
      </c>
      <c r="G3253">
        <v>5</v>
      </c>
      <c r="H3253">
        <v>1</v>
      </c>
      <c r="I3253">
        <v>1</v>
      </c>
      <c r="J3253">
        <v>0.88713318284424403</v>
      </c>
      <c r="K3253">
        <v>0.98454431960050004</v>
      </c>
      <c r="L3253">
        <v>0.93330387821359995</v>
      </c>
      <c r="M3253">
        <v>0.74444444444444402</v>
      </c>
      <c r="N3253">
        <v>1</v>
      </c>
      <c r="O3253">
        <v>0.83111111111111102</v>
      </c>
      <c r="P3253" t="s">
        <v>1117</v>
      </c>
      <c r="Q3253" t="s">
        <v>1118</v>
      </c>
      <c r="R3253" t="s">
        <v>1119</v>
      </c>
      <c r="S3253" t="s">
        <v>1120</v>
      </c>
      <c r="T3253" t="s">
        <v>1121</v>
      </c>
      <c r="U3253" t="s">
        <v>1122</v>
      </c>
      <c r="V3253" t="s">
        <v>1123</v>
      </c>
      <c r="W3253" t="s">
        <v>1124</v>
      </c>
      <c r="AD3253" t="s">
        <v>439</v>
      </c>
      <c r="AE3253" t="s">
        <v>1125</v>
      </c>
      <c r="AF3253" t="s">
        <v>1127</v>
      </c>
    </row>
    <row r="3254" spans="1:32" hidden="1" x14ac:dyDescent="0.35">
      <c r="A3254">
        <v>566</v>
      </c>
      <c r="B3254" t="s">
        <v>1116</v>
      </c>
      <c r="C3254" t="s">
        <v>72</v>
      </c>
      <c r="D3254" t="s">
        <v>62</v>
      </c>
      <c r="E3254">
        <v>1519</v>
      </c>
      <c r="F3254">
        <v>5</v>
      </c>
      <c r="G3254">
        <v>5</v>
      </c>
      <c r="H3254">
        <v>1</v>
      </c>
      <c r="I3254">
        <v>1</v>
      </c>
      <c r="J3254">
        <v>0.88713318284424403</v>
      </c>
      <c r="K3254">
        <v>0.98454431960050004</v>
      </c>
      <c r="L3254">
        <v>0.93330387821359995</v>
      </c>
      <c r="M3254">
        <v>0.74444444444444402</v>
      </c>
      <c r="N3254">
        <v>1</v>
      </c>
      <c r="O3254">
        <v>0.83111111111111102</v>
      </c>
      <c r="P3254" t="s">
        <v>1117</v>
      </c>
      <c r="Q3254" t="s">
        <v>1118</v>
      </c>
      <c r="R3254" t="s">
        <v>1119</v>
      </c>
      <c r="S3254" t="s">
        <v>1120</v>
      </c>
      <c r="T3254" t="s">
        <v>1121</v>
      </c>
      <c r="U3254" t="s">
        <v>1122</v>
      </c>
      <c r="V3254" t="s">
        <v>1123</v>
      </c>
      <c r="W3254" t="s">
        <v>1124</v>
      </c>
      <c r="AD3254" t="s">
        <v>439</v>
      </c>
      <c r="AE3254" t="s">
        <v>1125</v>
      </c>
      <c r="AF3254" t="s">
        <v>1127</v>
      </c>
    </row>
    <row r="3255" spans="1:32" hidden="1" x14ac:dyDescent="0.35">
      <c r="A3255">
        <v>567</v>
      </c>
      <c r="B3255" t="s">
        <v>1116</v>
      </c>
      <c r="C3255" t="s">
        <v>72</v>
      </c>
      <c r="D3255" t="s">
        <v>34</v>
      </c>
      <c r="E3255">
        <v>1910</v>
      </c>
      <c r="F3255">
        <v>5</v>
      </c>
      <c r="G3255">
        <v>5</v>
      </c>
      <c r="H3255">
        <v>1</v>
      </c>
      <c r="I3255">
        <v>1</v>
      </c>
      <c r="J3255">
        <v>0.88713318284424403</v>
      </c>
      <c r="K3255">
        <v>0.98454431960050004</v>
      </c>
      <c r="L3255">
        <v>0.93330387821359995</v>
      </c>
      <c r="M3255">
        <v>0.74444444444444402</v>
      </c>
      <c r="N3255">
        <v>1</v>
      </c>
      <c r="O3255">
        <v>0.83111111111111102</v>
      </c>
      <c r="P3255" t="s">
        <v>1117</v>
      </c>
      <c r="Q3255" t="s">
        <v>1118</v>
      </c>
      <c r="R3255" t="s">
        <v>1119</v>
      </c>
      <c r="S3255" t="s">
        <v>1120</v>
      </c>
      <c r="T3255" t="s">
        <v>1121</v>
      </c>
      <c r="U3255" t="s">
        <v>1122</v>
      </c>
      <c r="V3255" t="s">
        <v>1123</v>
      </c>
      <c r="W3255" t="s">
        <v>1124</v>
      </c>
      <c r="AD3255" t="s">
        <v>439</v>
      </c>
      <c r="AE3255" t="s">
        <v>1125</v>
      </c>
      <c r="AF3255" t="s">
        <v>1128</v>
      </c>
    </row>
    <row r="3256" spans="1:32" hidden="1" x14ac:dyDescent="0.35">
      <c r="A3256">
        <v>568</v>
      </c>
      <c r="B3256" t="s">
        <v>1116</v>
      </c>
      <c r="C3256" t="s">
        <v>72</v>
      </c>
      <c r="D3256" t="s">
        <v>45</v>
      </c>
      <c r="E3256">
        <v>964</v>
      </c>
      <c r="F3256">
        <v>5</v>
      </c>
      <c r="G3256">
        <v>5</v>
      </c>
      <c r="H3256">
        <v>1</v>
      </c>
      <c r="I3256">
        <v>1</v>
      </c>
      <c r="J3256">
        <v>0.88713318284424403</v>
      </c>
      <c r="K3256">
        <v>0.98454431960050004</v>
      </c>
      <c r="L3256">
        <v>0.93330387821359995</v>
      </c>
      <c r="M3256">
        <v>0.74444444444444402</v>
      </c>
      <c r="N3256">
        <v>1</v>
      </c>
      <c r="O3256">
        <v>0.83111111111111102</v>
      </c>
      <c r="P3256" t="s">
        <v>1117</v>
      </c>
      <c r="Q3256" t="s">
        <v>1118</v>
      </c>
      <c r="R3256" t="s">
        <v>1119</v>
      </c>
      <c r="S3256" t="s">
        <v>1120</v>
      </c>
      <c r="T3256" t="s">
        <v>1121</v>
      </c>
      <c r="U3256" t="s">
        <v>1122</v>
      </c>
      <c r="V3256" t="s">
        <v>1123</v>
      </c>
      <c r="W3256" t="s">
        <v>1124</v>
      </c>
      <c r="AD3256" t="s">
        <v>439</v>
      </c>
      <c r="AE3256" t="s">
        <v>1125</v>
      </c>
      <c r="AF3256" t="s">
        <v>1128</v>
      </c>
    </row>
    <row r="3257" spans="1:32" hidden="1" x14ac:dyDescent="0.35">
      <c r="A3257">
        <v>729</v>
      </c>
      <c r="B3257" t="s">
        <v>1495</v>
      </c>
      <c r="C3257" t="s">
        <v>72</v>
      </c>
      <c r="D3257" t="s">
        <v>58</v>
      </c>
      <c r="E3257">
        <v>1825</v>
      </c>
      <c r="F3257">
        <v>5</v>
      </c>
      <c r="G3257">
        <v>5</v>
      </c>
      <c r="H3257">
        <v>1</v>
      </c>
      <c r="I3257">
        <v>1</v>
      </c>
      <c r="J3257">
        <v>0.93016321406151903</v>
      </c>
      <c r="K3257">
        <v>0.98348837209302298</v>
      </c>
      <c r="L3257">
        <v>0.95608282280523704</v>
      </c>
      <c r="M3257">
        <v>0.86574074074074103</v>
      </c>
      <c r="N3257">
        <v>1</v>
      </c>
      <c r="O3257">
        <v>0.90231481481481501</v>
      </c>
      <c r="P3257" t="s">
        <v>1496</v>
      </c>
      <c r="Q3257" t="s">
        <v>1497</v>
      </c>
      <c r="R3257" t="s">
        <v>1498</v>
      </c>
      <c r="S3257" t="s">
        <v>1499</v>
      </c>
      <c r="V3257" t="s">
        <v>1500</v>
      </c>
      <c r="W3257" t="s">
        <v>1501</v>
      </c>
      <c r="AF3257" t="e">
        <f>----MIRVLLADDHEIVRLGLRAVLEAAPDMEVVGEVATAEGAIAAAEAGGIDVILMDLRFGPGAEGTLVSTGADATAAIKRNVANPPNVLMVTNYDTDADILGAIEAGAVGYLLKDAPPAELLAAVRSAASGDSTLSPVVANRLMERVRTPRTSLTPRELEVLKLVAGGSSNKDIGNQLFLSEATVKSHLVHIYDKLGVRSRTSAVAAAREQGVL</f>
        <v>#NAME?</v>
      </c>
    </row>
    <row r="3258" spans="1:32" hidden="1" x14ac:dyDescent="0.35">
      <c r="A3258">
        <v>730</v>
      </c>
      <c r="B3258" t="s">
        <v>1495</v>
      </c>
      <c r="C3258" t="s">
        <v>72</v>
      </c>
      <c r="D3258" t="s">
        <v>60</v>
      </c>
      <c r="E3258">
        <v>2459</v>
      </c>
      <c r="F3258">
        <v>5</v>
      </c>
      <c r="G3258">
        <v>5</v>
      </c>
      <c r="H3258">
        <v>1</v>
      </c>
      <c r="I3258">
        <v>1</v>
      </c>
      <c r="J3258">
        <v>0.93016321406151903</v>
      </c>
      <c r="K3258">
        <v>0.98348837209302298</v>
      </c>
      <c r="L3258">
        <v>0.95608282280523704</v>
      </c>
      <c r="M3258">
        <v>0.86574074074074103</v>
      </c>
      <c r="N3258">
        <v>1</v>
      </c>
      <c r="O3258">
        <v>0.90231481481481501</v>
      </c>
      <c r="P3258" t="s">
        <v>1496</v>
      </c>
      <c r="Q3258" t="s">
        <v>1497</v>
      </c>
      <c r="R3258" t="s">
        <v>1498</v>
      </c>
      <c r="S3258" t="s">
        <v>1499</v>
      </c>
      <c r="V3258" t="s">
        <v>1500</v>
      </c>
      <c r="W3258" t="s">
        <v>1501</v>
      </c>
      <c r="AF3258" t="s">
        <v>1502</v>
      </c>
    </row>
    <row r="3259" spans="1:32" hidden="1" x14ac:dyDescent="0.35">
      <c r="A3259">
        <v>731</v>
      </c>
      <c r="B3259" t="s">
        <v>1495</v>
      </c>
      <c r="C3259" t="s">
        <v>72</v>
      </c>
      <c r="D3259" t="s">
        <v>62</v>
      </c>
      <c r="E3259">
        <v>2485</v>
      </c>
      <c r="F3259">
        <v>5</v>
      </c>
      <c r="G3259">
        <v>5</v>
      </c>
      <c r="H3259">
        <v>1</v>
      </c>
      <c r="I3259">
        <v>1</v>
      </c>
      <c r="J3259">
        <v>0.93016321406151903</v>
      </c>
      <c r="K3259">
        <v>0.98348837209302298</v>
      </c>
      <c r="L3259">
        <v>0.95608282280523704</v>
      </c>
      <c r="M3259">
        <v>0.86574074074074103</v>
      </c>
      <c r="N3259">
        <v>1</v>
      </c>
      <c r="O3259">
        <v>0.90231481481481501</v>
      </c>
      <c r="P3259" t="s">
        <v>1496</v>
      </c>
      <c r="Q3259" t="s">
        <v>1497</v>
      </c>
      <c r="R3259" t="s">
        <v>1498</v>
      </c>
      <c r="S3259" t="s">
        <v>1499</v>
      </c>
      <c r="V3259" t="s">
        <v>1500</v>
      </c>
      <c r="W3259" t="s">
        <v>1501</v>
      </c>
      <c r="AF3259" t="s">
        <v>1502</v>
      </c>
    </row>
    <row r="3260" spans="1:32" hidden="1" x14ac:dyDescent="0.35">
      <c r="A3260">
        <v>732</v>
      </c>
      <c r="B3260" t="s">
        <v>1495</v>
      </c>
      <c r="C3260" t="s">
        <v>72</v>
      </c>
      <c r="D3260" t="s">
        <v>34</v>
      </c>
      <c r="E3260">
        <v>1214</v>
      </c>
      <c r="F3260">
        <v>5</v>
      </c>
      <c r="G3260">
        <v>5</v>
      </c>
      <c r="H3260">
        <v>1</v>
      </c>
      <c r="I3260">
        <v>1</v>
      </c>
      <c r="J3260">
        <v>0.93016321406151903</v>
      </c>
      <c r="K3260">
        <v>0.98348837209302298</v>
      </c>
      <c r="L3260">
        <v>0.95608282280523704</v>
      </c>
      <c r="M3260">
        <v>0.86574074074074103</v>
      </c>
      <c r="N3260">
        <v>1</v>
      </c>
      <c r="O3260">
        <v>0.90231481481481501</v>
      </c>
      <c r="P3260" t="s">
        <v>1496</v>
      </c>
      <c r="Q3260" t="s">
        <v>1497</v>
      </c>
      <c r="R3260" t="s">
        <v>1498</v>
      </c>
      <c r="S3260" t="s">
        <v>1499</v>
      </c>
      <c r="V3260" t="s">
        <v>1500</v>
      </c>
      <c r="W3260" t="s">
        <v>1501</v>
      </c>
      <c r="AF3260" t="e">
        <f>----MIRVLLADDHEIVRLGLRAVLESADDIEVIGEVATAEAAIAAAQAGGIDVILMDLRFGPGVEGTRLATGADATAEIKRTMEKPPHVLVVTNYDTDADILGAIEAGALGYLLKDAPPEELLAAVRSAAEGDSTLSPTVANRLMTRVRTPRTSLTPRELEVLKLVASGSSNREIGRTLLLSEATVKSHLVHIYDKLGVRSRTSAVAAARKQGVL</f>
        <v>#NAME?</v>
      </c>
    </row>
    <row r="3261" spans="1:32" hidden="1" x14ac:dyDescent="0.35">
      <c r="A3261">
        <v>733</v>
      </c>
      <c r="B3261" t="s">
        <v>1495</v>
      </c>
      <c r="C3261" t="s">
        <v>72</v>
      </c>
      <c r="D3261" t="s">
        <v>45</v>
      </c>
      <c r="E3261">
        <v>2457</v>
      </c>
      <c r="F3261">
        <v>5</v>
      </c>
      <c r="G3261">
        <v>5</v>
      </c>
      <c r="H3261">
        <v>1</v>
      </c>
      <c r="I3261">
        <v>1</v>
      </c>
      <c r="J3261">
        <v>0.93016321406151903</v>
      </c>
      <c r="K3261">
        <v>0.98348837209302298</v>
      </c>
      <c r="L3261">
        <v>0.95608282280523704</v>
      </c>
      <c r="M3261">
        <v>0.86574074074074103</v>
      </c>
      <c r="N3261">
        <v>1</v>
      </c>
      <c r="O3261">
        <v>0.90231481481481501</v>
      </c>
      <c r="P3261" t="s">
        <v>1496</v>
      </c>
      <c r="Q3261" t="s">
        <v>1497</v>
      </c>
      <c r="R3261" t="s">
        <v>1498</v>
      </c>
      <c r="S3261" t="s">
        <v>1499</v>
      </c>
      <c r="V3261" t="s">
        <v>1500</v>
      </c>
      <c r="W3261" t="s">
        <v>1501</v>
      </c>
      <c r="AF3261" t="e">
        <f>----MIRVLLADDHEIVRLGLRAVLESADDIEVIGEVATAEAAIAAAQAGGIDVILMDLRFGPGVEGTRLATGADATAEIKRTMEKPPHVLVVTNYDTDADILGAIEAGALGYLLKDAPPEELLAAVRSAAEGDSTLSPTVANRLMTRVRTPRTSLTPRELEVLKLVASGSSNREIGRALLLSEATVKSHLVHIYDKLGVRSRTSAVAAARKQGVL</f>
        <v>#NAME?</v>
      </c>
    </row>
    <row r="3262" spans="1:32" hidden="1" x14ac:dyDescent="0.35">
      <c r="A3262">
        <v>874</v>
      </c>
      <c r="B3262" t="s">
        <v>1826</v>
      </c>
      <c r="C3262" t="s">
        <v>72</v>
      </c>
      <c r="D3262" t="s">
        <v>58</v>
      </c>
      <c r="E3262">
        <v>1559</v>
      </c>
      <c r="F3262">
        <v>5</v>
      </c>
      <c r="G3262">
        <v>5</v>
      </c>
      <c r="H3262">
        <v>1</v>
      </c>
      <c r="I3262">
        <v>1</v>
      </c>
      <c r="J3262">
        <v>0.85554079976390696</v>
      </c>
      <c r="K3262">
        <v>0.91423697270471604</v>
      </c>
      <c r="L3262">
        <v>0.88391553218628005</v>
      </c>
      <c r="M3262">
        <v>0.657258064516129</v>
      </c>
      <c r="N3262">
        <v>1</v>
      </c>
      <c r="O3262">
        <v>0.76169354838709702</v>
      </c>
      <c r="P3262" t="s">
        <v>1496</v>
      </c>
      <c r="Q3262" t="s">
        <v>1497</v>
      </c>
      <c r="R3262" t="s">
        <v>1498</v>
      </c>
      <c r="S3262" t="s">
        <v>1499</v>
      </c>
      <c r="T3262" t="s">
        <v>1827</v>
      </c>
      <c r="U3262" t="s">
        <v>1828</v>
      </c>
      <c r="V3262" t="s">
        <v>1500</v>
      </c>
      <c r="W3262" t="s">
        <v>1501</v>
      </c>
      <c r="AD3262" t="s">
        <v>1829</v>
      </c>
      <c r="AE3262" t="s">
        <v>1830</v>
      </c>
      <c r="AF3262" t="e">
        <f>---MVKVFLVDDHPVFRSGLRAELGAFASLEIVGEAGCVGEAVEGIVRTAPDVVLLDVHMPDGGGVGVIRGVRASGTVERPQFLALSVSDAAEDVISVIRAGARGYVTKSIGGAELAEAVARVDLGDAVFSPRLAGFVLDAFAQPD----------PSVDQSR---------GGAEALKPDVDLVDQLTPRELEVLRLLARGYTYKEIASDLFISVKTVETHASNILRKTQQSNRYALSRWARERDLD</f>
        <v>#NAME?</v>
      </c>
    </row>
    <row r="3263" spans="1:32" hidden="1" x14ac:dyDescent="0.35">
      <c r="A3263">
        <v>875</v>
      </c>
      <c r="B3263" t="s">
        <v>1826</v>
      </c>
      <c r="C3263" t="s">
        <v>72</v>
      </c>
      <c r="D3263" t="s">
        <v>60</v>
      </c>
      <c r="E3263">
        <v>463</v>
      </c>
      <c r="F3263">
        <v>5</v>
      </c>
      <c r="G3263">
        <v>5</v>
      </c>
      <c r="H3263">
        <v>1</v>
      </c>
      <c r="I3263">
        <v>1</v>
      </c>
      <c r="J3263">
        <v>0.85554079976390696</v>
      </c>
      <c r="K3263">
        <v>0.91423697270471604</v>
      </c>
      <c r="L3263">
        <v>0.88391553218628005</v>
      </c>
      <c r="M3263">
        <v>0.657258064516129</v>
      </c>
      <c r="N3263">
        <v>1</v>
      </c>
      <c r="O3263">
        <v>0.76169354838709702</v>
      </c>
      <c r="P3263" t="s">
        <v>1496</v>
      </c>
      <c r="Q3263" t="s">
        <v>1497</v>
      </c>
      <c r="R3263" t="s">
        <v>1498</v>
      </c>
      <c r="S3263" t="s">
        <v>1499</v>
      </c>
      <c r="T3263" t="s">
        <v>1827</v>
      </c>
      <c r="U3263" t="s">
        <v>1828</v>
      </c>
      <c r="V3263" t="s">
        <v>1500</v>
      </c>
      <c r="W3263" t="s">
        <v>1501</v>
      </c>
      <c r="AD3263" t="s">
        <v>1829</v>
      </c>
      <c r="AE3263" t="s">
        <v>1830</v>
      </c>
      <c r="AF3263" t="s">
        <v>1831</v>
      </c>
    </row>
    <row r="3264" spans="1:32" hidden="1" x14ac:dyDescent="0.35">
      <c r="A3264">
        <v>876</v>
      </c>
      <c r="B3264" t="s">
        <v>1826</v>
      </c>
      <c r="C3264" t="s">
        <v>72</v>
      </c>
      <c r="D3264" t="s">
        <v>62</v>
      </c>
      <c r="E3264">
        <v>545</v>
      </c>
      <c r="F3264">
        <v>5</v>
      </c>
      <c r="G3264">
        <v>5</v>
      </c>
      <c r="H3264">
        <v>1</v>
      </c>
      <c r="I3264">
        <v>1</v>
      </c>
      <c r="J3264">
        <v>0.85554079976390696</v>
      </c>
      <c r="K3264">
        <v>0.91423697270471604</v>
      </c>
      <c r="L3264">
        <v>0.88391553218628005</v>
      </c>
      <c r="M3264">
        <v>0.657258064516129</v>
      </c>
      <c r="N3264">
        <v>1</v>
      </c>
      <c r="O3264">
        <v>0.76169354838709702</v>
      </c>
      <c r="P3264" t="s">
        <v>1496</v>
      </c>
      <c r="Q3264" t="s">
        <v>1497</v>
      </c>
      <c r="R3264" t="s">
        <v>1498</v>
      </c>
      <c r="S3264" t="s">
        <v>1499</v>
      </c>
      <c r="T3264" t="s">
        <v>1827</v>
      </c>
      <c r="U3264" t="s">
        <v>1828</v>
      </c>
      <c r="V3264" t="s">
        <v>1500</v>
      </c>
      <c r="W3264" t="s">
        <v>1501</v>
      </c>
      <c r="AD3264" t="s">
        <v>1829</v>
      </c>
      <c r="AE3264" t="s">
        <v>1830</v>
      </c>
      <c r="AF3264" t="s">
        <v>1832</v>
      </c>
    </row>
    <row r="3265" spans="1:32" hidden="1" x14ac:dyDescent="0.35">
      <c r="A3265">
        <v>877</v>
      </c>
      <c r="B3265" t="s">
        <v>1826</v>
      </c>
      <c r="C3265" t="s">
        <v>72</v>
      </c>
      <c r="D3265" t="s">
        <v>34</v>
      </c>
      <c r="E3265">
        <v>607</v>
      </c>
      <c r="F3265">
        <v>5</v>
      </c>
      <c r="G3265">
        <v>5</v>
      </c>
      <c r="H3265">
        <v>1</v>
      </c>
      <c r="I3265">
        <v>1</v>
      </c>
      <c r="J3265">
        <v>0.85554079976390696</v>
      </c>
      <c r="K3265">
        <v>0.91423697270471604</v>
      </c>
      <c r="L3265">
        <v>0.88391553218628005</v>
      </c>
      <c r="M3265">
        <v>0.657258064516129</v>
      </c>
      <c r="N3265">
        <v>1</v>
      </c>
      <c r="O3265">
        <v>0.76169354838709702</v>
      </c>
      <c r="P3265" t="s">
        <v>1496</v>
      </c>
      <c r="Q3265" t="s">
        <v>1497</v>
      </c>
      <c r="R3265" t="s">
        <v>1498</v>
      </c>
      <c r="S3265" t="s">
        <v>1499</v>
      </c>
      <c r="T3265" t="s">
        <v>1827</v>
      </c>
      <c r="U3265" t="s">
        <v>1828</v>
      </c>
      <c r="V3265" t="s">
        <v>1500</v>
      </c>
      <c r="W3265" t="s">
        <v>1501</v>
      </c>
      <c r="AD3265" t="s">
        <v>1829</v>
      </c>
      <c r="AE3265" t="s">
        <v>1830</v>
      </c>
      <c r="AF3265" t="e">
        <f>----MKVFLVDDHSVFRAGVKAEIG--KAVDIVGEAGTVLDAITNIRNTTPDVVLLDVHMPDGGGVAVIQGVVNGSVATIPKFLALSVSDAAEDVISVIRSGARGYVTKSISGPELVDAIARVYDGDAVFSPRLAGFVLDAFARPDARAGVGVVDAPERDKAVEQ-------GHPPIDDP---IVDALTRRELEVLRLLARGYTYKEIAGQLFISIKTVETHASNILRKTQQSNRHALTRWAHSRDLD</f>
        <v>#NAME?</v>
      </c>
    </row>
    <row r="3266" spans="1:32" hidden="1" x14ac:dyDescent="0.35">
      <c r="A3266">
        <v>878</v>
      </c>
      <c r="B3266" t="s">
        <v>1826</v>
      </c>
      <c r="C3266" t="s">
        <v>72</v>
      </c>
      <c r="D3266" t="s">
        <v>45</v>
      </c>
      <c r="E3266">
        <v>1874</v>
      </c>
      <c r="F3266">
        <v>5</v>
      </c>
      <c r="G3266">
        <v>5</v>
      </c>
      <c r="H3266">
        <v>1</v>
      </c>
      <c r="I3266">
        <v>1</v>
      </c>
      <c r="J3266">
        <v>0.85554079976390696</v>
      </c>
      <c r="K3266">
        <v>0.91423697270471604</v>
      </c>
      <c r="L3266">
        <v>0.88391553218628005</v>
      </c>
      <c r="M3266">
        <v>0.657258064516129</v>
      </c>
      <c r="N3266">
        <v>1</v>
      </c>
      <c r="O3266">
        <v>0.76169354838709702</v>
      </c>
      <c r="P3266" t="s">
        <v>1496</v>
      </c>
      <c r="Q3266" t="s">
        <v>1497</v>
      </c>
      <c r="R3266" t="s">
        <v>1498</v>
      </c>
      <c r="S3266" t="s">
        <v>1499</v>
      </c>
      <c r="T3266" t="s">
        <v>1827</v>
      </c>
      <c r="U3266" t="s">
        <v>1828</v>
      </c>
      <c r="V3266" t="s">
        <v>1500</v>
      </c>
      <c r="W3266" t="s">
        <v>1501</v>
      </c>
      <c r="AD3266" t="s">
        <v>1829</v>
      </c>
      <c r="AE3266" t="s">
        <v>1830</v>
      </c>
      <c r="AF3266" t="e">
        <f>----MKVFLVDDHSVFRAGVKAEIG--KAVDIVGEAGTVLDAITNIRNTTPDVVLLDVHMPDGGGVAVIQGVVNGSVATIPKFLALSVSDAAEDVISVIRSGARGYVTKSISGPELVDAIARVYDGDAVFSPRLAGFVLDAFARPDARAGVGVVDAPERDKAVEQ-------GHPPIDDP---IVDALTRRELEVLRLLARGYTYKEIAGQLFISIKTVETHASNILRKTQQSNRHALTRWAHSRDLD</f>
        <v>#NAME?</v>
      </c>
    </row>
    <row r="3267" spans="1:32" hidden="1" x14ac:dyDescent="0.35">
      <c r="A3267">
        <v>1244</v>
      </c>
      <c r="B3267" t="s">
        <v>2573</v>
      </c>
      <c r="C3267" t="s">
        <v>72</v>
      </c>
      <c r="D3267" t="s">
        <v>58</v>
      </c>
      <c r="E3267">
        <v>1660</v>
      </c>
      <c r="F3267">
        <v>5</v>
      </c>
      <c r="G3267">
        <v>5</v>
      </c>
      <c r="H3267">
        <v>1</v>
      </c>
      <c r="I3267">
        <v>1</v>
      </c>
      <c r="J3267">
        <v>0.87780619494174505</v>
      </c>
      <c r="K3267">
        <v>0.90893079893079798</v>
      </c>
      <c r="L3267">
        <v>0.89309740472270005</v>
      </c>
      <c r="M3267">
        <v>0.71538461538461495</v>
      </c>
      <c r="N3267">
        <v>1</v>
      </c>
      <c r="O3267">
        <v>0.79692307692307696</v>
      </c>
      <c r="P3267" t="s">
        <v>2574</v>
      </c>
      <c r="Q3267" t="s">
        <v>2575</v>
      </c>
      <c r="R3267" t="s">
        <v>1498</v>
      </c>
      <c r="S3267" t="s">
        <v>1499</v>
      </c>
      <c r="T3267" t="s">
        <v>2576</v>
      </c>
      <c r="U3267" t="s">
        <v>2577</v>
      </c>
      <c r="V3267" t="s">
        <v>2578</v>
      </c>
      <c r="W3267" t="s">
        <v>2579</v>
      </c>
      <c r="AD3267" t="s">
        <v>2580</v>
      </c>
      <c r="AE3267" t="s">
        <v>2581</v>
      </c>
      <c r="AF3267" t="s">
        <v>2582</v>
      </c>
    </row>
    <row r="3268" spans="1:32" hidden="1" x14ac:dyDescent="0.35">
      <c r="A3268">
        <v>1245</v>
      </c>
      <c r="B3268" t="s">
        <v>2573</v>
      </c>
      <c r="C3268" t="s">
        <v>72</v>
      </c>
      <c r="D3268" t="s">
        <v>60</v>
      </c>
      <c r="E3268">
        <v>2252</v>
      </c>
      <c r="F3268">
        <v>5</v>
      </c>
      <c r="G3268">
        <v>5</v>
      </c>
      <c r="H3268">
        <v>1</v>
      </c>
      <c r="I3268">
        <v>1</v>
      </c>
      <c r="J3268">
        <v>0.87780619494174505</v>
      </c>
      <c r="K3268">
        <v>0.90893079893079798</v>
      </c>
      <c r="L3268">
        <v>0.89309740472270005</v>
      </c>
      <c r="M3268">
        <v>0.71538461538461495</v>
      </c>
      <c r="N3268">
        <v>1</v>
      </c>
      <c r="O3268">
        <v>0.79692307692307696</v>
      </c>
      <c r="P3268" t="s">
        <v>2574</v>
      </c>
      <c r="Q3268" t="s">
        <v>2575</v>
      </c>
      <c r="R3268" t="s">
        <v>1498</v>
      </c>
      <c r="S3268" t="s">
        <v>1499</v>
      </c>
      <c r="T3268" t="s">
        <v>2576</v>
      </c>
      <c r="U3268" t="s">
        <v>2577</v>
      </c>
      <c r="V3268" t="s">
        <v>2578</v>
      </c>
      <c r="W3268" t="s">
        <v>2579</v>
      </c>
      <c r="AD3268" t="s">
        <v>2580</v>
      </c>
      <c r="AE3268" t="s">
        <v>2581</v>
      </c>
      <c r="AF3268" t="s">
        <v>2583</v>
      </c>
    </row>
    <row r="3269" spans="1:32" hidden="1" x14ac:dyDescent="0.35">
      <c r="A3269">
        <v>1246</v>
      </c>
      <c r="B3269" t="s">
        <v>2573</v>
      </c>
      <c r="C3269" t="s">
        <v>72</v>
      </c>
      <c r="D3269" t="s">
        <v>62</v>
      </c>
      <c r="E3269">
        <v>2281</v>
      </c>
      <c r="F3269">
        <v>5</v>
      </c>
      <c r="G3269">
        <v>5</v>
      </c>
      <c r="H3269">
        <v>1</v>
      </c>
      <c r="I3269">
        <v>1</v>
      </c>
      <c r="J3269">
        <v>0.87780619494174505</v>
      </c>
      <c r="K3269">
        <v>0.90893079893079798</v>
      </c>
      <c r="L3269">
        <v>0.89309740472270005</v>
      </c>
      <c r="M3269">
        <v>0.71538461538461495</v>
      </c>
      <c r="N3269">
        <v>1</v>
      </c>
      <c r="O3269">
        <v>0.79692307692307696</v>
      </c>
      <c r="P3269" t="s">
        <v>2574</v>
      </c>
      <c r="Q3269" t="s">
        <v>2575</v>
      </c>
      <c r="R3269" t="s">
        <v>1498</v>
      </c>
      <c r="S3269" t="s">
        <v>1499</v>
      </c>
      <c r="T3269" t="s">
        <v>2576</v>
      </c>
      <c r="U3269" t="s">
        <v>2577</v>
      </c>
      <c r="V3269" t="s">
        <v>2578</v>
      </c>
      <c r="W3269" t="s">
        <v>2579</v>
      </c>
      <c r="AD3269" t="s">
        <v>2580</v>
      </c>
      <c r="AE3269" t="s">
        <v>2581</v>
      </c>
      <c r="AF3269" t="s">
        <v>2583</v>
      </c>
    </row>
    <row r="3270" spans="1:32" hidden="1" x14ac:dyDescent="0.35">
      <c r="A3270">
        <v>1247</v>
      </c>
      <c r="B3270" t="s">
        <v>2573</v>
      </c>
      <c r="C3270" t="s">
        <v>72</v>
      </c>
      <c r="D3270" t="s">
        <v>34</v>
      </c>
      <c r="E3270">
        <v>1552</v>
      </c>
      <c r="F3270">
        <v>5</v>
      </c>
      <c r="G3270">
        <v>5</v>
      </c>
      <c r="H3270">
        <v>1</v>
      </c>
      <c r="I3270">
        <v>1</v>
      </c>
      <c r="J3270">
        <v>0.87780619494174505</v>
      </c>
      <c r="K3270">
        <v>0.90893079893079798</v>
      </c>
      <c r="L3270">
        <v>0.89309740472270005</v>
      </c>
      <c r="M3270">
        <v>0.71538461538461495</v>
      </c>
      <c r="N3270">
        <v>1</v>
      </c>
      <c r="O3270">
        <v>0.79692307692307696</v>
      </c>
      <c r="P3270" t="s">
        <v>2574</v>
      </c>
      <c r="Q3270" t="s">
        <v>2575</v>
      </c>
      <c r="R3270" t="s">
        <v>1498</v>
      </c>
      <c r="S3270" t="s">
        <v>1499</v>
      </c>
      <c r="T3270" t="s">
        <v>2576</v>
      </c>
      <c r="U3270" t="s">
        <v>2577</v>
      </c>
      <c r="V3270" t="s">
        <v>2578</v>
      </c>
      <c r="W3270" t="s">
        <v>2579</v>
      </c>
      <c r="AD3270" t="s">
        <v>2580</v>
      </c>
      <c r="AE3270" t="s">
        <v>2581</v>
      </c>
      <c r="AF3270" t="s">
        <v>2584</v>
      </c>
    </row>
    <row r="3271" spans="1:32" hidden="1" x14ac:dyDescent="0.35">
      <c r="A3271">
        <v>1248</v>
      </c>
      <c r="B3271" t="s">
        <v>2573</v>
      </c>
      <c r="C3271" t="s">
        <v>72</v>
      </c>
      <c r="D3271" t="s">
        <v>45</v>
      </c>
      <c r="E3271">
        <v>302</v>
      </c>
      <c r="F3271">
        <v>5</v>
      </c>
      <c r="G3271">
        <v>5</v>
      </c>
      <c r="H3271">
        <v>1</v>
      </c>
      <c r="I3271">
        <v>1</v>
      </c>
      <c r="J3271">
        <v>0.87780619494174505</v>
      </c>
      <c r="K3271">
        <v>0.90893079893079798</v>
      </c>
      <c r="L3271">
        <v>0.89309740472270005</v>
      </c>
      <c r="M3271">
        <v>0.71538461538461495</v>
      </c>
      <c r="N3271">
        <v>1</v>
      </c>
      <c r="O3271">
        <v>0.79692307692307696</v>
      </c>
      <c r="P3271" t="s">
        <v>2574</v>
      </c>
      <c r="Q3271" t="s">
        <v>2575</v>
      </c>
      <c r="R3271" t="s">
        <v>1498</v>
      </c>
      <c r="S3271" t="s">
        <v>1499</v>
      </c>
      <c r="T3271" t="s">
        <v>2576</v>
      </c>
      <c r="U3271" t="s">
        <v>2577</v>
      </c>
      <c r="V3271" t="s">
        <v>2578</v>
      </c>
      <c r="W3271" t="s">
        <v>2579</v>
      </c>
      <c r="AD3271" t="s">
        <v>2580</v>
      </c>
      <c r="AE3271" t="s">
        <v>2581</v>
      </c>
      <c r="AF3271" t="s">
        <v>2584</v>
      </c>
    </row>
    <row r="3272" spans="1:32" hidden="1" x14ac:dyDescent="0.35">
      <c r="A3272">
        <v>1669</v>
      </c>
      <c r="B3272" t="s">
        <v>3499</v>
      </c>
      <c r="C3272" t="s">
        <v>72</v>
      </c>
      <c r="D3272" t="s">
        <v>58</v>
      </c>
      <c r="E3272">
        <v>1043</v>
      </c>
      <c r="F3272">
        <v>5</v>
      </c>
      <c r="G3272">
        <v>5</v>
      </c>
      <c r="H3272">
        <v>1</v>
      </c>
      <c r="I3272">
        <v>1</v>
      </c>
      <c r="J3272">
        <v>0.88635761589404005</v>
      </c>
      <c r="K3272">
        <v>0.98831733375418895</v>
      </c>
      <c r="L3272">
        <v>0.93456478506579899</v>
      </c>
      <c r="M3272">
        <v>0.76832460732984298</v>
      </c>
      <c r="N3272">
        <v>1</v>
      </c>
      <c r="O3272">
        <v>0.84057591623036698</v>
      </c>
      <c r="P3272" t="s">
        <v>3500</v>
      </c>
      <c r="Q3272" t="s">
        <v>3501</v>
      </c>
      <c r="R3272" t="s">
        <v>1498</v>
      </c>
      <c r="S3272" t="s">
        <v>1499</v>
      </c>
      <c r="T3272" t="s">
        <v>3502</v>
      </c>
      <c r="U3272" t="s">
        <v>3503</v>
      </c>
      <c r="V3272" t="s">
        <v>3504</v>
      </c>
      <c r="W3272" t="s">
        <v>3505</v>
      </c>
      <c r="AD3272" t="s">
        <v>3506</v>
      </c>
      <c r="AE3272" t="s">
        <v>3507</v>
      </c>
      <c r="AF3272" t="s">
        <v>3508</v>
      </c>
    </row>
    <row r="3273" spans="1:32" hidden="1" x14ac:dyDescent="0.35">
      <c r="A3273">
        <v>1670</v>
      </c>
      <c r="B3273" t="s">
        <v>3499</v>
      </c>
      <c r="C3273" t="s">
        <v>72</v>
      </c>
      <c r="D3273" t="s">
        <v>60</v>
      </c>
      <c r="E3273">
        <v>1413</v>
      </c>
      <c r="F3273">
        <v>5</v>
      </c>
      <c r="G3273">
        <v>5</v>
      </c>
      <c r="H3273">
        <v>1</v>
      </c>
      <c r="I3273">
        <v>1</v>
      </c>
      <c r="J3273">
        <v>0.88635761589404005</v>
      </c>
      <c r="K3273">
        <v>0.98831733375418895</v>
      </c>
      <c r="L3273">
        <v>0.93456478506579899</v>
      </c>
      <c r="M3273">
        <v>0.76832460732984298</v>
      </c>
      <c r="N3273">
        <v>1</v>
      </c>
      <c r="O3273">
        <v>0.84057591623036698</v>
      </c>
      <c r="P3273" t="s">
        <v>3500</v>
      </c>
      <c r="Q3273" t="s">
        <v>3501</v>
      </c>
      <c r="R3273" t="s">
        <v>1498</v>
      </c>
      <c r="S3273" t="s">
        <v>1499</v>
      </c>
      <c r="T3273" t="s">
        <v>3502</v>
      </c>
      <c r="U3273" t="s">
        <v>3503</v>
      </c>
      <c r="V3273" t="s">
        <v>3504</v>
      </c>
      <c r="W3273" t="s">
        <v>3505</v>
      </c>
      <c r="AD3273" t="s">
        <v>3506</v>
      </c>
      <c r="AE3273" t="s">
        <v>3507</v>
      </c>
      <c r="AF3273" t="s">
        <v>3509</v>
      </c>
    </row>
    <row r="3274" spans="1:32" hidden="1" x14ac:dyDescent="0.35">
      <c r="A3274">
        <v>1671</v>
      </c>
      <c r="B3274" t="s">
        <v>3499</v>
      </c>
      <c r="C3274" t="s">
        <v>72</v>
      </c>
      <c r="D3274" t="s">
        <v>62</v>
      </c>
      <c r="E3274">
        <v>1448</v>
      </c>
      <c r="F3274">
        <v>5</v>
      </c>
      <c r="G3274">
        <v>5</v>
      </c>
      <c r="H3274">
        <v>1</v>
      </c>
      <c r="I3274">
        <v>1</v>
      </c>
      <c r="J3274">
        <v>0.88635761589404005</v>
      </c>
      <c r="K3274">
        <v>0.98831733375418895</v>
      </c>
      <c r="L3274">
        <v>0.93456478506579899</v>
      </c>
      <c r="M3274">
        <v>0.76832460732984298</v>
      </c>
      <c r="N3274">
        <v>1</v>
      </c>
      <c r="O3274">
        <v>0.84057591623036698</v>
      </c>
      <c r="P3274" t="s">
        <v>3500</v>
      </c>
      <c r="Q3274" t="s">
        <v>3501</v>
      </c>
      <c r="R3274" t="s">
        <v>1498</v>
      </c>
      <c r="S3274" t="s">
        <v>1499</v>
      </c>
      <c r="T3274" t="s">
        <v>3502</v>
      </c>
      <c r="U3274" t="s">
        <v>3503</v>
      </c>
      <c r="V3274" t="s">
        <v>3504</v>
      </c>
      <c r="W3274" t="s">
        <v>3505</v>
      </c>
      <c r="AD3274" t="s">
        <v>3506</v>
      </c>
      <c r="AE3274" t="s">
        <v>3507</v>
      </c>
      <c r="AF3274" t="s">
        <v>3509</v>
      </c>
    </row>
    <row r="3275" spans="1:32" hidden="1" x14ac:dyDescent="0.35">
      <c r="A3275">
        <v>1672</v>
      </c>
      <c r="B3275" t="s">
        <v>3499</v>
      </c>
      <c r="C3275" t="s">
        <v>72</v>
      </c>
      <c r="D3275" t="s">
        <v>34</v>
      </c>
      <c r="E3275">
        <v>1841</v>
      </c>
      <c r="F3275">
        <v>5</v>
      </c>
      <c r="G3275">
        <v>5</v>
      </c>
      <c r="H3275">
        <v>1</v>
      </c>
      <c r="I3275">
        <v>1</v>
      </c>
      <c r="J3275">
        <v>0.88635761589404005</v>
      </c>
      <c r="K3275">
        <v>0.98831733375418895</v>
      </c>
      <c r="L3275">
        <v>0.93456478506579899</v>
      </c>
      <c r="M3275">
        <v>0.76832460732984298</v>
      </c>
      <c r="N3275">
        <v>1</v>
      </c>
      <c r="O3275">
        <v>0.84057591623036698</v>
      </c>
      <c r="P3275" t="s">
        <v>3500</v>
      </c>
      <c r="Q3275" t="s">
        <v>3501</v>
      </c>
      <c r="R3275" t="s">
        <v>1498</v>
      </c>
      <c r="S3275" t="s">
        <v>1499</v>
      </c>
      <c r="T3275" t="s">
        <v>3502</v>
      </c>
      <c r="U3275" t="s">
        <v>3503</v>
      </c>
      <c r="V3275" t="s">
        <v>3504</v>
      </c>
      <c r="W3275" t="s">
        <v>3505</v>
      </c>
      <c r="AD3275" t="s">
        <v>3506</v>
      </c>
      <c r="AE3275" t="s">
        <v>3507</v>
      </c>
      <c r="AF3275" t="s">
        <v>3510</v>
      </c>
    </row>
    <row r="3276" spans="1:32" hidden="1" x14ac:dyDescent="0.35">
      <c r="A3276">
        <v>1673</v>
      </c>
      <c r="B3276" t="s">
        <v>3499</v>
      </c>
      <c r="C3276" t="s">
        <v>72</v>
      </c>
      <c r="D3276" t="s">
        <v>45</v>
      </c>
      <c r="E3276">
        <v>1032</v>
      </c>
      <c r="F3276">
        <v>5</v>
      </c>
      <c r="G3276">
        <v>5</v>
      </c>
      <c r="H3276">
        <v>1</v>
      </c>
      <c r="I3276">
        <v>1</v>
      </c>
      <c r="J3276">
        <v>0.88635761589404005</v>
      </c>
      <c r="K3276">
        <v>0.98831733375418895</v>
      </c>
      <c r="L3276">
        <v>0.93456478506579899</v>
      </c>
      <c r="M3276">
        <v>0.76832460732984298</v>
      </c>
      <c r="N3276">
        <v>1</v>
      </c>
      <c r="O3276">
        <v>0.84057591623036698</v>
      </c>
      <c r="P3276" t="s">
        <v>3500</v>
      </c>
      <c r="Q3276" t="s">
        <v>3501</v>
      </c>
      <c r="R3276" t="s">
        <v>1498</v>
      </c>
      <c r="S3276" t="s">
        <v>1499</v>
      </c>
      <c r="T3276" t="s">
        <v>3502</v>
      </c>
      <c r="U3276" t="s">
        <v>3503</v>
      </c>
      <c r="V3276" t="s">
        <v>3504</v>
      </c>
      <c r="W3276" t="s">
        <v>3505</v>
      </c>
      <c r="AD3276" t="s">
        <v>3506</v>
      </c>
      <c r="AE3276" t="s">
        <v>3507</v>
      </c>
      <c r="AF3276" t="s">
        <v>3510</v>
      </c>
    </row>
    <row r="3277" spans="1:32" hidden="1" x14ac:dyDescent="0.35">
      <c r="A3277">
        <v>1684</v>
      </c>
      <c r="B3277" t="s">
        <v>3524</v>
      </c>
      <c r="C3277" t="s">
        <v>72</v>
      </c>
      <c r="D3277" t="s">
        <v>58</v>
      </c>
      <c r="E3277">
        <v>549</v>
      </c>
      <c r="F3277">
        <v>5</v>
      </c>
      <c r="G3277">
        <v>5</v>
      </c>
      <c r="H3277">
        <v>1</v>
      </c>
      <c r="I3277">
        <v>1</v>
      </c>
      <c r="J3277">
        <v>0.88391952525691098</v>
      </c>
      <c r="K3277">
        <v>0.953072596961694</v>
      </c>
      <c r="L3277">
        <v>0.91719443676688805</v>
      </c>
      <c r="M3277">
        <v>0.72314049586776896</v>
      </c>
      <c r="N3277">
        <v>1</v>
      </c>
      <c r="O3277">
        <v>0.834710743801653</v>
      </c>
      <c r="P3277" t="s">
        <v>2574</v>
      </c>
      <c r="Q3277" t="s">
        <v>2575</v>
      </c>
      <c r="R3277" t="s">
        <v>1498</v>
      </c>
      <c r="S3277" t="s">
        <v>1499</v>
      </c>
      <c r="T3277" t="s">
        <v>3525</v>
      </c>
      <c r="U3277" t="s">
        <v>3526</v>
      </c>
      <c r="V3277" t="s">
        <v>2578</v>
      </c>
      <c r="W3277" t="s">
        <v>2579</v>
      </c>
      <c r="AD3277" t="s">
        <v>1829</v>
      </c>
      <c r="AE3277" t="s">
        <v>3527</v>
      </c>
      <c r="AF3277" t="e">
        <f>---MKVLVVDDEQAVRESLRRSLAFNGYKVSLAGDGGEALEVIRAEEPDLVILDVMMPNVDGLETCRILRSSGDDRPILLLTARDGVSDRVAGLDAGADDYLPKPFALEELLARVRSLLRRAASIDATNALNAAGANSSVLSFGDLKVDTDSREVYRGNRLISLTRTEYSLLELLVAHPRKVLSRDEILEAVWGYEFPTSGNALEVYIGYLRRKTEAEGEPRLIHTVRGVGYVLKEDPNDAA</f>
        <v>#NAME?</v>
      </c>
    </row>
    <row r="3278" spans="1:32" hidden="1" x14ac:dyDescent="0.35">
      <c r="A3278">
        <v>1685</v>
      </c>
      <c r="B3278" t="s">
        <v>3524</v>
      </c>
      <c r="C3278" t="s">
        <v>72</v>
      </c>
      <c r="D3278" t="s">
        <v>60</v>
      </c>
      <c r="E3278">
        <v>769</v>
      </c>
      <c r="F3278">
        <v>5</v>
      </c>
      <c r="G3278">
        <v>5</v>
      </c>
      <c r="H3278">
        <v>1</v>
      </c>
      <c r="I3278">
        <v>1</v>
      </c>
      <c r="J3278">
        <v>0.88391952525691098</v>
      </c>
      <c r="K3278">
        <v>0.953072596961694</v>
      </c>
      <c r="L3278">
        <v>0.91719443676688805</v>
      </c>
      <c r="M3278">
        <v>0.72314049586776896</v>
      </c>
      <c r="N3278">
        <v>1</v>
      </c>
      <c r="O3278">
        <v>0.834710743801653</v>
      </c>
      <c r="P3278" t="s">
        <v>2574</v>
      </c>
      <c r="Q3278" t="s">
        <v>2575</v>
      </c>
      <c r="R3278" t="s">
        <v>1498</v>
      </c>
      <c r="S3278" t="s">
        <v>1499</v>
      </c>
      <c r="T3278" t="s">
        <v>3525</v>
      </c>
      <c r="U3278" t="s">
        <v>3526</v>
      </c>
      <c r="V3278" t="s">
        <v>2578</v>
      </c>
      <c r="W3278" t="s">
        <v>2579</v>
      </c>
      <c r="AD3278" t="s">
        <v>1829</v>
      </c>
      <c r="AE3278" t="s">
        <v>3527</v>
      </c>
      <c r="AF3278" t="s">
        <v>3528</v>
      </c>
    </row>
    <row r="3279" spans="1:32" hidden="1" x14ac:dyDescent="0.35">
      <c r="A3279">
        <v>1686</v>
      </c>
      <c r="B3279" t="s">
        <v>3524</v>
      </c>
      <c r="C3279" t="s">
        <v>72</v>
      </c>
      <c r="D3279" t="s">
        <v>62</v>
      </c>
      <c r="E3279">
        <v>802</v>
      </c>
      <c r="F3279">
        <v>5</v>
      </c>
      <c r="G3279">
        <v>5</v>
      </c>
      <c r="H3279">
        <v>1</v>
      </c>
      <c r="I3279">
        <v>1</v>
      </c>
      <c r="J3279">
        <v>0.88391952525691098</v>
      </c>
      <c r="K3279">
        <v>0.953072596961694</v>
      </c>
      <c r="L3279">
        <v>0.91719443676688805</v>
      </c>
      <c r="M3279">
        <v>0.72314049586776896</v>
      </c>
      <c r="N3279">
        <v>1</v>
      </c>
      <c r="O3279">
        <v>0.834710743801653</v>
      </c>
      <c r="P3279" t="s">
        <v>2574</v>
      </c>
      <c r="Q3279" t="s">
        <v>2575</v>
      </c>
      <c r="R3279" t="s">
        <v>1498</v>
      </c>
      <c r="S3279" t="s">
        <v>1499</v>
      </c>
      <c r="T3279" t="s">
        <v>3525</v>
      </c>
      <c r="U3279" t="s">
        <v>3526</v>
      </c>
      <c r="V3279" t="s">
        <v>2578</v>
      </c>
      <c r="W3279" t="s">
        <v>2579</v>
      </c>
      <c r="AD3279" t="s">
        <v>1829</v>
      </c>
      <c r="AE3279" t="s">
        <v>3527</v>
      </c>
      <c r="AF3279" t="s">
        <v>3528</v>
      </c>
    </row>
    <row r="3280" spans="1:32" hidden="1" x14ac:dyDescent="0.35">
      <c r="A3280">
        <v>1687</v>
      </c>
      <c r="B3280" t="s">
        <v>3524</v>
      </c>
      <c r="C3280" t="s">
        <v>72</v>
      </c>
      <c r="D3280" t="s">
        <v>34</v>
      </c>
      <c r="E3280">
        <v>364</v>
      </c>
      <c r="F3280">
        <v>5</v>
      </c>
      <c r="G3280">
        <v>5</v>
      </c>
      <c r="H3280">
        <v>1</v>
      </c>
      <c r="I3280">
        <v>1</v>
      </c>
      <c r="J3280">
        <v>0.88391952525691098</v>
      </c>
      <c r="K3280">
        <v>0.953072596961694</v>
      </c>
      <c r="L3280">
        <v>0.91719443676688805</v>
      </c>
      <c r="M3280">
        <v>0.72314049586776896</v>
      </c>
      <c r="N3280">
        <v>1</v>
      </c>
      <c r="O3280">
        <v>0.834710743801653</v>
      </c>
      <c r="P3280" t="s">
        <v>2574</v>
      </c>
      <c r="Q3280" t="s">
        <v>2575</v>
      </c>
      <c r="R3280" t="s">
        <v>1498</v>
      </c>
      <c r="S3280" t="s">
        <v>1499</v>
      </c>
      <c r="T3280" t="s">
        <v>3525</v>
      </c>
      <c r="U3280" t="s">
        <v>3526</v>
      </c>
      <c r="V3280" t="s">
        <v>2578</v>
      </c>
      <c r="W3280" t="s">
        <v>2579</v>
      </c>
      <c r="AD3280" t="s">
        <v>1829</v>
      </c>
      <c r="AE3280" t="s">
        <v>3527</v>
      </c>
      <c r="AF3280" t="s">
        <v>3529</v>
      </c>
    </row>
    <row r="3281" spans="1:32" hidden="1" x14ac:dyDescent="0.35">
      <c r="A3281">
        <v>1688</v>
      </c>
      <c r="B3281" t="s">
        <v>3524</v>
      </c>
      <c r="C3281" t="s">
        <v>72</v>
      </c>
      <c r="D3281" t="s">
        <v>45</v>
      </c>
      <c r="E3281">
        <v>1626</v>
      </c>
      <c r="F3281">
        <v>5</v>
      </c>
      <c r="G3281">
        <v>5</v>
      </c>
      <c r="H3281">
        <v>1</v>
      </c>
      <c r="I3281">
        <v>1</v>
      </c>
      <c r="J3281">
        <v>0.88391952525691098</v>
      </c>
      <c r="K3281">
        <v>0.953072596961694</v>
      </c>
      <c r="L3281">
        <v>0.91719443676688805</v>
      </c>
      <c r="M3281">
        <v>0.72314049586776896</v>
      </c>
      <c r="N3281">
        <v>1</v>
      </c>
      <c r="O3281">
        <v>0.834710743801653</v>
      </c>
      <c r="P3281" t="s">
        <v>2574</v>
      </c>
      <c r="Q3281" t="s">
        <v>2575</v>
      </c>
      <c r="R3281" t="s">
        <v>1498</v>
      </c>
      <c r="S3281" t="s">
        <v>1499</v>
      </c>
      <c r="T3281" t="s">
        <v>3525</v>
      </c>
      <c r="U3281" t="s">
        <v>3526</v>
      </c>
      <c r="V3281" t="s">
        <v>2578</v>
      </c>
      <c r="W3281" t="s">
        <v>2579</v>
      </c>
      <c r="AD3281" t="s">
        <v>1829</v>
      </c>
      <c r="AE3281" t="s">
        <v>3527</v>
      </c>
      <c r="AF3281" t="s">
        <v>3529</v>
      </c>
    </row>
    <row r="3282" spans="1:32" hidden="1" x14ac:dyDescent="0.35">
      <c r="A3282">
        <v>2514</v>
      </c>
      <c r="B3282" t="s">
        <v>5203</v>
      </c>
      <c r="C3282" t="s">
        <v>72</v>
      </c>
      <c r="D3282" t="s">
        <v>58</v>
      </c>
      <c r="E3282">
        <v>350</v>
      </c>
      <c r="F3282">
        <v>5</v>
      </c>
      <c r="G3282">
        <v>5</v>
      </c>
      <c r="H3282">
        <v>1</v>
      </c>
      <c r="I3282">
        <v>1</v>
      </c>
      <c r="J3282">
        <v>0.85799168152109295</v>
      </c>
      <c r="K3282">
        <v>0.99293608652901</v>
      </c>
      <c r="L3282">
        <v>0.92054473138244897</v>
      </c>
      <c r="M3282">
        <v>0.72566371681415898</v>
      </c>
      <c r="N3282">
        <v>1</v>
      </c>
      <c r="O3282">
        <v>0.79823008849557497</v>
      </c>
      <c r="P3282" t="s">
        <v>2574</v>
      </c>
      <c r="Q3282" t="s">
        <v>2575</v>
      </c>
      <c r="R3282" t="s">
        <v>1498</v>
      </c>
      <c r="S3282" t="s">
        <v>1499</v>
      </c>
      <c r="T3282" t="s">
        <v>5204</v>
      </c>
      <c r="U3282" t="s">
        <v>5205</v>
      </c>
      <c r="V3282" t="s">
        <v>2578</v>
      </c>
      <c r="W3282" t="s">
        <v>2579</v>
      </c>
      <c r="AD3282" t="s">
        <v>1829</v>
      </c>
      <c r="AE3282" t="s">
        <v>5206</v>
      </c>
      <c r="AF3282" t="s">
        <v>5207</v>
      </c>
    </row>
    <row r="3283" spans="1:32" hidden="1" x14ac:dyDescent="0.35">
      <c r="A3283">
        <v>2515</v>
      </c>
      <c r="B3283" t="s">
        <v>5203</v>
      </c>
      <c r="C3283" t="s">
        <v>72</v>
      </c>
      <c r="D3283" t="s">
        <v>60</v>
      </c>
      <c r="E3283">
        <v>583</v>
      </c>
      <c r="F3283">
        <v>5</v>
      </c>
      <c r="G3283">
        <v>5</v>
      </c>
      <c r="H3283">
        <v>1</v>
      </c>
      <c r="I3283">
        <v>1</v>
      </c>
      <c r="J3283">
        <v>0.85799168152109295</v>
      </c>
      <c r="K3283">
        <v>0.99293608652901</v>
      </c>
      <c r="L3283">
        <v>0.92054473138244897</v>
      </c>
      <c r="M3283">
        <v>0.72566371681415898</v>
      </c>
      <c r="N3283">
        <v>1</v>
      </c>
      <c r="O3283">
        <v>0.79823008849557497</v>
      </c>
      <c r="P3283" t="s">
        <v>2574</v>
      </c>
      <c r="Q3283" t="s">
        <v>2575</v>
      </c>
      <c r="R3283" t="s">
        <v>1498</v>
      </c>
      <c r="S3283" t="s">
        <v>1499</v>
      </c>
      <c r="T3283" t="s">
        <v>5204</v>
      </c>
      <c r="U3283" t="s">
        <v>5205</v>
      </c>
      <c r="V3283" t="s">
        <v>2578</v>
      </c>
      <c r="W3283" t="s">
        <v>2579</v>
      </c>
      <c r="AD3283" t="s">
        <v>1829</v>
      </c>
      <c r="AE3283" t="s">
        <v>5206</v>
      </c>
      <c r="AF3283" t="s">
        <v>5208</v>
      </c>
    </row>
    <row r="3284" spans="1:32" hidden="1" x14ac:dyDescent="0.35">
      <c r="A3284">
        <v>2516</v>
      </c>
      <c r="B3284" t="s">
        <v>5203</v>
      </c>
      <c r="C3284" t="s">
        <v>72</v>
      </c>
      <c r="D3284" t="s">
        <v>62</v>
      </c>
      <c r="E3284">
        <v>667</v>
      </c>
      <c r="F3284">
        <v>5</v>
      </c>
      <c r="G3284">
        <v>5</v>
      </c>
      <c r="H3284">
        <v>1</v>
      </c>
      <c r="I3284">
        <v>1</v>
      </c>
      <c r="J3284">
        <v>0.85799168152109295</v>
      </c>
      <c r="K3284">
        <v>0.99293608652901</v>
      </c>
      <c r="L3284">
        <v>0.92054473138244897</v>
      </c>
      <c r="M3284">
        <v>0.72566371681415898</v>
      </c>
      <c r="N3284">
        <v>1</v>
      </c>
      <c r="O3284">
        <v>0.79823008849557497</v>
      </c>
      <c r="P3284" t="s">
        <v>2574</v>
      </c>
      <c r="Q3284" t="s">
        <v>2575</v>
      </c>
      <c r="R3284" t="s">
        <v>1498</v>
      </c>
      <c r="S3284" t="s">
        <v>1499</v>
      </c>
      <c r="T3284" t="s">
        <v>5204</v>
      </c>
      <c r="U3284" t="s">
        <v>5205</v>
      </c>
      <c r="V3284" t="s">
        <v>2578</v>
      </c>
      <c r="W3284" t="s">
        <v>2579</v>
      </c>
      <c r="AD3284" t="s">
        <v>1829</v>
      </c>
      <c r="AE3284" t="s">
        <v>5206</v>
      </c>
      <c r="AF3284" t="s">
        <v>5208</v>
      </c>
    </row>
    <row r="3285" spans="1:32" hidden="1" x14ac:dyDescent="0.35">
      <c r="A3285">
        <v>2517</v>
      </c>
      <c r="B3285" t="s">
        <v>5203</v>
      </c>
      <c r="C3285" t="s">
        <v>72</v>
      </c>
      <c r="D3285" t="s">
        <v>34</v>
      </c>
      <c r="E3285">
        <v>509</v>
      </c>
      <c r="F3285">
        <v>5</v>
      </c>
      <c r="G3285">
        <v>5</v>
      </c>
      <c r="H3285">
        <v>1</v>
      </c>
      <c r="I3285">
        <v>1</v>
      </c>
      <c r="J3285">
        <v>0.85799168152109295</v>
      </c>
      <c r="K3285">
        <v>0.99293608652901</v>
      </c>
      <c r="L3285">
        <v>0.92054473138244897</v>
      </c>
      <c r="M3285">
        <v>0.72566371681415898</v>
      </c>
      <c r="N3285">
        <v>1</v>
      </c>
      <c r="O3285">
        <v>0.79823008849557497</v>
      </c>
      <c r="P3285" t="s">
        <v>2574</v>
      </c>
      <c r="Q3285" t="s">
        <v>2575</v>
      </c>
      <c r="R3285" t="s">
        <v>1498</v>
      </c>
      <c r="S3285" t="s">
        <v>1499</v>
      </c>
      <c r="T3285" t="s">
        <v>5204</v>
      </c>
      <c r="U3285" t="s">
        <v>5205</v>
      </c>
      <c r="V3285" t="s">
        <v>2578</v>
      </c>
      <c r="W3285" t="s">
        <v>2579</v>
      </c>
      <c r="AD3285" t="s">
        <v>1829</v>
      </c>
      <c r="AE3285" t="s">
        <v>5206</v>
      </c>
      <c r="AF3285" t="s">
        <v>5209</v>
      </c>
    </row>
    <row r="3286" spans="1:32" hidden="1" x14ac:dyDescent="0.35">
      <c r="A3286">
        <v>2518</v>
      </c>
      <c r="B3286" t="s">
        <v>5203</v>
      </c>
      <c r="C3286" t="s">
        <v>72</v>
      </c>
      <c r="D3286" t="s">
        <v>45</v>
      </c>
      <c r="E3286">
        <v>1774</v>
      </c>
      <c r="F3286">
        <v>5</v>
      </c>
      <c r="G3286">
        <v>5</v>
      </c>
      <c r="H3286">
        <v>1</v>
      </c>
      <c r="I3286">
        <v>1</v>
      </c>
      <c r="J3286">
        <v>0.85799168152109295</v>
      </c>
      <c r="K3286">
        <v>0.99293608652901</v>
      </c>
      <c r="L3286">
        <v>0.92054473138244897</v>
      </c>
      <c r="M3286">
        <v>0.72566371681415898</v>
      </c>
      <c r="N3286">
        <v>1</v>
      </c>
      <c r="O3286">
        <v>0.79823008849557497</v>
      </c>
      <c r="P3286" t="s">
        <v>2574</v>
      </c>
      <c r="Q3286" t="s">
        <v>2575</v>
      </c>
      <c r="R3286" t="s">
        <v>1498</v>
      </c>
      <c r="S3286" t="s">
        <v>1499</v>
      </c>
      <c r="T3286" t="s">
        <v>5204</v>
      </c>
      <c r="U3286" t="s">
        <v>5205</v>
      </c>
      <c r="V3286" t="s">
        <v>2578</v>
      </c>
      <c r="W3286" t="s">
        <v>2579</v>
      </c>
      <c r="AD3286" t="s">
        <v>1829</v>
      </c>
      <c r="AE3286" t="s">
        <v>5206</v>
      </c>
      <c r="AF3286" t="s">
        <v>5209</v>
      </c>
    </row>
    <row r="3287" spans="1:32" hidden="1" x14ac:dyDescent="0.35">
      <c r="A3287">
        <v>2644</v>
      </c>
      <c r="B3287" t="s">
        <v>5464</v>
      </c>
      <c r="C3287" t="s">
        <v>72</v>
      </c>
      <c r="D3287" t="s">
        <v>58</v>
      </c>
      <c r="E3287">
        <v>1616</v>
      </c>
      <c r="F3287">
        <v>5</v>
      </c>
      <c r="G3287">
        <v>5</v>
      </c>
      <c r="H3287">
        <v>1</v>
      </c>
      <c r="I3287">
        <v>1</v>
      </c>
      <c r="J3287">
        <v>0.89361955873583798</v>
      </c>
      <c r="K3287">
        <v>0.99117008657025096</v>
      </c>
      <c r="L3287">
        <v>0.93987037502981197</v>
      </c>
      <c r="M3287">
        <v>0.75886524822695001</v>
      </c>
      <c r="N3287">
        <v>1</v>
      </c>
      <c r="O3287">
        <v>0.84468085106382995</v>
      </c>
      <c r="P3287" t="s">
        <v>1496</v>
      </c>
      <c r="Q3287" t="s">
        <v>1497</v>
      </c>
      <c r="R3287" t="s">
        <v>1498</v>
      </c>
      <c r="S3287" t="s">
        <v>1499</v>
      </c>
      <c r="T3287" t="s">
        <v>5465</v>
      </c>
      <c r="U3287" t="s">
        <v>5466</v>
      </c>
      <c r="V3287" t="s">
        <v>1500</v>
      </c>
      <c r="W3287" t="s">
        <v>1501</v>
      </c>
      <c r="AD3287" t="s">
        <v>312</v>
      </c>
      <c r="AE3287" t="s">
        <v>5467</v>
      </c>
      <c r="AF3287" t="e">
        <f>-MEALRVKSDEEAIRNALTSLKTATGIPVTMYAECLGEDRLQIGAWVGLRTPALQNLTIASGCGVGGRVMATRRPVGVSDYTRANVISHEYDKAIQDEGLYSIVAVPVIVNRRVRGVLYVGVHSPVRLGDKVIEEVTMTARKLEQDFAVADALEQQDP-EHPVAQRSGRVMNSAEWEQIRAAHSRLRMICNRIDDINIRGELEEICDQMVAPVRIQATTKLSARELDVLACVALGHTNVEAAEEMGIGAETVKSYLRSVMRKLGAHTRYEAVNAARRMGAIP</f>
        <v>#NAME?</v>
      </c>
    </row>
    <row r="3288" spans="1:32" hidden="1" x14ac:dyDescent="0.35">
      <c r="A3288">
        <v>2645</v>
      </c>
      <c r="B3288" t="s">
        <v>5464</v>
      </c>
      <c r="C3288" t="s">
        <v>72</v>
      </c>
      <c r="D3288" t="s">
        <v>60</v>
      </c>
      <c r="E3288">
        <v>2142</v>
      </c>
      <c r="F3288">
        <v>5</v>
      </c>
      <c r="G3288">
        <v>5</v>
      </c>
      <c r="H3288">
        <v>1</v>
      </c>
      <c r="I3288">
        <v>1</v>
      </c>
      <c r="J3288">
        <v>0.89361955873583798</v>
      </c>
      <c r="K3288">
        <v>0.99117008657025096</v>
      </c>
      <c r="L3288">
        <v>0.93987037502981197</v>
      </c>
      <c r="M3288">
        <v>0.75886524822695001</v>
      </c>
      <c r="N3288">
        <v>1</v>
      </c>
      <c r="O3288">
        <v>0.84468085106382995</v>
      </c>
      <c r="P3288" t="s">
        <v>1496</v>
      </c>
      <c r="Q3288" t="s">
        <v>1497</v>
      </c>
      <c r="R3288" t="s">
        <v>1498</v>
      </c>
      <c r="S3288" t="s">
        <v>1499</v>
      </c>
      <c r="T3288" t="s">
        <v>5465</v>
      </c>
      <c r="U3288" t="s">
        <v>5466</v>
      </c>
      <c r="V3288" t="s">
        <v>1500</v>
      </c>
      <c r="W3288" t="s">
        <v>1501</v>
      </c>
      <c r="AD3288" t="s">
        <v>312</v>
      </c>
      <c r="AE3288" t="s">
        <v>5467</v>
      </c>
      <c r="AF3288" t="e">
        <f>-MDSQRIKDDEDAIRAALTSLKTATGIPVTMFAAVLPDNRLQISAWVGLRTPALQNLIIDSGCGVGGRVVTTRRPVGVSDYTRANVISHEYDNIIQDEGLYSIVAVPVIVHREIRGVLYVGVHSPVRLGDKVIEEVTMTARTLEQDLAINAAFRRGDG-RGGLG-KPGRVMNGAEWEQVRSTHSKLRMLANRVGDEELRRELEELCDQMVTPVRVKQTTKLSARELDVLACVALGHTNVEAAEEMGIGAETVKSYLRSVMRKLGAHTRYEAVNAARRIGALP</f>
        <v>#NAME?</v>
      </c>
    </row>
    <row r="3289" spans="1:32" hidden="1" x14ac:dyDescent="0.35">
      <c r="A3289">
        <v>2646</v>
      </c>
      <c r="B3289" t="s">
        <v>5464</v>
      </c>
      <c r="C3289" t="s">
        <v>72</v>
      </c>
      <c r="D3289" t="s">
        <v>62</v>
      </c>
      <c r="E3289">
        <v>2176</v>
      </c>
      <c r="F3289">
        <v>5</v>
      </c>
      <c r="G3289">
        <v>5</v>
      </c>
      <c r="H3289">
        <v>1</v>
      </c>
      <c r="I3289">
        <v>1</v>
      </c>
      <c r="J3289">
        <v>0.89361955873583798</v>
      </c>
      <c r="K3289">
        <v>0.99117008657025096</v>
      </c>
      <c r="L3289">
        <v>0.93987037502981197</v>
      </c>
      <c r="M3289">
        <v>0.75886524822695001</v>
      </c>
      <c r="N3289">
        <v>1</v>
      </c>
      <c r="O3289">
        <v>0.84468085106382995</v>
      </c>
      <c r="P3289" t="s">
        <v>1496</v>
      </c>
      <c r="Q3289" t="s">
        <v>1497</v>
      </c>
      <c r="R3289" t="s">
        <v>1498</v>
      </c>
      <c r="S3289" t="s">
        <v>1499</v>
      </c>
      <c r="T3289" t="s">
        <v>5465</v>
      </c>
      <c r="U3289" t="s">
        <v>5466</v>
      </c>
      <c r="V3289" t="s">
        <v>1500</v>
      </c>
      <c r="W3289" t="s">
        <v>1501</v>
      </c>
      <c r="AD3289" t="s">
        <v>312</v>
      </c>
      <c r="AE3289" t="s">
        <v>5467</v>
      </c>
      <c r="AF3289" t="e">
        <f>-MDSQRIKDDEDAIRAALTSLKTATGIPVTMFAAVLPDNRLQISAWVGLRTPALQNLIIDSGCGVGGRVVTTRRPVGVSDYTRANVISHEYDNIIQDEGLYSIVAVPVIVHREIRGVLYVGVHSPVRLGDKVIEEVTMTARTLEQDLAINAAFRRGDG-RGGLG-KPGRVMNGAEWEQVRSTHSKLRMLANRVGDEELRRELEELCDQMVTPVRVKQTTKLSARELDVLACVALGHTNVEAAEEMGIGAETVKSYLRSVMRKLGAHTRYEAVNAARRIGALP</f>
        <v>#NAME?</v>
      </c>
    </row>
    <row r="3290" spans="1:32" hidden="1" x14ac:dyDescent="0.35">
      <c r="A3290">
        <v>2647</v>
      </c>
      <c r="B3290" t="s">
        <v>5464</v>
      </c>
      <c r="C3290" t="s">
        <v>72</v>
      </c>
      <c r="D3290" t="s">
        <v>34</v>
      </c>
      <c r="E3290">
        <v>1641</v>
      </c>
      <c r="F3290">
        <v>5</v>
      </c>
      <c r="G3290">
        <v>5</v>
      </c>
      <c r="H3290">
        <v>1</v>
      </c>
      <c r="I3290">
        <v>1</v>
      </c>
      <c r="J3290">
        <v>0.89361955873583798</v>
      </c>
      <c r="K3290">
        <v>0.99117008657025096</v>
      </c>
      <c r="L3290">
        <v>0.93987037502981197</v>
      </c>
      <c r="M3290">
        <v>0.75886524822695001</v>
      </c>
      <c r="N3290">
        <v>1</v>
      </c>
      <c r="O3290">
        <v>0.84468085106382995</v>
      </c>
      <c r="P3290" t="s">
        <v>1496</v>
      </c>
      <c r="Q3290" t="s">
        <v>1497</v>
      </c>
      <c r="R3290" t="s">
        <v>1498</v>
      </c>
      <c r="S3290" t="s">
        <v>1499</v>
      </c>
      <c r="T3290" t="s">
        <v>5465</v>
      </c>
      <c r="U3290" t="s">
        <v>5466</v>
      </c>
      <c r="V3290" t="s">
        <v>1500</v>
      </c>
      <c r="W3290" t="s">
        <v>1501</v>
      </c>
      <c r="AD3290" t="s">
        <v>312</v>
      </c>
      <c r="AE3290" t="s">
        <v>5467</v>
      </c>
      <c r="AF3290" t="s">
        <v>5468</v>
      </c>
    </row>
    <row r="3291" spans="1:32" hidden="1" x14ac:dyDescent="0.35">
      <c r="A3291">
        <v>2648</v>
      </c>
      <c r="B3291" t="s">
        <v>5464</v>
      </c>
      <c r="C3291" t="s">
        <v>72</v>
      </c>
      <c r="D3291" t="s">
        <v>45</v>
      </c>
      <c r="E3291">
        <v>388</v>
      </c>
      <c r="F3291">
        <v>5</v>
      </c>
      <c r="G3291">
        <v>5</v>
      </c>
      <c r="H3291">
        <v>1</v>
      </c>
      <c r="I3291">
        <v>1</v>
      </c>
      <c r="J3291">
        <v>0.89361955873583798</v>
      </c>
      <c r="K3291">
        <v>0.99117008657025096</v>
      </c>
      <c r="L3291">
        <v>0.93987037502981197</v>
      </c>
      <c r="M3291">
        <v>0.75886524822695001</v>
      </c>
      <c r="N3291">
        <v>1</v>
      </c>
      <c r="O3291">
        <v>0.84468085106382995</v>
      </c>
      <c r="P3291" t="s">
        <v>1496</v>
      </c>
      <c r="Q3291" t="s">
        <v>1497</v>
      </c>
      <c r="R3291" t="s">
        <v>1498</v>
      </c>
      <c r="S3291" t="s">
        <v>1499</v>
      </c>
      <c r="T3291" t="s">
        <v>5465</v>
      </c>
      <c r="U3291" t="s">
        <v>5466</v>
      </c>
      <c r="V3291" t="s">
        <v>1500</v>
      </c>
      <c r="W3291" t="s">
        <v>1501</v>
      </c>
      <c r="AD3291" t="s">
        <v>312</v>
      </c>
      <c r="AE3291" t="s">
        <v>5467</v>
      </c>
      <c r="AF3291" t="s">
        <v>5468</v>
      </c>
    </row>
    <row r="3292" spans="1:32" hidden="1" x14ac:dyDescent="0.35">
      <c r="A3292">
        <v>2449</v>
      </c>
      <c r="B3292" t="s">
        <v>5074</v>
      </c>
      <c r="C3292" t="s">
        <v>72</v>
      </c>
      <c r="D3292" t="s">
        <v>58</v>
      </c>
      <c r="E3292">
        <v>1246</v>
      </c>
      <c r="F3292">
        <v>5</v>
      </c>
      <c r="G3292">
        <v>5</v>
      </c>
      <c r="H3292">
        <v>1</v>
      </c>
      <c r="I3292">
        <v>1</v>
      </c>
      <c r="J3292">
        <v>0.774048005775131</v>
      </c>
      <c r="K3292">
        <v>0.95782599309153804</v>
      </c>
      <c r="L3292">
        <v>0.85618618943094105</v>
      </c>
      <c r="M3292">
        <v>0.54922279792746098</v>
      </c>
      <c r="N3292">
        <v>1</v>
      </c>
      <c r="O3292">
        <v>0.70259067357512905</v>
      </c>
      <c r="P3292" t="s">
        <v>1925</v>
      </c>
      <c r="Q3292" t="s">
        <v>1926</v>
      </c>
      <c r="R3292" t="s">
        <v>652</v>
      </c>
      <c r="S3292" t="s">
        <v>653</v>
      </c>
      <c r="T3292" t="s">
        <v>5075</v>
      </c>
      <c r="U3292" t="s">
        <v>5076</v>
      </c>
      <c r="V3292" t="s">
        <v>5077</v>
      </c>
      <c r="W3292" t="s">
        <v>5078</v>
      </c>
      <c r="X3292" t="s">
        <v>5077</v>
      </c>
      <c r="Y3292" t="s">
        <v>3395</v>
      </c>
      <c r="Z3292" t="s">
        <v>3396</v>
      </c>
      <c r="AA3292" t="s">
        <v>3397</v>
      </c>
      <c r="AB3292" t="s">
        <v>3396</v>
      </c>
      <c r="AC3292" t="s">
        <v>729</v>
      </c>
      <c r="AD3292" t="s">
        <v>3398</v>
      </c>
      <c r="AE3292" t="s">
        <v>3399</v>
      </c>
      <c r="AF3292" t="s">
        <v>5079</v>
      </c>
    </row>
    <row r="3293" spans="1:32" hidden="1" x14ac:dyDescent="0.35">
      <c r="A3293">
        <v>3274</v>
      </c>
      <c r="B3293" t="s">
        <v>6735</v>
      </c>
      <c r="C3293" t="s">
        <v>72</v>
      </c>
      <c r="D3293" t="s">
        <v>58</v>
      </c>
      <c r="E3293">
        <v>1247</v>
      </c>
      <c r="F3293">
        <v>5</v>
      </c>
      <c r="G3293">
        <v>5</v>
      </c>
      <c r="H3293">
        <v>1</v>
      </c>
      <c r="I3293">
        <v>1</v>
      </c>
      <c r="J3293">
        <v>0.88834555827220896</v>
      </c>
      <c r="K3293">
        <v>0.88938756428237498</v>
      </c>
      <c r="L3293">
        <v>0.88886625589497303</v>
      </c>
      <c r="M3293">
        <v>0.61290322580645196</v>
      </c>
      <c r="N3293">
        <v>1</v>
      </c>
      <c r="O3293">
        <v>0.76989247311828002</v>
      </c>
      <c r="P3293" t="s">
        <v>6736</v>
      </c>
      <c r="Q3293" t="s">
        <v>6737</v>
      </c>
      <c r="R3293" t="s">
        <v>652</v>
      </c>
      <c r="S3293" t="s">
        <v>653</v>
      </c>
      <c r="T3293" t="s">
        <v>6738</v>
      </c>
      <c r="U3293" t="s">
        <v>6739</v>
      </c>
      <c r="V3293" t="s">
        <v>6740</v>
      </c>
      <c r="W3293" t="s">
        <v>6741</v>
      </c>
      <c r="X3293" t="s">
        <v>6740</v>
      </c>
      <c r="Y3293" t="s">
        <v>3395</v>
      </c>
      <c r="Z3293" t="s">
        <v>3396</v>
      </c>
      <c r="AA3293" t="s">
        <v>3397</v>
      </c>
      <c r="AB3293" t="s">
        <v>3396</v>
      </c>
      <c r="AC3293" t="s">
        <v>729</v>
      </c>
      <c r="AD3293" t="s">
        <v>3398</v>
      </c>
      <c r="AE3293" t="s">
        <v>3399</v>
      </c>
      <c r="AF3293" t="e">
        <f>------------MNEILLA-ANDAAAVADYRAVGYGLATIGPGLGIGILVGKALEGMARQPEMAGQLRTTMFLGIAFVEALALLGLVAGFLFA</f>
        <v>#NAME?</v>
      </c>
    </row>
    <row r="3294" spans="1:32" hidden="1" x14ac:dyDescent="0.35">
      <c r="A3294">
        <v>81</v>
      </c>
      <c r="B3294" t="s">
        <v>110</v>
      </c>
      <c r="C3294" t="s">
        <v>72</v>
      </c>
      <c r="D3294" t="s">
        <v>60</v>
      </c>
      <c r="E3294">
        <v>1458</v>
      </c>
      <c r="F3294">
        <v>5</v>
      </c>
      <c r="G3294">
        <v>10</v>
      </c>
      <c r="H3294">
        <v>2</v>
      </c>
      <c r="I3294">
        <v>0</v>
      </c>
      <c r="J3294">
        <v>0.76139240506329098</v>
      </c>
      <c r="K3294">
        <v>0.72727659874001505</v>
      </c>
      <c r="L3294">
        <v>0.74394358617824097</v>
      </c>
      <c r="M3294">
        <v>0.31818181818181801</v>
      </c>
      <c r="N3294">
        <v>1</v>
      </c>
      <c r="O3294">
        <v>0.57972582972582998</v>
      </c>
      <c r="P3294" t="s">
        <v>111</v>
      </c>
      <c r="Q3294" t="s">
        <v>112</v>
      </c>
      <c r="R3294" t="s">
        <v>113</v>
      </c>
      <c r="S3294" t="s">
        <v>114</v>
      </c>
      <c r="T3294" t="s">
        <v>115</v>
      </c>
      <c r="U3294" t="s">
        <v>116</v>
      </c>
      <c r="V3294" t="s">
        <v>117</v>
      </c>
      <c r="W3294" t="s">
        <v>118</v>
      </c>
      <c r="X3294" t="s">
        <v>117</v>
      </c>
      <c r="Y3294" t="s">
        <v>119</v>
      </c>
      <c r="AD3294" t="s">
        <v>120</v>
      </c>
      <c r="AE3294" t="s">
        <v>121</v>
      </c>
      <c r="AF3294" t="s">
        <v>128</v>
      </c>
    </row>
    <row r="3295" spans="1:32" hidden="1" x14ac:dyDescent="0.35">
      <c r="A3295">
        <v>82</v>
      </c>
      <c r="B3295" t="s">
        <v>110</v>
      </c>
      <c r="C3295" t="s">
        <v>72</v>
      </c>
      <c r="D3295" t="s">
        <v>60</v>
      </c>
      <c r="E3295">
        <v>1451</v>
      </c>
      <c r="F3295">
        <v>5</v>
      </c>
      <c r="G3295">
        <v>10</v>
      </c>
      <c r="H3295">
        <v>2</v>
      </c>
      <c r="I3295">
        <v>0</v>
      </c>
      <c r="J3295">
        <v>0.76139240506329098</v>
      </c>
      <c r="K3295">
        <v>0.72727659874001505</v>
      </c>
      <c r="L3295">
        <v>0.74394358617824097</v>
      </c>
      <c r="M3295">
        <v>0.31818181818181801</v>
      </c>
      <c r="N3295">
        <v>1</v>
      </c>
      <c r="O3295">
        <v>0.57972582972582998</v>
      </c>
      <c r="P3295" t="s">
        <v>111</v>
      </c>
      <c r="Q3295" t="s">
        <v>112</v>
      </c>
      <c r="R3295" t="s">
        <v>113</v>
      </c>
      <c r="S3295" t="s">
        <v>114</v>
      </c>
      <c r="T3295" t="s">
        <v>123</v>
      </c>
      <c r="U3295" t="s">
        <v>124</v>
      </c>
      <c r="V3295" t="s">
        <v>117</v>
      </c>
      <c r="W3295" t="s">
        <v>118</v>
      </c>
      <c r="X3295" t="s">
        <v>117</v>
      </c>
      <c r="Y3295" t="s">
        <v>119</v>
      </c>
      <c r="AD3295" t="s">
        <v>125</v>
      </c>
      <c r="AE3295" t="s">
        <v>126</v>
      </c>
      <c r="AF3295" t="s">
        <v>129</v>
      </c>
    </row>
    <row r="3296" spans="1:32" hidden="1" x14ac:dyDescent="0.35">
      <c r="A3296">
        <v>83</v>
      </c>
      <c r="B3296" t="s">
        <v>110</v>
      </c>
      <c r="C3296" t="s">
        <v>72</v>
      </c>
      <c r="D3296" t="s">
        <v>62</v>
      </c>
      <c r="E3296">
        <v>1493</v>
      </c>
      <c r="F3296">
        <v>5</v>
      </c>
      <c r="G3296">
        <v>10</v>
      </c>
      <c r="H3296">
        <v>2</v>
      </c>
      <c r="I3296">
        <v>0</v>
      </c>
      <c r="J3296">
        <v>0.76139240506329098</v>
      </c>
      <c r="K3296">
        <v>0.72727659874001505</v>
      </c>
      <c r="L3296">
        <v>0.74394358617824097</v>
      </c>
      <c r="M3296">
        <v>0.31818181818181801</v>
      </c>
      <c r="N3296">
        <v>1</v>
      </c>
      <c r="O3296">
        <v>0.57972582972582998</v>
      </c>
      <c r="P3296" t="s">
        <v>111</v>
      </c>
      <c r="Q3296" t="s">
        <v>112</v>
      </c>
      <c r="R3296" t="s">
        <v>113</v>
      </c>
      <c r="S3296" t="s">
        <v>114</v>
      </c>
      <c r="T3296" t="s">
        <v>115</v>
      </c>
      <c r="U3296" t="s">
        <v>116</v>
      </c>
      <c r="V3296" t="s">
        <v>117</v>
      </c>
      <c r="W3296" t="s">
        <v>118</v>
      </c>
      <c r="X3296" t="s">
        <v>117</v>
      </c>
      <c r="Y3296" t="s">
        <v>119</v>
      </c>
      <c r="AD3296" t="s">
        <v>120</v>
      </c>
      <c r="AE3296" t="s">
        <v>121</v>
      </c>
      <c r="AF3296" t="s">
        <v>128</v>
      </c>
    </row>
    <row r="3297" spans="1:32" hidden="1" x14ac:dyDescent="0.35">
      <c r="A3297">
        <v>84</v>
      </c>
      <c r="B3297" t="s">
        <v>110</v>
      </c>
      <c r="C3297" t="s">
        <v>72</v>
      </c>
      <c r="D3297" t="s">
        <v>62</v>
      </c>
      <c r="E3297">
        <v>1486</v>
      </c>
      <c r="F3297">
        <v>5</v>
      </c>
      <c r="G3297">
        <v>10</v>
      </c>
      <c r="H3297">
        <v>2</v>
      </c>
      <c r="I3297">
        <v>0</v>
      </c>
      <c r="J3297">
        <v>0.76139240506329098</v>
      </c>
      <c r="K3297">
        <v>0.72727659874001505</v>
      </c>
      <c r="L3297">
        <v>0.74394358617824097</v>
      </c>
      <c r="M3297">
        <v>0.31818181818181801</v>
      </c>
      <c r="N3297">
        <v>1</v>
      </c>
      <c r="O3297">
        <v>0.57972582972582998</v>
      </c>
      <c r="P3297" t="s">
        <v>111</v>
      </c>
      <c r="Q3297" t="s">
        <v>112</v>
      </c>
      <c r="R3297" t="s">
        <v>113</v>
      </c>
      <c r="S3297" t="s">
        <v>114</v>
      </c>
      <c r="T3297" t="s">
        <v>123</v>
      </c>
      <c r="U3297" t="s">
        <v>124</v>
      </c>
      <c r="V3297" t="s">
        <v>117</v>
      </c>
      <c r="W3297" t="s">
        <v>118</v>
      </c>
      <c r="X3297" t="s">
        <v>117</v>
      </c>
      <c r="Y3297" t="s">
        <v>119</v>
      </c>
      <c r="AD3297" t="s">
        <v>125</v>
      </c>
      <c r="AE3297" t="s">
        <v>126</v>
      </c>
      <c r="AF3297" t="s">
        <v>129</v>
      </c>
    </row>
    <row r="3298" spans="1:32" hidden="1" x14ac:dyDescent="0.35">
      <c r="A3298">
        <v>85</v>
      </c>
      <c r="B3298" t="s">
        <v>110</v>
      </c>
      <c r="C3298" t="s">
        <v>72</v>
      </c>
      <c r="D3298" t="s">
        <v>34</v>
      </c>
      <c r="E3298">
        <v>1893</v>
      </c>
      <c r="F3298">
        <v>5</v>
      </c>
      <c r="G3298">
        <v>10</v>
      </c>
      <c r="H3298">
        <v>2</v>
      </c>
      <c r="I3298">
        <v>0</v>
      </c>
      <c r="J3298">
        <v>0.76139240506329098</v>
      </c>
      <c r="K3298">
        <v>0.72727659874001505</v>
      </c>
      <c r="L3298">
        <v>0.74394358617824097</v>
      </c>
      <c r="M3298">
        <v>0.31818181818181801</v>
      </c>
      <c r="N3298">
        <v>1</v>
      </c>
      <c r="O3298">
        <v>0.57972582972582998</v>
      </c>
      <c r="P3298" t="s">
        <v>111</v>
      </c>
      <c r="Q3298" t="s">
        <v>112</v>
      </c>
      <c r="R3298" t="s">
        <v>113</v>
      </c>
      <c r="S3298" t="s">
        <v>114</v>
      </c>
      <c r="T3298" t="s">
        <v>115</v>
      </c>
      <c r="U3298" t="s">
        <v>116</v>
      </c>
      <c r="V3298" t="s">
        <v>117</v>
      </c>
      <c r="W3298" t="s">
        <v>118</v>
      </c>
      <c r="X3298" t="s">
        <v>117</v>
      </c>
      <c r="Y3298" t="s">
        <v>119</v>
      </c>
      <c r="AD3298" t="s">
        <v>120</v>
      </c>
      <c r="AE3298" t="s">
        <v>121</v>
      </c>
      <c r="AF3298" t="s">
        <v>130</v>
      </c>
    </row>
    <row r="3299" spans="1:32" hidden="1" x14ac:dyDescent="0.35">
      <c r="A3299">
        <v>86</v>
      </c>
      <c r="B3299" t="s">
        <v>110</v>
      </c>
      <c r="C3299" t="s">
        <v>72</v>
      </c>
      <c r="D3299" t="s">
        <v>34</v>
      </c>
      <c r="E3299">
        <v>1881</v>
      </c>
      <c r="F3299">
        <v>5</v>
      </c>
      <c r="G3299">
        <v>10</v>
      </c>
      <c r="H3299">
        <v>2</v>
      </c>
      <c r="I3299">
        <v>0</v>
      </c>
      <c r="J3299">
        <v>0.76139240506329098</v>
      </c>
      <c r="K3299">
        <v>0.72727659874001505</v>
      </c>
      <c r="L3299">
        <v>0.74394358617824097</v>
      </c>
      <c r="M3299">
        <v>0.31818181818181801</v>
      </c>
      <c r="N3299">
        <v>1</v>
      </c>
      <c r="O3299">
        <v>0.57972582972582998</v>
      </c>
      <c r="P3299" t="s">
        <v>111</v>
      </c>
      <c r="Q3299" t="s">
        <v>112</v>
      </c>
      <c r="R3299" t="s">
        <v>113</v>
      </c>
      <c r="S3299" t="s">
        <v>114</v>
      </c>
      <c r="T3299" t="s">
        <v>123</v>
      </c>
      <c r="U3299" t="s">
        <v>124</v>
      </c>
      <c r="V3299" t="s">
        <v>117</v>
      </c>
      <c r="W3299" t="s">
        <v>118</v>
      </c>
      <c r="X3299" t="s">
        <v>117</v>
      </c>
      <c r="Y3299" t="s">
        <v>119</v>
      </c>
      <c r="AD3299" t="s">
        <v>131</v>
      </c>
      <c r="AE3299" t="s">
        <v>132</v>
      </c>
      <c r="AF3299" t="s">
        <v>133</v>
      </c>
    </row>
    <row r="3300" spans="1:32" hidden="1" x14ac:dyDescent="0.35">
      <c r="A3300">
        <v>87</v>
      </c>
      <c r="B3300" t="s">
        <v>110</v>
      </c>
      <c r="C3300" t="s">
        <v>72</v>
      </c>
      <c r="D3300" t="s">
        <v>45</v>
      </c>
      <c r="E3300">
        <v>980</v>
      </c>
      <c r="F3300">
        <v>5</v>
      </c>
      <c r="G3300">
        <v>10</v>
      </c>
      <c r="H3300">
        <v>2</v>
      </c>
      <c r="I3300">
        <v>0</v>
      </c>
      <c r="J3300">
        <v>0.76139240506329098</v>
      </c>
      <c r="K3300">
        <v>0.72727659874001505</v>
      </c>
      <c r="L3300">
        <v>0.74394358617824097</v>
      </c>
      <c r="M3300">
        <v>0.31818181818181801</v>
      </c>
      <c r="N3300">
        <v>1</v>
      </c>
      <c r="O3300">
        <v>0.57972582972582998</v>
      </c>
      <c r="P3300" t="s">
        <v>111</v>
      </c>
      <c r="Q3300" t="s">
        <v>112</v>
      </c>
      <c r="R3300" t="s">
        <v>113</v>
      </c>
      <c r="S3300" t="s">
        <v>114</v>
      </c>
      <c r="T3300" t="s">
        <v>115</v>
      </c>
      <c r="U3300" t="s">
        <v>116</v>
      </c>
      <c r="V3300" t="s">
        <v>117</v>
      </c>
      <c r="W3300" t="s">
        <v>118</v>
      </c>
      <c r="X3300" t="s">
        <v>117</v>
      </c>
      <c r="Y3300" t="s">
        <v>119</v>
      </c>
      <c r="AD3300" t="s">
        <v>120</v>
      </c>
      <c r="AE3300" t="s">
        <v>121</v>
      </c>
      <c r="AF3300" t="s">
        <v>130</v>
      </c>
    </row>
    <row r="3301" spans="1:32" hidden="1" x14ac:dyDescent="0.35">
      <c r="A3301">
        <v>88</v>
      </c>
      <c r="B3301" t="s">
        <v>110</v>
      </c>
      <c r="C3301" t="s">
        <v>72</v>
      </c>
      <c r="D3301" t="s">
        <v>45</v>
      </c>
      <c r="E3301">
        <v>992</v>
      </c>
      <c r="F3301">
        <v>5</v>
      </c>
      <c r="G3301">
        <v>10</v>
      </c>
      <c r="H3301">
        <v>2</v>
      </c>
      <c r="I3301">
        <v>0</v>
      </c>
      <c r="J3301">
        <v>0.76139240506329098</v>
      </c>
      <c r="K3301">
        <v>0.72727659874001505</v>
      </c>
      <c r="L3301">
        <v>0.74394358617824097</v>
      </c>
      <c r="M3301">
        <v>0.31818181818181801</v>
      </c>
      <c r="N3301">
        <v>1</v>
      </c>
      <c r="O3301">
        <v>0.57972582972582998</v>
      </c>
      <c r="P3301" t="s">
        <v>111</v>
      </c>
      <c r="Q3301" t="s">
        <v>112</v>
      </c>
      <c r="R3301" t="s">
        <v>113</v>
      </c>
      <c r="S3301" t="s">
        <v>114</v>
      </c>
      <c r="T3301" t="s">
        <v>123</v>
      </c>
      <c r="U3301" t="s">
        <v>124</v>
      </c>
      <c r="V3301" t="s">
        <v>117</v>
      </c>
      <c r="W3301" t="s">
        <v>118</v>
      </c>
      <c r="X3301" t="s">
        <v>117</v>
      </c>
      <c r="Y3301" t="s">
        <v>119</v>
      </c>
      <c r="AD3301" t="s">
        <v>131</v>
      </c>
      <c r="AE3301" t="s">
        <v>132</v>
      </c>
      <c r="AF3301" t="s">
        <v>134</v>
      </c>
    </row>
    <row r="3302" spans="1:32" hidden="1" x14ac:dyDescent="0.35">
      <c r="A3302">
        <v>440</v>
      </c>
      <c r="B3302" t="s">
        <v>800</v>
      </c>
      <c r="C3302" t="s">
        <v>72</v>
      </c>
      <c r="D3302" t="s">
        <v>60</v>
      </c>
      <c r="E3302">
        <v>600</v>
      </c>
      <c r="F3302">
        <v>5</v>
      </c>
      <c r="G3302">
        <v>5</v>
      </c>
      <c r="H3302">
        <v>1</v>
      </c>
      <c r="I3302">
        <v>1</v>
      </c>
      <c r="J3302">
        <v>0.94186046511627897</v>
      </c>
      <c r="K3302">
        <v>1</v>
      </c>
      <c r="L3302">
        <v>0.97005988023952106</v>
      </c>
      <c r="M3302">
        <v>0.87209302325581395</v>
      </c>
      <c r="N3302">
        <v>1</v>
      </c>
      <c r="O3302">
        <v>0.918604651162791</v>
      </c>
      <c r="P3302" t="s">
        <v>801</v>
      </c>
      <c r="Q3302" t="s">
        <v>802</v>
      </c>
      <c r="R3302" t="s">
        <v>113</v>
      </c>
      <c r="S3302" t="s">
        <v>114</v>
      </c>
      <c r="T3302" t="s">
        <v>803</v>
      </c>
      <c r="U3302" t="s">
        <v>804</v>
      </c>
      <c r="V3302" t="s">
        <v>807</v>
      </c>
      <c r="W3302" t="s">
        <v>808</v>
      </c>
      <c r="X3302" t="s">
        <v>807</v>
      </c>
      <c r="Y3302" t="s">
        <v>119</v>
      </c>
      <c r="AD3302" t="s">
        <v>312</v>
      </c>
      <c r="AE3302" t="s">
        <v>805</v>
      </c>
      <c r="AF3302" t="s">
        <v>809</v>
      </c>
    </row>
    <row r="3303" spans="1:32" hidden="1" x14ac:dyDescent="0.35">
      <c r="A3303">
        <v>441</v>
      </c>
      <c r="B3303" t="s">
        <v>800</v>
      </c>
      <c r="C3303" t="s">
        <v>72</v>
      </c>
      <c r="D3303" t="s">
        <v>62</v>
      </c>
      <c r="E3303">
        <v>684</v>
      </c>
      <c r="F3303">
        <v>5</v>
      </c>
      <c r="G3303">
        <v>5</v>
      </c>
      <c r="H3303">
        <v>1</v>
      </c>
      <c r="I3303">
        <v>1</v>
      </c>
      <c r="J3303">
        <v>0.94186046511627897</v>
      </c>
      <c r="K3303">
        <v>1</v>
      </c>
      <c r="L3303">
        <v>0.97005988023952106</v>
      </c>
      <c r="M3303">
        <v>0.87209302325581395</v>
      </c>
      <c r="N3303">
        <v>1</v>
      </c>
      <c r="O3303">
        <v>0.918604651162791</v>
      </c>
      <c r="P3303" t="s">
        <v>801</v>
      </c>
      <c r="Q3303" t="s">
        <v>802</v>
      </c>
      <c r="R3303" t="s">
        <v>113</v>
      </c>
      <c r="S3303" t="s">
        <v>114</v>
      </c>
      <c r="T3303" t="s">
        <v>803</v>
      </c>
      <c r="U3303" t="s">
        <v>804</v>
      </c>
      <c r="V3303" t="s">
        <v>807</v>
      </c>
      <c r="W3303" t="s">
        <v>808</v>
      </c>
      <c r="X3303" t="s">
        <v>807</v>
      </c>
      <c r="Y3303" t="s">
        <v>119</v>
      </c>
      <c r="AD3303" t="s">
        <v>312</v>
      </c>
      <c r="AE3303" t="s">
        <v>805</v>
      </c>
      <c r="AF3303" t="s">
        <v>809</v>
      </c>
    </row>
    <row r="3304" spans="1:32" hidden="1" x14ac:dyDescent="0.35">
      <c r="A3304">
        <v>442</v>
      </c>
      <c r="B3304" t="s">
        <v>800</v>
      </c>
      <c r="C3304" t="s">
        <v>72</v>
      </c>
      <c r="D3304" t="s">
        <v>34</v>
      </c>
      <c r="E3304">
        <v>489</v>
      </c>
      <c r="F3304">
        <v>5</v>
      </c>
      <c r="G3304">
        <v>5</v>
      </c>
      <c r="H3304">
        <v>1</v>
      </c>
      <c r="I3304">
        <v>1</v>
      </c>
      <c r="J3304">
        <v>0.94186046511627897</v>
      </c>
      <c r="K3304">
        <v>1</v>
      </c>
      <c r="L3304">
        <v>0.97005988023952106</v>
      </c>
      <c r="M3304">
        <v>0.87209302325581395</v>
      </c>
      <c r="N3304">
        <v>1</v>
      </c>
      <c r="O3304">
        <v>0.918604651162791</v>
      </c>
      <c r="P3304" t="s">
        <v>801</v>
      </c>
      <c r="Q3304" t="s">
        <v>802</v>
      </c>
      <c r="R3304" t="s">
        <v>113</v>
      </c>
      <c r="S3304" t="s">
        <v>114</v>
      </c>
      <c r="T3304" t="s">
        <v>803</v>
      </c>
      <c r="U3304" t="s">
        <v>804</v>
      </c>
      <c r="V3304" t="s">
        <v>807</v>
      </c>
      <c r="W3304" t="s">
        <v>808</v>
      </c>
      <c r="X3304" t="s">
        <v>807</v>
      </c>
      <c r="Y3304" t="s">
        <v>119</v>
      </c>
      <c r="AD3304" t="s">
        <v>312</v>
      </c>
      <c r="AE3304" t="s">
        <v>805</v>
      </c>
      <c r="AF3304" t="s">
        <v>810</v>
      </c>
    </row>
    <row r="3305" spans="1:32" hidden="1" x14ac:dyDescent="0.35">
      <c r="A3305">
        <v>443</v>
      </c>
      <c r="B3305" t="s">
        <v>800</v>
      </c>
      <c r="C3305" t="s">
        <v>72</v>
      </c>
      <c r="D3305" t="s">
        <v>45</v>
      </c>
      <c r="E3305">
        <v>1754</v>
      </c>
      <c r="F3305">
        <v>5</v>
      </c>
      <c r="G3305">
        <v>5</v>
      </c>
      <c r="H3305">
        <v>1</v>
      </c>
      <c r="I3305">
        <v>1</v>
      </c>
      <c r="J3305">
        <v>0.94186046511627897</v>
      </c>
      <c r="K3305">
        <v>1</v>
      </c>
      <c r="L3305">
        <v>0.97005988023952106</v>
      </c>
      <c r="M3305">
        <v>0.87209302325581395</v>
      </c>
      <c r="N3305">
        <v>1</v>
      </c>
      <c r="O3305">
        <v>0.918604651162791</v>
      </c>
      <c r="P3305" t="s">
        <v>801</v>
      </c>
      <c r="Q3305" t="s">
        <v>802</v>
      </c>
      <c r="R3305" t="s">
        <v>113</v>
      </c>
      <c r="S3305" t="s">
        <v>114</v>
      </c>
      <c r="T3305" t="s">
        <v>803</v>
      </c>
      <c r="U3305" t="s">
        <v>804</v>
      </c>
      <c r="V3305" t="s">
        <v>807</v>
      </c>
      <c r="W3305" t="s">
        <v>808</v>
      </c>
      <c r="X3305" t="s">
        <v>807</v>
      </c>
      <c r="Y3305" t="s">
        <v>119</v>
      </c>
      <c r="AD3305" t="s">
        <v>312</v>
      </c>
      <c r="AE3305" t="s">
        <v>805</v>
      </c>
      <c r="AF3305" t="s">
        <v>810</v>
      </c>
    </row>
    <row r="3306" spans="1:32" hidden="1" x14ac:dyDescent="0.35">
      <c r="A3306">
        <v>3344</v>
      </c>
      <c r="B3306" t="s">
        <v>6877</v>
      </c>
      <c r="C3306" t="s">
        <v>72</v>
      </c>
      <c r="D3306" t="s">
        <v>58</v>
      </c>
      <c r="E3306">
        <v>1473</v>
      </c>
      <c r="F3306">
        <v>5</v>
      </c>
      <c r="G3306">
        <v>5</v>
      </c>
      <c r="H3306">
        <v>1</v>
      </c>
      <c r="I3306">
        <v>1</v>
      </c>
      <c r="J3306">
        <v>0.85948717948717901</v>
      </c>
      <c r="K3306">
        <v>0.98105893425066903</v>
      </c>
      <c r="L3306">
        <v>0.91625802800168799</v>
      </c>
      <c r="M3306">
        <v>0.74446680080482897</v>
      </c>
      <c r="N3306">
        <v>1</v>
      </c>
      <c r="O3306">
        <v>0.80985915492957805</v>
      </c>
      <c r="P3306" t="s">
        <v>6878</v>
      </c>
      <c r="Q3306" t="s">
        <v>6879</v>
      </c>
      <c r="R3306" t="s">
        <v>869</v>
      </c>
      <c r="S3306" t="s">
        <v>870</v>
      </c>
      <c r="T3306" t="s">
        <v>6880</v>
      </c>
      <c r="U3306" t="s">
        <v>6881</v>
      </c>
      <c r="V3306" t="s">
        <v>6882</v>
      </c>
      <c r="W3306" t="s">
        <v>6883</v>
      </c>
      <c r="X3306" t="s">
        <v>6882</v>
      </c>
      <c r="Y3306" t="s">
        <v>6133</v>
      </c>
      <c r="Z3306" t="s">
        <v>6884</v>
      </c>
      <c r="AA3306" t="s">
        <v>6885</v>
      </c>
      <c r="AB3306" t="s">
        <v>6884</v>
      </c>
      <c r="AC3306" t="s">
        <v>878</v>
      </c>
      <c r="AD3306" t="s">
        <v>191</v>
      </c>
      <c r="AE3306" t="s">
        <v>6886</v>
      </c>
      <c r="AF3306" t="s">
        <v>6887</v>
      </c>
    </row>
    <row r="3307" spans="1:32" hidden="1" x14ac:dyDescent="0.35">
      <c r="A3307">
        <v>710</v>
      </c>
      <c r="B3307" t="s">
        <v>1451</v>
      </c>
      <c r="C3307" t="s">
        <v>72</v>
      </c>
      <c r="D3307" t="s">
        <v>60</v>
      </c>
      <c r="E3307">
        <v>944</v>
      </c>
      <c r="F3307">
        <v>5</v>
      </c>
      <c r="G3307">
        <v>5</v>
      </c>
      <c r="H3307">
        <v>1</v>
      </c>
      <c r="I3307">
        <v>1</v>
      </c>
      <c r="J3307">
        <v>0.81221964423820603</v>
      </c>
      <c r="K3307">
        <v>0.96269418641896198</v>
      </c>
      <c r="L3307">
        <v>0.88107841191804803</v>
      </c>
      <c r="M3307">
        <v>0.62053571428571397</v>
      </c>
      <c r="N3307">
        <v>1</v>
      </c>
      <c r="O3307">
        <v>0.74464285714285705</v>
      </c>
      <c r="P3307" t="s">
        <v>1452</v>
      </c>
      <c r="Q3307" t="s">
        <v>1453</v>
      </c>
      <c r="R3307" t="s">
        <v>113</v>
      </c>
      <c r="S3307" t="s">
        <v>114</v>
      </c>
      <c r="T3307" t="s">
        <v>1454</v>
      </c>
      <c r="U3307" t="s">
        <v>1455</v>
      </c>
      <c r="V3307" t="s">
        <v>807</v>
      </c>
      <c r="W3307" t="s">
        <v>808</v>
      </c>
      <c r="X3307" t="s">
        <v>807</v>
      </c>
      <c r="Y3307" t="s">
        <v>119</v>
      </c>
      <c r="AD3307" t="s">
        <v>125</v>
      </c>
      <c r="AE3307" t="s">
        <v>126</v>
      </c>
      <c r="AF3307" t="s">
        <v>1457</v>
      </c>
    </row>
    <row r="3308" spans="1:32" hidden="1" x14ac:dyDescent="0.35">
      <c r="A3308">
        <v>711</v>
      </c>
      <c r="B3308" t="s">
        <v>1451</v>
      </c>
      <c r="C3308" t="s">
        <v>72</v>
      </c>
      <c r="D3308" t="s">
        <v>62</v>
      </c>
      <c r="E3308">
        <v>980</v>
      </c>
      <c r="F3308">
        <v>5</v>
      </c>
      <c r="G3308">
        <v>5</v>
      </c>
      <c r="H3308">
        <v>1</v>
      </c>
      <c r="I3308">
        <v>1</v>
      </c>
      <c r="J3308">
        <v>0.81221964423820603</v>
      </c>
      <c r="K3308">
        <v>0.96269418641896198</v>
      </c>
      <c r="L3308">
        <v>0.88107841191804803</v>
      </c>
      <c r="M3308">
        <v>0.62053571428571397</v>
      </c>
      <c r="N3308">
        <v>1</v>
      </c>
      <c r="O3308">
        <v>0.74464285714285705</v>
      </c>
      <c r="P3308" t="s">
        <v>1452</v>
      </c>
      <c r="Q3308" t="s">
        <v>1453</v>
      </c>
      <c r="R3308" t="s">
        <v>113</v>
      </c>
      <c r="S3308" t="s">
        <v>114</v>
      </c>
      <c r="T3308" t="s">
        <v>1454</v>
      </c>
      <c r="U3308" t="s">
        <v>1455</v>
      </c>
      <c r="V3308" t="s">
        <v>807</v>
      </c>
      <c r="W3308" t="s">
        <v>808</v>
      </c>
      <c r="X3308" t="s">
        <v>807</v>
      </c>
      <c r="Y3308" t="s">
        <v>119</v>
      </c>
      <c r="AD3308" t="s">
        <v>125</v>
      </c>
      <c r="AE3308" t="s">
        <v>126</v>
      </c>
      <c r="AF3308" t="s">
        <v>1457</v>
      </c>
    </row>
    <row r="3309" spans="1:32" hidden="1" x14ac:dyDescent="0.35">
      <c r="A3309">
        <v>712</v>
      </c>
      <c r="B3309" t="s">
        <v>1451</v>
      </c>
      <c r="C3309" t="s">
        <v>72</v>
      </c>
      <c r="D3309" t="s">
        <v>34</v>
      </c>
      <c r="E3309">
        <v>216</v>
      </c>
      <c r="F3309">
        <v>5</v>
      </c>
      <c r="G3309">
        <v>5</v>
      </c>
      <c r="H3309">
        <v>1</v>
      </c>
      <c r="I3309">
        <v>1</v>
      </c>
      <c r="J3309">
        <v>0.81221964423820603</v>
      </c>
      <c r="K3309">
        <v>0.96269418641896198</v>
      </c>
      <c r="L3309">
        <v>0.88107841191804803</v>
      </c>
      <c r="M3309">
        <v>0.62053571428571397</v>
      </c>
      <c r="N3309">
        <v>1</v>
      </c>
      <c r="O3309">
        <v>0.74464285714285705</v>
      </c>
      <c r="P3309" t="s">
        <v>1452</v>
      </c>
      <c r="Q3309" t="s">
        <v>1453</v>
      </c>
      <c r="R3309" t="s">
        <v>113</v>
      </c>
      <c r="S3309" t="s">
        <v>114</v>
      </c>
      <c r="T3309" t="s">
        <v>1454</v>
      </c>
      <c r="U3309" t="s">
        <v>1455</v>
      </c>
      <c r="V3309" t="s">
        <v>807</v>
      </c>
      <c r="W3309" t="s">
        <v>808</v>
      </c>
      <c r="X3309" t="s">
        <v>807</v>
      </c>
      <c r="Y3309" t="s">
        <v>119</v>
      </c>
      <c r="AD3309" t="s">
        <v>125</v>
      </c>
      <c r="AE3309" t="s">
        <v>126</v>
      </c>
      <c r="AF3309" t="s">
        <v>1458</v>
      </c>
    </row>
    <row r="3310" spans="1:32" hidden="1" x14ac:dyDescent="0.35">
      <c r="A3310">
        <v>713</v>
      </c>
      <c r="B3310" t="s">
        <v>1451</v>
      </c>
      <c r="C3310" t="s">
        <v>72</v>
      </c>
      <c r="D3310" t="s">
        <v>45</v>
      </c>
      <c r="E3310">
        <v>1479</v>
      </c>
      <c r="F3310">
        <v>5</v>
      </c>
      <c r="G3310">
        <v>5</v>
      </c>
      <c r="H3310">
        <v>1</v>
      </c>
      <c r="I3310">
        <v>1</v>
      </c>
      <c r="J3310">
        <v>0.81221964423820603</v>
      </c>
      <c r="K3310">
        <v>0.96269418641896198</v>
      </c>
      <c r="L3310">
        <v>0.88107841191804803</v>
      </c>
      <c r="M3310">
        <v>0.62053571428571397</v>
      </c>
      <c r="N3310">
        <v>1</v>
      </c>
      <c r="O3310">
        <v>0.74464285714285705</v>
      </c>
      <c r="P3310" t="s">
        <v>1452</v>
      </c>
      <c r="Q3310" t="s">
        <v>1453</v>
      </c>
      <c r="R3310" t="s">
        <v>113</v>
      </c>
      <c r="S3310" t="s">
        <v>114</v>
      </c>
      <c r="T3310" t="s">
        <v>1454</v>
      </c>
      <c r="U3310" t="s">
        <v>1455</v>
      </c>
      <c r="V3310" t="s">
        <v>807</v>
      </c>
      <c r="W3310" t="s">
        <v>808</v>
      </c>
      <c r="X3310" t="s">
        <v>807</v>
      </c>
      <c r="Y3310" t="s">
        <v>119</v>
      </c>
      <c r="AD3310" t="s">
        <v>125</v>
      </c>
      <c r="AE3310" t="s">
        <v>126</v>
      </c>
      <c r="AF3310" t="s">
        <v>1459</v>
      </c>
    </row>
    <row r="3311" spans="1:32" hidden="1" x14ac:dyDescent="0.35">
      <c r="A3311">
        <v>1844</v>
      </c>
      <c r="B3311" t="s">
        <v>3822</v>
      </c>
      <c r="C3311" t="s">
        <v>72</v>
      </c>
      <c r="D3311" t="s">
        <v>58</v>
      </c>
      <c r="E3311">
        <v>881</v>
      </c>
      <c r="F3311">
        <v>5</v>
      </c>
      <c r="G3311">
        <v>5</v>
      </c>
      <c r="H3311">
        <v>1</v>
      </c>
      <c r="I3311">
        <v>1</v>
      </c>
      <c r="J3311">
        <v>0.87259786476868295</v>
      </c>
      <c r="K3311">
        <v>0.98271446862996203</v>
      </c>
      <c r="L3311">
        <v>0.92438834321007501</v>
      </c>
      <c r="M3311">
        <v>0.74825174825174801</v>
      </c>
      <c r="N3311">
        <v>1</v>
      </c>
      <c r="O3311">
        <v>0.83006993006993002</v>
      </c>
      <c r="P3311" t="s">
        <v>3823</v>
      </c>
      <c r="Q3311" t="s">
        <v>3824</v>
      </c>
      <c r="R3311" t="s">
        <v>1191</v>
      </c>
      <c r="S3311" t="s">
        <v>1192</v>
      </c>
      <c r="V3311" t="s">
        <v>3825</v>
      </c>
      <c r="W3311" t="s">
        <v>3826</v>
      </c>
      <c r="AF3311" t="s">
        <v>3827</v>
      </c>
    </row>
    <row r="3312" spans="1:32" hidden="1" x14ac:dyDescent="0.35">
      <c r="A3312">
        <v>725</v>
      </c>
      <c r="B3312" t="s">
        <v>1485</v>
      </c>
      <c r="C3312" t="s">
        <v>72</v>
      </c>
      <c r="D3312" t="s">
        <v>60</v>
      </c>
      <c r="E3312">
        <v>2301</v>
      </c>
      <c r="F3312">
        <v>5</v>
      </c>
      <c r="G3312">
        <v>5</v>
      </c>
      <c r="H3312">
        <v>1</v>
      </c>
      <c r="I3312">
        <v>1</v>
      </c>
      <c r="J3312">
        <v>0.81310082718533405</v>
      </c>
      <c r="K3312">
        <v>0.89648203592814302</v>
      </c>
      <c r="L3312">
        <v>0.85275806244623198</v>
      </c>
      <c r="M3312">
        <v>0.59523809523809501</v>
      </c>
      <c r="N3312">
        <v>1</v>
      </c>
      <c r="O3312">
        <v>0.71071428571428596</v>
      </c>
      <c r="P3312" t="s">
        <v>1486</v>
      </c>
      <c r="Q3312" t="s">
        <v>1487</v>
      </c>
      <c r="R3312" t="s">
        <v>113</v>
      </c>
      <c r="S3312" t="s">
        <v>114</v>
      </c>
      <c r="T3312" t="s">
        <v>1488</v>
      </c>
      <c r="U3312" t="s">
        <v>1489</v>
      </c>
      <c r="V3312" t="s">
        <v>1490</v>
      </c>
      <c r="W3312" t="s">
        <v>1491</v>
      </c>
      <c r="AD3312" t="s">
        <v>312</v>
      </c>
      <c r="AE3312" t="s">
        <v>1492</v>
      </c>
      <c r="AF3312" t="s">
        <v>1493</v>
      </c>
    </row>
    <row r="3313" spans="1:32" hidden="1" x14ac:dyDescent="0.35">
      <c r="A3313">
        <v>726</v>
      </c>
      <c r="B3313" t="s">
        <v>1485</v>
      </c>
      <c r="C3313" t="s">
        <v>72</v>
      </c>
      <c r="D3313" t="s">
        <v>62</v>
      </c>
      <c r="E3313">
        <v>2330</v>
      </c>
      <c r="F3313">
        <v>5</v>
      </c>
      <c r="G3313">
        <v>5</v>
      </c>
      <c r="H3313">
        <v>1</v>
      </c>
      <c r="I3313">
        <v>1</v>
      </c>
      <c r="J3313">
        <v>0.81310082718533405</v>
      </c>
      <c r="K3313">
        <v>0.89648203592814302</v>
      </c>
      <c r="L3313">
        <v>0.85275806244623198</v>
      </c>
      <c r="M3313">
        <v>0.59523809523809501</v>
      </c>
      <c r="N3313">
        <v>1</v>
      </c>
      <c r="O3313">
        <v>0.71071428571428596</v>
      </c>
      <c r="P3313" t="s">
        <v>1486</v>
      </c>
      <c r="Q3313" t="s">
        <v>1487</v>
      </c>
      <c r="R3313" t="s">
        <v>113</v>
      </c>
      <c r="S3313" t="s">
        <v>114</v>
      </c>
      <c r="T3313" t="s">
        <v>1488</v>
      </c>
      <c r="U3313" t="s">
        <v>1489</v>
      </c>
      <c r="V3313" t="s">
        <v>1490</v>
      </c>
      <c r="W3313" t="s">
        <v>1491</v>
      </c>
      <c r="AD3313" t="s">
        <v>312</v>
      </c>
      <c r="AE3313" t="s">
        <v>1492</v>
      </c>
      <c r="AF3313" t="s">
        <v>1493</v>
      </c>
    </row>
    <row r="3314" spans="1:32" hidden="1" x14ac:dyDescent="0.35">
      <c r="A3314">
        <v>727</v>
      </c>
      <c r="B3314" t="s">
        <v>1485</v>
      </c>
      <c r="C3314" t="s">
        <v>72</v>
      </c>
      <c r="D3314" t="s">
        <v>34</v>
      </c>
      <c r="E3314">
        <v>1490</v>
      </c>
      <c r="F3314">
        <v>5</v>
      </c>
      <c r="G3314">
        <v>5</v>
      </c>
      <c r="H3314">
        <v>1</v>
      </c>
      <c r="I3314">
        <v>1</v>
      </c>
      <c r="J3314">
        <v>0.81310082718533405</v>
      </c>
      <c r="K3314">
        <v>0.89648203592814302</v>
      </c>
      <c r="L3314">
        <v>0.85275806244623198</v>
      </c>
      <c r="M3314">
        <v>0.59523809523809501</v>
      </c>
      <c r="N3314">
        <v>1</v>
      </c>
      <c r="O3314">
        <v>0.71071428571428596</v>
      </c>
      <c r="P3314" t="s">
        <v>1494</v>
      </c>
      <c r="Q3314" t="s">
        <v>1487</v>
      </c>
      <c r="R3314" t="s">
        <v>113</v>
      </c>
      <c r="S3314" t="s">
        <v>114</v>
      </c>
      <c r="V3314" t="s">
        <v>1490</v>
      </c>
      <c r="W3314" t="s">
        <v>1491</v>
      </c>
      <c r="AF3314" t="e">
        <f>--------------------MADL-EIPTELLESPSFQLERLRRRTRDAVESQISAKHVSLREYWVLSCLMSTDATSQSALCEVLAYDASDMVRLVDALEKKGWVKRERDSKDRRRQIVRATKRGRRQQAELSKLVNQAEDSALYESTSKQLKHLRKLAHAIIAAEAD</f>
        <v>#NAME?</v>
      </c>
    </row>
    <row r="3315" spans="1:32" hidden="1" x14ac:dyDescent="0.35">
      <c r="A3315">
        <v>728</v>
      </c>
      <c r="B3315" t="s">
        <v>1485</v>
      </c>
      <c r="C3315" t="s">
        <v>72</v>
      </c>
      <c r="D3315" t="s">
        <v>45</v>
      </c>
      <c r="E3315">
        <v>240</v>
      </c>
      <c r="F3315">
        <v>5</v>
      </c>
      <c r="G3315">
        <v>5</v>
      </c>
      <c r="H3315">
        <v>1</v>
      </c>
      <c r="I3315">
        <v>1</v>
      </c>
      <c r="J3315">
        <v>0.81310082718533405</v>
      </c>
      <c r="K3315">
        <v>0.89648203592814302</v>
      </c>
      <c r="L3315">
        <v>0.85275806244623198</v>
      </c>
      <c r="M3315">
        <v>0.59523809523809501</v>
      </c>
      <c r="N3315">
        <v>1</v>
      </c>
      <c r="O3315">
        <v>0.71071428571428596</v>
      </c>
      <c r="P3315" t="s">
        <v>1494</v>
      </c>
      <c r="Q3315" t="s">
        <v>1487</v>
      </c>
      <c r="R3315" t="s">
        <v>113</v>
      </c>
      <c r="S3315" t="s">
        <v>114</v>
      </c>
      <c r="V3315" t="s">
        <v>1490</v>
      </c>
      <c r="W3315" t="s">
        <v>1491</v>
      </c>
      <c r="AF3315" t="e">
        <f>--------------------MADL-EIPTELLESPSFQLERLRRRTRDAVESQISAKHVSLREYWVLSCLMSTDATSQSALCEVLAYDASDMVRLVDALEKKGWVKRERDSKDRRRQIVRATKRGRRQQAELSKLVNQAEDSALYESTSKQLKHLRKLAHAIIAAEAD</f>
        <v>#NAME?</v>
      </c>
    </row>
    <row r="3316" spans="1:32" hidden="1" x14ac:dyDescent="0.35">
      <c r="A3316">
        <v>3189</v>
      </c>
      <c r="B3316" t="s">
        <v>6554</v>
      </c>
      <c r="C3316" t="s">
        <v>72</v>
      </c>
      <c r="D3316" t="s">
        <v>58</v>
      </c>
      <c r="E3316">
        <v>32</v>
      </c>
      <c r="F3316">
        <v>5</v>
      </c>
      <c r="G3316">
        <v>5</v>
      </c>
      <c r="H3316">
        <v>1</v>
      </c>
      <c r="I3316">
        <v>1</v>
      </c>
      <c r="J3316">
        <v>0.76785273041759305</v>
      </c>
      <c r="K3316">
        <v>0.86157320872274201</v>
      </c>
      <c r="L3316">
        <v>0.812017686574249</v>
      </c>
      <c r="M3316">
        <v>0.467289719626168</v>
      </c>
      <c r="N3316">
        <v>1</v>
      </c>
      <c r="O3316">
        <v>0.61526479750778795</v>
      </c>
      <c r="P3316" t="s">
        <v>6555</v>
      </c>
      <c r="Q3316" t="s">
        <v>6556</v>
      </c>
      <c r="R3316" t="s">
        <v>1191</v>
      </c>
      <c r="S3316" t="s">
        <v>1192</v>
      </c>
      <c r="V3316" t="s">
        <v>3825</v>
      </c>
      <c r="W3316" t="s">
        <v>3826</v>
      </c>
      <c r="AF3316" t="s">
        <v>6557</v>
      </c>
    </row>
    <row r="3317" spans="1:32" hidden="1" x14ac:dyDescent="0.35">
      <c r="A3317">
        <v>765</v>
      </c>
      <c r="B3317" t="s">
        <v>1559</v>
      </c>
      <c r="C3317" t="s">
        <v>72</v>
      </c>
      <c r="D3317" t="s">
        <v>60</v>
      </c>
      <c r="E3317">
        <v>365</v>
      </c>
      <c r="F3317">
        <v>5</v>
      </c>
      <c r="G3317">
        <v>5</v>
      </c>
      <c r="H3317">
        <v>1</v>
      </c>
      <c r="I3317">
        <v>1</v>
      </c>
      <c r="J3317">
        <v>0.94471520331908698</v>
      </c>
      <c r="K3317">
        <v>0.98231398204693798</v>
      </c>
      <c r="L3317">
        <v>0.96314779279939899</v>
      </c>
      <c r="M3317">
        <v>0.87334315169366705</v>
      </c>
      <c r="N3317">
        <v>1</v>
      </c>
      <c r="O3317">
        <v>0.91148748159057402</v>
      </c>
      <c r="P3317" t="s">
        <v>1560</v>
      </c>
      <c r="Q3317" t="s">
        <v>1561</v>
      </c>
      <c r="R3317" t="s">
        <v>113</v>
      </c>
      <c r="S3317" t="s">
        <v>114</v>
      </c>
      <c r="T3317" t="s">
        <v>1562</v>
      </c>
      <c r="U3317" t="s">
        <v>1563</v>
      </c>
      <c r="V3317" t="s">
        <v>1564</v>
      </c>
      <c r="W3317" t="s">
        <v>1565</v>
      </c>
      <c r="X3317" t="s">
        <v>1564</v>
      </c>
      <c r="Y3317" t="s">
        <v>119</v>
      </c>
      <c r="AD3317" t="s">
        <v>1566</v>
      </c>
      <c r="AE3317" t="s">
        <v>1567</v>
      </c>
      <c r="AF3317" t="s">
        <v>1569</v>
      </c>
    </row>
    <row r="3318" spans="1:32" hidden="1" x14ac:dyDescent="0.35">
      <c r="A3318">
        <v>766</v>
      </c>
      <c r="B3318" t="s">
        <v>1559</v>
      </c>
      <c r="C3318" t="s">
        <v>72</v>
      </c>
      <c r="D3318" t="s">
        <v>62</v>
      </c>
      <c r="E3318">
        <v>445</v>
      </c>
      <c r="F3318">
        <v>5</v>
      </c>
      <c r="G3318">
        <v>5</v>
      </c>
      <c r="H3318">
        <v>1</v>
      </c>
      <c r="I3318">
        <v>1</v>
      </c>
      <c r="J3318">
        <v>0.94471520331908698</v>
      </c>
      <c r="K3318">
        <v>0.98231398204693798</v>
      </c>
      <c r="L3318">
        <v>0.96314779279939899</v>
      </c>
      <c r="M3318">
        <v>0.87334315169366705</v>
      </c>
      <c r="N3318">
        <v>1</v>
      </c>
      <c r="O3318">
        <v>0.91148748159057402</v>
      </c>
      <c r="P3318" t="s">
        <v>1560</v>
      </c>
      <c r="Q3318" t="s">
        <v>1561</v>
      </c>
      <c r="R3318" t="s">
        <v>113</v>
      </c>
      <c r="S3318" t="s">
        <v>114</v>
      </c>
      <c r="T3318" t="s">
        <v>1562</v>
      </c>
      <c r="U3318" t="s">
        <v>1563</v>
      </c>
      <c r="V3318" t="s">
        <v>1564</v>
      </c>
      <c r="W3318" t="s">
        <v>1565</v>
      </c>
      <c r="X3318" t="s">
        <v>1564</v>
      </c>
      <c r="Y3318" t="s">
        <v>119</v>
      </c>
      <c r="AD3318" t="s">
        <v>1566</v>
      </c>
      <c r="AE3318" t="s">
        <v>1567</v>
      </c>
      <c r="AF3318" t="s">
        <v>1569</v>
      </c>
    </row>
    <row r="3319" spans="1:32" hidden="1" x14ac:dyDescent="0.35">
      <c r="A3319">
        <v>767</v>
      </c>
      <c r="B3319" t="s">
        <v>1559</v>
      </c>
      <c r="C3319" t="s">
        <v>72</v>
      </c>
      <c r="D3319" t="s">
        <v>34</v>
      </c>
      <c r="E3319">
        <v>804</v>
      </c>
      <c r="F3319">
        <v>5</v>
      </c>
      <c r="G3319">
        <v>5</v>
      </c>
      <c r="H3319">
        <v>1</v>
      </c>
      <c r="I3319">
        <v>1</v>
      </c>
      <c r="J3319">
        <v>0.94471520331908698</v>
      </c>
      <c r="K3319">
        <v>0.98231398204693798</v>
      </c>
      <c r="L3319">
        <v>0.96314779279939899</v>
      </c>
      <c r="M3319">
        <v>0.87334315169366705</v>
      </c>
      <c r="N3319">
        <v>1</v>
      </c>
      <c r="O3319">
        <v>0.91148748159057402</v>
      </c>
      <c r="P3319" t="s">
        <v>1560</v>
      </c>
      <c r="Q3319" t="s">
        <v>1561</v>
      </c>
      <c r="R3319" t="s">
        <v>113</v>
      </c>
      <c r="S3319" t="s">
        <v>114</v>
      </c>
      <c r="T3319" t="s">
        <v>1562</v>
      </c>
      <c r="U3319" t="s">
        <v>1563</v>
      </c>
      <c r="V3319" t="s">
        <v>1564</v>
      </c>
      <c r="W3319" t="s">
        <v>1565</v>
      </c>
      <c r="X3319" t="s">
        <v>1564</v>
      </c>
      <c r="Y3319" t="s">
        <v>119</v>
      </c>
      <c r="AD3319" t="s">
        <v>1566</v>
      </c>
      <c r="AE3319" t="s">
        <v>1567</v>
      </c>
      <c r="AF3319" t="s">
        <v>1570</v>
      </c>
    </row>
    <row r="3320" spans="1:32" hidden="1" x14ac:dyDescent="0.35">
      <c r="A3320">
        <v>768</v>
      </c>
      <c r="B3320" t="s">
        <v>1559</v>
      </c>
      <c r="C3320" t="s">
        <v>72</v>
      </c>
      <c r="D3320" t="s">
        <v>45</v>
      </c>
      <c r="E3320">
        <v>2060</v>
      </c>
      <c r="F3320">
        <v>5</v>
      </c>
      <c r="G3320">
        <v>5</v>
      </c>
      <c r="H3320">
        <v>1</v>
      </c>
      <c r="I3320">
        <v>1</v>
      </c>
      <c r="J3320">
        <v>0.94471520331908698</v>
      </c>
      <c r="K3320">
        <v>0.98231398204693798</v>
      </c>
      <c r="L3320">
        <v>0.96314779279939899</v>
      </c>
      <c r="M3320">
        <v>0.87334315169366705</v>
      </c>
      <c r="N3320">
        <v>1</v>
      </c>
      <c r="O3320">
        <v>0.91148748159057402</v>
      </c>
      <c r="P3320" t="s">
        <v>1560</v>
      </c>
      <c r="Q3320" t="s">
        <v>1561</v>
      </c>
      <c r="R3320" t="s">
        <v>113</v>
      </c>
      <c r="S3320" t="s">
        <v>114</v>
      </c>
      <c r="T3320" t="s">
        <v>1562</v>
      </c>
      <c r="U3320" t="s">
        <v>1563</v>
      </c>
      <c r="V3320" t="s">
        <v>1564</v>
      </c>
      <c r="W3320" t="s">
        <v>1565</v>
      </c>
      <c r="X3320" t="s">
        <v>1564</v>
      </c>
      <c r="Y3320" t="s">
        <v>119</v>
      </c>
      <c r="AD3320" t="s">
        <v>1566</v>
      </c>
      <c r="AE3320" t="s">
        <v>1567</v>
      </c>
      <c r="AF3320" t="s">
        <v>1570</v>
      </c>
    </row>
    <row r="3321" spans="1:32" hidden="1" x14ac:dyDescent="0.35">
      <c r="A3321">
        <v>11847</v>
      </c>
      <c r="B3321" t="s">
        <v>24371</v>
      </c>
      <c r="C3321" t="s">
        <v>33</v>
      </c>
      <c r="D3321" t="s">
        <v>58</v>
      </c>
      <c r="E3321">
        <v>31</v>
      </c>
      <c r="F3321">
        <v>1</v>
      </c>
      <c r="G3321">
        <v>1</v>
      </c>
      <c r="H3321">
        <v>1</v>
      </c>
      <c r="I3321">
        <v>0</v>
      </c>
      <c r="J3321">
        <v>1</v>
      </c>
      <c r="K3321">
        <v>1</v>
      </c>
      <c r="L3321">
        <v>1</v>
      </c>
      <c r="M3321">
        <v>0</v>
      </c>
      <c r="N3321">
        <v>0</v>
      </c>
      <c r="O3321">
        <v>0</v>
      </c>
      <c r="P3321" t="s">
        <v>3823</v>
      </c>
      <c r="Q3321" t="s">
        <v>3824</v>
      </c>
      <c r="R3321" t="s">
        <v>1191</v>
      </c>
      <c r="S3321" t="s">
        <v>1192</v>
      </c>
      <c r="V3321" t="s">
        <v>3825</v>
      </c>
      <c r="W3321" t="s">
        <v>3826</v>
      </c>
      <c r="AF3321" t="s">
        <v>24372</v>
      </c>
    </row>
    <row r="3322" spans="1:32" hidden="1" x14ac:dyDescent="0.35">
      <c r="A3322">
        <v>805</v>
      </c>
      <c r="B3322" t="s">
        <v>1649</v>
      </c>
      <c r="C3322" t="s">
        <v>72</v>
      </c>
      <c r="D3322" t="s">
        <v>60</v>
      </c>
      <c r="E3322">
        <v>1459</v>
      </c>
      <c r="F3322">
        <v>5</v>
      </c>
      <c r="G3322">
        <v>5</v>
      </c>
      <c r="H3322">
        <v>1</v>
      </c>
      <c r="I3322">
        <v>1</v>
      </c>
      <c r="J3322">
        <v>0.81662230109435097</v>
      </c>
      <c r="K3322">
        <v>0.98864286266326495</v>
      </c>
      <c r="L3322">
        <v>0.89443681258226504</v>
      </c>
      <c r="M3322">
        <v>0.679824561403509</v>
      </c>
      <c r="N3322">
        <v>1</v>
      </c>
      <c r="O3322">
        <v>0.75263157894736799</v>
      </c>
      <c r="P3322" t="s">
        <v>1650</v>
      </c>
      <c r="Q3322" t="s">
        <v>1651</v>
      </c>
      <c r="R3322" t="s">
        <v>113</v>
      </c>
      <c r="S3322" t="s">
        <v>114</v>
      </c>
      <c r="T3322" t="s">
        <v>1652</v>
      </c>
      <c r="U3322" t="s">
        <v>1653</v>
      </c>
      <c r="V3322" t="s">
        <v>1654</v>
      </c>
      <c r="W3322" t="s">
        <v>1655</v>
      </c>
      <c r="AD3322" t="s">
        <v>312</v>
      </c>
      <c r="AE3322" t="s">
        <v>1656</v>
      </c>
      <c r="AF3322" t="s">
        <v>1658</v>
      </c>
    </row>
    <row r="3323" spans="1:32" hidden="1" x14ac:dyDescent="0.35">
      <c r="A3323">
        <v>806</v>
      </c>
      <c r="B3323" t="s">
        <v>1649</v>
      </c>
      <c r="C3323" t="s">
        <v>72</v>
      </c>
      <c r="D3323" t="s">
        <v>62</v>
      </c>
      <c r="E3323">
        <v>1494</v>
      </c>
      <c r="F3323">
        <v>5</v>
      </c>
      <c r="G3323">
        <v>5</v>
      </c>
      <c r="H3323">
        <v>1</v>
      </c>
      <c r="I3323">
        <v>1</v>
      </c>
      <c r="J3323">
        <v>0.81662230109435097</v>
      </c>
      <c r="K3323">
        <v>0.98864286266326495</v>
      </c>
      <c r="L3323">
        <v>0.89443681258226504</v>
      </c>
      <c r="M3323">
        <v>0.679824561403509</v>
      </c>
      <c r="N3323">
        <v>1</v>
      </c>
      <c r="O3323">
        <v>0.75263157894736799</v>
      </c>
      <c r="P3323" t="s">
        <v>1650</v>
      </c>
      <c r="Q3323" t="s">
        <v>1651</v>
      </c>
      <c r="R3323" t="s">
        <v>113</v>
      </c>
      <c r="S3323" t="s">
        <v>114</v>
      </c>
      <c r="T3323" t="s">
        <v>1652</v>
      </c>
      <c r="U3323" t="s">
        <v>1653</v>
      </c>
      <c r="V3323" t="s">
        <v>1654</v>
      </c>
      <c r="W3323" t="s">
        <v>1655</v>
      </c>
      <c r="AD3323" t="s">
        <v>312</v>
      </c>
      <c r="AE3323" t="s">
        <v>1656</v>
      </c>
      <c r="AF3323" t="s">
        <v>1658</v>
      </c>
    </row>
    <row r="3324" spans="1:32" hidden="1" x14ac:dyDescent="0.35">
      <c r="A3324">
        <v>807</v>
      </c>
      <c r="B3324" t="s">
        <v>1649</v>
      </c>
      <c r="C3324" t="s">
        <v>72</v>
      </c>
      <c r="D3324" t="s">
        <v>34</v>
      </c>
      <c r="E3324">
        <v>1894</v>
      </c>
      <c r="F3324">
        <v>5</v>
      </c>
      <c r="G3324">
        <v>5</v>
      </c>
      <c r="H3324">
        <v>1</v>
      </c>
      <c r="I3324">
        <v>1</v>
      </c>
      <c r="J3324">
        <v>0.81662230109435097</v>
      </c>
      <c r="K3324">
        <v>0.98864286266326495</v>
      </c>
      <c r="L3324">
        <v>0.89443681258226504</v>
      </c>
      <c r="M3324">
        <v>0.679824561403509</v>
      </c>
      <c r="N3324">
        <v>1</v>
      </c>
      <c r="O3324">
        <v>0.75263157894736799</v>
      </c>
      <c r="P3324" t="s">
        <v>1650</v>
      </c>
      <c r="Q3324" t="s">
        <v>1651</v>
      </c>
      <c r="R3324" t="s">
        <v>113</v>
      </c>
      <c r="S3324" t="s">
        <v>114</v>
      </c>
      <c r="T3324" t="s">
        <v>1652</v>
      </c>
      <c r="U3324" t="s">
        <v>1653</v>
      </c>
      <c r="V3324" t="s">
        <v>1654</v>
      </c>
      <c r="W3324" t="s">
        <v>1655</v>
      </c>
      <c r="AD3324" t="s">
        <v>312</v>
      </c>
      <c r="AE3324" t="s">
        <v>1656</v>
      </c>
      <c r="AF3324" t="s">
        <v>1659</v>
      </c>
    </row>
    <row r="3325" spans="1:32" hidden="1" x14ac:dyDescent="0.35">
      <c r="A3325">
        <v>808</v>
      </c>
      <c r="B3325" t="s">
        <v>1649</v>
      </c>
      <c r="C3325" t="s">
        <v>72</v>
      </c>
      <c r="D3325" t="s">
        <v>45</v>
      </c>
      <c r="E3325">
        <v>979</v>
      </c>
      <c r="F3325">
        <v>5</v>
      </c>
      <c r="G3325">
        <v>5</v>
      </c>
      <c r="H3325">
        <v>1</v>
      </c>
      <c r="I3325">
        <v>1</v>
      </c>
      <c r="J3325">
        <v>0.81662230109435097</v>
      </c>
      <c r="K3325">
        <v>0.98864286266326495</v>
      </c>
      <c r="L3325">
        <v>0.89443681258226504</v>
      </c>
      <c r="M3325">
        <v>0.679824561403509</v>
      </c>
      <c r="N3325">
        <v>1</v>
      </c>
      <c r="O3325">
        <v>0.75263157894736799</v>
      </c>
      <c r="P3325" t="s">
        <v>1650</v>
      </c>
      <c r="Q3325" t="s">
        <v>1651</v>
      </c>
      <c r="R3325" t="s">
        <v>113</v>
      </c>
      <c r="S3325" t="s">
        <v>114</v>
      </c>
      <c r="T3325" t="s">
        <v>1652</v>
      </c>
      <c r="U3325" t="s">
        <v>1653</v>
      </c>
      <c r="V3325" t="s">
        <v>1654</v>
      </c>
      <c r="W3325" t="s">
        <v>1655</v>
      </c>
      <c r="AD3325" t="s">
        <v>312</v>
      </c>
      <c r="AE3325" t="s">
        <v>1656</v>
      </c>
      <c r="AF3325" t="s">
        <v>1659</v>
      </c>
    </row>
    <row r="3326" spans="1:32" hidden="1" x14ac:dyDescent="0.35">
      <c r="A3326">
        <v>4064</v>
      </c>
      <c r="B3326" t="s">
        <v>8396</v>
      </c>
      <c r="C3326" t="s">
        <v>72</v>
      </c>
      <c r="D3326" t="s">
        <v>58</v>
      </c>
      <c r="E3326">
        <v>1855</v>
      </c>
      <c r="F3326">
        <v>5</v>
      </c>
      <c r="G3326">
        <v>5</v>
      </c>
      <c r="H3326">
        <v>1</v>
      </c>
      <c r="I3326">
        <v>1</v>
      </c>
      <c r="J3326">
        <v>0.75212075848303395</v>
      </c>
      <c r="K3326">
        <v>0.94867873097599797</v>
      </c>
      <c r="L3326">
        <v>0.83904184017051597</v>
      </c>
      <c r="M3326">
        <v>0.55673758865248202</v>
      </c>
      <c r="N3326">
        <v>0.99290780141844004</v>
      </c>
      <c r="O3326">
        <v>0.67836879432624098</v>
      </c>
      <c r="P3326" t="s">
        <v>8397</v>
      </c>
      <c r="Q3326" t="s">
        <v>8398</v>
      </c>
      <c r="R3326" t="s">
        <v>371</v>
      </c>
      <c r="S3326" t="s">
        <v>372</v>
      </c>
      <c r="T3326" t="s">
        <v>8399</v>
      </c>
      <c r="U3326" t="s">
        <v>8400</v>
      </c>
      <c r="V3326" t="s">
        <v>8401</v>
      </c>
      <c r="W3326" t="s">
        <v>8402</v>
      </c>
      <c r="AD3326" t="s">
        <v>1437</v>
      </c>
      <c r="AE3326" t="s">
        <v>8403</v>
      </c>
      <c r="AF3326" t="s">
        <v>8404</v>
      </c>
    </row>
    <row r="3327" spans="1:32" hidden="1" x14ac:dyDescent="0.35">
      <c r="A3327">
        <v>820</v>
      </c>
      <c r="B3327" t="s">
        <v>1689</v>
      </c>
      <c r="C3327" t="s">
        <v>72</v>
      </c>
      <c r="D3327" t="s">
        <v>60</v>
      </c>
      <c r="E3327">
        <v>1165</v>
      </c>
      <c r="F3327">
        <v>5</v>
      </c>
      <c r="G3327">
        <v>5</v>
      </c>
      <c r="H3327">
        <v>1</v>
      </c>
      <c r="I3327">
        <v>1</v>
      </c>
      <c r="J3327">
        <v>0.73184357541899403</v>
      </c>
      <c r="K3327">
        <v>0.94892794987817697</v>
      </c>
      <c r="L3327">
        <v>0.82636671695288899</v>
      </c>
      <c r="M3327">
        <v>0.48823529411764699</v>
      </c>
      <c r="N3327">
        <v>1</v>
      </c>
      <c r="O3327">
        <v>0.63882352941176501</v>
      </c>
      <c r="P3327" t="s">
        <v>1690</v>
      </c>
      <c r="Q3327" t="s">
        <v>1691</v>
      </c>
      <c r="R3327" t="s">
        <v>113</v>
      </c>
      <c r="S3327" t="s">
        <v>114</v>
      </c>
      <c r="T3327" t="s">
        <v>1692</v>
      </c>
      <c r="U3327" t="s">
        <v>1693</v>
      </c>
      <c r="V3327" t="s">
        <v>1694</v>
      </c>
      <c r="W3327" t="s">
        <v>1695</v>
      </c>
      <c r="AD3327" t="s">
        <v>312</v>
      </c>
      <c r="AE3327" t="s">
        <v>805</v>
      </c>
      <c r="AF3327" t="s">
        <v>1696</v>
      </c>
    </row>
    <row r="3328" spans="1:32" hidden="1" x14ac:dyDescent="0.35">
      <c r="A3328">
        <v>821</v>
      </c>
      <c r="B3328" t="s">
        <v>1689</v>
      </c>
      <c r="C3328" t="s">
        <v>72</v>
      </c>
      <c r="D3328" t="s">
        <v>62</v>
      </c>
      <c r="E3328">
        <v>1202</v>
      </c>
      <c r="F3328">
        <v>5</v>
      </c>
      <c r="G3328">
        <v>5</v>
      </c>
      <c r="H3328">
        <v>1</v>
      </c>
      <c r="I3328">
        <v>1</v>
      </c>
      <c r="J3328">
        <v>0.73184357541899403</v>
      </c>
      <c r="K3328">
        <v>0.94892794987817697</v>
      </c>
      <c r="L3328">
        <v>0.82636671695288899</v>
      </c>
      <c r="M3328">
        <v>0.48823529411764699</v>
      </c>
      <c r="N3328">
        <v>1</v>
      </c>
      <c r="O3328">
        <v>0.63882352941176501</v>
      </c>
      <c r="P3328" t="s">
        <v>1690</v>
      </c>
      <c r="Q3328" t="s">
        <v>1691</v>
      </c>
      <c r="R3328" t="s">
        <v>113</v>
      </c>
      <c r="S3328" t="s">
        <v>114</v>
      </c>
      <c r="T3328" t="s">
        <v>1692</v>
      </c>
      <c r="U3328" t="s">
        <v>1693</v>
      </c>
      <c r="V3328" t="s">
        <v>1694</v>
      </c>
      <c r="W3328" t="s">
        <v>1695</v>
      </c>
      <c r="AD3328" t="s">
        <v>312</v>
      </c>
      <c r="AE3328" t="s">
        <v>805</v>
      </c>
      <c r="AF3328" t="s">
        <v>1696</v>
      </c>
    </row>
    <row r="3329" spans="1:32" hidden="1" x14ac:dyDescent="0.35">
      <c r="A3329">
        <v>822</v>
      </c>
      <c r="B3329" t="s">
        <v>1689</v>
      </c>
      <c r="C3329" t="s">
        <v>72</v>
      </c>
      <c r="D3329" t="s">
        <v>34</v>
      </c>
      <c r="E3329">
        <v>2510</v>
      </c>
      <c r="F3329">
        <v>5</v>
      </c>
      <c r="G3329">
        <v>5</v>
      </c>
      <c r="H3329">
        <v>1</v>
      </c>
      <c r="I3329">
        <v>1</v>
      </c>
      <c r="J3329">
        <v>0.73184357541899403</v>
      </c>
      <c r="K3329">
        <v>0.94892794987817697</v>
      </c>
      <c r="L3329">
        <v>0.82636671695288899</v>
      </c>
      <c r="M3329">
        <v>0.48823529411764699</v>
      </c>
      <c r="N3329">
        <v>1</v>
      </c>
      <c r="O3329">
        <v>0.63882352941176501</v>
      </c>
      <c r="P3329" t="s">
        <v>1690</v>
      </c>
      <c r="Q3329" t="s">
        <v>1691</v>
      </c>
      <c r="R3329" t="s">
        <v>113</v>
      </c>
      <c r="S3329" t="s">
        <v>114</v>
      </c>
      <c r="T3329" t="s">
        <v>1692</v>
      </c>
      <c r="U3329" t="s">
        <v>1693</v>
      </c>
      <c r="V3329" t="s">
        <v>1694</v>
      </c>
      <c r="W3329" t="s">
        <v>1695</v>
      </c>
      <c r="AD3329" t="s">
        <v>312</v>
      </c>
      <c r="AE3329" t="s">
        <v>805</v>
      </c>
      <c r="AF3329" t="e">
        <f>---MSPVSPGPITRTVRQALILELLEQNLVSSQMQLSELLKNKGVEITQGTLSRDLDELGAKKIRPDSGR-AFYAVGNTEETLAPTTVGTREKLRKMLDDLLVSSDHSGNIAVLRTPPGAAAFLASFIDRVSMDEVVGTIAGDDTVFVLARDPLTGKELVDLL----NVR</f>
        <v>#NAME?</v>
      </c>
    </row>
    <row r="3330" spans="1:32" hidden="1" x14ac:dyDescent="0.35">
      <c r="A3330">
        <v>823</v>
      </c>
      <c r="B3330" t="s">
        <v>1689</v>
      </c>
      <c r="C3330" t="s">
        <v>72</v>
      </c>
      <c r="D3330" t="s">
        <v>45</v>
      </c>
      <c r="E3330">
        <v>1236</v>
      </c>
      <c r="F3330">
        <v>5</v>
      </c>
      <c r="G3330">
        <v>5</v>
      </c>
      <c r="H3330">
        <v>1</v>
      </c>
      <c r="I3330">
        <v>1</v>
      </c>
      <c r="J3330">
        <v>0.73184357541899403</v>
      </c>
      <c r="K3330">
        <v>0.94892794987817697</v>
      </c>
      <c r="L3330">
        <v>0.82636671695288899</v>
      </c>
      <c r="M3330">
        <v>0.48823529411764699</v>
      </c>
      <c r="N3330">
        <v>1</v>
      </c>
      <c r="O3330">
        <v>0.63882352941176501</v>
      </c>
      <c r="P3330" t="s">
        <v>1690</v>
      </c>
      <c r="Q3330" t="s">
        <v>1691</v>
      </c>
      <c r="R3330" t="s">
        <v>113</v>
      </c>
      <c r="S3330" t="s">
        <v>114</v>
      </c>
      <c r="T3330" t="s">
        <v>1692</v>
      </c>
      <c r="U3330" t="s">
        <v>1693</v>
      </c>
      <c r="V3330" t="s">
        <v>1694</v>
      </c>
      <c r="W3330" t="s">
        <v>1695</v>
      </c>
      <c r="AD3330" t="s">
        <v>312</v>
      </c>
      <c r="AE3330" t="s">
        <v>805</v>
      </c>
      <c r="AF3330" t="e">
        <f>---MSPVSPGPITRTVRQALILELLEQNLVSSQMQLSELLKNKGVEITQGTLSRDLDELGAKKIRPDSGR-AFYAVGNTEETLAPTTVGTREKLRKMLDDLLVSSDHSGNIAVLRTPPGAAAFLASFIDRVSMDEVVGTIAGDDTVFVLARDPLTGKELVDLL----NVR</f>
        <v>#NAME?</v>
      </c>
    </row>
    <row r="3331" spans="1:32" hidden="1" x14ac:dyDescent="0.35">
      <c r="A3331">
        <v>4439</v>
      </c>
      <c r="B3331" t="s">
        <v>9251</v>
      </c>
      <c r="C3331" t="s">
        <v>72</v>
      </c>
      <c r="D3331" t="s">
        <v>58</v>
      </c>
      <c r="E3331">
        <v>531</v>
      </c>
      <c r="F3331">
        <v>5</v>
      </c>
      <c r="G3331">
        <v>5</v>
      </c>
      <c r="H3331">
        <v>1</v>
      </c>
      <c r="I3331">
        <v>1</v>
      </c>
      <c r="J3331">
        <v>0.76704754883892401</v>
      </c>
      <c r="K3331">
        <v>0.95335310106251703</v>
      </c>
      <c r="L3331">
        <v>0.85011262857856196</v>
      </c>
      <c r="M3331">
        <v>0.56491228070175403</v>
      </c>
      <c r="N3331">
        <v>0.99649122807017498</v>
      </c>
      <c r="O3331">
        <v>0.67719298245614001</v>
      </c>
      <c r="P3331" t="s">
        <v>8397</v>
      </c>
      <c r="Q3331" t="s">
        <v>8398</v>
      </c>
      <c r="R3331" t="s">
        <v>371</v>
      </c>
      <c r="S3331" t="s">
        <v>372</v>
      </c>
      <c r="T3331" t="s">
        <v>8399</v>
      </c>
      <c r="U3331" t="s">
        <v>8400</v>
      </c>
      <c r="V3331" t="s">
        <v>8401</v>
      </c>
      <c r="W3331" t="s">
        <v>8402</v>
      </c>
      <c r="AD3331" t="s">
        <v>1437</v>
      </c>
      <c r="AE3331" t="s">
        <v>8403</v>
      </c>
      <c r="AF3331" t="s">
        <v>9252</v>
      </c>
    </row>
    <row r="3332" spans="1:32" hidden="1" x14ac:dyDescent="0.35">
      <c r="A3332">
        <v>880</v>
      </c>
      <c r="B3332" t="s">
        <v>1833</v>
      </c>
      <c r="C3332" t="s">
        <v>72</v>
      </c>
      <c r="D3332" t="s">
        <v>60</v>
      </c>
      <c r="E3332">
        <v>148</v>
      </c>
      <c r="F3332">
        <v>5</v>
      </c>
      <c r="G3332">
        <v>5</v>
      </c>
      <c r="H3332">
        <v>1</v>
      </c>
      <c r="I3332">
        <v>1</v>
      </c>
      <c r="J3332">
        <v>0.74657305249080597</v>
      </c>
      <c r="K3332">
        <v>0.91106755629691405</v>
      </c>
      <c r="L3332">
        <v>0.82065857089174499</v>
      </c>
      <c r="M3332">
        <v>0.527272727272727</v>
      </c>
      <c r="N3332">
        <v>1</v>
      </c>
      <c r="O3332">
        <v>0.65454545454545499</v>
      </c>
      <c r="P3332" t="s">
        <v>1834</v>
      </c>
      <c r="Q3332" t="s">
        <v>1835</v>
      </c>
      <c r="R3332" t="s">
        <v>113</v>
      </c>
      <c r="S3332" t="s">
        <v>114</v>
      </c>
      <c r="T3332" t="s">
        <v>1836</v>
      </c>
      <c r="U3332" t="s">
        <v>1837</v>
      </c>
      <c r="V3332" t="s">
        <v>1838</v>
      </c>
      <c r="W3332" t="s">
        <v>1839</v>
      </c>
      <c r="AD3332" t="s">
        <v>410</v>
      </c>
      <c r="AE3332" t="s">
        <v>1840</v>
      </c>
      <c r="AF3332" t="s">
        <v>1842</v>
      </c>
    </row>
    <row r="3333" spans="1:32" hidden="1" x14ac:dyDescent="0.35">
      <c r="A3333">
        <v>881</v>
      </c>
      <c r="B3333" t="s">
        <v>1833</v>
      </c>
      <c r="C3333" t="s">
        <v>72</v>
      </c>
      <c r="D3333" t="s">
        <v>62</v>
      </c>
      <c r="E3333">
        <v>224</v>
      </c>
      <c r="F3333">
        <v>5</v>
      </c>
      <c r="G3333">
        <v>5</v>
      </c>
      <c r="H3333">
        <v>1</v>
      </c>
      <c r="I3333">
        <v>1</v>
      </c>
      <c r="J3333">
        <v>0.74657305249080597</v>
      </c>
      <c r="K3333">
        <v>0.91106755629691405</v>
      </c>
      <c r="L3333">
        <v>0.82065857089174499</v>
      </c>
      <c r="M3333">
        <v>0.527272727272727</v>
      </c>
      <c r="N3333">
        <v>1</v>
      </c>
      <c r="O3333">
        <v>0.65454545454545499</v>
      </c>
      <c r="P3333" t="s">
        <v>1834</v>
      </c>
      <c r="Q3333" t="s">
        <v>1835</v>
      </c>
      <c r="R3333" t="s">
        <v>113</v>
      </c>
      <c r="S3333" t="s">
        <v>114</v>
      </c>
      <c r="T3333" t="s">
        <v>1836</v>
      </c>
      <c r="U3333" t="s">
        <v>1837</v>
      </c>
      <c r="V3333" t="s">
        <v>1838</v>
      </c>
      <c r="W3333" t="s">
        <v>1839</v>
      </c>
      <c r="AD3333" t="s">
        <v>410</v>
      </c>
      <c r="AE3333" t="s">
        <v>1840</v>
      </c>
      <c r="AF3333" t="s">
        <v>1842</v>
      </c>
    </row>
    <row r="3334" spans="1:32" hidden="1" x14ac:dyDescent="0.35">
      <c r="A3334">
        <v>882</v>
      </c>
      <c r="B3334" t="s">
        <v>1833</v>
      </c>
      <c r="C3334" t="s">
        <v>72</v>
      </c>
      <c r="D3334" t="s">
        <v>34</v>
      </c>
      <c r="E3334">
        <v>921</v>
      </c>
      <c r="F3334">
        <v>5</v>
      </c>
      <c r="G3334">
        <v>5</v>
      </c>
      <c r="H3334">
        <v>1</v>
      </c>
      <c r="I3334">
        <v>1</v>
      </c>
      <c r="J3334">
        <v>0.74657305249080597</v>
      </c>
      <c r="K3334">
        <v>0.91106755629691405</v>
      </c>
      <c r="L3334">
        <v>0.82065857089174499</v>
      </c>
      <c r="M3334">
        <v>0.527272727272727</v>
      </c>
      <c r="N3334">
        <v>1</v>
      </c>
      <c r="O3334">
        <v>0.65454545454545499</v>
      </c>
      <c r="P3334" t="s">
        <v>1834</v>
      </c>
      <c r="Q3334" t="s">
        <v>1835</v>
      </c>
      <c r="R3334" t="s">
        <v>113</v>
      </c>
      <c r="S3334" t="s">
        <v>114</v>
      </c>
      <c r="T3334" t="s">
        <v>1836</v>
      </c>
      <c r="U3334" t="s">
        <v>1837</v>
      </c>
      <c r="V3334" t="s">
        <v>1838</v>
      </c>
      <c r="W3334" t="s">
        <v>1839</v>
      </c>
      <c r="AD3334" t="s">
        <v>410</v>
      </c>
      <c r="AE3334" t="s">
        <v>1840</v>
      </c>
      <c r="AF3334" t="e">
        <f>------MSDILAQAQEMQAKLQAAQEEIMSSIVIGQAGNGLVSVSMQGSGTVTSVNIDPKVIDPEDPDTLQDLLVGAYNDAHGQLAKIAQDKMGPLQGAM-----GGFGF</f>
        <v>#NAME?</v>
      </c>
    </row>
    <row r="3335" spans="1:32" hidden="1" x14ac:dyDescent="0.35">
      <c r="A3335">
        <v>883</v>
      </c>
      <c r="B3335" t="s">
        <v>1833</v>
      </c>
      <c r="C3335" t="s">
        <v>72</v>
      </c>
      <c r="D3335" t="s">
        <v>45</v>
      </c>
      <c r="E3335">
        <v>2177</v>
      </c>
      <c r="F3335">
        <v>5</v>
      </c>
      <c r="G3335">
        <v>5</v>
      </c>
      <c r="H3335">
        <v>1</v>
      </c>
      <c r="I3335">
        <v>1</v>
      </c>
      <c r="J3335">
        <v>0.74657305249080597</v>
      </c>
      <c r="K3335">
        <v>0.91106755629691405</v>
      </c>
      <c r="L3335">
        <v>0.82065857089174499</v>
      </c>
      <c r="M3335">
        <v>0.527272727272727</v>
      </c>
      <c r="N3335">
        <v>1</v>
      </c>
      <c r="O3335">
        <v>0.65454545454545499</v>
      </c>
      <c r="P3335" t="s">
        <v>1834</v>
      </c>
      <c r="Q3335" t="s">
        <v>1835</v>
      </c>
      <c r="R3335" t="s">
        <v>113</v>
      </c>
      <c r="S3335" t="s">
        <v>114</v>
      </c>
      <c r="T3335" t="s">
        <v>1836</v>
      </c>
      <c r="U3335" t="s">
        <v>1837</v>
      </c>
      <c r="V3335" t="s">
        <v>1838</v>
      </c>
      <c r="W3335" t="s">
        <v>1839</v>
      </c>
      <c r="AD3335" t="s">
        <v>410</v>
      </c>
      <c r="AE3335" t="s">
        <v>1840</v>
      </c>
      <c r="AF3335" t="e">
        <f>------MSDILAQAQEMQAKLQAAQEEIMSSIVIGQAGNGLVSVSMQGSGTVTSVNIDPKVIDPEDPDTLQDLLVGAYNDAHGQLAKIAQDKMGPLQGAM-----GGFGF</f>
        <v>#NAME?</v>
      </c>
    </row>
    <row r="3336" spans="1:32" hidden="1" x14ac:dyDescent="0.35">
      <c r="A3336">
        <v>1199</v>
      </c>
      <c r="B3336" t="s">
        <v>2502</v>
      </c>
      <c r="C3336" t="s">
        <v>72</v>
      </c>
      <c r="D3336" t="s">
        <v>58</v>
      </c>
      <c r="E3336">
        <v>678</v>
      </c>
      <c r="F3336">
        <v>5</v>
      </c>
      <c r="G3336">
        <v>5</v>
      </c>
      <c r="H3336">
        <v>1</v>
      </c>
      <c r="I3336">
        <v>1</v>
      </c>
      <c r="J3336">
        <v>0.93099742046431599</v>
      </c>
      <c r="K3336">
        <v>0.99615112442675802</v>
      </c>
      <c r="L3336">
        <v>0.96247290297630805</v>
      </c>
      <c r="M3336">
        <v>0.88436830835117797</v>
      </c>
      <c r="N3336">
        <v>1</v>
      </c>
      <c r="O3336">
        <v>0.91584582441113505</v>
      </c>
      <c r="P3336" t="s">
        <v>2503</v>
      </c>
      <c r="Q3336" t="s">
        <v>2504</v>
      </c>
      <c r="R3336" t="s">
        <v>652</v>
      </c>
      <c r="S3336" t="s">
        <v>653</v>
      </c>
      <c r="T3336" t="s">
        <v>2505</v>
      </c>
      <c r="U3336" t="s">
        <v>2506</v>
      </c>
      <c r="V3336" t="s">
        <v>2507</v>
      </c>
      <c r="W3336" t="s">
        <v>2508</v>
      </c>
      <c r="X3336" t="s">
        <v>2507</v>
      </c>
      <c r="Y3336" t="s">
        <v>1782</v>
      </c>
      <c r="Z3336" t="s">
        <v>2509</v>
      </c>
      <c r="AA3336" t="s">
        <v>2510</v>
      </c>
      <c r="AB3336" t="s">
        <v>2509</v>
      </c>
      <c r="AC3336" t="s">
        <v>2511</v>
      </c>
      <c r="AD3336" t="s">
        <v>951</v>
      </c>
      <c r="AE3336" t="s">
        <v>2512</v>
      </c>
      <c r="AF3336" t="s">
        <v>2513</v>
      </c>
    </row>
    <row r="3337" spans="1:32" hidden="1" x14ac:dyDescent="0.35">
      <c r="A3337">
        <v>920</v>
      </c>
      <c r="B3337" t="s">
        <v>1912</v>
      </c>
      <c r="C3337" t="s">
        <v>72</v>
      </c>
      <c r="D3337" t="s">
        <v>60</v>
      </c>
      <c r="E3337">
        <v>435</v>
      </c>
      <c r="F3337">
        <v>5</v>
      </c>
      <c r="G3337">
        <v>5</v>
      </c>
      <c r="H3337">
        <v>1</v>
      </c>
      <c r="I3337">
        <v>1</v>
      </c>
      <c r="J3337">
        <v>0.91254565195933302</v>
      </c>
      <c r="K3337">
        <v>0.98748863850731605</v>
      </c>
      <c r="L3337">
        <v>0.94853915842516201</v>
      </c>
      <c r="M3337">
        <v>0.82456140350877205</v>
      </c>
      <c r="N3337">
        <v>1</v>
      </c>
      <c r="O3337">
        <v>0.87602339181286504</v>
      </c>
      <c r="P3337" t="s">
        <v>1913</v>
      </c>
      <c r="Q3337" t="s">
        <v>1914</v>
      </c>
      <c r="R3337" t="s">
        <v>113</v>
      </c>
      <c r="S3337" t="s">
        <v>114</v>
      </c>
      <c r="T3337" t="s">
        <v>1915</v>
      </c>
      <c r="U3337" t="s">
        <v>1916</v>
      </c>
      <c r="V3337" t="s">
        <v>1917</v>
      </c>
      <c r="W3337" t="s">
        <v>1918</v>
      </c>
      <c r="X3337" t="s">
        <v>1917</v>
      </c>
      <c r="Y3337" t="s">
        <v>119</v>
      </c>
      <c r="AD3337" t="s">
        <v>1566</v>
      </c>
      <c r="AE3337" t="s">
        <v>1567</v>
      </c>
      <c r="AF3337" t="s">
        <v>1920</v>
      </c>
    </row>
    <row r="3338" spans="1:32" hidden="1" x14ac:dyDescent="0.35">
      <c r="A3338">
        <v>921</v>
      </c>
      <c r="B3338" t="s">
        <v>1912</v>
      </c>
      <c r="C3338" t="s">
        <v>72</v>
      </c>
      <c r="D3338" t="s">
        <v>62</v>
      </c>
      <c r="E3338">
        <v>516</v>
      </c>
      <c r="F3338">
        <v>5</v>
      </c>
      <c r="G3338">
        <v>5</v>
      </c>
      <c r="H3338">
        <v>1</v>
      </c>
      <c r="I3338">
        <v>1</v>
      </c>
      <c r="J3338">
        <v>0.91254565195933302</v>
      </c>
      <c r="K3338">
        <v>0.98748863850731605</v>
      </c>
      <c r="L3338">
        <v>0.94853915842516201</v>
      </c>
      <c r="M3338">
        <v>0.82456140350877205</v>
      </c>
      <c r="N3338">
        <v>1</v>
      </c>
      <c r="O3338">
        <v>0.87602339181286504</v>
      </c>
      <c r="P3338" t="s">
        <v>1913</v>
      </c>
      <c r="Q3338" t="s">
        <v>1914</v>
      </c>
      <c r="R3338" t="s">
        <v>113</v>
      </c>
      <c r="S3338" t="s">
        <v>114</v>
      </c>
      <c r="T3338" t="s">
        <v>1915</v>
      </c>
      <c r="U3338" t="s">
        <v>1916</v>
      </c>
      <c r="V3338" t="s">
        <v>1917</v>
      </c>
      <c r="W3338" t="s">
        <v>1918</v>
      </c>
      <c r="X3338" t="s">
        <v>1917</v>
      </c>
      <c r="Y3338" t="s">
        <v>119</v>
      </c>
      <c r="AD3338" t="s">
        <v>1566</v>
      </c>
      <c r="AE3338" t="s">
        <v>1567</v>
      </c>
      <c r="AF3338" t="s">
        <v>1920</v>
      </c>
    </row>
    <row r="3339" spans="1:32" hidden="1" x14ac:dyDescent="0.35">
      <c r="A3339">
        <v>922</v>
      </c>
      <c r="B3339" t="s">
        <v>1912</v>
      </c>
      <c r="C3339" t="s">
        <v>72</v>
      </c>
      <c r="D3339" t="s">
        <v>34</v>
      </c>
      <c r="E3339">
        <v>654</v>
      </c>
      <c r="F3339">
        <v>5</v>
      </c>
      <c r="G3339">
        <v>5</v>
      </c>
      <c r="H3339">
        <v>1</v>
      </c>
      <c r="I3339">
        <v>1</v>
      </c>
      <c r="J3339">
        <v>0.91254565195933302</v>
      </c>
      <c r="K3339">
        <v>0.98748863850731605</v>
      </c>
      <c r="L3339">
        <v>0.94853915842516201</v>
      </c>
      <c r="M3339">
        <v>0.82456140350877205</v>
      </c>
      <c r="N3339">
        <v>1</v>
      </c>
      <c r="O3339">
        <v>0.87602339181286504</v>
      </c>
      <c r="P3339" t="s">
        <v>1913</v>
      </c>
      <c r="Q3339" t="s">
        <v>1914</v>
      </c>
      <c r="R3339" t="s">
        <v>113</v>
      </c>
      <c r="S3339" t="s">
        <v>114</v>
      </c>
      <c r="T3339" t="s">
        <v>1915</v>
      </c>
      <c r="U3339" t="s">
        <v>1916</v>
      </c>
      <c r="V3339" t="s">
        <v>1917</v>
      </c>
      <c r="W3339" t="s">
        <v>1918</v>
      </c>
      <c r="X3339" t="s">
        <v>1917</v>
      </c>
      <c r="Y3339" t="s">
        <v>119</v>
      </c>
      <c r="AD3339" t="s">
        <v>1566</v>
      </c>
      <c r="AE3339" t="s">
        <v>1567</v>
      </c>
      <c r="AF3339" t="s">
        <v>1921</v>
      </c>
    </row>
    <row r="3340" spans="1:32" hidden="1" x14ac:dyDescent="0.35">
      <c r="A3340">
        <v>923</v>
      </c>
      <c r="B3340" t="s">
        <v>1912</v>
      </c>
      <c r="C3340" t="s">
        <v>72</v>
      </c>
      <c r="D3340" t="s">
        <v>45</v>
      </c>
      <c r="E3340">
        <v>1920</v>
      </c>
      <c r="F3340">
        <v>5</v>
      </c>
      <c r="G3340">
        <v>5</v>
      </c>
      <c r="H3340">
        <v>1</v>
      </c>
      <c r="I3340">
        <v>1</v>
      </c>
      <c r="J3340">
        <v>0.91254565195933302</v>
      </c>
      <c r="K3340">
        <v>0.98748863850731605</v>
      </c>
      <c r="L3340">
        <v>0.94853915842516201</v>
      </c>
      <c r="M3340">
        <v>0.82456140350877205</v>
      </c>
      <c r="N3340">
        <v>1</v>
      </c>
      <c r="O3340">
        <v>0.87602339181286504</v>
      </c>
      <c r="P3340" t="s">
        <v>1913</v>
      </c>
      <c r="Q3340" t="s">
        <v>1914</v>
      </c>
      <c r="R3340" t="s">
        <v>113</v>
      </c>
      <c r="S3340" t="s">
        <v>114</v>
      </c>
      <c r="T3340" t="s">
        <v>1915</v>
      </c>
      <c r="U3340" t="s">
        <v>1916</v>
      </c>
      <c r="V3340" t="s">
        <v>1917</v>
      </c>
      <c r="W3340" t="s">
        <v>1918</v>
      </c>
      <c r="X3340" t="s">
        <v>1917</v>
      </c>
      <c r="Y3340" t="s">
        <v>119</v>
      </c>
      <c r="AD3340" t="s">
        <v>1566</v>
      </c>
      <c r="AE3340" t="s">
        <v>1567</v>
      </c>
      <c r="AF3340" t="s">
        <v>1921</v>
      </c>
    </row>
    <row r="3341" spans="1:32" hidden="1" x14ac:dyDescent="0.35">
      <c r="A3341">
        <v>3159</v>
      </c>
      <c r="B3341" t="s">
        <v>6504</v>
      </c>
      <c r="C3341" t="s">
        <v>72</v>
      </c>
      <c r="D3341" t="s">
        <v>58</v>
      </c>
      <c r="E3341">
        <v>1457</v>
      </c>
      <c r="F3341">
        <v>5</v>
      </c>
      <c r="G3341">
        <v>5</v>
      </c>
      <c r="H3341">
        <v>1</v>
      </c>
      <c r="I3341">
        <v>1</v>
      </c>
      <c r="J3341">
        <v>0.78931582360570696</v>
      </c>
      <c r="K3341">
        <v>0.95126806945513498</v>
      </c>
      <c r="L3341">
        <v>0.86275754096679402</v>
      </c>
      <c r="M3341">
        <v>0.58891454965358003</v>
      </c>
      <c r="N3341">
        <v>1</v>
      </c>
      <c r="O3341">
        <v>0.69861431870669799</v>
      </c>
      <c r="P3341" t="s">
        <v>6505</v>
      </c>
      <c r="Q3341" t="s">
        <v>6506</v>
      </c>
      <c r="R3341" t="s">
        <v>235</v>
      </c>
      <c r="S3341" t="s">
        <v>236</v>
      </c>
      <c r="T3341" t="s">
        <v>6507</v>
      </c>
      <c r="U3341" t="s">
        <v>6508</v>
      </c>
      <c r="V3341" t="s">
        <v>6509</v>
      </c>
      <c r="W3341" t="s">
        <v>6510</v>
      </c>
      <c r="X3341" t="s">
        <v>6509</v>
      </c>
      <c r="Y3341" t="s">
        <v>3568</v>
      </c>
      <c r="Z3341" t="s">
        <v>3569</v>
      </c>
      <c r="AA3341" t="s">
        <v>3570</v>
      </c>
      <c r="AB3341" t="s">
        <v>3569</v>
      </c>
      <c r="AC3341" t="s">
        <v>1682</v>
      </c>
      <c r="AD3341" t="s">
        <v>245</v>
      </c>
      <c r="AE3341" t="s">
        <v>6511</v>
      </c>
      <c r="AF3341" t="s">
        <v>6512</v>
      </c>
    </row>
    <row r="3342" spans="1:32" hidden="1" x14ac:dyDescent="0.35">
      <c r="A3342">
        <v>1040</v>
      </c>
      <c r="B3342" t="s">
        <v>2162</v>
      </c>
      <c r="C3342" t="s">
        <v>72</v>
      </c>
      <c r="D3342" t="s">
        <v>60</v>
      </c>
      <c r="E3342">
        <v>1245</v>
      </c>
      <c r="F3342">
        <v>5</v>
      </c>
      <c r="G3342">
        <v>5</v>
      </c>
      <c r="H3342">
        <v>1</v>
      </c>
      <c r="I3342">
        <v>1</v>
      </c>
      <c r="J3342">
        <v>0.84324133050247696</v>
      </c>
      <c r="K3342">
        <v>0.98647561311656196</v>
      </c>
      <c r="L3342">
        <v>0.90925212384747001</v>
      </c>
      <c r="M3342">
        <v>0.706806282722513</v>
      </c>
      <c r="N3342">
        <v>1</v>
      </c>
      <c r="O3342">
        <v>0.78324607329842899</v>
      </c>
      <c r="P3342" t="s">
        <v>2163</v>
      </c>
      <c r="Q3342" t="s">
        <v>2164</v>
      </c>
      <c r="R3342" t="s">
        <v>113</v>
      </c>
      <c r="S3342" t="s">
        <v>114</v>
      </c>
      <c r="T3342" t="s">
        <v>2165</v>
      </c>
      <c r="U3342" t="s">
        <v>2166</v>
      </c>
      <c r="V3342" t="s">
        <v>2167</v>
      </c>
      <c r="W3342" t="s">
        <v>2168</v>
      </c>
      <c r="AD3342" t="s">
        <v>312</v>
      </c>
      <c r="AE3342" t="s">
        <v>2169</v>
      </c>
      <c r="AF3342" t="s">
        <v>2171</v>
      </c>
    </row>
    <row r="3343" spans="1:32" hidden="1" x14ac:dyDescent="0.35">
      <c r="A3343">
        <v>1041</v>
      </c>
      <c r="B3343" t="s">
        <v>2162</v>
      </c>
      <c r="C3343" t="s">
        <v>72</v>
      </c>
      <c r="D3343" t="s">
        <v>62</v>
      </c>
      <c r="E3343">
        <v>1282</v>
      </c>
      <c r="F3343">
        <v>5</v>
      </c>
      <c r="G3343">
        <v>5</v>
      </c>
      <c r="H3343">
        <v>1</v>
      </c>
      <c r="I3343">
        <v>1</v>
      </c>
      <c r="J3343">
        <v>0.84324133050247696</v>
      </c>
      <c r="K3343">
        <v>0.98647561311656196</v>
      </c>
      <c r="L3343">
        <v>0.90925212384747001</v>
      </c>
      <c r="M3343">
        <v>0.706806282722513</v>
      </c>
      <c r="N3343">
        <v>1</v>
      </c>
      <c r="O3343">
        <v>0.78324607329842899</v>
      </c>
      <c r="P3343" t="s">
        <v>2163</v>
      </c>
      <c r="Q3343" t="s">
        <v>2164</v>
      </c>
      <c r="R3343" t="s">
        <v>113</v>
      </c>
      <c r="S3343" t="s">
        <v>114</v>
      </c>
      <c r="T3343" t="s">
        <v>2165</v>
      </c>
      <c r="U3343" t="s">
        <v>2166</v>
      </c>
      <c r="V3343" t="s">
        <v>2167</v>
      </c>
      <c r="W3343" t="s">
        <v>2168</v>
      </c>
      <c r="AD3343" t="s">
        <v>312</v>
      </c>
      <c r="AE3343" t="s">
        <v>2169</v>
      </c>
      <c r="AF3343" t="s">
        <v>2172</v>
      </c>
    </row>
    <row r="3344" spans="1:32" hidden="1" x14ac:dyDescent="0.35">
      <c r="A3344">
        <v>1042</v>
      </c>
      <c r="B3344" t="s">
        <v>2162</v>
      </c>
      <c r="C3344" t="s">
        <v>72</v>
      </c>
      <c r="D3344" t="s">
        <v>34</v>
      </c>
      <c r="E3344">
        <v>1757</v>
      </c>
      <c r="F3344">
        <v>5</v>
      </c>
      <c r="G3344">
        <v>5</v>
      </c>
      <c r="H3344">
        <v>1</v>
      </c>
      <c r="I3344">
        <v>1</v>
      </c>
      <c r="J3344">
        <v>0.84324133050247696</v>
      </c>
      <c r="K3344">
        <v>0.98647561311656196</v>
      </c>
      <c r="L3344">
        <v>0.90925212384747001</v>
      </c>
      <c r="M3344">
        <v>0.706806282722513</v>
      </c>
      <c r="N3344">
        <v>1</v>
      </c>
      <c r="O3344">
        <v>0.78324607329842899</v>
      </c>
      <c r="P3344" t="s">
        <v>2163</v>
      </c>
      <c r="Q3344" t="s">
        <v>2164</v>
      </c>
      <c r="R3344" t="s">
        <v>113</v>
      </c>
      <c r="S3344" t="s">
        <v>114</v>
      </c>
      <c r="T3344" t="s">
        <v>2165</v>
      </c>
      <c r="U3344" t="s">
        <v>2166</v>
      </c>
      <c r="V3344" t="s">
        <v>2167</v>
      </c>
      <c r="W3344" t="s">
        <v>2168</v>
      </c>
      <c r="AD3344" t="s">
        <v>312</v>
      </c>
      <c r="AE3344" t="s">
        <v>2169</v>
      </c>
      <c r="AF3344" t="s">
        <v>2173</v>
      </c>
    </row>
    <row r="3345" spans="1:32" hidden="1" x14ac:dyDescent="0.35">
      <c r="A3345">
        <v>1043</v>
      </c>
      <c r="B3345" t="s">
        <v>2162</v>
      </c>
      <c r="C3345" t="s">
        <v>72</v>
      </c>
      <c r="D3345" t="s">
        <v>45</v>
      </c>
      <c r="E3345">
        <v>1116</v>
      </c>
      <c r="F3345">
        <v>5</v>
      </c>
      <c r="G3345">
        <v>5</v>
      </c>
      <c r="H3345">
        <v>1</v>
      </c>
      <c r="I3345">
        <v>1</v>
      </c>
      <c r="J3345">
        <v>0.84324133050247696</v>
      </c>
      <c r="K3345">
        <v>0.98647561311656196</v>
      </c>
      <c r="L3345">
        <v>0.90925212384747001</v>
      </c>
      <c r="M3345">
        <v>0.706806282722513</v>
      </c>
      <c r="N3345">
        <v>1</v>
      </c>
      <c r="O3345">
        <v>0.78324607329842899</v>
      </c>
      <c r="P3345" t="s">
        <v>2163</v>
      </c>
      <c r="Q3345" t="s">
        <v>2164</v>
      </c>
      <c r="R3345" t="s">
        <v>113</v>
      </c>
      <c r="S3345" t="s">
        <v>114</v>
      </c>
      <c r="T3345" t="s">
        <v>2165</v>
      </c>
      <c r="U3345" t="s">
        <v>2166</v>
      </c>
      <c r="V3345" t="s">
        <v>2167</v>
      </c>
      <c r="W3345" t="s">
        <v>2168</v>
      </c>
      <c r="AD3345" t="s">
        <v>312</v>
      </c>
      <c r="AE3345" t="s">
        <v>2169</v>
      </c>
      <c r="AF3345" t="s">
        <v>2173</v>
      </c>
    </row>
    <row r="3346" spans="1:32" hidden="1" x14ac:dyDescent="0.35">
      <c r="A3346">
        <v>11559</v>
      </c>
      <c r="B3346" t="s">
        <v>23636</v>
      </c>
      <c r="C3346" t="s">
        <v>33</v>
      </c>
      <c r="D3346" t="s">
        <v>58</v>
      </c>
      <c r="E3346">
        <v>225</v>
      </c>
      <c r="F3346">
        <v>1</v>
      </c>
      <c r="G3346">
        <v>1</v>
      </c>
      <c r="H3346">
        <v>1</v>
      </c>
      <c r="I3346">
        <v>0</v>
      </c>
      <c r="J3346">
        <v>1</v>
      </c>
      <c r="K3346">
        <v>1</v>
      </c>
      <c r="L3346">
        <v>1</v>
      </c>
      <c r="M3346">
        <v>0</v>
      </c>
      <c r="N3346">
        <v>0</v>
      </c>
      <c r="O3346">
        <v>0</v>
      </c>
      <c r="P3346" t="s">
        <v>23637</v>
      </c>
      <c r="Q3346" t="s">
        <v>23638</v>
      </c>
      <c r="R3346" t="s">
        <v>235</v>
      </c>
      <c r="S3346" t="s">
        <v>236</v>
      </c>
      <c r="T3346" t="s">
        <v>23639</v>
      </c>
      <c r="U3346" t="s">
        <v>23640</v>
      </c>
      <c r="V3346" t="s">
        <v>23641</v>
      </c>
      <c r="W3346" t="s">
        <v>23642</v>
      </c>
      <c r="AD3346" t="s">
        <v>23643</v>
      </c>
      <c r="AE3346" t="s">
        <v>23644</v>
      </c>
      <c r="AF3346" t="s">
        <v>23645</v>
      </c>
    </row>
    <row r="3347" spans="1:32" hidden="1" x14ac:dyDescent="0.35">
      <c r="A3347">
        <v>1100</v>
      </c>
      <c r="B3347" t="s">
        <v>2275</v>
      </c>
      <c r="C3347" t="s">
        <v>72</v>
      </c>
      <c r="D3347" t="s">
        <v>60</v>
      </c>
      <c r="E3347">
        <v>2012</v>
      </c>
      <c r="F3347">
        <v>5</v>
      </c>
      <c r="G3347">
        <v>5</v>
      </c>
      <c r="H3347">
        <v>1</v>
      </c>
      <c r="I3347">
        <v>1</v>
      </c>
      <c r="J3347">
        <v>0.73517677809877602</v>
      </c>
      <c r="K3347">
        <v>0.92196825671160099</v>
      </c>
      <c r="L3347">
        <v>0.81804505730078103</v>
      </c>
      <c r="M3347">
        <v>0.49242424242424199</v>
      </c>
      <c r="N3347">
        <v>1</v>
      </c>
      <c r="O3347">
        <v>0.64583333333333304</v>
      </c>
      <c r="P3347" t="s">
        <v>2276</v>
      </c>
      <c r="Q3347" t="s">
        <v>2277</v>
      </c>
      <c r="R3347" t="s">
        <v>113</v>
      </c>
      <c r="S3347" t="s">
        <v>114</v>
      </c>
      <c r="V3347" t="s">
        <v>2278</v>
      </c>
      <c r="W3347" t="s">
        <v>2279</v>
      </c>
      <c r="AF3347" t="s">
        <v>2281</v>
      </c>
    </row>
    <row r="3348" spans="1:32" hidden="1" x14ac:dyDescent="0.35">
      <c r="A3348">
        <v>1101</v>
      </c>
      <c r="B3348" t="s">
        <v>2275</v>
      </c>
      <c r="C3348" t="s">
        <v>72</v>
      </c>
      <c r="D3348" t="s">
        <v>62</v>
      </c>
      <c r="E3348">
        <v>2052</v>
      </c>
      <c r="F3348">
        <v>5</v>
      </c>
      <c r="G3348">
        <v>5</v>
      </c>
      <c r="H3348">
        <v>1</v>
      </c>
      <c r="I3348">
        <v>1</v>
      </c>
      <c r="J3348">
        <v>0.73517677809877602</v>
      </c>
      <c r="K3348">
        <v>0.92196825671160099</v>
      </c>
      <c r="L3348">
        <v>0.81804505730078103</v>
      </c>
      <c r="M3348">
        <v>0.49242424242424199</v>
      </c>
      <c r="N3348">
        <v>1</v>
      </c>
      <c r="O3348">
        <v>0.64583333333333304</v>
      </c>
      <c r="P3348" t="s">
        <v>2276</v>
      </c>
      <c r="Q3348" t="s">
        <v>2277</v>
      </c>
      <c r="R3348" t="s">
        <v>113</v>
      </c>
      <c r="S3348" t="s">
        <v>114</v>
      </c>
      <c r="V3348" t="s">
        <v>2278</v>
      </c>
      <c r="W3348" t="s">
        <v>2279</v>
      </c>
      <c r="AF3348" t="s">
        <v>2282</v>
      </c>
    </row>
    <row r="3349" spans="1:32" hidden="1" x14ac:dyDescent="0.35">
      <c r="A3349">
        <v>1102</v>
      </c>
      <c r="B3349" t="s">
        <v>2275</v>
      </c>
      <c r="C3349" t="s">
        <v>72</v>
      </c>
      <c r="D3349" t="s">
        <v>34</v>
      </c>
      <c r="E3349">
        <v>1915</v>
      </c>
      <c r="F3349">
        <v>5</v>
      </c>
      <c r="G3349">
        <v>5</v>
      </c>
      <c r="H3349">
        <v>1</v>
      </c>
      <c r="I3349">
        <v>1</v>
      </c>
      <c r="J3349">
        <v>0.73517677809877602</v>
      </c>
      <c r="K3349">
        <v>0.92196825671160099</v>
      </c>
      <c r="L3349">
        <v>0.81804505730078103</v>
      </c>
      <c r="M3349">
        <v>0.49242424242424199</v>
      </c>
      <c r="N3349">
        <v>1</v>
      </c>
      <c r="O3349">
        <v>0.64583333333333304</v>
      </c>
      <c r="P3349" t="s">
        <v>2276</v>
      </c>
      <c r="Q3349" t="s">
        <v>2277</v>
      </c>
      <c r="R3349" t="s">
        <v>113</v>
      </c>
      <c r="S3349" t="s">
        <v>114</v>
      </c>
      <c r="V3349" t="s">
        <v>2278</v>
      </c>
      <c r="W3349" t="s">
        <v>2279</v>
      </c>
      <c r="AF3349" t="s">
        <v>2283</v>
      </c>
    </row>
    <row r="3350" spans="1:32" hidden="1" x14ac:dyDescent="0.35">
      <c r="A3350">
        <v>1103</v>
      </c>
      <c r="B3350" t="s">
        <v>2275</v>
      </c>
      <c r="C3350" t="s">
        <v>72</v>
      </c>
      <c r="D3350" t="s">
        <v>45</v>
      </c>
      <c r="E3350">
        <v>959</v>
      </c>
      <c r="F3350">
        <v>5</v>
      </c>
      <c r="G3350">
        <v>5</v>
      </c>
      <c r="H3350">
        <v>1</v>
      </c>
      <c r="I3350">
        <v>1</v>
      </c>
      <c r="J3350">
        <v>0.73517677809877602</v>
      </c>
      <c r="K3350">
        <v>0.92196825671160099</v>
      </c>
      <c r="L3350">
        <v>0.81804505730078103</v>
      </c>
      <c r="M3350">
        <v>0.49242424242424199</v>
      </c>
      <c r="N3350">
        <v>1</v>
      </c>
      <c r="O3350">
        <v>0.64583333333333304</v>
      </c>
      <c r="P3350" t="s">
        <v>2276</v>
      </c>
      <c r="Q3350" t="s">
        <v>2277</v>
      </c>
      <c r="R3350" t="s">
        <v>113</v>
      </c>
      <c r="S3350" t="s">
        <v>114</v>
      </c>
      <c r="V3350" t="s">
        <v>2278</v>
      </c>
      <c r="W3350" t="s">
        <v>2279</v>
      </c>
      <c r="AF3350" t="s">
        <v>2283</v>
      </c>
    </row>
    <row r="3351" spans="1:32" hidden="1" x14ac:dyDescent="0.35">
      <c r="A3351">
        <v>1359</v>
      </c>
      <c r="B3351" t="s">
        <v>2820</v>
      </c>
      <c r="C3351" t="s">
        <v>72</v>
      </c>
      <c r="D3351" t="s">
        <v>58</v>
      </c>
      <c r="E3351">
        <v>1309</v>
      </c>
      <c r="F3351">
        <v>5</v>
      </c>
      <c r="G3351">
        <v>5</v>
      </c>
      <c r="H3351">
        <v>1</v>
      </c>
      <c r="I3351">
        <v>1</v>
      </c>
      <c r="J3351">
        <v>0.73152337858220196</v>
      </c>
      <c r="K3351">
        <v>0.96670110038176205</v>
      </c>
      <c r="L3351">
        <v>0.83282800806383195</v>
      </c>
      <c r="M3351">
        <v>0.51639344262295095</v>
      </c>
      <c r="N3351">
        <v>1</v>
      </c>
      <c r="O3351">
        <v>0.64918032786885205</v>
      </c>
      <c r="P3351" t="s">
        <v>2821</v>
      </c>
      <c r="Q3351" t="s">
        <v>2822</v>
      </c>
      <c r="R3351" t="s">
        <v>869</v>
      </c>
      <c r="S3351" t="s">
        <v>870</v>
      </c>
      <c r="T3351" t="s">
        <v>2823</v>
      </c>
      <c r="U3351" t="s">
        <v>2824</v>
      </c>
      <c r="V3351" t="s">
        <v>2825</v>
      </c>
      <c r="W3351" t="s">
        <v>2826</v>
      </c>
      <c r="X3351" t="s">
        <v>2825</v>
      </c>
      <c r="Y3351" t="s">
        <v>619</v>
      </c>
      <c r="Z3351" t="s">
        <v>2827</v>
      </c>
      <c r="AA3351" t="s">
        <v>2828</v>
      </c>
      <c r="AB3351" t="s">
        <v>2827</v>
      </c>
      <c r="AC3351" t="s">
        <v>2829</v>
      </c>
      <c r="AD3351" t="s">
        <v>2830</v>
      </c>
      <c r="AE3351" t="s">
        <v>2831</v>
      </c>
      <c r="AF3351" t="s">
        <v>2832</v>
      </c>
    </row>
    <row r="3352" spans="1:32" hidden="1" x14ac:dyDescent="0.35">
      <c r="A3352">
        <v>1185</v>
      </c>
      <c r="B3352" t="s">
        <v>2473</v>
      </c>
      <c r="C3352" t="s">
        <v>72</v>
      </c>
      <c r="D3352" t="s">
        <v>60</v>
      </c>
      <c r="E3352">
        <v>1476</v>
      </c>
      <c r="F3352">
        <v>5</v>
      </c>
      <c r="G3352">
        <v>5</v>
      </c>
      <c r="H3352">
        <v>1</v>
      </c>
      <c r="I3352">
        <v>1</v>
      </c>
      <c r="J3352">
        <v>0.84390669282755604</v>
      </c>
      <c r="K3352">
        <v>0.945836208879687</v>
      </c>
      <c r="L3352">
        <v>0.89196890372444704</v>
      </c>
      <c r="M3352">
        <v>0.66666666666666696</v>
      </c>
      <c r="N3352">
        <v>1</v>
      </c>
      <c r="O3352">
        <v>0.77160493827160503</v>
      </c>
      <c r="P3352" t="s">
        <v>2481</v>
      </c>
      <c r="Q3352" t="s">
        <v>2482</v>
      </c>
      <c r="R3352" t="s">
        <v>113</v>
      </c>
      <c r="S3352" t="s">
        <v>114</v>
      </c>
      <c r="T3352" t="s">
        <v>2476</v>
      </c>
      <c r="U3352" t="s">
        <v>2477</v>
      </c>
      <c r="V3352" t="s">
        <v>2478</v>
      </c>
      <c r="W3352" t="s">
        <v>2479</v>
      </c>
      <c r="AD3352" t="s">
        <v>312</v>
      </c>
      <c r="AE3352" t="s">
        <v>805</v>
      </c>
      <c r="AF3352" t="s">
        <v>2483</v>
      </c>
    </row>
    <row r="3353" spans="1:32" hidden="1" x14ac:dyDescent="0.35">
      <c r="A3353">
        <v>1186</v>
      </c>
      <c r="B3353" t="s">
        <v>2473</v>
      </c>
      <c r="C3353" t="s">
        <v>72</v>
      </c>
      <c r="D3353" t="s">
        <v>62</v>
      </c>
      <c r="E3353">
        <v>1511</v>
      </c>
      <c r="F3353">
        <v>5</v>
      </c>
      <c r="G3353">
        <v>5</v>
      </c>
      <c r="H3353">
        <v>1</v>
      </c>
      <c r="I3353">
        <v>1</v>
      </c>
      <c r="J3353">
        <v>0.84390669282755604</v>
      </c>
      <c r="K3353">
        <v>0.945836208879687</v>
      </c>
      <c r="L3353">
        <v>0.89196890372444704</v>
      </c>
      <c r="M3353">
        <v>0.66666666666666696</v>
      </c>
      <c r="N3353">
        <v>1</v>
      </c>
      <c r="O3353">
        <v>0.77160493827160503</v>
      </c>
      <c r="P3353" t="s">
        <v>2481</v>
      </c>
      <c r="Q3353" t="s">
        <v>2482</v>
      </c>
      <c r="R3353" t="s">
        <v>113</v>
      </c>
      <c r="S3353" t="s">
        <v>114</v>
      </c>
      <c r="T3353" t="s">
        <v>2476</v>
      </c>
      <c r="U3353" t="s">
        <v>2477</v>
      </c>
      <c r="V3353" t="s">
        <v>2478</v>
      </c>
      <c r="W3353" t="s">
        <v>2479</v>
      </c>
      <c r="AD3353" t="s">
        <v>312</v>
      </c>
      <c r="AE3353" t="s">
        <v>805</v>
      </c>
      <c r="AF3353" t="s">
        <v>2483</v>
      </c>
    </row>
    <row r="3354" spans="1:32" hidden="1" x14ac:dyDescent="0.35">
      <c r="A3354">
        <v>1187</v>
      </c>
      <c r="B3354" t="s">
        <v>2473</v>
      </c>
      <c r="C3354" t="s">
        <v>72</v>
      </c>
      <c r="D3354" t="s">
        <v>34</v>
      </c>
      <c r="E3354">
        <v>1903</v>
      </c>
      <c r="F3354">
        <v>5</v>
      </c>
      <c r="G3354">
        <v>5</v>
      </c>
      <c r="H3354">
        <v>1</v>
      </c>
      <c r="I3354">
        <v>1</v>
      </c>
      <c r="J3354">
        <v>0.84390669282755604</v>
      </c>
      <c r="K3354">
        <v>0.945836208879687</v>
      </c>
      <c r="L3354">
        <v>0.89196890372444704</v>
      </c>
      <c r="M3354">
        <v>0.66666666666666696</v>
      </c>
      <c r="N3354">
        <v>1</v>
      </c>
      <c r="O3354">
        <v>0.77160493827160503</v>
      </c>
      <c r="P3354" t="s">
        <v>2481</v>
      </c>
      <c r="Q3354" t="s">
        <v>2482</v>
      </c>
      <c r="R3354" t="s">
        <v>113</v>
      </c>
      <c r="S3354" t="s">
        <v>114</v>
      </c>
      <c r="T3354" t="s">
        <v>2476</v>
      </c>
      <c r="U3354" t="s">
        <v>2477</v>
      </c>
      <c r="V3354" t="s">
        <v>2478</v>
      </c>
      <c r="W3354" t="s">
        <v>2479</v>
      </c>
      <c r="AD3354" t="s">
        <v>312</v>
      </c>
      <c r="AE3354" t="s">
        <v>805</v>
      </c>
      <c r="AF3354" t="s">
        <v>2484</v>
      </c>
    </row>
    <row r="3355" spans="1:32" hidden="1" x14ac:dyDescent="0.35">
      <c r="A3355">
        <v>1188</v>
      </c>
      <c r="B3355" t="s">
        <v>2473</v>
      </c>
      <c r="C3355" t="s">
        <v>72</v>
      </c>
      <c r="D3355" t="s">
        <v>45</v>
      </c>
      <c r="E3355">
        <v>971</v>
      </c>
      <c r="F3355">
        <v>5</v>
      </c>
      <c r="G3355">
        <v>5</v>
      </c>
      <c r="H3355">
        <v>1</v>
      </c>
      <c r="I3355">
        <v>1</v>
      </c>
      <c r="J3355">
        <v>0.84390669282755604</v>
      </c>
      <c r="K3355">
        <v>0.945836208879687</v>
      </c>
      <c r="L3355">
        <v>0.89196890372444704</v>
      </c>
      <c r="M3355">
        <v>0.66666666666666696</v>
      </c>
      <c r="N3355">
        <v>1</v>
      </c>
      <c r="O3355">
        <v>0.77160493827160503</v>
      </c>
      <c r="P3355" t="s">
        <v>2481</v>
      </c>
      <c r="Q3355" t="s">
        <v>2482</v>
      </c>
      <c r="R3355" t="s">
        <v>113</v>
      </c>
      <c r="S3355" t="s">
        <v>114</v>
      </c>
      <c r="T3355" t="s">
        <v>2476</v>
      </c>
      <c r="U3355" t="s">
        <v>2477</v>
      </c>
      <c r="V3355" t="s">
        <v>2478</v>
      </c>
      <c r="W3355" t="s">
        <v>2479</v>
      </c>
      <c r="AD3355" t="s">
        <v>312</v>
      </c>
      <c r="AE3355" t="s">
        <v>805</v>
      </c>
      <c r="AF3355" t="s">
        <v>2484</v>
      </c>
    </row>
    <row r="3356" spans="1:32" hidden="1" x14ac:dyDescent="0.35">
      <c r="A3356">
        <v>1739</v>
      </c>
      <c r="B3356" t="s">
        <v>3627</v>
      </c>
      <c r="C3356" t="s">
        <v>72</v>
      </c>
      <c r="D3356" t="s">
        <v>58</v>
      </c>
      <c r="E3356">
        <v>209</v>
      </c>
      <c r="F3356">
        <v>5</v>
      </c>
      <c r="G3356">
        <v>5</v>
      </c>
      <c r="H3356">
        <v>1</v>
      </c>
      <c r="I3356">
        <v>1</v>
      </c>
      <c r="J3356">
        <v>0.77777777777777801</v>
      </c>
      <c r="K3356">
        <v>0.97366262119465696</v>
      </c>
      <c r="L3356">
        <v>0.86476610938330301</v>
      </c>
      <c r="M3356">
        <v>0.62790697674418605</v>
      </c>
      <c r="N3356">
        <v>1</v>
      </c>
      <c r="O3356">
        <v>0.72325581395348804</v>
      </c>
      <c r="P3356" t="s">
        <v>2821</v>
      </c>
      <c r="Q3356" t="s">
        <v>2822</v>
      </c>
      <c r="R3356" t="s">
        <v>869</v>
      </c>
      <c r="S3356" t="s">
        <v>870</v>
      </c>
      <c r="V3356" t="s">
        <v>2825</v>
      </c>
      <c r="W3356" t="s">
        <v>2826</v>
      </c>
      <c r="X3356" t="s">
        <v>2825</v>
      </c>
      <c r="Y3356" t="s">
        <v>619</v>
      </c>
      <c r="AF3356" t="s">
        <v>3628</v>
      </c>
    </row>
    <row r="3357" spans="1:32" hidden="1" x14ac:dyDescent="0.35">
      <c r="A3357">
        <v>1210</v>
      </c>
      <c r="B3357" t="s">
        <v>2518</v>
      </c>
      <c r="C3357" t="s">
        <v>72</v>
      </c>
      <c r="D3357" t="s">
        <v>60</v>
      </c>
      <c r="E3357">
        <v>598</v>
      </c>
      <c r="F3357">
        <v>5</v>
      </c>
      <c r="G3357">
        <v>5</v>
      </c>
      <c r="H3357">
        <v>1</v>
      </c>
      <c r="I3357">
        <v>1</v>
      </c>
      <c r="J3357">
        <v>0.82419855222337102</v>
      </c>
      <c r="K3357">
        <v>0.93218599033816196</v>
      </c>
      <c r="L3357">
        <v>0.87487258629493003</v>
      </c>
      <c r="M3357">
        <v>0.67307692307692302</v>
      </c>
      <c r="N3357">
        <v>1</v>
      </c>
      <c r="O3357">
        <v>0.76346153846153897</v>
      </c>
      <c r="P3357" t="s">
        <v>2519</v>
      </c>
      <c r="Q3357" t="s">
        <v>2520</v>
      </c>
      <c r="R3357" t="s">
        <v>113</v>
      </c>
      <c r="S3357" t="s">
        <v>114</v>
      </c>
      <c r="T3357" t="s">
        <v>1454</v>
      </c>
      <c r="U3357" t="s">
        <v>1455</v>
      </c>
      <c r="V3357" t="s">
        <v>807</v>
      </c>
      <c r="W3357" t="s">
        <v>808</v>
      </c>
      <c r="X3357" t="s">
        <v>807</v>
      </c>
      <c r="Y3357" t="s">
        <v>119</v>
      </c>
      <c r="AD3357" t="s">
        <v>125</v>
      </c>
      <c r="AE3357" t="s">
        <v>126</v>
      </c>
      <c r="AF3357" t="s">
        <v>2521</v>
      </c>
    </row>
    <row r="3358" spans="1:32" hidden="1" x14ac:dyDescent="0.35">
      <c r="A3358">
        <v>1211</v>
      </c>
      <c r="B3358" t="s">
        <v>2518</v>
      </c>
      <c r="C3358" t="s">
        <v>72</v>
      </c>
      <c r="D3358" t="s">
        <v>62</v>
      </c>
      <c r="E3358">
        <v>682</v>
      </c>
      <c r="F3358">
        <v>5</v>
      </c>
      <c r="G3358">
        <v>5</v>
      </c>
      <c r="H3358">
        <v>1</v>
      </c>
      <c r="I3358">
        <v>1</v>
      </c>
      <c r="J3358">
        <v>0.82419855222337102</v>
      </c>
      <c r="K3358">
        <v>0.93218599033816196</v>
      </c>
      <c r="L3358">
        <v>0.87487258629493003</v>
      </c>
      <c r="M3358">
        <v>0.67307692307692302</v>
      </c>
      <c r="N3358">
        <v>1</v>
      </c>
      <c r="O3358">
        <v>0.76346153846153897</v>
      </c>
      <c r="P3358" t="s">
        <v>2519</v>
      </c>
      <c r="Q3358" t="s">
        <v>2520</v>
      </c>
      <c r="R3358" t="s">
        <v>113</v>
      </c>
      <c r="S3358" t="s">
        <v>114</v>
      </c>
      <c r="T3358" t="s">
        <v>1454</v>
      </c>
      <c r="U3358" t="s">
        <v>1455</v>
      </c>
      <c r="V3358" t="s">
        <v>807</v>
      </c>
      <c r="W3358" t="s">
        <v>808</v>
      </c>
      <c r="X3358" t="s">
        <v>807</v>
      </c>
      <c r="Y3358" t="s">
        <v>119</v>
      </c>
      <c r="AD3358" t="s">
        <v>125</v>
      </c>
      <c r="AE3358" t="s">
        <v>126</v>
      </c>
      <c r="AF3358" t="s">
        <v>2521</v>
      </c>
    </row>
    <row r="3359" spans="1:32" hidden="1" x14ac:dyDescent="0.35">
      <c r="A3359">
        <v>1212</v>
      </c>
      <c r="B3359" t="s">
        <v>2518</v>
      </c>
      <c r="C3359" t="s">
        <v>72</v>
      </c>
      <c r="D3359" t="s">
        <v>34</v>
      </c>
      <c r="E3359">
        <v>494</v>
      </c>
      <c r="F3359">
        <v>5</v>
      </c>
      <c r="G3359">
        <v>5</v>
      </c>
      <c r="H3359">
        <v>1</v>
      </c>
      <c r="I3359">
        <v>1</v>
      </c>
      <c r="J3359">
        <v>0.82419855222337102</v>
      </c>
      <c r="K3359">
        <v>0.93218599033816196</v>
      </c>
      <c r="L3359">
        <v>0.87487258629493003</v>
      </c>
      <c r="M3359">
        <v>0.67307692307692302</v>
      </c>
      <c r="N3359">
        <v>1</v>
      </c>
      <c r="O3359">
        <v>0.76346153846153897</v>
      </c>
      <c r="P3359" t="s">
        <v>2519</v>
      </c>
      <c r="Q3359" t="s">
        <v>2520</v>
      </c>
      <c r="R3359" t="s">
        <v>113</v>
      </c>
      <c r="S3359" t="s">
        <v>114</v>
      </c>
      <c r="T3359" t="s">
        <v>1454</v>
      </c>
      <c r="U3359" t="s">
        <v>1455</v>
      </c>
      <c r="V3359" t="s">
        <v>807</v>
      </c>
      <c r="W3359" t="s">
        <v>808</v>
      </c>
      <c r="X3359" t="s">
        <v>807</v>
      </c>
      <c r="Y3359" t="s">
        <v>119</v>
      </c>
      <c r="AD3359" t="s">
        <v>125</v>
      </c>
      <c r="AE3359" t="s">
        <v>126</v>
      </c>
      <c r="AF3359" t="s">
        <v>2522</v>
      </c>
    </row>
    <row r="3360" spans="1:32" hidden="1" x14ac:dyDescent="0.35">
      <c r="A3360">
        <v>1213</v>
      </c>
      <c r="B3360" t="s">
        <v>2518</v>
      </c>
      <c r="C3360" t="s">
        <v>72</v>
      </c>
      <c r="D3360" t="s">
        <v>45</v>
      </c>
      <c r="E3360">
        <v>1759</v>
      </c>
      <c r="F3360">
        <v>5</v>
      </c>
      <c r="G3360">
        <v>5</v>
      </c>
      <c r="H3360">
        <v>1</v>
      </c>
      <c r="I3360">
        <v>1</v>
      </c>
      <c r="J3360">
        <v>0.82419855222337102</v>
      </c>
      <c r="K3360">
        <v>0.93218599033816196</v>
      </c>
      <c r="L3360">
        <v>0.87487258629493003</v>
      </c>
      <c r="M3360">
        <v>0.67307692307692302</v>
      </c>
      <c r="N3360">
        <v>1</v>
      </c>
      <c r="O3360">
        <v>0.76346153846153897</v>
      </c>
      <c r="P3360" t="s">
        <v>2519</v>
      </c>
      <c r="Q3360" t="s">
        <v>2520</v>
      </c>
      <c r="R3360" t="s">
        <v>113</v>
      </c>
      <c r="S3360" t="s">
        <v>114</v>
      </c>
      <c r="T3360" t="s">
        <v>1454</v>
      </c>
      <c r="U3360" t="s">
        <v>1455</v>
      </c>
      <c r="V3360" t="s">
        <v>807</v>
      </c>
      <c r="W3360" t="s">
        <v>808</v>
      </c>
      <c r="X3360" t="s">
        <v>807</v>
      </c>
      <c r="Y3360" t="s">
        <v>119</v>
      </c>
      <c r="AD3360" t="s">
        <v>125</v>
      </c>
      <c r="AE3360" t="s">
        <v>126</v>
      </c>
      <c r="AF3360" t="s">
        <v>2522</v>
      </c>
    </row>
    <row r="3361" spans="1:32" hidden="1" x14ac:dyDescent="0.35">
      <c r="A3361">
        <v>2529</v>
      </c>
      <c r="B3361" t="s">
        <v>5231</v>
      </c>
      <c r="C3361" t="s">
        <v>72</v>
      </c>
      <c r="D3361" t="s">
        <v>58</v>
      </c>
      <c r="E3361">
        <v>1576</v>
      </c>
      <c r="F3361">
        <v>5</v>
      </c>
      <c r="G3361">
        <v>5</v>
      </c>
      <c r="H3361">
        <v>1</v>
      </c>
      <c r="I3361">
        <v>1</v>
      </c>
      <c r="J3361">
        <v>0.86186331399097404</v>
      </c>
      <c r="K3361">
        <v>0.98485880838821505</v>
      </c>
      <c r="L3361">
        <v>0.91926518464739704</v>
      </c>
      <c r="M3361">
        <v>0.607936507936508</v>
      </c>
      <c r="N3361">
        <v>1</v>
      </c>
      <c r="O3361">
        <v>0.80714285714285705</v>
      </c>
      <c r="P3361" t="s">
        <v>5232</v>
      </c>
      <c r="Q3361" t="s">
        <v>5233</v>
      </c>
      <c r="R3361" t="s">
        <v>157</v>
      </c>
      <c r="S3361" t="s">
        <v>158</v>
      </c>
      <c r="T3361" t="s">
        <v>5234</v>
      </c>
      <c r="U3361" t="s">
        <v>5235</v>
      </c>
      <c r="V3361" t="s">
        <v>5236</v>
      </c>
      <c r="W3361" t="s">
        <v>5237</v>
      </c>
      <c r="Z3361" t="s">
        <v>5238</v>
      </c>
      <c r="AA3361" t="s">
        <v>5239</v>
      </c>
      <c r="AB3361" t="s">
        <v>5238</v>
      </c>
      <c r="AC3361" t="s">
        <v>1065</v>
      </c>
      <c r="AD3361" t="s">
        <v>3948</v>
      </c>
      <c r="AE3361" t="s">
        <v>5240</v>
      </c>
      <c r="AF3361" t="s">
        <v>5241</v>
      </c>
    </row>
    <row r="3362" spans="1:32" hidden="1" x14ac:dyDescent="0.35">
      <c r="A3362">
        <v>1300</v>
      </c>
      <c r="B3362" t="s">
        <v>2691</v>
      </c>
      <c r="C3362" t="s">
        <v>72</v>
      </c>
      <c r="D3362" t="s">
        <v>60</v>
      </c>
      <c r="E3362">
        <v>1537</v>
      </c>
      <c r="F3362">
        <v>5</v>
      </c>
      <c r="G3362">
        <v>5</v>
      </c>
      <c r="H3362">
        <v>1</v>
      </c>
      <c r="I3362">
        <v>1</v>
      </c>
      <c r="J3362">
        <v>0.83207185387021898</v>
      </c>
      <c r="K3362">
        <v>0.86467009425878605</v>
      </c>
      <c r="L3362">
        <v>0.84805783119749101</v>
      </c>
      <c r="M3362">
        <v>0.57948717948717998</v>
      </c>
      <c r="N3362">
        <v>1</v>
      </c>
      <c r="O3362">
        <v>0.74820512820512797</v>
      </c>
      <c r="P3362" t="s">
        <v>2692</v>
      </c>
      <c r="Q3362" t="s">
        <v>2693</v>
      </c>
      <c r="R3362" t="s">
        <v>113</v>
      </c>
      <c r="S3362" t="s">
        <v>114</v>
      </c>
      <c r="T3362" t="s">
        <v>2694</v>
      </c>
      <c r="U3362" t="s">
        <v>2695</v>
      </c>
      <c r="V3362" t="s">
        <v>2696</v>
      </c>
      <c r="W3362" t="s">
        <v>2697</v>
      </c>
      <c r="AD3362" t="s">
        <v>2698</v>
      </c>
      <c r="AE3362" t="s">
        <v>2699</v>
      </c>
      <c r="AF3362" t="s">
        <v>2701</v>
      </c>
    </row>
    <row r="3363" spans="1:32" hidden="1" x14ac:dyDescent="0.35">
      <c r="A3363">
        <v>1301</v>
      </c>
      <c r="B3363" t="s">
        <v>2691</v>
      </c>
      <c r="C3363" t="s">
        <v>72</v>
      </c>
      <c r="D3363" t="s">
        <v>62</v>
      </c>
      <c r="E3363">
        <v>1572</v>
      </c>
      <c r="F3363">
        <v>5</v>
      </c>
      <c r="G3363">
        <v>5</v>
      </c>
      <c r="H3363">
        <v>1</v>
      </c>
      <c r="I3363">
        <v>1</v>
      </c>
      <c r="J3363">
        <v>0.83207185387021898</v>
      </c>
      <c r="K3363">
        <v>0.86467009425878605</v>
      </c>
      <c r="L3363">
        <v>0.84805783119749101</v>
      </c>
      <c r="M3363">
        <v>0.57948717948717998</v>
      </c>
      <c r="N3363">
        <v>1</v>
      </c>
      <c r="O3363">
        <v>0.74820512820512797</v>
      </c>
      <c r="P3363" t="s">
        <v>2692</v>
      </c>
      <c r="Q3363" t="s">
        <v>2693</v>
      </c>
      <c r="R3363" t="s">
        <v>113</v>
      </c>
      <c r="S3363" t="s">
        <v>114</v>
      </c>
      <c r="T3363" t="s">
        <v>2694</v>
      </c>
      <c r="U3363" t="s">
        <v>2695</v>
      </c>
      <c r="V3363" t="s">
        <v>2696</v>
      </c>
      <c r="W3363" t="s">
        <v>2697</v>
      </c>
      <c r="AD3363" t="s">
        <v>2698</v>
      </c>
      <c r="AE3363" t="s">
        <v>2699</v>
      </c>
      <c r="AF3363" t="s">
        <v>2701</v>
      </c>
    </row>
    <row r="3364" spans="1:32" hidden="1" x14ac:dyDescent="0.35">
      <c r="A3364">
        <v>1302</v>
      </c>
      <c r="B3364" t="s">
        <v>2691</v>
      </c>
      <c r="C3364" t="s">
        <v>72</v>
      </c>
      <c r="D3364" t="s">
        <v>34</v>
      </c>
      <c r="E3364">
        <v>1961</v>
      </c>
      <c r="F3364">
        <v>5</v>
      </c>
      <c r="G3364">
        <v>5</v>
      </c>
      <c r="H3364">
        <v>1</v>
      </c>
      <c r="I3364">
        <v>1</v>
      </c>
      <c r="J3364">
        <v>0.83207185387021898</v>
      </c>
      <c r="K3364">
        <v>0.86467009425878605</v>
      </c>
      <c r="L3364">
        <v>0.84805783119749101</v>
      </c>
      <c r="M3364">
        <v>0.57948717948717998</v>
      </c>
      <c r="N3364">
        <v>1</v>
      </c>
      <c r="O3364">
        <v>0.74820512820512797</v>
      </c>
      <c r="P3364" t="s">
        <v>2692</v>
      </c>
      <c r="Q3364" t="s">
        <v>2693</v>
      </c>
      <c r="R3364" t="s">
        <v>113</v>
      </c>
      <c r="S3364" t="s">
        <v>114</v>
      </c>
      <c r="T3364" t="s">
        <v>2694</v>
      </c>
      <c r="U3364" t="s">
        <v>2695</v>
      </c>
      <c r="V3364" t="s">
        <v>2696</v>
      </c>
      <c r="W3364" t="s">
        <v>2697</v>
      </c>
      <c r="AD3364" t="s">
        <v>2698</v>
      </c>
      <c r="AE3364" t="s">
        <v>2699</v>
      </c>
      <c r="AF3364" t="s">
        <v>2702</v>
      </c>
    </row>
    <row r="3365" spans="1:32" hidden="1" x14ac:dyDescent="0.35">
      <c r="A3365">
        <v>1303</v>
      </c>
      <c r="B3365" t="s">
        <v>2691</v>
      </c>
      <c r="C3365" t="s">
        <v>72</v>
      </c>
      <c r="D3365" t="s">
        <v>45</v>
      </c>
      <c r="E3365">
        <v>912</v>
      </c>
      <c r="F3365">
        <v>5</v>
      </c>
      <c r="G3365">
        <v>5</v>
      </c>
      <c r="H3365">
        <v>1</v>
      </c>
      <c r="I3365">
        <v>1</v>
      </c>
      <c r="J3365">
        <v>0.83207185387021898</v>
      </c>
      <c r="K3365">
        <v>0.86467009425878605</v>
      </c>
      <c r="L3365">
        <v>0.84805783119749101</v>
      </c>
      <c r="M3365">
        <v>0.57948717948717998</v>
      </c>
      <c r="N3365">
        <v>1</v>
      </c>
      <c r="O3365">
        <v>0.74820512820512797</v>
      </c>
      <c r="P3365" t="s">
        <v>2692</v>
      </c>
      <c r="Q3365" t="s">
        <v>2693</v>
      </c>
      <c r="R3365" t="s">
        <v>113</v>
      </c>
      <c r="S3365" t="s">
        <v>114</v>
      </c>
      <c r="T3365" t="s">
        <v>2694</v>
      </c>
      <c r="U3365" t="s">
        <v>2695</v>
      </c>
      <c r="V3365" t="s">
        <v>2696</v>
      </c>
      <c r="W3365" t="s">
        <v>2697</v>
      </c>
      <c r="AD3365" t="s">
        <v>2698</v>
      </c>
      <c r="AE3365" t="s">
        <v>2699</v>
      </c>
      <c r="AF3365" t="s">
        <v>2702</v>
      </c>
    </row>
    <row r="3366" spans="1:32" hidden="1" x14ac:dyDescent="0.35">
      <c r="A3366">
        <v>1704</v>
      </c>
      <c r="B3366" t="s">
        <v>3563</v>
      </c>
      <c r="C3366" t="s">
        <v>72</v>
      </c>
      <c r="D3366" t="s">
        <v>58</v>
      </c>
      <c r="E3366">
        <v>1458</v>
      </c>
      <c r="F3366">
        <v>5</v>
      </c>
      <c r="G3366">
        <v>5</v>
      </c>
      <c r="H3366">
        <v>1</v>
      </c>
      <c r="I3366">
        <v>1</v>
      </c>
      <c r="J3366">
        <v>0.80636988780311303</v>
      </c>
      <c r="K3366">
        <v>0.95774350649350504</v>
      </c>
      <c r="L3366">
        <v>0.87556222448303</v>
      </c>
      <c r="M3366">
        <v>0.65454545454545499</v>
      </c>
      <c r="N3366">
        <v>1</v>
      </c>
      <c r="O3366">
        <v>0.73194805194805201</v>
      </c>
      <c r="P3366" t="s">
        <v>1130</v>
      </c>
      <c r="Q3366" t="s">
        <v>1131</v>
      </c>
      <c r="R3366" t="s">
        <v>235</v>
      </c>
      <c r="S3366" t="s">
        <v>236</v>
      </c>
      <c r="T3366" t="s">
        <v>3564</v>
      </c>
      <c r="U3366" t="s">
        <v>3565</v>
      </c>
      <c r="V3366" t="s">
        <v>3566</v>
      </c>
      <c r="W3366" t="s">
        <v>3567</v>
      </c>
      <c r="X3366" t="s">
        <v>3566</v>
      </c>
      <c r="Y3366" t="s">
        <v>3568</v>
      </c>
      <c r="Z3366" t="s">
        <v>3569</v>
      </c>
      <c r="AA3366" t="s">
        <v>3570</v>
      </c>
      <c r="AB3366" t="s">
        <v>3569</v>
      </c>
      <c r="AC3366" t="s">
        <v>1682</v>
      </c>
      <c r="AD3366" t="s">
        <v>245</v>
      </c>
      <c r="AE3366" t="s">
        <v>3571</v>
      </c>
      <c r="AF3366" t="e">
        <f>--MGATV--------DIRSQIANAKRIVVKIGSSSLTGD-DLRVHADRIDAFVDALQARMERGSDVYVVSSGAVAAGMPALGLSQRPKDLATKQAAASVGQVALAHEWGRSFARYDRMVGQVLLTASDAGIRSRARNTQRTIDRLRQMHCVPIINENDTVATTELNFGDNDRLAAIVAHLVGADALVLLSDVDGLYDRNPADPQARFISEVRGAGDLDDVVAGDGGRVGTGGMGSKVSAARLASRSGVPVLLASASDIATALGDASCGTVFHPGEG-RLSAWKFWALYAADVSGTLRIDEGAMRAVTSGGTSLLAVGVTEISGEFHSGDIVEIHGPKGEVIGRGEVAYDSRTLAGMLGKQSAELPEAMHRPVVHADYLSNFVTRA</f>
        <v>#NAME?</v>
      </c>
    </row>
    <row r="3367" spans="1:32" hidden="1" x14ac:dyDescent="0.35">
      <c r="A3367">
        <v>1355</v>
      </c>
      <c r="B3367" t="s">
        <v>2809</v>
      </c>
      <c r="C3367" t="s">
        <v>72</v>
      </c>
      <c r="D3367" t="s">
        <v>60</v>
      </c>
      <c r="E3367">
        <v>1215</v>
      </c>
      <c r="F3367">
        <v>5</v>
      </c>
      <c r="G3367">
        <v>5</v>
      </c>
      <c r="H3367">
        <v>1</v>
      </c>
      <c r="I3367">
        <v>1</v>
      </c>
      <c r="J3367">
        <v>0.75546819877028504</v>
      </c>
      <c r="K3367">
        <v>0.93173999050482503</v>
      </c>
      <c r="L3367">
        <v>0.83439605950626095</v>
      </c>
      <c r="M3367">
        <v>0.56741573033707904</v>
      </c>
      <c r="N3367">
        <v>1</v>
      </c>
      <c r="O3367">
        <v>0.661797752808989</v>
      </c>
      <c r="P3367" t="s">
        <v>2810</v>
      </c>
      <c r="Q3367" t="s">
        <v>2811</v>
      </c>
      <c r="R3367" t="s">
        <v>113</v>
      </c>
      <c r="S3367" t="s">
        <v>114</v>
      </c>
      <c r="T3367" t="s">
        <v>2812</v>
      </c>
      <c r="U3367" t="s">
        <v>2813</v>
      </c>
      <c r="V3367" t="s">
        <v>2814</v>
      </c>
      <c r="W3367" t="s">
        <v>2815</v>
      </c>
      <c r="AD3367" t="s">
        <v>1480</v>
      </c>
      <c r="AE3367" t="s">
        <v>2816</v>
      </c>
      <c r="AF3367" t="s">
        <v>2818</v>
      </c>
    </row>
    <row r="3368" spans="1:32" hidden="1" x14ac:dyDescent="0.35">
      <c r="A3368">
        <v>1356</v>
      </c>
      <c r="B3368" t="s">
        <v>2809</v>
      </c>
      <c r="C3368" t="s">
        <v>72</v>
      </c>
      <c r="D3368" t="s">
        <v>62</v>
      </c>
      <c r="E3368">
        <v>1252</v>
      </c>
      <c r="F3368">
        <v>5</v>
      </c>
      <c r="G3368">
        <v>5</v>
      </c>
      <c r="H3368">
        <v>1</v>
      </c>
      <c r="I3368">
        <v>1</v>
      </c>
      <c r="J3368">
        <v>0.75546819877028504</v>
      </c>
      <c r="K3368">
        <v>0.93173999050482503</v>
      </c>
      <c r="L3368">
        <v>0.83439605950626095</v>
      </c>
      <c r="M3368">
        <v>0.56741573033707904</v>
      </c>
      <c r="N3368">
        <v>1</v>
      </c>
      <c r="O3368">
        <v>0.661797752808989</v>
      </c>
      <c r="P3368" t="s">
        <v>2810</v>
      </c>
      <c r="Q3368" t="s">
        <v>2811</v>
      </c>
      <c r="R3368" t="s">
        <v>113</v>
      </c>
      <c r="S3368" t="s">
        <v>114</v>
      </c>
      <c r="T3368" t="s">
        <v>2812</v>
      </c>
      <c r="U3368" t="s">
        <v>2813</v>
      </c>
      <c r="V3368" t="s">
        <v>2814</v>
      </c>
      <c r="W3368" t="s">
        <v>2815</v>
      </c>
      <c r="AD3368" t="s">
        <v>1480</v>
      </c>
      <c r="AE3368" t="s">
        <v>2816</v>
      </c>
      <c r="AF3368" t="s">
        <v>2818</v>
      </c>
    </row>
    <row r="3369" spans="1:32" hidden="1" x14ac:dyDescent="0.35">
      <c r="A3369">
        <v>1357</v>
      </c>
      <c r="B3369" t="s">
        <v>2809</v>
      </c>
      <c r="C3369" t="s">
        <v>72</v>
      </c>
      <c r="D3369" t="s">
        <v>34</v>
      </c>
      <c r="E3369">
        <v>1788</v>
      </c>
      <c r="F3369">
        <v>5</v>
      </c>
      <c r="G3369">
        <v>5</v>
      </c>
      <c r="H3369">
        <v>1</v>
      </c>
      <c r="I3369">
        <v>1</v>
      </c>
      <c r="J3369">
        <v>0.75546819877028504</v>
      </c>
      <c r="K3369">
        <v>0.93173999050482503</v>
      </c>
      <c r="L3369">
        <v>0.83439605950626095</v>
      </c>
      <c r="M3369">
        <v>0.56741573033707904</v>
      </c>
      <c r="N3369">
        <v>1</v>
      </c>
      <c r="O3369">
        <v>0.661797752808989</v>
      </c>
      <c r="P3369" t="s">
        <v>2810</v>
      </c>
      <c r="Q3369" t="s">
        <v>2811</v>
      </c>
      <c r="R3369" t="s">
        <v>113</v>
      </c>
      <c r="S3369" t="s">
        <v>114</v>
      </c>
      <c r="T3369" t="s">
        <v>2812</v>
      </c>
      <c r="U3369" t="s">
        <v>2813</v>
      </c>
      <c r="V3369" t="s">
        <v>2814</v>
      </c>
      <c r="W3369" t="s">
        <v>2815</v>
      </c>
      <c r="AD3369" t="s">
        <v>1480</v>
      </c>
      <c r="AE3369" t="s">
        <v>2816</v>
      </c>
      <c r="AF3369" t="s">
        <v>2819</v>
      </c>
    </row>
    <row r="3370" spans="1:32" hidden="1" x14ac:dyDescent="0.35">
      <c r="A3370">
        <v>1358</v>
      </c>
      <c r="B3370" t="s">
        <v>2809</v>
      </c>
      <c r="C3370" t="s">
        <v>72</v>
      </c>
      <c r="D3370" t="s">
        <v>45</v>
      </c>
      <c r="E3370">
        <v>1085</v>
      </c>
      <c r="F3370">
        <v>5</v>
      </c>
      <c r="G3370">
        <v>5</v>
      </c>
      <c r="H3370">
        <v>1</v>
      </c>
      <c r="I3370">
        <v>1</v>
      </c>
      <c r="J3370">
        <v>0.75546819877028504</v>
      </c>
      <c r="K3370">
        <v>0.93173999050482503</v>
      </c>
      <c r="L3370">
        <v>0.83439605950626095</v>
      </c>
      <c r="M3370">
        <v>0.56741573033707904</v>
      </c>
      <c r="N3370">
        <v>1</v>
      </c>
      <c r="O3370">
        <v>0.661797752808989</v>
      </c>
      <c r="P3370" t="s">
        <v>2810</v>
      </c>
      <c r="Q3370" t="s">
        <v>2811</v>
      </c>
      <c r="R3370" t="s">
        <v>113</v>
      </c>
      <c r="S3370" t="s">
        <v>114</v>
      </c>
      <c r="T3370" t="s">
        <v>2812</v>
      </c>
      <c r="U3370" t="s">
        <v>2813</v>
      </c>
      <c r="V3370" t="s">
        <v>2814</v>
      </c>
      <c r="W3370" t="s">
        <v>2815</v>
      </c>
      <c r="AD3370" t="s">
        <v>1480</v>
      </c>
      <c r="AE3370" t="s">
        <v>2816</v>
      </c>
      <c r="AF3370" t="s">
        <v>2819</v>
      </c>
    </row>
    <row r="3371" spans="1:32" hidden="1" x14ac:dyDescent="0.35">
      <c r="A3371">
        <v>494</v>
      </c>
      <c r="B3371" t="s">
        <v>944</v>
      </c>
      <c r="C3371" t="s">
        <v>72</v>
      </c>
      <c r="D3371" t="s">
        <v>58</v>
      </c>
      <c r="E3371">
        <v>1198</v>
      </c>
      <c r="F3371">
        <v>5</v>
      </c>
      <c r="G3371">
        <v>5</v>
      </c>
      <c r="H3371">
        <v>1</v>
      </c>
      <c r="I3371">
        <v>1</v>
      </c>
      <c r="J3371">
        <v>0.92153379228662402</v>
      </c>
      <c r="K3371">
        <v>0.98547928903221305</v>
      </c>
      <c r="L3371">
        <v>0.95243443827215701</v>
      </c>
      <c r="M3371">
        <v>0.827133479212254</v>
      </c>
      <c r="N3371">
        <v>1</v>
      </c>
      <c r="O3371">
        <v>0.87789934354485799</v>
      </c>
      <c r="P3371" t="s">
        <v>945</v>
      </c>
      <c r="Q3371" t="s">
        <v>946</v>
      </c>
      <c r="R3371" t="s">
        <v>235</v>
      </c>
      <c r="S3371" t="s">
        <v>236</v>
      </c>
      <c r="T3371" t="s">
        <v>947</v>
      </c>
      <c r="U3371" t="s">
        <v>948</v>
      </c>
      <c r="V3371" t="s">
        <v>949</v>
      </c>
      <c r="W3371" t="s">
        <v>950</v>
      </c>
      <c r="X3371" t="s">
        <v>949</v>
      </c>
      <c r="Y3371" t="s">
        <v>190</v>
      </c>
      <c r="AD3371" t="s">
        <v>951</v>
      </c>
      <c r="AE3371" t="s">
        <v>952</v>
      </c>
      <c r="AF3371" t="s">
        <v>953</v>
      </c>
    </row>
    <row r="3372" spans="1:32" hidden="1" x14ac:dyDescent="0.35">
      <c r="A3372">
        <v>1380</v>
      </c>
      <c r="B3372" t="s">
        <v>2876</v>
      </c>
      <c r="C3372" t="s">
        <v>72</v>
      </c>
      <c r="D3372" t="s">
        <v>60</v>
      </c>
      <c r="E3372">
        <v>1507</v>
      </c>
      <c r="F3372">
        <v>5</v>
      </c>
      <c r="G3372">
        <v>5</v>
      </c>
      <c r="H3372">
        <v>1</v>
      </c>
      <c r="I3372">
        <v>1</v>
      </c>
      <c r="J3372">
        <v>0.84868629313073796</v>
      </c>
      <c r="K3372">
        <v>0.79966598150051404</v>
      </c>
      <c r="L3372">
        <v>0.82344723033703104</v>
      </c>
      <c r="M3372">
        <v>0.52857142857142903</v>
      </c>
      <c r="N3372">
        <v>1</v>
      </c>
      <c r="O3372">
        <v>0.74</v>
      </c>
      <c r="P3372" t="s">
        <v>2877</v>
      </c>
      <c r="Q3372" t="s">
        <v>2878</v>
      </c>
      <c r="R3372" t="s">
        <v>113</v>
      </c>
      <c r="S3372" t="s">
        <v>114</v>
      </c>
      <c r="T3372" t="s">
        <v>2879</v>
      </c>
      <c r="U3372" t="s">
        <v>2880</v>
      </c>
      <c r="V3372" t="s">
        <v>2881</v>
      </c>
      <c r="W3372" t="s">
        <v>2882</v>
      </c>
      <c r="AD3372" t="s">
        <v>312</v>
      </c>
      <c r="AE3372" t="s">
        <v>2883</v>
      </c>
      <c r="AF3372" t="s">
        <v>2885</v>
      </c>
    </row>
    <row r="3373" spans="1:32" hidden="1" x14ac:dyDescent="0.35">
      <c r="A3373">
        <v>1381</v>
      </c>
      <c r="B3373" t="s">
        <v>2876</v>
      </c>
      <c r="C3373" t="s">
        <v>72</v>
      </c>
      <c r="D3373" t="s">
        <v>62</v>
      </c>
      <c r="E3373">
        <v>1542</v>
      </c>
      <c r="F3373">
        <v>5</v>
      </c>
      <c r="G3373">
        <v>5</v>
      </c>
      <c r="H3373">
        <v>1</v>
      </c>
      <c r="I3373">
        <v>1</v>
      </c>
      <c r="J3373">
        <v>0.84868629313073796</v>
      </c>
      <c r="K3373">
        <v>0.79966598150051404</v>
      </c>
      <c r="L3373">
        <v>0.82344723033703104</v>
      </c>
      <c r="M3373">
        <v>0.52857142857142903</v>
      </c>
      <c r="N3373">
        <v>1</v>
      </c>
      <c r="O3373">
        <v>0.74</v>
      </c>
      <c r="P3373" t="s">
        <v>2877</v>
      </c>
      <c r="Q3373" t="s">
        <v>2878</v>
      </c>
      <c r="R3373" t="s">
        <v>113</v>
      </c>
      <c r="S3373" t="s">
        <v>114</v>
      </c>
      <c r="T3373" t="s">
        <v>2879</v>
      </c>
      <c r="U3373" t="s">
        <v>2880</v>
      </c>
      <c r="V3373" t="s">
        <v>2881</v>
      </c>
      <c r="W3373" t="s">
        <v>2882</v>
      </c>
      <c r="AD3373" t="s">
        <v>312</v>
      </c>
      <c r="AE3373" t="s">
        <v>2883</v>
      </c>
      <c r="AF3373" t="s">
        <v>2885</v>
      </c>
    </row>
    <row r="3374" spans="1:32" hidden="1" x14ac:dyDescent="0.35">
      <c r="A3374">
        <v>1382</v>
      </c>
      <c r="B3374" t="s">
        <v>2876</v>
      </c>
      <c r="C3374" t="s">
        <v>72</v>
      </c>
      <c r="D3374" t="s">
        <v>34</v>
      </c>
      <c r="E3374">
        <v>1938</v>
      </c>
      <c r="F3374">
        <v>5</v>
      </c>
      <c r="G3374">
        <v>5</v>
      </c>
      <c r="H3374">
        <v>1</v>
      </c>
      <c r="I3374">
        <v>1</v>
      </c>
      <c r="J3374">
        <v>0.84868629313073796</v>
      </c>
      <c r="K3374">
        <v>0.79966598150051404</v>
      </c>
      <c r="L3374">
        <v>0.82344723033703104</v>
      </c>
      <c r="M3374">
        <v>0.52857142857142903</v>
      </c>
      <c r="N3374">
        <v>1</v>
      </c>
      <c r="O3374">
        <v>0.74</v>
      </c>
      <c r="P3374" t="s">
        <v>2877</v>
      </c>
      <c r="Q3374" t="s">
        <v>2878</v>
      </c>
      <c r="R3374" t="s">
        <v>113</v>
      </c>
      <c r="S3374" t="s">
        <v>114</v>
      </c>
      <c r="T3374" t="s">
        <v>2879</v>
      </c>
      <c r="U3374" t="s">
        <v>2880</v>
      </c>
      <c r="V3374" t="s">
        <v>2881</v>
      </c>
      <c r="W3374" t="s">
        <v>2882</v>
      </c>
      <c r="AD3374" t="s">
        <v>312</v>
      </c>
      <c r="AE3374" t="s">
        <v>2883</v>
      </c>
      <c r="AF3374" t="s">
        <v>2886</v>
      </c>
    </row>
    <row r="3375" spans="1:32" hidden="1" x14ac:dyDescent="0.35">
      <c r="A3375">
        <v>1383</v>
      </c>
      <c r="B3375" t="s">
        <v>2876</v>
      </c>
      <c r="C3375" t="s">
        <v>72</v>
      </c>
      <c r="D3375" t="s">
        <v>45</v>
      </c>
      <c r="E3375">
        <v>935</v>
      </c>
      <c r="F3375">
        <v>5</v>
      </c>
      <c r="G3375">
        <v>5</v>
      </c>
      <c r="H3375">
        <v>1</v>
      </c>
      <c r="I3375">
        <v>1</v>
      </c>
      <c r="J3375">
        <v>0.84868629313073796</v>
      </c>
      <c r="K3375">
        <v>0.79966598150051404</v>
      </c>
      <c r="L3375">
        <v>0.82344723033703104</v>
      </c>
      <c r="M3375">
        <v>0.52857142857142903</v>
      </c>
      <c r="N3375">
        <v>1</v>
      </c>
      <c r="O3375">
        <v>0.74</v>
      </c>
      <c r="P3375" t="s">
        <v>2877</v>
      </c>
      <c r="Q3375" t="s">
        <v>2878</v>
      </c>
      <c r="R3375" t="s">
        <v>113</v>
      </c>
      <c r="S3375" t="s">
        <v>114</v>
      </c>
      <c r="T3375" t="s">
        <v>2879</v>
      </c>
      <c r="U3375" t="s">
        <v>2880</v>
      </c>
      <c r="V3375" t="s">
        <v>2881</v>
      </c>
      <c r="W3375" t="s">
        <v>2882</v>
      </c>
      <c r="AD3375" t="s">
        <v>312</v>
      </c>
      <c r="AE3375" t="s">
        <v>2883</v>
      </c>
      <c r="AF3375" t="s">
        <v>2886</v>
      </c>
    </row>
    <row r="3376" spans="1:32" hidden="1" x14ac:dyDescent="0.35">
      <c r="A3376">
        <v>4419</v>
      </c>
      <c r="B3376" t="s">
        <v>9211</v>
      </c>
      <c r="C3376" t="s">
        <v>72</v>
      </c>
      <c r="D3376" t="s">
        <v>58</v>
      </c>
      <c r="E3376">
        <v>843</v>
      </c>
      <c r="F3376">
        <v>5</v>
      </c>
      <c r="G3376">
        <v>5</v>
      </c>
      <c r="H3376">
        <v>1</v>
      </c>
      <c r="I3376">
        <v>1</v>
      </c>
      <c r="J3376">
        <v>0.81407563025210095</v>
      </c>
      <c r="K3376">
        <v>0.96017352364959097</v>
      </c>
      <c r="L3376">
        <v>0.88110947067102996</v>
      </c>
      <c r="M3376">
        <v>0.62468513853904295</v>
      </c>
      <c r="N3376">
        <v>0.98740554156171301</v>
      </c>
      <c r="O3376">
        <v>0.74156171284634798</v>
      </c>
      <c r="P3376" t="s">
        <v>9212</v>
      </c>
      <c r="Q3376" t="s">
        <v>9213</v>
      </c>
      <c r="R3376" t="s">
        <v>235</v>
      </c>
      <c r="S3376" t="s">
        <v>236</v>
      </c>
      <c r="T3376" t="s">
        <v>9214</v>
      </c>
      <c r="U3376" t="s">
        <v>9215</v>
      </c>
      <c r="V3376" t="s">
        <v>9216</v>
      </c>
      <c r="W3376" t="s">
        <v>9217</v>
      </c>
      <c r="X3376" t="s">
        <v>9216</v>
      </c>
      <c r="Y3376" t="s">
        <v>2932</v>
      </c>
      <c r="Z3376" t="s">
        <v>7247</v>
      </c>
      <c r="AA3376" t="s">
        <v>7248</v>
      </c>
      <c r="AB3376" t="s">
        <v>7247</v>
      </c>
      <c r="AC3376" t="s">
        <v>1682</v>
      </c>
      <c r="AD3376" t="s">
        <v>191</v>
      </c>
      <c r="AE3376" t="s">
        <v>9218</v>
      </c>
      <c r="AF3376" t="e">
        <f>--MSTPQGFSTYATTAGIKASGNPDMALIINNGPRYDAAAVFSRNKVVASPLKLTRKHVADGVLRAVLFNSGNANACNGAQGDVDAVASVEAVAQQLGCATTDVAACSTGLIGDVLPMDTIHAGIDAMCAAATATTPTAGAQLHVNEGQDAAAQAIMTTDTVPKQA-HSDGAGFRVSGIGKGVGMMAPSLATMLVTVMTDAVATPEALSNALNSAAFTTFNTLDIDGATSTNDTVIVMASGASGVEPSQEELNRTIHAVCASLADQMQADAEGVTKRVRVEVTGTTTDDMAVEAARTVARDNLFKCAMFGSDPNWGRVLAAVGMAPADMDPDNISVSFNGHTVCRHTTGTPDARAVDLSGTDISVVIDLGTGGSGRGFVRTTDLSHSYVEINSAYST</f>
        <v>#NAME?</v>
      </c>
    </row>
    <row r="3377" spans="1:32" hidden="1" x14ac:dyDescent="0.35">
      <c r="A3377">
        <v>1435</v>
      </c>
      <c r="B3377" t="s">
        <v>2997</v>
      </c>
      <c r="C3377" t="s">
        <v>72</v>
      </c>
      <c r="D3377" t="s">
        <v>60</v>
      </c>
      <c r="E3377">
        <v>480</v>
      </c>
      <c r="F3377">
        <v>5</v>
      </c>
      <c r="G3377">
        <v>5</v>
      </c>
      <c r="H3377">
        <v>1</v>
      </c>
      <c r="I3377">
        <v>1</v>
      </c>
      <c r="J3377">
        <v>0.69877835951134404</v>
      </c>
      <c r="K3377">
        <v>0.80784877885580397</v>
      </c>
      <c r="L3377">
        <v>0.74936555972820496</v>
      </c>
      <c r="M3377">
        <v>0.40816326530612201</v>
      </c>
      <c r="N3377">
        <v>1</v>
      </c>
      <c r="O3377">
        <v>0.55346938775510202</v>
      </c>
      <c r="P3377" t="s">
        <v>2998</v>
      </c>
      <c r="Q3377" t="s">
        <v>2999</v>
      </c>
      <c r="R3377" t="s">
        <v>113</v>
      </c>
      <c r="S3377" t="s">
        <v>114</v>
      </c>
      <c r="T3377" t="s">
        <v>3000</v>
      </c>
      <c r="U3377" t="s">
        <v>3001</v>
      </c>
      <c r="V3377" t="s">
        <v>1654</v>
      </c>
      <c r="W3377" t="s">
        <v>1655</v>
      </c>
      <c r="AD3377" t="s">
        <v>312</v>
      </c>
      <c r="AE3377" t="s">
        <v>1656</v>
      </c>
      <c r="AF3377" t="s">
        <v>3002</v>
      </c>
    </row>
    <row r="3378" spans="1:32" hidden="1" x14ac:dyDescent="0.35">
      <c r="A3378">
        <v>1436</v>
      </c>
      <c r="B3378" t="s">
        <v>2997</v>
      </c>
      <c r="C3378" t="s">
        <v>72</v>
      </c>
      <c r="D3378" t="s">
        <v>62</v>
      </c>
      <c r="E3378">
        <v>563</v>
      </c>
      <c r="F3378">
        <v>5</v>
      </c>
      <c r="G3378">
        <v>5</v>
      </c>
      <c r="H3378">
        <v>1</v>
      </c>
      <c r="I3378">
        <v>1</v>
      </c>
      <c r="J3378">
        <v>0.69877835951134404</v>
      </c>
      <c r="K3378">
        <v>0.80784877885580397</v>
      </c>
      <c r="L3378">
        <v>0.74936555972820496</v>
      </c>
      <c r="M3378">
        <v>0.40816326530612201</v>
      </c>
      <c r="N3378">
        <v>1</v>
      </c>
      <c r="O3378">
        <v>0.55346938775510202</v>
      </c>
      <c r="P3378" t="s">
        <v>2998</v>
      </c>
      <c r="Q3378" t="s">
        <v>2999</v>
      </c>
      <c r="R3378" t="s">
        <v>113</v>
      </c>
      <c r="S3378" t="s">
        <v>114</v>
      </c>
      <c r="T3378" t="s">
        <v>3000</v>
      </c>
      <c r="U3378" t="s">
        <v>3001</v>
      </c>
      <c r="V3378" t="s">
        <v>1654</v>
      </c>
      <c r="W3378" t="s">
        <v>1655</v>
      </c>
      <c r="AD3378" t="s">
        <v>312</v>
      </c>
      <c r="AE3378" t="s">
        <v>1656</v>
      </c>
      <c r="AF3378" t="s">
        <v>3002</v>
      </c>
    </row>
    <row r="3379" spans="1:32" hidden="1" x14ac:dyDescent="0.35">
      <c r="A3379">
        <v>1437</v>
      </c>
      <c r="B3379" t="s">
        <v>2997</v>
      </c>
      <c r="C3379" t="s">
        <v>72</v>
      </c>
      <c r="D3379" t="s">
        <v>34</v>
      </c>
      <c r="E3379">
        <v>1335</v>
      </c>
      <c r="F3379">
        <v>5</v>
      </c>
      <c r="G3379">
        <v>5</v>
      </c>
      <c r="H3379">
        <v>1</v>
      </c>
      <c r="I3379">
        <v>1</v>
      </c>
      <c r="J3379">
        <v>0.69877835951134404</v>
      </c>
      <c r="K3379">
        <v>0.80784877885580397</v>
      </c>
      <c r="L3379">
        <v>0.74936555972820496</v>
      </c>
      <c r="M3379">
        <v>0.40816326530612201</v>
      </c>
      <c r="N3379">
        <v>1</v>
      </c>
      <c r="O3379">
        <v>0.55346938775510202</v>
      </c>
      <c r="P3379" t="s">
        <v>2998</v>
      </c>
      <c r="Q3379" t="s">
        <v>2999</v>
      </c>
      <c r="R3379" t="s">
        <v>113</v>
      </c>
      <c r="S3379" t="s">
        <v>114</v>
      </c>
      <c r="T3379" t="s">
        <v>3000</v>
      </c>
      <c r="U3379" t="s">
        <v>3001</v>
      </c>
      <c r="V3379" t="s">
        <v>1654</v>
      </c>
      <c r="W3379" t="s">
        <v>1655</v>
      </c>
      <c r="AD3379" t="s">
        <v>312</v>
      </c>
      <c r="AE3379" t="s">
        <v>1656</v>
      </c>
      <c r="AF3379" t="s">
        <v>3003</v>
      </c>
    </row>
    <row r="3380" spans="1:32" hidden="1" x14ac:dyDescent="0.35">
      <c r="A3380">
        <v>1438</v>
      </c>
      <c r="B3380" t="s">
        <v>2997</v>
      </c>
      <c r="C3380" t="s">
        <v>72</v>
      </c>
      <c r="D3380" t="s">
        <v>45</v>
      </c>
      <c r="E3380">
        <v>86</v>
      </c>
      <c r="F3380">
        <v>5</v>
      </c>
      <c r="G3380">
        <v>5</v>
      </c>
      <c r="H3380">
        <v>1</v>
      </c>
      <c r="I3380">
        <v>1</v>
      </c>
      <c r="J3380">
        <v>0.69877835951134404</v>
      </c>
      <c r="K3380">
        <v>0.80784877885580397</v>
      </c>
      <c r="L3380">
        <v>0.74936555972820496</v>
      </c>
      <c r="M3380">
        <v>0.40816326530612201</v>
      </c>
      <c r="N3380">
        <v>1</v>
      </c>
      <c r="O3380">
        <v>0.55346938775510202</v>
      </c>
      <c r="P3380" t="s">
        <v>2998</v>
      </c>
      <c r="Q3380" t="s">
        <v>2999</v>
      </c>
      <c r="R3380" t="s">
        <v>113</v>
      </c>
      <c r="S3380" t="s">
        <v>114</v>
      </c>
      <c r="T3380" t="s">
        <v>3000</v>
      </c>
      <c r="U3380" t="s">
        <v>3001</v>
      </c>
      <c r="V3380" t="s">
        <v>1654</v>
      </c>
      <c r="W3380" t="s">
        <v>1655</v>
      </c>
      <c r="AD3380" t="s">
        <v>312</v>
      </c>
      <c r="AE3380" t="s">
        <v>1656</v>
      </c>
      <c r="AF3380" t="s">
        <v>3004</v>
      </c>
    </row>
    <row r="3381" spans="1:32" hidden="1" x14ac:dyDescent="0.35">
      <c r="A3381">
        <v>659</v>
      </c>
      <c r="B3381" t="s">
        <v>1350</v>
      </c>
      <c r="C3381" t="s">
        <v>72</v>
      </c>
      <c r="D3381" t="s">
        <v>58</v>
      </c>
      <c r="E3381">
        <v>298</v>
      </c>
      <c r="F3381">
        <v>5</v>
      </c>
      <c r="G3381">
        <v>5</v>
      </c>
      <c r="H3381">
        <v>1</v>
      </c>
      <c r="I3381">
        <v>1</v>
      </c>
      <c r="J3381">
        <v>0.86651724567301702</v>
      </c>
      <c r="K3381">
        <v>0.93561804049608999</v>
      </c>
      <c r="L3381">
        <v>0.89974284802565097</v>
      </c>
      <c r="M3381">
        <v>0.73867595818815301</v>
      </c>
      <c r="N3381">
        <v>1</v>
      </c>
      <c r="O3381">
        <v>0.809756097560976</v>
      </c>
      <c r="P3381" t="s">
        <v>1351</v>
      </c>
      <c r="Q3381" t="s">
        <v>1352</v>
      </c>
      <c r="R3381" t="s">
        <v>157</v>
      </c>
      <c r="S3381" t="s">
        <v>158</v>
      </c>
      <c r="T3381" t="s">
        <v>1353</v>
      </c>
      <c r="U3381" t="s">
        <v>1354</v>
      </c>
      <c r="V3381" t="s">
        <v>1355</v>
      </c>
      <c r="W3381" t="s">
        <v>1356</v>
      </c>
      <c r="X3381" t="s">
        <v>1355</v>
      </c>
      <c r="Y3381" t="s">
        <v>1357</v>
      </c>
      <c r="AD3381" t="s">
        <v>1358</v>
      </c>
      <c r="AE3381" t="s">
        <v>1359</v>
      </c>
      <c r="AF3381" t="s">
        <v>1360</v>
      </c>
    </row>
    <row r="3382" spans="1:32" hidden="1" x14ac:dyDescent="0.35">
      <c r="A3382">
        <v>1655</v>
      </c>
      <c r="B3382" t="s">
        <v>3472</v>
      </c>
      <c r="C3382" t="s">
        <v>72</v>
      </c>
      <c r="D3382" t="s">
        <v>60</v>
      </c>
      <c r="E3382">
        <v>1473</v>
      </c>
      <c r="F3382">
        <v>5</v>
      </c>
      <c r="G3382">
        <v>5</v>
      </c>
      <c r="H3382">
        <v>1</v>
      </c>
      <c r="I3382">
        <v>1</v>
      </c>
      <c r="J3382">
        <v>0.76464357589238396</v>
      </c>
      <c r="K3382">
        <v>0.86501647989453001</v>
      </c>
      <c r="L3382">
        <v>0.81173897837609099</v>
      </c>
      <c r="M3382">
        <v>0.47567567567567598</v>
      </c>
      <c r="N3382">
        <v>1</v>
      </c>
      <c r="O3382">
        <v>0.67135135135135104</v>
      </c>
      <c r="P3382" t="s">
        <v>3473</v>
      </c>
      <c r="Q3382" t="s">
        <v>3474</v>
      </c>
      <c r="R3382" t="s">
        <v>113</v>
      </c>
      <c r="S3382" t="s">
        <v>114</v>
      </c>
      <c r="T3382" t="s">
        <v>3475</v>
      </c>
      <c r="U3382" t="s">
        <v>3476</v>
      </c>
      <c r="V3382" t="s">
        <v>3477</v>
      </c>
      <c r="W3382" t="s">
        <v>3478</v>
      </c>
      <c r="AD3382" t="s">
        <v>3479</v>
      </c>
      <c r="AE3382" t="s">
        <v>3480</v>
      </c>
      <c r="AF3382" t="e">
        <f>--------------MCYIVIGMSNKEYRPTLAQLRTFVTIAENKHFGTAAAKLAISQPSLSQALVALETGLGVQLIERSTRRVIVTPSGEALLPYAKATLDAAEAFLSYARGANGNLSGPLTIGMIPTIAPYILPNLLHLINAELPELEPRIVEDQTKHLLEQLRDGHIDLAVLAVPTDQPGLIEIPLYTEDFVVVVPHDHKLAGRDDLTIDALRGLNLLLLDDGHCLRDQVVDLCRS---------------------------ADFTPDNRN--TAVTRAASLATVTQCVSGGLGSTLIPLSAVAAECQRDSLAIAQFNPAVNASRTIGLVYRGSTSRTDEFATFGTLITRAYQDSIADVVKPATLAS</f>
        <v>#NAME?</v>
      </c>
    </row>
    <row r="3383" spans="1:32" hidden="1" x14ac:dyDescent="0.35">
      <c r="A3383">
        <v>1656</v>
      </c>
      <c r="B3383" t="s">
        <v>3472</v>
      </c>
      <c r="C3383" t="s">
        <v>72</v>
      </c>
      <c r="D3383" t="s">
        <v>62</v>
      </c>
      <c r="E3383">
        <v>1508</v>
      </c>
      <c r="F3383">
        <v>5</v>
      </c>
      <c r="G3383">
        <v>5</v>
      </c>
      <c r="H3383">
        <v>1</v>
      </c>
      <c r="I3383">
        <v>1</v>
      </c>
      <c r="J3383">
        <v>0.76464357589238396</v>
      </c>
      <c r="K3383">
        <v>0.86501647989453001</v>
      </c>
      <c r="L3383">
        <v>0.81173897837609099</v>
      </c>
      <c r="M3383">
        <v>0.47567567567567598</v>
      </c>
      <c r="N3383">
        <v>1</v>
      </c>
      <c r="O3383">
        <v>0.67135135135135104</v>
      </c>
      <c r="P3383" t="s">
        <v>3473</v>
      </c>
      <c r="Q3383" t="s">
        <v>3474</v>
      </c>
      <c r="R3383" t="s">
        <v>113</v>
      </c>
      <c r="S3383" t="s">
        <v>114</v>
      </c>
      <c r="T3383" t="s">
        <v>3475</v>
      </c>
      <c r="U3383" t="s">
        <v>3476</v>
      </c>
      <c r="V3383" t="s">
        <v>3477</v>
      </c>
      <c r="W3383" t="s">
        <v>3478</v>
      </c>
      <c r="AD3383" t="s">
        <v>3479</v>
      </c>
      <c r="AE3383" t="s">
        <v>3480</v>
      </c>
      <c r="AF3383" t="e">
        <f>--------------MCYIVIGMSNKEYRPTLAQLRTFVTIAENKHFGTAAAKLAISQPSLSQALVALETGLGVQLIERSTRRVIVTPSGEALLPYAKATLDAAEAFLSYARGANGNLSGPLTIGMIPTIAPYILPNLLHLINAELPELEPRIVEDQTKHLLEQLRDGHIDLAVLAVPTDQPGLIEIPLYTEDFVVVVPHDHKLAGRDDLTIDALRGLNLLLLDDGHCLRDQVVDLCRS---------------------------ADFTPDNRN--TAVTRAASLATVTQCVSGGLGSTLIPLSAVAAECQRDSLAIAQFNPAVNASRTIGLVYRGSTSRTDEFATFGTLITRAYQDSIADVVKPATLAS</f>
        <v>#NAME?</v>
      </c>
    </row>
    <row r="3384" spans="1:32" hidden="1" x14ac:dyDescent="0.35">
      <c r="A3384">
        <v>1657</v>
      </c>
      <c r="B3384" t="s">
        <v>3472</v>
      </c>
      <c r="C3384" t="s">
        <v>72</v>
      </c>
      <c r="D3384" t="s">
        <v>34</v>
      </c>
      <c r="E3384">
        <v>1900</v>
      </c>
      <c r="F3384">
        <v>5</v>
      </c>
      <c r="G3384">
        <v>5</v>
      </c>
      <c r="H3384">
        <v>1</v>
      </c>
      <c r="I3384">
        <v>1</v>
      </c>
      <c r="J3384">
        <v>0.76464357589238396</v>
      </c>
      <c r="K3384">
        <v>0.86501647989453001</v>
      </c>
      <c r="L3384">
        <v>0.81173897837609099</v>
      </c>
      <c r="M3384">
        <v>0.47567567567567598</v>
      </c>
      <c r="N3384">
        <v>1</v>
      </c>
      <c r="O3384">
        <v>0.67135135135135104</v>
      </c>
      <c r="P3384" t="s">
        <v>3473</v>
      </c>
      <c r="Q3384" t="s">
        <v>3474</v>
      </c>
      <c r="R3384" t="s">
        <v>113</v>
      </c>
      <c r="S3384" t="s">
        <v>114</v>
      </c>
      <c r="T3384" t="s">
        <v>3475</v>
      </c>
      <c r="U3384" t="s">
        <v>3476</v>
      </c>
      <c r="V3384" t="s">
        <v>3477</v>
      </c>
      <c r="W3384" t="s">
        <v>3478</v>
      </c>
      <c r="AD3384" t="s">
        <v>3479</v>
      </c>
      <c r="AE3384" t="s">
        <v>3480</v>
      </c>
      <c r="AF3384" t="s">
        <v>3482</v>
      </c>
    </row>
    <row r="3385" spans="1:32" hidden="1" x14ac:dyDescent="0.35">
      <c r="A3385">
        <v>1658</v>
      </c>
      <c r="B3385" t="s">
        <v>3472</v>
      </c>
      <c r="C3385" t="s">
        <v>72</v>
      </c>
      <c r="D3385" t="s">
        <v>45</v>
      </c>
      <c r="E3385">
        <v>974</v>
      </c>
      <c r="F3385">
        <v>5</v>
      </c>
      <c r="G3385">
        <v>5</v>
      </c>
      <c r="H3385">
        <v>1</v>
      </c>
      <c r="I3385">
        <v>1</v>
      </c>
      <c r="J3385">
        <v>0.76464357589238396</v>
      </c>
      <c r="K3385">
        <v>0.86501647989453001</v>
      </c>
      <c r="L3385">
        <v>0.81173897837609099</v>
      </c>
      <c r="M3385">
        <v>0.47567567567567598</v>
      </c>
      <c r="N3385">
        <v>1</v>
      </c>
      <c r="O3385">
        <v>0.67135135135135104</v>
      </c>
      <c r="P3385" t="s">
        <v>3473</v>
      </c>
      <c r="Q3385" t="s">
        <v>3474</v>
      </c>
      <c r="R3385" t="s">
        <v>113</v>
      </c>
      <c r="S3385" t="s">
        <v>114</v>
      </c>
      <c r="T3385" t="s">
        <v>3475</v>
      </c>
      <c r="U3385" t="s">
        <v>3476</v>
      </c>
      <c r="V3385" t="s">
        <v>3477</v>
      </c>
      <c r="W3385" t="s">
        <v>3478</v>
      </c>
      <c r="AD3385" t="s">
        <v>3479</v>
      </c>
      <c r="AE3385" t="s">
        <v>3480</v>
      </c>
      <c r="AF3385" t="s">
        <v>3482</v>
      </c>
    </row>
    <row r="3386" spans="1:32" hidden="1" x14ac:dyDescent="0.35">
      <c r="A3386">
        <v>839</v>
      </c>
      <c r="B3386" t="s">
        <v>1733</v>
      </c>
      <c r="C3386" t="s">
        <v>72</v>
      </c>
      <c r="D3386" t="s">
        <v>58</v>
      </c>
      <c r="E3386">
        <v>182</v>
      </c>
      <c r="F3386">
        <v>5</v>
      </c>
      <c r="G3386">
        <v>5</v>
      </c>
      <c r="H3386">
        <v>1</v>
      </c>
      <c r="I3386">
        <v>1</v>
      </c>
      <c r="J3386">
        <v>0.83185185185185195</v>
      </c>
      <c r="K3386">
        <v>0.93175319631347997</v>
      </c>
      <c r="L3386">
        <v>0.87897301340633205</v>
      </c>
      <c r="M3386">
        <v>0.60640732265446196</v>
      </c>
      <c r="N3386">
        <v>1</v>
      </c>
      <c r="O3386">
        <v>0.731578947368421</v>
      </c>
      <c r="P3386" t="s">
        <v>1734</v>
      </c>
      <c r="Q3386" t="s">
        <v>1735</v>
      </c>
      <c r="R3386" t="s">
        <v>869</v>
      </c>
      <c r="S3386" t="s">
        <v>870</v>
      </c>
      <c r="T3386" t="s">
        <v>1736</v>
      </c>
      <c r="U3386" t="s">
        <v>1737</v>
      </c>
      <c r="V3386" t="s">
        <v>1738</v>
      </c>
      <c r="W3386" t="s">
        <v>1739</v>
      </c>
      <c r="X3386" t="s">
        <v>1738</v>
      </c>
      <c r="Y3386" t="s">
        <v>1153</v>
      </c>
      <c r="Z3386" t="s">
        <v>1740</v>
      </c>
      <c r="AA3386" t="s">
        <v>1741</v>
      </c>
      <c r="AB3386" t="s">
        <v>1740</v>
      </c>
      <c r="AC3386" t="s">
        <v>1742</v>
      </c>
      <c r="AD3386" t="s">
        <v>1743</v>
      </c>
      <c r="AE3386" t="s">
        <v>1744</v>
      </c>
      <c r="AF3386" t="s">
        <v>1745</v>
      </c>
    </row>
    <row r="3387" spans="1:32" hidden="1" x14ac:dyDescent="0.35">
      <c r="A3387">
        <v>1730</v>
      </c>
      <c r="B3387" t="s">
        <v>3611</v>
      </c>
      <c r="C3387" t="s">
        <v>72</v>
      </c>
      <c r="D3387" t="s">
        <v>60</v>
      </c>
      <c r="E3387">
        <v>1900</v>
      </c>
      <c r="F3387">
        <v>5</v>
      </c>
      <c r="G3387">
        <v>5</v>
      </c>
      <c r="H3387">
        <v>1</v>
      </c>
      <c r="I3387">
        <v>1</v>
      </c>
      <c r="J3387">
        <v>0.79646193599682003</v>
      </c>
      <c r="K3387">
        <v>0.98084580953851197</v>
      </c>
      <c r="L3387">
        <v>0.879089571675848</v>
      </c>
      <c r="M3387">
        <v>0.63157894736842102</v>
      </c>
      <c r="N3387">
        <v>1</v>
      </c>
      <c r="O3387">
        <v>0.72514619883040898</v>
      </c>
      <c r="P3387" t="s">
        <v>3612</v>
      </c>
      <c r="Q3387" t="s">
        <v>3613</v>
      </c>
      <c r="R3387" t="s">
        <v>113</v>
      </c>
      <c r="S3387" t="s">
        <v>114</v>
      </c>
      <c r="T3387" t="s">
        <v>3614</v>
      </c>
      <c r="U3387" t="s">
        <v>3615</v>
      </c>
      <c r="V3387" t="s">
        <v>3616</v>
      </c>
      <c r="W3387" t="s">
        <v>3617</v>
      </c>
      <c r="AD3387" t="s">
        <v>312</v>
      </c>
      <c r="AE3387" t="s">
        <v>805</v>
      </c>
      <c r="AF3387" t="s">
        <v>3619</v>
      </c>
    </row>
    <row r="3388" spans="1:32" hidden="1" x14ac:dyDescent="0.35">
      <c r="A3388">
        <v>1731</v>
      </c>
      <c r="B3388" t="s">
        <v>3611</v>
      </c>
      <c r="C3388" t="s">
        <v>72</v>
      </c>
      <c r="D3388" t="s">
        <v>62</v>
      </c>
      <c r="E3388">
        <v>1940</v>
      </c>
      <c r="F3388">
        <v>5</v>
      </c>
      <c r="G3388">
        <v>5</v>
      </c>
      <c r="H3388">
        <v>1</v>
      </c>
      <c r="I3388">
        <v>1</v>
      </c>
      <c r="J3388">
        <v>0.79646193599682003</v>
      </c>
      <c r="K3388">
        <v>0.98084580953851197</v>
      </c>
      <c r="L3388">
        <v>0.879089571675848</v>
      </c>
      <c r="M3388">
        <v>0.63157894736842102</v>
      </c>
      <c r="N3388">
        <v>1</v>
      </c>
      <c r="O3388">
        <v>0.72514619883040898</v>
      </c>
      <c r="P3388" t="s">
        <v>3612</v>
      </c>
      <c r="Q3388" t="s">
        <v>3613</v>
      </c>
      <c r="R3388" t="s">
        <v>113</v>
      </c>
      <c r="S3388" t="s">
        <v>114</v>
      </c>
      <c r="T3388" t="s">
        <v>3614</v>
      </c>
      <c r="U3388" t="s">
        <v>3615</v>
      </c>
      <c r="V3388" t="s">
        <v>3616</v>
      </c>
      <c r="W3388" t="s">
        <v>3617</v>
      </c>
      <c r="AD3388" t="s">
        <v>312</v>
      </c>
      <c r="AE3388" t="s">
        <v>805</v>
      </c>
      <c r="AF3388" t="s">
        <v>3619</v>
      </c>
    </row>
    <row r="3389" spans="1:32" hidden="1" x14ac:dyDescent="0.35">
      <c r="A3389">
        <v>1732</v>
      </c>
      <c r="B3389" t="s">
        <v>3611</v>
      </c>
      <c r="C3389" t="s">
        <v>72</v>
      </c>
      <c r="D3389" t="s">
        <v>34</v>
      </c>
      <c r="E3389">
        <v>2255</v>
      </c>
      <c r="F3389">
        <v>5</v>
      </c>
      <c r="G3389">
        <v>5</v>
      </c>
      <c r="H3389">
        <v>1</v>
      </c>
      <c r="I3389">
        <v>1</v>
      </c>
      <c r="J3389">
        <v>0.79646193599682003</v>
      </c>
      <c r="K3389">
        <v>0.98084580953851197</v>
      </c>
      <c r="L3389">
        <v>0.879089571675848</v>
      </c>
      <c r="M3389">
        <v>0.63157894736842102</v>
      </c>
      <c r="N3389">
        <v>1</v>
      </c>
      <c r="O3389">
        <v>0.72514619883040898</v>
      </c>
      <c r="P3389" t="s">
        <v>3612</v>
      </c>
      <c r="Q3389" t="s">
        <v>3613</v>
      </c>
      <c r="R3389" t="s">
        <v>113</v>
      </c>
      <c r="S3389" t="s">
        <v>114</v>
      </c>
      <c r="T3389" t="s">
        <v>3614</v>
      </c>
      <c r="U3389" t="s">
        <v>3615</v>
      </c>
      <c r="V3389" t="s">
        <v>3616</v>
      </c>
      <c r="W3389" t="s">
        <v>3617</v>
      </c>
      <c r="AD3389" t="s">
        <v>312</v>
      </c>
      <c r="AE3389" t="s">
        <v>805</v>
      </c>
      <c r="AF3389" t="s">
        <v>3620</v>
      </c>
    </row>
    <row r="3390" spans="1:32" hidden="1" x14ac:dyDescent="0.35">
      <c r="A3390">
        <v>1733</v>
      </c>
      <c r="B3390" t="s">
        <v>3611</v>
      </c>
      <c r="C3390" t="s">
        <v>72</v>
      </c>
      <c r="D3390" t="s">
        <v>45</v>
      </c>
      <c r="E3390">
        <v>622</v>
      </c>
      <c r="F3390">
        <v>5</v>
      </c>
      <c r="G3390">
        <v>5</v>
      </c>
      <c r="H3390">
        <v>1</v>
      </c>
      <c r="I3390">
        <v>1</v>
      </c>
      <c r="J3390">
        <v>0.79646193599682003</v>
      </c>
      <c r="K3390">
        <v>0.98084580953851197</v>
      </c>
      <c r="L3390">
        <v>0.879089571675848</v>
      </c>
      <c r="M3390">
        <v>0.63157894736842102</v>
      </c>
      <c r="N3390">
        <v>1</v>
      </c>
      <c r="O3390">
        <v>0.72514619883040898</v>
      </c>
      <c r="P3390" t="s">
        <v>3612</v>
      </c>
      <c r="Q3390" t="s">
        <v>3613</v>
      </c>
      <c r="R3390" t="s">
        <v>113</v>
      </c>
      <c r="S3390" t="s">
        <v>114</v>
      </c>
      <c r="T3390" t="s">
        <v>3614</v>
      </c>
      <c r="U3390" t="s">
        <v>3615</v>
      </c>
      <c r="V3390" t="s">
        <v>3616</v>
      </c>
      <c r="W3390" t="s">
        <v>3617</v>
      </c>
      <c r="AD3390" t="s">
        <v>312</v>
      </c>
      <c r="AE3390" t="s">
        <v>805</v>
      </c>
      <c r="AF3390" t="s">
        <v>3620</v>
      </c>
    </row>
    <row r="3391" spans="1:32" hidden="1" x14ac:dyDescent="0.35">
      <c r="A3391">
        <v>814</v>
      </c>
      <c r="B3391" t="s">
        <v>1673</v>
      </c>
      <c r="C3391" t="s">
        <v>72</v>
      </c>
      <c r="D3391" t="s">
        <v>58</v>
      </c>
      <c r="E3391">
        <v>1344</v>
      </c>
      <c r="F3391">
        <v>5</v>
      </c>
      <c r="G3391">
        <v>5</v>
      </c>
      <c r="H3391">
        <v>1</v>
      </c>
      <c r="I3391">
        <v>1</v>
      </c>
      <c r="J3391">
        <v>0.88064808995041599</v>
      </c>
      <c r="K3391">
        <v>0.99853556485355499</v>
      </c>
      <c r="L3391">
        <v>0.93589408963603804</v>
      </c>
      <c r="M3391">
        <v>0.77824267782426804</v>
      </c>
      <c r="N3391">
        <v>1</v>
      </c>
      <c r="O3391">
        <v>0.83828451882845201</v>
      </c>
      <c r="P3391" t="s">
        <v>1674</v>
      </c>
      <c r="Q3391" t="s">
        <v>1675</v>
      </c>
      <c r="R3391" t="s">
        <v>235</v>
      </c>
      <c r="S3391" t="s">
        <v>236</v>
      </c>
      <c r="T3391" t="s">
        <v>1676</v>
      </c>
      <c r="U3391" t="s">
        <v>1677</v>
      </c>
      <c r="V3391" t="s">
        <v>1678</v>
      </c>
      <c r="W3391" t="s">
        <v>1679</v>
      </c>
      <c r="X3391" t="s">
        <v>1678</v>
      </c>
      <c r="Y3391" t="s">
        <v>190</v>
      </c>
      <c r="Z3391" t="s">
        <v>1680</v>
      </c>
      <c r="AA3391" t="s">
        <v>1681</v>
      </c>
      <c r="AB3391" t="s">
        <v>1680</v>
      </c>
      <c r="AC3391" t="s">
        <v>1682</v>
      </c>
      <c r="AD3391" t="s">
        <v>1683</v>
      </c>
      <c r="AE3391" t="s">
        <v>1684</v>
      </c>
      <c r="AF3391" t="s">
        <v>1685</v>
      </c>
    </row>
    <row r="3392" spans="1:32" hidden="1" x14ac:dyDescent="0.35">
      <c r="A3392">
        <v>1765</v>
      </c>
      <c r="B3392" t="s">
        <v>3666</v>
      </c>
      <c r="C3392" t="s">
        <v>72</v>
      </c>
      <c r="D3392" t="s">
        <v>60</v>
      </c>
      <c r="E3392">
        <v>710</v>
      </c>
      <c r="F3392">
        <v>5</v>
      </c>
      <c r="G3392">
        <v>5</v>
      </c>
      <c r="H3392">
        <v>1</v>
      </c>
      <c r="I3392">
        <v>1</v>
      </c>
      <c r="J3392">
        <v>0.80098726942062903</v>
      </c>
      <c r="K3392">
        <v>0.95827067669172905</v>
      </c>
      <c r="L3392">
        <v>0.87259814785585099</v>
      </c>
      <c r="M3392">
        <v>0.57462686567164201</v>
      </c>
      <c r="N3392">
        <v>1</v>
      </c>
      <c r="O3392">
        <v>0.69850746268656705</v>
      </c>
      <c r="P3392" t="s">
        <v>3667</v>
      </c>
      <c r="Q3392" t="s">
        <v>3668</v>
      </c>
      <c r="R3392" t="s">
        <v>113</v>
      </c>
      <c r="S3392" t="s">
        <v>114</v>
      </c>
      <c r="T3392" t="s">
        <v>3669</v>
      </c>
      <c r="U3392" t="s">
        <v>3670</v>
      </c>
      <c r="V3392" t="s">
        <v>3671</v>
      </c>
      <c r="W3392" t="s">
        <v>3672</v>
      </c>
      <c r="AD3392" t="s">
        <v>410</v>
      </c>
      <c r="AE3392" t="s">
        <v>3673</v>
      </c>
      <c r="AF3392" t="s">
        <v>3674</v>
      </c>
    </row>
    <row r="3393" spans="1:32" hidden="1" x14ac:dyDescent="0.35">
      <c r="A3393">
        <v>1766</v>
      </c>
      <c r="B3393" t="s">
        <v>3666</v>
      </c>
      <c r="C3393" t="s">
        <v>72</v>
      </c>
      <c r="D3393" t="s">
        <v>62</v>
      </c>
      <c r="E3393">
        <v>741</v>
      </c>
      <c r="F3393">
        <v>5</v>
      </c>
      <c r="G3393">
        <v>5</v>
      </c>
      <c r="H3393">
        <v>1</v>
      </c>
      <c r="I3393">
        <v>1</v>
      </c>
      <c r="J3393">
        <v>0.80098726942062903</v>
      </c>
      <c r="K3393">
        <v>0.95827067669172905</v>
      </c>
      <c r="L3393">
        <v>0.87259814785585099</v>
      </c>
      <c r="M3393">
        <v>0.57462686567164201</v>
      </c>
      <c r="N3393">
        <v>1</v>
      </c>
      <c r="O3393">
        <v>0.69850746268656705</v>
      </c>
      <c r="P3393" t="s">
        <v>3667</v>
      </c>
      <c r="Q3393" t="s">
        <v>3668</v>
      </c>
      <c r="R3393" t="s">
        <v>113</v>
      </c>
      <c r="S3393" t="s">
        <v>114</v>
      </c>
      <c r="T3393" t="s">
        <v>3669</v>
      </c>
      <c r="U3393" t="s">
        <v>3670</v>
      </c>
      <c r="V3393" t="s">
        <v>3671</v>
      </c>
      <c r="W3393" t="s">
        <v>3672</v>
      </c>
      <c r="AD3393" t="s">
        <v>410</v>
      </c>
      <c r="AE3393" t="s">
        <v>3673</v>
      </c>
      <c r="AF3393" t="s">
        <v>3674</v>
      </c>
    </row>
    <row r="3394" spans="1:32" hidden="1" x14ac:dyDescent="0.35">
      <c r="A3394">
        <v>1767</v>
      </c>
      <c r="B3394" t="s">
        <v>3666</v>
      </c>
      <c r="C3394" t="s">
        <v>72</v>
      </c>
      <c r="D3394" t="s">
        <v>34</v>
      </c>
      <c r="E3394">
        <v>425</v>
      </c>
      <c r="F3394">
        <v>5</v>
      </c>
      <c r="G3394">
        <v>5</v>
      </c>
      <c r="H3394">
        <v>1</v>
      </c>
      <c r="I3394">
        <v>1</v>
      </c>
      <c r="J3394">
        <v>0.80098726942062903</v>
      </c>
      <c r="K3394">
        <v>0.95827067669172905</v>
      </c>
      <c r="L3394">
        <v>0.87259814785585099</v>
      </c>
      <c r="M3394">
        <v>0.57462686567164201</v>
      </c>
      <c r="N3394">
        <v>1</v>
      </c>
      <c r="O3394">
        <v>0.69850746268656705</v>
      </c>
      <c r="P3394" t="s">
        <v>3667</v>
      </c>
      <c r="Q3394" t="s">
        <v>3668</v>
      </c>
      <c r="R3394" t="s">
        <v>113</v>
      </c>
      <c r="S3394" t="s">
        <v>114</v>
      </c>
      <c r="T3394" t="s">
        <v>3669</v>
      </c>
      <c r="U3394" t="s">
        <v>3670</v>
      </c>
      <c r="V3394" t="s">
        <v>3671</v>
      </c>
      <c r="W3394" t="s">
        <v>3672</v>
      </c>
      <c r="AD3394" t="s">
        <v>410</v>
      </c>
      <c r="AE3394" t="s">
        <v>3673</v>
      </c>
      <c r="AF3394" t="e">
        <f>--MPIGKVKWYDPDRGFGFISNPDGEDCYVGKSVLPHGVTELHRGQRVDFDFASGARGPQALRVKILDEPRPRSRNRQTKHKYTPEELGSLIADMVTTLEERVQPPLTAGRYPDRKEGKQIAEALRIIAKELDG</f>
        <v>#NAME?</v>
      </c>
    </row>
    <row r="3395" spans="1:32" hidden="1" x14ac:dyDescent="0.35">
      <c r="A3395">
        <v>1768</v>
      </c>
      <c r="B3395" t="s">
        <v>3666</v>
      </c>
      <c r="C3395" t="s">
        <v>72</v>
      </c>
      <c r="D3395" t="s">
        <v>45</v>
      </c>
      <c r="E3395">
        <v>1687</v>
      </c>
      <c r="F3395">
        <v>5</v>
      </c>
      <c r="G3395">
        <v>5</v>
      </c>
      <c r="H3395">
        <v>1</v>
      </c>
      <c r="I3395">
        <v>1</v>
      </c>
      <c r="J3395">
        <v>0.80098726942062903</v>
      </c>
      <c r="K3395">
        <v>0.95827067669172905</v>
      </c>
      <c r="L3395">
        <v>0.87259814785585099</v>
      </c>
      <c r="M3395">
        <v>0.57462686567164201</v>
      </c>
      <c r="N3395">
        <v>1</v>
      </c>
      <c r="O3395">
        <v>0.69850746268656705</v>
      </c>
      <c r="P3395" t="s">
        <v>3667</v>
      </c>
      <c r="Q3395" t="s">
        <v>3668</v>
      </c>
      <c r="R3395" t="s">
        <v>113</v>
      </c>
      <c r="S3395" t="s">
        <v>114</v>
      </c>
      <c r="T3395" t="s">
        <v>3669</v>
      </c>
      <c r="U3395" t="s">
        <v>3670</v>
      </c>
      <c r="V3395" t="s">
        <v>3671</v>
      </c>
      <c r="W3395" t="s">
        <v>3672</v>
      </c>
      <c r="AD3395" t="s">
        <v>410</v>
      </c>
      <c r="AE3395" t="s">
        <v>3673</v>
      </c>
      <c r="AF3395" t="e">
        <f>--MPIGKVKWYDPDRGFGFISNPDGEDCYVGKSVLPHGVTELHRGQRVDFDFASGARGPQALRVKILDEPRPRSRNRQTKHKYTPEELGSLIADMVTTLEERVQPPLTAGRYPDRKEGKQIAEALRIIAKELDG</f>
        <v>#NAME?</v>
      </c>
    </row>
    <row r="3396" spans="1:32" hidden="1" x14ac:dyDescent="0.35">
      <c r="A3396">
        <v>1334</v>
      </c>
      <c r="B3396" t="s">
        <v>2769</v>
      </c>
      <c r="C3396" t="s">
        <v>72</v>
      </c>
      <c r="D3396" t="s">
        <v>58</v>
      </c>
      <c r="E3396">
        <v>1352</v>
      </c>
      <c r="F3396">
        <v>5</v>
      </c>
      <c r="G3396">
        <v>5</v>
      </c>
      <c r="H3396">
        <v>1</v>
      </c>
      <c r="I3396">
        <v>1</v>
      </c>
      <c r="J3396">
        <v>0.84162313574078296</v>
      </c>
      <c r="K3396">
        <v>0.97870378619153997</v>
      </c>
      <c r="L3396">
        <v>0.905001996697959</v>
      </c>
      <c r="M3396">
        <v>0.72222222222222199</v>
      </c>
      <c r="N3396">
        <v>1</v>
      </c>
      <c r="O3396">
        <v>0.78977777777777802</v>
      </c>
      <c r="P3396" t="s">
        <v>1674</v>
      </c>
      <c r="Q3396" t="s">
        <v>1675</v>
      </c>
      <c r="R3396" t="s">
        <v>235</v>
      </c>
      <c r="S3396" t="s">
        <v>236</v>
      </c>
      <c r="T3396" t="s">
        <v>1676</v>
      </c>
      <c r="U3396" t="s">
        <v>1677</v>
      </c>
      <c r="V3396" t="s">
        <v>1678</v>
      </c>
      <c r="W3396" t="s">
        <v>1679</v>
      </c>
      <c r="X3396" t="s">
        <v>1678</v>
      </c>
      <c r="Y3396" t="s">
        <v>190</v>
      </c>
      <c r="Z3396" t="s">
        <v>1680</v>
      </c>
      <c r="AA3396" t="s">
        <v>1681</v>
      </c>
      <c r="AB3396" t="s">
        <v>1680</v>
      </c>
      <c r="AC3396" t="s">
        <v>1682</v>
      </c>
      <c r="AD3396" t="s">
        <v>1683</v>
      </c>
      <c r="AE3396" t="s">
        <v>1684</v>
      </c>
      <c r="AF3396" t="s">
        <v>2770</v>
      </c>
    </row>
    <row r="3397" spans="1:32" hidden="1" x14ac:dyDescent="0.35">
      <c r="A3397">
        <v>1795</v>
      </c>
      <c r="B3397" t="s">
        <v>3726</v>
      </c>
      <c r="C3397" t="s">
        <v>72</v>
      </c>
      <c r="D3397" t="s">
        <v>60</v>
      </c>
      <c r="E3397">
        <v>1374</v>
      </c>
      <c r="F3397">
        <v>5</v>
      </c>
      <c r="G3397">
        <v>5</v>
      </c>
      <c r="H3397">
        <v>1</v>
      </c>
      <c r="I3397">
        <v>1</v>
      </c>
      <c r="J3397">
        <v>0.83564567769477005</v>
      </c>
      <c r="K3397">
        <v>0.93097029702970202</v>
      </c>
      <c r="L3397">
        <v>0.88073618251575103</v>
      </c>
      <c r="M3397">
        <v>0.66336633663366296</v>
      </c>
      <c r="N3397">
        <v>1</v>
      </c>
      <c r="O3397">
        <v>0.75049504950495005</v>
      </c>
      <c r="P3397" t="s">
        <v>3727</v>
      </c>
      <c r="Q3397" t="s">
        <v>3728</v>
      </c>
      <c r="R3397" t="s">
        <v>113</v>
      </c>
      <c r="S3397" t="s">
        <v>114</v>
      </c>
      <c r="T3397" t="s">
        <v>3729</v>
      </c>
      <c r="U3397" t="s">
        <v>3730</v>
      </c>
      <c r="V3397" t="s">
        <v>3731</v>
      </c>
      <c r="W3397" t="s">
        <v>3732</v>
      </c>
      <c r="X3397" t="s">
        <v>3731</v>
      </c>
      <c r="Y3397" t="s">
        <v>119</v>
      </c>
      <c r="AD3397" t="s">
        <v>1566</v>
      </c>
      <c r="AE3397" t="s">
        <v>1567</v>
      </c>
      <c r="AF3397" t="s">
        <v>3734</v>
      </c>
    </row>
    <row r="3398" spans="1:32" hidden="1" x14ac:dyDescent="0.35">
      <c r="A3398">
        <v>1796</v>
      </c>
      <c r="B3398" t="s">
        <v>3726</v>
      </c>
      <c r="C3398" t="s">
        <v>72</v>
      </c>
      <c r="D3398" t="s">
        <v>62</v>
      </c>
      <c r="E3398">
        <v>1409</v>
      </c>
      <c r="F3398">
        <v>5</v>
      </c>
      <c r="G3398">
        <v>5</v>
      </c>
      <c r="H3398">
        <v>1</v>
      </c>
      <c r="I3398">
        <v>1</v>
      </c>
      <c r="J3398">
        <v>0.83564567769477005</v>
      </c>
      <c r="K3398">
        <v>0.93097029702970202</v>
      </c>
      <c r="L3398">
        <v>0.88073618251575103</v>
      </c>
      <c r="M3398">
        <v>0.66336633663366296</v>
      </c>
      <c r="N3398">
        <v>1</v>
      </c>
      <c r="O3398">
        <v>0.75049504950495005</v>
      </c>
      <c r="P3398" t="s">
        <v>3727</v>
      </c>
      <c r="Q3398" t="s">
        <v>3728</v>
      </c>
      <c r="R3398" t="s">
        <v>113</v>
      </c>
      <c r="S3398" t="s">
        <v>114</v>
      </c>
      <c r="T3398" t="s">
        <v>3729</v>
      </c>
      <c r="U3398" t="s">
        <v>3730</v>
      </c>
      <c r="V3398" t="s">
        <v>3731</v>
      </c>
      <c r="W3398" t="s">
        <v>3732</v>
      </c>
      <c r="X3398" t="s">
        <v>3731</v>
      </c>
      <c r="Y3398" t="s">
        <v>119</v>
      </c>
      <c r="AD3398" t="s">
        <v>1566</v>
      </c>
      <c r="AE3398" t="s">
        <v>1567</v>
      </c>
      <c r="AF3398" t="s">
        <v>3734</v>
      </c>
    </row>
    <row r="3399" spans="1:32" hidden="1" x14ac:dyDescent="0.35">
      <c r="A3399">
        <v>1797</v>
      </c>
      <c r="B3399" t="s">
        <v>3726</v>
      </c>
      <c r="C3399" t="s">
        <v>72</v>
      </c>
      <c r="D3399" t="s">
        <v>34</v>
      </c>
      <c r="E3399">
        <v>1801</v>
      </c>
      <c r="F3399">
        <v>5</v>
      </c>
      <c r="G3399">
        <v>5</v>
      </c>
      <c r="H3399">
        <v>1</v>
      </c>
      <c r="I3399">
        <v>1</v>
      </c>
      <c r="J3399">
        <v>0.83564567769477005</v>
      </c>
      <c r="K3399">
        <v>0.93097029702970202</v>
      </c>
      <c r="L3399">
        <v>0.88073618251575103</v>
      </c>
      <c r="M3399">
        <v>0.66336633663366296</v>
      </c>
      <c r="N3399">
        <v>1</v>
      </c>
      <c r="O3399">
        <v>0.75049504950495005</v>
      </c>
      <c r="P3399" t="s">
        <v>3727</v>
      </c>
      <c r="Q3399" t="s">
        <v>3728</v>
      </c>
      <c r="R3399" t="s">
        <v>113</v>
      </c>
      <c r="S3399" t="s">
        <v>114</v>
      </c>
      <c r="T3399" t="s">
        <v>3729</v>
      </c>
      <c r="U3399" t="s">
        <v>3730</v>
      </c>
      <c r="V3399" t="s">
        <v>3731</v>
      </c>
      <c r="W3399" t="s">
        <v>3732</v>
      </c>
      <c r="X3399" t="s">
        <v>3731</v>
      </c>
      <c r="Y3399" t="s">
        <v>119</v>
      </c>
      <c r="AD3399" t="s">
        <v>1566</v>
      </c>
      <c r="AE3399" t="s">
        <v>1567</v>
      </c>
      <c r="AF3399" t="s">
        <v>3735</v>
      </c>
    </row>
    <row r="3400" spans="1:32" hidden="1" x14ac:dyDescent="0.35">
      <c r="A3400">
        <v>1798</v>
      </c>
      <c r="B3400" t="s">
        <v>3726</v>
      </c>
      <c r="C3400" t="s">
        <v>72</v>
      </c>
      <c r="D3400" t="s">
        <v>45</v>
      </c>
      <c r="E3400">
        <v>1072</v>
      </c>
      <c r="F3400">
        <v>5</v>
      </c>
      <c r="G3400">
        <v>5</v>
      </c>
      <c r="H3400">
        <v>1</v>
      </c>
      <c r="I3400">
        <v>1</v>
      </c>
      <c r="J3400">
        <v>0.83564567769477005</v>
      </c>
      <c r="K3400">
        <v>0.93097029702970202</v>
      </c>
      <c r="L3400">
        <v>0.88073618251575103</v>
      </c>
      <c r="M3400">
        <v>0.66336633663366296</v>
      </c>
      <c r="N3400">
        <v>1</v>
      </c>
      <c r="O3400">
        <v>0.75049504950495005</v>
      </c>
      <c r="P3400" t="s">
        <v>3727</v>
      </c>
      <c r="Q3400" t="s">
        <v>3728</v>
      </c>
      <c r="R3400" t="s">
        <v>113</v>
      </c>
      <c r="S3400" t="s">
        <v>114</v>
      </c>
      <c r="T3400" t="s">
        <v>3729</v>
      </c>
      <c r="U3400" t="s">
        <v>3730</v>
      </c>
      <c r="V3400" t="s">
        <v>3731</v>
      </c>
      <c r="W3400" t="s">
        <v>3732</v>
      </c>
      <c r="X3400" t="s">
        <v>3731</v>
      </c>
      <c r="Y3400" t="s">
        <v>119</v>
      </c>
      <c r="AD3400" t="s">
        <v>1566</v>
      </c>
      <c r="AE3400" t="s">
        <v>1567</v>
      </c>
      <c r="AF3400" t="s">
        <v>3735</v>
      </c>
    </row>
    <row r="3401" spans="1:32" hidden="1" x14ac:dyDescent="0.35">
      <c r="A3401">
        <v>1134</v>
      </c>
      <c r="B3401" t="s">
        <v>2348</v>
      </c>
      <c r="C3401" t="s">
        <v>72</v>
      </c>
      <c r="D3401" t="s">
        <v>58</v>
      </c>
      <c r="E3401">
        <v>801</v>
      </c>
      <c r="F3401">
        <v>5</v>
      </c>
      <c r="G3401">
        <v>5</v>
      </c>
      <c r="H3401">
        <v>1</v>
      </c>
      <c r="I3401">
        <v>1</v>
      </c>
      <c r="J3401">
        <v>0.87762686668018097</v>
      </c>
      <c r="K3401">
        <v>0.99258778477315701</v>
      </c>
      <c r="L3401">
        <v>0.93157403806941796</v>
      </c>
      <c r="M3401">
        <v>0.78672032193159003</v>
      </c>
      <c r="N3401">
        <v>1</v>
      </c>
      <c r="O3401">
        <v>0.84084507042253498</v>
      </c>
      <c r="P3401" t="s">
        <v>2349</v>
      </c>
      <c r="Q3401" t="s">
        <v>2350</v>
      </c>
      <c r="R3401" t="s">
        <v>224</v>
      </c>
      <c r="S3401" t="s">
        <v>225</v>
      </c>
      <c r="T3401" t="s">
        <v>2351</v>
      </c>
      <c r="U3401" t="s">
        <v>2352</v>
      </c>
      <c r="V3401" t="s">
        <v>2353</v>
      </c>
      <c r="W3401" t="s">
        <v>2354</v>
      </c>
      <c r="X3401" t="s">
        <v>2353</v>
      </c>
      <c r="Y3401" t="s">
        <v>1153</v>
      </c>
      <c r="Z3401" t="s">
        <v>2355</v>
      </c>
      <c r="AA3401" t="s">
        <v>2356</v>
      </c>
      <c r="AB3401" t="s">
        <v>2355</v>
      </c>
      <c r="AC3401" t="s">
        <v>1094</v>
      </c>
      <c r="AD3401" t="s">
        <v>2357</v>
      </c>
      <c r="AE3401" t="s">
        <v>2358</v>
      </c>
      <c r="AF3401" t="s">
        <v>2359</v>
      </c>
    </row>
    <row r="3402" spans="1:32" hidden="1" x14ac:dyDescent="0.35">
      <c r="A3402">
        <v>1800</v>
      </c>
      <c r="B3402" t="s">
        <v>3736</v>
      </c>
      <c r="C3402" t="s">
        <v>72</v>
      </c>
      <c r="D3402" t="s">
        <v>60</v>
      </c>
      <c r="E3402">
        <v>850</v>
      </c>
      <c r="F3402">
        <v>5</v>
      </c>
      <c r="G3402">
        <v>5</v>
      </c>
      <c r="H3402">
        <v>1</v>
      </c>
      <c r="I3402">
        <v>1</v>
      </c>
      <c r="J3402">
        <v>0.91001340225923799</v>
      </c>
      <c r="K3402">
        <v>0.994857142857142</v>
      </c>
      <c r="L3402">
        <v>0.95054578449373905</v>
      </c>
      <c r="M3402">
        <v>0.83428571428571396</v>
      </c>
      <c r="N3402">
        <v>1</v>
      </c>
      <c r="O3402">
        <v>0.878857142857143</v>
      </c>
      <c r="P3402" t="s">
        <v>3737</v>
      </c>
      <c r="Q3402" t="s">
        <v>3738</v>
      </c>
      <c r="R3402" t="s">
        <v>113</v>
      </c>
      <c r="S3402" t="s">
        <v>114</v>
      </c>
      <c r="T3402" t="s">
        <v>3739</v>
      </c>
      <c r="U3402" t="s">
        <v>3740</v>
      </c>
      <c r="V3402" t="s">
        <v>3741</v>
      </c>
      <c r="W3402" t="s">
        <v>3742</v>
      </c>
      <c r="AD3402" t="s">
        <v>125</v>
      </c>
      <c r="AE3402" t="s">
        <v>3743</v>
      </c>
      <c r="AF3402" t="s">
        <v>3745</v>
      </c>
    </row>
    <row r="3403" spans="1:32" hidden="1" x14ac:dyDescent="0.35">
      <c r="A3403">
        <v>1801</v>
      </c>
      <c r="B3403" t="s">
        <v>3736</v>
      </c>
      <c r="C3403" t="s">
        <v>72</v>
      </c>
      <c r="D3403" t="s">
        <v>62</v>
      </c>
      <c r="E3403">
        <v>884</v>
      </c>
      <c r="F3403">
        <v>5</v>
      </c>
      <c r="G3403">
        <v>5</v>
      </c>
      <c r="H3403">
        <v>1</v>
      </c>
      <c r="I3403">
        <v>1</v>
      </c>
      <c r="J3403">
        <v>0.91001340225923799</v>
      </c>
      <c r="K3403">
        <v>0.994857142857142</v>
      </c>
      <c r="L3403">
        <v>0.95054578449373905</v>
      </c>
      <c r="M3403">
        <v>0.83428571428571396</v>
      </c>
      <c r="N3403">
        <v>1</v>
      </c>
      <c r="O3403">
        <v>0.878857142857143</v>
      </c>
      <c r="P3403" t="s">
        <v>3737</v>
      </c>
      <c r="Q3403" t="s">
        <v>3738</v>
      </c>
      <c r="R3403" t="s">
        <v>113</v>
      </c>
      <c r="S3403" t="s">
        <v>114</v>
      </c>
      <c r="T3403" t="s">
        <v>3739</v>
      </c>
      <c r="U3403" t="s">
        <v>3740</v>
      </c>
      <c r="V3403" t="s">
        <v>3741</v>
      </c>
      <c r="W3403" t="s">
        <v>3742</v>
      </c>
      <c r="AD3403" t="s">
        <v>125</v>
      </c>
      <c r="AE3403" t="s">
        <v>3743</v>
      </c>
      <c r="AF3403" t="s">
        <v>3745</v>
      </c>
    </row>
    <row r="3404" spans="1:32" hidden="1" x14ac:dyDescent="0.35">
      <c r="A3404">
        <v>1802</v>
      </c>
      <c r="B3404" t="s">
        <v>3736</v>
      </c>
      <c r="C3404" t="s">
        <v>72</v>
      </c>
      <c r="D3404" t="s">
        <v>34</v>
      </c>
      <c r="E3404">
        <v>296</v>
      </c>
      <c r="F3404">
        <v>5</v>
      </c>
      <c r="G3404">
        <v>5</v>
      </c>
      <c r="H3404">
        <v>1</v>
      </c>
      <c r="I3404">
        <v>1</v>
      </c>
      <c r="J3404">
        <v>0.91001340225923799</v>
      </c>
      <c r="K3404">
        <v>0.994857142857142</v>
      </c>
      <c r="L3404">
        <v>0.95054578449373905</v>
      </c>
      <c r="M3404">
        <v>0.83428571428571396</v>
      </c>
      <c r="N3404">
        <v>1</v>
      </c>
      <c r="O3404">
        <v>0.878857142857143</v>
      </c>
      <c r="P3404" t="s">
        <v>3737</v>
      </c>
      <c r="Q3404" t="s">
        <v>3738</v>
      </c>
      <c r="R3404" t="s">
        <v>113</v>
      </c>
      <c r="S3404" t="s">
        <v>114</v>
      </c>
      <c r="T3404" t="s">
        <v>3739</v>
      </c>
      <c r="U3404" t="s">
        <v>3740</v>
      </c>
      <c r="V3404" t="s">
        <v>3741</v>
      </c>
      <c r="W3404" t="s">
        <v>3742</v>
      </c>
      <c r="AD3404" t="s">
        <v>125</v>
      </c>
      <c r="AE3404" t="s">
        <v>3743</v>
      </c>
      <c r="AF3404" t="s">
        <v>3746</v>
      </c>
    </row>
    <row r="3405" spans="1:32" hidden="1" x14ac:dyDescent="0.35">
      <c r="A3405">
        <v>1803</v>
      </c>
      <c r="B3405" t="s">
        <v>3736</v>
      </c>
      <c r="C3405" t="s">
        <v>72</v>
      </c>
      <c r="D3405" t="s">
        <v>45</v>
      </c>
      <c r="E3405">
        <v>1558</v>
      </c>
      <c r="F3405">
        <v>5</v>
      </c>
      <c r="G3405">
        <v>5</v>
      </c>
      <c r="H3405">
        <v>1</v>
      </c>
      <c r="I3405">
        <v>1</v>
      </c>
      <c r="J3405">
        <v>0.91001340225923799</v>
      </c>
      <c r="K3405">
        <v>0.994857142857142</v>
      </c>
      <c r="L3405">
        <v>0.95054578449373905</v>
      </c>
      <c r="M3405">
        <v>0.83428571428571396</v>
      </c>
      <c r="N3405">
        <v>1</v>
      </c>
      <c r="O3405">
        <v>0.878857142857143</v>
      </c>
      <c r="P3405" t="s">
        <v>3737</v>
      </c>
      <c r="Q3405" t="s">
        <v>3738</v>
      </c>
      <c r="R3405" t="s">
        <v>113</v>
      </c>
      <c r="S3405" t="s">
        <v>114</v>
      </c>
      <c r="T3405" t="s">
        <v>3739</v>
      </c>
      <c r="U3405" t="s">
        <v>3740</v>
      </c>
      <c r="V3405" t="s">
        <v>3741</v>
      </c>
      <c r="W3405" t="s">
        <v>3742</v>
      </c>
      <c r="AD3405" t="s">
        <v>125</v>
      </c>
      <c r="AE3405" t="s">
        <v>3743</v>
      </c>
      <c r="AF3405" t="s">
        <v>3746</v>
      </c>
    </row>
    <row r="3406" spans="1:32" hidden="1" x14ac:dyDescent="0.35">
      <c r="A3406">
        <v>3649</v>
      </c>
      <c r="B3406" t="s">
        <v>7522</v>
      </c>
      <c r="C3406" t="s">
        <v>72</v>
      </c>
      <c r="D3406" t="s">
        <v>58</v>
      </c>
      <c r="E3406">
        <v>79</v>
      </c>
      <c r="F3406">
        <v>5</v>
      </c>
      <c r="G3406">
        <v>5</v>
      </c>
      <c r="H3406">
        <v>1</v>
      </c>
      <c r="I3406">
        <v>1</v>
      </c>
      <c r="J3406">
        <v>0.77566403445800403</v>
      </c>
      <c r="K3406">
        <v>0.90321335960999805</v>
      </c>
      <c r="L3406">
        <v>0.83459354562383503</v>
      </c>
      <c r="M3406">
        <v>0.50803858520900302</v>
      </c>
      <c r="N3406">
        <v>0.98713826366559498</v>
      </c>
      <c r="O3406">
        <v>0.65627009646302203</v>
      </c>
      <c r="P3406" t="s">
        <v>2349</v>
      </c>
      <c r="Q3406" t="s">
        <v>2350</v>
      </c>
      <c r="R3406" t="s">
        <v>224</v>
      </c>
      <c r="S3406" t="s">
        <v>225</v>
      </c>
      <c r="T3406" t="s">
        <v>2351</v>
      </c>
      <c r="U3406" t="s">
        <v>2352</v>
      </c>
      <c r="V3406" t="s">
        <v>2353</v>
      </c>
      <c r="W3406" t="s">
        <v>2354</v>
      </c>
      <c r="X3406" t="s">
        <v>2353</v>
      </c>
      <c r="Y3406" t="s">
        <v>1153</v>
      </c>
      <c r="Z3406" t="s">
        <v>2355</v>
      </c>
      <c r="AA3406" t="s">
        <v>2356</v>
      </c>
      <c r="AB3406" t="s">
        <v>2355</v>
      </c>
      <c r="AC3406" t="s">
        <v>1094</v>
      </c>
      <c r="AD3406" t="s">
        <v>2357</v>
      </c>
      <c r="AE3406" t="s">
        <v>2358</v>
      </c>
      <c r="AF3406" t="e">
        <f>-----------------------------------------------MRIEDVDSQRSSAESAARQLDDLASLGLDWDGQPVVQSSRHEAYQAALSQLET----YECFCSRRDILEASGAAHVLPGCYPGTCRELTAQERELRRQQFAEQGRVPAVRLRSDVEEFEVVDYYNGRYVGPVDDFVLRRG----DWAYNLAVVVDDAAGGIDQVVRGDDLLSSAPRQAYLASLLGYAVPEYVHVPLVVNAEGKRLAKRDGA-VTLRQMLEQGLTVGDVVEQLAGSIGVPGARTAAEILERFDPQLLPRDAYVWT</f>
        <v>#NAME?</v>
      </c>
    </row>
    <row r="3407" spans="1:32" hidden="1" x14ac:dyDescent="0.35">
      <c r="A3407">
        <v>1920</v>
      </c>
      <c r="B3407" t="s">
        <v>3979</v>
      </c>
      <c r="C3407" t="s">
        <v>72</v>
      </c>
      <c r="D3407" t="s">
        <v>60</v>
      </c>
      <c r="E3407">
        <v>1647</v>
      </c>
      <c r="F3407">
        <v>5</v>
      </c>
      <c r="G3407">
        <v>5</v>
      </c>
      <c r="H3407">
        <v>1</v>
      </c>
      <c r="I3407">
        <v>1</v>
      </c>
      <c r="J3407">
        <v>0.69917743830787304</v>
      </c>
      <c r="K3407">
        <v>0.86786604116630595</v>
      </c>
      <c r="L3407">
        <v>0.774442270945362</v>
      </c>
      <c r="M3407">
        <v>0.45484949832775901</v>
      </c>
      <c r="N3407">
        <v>1</v>
      </c>
      <c r="O3407">
        <v>0.62408026755852797</v>
      </c>
      <c r="P3407" t="s">
        <v>3980</v>
      </c>
      <c r="Q3407" t="s">
        <v>3981</v>
      </c>
      <c r="R3407" t="s">
        <v>113</v>
      </c>
      <c r="S3407" t="s">
        <v>114</v>
      </c>
      <c r="T3407" t="s">
        <v>3982</v>
      </c>
      <c r="U3407" t="s">
        <v>3983</v>
      </c>
      <c r="V3407" t="s">
        <v>3984</v>
      </c>
      <c r="W3407" t="s">
        <v>3985</v>
      </c>
      <c r="AD3407" t="s">
        <v>3986</v>
      </c>
      <c r="AE3407" t="s">
        <v>3987</v>
      </c>
      <c r="AF3407" t="s">
        <v>3989</v>
      </c>
    </row>
    <row r="3408" spans="1:32" hidden="1" x14ac:dyDescent="0.35">
      <c r="A3408">
        <v>1921</v>
      </c>
      <c r="B3408" t="s">
        <v>3979</v>
      </c>
      <c r="C3408" t="s">
        <v>72</v>
      </c>
      <c r="D3408" t="s">
        <v>62</v>
      </c>
      <c r="E3408">
        <v>1682</v>
      </c>
      <c r="F3408">
        <v>5</v>
      </c>
      <c r="G3408">
        <v>5</v>
      </c>
      <c r="H3408">
        <v>1</v>
      </c>
      <c r="I3408">
        <v>1</v>
      </c>
      <c r="J3408">
        <v>0.69917743830787304</v>
      </c>
      <c r="K3408">
        <v>0.86786604116630595</v>
      </c>
      <c r="L3408">
        <v>0.774442270945362</v>
      </c>
      <c r="M3408">
        <v>0.45484949832775901</v>
      </c>
      <c r="N3408">
        <v>1</v>
      </c>
      <c r="O3408">
        <v>0.62408026755852797</v>
      </c>
      <c r="P3408" t="s">
        <v>3980</v>
      </c>
      <c r="Q3408" t="s">
        <v>3981</v>
      </c>
      <c r="R3408" t="s">
        <v>113</v>
      </c>
      <c r="S3408" t="s">
        <v>114</v>
      </c>
      <c r="T3408" t="s">
        <v>3982</v>
      </c>
      <c r="U3408" t="s">
        <v>3983</v>
      </c>
      <c r="V3408" t="s">
        <v>3984</v>
      </c>
      <c r="W3408" t="s">
        <v>3985</v>
      </c>
      <c r="AD3408" t="s">
        <v>3986</v>
      </c>
      <c r="AE3408" t="s">
        <v>3987</v>
      </c>
      <c r="AF3408" t="s">
        <v>3989</v>
      </c>
    </row>
    <row r="3409" spans="1:32" hidden="1" x14ac:dyDescent="0.35">
      <c r="A3409">
        <v>1922</v>
      </c>
      <c r="B3409" t="s">
        <v>3979</v>
      </c>
      <c r="C3409" t="s">
        <v>72</v>
      </c>
      <c r="D3409" t="s">
        <v>34</v>
      </c>
      <c r="E3409">
        <v>2052</v>
      </c>
      <c r="F3409">
        <v>5</v>
      </c>
      <c r="G3409">
        <v>5</v>
      </c>
      <c r="H3409">
        <v>1</v>
      </c>
      <c r="I3409">
        <v>1</v>
      </c>
      <c r="J3409">
        <v>0.69917743830787304</v>
      </c>
      <c r="K3409">
        <v>0.86786604116630595</v>
      </c>
      <c r="L3409">
        <v>0.774442270945362</v>
      </c>
      <c r="M3409">
        <v>0.45484949832775901</v>
      </c>
      <c r="N3409">
        <v>1</v>
      </c>
      <c r="O3409">
        <v>0.62408026755852797</v>
      </c>
      <c r="P3409" t="s">
        <v>3980</v>
      </c>
      <c r="Q3409" t="s">
        <v>3981</v>
      </c>
      <c r="R3409" t="s">
        <v>113</v>
      </c>
      <c r="S3409" t="s">
        <v>114</v>
      </c>
      <c r="T3409" t="s">
        <v>3982</v>
      </c>
      <c r="U3409" t="s">
        <v>3983</v>
      </c>
      <c r="V3409" t="s">
        <v>3984</v>
      </c>
      <c r="W3409" t="s">
        <v>3985</v>
      </c>
      <c r="AD3409" t="s">
        <v>3986</v>
      </c>
      <c r="AE3409" t="s">
        <v>3987</v>
      </c>
      <c r="AF3409" t="s">
        <v>3990</v>
      </c>
    </row>
    <row r="3410" spans="1:32" hidden="1" x14ac:dyDescent="0.35">
      <c r="A3410">
        <v>1923</v>
      </c>
      <c r="B3410" t="s">
        <v>3979</v>
      </c>
      <c r="C3410" t="s">
        <v>72</v>
      </c>
      <c r="D3410" t="s">
        <v>45</v>
      </c>
      <c r="E3410">
        <v>820</v>
      </c>
      <c r="F3410">
        <v>5</v>
      </c>
      <c r="G3410">
        <v>5</v>
      </c>
      <c r="H3410">
        <v>1</v>
      </c>
      <c r="I3410">
        <v>1</v>
      </c>
      <c r="J3410">
        <v>0.69917743830787304</v>
      </c>
      <c r="K3410">
        <v>0.86786604116630595</v>
      </c>
      <c r="L3410">
        <v>0.774442270945362</v>
      </c>
      <c r="M3410">
        <v>0.45484949832775901</v>
      </c>
      <c r="N3410">
        <v>1</v>
      </c>
      <c r="O3410">
        <v>0.62408026755852797</v>
      </c>
      <c r="P3410" t="s">
        <v>3980</v>
      </c>
      <c r="Q3410" t="s">
        <v>3981</v>
      </c>
      <c r="R3410" t="s">
        <v>113</v>
      </c>
      <c r="S3410" t="s">
        <v>114</v>
      </c>
      <c r="T3410" t="s">
        <v>3982</v>
      </c>
      <c r="U3410" t="s">
        <v>3983</v>
      </c>
      <c r="V3410" t="s">
        <v>3984</v>
      </c>
      <c r="W3410" t="s">
        <v>3985</v>
      </c>
      <c r="AD3410" t="s">
        <v>3986</v>
      </c>
      <c r="AE3410" t="s">
        <v>3987</v>
      </c>
      <c r="AF3410" t="s">
        <v>3991</v>
      </c>
    </row>
    <row r="3411" spans="1:32" hidden="1" x14ac:dyDescent="0.35">
      <c r="A3411">
        <v>10955</v>
      </c>
      <c r="B3411" t="s">
        <v>22084</v>
      </c>
      <c r="C3411" t="s">
        <v>33</v>
      </c>
      <c r="D3411" t="s">
        <v>58</v>
      </c>
      <c r="E3411">
        <v>175</v>
      </c>
      <c r="F3411">
        <v>1</v>
      </c>
      <c r="G3411">
        <v>1</v>
      </c>
      <c r="H3411">
        <v>1</v>
      </c>
      <c r="I3411">
        <v>0</v>
      </c>
      <c r="J3411">
        <v>1</v>
      </c>
      <c r="K3411">
        <v>1</v>
      </c>
      <c r="L3411">
        <v>1</v>
      </c>
      <c r="M3411">
        <v>0</v>
      </c>
      <c r="N3411">
        <v>0</v>
      </c>
      <c r="O3411">
        <v>0</v>
      </c>
      <c r="P3411" t="s">
        <v>11804</v>
      </c>
      <c r="Q3411" t="s">
        <v>11805</v>
      </c>
      <c r="R3411" t="s">
        <v>869</v>
      </c>
      <c r="S3411" t="s">
        <v>870</v>
      </c>
      <c r="T3411" t="s">
        <v>11806</v>
      </c>
      <c r="U3411" t="s">
        <v>11807</v>
      </c>
      <c r="V3411" t="s">
        <v>11808</v>
      </c>
      <c r="W3411" t="s">
        <v>11809</v>
      </c>
      <c r="X3411" t="s">
        <v>11808</v>
      </c>
      <c r="Y3411" t="s">
        <v>1153</v>
      </c>
      <c r="Z3411" t="s">
        <v>1740</v>
      </c>
      <c r="AA3411" t="s">
        <v>1741</v>
      </c>
      <c r="AB3411" t="s">
        <v>1740</v>
      </c>
      <c r="AC3411" t="s">
        <v>1742</v>
      </c>
      <c r="AD3411" t="s">
        <v>219</v>
      </c>
      <c r="AE3411" t="s">
        <v>11810</v>
      </c>
      <c r="AF3411" t="s">
        <v>22085</v>
      </c>
    </row>
    <row r="3412" spans="1:32" hidden="1" x14ac:dyDescent="0.35">
      <c r="A3412">
        <v>1925</v>
      </c>
      <c r="B3412" t="s">
        <v>3992</v>
      </c>
      <c r="C3412" t="s">
        <v>72</v>
      </c>
      <c r="D3412" t="s">
        <v>60</v>
      </c>
      <c r="E3412">
        <v>352</v>
      </c>
      <c r="F3412">
        <v>5</v>
      </c>
      <c r="G3412">
        <v>5</v>
      </c>
      <c r="H3412">
        <v>1</v>
      </c>
      <c r="I3412">
        <v>1</v>
      </c>
      <c r="J3412">
        <v>0.75637104994903204</v>
      </c>
      <c r="K3412">
        <v>0.88038095238095504</v>
      </c>
      <c r="L3412">
        <v>0.81367814349343304</v>
      </c>
      <c r="M3412">
        <v>0.54817275747508298</v>
      </c>
      <c r="N3412">
        <v>1</v>
      </c>
      <c r="O3412">
        <v>0.65049833887043196</v>
      </c>
      <c r="P3412" t="s">
        <v>3993</v>
      </c>
      <c r="Q3412" t="s">
        <v>3994</v>
      </c>
      <c r="R3412" t="s">
        <v>113</v>
      </c>
      <c r="S3412" t="s">
        <v>114</v>
      </c>
      <c r="T3412" t="s">
        <v>3995</v>
      </c>
      <c r="U3412" t="s">
        <v>3996</v>
      </c>
      <c r="V3412" t="s">
        <v>3997</v>
      </c>
      <c r="W3412" t="s">
        <v>3998</v>
      </c>
      <c r="AD3412" t="s">
        <v>2698</v>
      </c>
      <c r="AE3412" t="s">
        <v>2699</v>
      </c>
      <c r="AF3412" t="e">
        <f>----------MSEETSSEVIEETAV--VEEAAAAL--------GDTELS-----------------------------EEEAALAEYKTRLRTYIRELKKLPGDWYIIQCYSGYENKVKTNLDMRAQTLEVEDSIYDVVVPIEEVVEIREGKRKLVKRKLLPGYVLVRMDINDRSWSVVRDTPGVTSFVGNEGHPTPVKHRDVAKFLMPPETAAE-TSEAEKAVVADGEKVVASPTPSTANTIEVDYQVDEVVTILTGPFASISATISEIDAQGGKLTGMISFMGREMPVELTFDQVEKIN</f>
        <v>#NAME?</v>
      </c>
    </row>
    <row r="3413" spans="1:32" hidden="1" x14ac:dyDescent="0.35">
      <c r="A3413">
        <v>1926</v>
      </c>
      <c r="B3413" t="s">
        <v>3992</v>
      </c>
      <c r="C3413" t="s">
        <v>72</v>
      </c>
      <c r="D3413" t="s">
        <v>62</v>
      </c>
      <c r="E3413">
        <v>432</v>
      </c>
      <c r="F3413">
        <v>5</v>
      </c>
      <c r="G3413">
        <v>5</v>
      </c>
      <c r="H3413">
        <v>1</v>
      </c>
      <c r="I3413">
        <v>1</v>
      </c>
      <c r="J3413">
        <v>0.75637104994903204</v>
      </c>
      <c r="K3413">
        <v>0.88038095238095504</v>
      </c>
      <c r="L3413">
        <v>0.81367814349343304</v>
      </c>
      <c r="M3413">
        <v>0.54817275747508298</v>
      </c>
      <c r="N3413">
        <v>1</v>
      </c>
      <c r="O3413">
        <v>0.65049833887043196</v>
      </c>
      <c r="P3413" t="s">
        <v>3993</v>
      </c>
      <c r="Q3413" t="s">
        <v>3994</v>
      </c>
      <c r="R3413" t="s">
        <v>113</v>
      </c>
      <c r="S3413" t="s">
        <v>114</v>
      </c>
      <c r="T3413" t="s">
        <v>3995</v>
      </c>
      <c r="U3413" t="s">
        <v>3996</v>
      </c>
      <c r="V3413" t="s">
        <v>3997</v>
      </c>
      <c r="W3413" t="s">
        <v>3998</v>
      </c>
      <c r="AD3413" t="s">
        <v>2698</v>
      </c>
      <c r="AE3413" t="s">
        <v>2699</v>
      </c>
      <c r="AF3413" t="e">
        <f>----------MSEETSSEVIEETAV--VEEAAAAL--------GDTELS-----------------------------EEEAALAEYKTRLRTYIRELKKLPGDWYIIQCYSGYENKVKTNLDMRAQTLEVEDSIYDVVVPIEEVVEIREGKRKLVKRKLLPGYVLVRMDINDRSWSVVRDTPGVTSFVGNEGHPTPVKHRDVAKFLMPPETAAE-TSEAEKAVVADGEKVVASPTPSTANTIEVDYQVDEVVTILTGPFASISATISEIDAQGGKLTGMISFMGREMPVELTFDQVEKIN</f>
        <v>#NAME?</v>
      </c>
    </row>
    <row r="3414" spans="1:32" hidden="1" x14ac:dyDescent="0.35">
      <c r="A3414">
        <v>1927</v>
      </c>
      <c r="B3414" t="s">
        <v>3992</v>
      </c>
      <c r="C3414" t="s">
        <v>72</v>
      </c>
      <c r="D3414" t="s">
        <v>34</v>
      </c>
      <c r="E3414">
        <v>817</v>
      </c>
      <c r="F3414">
        <v>5</v>
      </c>
      <c r="G3414">
        <v>5</v>
      </c>
      <c r="H3414">
        <v>1</v>
      </c>
      <c r="I3414">
        <v>1</v>
      </c>
      <c r="J3414">
        <v>0.75637104994903204</v>
      </c>
      <c r="K3414">
        <v>0.88038095238095504</v>
      </c>
      <c r="L3414">
        <v>0.81367814349343304</v>
      </c>
      <c r="M3414">
        <v>0.54817275747508298</v>
      </c>
      <c r="N3414">
        <v>1</v>
      </c>
      <c r="O3414">
        <v>0.65049833887043196</v>
      </c>
      <c r="P3414" t="s">
        <v>3993</v>
      </c>
      <c r="Q3414" t="s">
        <v>3994</v>
      </c>
      <c r="R3414" t="s">
        <v>113</v>
      </c>
      <c r="S3414" t="s">
        <v>114</v>
      </c>
      <c r="T3414" t="s">
        <v>3995</v>
      </c>
      <c r="U3414" t="s">
        <v>3996</v>
      </c>
      <c r="V3414" t="s">
        <v>3997</v>
      </c>
      <c r="W3414" t="s">
        <v>3998</v>
      </c>
      <c r="AD3414" t="s">
        <v>2698</v>
      </c>
      <c r="AE3414" t="s">
        <v>2699</v>
      </c>
      <c r="AF3414" t="s">
        <v>4000</v>
      </c>
    </row>
    <row r="3415" spans="1:32" hidden="1" x14ac:dyDescent="0.35">
      <c r="A3415">
        <v>1928</v>
      </c>
      <c r="B3415" t="s">
        <v>3992</v>
      </c>
      <c r="C3415" t="s">
        <v>72</v>
      </c>
      <c r="D3415" t="s">
        <v>45</v>
      </c>
      <c r="E3415">
        <v>2074</v>
      </c>
      <c r="F3415">
        <v>5</v>
      </c>
      <c r="G3415">
        <v>5</v>
      </c>
      <c r="H3415">
        <v>1</v>
      </c>
      <c r="I3415">
        <v>1</v>
      </c>
      <c r="J3415">
        <v>0.75637104994903204</v>
      </c>
      <c r="K3415">
        <v>0.88038095238095504</v>
      </c>
      <c r="L3415">
        <v>0.81367814349343304</v>
      </c>
      <c r="M3415">
        <v>0.54817275747508298</v>
      </c>
      <c r="N3415">
        <v>1</v>
      </c>
      <c r="O3415">
        <v>0.65049833887043196</v>
      </c>
      <c r="P3415" t="s">
        <v>3993</v>
      </c>
      <c r="Q3415" t="s">
        <v>3994</v>
      </c>
      <c r="R3415" t="s">
        <v>113</v>
      </c>
      <c r="S3415" t="s">
        <v>114</v>
      </c>
      <c r="T3415" t="s">
        <v>3995</v>
      </c>
      <c r="U3415" t="s">
        <v>3996</v>
      </c>
      <c r="V3415" t="s">
        <v>3997</v>
      </c>
      <c r="W3415" t="s">
        <v>3998</v>
      </c>
      <c r="AD3415" t="s">
        <v>2698</v>
      </c>
      <c r="AE3415" t="s">
        <v>2699</v>
      </c>
      <c r="AF3415" t="s">
        <v>4000</v>
      </c>
    </row>
    <row r="3416" spans="1:32" hidden="1" x14ac:dyDescent="0.35">
      <c r="A3416">
        <v>2454</v>
      </c>
      <c r="B3416" t="s">
        <v>5081</v>
      </c>
      <c r="C3416" t="s">
        <v>72</v>
      </c>
      <c r="D3416" t="s">
        <v>58</v>
      </c>
      <c r="E3416">
        <v>1807</v>
      </c>
      <c r="F3416">
        <v>5</v>
      </c>
      <c r="G3416">
        <v>5</v>
      </c>
      <c r="H3416">
        <v>1</v>
      </c>
      <c r="I3416">
        <v>1</v>
      </c>
      <c r="J3416">
        <v>0.77356740169842297</v>
      </c>
      <c r="K3416">
        <v>0.92986406955095402</v>
      </c>
      <c r="L3416">
        <v>0.84454531263024701</v>
      </c>
      <c r="M3416">
        <v>0.57142857142857095</v>
      </c>
      <c r="N3416">
        <v>1</v>
      </c>
      <c r="O3416">
        <v>0.670436507936508</v>
      </c>
      <c r="P3416" t="s">
        <v>5082</v>
      </c>
      <c r="Q3416" t="s">
        <v>5083</v>
      </c>
      <c r="R3416" t="s">
        <v>652</v>
      </c>
      <c r="S3416" t="s">
        <v>653</v>
      </c>
      <c r="T3416" t="s">
        <v>5084</v>
      </c>
      <c r="U3416" t="s">
        <v>5085</v>
      </c>
      <c r="V3416" t="s">
        <v>5086</v>
      </c>
      <c r="W3416" t="s">
        <v>5087</v>
      </c>
      <c r="AD3416" t="s">
        <v>1157</v>
      </c>
      <c r="AE3416" t="s">
        <v>5088</v>
      </c>
      <c r="AF3416" t="s">
        <v>5089</v>
      </c>
    </row>
    <row r="3417" spans="1:32" hidden="1" x14ac:dyDescent="0.35">
      <c r="A3417">
        <v>2130</v>
      </c>
      <c r="B3417" t="s">
        <v>4434</v>
      </c>
      <c r="C3417" t="s">
        <v>72</v>
      </c>
      <c r="D3417" t="s">
        <v>60</v>
      </c>
      <c r="E3417">
        <v>364</v>
      </c>
      <c r="F3417">
        <v>5</v>
      </c>
      <c r="G3417">
        <v>5</v>
      </c>
      <c r="H3417">
        <v>1</v>
      </c>
      <c r="I3417">
        <v>1</v>
      </c>
      <c r="J3417">
        <v>0.94651591000632995</v>
      </c>
      <c r="K3417">
        <v>0.98454447199441697</v>
      </c>
      <c r="L3417">
        <v>0.96515574089504197</v>
      </c>
      <c r="M3417">
        <v>0.89379779099405299</v>
      </c>
      <c r="N3417">
        <v>1</v>
      </c>
      <c r="O3417">
        <v>0.92310960067969405</v>
      </c>
      <c r="P3417" t="s">
        <v>4435</v>
      </c>
      <c r="Q3417" t="s">
        <v>4436</v>
      </c>
      <c r="R3417" t="s">
        <v>113</v>
      </c>
      <c r="S3417" t="s">
        <v>114</v>
      </c>
      <c r="T3417" t="s">
        <v>4437</v>
      </c>
      <c r="U3417" t="s">
        <v>4438</v>
      </c>
      <c r="V3417" t="s">
        <v>4439</v>
      </c>
      <c r="W3417" t="s">
        <v>4440</v>
      </c>
      <c r="X3417" t="s">
        <v>4439</v>
      </c>
      <c r="Y3417" t="s">
        <v>119</v>
      </c>
      <c r="AD3417" t="s">
        <v>1566</v>
      </c>
      <c r="AE3417" t="s">
        <v>1567</v>
      </c>
      <c r="AF3417" t="s">
        <v>4442</v>
      </c>
    </row>
    <row r="3418" spans="1:32" hidden="1" x14ac:dyDescent="0.35">
      <c r="A3418">
        <v>2131</v>
      </c>
      <c r="B3418" t="s">
        <v>4434</v>
      </c>
      <c r="C3418" t="s">
        <v>72</v>
      </c>
      <c r="D3418" t="s">
        <v>62</v>
      </c>
      <c r="E3418">
        <v>444</v>
      </c>
      <c r="F3418">
        <v>5</v>
      </c>
      <c r="G3418">
        <v>5</v>
      </c>
      <c r="H3418">
        <v>1</v>
      </c>
      <c r="I3418">
        <v>1</v>
      </c>
      <c r="J3418">
        <v>0.94651591000632995</v>
      </c>
      <c r="K3418">
        <v>0.98454447199441697</v>
      </c>
      <c r="L3418">
        <v>0.96515574089504197</v>
      </c>
      <c r="M3418">
        <v>0.89379779099405299</v>
      </c>
      <c r="N3418">
        <v>1</v>
      </c>
      <c r="O3418">
        <v>0.92310960067969405</v>
      </c>
      <c r="P3418" t="s">
        <v>4435</v>
      </c>
      <c r="Q3418" t="s">
        <v>4436</v>
      </c>
      <c r="R3418" t="s">
        <v>113</v>
      </c>
      <c r="S3418" t="s">
        <v>114</v>
      </c>
      <c r="T3418" t="s">
        <v>4437</v>
      </c>
      <c r="U3418" t="s">
        <v>4438</v>
      </c>
      <c r="V3418" t="s">
        <v>4439</v>
      </c>
      <c r="W3418" t="s">
        <v>4440</v>
      </c>
      <c r="X3418" t="s">
        <v>4439</v>
      </c>
      <c r="Y3418" t="s">
        <v>119</v>
      </c>
      <c r="AD3418" t="s">
        <v>1566</v>
      </c>
      <c r="AE3418" t="s">
        <v>1567</v>
      </c>
      <c r="AF3418" t="s">
        <v>4442</v>
      </c>
    </row>
    <row r="3419" spans="1:32" hidden="1" x14ac:dyDescent="0.35">
      <c r="A3419">
        <v>2132</v>
      </c>
      <c r="B3419" t="s">
        <v>4434</v>
      </c>
      <c r="C3419" t="s">
        <v>72</v>
      </c>
      <c r="D3419" t="s">
        <v>34</v>
      </c>
      <c r="E3419">
        <v>805</v>
      </c>
      <c r="F3419">
        <v>5</v>
      </c>
      <c r="G3419">
        <v>5</v>
      </c>
      <c r="H3419">
        <v>1</v>
      </c>
      <c r="I3419">
        <v>1</v>
      </c>
      <c r="J3419">
        <v>0.94651591000632995</v>
      </c>
      <c r="K3419">
        <v>0.98454447199441697</v>
      </c>
      <c r="L3419">
        <v>0.96515574089504197</v>
      </c>
      <c r="M3419">
        <v>0.89379779099405299</v>
      </c>
      <c r="N3419">
        <v>1</v>
      </c>
      <c r="O3419">
        <v>0.92310960067969405</v>
      </c>
      <c r="P3419" t="s">
        <v>4435</v>
      </c>
      <c r="Q3419" t="s">
        <v>4436</v>
      </c>
      <c r="R3419" t="s">
        <v>113</v>
      </c>
      <c r="S3419" t="s">
        <v>114</v>
      </c>
      <c r="T3419" t="s">
        <v>4437</v>
      </c>
      <c r="U3419" t="s">
        <v>4438</v>
      </c>
      <c r="V3419" t="s">
        <v>4439</v>
      </c>
      <c r="W3419" t="s">
        <v>4440</v>
      </c>
      <c r="X3419" t="s">
        <v>4439</v>
      </c>
      <c r="Y3419" t="s">
        <v>119</v>
      </c>
      <c r="AD3419" t="s">
        <v>1566</v>
      </c>
      <c r="AE3419" t="s">
        <v>1567</v>
      </c>
      <c r="AF3419" t="s">
        <v>4443</v>
      </c>
    </row>
    <row r="3420" spans="1:32" hidden="1" x14ac:dyDescent="0.35">
      <c r="A3420">
        <v>2133</v>
      </c>
      <c r="B3420" t="s">
        <v>4434</v>
      </c>
      <c r="C3420" t="s">
        <v>72</v>
      </c>
      <c r="D3420" t="s">
        <v>45</v>
      </c>
      <c r="E3420">
        <v>2061</v>
      </c>
      <c r="F3420">
        <v>5</v>
      </c>
      <c r="G3420">
        <v>5</v>
      </c>
      <c r="H3420">
        <v>1</v>
      </c>
      <c r="I3420">
        <v>1</v>
      </c>
      <c r="J3420">
        <v>0.94651591000632995</v>
      </c>
      <c r="K3420">
        <v>0.98454447199441697</v>
      </c>
      <c r="L3420">
        <v>0.96515574089504197</v>
      </c>
      <c r="M3420">
        <v>0.89379779099405299</v>
      </c>
      <c r="N3420">
        <v>1</v>
      </c>
      <c r="O3420">
        <v>0.92310960067969405</v>
      </c>
      <c r="P3420" t="s">
        <v>4435</v>
      </c>
      <c r="Q3420" t="s">
        <v>4436</v>
      </c>
      <c r="R3420" t="s">
        <v>113</v>
      </c>
      <c r="S3420" t="s">
        <v>114</v>
      </c>
      <c r="T3420" t="s">
        <v>4437</v>
      </c>
      <c r="U3420" t="s">
        <v>4438</v>
      </c>
      <c r="V3420" t="s">
        <v>4439</v>
      </c>
      <c r="W3420" t="s">
        <v>4440</v>
      </c>
      <c r="X3420" t="s">
        <v>4439</v>
      </c>
      <c r="Y3420" t="s">
        <v>119</v>
      </c>
      <c r="AD3420" t="s">
        <v>1566</v>
      </c>
      <c r="AE3420" t="s">
        <v>1567</v>
      </c>
      <c r="AF3420" t="s">
        <v>4443</v>
      </c>
    </row>
    <row r="3421" spans="1:32" hidden="1" x14ac:dyDescent="0.35">
      <c r="A3421">
        <v>11953</v>
      </c>
      <c r="B3421" t="s">
        <v>24667</v>
      </c>
      <c r="C3421" t="s">
        <v>10130</v>
      </c>
      <c r="D3421" t="s">
        <v>58</v>
      </c>
      <c r="E3421">
        <v>1806</v>
      </c>
      <c r="F3421">
        <v>1</v>
      </c>
      <c r="G3421">
        <v>1</v>
      </c>
      <c r="H3421">
        <v>1</v>
      </c>
      <c r="I3421">
        <v>0</v>
      </c>
      <c r="J3421">
        <v>1</v>
      </c>
      <c r="K3421">
        <v>1</v>
      </c>
      <c r="L3421">
        <v>1</v>
      </c>
      <c r="M3421">
        <v>0</v>
      </c>
      <c r="N3421">
        <v>0</v>
      </c>
      <c r="O3421">
        <v>0</v>
      </c>
      <c r="P3421" t="s">
        <v>5082</v>
      </c>
      <c r="Q3421" t="s">
        <v>5083</v>
      </c>
      <c r="R3421" t="s">
        <v>652</v>
      </c>
      <c r="S3421" t="s">
        <v>653</v>
      </c>
      <c r="V3421" t="s">
        <v>5086</v>
      </c>
      <c r="W3421" t="s">
        <v>5087</v>
      </c>
      <c r="AF3421" t="s">
        <v>24668</v>
      </c>
    </row>
    <row r="3422" spans="1:32" hidden="1" x14ac:dyDescent="0.35">
      <c r="A3422">
        <v>2225</v>
      </c>
      <c r="B3422" t="s">
        <v>4624</v>
      </c>
      <c r="C3422" t="s">
        <v>72</v>
      </c>
      <c r="D3422" t="s">
        <v>60</v>
      </c>
      <c r="E3422">
        <v>1232</v>
      </c>
      <c r="F3422">
        <v>5</v>
      </c>
      <c r="G3422">
        <v>5</v>
      </c>
      <c r="H3422">
        <v>1</v>
      </c>
      <c r="I3422">
        <v>1</v>
      </c>
      <c r="J3422">
        <v>0.738638056921472</v>
      </c>
      <c r="K3422">
        <v>0.89612186175931097</v>
      </c>
      <c r="L3422">
        <v>0.80979439631587802</v>
      </c>
      <c r="M3422">
        <v>0.46825396825396798</v>
      </c>
      <c r="N3422">
        <v>1</v>
      </c>
      <c r="O3422">
        <v>0.63015873015873003</v>
      </c>
      <c r="P3422" t="s">
        <v>4625</v>
      </c>
      <c r="Q3422" t="s">
        <v>4626</v>
      </c>
      <c r="R3422" t="s">
        <v>113</v>
      </c>
      <c r="S3422" t="s">
        <v>114</v>
      </c>
      <c r="T3422" t="s">
        <v>4630</v>
      </c>
      <c r="U3422" t="s">
        <v>4631</v>
      </c>
      <c r="V3422" t="s">
        <v>4627</v>
      </c>
      <c r="W3422" t="s">
        <v>4628</v>
      </c>
      <c r="AD3422" t="s">
        <v>312</v>
      </c>
      <c r="AE3422" t="s">
        <v>313</v>
      </c>
      <c r="AF3422" t="s">
        <v>4632</v>
      </c>
    </row>
    <row r="3423" spans="1:32" hidden="1" x14ac:dyDescent="0.35">
      <c r="A3423">
        <v>2226</v>
      </c>
      <c r="B3423" t="s">
        <v>4624</v>
      </c>
      <c r="C3423" t="s">
        <v>72</v>
      </c>
      <c r="D3423" t="s">
        <v>62</v>
      </c>
      <c r="E3423">
        <v>1269</v>
      </c>
      <c r="F3423">
        <v>5</v>
      </c>
      <c r="G3423">
        <v>5</v>
      </c>
      <c r="H3423">
        <v>1</v>
      </c>
      <c r="I3423">
        <v>1</v>
      </c>
      <c r="J3423">
        <v>0.738638056921472</v>
      </c>
      <c r="K3423">
        <v>0.89612186175931097</v>
      </c>
      <c r="L3423">
        <v>0.80979439631587802</v>
      </c>
      <c r="M3423">
        <v>0.46825396825396798</v>
      </c>
      <c r="N3423">
        <v>1</v>
      </c>
      <c r="O3423">
        <v>0.63015873015873003</v>
      </c>
      <c r="P3423" t="s">
        <v>4625</v>
      </c>
      <c r="Q3423" t="s">
        <v>4626</v>
      </c>
      <c r="R3423" t="s">
        <v>113</v>
      </c>
      <c r="S3423" t="s">
        <v>114</v>
      </c>
      <c r="T3423" t="s">
        <v>4630</v>
      </c>
      <c r="U3423" t="s">
        <v>4631</v>
      </c>
      <c r="V3423" t="s">
        <v>4627</v>
      </c>
      <c r="W3423" t="s">
        <v>4628</v>
      </c>
      <c r="AD3423" t="s">
        <v>312</v>
      </c>
      <c r="AE3423" t="s">
        <v>313</v>
      </c>
      <c r="AF3423" t="s">
        <v>4632</v>
      </c>
    </row>
    <row r="3424" spans="1:32" hidden="1" x14ac:dyDescent="0.35">
      <c r="A3424">
        <v>2227</v>
      </c>
      <c r="B3424" t="s">
        <v>4624</v>
      </c>
      <c r="C3424" t="s">
        <v>72</v>
      </c>
      <c r="D3424" t="s">
        <v>34</v>
      </c>
      <c r="E3424">
        <v>1770</v>
      </c>
      <c r="F3424">
        <v>5</v>
      </c>
      <c r="G3424">
        <v>5</v>
      </c>
      <c r="H3424">
        <v>1</v>
      </c>
      <c r="I3424">
        <v>1</v>
      </c>
      <c r="J3424">
        <v>0.738638056921472</v>
      </c>
      <c r="K3424">
        <v>0.89612186175931097</v>
      </c>
      <c r="L3424">
        <v>0.80979439631587802</v>
      </c>
      <c r="M3424">
        <v>0.46825396825396798</v>
      </c>
      <c r="N3424">
        <v>1</v>
      </c>
      <c r="O3424">
        <v>0.63015873015873003</v>
      </c>
      <c r="P3424" t="s">
        <v>4633</v>
      </c>
      <c r="Q3424" t="s">
        <v>4634</v>
      </c>
      <c r="R3424" t="s">
        <v>113</v>
      </c>
      <c r="S3424" t="s">
        <v>114</v>
      </c>
      <c r="T3424" t="s">
        <v>4630</v>
      </c>
      <c r="U3424" t="s">
        <v>4631</v>
      </c>
      <c r="V3424" t="s">
        <v>4627</v>
      </c>
      <c r="W3424" t="s">
        <v>4628</v>
      </c>
      <c r="AD3424" t="s">
        <v>312</v>
      </c>
      <c r="AE3424" t="s">
        <v>313</v>
      </c>
      <c r="AF3424" t="s">
        <v>4635</v>
      </c>
    </row>
    <row r="3425" spans="1:32" hidden="1" x14ac:dyDescent="0.35">
      <c r="A3425">
        <v>2228</v>
      </c>
      <c r="B3425" t="s">
        <v>4624</v>
      </c>
      <c r="C3425" t="s">
        <v>72</v>
      </c>
      <c r="D3425" t="s">
        <v>45</v>
      </c>
      <c r="E3425">
        <v>1103</v>
      </c>
      <c r="F3425">
        <v>5</v>
      </c>
      <c r="G3425">
        <v>5</v>
      </c>
      <c r="H3425">
        <v>1</v>
      </c>
      <c r="I3425">
        <v>1</v>
      </c>
      <c r="J3425">
        <v>0.738638056921472</v>
      </c>
      <c r="K3425">
        <v>0.89612186175931097</v>
      </c>
      <c r="L3425">
        <v>0.80979439631587802</v>
      </c>
      <c r="M3425">
        <v>0.46825396825396798</v>
      </c>
      <c r="N3425">
        <v>1</v>
      </c>
      <c r="O3425">
        <v>0.63015873015873003</v>
      </c>
      <c r="P3425" t="s">
        <v>4633</v>
      </c>
      <c r="Q3425" t="s">
        <v>4634</v>
      </c>
      <c r="R3425" t="s">
        <v>113</v>
      </c>
      <c r="S3425" t="s">
        <v>114</v>
      </c>
      <c r="T3425" t="s">
        <v>4630</v>
      </c>
      <c r="U3425" t="s">
        <v>4631</v>
      </c>
      <c r="V3425" t="s">
        <v>4627</v>
      </c>
      <c r="W3425" t="s">
        <v>4628</v>
      </c>
      <c r="AD3425" t="s">
        <v>312</v>
      </c>
      <c r="AE3425" t="s">
        <v>313</v>
      </c>
      <c r="AF3425" t="s">
        <v>4635</v>
      </c>
    </row>
    <row r="3426" spans="1:32" hidden="1" x14ac:dyDescent="0.35">
      <c r="A3426">
        <v>2829</v>
      </c>
      <c r="B3426" t="s">
        <v>5853</v>
      </c>
      <c r="C3426" t="s">
        <v>72</v>
      </c>
      <c r="D3426" t="s">
        <v>58</v>
      </c>
      <c r="E3426">
        <v>808</v>
      </c>
      <c r="F3426">
        <v>5</v>
      </c>
      <c r="G3426">
        <v>5</v>
      </c>
      <c r="H3426">
        <v>1</v>
      </c>
      <c r="I3426">
        <v>1</v>
      </c>
      <c r="J3426">
        <v>0.83038303830382998</v>
      </c>
      <c r="K3426">
        <v>0.97774021045368698</v>
      </c>
      <c r="L3426">
        <v>0.89805701816650996</v>
      </c>
      <c r="M3426">
        <v>0.689149560117302</v>
      </c>
      <c r="N3426">
        <v>1</v>
      </c>
      <c r="O3426">
        <v>0.76598240469208201</v>
      </c>
      <c r="P3426" t="s">
        <v>5854</v>
      </c>
      <c r="Q3426" t="s">
        <v>5855</v>
      </c>
      <c r="R3426" t="s">
        <v>652</v>
      </c>
      <c r="S3426" t="s">
        <v>653</v>
      </c>
      <c r="T3426" t="s">
        <v>5856</v>
      </c>
      <c r="U3426" t="s">
        <v>5857</v>
      </c>
      <c r="V3426" t="s">
        <v>5858</v>
      </c>
      <c r="W3426" t="s">
        <v>5859</v>
      </c>
      <c r="X3426" t="s">
        <v>5858</v>
      </c>
      <c r="Y3426" t="s">
        <v>619</v>
      </c>
      <c r="AD3426" t="s">
        <v>219</v>
      </c>
      <c r="AE3426" t="s">
        <v>5860</v>
      </c>
      <c r="AF3426" t="s">
        <v>5861</v>
      </c>
    </row>
    <row r="3427" spans="1:32" hidden="1" x14ac:dyDescent="0.35">
      <c r="A3427">
        <v>2290</v>
      </c>
      <c r="B3427" t="s">
        <v>4761</v>
      </c>
      <c r="C3427" t="s">
        <v>72</v>
      </c>
      <c r="D3427" t="s">
        <v>60</v>
      </c>
      <c r="E3427">
        <v>2266</v>
      </c>
      <c r="F3427">
        <v>5</v>
      </c>
      <c r="G3427">
        <v>5</v>
      </c>
      <c r="H3427">
        <v>1</v>
      </c>
      <c r="I3427">
        <v>1</v>
      </c>
      <c r="J3427">
        <v>0.87869308307264504</v>
      </c>
      <c r="K3427">
        <v>0.96911757165564505</v>
      </c>
      <c r="L3427">
        <v>0.92169282033195099</v>
      </c>
      <c r="M3427">
        <v>0.76262626262626299</v>
      </c>
      <c r="N3427">
        <v>1</v>
      </c>
      <c r="O3427">
        <v>0.82525252525252502</v>
      </c>
      <c r="P3427" t="s">
        <v>4762</v>
      </c>
      <c r="Q3427" t="s">
        <v>4763</v>
      </c>
      <c r="R3427" t="s">
        <v>113</v>
      </c>
      <c r="S3427" t="s">
        <v>114</v>
      </c>
      <c r="T3427" t="s">
        <v>4764</v>
      </c>
      <c r="U3427" t="s">
        <v>4765</v>
      </c>
      <c r="V3427" t="s">
        <v>4766</v>
      </c>
      <c r="W3427" t="s">
        <v>4767</v>
      </c>
      <c r="AD3427" t="s">
        <v>312</v>
      </c>
      <c r="AE3427" t="s">
        <v>805</v>
      </c>
      <c r="AF3427" t="s">
        <v>4769</v>
      </c>
    </row>
    <row r="3428" spans="1:32" hidden="1" x14ac:dyDescent="0.35">
      <c r="A3428">
        <v>2291</v>
      </c>
      <c r="B3428" t="s">
        <v>4761</v>
      </c>
      <c r="C3428" t="s">
        <v>72</v>
      </c>
      <c r="D3428" t="s">
        <v>62</v>
      </c>
      <c r="E3428">
        <v>2295</v>
      </c>
      <c r="F3428">
        <v>5</v>
      </c>
      <c r="G3428">
        <v>5</v>
      </c>
      <c r="H3428">
        <v>1</v>
      </c>
      <c r="I3428">
        <v>1</v>
      </c>
      <c r="J3428">
        <v>0.87869308307264504</v>
      </c>
      <c r="K3428">
        <v>0.96911757165564505</v>
      </c>
      <c r="L3428">
        <v>0.92169282033195099</v>
      </c>
      <c r="M3428">
        <v>0.76262626262626299</v>
      </c>
      <c r="N3428">
        <v>1</v>
      </c>
      <c r="O3428">
        <v>0.82525252525252502</v>
      </c>
      <c r="P3428" t="s">
        <v>4762</v>
      </c>
      <c r="Q3428" t="s">
        <v>4763</v>
      </c>
      <c r="R3428" t="s">
        <v>113</v>
      </c>
      <c r="S3428" t="s">
        <v>114</v>
      </c>
      <c r="T3428" t="s">
        <v>4764</v>
      </c>
      <c r="U3428" t="s">
        <v>4765</v>
      </c>
      <c r="V3428" t="s">
        <v>4766</v>
      </c>
      <c r="W3428" t="s">
        <v>4767</v>
      </c>
      <c r="AD3428" t="s">
        <v>312</v>
      </c>
      <c r="AE3428" t="s">
        <v>805</v>
      </c>
      <c r="AF3428" t="s">
        <v>4769</v>
      </c>
    </row>
    <row r="3429" spans="1:32" hidden="1" x14ac:dyDescent="0.35">
      <c r="A3429">
        <v>2292</v>
      </c>
      <c r="B3429" t="s">
        <v>4761</v>
      </c>
      <c r="C3429" t="s">
        <v>72</v>
      </c>
      <c r="D3429" t="s">
        <v>34</v>
      </c>
      <c r="E3429">
        <v>1530</v>
      </c>
      <c r="F3429">
        <v>5</v>
      </c>
      <c r="G3429">
        <v>5</v>
      </c>
      <c r="H3429">
        <v>1</v>
      </c>
      <c r="I3429">
        <v>1</v>
      </c>
      <c r="J3429">
        <v>0.87869308307264504</v>
      </c>
      <c r="K3429">
        <v>0.96911757165564505</v>
      </c>
      <c r="L3429">
        <v>0.92169282033195099</v>
      </c>
      <c r="M3429">
        <v>0.76262626262626299</v>
      </c>
      <c r="N3429">
        <v>1</v>
      </c>
      <c r="O3429">
        <v>0.82525252525252502</v>
      </c>
      <c r="P3429" t="s">
        <v>4762</v>
      </c>
      <c r="Q3429" t="s">
        <v>4763</v>
      </c>
      <c r="R3429" t="s">
        <v>113</v>
      </c>
      <c r="S3429" t="s">
        <v>114</v>
      </c>
      <c r="T3429" t="s">
        <v>4764</v>
      </c>
      <c r="U3429" t="s">
        <v>4765</v>
      </c>
      <c r="V3429" t="s">
        <v>4766</v>
      </c>
      <c r="W3429" t="s">
        <v>4767</v>
      </c>
      <c r="AD3429" t="s">
        <v>312</v>
      </c>
      <c r="AE3429" t="s">
        <v>805</v>
      </c>
      <c r="AF3429" t="s">
        <v>4770</v>
      </c>
    </row>
    <row r="3430" spans="1:32" hidden="1" x14ac:dyDescent="0.35">
      <c r="A3430">
        <v>2293</v>
      </c>
      <c r="B3430" t="s">
        <v>4761</v>
      </c>
      <c r="C3430" t="s">
        <v>72</v>
      </c>
      <c r="D3430" t="s">
        <v>45</v>
      </c>
      <c r="E3430">
        <v>280</v>
      </c>
      <c r="F3430">
        <v>5</v>
      </c>
      <c r="G3430">
        <v>5</v>
      </c>
      <c r="H3430">
        <v>1</v>
      </c>
      <c r="I3430">
        <v>1</v>
      </c>
      <c r="J3430">
        <v>0.87869308307264504</v>
      </c>
      <c r="K3430">
        <v>0.96911757165564505</v>
      </c>
      <c r="L3430">
        <v>0.92169282033195099</v>
      </c>
      <c r="M3430">
        <v>0.76262626262626299</v>
      </c>
      <c r="N3430">
        <v>1</v>
      </c>
      <c r="O3430">
        <v>0.82525252525252502</v>
      </c>
      <c r="P3430" t="s">
        <v>4762</v>
      </c>
      <c r="Q3430" t="s">
        <v>4763</v>
      </c>
      <c r="R3430" t="s">
        <v>113</v>
      </c>
      <c r="S3430" t="s">
        <v>114</v>
      </c>
      <c r="T3430" t="s">
        <v>4764</v>
      </c>
      <c r="U3430" t="s">
        <v>4765</v>
      </c>
      <c r="V3430" t="s">
        <v>4766</v>
      </c>
      <c r="W3430" t="s">
        <v>4767</v>
      </c>
      <c r="AD3430" t="s">
        <v>312</v>
      </c>
      <c r="AE3430" t="s">
        <v>805</v>
      </c>
      <c r="AF3430" t="s">
        <v>4770</v>
      </c>
    </row>
    <row r="3431" spans="1:32" hidden="1" x14ac:dyDescent="0.35">
      <c r="A3431">
        <v>11720</v>
      </c>
      <c r="B3431" t="s">
        <v>24062</v>
      </c>
      <c r="C3431" t="s">
        <v>33</v>
      </c>
      <c r="D3431" t="s">
        <v>58</v>
      </c>
      <c r="E3431">
        <v>895</v>
      </c>
      <c r="F3431">
        <v>1</v>
      </c>
      <c r="G3431">
        <v>1</v>
      </c>
      <c r="H3431">
        <v>1</v>
      </c>
      <c r="I3431">
        <v>0</v>
      </c>
      <c r="J3431">
        <v>1</v>
      </c>
      <c r="K3431">
        <v>1</v>
      </c>
      <c r="L3431">
        <v>1</v>
      </c>
      <c r="M3431">
        <v>0</v>
      </c>
      <c r="N3431">
        <v>0</v>
      </c>
      <c r="O3431">
        <v>0</v>
      </c>
      <c r="P3431" t="s">
        <v>21320</v>
      </c>
      <c r="Q3431" t="s">
        <v>21321</v>
      </c>
      <c r="R3431" t="s">
        <v>235</v>
      </c>
      <c r="S3431" t="s">
        <v>236</v>
      </c>
      <c r="T3431" t="s">
        <v>24063</v>
      </c>
      <c r="U3431" t="s">
        <v>24064</v>
      </c>
      <c r="V3431" t="s">
        <v>24065</v>
      </c>
      <c r="W3431" t="s">
        <v>24066</v>
      </c>
      <c r="Z3431" t="s">
        <v>24067</v>
      </c>
      <c r="AA3431" t="s">
        <v>24068</v>
      </c>
      <c r="AB3431" t="s">
        <v>24067</v>
      </c>
      <c r="AC3431" t="s">
        <v>1094</v>
      </c>
      <c r="AD3431" t="s">
        <v>219</v>
      </c>
      <c r="AE3431" t="s">
        <v>24069</v>
      </c>
      <c r="AF3431" t="s">
        <v>24070</v>
      </c>
    </row>
    <row r="3432" spans="1:32" hidden="1" x14ac:dyDescent="0.35">
      <c r="A3432">
        <v>2540</v>
      </c>
      <c r="B3432" t="s">
        <v>5254</v>
      </c>
      <c r="C3432" t="s">
        <v>72</v>
      </c>
      <c r="D3432" t="s">
        <v>60</v>
      </c>
      <c r="E3432">
        <v>190</v>
      </c>
      <c r="F3432">
        <v>5</v>
      </c>
      <c r="G3432">
        <v>5</v>
      </c>
      <c r="H3432">
        <v>1</v>
      </c>
      <c r="I3432">
        <v>1</v>
      </c>
      <c r="J3432">
        <v>0.80686847229598202</v>
      </c>
      <c r="K3432">
        <v>0.96611683848797003</v>
      </c>
      <c r="L3432">
        <v>0.87934086400922495</v>
      </c>
      <c r="M3432">
        <v>0.66666666666666696</v>
      </c>
      <c r="N3432">
        <v>1</v>
      </c>
      <c r="O3432">
        <v>0.74102564102564095</v>
      </c>
      <c r="P3432" t="s">
        <v>2519</v>
      </c>
      <c r="Q3432" t="s">
        <v>2520</v>
      </c>
      <c r="R3432" t="s">
        <v>113</v>
      </c>
      <c r="S3432" t="s">
        <v>114</v>
      </c>
      <c r="T3432" t="s">
        <v>1454</v>
      </c>
      <c r="U3432" t="s">
        <v>1455</v>
      </c>
      <c r="V3432" t="s">
        <v>807</v>
      </c>
      <c r="W3432" t="s">
        <v>808</v>
      </c>
      <c r="X3432" t="s">
        <v>807</v>
      </c>
      <c r="Y3432" t="s">
        <v>119</v>
      </c>
      <c r="AD3432" t="s">
        <v>125</v>
      </c>
      <c r="AE3432" t="s">
        <v>126</v>
      </c>
      <c r="AF3432" t="s">
        <v>5255</v>
      </c>
    </row>
    <row r="3433" spans="1:32" hidden="1" x14ac:dyDescent="0.35">
      <c r="A3433">
        <v>2541</v>
      </c>
      <c r="B3433" t="s">
        <v>5254</v>
      </c>
      <c r="C3433" t="s">
        <v>72</v>
      </c>
      <c r="D3433" t="s">
        <v>62</v>
      </c>
      <c r="E3433">
        <v>266</v>
      </c>
      <c r="F3433">
        <v>5</v>
      </c>
      <c r="G3433">
        <v>5</v>
      </c>
      <c r="H3433">
        <v>1</v>
      </c>
      <c r="I3433">
        <v>1</v>
      </c>
      <c r="J3433">
        <v>0.80686847229598202</v>
      </c>
      <c r="K3433">
        <v>0.96611683848797003</v>
      </c>
      <c r="L3433">
        <v>0.87934086400922495</v>
      </c>
      <c r="M3433">
        <v>0.66666666666666696</v>
      </c>
      <c r="N3433">
        <v>1</v>
      </c>
      <c r="O3433">
        <v>0.74102564102564095</v>
      </c>
      <c r="P3433" t="s">
        <v>2519</v>
      </c>
      <c r="Q3433" t="s">
        <v>2520</v>
      </c>
      <c r="R3433" t="s">
        <v>113</v>
      </c>
      <c r="S3433" t="s">
        <v>114</v>
      </c>
      <c r="T3433" t="s">
        <v>1454</v>
      </c>
      <c r="U3433" t="s">
        <v>1455</v>
      </c>
      <c r="V3433" t="s">
        <v>807</v>
      </c>
      <c r="W3433" t="s">
        <v>808</v>
      </c>
      <c r="X3433" t="s">
        <v>807</v>
      </c>
      <c r="Y3433" t="s">
        <v>119</v>
      </c>
      <c r="AD3433" t="s">
        <v>125</v>
      </c>
      <c r="AE3433" t="s">
        <v>126</v>
      </c>
      <c r="AF3433" t="s">
        <v>5256</v>
      </c>
    </row>
    <row r="3434" spans="1:32" hidden="1" x14ac:dyDescent="0.35">
      <c r="A3434">
        <v>2542</v>
      </c>
      <c r="B3434" t="s">
        <v>5254</v>
      </c>
      <c r="C3434" t="s">
        <v>72</v>
      </c>
      <c r="D3434" t="s">
        <v>34</v>
      </c>
      <c r="E3434">
        <v>905</v>
      </c>
      <c r="F3434">
        <v>5</v>
      </c>
      <c r="G3434">
        <v>5</v>
      </c>
      <c r="H3434">
        <v>1</v>
      </c>
      <c r="I3434">
        <v>1</v>
      </c>
      <c r="J3434">
        <v>0.80686847229598202</v>
      </c>
      <c r="K3434">
        <v>0.96611683848797003</v>
      </c>
      <c r="L3434">
        <v>0.87934086400922495</v>
      </c>
      <c r="M3434">
        <v>0.66666666666666696</v>
      </c>
      <c r="N3434">
        <v>1</v>
      </c>
      <c r="O3434">
        <v>0.74102564102564095</v>
      </c>
      <c r="P3434" t="s">
        <v>2519</v>
      </c>
      <c r="Q3434" t="s">
        <v>2520</v>
      </c>
      <c r="R3434" t="s">
        <v>113</v>
      </c>
      <c r="S3434" t="s">
        <v>114</v>
      </c>
      <c r="T3434" t="s">
        <v>1454</v>
      </c>
      <c r="U3434" t="s">
        <v>1455</v>
      </c>
      <c r="V3434" t="s">
        <v>807</v>
      </c>
      <c r="W3434" t="s">
        <v>808</v>
      </c>
      <c r="X3434" t="s">
        <v>807</v>
      </c>
      <c r="Y3434" t="s">
        <v>119</v>
      </c>
      <c r="AD3434" t="s">
        <v>125</v>
      </c>
      <c r="AE3434" t="s">
        <v>126</v>
      </c>
      <c r="AF3434" t="e">
        <f>-------MGSSDHVTELALRAGRGDRAALTEFIKATQSDVWRLLAHLGGTDRADDLTQETYLRVMGALPRFAARSSAMTWLLSLARRVWADSMRYDRARPRKSAAEVESVAALRVPESSWSEWVDVRMLIDALPAERREALILTQVLGYSYEEAAKIADVRVGTIRSRVARARADIIAAVRQKDQGTQVGGPRAS</f>
        <v>#NAME?</v>
      </c>
    </row>
    <row r="3435" spans="1:32" hidden="1" x14ac:dyDescent="0.35">
      <c r="A3435">
        <v>2543</v>
      </c>
      <c r="B3435" t="s">
        <v>5254</v>
      </c>
      <c r="C3435" t="s">
        <v>72</v>
      </c>
      <c r="D3435" t="s">
        <v>45</v>
      </c>
      <c r="E3435">
        <v>2161</v>
      </c>
      <c r="F3435">
        <v>5</v>
      </c>
      <c r="G3435">
        <v>5</v>
      </c>
      <c r="H3435">
        <v>1</v>
      </c>
      <c r="I3435">
        <v>1</v>
      </c>
      <c r="J3435">
        <v>0.80686847229598202</v>
      </c>
      <c r="K3435">
        <v>0.96611683848797003</v>
      </c>
      <c r="L3435">
        <v>0.87934086400922495</v>
      </c>
      <c r="M3435">
        <v>0.66666666666666696</v>
      </c>
      <c r="N3435">
        <v>1</v>
      </c>
      <c r="O3435">
        <v>0.74102564102564095</v>
      </c>
      <c r="P3435" t="s">
        <v>2519</v>
      </c>
      <c r="Q3435" t="s">
        <v>2520</v>
      </c>
      <c r="R3435" t="s">
        <v>113</v>
      </c>
      <c r="S3435" t="s">
        <v>114</v>
      </c>
      <c r="T3435" t="s">
        <v>1454</v>
      </c>
      <c r="U3435" t="s">
        <v>1455</v>
      </c>
      <c r="V3435" t="s">
        <v>807</v>
      </c>
      <c r="W3435" t="s">
        <v>808</v>
      </c>
      <c r="X3435" t="s">
        <v>807</v>
      </c>
      <c r="Y3435" t="s">
        <v>119</v>
      </c>
      <c r="AD3435" t="s">
        <v>125</v>
      </c>
      <c r="AE3435" t="s">
        <v>126</v>
      </c>
      <c r="AF3435" t="e">
        <f>-------MGSSDHVTELALRAGRGDRAALTEFIKATQSDVWRLLAHLGGTDRADDLTQETYLRVMGALPRFAARSSAMTWLLSLARRVWADSMRYDRARPRKSAAEVESVAALRVPESSWSEWVDVRMLIDALPAERREALILTQVLGYSYEEAAKIADVRVGTIRSRVARARADIIAAVRQKDQGTQVGGPRAS</f>
        <v>#NAME?</v>
      </c>
    </row>
    <row r="3436" spans="1:32" hidden="1" x14ac:dyDescent="0.35">
      <c r="A3436">
        <v>1174</v>
      </c>
      <c r="B3436" t="s">
        <v>2447</v>
      </c>
      <c r="C3436" t="s">
        <v>72</v>
      </c>
      <c r="D3436" t="s">
        <v>58</v>
      </c>
      <c r="E3436">
        <v>667</v>
      </c>
      <c r="F3436">
        <v>5</v>
      </c>
      <c r="G3436">
        <v>5</v>
      </c>
      <c r="H3436">
        <v>1</v>
      </c>
      <c r="I3436">
        <v>1</v>
      </c>
      <c r="J3436">
        <v>0.89884145867350895</v>
      </c>
      <c r="K3436">
        <v>0.99012060559404202</v>
      </c>
      <c r="L3436">
        <v>0.94227561921941605</v>
      </c>
      <c r="M3436">
        <v>0.79676674364896105</v>
      </c>
      <c r="N3436">
        <v>1</v>
      </c>
      <c r="O3436">
        <v>0.86212471131639701</v>
      </c>
      <c r="P3436" t="s">
        <v>2448</v>
      </c>
      <c r="Q3436" t="s">
        <v>2449</v>
      </c>
      <c r="R3436" t="s">
        <v>235</v>
      </c>
      <c r="S3436" t="s">
        <v>236</v>
      </c>
      <c r="T3436" t="s">
        <v>2450</v>
      </c>
      <c r="U3436" t="s">
        <v>2451</v>
      </c>
      <c r="V3436" t="s">
        <v>2452</v>
      </c>
      <c r="W3436" t="s">
        <v>2453</v>
      </c>
      <c r="X3436" t="s">
        <v>2452</v>
      </c>
      <c r="Y3436" t="s">
        <v>2454</v>
      </c>
      <c r="Z3436" t="s">
        <v>2455</v>
      </c>
      <c r="AA3436" t="s">
        <v>2456</v>
      </c>
      <c r="AB3436" t="s">
        <v>2455</v>
      </c>
      <c r="AC3436" t="s">
        <v>2457</v>
      </c>
      <c r="AD3436" t="s">
        <v>590</v>
      </c>
      <c r="AE3436" t="s">
        <v>2458</v>
      </c>
      <c r="AF3436" t="s">
        <v>2459</v>
      </c>
    </row>
    <row r="3437" spans="1:32" hidden="1" x14ac:dyDescent="0.35">
      <c r="A3437">
        <v>2620</v>
      </c>
      <c r="B3437" t="s">
        <v>5420</v>
      </c>
      <c r="C3437" t="s">
        <v>72</v>
      </c>
      <c r="D3437" t="s">
        <v>60</v>
      </c>
      <c r="E3437">
        <v>2465</v>
      </c>
      <c r="F3437">
        <v>5</v>
      </c>
      <c r="G3437">
        <v>5</v>
      </c>
      <c r="H3437">
        <v>1</v>
      </c>
      <c r="I3437">
        <v>1</v>
      </c>
      <c r="J3437">
        <v>0.81638149556400497</v>
      </c>
      <c r="K3437">
        <v>0.98349348427010896</v>
      </c>
      <c r="L3437">
        <v>0.89217961309722305</v>
      </c>
      <c r="M3437">
        <v>0.644859813084112</v>
      </c>
      <c r="N3437">
        <v>1</v>
      </c>
      <c r="O3437">
        <v>0.742523364485981</v>
      </c>
      <c r="P3437" t="s">
        <v>2163</v>
      </c>
      <c r="Q3437" t="s">
        <v>2164</v>
      </c>
      <c r="R3437" t="s">
        <v>113</v>
      </c>
      <c r="S3437" t="s">
        <v>114</v>
      </c>
      <c r="V3437" t="s">
        <v>2167</v>
      </c>
      <c r="W3437" t="s">
        <v>2168</v>
      </c>
      <c r="AF3437" t="s">
        <v>5421</v>
      </c>
    </row>
    <row r="3438" spans="1:32" hidden="1" x14ac:dyDescent="0.35">
      <c r="A3438">
        <v>2621</v>
      </c>
      <c r="B3438" t="s">
        <v>5420</v>
      </c>
      <c r="C3438" t="s">
        <v>72</v>
      </c>
      <c r="D3438" t="s">
        <v>62</v>
      </c>
      <c r="E3438">
        <v>2491</v>
      </c>
      <c r="F3438">
        <v>5</v>
      </c>
      <c r="G3438">
        <v>5</v>
      </c>
      <c r="H3438">
        <v>1</v>
      </c>
      <c r="I3438">
        <v>1</v>
      </c>
      <c r="J3438">
        <v>0.81638149556400497</v>
      </c>
      <c r="K3438">
        <v>0.98349348427010896</v>
      </c>
      <c r="L3438">
        <v>0.89217961309722305</v>
      </c>
      <c r="M3438">
        <v>0.644859813084112</v>
      </c>
      <c r="N3438">
        <v>1</v>
      </c>
      <c r="O3438">
        <v>0.742523364485981</v>
      </c>
      <c r="P3438" t="s">
        <v>2163</v>
      </c>
      <c r="Q3438" t="s">
        <v>2164</v>
      </c>
      <c r="R3438" t="s">
        <v>113</v>
      </c>
      <c r="S3438" t="s">
        <v>114</v>
      </c>
      <c r="V3438" t="s">
        <v>2167</v>
      </c>
      <c r="W3438" t="s">
        <v>2168</v>
      </c>
      <c r="AF3438" t="s">
        <v>5422</v>
      </c>
    </row>
    <row r="3439" spans="1:32" hidden="1" x14ac:dyDescent="0.35">
      <c r="A3439">
        <v>2622</v>
      </c>
      <c r="B3439" t="s">
        <v>5420</v>
      </c>
      <c r="C3439" t="s">
        <v>72</v>
      </c>
      <c r="D3439" t="s">
        <v>34</v>
      </c>
      <c r="E3439">
        <v>1207</v>
      </c>
      <c r="F3439">
        <v>5</v>
      </c>
      <c r="G3439">
        <v>5</v>
      </c>
      <c r="H3439">
        <v>1</v>
      </c>
      <c r="I3439">
        <v>1</v>
      </c>
      <c r="J3439">
        <v>0.81638149556400497</v>
      </c>
      <c r="K3439">
        <v>0.98349348427010896</v>
      </c>
      <c r="L3439">
        <v>0.89217961309722305</v>
      </c>
      <c r="M3439">
        <v>0.644859813084112</v>
      </c>
      <c r="N3439">
        <v>1</v>
      </c>
      <c r="O3439">
        <v>0.742523364485981</v>
      </c>
      <c r="P3439" t="s">
        <v>2163</v>
      </c>
      <c r="Q3439" t="s">
        <v>2164</v>
      </c>
      <c r="R3439" t="s">
        <v>113</v>
      </c>
      <c r="S3439" t="s">
        <v>114</v>
      </c>
      <c r="V3439" t="s">
        <v>2167</v>
      </c>
      <c r="W3439" t="s">
        <v>2168</v>
      </c>
      <c r="AF3439" t="s">
        <v>5423</v>
      </c>
    </row>
    <row r="3440" spans="1:32" hidden="1" x14ac:dyDescent="0.35">
      <c r="A3440">
        <v>2623</v>
      </c>
      <c r="B3440" t="s">
        <v>5420</v>
      </c>
      <c r="C3440" t="s">
        <v>72</v>
      </c>
      <c r="D3440" t="s">
        <v>45</v>
      </c>
      <c r="E3440">
        <v>2450</v>
      </c>
      <c r="F3440">
        <v>5</v>
      </c>
      <c r="G3440">
        <v>5</v>
      </c>
      <c r="H3440">
        <v>1</v>
      </c>
      <c r="I3440">
        <v>1</v>
      </c>
      <c r="J3440">
        <v>0.81638149556400497</v>
      </c>
      <c r="K3440">
        <v>0.98349348427010896</v>
      </c>
      <c r="L3440">
        <v>0.89217961309722305</v>
      </c>
      <c r="M3440">
        <v>0.644859813084112</v>
      </c>
      <c r="N3440">
        <v>1</v>
      </c>
      <c r="O3440">
        <v>0.742523364485981</v>
      </c>
      <c r="P3440" t="s">
        <v>2163</v>
      </c>
      <c r="Q3440" t="s">
        <v>2164</v>
      </c>
      <c r="R3440" t="s">
        <v>113</v>
      </c>
      <c r="S3440" t="s">
        <v>114</v>
      </c>
      <c r="V3440" t="s">
        <v>2167</v>
      </c>
      <c r="W3440" t="s">
        <v>2168</v>
      </c>
      <c r="AF3440" t="s">
        <v>5423</v>
      </c>
    </row>
    <row r="3441" spans="1:32" hidden="1" x14ac:dyDescent="0.35">
      <c r="A3441">
        <v>1459</v>
      </c>
      <c r="B3441" t="s">
        <v>3059</v>
      </c>
      <c r="C3441" t="s">
        <v>72</v>
      </c>
      <c r="D3441" t="s">
        <v>58</v>
      </c>
      <c r="E3441">
        <v>164</v>
      </c>
      <c r="F3441">
        <v>5</v>
      </c>
      <c r="G3441">
        <v>5</v>
      </c>
      <c r="H3441">
        <v>1</v>
      </c>
      <c r="I3441">
        <v>1</v>
      </c>
      <c r="J3441">
        <v>0.81100244498777496</v>
      </c>
      <c r="K3441">
        <v>0.96740725801934102</v>
      </c>
      <c r="L3441">
        <v>0.88232722777656303</v>
      </c>
      <c r="M3441">
        <v>0.62411347517730498</v>
      </c>
      <c r="N3441">
        <v>1</v>
      </c>
      <c r="O3441">
        <v>0.72553191489361701</v>
      </c>
      <c r="P3441" t="s">
        <v>363</v>
      </c>
      <c r="Q3441" t="s">
        <v>364</v>
      </c>
      <c r="R3441" t="s">
        <v>157</v>
      </c>
      <c r="S3441" t="s">
        <v>158</v>
      </c>
      <c r="T3441" t="s">
        <v>3060</v>
      </c>
      <c r="U3441" t="s">
        <v>3061</v>
      </c>
      <c r="V3441" t="s">
        <v>358</v>
      </c>
      <c r="W3441" t="s">
        <v>359</v>
      </c>
      <c r="AD3441" t="s">
        <v>219</v>
      </c>
      <c r="AE3441" t="s">
        <v>3062</v>
      </c>
      <c r="AF3441" t="s">
        <v>3063</v>
      </c>
    </row>
    <row r="3442" spans="1:32" hidden="1" x14ac:dyDescent="0.35">
      <c r="A3442">
        <v>2635</v>
      </c>
      <c r="B3442" t="s">
        <v>5450</v>
      </c>
      <c r="C3442" t="s">
        <v>72</v>
      </c>
      <c r="D3442" t="s">
        <v>60</v>
      </c>
      <c r="E3442">
        <v>1114</v>
      </c>
      <c r="F3442">
        <v>5</v>
      </c>
      <c r="G3442">
        <v>5</v>
      </c>
      <c r="H3442">
        <v>1</v>
      </c>
      <c r="I3442">
        <v>1</v>
      </c>
      <c r="J3442">
        <v>0.74513274336283197</v>
      </c>
      <c r="K3442">
        <v>0.89731412031994195</v>
      </c>
      <c r="L3442">
        <v>0.814173227659855</v>
      </c>
      <c r="M3442">
        <v>0.43700787401574798</v>
      </c>
      <c r="N3442">
        <v>1</v>
      </c>
      <c r="O3442">
        <v>0.64251968503936996</v>
      </c>
      <c r="P3442" t="s">
        <v>2276</v>
      </c>
      <c r="Q3442" t="s">
        <v>2277</v>
      </c>
      <c r="R3442" t="s">
        <v>113</v>
      </c>
      <c r="S3442" t="s">
        <v>114</v>
      </c>
      <c r="V3442" t="s">
        <v>2278</v>
      </c>
      <c r="W3442" t="s">
        <v>2279</v>
      </c>
      <c r="AF3442" t="s">
        <v>5452</v>
      </c>
    </row>
    <row r="3443" spans="1:32" hidden="1" x14ac:dyDescent="0.35">
      <c r="A3443">
        <v>2636</v>
      </c>
      <c r="B3443" t="s">
        <v>5450</v>
      </c>
      <c r="C3443" t="s">
        <v>72</v>
      </c>
      <c r="D3443" t="s">
        <v>62</v>
      </c>
      <c r="E3443">
        <v>1150</v>
      </c>
      <c r="F3443">
        <v>5</v>
      </c>
      <c r="G3443">
        <v>5</v>
      </c>
      <c r="H3443">
        <v>1</v>
      </c>
      <c r="I3443">
        <v>1</v>
      </c>
      <c r="J3443">
        <v>0.74513274336283197</v>
      </c>
      <c r="K3443">
        <v>0.89731412031994195</v>
      </c>
      <c r="L3443">
        <v>0.814173227659855</v>
      </c>
      <c r="M3443">
        <v>0.43700787401574798</v>
      </c>
      <c r="N3443">
        <v>1</v>
      </c>
      <c r="O3443">
        <v>0.64251968503936996</v>
      </c>
      <c r="P3443" t="s">
        <v>2276</v>
      </c>
      <c r="Q3443" t="s">
        <v>2277</v>
      </c>
      <c r="R3443" t="s">
        <v>113</v>
      </c>
      <c r="S3443" t="s">
        <v>114</v>
      </c>
      <c r="V3443" t="s">
        <v>2278</v>
      </c>
      <c r="W3443" t="s">
        <v>2279</v>
      </c>
      <c r="AF3443" t="s">
        <v>5452</v>
      </c>
    </row>
    <row r="3444" spans="1:32" hidden="1" x14ac:dyDescent="0.35">
      <c r="A3444">
        <v>2637</v>
      </c>
      <c r="B3444" t="s">
        <v>5450</v>
      </c>
      <c r="C3444" t="s">
        <v>72</v>
      </c>
      <c r="D3444" t="s">
        <v>34</v>
      </c>
      <c r="E3444">
        <v>33</v>
      </c>
      <c r="F3444">
        <v>5</v>
      </c>
      <c r="G3444">
        <v>5</v>
      </c>
      <c r="H3444">
        <v>1</v>
      </c>
      <c r="I3444">
        <v>1</v>
      </c>
      <c r="J3444">
        <v>0.74513274336283197</v>
      </c>
      <c r="K3444">
        <v>0.89731412031994195</v>
      </c>
      <c r="L3444">
        <v>0.814173227659855</v>
      </c>
      <c r="M3444">
        <v>0.43700787401574798</v>
      </c>
      <c r="N3444">
        <v>1</v>
      </c>
      <c r="O3444">
        <v>0.64251968503936996</v>
      </c>
      <c r="P3444" t="s">
        <v>2276</v>
      </c>
      <c r="Q3444" t="s">
        <v>2277</v>
      </c>
      <c r="R3444" t="s">
        <v>113</v>
      </c>
      <c r="S3444" t="s">
        <v>114</v>
      </c>
      <c r="V3444" t="s">
        <v>2278</v>
      </c>
      <c r="W3444" t="s">
        <v>2279</v>
      </c>
      <c r="AF3444" t="s">
        <v>5453</v>
      </c>
    </row>
    <row r="3445" spans="1:32" hidden="1" x14ac:dyDescent="0.35">
      <c r="A3445">
        <v>2638</v>
      </c>
      <c r="B3445" t="s">
        <v>5450</v>
      </c>
      <c r="C3445" t="s">
        <v>72</v>
      </c>
      <c r="D3445" t="s">
        <v>45</v>
      </c>
      <c r="E3445">
        <v>1290</v>
      </c>
      <c r="F3445">
        <v>5</v>
      </c>
      <c r="G3445">
        <v>5</v>
      </c>
      <c r="H3445">
        <v>1</v>
      </c>
      <c r="I3445">
        <v>1</v>
      </c>
      <c r="J3445">
        <v>0.74513274336283197</v>
      </c>
      <c r="K3445">
        <v>0.89731412031994195</v>
      </c>
      <c r="L3445">
        <v>0.814173227659855</v>
      </c>
      <c r="M3445">
        <v>0.43700787401574798</v>
      </c>
      <c r="N3445">
        <v>1</v>
      </c>
      <c r="O3445">
        <v>0.64251968503936996</v>
      </c>
      <c r="P3445" t="s">
        <v>2276</v>
      </c>
      <c r="Q3445" t="s">
        <v>2277</v>
      </c>
      <c r="R3445" t="s">
        <v>113</v>
      </c>
      <c r="S3445" t="s">
        <v>114</v>
      </c>
      <c r="V3445" t="s">
        <v>2278</v>
      </c>
      <c r="W3445" t="s">
        <v>2279</v>
      </c>
      <c r="AF3445" t="s">
        <v>5453</v>
      </c>
    </row>
    <row r="3446" spans="1:32" hidden="1" x14ac:dyDescent="0.35">
      <c r="A3446">
        <v>1609</v>
      </c>
      <c r="B3446" t="s">
        <v>3373</v>
      </c>
      <c r="C3446" t="s">
        <v>72</v>
      </c>
      <c r="D3446" t="s">
        <v>58</v>
      </c>
      <c r="E3446">
        <v>1319</v>
      </c>
      <c r="F3446">
        <v>5</v>
      </c>
      <c r="G3446">
        <v>5</v>
      </c>
      <c r="H3446">
        <v>1</v>
      </c>
      <c r="I3446">
        <v>1</v>
      </c>
      <c r="J3446">
        <v>0.73898428272917205</v>
      </c>
      <c r="K3446">
        <v>0.93618424469024497</v>
      </c>
      <c r="L3446">
        <v>0.82597712557377601</v>
      </c>
      <c r="M3446">
        <v>0.52162849872773498</v>
      </c>
      <c r="N3446">
        <v>1</v>
      </c>
      <c r="O3446">
        <v>0.65572519083969505</v>
      </c>
      <c r="P3446" t="s">
        <v>363</v>
      </c>
      <c r="Q3446" t="s">
        <v>364</v>
      </c>
      <c r="R3446" t="s">
        <v>157</v>
      </c>
      <c r="S3446" t="s">
        <v>158</v>
      </c>
      <c r="T3446" t="s">
        <v>3374</v>
      </c>
      <c r="U3446" t="s">
        <v>3375</v>
      </c>
      <c r="V3446" t="s">
        <v>358</v>
      </c>
      <c r="W3446" t="s">
        <v>359</v>
      </c>
      <c r="AD3446" t="s">
        <v>640</v>
      </c>
      <c r="AE3446" t="s">
        <v>3376</v>
      </c>
      <c r="AF3446" t="e">
        <f>-MRLLVVTNDYPPTVGGIQSYVRDFLATLDGSGVEVYVLASTQNAEEAAEYDRQLAANITAIRYPVRVMLPTLRLRKRMQSIITEYDIDTVWFPAAAPLAVLAPAARAAGASRVVASTHGHEVGWSMLPGARQVLRRIGRSVDTLSYISNYTRGRLDTAFG-GPEWCALPSGVDLHTFRPLDKQDVLRVRAQHGLPPDAPLVTCVSRLVKRKGQDILIDVWPEIVRTHPDAQLLIIGEGP--YGSNLSRRREASSAKSNIRLLGRQPFSDMVEILAASTVAAMPCRTRGKGLDVEGLGIVYLEAQACGIPAIAGKSGGAPETVDHGRTGFVVDGRDPRDVINRLRQLLDDPELRTQYGRAGREAMEDQWSWEQRAVTFRQFLHMPSDPRSSTK</f>
        <v>#NAME?</v>
      </c>
    </row>
    <row r="3447" spans="1:32" hidden="1" x14ac:dyDescent="0.35">
      <c r="A3447">
        <v>2905</v>
      </c>
      <c r="B3447" t="s">
        <v>5987</v>
      </c>
      <c r="C3447" t="s">
        <v>72</v>
      </c>
      <c r="D3447" t="s">
        <v>60</v>
      </c>
      <c r="E3447">
        <v>405</v>
      </c>
      <c r="F3447">
        <v>5</v>
      </c>
      <c r="G3447">
        <v>5</v>
      </c>
      <c r="H3447">
        <v>1</v>
      </c>
      <c r="I3447">
        <v>1</v>
      </c>
      <c r="J3447">
        <v>0.81731784582893396</v>
      </c>
      <c r="K3447">
        <v>0.91590022296544205</v>
      </c>
      <c r="L3447">
        <v>0.86380543880328597</v>
      </c>
      <c r="M3447">
        <v>0.62019230769230804</v>
      </c>
      <c r="N3447">
        <v>1</v>
      </c>
      <c r="O3447">
        <v>0.71826923076923099</v>
      </c>
      <c r="P3447" t="s">
        <v>2519</v>
      </c>
      <c r="Q3447" t="s">
        <v>2520</v>
      </c>
      <c r="R3447" t="s">
        <v>113</v>
      </c>
      <c r="S3447" t="s">
        <v>114</v>
      </c>
      <c r="T3447" t="s">
        <v>1454</v>
      </c>
      <c r="U3447" t="s">
        <v>1455</v>
      </c>
      <c r="V3447" t="s">
        <v>807</v>
      </c>
      <c r="W3447" t="s">
        <v>808</v>
      </c>
      <c r="X3447" t="s">
        <v>807</v>
      </c>
      <c r="Y3447" t="s">
        <v>119</v>
      </c>
      <c r="AD3447" t="s">
        <v>125</v>
      </c>
      <c r="AE3447" t="s">
        <v>126</v>
      </c>
      <c r="AF3447" t="s">
        <v>5989</v>
      </c>
    </row>
    <row r="3448" spans="1:32" hidden="1" x14ac:dyDescent="0.35">
      <c r="A3448">
        <v>2906</v>
      </c>
      <c r="B3448" t="s">
        <v>5987</v>
      </c>
      <c r="C3448" t="s">
        <v>72</v>
      </c>
      <c r="D3448" t="s">
        <v>62</v>
      </c>
      <c r="E3448">
        <v>486</v>
      </c>
      <c r="F3448">
        <v>5</v>
      </c>
      <c r="G3448">
        <v>5</v>
      </c>
      <c r="H3448">
        <v>1</v>
      </c>
      <c r="I3448">
        <v>1</v>
      </c>
      <c r="J3448">
        <v>0.81731784582893396</v>
      </c>
      <c r="K3448">
        <v>0.91590022296544205</v>
      </c>
      <c r="L3448">
        <v>0.86380543880328597</v>
      </c>
      <c r="M3448">
        <v>0.62019230769230804</v>
      </c>
      <c r="N3448">
        <v>1</v>
      </c>
      <c r="O3448">
        <v>0.71826923076923099</v>
      </c>
      <c r="P3448" t="s">
        <v>2519</v>
      </c>
      <c r="Q3448" t="s">
        <v>2520</v>
      </c>
      <c r="R3448" t="s">
        <v>113</v>
      </c>
      <c r="S3448" t="s">
        <v>114</v>
      </c>
      <c r="T3448" t="s">
        <v>1454</v>
      </c>
      <c r="U3448" t="s">
        <v>1455</v>
      </c>
      <c r="V3448" t="s">
        <v>807</v>
      </c>
      <c r="W3448" t="s">
        <v>808</v>
      </c>
      <c r="X3448" t="s">
        <v>807</v>
      </c>
      <c r="Y3448" t="s">
        <v>119</v>
      </c>
      <c r="AD3448" t="s">
        <v>125</v>
      </c>
      <c r="AE3448" t="s">
        <v>126</v>
      </c>
      <c r="AF3448" t="s">
        <v>5989</v>
      </c>
    </row>
    <row r="3449" spans="1:32" hidden="1" x14ac:dyDescent="0.35">
      <c r="A3449">
        <v>2907</v>
      </c>
      <c r="B3449" t="s">
        <v>5987</v>
      </c>
      <c r="C3449" t="s">
        <v>72</v>
      </c>
      <c r="D3449" t="s">
        <v>34</v>
      </c>
      <c r="E3449">
        <v>618</v>
      </c>
      <c r="F3449">
        <v>5</v>
      </c>
      <c r="G3449">
        <v>5</v>
      </c>
      <c r="H3449">
        <v>1</v>
      </c>
      <c r="I3449">
        <v>1</v>
      </c>
      <c r="J3449">
        <v>0.81731784582893396</v>
      </c>
      <c r="K3449">
        <v>0.91590022296544205</v>
      </c>
      <c r="L3449">
        <v>0.86380543880328597</v>
      </c>
      <c r="M3449">
        <v>0.62019230769230804</v>
      </c>
      <c r="N3449">
        <v>1</v>
      </c>
      <c r="O3449">
        <v>0.71826923076923099</v>
      </c>
      <c r="P3449" t="s">
        <v>2519</v>
      </c>
      <c r="Q3449" t="s">
        <v>2520</v>
      </c>
      <c r="R3449" t="s">
        <v>113</v>
      </c>
      <c r="S3449" t="s">
        <v>114</v>
      </c>
      <c r="T3449" t="s">
        <v>1454</v>
      </c>
      <c r="U3449" t="s">
        <v>1455</v>
      </c>
      <c r="V3449" t="s">
        <v>807</v>
      </c>
      <c r="W3449" t="s">
        <v>808</v>
      </c>
      <c r="X3449" t="s">
        <v>807</v>
      </c>
      <c r="Y3449" t="s">
        <v>119</v>
      </c>
      <c r="AD3449" t="s">
        <v>125</v>
      </c>
      <c r="AE3449" t="s">
        <v>126</v>
      </c>
      <c r="AF3449" t="s">
        <v>5990</v>
      </c>
    </row>
    <row r="3450" spans="1:32" hidden="1" x14ac:dyDescent="0.35">
      <c r="A3450">
        <v>2908</v>
      </c>
      <c r="B3450" t="s">
        <v>5987</v>
      </c>
      <c r="C3450" t="s">
        <v>72</v>
      </c>
      <c r="D3450" t="s">
        <v>45</v>
      </c>
      <c r="E3450">
        <v>1885</v>
      </c>
      <c r="F3450">
        <v>5</v>
      </c>
      <c r="G3450">
        <v>5</v>
      </c>
      <c r="H3450">
        <v>1</v>
      </c>
      <c r="I3450">
        <v>1</v>
      </c>
      <c r="J3450">
        <v>0.81731784582893396</v>
      </c>
      <c r="K3450">
        <v>0.91590022296544205</v>
      </c>
      <c r="L3450">
        <v>0.86380543880328597</v>
      </c>
      <c r="M3450">
        <v>0.62019230769230804</v>
      </c>
      <c r="N3450">
        <v>1</v>
      </c>
      <c r="O3450">
        <v>0.71826923076923099</v>
      </c>
      <c r="P3450" t="s">
        <v>2519</v>
      </c>
      <c r="Q3450" t="s">
        <v>2520</v>
      </c>
      <c r="R3450" t="s">
        <v>113</v>
      </c>
      <c r="S3450" t="s">
        <v>114</v>
      </c>
      <c r="T3450" t="s">
        <v>1454</v>
      </c>
      <c r="U3450" t="s">
        <v>1455</v>
      </c>
      <c r="V3450" t="s">
        <v>807</v>
      </c>
      <c r="W3450" t="s">
        <v>808</v>
      </c>
      <c r="X3450" t="s">
        <v>807</v>
      </c>
      <c r="Y3450" t="s">
        <v>119</v>
      </c>
      <c r="AD3450" t="s">
        <v>125</v>
      </c>
      <c r="AE3450" t="s">
        <v>126</v>
      </c>
      <c r="AF3450" t="s">
        <v>5990</v>
      </c>
    </row>
    <row r="3451" spans="1:32" hidden="1" x14ac:dyDescent="0.35">
      <c r="A3451">
        <v>1709</v>
      </c>
      <c r="B3451" t="s">
        <v>3573</v>
      </c>
      <c r="C3451" t="s">
        <v>72</v>
      </c>
      <c r="D3451" t="s">
        <v>58</v>
      </c>
      <c r="E3451">
        <v>724</v>
      </c>
      <c r="F3451">
        <v>5</v>
      </c>
      <c r="G3451">
        <v>5</v>
      </c>
      <c r="H3451">
        <v>1</v>
      </c>
      <c r="I3451">
        <v>1</v>
      </c>
      <c r="J3451">
        <v>0.87864704363542501</v>
      </c>
      <c r="K3451">
        <v>0.92582509376065503</v>
      </c>
      <c r="L3451">
        <v>0.90161933198942201</v>
      </c>
      <c r="M3451">
        <v>0.70476190476190503</v>
      </c>
      <c r="N3451">
        <v>1</v>
      </c>
      <c r="O3451">
        <v>0.80952380952380998</v>
      </c>
      <c r="P3451" t="s">
        <v>363</v>
      </c>
      <c r="Q3451" t="s">
        <v>364</v>
      </c>
      <c r="R3451" t="s">
        <v>157</v>
      </c>
      <c r="S3451" t="s">
        <v>158</v>
      </c>
      <c r="T3451" t="s">
        <v>3574</v>
      </c>
      <c r="U3451" t="s">
        <v>3575</v>
      </c>
      <c r="V3451" t="s">
        <v>358</v>
      </c>
      <c r="W3451" t="s">
        <v>359</v>
      </c>
      <c r="AD3451" t="s">
        <v>640</v>
      </c>
      <c r="AE3451" t="s">
        <v>3576</v>
      </c>
      <c r="AF3451" t="s">
        <v>3577</v>
      </c>
    </row>
    <row r="3452" spans="1:32" hidden="1" x14ac:dyDescent="0.35">
      <c r="A3452">
        <v>3185</v>
      </c>
      <c r="B3452" t="s">
        <v>6543</v>
      </c>
      <c r="C3452" t="s">
        <v>72</v>
      </c>
      <c r="D3452" t="s">
        <v>60</v>
      </c>
      <c r="E3452">
        <v>981</v>
      </c>
      <c r="F3452">
        <v>5</v>
      </c>
      <c r="G3452">
        <v>5</v>
      </c>
      <c r="H3452">
        <v>1</v>
      </c>
      <c r="I3452">
        <v>1</v>
      </c>
      <c r="J3452">
        <v>0.80769653052261703</v>
      </c>
      <c r="K3452">
        <v>0.88882607081378795</v>
      </c>
      <c r="L3452">
        <v>0.84632144961562294</v>
      </c>
      <c r="M3452">
        <v>0.619738751814224</v>
      </c>
      <c r="N3452">
        <v>1</v>
      </c>
      <c r="O3452">
        <v>0.71044992743105995</v>
      </c>
      <c r="P3452" t="s">
        <v>4603</v>
      </c>
      <c r="Q3452" t="s">
        <v>4604</v>
      </c>
      <c r="R3452" t="s">
        <v>113</v>
      </c>
      <c r="S3452" t="s">
        <v>114</v>
      </c>
      <c r="T3452" t="s">
        <v>6544</v>
      </c>
      <c r="U3452" t="s">
        <v>6545</v>
      </c>
      <c r="V3452" t="s">
        <v>6546</v>
      </c>
      <c r="W3452" t="s">
        <v>6547</v>
      </c>
      <c r="AD3452" t="s">
        <v>6548</v>
      </c>
      <c r="AE3452" t="s">
        <v>6549</v>
      </c>
      <c r="AF3452" t="s">
        <v>6551</v>
      </c>
    </row>
    <row r="3453" spans="1:32" hidden="1" x14ac:dyDescent="0.35">
      <c r="A3453">
        <v>3186</v>
      </c>
      <c r="B3453" t="s">
        <v>6543</v>
      </c>
      <c r="C3453" t="s">
        <v>72</v>
      </c>
      <c r="D3453" t="s">
        <v>62</v>
      </c>
      <c r="E3453">
        <v>1017</v>
      </c>
      <c r="F3453">
        <v>5</v>
      </c>
      <c r="G3453">
        <v>5</v>
      </c>
      <c r="H3453">
        <v>1</v>
      </c>
      <c r="I3453">
        <v>1</v>
      </c>
      <c r="J3453">
        <v>0.80769653052261703</v>
      </c>
      <c r="K3453">
        <v>0.88882607081378795</v>
      </c>
      <c r="L3453">
        <v>0.84632144961562294</v>
      </c>
      <c r="M3453">
        <v>0.619738751814224</v>
      </c>
      <c r="N3453">
        <v>1</v>
      </c>
      <c r="O3453">
        <v>0.71044992743105995</v>
      </c>
      <c r="P3453" t="s">
        <v>4603</v>
      </c>
      <c r="Q3453" t="s">
        <v>4604</v>
      </c>
      <c r="R3453" t="s">
        <v>113</v>
      </c>
      <c r="S3453" t="s">
        <v>114</v>
      </c>
      <c r="T3453" t="s">
        <v>6544</v>
      </c>
      <c r="U3453" t="s">
        <v>6545</v>
      </c>
      <c r="V3453" t="s">
        <v>6546</v>
      </c>
      <c r="W3453" t="s">
        <v>6547</v>
      </c>
      <c r="AD3453" t="s">
        <v>6548</v>
      </c>
      <c r="AE3453" t="s">
        <v>6549</v>
      </c>
      <c r="AF3453" t="s">
        <v>6551</v>
      </c>
    </row>
    <row r="3454" spans="1:32" hidden="1" x14ac:dyDescent="0.35">
      <c r="A3454">
        <v>3187</v>
      </c>
      <c r="B3454" t="s">
        <v>6543</v>
      </c>
      <c r="C3454" t="s">
        <v>72</v>
      </c>
      <c r="D3454" t="s">
        <v>34</v>
      </c>
      <c r="E3454">
        <v>146</v>
      </c>
      <c r="F3454">
        <v>5</v>
      </c>
      <c r="G3454">
        <v>5</v>
      </c>
      <c r="H3454">
        <v>1</v>
      </c>
      <c r="I3454">
        <v>1</v>
      </c>
      <c r="J3454">
        <v>0.80769653052261703</v>
      </c>
      <c r="K3454">
        <v>0.88882607081378795</v>
      </c>
      <c r="L3454">
        <v>0.84632144961562294</v>
      </c>
      <c r="M3454">
        <v>0.619738751814224</v>
      </c>
      <c r="N3454">
        <v>1</v>
      </c>
      <c r="O3454">
        <v>0.71044992743105995</v>
      </c>
      <c r="P3454" t="s">
        <v>4603</v>
      </c>
      <c r="Q3454" t="s">
        <v>4604</v>
      </c>
      <c r="R3454" t="s">
        <v>113</v>
      </c>
      <c r="S3454" t="s">
        <v>114</v>
      </c>
      <c r="T3454" t="s">
        <v>6544</v>
      </c>
      <c r="U3454" t="s">
        <v>6545</v>
      </c>
      <c r="V3454" t="s">
        <v>6546</v>
      </c>
      <c r="W3454" t="s">
        <v>6547</v>
      </c>
      <c r="AD3454" t="s">
        <v>6548</v>
      </c>
      <c r="AE3454" t="s">
        <v>6549</v>
      </c>
      <c r="AF3454" t="s">
        <v>6552</v>
      </c>
    </row>
    <row r="3455" spans="1:32" hidden="1" x14ac:dyDescent="0.35">
      <c r="A3455">
        <v>3188</v>
      </c>
      <c r="B3455" t="s">
        <v>6543</v>
      </c>
      <c r="C3455" t="s">
        <v>72</v>
      </c>
      <c r="D3455" t="s">
        <v>45</v>
      </c>
      <c r="E3455">
        <v>1407</v>
      </c>
      <c r="F3455">
        <v>5</v>
      </c>
      <c r="G3455">
        <v>5</v>
      </c>
      <c r="H3455">
        <v>1</v>
      </c>
      <c r="I3455">
        <v>1</v>
      </c>
      <c r="J3455">
        <v>0.80769653052261703</v>
      </c>
      <c r="K3455">
        <v>0.88882607081378795</v>
      </c>
      <c r="L3455">
        <v>0.84632144961562294</v>
      </c>
      <c r="M3455">
        <v>0.619738751814224</v>
      </c>
      <c r="N3455">
        <v>1</v>
      </c>
      <c r="O3455">
        <v>0.71044992743105995</v>
      </c>
      <c r="P3455" t="s">
        <v>4603</v>
      </c>
      <c r="Q3455" t="s">
        <v>4604</v>
      </c>
      <c r="R3455" t="s">
        <v>113</v>
      </c>
      <c r="S3455" t="s">
        <v>114</v>
      </c>
      <c r="T3455" t="s">
        <v>6544</v>
      </c>
      <c r="U3455" t="s">
        <v>6545</v>
      </c>
      <c r="V3455" t="s">
        <v>6546</v>
      </c>
      <c r="W3455" t="s">
        <v>6547</v>
      </c>
      <c r="AD3455" t="s">
        <v>6548</v>
      </c>
      <c r="AE3455" t="s">
        <v>6549</v>
      </c>
      <c r="AF3455" t="s">
        <v>6553</v>
      </c>
    </row>
    <row r="3456" spans="1:32" hidden="1" x14ac:dyDescent="0.35">
      <c r="A3456">
        <v>3594</v>
      </c>
      <c r="B3456" t="s">
        <v>7393</v>
      </c>
      <c r="C3456" t="s">
        <v>72</v>
      </c>
      <c r="D3456" t="s">
        <v>58</v>
      </c>
      <c r="E3456">
        <v>1780</v>
      </c>
      <c r="F3456">
        <v>5</v>
      </c>
      <c r="G3456">
        <v>5</v>
      </c>
      <c r="H3456">
        <v>1</v>
      </c>
      <c r="I3456">
        <v>1</v>
      </c>
      <c r="J3456">
        <v>0.74622956741623803</v>
      </c>
      <c r="K3456">
        <v>0.94376859439428196</v>
      </c>
      <c r="L3456">
        <v>0.833454196401472</v>
      </c>
      <c r="M3456">
        <v>0.55612244897959195</v>
      </c>
      <c r="N3456">
        <v>0.99234693877550995</v>
      </c>
      <c r="O3456">
        <v>0.64693877551020396</v>
      </c>
      <c r="P3456" t="s">
        <v>363</v>
      </c>
      <c r="Q3456" t="s">
        <v>364</v>
      </c>
      <c r="R3456" t="s">
        <v>157</v>
      </c>
      <c r="S3456" t="s">
        <v>158</v>
      </c>
      <c r="T3456" t="s">
        <v>7394</v>
      </c>
      <c r="U3456" t="s">
        <v>7395</v>
      </c>
      <c r="V3456" t="s">
        <v>358</v>
      </c>
      <c r="W3456" t="s">
        <v>359</v>
      </c>
      <c r="AD3456" t="s">
        <v>640</v>
      </c>
      <c r="AE3456" t="s">
        <v>7396</v>
      </c>
      <c r="AF3456" t="s">
        <v>7397</v>
      </c>
    </row>
    <row r="3457" spans="1:32" hidden="1" x14ac:dyDescent="0.35">
      <c r="A3457">
        <v>3335</v>
      </c>
      <c r="B3457" t="s">
        <v>6851</v>
      </c>
      <c r="C3457" t="s">
        <v>72</v>
      </c>
      <c r="D3457" t="s">
        <v>60</v>
      </c>
      <c r="E3457">
        <v>2372</v>
      </c>
      <c r="F3457">
        <v>5</v>
      </c>
      <c r="G3457">
        <v>5</v>
      </c>
      <c r="H3457">
        <v>1</v>
      </c>
      <c r="I3457">
        <v>1</v>
      </c>
      <c r="J3457">
        <v>0.78510378510378498</v>
      </c>
      <c r="K3457">
        <v>0.89838321293429702</v>
      </c>
      <c r="L3457">
        <v>0.83793229382869405</v>
      </c>
      <c r="M3457">
        <v>0.55555555555555602</v>
      </c>
      <c r="N3457">
        <v>1</v>
      </c>
      <c r="O3457">
        <v>0.69673202614379104</v>
      </c>
      <c r="P3457" t="s">
        <v>6852</v>
      </c>
      <c r="Q3457" t="s">
        <v>6853</v>
      </c>
      <c r="R3457" t="s">
        <v>113</v>
      </c>
      <c r="S3457" t="s">
        <v>114</v>
      </c>
      <c r="T3457" t="s">
        <v>6854</v>
      </c>
      <c r="U3457" t="s">
        <v>6855</v>
      </c>
      <c r="V3457" t="s">
        <v>6856</v>
      </c>
      <c r="W3457" t="s">
        <v>6857</v>
      </c>
      <c r="AD3457" t="s">
        <v>312</v>
      </c>
      <c r="AE3457" t="s">
        <v>6858</v>
      </c>
      <c r="AF3457" t="s">
        <v>6860</v>
      </c>
    </row>
    <row r="3458" spans="1:32" hidden="1" x14ac:dyDescent="0.35">
      <c r="A3458">
        <v>3336</v>
      </c>
      <c r="B3458" t="s">
        <v>6851</v>
      </c>
      <c r="C3458" t="s">
        <v>72</v>
      </c>
      <c r="D3458" t="s">
        <v>62</v>
      </c>
      <c r="E3458">
        <v>2400</v>
      </c>
      <c r="F3458">
        <v>5</v>
      </c>
      <c r="G3458">
        <v>5</v>
      </c>
      <c r="H3458">
        <v>1</v>
      </c>
      <c r="I3458">
        <v>1</v>
      </c>
      <c r="J3458">
        <v>0.78510378510378498</v>
      </c>
      <c r="K3458">
        <v>0.89838321293429702</v>
      </c>
      <c r="L3458">
        <v>0.83793229382869405</v>
      </c>
      <c r="M3458">
        <v>0.55555555555555602</v>
      </c>
      <c r="N3458">
        <v>1</v>
      </c>
      <c r="O3458">
        <v>0.69673202614379104</v>
      </c>
      <c r="P3458" t="s">
        <v>6852</v>
      </c>
      <c r="Q3458" t="s">
        <v>6853</v>
      </c>
      <c r="R3458" t="s">
        <v>113</v>
      </c>
      <c r="S3458" t="s">
        <v>114</v>
      </c>
      <c r="T3458" t="s">
        <v>6854</v>
      </c>
      <c r="U3458" t="s">
        <v>6855</v>
      </c>
      <c r="V3458" t="s">
        <v>6856</v>
      </c>
      <c r="W3458" t="s">
        <v>6857</v>
      </c>
      <c r="AD3458" t="s">
        <v>312</v>
      </c>
      <c r="AE3458" t="s">
        <v>6858</v>
      </c>
      <c r="AF3458" t="s">
        <v>6860</v>
      </c>
    </row>
    <row r="3459" spans="1:32" hidden="1" x14ac:dyDescent="0.35">
      <c r="A3459">
        <v>3337</v>
      </c>
      <c r="B3459" t="s">
        <v>6851</v>
      </c>
      <c r="C3459" t="s">
        <v>72</v>
      </c>
      <c r="D3459" t="s">
        <v>34</v>
      </c>
      <c r="E3459">
        <v>1412</v>
      </c>
      <c r="F3459">
        <v>5</v>
      </c>
      <c r="G3459">
        <v>5</v>
      </c>
      <c r="H3459">
        <v>1</v>
      </c>
      <c r="I3459">
        <v>1</v>
      </c>
      <c r="J3459">
        <v>0.78510378510378498</v>
      </c>
      <c r="K3459">
        <v>0.89838321293429702</v>
      </c>
      <c r="L3459">
        <v>0.83793229382869405</v>
      </c>
      <c r="M3459">
        <v>0.55555555555555602</v>
      </c>
      <c r="N3459">
        <v>1</v>
      </c>
      <c r="O3459">
        <v>0.69673202614379104</v>
      </c>
      <c r="P3459" t="s">
        <v>6852</v>
      </c>
      <c r="Q3459" t="s">
        <v>6853</v>
      </c>
      <c r="R3459" t="s">
        <v>113</v>
      </c>
      <c r="S3459" t="s">
        <v>114</v>
      </c>
      <c r="T3459" t="s">
        <v>6854</v>
      </c>
      <c r="U3459" t="s">
        <v>6855</v>
      </c>
      <c r="V3459" t="s">
        <v>6856</v>
      </c>
      <c r="W3459" t="s">
        <v>6857</v>
      </c>
      <c r="AD3459" t="s">
        <v>312</v>
      </c>
      <c r="AE3459" t="s">
        <v>6858</v>
      </c>
      <c r="AF3459" t="s">
        <v>6861</v>
      </c>
    </row>
    <row r="3460" spans="1:32" hidden="1" x14ac:dyDescent="0.35">
      <c r="A3460">
        <v>3338</v>
      </c>
      <c r="B3460" t="s">
        <v>6851</v>
      </c>
      <c r="C3460" t="s">
        <v>72</v>
      </c>
      <c r="D3460" t="s">
        <v>45</v>
      </c>
      <c r="E3460">
        <v>163</v>
      </c>
      <c r="F3460">
        <v>5</v>
      </c>
      <c r="G3460">
        <v>5</v>
      </c>
      <c r="H3460">
        <v>1</v>
      </c>
      <c r="I3460">
        <v>1</v>
      </c>
      <c r="J3460">
        <v>0.78510378510378498</v>
      </c>
      <c r="K3460">
        <v>0.89838321293429702</v>
      </c>
      <c r="L3460">
        <v>0.83793229382869405</v>
      </c>
      <c r="M3460">
        <v>0.55555555555555602</v>
      </c>
      <c r="N3460">
        <v>1</v>
      </c>
      <c r="O3460">
        <v>0.69673202614379104</v>
      </c>
      <c r="P3460" t="s">
        <v>6852</v>
      </c>
      <c r="Q3460" t="s">
        <v>6853</v>
      </c>
      <c r="R3460" t="s">
        <v>113</v>
      </c>
      <c r="S3460" t="s">
        <v>114</v>
      </c>
      <c r="T3460" t="s">
        <v>6854</v>
      </c>
      <c r="U3460" t="s">
        <v>6855</v>
      </c>
      <c r="V3460" t="s">
        <v>6856</v>
      </c>
      <c r="W3460" t="s">
        <v>6857</v>
      </c>
      <c r="AD3460" t="s">
        <v>312</v>
      </c>
      <c r="AE3460" t="s">
        <v>6858</v>
      </c>
      <c r="AF3460" t="s">
        <v>6862</v>
      </c>
    </row>
    <row r="3461" spans="1:32" hidden="1" x14ac:dyDescent="0.35">
      <c r="A3461">
        <v>3759</v>
      </c>
      <c r="B3461" t="s">
        <v>7757</v>
      </c>
      <c r="C3461" t="s">
        <v>72</v>
      </c>
      <c r="D3461" t="s">
        <v>58</v>
      </c>
      <c r="E3461">
        <v>1056</v>
      </c>
      <c r="F3461">
        <v>5</v>
      </c>
      <c r="G3461">
        <v>5</v>
      </c>
      <c r="H3461">
        <v>1</v>
      </c>
      <c r="I3461">
        <v>1</v>
      </c>
      <c r="J3461">
        <v>0.79785478547854805</v>
      </c>
      <c r="K3461">
        <v>0.898494654585553</v>
      </c>
      <c r="L3461">
        <v>0.84518937308210496</v>
      </c>
      <c r="M3461">
        <v>0.584352078239609</v>
      </c>
      <c r="N3461">
        <v>0.99511002444987795</v>
      </c>
      <c r="O3461">
        <v>0.72298288508557496</v>
      </c>
      <c r="P3461" t="s">
        <v>354</v>
      </c>
      <c r="Q3461" t="s">
        <v>355</v>
      </c>
      <c r="R3461" t="s">
        <v>157</v>
      </c>
      <c r="S3461" t="s">
        <v>158</v>
      </c>
      <c r="T3461" t="s">
        <v>7758</v>
      </c>
      <c r="U3461" t="s">
        <v>7759</v>
      </c>
      <c r="V3461" t="s">
        <v>358</v>
      </c>
      <c r="W3461" t="s">
        <v>359</v>
      </c>
      <c r="AD3461" t="s">
        <v>640</v>
      </c>
      <c r="AE3461" t="s">
        <v>7760</v>
      </c>
      <c r="AF3461" t="s">
        <v>7761</v>
      </c>
    </row>
    <row r="3462" spans="1:32" hidden="1" x14ac:dyDescent="0.35">
      <c r="A3462">
        <v>3570</v>
      </c>
      <c r="B3462" t="s">
        <v>7333</v>
      </c>
      <c r="C3462" t="s">
        <v>72</v>
      </c>
      <c r="D3462" t="s">
        <v>60</v>
      </c>
      <c r="E3462">
        <v>1621</v>
      </c>
      <c r="F3462">
        <v>5</v>
      </c>
      <c r="G3462">
        <v>5</v>
      </c>
      <c r="H3462">
        <v>1</v>
      </c>
      <c r="I3462">
        <v>1</v>
      </c>
      <c r="J3462">
        <v>0.82279968660224601</v>
      </c>
      <c r="K3462">
        <v>0.981951548665286</v>
      </c>
      <c r="L3462">
        <v>0.89535821969460405</v>
      </c>
      <c r="M3462">
        <v>0.67051282051282002</v>
      </c>
      <c r="N3462">
        <v>0.99871794871794894</v>
      </c>
      <c r="O3462">
        <v>0.76551282051282099</v>
      </c>
      <c r="P3462" t="s">
        <v>7341</v>
      </c>
      <c r="Q3462" t="s">
        <v>7342</v>
      </c>
      <c r="R3462" t="s">
        <v>113</v>
      </c>
      <c r="S3462" t="s">
        <v>114</v>
      </c>
      <c r="T3462" t="s">
        <v>7336</v>
      </c>
      <c r="U3462" t="s">
        <v>7337</v>
      </c>
      <c r="V3462" t="s">
        <v>7338</v>
      </c>
      <c r="W3462" t="s">
        <v>7339</v>
      </c>
      <c r="AD3462" t="s">
        <v>410</v>
      </c>
      <c r="AE3462" t="s">
        <v>3673</v>
      </c>
      <c r="AF3462" t="s">
        <v>7343</v>
      </c>
    </row>
    <row r="3463" spans="1:32" hidden="1" x14ac:dyDescent="0.35">
      <c r="A3463">
        <v>3571</v>
      </c>
      <c r="B3463" t="s">
        <v>7333</v>
      </c>
      <c r="C3463" t="s">
        <v>72</v>
      </c>
      <c r="D3463" t="s">
        <v>62</v>
      </c>
      <c r="E3463">
        <v>1657</v>
      </c>
      <c r="F3463">
        <v>5</v>
      </c>
      <c r="G3463">
        <v>5</v>
      </c>
      <c r="H3463">
        <v>1</v>
      </c>
      <c r="I3463">
        <v>1</v>
      </c>
      <c r="J3463">
        <v>0.82279968660224601</v>
      </c>
      <c r="K3463">
        <v>0.981951548665286</v>
      </c>
      <c r="L3463">
        <v>0.89535821969460405</v>
      </c>
      <c r="M3463">
        <v>0.67051282051282002</v>
      </c>
      <c r="N3463">
        <v>0.99871794871794894</v>
      </c>
      <c r="O3463">
        <v>0.76551282051282099</v>
      </c>
      <c r="P3463" t="s">
        <v>7341</v>
      </c>
      <c r="Q3463" t="s">
        <v>7342</v>
      </c>
      <c r="R3463" t="s">
        <v>113</v>
      </c>
      <c r="S3463" t="s">
        <v>114</v>
      </c>
      <c r="T3463" t="s">
        <v>7336</v>
      </c>
      <c r="U3463" t="s">
        <v>7337</v>
      </c>
      <c r="V3463" t="s">
        <v>7338</v>
      </c>
      <c r="W3463" t="s">
        <v>7339</v>
      </c>
      <c r="AD3463" t="s">
        <v>410</v>
      </c>
      <c r="AE3463" t="s">
        <v>3673</v>
      </c>
      <c r="AF3463" t="s">
        <v>7344</v>
      </c>
    </row>
    <row r="3464" spans="1:32" hidden="1" x14ac:dyDescent="0.35">
      <c r="A3464">
        <v>3572</v>
      </c>
      <c r="B3464" t="s">
        <v>7333</v>
      </c>
      <c r="C3464" t="s">
        <v>72</v>
      </c>
      <c r="D3464" t="s">
        <v>34</v>
      </c>
      <c r="E3464">
        <v>2012</v>
      </c>
      <c r="F3464">
        <v>5</v>
      </c>
      <c r="G3464">
        <v>5</v>
      </c>
      <c r="H3464">
        <v>1</v>
      </c>
      <c r="I3464">
        <v>1</v>
      </c>
      <c r="J3464">
        <v>0.82279968660224601</v>
      </c>
      <c r="K3464">
        <v>0.981951548665286</v>
      </c>
      <c r="L3464">
        <v>0.89535821969460405</v>
      </c>
      <c r="M3464">
        <v>0.67051282051282002</v>
      </c>
      <c r="N3464">
        <v>0.99871794871794894</v>
      </c>
      <c r="O3464">
        <v>0.76551282051282099</v>
      </c>
      <c r="P3464" t="s">
        <v>7341</v>
      </c>
      <c r="Q3464" t="s">
        <v>7342</v>
      </c>
      <c r="R3464" t="s">
        <v>113</v>
      </c>
      <c r="S3464" t="s">
        <v>114</v>
      </c>
      <c r="T3464" t="s">
        <v>7336</v>
      </c>
      <c r="U3464" t="s">
        <v>7337</v>
      </c>
      <c r="V3464" t="s">
        <v>7338</v>
      </c>
      <c r="W3464" t="s">
        <v>7339</v>
      </c>
      <c r="AD3464" t="s">
        <v>410</v>
      </c>
      <c r="AE3464" t="s">
        <v>3673</v>
      </c>
      <c r="AF3464" t="s">
        <v>7345</v>
      </c>
    </row>
    <row r="3465" spans="1:32" hidden="1" x14ac:dyDescent="0.35">
      <c r="A3465">
        <v>3573</v>
      </c>
      <c r="B3465" t="s">
        <v>7333</v>
      </c>
      <c r="C3465" t="s">
        <v>72</v>
      </c>
      <c r="D3465" t="s">
        <v>45</v>
      </c>
      <c r="E3465">
        <v>859</v>
      </c>
      <c r="F3465">
        <v>5</v>
      </c>
      <c r="G3465">
        <v>5</v>
      </c>
      <c r="H3465">
        <v>1</v>
      </c>
      <c r="I3465">
        <v>1</v>
      </c>
      <c r="J3465">
        <v>0.82279968660224601</v>
      </c>
      <c r="K3465">
        <v>0.981951548665286</v>
      </c>
      <c r="L3465">
        <v>0.89535821969460405</v>
      </c>
      <c r="M3465">
        <v>0.67051282051282002</v>
      </c>
      <c r="N3465">
        <v>0.99871794871794894</v>
      </c>
      <c r="O3465">
        <v>0.76551282051282099</v>
      </c>
      <c r="P3465" t="s">
        <v>7341</v>
      </c>
      <c r="Q3465" t="s">
        <v>7342</v>
      </c>
      <c r="R3465" t="s">
        <v>113</v>
      </c>
      <c r="S3465" t="s">
        <v>114</v>
      </c>
      <c r="T3465" t="s">
        <v>7336</v>
      </c>
      <c r="U3465" t="s">
        <v>7337</v>
      </c>
      <c r="V3465" t="s">
        <v>7338</v>
      </c>
      <c r="W3465" t="s">
        <v>7339</v>
      </c>
      <c r="AD3465" t="s">
        <v>410</v>
      </c>
      <c r="AE3465" t="s">
        <v>3673</v>
      </c>
      <c r="AF3465" t="s">
        <v>7346</v>
      </c>
    </row>
    <row r="3466" spans="1:32" hidden="1" x14ac:dyDescent="0.35">
      <c r="A3466">
        <v>6071</v>
      </c>
      <c r="B3466" t="s">
        <v>12483</v>
      </c>
      <c r="C3466" t="s">
        <v>68</v>
      </c>
      <c r="D3466" t="s">
        <v>58</v>
      </c>
      <c r="E3466">
        <v>206</v>
      </c>
      <c r="F3466">
        <v>3</v>
      </c>
      <c r="G3466">
        <v>3</v>
      </c>
      <c r="H3466">
        <v>1</v>
      </c>
      <c r="I3466">
        <v>0</v>
      </c>
      <c r="J3466">
        <v>0.806111111111111</v>
      </c>
      <c r="K3466">
        <v>0.99256817648728601</v>
      </c>
      <c r="L3466">
        <v>0.88967526464378099</v>
      </c>
      <c r="M3466">
        <v>0.62531017369727004</v>
      </c>
      <c r="N3466">
        <v>1</v>
      </c>
      <c r="O3466">
        <v>0.75020678246484696</v>
      </c>
      <c r="P3466" t="s">
        <v>354</v>
      </c>
      <c r="Q3466" t="s">
        <v>355</v>
      </c>
      <c r="R3466" t="s">
        <v>157</v>
      </c>
      <c r="S3466" t="s">
        <v>158</v>
      </c>
      <c r="T3466" t="s">
        <v>12484</v>
      </c>
      <c r="U3466" t="s">
        <v>12485</v>
      </c>
      <c r="V3466" t="s">
        <v>358</v>
      </c>
      <c r="W3466" t="s">
        <v>359</v>
      </c>
      <c r="AD3466" t="s">
        <v>12486</v>
      </c>
      <c r="AE3466" t="s">
        <v>12487</v>
      </c>
      <c r="AF3466" t="s">
        <v>12488</v>
      </c>
    </row>
    <row r="3467" spans="1:32" hidden="1" x14ac:dyDescent="0.35">
      <c r="A3467">
        <v>3810</v>
      </c>
      <c r="B3467" t="s">
        <v>7871</v>
      </c>
      <c r="C3467" t="s">
        <v>72</v>
      </c>
      <c r="D3467" t="s">
        <v>60</v>
      </c>
      <c r="E3467">
        <v>1194</v>
      </c>
      <c r="F3467">
        <v>5</v>
      </c>
      <c r="G3467">
        <v>5</v>
      </c>
      <c r="H3467">
        <v>1</v>
      </c>
      <c r="I3467">
        <v>1</v>
      </c>
      <c r="J3467">
        <v>0.78726138032305404</v>
      </c>
      <c r="K3467">
        <v>0.93361882104149996</v>
      </c>
      <c r="L3467">
        <v>0.85421639596515997</v>
      </c>
      <c r="M3467">
        <v>0.55897435897435899</v>
      </c>
      <c r="N3467">
        <v>0.98974358974359</v>
      </c>
      <c r="O3467">
        <v>0.69179487179487198</v>
      </c>
      <c r="P3467" t="s">
        <v>7872</v>
      </c>
      <c r="Q3467" t="s">
        <v>7873</v>
      </c>
      <c r="R3467" t="s">
        <v>113</v>
      </c>
      <c r="S3467" t="s">
        <v>114</v>
      </c>
      <c r="T3467" t="s">
        <v>7874</v>
      </c>
      <c r="U3467" t="s">
        <v>7875</v>
      </c>
      <c r="V3467" t="s">
        <v>7876</v>
      </c>
      <c r="W3467" t="s">
        <v>7877</v>
      </c>
      <c r="AD3467" t="s">
        <v>1480</v>
      </c>
      <c r="AE3467" t="s">
        <v>5109</v>
      </c>
      <c r="AF3467" t="e">
        <f>-----------MNAPISALRSQLESILLVVDSPVAAEVLARVVEEEPATVVTVLKQIAAEFDDRGSGMDLRETPEGWRLYTRPDNAPVVEKLLLDGTQTKLTRAALETLAVVAYRQPVTRAQVSAVRGVNVDGVMRTLQLRGLIREVEPDEGTGLAHRYMTTELFLEQLGIDSVDRLPNLAPLLPDIETIEEELP</f>
        <v>#NAME?</v>
      </c>
    </row>
    <row r="3468" spans="1:32" hidden="1" x14ac:dyDescent="0.35">
      <c r="A3468">
        <v>3811</v>
      </c>
      <c r="B3468" t="s">
        <v>7871</v>
      </c>
      <c r="C3468" t="s">
        <v>72</v>
      </c>
      <c r="D3468" t="s">
        <v>62</v>
      </c>
      <c r="E3468">
        <v>1231</v>
      </c>
      <c r="F3468">
        <v>5</v>
      </c>
      <c r="G3468">
        <v>5</v>
      </c>
      <c r="H3468">
        <v>1</v>
      </c>
      <c r="I3468">
        <v>1</v>
      </c>
      <c r="J3468">
        <v>0.78726138032305404</v>
      </c>
      <c r="K3468">
        <v>0.93361882104149996</v>
      </c>
      <c r="L3468">
        <v>0.85421639596515997</v>
      </c>
      <c r="M3468">
        <v>0.55897435897435899</v>
      </c>
      <c r="N3468">
        <v>0.98974358974359</v>
      </c>
      <c r="O3468">
        <v>0.69179487179487198</v>
      </c>
      <c r="P3468" t="s">
        <v>7872</v>
      </c>
      <c r="Q3468" t="s">
        <v>7873</v>
      </c>
      <c r="R3468" t="s">
        <v>113</v>
      </c>
      <c r="S3468" t="s">
        <v>114</v>
      </c>
      <c r="T3468" t="s">
        <v>7874</v>
      </c>
      <c r="U3468" t="s">
        <v>7875</v>
      </c>
      <c r="V3468" t="s">
        <v>7876</v>
      </c>
      <c r="W3468" t="s">
        <v>7877</v>
      </c>
      <c r="AD3468" t="s">
        <v>1480</v>
      </c>
      <c r="AE3468" t="s">
        <v>5109</v>
      </c>
      <c r="AF3468" t="e">
        <f>-----------MNSPISALRSQLESILLVVDSPVAAEVLARVVEEETATVVTVLKQIAAEFDDRGSGMDLRETPEGWRLYTRPDNAPVVEKLLLDGTQTKLTRAALETLAVVAYRQPVTRAQVSAVRGVNVDGVMRTLQLRGLIREVEPDEGTGLAHRYMTTELFLEQLGIDSVDRLPNLAPLLPDIETIEEELP</f>
        <v>#NAME?</v>
      </c>
    </row>
    <row r="3469" spans="1:32" hidden="1" x14ac:dyDescent="0.35">
      <c r="A3469">
        <v>3812</v>
      </c>
      <c r="B3469" t="s">
        <v>7871</v>
      </c>
      <c r="C3469" t="s">
        <v>72</v>
      </c>
      <c r="D3469" t="s">
        <v>34</v>
      </c>
      <c r="E3469">
        <v>1660</v>
      </c>
      <c r="F3469">
        <v>5</v>
      </c>
      <c r="G3469">
        <v>5</v>
      </c>
      <c r="H3469">
        <v>1</v>
      </c>
      <c r="I3469">
        <v>1</v>
      </c>
      <c r="J3469">
        <v>0.78726138032305404</v>
      </c>
      <c r="K3469">
        <v>0.93361882104149996</v>
      </c>
      <c r="L3469">
        <v>0.85421639596515997</v>
      </c>
      <c r="M3469">
        <v>0.55897435897435899</v>
      </c>
      <c r="N3469">
        <v>0.98974358974359</v>
      </c>
      <c r="O3469">
        <v>0.69179487179487198</v>
      </c>
      <c r="P3469" t="s">
        <v>7872</v>
      </c>
      <c r="Q3469" t="s">
        <v>7873</v>
      </c>
      <c r="R3469" t="s">
        <v>113</v>
      </c>
      <c r="S3469" t="s">
        <v>114</v>
      </c>
      <c r="T3469" t="s">
        <v>7874</v>
      </c>
      <c r="U3469" t="s">
        <v>7875</v>
      </c>
      <c r="V3469" t="s">
        <v>7876</v>
      </c>
      <c r="W3469" t="s">
        <v>7877</v>
      </c>
      <c r="AD3469" t="s">
        <v>1480</v>
      </c>
      <c r="AE3469" t="s">
        <v>5109</v>
      </c>
      <c r="AF3469" t="e">
        <f>-------MTDFSLPSVSLVRSQLESVLLVVDAPVSVSALAVGLAVSEDVVVGELLELRRELDVRGSGFELRETEEGWRLYTRRENAEVVEHFLLSGSQSKLSRAAMETLAIIAYRQPATRAQVSAVRGVNVDGVIRTLVLRGLIREV----AGGHARRYETTELFLELLGIDSLDRLPDLAPLLPDIDSIDEFDL</f>
        <v>#NAME?</v>
      </c>
    </row>
    <row r="3470" spans="1:32" hidden="1" x14ac:dyDescent="0.35">
      <c r="A3470">
        <v>3813</v>
      </c>
      <c r="B3470" t="s">
        <v>7871</v>
      </c>
      <c r="C3470" t="s">
        <v>72</v>
      </c>
      <c r="D3470" t="s">
        <v>45</v>
      </c>
      <c r="E3470">
        <v>1217</v>
      </c>
      <c r="F3470">
        <v>5</v>
      </c>
      <c r="G3470">
        <v>5</v>
      </c>
      <c r="H3470">
        <v>1</v>
      </c>
      <c r="I3470">
        <v>1</v>
      </c>
      <c r="J3470">
        <v>0.78726138032305404</v>
      </c>
      <c r="K3470">
        <v>0.93361882104149996</v>
      </c>
      <c r="L3470">
        <v>0.85421639596515997</v>
      </c>
      <c r="M3470">
        <v>0.55897435897435899</v>
      </c>
      <c r="N3470">
        <v>0.98974358974359</v>
      </c>
      <c r="O3470">
        <v>0.69179487179487198</v>
      </c>
      <c r="P3470" t="s">
        <v>7872</v>
      </c>
      <c r="Q3470" t="s">
        <v>7873</v>
      </c>
      <c r="R3470" t="s">
        <v>113</v>
      </c>
      <c r="S3470" t="s">
        <v>114</v>
      </c>
      <c r="T3470" t="s">
        <v>7874</v>
      </c>
      <c r="U3470" t="s">
        <v>7875</v>
      </c>
      <c r="V3470" t="s">
        <v>7876</v>
      </c>
      <c r="W3470" t="s">
        <v>7877</v>
      </c>
      <c r="AD3470" t="s">
        <v>1480</v>
      </c>
      <c r="AE3470" t="s">
        <v>5109</v>
      </c>
      <c r="AF3470" t="e">
        <f>-------MTDFSLPSVSLVRSQLESVLLVVDAPVSVSALAVGLAVSEDVVVGELLELRRELDERGSGFELRETEEGWRLYTRRENAEVVEHFLLSGAQSKLSRAAMETLAIIAYRQPATRAQVSAVRGVNVDGVIRTLVLRGLIREV----AGGHARRYETTELFLELLGIDSLDRLPDLAPLLPDIDSIDEFDL</f>
        <v>#NAME?</v>
      </c>
    </row>
    <row r="3471" spans="1:32" hidden="1" x14ac:dyDescent="0.35">
      <c r="A3471">
        <v>749</v>
      </c>
      <c r="B3471" t="s">
        <v>1530</v>
      </c>
      <c r="C3471" t="s">
        <v>72</v>
      </c>
      <c r="D3471" t="s">
        <v>58</v>
      </c>
      <c r="E3471">
        <v>142</v>
      </c>
      <c r="F3471">
        <v>5</v>
      </c>
      <c r="G3471">
        <v>5</v>
      </c>
      <c r="H3471">
        <v>1</v>
      </c>
      <c r="I3471">
        <v>1</v>
      </c>
      <c r="J3471">
        <v>0.86769318505845405</v>
      </c>
      <c r="K3471">
        <v>0.96305138931401901</v>
      </c>
      <c r="L3471">
        <v>0.91288882028262397</v>
      </c>
      <c r="M3471">
        <v>0.72839506172839497</v>
      </c>
      <c r="N3471">
        <v>1</v>
      </c>
      <c r="O3471">
        <v>0.80082304526749004</v>
      </c>
      <c r="P3471" t="s">
        <v>1531</v>
      </c>
      <c r="Q3471" t="s">
        <v>1532</v>
      </c>
      <c r="R3471" t="s">
        <v>157</v>
      </c>
      <c r="S3471" t="s">
        <v>158</v>
      </c>
      <c r="T3471" t="s">
        <v>1533</v>
      </c>
      <c r="U3471" t="s">
        <v>1534</v>
      </c>
      <c r="V3471" t="s">
        <v>1535</v>
      </c>
      <c r="W3471" t="s">
        <v>1536</v>
      </c>
      <c r="AD3471" t="s">
        <v>410</v>
      </c>
      <c r="AE3471" t="s">
        <v>501</v>
      </c>
      <c r="AF3471" t="e">
        <f>------------MDNSDTWLIIPCYNEGSVIKDVIEGARETFPNIVAVNDGSADNSAEQIHAAGAHLVNHPVNLGQGAALQTGVEYARAQAGARYFVTFDADGQHQVKDVVAMLERLRSEDVDIIVGTRFAGPKKDDDQVPLIKRIVLKTVVLLSPRTRRLGLTDAHNGLRAFNKKVADELNIRMNGMSHASEFVAQMDEKGWKVSEQPVDILYTEYSMSKGQSLINGVNILSDGLLARK-LP</f>
        <v>#NAME?</v>
      </c>
    </row>
    <row r="3472" spans="1:32" hidden="1" x14ac:dyDescent="0.35">
      <c r="A3472">
        <v>3850</v>
      </c>
      <c r="B3472" t="s">
        <v>7943</v>
      </c>
      <c r="C3472" t="s">
        <v>72</v>
      </c>
      <c r="D3472" t="s">
        <v>60</v>
      </c>
      <c r="E3472">
        <v>834</v>
      </c>
      <c r="F3472">
        <v>5</v>
      </c>
      <c r="G3472">
        <v>5</v>
      </c>
      <c r="H3472">
        <v>1</v>
      </c>
      <c r="I3472">
        <v>1</v>
      </c>
      <c r="J3472">
        <v>0.82661038148843002</v>
      </c>
      <c r="K3472">
        <v>0.85623941276115201</v>
      </c>
      <c r="L3472">
        <v>0.84116406591538695</v>
      </c>
      <c r="M3472">
        <v>0.58893280632411105</v>
      </c>
      <c r="N3472">
        <v>0.98418972332015797</v>
      </c>
      <c r="O3472">
        <v>0.702371541501976</v>
      </c>
      <c r="P3472" t="s">
        <v>2163</v>
      </c>
      <c r="Q3472" t="s">
        <v>2164</v>
      </c>
      <c r="R3472" t="s">
        <v>113</v>
      </c>
      <c r="S3472" t="s">
        <v>114</v>
      </c>
      <c r="T3472" t="s">
        <v>7944</v>
      </c>
      <c r="U3472" t="s">
        <v>7945</v>
      </c>
      <c r="V3472" t="s">
        <v>2167</v>
      </c>
      <c r="W3472" t="s">
        <v>2168</v>
      </c>
      <c r="AD3472" t="s">
        <v>312</v>
      </c>
      <c r="AE3472" t="s">
        <v>2169</v>
      </c>
      <c r="AF3472" t="s">
        <v>7947</v>
      </c>
    </row>
    <row r="3473" spans="1:32" hidden="1" x14ac:dyDescent="0.35">
      <c r="A3473">
        <v>3851</v>
      </c>
      <c r="B3473" t="s">
        <v>7943</v>
      </c>
      <c r="C3473" t="s">
        <v>72</v>
      </c>
      <c r="D3473" t="s">
        <v>62</v>
      </c>
      <c r="E3473">
        <v>868</v>
      </c>
      <c r="F3473">
        <v>5</v>
      </c>
      <c r="G3473">
        <v>5</v>
      </c>
      <c r="H3473">
        <v>1</v>
      </c>
      <c r="I3473">
        <v>1</v>
      </c>
      <c r="J3473">
        <v>0.82661038148843002</v>
      </c>
      <c r="K3473">
        <v>0.85623941276115201</v>
      </c>
      <c r="L3473">
        <v>0.84116406591538695</v>
      </c>
      <c r="M3473">
        <v>0.58893280632411105</v>
      </c>
      <c r="N3473">
        <v>0.98418972332015797</v>
      </c>
      <c r="O3473">
        <v>0.702371541501976</v>
      </c>
      <c r="P3473" t="s">
        <v>2163</v>
      </c>
      <c r="Q3473" t="s">
        <v>2164</v>
      </c>
      <c r="R3473" t="s">
        <v>113</v>
      </c>
      <c r="S3473" t="s">
        <v>114</v>
      </c>
      <c r="V3473" t="s">
        <v>2167</v>
      </c>
      <c r="W3473" t="s">
        <v>2168</v>
      </c>
      <c r="AF3473" t="s">
        <v>7948</v>
      </c>
    </row>
    <row r="3474" spans="1:32" hidden="1" x14ac:dyDescent="0.35">
      <c r="A3474">
        <v>3852</v>
      </c>
      <c r="B3474" t="s">
        <v>7943</v>
      </c>
      <c r="C3474" t="s">
        <v>72</v>
      </c>
      <c r="D3474" t="s">
        <v>34</v>
      </c>
      <c r="E3474">
        <v>308</v>
      </c>
      <c r="F3474">
        <v>5</v>
      </c>
      <c r="G3474">
        <v>5</v>
      </c>
      <c r="H3474">
        <v>1</v>
      </c>
      <c r="I3474">
        <v>1</v>
      </c>
      <c r="J3474">
        <v>0.82661038148843002</v>
      </c>
      <c r="K3474">
        <v>0.85623941276115201</v>
      </c>
      <c r="L3474">
        <v>0.84116406591538695</v>
      </c>
      <c r="M3474">
        <v>0.58893280632411105</v>
      </c>
      <c r="N3474">
        <v>0.98418972332015797</v>
      </c>
      <c r="O3474">
        <v>0.702371541501976</v>
      </c>
      <c r="P3474" t="s">
        <v>2163</v>
      </c>
      <c r="Q3474" t="s">
        <v>2164</v>
      </c>
      <c r="R3474" t="s">
        <v>113</v>
      </c>
      <c r="S3474" t="s">
        <v>114</v>
      </c>
      <c r="T3474" t="s">
        <v>7944</v>
      </c>
      <c r="U3474" t="s">
        <v>7945</v>
      </c>
      <c r="V3474" t="s">
        <v>2167</v>
      </c>
      <c r="W3474" t="s">
        <v>2168</v>
      </c>
      <c r="AD3474" t="s">
        <v>312</v>
      </c>
      <c r="AE3474" t="s">
        <v>2169</v>
      </c>
      <c r="AF3474" t="e">
        <f>-----MTGKQRREQLIAIGRSLFAERGFEGTSVEEIAMRAGVSKPVVYEHFGGKEGLYAVVIDREMTRLEHTITEALRTGRSRARVEQAVIALLTYVEDETDGFQILVRDTQPGVGRGYSTLLNDAVAQVSHLLGHAFTRSGLDPDTAILYGQALVGMVSMTAQWWLDQRENDDAFSKETVAAHIVNLCWKGLGGMEKNPRLTSIDAPPVRLGSDKPPQPNAGTSTPGAADAASPTSANPEA---TSTNNTTK</f>
        <v>#NAME?</v>
      </c>
    </row>
    <row r="3475" spans="1:32" hidden="1" x14ac:dyDescent="0.35">
      <c r="A3475">
        <v>3853</v>
      </c>
      <c r="B3475" t="s">
        <v>7943</v>
      </c>
      <c r="C3475" t="s">
        <v>72</v>
      </c>
      <c r="D3475" t="s">
        <v>45</v>
      </c>
      <c r="E3475">
        <v>1570</v>
      </c>
      <c r="F3475">
        <v>5</v>
      </c>
      <c r="G3475">
        <v>5</v>
      </c>
      <c r="H3475">
        <v>1</v>
      </c>
      <c r="I3475">
        <v>1</v>
      </c>
      <c r="J3475">
        <v>0.82661038148843002</v>
      </c>
      <c r="K3475">
        <v>0.85623941276115201</v>
      </c>
      <c r="L3475">
        <v>0.84116406591538695</v>
      </c>
      <c r="M3475">
        <v>0.58893280632411105</v>
      </c>
      <c r="N3475">
        <v>0.98418972332015797</v>
      </c>
      <c r="O3475">
        <v>0.702371541501976</v>
      </c>
      <c r="P3475" t="s">
        <v>2163</v>
      </c>
      <c r="Q3475" t="s">
        <v>2164</v>
      </c>
      <c r="R3475" t="s">
        <v>113</v>
      </c>
      <c r="S3475" t="s">
        <v>114</v>
      </c>
      <c r="T3475" t="s">
        <v>7944</v>
      </c>
      <c r="U3475" t="s">
        <v>7945</v>
      </c>
      <c r="V3475" t="s">
        <v>2167</v>
      </c>
      <c r="W3475" t="s">
        <v>2168</v>
      </c>
      <c r="AD3475" t="s">
        <v>312</v>
      </c>
      <c r="AE3475" t="s">
        <v>2169</v>
      </c>
      <c r="AF3475" t="e">
        <f>-----MTGKQRREQLIAIGRSLFAERGFEGTSVEEIAMRAGVSKPVVYEHFGGKEGLYAVVIDREMTRLEHTITEALRTGRSRARVEQAVIALLTYVEDETDGFQILVRDTQPGVGRGYSTLLNDAVAQVSHLLGHAFTRSGLDPDTAILYGQALVGMVSMTAQWWLDQRENDDAFSKETVAAHIVNLCWKGLGGMEKNPRLTSIDAPPLRLGSDKPPQPNA-----GAADAASPTSANPEATSPTSTNNTTK</f>
        <v>#NAME?</v>
      </c>
    </row>
    <row r="3476" spans="1:32" hidden="1" x14ac:dyDescent="0.35">
      <c r="A3476">
        <v>1004</v>
      </c>
      <c r="B3476" t="s">
        <v>2089</v>
      </c>
      <c r="C3476" t="s">
        <v>72</v>
      </c>
      <c r="D3476" t="s">
        <v>58</v>
      </c>
      <c r="E3476">
        <v>905</v>
      </c>
      <c r="F3476">
        <v>5</v>
      </c>
      <c r="G3476">
        <v>5</v>
      </c>
      <c r="H3476">
        <v>1</v>
      </c>
      <c r="I3476">
        <v>1</v>
      </c>
      <c r="J3476">
        <v>0.86488888888888904</v>
      </c>
      <c r="K3476">
        <v>0.98331502914589597</v>
      </c>
      <c r="L3476">
        <v>0.92030780227978404</v>
      </c>
      <c r="M3476">
        <v>0.72659176029962502</v>
      </c>
      <c r="N3476">
        <v>1</v>
      </c>
      <c r="O3476">
        <v>0.80749063670412002</v>
      </c>
      <c r="P3476" t="s">
        <v>1531</v>
      </c>
      <c r="Q3476" t="s">
        <v>1532</v>
      </c>
      <c r="R3476" t="s">
        <v>157</v>
      </c>
      <c r="S3476" t="s">
        <v>158</v>
      </c>
      <c r="T3476" t="s">
        <v>2090</v>
      </c>
      <c r="U3476" t="s">
        <v>2091</v>
      </c>
      <c r="V3476" t="s">
        <v>1535</v>
      </c>
      <c r="W3476" t="s">
        <v>1536</v>
      </c>
      <c r="AD3476" t="s">
        <v>640</v>
      </c>
      <c r="AE3476" t="s">
        <v>2092</v>
      </c>
      <c r="AF3476" t="s">
        <v>2093</v>
      </c>
    </row>
    <row r="3477" spans="1:32" hidden="1" x14ac:dyDescent="0.35">
      <c r="A3477">
        <v>3885</v>
      </c>
      <c r="B3477" t="s">
        <v>8008</v>
      </c>
      <c r="C3477" t="s">
        <v>72</v>
      </c>
      <c r="D3477" t="s">
        <v>60</v>
      </c>
      <c r="E3477">
        <v>1050</v>
      </c>
      <c r="F3477">
        <v>5</v>
      </c>
      <c r="G3477">
        <v>5</v>
      </c>
      <c r="H3477">
        <v>1</v>
      </c>
      <c r="I3477">
        <v>1</v>
      </c>
      <c r="J3477">
        <v>0.748817353178724</v>
      </c>
      <c r="K3477">
        <v>0.936905812633966</v>
      </c>
      <c r="L3477">
        <v>0.832368380553279</v>
      </c>
      <c r="M3477">
        <v>0.46278317152103599</v>
      </c>
      <c r="N3477">
        <v>0.99676375404530704</v>
      </c>
      <c r="O3477">
        <v>0.64239482200647202</v>
      </c>
      <c r="P3477" t="s">
        <v>8009</v>
      </c>
      <c r="Q3477" t="s">
        <v>8010</v>
      </c>
      <c r="R3477" t="s">
        <v>113</v>
      </c>
      <c r="S3477" t="s">
        <v>114</v>
      </c>
      <c r="T3477" t="s">
        <v>8011</v>
      </c>
      <c r="U3477" t="s">
        <v>8012</v>
      </c>
      <c r="V3477" t="s">
        <v>3477</v>
      </c>
      <c r="W3477" t="s">
        <v>3478</v>
      </c>
      <c r="AD3477" t="s">
        <v>8013</v>
      </c>
      <c r="AE3477" t="s">
        <v>8014</v>
      </c>
      <c r="AF3477" t="e">
        <f>---MNSKHMATLLAVLDQGSFEAAADHLGITPSAVSQRIKALEKEAGRVLVRRSTPATATEAGEVLAQTARRMALLQAETDAMMHGRLARVPLSVAINADSLATWFRPVLAEVARWDSASLRLRVEDESQSLHLLRSGDCLGAVTRESKAVSGCEVHPLGEMHYFSVASPEFRDRFI----HDGTL-DWAAMPALRYGPNDKLQDEDLIGRVEEF--------PRHRRISQIPSSEGFLEAARVGLGWALVSHLQARPALDSGDLVLLDDRVSRVPLYWQHWRLESPLLQRLSQAVISAAREALVSSPA</f>
        <v>#NAME?</v>
      </c>
    </row>
    <row r="3478" spans="1:32" hidden="1" x14ac:dyDescent="0.35">
      <c r="A3478">
        <v>3886</v>
      </c>
      <c r="B3478" t="s">
        <v>8008</v>
      </c>
      <c r="C3478" t="s">
        <v>72</v>
      </c>
      <c r="D3478" t="s">
        <v>62</v>
      </c>
      <c r="E3478">
        <v>1086</v>
      </c>
      <c r="F3478">
        <v>5</v>
      </c>
      <c r="G3478">
        <v>5</v>
      </c>
      <c r="H3478">
        <v>1</v>
      </c>
      <c r="I3478">
        <v>1</v>
      </c>
      <c r="J3478">
        <v>0.748817353178724</v>
      </c>
      <c r="K3478">
        <v>0.936905812633966</v>
      </c>
      <c r="L3478">
        <v>0.832368380553279</v>
      </c>
      <c r="M3478">
        <v>0.46278317152103599</v>
      </c>
      <c r="N3478">
        <v>0.99676375404530704</v>
      </c>
      <c r="O3478">
        <v>0.64239482200647202</v>
      </c>
      <c r="P3478" t="s">
        <v>8009</v>
      </c>
      <c r="Q3478" t="s">
        <v>8010</v>
      </c>
      <c r="R3478" t="s">
        <v>113</v>
      </c>
      <c r="S3478" t="s">
        <v>114</v>
      </c>
      <c r="T3478" t="s">
        <v>8011</v>
      </c>
      <c r="U3478" t="s">
        <v>8012</v>
      </c>
      <c r="V3478" t="s">
        <v>3477</v>
      </c>
      <c r="W3478" t="s">
        <v>3478</v>
      </c>
      <c r="AD3478" t="s">
        <v>8013</v>
      </c>
      <c r="AE3478" t="s">
        <v>8014</v>
      </c>
      <c r="AF3478" t="e">
        <f>---MNSKHMATLLAVLDQGSFEAAADHLGITPSAVSQRIKALEKEAGRVLVRRSTPATATEAGEVLAQTARRMALLQAETDAMMHGRLARVPLSVAINADSLATWFRPVLAEVARWDSASLRLRVEDESQSLHLLRSGDCLGAVTRESKAVSGCEVHPLGEMHYFSVASPEFRDRFT----HDGML-DWAAMPALRYGPNDKLQDEDLIGRVEEF--------PRHRRISQIPSSEGFLEAARVGLGWALVSHLQARPALDSGDLVLLDDRVSRVPLYWQHWRLESPLLQRLSQAVISAAREALVSSPA</f>
        <v>#NAME?</v>
      </c>
    </row>
    <row r="3479" spans="1:32" hidden="1" x14ac:dyDescent="0.35">
      <c r="A3479">
        <v>3887</v>
      </c>
      <c r="B3479" t="s">
        <v>8008</v>
      </c>
      <c r="C3479" t="s">
        <v>72</v>
      </c>
      <c r="D3479" t="s">
        <v>34</v>
      </c>
      <c r="E3479">
        <v>65</v>
      </c>
      <c r="F3479">
        <v>5</v>
      </c>
      <c r="G3479">
        <v>5</v>
      </c>
      <c r="H3479">
        <v>1</v>
      </c>
      <c r="I3479">
        <v>1</v>
      </c>
      <c r="J3479">
        <v>0.748817353178724</v>
      </c>
      <c r="K3479">
        <v>0.936905812633966</v>
      </c>
      <c r="L3479">
        <v>0.832368380553279</v>
      </c>
      <c r="M3479">
        <v>0.46278317152103599</v>
      </c>
      <c r="N3479">
        <v>0.99676375404530704</v>
      </c>
      <c r="O3479">
        <v>0.64239482200647202</v>
      </c>
      <c r="P3479" t="s">
        <v>8009</v>
      </c>
      <c r="Q3479" t="s">
        <v>8010</v>
      </c>
      <c r="R3479" t="s">
        <v>113</v>
      </c>
      <c r="S3479" t="s">
        <v>114</v>
      </c>
      <c r="T3479" t="s">
        <v>8011</v>
      </c>
      <c r="U3479" t="s">
        <v>8012</v>
      </c>
      <c r="V3479" t="s">
        <v>3477</v>
      </c>
      <c r="W3479" t="s">
        <v>3478</v>
      </c>
      <c r="AD3479" t="s">
        <v>8013</v>
      </c>
      <c r="AE3479" t="s">
        <v>8014</v>
      </c>
      <c r="AF3479" t="s">
        <v>8016</v>
      </c>
    </row>
    <row r="3480" spans="1:32" hidden="1" x14ac:dyDescent="0.35">
      <c r="A3480">
        <v>3888</v>
      </c>
      <c r="B3480" t="s">
        <v>8008</v>
      </c>
      <c r="C3480" t="s">
        <v>72</v>
      </c>
      <c r="D3480" t="s">
        <v>45</v>
      </c>
      <c r="E3480">
        <v>1323</v>
      </c>
      <c r="F3480">
        <v>5</v>
      </c>
      <c r="G3480">
        <v>5</v>
      </c>
      <c r="H3480">
        <v>1</v>
      </c>
      <c r="I3480">
        <v>1</v>
      </c>
      <c r="J3480">
        <v>0.748817353178724</v>
      </c>
      <c r="K3480">
        <v>0.936905812633966</v>
      </c>
      <c r="L3480">
        <v>0.832368380553279</v>
      </c>
      <c r="M3480">
        <v>0.46278317152103599</v>
      </c>
      <c r="N3480">
        <v>0.99676375404530704</v>
      </c>
      <c r="O3480">
        <v>0.64239482200647202</v>
      </c>
      <c r="P3480" t="s">
        <v>8009</v>
      </c>
      <c r="Q3480" t="s">
        <v>8010</v>
      </c>
      <c r="R3480" t="s">
        <v>113</v>
      </c>
      <c r="S3480" t="s">
        <v>114</v>
      </c>
      <c r="T3480" t="s">
        <v>8011</v>
      </c>
      <c r="U3480" t="s">
        <v>8012</v>
      </c>
      <c r="V3480" t="s">
        <v>3477</v>
      </c>
      <c r="W3480" t="s">
        <v>3478</v>
      </c>
      <c r="AD3480" t="s">
        <v>8013</v>
      </c>
      <c r="AE3480" t="s">
        <v>8014</v>
      </c>
      <c r="AF3480" t="s">
        <v>8017</v>
      </c>
    </row>
    <row r="3481" spans="1:32" hidden="1" x14ac:dyDescent="0.35">
      <c r="A3481">
        <v>1989</v>
      </c>
      <c r="B3481" t="s">
        <v>4118</v>
      </c>
      <c r="C3481" t="s">
        <v>72</v>
      </c>
      <c r="D3481" t="s">
        <v>58</v>
      </c>
      <c r="E3481">
        <v>1387</v>
      </c>
      <c r="F3481">
        <v>5</v>
      </c>
      <c r="G3481">
        <v>5</v>
      </c>
      <c r="H3481">
        <v>1</v>
      </c>
      <c r="I3481">
        <v>1</v>
      </c>
      <c r="J3481">
        <v>0.88443670150987197</v>
      </c>
      <c r="K3481">
        <v>0.996101103461287</v>
      </c>
      <c r="L3481">
        <v>0.93695364377868096</v>
      </c>
      <c r="M3481">
        <v>0.76138828633405597</v>
      </c>
      <c r="N3481">
        <v>1</v>
      </c>
      <c r="O3481">
        <v>0.84381778741865499</v>
      </c>
      <c r="P3481" t="s">
        <v>4119</v>
      </c>
      <c r="Q3481" t="s">
        <v>4120</v>
      </c>
      <c r="R3481" t="s">
        <v>224</v>
      </c>
      <c r="S3481" t="s">
        <v>225</v>
      </c>
      <c r="T3481" t="s">
        <v>4121</v>
      </c>
      <c r="U3481" t="s">
        <v>4122</v>
      </c>
      <c r="V3481" t="s">
        <v>4123</v>
      </c>
      <c r="W3481" t="s">
        <v>4124</v>
      </c>
      <c r="X3481" t="s">
        <v>4123</v>
      </c>
      <c r="Y3481" t="s">
        <v>589</v>
      </c>
      <c r="AD3481" t="s">
        <v>4125</v>
      </c>
      <c r="AE3481" t="s">
        <v>4126</v>
      </c>
      <c r="AF3481" t="s">
        <v>4127</v>
      </c>
    </row>
    <row r="3482" spans="1:32" hidden="1" x14ac:dyDescent="0.35">
      <c r="A3482">
        <v>4370</v>
      </c>
      <c r="B3482" t="s">
        <v>9110</v>
      </c>
      <c r="C3482" t="s">
        <v>72</v>
      </c>
      <c r="D3482" t="s">
        <v>60</v>
      </c>
      <c r="E3482">
        <v>1354</v>
      </c>
      <c r="F3482">
        <v>5</v>
      </c>
      <c r="G3482">
        <v>5</v>
      </c>
      <c r="H3482">
        <v>1</v>
      </c>
      <c r="I3482">
        <v>1</v>
      </c>
      <c r="J3482">
        <v>0.88852157943067001</v>
      </c>
      <c r="K3482">
        <v>0.97598081952920701</v>
      </c>
      <c r="L3482">
        <v>0.93019995012706003</v>
      </c>
      <c r="M3482">
        <v>0.77419354838709697</v>
      </c>
      <c r="N3482">
        <v>0.99462365591397806</v>
      </c>
      <c r="O3482">
        <v>0.85</v>
      </c>
      <c r="P3482" t="s">
        <v>6852</v>
      </c>
      <c r="Q3482" t="s">
        <v>6853</v>
      </c>
      <c r="R3482" t="s">
        <v>113</v>
      </c>
      <c r="S3482" t="s">
        <v>114</v>
      </c>
      <c r="V3482" t="s">
        <v>6856</v>
      </c>
      <c r="W3482" t="s">
        <v>6857</v>
      </c>
      <c r="AF3482" t="s">
        <v>9112</v>
      </c>
    </row>
    <row r="3483" spans="1:32" hidden="1" x14ac:dyDescent="0.35">
      <c r="A3483">
        <v>4371</v>
      </c>
      <c r="B3483" t="s">
        <v>9110</v>
      </c>
      <c r="C3483" t="s">
        <v>72</v>
      </c>
      <c r="D3483" t="s">
        <v>62</v>
      </c>
      <c r="E3483">
        <v>1390</v>
      </c>
      <c r="F3483">
        <v>5</v>
      </c>
      <c r="G3483">
        <v>5</v>
      </c>
      <c r="H3483">
        <v>1</v>
      </c>
      <c r="I3483">
        <v>1</v>
      </c>
      <c r="J3483">
        <v>0.88852157943067001</v>
      </c>
      <c r="K3483">
        <v>0.97598081952920701</v>
      </c>
      <c r="L3483">
        <v>0.93019995012706003</v>
      </c>
      <c r="M3483">
        <v>0.77419354838709697</v>
      </c>
      <c r="N3483">
        <v>0.99462365591397806</v>
      </c>
      <c r="O3483">
        <v>0.85</v>
      </c>
      <c r="P3483" t="s">
        <v>6852</v>
      </c>
      <c r="Q3483" t="s">
        <v>6853</v>
      </c>
      <c r="R3483" t="s">
        <v>113</v>
      </c>
      <c r="S3483" t="s">
        <v>114</v>
      </c>
      <c r="V3483" t="s">
        <v>6856</v>
      </c>
      <c r="W3483" t="s">
        <v>6857</v>
      </c>
      <c r="AF3483" t="s">
        <v>9113</v>
      </c>
    </row>
    <row r="3484" spans="1:32" hidden="1" x14ac:dyDescent="0.35">
      <c r="A3484">
        <v>4372</v>
      </c>
      <c r="B3484" t="s">
        <v>9110</v>
      </c>
      <c r="C3484" t="s">
        <v>72</v>
      </c>
      <c r="D3484" t="s">
        <v>34</v>
      </c>
      <c r="E3484">
        <v>1676</v>
      </c>
      <c r="F3484">
        <v>5</v>
      </c>
      <c r="G3484">
        <v>5</v>
      </c>
      <c r="H3484">
        <v>1</v>
      </c>
      <c r="I3484">
        <v>1</v>
      </c>
      <c r="J3484">
        <v>0.88852157943067001</v>
      </c>
      <c r="K3484">
        <v>0.97598081952920701</v>
      </c>
      <c r="L3484">
        <v>0.93019995012706003</v>
      </c>
      <c r="M3484">
        <v>0.77419354838709697</v>
      </c>
      <c r="N3484">
        <v>0.99462365591397806</v>
      </c>
      <c r="O3484">
        <v>0.85</v>
      </c>
      <c r="P3484" t="s">
        <v>6852</v>
      </c>
      <c r="Q3484" t="s">
        <v>6853</v>
      </c>
      <c r="R3484" t="s">
        <v>113</v>
      </c>
      <c r="S3484" t="s">
        <v>114</v>
      </c>
      <c r="V3484" t="s">
        <v>6856</v>
      </c>
      <c r="W3484" t="s">
        <v>6857</v>
      </c>
      <c r="AF3484" t="e">
        <f>-MTNDHPIQESLFDMGGPDEALGYRVPIACQVAGITYRQLDYWARTKLVEPSIRTARGSGSQRLYSFKDILVLKIVKRLLDTGISLQNIRQAVDKLRDLGVEDLAEITLVSDGTTVYECRSAEEVIDLLGGGQGVFGIAVPGIMKELTGTISAFPSERVDQPAT-DTTPESEVDELAAR--RRKSS</f>
        <v>#NAME?</v>
      </c>
    </row>
    <row r="3485" spans="1:32" hidden="1" x14ac:dyDescent="0.35">
      <c r="A3485">
        <v>4373</v>
      </c>
      <c r="B3485" t="s">
        <v>9110</v>
      </c>
      <c r="C3485" t="s">
        <v>72</v>
      </c>
      <c r="D3485" t="s">
        <v>45</v>
      </c>
      <c r="E3485">
        <v>1200</v>
      </c>
      <c r="F3485">
        <v>5</v>
      </c>
      <c r="G3485">
        <v>5</v>
      </c>
      <c r="H3485">
        <v>1</v>
      </c>
      <c r="I3485">
        <v>1</v>
      </c>
      <c r="J3485">
        <v>0.88852157943067001</v>
      </c>
      <c r="K3485">
        <v>0.97598081952920701</v>
      </c>
      <c r="L3485">
        <v>0.93019995012706003</v>
      </c>
      <c r="M3485">
        <v>0.77419354838709697</v>
      </c>
      <c r="N3485">
        <v>0.99462365591397806</v>
      </c>
      <c r="O3485">
        <v>0.85</v>
      </c>
      <c r="P3485" t="s">
        <v>6852</v>
      </c>
      <c r="Q3485" t="s">
        <v>6853</v>
      </c>
      <c r="R3485" t="s">
        <v>113</v>
      </c>
      <c r="S3485" t="s">
        <v>114</v>
      </c>
      <c r="V3485" t="s">
        <v>6856</v>
      </c>
      <c r="W3485" t="s">
        <v>6857</v>
      </c>
      <c r="AF3485" t="e">
        <f>-MTNDHPIQESLFDMGGPDEALGYRVPIACQVAGITYRQLDYWARTKLVEPSIRTARGSGSQRLYSFKDILVLKIVKRLLDTGISLQNIRQAVDKLRDLGVEDLAEITLVSDGTTVYECRSAEEVIDLLGGGQGVFGIAVPGIMKELTGTISAFPSERVDQPATTDTTPESEVDELAAR--RRKSS</f>
        <v>#NAME?</v>
      </c>
    </row>
    <row r="3486" spans="1:32" hidden="1" x14ac:dyDescent="0.35">
      <c r="A3486">
        <v>2969</v>
      </c>
      <c r="B3486" t="s">
        <v>6126</v>
      </c>
      <c r="C3486" t="s">
        <v>72</v>
      </c>
      <c r="D3486" t="s">
        <v>58</v>
      </c>
      <c r="E3486">
        <v>1695</v>
      </c>
      <c r="F3486">
        <v>5</v>
      </c>
      <c r="G3486">
        <v>5</v>
      </c>
      <c r="H3486">
        <v>1</v>
      </c>
      <c r="I3486">
        <v>1</v>
      </c>
      <c r="J3486">
        <v>0.89319371727748698</v>
      </c>
      <c r="K3486">
        <v>0.92645748323249399</v>
      </c>
      <c r="L3486">
        <v>0.90952156448011201</v>
      </c>
      <c r="M3486">
        <v>0.729468599033816</v>
      </c>
      <c r="N3486">
        <v>1</v>
      </c>
      <c r="O3486">
        <v>0.81835748792270502</v>
      </c>
      <c r="P3486" t="s">
        <v>6127</v>
      </c>
      <c r="Q3486" t="s">
        <v>6128</v>
      </c>
      <c r="R3486" t="s">
        <v>869</v>
      </c>
      <c r="S3486" t="s">
        <v>870</v>
      </c>
      <c r="T3486" t="s">
        <v>6129</v>
      </c>
      <c r="U3486" t="s">
        <v>6130</v>
      </c>
      <c r="V3486" t="s">
        <v>6131</v>
      </c>
      <c r="W3486" t="s">
        <v>6132</v>
      </c>
      <c r="X3486" t="s">
        <v>6131</v>
      </c>
      <c r="Y3486" t="s">
        <v>6133</v>
      </c>
      <c r="Z3486" t="s">
        <v>6134</v>
      </c>
      <c r="AA3486" t="s">
        <v>6135</v>
      </c>
      <c r="AB3486" t="s">
        <v>6134</v>
      </c>
      <c r="AC3486" t="s">
        <v>6136</v>
      </c>
      <c r="AD3486" t="s">
        <v>219</v>
      </c>
      <c r="AE3486" t="s">
        <v>6137</v>
      </c>
      <c r="AF3486" t="s">
        <v>6138</v>
      </c>
    </row>
    <row r="3487" spans="1:32" hidden="1" x14ac:dyDescent="0.35">
      <c r="A3487">
        <v>4605</v>
      </c>
      <c r="B3487" t="s">
        <v>9631</v>
      </c>
      <c r="C3487" t="s">
        <v>72</v>
      </c>
      <c r="D3487" t="s">
        <v>60</v>
      </c>
      <c r="E3487">
        <v>761</v>
      </c>
      <c r="F3487">
        <v>5</v>
      </c>
      <c r="G3487">
        <v>5</v>
      </c>
      <c r="H3487">
        <v>1</v>
      </c>
      <c r="I3487">
        <v>1</v>
      </c>
      <c r="J3487">
        <v>0.80426179604261805</v>
      </c>
      <c r="K3487">
        <v>0.96956145526057202</v>
      </c>
      <c r="L3487">
        <v>0.87920962453127505</v>
      </c>
      <c r="M3487">
        <v>0.66814159292035402</v>
      </c>
      <c r="N3487">
        <v>0.99557522123893805</v>
      </c>
      <c r="O3487">
        <v>0.75486725663716803</v>
      </c>
      <c r="P3487" t="s">
        <v>2163</v>
      </c>
      <c r="Q3487" t="s">
        <v>2164</v>
      </c>
      <c r="R3487" t="s">
        <v>113</v>
      </c>
      <c r="S3487" t="s">
        <v>114</v>
      </c>
      <c r="V3487" t="s">
        <v>2167</v>
      </c>
      <c r="W3487" t="s">
        <v>2168</v>
      </c>
      <c r="AF3487" t="s">
        <v>9633</v>
      </c>
    </row>
    <row r="3488" spans="1:32" hidden="1" x14ac:dyDescent="0.35">
      <c r="A3488">
        <v>4606</v>
      </c>
      <c r="B3488" t="s">
        <v>9631</v>
      </c>
      <c r="C3488" t="s">
        <v>72</v>
      </c>
      <c r="D3488" t="s">
        <v>62</v>
      </c>
      <c r="E3488">
        <v>794</v>
      </c>
      <c r="F3488">
        <v>5</v>
      </c>
      <c r="G3488">
        <v>5</v>
      </c>
      <c r="H3488">
        <v>1</v>
      </c>
      <c r="I3488">
        <v>1</v>
      </c>
      <c r="J3488">
        <v>0.80426179604261805</v>
      </c>
      <c r="K3488">
        <v>0.96956145526057202</v>
      </c>
      <c r="L3488">
        <v>0.87920962453127505</v>
      </c>
      <c r="M3488">
        <v>0.66814159292035402</v>
      </c>
      <c r="N3488">
        <v>0.99557522123893805</v>
      </c>
      <c r="O3488">
        <v>0.75486725663716803</v>
      </c>
      <c r="P3488" t="s">
        <v>2163</v>
      </c>
      <c r="Q3488" t="s">
        <v>2164</v>
      </c>
      <c r="R3488" t="s">
        <v>113</v>
      </c>
      <c r="S3488" t="s">
        <v>114</v>
      </c>
      <c r="V3488" t="s">
        <v>2167</v>
      </c>
      <c r="W3488" t="s">
        <v>2168</v>
      </c>
      <c r="AF3488" t="s">
        <v>9634</v>
      </c>
    </row>
    <row r="3489" spans="1:32" hidden="1" x14ac:dyDescent="0.35">
      <c r="A3489">
        <v>4607</v>
      </c>
      <c r="B3489" t="s">
        <v>9631</v>
      </c>
      <c r="C3489" t="s">
        <v>72</v>
      </c>
      <c r="D3489" t="s">
        <v>34</v>
      </c>
      <c r="E3489">
        <v>372</v>
      </c>
      <c r="F3489">
        <v>5</v>
      </c>
      <c r="G3489">
        <v>5</v>
      </c>
      <c r="H3489">
        <v>1</v>
      </c>
      <c r="I3489">
        <v>1</v>
      </c>
      <c r="J3489">
        <v>0.80426179604261805</v>
      </c>
      <c r="K3489">
        <v>0.96956145526057202</v>
      </c>
      <c r="L3489">
        <v>0.87920962453127505</v>
      </c>
      <c r="M3489">
        <v>0.66814159292035402</v>
      </c>
      <c r="N3489">
        <v>0.99557522123893805</v>
      </c>
      <c r="O3489">
        <v>0.75486725663716803</v>
      </c>
      <c r="P3489" t="s">
        <v>2163</v>
      </c>
      <c r="Q3489" t="s">
        <v>2164</v>
      </c>
      <c r="R3489" t="s">
        <v>113</v>
      </c>
      <c r="S3489" t="s">
        <v>114</v>
      </c>
      <c r="V3489" t="s">
        <v>2167</v>
      </c>
      <c r="W3489" t="s">
        <v>2168</v>
      </c>
      <c r="AF3489" t="s">
        <v>9635</v>
      </c>
    </row>
    <row r="3490" spans="1:32" hidden="1" x14ac:dyDescent="0.35">
      <c r="A3490">
        <v>4608</v>
      </c>
      <c r="B3490" t="s">
        <v>9631</v>
      </c>
      <c r="C3490" t="s">
        <v>72</v>
      </c>
      <c r="D3490" t="s">
        <v>45</v>
      </c>
      <c r="E3490">
        <v>1634</v>
      </c>
      <c r="F3490">
        <v>5</v>
      </c>
      <c r="G3490">
        <v>5</v>
      </c>
      <c r="H3490">
        <v>1</v>
      </c>
      <c r="I3490">
        <v>1</v>
      </c>
      <c r="J3490">
        <v>0.80426179604261805</v>
      </c>
      <c r="K3490">
        <v>0.96956145526057202</v>
      </c>
      <c r="L3490">
        <v>0.87920962453127505</v>
      </c>
      <c r="M3490">
        <v>0.66814159292035402</v>
      </c>
      <c r="N3490">
        <v>0.99557522123893805</v>
      </c>
      <c r="O3490">
        <v>0.75486725663716803</v>
      </c>
      <c r="P3490" t="s">
        <v>2163</v>
      </c>
      <c r="Q3490" t="s">
        <v>2164</v>
      </c>
      <c r="R3490" t="s">
        <v>113</v>
      </c>
      <c r="S3490" t="s">
        <v>114</v>
      </c>
      <c r="V3490" t="s">
        <v>2167</v>
      </c>
      <c r="W3490" t="s">
        <v>2168</v>
      </c>
      <c r="AF3490" t="s">
        <v>9636</v>
      </c>
    </row>
    <row r="3491" spans="1:32" hidden="1" x14ac:dyDescent="0.35">
      <c r="A3491">
        <v>2714</v>
      </c>
      <c r="B3491" t="s">
        <v>5607</v>
      </c>
      <c r="C3491" t="s">
        <v>72</v>
      </c>
      <c r="D3491" t="s">
        <v>58</v>
      </c>
      <c r="E3491">
        <v>1392</v>
      </c>
      <c r="F3491">
        <v>5</v>
      </c>
      <c r="G3491">
        <v>5</v>
      </c>
      <c r="H3491">
        <v>1</v>
      </c>
      <c r="I3491">
        <v>1</v>
      </c>
      <c r="J3491">
        <v>0.87829636985545601</v>
      </c>
      <c r="K3491">
        <v>0.990556514236411</v>
      </c>
      <c r="L3491">
        <v>0.93105476412422405</v>
      </c>
      <c r="M3491">
        <v>0.71803278688524597</v>
      </c>
      <c r="N3491">
        <v>1</v>
      </c>
      <c r="O3491">
        <v>0.80688524590163901</v>
      </c>
      <c r="P3491" t="s">
        <v>222</v>
      </c>
      <c r="Q3491" t="s">
        <v>223</v>
      </c>
      <c r="R3491" t="s">
        <v>224</v>
      </c>
      <c r="S3491" t="s">
        <v>225</v>
      </c>
      <c r="T3491" t="s">
        <v>5608</v>
      </c>
      <c r="U3491" t="s">
        <v>207</v>
      </c>
      <c r="V3491" t="s">
        <v>5609</v>
      </c>
      <c r="W3491" t="s">
        <v>5610</v>
      </c>
      <c r="AD3491" t="s">
        <v>5611</v>
      </c>
      <c r="AE3491" t="s">
        <v>5612</v>
      </c>
      <c r="AF3491" t="e">
        <f>-----MTDVFRSGFVSFVGRPNTGKSTLTNALVGEKIAITANQPETTRRPIRGIVHREDAQIIIVDTPGLHKPRTLLGERLNDIVKDTYTDVDVIGLCIPADEKIGPGDRWILDAVKKATPKTPIVGIVTKTDKASRDQIAEQLVAVYDMIGG-SDVVPVSATAGEQTDTLLDVITTYLPEGPKFYPEDHTTDEDRDTRISELIREAALSGLRDELPHSVAVEIDEIIPDDNNPDKLNIHAIMYLERPGQKTIIAGRDGRRLSRIVHTARKEIIELLGCNVYLDLRIKILKNWQSDPKALGRLGF</f>
        <v>#NAME?</v>
      </c>
    </row>
    <row r="3492" spans="1:32" hidden="1" x14ac:dyDescent="0.35">
      <c r="A3492">
        <v>6038</v>
      </c>
      <c r="B3492" t="s">
        <v>12404</v>
      </c>
      <c r="C3492" t="s">
        <v>68</v>
      </c>
      <c r="D3492" t="s">
        <v>58</v>
      </c>
      <c r="E3492">
        <v>361</v>
      </c>
      <c r="F3492">
        <v>3</v>
      </c>
      <c r="G3492">
        <v>3</v>
      </c>
      <c r="H3492">
        <v>1</v>
      </c>
      <c r="I3492">
        <v>0</v>
      </c>
      <c r="J3492">
        <v>0.79429429429429399</v>
      </c>
      <c r="K3492">
        <v>0.95396803421169696</v>
      </c>
      <c r="L3492">
        <v>0.86683943726114399</v>
      </c>
      <c r="M3492">
        <v>0.54506437768240301</v>
      </c>
      <c r="N3492">
        <v>1</v>
      </c>
      <c r="O3492">
        <v>0.69670958512160197</v>
      </c>
      <c r="P3492" t="s">
        <v>12405</v>
      </c>
      <c r="Q3492" t="s">
        <v>12406</v>
      </c>
      <c r="R3492" t="s">
        <v>342</v>
      </c>
      <c r="S3492" t="s">
        <v>343</v>
      </c>
      <c r="T3492" t="s">
        <v>12407</v>
      </c>
      <c r="U3492" t="s">
        <v>12408</v>
      </c>
      <c r="V3492" t="s">
        <v>12409</v>
      </c>
      <c r="W3492" t="s">
        <v>12410</v>
      </c>
      <c r="AD3492" t="s">
        <v>166</v>
      </c>
      <c r="AE3492" t="s">
        <v>818</v>
      </c>
      <c r="AF3492" t="s">
        <v>12411</v>
      </c>
    </row>
    <row r="3493" spans="1:32" hidden="1" x14ac:dyDescent="0.35">
      <c r="A3493">
        <v>183</v>
      </c>
      <c r="B3493" t="s">
        <v>303</v>
      </c>
      <c r="C3493" t="s">
        <v>72</v>
      </c>
      <c r="D3493" t="s">
        <v>58</v>
      </c>
      <c r="E3493">
        <v>1096</v>
      </c>
      <c r="F3493">
        <v>5</v>
      </c>
      <c r="G3493">
        <v>7</v>
      </c>
      <c r="H3493">
        <v>2</v>
      </c>
      <c r="I3493">
        <v>0</v>
      </c>
      <c r="J3493">
        <v>0.74450583179864904</v>
      </c>
      <c r="K3493">
        <v>0.990716180371355</v>
      </c>
      <c r="L3493">
        <v>0.85014363438295604</v>
      </c>
      <c r="M3493">
        <v>0.501915708812261</v>
      </c>
      <c r="N3493">
        <v>1</v>
      </c>
      <c r="O3493">
        <v>0.68108009487319798</v>
      </c>
      <c r="P3493" t="s">
        <v>304</v>
      </c>
      <c r="Q3493" t="s">
        <v>305</v>
      </c>
      <c r="R3493" t="s">
        <v>306</v>
      </c>
      <c r="S3493" t="s">
        <v>307</v>
      </c>
      <c r="T3493" t="s">
        <v>308</v>
      </c>
      <c r="U3493" t="s">
        <v>309</v>
      </c>
      <c r="V3493" t="s">
        <v>310</v>
      </c>
      <c r="W3493" t="s">
        <v>311</v>
      </c>
      <c r="AD3493" t="s">
        <v>312</v>
      </c>
      <c r="AE3493" t="s">
        <v>313</v>
      </c>
      <c r="AF3493" t="e">
        <f>-MYAEERRRQIASLTAVEGRVNVTSLAARFDVTAETIRRDLAVLDAEGVVHRVHGGAVASQNFQTNELTVDARFRSASHAKHAIAKAALEFLPSAQ-GGIFLDAGTTISALGDLIAEHAVSKHWSIVTNCLPTALNLANAGLGQVQLLGGNVRAITQAVVGDTALRSLALMRADVAFIGTNALTLDHGLSTADSQEAAVKRSMIINARKVVVLCDASKMGCDFLVSFATISDIDVVITDVQAPESFVEALRDQGVEVIIAE</f>
        <v>#NAME?</v>
      </c>
    </row>
    <row r="3494" spans="1:32" hidden="1" x14ac:dyDescent="0.35">
      <c r="A3494">
        <v>184</v>
      </c>
      <c r="B3494" t="s">
        <v>303</v>
      </c>
      <c r="C3494" t="s">
        <v>72</v>
      </c>
      <c r="D3494" t="s">
        <v>60</v>
      </c>
      <c r="E3494">
        <v>1479</v>
      </c>
      <c r="F3494">
        <v>5</v>
      </c>
      <c r="G3494">
        <v>7</v>
      </c>
      <c r="H3494">
        <v>2</v>
      </c>
      <c r="I3494">
        <v>0</v>
      </c>
      <c r="J3494">
        <v>0.74450583179864904</v>
      </c>
      <c r="K3494">
        <v>0.990716180371355</v>
      </c>
      <c r="L3494">
        <v>0.85014363438295604</v>
      </c>
      <c r="M3494">
        <v>0.501915708812261</v>
      </c>
      <c r="N3494">
        <v>1</v>
      </c>
      <c r="O3494">
        <v>0.68108009487319798</v>
      </c>
      <c r="P3494" t="s">
        <v>304</v>
      </c>
      <c r="Q3494" t="s">
        <v>305</v>
      </c>
      <c r="R3494" t="s">
        <v>306</v>
      </c>
      <c r="S3494" t="s">
        <v>307</v>
      </c>
      <c r="T3494" t="s">
        <v>308</v>
      </c>
      <c r="U3494" t="s">
        <v>309</v>
      </c>
      <c r="V3494" t="s">
        <v>310</v>
      </c>
      <c r="W3494" t="s">
        <v>311</v>
      </c>
      <c r="AD3494" t="s">
        <v>312</v>
      </c>
      <c r="AE3494" t="s">
        <v>313</v>
      </c>
      <c r="AF3494" t="e">
        <f>-MYAEERRRQIASLTAIEGRVNVTELAARFDVTAETIRRDLAVLDNEGTVHRVHGGAVASQNFQTAELTVDARAKSASSAKSAIARAALDFLPAAQ-GGMFLDAGTTLAPLAELIADHPNARQWSIVTNCLPIAMSLASAGLDEVQLLGGSVRAITQAVVGDTALRTLALMRADVAFIGTNALTLDHGLSTADSQEAAVKRAMIINARKVVVLCDATKMGCDYLVSFAGIDDIDVVITDSGAPQSIVDSLRDREIQVVIAQ</f>
        <v>#NAME?</v>
      </c>
    </row>
    <row r="3495" spans="1:32" hidden="1" x14ac:dyDescent="0.35">
      <c r="A3495">
        <v>185</v>
      </c>
      <c r="B3495" t="s">
        <v>303</v>
      </c>
      <c r="C3495" t="s">
        <v>72</v>
      </c>
      <c r="D3495" t="s">
        <v>60</v>
      </c>
      <c r="E3495">
        <v>1481</v>
      </c>
      <c r="F3495">
        <v>5</v>
      </c>
      <c r="G3495">
        <v>7</v>
      </c>
      <c r="H3495">
        <v>2</v>
      </c>
      <c r="I3495">
        <v>0</v>
      </c>
      <c r="J3495">
        <v>0.74450583179864904</v>
      </c>
      <c r="K3495">
        <v>0.990716180371355</v>
      </c>
      <c r="L3495">
        <v>0.85014363438295604</v>
      </c>
      <c r="M3495">
        <v>0.501915708812261</v>
      </c>
      <c r="N3495">
        <v>1</v>
      </c>
      <c r="O3495">
        <v>0.68108009487319798</v>
      </c>
      <c r="P3495" t="s">
        <v>304</v>
      </c>
      <c r="Q3495" t="s">
        <v>305</v>
      </c>
      <c r="R3495" t="s">
        <v>306</v>
      </c>
      <c r="S3495" t="s">
        <v>307</v>
      </c>
      <c r="T3495" t="s">
        <v>308</v>
      </c>
      <c r="U3495" t="s">
        <v>309</v>
      </c>
      <c r="V3495" t="s">
        <v>310</v>
      </c>
      <c r="W3495" t="s">
        <v>311</v>
      </c>
      <c r="AD3495" t="s">
        <v>312</v>
      </c>
      <c r="AE3495" t="s">
        <v>313</v>
      </c>
      <c r="AF3495" t="s">
        <v>314</v>
      </c>
    </row>
    <row r="3496" spans="1:32" hidden="1" x14ac:dyDescent="0.35">
      <c r="A3496">
        <v>186</v>
      </c>
      <c r="B3496" t="s">
        <v>303</v>
      </c>
      <c r="C3496" t="s">
        <v>72</v>
      </c>
      <c r="D3496" t="s">
        <v>62</v>
      </c>
      <c r="E3496">
        <v>1514</v>
      </c>
      <c r="F3496">
        <v>5</v>
      </c>
      <c r="G3496">
        <v>7</v>
      </c>
      <c r="H3496">
        <v>2</v>
      </c>
      <c r="I3496">
        <v>0</v>
      </c>
      <c r="J3496">
        <v>0.74450583179864904</v>
      </c>
      <c r="K3496">
        <v>0.990716180371355</v>
      </c>
      <c r="L3496">
        <v>0.85014363438295604</v>
      </c>
      <c r="M3496">
        <v>0.501915708812261</v>
      </c>
      <c r="N3496">
        <v>1</v>
      </c>
      <c r="O3496">
        <v>0.68108009487319798</v>
      </c>
      <c r="P3496" t="s">
        <v>304</v>
      </c>
      <c r="Q3496" t="s">
        <v>305</v>
      </c>
      <c r="R3496" t="s">
        <v>306</v>
      </c>
      <c r="S3496" t="s">
        <v>307</v>
      </c>
      <c r="T3496" t="s">
        <v>308</v>
      </c>
      <c r="U3496" t="s">
        <v>309</v>
      </c>
      <c r="V3496" t="s">
        <v>310</v>
      </c>
      <c r="W3496" t="s">
        <v>311</v>
      </c>
      <c r="AD3496" t="s">
        <v>312</v>
      </c>
      <c r="AE3496" t="s">
        <v>313</v>
      </c>
      <c r="AF3496" t="e">
        <f>-MYAEERRRQIASLTAIEGRVNVTELAARFDVTAETIRRDLAVLDNEGTVHRVHGGAVASQNFQTAELTVDARAKSASSAKSAIARAALDFLPAAQ-GGMFLDAGTTLAPLAELIADHPNARQWSIVTNCLPIAMSLASAGLDEVQLLGGSVRAITQAVVGDTALRTLALMRADVAFIGTNALTLDHGLSTADSQEAAVKRAMIINARKVVVLCDATKMGCDYLVSFAGIDDIDVVITDSGAPQSIVDSLRDREIQVVIAQ</f>
        <v>#NAME?</v>
      </c>
    </row>
    <row r="3497" spans="1:32" hidden="1" x14ac:dyDescent="0.35">
      <c r="A3497">
        <v>187</v>
      </c>
      <c r="B3497" t="s">
        <v>303</v>
      </c>
      <c r="C3497" t="s">
        <v>72</v>
      </c>
      <c r="D3497" t="s">
        <v>62</v>
      </c>
      <c r="E3497">
        <v>1516</v>
      </c>
      <c r="F3497">
        <v>5</v>
      </c>
      <c r="G3497">
        <v>7</v>
      </c>
      <c r="H3497">
        <v>2</v>
      </c>
      <c r="I3497">
        <v>0</v>
      </c>
      <c r="J3497">
        <v>0.74450583179864904</v>
      </c>
      <c r="K3497">
        <v>0.990716180371355</v>
      </c>
      <c r="L3497">
        <v>0.85014363438295604</v>
      </c>
      <c r="M3497">
        <v>0.501915708812261</v>
      </c>
      <c r="N3497">
        <v>1</v>
      </c>
      <c r="O3497">
        <v>0.68108009487319798</v>
      </c>
      <c r="P3497" t="s">
        <v>304</v>
      </c>
      <c r="Q3497" t="s">
        <v>305</v>
      </c>
      <c r="R3497" t="s">
        <v>306</v>
      </c>
      <c r="S3497" t="s">
        <v>307</v>
      </c>
      <c r="T3497" t="s">
        <v>308</v>
      </c>
      <c r="U3497" t="s">
        <v>309</v>
      </c>
      <c r="V3497" t="s">
        <v>310</v>
      </c>
      <c r="W3497" t="s">
        <v>311</v>
      </c>
      <c r="AD3497" t="s">
        <v>312</v>
      </c>
      <c r="AE3497" t="s">
        <v>313</v>
      </c>
      <c r="AF3497" t="s">
        <v>314</v>
      </c>
    </row>
    <row r="3498" spans="1:32" hidden="1" x14ac:dyDescent="0.35">
      <c r="A3498">
        <v>188</v>
      </c>
      <c r="B3498" t="s">
        <v>303</v>
      </c>
      <c r="C3498" t="s">
        <v>72</v>
      </c>
      <c r="D3498" t="s">
        <v>34</v>
      </c>
      <c r="E3498">
        <v>1905</v>
      </c>
      <c r="F3498">
        <v>5</v>
      </c>
      <c r="G3498">
        <v>7</v>
      </c>
      <c r="H3498">
        <v>2</v>
      </c>
      <c r="I3498">
        <v>0</v>
      </c>
      <c r="J3498">
        <v>0.74450583179864904</v>
      </c>
      <c r="K3498">
        <v>0.990716180371355</v>
      </c>
      <c r="L3498">
        <v>0.85014363438295604</v>
      </c>
      <c r="M3498">
        <v>0.501915708812261</v>
      </c>
      <c r="N3498">
        <v>1</v>
      </c>
      <c r="O3498">
        <v>0.68108009487319798</v>
      </c>
      <c r="P3498" t="s">
        <v>304</v>
      </c>
      <c r="Q3498" t="s">
        <v>305</v>
      </c>
      <c r="R3498" t="s">
        <v>306</v>
      </c>
      <c r="S3498" t="s">
        <v>307</v>
      </c>
      <c r="T3498" t="s">
        <v>308</v>
      </c>
      <c r="U3498" t="s">
        <v>309</v>
      </c>
      <c r="V3498" t="s">
        <v>310</v>
      </c>
      <c r="W3498" t="s">
        <v>311</v>
      </c>
      <c r="AD3498" t="s">
        <v>312</v>
      </c>
      <c r="AE3498" t="s">
        <v>313</v>
      </c>
      <c r="AF3498" t="s">
        <v>315</v>
      </c>
    </row>
    <row r="3499" spans="1:32" hidden="1" x14ac:dyDescent="0.35">
      <c r="A3499">
        <v>189</v>
      </c>
      <c r="B3499" t="s">
        <v>303</v>
      </c>
      <c r="C3499" t="s">
        <v>72</v>
      </c>
      <c r="D3499" t="s">
        <v>45</v>
      </c>
      <c r="E3499">
        <v>969</v>
      </c>
      <c r="F3499">
        <v>5</v>
      </c>
      <c r="G3499">
        <v>7</v>
      </c>
      <c r="H3499">
        <v>2</v>
      </c>
      <c r="I3499">
        <v>0</v>
      </c>
      <c r="J3499">
        <v>0.74450583179864904</v>
      </c>
      <c r="K3499">
        <v>0.990716180371355</v>
      </c>
      <c r="L3499">
        <v>0.85014363438295604</v>
      </c>
      <c r="M3499">
        <v>0.501915708812261</v>
      </c>
      <c r="N3499">
        <v>1</v>
      </c>
      <c r="O3499">
        <v>0.68108009487319798</v>
      </c>
      <c r="P3499" t="s">
        <v>304</v>
      </c>
      <c r="Q3499" t="s">
        <v>305</v>
      </c>
      <c r="R3499" t="s">
        <v>306</v>
      </c>
      <c r="S3499" t="s">
        <v>307</v>
      </c>
      <c r="T3499" t="s">
        <v>308</v>
      </c>
      <c r="U3499" t="s">
        <v>309</v>
      </c>
      <c r="V3499" t="s">
        <v>310</v>
      </c>
      <c r="W3499" t="s">
        <v>311</v>
      </c>
      <c r="AD3499" t="s">
        <v>312</v>
      </c>
      <c r="AE3499" t="s">
        <v>313</v>
      </c>
      <c r="AF3499" t="s">
        <v>315</v>
      </c>
    </row>
    <row r="3500" spans="1:32" hidden="1" x14ac:dyDescent="0.35">
      <c r="A3500">
        <v>2499</v>
      </c>
      <c r="B3500" t="s">
        <v>5177</v>
      </c>
      <c r="C3500" t="s">
        <v>72</v>
      </c>
      <c r="D3500" t="s">
        <v>58</v>
      </c>
      <c r="E3500">
        <v>1076</v>
      </c>
      <c r="F3500">
        <v>5</v>
      </c>
      <c r="G3500">
        <v>5</v>
      </c>
      <c r="H3500">
        <v>1</v>
      </c>
      <c r="I3500">
        <v>1</v>
      </c>
      <c r="J3500">
        <v>0.87104976389393396</v>
      </c>
      <c r="K3500">
        <v>0.95085879340123003</v>
      </c>
      <c r="L3500">
        <v>0.90920625425706203</v>
      </c>
      <c r="M3500">
        <v>0.74827586206896601</v>
      </c>
      <c r="N3500">
        <v>1</v>
      </c>
      <c r="O3500">
        <v>0.80827586206896596</v>
      </c>
      <c r="P3500" t="s">
        <v>5178</v>
      </c>
      <c r="Q3500" t="s">
        <v>5179</v>
      </c>
      <c r="R3500" t="s">
        <v>5180</v>
      </c>
      <c r="S3500" t="s">
        <v>5181</v>
      </c>
      <c r="V3500" t="s">
        <v>5182</v>
      </c>
      <c r="W3500" t="s">
        <v>5183</v>
      </c>
      <c r="AF3500" t="s">
        <v>5184</v>
      </c>
    </row>
    <row r="3501" spans="1:32" hidden="1" x14ac:dyDescent="0.35">
      <c r="A3501">
        <v>2500</v>
      </c>
      <c r="B3501" t="s">
        <v>5177</v>
      </c>
      <c r="C3501" t="s">
        <v>72</v>
      </c>
      <c r="D3501" t="s">
        <v>60</v>
      </c>
      <c r="E3501">
        <v>1454</v>
      </c>
      <c r="F3501">
        <v>5</v>
      </c>
      <c r="G3501">
        <v>5</v>
      </c>
      <c r="H3501">
        <v>1</v>
      </c>
      <c r="I3501">
        <v>1</v>
      </c>
      <c r="J3501">
        <v>0.87104976389393396</v>
      </c>
      <c r="K3501">
        <v>0.95085879340123003</v>
      </c>
      <c r="L3501">
        <v>0.90920625425706203</v>
      </c>
      <c r="M3501">
        <v>0.74827586206896601</v>
      </c>
      <c r="N3501">
        <v>1</v>
      </c>
      <c r="O3501">
        <v>0.80827586206896596</v>
      </c>
      <c r="P3501" t="s">
        <v>5178</v>
      </c>
      <c r="Q3501" t="s">
        <v>5179</v>
      </c>
      <c r="R3501" t="s">
        <v>5180</v>
      </c>
      <c r="S3501" t="s">
        <v>5181</v>
      </c>
      <c r="V3501" t="s">
        <v>5182</v>
      </c>
      <c r="W3501" t="s">
        <v>5183</v>
      </c>
      <c r="AF3501" t="s">
        <v>5185</v>
      </c>
    </row>
    <row r="3502" spans="1:32" hidden="1" x14ac:dyDescent="0.35">
      <c r="A3502">
        <v>2501</v>
      </c>
      <c r="B3502" t="s">
        <v>5177</v>
      </c>
      <c r="C3502" t="s">
        <v>72</v>
      </c>
      <c r="D3502" t="s">
        <v>62</v>
      </c>
      <c r="E3502">
        <v>1489</v>
      </c>
      <c r="F3502">
        <v>5</v>
      </c>
      <c r="G3502">
        <v>5</v>
      </c>
      <c r="H3502">
        <v>1</v>
      </c>
      <c r="I3502">
        <v>1</v>
      </c>
      <c r="J3502">
        <v>0.87104976389393396</v>
      </c>
      <c r="K3502">
        <v>0.95085879340123003</v>
      </c>
      <c r="L3502">
        <v>0.90920625425706203</v>
      </c>
      <c r="M3502">
        <v>0.74827586206896601</v>
      </c>
      <c r="N3502">
        <v>1</v>
      </c>
      <c r="O3502">
        <v>0.80827586206896596</v>
      </c>
      <c r="P3502" t="s">
        <v>5178</v>
      </c>
      <c r="Q3502" t="s">
        <v>5179</v>
      </c>
      <c r="R3502" t="s">
        <v>5180</v>
      </c>
      <c r="S3502" t="s">
        <v>5181</v>
      </c>
      <c r="V3502" t="s">
        <v>5182</v>
      </c>
      <c r="W3502" t="s">
        <v>5183</v>
      </c>
      <c r="AF3502" t="s">
        <v>5185</v>
      </c>
    </row>
    <row r="3503" spans="1:32" hidden="1" x14ac:dyDescent="0.35">
      <c r="A3503">
        <v>2502</v>
      </c>
      <c r="B3503" t="s">
        <v>5177</v>
      </c>
      <c r="C3503" t="s">
        <v>72</v>
      </c>
      <c r="D3503" t="s">
        <v>34</v>
      </c>
      <c r="E3503">
        <v>1888</v>
      </c>
      <c r="F3503">
        <v>5</v>
      </c>
      <c r="G3503">
        <v>5</v>
      </c>
      <c r="H3503">
        <v>1</v>
      </c>
      <c r="I3503">
        <v>1</v>
      </c>
      <c r="J3503">
        <v>0.87104976389393396</v>
      </c>
      <c r="K3503">
        <v>0.95085879340123003</v>
      </c>
      <c r="L3503">
        <v>0.90920625425706203</v>
      </c>
      <c r="M3503">
        <v>0.74827586206896601</v>
      </c>
      <c r="N3503">
        <v>1</v>
      </c>
      <c r="O3503">
        <v>0.80827586206896596</v>
      </c>
      <c r="P3503" t="s">
        <v>5178</v>
      </c>
      <c r="Q3503" t="s">
        <v>5179</v>
      </c>
      <c r="R3503" t="s">
        <v>5180</v>
      </c>
      <c r="S3503" t="s">
        <v>5181</v>
      </c>
      <c r="V3503" t="s">
        <v>5182</v>
      </c>
      <c r="W3503" t="s">
        <v>5183</v>
      </c>
      <c r="AF3503" t="s">
        <v>5186</v>
      </c>
    </row>
    <row r="3504" spans="1:32" hidden="1" x14ac:dyDescent="0.35">
      <c r="A3504">
        <v>2503</v>
      </c>
      <c r="B3504" t="s">
        <v>5177</v>
      </c>
      <c r="C3504" t="s">
        <v>72</v>
      </c>
      <c r="D3504" t="s">
        <v>45</v>
      </c>
      <c r="E3504">
        <v>985</v>
      </c>
      <c r="F3504">
        <v>5</v>
      </c>
      <c r="G3504">
        <v>5</v>
      </c>
      <c r="H3504">
        <v>1</v>
      </c>
      <c r="I3504">
        <v>1</v>
      </c>
      <c r="J3504">
        <v>0.87104976389393396</v>
      </c>
      <c r="K3504">
        <v>0.95085879340123003</v>
      </c>
      <c r="L3504">
        <v>0.90920625425706203</v>
      </c>
      <c r="M3504">
        <v>0.74827586206896601</v>
      </c>
      <c r="N3504">
        <v>1</v>
      </c>
      <c r="O3504">
        <v>0.80827586206896596</v>
      </c>
      <c r="P3504" t="s">
        <v>5178</v>
      </c>
      <c r="Q3504" t="s">
        <v>5179</v>
      </c>
      <c r="R3504" t="s">
        <v>5180</v>
      </c>
      <c r="S3504" t="s">
        <v>5181</v>
      </c>
      <c r="V3504" t="s">
        <v>5182</v>
      </c>
      <c r="W3504" t="s">
        <v>5183</v>
      </c>
      <c r="AF3504" t="s">
        <v>5187</v>
      </c>
    </row>
    <row r="3505" spans="1:32" hidden="1" x14ac:dyDescent="0.35">
      <c r="A3505">
        <v>994</v>
      </c>
      <c r="B3505" t="s">
        <v>2068</v>
      </c>
      <c r="C3505" t="s">
        <v>72</v>
      </c>
      <c r="D3505" t="s">
        <v>58</v>
      </c>
      <c r="E3505">
        <v>1095</v>
      </c>
      <c r="F3505">
        <v>5</v>
      </c>
      <c r="G3505">
        <v>5</v>
      </c>
      <c r="H3505">
        <v>1</v>
      </c>
      <c r="I3505">
        <v>1</v>
      </c>
      <c r="J3505">
        <v>0.78266494178525203</v>
      </c>
      <c r="K3505">
        <v>0.93729430586391504</v>
      </c>
      <c r="L3505">
        <v>0.85302880790611002</v>
      </c>
      <c r="M3505">
        <v>0.52016129032258096</v>
      </c>
      <c r="N3505">
        <v>1</v>
      </c>
      <c r="O3505">
        <v>0.69112903225806499</v>
      </c>
      <c r="P3505" t="s">
        <v>2069</v>
      </c>
      <c r="Q3505" t="s">
        <v>2070</v>
      </c>
      <c r="R3505" t="s">
        <v>2071</v>
      </c>
      <c r="S3505" t="s">
        <v>2072</v>
      </c>
      <c r="T3505" t="s">
        <v>2073</v>
      </c>
      <c r="U3505" t="s">
        <v>2074</v>
      </c>
      <c r="V3505" t="s">
        <v>2075</v>
      </c>
      <c r="W3505" t="s">
        <v>2076</v>
      </c>
      <c r="AD3505" t="s">
        <v>2077</v>
      </c>
      <c r="AE3505" t="s">
        <v>2078</v>
      </c>
      <c r="AF3505" t="s">
        <v>2079</v>
      </c>
    </row>
    <row r="3506" spans="1:32" hidden="1" x14ac:dyDescent="0.35">
      <c r="A3506">
        <v>995</v>
      </c>
      <c r="B3506" t="s">
        <v>2068</v>
      </c>
      <c r="C3506" t="s">
        <v>72</v>
      </c>
      <c r="D3506" t="s">
        <v>60</v>
      </c>
      <c r="E3506">
        <v>1478</v>
      </c>
      <c r="F3506">
        <v>5</v>
      </c>
      <c r="G3506">
        <v>5</v>
      </c>
      <c r="H3506">
        <v>1</v>
      </c>
      <c r="I3506">
        <v>1</v>
      </c>
      <c r="J3506">
        <v>0.78266494178525203</v>
      </c>
      <c r="K3506">
        <v>0.93729430586391504</v>
      </c>
      <c r="L3506">
        <v>0.85302880790611002</v>
      </c>
      <c r="M3506">
        <v>0.52016129032258096</v>
      </c>
      <c r="N3506">
        <v>1</v>
      </c>
      <c r="O3506">
        <v>0.69112903225806499</v>
      </c>
      <c r="P3506" t="s">
        <v>2069</v>
      </c>
      <c r="Q3506" t="s">
        <v>2070</v>
      </c>
      <c r="R3506" t="s">
        <v>2071</v>
      </c>
      <c r="S3506" t="s">
        <v>2072</v>
      </c>
      <c r="T3506" t="s">
        <v>2073</v>
      </c>
      <c r="U3506" t="s">
        <v>2074</v>
      </c>
      <c r="V3506" t="s">
        <v>2075</v>
      </c>
      <c r="W3506" t="s">
        <v>2076</v>
      </c>
      <c r="AD3506" t="s">
        <v>2077</v>
      </c>
      <c r="AE3506" t="s">
        <v>2078</v>
      </c>
      <c r="AF3506" t="e">
        <f>-MNKPV-------NKPDPKNLTARQRRILEVIRDAVVLRGYPPSIREIGDAAGLQSTSSVAYQLKELEKKGFLRRDPKKPRAVD---VRHLPDADAPKT-----GPKPSRPVTQVEDLPEDIPTPSYIPVVGSIAAGSPILAEENVEDYFPLPAEIVGDGELYMLQVVGESMRDAGILDGDWVVVRSQPVAEQGEFVAAMIDGEATVKEFHKDSTGVWLLPHNDAFSPIP-GENAQIMGKVVSLMRKL</f>
        <v>#NAME?</v>
      </c>
    </row>
    <row r="3507" spans="1:32" hidden="1" x14ac:dyDescent="0.35">
      <c r="A3507">
        <v>996</v>
      </c>
      <c r="B3507" t="s">
        <v>2068</v>
      </c>
      <c r="C3507" t="s">
        <v>72</v>
      </c>
      <c r="D3507" t="s">
        <v>62</v>
      </c>
      <c r="E3507">
        <v>1513</v>
      </c>
      <c r="F3507">
        <v>5</v>
      </c>
      <c r="G3507">
        <v>5</v>
      </c>
      <c r="H3507">
        <v>1</v>
      </c>
      <c r="I3507">
        <v>1</v>
      </c>
      <c r="J3507">
        <v>0.78266494178525203</v>
      </c>
      <c r="K3507">
        <v>0.93729430586391504</v>
      </c>
      <c r="L3507">
        <v>0.85302880790611002</v>
      </c>
      <c r="M3507">
        <v>0.52016129032258096</v>
      </c>
      <c r="N3507">
        <v>1</v>
      </c>
      <c r="O3507">
        <v>0.69112903225806499</v>
      </c>
      <c r="P3507" t="s">
        <v>2069</v>
      </c>
      <c r="Q3507" t="s">
        <v>2070</v>
      </c>
      <c r="R3507" t="s">
        <v>2071</v>
      </c>
      <c r="S3507" t="s">
        <v>2072</v>
      </c>
      <c r="T3507" t="s">
        <v>2073</v>
      </c>
      <c r="U3507" t="s">
        <v>2074</v>
      </c>
      <c r="V3507" t="s">
        <v>2075</v>
      </c>
      <c r="W3507" t="s">
        <v>2076</v>
      </c>
      <c r="AD3507" t="s">
        <v>2077</v>
      </c>
      <c r="AE3507" t="s">
        <v>2078</v>
      </c>
      <c r="AF3507" t="e">
        <f>-MNKPV-------NKPDPKNLTARQRRILEVIRDAVVLRGYPPSIREIGDAAGLQSTSSVAYQLKELEKKGFLRRDPKKPRAVD---VRHLPDADAPKT-----GPKPSRPVTQVEDLPEDIPTPSYIPVVGSIAAGSPILAEENVEDYFPLPAEIVGDGELYMLQVVGESMRDAGILDGDWVVVRSQPVAEQGEFVAAMIDGEATVKEFHKDSTGVWLLPHNDAFSPIP-GENAQIMGKVVSLMRKL</f>
        <v>#NAME?</v>
      </c>
    </row>
    <row r="3508" spans="1:32" hidden="1" x14ac:dyDescent="0.35">
      <c r="A3508">
        <v>997</v>
      </c>
      <c r="B3508" t="s">
        <v>2068</v>
      </c>
      <c r="C3508" t="s">
        <v>72</v>
      </c>
      <c r="D3508" t="s">
        <v>34</v>
      </c>
      <c r="E3508">
        <v>1904</v>
      </c>
      <c r="F3508">
        <v>5</v>
      </c>
      <c r="G3508">
        <v>5</v>
      </c>
      <c r="H3508">
        <v>1</v>
      </c>
      <c r="I3508">
        <v>1</v>
      </c>
      <c r="J3508">
        <v>0.78266494178525203</v>
      </c>
      <c r="K3508">
        <v>0.93729430586391504</v>
      </c>
      <c r="L3508">
        <v>0.85302880790611002</v>
      </c>
      <c r="M3508">
        <v>0.52016129032258096</v>
      </c>
      <c r="N3508">
        <v>1</v>
      </c>
      <c r="O3508">
        <v>0.69112903225806499</v>
      </c>
      <c r="P3508" t="s">
        <v>2069</v>
      </c>
      <c r="Q3508" t="s">
        <v>2070</v>
      </c>
      <c r="R3508" t="s">
        <v>2071</v>
      </c>
      <c r="S3508" t="s">
        <v>2072</v>
      </c>
      <c r="T3508" t="s">
        <v>2073</v>
      </c>
      <c r="U3508" t="s">
        <v>2074</v>
      </c>
      <c r="V3508" t="s">
        <v>2075</v>
      </c>
      <c r="W3508" t="s">
        <v>2076</v>
      </c>
      <c r="AD3508" t="s">
        <v>2077</v>
      </c>
      <c r="AE3508" t="s">
        <v>2078</v>
      </c>
      <c r="AF3508" t="s">
        <v>2080</v>
      </c>
    </row>
    <row r="3509" spans="1:32" hidden="1" x14ac:dyDescent="0.35">
      <c r="A3509">
        <v>998</v>
      </c>
      <c r="B3509" t="s">
        <v>2068</v>
      </c>
      <c r="C3509" t="s">
        <v>72</v>
      </c>
      <c r="D3509" t="s">
        <v>45</v>
      </c>
      <c r="E3509">
        <v>970</v>
      </c>
      <c r="F3509">
        <v>5</v>
      </c>
      <c r="G3509">
        <v>5</v>
      </c>
      <c r="H3509">
        <v>1</v>
      </c>
      <c r="I3509">
        <v>1</v>
      </c>
      <c r="J3509">
        <v>0.78266494178525203</v>
      </c>
      <c r="K3509">
        <v>0.93729430586391504</v>
      </c>
      <c r="L3509">
        <v>0.85302880790611002</v>
      </c>
      <c r="M3509">
        <v>0.52016129032258096</v>
      </c>
      <c r="N3509">
        <v>1</v>
      </c>
      <c r="O3509">
        <v>0.69112903225806499</v>
      </c>
      <c r="P3509" t="s">
        <v>2069</v>
      </c>
      <c r="Q3509" t="s">
        <v>2070</v>
      </c>
      <c r="R3509" t="s">
        <v>2071</v>
      </c>
      <c r="S3509" t="s">
        <v>2072</v>
      </c>
      <c r="T3509" t="s">
        <v>2073</v>
      </c>
      <c r="U3509" t="s">
        <v>2074</v>
      </c>
      <c r="V3509" t="s">
        <v>2075</v>
      </c>
      <c r="W3509" t="s">
        <v>2076</v>
      </c>
      <c r="AD3509" t="s">
        <v>2077</v>
      </c>
      <c r="AE3509" t="s">
        <v>2078</v>
      </c>
      <c r="AF3509" t="s">
        <v>2080</v>
      </c>
    </row>
    <row r="3510" spans="1:32" hidden="1" x14ac:dyDescent="0.35">
      <c r="A3510">
        <v>1139</v>
      </c>
      <c r="B3510" t="s">
        <v>2363</v>
      </c>
      <c r="C3510" t="s">
        <v>72</v>
      </c>
      <c r="D3510" t="s">
        <v>58</v>
      </c>
      <c r="E3510">
        <v>1114</v>
      </c>
      <c r="F3510">
        <v>5</v>
      </c>
      <c r="G3510">
        <v>5</v>
      </c>
      <c r="H3510">
        <v>1</v>
      </c>
      <c r="I3510">
        <v>1</v>
      </c>
      <c r="J3510">
        <v>0.86222704789479998</v>
      </c>
      <c r="K3510">
        <v>0.96652557968347297</v>
      </c>
      <c r="L3510">
        <v>0.911402105148442</v>
      </c>
      <c r="M3510">
        <v>0.75524475524475498</v>
      </c>
      <c r="N3510">
        <v>1</v>
      </c>
      <c r="O3510">
        <v>0.81258741258741296</v>
      </c>
      <c r="P3510" t="s">
        <v>2364</v>
      </c>
      <c r="Q3510" t="s">
        <v>2365</v>
      </c>
      <c r="R3510" t="s">
        <v>2071</v>
      </c>
      <c r="S3510" t="s">
        <v>2072</v>
      </c>
      <c r="T3510" t="s">
        <v>2366</v>
      </c>
      <c r="U3510" t="s">
        <v>2367</v>
      </c>
      <c r="V3510" t="s">
        <v>2368</v>
      </c>
      <c r="W3510" t="s">
        <v>2369</v>
      </c>
      <c r="AD3510" t="s">
        <v>410</v>
      </c>
      <c r="AE3510" t="s">
        <v>1840</v>
      </c>
      <c r="AF3510" t="s">
        <v>2370</v>
      </c>
    </row>
    <row r="3511" spans="1:32" hidden="1" x14ac:dyDescent="0.35">
      <c r="A3511">
        <v>1140</v>
      </c>
      <c r="B3511" t="s">
        <v>2363</v>
      </c>
      <c r="C3511" t="s">
        <v>72</v>
      </c>
      <c r="D3511" t="s">
        <v>60</v>
      </c>
      <c r="E3511">
        <v>1506</v>
      </c>
      <c r="F3511">
        <v>5</v>
      </c>
      <c r="G3511">
        <v>5</v>
      </c>
      <c r="H3511">
        <v>1</v>
      </c>
      <c r="I3511">
        <v>1</v>
      </c>
      <c r="J3511">
        <v>0.86222704789479998</v>
      </c>
      <c r="K3511">
        <v>0.96652557968347297</v>
      </c>
      <c r="L3511">
        <v>0.911402105148442</v>
      </c>
      <c r="M3511">
        <v>0.75524475524475498</v>
      </c>
      <c r="N3511">
        <v>1</v>
      </c>
      <c r="O3511">
        <v>0.81258741258741296</v>
      </c>
      <c r="P3511" t="s">
        <v>2364</v>
      </c>
      <c r="Q3511" t="s">
        <v>2365</v>
      </c>
      <c r="R3511" t="s">
        <v>2071</v>
      </c>
      <c r="S3511" t="s">
        <v>2072</v>
      </c>
      <c r="T3511" t="s">
        <v>2366</v>
      </c>
      <c r="U3511" t="s">
        <v>2367</v>
      </c>
      <c r="V3511" t="s">
        <v>2368</v>
      </c>
      <c r="W3511" t="s">
        <v>2369</v>
      </c>
      <c r="AD3511" t="s">
        <v>410</v>
      </c>
      <c r="AE3511" t="s">
        <v>1840</v>
      </c>
      <c r="AF3511" t="s">
        <v>2371</v>
      </c>
    </row>
    <row r="3512" spans="1:32" hidden="1" x14ac:dyDescent="0.35">
      <c r="A3512">
        <v>1141</v>
      </c>
      <c r="B3512" t="s">
        <v>2363</v>
      </c>
      <c r="C3512" t="s">
        <v>72</v>
      </c>
      <c r="D3512" t="s">
        <v>62</v>
      </c>
      <c r="E3512">
        <v>1541</v>
      </c>
      <c r="F3512">
        <v>5</v>
      </c>
      <c r="G3512">
        <v>5</v>
      </c>
      <c r="H3512">
        <v>1</v>
      </c>
      <c r="I3512">
        <v>1</v>
      </c>
      <c r="J3512">
        <v>0.86222704789479998</v>
      </c>
      <c r="K3512">
        <v>0.96652557968347297</v>
      </c>
      <c r="L3512">
        <v>0.911402105148442</v>
      </c>
      <c r="M3512">
        <v>0.75524475524475498</v>
      </c>
      <c r="N3512">
        <v>1</v>
      </c>
      <c r="O3512">
        <v>0.81258741258741296</v>
      </c>
      <c r="P3512" t="s">
        <v>2364</v>
      </c>
      <c r="Q3512" t="s">
        <v>2365</v>
      </c>
      <c r="R3512" t="s">
        <v>2071</v>
      </c>
      <c r="S3512" t="s">
        <v>2072</v>
      </c>
      <c r="T3512" t="s">
        <v>2366</v>
      </c>
      <c r="U3512" t="s">
        <v>2367</v>
      </c>
      <c r="V3512" t="s">
        <v>2368</v>
      </c>
      <c r="W3512" t="s">
        <v>2369</v>
      </c>
      <c r="AD3512" t="s">
        <v>410</v>
      </c>
      <c r="AE3512" t="s">
        <v>1840</v>
      </c>
      <c r="AF3512" t="s">
        <v>2371</v>
      </c>
    </row>
    <row r="3513" spans="1:32" hidden="1" x14ac:dyDescent="0.35">
      <c r="A3513">
        <v>1142</v>
      </c>
      <c r="B3513" t="s">
        <v>2363</v>
      </c>
      <c r="C3513" t="s">
        <v>72</v>
      </c>
      <c r="D3513" t="s">
        <v>34</v>
      </c>
      <c r="E3513">
        <v>1937</v>
      </c>
      <c r="F3513">
        <v>5</v>
      </c>
      <c r="G3513">
        <v>5</v>
      </c>
      <c r="H3513">
        <v>1</v>
      </c>
      <c r="I3513">
        <v>1</v>
      </c>
      <c r="J3513">
        <v>0.86222704789479998</v>
      </c>
      <c r="K3513">
        <v>0.96652557968347297</v>
      </c>
      <c r="L3513">
        <v>0.911402105148442</v>
      </c>
      <c r="M3513">
        <v>0.75524475524475498</v>
      </c>
      <c r="N3513">
        <v>1</v>
      </c>
      <c r="O3513">
        <v>0.81258741258741296</v>
      </c>
      <c r="P3513" t="s">
        <v>2364</v>
      </c>
      <c r="Q3513" t="s">
        <v>2365</v>
      </c>
      <c r="R3513" t="s">
        <v>2071</v>
      </c>
      <c r="S3513" t="s">
        <v>2072</v>
      </c>
      <c r="T3513" t="s">
        <v>2366</v>
      </c>
      <c r="U3513" t="s">
        <v>2367</v>
      </c>
      <c r="V3513" t="s">
        <v>2368</v>
      </c>
      <c r="W3513" t="s">
        <v>2369</v>
      </c>
      <c r="AD3513" t="s">
        <v>410</v>
      </c>
      <c r="AE3513" t="s">
        <v>1840</v>
      </c>
      <c r="AF3513" t="s">
        <v>2372</v>
      </c>
    </row>
    <row r="3514" spans="1:32" hidden="1" x14ac:dyDescent="0.35">
      <c r="A3514">
        <v>1143</v>
      </c>
      <c r="B3514" t="s">
        <v>2363</v>
      </c>
      <c r="C3514" t="s">
        <v>72</v>
      </c>
      <c r="D3514" t="s">
        <v>45</v>
      </c>
      <c r="E3514">
        <v>936</v>
      </c>
      <c r="F3514">
        <v>5</v>
      </c>
      <c r="G3514">
        <v>5</v>
      </c>
      <c r="H3514">
        <v>1</v>
      </c>
      <c r="I3514">
        <v>1</v>
      </c>
      <c r="J3514">
        <v>0.86222704789479998</v>
      </c>
      <c r="K3514">
        <v>0.96652557968347297</v>
      </c>
      <c r="L3514">
        <v>0.911402105148442</v>
      </c>
      <c r="M3514">
        <v>0.75524475524475498</v>
      </c>
      <c r="N3514">
        <v>1</v>
      </c>
      <c r="O3514">
        <v>0.81258741258741296</v>
      </c>
      <c r="P3514" t="s">
        <v>2364</v>
      </c>
      <c r="Q3514" t="s">
        <v>2365</v>
      </c>
      <c r="R3514" t="s">
        <v>2071</v>
      </c>
      <c r="S3514" t="s">
        <v>2072</v>
      </c>
      <c r="T3514" t="s">
        <v>2366</v>
      </c>
      <c r="U3514" t="s">
        <v>2367</v>
      </c>
      <c r="V3514" t="s">
        <v>2368</v>
      </c>
      <c r="W3514" t="s">
        <v>2369</v>
      </c>
      <c r="AD3514" t="s">
        <v>410</v>
      </c>
      <c r="AE3514" t="s">
        <v>1840</v>
      </c>
      <c r="AF3514" t="s">
        <v>2372</v>
      </c>
    </row>
    <row r="3515" spans="1:32" hidden="1" x14ac:dyDescent="0.35">
      <c r="A3515">
        <v>1944</v>
      </c>
      <c r="B3515" t="s">
        <v>4029</v>
      </c>
      <c r="C3515" t="s">
        <v>72</v>
      </c>
      <c r="D3515" t="s">
        <v>58</v>
      </c>
      <c r="E3515">
        <v>1051</v>
      </c>
      <c r="F3515">
        <v>5</v>
      </c>
      <c r="G3515">
        <v>5</v>
      </c>
      <c r="H3515">
        <v>1</v>
      </c>
      <c r="I3515">
        <v>1</v>
      </c>
      <c r="J3515">
        <v>0.92069838731174203</v>
      </c>
      <c r="K3515">
        <v>0.99641434262948403</v>
      </c>
      <c r="L3515">
        <v>0.95706117227793996</v>
      </c>
      <c r="M3515">
        <v>0.81673306772908405</v>
      </c>
      <c r="N3515">
        <v>1</v>
      </c>
      <c r="O3515">
        <v>0.864940239043825</v>
      </c>
      <c r="P3515" t="s">
        <v>4030</v>
      </c>
      <c r="Q3515" t="s">
        <v>4031</v>
      </c>
      <c r="R3515" t="s">
        <v>4032</v>
      </c>
      <c r="S3515" t="s">
        <v>4033</v>
      </c>
      <c r="T3515" t="s">
        <v>4034</v>
      </c>
      <c r="U3515" t="s">
        <v>4035</v>
      </c>
      <c r="V3515" t="s">
        <v>4036</v>
      </c>
      <c r="W3515" t="s">
        <v>4037</v>
      </c>
      <c r="AD3515" t="s">
        <v>4038</v>
      </c>
      <c r="AE3515" t="s">
        <v>4039</v>
      </c>
      <c r="AF3515" t="s">
        <v>4040</v>
      </c>
    </row>
    <row r="3516" spans="1:32" hidden="1" x14ac:dyDescent="0.35">
      <c r="A3516">
        <v>1945</v>
      </c>
      <c r="B3516" t="s">
        <v>4029</v>
      </c>
      <c r="C3516" t="s">
        <v>72</v>
      </c>
      <c r="D3516" t="s">
        <v>60</v>
      </c>
      <c r="E3516">
        <v>1422</v>
      </c>
      <c r="F3516">
        <v>5</v>
      </c>
      <c r="G3516">
        <v>5</v>
      </c>
      <c r="H3516">
        <v>1</v>
      </c>
      <c r="I3516">
        <v>1</v>
      </c>
      <c r="J3516">
        <v>0.92069838731174203</v>
      </c>
      <c r="K3516">
        <v>0.99641434262948403</v>
      </c>
      <c r="L3516">
        <v>0.95706117227793996</v>
      </c>
      <c r="M3516">
        <v>0.81673306772908405</v>
      </c>
      <c r="N3516">
        <v>1</v>
      </c>
      <c r="O3516">
        <v>0.864940239043825</v>
      </c>
      <c r="P3516" t="s">
        <v>4030</v>
      </c>
      <c r="Q3516" t="s">
        <v>4031</v>
      </c>
      <c r="R3516" t="s">
        <v>4032</v>
      </c>
      <c r="S3516" t="s">
        <v>4033</v>
      </c>
      <c r="T3516" t="s">
        <v>4034</v>
      </c>
      <c r="U3516" t="s">
        <v>4035</v>
      </c>
      <c r="V3516" t="s">
        <v>4036</v>
      </c>
      <c r="W3516" t="s">
        <v>4037</v>
      </c>
      <c r="AD3516" t="s">
        <v>4038</v>
      </c>
      <c r="AE3516" t="s">
        <v>4039</v>
      </c>
      <c r="AF3516" t="s">
        <v>4041</v>
      </c>
    </row>
    <row r="3517" spans="1:32" hidden="1" x14ac:dyDescent="0.35">
      <c r="A3517">
        <v>1946</v>
      </c>
      <c r="B3517" t="s">
        <v>4029</v>
      </c>
      <c r="C3517" t="s">
        <v>72</v>
      </c>
      <c r="D3517" t="s">
        <v>62</v>
      </c>
      <c r="E3517">
        <v>1457</v>
      </c>
      <c r="F3517">
        <v>5</v>
      </c>
      <c r="G3517">
        <v>5</v>
      </c>
      <c r="H3517">
        <v>1</v>
      </c>
      <c r="I3517">
        <v>1</v>
      </c>
      <c r="J3517">
        <v>0.92069838731174203</v>
      </c>
      <c r="K3517">
        <v>0.99641434262948403</v>
      </c>
      <c r="L3517">
        <v>0.95706117227793996</v>
      </c>
      <c r="M3517">
        <v>0.81673306772908405</v>
      </c>
      <c r="N3517">
        <v>1</v>
      </c>
      <c r="O3517">
        <v>0.864940239043825</v>
      </c>
      <c r="P3517" t="s">
        <v>4030</v>
      </c>
      <c r="Q3517" t="s">
        <v>4031</v>
      </c>
      <c r="R3517" t="s">
        <v>4032</v>
      </c>
      <c r="S3517" t="s">
        <v>4033</v>
      </c>
      <c r="T3517" t="s">
        <v>4034</v>
      </c>
      <c r="U3517" t="s">
        <v>4035</v>
      </c>
      <c r="V3517" t="s">
        <v>4036</v>
      </c>
      <c r="W3517" t="s">
        <v>4037</v>
      </c>
      <c r="AD3517" t="s">
        <v>4038</v>
      </c>
      <c r="AE3517" t="s">
        <v>4039</v>
      </c>
      <c r="AF3517" t="s">
        <v>4041</v>
      </c>
    </row>
    <row r="3518" spans="1:32" hidden="1" x14ac:dyDescent="0.35">
      <c r="A3518">
        <v>1947</v>
      </c>
      <c r="B3518" t="s">
        <v>4029</v>
      </c>
      <c r="C3518" t="s">
        <v>72</v>
      </c>
      <c r="D3518" t="s">
        <v>34</v>
      </c>
      <c r="E3518">
        <v>1850</v>
      </c>
      <c r="F3518">
        <v>5</v>
      </c>
      <c r="G3518">
        <v>5</v>
      </c>
      <c r="H3518">
        <v>1</v>
      </c>
      <c r="I3518">
        <v>1</v>
      </c>
      <c r="J3518">
        <v>0.92069838731174203</v>
      </c>
      <c r="K3518">
        <v>0.99641434262948403</v>
      </c>
      <c r="L3518">
        <v>0.95706117227793996</v>
      </c>
      <c r="M3518">
        <v>0.81673306772908405</v>
      </c>
      <c r="N3518">
        <v>1</v>
      </c>
      <c r="O3518">
        <v>0.864940239043825</v>
      </c>
      <c r="P3518" t="s">
        <v>4030</v>
      </c>
      <c r="Q3518" t="s">
        <v>4031</v>
      </c>
      <c r="R3518" t="s">
        <v>4032</v>
      </c>
      <c r="S3518" t="s">
        <v>4033</v>
      </c>
      <c r="T3518" t="s">
        <v>4034</v>
      </c>
      <c r="U3518" t="s">
        <v>4035</v>
      </c>
      <c r="V3518" t="s">
        <v>4036</v>
      </c>
      <c r="W3518" t="s">
        <v>4037</v>
      </c>
      <c r="AD3518" t="s">
        <v>4038</v>
      </c>
      <c r="AE3518" t="s">
        <v>4039</v>
      </c>
      <c r="AF3518" t="s">
        <v>4042</v>
      </c>
    </row>
    <row r="3519" spans="1:32" hidden="1" x14ac:dyDescent="0.35">
      <c r="A3519">
        <v>1948</v>
      </c>
      <c r="B3519" t="s">
        <v>4029</v>
      </c>
      <c r="C3519" t="s">
        <v>72</v>
      </c>
      <c r="D3519" t="s">
        <v>45</v>
      </c>
      <c r="E3519">
        <v>1023</v>
      </c>
      <c r="F3519">
        <v>5</v>
      </c>
      <c r="G3519">
        <v>5</v>
      </c>
      <c r="H3519">
        <v>1</v>
      </c>
      <c r="I3519">
        <v>1</v>
      </c>
      <c r="J3519">
        <v>0.92069838731174203</v>
      </c>
      <c r="K3519">
        <v>0.99641434262948403</v>
      </c>
      <c r="L3519">
        <v>0.95706117227793996</v>
      </c>
      <c r="M3519">
        <v>0.81673306772908405</v>
      </c>
      <c r="N3519">
        <v>1</v>
      </c>
      <c r="O3519">
        <v>0.864940239043825</v>
      </c>
      <c r="P3519" t="s">
        <v>4030</v>
      </c>
      <c r="Q3519" t="s">
        <v>4031</v>
      </c>
      <c r="R3519" t="s">
        <v>4032</v>
      </c>
      <c r="S3519" t="s">
        <v>4033</v>
      </c>
      <c r="T3519" t="s">
        <v>4034</v>
      </c>
      <c r="U3519" t="s">
        <v>4035</v>
      </c>
      <c r="V3519" t="s">
        <v>4036</v>
      </c>
      <c r="W3519" t="s">
        <v>4037</v>
      </c>
      <c r="AD3519" t="s">
        <v>4038</v>
      </c>
      <c r="AE3519" t="s">
        <v>4039</v>
      </c>
      <c r="AF3519" t="s">
        <v>4043</v>
      </c>
    </row>
    <row r="3520" spans="1:32" hidden="1" x14ac:dyDescent="0.35">
      <c r="A3520">
        <v>127</v>
      </c>
      <c r="B3520" t="s">
        <v>201</v>
      </c>
      <c r="C3520" t="s">
        <v>72</v>
      </c>
      <c r="D3520" t="s">
        <v>60</v>
      </c>
      <c r="E3520">
        <v>1201</v>
      </c>
      <c r="F3520">
        <v>5</v>
      </c>
      <c r="G3520">
        <v>9</v>
      </c>
      <c r="H3520">
        <v>2</v>
      </c>
      <c r="I3520">
        <v>0</v>
      </c>
      <c r="J3520">
        <v>0.654994471065241</v>
      </c>
      <c r="K3520">
        <v>0.66860895156984401</v>
      </c>
      <c r="L3520">
        <v>0.66173169258072195</v>
      </c>
      <c r="M3520">
        <v>8.9385474860335198E-2</v>
      </c>
      <c r="N3520">
        <v>0.99860335195530703</v>
      </c>
      <c r="O3520">
        <v>0.54360645561762899</v>
      </c>
      <c r="P3520" t="s">
        <v>222</v>
      </c>
      <c r="Q3520" t="s">
        <v>223</v>
      </c>
      <c r="R3520" t="s">
        <v>224</v>
      </c>
      <c r="S3520" t="s">
        <v>225</v>
      </c>
      <c r="T3520" t="s">
        <v>206</v>
      </c>
      <c r="U3520" t="s">
        <v>207</v>
      </c>
      <c r="V3520" t="s">
        <v>226</v>
      </c>
      <c r="W3520" t="s">
        <v>227</v>
      </c>
      <c r="AD3520" t="s">
        <v>210</v>
      </c>
      <c r="AE3520" t="s">
        <v>211</v>
      </c>
      <c r="AF3520" t="s">
        <v>228</v>
      </c>
    </row>
    <row r="3521" spans="1:32" hidden="1" x14ac:dyDescent="0.35">
      <c r="A3521">
        <v>129</v>
      </c>
      <c r="B3521" t="s">
        <v>201</v>
      </c>
      <c r="C3521" t="s">
        <v>72</v>
      </c>
      <c r="D3521" t="s">
        <v>62</v>
      </c>
      <c r="E3521">
        <v>1238</v>
      </c>
      <c r="F3521">
        <v>5</v>
      </c>
      <c r="G3521">
        <v>9</v>
      </c>
      <c r="H3521">
        <v>2</v>
      </c>
      <c r="I3521">
        <v>0</v>
      </c>
      <c r="J3521">
        <v>0.654994471065241</v>
      </c>
      <c r="K3521">
        <v>0.66860895156984401</v>
      </c>
      <c r="L3521">
        <v>0.66173169258072195</v>
      </c>
      <c r="M3521">
        <v>8.9385474860335198E-2</v>
      </c>
      <c r="N3521">
        <v>0.99860335195530703</v>
      </c>
      <c r="O3521">
        <v>0.54360645561762899</v>
      </c>
      <c r="P3521" t="s">
        <v>222</v>
      </c>
      <c r="Q3521" t="s">
        <v>223</v>
      </c>
      <c r="R3521" t="s">
        <v>224</v>
      </c>
      <c r="S3521" t="s">
        <v>225</v>
      </c>
      <c r="T3521" t="s">
        <v>206</v>
      </c>
      <c r="U3521" t="s">
        <v>207</v>
      </c>
      <c r="V3521" t="s">
        <v>226</v>
      </c>
      <c r="W3521" t="s">
        <v>227</v>
      </c>
      <c r="AD3521" t="s">
        <v>210</v>
      </c>
      <c r="AE3521" t="s">
        <v>211</v>
      </c>
      <c r="AF3521" t="s">
        <v>228</v>
      </c>
    </row>
    <row r="3522" spans="1:32" hidden="1" x14ac:dyDescent="0.35">
      <c r="A3522">
        <v>131</v>
      </c>
      <c r="B3522" t="s">
        <v>201</v>
      </c>
      <c r="C3522" t="s">
        <v>72</v>
      </c>
      <c r="D3522" t="s">
        <v>34</v>
      </c>
      <c r="E3522">
        <v>1663</v>
      </c>
      <c r="F3522">
        <v>5</v>
      </c>
      <c r="G3522">
        <v>9</v>
      </c>
      <c r="H3522">
        <v>2</v>
      </c>
      <c r="I3522">
        <v>0</v>
      </c>
      <c r="J3522">
        <v>0.654994471065241</v>
      </c>
      <c r="K3522">
        <v>0.66860895156984401</v>
      </c>
      <c r="L3522">
        <v>0.66173169258072195</v>
      </c>
      <c r="M3522">
        <v>8.9385474860335198E-2</v>
      </c>
      <c r="N3522">
        <v>0.99860335195530703</v>
      </c>
      <c r="O3522">
        <v>0.54360645561762899</v>
      </c>
      <c r="P3522" t="s">
        <v>222</v>
      </c>
      <c r="Q3522" t="s">
        <v>223</v>
      </c>
      <c r="R3522" t="s">
        <v>224</v>
      </c>
      <c r="S3522" t="s">
        <v>225</v>
      </c>
      <c r="T3522" t="s">
        <v>206</v>
      </c>
      <c r="U3522" t="s">
        <v>207</v>
      </c>
      <c r="V3522" t="s">
        <v>226</v>
      </c>
      <c r="W3522" t="s">
        <v>227</v>
      </c>
      <c r="AD3522" t="s">
        <v>210</v>
      </c>
      <c r="AE3522" t="s">
        <v>211</v>
      </c>
      <c r="AF3522" t="s">
        <v>230</v>
      </c>
    </row>
    <row r="3523" spans="1:32" hidden="1" x14ac:dyDescent="0.35">
      <c r="A3523">
        <v>133</v>
      </c>
      <c r="B3523" t="s">
        <v>201</v>
      </c>
      <c r="C3523" t="s">
        <v>72</v>
      </c>
      <c r="D3523" t="s">
        <v>45</v>
      </c>
      <c r="E3523">
        <v>1214</v>
      </c>
      <c r="F3523">
        <v>5</v>
      </c>
      <c r="G3523">
        <v>9</v>
      </c>
      <c r="H3523">
        <v>2</v>
      </c>
      <c r="I3523">
        <v>0</v>
      </c>
      <c r="J3523">
        <v>0.654994471065241</v>
      </c>
      <c r="K3523">
        <v>0.66860895156984401</v>
      </c>
      <c r="L3523">
        <v>0.66173169258072195</v>
      </c>
      <c r="M3523">
        <v>8.9385474860335198E-2</v>
      </c>
      <c r="N3523">
        <v>0.99860335195530703</v>
      </c>
      <c r="O3523">
        <v>0.54360645561762899</v>
      </c>
      <c r="P3523" t="s">
        <v>222</v>
      </c>
      <c r="Q3523" t="s">
        <v>223</v>
      </c>
      <c r="R3523" t="s">
        <v>224</v>
      </c>
      <c r="S3523" t="s">
        <v>225</v>
      </c>
      <c r="T3523" t="s">
        <v>206</v>
      </c>
      <c r="U3523" t="s">
        <v>207</v>
      </c>
      <c r="V3523" t="s">
        <v>226</v>
      </c>
      <c r="W3523" t="s">
        <v>227</v>
      </c>
      <c r="AD3523" t="s">
        <v>210</v>
      </c>
      <c r="AE3523" t="s">
        <v>211</v>
      </c>
      <c r="AF3523" t="s">
        <v>231</v>
      </c>
    </row>
    <row r="3524" spans="1:32" hidden="1" x14ac:dyDescent="0.35">
      <c r="A3524">
        <v>6146</v>
      </c>
      <c r="B3524" t="s">
        <v>12646</v>
      </c>
      <c r="C3524" t="s">
        <v>68</v>
      </c>
      <c r="D3524" t="s">
        <v>58</v>
      </c>
      <c r="E3524">
        <v>981</v>
      </c>
      <c r="F3524">
        <v>3</v>
      </c>
      <c r="G3524">
        <v>3</v>
      </c>
      <c r="H3524">
        <v>1</v>
      </c>
      <c r="I3524">
        <v>0</v>
      </c>
      <c r="J3524">
        <v>0.78913738019169299</v>
      </c>
      <c r="K3524">
        <v>0.94413606085975299</v>
      </c>
      <c r="L3524">
        <v>0.85970631057428903</v>
      </c>
      <c r="M3524">
        <v>0.51807228915662695</v>
      </c>
      <c r="N3524">
        <v>1</v>
      </c>
      <c r="O3524">
        <v>0.67871485943775101</v>
      </c>
      <c r="P3524" t="s">
        <v>12647</v>
      </c>
      <c r="Q3524" t="s">
        <v>12648</v>
      </c>
      <c r="R3524" t="s">
        <v>869</v>
      </c>
      <c r="S3524" t="s">
        <v>870</v>
      </c>
      <c r="T3524" t="s">
        <v>12649</v>
      </c>
      <c r="U3524" t="s">
        <v>12650</v>
      </c>
      <c r="V3524" t="s">
        <v>12651</v>
      </c>
      <c r="W3524" t="s">
        <v>12652</v>
      </c>
      <c r="Z3524" t="s">
        <v>4286</v>
      </c>
      <c r="AA3524" t="s">
        <v>4287</v>
      </c>
      <c r="AB3524" t="s">
        <v>4286</v>
      </c>
      <c r="AC3524" t="s">
        <v>729</v>
      </c>
      <c r="AD3524" t="s">
        <v>12653</v>
      </c>
      <c r="AE3524" t="s">
        <v>12654</v>
      </c>
      <c r="AF3524" t="s">
        <v>12655</v>
      </c>
    </row>
    <row r="3525" spans="1:32" hidden="1" x14ac:dyDescent="0.35">
      <c r="A3525">
        <v>332</v>
      </c>
      <c r="B3525" t="s">
        <v>582</v>
      </c>
      <c r="C3525" t="s">
        <v>72</v>
      </c>
      <c r="D3525" t="s">
        <v>60</v>
      </c>
      <c r="E3525">
        <v>1026</v>
      </c>
      <c r="F3525">
        <v>5</v>
      </c>
      <c r="G3525">
        <v>6</v>
      </c>
      <c r="H3525">
        <v>2</v>
      </c>
      <c r="I3525">
        <v>0</v>
      </c>
      <c r="J3525">
        <v>0.92261185006045998</v>
      </c>
      <c r="K3525">
        <v>0.74860993741163395</v>
      </c>
      <c r="L3525">
        <v>0.82655265088868402</v>
      </c>
      <c r="M3525">
        <v>1.6032064128256501E-2</v>
      </c>
      <c r="N3525">
        <v>1</v>
      </c>
      <c r="O3525">
        <v>0.59959919839679399</v>
      </c>
      <c r="P3525" t="s">
        <v>583</v>
      </c>
      <c r="Q3525" t="s">
        <v>584</v>
      </c>
      <c r="R3525" t="s">
        <v>224</v>
      </c>
      <c r="S3525" t="s">
        <v>225</v>
      </c>
      <c r="T3525" t="s">
        <v>585</v>
      </c>
      <c r="U3525" t="s">
        <v>586</v>
      </c>
      <c r="V3525" t="s">
        <v>587</v>
      </c>
      <c r="W3525" t="s">
        <v>588</v>
      </c>
      <c r="X3525" t="s">
        <v>587</v>
      </c>
      <c r="Y3525" t="s">
        <v>589</v>
      </c>
      <c r="AD3525" t="s">
        <v>590</v>
      </c>
      <c r="AE3525" t="s">
        <v>591</v>
      </c>
      <c r="AF3525" t="s">
        <v>593</v>
      </c>
    </row>
    <row r="3526" spans="1:32" hidden="1" x14ac:dyDescent="0.35">
      <c r="A3526">
        <v>333</v>
      </c>
      <c r="B3526" t="s">
        <v>582</v>
      </c>
      <c r="C3526" t="s">
        <v>72</v>
      </c>
      <c r="D3526" t="s">
        <v>62</v>
      </c>
      <c r="E3526">
        <v>1062</v>
      </c>
      <c r="F3526">
        <v>5</v>
      </c>
      <c r="G3526">
        <v>6</v>
      </c>
      <c r="H3526">
        <v>2</v>
      </c>
      <c r="I3526">
        <v>0</v>
      </c>
      <c r="J3526">
        <v>0.92261185006045998</v>
      </c>
      <c r="K3526">
        <v>0.74860993741163395</v>
      </c>
      <c r="L3526">
        <v>0.82655265088868402</v>
      </c>
      <c r="M3526">
        <v>1.6032064128256501E-2</v>
      </c>
      <c r="N3526">
        <v>1</v>
      </c>
      <c r="O3526">
        <v>0.59959919839679399</v>
      </c>
      <c r="P3526" t="s">
        <v>583</v>
      </c>
      <c r="Q3526" t="s">
        <v>584</v>
      </c>
      <c r="R3526" t="s">
        <v>224</v>
      </c>
      <c r="S3526" t="s">
        <v>225</v>
      </c>
      <c r="T3526" t="s">
        <v>585</v>
      </c>
      <c r="U3526" t="s">
        <v>586</v>
      </c>
      <c r="V3526" t="s">
        <v>587</v>
      </c>
      <c r="W3526" t="s">
        <v>588</v>
      </c>
      <c r="X3526" t="s">
        <v>587</v>
      </c>
      <c r="Y3526" t="s">
        <v>589</v>
      </c>
      <c r="AD3526" t="s">
        <v>590</v>
      </c>
      <c r="AE3526" t="s">
        <v>591</v>
      </c>
      <c r="AF3526" t="s">
        <v>593</v>
      </c>
    </row>
    <row r="3527" spans="1:32" hidden="1" x14ac:dyDescent="0.35">
      <c r="A3527">
        <v>334</v>
      </c>
      <c r="B3527" t="s">
        <v>582</v>
      </c>
      <c r="C3527" t="s">
        <v>72</v>
      </c>
      <c r="D3527" t="s">
        <v>34</v>
      </c>
      <c r="E3527">
        <v>86</v>
      </c>
      <c r="F3527">
        <v>5</v>
      </c>
      <c r="G3527">
        <v>6</v>
      </c>
      <c r="H3527">
        <v>2</v>
      </c>
      <c r="I3527">
        <v>0</v>
      </c>
      <c r="J3527">
        <v>0.92261185006045998</v>
      </c>
      <c r="K3527">
        <v>0.74860993741163395</v>
      </c>
      <c r="L3527">
        <v>0.82655265088868402</v>
      </c>
      <c r="M3527">
        <v>1.6032064128256501E-2</v>
      </c>
      <c r="N3527">
        <v>1</v>
      </c>
      <c r="O3527">
        <v>0.59959919839679399</v>
      </c>
      <c r="P3527" t="s">
        <v>583</v>
      </c>
      <c r="Q3527" t="s">
        <v>584</v>
      </c>
      <c r="R3527" t="s">
        <v>224</v>
      </c>
      <c r="S3527" t="s">
        <v>225</v>
      </c>
      <c r="T3527" t="s">
        <v>585</v>
      </c>
      <c r="U3527" t="s">
        <v>586</v>
      </c>
      <c r="V3527" t="s">
        <v>587</v>
      </c>
      <c r="W3527" t="s">
        <v>588</v>
      </c>
      <c r="X3527" t="s">
        <v>587</v>
      </c>
      <c r="Y3527" t="s">
        <v>589</v>
      </c>
      <c r="AD3527" t="s">
        <v>590</v>
      </c>
      <c r="AE3527" t="s">
        <v>591</v>
      </c>
      <c r="AF3527" t="s">
        <v>594</v>
      </c>
    </row>
    <row r="3528" spans="1:32" hidden="1" x14ac:dyDescent="0.35">
      <c r="A3528">
        <v>335</v>
      </c>
      <c r="B3528" t="s">
        <v>582</v>
      </c>
      <c r="C3528" t="s">
        <v>72</v>
      </c>
      <c r="D3528" t="s">
        <v>45</v>
      </c>
      <c r="E3528">
        <v>1345</v>
      </c>
      <c r="F3528">
        <v>5</v>
      </c>
      <c r="G3528">
        <v>6</v>
      </c>
      <c r="H3528">
        <v>2</v>
      </c>
      <c r="I3528">
        <v>0</v>
      </c>
      <c r="J3528">
        <v>0.92261185006045998</v>
      </c>
      <c r="K3528">
        <v>0.74860993741163395</v>
      </c>
      <c r="L3528">
        <v>0.82655265088868402</v>
      </c>
      <c r="M3528">
        <v>1.6032064128256501E-2</v>
      </c>
      <c r="N3528">
        <v>1</v>
      </c>
      <c r="O3528">
        <v>0.59959919839679399</v>
      </c>
      <c r="P3528" t="s">
        <v>583</v>
      </c>
      <c r="Q3528" t="s">
        <v>584</v>
      </c>
      <c r="R3528" t="s">
        <v>224</v>
      </c>
      <c r="S3528" t="s">
        <v>225</v>
      </c>
      <c r="V3528" t="s">
        <v>587</v>
      </c>
      <c r="W3528" t="s">
        <v>588</v>
      </c>
      <c r="X3528" t="s">
        <v>587</v>
      </c>
      <c r="Y3528" t="s">
        <v>589</v>
      </c>
      <c r="AF3528" t="s">
        <v>595</v>
      </c>
    </row>
    <row r="3529" spans="1:32" hidden="1" x14ac:dyDescent="0.35">
      <c r="A3529">
        <v>336</v>
      </c>
      <c r="B3529" t="s">
        <v>582</v>
      </c>
      <c r="C3529" t="s">
        <v>72</v>
      </c>
      <c r="D3529" t="s">
        <v>45</v>
      </c>
      <c r="E3529">
        <v>1344</v>
      </c>
      <c r="F3529">
        <v>5</v>
      </c>
      <c r="G3529">
        <v>6</v>
      </c>
      <c r="H3529">
        <v>2</v>
      </c>
      <c r="I3529">
        <v>0</v>
      </c>
      <c r="J3529">
        <v>0.92261185006045998</v>
      </c>
      <c r="K3529">
        <v>0.74860993741163395</v>
      </c>
      <c r="L3529">
        <v>0.82655265088868402</v>
      </c>
      <c r="M3529">
        <v>1.6032064128256501E-2</v>
      </c>
      <c r="N3529">
        <v>1</v>
      </c>
      <c r="O3529">
        <v>0.59959919839679399</v>
      </c>
      <c r="P3529" t="s">
        <v>583</v>
      </c>
      <c r="Q3529" t="s">
        <v>584</v>
      </c>
      <c r="R3529" t="s">
        <v>224</v>
      </c>
      <c r="S3529" t="s">
        <v>225</v>
      </c>
      <c r="V3529" t="s">
        <v>587</v>
      </c>
      <c r="W3529" t="s">
        <v>588</v>
      </c>
      <c r="X3529" t="s">
        <v>587</v>
      </c>
      <c r="Y3529" t="s">
        <v>589</v>
      </c>
      <c r="AF3529" t="s">
        <v>221</v>
      </c>
    </row>
    <row r="3530" spans="1:32" hidden="1" x14ac:dyDescent="0.35">
      <c r="A3530">
        <v>6212</v>
      </c>
      <c r="B3530" t="s">
        <v>12788</v>
      </c>
      <c r="C3530" t="s">
        <v>68</v>
      </c>
      <c r="D3530" t="s">
        <v>58</v>
      </c>
      <c r="E3530">
        <v>1350</v>
      </c>
      <c r="F3530">
        <v>3</v>
      </c>
      <c r="G3530">
        <v>3</v>
      </c>
      <c r="H3530">
        <v>1</v>
      </c>
      <c r="I3530">
        <v>0</v>
      </c>
      <c r="J3530">
        <v>0.84536610343062002</v>
      </c>
      <c r="K3530">
        <v>0.85757447792557795</v>
      </c>
      <c r="L3530">
        <v>0.85142652978313804</v>
      </c>
      <c r="M3530">
        <v>0.58527131782945696</v>
      </c>
      <c r="N3530">
        <v>0.99224806201550397</v>
      </c>
      <c r="O3530">
        <v>0.72093023255814004</v>
      </c>
      <c r="P3530" t="s">
        <v>12789</v>
      </c>
      <c r="Q3530" t="s">
        <v>12790</v>
      </c>
      <c r="R3530" t="s">
        <v>869</v>
      </c>
      <c r="S3530" t="s">
        <v>870</v>
      </c>
      <c r="T3530" t="s">
        <v>12791</v>
      </c>
      <c r="U3530" t="s">
        <v>12792</v>
      </c>
      <c r="V3530" t="s">
        <v>12793</v>
      </c>
      <c r="W3530" t="s">
        <v>12794</v>
      </c>
      <c r="AD3530" t="s">
        <v>219</v>
      </c>
      <c r="AE3530" t="s">
        <v>12795</v>
      </c>
      <c r="AF3530" t="s">
        <v>12796</v>
      </c>
    </row>
    <row r="3531" spans="1:32" hidden="1" x14ac:dyDescent="0.35">
      <c r="A3531">
        <v>415</v>
      </c>
      <c r="B3531" t="s">
        <v>742</v>
      </c>
      <c r="C3531" t="s">
        <v>72</v>
      </c>
      <c r="D3531" t="s">
        <v>60</v>
      </c>
      <c r="E3531">
        <v>2114</v>
      </c>
      <c r="F3531">
        <v>5</v>
      </c>
      <c r="G3531">
        <v>5</v>
      </c>
      <c r="H3531">
        <v>1</v>
      </c>
      <c r="I3531">
        <v>1</v>
      </c>
      <c r="J3531">
        <v>0.995</v>
      </c>
      <c r="K3531">
        <v>1</v>
      </c>
      <c r="L3531">
        <v>0.99749373433583999</v>
      </c>
      <c r="M3531">
        <v>0.97499999999999998</v>
      </c>
      <c r="N3531">
        <v>1</v>
      </c>
      <c r="O3531">
        <v>0.98499999999999999</v>
      </c>
      <c r="P3531" t="s">
        <v>743</v>
      </c>
      <c r="Q3531" t="s">
        <v>744</v>
      </c>
      <c r="R3531" t="s">
        <v>224</v>
      </c>
      <c r="S3531" t="s">
        <v>225</v>
      </c>
      <c r="T3531" t="s">
        <v>745</v>
      </c>
      <c r="U3531" t="s">
        <v>746</v>
      </c>
      <c r="V3531" t="s">
        <v>747</v>
      </c>
      <c r="W3531" t="s">
        <v>748</v>
      </c>
      <c r="X3531" t="s">
        <v>747</v>
      </c>
      <c r="Y3531" t="s">
        <v>749</v>
      </c>
      <c r="AD3531" t="s">
        <v>750</v>
      </c>
      <c r="AE3531" t="s">
        <v>751</v>
      </c>
      <c r="AF3531" t="s">
        <v>753</v>
      </c>
    </row>
    <row r="3532" spans="1:32" hidden="1" x14ac:dyDescent="0.35">
      <c r="A3532">
        <v>416</v>
      </c>
      <c r="B3532" t="s">
        <v>742</v>
      </c>
      <c r="C3532" t="s">
        <v>72</v>
      </c>
      <c r="D3532" t="s">
        <v>62</v>
      </c>
      <c r="E3532">
        <v>2149</v>
      </c>
      <c r="F3532">
        <v>5</v>
      </c>
      <c r="G3532">
        <v>5</v>
      </c>
      <c r="H3532">
        <v>1</v>
      </c>
      <c r="I3532">
        <v>1</v>
      </c>
      <c r="J3532">
        <v>0.995</v>
      </c>
      <c r="K3532">
        <v>1</v>
      </c>
      <c r="L3532">
        <v>0.99749373433583999</v>
      </c>
      <c r="M3532">
        <v>0.97499999999999998</v>
      </c>
      <c r="N3532">
        <v>1</v>
      </c>
      <c r="O3532">
        <v>0.98499999999999999</v>
      </c>
      <c r="P3532" t="s">
        <v>743</v>
      </c>
      <c r="Q3532" t="s">
        <v>744</v>
      </c>
      <c r="R3532" t="s">
        <v>224</v>
      </c>
      <c r="S3532" t="s">
        <v>225</v>
      </c>
      <c r="T3532" t="s">
        <v>745</v>
      </c>
      <c r="U3532" t="s">
        <v>746</v>
      </c>
      <c r="V3532" t="s">
        <v>747</v>
      </c>
      <c r="W3532" t="s">
        <v>748</v>
      </c>
      <c r="X3532" t="s">
        <v>747</v>
      </c>
      <c r="Y3532" t="s">
        <v>749</v>
      </c>
      <c r="AD3532" t="s">
        <v>750</v>
      </c>
      <c r="AE3532" t="s">
        <v>751</v>
      </c>
      <c r="AF3532" t="s">
        <v>753</v>
      </c>
    </row>
    <row r="3533" spans="1:32" hidden="1" x14ac:dyDescent="0.35">
      <c r="A3533">
        <v>417</v>
      </c>
      <c r="B3533" t="s">
        <v>742</v>
      </c>
      <c r="C3533" t="s">
        <v>72</v>
      </c>
      <c r="D3533" t="s">
        <v>34</v>
      </c>
      <c r="E3533">
        <v>2459</v>
      </c>
      <c r="F3533">
        <v>5</v>
      </c>
      <c r="G3533">
        <v>5</v>
      </c>
      <c r="H3533">
        <v>1</v>
      </c>
      <c r="I3533">
        <v>1</v>
      </c>
      <c r="J3533">
        <v>0.995</v>
      </c>
      <c r="K3533">
        <v>1</v>
      </c>
      <c r="L3533">
        <v>0.99749373433583999</v>
      </c>
      <c r="M3533">
        <v>0.97499999999999998</v>
      </c>
      <c r="N3533">
        <v>1</v>
      </c>
      <c r="O3533">
        <v>0.98499999999999999</v>
      </c>
      <c r="P3533" t="s">
        <v>743</v>
      </c>
      <c r="Q3533" t="s">
        <v>744</v>
      </c>
      <c r="R3533" t="s">
        <v>224</v>
      </c>
      <c r="S3533" t="s">
        <v>225</v>
      </c>
      <c r="T3533" t="s">
        <v>745</v>
      </c>
      <c r="U3533" t="s">
        <v>746</v>
      </c>
      <c r="V3533" t="s">
        <v>747</v>
      </c>
      <c r="W3533" t="s">
        <v>748</v>
      </c>
      <c r="X3533" t="s">
        <v>747</v>
      </c>
      <c r="Y3533" t="s">
        <v>749</v>
      </c>
      <c r="AD3533" t="s">
        <v>750</v>
      </c>
      <c r="AE3533" t="s">
        <v>751</v>
      </c>
      <c r="AF3533" t="s">
        <v>752</v>
      </c>
    </row>
    <row r="3534" spans="1:32" hidden="1" x14ac:dyDescent="0.35">
      <c r="A3534">
        <v>418</v>
      </c>
      <c r="B3534" t="s">
        <v>742</v>
      </c>
      <c r="C3534" t="s">
        <v>72</v>
      </c>
      <c r="D3534" t="s">
        <v>45</v>
      </c>
      <c r="E3534">
        <v>442</v>
      </c>
      <c r="F3534">
        <v>5</v>
      </c>
      <c r="G3534">
        <v>5</v>
      </c>
      <c r="H3534">
        <v>1</v>
      </c>
      <c r="I3534">
        <v>1</v>
      </c>
      <c r="J3534">
        <v>0.995</v>
      </c>
      <c r="K3534">
        <v>1</v>
      </c>
      <c r="L3534">
        <v>0.99749373433583999</v>
      </c>
      <c r="M3534">
        <v>0.97499999999999998</v>
      </c>
      <c r="N3534">
        <v>1</v>
      </c>
      <c r="O3534">
        <v>0.98499999999999999</v>
      </c>
      <c r="P3534" t="s">
        <v>743</v>
      </c>
      <c r="Q3534" t="s">
        <v>744</v>
      </c>
      <c r="R3534" t="s">
        <v>224</v>
      </c>
      <c r="S3534" t="s">
        <v>225</v>
      </c>
      <c r="T3534" t="s">
        <v>745</v>
      </c>
      <c r="U3534" t="s">
        <v>746</v>
      </c>
      <c r="V3534" t="s">
        <v>747</v>
      </c>
      <c r="W3534" t="s">
        <v>748</v>
      </c>
      <c r="X3534" t="s">
        <v>747</v>
      </c>
      <c r="Y3534" t="s">
        <v>749</v>
      </c>
      <c r="AD3534" t="s">
        <v>750</v>
      </c>
      <c r="AE3534" t="s">
        <v>751</v>
      </c>
      <c r="AF3534" t="s">
        <v>752</v>
      </c>
    </row>
    <row r="3535" spans="1:32" hidden="1" x14ac:dyDescent="0.35">
      <c r="A3535">
        <v>403</v>
      </c>
      <c r="B3535" t="s">
        <v>720</v>
      </c>
      <c r="C3535" t="s">
        <v>72</v>
      </c>
      <c r="D3535" t="s">
        <v>58</v>
      </c>
      <c r="E3535">
        <v>1595</v>
      </c>
      <c r="F3535">
        <v>5</v>
      </c>
      <c r="G3535">
        <v>6</v>
      </c>
      <c r="H3535">
        <v>2</v>
      </c>
      <c r="I3535">
        <v>0</v>
      </c>
      <c r="J3535">
        <v>0.90637931034482799</v>
      </c>
      <c r="K3535">
        <v>0.752248573067684</v>
      </c>
      <c r="L3535">
        <v>0.82215251495973296</v>
      </c>
      <c r="M3535">
        <v>8.5324232081911297E-2</v>
      </c>
      <c r="N3535">
        <v>0.99829351535836197</v>
      </c>
      <c r="O3535">
        <v>0.58270762229806605</v>
      </c>
      <c r="P3535" t="s">
        <v>721</v>
      </c>
      <c r="Q3535" t="s">
        <v>722</v>
      </c>
      <c r="R3535" t="s">
        <v>652</v>
      </c>
      <c r="S3535" t="s">
        <v>653</v>
      </c>
      <c r="T3535" t="s">
        <v>723</v>
      </c>
      <c r="U3535" t="s">
        <v>724</v>
      </c>
      <c r="V3535" t="s">
        <v>725</v>
      </c>
      <c r="W3535" t="s">
        <v>726</v>
      </c>
      <c r="Z3535" t="s">
        <v>727</v>
      </c>
      <c r="AA3535" t="s">
        <v>728</v>
      </c>
      <c r="AB3535" t="s">
        <v>727</v>
      </c>
      <c r="AC3535" t="s">
        <v>729</v>
      </c>
      <c r="AD3535" t="s">
        <v>219</v>
      </c>
      <c r="AE3535" t="s">
        <v>730</v>
      </c>
      <c r="AF3535" t="s">
        <v>731</v>
      </c>
    </row>
    <row r="3536" spans="1:32" hidden="1" x14ac:dyDescent="0.35">
      <c r="A3536">
        <v>420</v>
      </c>
      <c r="B3536" t="s">
        <v>754</v>
      </c>
      <c r="C3536" t="s">
        <v>72</v>
      </c>
      <c r="D3536" t="s">
        <v>60</v>
      </c>
      <c r="E3536">
        <v>376</v>
      </c>
      <c r="F3536">
        <v>5</v>
      </c>
      <c r="G3536">
        <v>5</v>
      </c>
      <c r="H3536">
        <v>1</v>
      </c>
      <c r="I3536">
        <v>1</v>
      </c>
      <c r="J3536">
        <v>0.99207920792079196</v>
      </c>
      <c r="K3536">
        <v>1</v>
      </c>
      <c r="L3536">
        <v>0.99602385685884698</v>
      </c>
      <c r="M3536">
        <v>0.98019801980197996</v>
      </c>
      <c r="N3536">
        <v>1</v>
      </c>
      <c r="O3536">
        <v>0.988118811881188</v>
      </c>
      <c r="P3536" t="s">
        <v>755</v>
      </c>
      <c r="Q3536" t="s">
        <v>756</v>
      </c>
      <c r="R3536" t="s">
        <v>224</v>
      </c>
      <c r="S3536" t="s">
        <v>225</v>
      </c>
      <c r="T3536" t="s">
        <v>757</v>
      </c>
      <c r="U3536" t="s">
        <v>758</v>
      </c>
      <c r="V3536" t="s">
        <v>759</v>
      </c>
      <c r="W3536" t="s">
        <v>760</v>
      </c>
      <c r="X3536" t="s">
        <v>759</v>
      </c>
      <c r="Y3536" t="s">
        <v>761</v>
      </c>
      <c r="AD3536" t="s">
        <v>762</v>
      </c>
      <c r="AE3536" t="s">
        <v>763</v>
      </c>
      <c r="AF3536" t="s">
        <v>764</v>
      </c>
    </row>
    <row r="3537" spans="1:32" hidden="1" x14ac:dyDescent="0.35">
      <c r="A3537">
        <v>421</v>
      </c>
      <c r="B3537" t="s">
        <v>754</v>
      </c>
      <c r="C3537" t="s">
        <v>72</v>
      </c>
      <c r="D3537" t="s">
        <v>62</v>
      </c>
      <c r="E3537">
        <v>457</v>
      </c>
      <c r="F3537">
        <v>5</v>
      </c>
      <c r="G3537">
        <v>5</v>
      </c>
      <c r="H3537">
        <v>1</v>
      </c>
      <c r="I3537">
        <v>1</v>
      </c>
      <c r="J3537">
        <v>0.99207920792079196</v>
      </c>
      <c r="K3537">
        <v>1</v>
      </c>
      <c r="L3537">
        <v>0.99602385685884698</v>
      </c>
      <c r="M3537">
        <v>0.98019801980197996</v>
      </c>
      <c r="N3537">
        <v>1</v>
      </c>
      <c r="O3537">
        <v>0.988118811881188</v>
      </c>
      <c r="P3537" t="s">
        <v>755</v>
      </c>
      <c r="Q3537" t="s">
        <v>756</v>
      </c>
      <c r="R3537" t="s">
        <v>224</v>
      </c>
      <c r="S3537" t="s">
        <v>225</v>
      </c>
      <c r="T3537" t="s">
        <v>757</v>
      </c>
      <c r="U3537" t="s">
        <v>758</v>
      </c>
      <c r="V3537" t="s">
        <v>759</v>
      </c>
      <c r="W3537" t="s">
        <v>760</v>
      </c>
      <c r="X3537" t="s">
        <v>759</v>
      </c>
      <c r="Y3537" t="s">
        <v>761</v>
      </c>
      <c r="AD3537" t="s">
        <v>762</v>
      </c>
      <c r="AE3537" t="s">
        <v>763</v>
      </c>
      <c r="AF3537" t="s">
        <v>764</v>
      </c>
    </row>
    <row r="3538" spans="1:32" hidden="1" x14ac:dyDescent="0.35">
      <c r="A3538">
        <v>422</v>
      </c>
      <c r="B3538" t="s">
        <v>754</v>
      </c>
      <c r="C3538" t="s">
        <v>72</v>
      </c>
      <c r="D3538" t="s">
        <v>34</v>
      </c>
      <c r="E3538">
        <v>735</v>
      </c>
      <c r="F3538">
        <v>5</v>
      </c>
      <c r="G3538">
        <v>5</v>
      </c>
      <c r="H3538">
        <v>1</v>
      </c>
      <c r="I3538">
        <v>1</v>
      </c>
      <c r="J3538">
        <v>0.99207920792079196</v>
      </c>
      <c r="K3538">
        <v>1</v>
      </c>
      <c r="L3538">
        <v>0.99602385685884698</v>
      </c>
      <c r="M3538">
        <v>0.98019801980197996</v>
      </c>
      <c r="N3538">
        <v>1</v>
      </c>
      <c r="O3538">
        <v>0.988118811881188</v>
      </c>
      <c r="P3538" t="s">
        <v>755</v>
      </c>
      <c r="Q3538" t="s">
        <v>756</v>
      </c>
      <c r="R3538" t="s">
        <v>224</v>
      </c>
      <c r="S3538" t="s">
        <v>225</v>
      </c>
      <c r="T3538" t="s">
        <v>757</v>
      </c>
      <c r="U3538" t="s">
        <v>758</v>
      </c>
      <c r="V3538" t="s">
        <v>759</v>
      </c>
      <c r="W3538" t="s">
        <v>760</v>
      </c>
      <c r="X3538" t="s">
        <v>759</v>
      </c>
      <c r="Y3538" t="s">
        <v>761</v>
      </c>
      <c r="AD3538" t="s">
        <v>762</v>
      </c>
      <c r="AE3538" t="s">
        <v>763</v>
      </c>
      <c r="AF3538" t="s">
        <v>765</v>
      </c>
    </row>
    <row r="3539" spans="1:32" hidden="1" x14ac:dyDescent="0.35">
      <c r="A3539">
        <v>423</v>
      </c>
      <c r="B3539" t="s">
        <v>754</v>
      </c>
      <c r="C3539" t="s">
        <v>72</v>
      </c>
      <c r="D3539" t="s">
        <v>45</v>
      </c>
      <c r="E3539">
        <v>2001</v>
      </c>
      <c r="F3539">
        <v>5</v>
      </c>
      <c r="G3539">
        <v>5</v>
      </c>
      <c r="H3539">
        <v>1</v>
      </c>
      <c r="I3539">
        <v>1</v>
      </c>
      <c r="J3539">
        <v>0.99207920792079196</v>
      </c>
      <c r="K3539">
        <v>1</v>
      </c>
      <c r="L3539">
        <v>0.99602385685884698</v>
      </c>
      <c r="M3539">
        <v>0.98019801980197996</v>
      </c>
      <c r="N3539">
        <v>1</v>
      </c>
      <c r="O3539">
        <v>0.988118811881188</v>
      </c>
      <c r="P3539" t="s">
        <v>755</v>
      </c>
      <c r="Q3539" t="s">
        <v>756</v>
      </c>
      <c r="R3539" t="s">
        <v>224</v>
      </c>
      <c r="S3539" t="s">
        <v>225</v>
      </c>
      <c r="T3539" t="s">
        <v>757</v>
      </c>
      <c r="U3539" t="s">
        <v>758</v>
      </c>
      <c r="V3539" t="s">
        <v>759</v>
      </c>
      <c r="W3539" t="s">
        <v>760</v>
      </c>
      <c r="X3539" t="s">
        <v>759</v>
      </c>
      <c r="Y3539" t="s">
        <v>761</v>
      </c>
      <c r="AD3539" t="s">
        <v>762</v>
      </c>
      <c r="AE3539" t="s">
        <v>763</v>
      </c>
      <c r="AF3539" t="s">
        <v>765</v>
      </c>
    </row>
    <row r="3540" spans="1:32" hidden="1" x14ac:dyDescent="0.35">
      <c r="A3540">
        <v>1884</v>
      </c>
      <c r="B3540" t="s">
        <v>3900</v>
      </c>
      <c r="C3540" t="s">
        <v>72</v>
      </c>
      <c r="D3540" t="s">
        <v>58</v>
      </c>
      <c r="E3540">
        <v>1328</v>
      </c>
      <c r="F3540">
        <v>5</v>
      </c>
      <c r="G3540">
        <v>5</v>
      </c>
      <c r="H3540">
        <v>1</v>
      </c>
      <c r="I3540">
        <v>1</v>
      </c>
      <c r="J3540">
        <v>0.81324466611249702</v>
      </c>
      <c r="K3540">
        <v>0.90828508771929595</v>
      </c>
      <c r="L3540">
        <v>0.85814143061208004</v>
      </c>
      <c r="M3540">
        <v>0.59750000000000003</v>
      </c>
      <c r="N3540">
        <v>1</v>
      </c>
      <c r="O3540">
        <v>0.73199999999999998</v>
      </c>
      <c r="P3540" t="s">
        <v>3901</v>
      </c>
      <c r="Q3540" t="s">
        <v>3902</v>
      </c>
      <c r="R3540" t="s">
        <v>652</v>
      </c>
      <c r="S3540" t="s">
        <v>653</v>
      </c>
      <c r="T3540" t="s">
        <v>3903</v>
      </c>
      <c r="U3540" t="s">
        <v>3904</v>
      </c>
      <c r="V3540" t="s">
        <v>3905</v>
      </c>
      <c r="W3540" t="s">
        <v>3906</v>
      </c>
      <c r="Z3540" t="s">
        <v>727</v>
      </c>
      <c r="AA3540" t="s">
        <v>728</v>
      </c>
      <c r="AB3540" t="s">
        <v>727</v>
      </c>
      <c r="AC3540" t="s">
        <v>729</v>
      </c>
      <c r="AD3540" t="s">
        <v>219</v>
      </c>
      <c r="AE3540" t="s">
        <v>730</v>
      </c>
      <c r="AF3540" t="s">
        <v>3907</v>
      </c>
    </row>
    <row r="3541" spans="1:32" hidden="1" x14ac:dyDescent="0.35">
      <c r="A3541">
        <v>425</v>
      </c>
      <c r="B3541" t="s">
        <v>766</v>
      </c>
      <c r="C3541" t="s">
        <v>72</v>
      </c>
      <c r="D3541" t="s">
        <v>60</v>
      </c>
      <c r="E3541">
        <v>431</v>
      </c>
      <c r="F3541">
        <v>5</v>
      </c>
      <c r="G3541">
        <v>5</v>
      </c>
      <c r="H3541">
        <v>1</v>
      </c>
      <c r="I3541">
        <v>1</v>
      </c>
      <c r="J3541">
        <v>0.99726027397260297</v>
      </c>
      <c r="K3541">
        <v>1</v>
      </c>
      <c r="L3541">
        <v>0.99862825788751697</v>
      </c>
      <c r="M3541">
        <v>0.98630136986301398</v>
      </c>
      <c r="N3541">
        <v>1</v>
      </c>
      <c r="O3541">
        <v>0.99178082191780803</v>
      </c>
      <c r="P3541" t="s">
        <v>767</v>
      </c>
      <c r="Q3541" t="s">
        <v>768</v>
      </c>
      <c r="R3541" t="s">
        <v>224</v>
      </c>
      <c r="S3541" t="s">
        <v>225</v>
      </c>
      <c r="T3541" t="s">
        <v>769</v>
      </c>
      <c r="U3541" t="s">
        <v>770</v>
      </c>
      <c r="V3541" t="s">
        <v>771</v>
      </c>
      <c r="W3541" t="s">
        <v>772</v>
      </c>
      <c r="X3541" t="s">
        <v>771</v>
      </c>
      <c r="Y3541" t="s">
        <v>773</v>
      </c>
      <c r="AD3541" t="s">
        <v>774</v>
      </c>
      <c r="AE3541" t="s">
        <v>775</v>
      </c>
      <c r="AF3541" t="s">
        <v>777</v>
      </c>
    </row>
    <row r="3542" spans="1:32" hidden="1" x14ac:dyDescent="0.35">
      <c r="A3542">
        <v>426</v>
      </c>
      <c r="B3542" t="s">
        <v>766</v>
      </c>
      <c r="C3542" t="s">
        <v>72</v>
      </c>
      <c r="D3542" t="s">
        <v>62</v>
      </c>
      <c r="E3542">
        <v>512</v>
      </c>
      <c r="F3542">
        <v>5</v>
      </c>
      <c r="G3542">
        <v>5</v>
      </c>
      <c r="H3542">
        <v>1</v>
      </c>
      <c r="I3542">
        <v>1</v>
      </c>
      <c r="J3542">
        <v>0.99726027397260297</v>
      </c>
      <c r="K3542">
        <v>1</v>
      </c>
      <c r="L3542">
        <v>0.99862825788751697</v>
      </c>
      <c r="M3542">
        <v>0.98630136986301398</v>
      </c>
      <c r="N3542">
        <v>1</v>
      </c>
      <c r="O3542">
        <v>0.99178082191780803</v>
      </c>
      <c r="P3542" t="s">
        <v>767</v>
      </c>
      <c r="Q3542" t="s">
        <v>768</v>
      </c>
      <c r="R3542" t="s">
        <v>224</v>
      </c>
      <c r="S3542" t="s">
        <v>225</v>
      </c>
      <c r="T3542" t="s">
        <v>769</v>
      </c>
      <c r="U3542" t="s">
        <v>770</v>
      </c>
      <c r="V3542" t="s">
        <v>771</v>
      </c>
      <c r="W3542" t="s">
        <v>772</v>
      </c>
      <c r="X3542" t="s">
        <v>771</v>
      </c>
      <c r="Y3542" t="s">
        <v>773</v>
      </c>
      <c r="AD3542" t="s">
        <v>774</v>
      </c>
      <c r="AE3542" t="s">
        <v>775</v>
      </c>
      <c r="AF3542" t="s">
        <v>777</v>
      </c>
    </row>
    <row r="3543" spans="1:32" hidden="1" x14ac:dyDescent="0.35">
      <c r="A3543">
        <v>427</v>
      </c>
      <c r="B3543" t="s">
        <v>766</v>
      </c>
      <c r="C3543" t="s">
        <v>72</v>
      </c>
      <c r="D3543" t="s">
        <v>34</v>
      </c>
      <c r="E3543">
        <v>658</v>
      </c>
      <c r="F3543">
        <v>5</v>
      </c>
      <c r="G3543">
        <v>5</v>
      </c>
      <c r="H3543">
        <v>1</v>
      </c>
      <c r="I3543">
        <v>1</v>
      </c>
      <c r="J3543">
        <v>0.99726027397260297</v>
      </c>
      <c r="K3543">
        <v>1</v>
      </c>
      <c r="L3543">
        <v>0.99862825788751697</v>
      </c>
      <c r="M3543">
        <v>0.98630136986301398</v>
      </c>
      <c r="N3543">
        <v>1</v>
      </c>
      <c r="O3543">
        <v>0.99178082191780803</v>
      </c>
      <c r="P3543" t="s">
        <v>767</v>
      </c>
      <c r="Q3543" t="s">
        <v>768</v>
      </c>
      <c r="R3543" t="s">
        <v>224</v>
      </c>
      <c r="S3543" t="s">
        <v>225</v>
      </c>
      <c r="T3543" t="s">
        <v>769</v>
      </c>
      <c r="U3543" t="s">
        <v>770</v>
      </c>
      <c r="V3543" t="s">
        <v>771</v>
      </c>
      <c r="W3543" t="s">
        <v>772</v>
      </c>
      <c r="X3543" t="s">
        <v>771</v>
      </c>
      <c r="Y3543" t="s">
        <v>773</v>
      </c>
      <c r="AD3543" t="s">
        <v>774</v>
      </c>
      <c r="AE3543" t="s">
        <v>775</v>
      </c>
      <c r="AF3543" t="s">
        <v>776</v>
      </c>
    </row>
    <row r="3544" spans="1:32" hidden="1" x14ac:dyDescent="0.35">
      <c r="A3544">
        <v>428</v>
      </c>
      <c r="B3544" t="s">
        <v>766</v>
      </c>
      <c r="C3544" t="s">
        <v>72</v>
      </c>
      <c r="D3544" t="s">
        <v>45</v>
      </c>
      <c r="E3544">
        <v>1924</v>
      </c>
      <c r="F3544">
        <v>5</v>
      </c>
      <c r="G3544">
        <v>5</v>
      </c>
      <c r="H3544">
        <v>1</v>
      </c>
      <c r="I3544">
        <v>1</v>
      </c>
      <c r="J3544">
        <v>0.99726027397260297</v>
      </c>
      <c r="K3544">
        <v>1</v>
      </c>
      <c r="L3544">
        <v>0.99862825788751697</v>
      </c>
      <c r="M3544">
        <v>0.98630136986301398</v>
      </c>
      <c r="N3544">
        <v>1</v>
      </c>
      <c r="O3544">
        <v>0.99178082191780803</v>
      </c>
      <c r="P3544" t="s">
        <v>767</v>
      </c>
      <c r="Q3544" t="s">
        <v>768</v>
      </c>
      <c r="R3544" t="s">
        <v>224</v>
      </c>
      <c r="S3544" t="s">
        <v>225</v>
      </c>
      <c r="T3544" t="s">
        <v>769</v>
      </c>
      <c r="U3544" t="s">
        <v>770</v>
      </c>
      <c r="V3544" t="s">
        <v>771</v>
      </c>
      <c r="W3544" t="s">
        <v>772</v>
      </c>
      <c r="X3544" t="s">
        <v>771</v>
      </c>
      <c r="Y3544" t="s">
        <v>773</v>
      </c>
      <c r="AD3544" t="s">
        <v>774</v>
      </c>
      <c r="AE3544" t="s">
        <v>775</v>
      </c>
      <c r="AF3544" t="s">
        <v>776</v>
      </c>
    </row>
    <row r="3545" spans="1:32" hidden="1" x14ac:dyDescent="0.35">
      <c r="A3545">
        <v>3989</v>
      </c>
      <c r="B3545" t="s">
        <v>8243</v>
      </c>
      <c r="C3545" t="s">
        <v>72</v>
      </c>
      <c r="D3545" t="s">
        <v>58</v>
      </c>
      <c r="E3545">
        <v>1326</v>
      </c>
      <c r="F3545">
        <v>5</v>
      </c>
      <c r="G3545">
        <v>5</v>
      </c>
      <c r="H3545">
        <v>1</v>
      </c>
      <c r="I3545">
        <v>1</v>
      </c>
      <c r="J3545">
        <v>0.90709459459459496</v>
      </c>
      <c r="K3545">
        <v>0.84047619047618904</v>
      </c>
      <c r="L3545">
        <v>0.87251562658222004</v>
      </c>
      <c r="M3545">
        <v>0.62672811059907796</v>
      </c>
      <c r="N3545">
        <v>0.995391705069124</v>
      </c>
      <c r="O3545">
        <v>0.75345622119815703</v>
      </c>
      <c r="P3545" t="s">
        <v>8244</v>
      </c>
      <c r="Q3545" t="s">
        <v>8245</v>
      </c>
      <c r="R3545" t="s">
        <v>652</v>
      </c>
      <c r="S3545" t="s">
        <v>653</v>
      </c>
      <c r="T3545" t="s">
        <v>8246</v>
      </c>
      <c r="U3545" t="s">
        <v>8247</v>
      </c>
      <c r="V3545" t="s">
        <v>8248</v>
      </c>
      <c r="W3545" t="s">
        <v>8249</v>
      </c>
      <c r="Z3545" t="s">
        <v>727</v>
      </c>
      <c r="AA3545" t="s">
        <v>728</v>
      </c>
      <c r="AB3545" t="s">
        <v>727</v>
      </c>
      <c r="AC3545" t="s">
        <v>729</v>
      </c>
      <c r="AD3545" t="s">
        <v>219</v>
      </c>
      <c r="AE3545" t="s">
        <v>730</v>
      </c>
      <c r="AF3545" t="s">
        <v>8250</v>
      </c>
    </row>
    <row r="3546" spans="1:32" hidden="1" x14ac:dyDescent="0.35">
      <c r="A3546">
        <v>475</v>
      </c>
      <c r="B3546" t="s">
        <v>897</v>
      </c>
      <c r="C3546" t="s">
        <v>72</v>
      </c>
      <c r="D3546" t="s">
        <v>60</v>
      </c>
      <c r="E3546">
        <v>1606</v>
      </c>
      <c r="F3546">
        <v>5</v>
      </c>
      <c r="G3546">
        <v>5</v>
      </c>
      <c r="H3546">
        <v>1</v>
      </c>
      <c r="I3546">
        <v>1</v>
      </c>
      <c r="J3546">
        <v>0.88109940670783404</v>
      </c>
      <c r="K3546">
        <v>0.99746376811594195</v>
      </c>
      <c r="L3546">
        <v>0.93567759240459003</v>
      </c>
      <c r="M3546">
        <v>0.76449275362318803</v>
      </c>
      <c r="N3546">
        <v>1</v>
      </c>
      <c r="O3546">
        <v>0.83188405797101495</v>
      </c>
      <c r="P3546" t="s">
        <v>898</v>
      </c>
      <c r="Q3546" t="s">
        <v>899</v>
      </c>
      <c r="R3546" t="s">
        <v>224</v>
      </c>
      <c r="S3546" t="s">
        <v>225</v>
      </c>
      <c r="T3546" t="s">
        <v>900</v>
      </c>
      <c r="U3546" t="s">
        <v>901</v>
      </c>
      <c r="V3546" t="s">
        <v>902</v>
      </c>
      <c r="W3546" t="s">
        <v>903</v>
      </c>
      <c r="X3546" t="s">
        <v>902</v>
      </c>
      <c r="Y3546" t="s">
        <v>773</v>
      </c>
      <c r="AD3546" t="s">
        <v>904</v>
      </c>
      <c r="AE3546" t="s">
        <v>905</v>
      </c>
      <c r="AF3546" t="s">
        <v>907</v>
      </c>
    </row>
    <row r="3547" spans="1:32" hidden="1" x14ac:dyDescent="0.35">
      <c r="A3547">
        <v>476</v>
      </c>
      <c r="B3547" t="s">
        <v>897</v>
      </c>
      <c r="C3547" t="s">
        <v>72</v>
      </c>
      <c r="D3547" t="s">
        <v>62</v>
      </c>
      <c r="E3547">
        <v>1642</v>
      </c>
      <c r="F3547">
        <v>5</v>
      </c>
      <c r="G3547">
        <v>5</v>
      </c>
      <c r="H3547">
        <v>1</v>
      </c>
      <c r="I3547">
        <v>1</v>
      </c>
      <c r="J3547">
        <v>0.88109940670783404</v>
      </c>
      <c r="K3547">
        <v>0.99746376811594195</v>
      </c>
      <c r="L3547">
        <v>0.93567759240459003</v>
      </c>
      <c r="M3547">
        <v>0.76449275362318803</v>
      </c>
      <c r="N3547">
        <v>1</v>
      </c>
      <c r="O3547">
        <v>0.83188405797101495</v>
      </c>
      <c r="P3547" t="s">
        <v>898</v>
      </c>
      <c r="Q3547" t="s">
        <v>899</v>
      </c>
      <c r="R3547" t="s">
        <v>224</v>
      </c>
      <c r="S3547" t="s">
        <v>225</v>
      </c>
      <c r="T3547" t="s">
        <v>900</v>
      </c>
      <c r="U3547" t="s">
        <v>901</v>
      </c>
      <c r="V3547" t="s">
        <v>902</v>
      </c>
      <c r="W3547" t="s">
        <v>903</v>
      </c>
      <c r="X3547" t="s">
        <v>902</v>
      </c>
      <c r="Y3547" t="s">
        <v>773</v>
      </c>
      <c r="AD3547" t="s">
        <v>904</v>
      </c>
      <c r="AE3547" t="s">
        <v>905</v>
      </c>
      <c r="AF3547" t="s">
        <v>907</v>
      </c>
    </row>
    <row r="3548" spans="1:32" hidden="1" x14ac:dyDescent="0.35">
      <c r="A3548">
        <v>477</v>
      </c>
      <c r="B3548" t="s">
        <v>897</v>
      </c>
      <c r="C3548" t="s">
        <v>72</v>
      </c>
      <c r="D3548" t="s">
        <v>34</v>
      </c>
      <c r="E3548">
        <v>1999</v>
      </c>
      <c r="F3548">
        <v>5</v>
      </c>
      <c r="G3548">
        <v>5</v>
      </c>
      <c r="H3548">
        <v>1</v>
      </c>
      <c r="I3548">
        <v>1</v>
      </c>
      <c r="J3548">
        <v>0.88109940670783404</v>
      </c>
      <c r="K3548">
        <v>0.99746376811594195</v>
      </c>
      <c r="L3548">
        <v>0.93567759240459003</v>
      </c>
      <c r="M3548">
        <v>0.76449275362318803</v>
      </c>
      <c r="N3548">
        <v>1</v>
      </c>
      <c r="O3548">
        <v>0.83188405797101495</v>
      </c>
      <c r="P3548" t="s">
        <v>898</v>
      </c>
      <c r="Q3548" t="s">
        <v>899</v>
      </c>
      <c r="R3548" t="s">
        <v>224</v>
      </c>
      <c r="S3548" t="s">
        <v>225</v>
      </c>
      <c r="T3548" t="s">
        <v>900</v>
      </c>
      <c r="U3548" t="s">
        <v>901</v>
      </c>
      <c r="V3548" t="s">
        <v>902</v>
      </c>
      <c r="W3548" t="s">
        <v>903</v>
      </c>
      <c r="X3548" t="s">
        <v>902</v>
      </c>
      <c r="Y3548" t="s">
        <v>773</v>
      </c>
      <c r="AD3548" t="s">
        <v>904</v>
      </c>
      <c r="AE3548" t="s">
        <v>905</v>
      </c>
      <c r="AF3548" t="s">
        <v>908</v>
      </c>
    </row>
    <row r="3549" spans="1:32" hidden="1" x14ac:dyDescent="0.35">
      <c r="A3549">
        <v>478</v>
      </c>
      <c r="B3549" t="s">
        <v>897</v>
      </c>
      <c r="C3549" t="s">
        <v>72</v>
      </c>
      <c r="D3549" t="s">
        <v>45</v>
      </c>
      <c r="E3549">
        <v>874</v>
      </c>
      <c r="F3549">
        <v>5</v>
      </c>
      <c r="G3549">
        <v>5</v>
      </c>
      <c r="H3549">
        <v>1</v>
      </c>
      <c r="I3549">
        <v>1</v>
      </c>
      <c r="J3549">
        <v>0.88109940670783404</v>
      </c>
      <c r="K3549">
        <v>0.99746376811594195</v>
      </c>
      <c r="L3549">
        <v>0.93567759240459003</v>
      </c>
      <c r="M3549">
        <v>0.76449275362318803</v>
      </c>
      <c r="N3549">
        <v>1</v>
      </c>
      <c r="O3549">
        <v>0.83188405797101495</v>
      </c>
      <c r="P3549" t="s">
        <v>898</v>
      </c>
      <c r="Q3549" t="s">
        <v>899</v>
      </c>
      <c r="R3549" t="s">
        <v>224</v>
      </c>
      <c r="S3549" t="s">
        <v>225</v>
      </c>
      <c r="T3549" t="s">
        <v>900</v>
      </c>
      <c r="U3549" t="s">
        <v>901</v>
      </c>
      <c r="V3549" t="s">
        <v>902</v>
      </c>
      <c r="W3549" t="s">
        <v>903</v>
      </c>
      <c r="X3549" t="s">
        <v>902</v>
      </c>
      <c r="Y3549" t="s">
        <v>773</v>
      </c>
      <c r="AD3549" t="s">
        <v>904</v>
      </c>
      <c r="AE3549" t="s">
        <v>905</v>
      </c>
      <c r="AF3549" t="s">
        <v>909</v>
      </c>
    </row>
    <row r="3550" spans="1:32" hidden="1" x14ac:dyDescent="0.35">
      <c r="A3550">
        <v>11377</v>
      </c>
      <c r="B3550" t="s">
        <v>23173</v>
      </c>
      <c r="C3550" t="s">
        <v>33</v>
      </c>
      <c r="D3550" t="s">
        <v>58</v>
      </c>
      <c r="E3550">
        <v>848</v>
      </c>
      <c r="F3550">
        <v>1</v>
      </c>
      <c r="G3550">
        <v>1</v>
      </c>
      <c r="H3550">
        <v>1</v>
      </c>
      <c r="I3550">
        <v>0</v>
      </c>
      <c r="J3550">
        <v>1</v>
      </c>
      <c r="K3550">
        <v>1</v>
      </c>
      <c r="L3550">
        <v>1</v>
      </c>
      <c r="M3550">
        <v>0</v>
      </c>
      <c r="N3550">
        <v>0</v>
      </c>
      <c r="O3550">
        <v>0</v>
      </c>
      <c r="P3550" t="s">
        <v>1026</v>
      </c>
      <c r="Q3550" t="s">
        <v>1027</v>
      </c>
      <c r="R3550" t="s">
        <v>869</v>
      </c>
      <c r="S3550" t="s">
        <v>870</v>
      </c>
      <c r="V3550" t="s">
        <v>12102</v>
      </c>
      <c r="W3550" t="s">
        <v>12103</v>
      </c>
      <c r="AF3550" t="s">
        <v>23174</v>
      </c>
    </row>
    <row r="3551" spans="1:32" hidden="1" x14ac:dyDescent="0.35">
      <c r="A3551">
        <v>490</v>
      </c>
      <c r="B3551" t="s">
        <v>934</v>
      </c>
      <c r="C3551" t="s">
        <v>72</v>
      </c>
      <c r="D3551" t="s">
        <v>60</v>
      </c>
      <c r="E3551">
        <v>1710</v>
      </c>
      <c r="F3551">
        <v>5</v>
      </c>
      <c r="G3551">
        <v>5</v>
      </c>
      <c r="H3551">
        <v>1</v>
      </c>
      <c r="I3551">
        <v>1</v>
      </c>
      <c r="J3551">
        <v>0.82794808064070702</v>
      </c>
      <c r="K3551">
        <v>0.93175313059033904</v>
      </c>
      <c r="L3551">
        <v>0.87678886754139096</v>
      </c>
      <c r="M3551">
        <v>0.62307692307692297</v>
      </c>
      <c r="N3551">
        <v>1</v>
      </c>
      <c r="O3551">
        <v>0.72846153846153805</v>
      </c>
      <c r="P3551" t="s">
        <v>935</v>
      </c>
      <c r="Q3551" t="s">
        <v>936</v>
      </c>
      <c r="R3551" t="s">
        <v>224</v>
      </c>
      <c r="S3551" t="s">
        <v>225</v>
      </c>
      <c r="T3551" t="s">
        <v>937</v>
      </c>
      <c r="U3551" t="s">
        <v>938</v>
      </c>
      <c r="V3551" t="s">
        <v>939</v>
      </c>
      <c r="W3551" t="s">
        <v>940</v>
      </c>
      <c r="AD3551" t="s">
        <v>941</v>
      </c>
      <c r="AE3551" t="s">
        <v>942</v>
      </c>
      <c r="AF3551" t="e">
        <f>-----------MTRVDAWIWAVRLVKTRPQAAEACKAGHVKVNGVSVKPSHAVSPGDRVRVWVDHRQFDVEVVDDIRRRVGASVARDCYVDHSPPPPPKELIASMPKRDRGAGRPTKRERREIDRLRGRG</f>
        <v>#NAME?</v>
      </c>
    </row>
    <row r="3552" spans="1:32" hidden="1" x14ac:dyDescent="0.35">
      <c r="A3552">
        <v>491</v>
      </c>
      <c r="B3552" t="s">
        <v>934</v>
      </c>
      <c r="C3552" t="s">
        <v>72</v>
      </c>
      <c r="D3552" t="s">
        <v>62</v>
      </c>
      <c r="E3552">
        <v>1745</v>
      </c>
      <c r="F3552">
        <v>5</v>
      </c>
      <c r="G3552">
        <v>5</v>
      </c>
      <c r="H3552">
        <v>1</v>
      </c>
      <c r="I3552">
        <v>1</v>
      </c>
      <c r="J3552">
        <v>0.82794808064070702</v>
      </c>
      <c r="K3552">
        <v>0.93175313059033904</v>
      </c>
      <c r="L3552">
        <v>0.87678886754139096</v>
      </c>
      <c r="M3552">
        <v>0.62307692307692297</v>
      </c>
      <c r="N3552">
        <v>1</v>
      </c>
      <c r="O3552">
        <v>0.72846153846153805</v>
      </c>
      <c r="P3552" t="s">
        <v>935</v>
      </c>
      <c r="Q3552" t="s">
        <v>936</v>
      </c>
      <c r="R3552" t="s">
        <v>224</v>
      </c>
      <c r="S3552" t="s">
        <v>225</v>
      </c>
      <c r="T3552" t="s">
        <v>937</v>
      </c>
      <c r="U3552" t="s">
        <v>938</v>
      </c>
      <c r="V3552" t="s">
        <v>939</v>
      </c>
      <c r="W3552" t="s">
        <v>940</v>
      </c>
      <c r="AD3552" t="s">
        <v>941</v>
      </c>
      <c r="AE3552" t="s">
        <v>942</v>
      </c>
      <c r="AF3552" t="e">
        <f>-----------MTRVDAWIWAVRLVKTRPQAAEACKAGHVKVNGVSVKPSHAVAPGDRVRVWVDHRQFDVEVVDDIRRRVGASVARDCYVDHSPPPPPKELIASMPRRDRGAGRPTKRERREIDRLRGRG</f>
        <v>#NAME?</v>
      </c>
    </row>
    <row r="3553" spans="1:32" hidden="1" x14ac:dyDescent="0.35">
      <c r="A3553">
        <v>492</v>
      </c>
      <c r="B3553" t="s">
        <v>934</v>
      </c>
      <c r="C3553" t="s">
        <v>72</v>
      </c>
      <c r="D3553" t="s">
        <v>34</v>
      </c>
      <c r="E3553">
        <v>2085</v>
      </c>
      <c r="F3553">
        <v>5</v>
      </c>
      <c r="G3553">
        <v>5</v>
      </c>
      <c r="H3553">
        <v>1</v>
      </c>
      <c r="I3553">
        <v>1</v>
      </c>
      <c r="J3553">
        <v>0.82794808064070702</v>
      </c>
      <c r="K3553">
        <v>0.93175313059033904</v>
      </c>
      <c r="L3553">
        <v>0.87678886754139096</v>
      </c>
      <c r="M3553">
        <v>0.62307692307692297</v>
      </c>
      <c r="N3553">
        <v>1</v>
      </c>
      <c r="O3553">
        <v>0.72846153846153805</v>
      </c>
      <c r="P3553" t="s">
        <v>935</v>
      </c>
      <c r="Q3553" t="s">
        <v>936</v>
      </c>
      <c r="R3553" t="s">
        <v>224</v>
      </c>
      <c r="S3553" t="s">
        <v>225</v>
      </c>
      <c r="T3553" t="s">
        <v>937</v>
      </c>
      <c r="U3553" t="s">
        <v>938</v>
      </c>
      <c r="V3553" t="s">
        <v>939</v>
      </c>
      <c r="W3553" t="s">
        <v>940</v>
      </c>
      <c r="AD3553" t="s">
        <v>941</v>
      </c>
      <c r="AE3553" t="s">
        <v>942</v>
      </c>
      <c r="AF3553" t="s">
        <v>943</v>
      </c>
    </row>
    <row r="3554" spans="1:32" hidden="1" x14ac:dyDescent="0.35">
      <c r="A3554">
        <v>493</v>
      </c>
      <c r="B3554" t="s">
        <v>934</v>
      </c>
      <c r="C3554" t="s">
        <v>72</v>
      </c>
      <c r="D3554" t="s">
        <v>45</v>
      </c>
      <c r="E3554">
        <v>787</v>
      </c>
      <c r="F3554">
        <v>5</v>
      </c>
      <c r="G3554">
        <v>5</v>
      </c>
      <c r="H3554">
        <v>1</v>
      </c>
      <c r="I3554">
        <v>1</v>
      </c>
      <c r="J3554">
        <v>0.82794808064070702</v>
      </c>
      <c r="K3554">
        <v>0.93175313059033904</v>
      </c>
      <c r="L3554">
        <v>0.87678886754139096</v>
      </c>
      <c r="M3554">
        <v>0.62307692307692297</v>
      </c>
      <c r="N3554">
        <v>1</v>
      </c>
      <c r="O3554">
        <v>0.72846153846153805</v>
      </c>
      <c r="P3554" t="s">
        <v>935</v>
      </c>
      <c r="Q3554" t="s">
        <v>936</v>
      </c>
      <c r="R3554" t="s">
        <v>224</v>
      </c>
      <c r="S3554" t="s">
        <v>225</v>
      </c>
      <c r="T3554" t="s">
        <v>937</v>
      </c>
      <c r="U3554" t="s">
        <v>938</v>
      </c>
      <c r="V3554" t="s">
        <v>939</v>
      </c>
      <c r="W3554" t="s">
        <v>940</v>
      </c>
      <c r="AD3554" t="s">
        <v>941</v>
      </c>
      <c r="AE3554" t="s">
        <v>942</v>
      </c>
      <c r="AF3554" t="s">
        <v>943</v>
      </c>
    </row>
    <row r="3555" spans="1:32" hidden="1" x14ac:dyDescent="0.35">
      <c r="A3555">
        <v>11923</v>
      </c>
      <c r="B3555" t="s">
        <v>24581</v>
      </c>
      <c r="C3555" t="s">
        <v>10130</v>
      </c>
      <c r="D3555" t="s">
        <v>58</v>
      </c>
      <c r="E3555">
        <v>650</v>
      </c>
      <c r="F3555">
        <v>1</v>
      </c>
      <c r="G3555">
        <v>1</v>
      </c>
      <c r="H3555">
        <v>1</v>
      </c>
      <c r="I3555">
        <v>0</v>
      </c>
      <c r="J3555">
        <v>1</v>
      </c>
      <c r="K3555">
        <v>1</v>
      </c>
      <c r="L3555">
        <v>1</v>
      </c>
      <c r="M3555">
        <v>0</v>
      </c>
      <c r="N3555">
        <v>0</v>
      </c>
      <c r="O3555">
        <v>0</v>
      </c>
      <c r="P3555" t="s">
        <v>24582</v>
      </c>
      <c r="Q3555" t="s">
        <v>24583</v>
      </c>
      <c r="R3555" t="s">
        <v>342</v>
      </c>
      <c r="S3555" t="s">
        <v>343</v>
      </c>
      <c r="T3555" t="s">
        <v>24584</v>
      </c>
      <c r="U3555" t="s">
        <v>24585</v>
      </c>
      <c r="V3555" t="s">
        <v>24586</v>
      </c>
      <c r="W3555" t="s">
        <v>24587</v>
      </c>
      <c r="AD3555" t="s">
        <v>166</v>
      </c>
      <c r="AE3555" t="s">
        <v>818</v>
      </c>
      <c r="AF3555" t="s">
        <v>24588</v>
      </c>
    </row>
    <row r="3556" spans="1:32" hidden="1" x14ac:dyDescent="0.35">
      <c r="A3556">
        <v>510</v>
      </c>
      <c r="B3556" t="s">
        <v>980</v>
      </c>
      <c r="C3556" t="s">
        <v>72</v>
      </c>
      <c r="D3556" t="s">
        <v>60</v>
      </c>
      <c r="E3556">
        <v>767</v>
      </c>
      <c r="F3556">
        <v>5</v>
      </c>
      <c r="G3556">
        <v>5</v>
      </c>
      <c r="H3556">
        <v>1</v>
      </c>
      <c r="I3556">
        <v>1</v>
      </c>
      <c r="J3556">
        <v>0.94696969696969702</v>
      </c>
      <c r="K3556">
        <v>1</v>
      </c>
      <c r="L3556">
        <v>0.97276264591439698</v>
      </c>
      <c r="M3556">
        <v>0.89772727272727304</v>
      </c>
      <c r="N3556">
        <v>1</v>
      </c>
      <c r="O3556">
        <v>0.92727272727272703</v>
      </c>
      <c r="P3556" t="s">
        <v>981</v>
      </c>
      <c r="Q3556" t="s">
        <v>982</v>
      </c>
      <c r="R3556" t="s">
        <v>224</v>
      </c>
      <c r="S3556" t="s">
        <v>225</v>
      </c>
      <c r="T3556" t="s">
        <v>983</v>
      </c>
      <c r="U3556" t="s">
        <v>984</v>
      </c>
      <c r="V3556" t="s">
        <v>985</v>
      </c>
      <c r="W3556" t="s">
        <v>986</v>
      </c>
      <c r="X3556" t="s">
        <v>985</v>
      </c>
      <c r="Y3556" t="s">
        <v>749</v>
      </c>
      <c r="AD3556" t="s">
        <v>750</v>
      </c>
      <c r="AE3556" t="s">
        <v>751</v>
      </c>
      <c r="AF3556" t="s">
        <v>988</v>
      </c>
    </row>
    <row r="3557" spans="1:32" hidden="1" x14ac:dyDescent="0.35">
      <c r="A3557">
        <v>511</v>
      </c>
      <c r="B3557" t="s">
        <v>980</v>
      </c>
      <c r="C3557" t="s">
        <v>72</v>
      </c>
      <c r="D3557" t="s">
        <v>62</v>
      </c>
      <c r="E3557">
        <v>800</v>
      </c>
      <c r="F3557">
        <v>5</v>
      </c>
      <c r="G3557">
        <v>5</v>
      </c>
      <c r="H3557">
        <v>1</v>
      </c>
      <c r="I3557">
        <v>1</v>
      </c>
      <c r="J3557">
        <v>0.94696969696969702</v>
      </c>
      <c r="K3557">
        <v>1</v>
      </c>
      <c r="L3557">
        <v>0.97276264591439698</v>
      </c>
      <c r="M3557">
        <v>0.89772727272727304</v>
      </c>
      <c r="N3557">
        <v>1</v>
      </c>
      <c r="O3557">
        <v>0.92727272727272703</v>
      </c>
      <c r="P3557" t="s">
        <v>981</v>
      </c>
      <c r="Q3557" t="s">
        <v>982</v>
      </c>
      <c r="R3557" t="s">
        <v>224</v>
      </c>
      <c r="S3557" t="s">
        <v>225</v>
      </c>
      <c r="T3557" t="s">
        <v>983</v>
      </c>
      <c r="U3557" t="s">
        <v>984</v>
      </c>
      <c r="V3557" t="s">
        <v>985</v>
      </c>
      <c r="W3557" t="s">
        <v>986</v>
      </c>
      <c r="X3557" t="s">
        <v>985</v>
      </c>
      <c r="Y3557" t="s">
        <v>749</v>
      </c>
      <c r="AD3557" t="s">
        <v>750</v>
      </c>
      <c r="AE3557" t="s">
        <v>751</v>
      </c>
      <c r="AF3557" t="s">
        <v>988</v>
      </c>
    </row>
    <row r="3558" spans="1:32" hidden="1" x14ac:dyDescent="0.35">
      <c r="A3558">
        <v>512</v>
      </c>
      <c r="B3558" t="s">
        <v>980</v>
      </c>
      <c r="C3558" t="s">
        <v>72</v>
      </c>
      <c r="D3558" t="s">
        <v>34</v>
      </c>
      <c r="E3558">
        <v>366</v>
      </c>
      <c r="F3558">
        <v>5</v>
      </c>
      <c r="G3558">
        <v>5</v>
      </c>
      <c r="H3558">
        <v>1</v>
      </c>
      <c r="I3558">
        <v>1</v>
      </c>
      <c r="J3558">
        <v>0.94696969696969702</v>
      </c>
      <c r="K3558">
        <v>1</v>
      </c>
      <c r="L3558">
        <v>0.97276264591439698</v>
      </c>
      <c r="M3558">
        <v>0.89772727272727304</v>
      </c>
      <c r="N3558">
        <v>1</v>
      </c>
      <c r="O3558">
        <v>0.92727272727272703</v>
      </c>
      <c r="P3558" t="s">
        <v>981</v>
      </c>
      <c r="Q3558" t="s">
        <v>982</v>
      </c>
      <c r="R3558" t="s">
        <v>224</v>
      </c>
      <c r="S3558" t="s">
        <v>225</v>
      </c>
      <c r="T3558" t="s">
        <v>983</v>
      </c>
      <c r="U3558" t="s">
        <v>984</v>
      </c>
      <c r="V3558" t="s">
        <v>985</v>
      </c>
      <c r="W3558" t="s">
        <v>986</v>
      </c>
      <c r="X3558" t="s">
        <v>985</v>
      </c>
      <c r="Y3558" t="s">
        <v>749</v>
      </c>
      <c r="AD3558" t="s">
        <v>750</v>
      </c>
      <c r="AE3558" t="s">
        <v>751</v>
      </c>
      <c r="AF3558" t="s">
        <v>989</v>
      </c>
    </row>
    <row r="3559" spans="1:32" hidden="1" x14ac:dyDescent="0.35">
      <c r="A3559">
        <v>513</v>
      </c>
      <c r="B3559" t="s">
        <v>980</v>
      </c>
      <c r="C3559" t="s">
        <v>72</v>
      </c>
      <c r="D3559" t="s">
        <v>45</v>
      </c>
      <c r="E3559">
        <v>1628</v>
      </c>
      <c r="F3559">
        <v>5</v>
      </c>
      <c r="G3559">
        <v>5</v>
      </c>
      <c r="H3559">
        <v>1</v>
      </c>
      <c r="I3559">
        <v>1</v>
      </c>
      <c r="J3559">
        <v>0.94696969696969702</v>
      </c>
      <c r="K3559">
        <v>1</v>
      </c>
      <c r="L3559">
        <v>0.97276264591439698</v>
      </c>
      <c r="M3559">
        <v>0.89772727272727304</v>
      </c>
      <c r="N3559">
        <v>1</v>
      </c>
      <c r="O3559">
        <v>0.92727272727272703</v>
      </c>
      <c r="P3559" t="s">
        <v>981</v>
      </c>
      <c r="Q3559" t="s">
        <v>982</v>
      </c>
      <c r="R3559" t="s">
        <v>224</v>
      </c>
      <c r="S3559" t="s">
        <v>225</v>
      </c>
      <c r="T3559" t="s">
        <v>983</v>
      </c>
      <c r="U3559" t="s">
        <v>984</v>
      </c>
      <c r="V3559" t="s">
        <v>985</v>
      </c>
      <c r="W3559" t="s">
        <v>986</v>
      </c>
      <c r="X3559" t="s">
        <v>985</v>
      </c>
      <c r="Y3559" t="s">
        <v>749</v>
      </c>
      <c r="AD3559" t="s">
        <v>750</v>
      </c>
      <c r="AE3559" t="s">
        <v>751</v>
      </c>
      <c r="AF3559" t="s">
        <v>989</v>
      </c>
    </row>
    <row r="3560" spans="1:32" hidden="1" x14ac:dyDescent="0.35">
      <c r="A3560">
        <v>2624</v>
      </c>
      <c r="B3560" t="s">
        <v>5424</v>
      </c>
      <c r="C3560" t="s">
        <v>72</v>
      </c>
      <c r="D3560" t="s">
        <v>58</v>
      </c>
      <c r="E3560">
        <v>614</v>
      </c>
      <c r="F3560">
        <v>5</v>
      </c>
      <c r="G3560">
        <v>5</v>
      </c>
      <c r="H3560">
        <v>1</v>
      </c>
      <c r="I3560">
        <v>1</v>
      </c>
      <c r="J3560">
        <v>0.84979464111089398</v>
      </c>
      <c r="K3560">
        <v>0.98902883361072802</v>
      </c>
      <c r="L3560">
        <v>0.91414038841742895</v>
      </c>
      <c r="M3560">
        <v>0.71760154738878101</v>
      </c>
      <c r="N3560">
        <v>1</v>
      </c>
      <c r="O3560">
        <v>0.79458413926499005</v>
      </c>
      <c r="P3560" t="s">
        <v>5425</v>
      </c>
      <c r="Q3560" t="s">
        <v>5426</v>
      </c>
      <c r="R3560" t="s">
        <v>235</v>
      </c>
      <c r="S3560" t="s">
        <v>236</v>
      </c>
      <c r="T3560" t="s">
        <v>5427</v>
      </c>
      <c r="U3560" t="s">
        <v>5428</v>
      </c>
      <c r="V3560" t="s">
        <v>5429</v>
      </c>
      <c r="W3560" t="s">
        <v>5430</v>
      </c>
      <c r="Z3560" t="s">
        <v>5431</v>
      </c>
      <c r="AA3560" t="s">
        <v>5432</v>
      </c>
      <c r="AB3560" t="s">
        <v>5431</v>
      </c>
      <c r="AC3560" t="s">
        <v>860</v>
      </c>
      <c r="AD3560" t="s">
        <v>219</v>
      </c>
      <c r="AE3560" t="s">
        <v>5433</v>
      </c>
      <c r="AF3560" t="s">
        <v>5434</v>
      </c>
    </row>
    <row r="3561" spans="1:32" hidden="1" x14ac:dyDescent="0.35">
      <c r="A3561">
        <v>515</v>
      </c>
      <c r="B3561" t="s">
        <v>990</v>
      </c>
      <c r="C3561" t="s">
        <v>72</v>
      </c>
      <c r="D3561" t="s">
        <v>60</v>
      </c>
      <c r="E3561">
        <v>1401</v>
      </c>
      <c r="F3561">
        <v>5</v>
      </c>
      <c r="G3561">
        <v>5</v>
      </c>
      <c r="H3561">
        <v>1</v>
      </c>
      <c r="I3561">
        <v>1</v>
      </c>
      <c r="J3561">
        <v>0.84506249296250402</v>
      </c>
      <c r="K3561">
        <v>0.97322687880708603</v>
      </c>
      <c r="L3561">
        <v>0.90462777288570195</v>
      </c>
      <c r="M3561">
        <v>0.71960569550930997</v>
      </c>
      <c r="N3561">
        <v>1</v>
      </c>
      <c r="O3561">
        <v>0.79518072289156605</v>
      </c>
      <c r="P3561" t="s">
        <v>991</v>
      </c>
      <c r="Q3561" t="s">
        <v>992</v>
      </c>
      <c r="R3561" t="s">
        <v>224</v>
      </c>
      <c r="S3561" t="s">
        <v>225</v>
      </c>
      <c r="T3561" t="s">
        <v>993</v>
      </c>
      <c r="U3561" t="s">
        <v>994</v>
      </c>
      <c r="V3561" t="s">
        <v>995</v>
      </c>
      <c r="W3561" t="s">
        <v>996</v>
      </c>
      <c r="X3561" t="s">
        <v>995</v>
      </c>
      <c r="Y3561" t="s">
        <v>589</v>
      </c>
      <c r="AD3561" t="s">
        <v>997</v>
      </c>
      <c r="AE3561" t="s">
        <v>998</v>
      </c>
      <c r="AF3561" t="s">
        <v>1000</v>
      </c>
    </row>
    <row r="3562" spans="1:32" hidden="1" x14ac:dyDescent="0.35">
      <c r="A3562">
        <v>516</v>
      </c>
      <c r="B3562" t="s">
        <v>990</v>
      </c>
      <c r="C3562" t="s">
        <v>72</v>
      </c>
      <c r="D3562" t="s">
        <v>62</v>
      </c>
      <c r="E3562">
        <v>1436</v>
      </c>
      <c r="F3562">
        <v>5</v>
      </c>
      <c r="G3562">
        <v>5</v>
      </c>
      <c r="H3562">
        <v>1</v>
      </c>
      <c r="I3562">
        <v>1</v>
      </c>
      <c r="J3562">
        <v>0.84506249296250402</v>
      </c>
      <c r="K3562">
        <v>0.97322687880708603</v>
      </c>
      <c r="L3562">
        <v>0.90462777288570195</v>
      </c>
      <c r="M3562">
        <v>0.71960569550930997</v>
      </c>
      <c r="N3562">
        <v>1</v>
      </c>
      <c r="O3562">
        <v>0.79518072289156605</v>
      </c>
      <c r="P3562" t="s">
        <v>991</v>
      </c>
      <c r="Q3562" t="s">
        <v>992</v>
      </c>
      <c r="R3562" t="s">
        <v>224</v>
      </c>
      <c r="S3562" t="s">
        <v>225</v>
      </c>
      <c r="T3562" t="s">
        <v>993</v>
      </c>
      <c r="U3562" t="s">
        <v>994</v>
      </c>
      <c r="V3562" t="s">
        <v>995</v>
      </c>
      <c r="W3562" t="s">
        <v>996</v>
      </c>
      <c r="X3562" t="s">
        <v>995</v>
      </c>
      <c r="Y3562" t="s">
        <v>589</v>
      </c>
      <c r="AD3562" t="s">
        <v>997</v>
      </c>
      <c r="AE3562" t="s">
        <v>998</v>
      </c>
      <c r="AF3562" t="s">
        <v>1000</v>
      </c>
    </row>
    <row r="3563" spans="1:32" hidden="1" x14ac:dyDescent="0.35">
      <c r="A3563">
        <v>517</v>
      </c>
      <c r="B3563" t="s">
        <v>990</v>
      </c>
      <c r="C3563" t="s">
        <v>72</v>
      </c>
      <c r="D3563" t="s">
        <v>34</v>
      </c>
      <c r="E3563">
        <v>1824</v>
      </c>
      <c r="F3563">
        <v>5</v>
      </c>
      <c r="G3563">
        <v>5</v>
      </c>
      <c r="H3563">
        <v>1</v>
      </c>
      <c r="I3563">
        <v>1</v>
      </c>
      <c r="J3563">
        <v>0.84506249296250402</v>
      </c>
      <c r="K3563">
        <v>0.97322687880708603</v>
      </c>
      <c r="L3563">
        <v>0.90462777288570195</v>
      </c>
      <c r="M3563">
        <v>0.71960569550930997</v>
      </c>
      <c r="N3563">
        <v>1</v>
      </c>
      <c r="O3563">
        <v>0.79518072289156605</v>
      </c>
      <c r="P3563" t="s">
        <v>991</v>
      </c>
      <c r="Q3563" t="s">
        <v>992</v>
      </c>
      <c r="R3563" t="s">
        <v>224</v>
      </c>
      <c r="S3563" t="s">
        <v>225</v>
      </c>
      <c r="T3563" t="s">
        <v>993</v>
      </c>
      <c r="U3563" t="s">
        <v>994</v>
      </c>
      <c r="V3563" t="s">
        <v>995</v>
      </c>
      <c r="W3563" t="s">
        <v>996</v>
      </c>
      <c r="X3563" t="s">
        <v>995</v>
      </c>
      <c r="Y3563" t="s">
        <v>589</v>
      </c>
      <c r="AD3563" t="s">
        <v>997</v>
      </c>
      <c r="AE3563" t="s">
        <v>998</v>
      </c>
      <c r="AF3563" t="s">
        <v>1001</v>
      </c>
    </row>
    <row r="3564" spans="1:32" hidden="1" x14ac:dyDescent="0.35">
      <c r="A3564">
        <v>518</v>
      </c>
      <c r="B3564" t="s">
        <v>990</v>
      </c>
      <c r="C3564" t="s">
        <v>72</v>
      </c>
      <c r="D3564" t="s">
        <v>45</v>
      </c>
      <c r="E3564">
        <v>1049</v>
      </c>
      <c r="F3564">
        <v>5</v>
      </c>
      <c r="G3564">
        <v>5</v>
      </c>
      <c r="H3564">
        <v>1</v>
      </c>
      <c r="I3564">
        <v>1</v>
      </c>
      <c r="J3564">
        <v>0.84506249296250402</v>
      </c>
      <c r="K3564">
        <v>0.97322687880708603</v>
      </c>
      <c r="L3564">
        <v>0.90462777288570195</v>
      </c>
      <c r="M3564">
        <v>0.71960569550930997</v>
      </c>
      <c r="N3564">
        <v>1</v>
      </c>
      <c r="O3564">
        <v>0.79518072289156605</v>
      </c>
      <c r="P3564" t="s">
        <v>991</v>
      </c>
      <c r="Q3564" t="s">
        <v>992</v>
      </c>
      <c r="R3564" t="s">
        <v>224</v>
      </c>
      <c r="S3564" t="s">
        <v>225</v>
      </c>
      <c r="T3564" t="s">
        <v>993</v>
      </c>
      <c r="U3564" t="s">
        <v>994</v>
      </c>
      <c r="V3564" t="s">
        <v>995</v>
      </c>
      <c r="W3564" t="s">
        <v>996</v>
      </c>
      <c r="X3564" t="s">
        <v>995</v>
      </c>
      <c r="Y3564" t="s">
        <v>589</v>
      </c>
      <c r="AD3564" t="s">
        <v>997</v>
      </c>
      <c r="AE3564" t="s">
        <v>998</v>
      </c>
      <c r="AF3564" t="s">
        <v>1002</v>
      </c>
    </row>
    <row r="3565" spans="1:32" hidden="1" x14ac:dyDescent="0.35">
      <c r="A3565">
        <v>3689</v>
      </c>
      <c r="B3565" t="s">
        <v>7604</v>
      </c>
      <c r="C3565" t="s">
        <v>72</v>
      </c>
      <c r="D3565" t="s">
        <v>58</v>
      </c>
      <c r="E3565">
        <v>1217</v>
      </c>
      <c r="F3565">
        <v>5</v>
      </c>
      <c r="G3565">
        <v>5</v>
      </c>
      <c r="H3565">
        <v>1</v>
      </c>
      <c r="I3565">
        <v>1</v>
      </c>
      <c r="J3565">
        <v>0.84603646906233299</v>
      </c>
      <c r="K3565">
        <v>0.95908762290341498</v>
      </c>
      <c r="L3565">
        <v>0.89902196709254101</v>
      </c>
      <c r="M3565">
        <v>0.73245614035087703</v>
      </c>
      <c r="N3565">
        <v>0.99122807017543901</v>
      </c>
      <c r="O3565">
        <v>0.78903508771929798</v>
      </c>
      <c r="P3565" t="s">
        <v>7605</v>
      </c>
      <c r="Q3565" t="s">
        <v>7606</v>
      </c>
      <c r="R3565" t="s">
        <v>235</v>
      </c>
      <c r="S3565" t="s">
        <v>236</v>
      </c>
      <c r="T3565" t="s">
        <v>7607</v>
      </c>
      <c r="U3565" t="s">
        <v>7608</v>
      </c>
      <c r="V3565" t="s">
        <v>7609</v>
      </c>
      <c r="W3565" t="s">
        <v>7610</v>
      </c>
      <c r="X3565" t="s">
        <v>7609</v>
      </c>
      <c r="Y3565" t="s">
        <v>857</v>
      </c>
      <c r="Z3565" t="s">
        <v>858</v>
      </c>
      <c r="AA3565" t="s">
        <v>859</v>
      </c>
      <c r="AB3565" t="s">
        <v>858</v>
      </c>
      <c r="AC3565" t="s">
        <v>860</v>
      </c>
      <c r="AD3565" t="s">
        <v>219</v>
      </c>
      <c r="AE3565" t="s">
        <v>7611</v>
      </c>
      <c r="AF3565" t="s">
        <v>7612</v>
      </c>
    </row>
    <row r="3566" spans="1:32" hidden="1" x14ac:dyDescent="0.35">
      <c r="A3566">
        <v>540</v>
      </c>
      <c r="B3566" t="s">
        <v>1043</v>
      </c>
      <c r="C3566" t="s">
        <v>72</v>
      </c>
      <c r="D3566" t="s">
        <v>60</v>
      </c>
      <c r="E3566">
        <v>1602</v>
      </c>
      <c r="F3566">
        <v>5</v>
      </c>
      <c r="G3566">
        <v>5</v>
      </c>
      <c r="H3566">
        <v>1</v>
      </c>
      <c r="I3566">
        <v>1</v>
      </c>
      <c r="J3566">
        <v>0.91621621621621596</v>
      </c>
      <c r="K3566">
        <v>1</v>
      </c>
      <c r="L3566">
        <v>0.95627644569816606</v>
      </c>
      <c r="M3566">
        <v>0.81621621621621598</v>
      </c>
      <c r="N3566">
        <v>1</v>
      </c>
      <c r="O3566">
        <v>0.86648648648648696</v>
      </c>
      <c r="P3566" t="s">
        <v>1044</v>
      </c>
      <c r="Q3566" t="s">
        <v>1045</v>
      </c>
      <c r="R3566" t="s">
        <v>224</v>
      </c>
      <c r="S3566" t="s">
        <v>225</v>
      </c>
      <c r="T3566" t="s">
        <v>1046</v>
      </c>
      <c r="U3566" t="s">
        <v>1047</v>
      </c>
      <c r="V3566" t="s">
        <v>1048</v>
      </c>
      <c r="W3566" t="s">
        <v>1049</v>
      </c>
      <c r="AD3566" t="s">
        <v>1050</v>
      </c>
      <c r="AE3566" t="s">
        <v>1051</v>
      </c>
      <c r="AF3566" t="s">
        <v>1053</v>
      </c>
    </row>
    <row r="3567" spans="1:32" hidden="1" x14ac:dyDescent="0.35">
      <c r="A3567">
        <v>541</v>
      </c>
      <c r="B3567" t="s">
        <v>1043</v>
      </c>
      <c r="C3567" t="s">
        <v>72</v>
      </c>
      <c r="D3567" t="s">
        <v>62</v>
      </c>
      <c r="E3567">
        <v>1638</v>
      </c>
      <c r="F3567">
        <v>5</v>
      </c>
      <c r="G3567">
        <v>5</v>
      </c>
      <c r="H3567">
        <v>1</v>
      </c>
      <c r="I3567">
        <v>1</v>
      </c>
      <c r="J3567">
        <v>0.91621621621621596</v>
      </c>
      <c r="K3567">
        <v>1</v>
      </c>
      <c r="L3567">
        <v>0.95627644569816606</v>
      </c>
      <c r="M3567">
        <v>0.81621621621621598</v>
      </c>
      <c r="N3567">
        <v>1</v>
      </c>
      <c r="O3567">
        <v>0.86648648648648696</v>
      </c>
      <c r="P3567" t="s">
        <v>1044</v>
      </c>
      <c r="Q3567" t="s">
        <v>1045</v>
      </c>
      <c r="R3567" t="s">
        <v>224</v>
      </c>
      <c r="S3567" t="s">
        <v>225</v>
      </c>
      <c r="T3567" t="s">
        <v>1046</v>
      </c>
      <c r="U3567" t="s">
        <v>1047</v>
      </c>
      <c r="V3567" t="s">
        <v>1048</v>
      </c>
      <c r="W3567" t="s">
        <v>1049</v>
      </c>
      <c r="AD3567" t="s">
        <v>1050</v>
      </c>
      <c r="AE3567" t="s">
        <v>1051</v>
      </c>
      <c r="AF3567" t="s">
        <v>1054</v>
      </c>
    </row>
    <row r="3568" spans="1:32" hidden="1" x14ac:dyDescent="0.35">
      <c r="A3568">
        <v>542</v>
      </c>
      <c r="B3568" t="s">
        <v>1043</v>
      </c>
      <c r="C3568" t="s">
        <v>72</v>
      </c>
      <c r="D3568" t="s">
        <v>34</v>
      </c>
      <c r="E3568">
        <v>1997</v>
      </c>
      <c r="F3568">
        <v>5</v>
      </c>
      <c r="G3568">
        <v>5</v>
      </c>
      <c r="H3568">
        <v>1</v>
      </c>
      <c r="I3568">
        <v>1</v>
      </c>
      <c r="J3568">
        <v>0.91621621621621596</v>
      </c>
      <c r="K3568">
        <v>1</v>
      </c>
      <c r="L3568">
        <v>0.95627644569816606</v>
      </c>
      <c r="M3568">
        <v>0.81621621621621598</v>
      </c>
      <c r="N3568">
        <v>1</v>
      </c>
      <c r="O3568">
        <v>0.86648648648648696</v>
      </c>
      <c r="P3568" t="s">
        <v>1044</v>
      </c>
      <c r="Q3568" t="s">
        <v>1045</v>
      </c>
      <c r="R3568" t="s">
        <v>224</v>
      </c>
      <c r="S3568" t="s">
        <v>225</v>
      </c>
      <c r="T3568" t="s">
        <v>1046</v>
      </c>
      <c r="U3568" t="s">
        <v>1047</v>
      </c>
      <c r="V3568" t="s">
        <v>1048</v>
      </c>
      <c r="W3568" t="s">
        <v>1049</v>
      </c>
      <c r="AD3568" t="s">
        <v>1050</v>
      </c>
      <c r="AE3568" t="s">
        <v>1051</v>
      </c>
      <c r="AF3568" t="s">
        <v>1055</v>
      </c>
    </row>
    <row r="3569" spans="1:32" hidden="1" x14ac:dyDescent="0.35">
      <c r="A3569">
        <v>543</v>
      </c>
      <c r="B3569" t="s">
        <v>1043</v>
      </c>
      <c r="C3569" t="s">
        <v>72</v>
      </c>
      <c r="D3569" t="s">
        <v>45</v>
      </c>
      <c r="E3569">
        <v>876</v>
      </c>
      <c r="F3569">
        <v>5</v>
      </c>
      <c r="G3569">
        <v>5</v>
      </c>
      <c r="H3569">
        <v>1</v>
      </c>
      <c r="I3569">
        <v>1</v>
      </c>
      <c r="J3569">
        <v>0.91621621621621596</v>
      </c>
      <c r="K3569">
        <v>1</v>
      </c>
      <c r="L3569">
        <v>0.95627644569816606</v>
      </c>
      <c r="M3569">
        <v>0.81621621621621598</v>
      </c>
      <c r="N3569">
        <v>1</v>
      </c>
      <c r="O3569">
        <v>0.86648648648648696</v>
      </c>
      <c r="P3569" t="s">
        <v>1044</v>
      </c>
      <c r="Q3569" t="s">
        <v>1045</v>
      </c>
      <c r="R3569" t="s">
        <v>224</v>
      </c>
      <c r="S3569" t="s">
        <v>225</v>
      </c>
      <c r="T3569" t="s">
        <v>1046</v>
      </c>
      <c r="U3569" t="s">
        <v>1047</v>
      </c>
      <c r="V3569" t="s">
        <v>1048</v>
      </c>
      <c r="W3569" t="s">
        <v>1049</v>
      </c>
      <c r="AD3569" t="s">
        <v>1050</v>
      </c>
      <c r="AE3569" t="s">
        <v>1051</v>
      </c>
      <c r="AF3569" t="s">
        <v>1055</v>
      </c>
    </row>
    <row r="3570" spans="1:32" hidden="1" x14ac:dyDescent="0.35">
      <c r="A3570">
        <v>1754</v>
      </c>
      <c r="B3570" t="s">
        <v>3646</v>
      </c>
      <c r="C3570" t="s">
        <v>72</v>
      </c>
      <c r="D3570" t="s">
        <v>58</v>
      </c>
      <c r="E3570">
        <v>75</v>
      </c>
      <c r="F3570">
        <v>5</v>
      </c>
      <c r="G3570">
        <v>5</v>
      </c>
      <c r="H3570">
        <v>1</v>
      </c>
      <c r="I3570">
        <v>1</v>
      </c>
      <c r="J3570">
        <v>0.76589147286821702</v>
      </c>
      <c r="K3570">
        <v>0.97748316498316401</v>
      </c>
      <c r="L3570">
        <v>0.85884697950580402</v>
      </c>
      <c r="M3570">
        <v>0.57954545454545503</v>
      </c>
      <c r="N3570">
        <v>1</v>
      </c>
      <c r="O3570">
        <v>0.68806818181818197</v>
      </c>
      <c r="P3570" t="s">
        <v>3647</v>
      </c>
      <c r="Q3570" t="s">
        <v>3648</v>
      </c>
      <c r="R3570" t="s">
        <v>235</v>
      </c>
      <c r="S3570" t="s">
        <v>236</v>
      </c>
      <c r="T3570" t="s">
        <v>3649</v>
      </c>
      <c r="U3570" t="s">
        <v>3650</v>
      </c>
      <c r="V3570" t="s">
        <v>3651</v>
      </c>
      <c r="W3570" t="s">
        <v>3652</v>
      </c>
      <c r="X3570" t="s">
        <v>3651</v>
      </c>
      <c r="Y3570" t="s">
        <v>1091</v>
      </c>
      <c r="Z3570" t="s">
        <v>858</v>
      </c>
      <c r="AA3570" t="s">
        <v>859</v>
      </c>
      <c r="AB3570" t="s">
        <v>858</v>
      </c>
      <c r="AC3570" t="s">
        <v>860</v>
      </c>
      <c r="AD3570" t="s">
        <v>3653</v>
      </c>
      <c r="AE3570" t="s">
        <v>3654</v>
      </c>
      <c r="AF3570" t="s">
        <v>3655</v>
      </c>
    </row>
    <row r="3571" spans="1:32" hidden="1" x14ac:dyDescent="0.35">
      <c r="A3571">
        <v>580</v>
      </c>
      <c r="B3571" t="s">
        <v>1162</v>
      </c>
      <c r="C3571" t="s">
        <v>72</v>
      </c>
      <c r="D3571" t="s">
        <v>60</v>
      </c>
      <c r="E3571">
        <v>1721</v>
      </c>
      <c r="F3571">
        <v>5</v>
      </c>
      <c r="G3571">
        <v>5</v>
      </c>
      <c r="H3571">
        <v>1</v>
      </c>
      <c r="I3571">
        <v>1</v>
      </c>
      <c r="J3571">
        <v>0.85032467532467504</v>
      </c>
      <c r="K3571">
        <v>0.99039518722124498</v>
      </c>
      <c r="L3571">
        <v>0.91503056293664198</v>
      </c>
      <c r="M3571">
        <v>0.71382636655948595</v>
      </c>
      <c r="N3571">
        <v>1</v>
      </c>
      <c r="O3571">
        <v>0.79196141479099702</v>
      </c>
      <c r="P3571" t="s">
        <v>1163</v>
      </c>
      <c r="Q3571" t="s">
        <v>1164</v>
      </c>
      <c r="R3571" t="s">
        <v>224</v>
      </c>
      <c r="S3571" t="s">
        <v>225</v>
      </c>
      <c r="T3571" t="s">
        <v>1165</v>
      </c>
      <c r="U3571" t="s">
        <v>1166</v>
      </c>
      <c r="V3571" t="s">
        <v>1167</v>
      </c>
      <c r="W3571" t="s">
        <v>1168</v>
      </c>
      <c r="X3571" t="s">
        <v>1167</v>
      </c>
      <c r="Y3571" t="s">
        <v>1169</v>
      </c>
      <c r="AD3571" t="s">
        <v>1170</v>
      </c>
      <c r="AE3571" t="s">
        <v>1171</v>
      </c>
      <c r="AF3571" t="s">
        <v>1173</v>
      </c>
    </row>
    <row r="3572" spans="1:32" hidden="1" x14ac:dyDescent="0.35">
      <c r="A3572">
        <v>581</v>
      </c>
      <c r="B3572" t="s">
        <v>1162</v>
      </c>
      <c r="C3572" t="s">
        <v>72</v>
      </c>
      <c r="D3572" t="s">
        <v>62</v>
      </c>
      <c r="E3572">
        <v>1756</v>
      </c>
      <c r="F3572">
        <v>5</v>
      </c>
      <c r="G3572">
        <v>5</v>
      </c>
      <c r="H3572">
        <v>1</v>
      </c>
      <c r="I3572">
        <v>1</v>
      </c>
      <c r="J3572">
        <v>0.85032467532467504</v>
      </c>
      <c r="K3572">
        <v>0.99039518722124498</v>
      </c>
      <c r="L3572">
        <v>0.91503056293664198</v>
      </c>
      <c r="M3572">
        <v>0.71382636655948595</v>
      </c>
      <c r="N3572">
        <v>1</v>
      </c>
      <c r="O3572">
        <v>0.79196141479099702</v>
      </c>
      <c r="P3572" t="s">
        <v>1163</v>
      </c>
      <c r="Q3572" t="s">
        <v>1164</v>
      </c>
      <c r="R3572" t="s">
        <v>224</v>
      </c>
      <c r="S3572" t="s">
        <v>225</v>
      </c>
      <c r="T3572" t="s">
        <v>1165</v>
      </c>
      <c r="U3572" t="s">
        <v>1166</v>
      </c>
      <c r="V3572" t="s">
        <v>1167</v>
      </c>
      <c r="W3572" t="s">
        <v>1168</v>
      </c>
      <c r="X3572" t="s">
        <v>1167</v>
      </c>
      <c r="Y3572" t="s">
        <v>1169</v>
      </c>
      <c r="AD3572" t="s">
        <v>1170</v>
      </c>
      <c r="AE3572" t="s">
        <v>1171</v>
      </c>
      <c r="AF3572" t="s">
        <v>1174</v>
      </c>
    </row>
    <row r="3573" spans="1:32" hidden="1" x14ac:dyDescent="0.35">
      <c r="A3573">
        <v>582</v>
      </c>
      <c r="B3573" t="s">
        <v>1162</v>
      </c>
      <c r="C3573" t="s">
        <v>72</v>
      </c>
      <c r="D3573" t="s">
        <v>34</v>
      </c>
      <c r="E3573">
        <v>2098</v>
      </c>
      <c r="F3573">
        <v>5</v>
      </c>
      <c r="G3573">
        <v>5</v>
      </c>
      <c r="H3573">
        <v>1</v>
      </c>
      <c r="I3573">
        <v>1</v>
      </c>
      <c r="J3573">
        <v>0.85032467532467504</v>
      </c>
      <c r="K3573">
        <v>0.99039518722124498</v>
      </c>
      <c r="L3573">
        <v>0.91503056293664198</v>
      </c>
      <c r="M3573">
        <v>0.71382636655948595</v>
      </c>
      <c r="N3573">
        <v>1</v>
      </c>
      <c r="O3573">
        <v>0.79196141479099702</v>
      </c>
      <c r="P3573" t="s">
        <v>1163</v>
      </c>
      <c r="Q3573" t="s">
        <v>1164</v>
      </c>
      <c r="R3573" t="s">
        <v>224</v>
      </c>
      <c r="S3573" t="s">
        <v>225</v>
      </c>
      <c r="T3573" t="s">
        <v>1165</v>
      </c>
      <c r="U3573" t="s">
        <v>1166</v>
      </c>
      <c r="V3573" t="s">
        <v>1167</v>
      </c>
      <c r="W3573" t="s">
        <v>1168</v>
      </c>
      <c r="X3573" t="s">
        <v>1167</v>
      </c>
      <c r="Y3573" t="s">
        <v>1169</v>
      </c>
      <c r="AD3573" t="s">
        <v>1170</v>
      </c>
      <c r="AE3573" t="s">
        <v>1171</v>
      </c>
      <c r="AF3573" t="s">
        <v>1175</v>
      </c>
    </row>
    <row r="3574" spans="1:32" hidden="1" x14ac:dyDescent="0.35">
      <c r="A3574">
        <v>583</v>
      </c>
      <c r="B3574" t="s">
        <v>1162</v>
      </c>
      <c r="C3574" t="s">
        <v>72</v>
      </c>
      <c r="D3574" t="s">
        <v>45</v>
      </c>
      <c r="E3574">
        <v>774</v>
      </c>
      <c r="F3574">
        <v>5</v>
      </c>
      <c r="G3574">
        <v>5</v>
      </c>
      <c r="H3574">
        <v>1</v>
      </c>
      <c r="I3574">
        <v>1</v>
      </c>
      <c r="J3574">
        <v>0.85032467532467504</v>
      </c>
      <c r="K3574">
        <v>0.99039518722124498</v>
      </c>
      <c r="L3574">
        <v>0.91503056293664198</v>
      </c>
      <c r="M3574">
        <v>0.71382636655948595</v>
      </c>
      <c r="N3574">
        <v>1</v>
      </c>
      <c r="O3574">
        <v>0.79196141479099702</v>
      </c>
      <c r="P3574" t="s">
        <v>1163</v>
      </c>
      <c r="Q3574" t="s">
        <v>1164</v>
      </c>
      <c r="R3574" t="s">
        <v>224</v>
      </c>
      <c r="S3574" t="s">
        <v>225</v>
      </c>
      <c r="T3574" t="s">
        <v>1165</v>
      </c>
      <c r="U3574" t="s">
        <v>1166</v>
      </c>
      <c r="V3574" t="s">
        <v>1167</v>
      </c>
      <c r="W3574" t="s">
        <v>1168</v>
      </c>
      <c r="X3574" t="s">
        <v>1167</v>
      </c>
      <c r="Y3574" t="s">
        <v>1169</v>
      </c>
      <c r="AD3574" t="s">
        <v>1170</v>
      </c>
      <c r="AE3574" t="s">
        <v>1171</v>
      </c>
      <c r="AF3574" t="s">
        <v>1175</v>
      </c>
    </row>
    <row r="3575" spans="1:32" hidden="1" x14ac:dyDescent="0.35">
      <c r="A3575">
        <v>4014</v>
      </c>
      <c r="B3575" t="s">
        <v>8289</v>
      </c>
      <c r="C3575" t="s">
        <v>72</v>
      </c>
      <c r="D3575" t="s">
        <v>58</v>
      </c>
      <c r="E3575">
        <v>1216</v>
      </c>
      <c r="F3575">
        <v>5</v>
      </c>
      <c r="G3575">
        <v>5</v>
      </c>
      <c r="H3575">
        <v>1</v>
      </c>
      <c r="I3575">
        <v>1</v>
      </c>
      <c r="J3575">
        <v>0.81175514626218803</v>
      </c>
      <c r="K3575">
        <v>0.94817744380726798</v>
      </c>
      <c r="L3575">
        <v>0.87467886431934405</v>
      </c>
      <c r="M3575">
        <v>0.65641025641025597</v>
      </c>
      <c r="N3575">
        <v>0.984615384615385</v>
      </c>
      <c r="O3575">
        <v>0.737179487179487</v>
      </c>
      <c r="P3575" t="s">
        <v>3647</v>
      </c>
      <c r="Q3575" t="s">
        <v>3648</v>
      </c>
      <c r="R3575" t="s">
        <v>235</v>
      </c>
      <c r="S3575" t="s">
        <v>236</v>
      </c>
      <c r="T3575" t="s">
        <v>3649</v>
      </c>
      <c r="U3575" t="s">
        <v>3650</v>
      </c>
      <c r="V3575" t="s">
        <v>3651</v>
      </c>
      <c r="W3575" t="s">
        <v>3652</v>
      </c>
      <c r="X3575" t="s">
        <v>3651</v>
      </c>
      <c r="Y3575" t="s">
        <v>1091</v>
      </c>
      <c r="Z3575" t="s">
        <v>858</v>
      </c>
      <c r="AA3575" t="s">
        <v>859</v>
      </c>
      <c r="AB3575" t="s">
        <v>858</v>
      </c>
      <c r="AC3575" t="s">
        <v>860</v>
      </c>
      <c r="AD3575" t="s">
        <v>3653</v>
      </c>
      <c r="AE3575" t="s">
        <v>3654</v>
      </c>
      <c r="AF3575" t="s">
        <v>8290</v>
      </c>
    </row>
    <row r="3576" spans="1:32" hidden="1" x14ac:dyDescent="0.35">
      <c r="A3576">
        <v>625</v>
      </c>
      <c r="B3576" t="s">
        <v>1267</v>
      </c>
      <c r="C3576" t="s">
        <v>72</v>
      </c>
      <c r="D3576" t="s">
        <v>60</v>
      </c>
      <c r="E3576">
        <v>596</v>
      </c>
      <c r="F3576">
        <v>5</v>
      </c>
      <c r="G3576">
        <v>5</v>
      </c>
      <c r="H3576">
        <v>1</v>
      </c>
      <c r="I3576">
        <v>1</v>
      </c>
      <c r="J3576">
        <v>0.84110169491525399</v>
      </c>
      <c r="K3576">
        <v>0.97767984127262797</v>
      </c>
      <c r="L3576">
        <v>0.90426272228655002</v>
      </c>
      <c r="M3576">
        <v>0.71301775147929003</v>
      </c>
      <c r="N3576">
        <v>1</v>
      </c>
      <c r="O3576">
        <v>0.77544378698224903</v>
      </c>
      <c r="P3576" t="s">
        <v>1268</v>
      </c>
      <c r="Q3576" t="s">
        <v>1269</v>
      </c>
      <c r="R3576" t="s">
        <v>224</v>
      </c>
      <c r="S3576" t="s">
        <v>225</v>
      </c>
      <c r="T3576" t="s">
        <v>1270</v>
      </c>
      <c r="U3576" t="s">
        <v>1271</v>
      </c>
      <c r="V3576" t="s">
        <v>1272</v>
      </c>
      <c r="W3576" t="s">
        <v>1273</v>
      </c>
      <c r="AD3576" t="s">
        <v>1274</v>
      </c>
      <c r="AE3576" t="s">
        <v>1275</v>
      </c>
      <c r="AF3576" t="s">
        <v>1277</v>
      </c>
    </row>
    <row r="3577" spans="1:32" hidden="1" x14ac:dyDescent="0.35">
      <c r="A3577">
        <v>626</v>
      </c>
      <c r="B3577" t="s">
        <v>1267</v>
      </c>
      <c r="C3577" t="s">
        <v>72</v>
      </c>
      <c r="D3577" t="s">
        <v>62</v>
      </c>
      <c r="E3577">
        <v>680</v>
      </c>
      <c r="F3577">
        <v>5</v>
      </c>
      <c r="G3577">
        <v>5</v>
      </c>
      <c r="H3577">
        <v>1</v>
      </c>
      <c r="I3577">
        <v>1</v>
      </c>
      <c r="J3577">
        <v>0.84110169491525399</v>
      </c>
      <c r="K3577">
        <v>0.97767984127262797</v>
      </c>
      <c r="L3577">
        <v>0.90426272228655002</v>
      </c>
      <c r="M3577">
        <v>0.71301775147929003</v>
      </c>
      <c r="N3577">
        <v>1</v>
      </c>
      <c r="O3577">
        <v>0.77544378698224903</v>
      </c>
      <c r="P3577" t="s">
        <v>1268</v>
      </c>
      <c r="Q3577" t="s">
        <v>1269</v>
      </c>
      <c r="R3577" t="s">
        <v>224</v>
      </c>
      <c r="S3577" t="s">
        <v>225</v>
      </c>
      <c r="T3577" t="s">
        <v>1270</v>
      </c>
      <c r="U3577" t="s">
        <v>1271</v>
      </c>
      <c r="V3577" t="s">
        <v>1272</v>
      </c>
      <c r="W3577" t="s">
        <v>1273</v>
      </c>
      <c r="AD3577" t="s">
        <v>1274</v>
      </c>
      <c r="AE3577" t="s">
        <v>1275</v>
      </c>
      <c r="AF3577" t="s">
        <v>1277</v>
      </c>
    </row>
    <row r="3578" spans="1:32" hidden="1" x14ac:dyDescent="0.35">
      <c r="A3578">
        <v>627</v>
      </c>
      <c r="B3578" t="s">
        <v>1267</v>
      </c>
      <c r="C3578" t="s">
        <v>72</v>
      </c>
      <c r="D3578" t="s">
        <v>34</v>
      </c>
      <c r="E3578">
        <v>498</v>
      </c>
      <c r="F3578">
        <v>5</v>
      </c>
      <c r="G3578">
        <v>5</v>
      </c>
      <c r="H3578">
        <v>1</v>
      </c>
      <c r="I3578">
        <v>1</v>
      </c>
      <c r="J3578">
        <v>0.84110169491525399</v>
      </c>
      <c r="K3578">
        <v>0.97767984127262797</v>
      </c>
      <c r="L3578">
        <v>0.90426272228655002</v>
      </c>
      <c r="M3578">
        <v>0.71301775147929003</v>
      </c>
      <c r="N3578">
        <v>1</v>
      </c>
      <c r="O3578">
        <v>0.77544378698224903</v>
      </c>
      <c r="P3578" t="s">
        <v>1268</v>
      </c>
      <c r="Q3578" t="s">
        <v>1269</v>
      </c>
      <c r="R3578" t="s">
        <v>224</v>
      </c>
      <c r="S3578" t="s">
        <v>225</v>
      </c>
      <c r="T3578" t="s">
        <v>1270</v>
      </c>
      <c r="U3578" t="s">
        <v>1271</v>
      </c>
      <c r="V3578" t="s">
        <v>1272</v>
      </c>
      <c r="W3578" t="s">
        <v>1273</v>
      </c>
      <c r="AD3578" t="s">
        <v>1274</v>
      </c>
      <c r="AE3578" t="s">
        <v>1275</v>
      </c>
      <c r="AF3578" t="s">
        <v>1278</v>
      </c>
    </row>
    <row r="3579" spans="1:32" hidden="1" x14ac:dyDescent="0.35">
      <c r="A3579">
        <v>628</v>
      </c>
      <c r="B3579" t="s">
        <v>1267</v>
      </c>
      <c r="C3579" t="s">
        <v>72</v>
      </c>
      <c r="D3579" t="s">
        <v>45</v>
      </c>
      <c r="E3579">
        <v>1763</v>
      </c>
      <c r="F3579">
        <v>5</v>
      </c>
      <c r="G3579">
        <v>5</v>
      </c>
      <c r="H3579">
        <v>1</v>
      </c>
      <c r="I3579">
        <v>1</v>
      </c>
      <c r="J3579">
        <v>0.84110169491525399</v>
      </c>
      <c r="K3579">
        <v>0.97767984127262797</v>
      </c>
      <c r="L3579">
        <v>0.90426272228655002</v>
      </c>
      <c r="M3579">
        <v>0.71301775147929003</v>
      </c>
      <c r="N3579">
        <v>1</v>
      </c>
      <c r="O3579">
        <v>0.77544378698224903</v>
      </c>
      <c r="P3579" t="s">
        <v>1268</v>
      </c>
      <c r="Q3579" t="s">
        <v>1269</v>
      </c>
      <c r="R3579" t="s">
        <v>224</v>
      </c>
      <c r="S3579" t="s">
        <v>225</v>
      </c>
      <c r="T3579" t="s">
        <v>1270</v>
      </c>
      <c r="U3579" t="s">
        <v>1271</v>
      </c>
      <c r="V3579" t="s">
        <v>1272</v>
      </c>
      <c r="W3579" t="s">
        <v>1273</v>
      </c>
      <c r="AD3579" t="s">
        <v>1274</v>
      </c>
      <c r="AE3579" t="s">
        <v>1275</v>
      </c>
      <c r="AF3579" t="s">
        <v>1279</v>
      </c>
    </row>
    <row r="3580" spans="1:32" hidden="1" x14ac:dyDescent="0.35">
      <c r="A3580">
        <v>10861</v>
      </c>
      <c r="B3580" t="s">
        <v>21820</v>
      </c>
      <c r="C3580" t="s">
        <v>33</v>
      </c>
      <c r="D3580" t="s">
        <v>58</v>
      </c>
      <c r="E3580">
        <v>1360</v>
      </c>
      <c r="F3580">
        <v>1</v>
      </c>
      <c r="G3580">
        <v>1</v>
      </c>
      <c r="H3580">
        <v>1</v>
      </c>
      <c r="I3580">
        <v>0</v>
      </c>
      <c r="J3580">
        <v>1</v>
      </c>
      <c r="K3580">
        <v>1</v>
      </c>
      <c r="L3580">
        <v>1</v>
      </c>
      <c r="M3580">
        <v>0</v>
      </c>
      <c r="N3580">
        <v>0</v>
      </c>
      <c r="O3580">
        <v>0</v>
      </c>
      <c r="P3580" t="s">
        <v>3647</v>
      </c>
      <c r="Q3580" t="s">
        <v>3648</v>
      </c>
      <c r="R3580" t="s">
        <v>235</v>
      </c>
      <c r="S3580" t="s">
        <v>236</v>
      </c>
      <c r="V3580" t="s">
        <v>3651</v>
      </c>
      <c r="W3580" t="s">
        <v>3652</v>
      </c>
      <c r="X3580" t="s">
        <v>3651</v>
      </c>
      <c r="Y3580" t="s">
        <v>1091</v>
      </c>
      <c r="AF3580" t="s">
        <v>21821</v>
      </c>
    </row>
    <row r="3581" spans="1:32" hidden="1" x14ac:dyDescent="0.35">
      <c r="A3581">
        <v>630</v>
      </c>
      <c r="B3581" t="s">
        <v>1280</v>
      </c>
      <c r="C3581" t="s">
        <v>72</v>
      </c>
      <c r="D3581" t="s">
        <v>60</v>
      </c>
      <c r="E3581">
        <v>1158</v>
      </c>
      <c r="F3581">
        <v>5</v>
      </c>
      <c r="G3581">
        <v>5</v>
      </c>
      <c r="H3581">
        <v>1</v>
      </c>
      <c r="I3581">
        <v>1</v>
      </c>
      <c r="J3581">
        <v>0.88826705940107997</v>
      </c>
      <c r="K3581">
        <v>0.97593908377223404</v>
      </c>
      <c r="L3581">
        <v>0.93004150133449304</v>
      </c>
      <c r="M3581">
        <v>0.78160919540229901</v>
      </c>
      <c r="N3581">
        <v>1</v>
      </c>
      <c r="O3581">
        <v>0.83908045977011503</v>
      </c>
      <c r="P3581" t="s">
        <v>1281</v>
      </c>
      <c r="Q3581" t="s">
        <v>1282</v>
      </c>
      <c r="R3581" t="s">
        <v>224</v>
      </c>
      <c r="S3581" t="s">
        <v>225</v>
      </c>
      <c r="T3581" t="s">
        <v>1283</v>
      </c>
      <c r="U3581" t="s">
        <v>1284</v>
      </c>
      <c r="V3581" t="s">
        <v>1285</v>
      </c>
      <c r="W3581" t="s">
        <v>1286</v>
      </c>
      <c r="X3581" t="s">
        <v>1285</v>
      </c>
      <c r="Y3581" t="s">
        <v>589</v>
      </c>
      <c r="AD3581" t="s">
        <v>997</v>
      </c>
      <c r="AE3581" t="s">
        <v>1287</v>
      </c>
      <c r="AF3581" t="s">
        <v>1289</v>
      </c>
    </row>
    <row r="3582" spans="1:32" hidden="1" x14ac:dyDescent="0.35">
      <c r="A3582">
        <v>631</v>
      </c>
      <c r="B3582" t="s">
        <v>1280</v>
      </c>
      <c r="C3582" t="s">
        <v>72</v>
      </c>
      <c r="D3582" t="s">
        <v>62</v>
      </c>
      <c r="E3582">
        <v>1195</v>
      </c>
      <c r="F3582">
        <v>5</v>
      </c>
      <c r="G3582">
        <v>5</v>
      </c>
      <c r="H3582">
        <v>1</v>
      </c>
      <c r="I3582">
        <v>1</v>
      </c>
      <c r="J3582">
        <v>0.88826705940107997</v>
      </c>
      <c r="K3582">
        <v>0.97593908377223404</v>
      </c>
      <c r="L3582">
        <v>0.93004150133449304</v>
      </c>
      <c r="M3582">
        <v>0.78160919540229901</v>
      </c>
      <c r="N3582">
        <v>1</v>
      </c>
      <c r="O3582">
        <v>0.83908045977011503</v>
      </c>
      <c r="P3582" t="s">
        <v>1281</v>
      </c>
      <c r="Q3582" t="s">
        <v>1282</v>
      </c>
      <c r="R3582" t="s">
        <v>224</v>
      </c>
      <c r="S3582" t="s">
        <v>225</v>
      </c>
      <c r="T3582" t="s">
        <v>1283</v>
      </c>
      <c r="U3582" t="s">
        <v>1284</v>
      </c>
      <c r="V3582" t="s">
        <v>1285</v>
      </c>
      <c r="W3582" t="s">
        <v>1286</v>
      </c>
      <c r="X3582" t="s">
        <v>1285</v>
      </c>
      <c r="Y3582" t="s">
        <v>589</v>
      </c>
      <c r="AD3582" t="s">
        <v>997</v>
      </c>
      <c r="AE3582" t="s">
        <v>1287</v>
      </c>
      <c r="AF3582" t="s">
        <v>1290</v>
      </c>
    </row>
    <row r="3583" spans="1:32" hidden="1" x14ac:dyDescent="0.35">
      <c r="A3583">
        <v>632</v>
      </c>
      <c r="B3583" t="s">
        <v>1280</v>
      </c>
      <c r="C3583" t="s">
        <v>72</v>
      </c>
      <c r="D3583" t="s">
        <v>34</v>
      </c>
      <c r="E3583">
        <v>2517</v>
      </c>
      <c r="F3583">
        <v>5</v>
      </c>
      <c r="G3583">
        <v>5</v>
      </c>
      <c r="H3583">
        <v>1</v>
      </c>
      <c r="I3583">
        <v>1</v>
      </c>
      <c r="J3583">
        <v>0.88826705940107997</v>
      </c>
      <c r="K3583">
        <v>0.97593908377223404</v>
      </c>
      <c r="L3583">
        <v>0.93004150133449304</v>
      </c>
      <c r="M3583">
        <v>0.78160919540229901</v>
      </c>
      <c r="N3583">
        <v>1</v>
      </c>
      <c r="O3583">
        <v>0.83908045977011503</v>
      </c>
      <c r="P3583" t="s">
        <v>1281</v>
      </c>
      <c r="Q3583" t="s">
        <v>1282</v>
      </c>
      <c r="R3583" t="s">
        <v>224</v>
      </c>
      <c r="S3583" t="s">
        <v>225</v>
      </c>
      <c r="T3583" t="s">
        <v>1283</v>
      </c>
      <c r="U3583" t="s">
        <v>1284</v>
      </c>
      <c r="V3583" t="s">
        <v>1285</v>
      </c>
      <c r="W3583" t="s">
        <v>1286</v>
      </c>
      <c r="X3583" t="s">
        <v>1285</v>
      </c>
      <c r="Y3583" t="s">
        <v>589</v>
      </c>
      <c r="AD3583" t="s">
        <v>997</v>
      </c>
      <c r="AE3583" t="s">
        <v>1287</v>
      </c>
      <c r="AF3583" t="s">
        <v>1291</v>
      </c>
    </row>
    <row r="3584" spans="1:32" hidden="1" x14ac:dyDescent="0.35">
      <c r="A3584">
        <v>633</v>
      </c>
      <c r="B3584" t="s">
        <v>1280</v>
      </c>
      <c r="C3584" t="s">
        <v>72</v>
      </c>
      <c r="D3584" t="s">
        <v>45</v>
      </c>
      <c r="E3584">
        <v>1243</v>
      </c>
      <c r="F3584">
        <v>5</v>
      </c>
      <c r="G3584">
        <v>5</v>
      </c>
      <c r="H3584">
        <v>1</v>
      </c>
      <c r="I3584">
        <v>1</v>
      </c>
      <c r="J3584">
        <v>0.88826705940107997</v>
      </c>
      <c r="K3584">
        <v>0.97593908377223404</v>
      </c>
      <c r="L3584">
        <v>0.93004150133449304</v>
      </c>
      <c r="M3584">
        <v>0.78160919540229901</v>
      </c>
      <c r="N3584">
        <v>1</v>
      </c>
      <c r="O3584">
        <v>0.83908045977011503</v>
      </c>
      <c r="P3584" t="s">
        <v>1281</v>
      </c>
      <c r="Q3584" t="s">
        <v>1282</v>
      </c>
      <c r="R3584" t="s">
        <v>224</v>
      </c>
      <c r="S3584" t="s">
        <v>225</v>
      </c>
      <c r="T3584" t="s">
        <v>1283</v>
      </c>
      <c r="U3584" t="s">
        <v>1284</v>
      </c>
      <c r="V3584" t="s">
        <v>1285</v>
      </c>
      <c r="W3584" t="s">
        <v>1286</v>
      </c>
      <c r="X3584" t="s">
        <v>1285</v>
      </c>
      <c r="Y3584" t="s">
        <v>589</v>
      </c>
      <c r="AD3584" t="s">
        <v>997</v>
      </c>
      <c r="AE3584" t="s">
        <v>1287</v>
      </c>
      <c r="AF3584" t="s">
        <v>1291</v>
      </c>
    </row>
    <row r="3585" spans="1:32" hidden="1" x14ac:dyDescent="0.35">
      <c r="A3585">
        <v>3769</v>
      </c>
      <c r="B3585" t="s">
        <v>7783</v>
      </c>
      <c r="C3585" t="s">
        <v>72</v>
      </c>
      <c r="D3585" t="s">
        <v>58</v>
      </c>
      <c r="E3585">
        <v>1039</v>
      </c>
      <c r="F3585">
        <v>5</v>
      </c>
      <c r="G3585">
        <v>5</v>
      </c>
      <c r="H3585">
        <v>1</v>
      </c>
      <c r="I3585">
        <v>1</v>
      </c>
      <c r="J3585">
        <v>0.84899882214369804</v>
      </c>
      <c r="K3585">
        <v>0.95942208103939097</v>
      </c>
      <c r="L3585">
        <v>0.90083919656908795</v>
      </c>
      <c r="M3585">
        <v>0.71783295711060902</v>
      </c>
      <c r="N3585">
        <v>0.99548532731377004</v>
      </c>
      <c r="O3585">
        <v>0.793002257336343</v>
      </c>
      <c r="P3585" t="s">
        <v>7784</v>
      </c>
      <c r="Q3585" t="s">
        <v>7785</v>
      </c>
      <c r="R3585" t="s">
        <v>224</v>
      </c>
      <c r="S3585" t="s">
        <v>225</v>
      </c>
      <c r="T3585" t="s">
        <v>7786</v>
      </c>
      <c r="U3585" t="s">
        <v>7787</v>
      </c>
      <c r="V3585" t="s">
        <v>7788</v>
      </c>
      <c r="W3585" t="s">
        <v>7789</v>
      </c>
      <c r="X3585" t="s">
        <v>7788</v>
      </c>
      <c r="Y3585" t="s">
        <v>589</v>
      </c>
      <c r="AD3585" t="s">
        <v>997</v>
      </c>
      <c r="AE3585" t="s">
        <v>7790</v>
      </c>
      <c r="AF3585" t="s">
        <v>7791</v>
      </c>
    </row>
    <row r="3586" spans="1:32" hidden="1" x14ac:dyDescent="0.35">
      <c r="A3586">
        <v>670</v>
      </c>
      <c r="B3586" t="s">
        <v>1372</v>
      </c>
      <c r="C3586" t="s">
        <v>72</v>
      </c>
      <c r="D3586" t="s">
        <v>60</v>
      </c>
      <c r="E3586">
        <v>371</v>
      </c>
      <c r="F3586">
        <v>5</v>
      </c>
      <c r="G3586">
        <v>5</v>
      </c>
      <c r="H3586">
        <v>1</v>
      </c>
      <c r="I3586">
        <v>1</v>
      </c>
      <c r="J3586">
        <v>0.97971710701894898</v>
      </c>
      <c r="K3586">
        <v>0.88982619118969197</v>
      </c>
      <c r="L3586">
        <v>0.93261059277672298</v>
      </c>
      <c r="M3586">
        <v>0.823943661971831</v>
      </c>
      <c r="N3586">
        <v>1</v>
      </c>
      <c r="O3586">
        <v>0.89154929577464803</v>
      </c>
      <c r="P3586" t="s">
        <v>1373</v>
      </c>
      <c r="Q3586" t="s">
        <v>1374</v>
      </c>
      <c r="R3586" t="s">
        <v>224</v>
      </c>
      <c r="S3586" t="s">
        <v>225</v>
      </c>
      <c r="T3586" t="s">
        <v>1375</v>
      </c>
      <c r="U3586" t="s">
        <v>1376</v>
      </c>
      <c r="V3586" t="s">
        <v>1377</v>
      </c>
      <c r="W3586" t="s">
        <v>1378</v>
      </c>
      <c r="X3586" t="s">
        <v>1377</v>
      </c>
      <c r="Y3586" t="s">
        <v>761</v>
      </c>
      <c r="AD3586" t="s">
        <v>762</v>
      </c>
      <c r="AE3586" t="s">
        <v>763</v>
      </c>
      <c r="AF3586" t="s">
        <v>1379</v>
      </c>
    </row>
    <row r="3587" spans="1:32" hidden="1" x14ac:dyDescent="0.35">
      <c r="A3587">
        <v>671</v>
      </c>
      <c r="B3587" t="s">
        <v>1372</v>
      </c>
      <c r="C3587" t="s">
        <v>72</v>
      </c>
      <c r="D3587" t="s">
        <v>62</v>
      </c>
      <c r="E3587">
        <v>451</v>
      </c>
      <c r="F3587">
        <v>5</v>
      </c>
      <c r="G3587">
        <v>5</v>
      </c>
      <c r="H3587">
        <v>1</v>
      </c>
      <c r="I3587">
        <v>1</v>
      </c>
      <c r="J3587">
        <v>0.97971710701894898</v>
      </c>
      <c r="K3587">
        <v>0.88982619118969197</v>
      </c>
      <c r="L3587">
        <v>0.93261059277672298</v>
      </c>
      <c r="M3587">
        <v>0.823943661971831</v>
      </c>
      <c r="N3587">
        <v>1</v>
      </c>
      <c r="O3587">
        <v>0.89154929577464803</v>
      </c>
      <c r="P3587" t="s">
        <v>1373</v>
      </c>
      <c r="Q3587" t="s">
        <v>1374</v>
      </c>
      <c r="R3587" t="s">
        <v>224</v>
      </c>
      <c r="S3587" t="s">
        <v>225</v>
      </c>
      <c r="T3587" t="s">
        <v>1375</v>
      </c>
      <c r="U3587" t="s">
        <v>1376</v>
      </c>
      <c r="V3587" t="s">
        <v>1377</v>
      </c>
      <c r="W3587" t="s">
        <v>1378</v>
      </c>
      <c r="X3587" t="s">
        <v>1377</v>
      </c>
      <c r="Y3587" t="s">
        <v>761</v>
      </c>
      <c r="AD3587" t="s">
        <v>762</v>
      </c>
      <c r="AE3587" t="s">
        <v>763</v>
      </c>
      <c r="AF3587" t="s">
        <v>1379</v>
      </c>
    </row>
    <row r="3588" spans="1:32" hidden="1" x14ac:dyDescent="0.35">
      <c r="A3588">
        <v>672</v>
      </c>
      <c r="B3588" t="s">
        <v>1372</v>
      </c>
      <c r="C3588" t="s">
        <v>72</v>
      </c>
      <c r="D3588" t="s">
        <v>34</v>
      </c>
      <c r="E3588">
        <v>752</v>
      </c>
      <c r="F3588">
        <v>5</v>
      </c>
      <c r="G3588">
        <v>5</v>
      </c>
      <c r="H3588">
        <v>1</v>
      </c>
      <c r="I3588">
        <v>1</v>
      </c>
      <c r="J3588">
        <v>0.97971710701894898</v>
      </c>
      <c r="K3588">
        <v>0.88982619118969197</v>
      </c>
      <c r="L3588">
        <v>0.93261059277672298</v>
      </c>
      <c r="M3588">
        <v>0.823943661971831</v>
      </c>
      <c r="N3588">
        <v>1</v>
      </c>
      <c r="O3588">
        <v>0.89154929577464803</v>
      </c>
      <c r="P3588" t="s">
        <v>1373</v>
      </c>
      <c r="Q3588" t="s">
        <v>1374</v>
      </c>
      <c r="R3588" t="s">
        <v>224</v>
      </c>
      <c r="S3588" t="s">
        <v>225</v>
      </c>
      <c r="T3588" t="s">
        <v>1375</v>
      </c>
      <c r="U3588" t="s">
        <v>1376</v>
      </c>
      <c r="V3588" t="s">
        <v>1377</v>
      </c>
      <c r="W3588" t="s">
        <v>1378</v>
      </c>
      <c r="X3588" t="s">
        <v>1377</v>
      </c>
      <c r="Y3588" t="s">
        <v>761</v>
      </c>
      <c r="AD3588" t="s">
        <v>762</v>
      </c>
      <c r="AE3588" t="s">
        <v>763</v>
      </c>
      <c r="AF3588" t="e">
        <f>-------------------MPTIQQLVRKGRHDKTAKVKTAALKGSPQRRGVCTRVYTTTPKKPNSALRKVARVRLTSGIEVSAYIPGEGHNLQEHSMVLVRGGRVKDLPGVRYKIIRGALDTQGVRDRKQGRSRYGAKKEK</f>
        <v>#NAME?</v>
      </c>
    </row>
    <row r="3589" spans="1:32" hidden="1" x14ac:dyDescent="0.35">
      <c r="A3589">
        <v>673</v>
      </c>
      <c r="B3589" t="s">
        <v>1372</v>
      </c>
      <c r="C3589" t="s">
        <v>72</v>
      </c>
      <c r="D3589" t="s">
        <v>45</v>
      </c>
      <c r="E3589">
        <v>2019</v>
      </c>
      <c r="F3589">
        <v>5</v>
      </c>
      <c r="G3589">
        <v>5</v>
      </c>
      <c r="H3589">
        <v>1</v>
      </c>
      <c r="I3589">
        <v>1</v>
      </c>
      <c r="J3589">
        <v>0.97971710701894898</v>
      </c>
      <c r="K3589">
        <v>0.88982619118969197</v>
      </c>
      <c r="L3589">
        <v>0.93261059277672298</v>
      </c>
      <c r="M3589">
        <v>0.823943661971831</v>
      </c>
      <c r="N3589">
        <v>1</v>
      </c>
      <c r="O3589">
        <v>0.89154929577464803</v>
      </c>
      <c r="P3589" t="s">
        <v>1373</v>
      </c>
      <c r="Q3589" t="s">
        <v>1374</v>
      </c>
      <c r="R3589" t="s">
        <v>224</v>
      </c>
      <c r="S3589" t="s">
        <v>225</v>
      </c>
      <c r="T3589" t="s">
        <v>1375</v>
      </c>
      <c r="U3589" t="s">
        <v>1376</v>
      </c>
      <c r="V3589" t="s">
        <v>1377</v>
      </c>
      <c r="W3589" t="s">
        <v>1378</v>
      </c>
      <c r="X3589" t="s">
        <v>1377</v>
      </c>
      <c r="Y3589" t="s">
        <v>761</v>
      </c>
      <c r="AD3589" t="s">
        <v>762</v>
      </c>
      <c r="AE3589" t="s">
        <v>763</v>
      </c>
      <c r="AF3589" t="e">
        <f>-------------------MPTIQQLVRKGRHDKTAKVKTAALKGSPQRRGVCTRVYTTTPKKPNSALRKVARVRLTSGIEVSAYIPGEGHNLQEHSMVLVRGGRVKDLPGVRYKIIRGALDTQGVRDRKQGRSRYGAKKEK</f>
        <v>#NAME?</v>
      </c>
    </row>
    <row r="3590" spans="1:32" hidden="1" x14ac:dyDescent="0.35">
      <c r="A3590">
        <v>6008</v>
      </c>
      <c r="B3590" t="s">
        <v>12353</v>
      </c>
      <c r="C3590" t="s">
        <v>13295</v>
      </c>
      <c r="D3590" t="s">
        <v>58</v>
      </c>
      <c r="E3590">
        <v>1049</v>
      </c>
      <c r="F3590">
        <v>3</v>
      </c>
      <c r="G3590">
        <v>3</v>
      </c>
      <c r="H3590">
        <v>1</v>
      </c>
      <c r="I3590">
        <v>0</v>
      </c>
      <c r="J3590">
        <v>0.78096846846846801</v>
      </c>
      <c r="K3590">
        <v>0.95881285026442398</v>
      </c>
      <c r="L3590">
        <v>0.86080083187036105</v>
      </c>
      <c r="M3590">
        <v>0.56310679611650505</v>
      </c>
      <c r="N3590">
        <v>0.98543689320388395</v>
      </c>
      <c r="O3590">
        <v>0.70388349514563098</v>
      </c>
      <c r="P3590" t="s">
        <v>12354</v>
      </c>
      <c r="Q3590" t="s">
        <v>12355</v>
      </c>
      <c r="R3590" t="s">
        <v>371</v>
      </c>
      <c r="S3590" t="s">
        <v>372</v>
      </c>
      <c r="T3590" t="s">
        <v>12356</v>
      </c>
      <c r="U3590" t="s">
        <v>12357</v>
      </c>
      <c r="V3590" t="s">
        <v>12358</v>
      </c>
      <c r="W3590" t="s">
        <v>12359</v>
      </c>
      <c r="AD3590" t="s">
        <v>3095</v>
      </c>
      <c r="AE3590" t="s">
        <v>12360</v>
      </c>
      <c r="AF3590" t="s">
        <v>12361</v>
      </c>
    </row>
    <row r="3591" spans="1:32" hidden="1" x14ac:dyDescent="0.35">
      <c r="A3591">
        <v>740</v>
      </c>
      <c r="B3591" t="s">
        <v>1513</v>
      </c>
      <c r="C3591" t="s">
        <v>72</v>
      </c>
      <c r="D3591" t="s">
        <v>60</v>
      </c>
      <c r="E3591">
        <v>882</v>
      </c>
      <c r="F3591">
        <v>5</v>
      </c>
      <c r="G3591">
        <v>5</v>
      </c>
      <c r="H3591">
        <v>1</v>
      </c>
      <c r="I3591">
        <v>1</v>
      </c>
      <c r="J3591">
        <v>0.89667761956918601</v>
      </c>
      <c r="K3591">
        <v>0.93690340350187096</v>
      </c>
      <c r="L3591">
        <v>0.91634926741469602</v>
      </c>
      <c r="M3591">
        <v>0.75447570332480796</v>
      </c>
      <c r="N3591">
        <v>1</v>
      </c>
      <c r="O3591">
        <v>0.82864450127877198</v>
      </c>
      <c r="P3591" t="s">
        <v>1514</v>
      </c>
      <c r="Q3591" t="s">
        <v>1515</v>
      </c>
      <c r="R3591" t="s">
        <v>224</v>
      </c>
      <c r="S3591" t="s">
        <v>225</v>
      </c>
      <c r="T3591" t="s">
        <v>1516</v>
      </c>
      <c r="U3591" t="s">
        <v>1517</v>
      </c>
      <c r="V3591" t="s">
        <v>1518</v>
      </c>
      <c r="W3591" t="s">
        <v>1519</v>
      </c>
      <c r="AD3591" t="s">
        <v>210</v>
      </c>
      <c r="AE3591" t="s">
        <v>1520</v>
      </c>
      <c r="AF3591" t="s">
        <v>1522</v>
      </c>
    </row>
    <row r="3592" spans="1:32" hidden="1" x14ac:dyDescent="0.35">
      <c r="A3592">
        <v>741</v>
      </c>
      <c r="B3592" t="s">
        <v>1513</v>
      </c>
      <c r="C3592" t="s">
        <v>72</v>
      </c>
      <c r="D3592" t="s">
        <v>62</v>
      </c>
      <c r="E3592">
        <v>916</v>
      </c>
      <c r="F3592">
        <v>5</v>
      </c>
      <c r="G3592">
        <v>5</v>
      </c>
      <c r="H3592">
        <v>1</v>
      </c>
      <c r="I3592">
        <v>1</v>
      </c>
      <c r="J3592">
        <v>0.89667761956918601</v>
      </c>
      <c r="K3592">
        <v>0.93690340350187096</v>
      </c>
      <c r="L3592">
        <v>0.91634926741469602</v>
      </c>
      <c r="M3592">
        <v>0.75447570332480796</v>
      </c>
      <c r="N3592">
        <v>1</v>
      </c>
      <c r="O3592">
        <v>0.82864450127877198</v>
      </c>
      <c r="P3592" t="s">
        <v>1514</v>
      </c>
      <c r="Q3592" t="s">
        <v>1515</v>
      </c>
      <c r="R3592" t="s">
        <v>224</v>
      </c>
      <c r="S3592" t="s">
        <v>225</v>
      </c>
      <c r="T3592" t="s">
        <v>1516</v>
      </c>
      <c r="U3592" t="s">
        <v>1517</v>
      </c>
      <c r="V3592" t="s">
        <v>1518</v>
      </c>
      <c r="W3592" t="s">
        <v>1519</v>
      </c>
      <c r="AD3592" t="s">
        <v>210</v>
      </c>
      <c r="AE3592" t="s">
        <v>1520</v>
      </c>
      <c r="AF3592" t="s">
        <v>1522</v>
      </c>
    </row>
    <row r="3593" spans="1:32" hidden="1" x14ac:dyDescent="0.35">
      <c r="A3593">
        <v>742</v>
      </c>
      <c r="B3593" t="s">
        <v>1513</v>
      </c>
      <c r="C3593" t="s">
        <v>72</v>
      </c>
      <c r="D3593" t="s">
        <v>34</v>
      </c>
      <c r="E3593">
        <v>272</v>
      </c>
      <c r="F3593">
        <v>5</v>
      </c>
      <c r="G3593">
        <v>5</v>
      </c>
      <c r="H3593">
        <v>1</v>
      </c>
      <c r="I3593">
        <v>1</v>
      </c>
      <c r="J3593">
        <v>0.89667761956918601</v>
      </c>
      <c r="K3593">
        <v>0.93690340350187096</v>
      </c>
      <c r="L3593">
        <v>0.91634926741469602</v>
      </c>
      <c r="M3593">
        <v>0.75447570332480796</v>
      </c>
      <c r="N3593">
        <v>1</v>
      </c>
      <c r="O3593">
        <v>0.82864450127877198</v>
      </c>
      <c r="P3593" t="s">
        <v>1514</v>
      </c>
      <c r="Q3593" t="s">
        <v>1515</v>
      </c>
      <c r="R3593" t="s">
        <v>224</v>
      </c>
      <c r="S3593" t="s">
        <v>225</v>
      </c>
      <c r="T3593" t="s">
        <v>1516</v>
      </c>
      <c r="U3593" t="s">
        <v>1517</v>
      </c>
      <c r="V3593" t="s">
        <v>1518</v>
      </c>
      <c r="W3593" t="s">
        <v>1519</v>
      </c>
      <c r="AD3593" t="s">
        <v>210</v>
      </c>
      <c r="AE3593" t="s">
        <v>1520</v>
      </c>
      <c r="AF3593" t="s">
        <v>1523</v>
      </c>
    </row>
    <row r="3594" spans="1:32" hidden="1" x14ac:dyDescent="0.35">
      <c r="A3594">
        <v>743</v>
      </c>
      <c r="B3594" t="s">
        <v>1513</v>
      </c>
      <c r="C3594" t="s">
        <v>72</v>
      </c>
      <c r="D3594" t="s">
        <v>45</v>
      </c>
      <c r="E3594">
        <v>1534</v>
      </c>
      <c r="F3594">
        <v>5</v>
      </c>
      <c r="G3594">
        <v>5</v>
      </c>
      <c r="H3594">
        <v>1</v>
      </c>
      <c r="I3594">
        <v>1</v>
      </c>
      <c r="J3594">
        <v>0.89667761956918601</v>
      </c>
      <c r="K3594">
        <v>0.93690340350187096</v>
      </c>
      <c r="L3594">
        <v>0.91634926741469602</v>
      </c>
      <c r="M3594">
        <v>0.75447570332480796</v>
      </c>
      <c r="N3594">
        <v>1</v>
      </c>
      <c r="O3594">
        <v>0.82864450127877198</v>
      </c>
      <c r="P3594" t="s">
        <v>1514</v>
      </c>
      <c r="Q3594" t="s">
        <v>1515</v>
      </c>
      <c r="R3594" t="s">
        <v>224</v>
      </c>
      <c r="S3594" t="s">
        <v>225</v>
      </c>
      <c r="T3594" t="s">
        <v>1516</v>
      </c>
      <c r="U3594" t="s">
        <v>1517</v>
      </c>
      <c r="V3594" t="s">
        <v>1518</v>
      </c>
      <c r="W3594" t="s">
        <v>1519</v>
      </c>
      <c r="AD3594" t="s">
        <v>210</v>
      </c>
      <c r="AE3594" t="s">
        <v>1520</v>
      </c>
      <c r="AF3594" t="s">
        <v>1524</v>
      </c>
    </row>
    <row r="3595" spans="1:32" hidden="1" x14ac:dyDescent="0.35">
      <c r="A3595">
        <v>2489</v>
      </c>
      <c r="B3595" t="s">
        <v>5153</v>
      </c>
      <c r="C3595" t="s">
        <v>72</v>
      </c>
      <c r="D3595" t="s">
        <v>58</v>
      </c>
      <c r="E3595">
        <v>1050</v>
      </c>
      <c r="F3595">
        <v>5</v>
      </c>
      <c r="G3595">
        <v>5</v>
      </c>
      <c r="H3595">
        <v>1</v>
      </c>
      <c r="I3595">
        <v>1</v>
      </c>
      <c r="J3595">
        <v>0.85381054131054102</v>
      </c>
      <c r="K3595">
        <v>0.85317335272492201</v>
      </c>
      <c r="L3595">
        <v>0.85349182809180202</v>
      </c>
      <c r="M3595">
        <v>0.59641255605381205</v>
      </c>
      <c r="N3595">
        <v>1</v>
      </c>
      <c r="O3595">
        <v>0.73677130044842998</v>
      </c>
      <c r="P3595" t="s">
        <v>5154</v>
      </c>
      <c r="Q3595" t="s">
        <v>5155</v>
      </c>
      <c r="R3595" t="s">
        <v>371</v>
      </c>
      <c r="S3595" t="s">
        <v>372</v>
      </c>
      <c r="T3595" t="s">
        <v>5156</v>
      </c>
      <c r="U3595" t="s">
        <v>5157</v>
      </c>
      <c r="V3595" t="s">
        <v>5158</v>
      </c>
      <c r="W3595" t="s">
        <v>5159</v>
      </c>
      <c r="AD3595" t="s">
        <v>3253</v>
      </c>
      <c r="AE3595" t="s">
        <v>5160</v>
      </c>
      <c r="AF3595" t="s">
        <v>5161</v>
      </c>
    </row>
    <row r="3596" spans="1:32" hidden="1" x14ac:dyDescent="0.35">
      <c r="A3596">
        <v>755</v>
      </c>
      <c r="B3596" t="s">
        <v>1538</v>
      </c>
      <c r="C3596" t="s">
        <v>72</v>
      </c>
      <c r="D3596" t="s">
        <v>60</v>
      </c>
      <c r="E3596">
        <v>380</v>
      </c>
      <c r="F3596">
        <v>5</v>
      </c>
      <c r="G3596">
        <v>5</v>
      </c>
      <c r="H3596">
        <v>1</v>
      </c>
      <c r="I3596">
        <v>1</v>
      </c>
      <c r="J3596">
        <v>0.93666666666666698</v>
      </c>
      <c r="K3596">
        <v>1</v>
      </c>
      <c r="L3596">
        <v>0.96729776247848498</v>
      </c>
      <c r="M3596">
        <v>0.878571428571429</v>
      </c>
      <c r="N3596">
        <v>1</v>
      </c>
      <c r="O3596">
        <v>0.91142857142857103</v>
      </c>
      <c r="P3596" t="s">
        <v>1539</v>
      </c>
      <c r="Q3596" t="s">
        <v>1540</v>
      </c>
      <c r="R3596" t="s">
        <v>224</v>
      </c>
      <c r="S3596" t="s">
        <v>225</v>
      </c>
      <c r="T3596" t="s">
        <v>1541</v>
      </c>
      <c r="U3596" t="s">
        <v>1542</v>
      </c>
      <c r="V3596" t="s">
        <v>1543</v>
      </c>
      <c r="W3596" t="s">
        <v>1544</v>
      </c>
      <c r="X3596" t="s">
        <v>1543</v>
      </c>
      <c r="Y3596" t="s">
        <v>749</v>
      </c>
      <c r="AD3596" t="s">
        <v>762</v>
      </c>
      <c r="AE3596" t="s">
        <v>1545</v>
      </c>
      <c r="AF3596" t="s">
        <v>1547</v>
      </c>
    </row>
    <row r="3597" spans="1:32" hidden="1" x14ac:dyDescent="0.35">
      <c r="A3597">
        <v>756</v>
      </c>
      <c r="B3597" t="s">
        <v>1538</v>
      </c>
      <c r="C3597" t="s">
        <v>72</v>
      </c>
      <c r="D3597" t="s">
        <v>62</v>
      </c>
      <c r="E3597">
        <v>461</v>
      </c>
      <c r="F3597">
        <v>5</v>
      </c>
      <c r="G3597">
        <v>5</v>
      </c>
      <c r="H3597">
        <v>1</v>
      </c>
      <c r="I3597">
        <v>1</v>
      </c>
      <c r="J3597">
        <v>0.93666666666666698</v>
      </c>
      <c r="K3597">
        <v>1</v>
      </c>
      <c r="L3597">
        <v>0.96729776247848498</v>
      </c>
      <c r="M3597">
        <v>0.878571428571429</v>
      </c>
      <c r="N3597">
        <v>1</v>
      </c>
      <c r="O3597">
        <v>0.91142857142857103</v>
      </c>
      <c r="P3597" t="s">
        <v>1539</v>
      </c>
      <c r="Q3597" t="s">
        <v>1540</v>
      </c>
      <c r="R3597" t="s">
        <v>224</v>
      </c>
      <c r="S3597" t="s">
        <v>225</v>
      </c>
      <c r="T3597" t="s">
        <v>1541</v>
      </c>
      <c r="U3597" t="s">
        <v>1542</v>
      </c>
      <c r="V3597" t="s">
        <v>1543</v>
      </c>
      <c r="W3597" t="s">
        <v>1544</v>
      </c>
      <c r="X3597" t="s">
        <v>1543</v>
      </c>
      <c r="Y3597" t="s">
        <v>749</v>
      </c>
      <c r="AD3597" t="s">
        <v>762</v>
      </c>
      <c r="AE3597" t="s">
        <v>1545</v>
      </c>
      <c r="AF3597" t="s">
        <v>1547</v>
      </c>
    </row>
    <row r="3598" spans="1:32" hidden="1" x14ac:dyDescent="0.35">
      <c r="A3598">
        <v>757</v>
      </c>
      <c r="B3598" t="s">
        <v>1538</v>
      </c>
      <c r="C3598" t="s">
        <v>72</v>
      </c>
      <c r="D3598" t="s">
        <v>34</v>
      </c>
      <c r="E3598">
        <v>731</v>
      </c>
      <c r="F3598">
        <v>5</v>
      </c>
      <c r="G3598">
        <v>5</v>
      </c>
      <c r="H3598">
        <v>1</v>
      </c>
      <c r="I3598">
        <v>1</v>
      </c>
      <c r="J3598">
        <v>0.93666666666666698</v>
      </c>
      <c r="K3598">
        <v>1</v>
      </c>
      <c r="L3598">
        <v>0.96729776247848498</v>
      </c>
      <c r="M3598">
        <v>0.878571428571429</v>
      </c>
      <c r="N3598">
        <v>1</v>
      </c>
      <c r="O3598">
        <v>0.91142857142857103</v>
      </c>
      <c r="P3598" t="s">
        <v>1539</v>
      </c>
      <c r="Q3598" t="s">
        <v>1540</v>
      </c>
      <c r="R3598" t="s">
        <v>224</v>
      </c>
      <c r="S3598" t="s">
        <v>225</v>
      </c>
      <c r="T3598" t="s">
        <v>1541</v>
      </c>
      <c r="U3598" t="s">
        <v>1542</v>
      </c>
      <c r="V3598" t="s">
        <v>1543</v>
      </c>
      <c r="W3598" t="s">
        <v>1544</v>
      </c>
      <c r="X3598" t="s">
        <v>1543</v>
      </c>
      <c r="Y3598" t="s">
        <v>749</v>
      </c>
      <c r="AD3598" t="s">
        <v>762</v>
      </c>
      <c r="AE3598" t="s">
        <v>1545</v>
      </c>
      <c r="AF3598" t="s">
        <v>1548</v>
      </c>
    </row>
    <row r="3599" spans="1:32" hidden="1" x14ac:dyDescent="0.35">
      <c r="A3599">
        <v>758</v>
      </c>
      <c r="B3599" t="s">
        <v>1538</v>
      </c>
      <c r="C3599" t="s">
        <v>72</v>
      </c>
      <c r="D3599" t="s">
        <v>45</v>
      </c>
      <c r="E3599">
        <v>1997</v>
      </c>
      <c r="F3599">
        <v>5</v>
      </c>
      <c r="G3599">
        <v>5</v>
      </c>
      <c r="H3599">
        <v>1</v>
      </c>
      <c r="I3599">
        <v>1</v>
      </c>
      <c r="J3599">
        <v>0.93666666666666698</v>
      </c>
      <c r="K3599">
        <v>1</v>
      </c>
      <c r="L3599">
        <v>0.96729776247848498</v>
      </c>
      <c r="M3599">
        <v>0.878571428571429</v>
      </c>
      <c r="N3599">
        <v>1</v>
      </c>
      <c r="O3599">
        <v>0.91142857142857103</v>
      </c>
      <c r="P3599" t="s">
        <v>1539</v>
      </c>
      <c r="Q3599" t="s">
        <v>1540</v>
      </c>
      <c r="R3599" t="s">
        <v>224</v>
      </c>
      <c r="S3599" t="s">
        <v>225</v>
      </c>
      <c r="T3599" t="s">
        <v>1541</v>
      </c>
      <c r="U3599" t="s">
        <v>1542</v>
      </c>
      <c r="V3599" t="s">
        <v>1543</v>
      </c>
      <c r="W3599" t="s">
        <v>1544</v>
      </c>
      <c r="X3599" t="s">
        <v>1543</v>
      </c>
      <c r="Y3599" t="s">
        <v>749</v>
      </c>
      <c r="AD3599" t="s">
        <v>762</v>
      </c>
      <c r="AE3599" t="s">
        <v>1545</v>
      </c>
      <c r="AF3599" t="s">
        <v>1548</v>
      </c>
    </row>
    <row r="3600" spans="1:32" hidden="1" x14ac:dyDescent="0.35">
      <c r="A3600">
        <v>3444</v>
      </c>
      <c r="B3600" t="s">
        <v>7081</v>
      </c>
      <c r="C3600" t="s">
        <v>72</v>
      </c>
      <c r="D3600" t="s">
        <v>58</v>
      </c>
      <c r="E3600">
        <v>1048</v>
      </c>
      <c r="F3600">
        <v>5</v>
      </c>
      <c r="G3600">
        <v>5</v>
      </c>
      <c r="H3600">
        <v>1</v>
      </c>
      <c r="I3600">
        <v>1</v>
      </c>
      <c r="J3600">
        <v>0.88741599926355497</v>
      </c>
      <c r="K3600">
        <v>0.98407401374244396</v>
      </c>
      <c r="L3600">
        <v>0.93324892805799797</v>
      </c>
      <c r="M3600">
        <v>0.79619565217391297</v>
      </c>
      <c r="N3600">
        <v>1</v>
      </c>
      <c r="O3600">
        <v>0.84538043478260905</v>
      </c>
      <c r="P3600" t="s">
        <v>7082</v>
      </c>
      <c r="Q3600" t="s">
        <v>7083</v>
      </c>
      <c r="R3600" t="s">
        <v>371</v>
      </c>
      <c r="S3600" t="s">
        <v>372</v>
      </c>
      <c r="T3600" t="s">
        <v>7084</v>
      </c>
      <c r="U3600" t="s">
        <v>7085</v>
      </c>
      <c r="V3600" t="s">
        <v>7086</v>
      </c>
      <c r="W3600" t="s">
        <v>7087</v>
      </c>
      <c r="AD3600" t="s">
        <v>3253</v>
      </c>
      <c r="AE3600" t="s">
        <v>7088</v>
      </c>
      <c r="AF3600" t="s">
        <v>7089</v>
      </c>
    </row>
    <row r="3601" spans="1:32" hidden="1" x14ac:dyDescent="0.35">
      <c r="A3601">
        <v>760</v>
      </c>
      <c r="B3601" t="s">
        <v>1549</v>
      </c>
      <c r="C3601" t="s">
        <v>72</v>
      </c>
      <c r="D3601" t="s">
        <v>60</v>
      </c>
      <c r="E3601">
        <v>1759</v>
      </c>
      <c r="F3601">
        <v>5</v>
      </c>
      <c r="G3601">
        <v>5</v>
      </c>
      <c r="H3601">
        <v>1</v>
      </c>
      <c r="I3601">
        <v>1</v>
      </c>
      <c r="J3601">
        <v>0.88671328671328697</v>
      </c>
      <c r="K3601">
        <v>1</v>
      </c>
      <c r="L3601">
        <v>0.93995552260934001</v>
      </c>
      <c r="M3601">
        <v>0.80419580419580405</v>
      </c>
      <c r="N3601">
        <v>1</v>
      </c>
      <c r="O3601">
        <v>0.85874125874125895</v>
      </c>
      <c r="P3601" t="s">
        <v>1550</v>
      </c>
      <c r="Q3601" t="s">
        <v>1551</v>
      </c>
      <c r="R3601" t="s">
        <v>224</v>
      </c>
      <c r="S3601" t="s">
        <v>225</v>
      </c>
      <c r="T3601" t="s">
        <v>1552</v>
      </c>
      <c r="U3601" t="s">
        <v>1553</v>
      </c>
      <c r="V3601" t="s">
        <v>1554</v>
      </c>
      <c r="W3601" t="s">
        <v>1555</v>
      </c>
      <c r="AD3601" t="s">
        <v>312</v>
      </c>
      <c r="AE3601" t="s">
        <v>805</v>
      </c>
      <c r="AF3601" t="s">
        <v>1557</v>
      </c>
    </row>
    <row r="3602" spans="1:32" hidden="1" x14ac:dyDescent="0.35">
      <c r="A3602">
        <v>761</v>
      </c>
      <c r="B3602" t="s">
        <v>1549</v>
      </c>
      <c r="C3602" t="s">
        <v>72</v>
      </c>
      <c r="D3602" t="s">
        <v>62</v>
      </c>
      <c r="E3602">
        <v>1795</v>
      </c>
      <c r="F3602">
        <v>5</v>
      </c>
      <c r="G3602">
        <v>5</v>
      </c>
      <c r="H3602">
        <v>1</v>
      </c>
      <c r="I3602">
        <v>1</v>
      </c>
      <c r="J3602">
        <v>0.88671328671328697</v>
      </c>
      <c r="K3602">
        <v>1</v>
      </c>
      <c r="L3602">
        <v>0.93995552260934001</v>
      </c>
      <c r="M3602">
        <v>0.80419580419580405</v>
      </c>
      <c r="N3602">
        <v>1</v>
      </c>
      <c r="O3602">
        <v>0.85874125874125895</v>
      </c>
      <c r="P3602" t="s">
        <v>1550</v>
      </c>
      <c r="Q3602" t="s">
        <v>1551</v>
      </c>
      <c r="R3602" t="s">
        <v>224</v>
      </c>
      <c r="S3602" t="s">
        <v>225</v>
      </c>
      <c r="T3602" t="s">
        <v>1552</v>
      </c>
      <c r="U3602" t="s">
        <v>1553</v>
      </c>
      <c r="V3602" t="s">
        <v>1554</v>
      </c>
      <c r="W3602" t="s">
        <v>1555</v>
      </c>
      <c r="AD3602" t="s">
        <v>312</v>
      </c>
      <c r="AE3602" t="s">
        <v>805</v>
      </c>
      <c r="AF3602" t="s">
        <v>1557</v>
      </c>
    </row>
    <row r="3603" spans="1:32" hidden="1" x14ac:dyDescent="0.35">
      <c r="A3603">
        <v>762</v>
      </c>
      <c r="B3603" t="s">
        <v>1549</v>
      </c>
      <c r="C3603" t="s">
        <v>72</v>
      </c>
      <c r="D3603" t="s">
        <v>34</v>
      </c>
      <c r="E3603">
        <v>2126</v>
      </c>
      <c r="F3603">
        <v>5</v>
      </c>
      <c r="G3603">
        <v>5</v>
      </c>
      <c r="H3603">
        <v>1</v>
      </c>
      <c r="I3603">
        <v>1</v>
      </c>
      <c r="J3603">
        <v>0.88671328671328697</v>
      </c>
      <c r="K3603">
        <v>1</v>
      </c>
      <c r="L3603">
        <v>0.93995552260934001</v>
      </c>
      <c r="M3603">
        <v>0.80419580419580405</v>
      </c>
      <c r="N3603">
        <v>1</v>
      </c>
      <c r="O3603">
        <v>0.85874125874125895</v>
      </c>
      <c r="P3603" t="s">
        <v>1550</v>
      </c>
      <c r="Q3603" t="s">
        <v>1551</v>
      </c>
      <c r="R3603" t="s">
        <v>224</v>
      </c>
      <c r="S3603" t="s">
        <v>225</v>
      </c>
      <c r="T3603" t="s">
        <v>1552</v>
      </c>
      <c r="U3603" t="s">
        <v>1553</v>
      </c>
      <c r="V3603" t="s">
        <v>1554</v>
      </c>
      <c r="W3603" t="s">
        <v>1555</v>
      </c>
      <c r="AD3603" t="s">
        <v>312</v>
      </c>
      <c r="AE3603" t="s">
        <v>805</v>
      </c>
      <c r="AF3603" t="s">
        <v>1558</v>
      </c>
    </row>
    <row r="3604" spans="1:32" hidden="1" x14ac:dyDescent="0.35">
      <c r="A3604">
        <v>763</v>
      </c>
      <c r="B3604" t="s">
        <v>1549</v>
      </c>
      <c r="C3604" t="s">
        <v>72</v>
      </c>
      <c r="D3604" t="s">
        <v>45</v>
      </c>
      <c r="E3604">
        <v>746</v>
      </c>
      <c r="F3604">
        <v>5</v>
      </c>
      <c r="G3604">
        <v>5</v>
      </c>
      <c r="H3604">
        <v>1</v>
      </c>
      <c r="I3604">
        <v>1</v>
      </c>
      <c r="J3604">
        <v>0.88671328671328697</v>
      </c>
      <c r="K3604">
        <v>1</v>
      </c>
      <c r="L3604">
        <v>0.93995552260934001</v>
      </c>
      <c r="M3604">
        <v>0.80419580419580405</v>
      </c>
      <c r="N3604">
        <v>1</v>
      </c>
      <c r="O3604">
        <v>0.85874125874125895</v>
      </c>
      <c r="P3604" t="s">
        <v>1550</v>
      </c>
      <c r="Q3604" t="s">
        <v>1551</v>
      </c>
      <c r="R3604" t="s">
        <v>224</v>
      </c>
      <c r="S3604" t="s">
        <v>225</v>
      </c>
      <c r="T3604" t="s">
        <v>1552</v>
      </c>
      <c r="U3604" t="s">
        <v>1553</v>
      </c>
      <c r="V3604" t="s">
        <v>1554</v>
      </c>
      <c r="W3604" t="s">
        <v>1555</v>
      </c>
      <c r="AD3604" t="s">
        <v>312</v>
      </c>
      <c r="AE3604" t="s">
        <v>805</v>
      </c>
      <c r="AF3604" t="s">
        <v>1558</v>
      </c>
    </row>
    <row r="3605" spans="1:32" hidden="1" x14ac:dyDescent="0.35">
      <c r="A3605">
        <v>2924</v>
      </c>
      <c r="B3605" t="s">
        <v>6030</v>
      </c>
      <c r="C3605" t="s">
        <v>72</v>
      </c>
      <c r="D3605" t="s">
        <v>58</v>
      </c>
      <c r="E3605">
        <v>805</v>
      </c>
      <c r="F3605">
        <v>5</v>
      </c>
      <c r="G3605">
        <v>5</v>
      </c>
      <c r="H3605">
        <v>1</v>
      </c>
      <c r="I3605">
        <v>1</v>
      </c>
      <c r="J3605">
        <v>0.87945646844575198</v>
      </c>
      <c r="K3605">
        <v>0.98344925825163299</v>
      </c>
      <c r="L3605">
        <v>0.92855027408273305</v>
      </c>
      <c r="M3605">
        <v>0.76446280991735505</v>
      </c>
      <c r="N3605">
        <v>1</v>
      </c>
      <c r="O3605">
        <v>0.83202479338843005</v>
      </c>
      <c r="P3605" t="s">
        <v>6031</v>
      </c>
      <c r="Q3605" t="s">
        <v>6032</v>
      </c>
      <c r="R3605" t="s">
        <v>235</v>
      </c>
      <c r="S3605" t="s">
        <v>236</v>
      </c>
      <c r="T3605" t="s">
        <v>6033</v>
      </c>
      <c r="U3605" t="s">
        <v>6034</v>
      </c>
      <c r="V3605" t="s">
        <v>6035</v>
      </c>
      <c r="W3605" t="s">
        <v>6036</v>
      </c>
      <c r="X3605" t="s">
        <v>6035</v>
      </c>
      <c r="Y3605" t="s">
        <v>1108</v>
      </c>
      <c r="Z3605" t="s">
        <v>2868</v>
      </c>
      <c r="AA3605" t="s">
        <v>2869</v>
      </c>
      <c r="AB3605" t="s">
        <v>2868</v>
      </c>
      <c r="AC3605" t="s">
        <v>1111</v>
      </c>
      <c r="AD3605" t="s">
        <v>147</v>
      </c>
      <c r="AE3605" t="s">
        <v>6037</v>
      </c>
      <c r="AF3605" t="s">
        <v>6038</v>
      </c>
    </row>
    <row r="3606" spans="1:32" hidden="1" x14ac:dyDescent="0.35">
      <c r="A3606">
        <v>775</v>
      </c>
      <c r="B3606" t="s">
        <v>1581</v>
      </c>
      <c r="C3606" t="s">
        <v>72</v>
      </c>
      <c r="D3606" t="s">
        <v>60</v>
      </c>
      <c r="E3606">
        <v>1959</v>
      </c>
      <c r="F3606">
        <v>5</v>
      </c>
      <c r="G3606">
        <v>5</v>
      </c>
      <c r="H3606">
        <v>1</v>
      </c>
      <c r="I3606">
        <v>1</v>
      </c>
      <c r="J3606">
        <v>0.781378267444372</v>
      </c>
      <c r="K3606">
        <v>0.99548387096774105</v>
      </c>
      <c r="L3606">
        <v>0.87553158520301799</v>
      </c>
      <c r="M3606">
        <v>0.54193548387096802</v>
      </c>
      <c r="N3606">
        <v>1</v>
      </c>
      <c r="O3606">
        <v>0.69161290322580604</v>
      </c>
      <c r="P3606" t="s">
        <v>1582</v>
      </c>
      <c r="Q3606" t="s">
        <v>1583</v>
      </c>
      <c r="R3606" t="s">
        <v>224</v>
      </c>
      <c r="S3606" t="s">
        <v>225</v>
      </c>
      <c r="T3606" t="s">
        <v>1584</v>
      </c>
      <c r="U3606" t="s">
        <v>1585</v>
      </c>
      <c r="V3606" t="s">
        <v>1586</v>
      </c>
      <c r="W3606" t="s">
        <v>1587</v>
      </c>
      <c r="AD3606" t="s">
        <v>210</v>
      </c>
      <c r="AE3606" t="s">
        <v>1520</v>
      </c>
      <c r="AF3606" t="s">
        <v>1589</v>
      </c>
    </row>
    <row r="3607" spans="1:32" hidden="1" x14ac:dyDescent="0.35">
      <c r="A3607">
        <v>776</v>
      </c>
      <c r="B3607" t="s">
        <v>1581</v>
      </c>
      <c r="C3607" t="s">
        <v>72</v>
      </c>
      <c r="D3607" t="s">
        <v>62</v>
      </c>
      <c r="E3607">
        <v>2000</v>
      </c>
      <c r="F3607">
        <v>5</v>
      </c>
      <c r="G3607">
        <v>5</v>
      </c>
      <c r="H3607">
        <v>1</v>
      </c>
      <c r="I3607">
        <v>1</v>
      </c>
      <c r="J3607">
        <v>0.781378267444372</v>
      </c>
      <c r="K3607">
        <v>0.99548387096774105</v>
      </c>
      <c r="L3607">
        <v>0.87553158520301799</v>
      </c>
      <c r="M3607">
        <v>0.54193548387096802</v>
      </c>
      <c r="N3607">
        <v>1</v>
      </c>
      <c r="O3607">
        <v>0.69161290322580604</v>
      </c>
      <c r="P3607" t="s">
        <v>1582</v>
      </c>
      <c r="Q3607" t="s">
        <v>1583</v>
      </c>
      <c r="R3607" t="s">
        <v>224</v>
      </c>
      <c r="S3607" t="s">
        <v>225</v>
      </c>
      <c r="T3607" t="s">
        <v>1584</v>
      </c>
      <c r="U3607" t="s">
        <v>1585</v>
      </c>
      <c r="V3607" t="s">
        <v>1586</v>
      </c>
      <c r="W3607" t="s">
        <v>1587</v>
      </c>
      <c r="AD3607" t="s">
        <v>210</v>
      </c>
      <c r="AE3607" t="s">
        <v>1520</v>
      </c>
      <c r="AF3607" t="s">
        <v>1589</v>
      </c>
    </row>
    <row r="3608" spans="1:32" hidden="1" x14ac:dyDescent="0.35">
      <c r="A3608">
        <v>777</v>
      </c>
      <c r="B3608" t="s">
        <v>1581</v>
      </c>
      <c r="C3608" t="s">
        <v>72</v>
      </c>
      <c r="D3608" t="s">
        <v>34</v>
      </c>
      <c r="E3608">
        <v>2317</v>
      </c>
      <c r="F3608">
        <v>5</v>
      </c>
      <c r="G3608">
        <v>5</v>
      </c>
      <c r="H3608">
        <v>1</v>
      </c>
      <c r="I3608">
        <v>1</v>
      </c>
      <c r="J3608">
        <v>0.781378267444372</v>
      </c>
      <c r="K3608">
        <v>0.99548387096774105</v>
      </c>
      <c r="L3608">
        <v>0.87553158520301799</v>
      </c>
      <c r="M3608">
        <v>0.54193548387096802</v>
      </c>
      <c r="N3608">
        <v>1</v>
      </c>
      <c r="O3608">
        <v>0.69161290322580604</v>
      </c>
      <c r="P3608" t="s">
        <v>1582</v>
      </c>
      <c r="Q3608" t="s">
        <v>1583</v>
      </c>
      <c r="R3608" t="s">
        <v>224</v>
      </c>
      <c r="S3608" t="s">
        <v>225</v>
      </c>
      <c r="T3608" t="s">
        <v>1584</v>
      </c>
      <c r="U3608" t="s">
        <v>1585</v>
      </c>
      <c r="V3608" t="s">
        <v>1586</v>
      </c>
      <c r="W3608" t="s">
        <v>1587</v>
      </c>
      <c r="AD3608" t="s">
        <v>210</v>
      </c>
      <c r="AE3608" t="s">
        <v>1520</v>
      </c>
      <c r="AF3608" t="s">
        <v>1590</v>
      </c>
    </row>
    <row r="3609" spans="1:32" hidden="1" x14ac:dyDescent="0.35">
      <c r="A3609">
        <v>778</v>
      </c>
      <c r="B3609" t="s">
        <v>1581</v>
      </c>
      <c r="C3609" t="s">
        <v>72</v>
      </c>
      <c r="D3609" t="s">
        <v>45</v>
      </c>
      <c r="E3609">
        <v>561</v>
      </c>
      <c r="F3609">
        <v>5</v>
      </c>
      <c r="G3609">
        <v>5</v>
      </c>
      <c r="H3609">
        <v>1</v>
      </c>
      <c r="I3609">
        <v>1</v>
      </c>
      <c r="J3609">
        <v>0.781378267444372</v>
      </c>
      <c r="K3609">
        <v>0.99548387096774105</v>
      </c>
      <c r="L3609">
        <v>0.87553158520301799</v>
      </c>
      <c r="M3609">
        <v>0.54193548387096802</v>
      </c>
      <c r="N3609">
        <v>1</v>
      </c>
      <c r="O3609">
        <v>0.69161290322580604</v>
      </c>
      <c r="P3609" t="s">
        <v>1582</v>
      </c>
      <c r="Q3609" t="s">
        <v>1583</v>
      </c>
      <c r="R3609" t="s">
        <v>224</v>
      </c>
      <c r="S3609" t="s">
        <v>225</v>
      </c>
      <c r="T3609" t="s">
        <v>1584</v>
      </c>
      <c r="U3609" t="s">
        <v>1585</v>
      </c>
      <c r="V3609" t="s">
        <v>1586</v>
      </c>
      <c r="W3609" t="s">
        <v>1587</v>
      </c>
      <c r="AD3609" t="s">
        <v>210</v>
      </c>
      <c r="AE3609" t="s">
        <v>1520</v>
      </c>
      <c r="AF3609" t="s">
        <v>1590</v>
      </c>
    </row>
    <row r="3610" spans="1:32" hidden="1" x14ac:dyDescent="0.35">
      <c r="A3610">
        <v>1164</v>
      </c>
      <c r="B3610" t="s">
        <v>2424</v>
      </c>
      <c r="C3610" t="s">
        <v>72</v>
      </c>
      <c r="D3610" t="s">
        <v>58</v>
      </c>
      <c r="E3610">
        <v>1258</v>
      </c>
      <c r="F3610">
        <v>5</v>
      </c>
      <c r="G3610">
        <v>5</v>
      </c>
      <c r="H3610">
        <v>1</v>
      </c>
      <c r="I3610">
        <v>1</v>
      </c>
      <c r="J3610">
        <v>0.84988610478359905</v>
      </c>
      <c r="K3610">
        <v>0.98232160592289697</v>
      </c>
      <c r="L3610">
        <v>0.91131750884364504</v>
      </c>
      <c r="M3610">
        <v>0.711409395973154</v>
      </c>
      <c r="N3610">
        <v>1</v>
      </c>
      <c r="O3610">
        <v>0.79217002237136502</v>
      </c>
      <c r="P3610" t="s">
        <v>2425</v>
      </c>
      <c r="Q3610" t="s">
        <v>2426</v>
      </c>
      <c r="R3610" t="s">
        <v>235</v>
      </c>
      <c r="S3610" t="s">
        <v>236</v>
      </c>
      <c r="T3610" t="s">
        <v>2427</v>
      </c>
      <c r="U3610" t="s">
        <v>2428</v>
      </c>
      <c r="V3610" t="s">
        <v>2429</v>
      </c>
      <c r="W3610" t="s">
        <v>2430</v>
      </c>
      <c r="X3610" t="s">
        <v>2429</v>
      </c>
      <c r="Y3610" t="s">
        <v>2431</v>
      </c>
      <c r="Z3610" t="s">
        <v>2432</v>
      </c>
      <c r="AA3610" t="s">
        <v>2433</v>
      </c>
      <c r="AB3610" t="s">
        <v>2432</v>
      </c>
      <c r="AC3610" t="s">
        <v>2434</v>
      </c>
      <c r="AD3610" t="s">
        <v>951</v>
      </c>
      <c r="AE3610" t="s">
        <v>2435</v>
      </c>
      <c r="AF3610" t="s">
        <v>2436</v>
      </c>
    </row>
    <row r="3611" spans="1:32" hidden="1" x14ac:dyDescent="0.35">
      <c r="A3611">
        <v>780</v>
      </c>
      <c r="B3611" t="s">
        <v>1591</v>
      </c>
      <c r="C3611" t="s">
        <v>72</v>
      </c>
      <c r="D3611" t="s">
        <v>60</v>
      </c>
      <c r="E3611">
        <v>1322</v>
      </c>
      <c r="F3611">
        <v>5</v>
      </c>
      <c r="G3611">
        <v>5</v>
      </c>
      <c r="H3611">
        <v>1</v>
      </c>
      <c r="I3611">
        <v>1</v>
      </c>
      <c r="J3611">
        <v>0.87586618876941502</v>
      </c>
      <c r="K3611">
        <v>1</v>
      </c>
      <c r="L3611">
        <v>0.93382587096363301</v>
      </c>
      <c r="M3611">
        <v>0.77419354838709697</v>
      </c>
      <c r="N3611">
        <v>1</v>
      </c>
      <c r="O3611">
        <v>0.84193548387096795</v>
      </c>
      <c r="P3611" t="s">
        <v>1592</v>
      </c>
      <c r="Q3611" t="s">
        <v>1593</v>
      </c>
      <c r="R3611" t="s">
        <v>224</v>
      </c>
      <c r="S3611" t="s">
        <v>225</v>
      </c>
      <c r="T3611" t="s">
        <v>1594</v>
      </c>
      <c r="U3611" t="s">
        <v>1595</v>
      </c>
      <c r="V3611" t="s">
        <v>1596</v>
      </c>
      <c r="W3611" t="s">
        <v>1597</v>
      </c>
      <c r="X3611" t="s">
        <v>1596</v>
      </c>
      <c r="Y3611" t="s">
        <v>1598</v>
      </c>
      <c r="AD3611" t="s">
        <v>1599</v>
      </c>
      <c r="AE3611" t="s">
        <v>1600</v>
      </c>
      <c r="AF3611" t="s">
        <v>1602</v>
      </c>
    </row>
    <row r="3612" spans="1:32" hidden="1" x14ac:dyDescent="0.35">
      <c r="A3612">
        <v>781</v>
      </c>
      <c r="B3612" t="s">
        <v>1591</v>
      </c>
      <c r="C3612" t="s">
        <v>72</v>
      </c>
      <c r="D3612" t="s">
        <v>62</v>
      </c>
      <c r="E3612">
        <v>1358</v>
      </c>
      <c r="F3612">
        <v>5</v>
      </c>
      <c r="G3612">
        <v>5</v>
      </c>
      <c r="H3612">
        <v>1</v>
      </c>
      <c r="I3612">
        <v>1</v>
      </c>
      <c r="J3612">
        <v>0.87586618876941502</v>
      </c>
      <c r="K3612">
        <v>1</v>
      </c>
      <c r="L3612">
        <v>0.93382587096363301</v>
      </c>
      <c r="M3612">
        <v>0.77419354838709697</v>
      </c>
      <c r="N3612">
        <v>1</v>
      </c>
      <c r="O3612">
        <v>0.84193548387096795</v>
      </c>
      <c r="P3612" t="s">
        <v>1592</v>
      </c>
      <c r="Q3612" t="s">
        <v>1593</v>
      </c>
      <c r="R3612" t="s">
        <v>224</v>
      </c>
      <c r="S3612" t="s">
        <v>225</v>
      </c>
      <c r="T3612" t="s">
        <v>1594</v>
      </c>
      <c r="U3612" t="s">
        <v>1595</v>
      </c>
      <c r="V3612" t="s">
        <v>1596</v>
      </c>
      <c r="W3612" t="s">
        <v>1597</v>
      </c>
      <c r="X3612" t="s">
        <v>1596</v>
      </c>
      <c r="Y3612" t="s">
        <v>1598</v>
      </c>
      <c r="AD3612" t="s">
        <v>1599</v>
      </c>
      <c r="AE3612" t="s">
        <v>1600</v>
      </c>
      <c r="AF3612" t="s">
        <v>1602</v>
      </c>
    </row>
    <row r="3613" spans="1:32" hidden="1" x14ac:dyDescent="0.35">
      <c r="A3613">
        <v>782</v>
      </c>
      <c r="B3613" t="s">
        <v>1591</v>
      </c>
      <c r="C3613" t="s">
        <v>72</v>
      </c>
      <c r="D3613" t="s">
        <v>34</v>
      </c>
      <c r="E3613">
        <v>1717</v>
      </c>
      <c r="F3613">
        <v>5</v>
      </c>
      <c r="G3613">
        <v>5</v>
      </c>
      <c r="H3613">
        <v>1</v>
      </c>
      <c r="I3613">
        <v>1</v>
      </c>
      <c r="J3613">
        <v>0.87586618876941502</v>
      </c>
      <c r="K3613">
        <v>1</v>
      </c>
      <c r="L3613">
        <v>0.93382587096363301</v>
      </c>
      <c r="M3613">
        <v>0.77419354838709697</v>
      </c>
      <c r="N3613">
        <v>1</v>
      </c>
      <c r="O3613">
        <v>0.84193548387096795</v>
      </c>
      <c r="P3613" t="s">
        <v>1592</v>
      </c>
      <c r="Q3613" t="s">
        <v>1593</v>
      </c>
      <c r="R3613" t="s">
        <v>224</v>
      </c>
      <c r="S3613" t="s">
        <v>225</v>
      </c>
      <c r="T3613" t="s">
        <v>1594</v>
      </c>
      <c r="U3613" t="s">
        <v>1595</v>
      </c>
      <c r="V3613" t="s">
        <v>1596</v>
      </c>
      <c r="W3613" t="s">
        <v>1597</v>
      </c>
      <c r="X3613" t="s">
        <v>1596</v>
      </c>
      <c r="Y3613" t="s">
        <v>1598</v>
      </c>
      <c r="AD3613" t="s">
        <v>1599</v>
      </c>
      <c r="AE3613" t="s">
        <v>1600</v>
      </c>
      <c r="AF3613" t="s">
        <v>1603</v>
      </c>
    </row>
    <row r="3614" spans="1:32" hidden="1" x14ac:dyDescent="0.35">
      <c r="A3614">
        <v>783</v>
      </c>
      <c r="B3614" t="s">
        <v>1591</v>
      </c>
      <c r="C3614" t="s">
        <v>72</v>
      </c>
      <c r="D3614" t="s">
        <v>45</v>
      </c>
      <c r="E3614">
        <v>1157</v>
      </c>
      <c r="F3614">
        <v>5</v>
      </c>
      <c r="G3614">
        <v>5</v>
      </c>
      <c r="H3614">
        <v>1</v>
      </c>
      <c r="I3614">
        <v>1</v>
      </c>
      <c r="J3614">
        <v>0.87586618876941502</v>
      </c>
      <c r="K3614">
        <v>1</v>
      </c>
      <c r="L3614">
        <v>0.93382587096363301</v>
      </c>
      <c r="M3614">
        <v>0.77419354838709697</v>
      </c>
      <c r="N3614">
        <v>1</v>
      </c>
      <c r="O3614">
        <v>0.84193548387096795</v>
      </c>
      <c r="P3614" t="s">
        <v>1592</v>
      </c>
      <c r="Q3614" t="s">
        <v>1593</v>
      </c>
      <c r="R3614" t="s">
        <v>224</v>
      </c>
      <c r="S3614" t="s">
        <v>225</v>
      </c>
      <c r="T3614" t="s">
        <v>1594</v>
      </c>
      <c r="U3614" t="s">
        <v>1595</v>
      </c>
      <c r="V3614" t="s">
        <v>1596</v>
      </c>
      <c r="W3614" t="s">
        <v>1597</v>
      </c>
      <c r="X3614" t="s">
        <v>1596</v>
      </c>
      <c r="Y3614" t="s">
        <v>1598</v>
      </c>
      <c r="AD3614" t="s">
        <v>1599</v>
      </c>
      <c r="AE3614" t="s">
        <v>1600</v>
      </c>
      <c r="AF3614" t="s">
        <v>1604</v>
      </c>
    </row>
    <row r="3615" spans="1:32" hidden="1" x14ac:dyDescent="0.35">
      <c r="A3615">
        <v>3429</v>
      </c>
      <c r="B3615" t="s">
        <v>7039</v>
      </c>
      <c r="C3615" t="s">
        <v>72</v>
      </c>
      <c r="D3615" t="s">
        <v>58</v>
      </c>
      <c r="E3615">
        <v>1256</v>
      </c>
      <c r="F3615">
        <v>5</v>
      </c>
      <c r="G3615">
        <v>5</v>
      </c>
      <c r="H3615">
        <v>1</v>
      </c>
      <c r="I3615">
        <v>1</v>
      </c>
      <c r="J3615">
        <v>0.88638344226579502</v>
      </c>
      <c r="K3615">
        <v>0.99033329130416403</v>
      </c>
      <c r="L3615">
        <v>0.93547951700391896</v>
      </c>
      <c r="M3615">
        <v>0.76375404530744295</v>
      </c>
      <c r="N3615">
        <v>1</v>
      </c>
      <c r="O3615">
        <v>0.83915857605178001</v>
      </c>
      <c r="P3615" t="s">
        <v>7040</v>
      </c>
      <c r="Q3615" t="s">
        <v>7041</v>
      </c>
      <c r="R3615" t="s">
        <v>235</v>
      </c>
      <c r="S3615" t="s">
        <v>236</v>
      </c>
      <c r="T3615" t="s">
        <v>7042</v>
      </c>
      <c r="U3615" t="s">
        <v>7043</v>
      </c>
      <c r="V3615" t="s">
        <v>7044</v>
      </c>
      <c r="W3615" t="s">
        <v>7045</v>
      </c>
      <c r="X3615" t="s">
        <v>7044</v>
      </c>
      <c r="Y3615" t="s">
        <v>7046</v>
      </c>
      <c r="Z3615" t="s">
        <v>7047</v>
      </c>
      <c r="AA3615" t="s">
        <v>7048</v>
      </c>
      <c r="AB3615" t="s">
        <v>7047</v>
      </c>
      <c r="AC3615" t="s">
        <v>7049</v>
      </c>
      <c r="AD3615" t="s">
        <v>245</v>
      </c>
      <c r="AE3615" t="s">
        <v>7050</v>
      </c>
      <c r="AF3615" t="s">
        <v>7051</v>
      </c>
    </row>
    <row r="3616" spans="1:32" hidden="1" x14ac:dyDescent="0.35">
      <c r="A3616">
        <v>790</v>
      </c>
      <c r="B3616" t="s">
        <v>1618</v>
      </c>
      <c r="C3616" t="s">
        <v>72</v>
      </c>
      <c r="D3616" t="s">
        <v>60</v>
      </c>
      <c r="E3616">
        <v>2314</v>
      </c>
      <c r="F3616">
        <v>5</v>
      </c>
      <c r="G3616">
        <v>5</v>
      </c>
      <c r="H3616">
        <v>1</v>
      </c>
      <c r="I3616">
        <v>1</v>
      </c>
      <c r="J3616">
        <v>0.80848687883863801</v>
      </c>
      <c r="K3616">
        <v>0.83711197687570504</v>
      </c>
      <c r="L3616">
        <v>0.82255046188506198</v>
      </c>
      <c r="M3616">
        <v>0.56164383561643805</v>
      </c>
      <c r="N3616">
        <v>1</v>
      </c>
      <c r="O3616">
        <v>0.66529680365296795</v>
      </c>
      <c r="P3616" t="s">
        <v>1619</v>
      </c>
      <c r="Q3616" t="s">
        <v>1620</v>
      </c>
      <c r="R3616" t="s">
        <v>224</v>
      </c>
      <c r="S3616" t="s">
        <v>225</v>
      </c>
      <c r="T3616" t="s">
        <v>1621</v>
      </c>
      <c r="U3616" t="s">
        <v>1622</v>
      </c>
      <c r="V3616" t="s">
        <v>1623</v>
      </c>
      <c r="W3616" t="s">
        <v>1624</v>
      </c>
      <c r="AD3616" t="s">
        <v>219</v>
      </c>
      <c r="AE3616" t="s">
        <v>1625</v>
      </c>
      <c r="AF3616" t="s">
        <v>1627</v>
      </c>
    </row>
    <row r="3617" spans="1:32" hidden="1" x14ac:dyDescent="0.35">
      <c r="A3617">
        <v>791</v>
      </c>
      <c r="B3617" t="s">
        <v>1618</v>
      </c>
      <c r="C3617" t="s">
        <v>72</v>
      </c>
      <c r="D3617" t="s">
        <v>62</v>
      </c>
      <c r="E3617">
        <v>2342</v>
      </c>
      <c r="F3617">
        <v>5</v>
      </c>
      <c r="G3617">
        <v>5</v>
      </c>
      <c r="H3617">
        <v>1</v>
      </c>
      <c r="I3617">
        <v>1</v>
      </c>
      <c r="J3617">
        <v>0.80848687883863801</v>
      </c>
      <c r="K3617">
        <v>0.83711197687570504</v>
      </c>
      <c r="L3617">
        <v>0.82255046188506198</v>
      </c>
      <c r="M3617">
        <v>0.56164383561643805</v>
      </c>
      <c r="N3617">
        <v>1</v>
      </c>
      <c r="O3617">
        <v>0.66529680365296795</v>
      </c>
      <c r="P3617" t="s">
        <v>1619</v>
      </c>
      <c r="Q3617" t="s">
        <v>1620</v>
      </c>
      <c r="R3617" t="s">
        <v>224</v>
      </c>
      <c r="S3617" t="s">
        <v>225</v>
      </c>
      <c r="T3617" t="s">
        <v>1621</v>
      </c>
      <c r="U3617" t="s">
        <v>1622</v>
      </c>
      <c r="V3617" t="s">
        <v>1623</v>
      </c>
      <c r="W3617" t="s">
        <v>1624</v>
      </c>
      <c r="AD3617" t="s">
        <v>219</v>
      </c>
      <c r="AE3617" t="s">
        <v>1625</v>
      </c>
      <c r="AF3617" t="s">
        <v>1628</v>
      </c>
    </row>
    <row r="3618" spans="1:32" hidden="1" x14ac:dyDescent="0.35">
      <c r="A3618">
        <v>792</v>
      </c>
      <c r="B3618" t="s">
        <v>1618</v>
      </c>
      <c r="C3618" t="s">
        <v>72</v>
      </c>
      <c r="D3618" t="s">
        <v>34</v>
      </c>
      <c r="E3618">
        <v>1478</v>
      </c>
      <c r="F3618">
        <v>5</v>
      </c>
      <c r="G3618">
        <v>5</v>
      </c>
      <c r="H3618">
        <v>1</v>
      </c>
      <c r="I3618">
        <v>1</v>
      </c>
      <c r="J3618">
        <v>0.80848687883863801</v>
      </c>
      <c r="K3618">
        <v>0.83711197687570504</v>
      </c>
      <c r="L3618">
        <v>0.82255046188506198</v>
      </c>
      <c r="M3618">
        <v>0.56164383561643805</v>
      </c>
      <c r="N3618">
        <v>1</v>
      </c>
      <c r="O3618">
        <v>0.66529680365296795</v>
      </c>
      <c r="P3618" t="s">
        <v>1619</v>
      </c>
      <c r="Q3618" t="s">
        <v>1620</v>
      </c>
      <c r="R3618" t="s">
        <v>224</v>
      </c>
      <c r="S3618" t="s">
        <v>225</v>
      </c>
      <c r="T3618" t="s">
        <v>1621</v>
      </c>
      <c r="U3618" t="s">
        <v>1622</v>
      </c>
      <c r="V3618" t="s">
        <v>1623</v>
      </c>
      <c r="W3618" t="s">
        <v>1624</v>
      </c>
      <c r="AD3618" t="s">
        <v>219</v>
      </c>
      <c r="AE3618" t="s">
        <v>1625</v>
      </c>
      <c r="AF3618" t="s">
        <v>1629</v>
      </c>
    </row>
    <row r="3619" spans="1:32" hidden="1" x14ac:dyDescent="0.35">
      <c r="A3619">
        <v>793</v>
      </c>
      <c r="B3619" t="s">
        <v>1618</v>
      </c>
      <c r="C3619" t="s">
        <v>72</v>
      </c>
      <c r="D3619" t="s">
        <v>45</v>
      </c>
      <c r="E3619">
        <v>228</v>
      </c>
      <c r="F3619">
        <v>5</v>
      </c>
      <c r="G3619">
        <v>5</v>
      </c>
      <c r="H3619">
        <v>1</v>
      </c>
      <c r="I3619">
        <v>1</v>
      </c>
      <c r="J3619">
        <v>0.80848687883863801</v>
      </c>
      <c r="K3619">
        <v>0.83711197687570504</v>
      </c>
      <c r="L3619">
        <v>0.82255046188506198</v>
      </c>
      <c r="M3619">
        <v>0.56164383561643805</v>
      </c>
      <c r="N3619">
        <v>1</v>
      </c>
      <c r="O3619">
        <v>0.66529680365296795</v>
      </c>
      <c r="P3619" t="s">
        <v>1619</v>
      </c>
      <c r="Q3619" t="s">
        <v>1620</v>
      </c>
      <c r="R3619" t="s">
        <v>224</v>
      </c>
      <c r="S3619" t="s">
        <v>225</v>
      </c>
      <c r="T3619" t="s">
        <v>1621</v>
      </c>
      <c r="U3619" t="s">
        <v>1622</v>
      </c>
      <c r="V3619" t="s">
        <v>1623</v>
      </c>
      <c r="W3619" t="s">
        <v>1624</v>
      </c>
      <c r="AD3619" t="s">
        <v>219</v>
      </c>
      <c r="AE3619" t="s">
        <v>1625</v>
      </c>
      <c r="AF3619" t="s">
        <v>1629</v>
      </c>
    </row>
    <row r="3620" spans="1:32" hidden="1" x14ac:dyDescent="0.35">
      <c r="A3620">
        <v>830</v>
      </c>
      <c r="B3620" t="s">
        <v>1710</v>
      </c>
      <c r="C3620" t="s">
        <v>72</v>
      </c>
      <c r="D3620" t="s">
        <v>60</v>
      </c>
      <c r="E3620">
        <v>397</v>
      </c>
      <c r="F3620">
        <v>5</v>
      </c>
      <c r="G3620">
        <v>5</v>
      </c>
      <c r="H3620">
        <v>1</v>
      </c>
      <c r="I3620">
        <v>1</v>
      </c>
      <c r="J3620">
        <v>0.81456270627062699</v>
      </c>
      <c r="K3620">
        <v>0.68756416625268901</v>
      </c>
      <c r="L3620">
        <v>0.74569483875444698</v>
      </c>
      <c r="M3620">
        <v>0.189090909090909</v>
      </c>
      <c r="N3620">
        <v>1</v>
      </c>
      <c r="O3620">
        <v>0.64490909090909099</v>
      </c>
      <c r="P3620" t="s">
        <v>1720</v>
      </c>
      <c r="Q3620" t="s">
        <v>1721</v>
      </c>
      <c r="R3620" t="s">
        <v>224</v>
      </c>
      <c r="S3620" t="s">
        <v>225</v>
      </c>
      <c r="T3620" t="s">
        <v>1722</v>
      </c>
      <c r="U3620" t="s">
        <v>1723</v>
      </c>
      <c r="V3620" t="s">
        <v>1724</v>
      </c>
      <c r="W3620" t="s">
        <v>1725</v>
      </c>
      <c r="X3620" t="s">
        <v>1724</v>
      </c>
      <c r="Y3620" t="s">
        <v>1598</v>
      </c>
      <c r="AD3620" t="s">
        <v>1717</v>
      </c>
      <c r="AE3620" t="s">
        <v>1718</v>
      </c>
      <c r="AF3620" t="s">
        <v>1726</v>
      </c>
    </row>
    <row r="3621" spans="1:32" hidden="1" x14ac:dyDescent="0.35">
      <c r="A3621">
        <v>831</v>
      </c>
      <c r="B3621" t="s">
        <v>1710</v>
      </c>
      <c r="C3621" t="s">
        <v>72</v>
      </c>
      <c r="D3621" t="s">
        <v>62</v>
      </c>
      <c r="E3621">
        <v>478</v>
      </c>
      <c r="F3621">
        <v>5</v>
      </c>
      <c r="G3621">
        <v>5</v>
      </c>
      <c r="H3621">
        <v>1</v>
      </c>
      <c r="I3621">
        <v>1</v>
      </c>
      <c r="J3621">
        <v>0.81456270627062699</v>
      </c>
      <c r="K3621">
        <v>0.68756416625268901</v>
      </c>
      <c r="L3621">
        <v>0.74569483875444698</v>
      </c>
      <c r="M3621">
        <v>0.189090909090909</v>
      </c>
      <c r="N3621">
        <v>1</v>
      </c>
      <c r="O3621">
        <v>0.64490909090909099</v>
      </c>
      <c r="P3621" t="s">
        <v>1720</v>
      </c>
      <c r="Q3621" t="s">
        <v>1721</v>
      </c>
      <c r="R3621" t="s">
        <v>224</v>
      </c>
      <c r="S3621" t="s">
        <v>225</v>
      </c>
      <c r="T3621" t="s">
        <v>1722</v>
      </c>
      <c r="U3621" t="s">
        <v>1723</v>
      </c>
      <c r="V3621" t="s">
        <v>1724</v>
      </c>
      <c r="W3621" t="s">
        <v>1725</v>
      </c>
      <c r="X3621" t="s">
        <v>1724</v>
      </c>
      <c r="Y3621" t="s">
        <v>1598</v>
      </c>
      <c r="AD3621" t="s">
        <v>1717</v>
      </c>
      <c r="AE3621" t="s">
        <v>1718</v>
      </c>
      <c r="AF3621" t="s">
        <v>1726</v>
      </c>
    </row>
    <row r="3622" spans="1:32" hidden="1" x14ac:dyDescent="0.35">
      <c r="A3622">
        <v>832</v>
      </c>
      <c r="B3622" t="s">
        <v>1710</v>
      </c>
      <c r="C3622" t="s">
        <v>72</v>
      </c>
      <c r="D3622" t="s">
        <v>34</v>
      </c>
      <c r="E3622">
        <v>626</v>
      </c>
      <c r="F3622">
        <v>5</v>
      </c>
      <c r="G3622">
        <v>5</v>
      </c>
      <c r="H3622">
        <v>1</v>
      </c>
      <c r="I3622">
        <v>1</v>
      </c>
      <c r="J3622">
        <v>0.81456270627062699</v>
      </c>
      <c r="K3622">
        <v>0.68756416625268901</v>
      </c>
      <c r="L3622">
        <v>0.74569483875444698</v>
      </c>
      <c r="M3622">
        <v>0.189090909090909</v>
      </c>
      <c r="N3622">
        <v>1</v>
      </c>
      <c r="O3622">
        <v>0.64490909090909099</v>
      </c>
      <c r="P3622" t="s">
        <v>1720</v>
      </c>
      <c r="Q3622" t="s">
        <v>1721</v>
      </c>
      <c r="R3622" t="s">
        <v>224</v>
      </c>
      <c r="S3622" t="s">
        <v>225</v>
      </c>
      <c r="T3622" t="s">
        <v>1722</v>
      </c>
      <c r="U3622" t="s">
        <v>1723</v>
      </c>
      <c r="V3622" t="s">
        <v>1724</v>
      </c>
      <c r="W3622" t="s">
        <v>1725</v>
      </c>
      <c r="X3622" t="s">
        <v>1724</v>
      </c>
      <c r="Y3622" t="s">
        <v>1598</v>
      </c>
      <c r="AD3622" t="s">
        <v>1717</v>
      </c>
      <c r="AE3622" t="s">
        <v>1718</v>
      </c>
      <c r="AF3622" t="e">
        <f>---------------------------------------------MRDM----------------------------------------------------------------------------------------------------------------------------------------------------------------------------------------------------------------------------------------------------------------------------FPTSG-----------------------------------------------------------------SRRLETPEDTQELAAELGAALEAGDVVILDGPVGAGKTTFTQGLARGMGVKGRVTSPTFIIAREHPSLSGGPTLIHVDAYRLL----------DHDASGSLDSLDLDTELDDAVVVAEWGGGLVGQLVPQYLLVTIDREAAVREDPSSQARYISWRIVETSES</f>
        <v>#NAME?</v>
      </c>
    </row>
    <row r="3623" spans="1:32" hidden="1" x14ac:dyDescent="0.35">
      <c r="A3623">
        <v>833</v>
      </c>
      <c r="B3623" t="s">
        <v>1710</v>
      </c>
      <c r="C3623" t="s">
        <v>72</v>
      </c>
      <c r="D3623" t="s">
        <v>45</v>
      </c>
      <c r="E3623">
        <v>1893</v>
      </c>
      <c r="F3623">
        <v>5</v>
      </c>
      <c r="G3623">
        <v>5</v>
      </c>
      <c r="H3623">
        <v>1</v>
      </c>
      <c r="I3623">
        <v>1</v>
      </c>
      <c r="J3623">
        <v>0.81456270627062699</v>
      </c>
      <c r="K3623">
        <v>0.68756416625268901</v>
      </c>
      <c r="L3623">
        <v>0.74569483875444698</v>
      </c>
      <c r="M3623">
        <v>0.189090909090909</v>
      </c>
      <c r="N3623">
        <v>1</v>
      </c>
      <c r="O3623">
        <v>0.64490909090909099</v>
      </c>
      <c r="P3623" t="s">
        <v>1720</v>
      </c>
      <c r="Q3623" t="s">
        <v>1721</v>
      </c>
      <c r="R3623" t="s">
        <v>224</v>
      </c>
      <c r="S3623" t="s">
        <v>225</v>
      </c>
      <c r="T3623" t="s">
        <v>1722</v>
      </c>
      <c r="U3623" t="s">
        <v>1723</v>
      </c>
      <c r="V3623" t="s">
        <v>1724</v>
      </c>
      <c r="W3623" t="s">
        <v>1725</v>
      </c>
      <c r="X3623" t="s">
        <v>1724</v>
      </c>
      <c r="Y3623" t="s">
        <v>1598</v>
      </c>
      <c r="AD3623" t="s">
        <v>1717</v>
      </c>
      <c r="AE3623" t="s">
        <v>1718</v>
      </c>
      <c r="AF3623" t="e">
        <f>---------------------------------------------MRDM----------------------------------------------------------------------------------------------------------------------------------------------------------------------------------------------------------------------------------------------------------------------------FPTSG-----------------------------------------------------------------SRRLETPEDTQELAAELGAALEAGDVVILDGPVGAGKTTFTQGLARGMGVKGRVTSPTFIIAREHPSLSGGPTLIHVDAYRLL----------DHDASGGLDSLDLDTELDDAVVVAEWGGGLVGQLVPQYLLVTIDREAAVREDPSSQARYISWRIVETSES</f>
        <v>#NAME?</v>
      </c>
    </row>
    <row r="3624" spans="1:32" hidden="1" x14ac:dyDescent="0.35">
      <c r="A3624">
        <v>2189</v>
      </c>
      <c r="B3624" t="s">
        <v>4550</v>
      </c>
      <c r="C3624" t="s">
        <v>72</v>
      </c>
      <c r="D3624" t="s">
        <v>58</v>
      </c>
      <c r="E3624">
        <v>1539</v>
      </c>
      <c r="F3624">
        <v>5</v>
      </c>
      <c r="G3624">
        <v>5</v>
      </c>
      <c r="H3624">
        <v>1</v>
      </c>
      <c r="I3624">
        <v>1</v>
      </c>
      <c r="J3624">
        <v>0.81374474053295898</v>
      </c>
      <c r="K3624">
        <v>0.95424940144227299</v>
      </c>
      <c r="L3624">
        <v>0.87841403220130398</v>
      </c>
      <c r="M3624">
        <v>0.65240641711229996</v>
      </c>
      <c r="N3624">
        <v>1</v>
      </c>
      <c r="O3624">
        <v>0.72994652406417104</v>
      </c>
      <c r="P3624" t="s">
        <v>4551</v>
      </c>
      <c r="Q3624" t="s">
        <v>4552</v>
      </c>
      <c r="R3624" t="s">
        <v>235</v>
      </c>
      <c r="S3624" t="s">
        <v>236</v>
      </c>
      <c r="T3624" t="s">
        <v>4553</v>
      </c>
      <c r="U3624" t="s">
        <v>4554</v>
      </c>
      <c r="V3624" t="s">
        <v>4555</v>
      </c>
      <c r="W3624" t="s">
        <v>4556</v>
      </c>
      <c r="X3624" t="s">
        <v>4555</v>
      </c>
      <c r="Y3624" t="s">
        <v>2431</v>
      </c>
      <c r="Z3624" t="s">
        <v>4557</v>
      </c>
      <c r="AA3624" t="s">
        <v>4558</v>
      </c>
      <c r="AB3624" t="s">
        <v>4557</v>
      </c>
      <c r="AC3624" t="s">
        <v>1800</v>
      </c>
      <c r="AD3624" t="s">
        <v>2870</v>
      </c>
      <c r="AE3624" t="s">
        <v>4559</v>
      </c>
      <c r="AF3624" t="s">
        <v>4560</v>
      </c>
    </row>
    <row r="3625" spans="1:32" hidden="1" x14ac:dyDescent="0.35">
      <c r="A3625">
        <v>850</v>
      </c>
      <c r="B3625" t="s">
        <v>1765</v>
      </c>
      <c r="C3625" t="s">
        <v>72</v>
      </c>
      <c r="D3625" t="s">
        <v>60</v>
      </c>
      <c r="E3625">
        <v>587</v>
      </c>
      <c r="F3625">
        <v>5</v>
      </c>
      <c r="G3625">
        <v>5</v>
      </c>
      <c r="H3625">
        <v>1</v>
      </c>
      <c r="I3625">
        <v>1</v>
      </c>
      <c r="J3625">
        <v>0.85884509624198002</v>
      </c>
      <c r="K3625">
        <v>0.98298071827483902</v>
      </c>
      <c r="L3625">
        <v>0.91672965264876305</v>
      </c>
      <c r="M3625">
        <v>0.76126126126126104</v>
      </c>
      <c r="N3625">
        <v>1</v>
      </c>
      <c r="O3625">
        <v>0.81981981981981999</v>
      </c>
      <c r="P3625" t="s">
        <v>1766</v>
      </c>
      <c r="Q3625" t="s">
        <v>1767</v>
      </c>
      <c r="R3625" t="s">
        <v>224</v>
      </c>
      <c r="S3625" t="s">
        <v>225</v>
      </c>
      <c r="T3625" t="s">
        <v>1768</v>
      </c>
      <c r="U3625" t="s">
        <v>1769</v>
      </c>
      <c r="V3625" t="s">
        <v>1770</v>
      </c>
      <c r="W3625" t="s">
        <v>1771</v>
      </c>
      <c r="AD3625" t="s">
        <v>210</v>
      </c>
      <c r="AE3625" t="s">
        <v>1520</v>
      </c>
      <c r="AF3625" t="s">
        <v>1773</v>
      </c>
    </row>
    <row r="3626" spans="1:32" hidden="1" x14ac:dyDescent="0.35">
      <c r="A3626">
        <v>851</v>
      </c>
      <c r="B3626" t="s">
        <v>1765</v>
      </c>
      <c r="C3626" t="s">
        <v>72</v>
      </c>
      <c r="D3626" t="s">
        <v>62</v>
      </c>
      <c r="E3626">
        <v>671</v>
      </c>
      <c r="F3626">
        <v>5</v>
      </c>
      <c r="G3626">
        <v>5</v>
      </c>
      <c r="H3626">
        <v>1</v>
      </c>
      <c r="I3626">
        <v>1</v>
      </c>
      <c r="J3626">
        <v>0.85884509624198002</v>
      </c>
      <c r="K3626">
        <v>0.98298071827483902</v>
      </c>
      <c r="L3626">
        <v>0.91672965264876305</v>
      </c>
      <c r="M3626">
        <v>0.76126126126126104</v>
      </c>
      <c r="N3626">
        <v>1</v>
      </c>
      <c r="O3626">
        <v>0.81981981981981999</v>
      </c>
      <c r="P3626" t="s">
        <v>1766</v>
      </c>
      <c r="Q3626" t="s">
        <v>1767</v>
      </c>
      <c r="R3626" t="s">
        <v>224</v>
      </c>
      <c r="S3626" t="s">
        <v>225</v>
      </c>
      <c r="T3626" t="s">
        <v>1768</v>
      </c>
      <c r="U3626" t="s">
        <v>1769</v>
      </c>
      <c r="V3626" t="s">
        <v>1770</v>
      </c>
      <c r="W3626" t="s">
        <v>1771</v>
      </c>
      <c r="AD3626" t="s">
        <v>210</v>
      </c>
      <c r="AE3626" t="s">
        <v>1520</v>
      </c>
      <c r="AF3626" t="s">
        <v>1773</v>
      </c>
    </row>
    <row r="3627" spans="1:32" hidden="1" x14ac:dyDescent="0.35">
      <c r="A3627">
        <v>852</v>
      </c>
      <c r="B3627" t="s">
        <v>1765</v>
      </c>
      <c r="C3627" t="s">
        <v>72</v>
      </c>
      <c r="D3627" t="s">
        <v>34</v>
      </c>
      <c r="E3627">
        <v>505</v>
      </c>
      <c r="F3627">
        <v>5</v>
      </c>
      <c r="G3627">
        <v>5</v>
      </c>
      <c r="H3627">
        <v>1</v>
      </c>
      <c r="I3627">
        <v>1</v>
      </c>
      <c r="J3627">
        <v>0.85884509624198002</v>
      </c>
      <c r="K3627">
        <v>0.98298071827483902</v>
      </c>
      <c r="L3627">
        <v>0.91672965264876305</v>
      </c>
      <c r="M3627">
        <v>0.76126126126126104</v>
      </c>
      <c r="N3627">
        <v>1</v>
      </c>
      <c r="O3627">
        <v>0.81981981981981999</v>
      </c>
      <c r="P3627" t="s">
        <v>1766</v>
      </c>
      <c r="Q3627" t="s">
        <v>1767</v>
      </c>
      <c r="R3627" t="s">
        <v>224</v>
      </c>
      <c r="S3627" t="s">
        <v>225</v>
      </c>
      <c r="T3627" t="s">
        <v>1768</v>
      </c>
      <c r="U3627" t="s">
        <v>1769</v>
      </c>
      <c r="V3627" t="s">
        <v>1770</v>
      </c>
      <c r="W3627" t="s">
        <v>1771</v>
      </c>
      <c r="AD3627" t="s">
        <v>210</v>
      </c>
      <c r="AE3627" t="s">
        <v>1520</v>
      </c>
      <c r="AF3627" t="s">
        <v>1774</v>
      </c>
    </row>
    <row r="3628" spans="1:32" hidden="1" x14ac:dyDescent="0.35">
      <c r="A3628">
        <v>853</v>
      </c>
      <c r="B3628" t="s">
        <v>1765</v>
      </c>
      <c r="C3628" t="s">
        <v>72</v>
      </c>
      <c r="D3628" t="s">
        <v>45</v>
      </c>
      <c r="E3628">
        <v>1770</v>
      </c>
      <c r="F3628">
        <v>5</v>
      </c>
      <c r="G3628">
        <v>5</v>
      </c>
      <c r="H3628">
        <v>1</v>
      </c>
      <c r="I3628">
        <v>1</v>
      </c>
      <c r="J3628">
        <v>0.85884509624198002</v>
      </c>
      <c r="K3628">
        <v>0.98298071827483902</v>
      </c>
      <c r="L3628">
        <v>0.91672965264876305</v>
      </c>
      <c r="M3628">
        <v>0.76126126126126104</v>
      </c>
      <c r="N3628">
        <v>1</v>
      </c>
      <c r="O3628">
        <v>0.81981981981981999</v>
      </c>
      <c r="P3628" t="s">
        <v>1766</v>
      </c>
      <c r="Q3628" t="s">
        <v>1767</v>
      </c>
      <c r="R3628" t="s">
        <v>224</v>
      </c>
      <c r="S3628" t="s">
        <v>225</v>
      </c>
      <c r="T3628" t="s">
        <v>1768</v>
      </c>
      <c r="U3628" t="s">
        <v>1769</v>
      </c>
      <c r="V3628" t="s">
        <v>1770</v>
      </c>
      <c r="W3628" t="s">
        <v>1771</v>
      </c>
      <c r="AD3628" t="s">
        <v>210</v>
      </c>
      <c r="AE3628" t="s">
        <v>1520</v>
      </c>
      <c r="AF3628" t="s">
        <v>1774</v>
      </c>
    </row>
    <row r="3629" spans="1:32" hidden="1" x14ac:dyDescent="0.35">
      <c r="A3629">
        <v>3264</v>
      </c>
      <c r="B3629" t="s">
        <v>6714</v>
      </c>
      <c r="C3629" t="s">
        <v>72</v>
      </c>
      <c r="D3629" t="s">
        <v>58</v>
      </c>
      <c r="E3629">
        <v>1091</v>
      </c>
      <c r="F3629">
        <v>5</v>
      </c>
      <c r="G3629">
        <v>5</v>
      </c>
      <c r="H3629">
        <v>1</v>
      </c>
      <c r="I3629">
        <v>1</v>
      </c>
      <c r="J3629">
        <v>0.76726910706080598</v>
      </c>
      <c r="K3629">
        <v>0.92804723309167403</v>
      </c>
      <c r="L3629">
        <v>0.840034340470588</v>
      </c>
      <c r="M3629">
        <v>0.51983002832861203</v>
      </c>
      <c r="N3629">
        <v>1</v>
      </c>
      <c r="O3629">
        <v>0.67485835694051</v>
      </c>
      <c r="P3629" t="s">
        <v>6715</v>
      </c>
      <c r="Q3629" t="s">
        <v>6716</v>
      </c>
      <c r="R3629" t="s">
        <v>224</v>
      </c>
      <c r="S3629" t="s">
        <v>225</v>
      </c>
      <c r="T3629" t="s">
        <v>6717</v>
      </c>
      <c r="U3629" t="s">
        <v>6718</v>
      </c>
      <c r="V3629" t="s">
        <v>6719</v>
      </c>
      <c r="W3629" t="s">
        <v>6720</v>
      </c>
      <c r="AD3629" t="s">
        <v>6721</v>
      </c>
      <c r="AE3629" t="s">
        <v>6722</v>
      </c>
      <c r="AF3629" t="s">
        <v>6723</v>
      </c>
    </row>
    <row r="3630" spans="1:32" hidden="1" x14ac:dyDescent="0.35">
      <c r="A3630">
        <v>865</v>
      </c>
      <c r="B3630" t="s">
        <v>1806</v>
      </c>
      <c r="C3630" t="s">
        <v>72</v>
      </c>
      <c r="D3630" t="s">
        <v>60</v>
      </c>
      <c r="E3630">
        <v>424</v>
      </c>
      <c r="F3630">
        <v>5</v>
      </c>
      <c r="G3630">
        <v>5</v>
      </c>
      <c r="H3630">
        <v>1</v>
      </c>
      <c r="I3630">
        <v>1</v>
      </c>
      <c r="J3630">
        <v>0.80437158469945402</v>
      </c>
      <c r="K3630">
        <v>1</v>
      </c>
      <c r="L3630">
        <v>0.89158086008479698</v>
      </c>
      <c r="M3630">
        <v>0.67213114754098402</v>
      </c>
      <c r="N3630">
        <v>1</v>
      </c>
      <c r="O3630">
        <v>0.76721311475409804</v>
      </c>
      <c r="P3630" t="s">
        <v>1807</v>
      </c>
      <c r="Q3630" t="s">
        <v>1808</v>
      </c>
      <c r="R3630" t="s">
        <v>224</v>
      </c>
      <c r="S3630" t="s">
        <v>225</v>
      </c>
      <c r="T3630" t="s">
        <v>1809</v>
      </c>
      <c r="U3630" t="s">
        <v>1810</v>
      </c>
      <c r="V3630" t="s">
        <v>1811</v>
      </c>
      <c r="W3630" t="s">
        <v>1812</v>
      </c>
      <c r="X3630" t="s">
        <v>1811</v>
      </c>
      <c r="Y3630" t="s">
        <v>749</v>
      </c>
      <c r="AD3630" t="s">
        <v>762</v>
      </c>
      <c r="AE3630" t="s">
        <v>1545</v>
      </c>
      <c r="AF3630" t="s">
        <v>1814</v>
      </c>
    </row>
    <row r="3631" spans="1:32" hidden="1" x14ac:dyDescent="0.35">
      <c r="A3631">
        <v>866</v>
      </c>
      <c r="B3631" t="s">
        <v>1806</v>
      </c>
      <c r="C3631" t="s">
        <v>72</v>
      </c>
      <c r="D3631" t="s">
        <v>62</v>
      </c>
      <c r="E3631">
        <v>505</v>
      </c>
      <c r="F3631">
        <v>5</v>
      </c>
      <c r="G3631">
        <v>5</v>
      </c>
      <c r="H3631">
        <v>1</v>
      </c>
      <c r="I3631">
        <v>1</v>
      </c>
      <c r="J3631">
        <v>0.80437158469945402</v>
      </c>
      <c r="K3631">
        <v>1</v>
      </c>
      <c r="L3631">
        <v>0.89158086008479698</v>
      </c>
      <c r="M3631">
        <v>0.67213114754098402</v>
      </c>
      <c r="N3631">
        <v>1</v>
      </c>
      <c r="O3631">
        <v>0.76721311475409804</v>
      </c>
      <c r="P3631" t="s">
        <v>1807</v>
      </c>
      <c r="Q3631" t="s">
        <v>1808</v>
      </c>
      <c r="R3631" t="s">
        <v>224</v>
      </c>
      <c r="S3631" t="s">
        <v>225</v>
      </c>
      <c r="T3631" t="s">
        <v>1809</v>
      </c>
      <c r="U3631" t="s">
        <v>1810</v>
      </c>
      <c r="V3631" t="s">
        <v>1811</v>
      </c>
      <c r="W3631" t="s">
        <v>1812</v>
      </c>
      <c r="X3631" t="s">
        <v>1811</v>
      </c>
      <c r="Y3631" t="s">
        <v>749</v>
      </c>
      <c r="AD3631" t="s">
        <v>762</v>
      </c>
      <c r="AE3631" t="s">
        <v>1545</v>
      </c>
      <c r="AF3631" t="s">
        <v>1814</v>
      </c>
    </row>
    <row r="3632" spans="1:32" hidden="1" x14ac:dyDescent="0.35">
      <c r="A3632">
        <v>867</v>
      </c>
      <c r="B3632" t="s">
        <v>1806</v>
      </c>
      <c r="C3632" t="s">
        <v>72</v>
      </c>
      <c r="D3632" t="s">
        <v>34</v>
      </c>
      <c r="E3632">
        <v>670</v>
      </c>
      <c r="F3632">
        <v>5</v>
      </c>
      <c r="G3632">
        <v>5</v>
      </c>
      <c r="H3632">
        <v>1</v>
      </c>
      <c r="I3632">
        <v>1</v>
      </c>
      <c r="J3632">
        <v>0.80437158469945402</v>
      </c>
      <c r="K3632">
        <v>1</v>
      </c>
      <c r="L3632">
        <v>0.89158086008479698</v>
      </c>
      <c r="M3632">
        <v>0.67213114754098402</v>
      </c>
      <c r="N3632">
        <v>1</v>
      </c>
      <c r="O3632">
        <v>0.76721311475409804</v>
      </c>
      <c r="P3632" t="s">
        <v>1807</v>
      </c>
      <c r="Q3632" t="s">
        <v>1808</v>
      </c>
      <c r="R3632" t="s">
        <v>224</v>
      </c>
      <c r="S3632" t="s">
        <v>225</v>
      </c>
      <c r="T3632" t="s">
        <v>1809</v>
      </c>
      <c r="U3632" t="s">
        <v>1810</v>
      </c>
      <c r="V3632" t="s">
        <v>1811</v>
      </c>
      <c r="W3632" t="s">
        <v>1812</v>
      </c>
      <c r="X3632" t="s">
        <v>1811</v>
      </c>
      <c r="Y3632" t="s">
        <v>749</v>
      </c>
      <c r="AD3632" t="s">
        <v>762</v>
      </c>
      <c r="AE3632" t="s">
        <v>1545</v>
      </c>
      <c r="AF3632" t="s">
        <v>1815</v>
      </c>
    </row>
    <row r="3633" spans="1:32" hidden="1" x14ac:dyDescent="0.35">
      <c r="A3633">
        <v>868</v>
      </c>
      <c r="B3633" t="s">
        <v>1806</v>
      </c>
      <c r="C3633" t="s">
        <v>72</v>
      </c>
      <c r="D3633" t="s">
        <v>45</v>
      </c>
      <c r="E3633">
        <v>1936</v>
      </c>
      <c r="F3633">
        <v>5</v>
      </c>
      <c r="G3633">
        <v>5</v>
      </c>
      <c r="H3633">
        <v>1</v>
      </c>
      <c r="I3633">
        <v>1</v>
      </c>
      <c r="J3633">
        <v>0.80437158469945402</v>
      </c>
      <c r="K3633">
        <v>1</v>
      </c>
      <c r="L3633">
        <v>0.89158086008479698</v>
      </c>
      <c r="M3633">
        <v>0.67213114754098402</v>
      </c>
      <c r="N3633">
        <v>1</v>
      </c>
      <c r="O3633">
        <v>0.76721311475409804</v>
      </c>
      <c r="P3633" t="s">
        <v>1807</v>
      </c>
      <c r="Q3633" t="s">
        <v>1808</v>
      </c>
      <c r="R3633" t="s">
        <v>224</v>
      </c>
      <c r="S3633" t="s">
        <v>225</v>
      </c>
      <c r="T3633" t="s">
        <v>1809</v>
      </c>
      <c r="U3633" t="s">
        <v>1810</v>
      </c>
      <c r="V3633" t="s">
        <v>1811</v>
      </c>
      <c r="W3633" t="s">
        <v>1812</v>
      </c>
      <c r="X3633" t="s">
        <v>1811</v>
      </c>
      <c r="Y3633" t="s">
        <v>749</v>
      </c>
      <c r="AD3633" t="s">
        <v>762</v>
      </c>
      <c r="AE3633" t="s">
        <v>1545</v>
      </c>
      <c r="AF3633" t="s">
        <v>1815</v>
      </c>
    </row>
    <row r="3634" spans="1:32" hidden="1" x14ac:dyDescent="0.35">
      <c r="A3634">
        <v>11843</v>
      </c>
      <c r="B3634" t="s">
        <v>24357</v>
      </c>
      <c r="C3634" t="s">
        <v>33</v>
      </c>
      <c r="D3634" t="s">
        <v>58</v>
      </c>
      <c r="E3634">
        <v>44</v>
      </c>
      <c r="F3634">
        <v>1</v>
      </c>
      <c r="G3634">
        <v>1</v>
      </c>
      <c r="H3634">
        <v>1</v>
      </c>
      <c r="I3634">
        <v>0</v>
      </c>
      <c r="J3634">
        <v>1</v>
      </c>
      <c r="K3634">
        <v>1</v>
      </c>
      <c r="L3634">
        <v>1</v>
      </c>
      <c r="M3634">
        <v>0</v>
      </c>
      <c r="N3634">
        <v>0</v>
      </c>
      <c r="O3634">
        <v>0</v>
      </c>
      <c r="P3634" t="s">
        <v>16812</v>
      </c>
      <c r="Q3634" t="s">
        <v>16813</v>
      </c>
      <c r="R3634" t="s">
        <v>224</v>
      </c>
      <c r="S3634" t="s">
        <v>225</v>
      </c>
      <c r="T3634" t="s">
        <v>16814</v>
      </c>
      <c r="U3634" t="s">
        <v>16815</v>
      </c>
      <c r="V3634" t="s">
        <v>6719</v>
      </c>
      <c r="W3634" t="s">
        <v>6720</v>
      </c>
      <c r="AD3634" t="s">
        <v>6721</v>
      </c>
      <c r="AE3634" t="s">
        <v>6722</v>
      </c>
      <c r="AF3634" t="s">
        <v>24358</v>
      </c>
    </row>
    <row r="3635" spans="1:32" hidden="1" x14ac:dyDescent="0.35">
      <c r="A3635">
        <v>870</v>
      </c>
      <c r="B3635" t="s">
        <v>1816</v>
      </c>
      <c r="C3635" t="s">
        <v>72</v>
      </c>
      <c r="D3635" t="s">
        <v>60</v>
      </c>
      <c r="E3635">
        <v>1980</v>
      </c>
      <c r="F3635">
        <v>5</v>
      </c>
      <c r="G3635">
        <v>5</v>
      </c>
      <c r="H3635">
        <v>1</v>
      </c>
      <c r="I3635">
        <v>1</v>
      </c>
      <c r="J3635">
        <v>0.93201320132013199</v>
      </c>
      <c r="K3635">
        <v>1</v>
      </c>
      <c r="L3635">
        <v>0.96481038606081304</v>
      </c>
      <c r="M3635">
        <v>0.85148514851485102</v>
      </c>
      <c r="N3635">
        <v>1</v>
      </c>
      <c r="O3635">
        <v>0.89900990099009903</v>
      </c>
      <c r="P3635" t="s">
        <v>1817</v>
      </c>
      <c r="Q3635" t="s">
        <v>1818</v>
      </c>
      <c r="R3635" t="s">
        <v>224</v>
      </c>
      <c r="S3635" t="s">
        <v>225</v>
      </c>
      <c r="T3635" t="s">
        <v>1819</v>
      </c>
      <c r="U3635" t="s">
        <v>1820</v>
      </c>
      <c r="V3635" t="s">
        <v>1821</v>
      </c>
      <c r="W3635" t="s">
        <v>1822</v>
      </c>
      <c r="X3635" t="s">
        <v>1821</v>
      </c>
      <c r="Y3635" t="s">
        <v>749</v>
      </c>
      <c r="AD3635" t="s">
        <v>750</v>
      </c>
      <c r="AE3635" t="s">
        <v>751</v>
      </c>
      <c r="AF3635" t="s">
        <v>1824</v>
      </c>
    </row>
    <row r="3636" spans="1:32" hidden="1" x14ac:dyDescent="0.35">
      <c r="A3636">
        <v>871</v>
      </c>
      <c r="B3636" t="s">
        <v>1816</v>
      </c>
      <c r="C3636" t="s">
        <v>72</v>
      </c>
      <c r="D3636" t="s">
        <v>62</v>
      </c>
      <c r="E3636">
        <v>2021</v>
      </c>
      <c r="F3636">
        <v>5</v>
      </c>
      <c r="G3636">
        <v>5</v>
      </c>
      <c r="H3636">
        <v>1</v>
      </c>
      <c r="I3636">
        <v>1</v>
      </c>
      <c r="J3636">
        <v>0.93201320132013199</v>
      </c>
      <c r="K3636">
        <v>1</v>
      </c>
      <c r="L3636">
        <v>0.96481038606081304</v>
      </c>
      <c r="M3636">
        <v>0.85148514851485102</v>
      </c>
      <c r="N3636">
        <v>1</v>
      </c>
      <c r="O3636">
        <v>0.89900990099009903</v>
      </c>
      <c r="P3636" t="s">
        <v>1817</v>
      </c>
      <c r="Q3636" t="s">
        <v>1818</v>
      </c>
      <c r="R3636" t="s">
        <v>224</v>
      </c>
      <c r="S3636" t="s">
        <v>225</v>
      </c>
      <c r="T3636" t="s">
        <v>1819</v>
      </c>
      <c r="U3636" t="s">
        <v>1820</v>
      </c>
      <c r="V3636" t="s">
        <v>1821</v>
      </c>
      <c r="W3636" t="s">
        <v>1822</v>
      </c>
      <c r="X3636" t="s">
        <v>1821</v>
      </c>
      <c r="Y3636" t="s">
        <v>749</v>
      </c>
      <c r="AD3636" t="s">
        <v>750</v>
      </c>
      <c r="AE3636" t="s">
        <v>751</v>
      </c>
      <c r="AF3636" t="s">
        <v>1824</v>
      </c>
    </row>
    <row r="3637" spans="1:32" hidden="1" x14ac:dyDescent="0.35">
      <c r="A3637">
        <v>872</v>
      </c>
      <c r="B3637" t="s">
        <v>1816</v>
      </c>
      <c r="C3637" t="s">
        <v>72</v>
      </c>
      <c r="D3637" t="s">
        <v>34</v>
      </c>
      <c r="E3637">
        <v>2333</v>
      </c>
      <c r="F3637">
        <v>5</v>
      </c>
      <c r="G3637">
        <v>5</v>
      </c>
      <c r="H3637">
        <v>1</v>
      </c>
      <c r="I3637">
        <v>1</v>
      </c>
      <c r="J3637">
        <v>0.93201320132013199</v>
      </c>
      <c r="K3637">
        <v>1</v>
      </c>
      <c r="L3637">
        <v>0.96481038606081304</v>
      </c>
      <c r="M3637">
        <v>0.85148514851485102</v>
      </c>
      <c r="N3637">
        <v>1</v>
      </c>
      <c r="O3637">
        <v>0.89900990099009903</v>
      </c>
      <c r="P3637" t="s">
        <v>1817</v>
      </c>
      <c r="Q3637" t="s">
        <v>1818</v>
      </c>
      <c r="R3637" t="s">
        <v>224</v>
      </c>
      <c r="S3637" t="s">
        <v>225</v>
      </c>
      <c r="T3637" t="s">
        <v>1819</v>
      </c>
      <c r="U3637" t="s">
        <v>1820</v>
      </c>
      <c r="V3637" t="s">
        <v>1821</v>
      </c>
      <c r="W3637" t="s">
        <v>1822</v>
      </c>
      <c r="X3637" t="s">
        <v>1821</v>
      </c>
      <c r="Y3637" t="s">
        <v>749</v>
      </c>
      <c r="AD3637" t="s">
        <v>750</v>
      </c>
      <c r="AE3637" t="s">
        <v>751</v>
      </c>
      <c r="AF3637" t="s">
        <v>1825</v>
      </c>
    </row>
    <row r="3638" spans="1:32" hidden="1" x14ac:dyDescent="0.35">
      <c r="A3638">
        <v>873</v>
      </c>
      <c r="B3638" t="s">
        <v>1816</v>
      </c>
      <c r="C3638" t="s">
        <v>72</v>
      </c>
      <c r="D3638" t="s">
        <v>45</v>
      </c>
      <c r="E3638">
        <v>546</v>
      </c>
      <c r="F3638">
        <v>5</v>
      </c>
      <c r="G3638">
        <v>5</v>
      </c>
      <c r="H3638">
        <v>1</v>
      </c>
      <c r="I3638">
        <v>1</v>
      </c>
      <c r="J3638">
        <v>0.93201320132013199</v>
      </c>
      <c r="K3638">
        <v>1</v>
      </c>
      <c r="L3638">
        <v>0.96481038606081304</v>
      </c>
      <c r="M3638">
        <v>0.85148514851485102</v>
      </c>
      <c r="N3638">
        <v>1</v>
      </c>
      <c r="O3638">
        <v>0.89900990099009903</v>
      </c>
      <c r="P3638" t="s">
        <v>1817</v>
      </c>
      <c r="Q3638" t="s">
        <v>1818</v>
      </c>
      <c r="R3638" t="s">
        <v>224</v>
      </c>
      <c r="S3638" t="s">
        <v>225</v>
      </c>
      <c r="T3638" t="s">
        <v>1819</v>
      </c>
      <c r="U3638" t="s">
        <v>1820</v>
      </c>
      <c r="V3638" t="s">
        <v>1821</v>
      </c>
      <c r="W3638" t="s">
        <v>1822</v>
      </c>
      <c r="X3638" t="s">
        <v>1821</v>
      </c>
      <c r="Y3638" t="s">
        <v>749</v>
      </c>
      <c r="AD3638" t="s">
        <v>750</v>
      </c>
      <c r="AE3638" t="s">
        <v>751</v>
      </c>
      <c r="AF3638" t="s">
        <v>1825</v>
      </c>
    </row>
    <row r="3639" spans="1:32" hidden="1" x14ac:dyDescent="0.35">
      <c r="A3639">
        <v>11874</v>
      </c>
      <c r="B3639" t="s">
        <v>24431</v>
      </c>
      <c r="C3639" t="s">
        <v>33</v>
      </c>
      <c r="D3639" t="s">
        <v>58</v>
      </c>
      <c r="E3639">
        <v>1731</v>
      </c>
      <c r="F3639">
        <v>1</v>
      </c>
      <c r="G3639">
        <v>1</v>
      </c>
      <c r="H3639">
        <v>1</v>
      </c>
      <c r="I3639">
        <v>0</v>
      </c>
      <c r="J3639">
        <v>1</v>
      </c>
      <c r="K3639">
        <v>1</v>
      </c>
      <c r="L3639">
        <v>1</v>
      </c>
      <c r="M3639">
        <v>0</v>
      </c>
      <c r="N3639">
        <v>0</v>
      </c>
      <c r="O3639">
        <v>0</v>
      </c>
      <c r="P3639" t="s">
        <v>4997</v>
      </c>
      <c r="Q3639" t="s">
        <v>4998</v>
      </c>
      <c r="R3639" t="s">
        <v>869</v>
      </c>
      <c r="S3639" t="s">
        <v>870</v>
      </c>
      <c r="T3639" t="s">
        <v>24432</v>
      </c>
      <c r="U3639" t="s">
        <v>407</v>
      </c>
      <c r="V3639" t="s">
        <v>24433</v>
      </c>
      <c r="W3639" t="s">
        <v>24434</v>
      </c>
      <c r="X3639" t="s">
        <v>24433</v>
      </c>
      <c r="Y3639" t="s">
        <v>5003</v>
      </c>
      <c r="AD3639" t="s">
        <v>410</v>
      </c>
      <c r="AE3639" t="s">
        <v>411</v>
      </c>
      <c r="AF3639" t="s">
        <v>24435</v>
      </c>
    </row>
    <row r="3640" spans="1:32" hidden="1" x14ac:dyDescent="0.35">
      <c r="A3640">
        <v>950</v>
      </c>
      <c r="B3640" t="s">
        <v>1970</v>
      </c>
      <c r="C3640" t="s">
        <v>72</v>
      </c>
      <c r="D3640" t="s">
        <v>60</v>
      </c>
      <c r="E3640">
        <v>1616</v>
      </c>
      <c r="F3640">
        <v>5</v>
      </c>
      <c r="G3640">
        <v>5</v>
      </c>
      <c r="H3640">
        <v>1</v>
      </c>
      <c r="I3640">
        <v>1</v>
      </c>
      <c r="J3640">
        <v>0.94817432273262703</v>
      </c>
      <c r="K3640">
        <v>0.98443935926773396</v>
      </c>
      <c r="L3640">
        <v>0.96596658860335005</v>
      </c>
      <c r="M3640">
        <v>0.89565217391304397</v>
      </c>
      <c r="N3640">
        <v>1</v>
      </c>
      <c r="O3640">
        <v>0.92</v>
      </c>
      <c r="P3640" t="s">
        <v>1971</v>
      </c>
      <c r="Q3640" t="s">
        <v>1972</v>
      </c>
      <c r="R3640" t="s">
        <v>224</v>
      </c>
      <c r="S3640" t="s">
        <v>225</v>
      </c>
      <c r="T3640" t="s">
        <v>1973</v>
      </c>
      <c r="U3640" t="s">
        <v>1974</v>
      </c>
      <c r="V3640" t="s">
        <v>1975</v>
      </c>
      <c r="W3640" t="s">
        <v>1976</v>
      </c>
      <c r="X3640" t="s">
        <v>1975</v>
      </c>
      <c r="Y3640" t="s">
        <v>749</v>
      </c>
      <c r="AD3640" t="s">
        <v>750</v>
      </c>
      <c r="AE3640" t="s">
        <v>751</v>
      </c>
      <c r="AF3640" t="s">
        <v>1978</v>
      </c>
    </row>
    <row r="3641" spans="1:32" hidden="1" x14ac:dyDescent="0.35">
      <c r="A3641">
        <v>951</v>
      </c>
      <c r="B3641" t="s">
        <v>1970</v>
      </c>
      <c r="C3641" t="s">
        <v>72</v>
      </c>
      <c r="D3641" t="s">
        <v>62</v>
      </c>
      <c r="E3641">
        <v>1652</v>
      </c>
      <c r="F3641">
        <v>5</v>
      </c>
      <c r="G3641">
        <v>5</v>
      </c>
      <c r="H3641">
        <v>1</v>
      </c>
      <c r="I3641">
        <v>1</v>
      </c>
      <c r="J3641">
        <v>0.94817432273262703</v>
      </c>
      <c r="K3641">
        <v>0.98443935926773396</v>
      </c>
      <c r="L3641">
        <v>0.96596658860335005</v>
      </c>
      <c r="M3641">
        <v>0.89565217391304397</v>
      </c>
      <c r="N3641">
        <v>1</v>
      </c>
      <c r="O3641">
        <v>0.92</v>
      </c>
      <c r="P3641" t="s">
        <v>1971</v>
      </c>
      <c r="Q3641" t="s">
        <v>1972</v>
      </c>
      <c r="R3641" t="s">
        <v>224</v>
      </c>
      <c r="S3641" t="s">
        <v>225</v>
      </c>
      <c r="T3641" t="s">
        <v>1973</v>
      </c>
      <c r="U3641" t="s">
        <v>1974</v>
      </c>
      <c r="V3641" t="s">
        <v>1975</v>
      </c>
      <c r="W3641" t="s">
        <v>1976</v>
      </c>
      <c r="X3641" t="s">
        <v>1975</v>
      </c>
      <c r="Y3641" t="s">
        <v>749</v>
      </c>
      <c r="AD3641" t="s">
        <v>750</v>
      </c>
      <c r="AE3641" t="s">
        <v>751</v>
      </c>
      <c r="AF3641" t="s">
        <v>1978</v>
      </c>
    </row>
    <row r="3642" spans="1:32" hidden="1" x14ac:dyDescent="0.35">
      <c r="A3642">
        <v>952</v>
      </c>
      <c r="B3642" t="s">
        <v>1970</v>
      </c>
      <c r="C3642" t="s">
        <v>72</v>
      </c>
      <c r="D3642" t="s">
        <v>34</v>
      </c>
      <c r="E3642">
        <v>2010</v>
      </c>
      <c r="F3642">
        <v>5</v>
      </c>
      <c r="G3642">
        <v>5</v>
      </c>
      <c r="H3642">
        <v>1</v>
      </c>
      <c r="I3642">
        <v>1</v>
      </c>
      <c r="J3642">
        <v>0.94817432273262703</v>
      </c>
      <c r="K3642">
        <v>0.98443935926773396</v>
      </c>
      <c r="L3642">
        <v>0.96596658860335005</v>
      </c>
      <c r="M3642">
        <v>0.89565217391304397</v>
      </c>
      <c r="N3642">
        <v>1</v>
      </c>
      <c r="O3642">
        <v>0.92</v>
      </c>
      <c r="P3642" t="s">
        <v>1971</v>
      </c>
      <c r="Q3642" t="s">
        <v>1972</v>
      </c>
      <c r="R3642" t="s">
        <v>224</v>
      </c>
      <c r="S3642" t="s">
        <v>225</v>
      </c>
      <c r="T3642" t="s">
        <v>1973</v>
      </c>
      <c r="U3642" t="s">
        <v>1974</v>
      </c>
      <c r="V3642" t="s">
        <v>1975</v>
      </c>
      <c r="W3642" t="s">
        <v>1976</v>
      </c>
      <c r="X3642" t="s">
        <v>1975</v>
      </c>
      <c r="Y3642" t="s">
        <v>749</v>
      </c>
      <c r="AD3642" t="s">
        <v>750</v>
      </c>
      <c r="AE3642" t="s">
        <v>751</v>
      </c>
      <c r="AF3642" t="s">
        <v>1979</v>
      </c>
    </row>
    <row r="3643" spans="1:32" hidden="1" x14ac:dyDescent="0.35">
      <c r="A3643">
        <v>953</v>
      </c>
      <c r="B3643" t="s">
        <v>1970</v>
      </c>
      <c r="C3643" t="s">
        <v>72</v>
      </c>
      <c r="D3643" t="s">
        <v>45</v>
      </c>
      <c r="E3643">
        <v>861</v>
      </c>
      <c r="F3643">
        <v>5</v>
      </c>
      <c r="G3643">
        <v>5</v>
      </c>
      <c r="H3643">
        <v>1</v>
      </c>
      <c r="I3643">
        <v>1</v>
      </c>
      <c r="J3643">
        <v>0.94817432273262703</v>
      </c>
      <c r="K3643">
        <v>0.98443935926773396</v>
      </c>
      <c r="L3643">
        <v>0.96596658860335005</v>
      </c>
      <c r="M3643">
        <v>0.89565217391304397</v>
      </c>
      <c r="N3643">
        <v>1</v>
      </c>
      <c r="O3643">
        <v>0.92</v>
      </c>
      <c r="P3643" t="s">
        <v>1971</v>
      </c>
      <c r="Q3643" t="s">
        <v>1972</v>
      </c>
      <c r="R3643" t="s">
        <v>224</v>
      </c>
      <c r="S3643" t="s">
        <v>225</v>
      </c>
      <c r="T3643" t="s">
        <v>1973</v>
      </c>
      <c r="U3643" t="s">
        <v>1974</v>
      </c>
      <c r="V3643" t="s">
        <v>1975</v>
      </c>
      <c r="W3643" t="s">
        <v>1976</v>
      </c>
      <c r="X3643" t="s">
        <v>1975</v>
      </c>
      <c r="Y3643" t="s">
        <v>749</v>
      </c>
      <c r="AD3643" t="s">
        <v>750</v>
      </c>
      <c r="AE3643" t="s">
        <v>751</v>
      </c>
      <c r="AF3643" t="s">
        <v>1979</v>
      </c>
    </row>
    <row r="3644" spans="1:32" hidden="1" x14ac:dyDescent="0.35">
      <c r="A3644">
        <v>504</v>
      </c>
      <c r="B3644" t="s">
        <v>968</v>
      </c>
      <c r="C3644" t="s">
        <v>72</v>
      </c>
      <c r="D3644" t="s">
        <v>58</v>
      </c>
      <c r="E3644">
        <v>1211</v>
      </c>
      <c r="F3644">
        <v>5</v>
      </c>
      <c r="G3644">
        <v>5</v>
      </c>
      <c r="H3644">
        <v>1</v>
      </c>
      <c r="I3644">
        <v>1</v>
      </c>
      <c r="J3644">
        <v>0.90285938112025099</v>
      </c>
      <c r="K3644">
        <v>0.98583400676423705</v>
      </c>
      <c r="L3644">
        <v>0.94252406128388799</v>
      </c>
      <c r="M3644">
        <v>0.79150579150579103</v>
      </c>
      <c r="N3644">
        <v>1</v>
      </c>
      <c r="O3644">
        <v>0.85405405405405399</v>
      </c>
      <c r="P3644" t="s">
        <v>969</v>
      </c>
      <c r="Q3644" t="s">
        <v>970</v>
      </c>
      <c r="R3644" t="s">
        <v>235</v>
      </c>
      <c r="S3644" t="s">
        <v>236</v>
      </c>
      <c r="T3644" t="s">
        <v>971</v>
      </c>
      <c r="U3644" t="s">
        <v>972</v>
      </c>
      <c r="V3644" t="s">
        <v>973</v>
      </c>
      <c r="W3644" t="s">
        <v>974</v>
      </c>
      <c r="X3644" t="s">
        <v>973</v>
      </c>
      <c r="Y3644" t="s">
        <v>857</v>
      </c>
      <c r="Z3644" t="s">
        <v>858</v>
      </c>
      <c r="AA3644" t="s">
        <v>859</v>
      </c>
      <c r="AB3644" t="s">
        <v>858</v>
      </c>
      <c r="AC3644" t="s">
        <v>860</v>
      </c>
      <c r="AD3644" t="s">
        <v>219</v>
      </c>
      <c r="AE3644" t="s">
        <v>975</v>
      </c>
      <c r="AF3644" t="s">
        <v>976</v>
      </c>
    </row>
    <row r="3645" spans="1:32" hidden="1" x14ac:dyDescent="0.35">
      <c r="A3645">
        <v>970</v>
      </c>
      <c r="B3645" t="s">
        <v>2010</v>
      </c>
      <c r="C3645" t="s">
        <v>72</v>
      </c>
      <c r="D3645" t="s">
        <v>60</v>
      </c>
      <c r="E3645">
        <v>2484</v>
      </c>
      <c r="F3645">
        <v>5</v>
      </c>
      <c r="G3645">
        <v>5</v>
      </c>
      <c r="H3645">
        <v>1</v>
      </c>
      <c r="I3645">
        <v>1</v>
      </c>
      <c r="J3645">
        <v>0.83599999999999997</v>
      </c>
      <c r="K3645">
        <v>1</v>
      </c>
      <c r="L3645">
        <v>0.91067538126361702</v>
      </c>
      <c r="M3645">
        <v>0.72</v>
      </c>
      <c r="N3645">
        <v>1</v>
      </c>
      <c r="O3645">
        <v>0.793333333333333</v>
      </c>
      <c r="P3645" t="s">
        <v>2011</v>
      </c>
      <c r="Q3645" t="s">
        <v>2012</v>
      </c>
      <c r="R3645" t="s">
        <v>224</v>
      </c>
      <c r="S3645" t="s">
        <v>225</v>
      </c>
      <c r="T3645" t="s">
        <v>2013</v>
      </c>
      <c r="U3645" t="s">
        <v>2014</v>
      </c>
      <c r="V3645" t="s">
        <v>2015</v>
      </c>
      <c r="W3645" t="s">
        <v>2016</v>
      </c>
      <c r="X3645" t="s">
        <v>2015</v>
      </c>
      <c r="Y3645" t="s">
        <v>749</v>
      </c>
      <c r="AD3645" t="s">
        <v>750</v>
      </c>
      <c r="AE3645" t="s">
        <v>751</v>
      </c>
      <c r="AF3645" t="s">
        <v>2018</v>
      </c>
    </row>
    <row r="3646" spans="1:32" hidden="1" x14ac:dyDescent="0.35">
      <c r="A3646">
        <v>971</v>
      </c>
      <c r="B3646" t="s">
        <v>2010</v>
      </c>
      <c r="C3646" t="s">
        <v>72</v>
      </c>
      <c r="D3646" t="s">
        <v>62</v>
      </c>
      <c r="E3646">
        <v>11</v>
      </c>
      <c r="F3646">
        <v>5</v>
      </c>
      <c r="G3646">
        <v>5</v>
      </c>
      <c r="H3646">
        <v>1</v>
      </c>
      <c r="I3646">
        <v>1</v>
      </c>
      <c r="J3646">
        <v>0.83599999999999997</v>
      </c>
      <c r="K3646">
        <v>1</v>
      </c>
      <c r="L3646">
        <v>0.91067538126361702</v>
      </c>
      <c r="M3646">
        <v>0.72</v>
      </c>
      <c r="N3646">
        <v>1</v>
      </c>
      <c r="O3646">
        <v>0.793333333333333</v>
      </c>
      <c r="P3646" t="s">
        <v>2011</v>
      </c>
      <c r="Q3646" t="s">
        <v>2012</v>
      </c>
      <c r="R3646" t="s">
        <v>224</v>
      </c>
      <c r="S3646" t="s">
        <v>225</v>
      </c>
      <c r="T3646" t="s">
        <v>2013</v>
      </c>
      <c r="U3646" t="s">
        <v>2014</v>
      </c>
      <c r="V3646" t="s">
        <v>2015</v>
      </c>
      <c r="W3646" t="s">
        <v>2016</v>
      </c>
      <c r="X3646" t="s">
        <v>2015</v>
      </c>
      <c r="Y3646" t="s">
        <v>749</v>
      </c>
      <c r="AD3646" t="s">
        <v>750</v>
      </c>
      <c r="AE3646" t="s">
        <v>751</v>
      </c>
      <c r="AF3646" t="s">
        <v>2018</v>
      </c>
    </row>
    <row r="3647" spans="1:32" hidden="1" x14ac:dyDescent="0.35">
      <c r="A3647">
        <v>972</v>
      </c>
      <c r="B3647" t="s">
        <v>2010</v>
      </c>
      <c r="C3647" t="s">
        <v>72</v>
      </c>
      <c r="D3647" t="s">
        <v>34</v>
      </c>
      <c r="E3647">
        <v>1182</v>
      </c>
      <c r="F3647">
        <v>5</v>
      </c>
      <c r="G3647">
        <v>5</v>
      </c>
      <c r="H3647">
        <v>1</v>
      </c>
      <c r="I3647">
        <v>1</v>
      </c>
      <c r="J3647">
        <v>0.83599999999999997</v>
      </c>
      <c r="K3647">
        <v>1</v>
      </c>
      <c r="L3647">
        <v>0.91067538126361702</v>
      </c>
      <c r="M3647">
        <v>0.72</v>
      </c>
      <c r="N3647">
        <v>1</v>
      </c>
      <c r="O3647">
        <v>0.793333333333333</v>
      </c>
      <c r="P3647" t="s">
        <v>2011</v>
      </c>
      <c r="Q3647" t="s">
        <v>2012</v>
      </c>
      <c r="R3647" t="s">
        <v>224</v>
      </c>
      <c r="S3647" t="s">
        <v>225</v>
      </c>
      <c r="T3647" t="s">
        <v>2013</v>
      </c>
      <c r="U3647" t="s">
        <v>2014</v>
      </c>
      <c r="V3647" t="s">
        <v>2015</v>
      </c>
      <c r="W3647" t="s">
        <v>2016</v>
      </c>
      <c r="X3647" t="s">
        <v>2015</v>
      </c>
      <c r="Y3647" t="s">
        <v>749</v>
      </c>
      <c r="AD3647" t="s">
        <v>750</v>
      </c>
      <c r="AE3647" t="s">
        <v>751</v>
      </c>
      <c r="AF3647" t="s">
        <v>2019</v>
      </c>
    </row>
    <row r="3648" spans="1:32" hidden="1" x14ac:dyDescent="0.35">
      <c r="A3648">
        <v>973</v>
      </c>
      <c r="B3648" t="s">
        <v>2010</v>
      </c>
      <c r="C3648" t="s">
        <v>72</v>
      </c>
      <c r="D3648" t="s">
        <v>45</v>
      </c>
      <c r="E3648">
        <v>2426</v>
      </c>
      <c r="F3648">
        <v>5</v>
      </c>
      <c r="G3648">
        <v>5</v>
      </c>
      <c r="H3648">
        <v>1</v>
      </c>
      <c r="I3648">
        <v>1</v>
      </c>
      <c r="J3648">
        <v>0.83599999999999997</v>
      </c>
      <c r="K3648">
        <v>1</v>
      </c>
      <c r="L3648">
        <v>0.91067538126361702</v>
      </c>
      <c r="M3648">
        <v>0.72</v>
      </c>
      <c r="N3648">
        <v>1</v>
      </c>
      <c r="O3648">
        <v>0.793333333333333</v>
      </c>
      <c r="P3648" t="s">
        <v>2011</v>
      </c>
      <c r="Q3648" t="s">
        <v>2012</v>
      </c>
      <c r="R3648" t="s">
        <v>224</v>
      </c>
      <c r="S3648" t="s">
        <v>225</v>
      </c>
      <c r="T3648" t="s">
        <v>2013</v>
      </c>
      <c r="U3648" t="s">
        <v>2014</v>
      </c>
      <c r="V3648" t="s">
        <v>2015</v>
      </c>
      <c r="W3648" t="s">
        <v>2016</v>
      </c>
      <c r="X3648" t="s">
        <v>2015</v>
      </c>
      <c r="Y3648" t="s">
        <v>749</v>
      </c>
      <c r="AD3648" t="s">
        <v>750</v>
      </c>
      <c r="AE3648" t="s">
        <v>751</v>
      </c>
      <c r="AF3648" t="s">
        <v>2020</v>
      </c>
    </row>
    <row r="3649" spans="1:32" hidden="1" x14ac:dyDescent="0.35">
      <c r="A3649">
        <v>4389</v>
      </c>
      <c r="B3649" t="s">
        <v>9140</v>
      </c>
      <c r="C3649" t="s">
        <v>72</v>
      </c>
      <c r="D3649" t="s">
        <v>58</v>
      </c>
      <c r="E3649">
        <v>1215</v>
      </c>
      <c r="F3649">
        <v>5</v>
      </c>
      <c r="G3649">
        <v>5</v>
      </c>
      <c r="H3649">
        <v>1</v>
      </c>
      <c r="I3649">
        <v>1</v>
      </c>
      <c r="J3649">
        <v>0.83022875816993502</v>
      </c>
      <c r="K3649">
        <v>0.96750169262017405</v>
      </c>
      <c r="L3649">
        <v>0.89362421205951803</v>
      </c>
      <c r="M3649">
        <v>0.65876777251184804</v>
      </c>
      <c r="N3649">
        <v>0.99526066350710896</v>
      </c>
      <c r="O3649">
        <v>0.76729857819905201</v>
      </c>
      <c r="P3649" t="s">
        <v>9141</v>
      </c>
      <c r="Q3649" t="s">
        <v>9142</v>
      </c>
      <c r="R3649" t="s">
        <v>235</v>
      </c>
      <c r="S3649" t="s">
        <v>236</v>
      </c>
      <c r="V3649" t="s">
        <v>9143</v>
      </c>
      <c r="W3649" t="s">
        <v>9144</v>
      </c>
      <c r="X3649" t="s">
        <v>9143</v>
      </c>
      <c r="Y3649" t="s">
        <v>857</v>
      </c>
      <c r="AF3649" t="e">
        <f>----------MSTPRVARIERTTKESSIVVEINLDGTGVTTIDTGLPFFDHMLTAFGQHGSFDLTVQASGDTDVDAHHTVEDTGIVLGQAFAQALGDKKGIRRFASCQIPMDETLCEAIVDVSGRPYCVINGEPDYMITSVIGGHYATVINHHFFETLAFNAKIALHVRCHYGRDPHHITEAEYKAVARALRAATEDDPRVEGVPSTKGTL</f>
        <v>#NAME?</v>
      </c>
    </row>
    <row r="3650" spans="1:32" hidden="1" x14ac:dyDescent="0.35">
      <c r="A3650">
        <v>985</v>
      </c>
      <c r="B3650" t="s">
        <v>2043</v>
      </c>
      <c r="C3650" t="s">
        <v>72</v>
      </c>
      <c r="D3650" t="s">
        <v>60</v>
      </c>
      <c r="E3650">
        <v>385</v>
      </c>
      <c r="F3650">
        <v>5</v>
      </c>
      <c r="G3650">
        <v>5</v>
      </c>
      <c r="H3650">
        <v>1</v>
      </c>
      <c r="I3650">
        <v>1</v>
      </c>
      <c r="J3650">
        <v>0.92192982456140304</v>
      </c>
      <c r="K3650">
        <v>1</v>
      </c>
      <c r="L3650">
        <v>0.95937927886809704</v>
      </c>
      <c r="M3650">
        <v>0.85526315789473695</v>
      </c>
      <c r="N3650">
        <v>1</v>
      </c>
      <c r="O3650">
        <v>0.89736842105263104</v>
      </c>
      <c r="P3650" t="s">
        <v>2044</v>
      </c>
      <c r="Q3650" t="s">
        <v>2045</v>
      </c>
      <c r="R3650" t="s">
        <v>224</v>
      </c>
      <c r="S3650" t="s">
        <v>225</v>
      </c>
      <c r="T3650" t="s">
        <v>2046</v>
      </c>
      <c r="U3650" t="s">
        <v>2047</v>
      </c>
      <c r="V3650" t="s">
        <v>2048</v>
      </c>
      <c r="W3650" t="s">
        <v>2049</v>
      </c>
      <c r="X3650" t="s">
        <v>2048</v>
      </c>
      <c r="Y3650" t="s">
        <v>749</v>
      </c>
      <c r="AD3650" t="s">
        <v>762</v>
      </c>
      <c r="AE3650" t="s">
        <v>1545</v>
      </c>
      <c r="AF3650" t="s">
        <v>2051</v>
      </c>
    </row>
    <row r="3651" spans="1:32" hidden="1" x14ac:dyDescent="0.35">
      <c r="A3651">
        <v>986</v>
      </c>
      <c r="B3651" t="s">
        <v>2043</v>
      </c>
      <c r="C3651" t="s">
        <v>72</v>
      </c>
      <c r="D3651" t="s">
        <v>62</v>
      </c>
      <c r="E3651">
        <v>466</v>
      </c>
      <c r="F3651">
        <v>5</v>
      </c>
      <c r="G3651">
        <v>5</v>
      </c>
      <c r="H3651">
        <v>1</v>
      </c>
      <c r="I3651">
        <v>1</v>
      </c>
      <c r="J3651">
        <v>0.92192982456140304</v>
      </c>
      <c r="K3651">
        <v>1</v>
      </c>
      <c r="L3651">
        <v>0.95937927886809704</v>
      </c>
      <c r="M3651">
        <v>0.85526315789473695</v>
      </c>
      <c r="N3651">
        <v>1</v>
      </c>
      <c r="O3651">
        <v>0.89736842105263104</v>
      </c>
      <c r="P3651" t="s">
        <v>2044</v>
      </c>
      <c r="Q3651" t="s">
        <v>2045</v>
      </c>
      <c r="R3651" t="s">
        <v>224</v>
      </c>
      <c r="S3651" t="s">
        <v>225</v>
      </c>
      <c r="T3651" t="s">
        <v>2046</v>
      </c>
      <c r="U3651" t="s">
        <v>2047</v>
      </c>
      <c r="V3651" t="s">
        <v>2048</v>
      </c>
      <c r="W3651" t="s">
        <v>2049</v>
      </c>
      <c r="X3651" t="s">
        <v>2048</v>
      </c>
      <c r="Y3651" t="s">
        <v>749</v>
      </c>
      <c r="AD3651" t="s">
        <v>762</v>
      </c>
      <c r="AE3651" t="s">
        <v>1545</v>
      </c>
      <c r="AF3651" t="s">
        <v>2051</v>
      </c>
    </row>
    <row r="3652" spans="1:32" hidden="1" x14ac:dyDescent="0.35">
      <c r="A3652">
        <v>987</v>
      </c>
      <c r="B3652" t="s">
        <v>2043</v>
      </c>
      <c r="C3652" t="s">
        <v>72</v>
      </c>
      <c r="D3652" t="s">
        <v>34</v>
      </c>
      <c r="E3652">
        <v>726</v>
      </c>
      <c r="F3652">
        <v>5</v>
      </c>
      <c r="G3652">
        <v>5</v>
      </c>
      <c r="H3652">
        <v>1</v>
      </c>
      <c r="I3652">
        <v>1</v>
      </c>
      <c r="J3652">
        <v>0.92192982456140304</v>
      </c>
      <c r="K3652">
        <v>1</v>
      </c>
      <c r="L3652">
        <v>0.95937927886809704</v>
      </c>
      <c r="M3652">
        <v>0.85526315789473695</v>
      </c>
      <c r="N3652">
        <v>1</v>
      </c>
      <c r="O3652">
        <v>0.89736842105263104</v>
      </c>
      <c r="P3652" t="s">
        <v>2044</v>
      </c>
      <c r="Q3652" t="s">
        <v>2045</v>
      </c>
      <c r="R3652" t="s">
        <v>224</v>
      </c>
      <c r="S3652" t="s">
        <v>225</v>
      </c>
      <c r="T3652" t="s">
        <v>2046</v>
      </c>
      <c r="U3652" t="s">
        <v>2047</v>
      </c>
      <c r="V3652" t="s">
        <v>2048</v>
      </c>
      <c r="W3652" t="s">
        <v>2049</v>
      </c>
      <c r="X3652" t="s">
        <v>2048</v>
      </c>
      <c r="Y3652" t="s">
        <v>749</v>
      </c>
      <c r="AD3652" t="s">
        <v>762</v>
      </c>
      <c r="AE3652" t="s">
        <v>1545</v>
      </c>
      <c r="AF3652" t="s">
        <v>2052</v>
      </c>
    </row>
    <row r="3653" spans="1:32" hidden="1" x14ac:dyDescent="0.35">
      <c r="A3653">
        <v>988</v>
      </c>
      <c r="B3653" t="s">
        <v>2043</v>
      </c>
      <c r="C3653" t="s">
        <v>72</v>
      </c>
      <c r="D3653" t="s">
        <v>45</v>
      </c>
      <c r="E3653">
        <v>1992</v>
      </c>
      <c r="F3653">
        <v>5</v>
      </c>
      <c r="G3653">
        <v>5</v>
      </c>
      <c r="H3653">
        <v>1</v>
      </c>
      <c r="I3653">
        <v>1</v>
      </c>
      <c r="J3653">
        <v>0.92192982456140304</v>
      </c>
      <c r="K3653">
        <v>1</v>
      </c>
      <c r="L3653">
        <v>0.95937927886809704</v>
      </c>
      <c r="M3653">
        <v>0.85526315789473695</v>
      </c>
      <c r="N3653">
        <v>1</v>
      </c>
      <c r="O3653">
        <v>0.89736842105263104</v>
      </c>
      <c r="P3653" t="s">
        <v>2044</v>
      </c>
      <c r="Q3653" t="s">
        <v>2045</v>
      </c>
      <c r="R3653" t="s">
        <v>224</v>
      </c>
      <c r="S3653" t="s">
        <v>225</v>
      </c>
      <c r="T3653" t="s">
        <v>2046</v>
      </c>
      <c r="U3653" t="s">
        <v>2047</v>
      </c>
      <c r="V3653" t="s">
        <v>2048</v>
      </c>
      <c r="W3653" t="s">
        <v>2049</v>
      </c>
      <c r="X3653" t="s">
        <v>2048</v>
      </c>
      <c r="Y3653" t="s">
        <v>749</v>
      </c>
      <c r="AD3653" t="s">
        <v>762</v>
      </c>
      <c r="AE3653" t="s">
        <v>1545</v>
      </c>
      <c r="AF3653" t="s">
        <v>2052</v>
      </c>
    </row>
    <row r="3654" spans="1:32" hidden="1" x14ac:dyDescent="0.35">
      <c r="A3654">
        <v>2949</v>
      </c>
      <c r="B3654" t="s">
        <v>6093</v>
      </c>
      <c r="C3654" t="s">
        <v>72</v>
      </c>
      <c r="D3654" t="s">
        <v>58</v>
      </c>
      <c r="E3654">
        <v>1213</v>
      </c>
      <c r="F3654">
        <v>5</v>
      </c>
      <c r="G3654">
        <v>5</v>
      </c>
      <c r="H3654">
        <v>1</v>
      </c>
      <c r="I3654">
        <v>1</v>
      </c>
      <c r="J3654">
        <v>0.83112164296998403</v>
      </c>
      <c r="K3654">
        <v>0.98608661313676405</v>
      </c>
      <c r="L3654">
        <v>0.90199670100199103</v>
      </c>
      <c r="M3654">
        <v>0.68691588785046698</v>
      </c>
      <c r="N3654">
        <v>1</v>
      </c>
      <c r="O3654">
        <v>0.778971962616822</v>
      </c>
      <c r="P3654" t="s">
        <v>3484</v>
      </c>
      <c r="Q3654" t="s">
        <v>3485</v>
      </c>
      <c r="R3654" t="s">
        <v>235</v>
      </c>
      <c r="S3654" t="s">
        <v>236</v>
      </c>
      <c r="T3654" t="s">
        <v>6094</v>
      </c>
      <c r="U3654" t="s">
        <v>6095</v>
      </c>
      <c r="V3654" t="s">
        <v>6096</v>
      </c>
      <c r="W3654" t="s">
        <v>6097</v>
      </c>
      <c r="X3654" t="s">
        <v>6096</v>
      </c>
      <c r="Y3654" t="s">
        <v>857</v>
      </c>
      <c r="Z3654" t="s">
        <v>858</v>
      </c>
      <c r="AA3654" t="s">
        <v>859</v>
      </c>
      <c r="AB3654" t="s">
        <v>858</v>
      </c>
      <c r="AC3654" t="s">
        <v>860</v>
      </c>
      <c r="AD3654" t="s">
        <v>219</v>
      </c>
      <c r="AE3654" t="s">
        <v>975</v>
      </c>
      <c r="AF3654" t="s">
        <v>6098</v>
      </c>
    </row>
    <row r="3655" spans="1:32" hidden="1" x14ac:dyDescent="0.35">
      <c r="A3655">
        <v>1035</v>
      </c>
      <c r="B3655" t="s">
        <v>2151</v>
      </c>
      <c r="C3655" t="s">
        <v>72</v>
      </c>
      <c r="D3655" t="s">
        <v>60</v>
      </c>
      <c r="E3655">
        <v>386</v>
      </c>
      <c r="F3655">
        <v>5</v>
      </c>
      <c r="G3655">
        <v>5</v>
      </c>
      <c r="H3655">
        <v>1</v>
      </c>
      <c r="I3655">
        <v>1</v>
      </c>
      <c r="J3655">
        <v>0.934782608695652</v>
      </c>
      <c r="K3655">
        <v>1</v>
      </c>
      <c r="L3655">
        <v>0.96629213483146104</v>
      </c>
      <c r="M3655">
        <v>0.89130434782608703</v>
      </c>
      <c r="N3655">
        <v>1</v>
      </c>
      <c r="O3655">
        <v>0.91739130434782601</v>
      </c>
      <c r="P3655" t="s">
        <v>2152</v>
      </c>
      <c r="Q3655" t="s">
        <v>2153</v>
      </c>
      <c r="R3655" t="s">
        <v>224</v>
      </c>
      <c r="S3655" t="s">
        <v>225</v>
      </c>
      <c r="T3655" t="s">
        <v>2154</v>
      </c>
      <c r="U3655" t="s">
        <v>2155</v>
      </c>
      <c r="V3655" t="s">
        <v>2156</v>
      </c>
      <c r="W3655" t="s">
        <v>2157</v>
      </c>
      <c r="X3655" t="s">
        <v>2156</v>
      </c>
      <c r="Y3655" t="s">
        <v>761</v>
      </c>
      <c r="AD3655" t="s">
        <v>762</v>
      </c>
      <c r="AE3655" t="s">
        <v>763</v>
      </c>
      <c r="AF3655" t="s">
        <v>2159</v>
      </c>
    </row>
    <row r="3656" spans="1:32" hidden="1" x14ac:dyDescent="0.35">
      <c r="A3656">
        <v>1036</v>
      </c>
      <c r="B3656" t="s">
        <v>2151</v>
      </c>
      <c r="C3656" t="s">
        <v>72</v>
      </c>
      <c r="D3656" t="s">
        <v>62</v>
      </c>
      <c r="E3656">
        <v>467</v>
      </c>
      <c r="F3656">
        <v>5</v>
      </c>
      <c r="G3656">
        <v>5</v>
      </c>
      <c r="H3656">
        <v>1</v>
      </c>
      <c r="I3656">
        <v>1</v>
      </c>
      <c r="J3656">
        <v>0.934782608695652</v>
      </c>
      <c r="K3656">
        <v>1</v>
      </c>
      <c r="L3656">
        <v>0.96629213483146104</v>
      </c>
      <c r="M3656">
        <v>0.89130434782608703</v>
      </c>
      <c r="N3656">
        <v>1</v>
      </c>
      <c r="O3656">
        <v>0.91739130434782601</v>
      </c>
      <c r="P3656" t="s">
        <v>2152</v>
      </c>
      <c r="Q3656" t="s">
        <v>2153</v>
      </c>
      <c r="R3656" t="s">
        <v>224</v>
      </c>
      <c r="S3656" t="s">
        <v>225</v>
      </c>
      <c r="T3656" t="s">
        <v>2154</v>
      </c>
      <c r="U3656" t="s">
        <v>2155</v>
      </c>
      <c r="V3656" t="s">
        <v>2156</v>
      </c>
      <c r="W3656" t="s">
        <v>2157</v>
      </c>
      <c r="X3656" t="s">
        <v>2156</v>
      </c>
      <c r="Y3656" t="s">
        <v>761</v>
      </c>
      <c r="AD3656" t="s">
        <v>762</v>
      </c>
      <c r="AE3656" t="s">
        <v>763</v>
      </c>
      <c r="AF3656" t="s">
        <v>2159</v>
      </c>
    </row>
    <row r="3657" spans="1:32" hidden="1" x14ac:dyDescent="0.35">
      <c r="A3657">
        <v>1037</v>
      </c>
      <c r="B3657" t="s">
        <v>2151</v>
      </c>
      <c r="C3657" t="s">
        <v>72</v>
      </c>
      <c r="D3657" t="s">
        <v>34</v>
      </c>
      <c r="E3657">
        <v>725</v>
      </c>
      <c r="F3657">
        <v>5</v>
      </c>
      <c r="G3657">
        <v>5</v>
      </c>
      <c r="H3657">
        <v>1</v>
      </c>
      <c r="I3657">
        <v>1</v>
      </c>
      <c r="J3657">
        <v>0.934782608695652</v>
      </c>
      <c r="K3657">
        <v>1</v>
      </c>
      <c r="L3657">
        <v>0.96629213483146104</v>
      </c>
      <c r="M3657">
        <v>0.89130434782608703</v>
      </c>
      <c r="N3657">
        <v>1</v>
      </c>
      <c r="O3657">
        <v>0.91739130434782601</v>
      </c>
      <c r="P3657" t="s">
        <v>2152</v>
      </c>
      <c r="Q3657" t="s">
        <v>2153</v>
      </c>
      <c r="R3657" t="s">
        <v>224</v>
      </c>
      <c r="S3657" t="s">
        <v>225</v>
      </c>
      <c r="T3657" t="s">
        <v>2154</v>
      </c>
      <c r="U3657" t="s">
        <v>2155</v>
      </c>
      <c r="V3657" t="s">
        <v>2156</v>
      </c>
      <c r="W3657" t="s">
        <v>2157</v>
      </c>
      <c r="X3657" t="s">
        <v>2156</v>
      </c>
      <c r="Y3657" t="s">
        <v>761</v>
      </c>
      <c r="AD3657" t="s">
        <v>762</v>
      </c>
      <c r="AE3657" t="s">
        <v>763</v>
      </c>
      <c r="AF3657" t="s">
        <v>2160</v>
      </c>
    </row>
    <row r="3658" spans="1:32" hidden="1" x14ac:dyDescent="0.35">
      <c r="A3658">
        <v>1038</v>
      </c>
      <c r="B3658" t="s">
        <v>2151</v>
      </c>
      <c r="C3658" t="s">
        <v>72</v>
      </c>
      <c r="D3658" t="s">
        <v>45</v>
      </c>
      <c r="E3658">
        <v>1991</v>
      </c>
      <c r="F3658">
        <v>5</v>
      </c>
      <c r="G3658">
        <v>5</v>
      </c>
      <c r="H3658">
        <v>1</v>
      </c>
      <c r="I3658">
        <v>1</v>
      </c>
      <c r="J3658">
        <v>0.934782608695652</v>
      </c>
      <c r="K3658">
        <v>1</v>
      </c>
      <c r="L3658">
        <v>0.96629213483146104</v>
      </c>
      <c r="M3658">
        <v>0.89130434782608703</v>
      </c>
      <c r="N3658">
        <v>1</v>
      </c>
      <c r="O3658">
        <v>0.91739130434782601</v>
      </c>
      <c r="P3658" t="s">
        <v>2152</v>
      </c>
      <c r="Q3658" t="s">
        <v>2153</v>
      </c>
      <c r="R3658" t="s">
        <v>224</v>
      </c>
      <c r="S3658" t="s">
        <v>225</v>
      </c>
      <c r="T3658" t="s">
        <v>2154</v>
      </c>
      <c r="U3658" t="s">
        <v>2155</v>
      </c>
      <c r="V3658" t="s">
        <v>2156</v>
      </c>
      <c r="W3658" t="s">
        <v>2157</v>
      </c>
      <c r="X3658" t="s">
        <v>2156</v>
      </c>
      <c r="Y3658" t="s">
        <v>761</v>
      </c>
      <c r="AD3658" t="s">
        <v>762</v>
      </c>
      <c r="AE3658" t="s">
        <v>763</v>
      </c>
      <c r="AF3658" t="s">
        <v>2161</v>
      </c>
    </row>
    <row r="3659" spans="1:32" hidden="1" x14ac:dyDescent="0.35">
      <c r="A3659">
        <v>4764</v>
      </c>
      <c r="B3659" t="s">
        <v>9985</v>
      </c>
      <c r="C3659" t="s">
        <v>10127</v>
      </c>
      <c r="D3659" t="s">
        <v>58</v>
      </c>
      <c r="E3659">
        <v>613</v>
      </c>
      <c r="F3659">
        <v>5</v>
      </c>
      <c r="G3659">
        <v>5</v>
      </c>
      <c r="H3659">
        <v>1</v>
      </c>
      <c r="I3659">
        <v>1</v>
      </c>
      <c r="J3659">
        <v>0.82358426585283195</v>
      </c>
      <c r="K3659">
        <v>0.995450748570331</v>
      </c>
      <c r="L3659">
        <v>0.90139834302631905</v>
      </c>
      <c r="M3659">
        <v>0.68607594936708904</v>
      </c>
      <c r="N3659">
        <v>0.99746835443037996</v>
      </c>
      <c r="O3659">
        <v>0.78101265822784804</v>
      </c>
      <c r="P3659" t="s">
        <v>9986</v>
      </c>
      <c r="Q3659" t="s">
        <v>8485</v>
      </c>
      <c r="R3659" t="s">
        <v>516</v>
      </c>
      <c r="S3659" t="s">
        <v>517</v>
      </c>
      <c r="T3659" t="s">
        <v>9987</v>
      </c>
      <c r="U3659" t="s">
        <v>9988</v>
      </c>
      <c r="V3659" t="s">
        <v>9989</v>
      </c>
      <c r="W3659" t="s">
        <v>9990</v>
      </c>
      <c r="Z3659" t="s">
        <v>5431</v>
      </c>
      <c r="AA3659" t="s">
        <v>5432</v>
      </c>
      <c r="AB3659" t="s">
        <v>5431</v>
      </c>
      <c r="AC3659" t="s">
        <v>860</v>
      </c>
      <c r="AD3659" t="s">
        <v>219</v>
      </c>
      <c r="AE3659" t="s">
        <v>9991</v>
      </c>
      <c r="AF3659" t="s">
        <v>9992</v>
      </c>
    </row>
    <row r="3660" spans="1:32" hidden="1" x14ac:dyDescent="0.35">
      <c r="A3660">
        <v>1080</v>
      </c>
      <c r="B3660" t="s">
        <v>2240</v>
      </c>
      <c r="C3660" t="s">
        <v>72</v>
      </c>
      <c r="D3660" t="s">
        <v>60</v>
      </c>
      <c r="E3660">
        <v>434</v>
      </c>
      <c r="F3660">
        <v>5</v>
      </c>
      <c r="G3660">
        <v>5</v>
      </c>
      <c r="H3660">
        <v>1</v>
      </c>
      <c r="I3660">
        <v>1</v>
      </c>
      <c r="J3660">
        <v>0.95593108018555295</v>
      </c>
      <c r="K3660">
        <v>0.99116226893625203</v>
      </c>
      <c r="L3660">
        <v>0.97322793363835103</v>
      </c>
      <c r="M3660">
        <v>0.87684729064039402</v>
      </c>
      <c r="N3660">
        <v>1</v>
      </c>
      <c r="O3660">
        <v>0.922167487684729</v>
      </c>
      <c r="P3660" t="s">
        <v>2241</v>
      </c>
      <c r="Q3660" t="s">
        <v>2242</v>
      </c>
      <c r="R3660" t="s">
        <v>224</v>
      </c>
      <c r="S3660" t="s">
        <v>225</v>
      </c>
      <c r="T3660" t="s">
        <v>2243</v>
      </c>
      <c r="U3660" t="s">
        <v>2244</v>
      </c>
      <c r="V3660" t="s">
        <v>2245</v>
      </c>
      <c r="W3660" t="s">
        <v>2246</v>
      </c>
      <c r="X3660" t="s">
        <v>2245</v>
      </c>
      <c r="Y3660" t="s">
        <v>761</v>
      </c>
      <c r="AD3660" t="s">
        <v>762</v>
      </c>
      <c r="AE3660" t="s">
        <v>763</v>
      </c>
      <c r="AF3660" t="s">
        <v>2248</v>
      </c>
    </row>
    <row r="3661" spans="1:32" hidden="1" x14ac:dyDescent="0.35">
      <c r="A3661">
        <v>1081</v>
      </c>
      <c r="B3661" t="s">
        <v>2240</v>
      </c>
      <c r="C3661" t="s">
        <v>72</v>
      </c>
      <c r="D3661" t="s">
        <v>62</v>
      </c>
      <c r="E3661">
        <v>515</v>
      </c>
      <c r="F3661">
        <v>5</v>
      </c>
      <c r="G3661">
        <v>5</v>
      </c>
      <c r="H3661">
        <v>1</v>
      </c>
      <c r="I3661">
        <v>1</v>
      </c>
      <c r="J3661">
        <v>0.95593108018555295</v>
      </c>
      <c r="K3661">
        <v>0.99116226893625203</v>
      </c>
      <c r="L3661">
        <v>0.97322793363835103</v>
      </c>
      <c r="M3661">
        <v>0.87684729064039402</v>
      </c>
      <c r="N3661">
        <v>1</v>
      </c>
      <c r="O3661">
        <v>0.922167487684729</v>
      </c>
      <c r="P3661" t="s">
        <v>2241</v>
      </c>
      <c r="Q3661" t="s">
        <v>2242</v>
      </c>
      <c r="R3661" t="s">
        <v>224</v>
      </c>
      <c r="S3661" t="s">
        <v>225</v>
      </c>
      <c r="T3661" t="s">
        <v>2243</v>
      </c>
      <c r="U3661" t="s">
        <v>2244</v>
      </c>
      <c r="V3661" t="s">
        <v>2245</v>
      </c>
      <c r="W3661" t="s">
        <v>2246</v>
      </c>
      <c r="X3661" t="s">
        <v>2245</v>
      </c>
      <c r="Y3661" t="s">
        <v>761</v>
      </c>
      <c r="AD3661" t="s">
        <v>762</v>
      </c>
      <c r="AE3661" t="s">
        <v>763</v>
      </c>
      <c r="AF3661" t="s">
        <v>2248</v>
      </c>
    </row>
    <row r="3662" spans="1:32" hidden="1" x14ac:dyDescent="0.35">
      <c r="A3662">
        <v>1082</v>
      </c>
      <c r="B3662" t="s">
        <v>2240</v>
      </c>
      <c r="C3662" t="s">
        <v>72</v>
      </c>
      <c r="D3662" t="s">
        <v>34</v>
      </c>
      <c r="E3662">
        <v>655</v>
      </c>
      <c r="F3662">
        <v>5</v>
      </c>
      <c r="G3662">
        <v>5</v>
      </c>
      <c r="H3662">
        <v>1</v>
      </c>
      <c r="I3662">
        <v>1</v>
      </c>
      <c r="J3662">
        <v>0.95593108018555295</v>
      </c>
      <c r="K3662">
        <v>0.99116226893625203</v>
      </c>
      <c r="L3662">
        <v>0.97322793363835103</v>
      </c>
      <c r="M3662">
        <v>0.87684729064039402</v>
      </c>
      <c r="N3662">
        <v>1</v>
      </c>
      <c r="O3662">
        <v>0.922167487684729</v>
      </c>
      <c r="P3662" t="s">
        <v>2241</v>
      </c>
      <c r="Q3662" t="s">
        <v>2242</v>
      </c>
      <c r="R3662" t="s">
        <v>224</v>
      </c>
      <c r="S3662" t="s">
        <v>225</v>
      </c>
      <c r="T3662" t="s">
        <v>2243</v>
      </c>
      <c r="U3662" t="s">
        <v>2244</v>
      </c>
      <c r="V3662" t="s">
        <v>2245</v>
      </c>
      <c r="W3662" t="s">
        <v>2246</v>
      </c>
      <c r="X3662" t="s">
        <v>2245</v>
      </c>
      <c r="Y3662" t="s">
        <v>761</v>
      </c>
      <c r="AD3662" t="s">
        <v>762</v>
      </c>
      <c r="AE3662" t="s">
        <v>763</v>
      </c>
      <c r="AF3662" t="s">
        <v>2249</v>
      </c>
    </row>
    <row r="3663" spans="1:32" hidden="1" x14ac:dyDescent="0.35">
      <c r="A3663">
        <v>1083</v>
      </c>
      <c r="B3663" t="s">
        <v>2240</v>
      </c>
      <c r="C3663" t="s">
        <v>72</v>
      </c>
      <c r="D3663" t="s">
        <v>45</v>
      </c>
      <c r="E3663">
        <v>1921</v>
      </c>
      <c r="F3663">
        <v>5</v>
      </c>
      <c r="G3663">
        <v>5</v>
      </c>
      <c r="H3663">
        <v>1</v>
      </c>
      <c r="I3663">
        <v>1</v>
      </c>
      <c r="J3663">
        <v>0.95593108018555295</v>
      </c>
      <c r="K3663">
        <v>0.99116226893625203</v>
      </c>
      <c r="L3663">
        <v>0.97322793363835103</v>
      </c>
      <c r="M3663">
        <v>0.87684729064039402</v>
      </c>
      <c r="N3663">
        <v>1</v>
      </c>
      <c r="O3663">
        <v>0.922167487684729</v>
      </c>
      <c r="P3663" t="s">
        <v>2241</v>
      </c>
      <c r="Q3663" t="s">
        <v>2242</v>
      </c>
      <c r="R3663" t="s">
        <v>224</v>
      </c>
      <c r="S3663" t="s">
        <v>225</v>
      </c>
      <c r="T3663" t="s">
        <v>2243</v>
      </c>
      <c r="U3663" t="s">
        <v>2244</v>
      </c>
      <c r="V3663" t="s">
        <v>2245</v>
      </c>
      <c r="W3663" t="s">
        <v>2246</v>
      </c>
      <c r="X3663" t="s">
        <v>2245</v>
      </c>
      <c r="Y3663" t="s">
        <v>761</v>
      </c>
      <c r="AD3663" t="s">
        <v>762</v>
      </c>
      <c r="AE3663" t="s">
        <v>763</v>
      </c>
      <c r="AF3663" t="s">
        <v>2250</v>
      </c>
    </row>
    <row r="3664" spans="1:32" hidden="1" x14ac:dyDescent="0.35">
      <c r="A3664">
        <v>519</v>
      </c>
      <c r="B3664" t="s">
        <v>1003</v>
      </c>
      <c r="C3664" t="s">
        <v>72</v>
      </c>
      <c r="D3664" t="s">
        <v>58</v>
      </c>
      <c r="E3664">
        <v>1208</v>
      </c>
      <c r="F3664">
        <v>5</v>
      </c>
      <c r="G3664">
        <v>5</v>
      </c>
      <c r="H3664">
        <v>1</v>
      </c>
      <c r="I3664">
        <v>1</v>
      </c>
      <c r="J3664">
        <v>0.70530500683314701</v>
      </c>
      <c r="K3664">
        <v>0.99739776951672998</v>
      </c>
      <c r="L3664">
        <v>0.82629763739788697</v>
      </c>
      <c r="M3664">
        <v>0.51301115241635697</v>
      </c>
      <c r="N3664">
        <v>1</v>
      </c>
      <c r="O3664">
        <v>0.61784386617100395</v>
      </c>
      <c r="P3664" t="s">
        <v>1004</v>
      </c>
      <c r="Q3664" t="s">
        <v>1005</v>
      </c>
      <c r="R3664" t="s">
        <v>235</v>
      </c>
      <c r="S3664" t="s">
        <v>236</v>
      </c>
      <c r="T3664" t="s">
        <v>1006</v>
      </c>
      <c r="U3664" t="s">
        <v>1007</v>
      </c>
      <c r="V3664" t="s">
        <v>1008</v>
      </c>
      <c r="W3664" t="s">
        <v>1009</v>
      </c>
      <c r="X3664" t="s">
        <v>1008</v>
      </c>
      <c r="Y3664" t="s">
        <v>241</v>
      </c>
      <c r="Z3664" t="s">
        <v>242</v>
      </c>
      <c r="AA3664" t="s">
        <v>243</v>
      </c>
      <c r="AB3664" t="s">
        <v>242</v>
      </c>
      <c r="AC3664" t="s">
        <v>244</v>
      </c>
      <c r="AD3664" t="s">
        <v>219</v>
      </c>
      <c r="AE3664" t="s">
        <v>1010</v>
      </c>
      <c r="AF3664" t="s">
        <v>1011</v>
      </c>
    </row>
    <row r="3665" spans="1:32" hidden="1" x14ac:dyDescent="0.35">
      <c r="A3665">
        <v>1105</v>
      </c>
      <c r="B3665" t="s">
        <v>2284</v>
      </c>
      <c r="C3665" t="s">
        <v>72</v>
      </c>
      <c r="D3665" t="s">
        <v>60</v>
      </c>
      <c r="E3665">
        <v>766</v>
      </c>
      <c r="F3665">
        <v>5</v>
      </c>
      <c r="G3665">
        <v>5</v>
      </c>
      <c r="H3665">
        <v>1</v>
      </c>
      <c r="I3665">
        <v>1</v>
      </c>
      <c r="J3665">
        <v>0.95897435897435901</v>
      </c>
      <c r="K3665">
        <v>1</v>
      </c>
      <c r="L3665">
        <v>0.97905759162303696</v>
      </c>
      <c r="M3665">
        <v>0.88461538461538503</v>
      </c>
      <c r="N3665">
        <v>1</v>
      </c>
      <c r="O3665">
        <v>0.93846153846153801</v>
      </c>
      <c r="P3665" t="s">
        <v>2285</v>
      </c>
      <c r="Q3665" t="s">
        <v>2286</v>
      </c>
      <c r="R3665" t="s">
        <v>224</v>
      </c>
      <c r="S3665" t="s">
        <v>225</v>
      </c>
      <c r="T3665" t="s">
        <v>2287</v>
      </c>
      <c r="U3665" t="s">
        <v>2288</v>
      </c>
      <c r="V3665" t="s">
        <v>2289</v>
      </c>
      <c r="W3665" t="s">
        <v>2290</v>
      </c>
      <c r="X3665" t="s">
        <v>2289</v>
      </c>
      <c r="Y3665" t="s">
        <v>749</v>
      </c>
      <c r="AD3665" t="s">
        <v>750</v>
      </c>
      <c r="AE3665" t="s">
        <v>751</v>
      </c>
      <c r="AF3665" t="s">
        <v>2292</v>
      </c>
    </row>
    <row r="3666" spans="1:32" hidden="1" x14ac:dyDescent="0.35">
      <c r="A3666">
        <v>1106</v>
      </c>
      <c r="B3666" t="s">
        <v>2284</v>
      </c>
      <c r="C3666" t="s">
        <v>72</v>
      </c>
      <c r="D3666" t="s">
        <v>62</v>
      </c>
      <c r="E3666">
        <v>799</v>
      </c>
      <c r="F3666">
        <v>5</v>
      </c>
      <c r="G3666">
        <v>5</v>
      </c>
      <c r="H3666">
        <v>1</v>
      </c>
      <c r="I3666">
        <v>1</v>
      </c>
      <c r="J3666">
        <v>0.95897435897435901</v>
      </c>
      <c r="K3666">
        <v>1</v>
      </c>
      <c r="L3666">
        <v>0.97905759162303696</v>
      </c>
      <c r="M3666">
        <v>0.88461538461538503</v>
      </c>
      <c r="N3666">
        <v>1</v>
      </c>
      <c r="O3666">
        <v>0.93846153846153801</v>
      </c>
      <c r="P3666" t="s">
        <v>2285</v>
      </c>
      <c r="Q3666" t="s">
        <v>2286</v>
      </c>
      <c r="R3666" t="s">
        <v>224</v>
      </c>
      <c r="S3666" t="s">
        <v>225</v>
      </c>
      <c r="T3666" t="s">
        <v>2287</v>
      </c>
      <c r="U3666" t="s">
        <v>2288</v>
      </c>
      <c r="V3666" t="s">
        <v>2289</v>
      </c>
      <c r="W3666" t="s">
        <v>2290</v>
      </c>
      <c r="X3666" t="s">
        <v>2289</v>
      </c>
      <c r="Y3666" t="s">
        <v>749</v>
      </c>
      <c r="AD3666" t="s">
        <v>750</v>
      </c>
      <c r="AE3666" t="s">
        <v>751</v>
      </c>
      <c r="AF3666" t="s">
        <v>2292</v>
      </c>
    </row>
    <row r="3667" spans="1:32" hidden="1" x14ac:dyDescent="0.35">
      <c r="A3667">
        <v>1107</v>
      </c>
      <c r="B3667" t="s">
        <v>2284</v>
      </c>
      <c r="C3667" t="s">
        <v>72</v>
      </c>
      <c r="D3667" t="s">
        <v>34</v>
      </c>
      <c r="E3667">
        <v>367</v>
      </c>
      <c r="F3667">
        <v>5</v>
      </c>
      <c r="G3667">
        <v>5</v>
      </c>
      <c r="H3667">
        <v>1</v>
      </c>
      <c r="I3667">
        <v>1</v>
      </c>
      <c r="J3667">
        <v>0.95897435897435901</v>
      </c>
      <c r="K3667">
        <v>1</v>
      </c>
      <c r="L3667">
        <v>0.97905759162303696</v>
      </c>
      <c r="M3667">
        <v>0.88461538461538503</v>
      </c>
      <c r="N3667">
        <v>1</v>
      </c>
      <c r="O3667">
        <v>0.93846153846153801</v>
      </c>
      <c r="P3667" t="s">
        <v>2285</v>
      </c>
      <c r="Q3667" t="s">
        <v>2286</v>
      </c>
      <c r="R3667" t="s">
        <v>224</v>
      </c>
      <c r="S3667" t="s">
        <v>225</v>
      </c>
      <c r="T3667" t="s">
        <v>2287</v>
      </c>
      <c r="U3667" t="s">
        <v>2288</v>
      </c>
      <c r="V3667" t="s">
        <v>2289</v>
      </c>
      <c r="W3667" t="s">
        <v>2290</v>
      </c>
      <c r="X3667" t="s">
        <v>2289</v>
      </c>
      <c r="Y3667" t="s">
        <v>749</v>
      </c>
      <c r="AD3667" t="s">
        <v>750</v>
      </c>
      <c r="AE3667" t="s">
        <v>751</v>
      </c>
      <c r="AF3667" t="s">
        <v>2293</v>
      </c>
    </row>
    <row r="3668" spans="1:32" hidden="1" x14ac:dyDescent="0.35">
      <c r="A3668">
        <v>1108</v>
      </c>
      <c r="B3668" t="s">
        <v>2284</v>
      </c>
      <c r="C3668" t="s">
        <v>72</v>
      </c>
      <c r="D3668" t="s">
        <v>45</v>
      </c>
      <c r="E3668">
        <v>1629</v>
      </c>
      <c r="F3668">
        <v>5</v>
      </c>
      <c r="G3668">
        <v>5</v>
      </c>
      <c r="H3668">
        <v>1</v>
      </c>
      <c r="I3668">
        <v>1</v>
      </c>
      <c r="J3668">
        <v>0.95897435897435901</v>
      </c>
      <c r="K3668">
        <v>1</v>
      </c>
      <c r="L3668">
        <v>0.97905759162303696</v>
      </c>
      <c r="M3668">
        <v>0.88461538461538503</v>
      </c>
      <c r="N3668">
        <v>1</v>
      </c>
      <c r="O3668">
        <v>0.93846153846153801</v>
      </c>
      <c r="P3668" t="s">
        <v>2285</v>
      </c>
      <c r="Q3668" t="s">
        <v>2286</v>
      </c>
      <c r="R3668" t="s">
        <v>224</v>
      </c>
      <c r="S3668" t="s">
        <v>225</v>
      </c>
      <c r="T3668" t="s">
        <v>2287</v>
      </c>
      <c r="U3668" t="s">
        <v>2288</v>
      </c>
      <c r="V3668" t="s">
        <v>2289</v>
      </c>
      <c r="W3668" t="s">
        <v>2290</v>
      </c>
      <c r="X3668" t="s">
        <v>2289</v>
      </c>
      <c r="Y3668" t="s">
        <v>749</v>
      </c>
      <c r="AD3668" t="s">
        <v>750</v>
      </c>
      <c r="AE3668" t="s">
        <v>751</v>
      </c>
      <c r="AF3668" t="s">
        <v>2293</v>
      </c>
    </row>
    <row r="3669" spans="1:32" hidden="1" x14ac:dyDescent="0.35">
      <c r="A3669">
        <v>2384</v>
      </c>
      <c r="B3669" t="s">
        <v>4950</v>
      </c>
      <c r="C3669" t="s">
        <v>72</v>
      </c>
      <c r="D3669" t="s">
        <v>58</v>
      </c>
      <c r="E3669">
        <v>1701</v>
      </c>
      <c r="F3669">
        <v>5</v>
      </c>
      <c r="G3669">
        <v>5</v>
      </c>
      <c r="H3669">
        <v>1</v>
      </c>
      <c r="I3669">
        <v>1</v>
      </c>
      <c r="J3669">
        <v>0.92785911309144897</v>
      </c>
      <c r="K3669">
        <v>0.99430379746835496</v>
      </c>
      <c r="L3669">
        <v>0.959933036470629</v>
      </c>
      <c r="M3669">
        <v>0.841772151898734</v>
      </c>
      <c r="N3669">
        <v>1</v>
      </c>
      <c r="O3669">
        <v>0.89493670886075904</v>
      </c>
      <c r="P3669" t="s">
        <v>4951</v>
      </c>
      <c r="Q3669" t="s">
        <v>4952</v>
      </c>
      <c r="R3669" t="s">
        <v>652</v>
      </c>
      <c r="S3669" t="s">
        <v>653</v>
      </c>
      <c r="T3669" t="s">
        <v>4953</v>
      </c>
      <c r="U3669" t="s">
        <v>4954</v>
      </c>
      <c r="V3669" t="s">
        <v>4955</v>
      </c>
      <c r="W3669" t="s">
        <v>4956</v>
      </c>
      <c r="AD3669" t="s">
        <v>219</v>
      </c>
      <c r="AE3669" t="s">
        <v>4957</v>
      </c>
      <c r="AF3669" t="s">
        <v>4958</v>
      </c>
    </row>
    <row r="3670" spans="1:32" hidden="1" x14ac:dyDescent="0.35">
      <c r="A3670">
        <v>1115</v>
      </c>
      <c r="B3670" t="s">
        <v>2310</v>
      </c>
      <c r="C3670" t="s">
        <v>72</v>
      </c>
      <c r="D3670" t="s">
        <v>60</v>
      </c>
      <c r="E3670">
        <v>1391</v>
      </c>
      <c r="F3670">
        <v>5</v>
      </c>
      <c r="G3670">
        <v>5</v>
      </c>
      <c r="H3670">
        <v>1</v>
      </c>
      <c r="I3670">
        <v>1</v>
      </c>
      <c r="J3670">
        <v>0.92121212121212104</v>
      </c>
      <c r="K3670">
        <v>1</v>
      </c>
      <c r="L3670">
        <v>0.958990536277602</v>
      </c>
      <c r="M3670">
        <v>0.83957219251336901</v>
      </c>
      <c r="N3670">
        <v>1</v>
      </c>
      <c r="O3670">
        <v>0.88342245989304802</v>
      </c>
      <c r="P3670" t="s">
        <v>2311</v>
      </c>
      <c r="Q3670" t="s">
        <v>2312</v>
      </c>
      <c r="R3670" t="s">
        <v>224</v>
      </c>
      <c r="S3670" t="s">
        <v>225</v>
      </c>
      <c r="T3670" t="s">
        <v>2313</v>
      </c>
      <c r="U3670" t="s">
        <v>2314</v>
      </c>
      <c r="V3670" t="s">
        <v>2315</v>
      </c>
      <c r="W3670" t="s">
        <v>2316</v>
      </c>
      <c r="X3670" t="s">
        <v>2315</v>
      </c>
      <c r="Y3670" t="s">
        <v>773</v>
      </c>
      <c r="AD3670" t="s">
        <v>774</v>
      </c>
      <c r="AE3670" t="s">
        <v>2317</v>
      </c>
      <c r="AF3670" t="s">
        <v>2319</v>
      </c>
    </row>
    <row r="3671" spans="1:32" hidden="1" x14ac:dyDescent="0.35">
      <c r="A3671">
        <v>1116</v>
      </c>
      <c r="B3671" t="s">
        <v>2310</v>
      </c>
      <c r="C3671" t="s">
        <v>72</v>
      </c>
      <c r="D3671" t="s">
        <v>62</v>
      </c>
      <c r="E3671">
        <v>1426</v>
      </c>
      <c r="F3671">
        <v>5</v>
      </c>
      <c r="G3671">
        <v>5</v>
      </c>
      <c r="H3671">
        <v>1</v>
      </c>
      <c r="I3671">
        <v>1</v>
      </c>
      <c r="J3671">
        <v>0.92121212121212104</v>
      </c>
      <c r="K3671">
        <v>1</v>
      </c>
      <c r="L3671">
        <v>0.958990536277602</v>
      </c>
      <c r="M3671">
        <v>0.83957219251336901</v>
      </c>
      <c r="N3671">
        <v>1</v>
      </c>
      <c r="O3671">
        <v>0.88342245989304802</v>
      </c>
      <c r="P3671" t="s">
        <v>2311</v>
      </c>
      <c r="Q3671" t="s">
        <v>2312</v>
      </c>
      <c r="R3671" t="s">
        <v>224</v>
      </c>
      <c r="S3671" t="s">
        <v>225</v>
      </c>
      <c r="T3671" t="s">
        <v>2313</v>
      </c>
      <c r="U3671" t="s">
        <v>2314</v>
      </c>
      <c r="V3671" t="s">
        <v>2315</v>
      </c>
      <c r="W3671" t="s">
        <v>2316</v>
      </c>
      <c r="X3671" t="s">
        <v>2315</v>
      </c>
      <c r="Y3671" t="s">
        <v>773</v>
      </c>
      <c r="AD3671" t="s">
        <v>774</v>
      </c>
      <c r="AE3671" t="s">
        <v>2317</v>
      </c>
      <c r="AF3671" t="s">
        <v>2319</v>
      </c>
    </row>
    <row r="3672" spans="1:32" hidden="1" x14ac:dyDescent="0.35">
      <c r="A3672">
        <v>1117</v>
      </c>
      <c r="B3672" t="s">
        <v>2310</v>
      </c>
      <c r="C3672" t="s">
        <v>72</v>
      </c>
      <c r="D3672" t="s">
        <v>34</v>
      </c>
      <c r="E3672">
        <v>1813</v>
      </c>
      <c r="F3672">
        <v>5</v>
      </c>
      <c r="G3672">
        <v>5</v>
      </c>
      <c r="H3672">
        <v>1</v>
      </c>
      <c r="I3672">
        <v>1</v>
      </c>
      <c r="J3672">
        <v>0.92121212121212104</v>
      </c>
      <c r="K3672">
        <v>1</v>
      </c>
      <c r="L3672">
        <v>0.958990536277602</v>
      </c>
      <c r="M3672">
        <v>0.83957219251336901</v>
      </c>
      <c r="N3672">
        <v>1</v>
      </c>
      <c r="O3672">
        <v>0.88342245989304802</v>
      </c>
      <c r="P3672" t="s">
        <v>2311</v>
      </c>
      <c r="Q3672" t="s">
        <v>2312</v>
      </c>
      <c r="R3672" t="s">
        <v>224</v>
      </c>
      <c r="S3672" t="s">
        <v>225</v>
      </c>
      <c r="T3672" t="s">
        <v>2313</v>
      </c>
      <c r="U3672" t="s">
        <v>2314</v>
      </c>
      <c r="V3672" t="s">
        <v>2315</v>
      </c>
      <c r="W3672" t="s">
        <v>2316</v>
      </c>
      <c r="X3672" t="s">
        <v>2315</v>
      </c>
      <c r="Y3672" t="s">
        <v>773</v>
      </c>
      <c r="AD3672" t="s">
        <v>774</v>
      </c>
      <c r="AE3672" t="s">
        <v>2317</v>
      </c>
      <c r="AF3672" t="s">
        <v>2320</v>
      </c>
    </row>
    <row r="3673" spans="1:32" hidden="1" x14ac:dyDescent="0.35">
      <c r="A3673">
        <v>1118</v>
      </c>
      <c r="B3673" t="s">
        <v>2310</v>
      </c>
      <c r="C3673" t="s">
        <v>72</v>
      </c>
      <c r="D3673" t="s">
        <v>45</v>
      </c>
      <c r="E3673">
        <v>1060</v>
      </c>
      <c r="F3673">
        <v>5</v>
      </c>
      <c r="G3673">
        <v>5</v>
      </c>
      <c r="H3673">
        <v>1</v>
      </c>
      <c r="I3673">
        <v>1</v>
      </c>
      <c r="J3673">
        <v>0.92121212121212104</v>
      </c>
      <c r="K3673">
        <v>1</v>
      </c>
      <c r="L3673">
        <v>0.958990536277602</v>
      </c>
      <c r="M3673">
        <v>0.83957219251336901</v>
      </c>
      <c r="N3673">
        <v>1</v>
      </c>
      <c r="O3673">
        <v>0.88342245989304802</v>
      </c>
      <c r="P3673" t="s">
        <v>2311</v>
      </c>
      <c r="Q3673" t="s">
        <v>2312</v>
      </c>
      <c r="R3673" t="s">
        <v>224</v>
      </c>
      <c r="S3673" t="s">
        <v>225</v>
      </c>
      <c r="T3673" t="s">
        <v>2313</v>
      </c>
      <c r="U3673" t="s">
        <v>2314</v>
      </c>
      <c r="V3673" t="s">
        <v>2315</v>
      </c>
      <c r="W3673" t="s">
        <v>2316</v>
      </c>
      <c r="X3673" t="s">
        <v>2315</v>
      </c>
      <c r="Y3673" t="s">
        <v>773</v>
      </c>
      <c r="AD3673" t="s">
        <v>774</v>
      </c>
      <c r="AE3673" t="s">
        <v>2317</v>
      </c>
      <c r="AF3673" t="s">
        <v>2320</v>
      </c>
    </row>
    <row r="3674" spans="1:32" hidden="1" x14ac:dyDescent="0.35">
      <c r="A3674">
        <v>11614</v>
      </c>
      <c r="B3674" t="s">
        <v>23779</v>
      </c>
      <c r="C3674" t="s">
        <v>33</v>
      </c>
      <c r="D3674" t="s">
        <v>58</v>
      </c>
      <c r="E3674">
        <v>649</v>
      </c>
      <c r="F3674">
        <v>1</v>
      </c>
      <c r="G3674">
        <v>1</v>
      </c>
      <c r="H3674">
        <v>1</v>
      </c>
      <c r="I3674">
        <v>0</v>
      </c>
      <c r="J3674">
        <v>1</v>
      </c>
      <c r="K3674">
        <v>1</v>
      </c>
      <c r="L3674">
        <v>1</v>
      </c>
      <c r="M3674">
        <v>0</v>
      </c>
      <c r="N3674">
        <v>0</v>
      </c>
      <c r="O3674">
        <v>0</v>
      </c>
      <c r="P3674" t="s">
        <v>23780</v>
      </c>
      <c r="Q3674" t="s">
        <v>23781</v>
      </c>
      <c r="R3674" t="s">
        <v>342</v>
      </c>
      <c r="S3674" t="s">
        <v>343</v>
      </c>
      <c r="T3674" t="s">
        <v>23782</v>
      </c>
      <c r="U3674" t="s">
        <v>23783</v>
      </c>
      <c r="V3674" t="s">
        <v>23784</v>
      </c>
      <c r="W3674" t="s">
        <v>23785</v>
      </c>
      <c r="AD3674" t="s">
        <v>166</v>
      </c>
      <c r="AE3674" t="s">
        <v>818</v>
      </c>
      <c r="AF3674" t="s">
        <v>23786</v>
      </c>
    </row>
    <row r="3675" spans="1:32" hidden="1" x14ac:dyDescent="0.35">
      <c r="A3675">
        <v>1135</v>
      </c>
      <c r="B3675" t="s">
        <v>2348</v>
      </c>
      <c r="C3675" t="s">
        <v>72</v>
      </c>
      <c r="D3675" t="s">
        <v>60</v>
      </c>
      <c r="E3675">
        <v>1083</v>
      </c>
      <c r="F3675">
        <v>5</v>
      </c>
      <c r="G3675">
        <v>5</v>
      </c>
      <c r="H3675">
        <v>1</v>
      </c>
      <c r="I3675">
        <v>1</v>
      </c>
      <c r="J3675">
        <v>0.87762686668018097</v>
      </c>
      <c r="K3675">
        <v>0.99258778477315701</v>
      </c>
      <c r="L3675">
        <v>0.93157403806941796</v>
      </c>
      <c r="M3675">
        <v>0.78672032193159003</v>
      </c>
      <c r="N3675">
        <v>1</v>
      </c>
      <c r="O3675">
        <v>0.84084507042253498</v>
      </c>
      <c r="P3675" t="s">
        <v>2349</v>
      </c>
      <c r="Q3675" t="s">
        <v>2350</v>
      </c>
      <c r="R3675" t="s">
        <v>224</v>
      </c>
      <c r="S3675" t="s">
        <v>225</v>
      </c>
      <c r="T3675" t="s">
        <v>2351</v>
      </c>
      <c r="U3675" t="s">
        <v>2352</v>
      </c>
      <c r="V3675" t="s">
        <v>2353</v>
      </c>
      <c r="W3675" t="s">
        <v>2354</v>
      </c>
      <c r="X3675" t="s">
        <v>2353</v>
      </c>
      <c r="Y3675" t="s">
        <v>1153</v>
      </c>
      <c r="Z3675" t="s">
        <v>2355</v>
      </c>
      <c r="AA3675" t="s">
        <v>2356</v>
      </c>
      <c r="AB3675" t="s">
        <v>2355</v>
      </c>
      <c r="AC3675" t="s">
        <v>1094</v>
      </c>
      <c r="AD3675" t="s">
        <v>2357</v>
      </c>
      <c r="AE3675" t="s">
        <v>2358</v>
      </c>
      <c r="AF3675" t="s">
        <v>2360</v>
      </c>
    </row>
    <row r="3676" spans="1:32" hidden="1" x14ac:dyDescent="0.35">
      <c r="A3676">
        <v>1136</v>
      </c>
      <c r="B3676" t="s">
        <v>2348</v>
      </c>
      <c r="C3676" t="s">
        <v>72</v>
      </c>
      <c r="D3676" t="s">
        <v>62</v>
      </c>
      <c r="E3676">
        <v>1119</v>
      </c>
      <c r="F3676">
        <v>5</v>
      </c>
      <c r="G3676">
        <v>5</v>
      </c>
      <c r="H3676">
        <v>1</v>
      </c>
      <c r="I3676">
        <v>1</v>
      </c>
      <c r="J3676">
        <v>0.87762686668018097</v>
      </c>
      <c r="K3676">
        <v>0.99258778477315701</v>
      </c>
      <c r="L3676">
        <v>0.93157403806941796</v>
      </c>
      <c r="M3676">
        <v>0.78672032193159003</v>
      </c>
      <c r="N3676">
        <v>1</v>
      </c>
      <c r="O3676">
        <v>0.84084507042253498</v>
      </c>
      <c r="P3676" t="s">
        <v>2349</v>
      </c>
      <c r="Q3676" t="s">
        <v>2350</v>
      </c>
      <c r="R3676" t="s">
        <v>224</v>
      </c>
      <c r="S3676" t="s">
        <v>225</v>
      </c>
      <c r="T3676" t="s">
        <v>2351</v>
      </c>
      <c r="U3676" t="s">
        <v>2352</v>
      </c>
      <c r="V3676" t="s">
        <v>2353</v>
      </c>
      <c r="W3676" t="s">
        <v>2354</v>
      </c>
      <c r="X3676" t="s">
        <v>2353</v>
      </c>
      <c r="Y3676" t="s">
        <v>1153</v>
      </c>
      <c r="Z3676" t="s">
        <v>2355</v>
      </c>
      <c r="AA3676" t="s">
        <v>2356</v>
      </c>
      <c r="AB3676" t="s">
        <v>2355</v>
      </c>
      <c r="AC3676" t="s">
        <v>1094</v>
      </c>
      <c r="AD3676" t="s">
        <v>2357</v>
      </c>
      <c r="AE3676" t="s">
        <v>2358</v>
      </c>
      <c r="AF3676" t="s">
        <v>2360</v>
      </c>
    </row>
    <row r="3677" spans="1:32" hidden="1" x14ac:dyDescent="0.35">
      <c r="A3677">
        <v>1137</v>
      </c>
      <c r="B3677" t="s">
        <v>2348</v>
      </c>
      <c r="C3677" t="s">
        <v>72</v>
      </c>
      <c r="D3677" t="s">
        <v>34</v>
      </c>
      <c r="E3677">
        <v>41</v>
      </c>
      <c r="F3677">
        <v>5</v>
      </c>
      <c r="G3677">
        <v>5</v>
      </c>
      <c r="H3677">
        <v>1</v>
      </c>
      <c r="I3677">
        <v>1</v>
      </c>
      <c r="J3677">
        <v>0.87762686668018097</v>
      </c>
      <c r="K3677">
        <v>0.99258778477315701</v>
      </c>
      <c r="L3677">
        <v>0.93157403806941796</v>
      </c>
      <c r="M3677">
        <v>0.78672032193159003</v>
      </c>
      <c r="N3677">
        <v>1</v>
      </c>
      <c r="O3677">
        <v>0.84084507042253498</v>
      </c>
      <c r="P3677" t="s">
        <v>2349</v>
      </c>
      <c r="Q3677" t="s">
        <v>2350</v>
      </c>
      <c r="R3677" t="s">
        <v>224</v>
      </c>
      <c r="S3677" t="s">
        <v>225</v>
      </c>
      <c r="T3677" t="s">
        <v>2351</v>
      </c>
      <c r="U3677" t="s">
        <v>2352</v>
      </c>
      <c r="V3677" t="s">
        <v>2353</v>
      </c>
      <c r="W3677" t="s">
        <v>2354</v>
      </c>
      <c r="X3677" t="s">
        <v>2353</v>
      </c>
      <c r="Y3677" t="s">
        <v>1153</v>
      </c>
      <c r="Z3677" t="s">
        <v>2355</v>
      </c>
      <c r="AA3677" t="s">
        <v>2356</v>
      </c>
      <c r="AB3677" t="s">
        <v>2355</v>
      </c>
      <c r="AC3677" t="s">
        <v>1094</v>
      </c>
      <c r="AD3677" t="s">
        <v>2357</v>
      </c>
      <c r="AE3677" t="s">
        <v>2358</v>
      </c>
      <c r="AF3677" t="s">
        <v>2361</v>
      </c>
    </row>
    <row r="3678" spans="1:32" hidden="1" x14ac:dyDescent="0.35">
      <c r="A3678">
        <v>1138</v>
      </c>
      <c r="B3678" t="s">
        <v>2348</v>
      </c>
      <c r="C3678" t="s">
        <v>72</v>
      </c>
      <c r="D3678" t="s">
        <v>45</v>
      </c>
      <c r="E3678">
        <v>1298</v>
      </c>
      <c r="F3678">
        <v>5</v>
      </c>
      <c r="G3678">
        <v>5</v>
      </c>
      <c r="H3678">
        <v>1</v>
      </c>
      <c r="I3678">
        <v>1</v>
      </c>
      <c r="J3678">
        <v>0.87762686668018097</v>
      </c>
      <c r="K3678">
        <v>0.99258778477315701</v>
      </c>
      <c r="L3678">
        <v>0.93157403806941796</v>
      </c>
      <c r="M3678">
        <v>0.78672032193159003</v>
      </c>
      <c r="N3678">
        <v>1</v>
      </c>
      <c r="O3678">
        <v>0.84084507042253498</v>
      </c>
      <c r="P3678" t="s">
        <v>2349</v>
      </c>
      <c r="Q3678" t="s">
        <v>2350</v>
      </c>
      <c r="R3678" t="s">
        <v>224</v>
      </c>
      <c r="S3678" t="s">
        <v>225</v>
      </c>
      <c r="T3678" t="s">
        <v>2351</v>
      </c>
      <c r="U3678" t="s">
        <v>2352</v>
      </c>
      <c r="V3678" t="s">
        <v>2353</v>
      </c>
      <c r="W3678" t="s">
        <v>2354</v>
      </c>
      <c r="X3678" t="s">
        <v>2353</v>
      </c>
      <c r="Y3678" t="s">
        <v>1153</v>
      </c>
      <c r="Z3678" t="s">
        <v>2355</v>
      </c>
      <c r="AA3678" t="s">
        <v>2356</v>
      </c>
      <c r="AB3678" t="s">
        <v>2355</v>
      </c>
      <c r="AC3678" t="s">
        <v>1094</v>
      </c>
      <c r="AD3678" t="s">
        <v>2357</v>
      </c>
      <c r="AE3678" t="s">
        <v>2358</v>
      </c>
      <c r="AF3678" t="s">
        <v>2362</v>
      </c>
    </row>
    <row r="3679" spans="1:32" hidden="1" x14ac:dyDescent="0.35">
      <c r="A3679">
        <v>2669</v>
      </c>
      <c r="B3679" t="s">
        <v>5512</v>
      </c>
      <c r="C3679" t="s">
        <v>72</v>
      </c>
      <c r="D3679" t="s">
        <v>58</v>
      </c>
      <c r="E3679">
        <v>1287</v>
      </c>
      <c r="F3679">
        <v>5</v>
      </c>
      <c r="G3679">
        <v>5</v>
      </c>
      <c r="H3679">
        <v>1</v>
      </c>
      <c r="I3679">
        <v>1</v>
      </c>
      <c r="J3679">
        <v>0.87551139684395096</v>
      </c>
      <c r="K3679">
        <v>0.96648117735224304</v>
      </c>
      <c r="L3679">
        <v>0.91874994227519802</v>
      </c>
      <c r="M3679">
        <v>0.76481655691439299</v>
      </c>
      <c r="N3679">
        <v>1</v>
      </c>
      <c r="O3679">
        <v>0.82784571966133602</v>
      </c>
      <c r="P3679" t="s">
        <v>5513</v>
      </c>
      <c r="Q3679" t="s">
        <v>5514</v>
      </c>
      <c r="R3679" t="s">
        <v>224</v>
      </c>
      <c r="S3679" t="s">
        <v>225</v>
      </c>
      <c r="T3679" t="s">
        <v>5515</v>
      </c>
      <c r="U3679" t="s">
        <v>5516</v>
      </c>
      <c r="V3679" t="s">
        <v>5517</v>
      </c>
      <c r="W3679" t="s">
        <v>5518</v>
      </c>
      <c r="X3679" t="s">
        <v>5517</v>
      </c>
      <c r="Y3679" t="s">
        <v>589</v>
      </c>
      <c r="AD3679" t="s">
        <v>997</v>
      </c>
      <c r="AE3679" t="s">
        <v>5519</v>
      </c>
      <c r="AF3679" t="s">
        <v>5520</v>
      </c>
    </row>
    <row r="3680" spans="1:32" hidden="1" x14ac:dyDescent="0.35">
      <c r="A3680">
        <v>1155</v>
      </c>
      <c r="B3680" t="s">
        <v>2401</v>
      </c>
      <c r="C3680" t="s">
        <v>72</v>
      </c>
      <c r="D3680" t="s">
        <v>60</v>
      </c>
      <c r="E3680">
        <v>1017</v>
      </c>
      <c r="F3680">
        <v>5</v>
      </c>
      <c r="G3680">
        <v>5</v>
      </c>
      <c r="H3680">
        <v>1</v>
      </c>
      <c r="I3680">
        <v>1</v>
      </c>
      <c r="J3680">
        <v>0.88563344286235901</v>
      </c>
      <c r="K3680">
        <v>0.99240611301978499</v>
      </c>
      <c r="L3680">
        <v>0.935984590780919</v>
      </c>
      <c r="M3680">
        <v>0.79619565217391297</v>
      </c>
      <c r="N3680">
        <v>1</v>
      </c>
      <c r="O3680">
        <v>0.84538043478260905</v>
      </c>
      <c r="P3680" t="s">
        <v>2402</v>
      </c>
      <c r="Q3680" t="s">
        <v>2403</v>
      </c>
      <c r="R3680" t="s">
        <v>224</v>
      </c>
      <c r="S3680" t="s">
        <v>225</v>
      </c>
      <c r="T3680" t="s">
        <v>2404</v>
      </c>
      <c r="U3680" t="s">
        <v>2405</v>
      </c>
      <c r="V3680" t="s">
        <v>2406</v>
      </c>
      <c r="W3680" t="s">
        <v>2407</v>
      </c>
      <c r="X3680" t="s">
        <v>2406</v>
      </c>
      <c r="Y3680" t="s">
        <v>1598</v>
      </c>
      <c r="AD3680" t="s">
        <v>2408</v>
      </c>
      <c r="AE3680" t="s">
        <v>2409</v>
      </c>
      <c r="AF3680" t="s">
        <v>2411</v>
      </c>
    </row>
    <row r="3681" spans="1:32" hidden="1" x14ac:dyDescent="0.35">
      <c r="A3681">
        <v>1156</v>
      </c>
      <c r="B3681" t="s">
        <v>2401</v>
      </c>
      <c r="C3681" t="s">
        <v>72</v>
      </c>
      <c r="D3681" t="s">
        <v>62</v>
      </c>
      <c r="E3681">
        <v>1053</v>
      </c>
      <c r="F3681">
        <v>5</v>
      </c>
      <c r="G3681">
        <v>5</v>
      </c>
      <c r="H3681">
        <v>1</v>
      </c>
      <c r="I3681">
        <v>1</v>
      </c>
      <c r="J3681">
        <v>0.88563344286235901</v>
      </c>
      <c r="K3681">
        <v>0.99240611301978499</v>
      </c>
      <c r="L3681">
        <v>0.935984590780919</v>
      </c>
      <c r="M3681">
        <v>0.79619565217391297</v>
      </c>
      <c r="N3681">
        <v>1</v>
      </c>
      <c r="O3681">
        <v>0.84538043478260905</v>
      </c>
      <c r="P3681" t="s">
        <v>2402</v>
      </c>
      <c r="Q3681" t="s">
        <v>2403</v>
      </c>
      <c r="R3681" t="s">
        <v>224</v>
      </c>
      <c r="S3681" t="s">
        <v>225</v>
      </c>
      <c r="T3681" t="s">
        <v>2404</v>
      </c>
      <c r="U3681" t="s">
        <v>2405</v>
      </c>
      <c r="V3681" t="s">
        <v>2406</v>
      </c>
      <c r="W3681" t="s">
        <v>2407</v>
      </c>
      <c r="X3681" t="s">
        <v>2406</v>
      </c>
      <c r="Y3681" t="s">
        <v>1598</v>
      </c>
      <c r="AD3681" t="s">
        <v>2408</v>
      </c>
      <c r="AE3681" t="s">
        <v>2409</v>
      </c>
      <c r="AF3681" t="s">
        <v>2411</v>
      </c>
    </row>
    <row r="3682" spans="1:32" hidden="1" x14ac:dyDescent="0.35">
      <c r="A3682">
        <v>1157</v>
      </c>
      <c r="B3682" t="s">
        <v>2401</v>
      </c>
      <c r="C3682" t="s">
        <v>72</v>
      </c>
      <c r="D3682" t="s">
        <v>34</v>
      </c>
      <c r="E3682">
        <v>114</v>
      </c>
      <c r="F3682">
        <v>5</v>
      </c>
      <c r="G3682">
        <v>5</v>
      </c>
      <c r="H3682">
        <v>1</v>
      </c>
      <c r="I3682">
        <v>1</v>
      </c>
      <c r="J3682">
        <v>0.88563344286235901</v>
      </c>
      <c r="K3682">
        <v>0.99240611301978499</v>
      </c>
      <c r="L3682">
        <v>0.935984590780919</v>
      </c>
      <c r="M3682">
        <v>0.79619565217391297</v>
      </c>
      <c r="N3682">
        <v>1</v>
      </c>
      <c r="O3682">
        <v>0.84538043478260905</v>
      </c>
      <c r="P3682" t="s">
        <v>2402</v>
      </c>
      <c r="Q3682" t="s">
        <v>2403</v>
      </c>
      <c r="R3682" t="s">
        <v>224</v>
      </c>
      <c r="S3682" t="s">
        <v>225</v>
      </c>
      <c r="T3682" t="s">
        <v>2404</v>
      </c>
      <c r="U3682" t="s">
        <v>2405</v>
      </c>
      <c r="V3682" t="s">
        <v>2406</v>
      </c>
      <c r="W3682" t="s">
        <v>2407</v>
      </c>
      <c r="X3682" t="s">
        <v>2406</v>
      </c>
      <c r="Y3682" t="s">
        <v>1598</v>
      </c>
      <c r="AD3682" t="s">
        <v>2408</v>
      </c>
      <c r="AE3682" t="s">
        <v>2409</v>
      </c>
      <c r="AF3682" t="s">
        <v>2412</v>
      </c>
    </row>
    <row r="3683" spans="1:32" hidden="1" x14ac:dyDescent="0.35">
      <c r="A3683">
        <v>1158</v>
      </c>
      <c r="B3683" t="s">
        <v>2401</v>
      </c>
      <c r="C3683" t="s">
        <v>72</v>
      </c>
      <c r="D3683" t="s">
        <v>45</v>
      </c>
      <c r="E3683">
        <v>1375</v>
      </c>
      <c r="F3683">
        <v>5</v>
      </c>
      <c r="G3683">
        <v>5</v>
      </c>
      <c r="H3683">
        <v>1</v>
      </c>
      <c r="I3683">
        <v>1</v>
      </c>
      <c r="J3683">
        <v>0.88563344286235901</v>
      </c>
      <c r="K3683">
        <v>0.99240611301978499</v>
      </c>
      <c r="L3683">
        <v>0.935984590780919</v>
      </c>
      <c r="M3683">
        <v>0.79619565217391297</v>
      </c>
      <c r="N3683">
        <v>1</v>
      </c>
      <c r="O3683">
        <v>0.84538043478260905</v>
      </c>
      <c r="P3683" t="s">
        <v>2402</v>
      </c>
      <c r="Q3683" t="s">
        <v>2403</v>
      </c>
      <c r="R3683" t="s">
        <v>224</v>
      </c>
      <c r="S3683" t="s">
        <v>225</v>
      </c>
      <c r="T3683" t="s">
        <v>2404</v>
      </c>
      <c r="U3683" t="s">
        <v>2405</v>
      </c>
      <c r="V3683" t="s">
        <v>2406</v>
      </c>
      <c r="W3683" t="s">
        <v>2407</v>
      </c>
      <c r="X3683" t="s">
        <v>2406</v>
      </c>
      <c r="Y3683" t="s">
        <v>1598</v>
      </c>
      <c r="AD3683" t="s">
        <v>2408</v>
      </c>
      <c r="AE3683" t="s">
        <v>2409</v>
      </c>
      <c r="AF3683" t="s">
        <v>2413</v>
      </c>
    </row>
    <row r="3684" spans="1:32" hidden="1" x14ac:dyDescent="0.35">
      <c r="A3684">
        <v>11197</v>
      </c>
      <c r="B3684" t="s">
        <v>22737</v>
      </c>
      <c r="C3684" t="s">
        <v>33</v>
      </c>
      <c r="D3684" t="s">
        <v>58</v>
      </c>
      <c r="E3684">
        <v>1406</v>
      </c>
      <c r="F3684">
        <v>1</v>
      </c>
      <c r="G3684">
        <v>1</v>
      </c>
      <c r="H3684">
        <v>1</v>
      </c>
      <c r="I3684">
        <v>0</v>
      </c>
      <c r="J3684">
        <v>1</v>
      </c>
      <c r="K3684">
        <v>1</v>
      </c>
      <c r="L3684">
        <v>1</v>
      </c>
      <c r="M3684">
        <v>0</v>
      </c>
      <c r="N3684">
        <v>0</v>
      </c>
      <c r="O3684">
        <v>0</v>
      </c>
      <c r="P3684" t="s">
        <v>8002</v>
      </c>
      <c r="Q3684" t="s">
        <v>8003</v>
      </c>
      <c r="R3684" t="s">
        <v>75</v>
      </c>
      <c r="S3684" t="s">
        <v>76</v>
      </c>
      <c r="T3684" t="s">
        <v>11860</v>
      </c>
      <c r="U3684" t="s">
        <v>11861</v>
      </c>
      <c r="V3684" t="s">
        <v>11862</v>
      </c>
      <c r="W3684" t="s">
        <v>11863</v>
      </c>
      <c r="X3684" t="s">
        <v>11862</v>
      </c>
      <c r="Y3684" t="s">
        <v>619</v>
      </c>
      <c r="Z3684" t="s">
        <v>11864</v>
      </c>
      <c r="AA3684" t="s">
        <v>11865</v>
      </c>
      <c r="AB3684" t="s">
        <v>11864</v>
      </c>
      <c r="AC3684" t="s">
        <v>11866</v>
      </c>
      <c r="AD3684" t="s">
        <v>219</v>
      </c>
      <c r="AE3684" t="s">
        <v>11867</v>
      </c>
      <c r="AF3684" t="s">
        <v>22738</v>
      </c>
    </row>
    <row r="3685" spans="1:32" hidden="1" x14ac:dyDescent="0.35">
      <c r="A3685">
        <v>1190</v>
      </c>
      <c r="B3685" t="s">
        <v>2485</v>
      </c>
      <c r="C3685" t="s">
        <v>72</v>
      </c>
      <c r="D3685" t="s">
        <v>60</v>
      </c>
      <c r="E3685">
        <v>414</v>
      </c>
      <c r="F3685">
        <v>5</v>
      </c>
      <c r="G3685">
        <v>5</v>
      </c>
      <c r="H3685">
        <v>1</v>
      </c>
      <c r="I3685">
        <v>1</v>
      </c>
      <c r="J3685">
        <v>0.91730769230769205</v>
      </c>
      <c r="K3685">
        <v>1</v>
      </c>
      <c r="L3685">
        <v>0.95687061183550703</v>
      </c>
      <c r="M3685">
        <v>0.83653846153846201</v>
      </c>
      <c r="N3685">
        <v>1</v>
      </c>
      <c r="O3685">
        <v>0.875</v>
      </c>
      <c r="P3685" t="s">
        <v>2486</v>
      </c>
      <c r="Q3685" t="s">
        <v>2487</v>
      </c>
      <c r="R3685" t="s">
        <v>224</v>
      </c>
      <c r="S3685" t="s">
        <v>225</v>
      </c>
      <c r="T3685" t="s">
        <v>2488</v>
      </c>
      <c r="U3685" t="s">
        <v>2489</v>
      </c>
      <c r="V3685" t="s">
        <v>2490</v>
      </c>
      <c r="W3685" t="s">
        <v>2491</v>
      </c>
      <c r="X3685" t="s">
        <v>2490</v>
      </c>
      <c r="Y3685" t="s">
        <v>749</v>
      </c>
      <c r="AD3685" t="s">
        <v>762</v>
      </c>
      <c r="AE3685" t="s">
        <v>1545</v>
      </c>
      <c r="AF3685" t="s">
        <v>2493</v>
      </c>
    </row>
    <row r="3686" spans="1:32" hidden="1" x14ac:dyDescent="0.35">
      <c r="A3686">
        <v>1191</v>
      </c>
      <c r="B3686" t="s">
        <v>2485</v>
      </c>
      <c r="C3686" t="s">
        <v>72</v>
      </c>
      <c r="D3686" t="s">
        <v>62</v>
      </c>
      <c r="E3686">
        <v>495</v>
      </c>
      <c r="F3686">
        <v>5</v>
      </c>
      <c r="G3686">
        <v>5</v>
      </c>
      <c r="H3686">
        <v>1</v>
      </c>
      <c r="I3686">
        <v>1</v>
      </c>
      <c r="J3686">
        <v>0.91730769230769205</v>
      </c>
      <c r="K3686">
        <v>1</v>
      </c>
      <c r="L3686">
        <v>0.95687061183550703</v>
      </c>
      <c r="M3686">
        <v>0.83653846153846201</v>
      </c>
      <c r="N3686">
        <v>1</v>
      </c>
      <c r="O3686">
        <v>0.875</v>
      </c>
      <c r="P3686" t="s">
        <v>2486</v>
      </c>
      <c r="Q3686" t="s">
        <v>2487</v>
      </c>
      <c r="R3686" t="s">
        <v>224</v>
      </c>
      <c r="S3686" t="s">
        <v>225</v>
      </c>
      <c r="T3686" t="s">
        <v>2488</v>
      </c>
      <c r="U3686" t="s">
        <v>2489</v>
      </c>
      <c r="V3686" t="s">
        <v>2490</v>
      </c>
      <c r="W3686" t="s">
        <v>2491</v>
      </c>
      <c r="X3686" t="s">
        <v>2490</v>
      </c>
      <c r="Y3686" t="s">
        <v>749</v>
      </c>
      <c r="AD3686" t="s">
        <v>762</v>
      </c>
      <c r="AE3686" t="s">
        <v>1545</v>
      </c>
      <c r="AF3686" t="s">
        <v>2493</v>
      </c>
    </row>
    <row r="3687" spans="1:32" hidden="1" x14ac:dyDescent="0.35">
      <c r="A3687">
        <v>1192</v>
      </c>
      <c r="B3687" t="s">
        <v>2485</v>
      </c>
      <c r="C3687" t="s">
        <v>72</v>
      </c>
      <c r="D3687" t="s">
        <v>34</v>
      </c>
      <c r="E3687">
        <v>692</v>
      </c>
      <c r="F3687">
        <v>5</v>
      </c>
      <c r="G3687">
        <v>5</v>
      </c>
      <c r="H3687">
        <v>1</v>
      </c>
      <c r="I3687">
        <v>1</v>
      </c>
      <c r="J3687">
        <v>0.91730769230769205</v>
      </c>
      <c r="K3687">
        <v>1</v>
      </c>
      <c r="L3687">
        <v>0.95687061183550703</v>
      </c>
      <c r="M3687">
        <v>0.83653846153846201</v>
      </c>
      <c r="N3687">
        <v>1</v>
      </c>
      <c r="O3687">
        <v>0.875</v>
      </c>
      <c r="P3687" t="s">
        <v>2486</v>
      </c>
      <c r="Q3687" t="s">
        <v>2487</v>
      </c>
      <c r="R3687" t="s">
        <v>224</v>
      </c>
      <c r="S3687" t="s">
        <v>225</v>
      </c>
      <c r="T3687" t="s">
        <v>2488</v>
      </c>
      <c r="U3687" t="s">
        <v>2489</v>
      </c>
      <c r="V3687" t="s">
        <v>2490</v>
      </c>
      <c r="W3687" t="s">
        <v>2491</v>
      </c>
      <c r="X3687" t="s">
        <v>2490</v>
      </c>
      <c r="Y3687" t="s">
        <v>749</v>
      </c>
      <c r="AD3687" t="s">
        <v>762</v>
      </c>
      <c r="AE3687" t="s">
        <v>1545</v>
      </c>
      <c r="AF3687" t="s">
        <v>2494</v>
      </c>
    </row>
    <row r="3688" spans="1:32" hidden="1" x14ac:dyDescent="0.35">
      <c r="A3688">
        <v>1193</v>
      </c>
      <c r="B3688" t="s">
        <v>2485</v>
      </c>
      <c r="C3688" t="s">
        <v>72</v>
      </c>
      <c r="D3688" t="s">
        <v>45</v>
      </c>
      <c r="E3688">
        <v>1958</v>
      </c>
      <c r="F3688">
        <v>5</v>
      </c>
      <c r="G3688">
        <v>5</v>
      </c>
      <c r="H3688">
        <v>1</v>
      </c>
      <c r="I3688">
        <v>1</v>
      </c>
      <c r="J3688">
        <v>0.91730769230769205</v>
      </c>
      <c r="K3688">
        <v>1</v>
      </c>
      <c r="L3688">
        <v>0.95687061183550703</v>
      </c>
      <c r="M3688">
        <v>0.83653846153846201</v>
      </c>
      <c r="N3688">
        <v>1</v>
      </c>
      <c r="O3688">
        <v>0.875</v>
      </c>
      <c r="P3688" t="s">
        <v>2486</v>
      </c>
      <c r="Q3688" t="s">
        <v>2487</v>
      </c>
      <c r="R3688" t="s">
        <v>224</v>
      </c>
      <c r="S3688" t="s">
        <v>225</v>
      </c>
      <c r="T3688" t="s">
        <v>2488</v>
      </c>
      <c r="U3688" t="s">
        <v>2489</v>
      </c>
      <c r="V3688" t="s">
        <v>2490</v>
      </c>
      <c r="W3688" t="s">
        <v>2491</v>
      </c>
      <c r="X3688" t="s">
        <v>2490</v>
      </c>
      <c r="Y3688" t="s">
        <v>749</v>
      </c>
      <c r="AD3688" t="s">
        <v>762</v>
      </c>
      <c r="AE3688" t="s">
        <v>1545</v>
      </c>
      <c r="AF3688" t="s">
        <v>2494</v>
      </c>
    </row>
    <row r="3689" spans="1:32" hidden="1" x14ac:dyDescent="0.35">
      <c r="A3689">
        <v>3904</v>
      </c>
      <c r="B3689" t="s">
        <v>8044</v>
      </c>
      <c r="C3689" t="s">
        <v>72</v>
      </c>
      <c r="D3689" t="s">
        <v>58</v>
      </c>
      <c r="E3689">
        <v>90</v>
      </c>
      <c r="F3689">
        <v>5</v>
      </c>
      <c r="G3689">
        <v>5</v>
      </c>
      <c r="H3689">
        <v>1</v>
      </c>
      <c r="I3689">
        <v>1</v>
      </c>
      <c r="J3689">
        <v>0.89298506640216002</v>
      </c>
      <c r="K3689">
        <v>0.99491432194572604</v>
      </c>
      <c r="L3689">
        <v>0.94119807160343205</v>
      </c>
      <c r="M3689">
        <v>0.82730263157894701</v>
      </c>
      <c r="N3689">
        <v>0.99342105263157898</v>
      </c>
      <c r="O3689">
        <v>0.862171052631579</v>
      </c>
      <c r="P3689" t="s">
        <v>8045</v>
      </c>
      <c r="Q3689" t="s">
        <v>8046</v>
      </c>
      <c r="R3689" t="s">
        <v>235</v>
      </c>
      <c r="S3689" t="s">
        <v>236</v>
      </c>
      <c r="T3689" t="s">
        <v>8047</v>
      </c>
      <c r="U3689" t="s">
        <v>8048</v>
      </c>
      <c r="V3689" t="s">
        <v>8049</v>
      </c>
      <c r="W3689" t="s">
        <v>8050</v>
      </c>
      <c r="X3689" t="s">
        <v>8049</v>
      </c>
      <c r="Y3689" t="s">
        <v>1108</v>
      </c>
      <c r="Z3689" t="s">
        <v>8051</v>
      </c>
      <c r="AA3689" t="s">
        <v>8052</v>
      </c>
      <c r="AB3689" t="s">
        <v>8051</v>
      </c>
      <c r="AC3689" t="s">
        <v>8053</v>
      </c>
      <c r="AD3689" t="s">
        <v>245</v>
      </c>
      <c r="AE3689" t="s">
        <v>8054</v>
      </c>
      <c r="AF3689" t="s">
        <v>8055</v>
      </c>
    </row>
    <row r="3690" spans="1:32" hidden="1" x14ac:dyDescent="0.35">
      <c r="A3690">
        <v>1240</v>
      </c>
      <c r="B3690" t="s">
        <v>2563</v>
      </c>
      <c r="C3690" t="s">
        <v>72</v>
      </c>
      <c r="D3690" t="s">
        <v>60</v>
      </c>
      <c r="E3690">
        <v>982</v>
      </c>
      <c r="F3690">
        <v>5</v>
      </c>
      <c r="G3690">
        <v>5</v>
      </c>
      <c r="H3690">
        <v>1</v>
      </c>
      <c r="I3690">
        <v>1</v>
      </c>
      <c r="J3690">
        <v>0.91859923628574103</v>
      </c>
      <c r="K3690">
        <v>0.99144967682364005</v>
      </c>
      <c r="L3690">
        <v>0.953635176246176</v>
      </c>
      <c r="M3690">
        <v>0.83933518005540197</v>
      </c>
      <c r="N3690">
        <v>1</v>
      </c>
      <c r="O3690">
        <v>0.880332409972299</v>
      </c>
      <c r="P3690" t="s">
        <v>2564</v>
      </c>
      <c r="Q3690" t="s">
        <v>2565</v>
      </c>
      <c r="R3690" t="s">
        <v>224</v>
      </c>
      <c r="S3690" t="s">
        <v>225</v>
      </c>
      <c r="T3690" t="s">
        <v>2566</v>
      </c>
      <c r="U3690" t="s">
        <v>2567</v>
      </c>
      <c r="V3690" t="s">
        <v>2568</v>
      </c>
      <c r="W3690" t="s">
        <v>2569</v>
      </c>
      <c r="X3690" t="s">
        <v>2568</v>
      </c>
      <c r="Y3690" t="s">
        <v>773</v>
      </c>
      <c r="AD3690" t="s">
        <v>1050</v>
      </c>
      <c r="AE3690" t="s">
        <v>1051</v>
      </c>
      <c r="AF3690" t="s">
        <v>2571</v>
      </c>
    </row>
    <row r="3691" spans="1:32" hidden="1" x14ac:dyDescent="0.35">
      <c r="A3691">
        <v>1241</v>
      </c>
      <c r="B3691" t="s">
        <v>2563</v>
      </c>
      <c r="C3691" t="s">
        <v>72</v>
      </c>
      <c r="D3691" t="s">
        <v>62</v>
      </c>
      <c r="E3691">
        <v>1018</v>
      </c>
      <c r="F3691">
        <v>5</v>
      </c>
      <c r="G3691">
        <v>5</v>
      </c>
      <c r="H3691">
        <v>1</v>
      </c>
      <c r="I3691">
        <v>1</v>
      </c>
      <c r="J3691">
        <v>0.91859923628574103</v>
      </c>
      <c r="K3691">
        <v>0.99144967682364005</v>
      </c>
      <c r="L3691">
        <v>0.953635176246176</v>
      </c>
      <c r="M3691">
        <v>0.83933518005540197</v>
      </c>
      <c r="N3691">
        <v>1</v>
      </c>
      <c r="O3691">
        <v>0.880332409972299</v>
      </c>
      <c r="P3691" t="s">
        <v>2564</v>
      </c>
      <c r="Q3691" t="s">
        <v>2565</v>
      </c>
      <c r="R3691" t="s">
        <v>224</v>
      </c>
      <c r="S3691" t="s">
        <v>225</v>
      </c>
      <c r="T3691" t="s">
        <v>2566</v>
      </c>
      <c r="U3691" t="s">
        <v>2567</v>
      </c>
      <c r="V3691" t="s">
        <v>2568</v>
      </c>
      <c r="W3691" t="s">
        <v>2569</v>
      </c>
      <c r="X3691" t="s">
        <v>2568</v>
      </c>
      <c r="Y3691" t="s">
        <v>773</v>
      </c>
      <c r="AD3691" t="s">
        <v>1050</v>
      </c>
      <c r="AE3691" t="s">
        <v>1051</v>
      </c>
      <c r="AF3691" t="s">
        <v>2571</v>
      </c>
    </row>
    <row r="3692" spans="1:32" hidden="1" x14ac:dyDescent="0.35">
      <c r="A3692">
        <v>1242</v>
      </c>
      <c r="B3692" t="s">
        <v>2563</v>
      </c>
      <c r="C3692" t="s">
        <v>72</v>
      </c>
      <c r="D3692" t="s">
        <v>34</v>
      </c>
      <c r="E3692">
        <v>145</v>
      </c>
      <c r="F3692">
        <v>5</v>
      </c>
      <c r="G3692">
        <v>5</v>
      </c>
      <c r="H3692">
        <v>1</v>
      </c>
      <c r="I3692">
        <v>1</v>
      </c>
      <c r="J3692">
        <v>0.91859923628574103</v>
      </c>
      <c r="K3692">
        <v>0.99144967682364005</v>
      </c>
      <c r="L3692">
        <v>0.953635176246176</v>
      </c>
      <c r="M3692">
        <v>0.83933518005540197</v>
      </c>
      <c r="N3692">
        <v>1</v>
      </c>
      <c r="O3692">
        <v>0.880332409972299</v>
      </c>
      <c r="P3692" t="s">
        <v>2564</v>
      </c>
      <c r="Q3692" t="s">
        <v>2565</v>
      </c>
      <c r="R3692" t="s">
        <v>224</v>
      </c>
      <c r="S3692" t="s">
        <v>225</v>
      </c>
      <c r="T3692" t="s">
        <v>2566</v>
      </c>
      <c r="U3692" t="s">
        <v>2567</v>
      </c>
      <c r="V3692" t="s">
        <v>2568</v>
      </c>
      <c r="W3692" t="s">
        <v>2569</v>
      </c>
      <c r="X3692" t="s">
        <v>2568</v>
      </c>
      <c r="Y3692" t="s">
        <v>773</v>
      </c>
      <c r="AD3692" t="s">
        <v>1050</v>
      </c>
      <c r="AE3692" t="s">
        <v>1051</v>
      </c>
      <c r="AF3692" t="s">
        <v>2572</v>
      </c>
    </row>
    <row r="3693" spans="1:32" hidden="1" x14ac:dyDescent="0.35">
      <c r="A3693">
        <v>1243</v>
      </c>
      <c r="B3693" t="s">
        <v>2563</v>
      </c>
      <c r="C3693" t="s">
        <v>72</v>
      </c>
      <c r="D3693" t="s">
        <v>45</v>
      </c>
      <c r="E3693">
        <v>1406</v>
      </c>
      <c r="F3693">
        <v>5</v>
      </c>
      <c r="G3693">
        <v>5</v>
      </c>
      <c r="H3693">
        <v>1</v>
      </c>
      <c r="I3693">
        <v>1</v>
      </c>
      <c r="J3693">
        <v>0.91859923628574103</v>
      </c>
      <c r="K3693">
        <v>0.99144967682364005</v>
      </c>
      <c r="L3693">
        <v>0.953635176246176</v>
      </c>
      <c r="M3693">
        <v>0.83933518005540197</v>
      </c>
      <c r="N3693">
        <v>1</v>
      </c>
      <c r="O3693">
        <v>0.880332409972299</v>
      </c>
      <c r="P3693" t="s">
        <v>2564</v>
      </c>
      <c r="Q3693" t="s">
        <v>2565</v>
      </c>
      <c r="R3693" t="s">
        <v>224</v>
      </c>
      <c r="S3693" t="s">
        <v>225</v>
      </c>
      <c r="T3693" t="s">
        <v>2566</v>
      </c>
      <c r="U3693" t="s">
        <v>2567</v>
      </c>
      <c r="V3693" t="s">
        <v>2568</v>
      </c>
      <c r="W3693" t="s">
        <v>2569</v>
      </c>
      <c r="X3693" t="s">
        <v>2568</v>
      </c>
      <c r="Y3693" t="s">
        <v>773</v>
      </c>
      <c r="AD3693" t="s">
        <v>1050</v>
      </c>
      <c r="AE3693" t="s">
        <v>1051</v>
      </c>
      <c r="AF3693" t="s">
        <v>2572</v>
      </c>
    </row>
    <row r="3694" spans="1:32" hidden="1" x14ac:dyDescent="0.35">
      <c r="A3694">
        <v>11252</v>
      </c>
      <c r="B3694" t="s">
        <v>22876</v>
      </c>
      <c r="C3694" t="s">
        <v>33</v>
      </c>
      <c r="D3694" t="s">
        <v>58</v>
      </c>
      <c r="E3694">
        <v>625</v>
      </c>
      <c r="F3694">
        <v>1</v>
      </c>
      <c r="G3694">
        <v>1</v>
      </c>
      <c r="H3694">
        <v>1</v>
      </c>
      <c r="I3694">
        <v>0</v>
      </c>
      <c r="J3694">
        <v>1</v>
      </c>
      <c r="K3694">
        <v>1</v>
      </c>
      <c r="L3694">
        <v>1</v>
      </c>
      <c r="M3694">
        <v>0</v>
      </c>
      <c r="N3694">
        <v>0</v>
      </c>
      <c r="O3694">
        <v>0</v>
      </c>
      <c r="P3694" t="s">
        <v>8045</v>
      </c>
      <c r="Q3694" t="s">
        <v>8046</v>
      </c>
      <c r="R3694" t="s">
        <v>235</v>
      </c>
      <c r="S3694" t="s">
        <v>236</v>
      </c>
      <c r="T3694" t="s">
        <v>22877</v>
      </c>
      <c r="U3694" t="s">
        <v>22878</v>
      </c>
      <c r="V3694" t="s">
        <v>8049</v>
      </c>
      <c r="W3694" t="s">
        <v>8050</v>
      </c>
      <c r="X3694" t="s">
        <v>8049</v>
      </c>
      <c r="Y3694" t="s">
        <v>1108</v>
      </c>
      <c r="Z3694" t="s">
        <v>22879</v>
      </c>
      <c r="AA3694" t="s">
        <v>22880</v>
      </c>
      <c r="AB3694" t="s">
        <v>22879</v>
      </c>
      <c r="AC3694" t="s">
        <v>22881</v>
      </c>
      <c r="AD3694" t="s">
        <v>1140</v>
      </c>
      <c r="AE3694" t="s">
        <v>22882</v>
      </c>
      <c r="AF3694" t="s">
        <v>22883</v>
      </c>
    </row>
    <row r="3695" spans="1:32" hidden="1" x14ac:dyDescent="0.35">
      <c r="A3695">
        <v>1250</v>
      </c>
      <c r="B3695" t="s">
        <v>2585</v>
      </c>
      <c r="C3695" t="s">
        <v>72</v>
      </c>
      <c r="D3695" t="s">
        <v>60</v>
      </c>
      <c r="E3695">
        <v>353</v>
      </c>
      <c r="F3695">
        <v>5</v>
      </c>
      <c r="G3695">
        <v>5</v>
      </c>
      <c r="H3695">
        <v>1</v>
      </c>
      <c r="I3695">
        <v>1</v>
      </c>
      <c r="J3695">
        <v>0.96643356643356604</v>
      </c>
      <c r="K3695">
        <v>1</v>
      </c>
      <c r="L3695">
        <v>0.982930298719772</v>
      </c>
      <c r="M3695">
        <v>0.93006993006993</v>
      </c>
      <c r="N3695">
        <v>1</v>
      </c>
      <c r="O3695">
        <v>0.95524475524475505</v>
      </c>
      <c r="P3695" t="s">
        <v>2586</v>
      </c>
      <c r="Q3695" t="s">
        <v>2587</v>
      </c>
      <c r="R3695" t="s">
        <v>224</v>
      </c>
      <c r="S3695" t="s">
        <v>225</v>
      </c>
      <c r="T3695" t="s">
        <v>2588</v>
      </c>
      <c r="U3695" t="s">
        <v>2589</v>
      </c>
      <c r="V3695" t="s">
        <v>2590</v>
      </c>
      <c r="W3695" t="s">
        <v>2591</v>
      </c>
      <c r="X3695" t="s">
        <v>2590</v>
      </c>
      <c r="Y3695" t="s">
        <v>749</v>
      </c>
      <c r="AD3695" t="s">
        <v>762</v>
      </c>
      <c r="AE3695" t="s">
        <v>1545</v>
      </c>
      <c r="AF3695" t="s">
        <v>2593</v>
      </c>
    </row>
    <row r="3696" spans="1:32" hidden="1" x14ac:dyDescent="0.35">
      <c r="A3696">
        <v>1251</v>
      </c>
      <c r="B3696" t="s">
        <v>2585</v>
      </c>
      <c r="C3696" t="s">
        <v>72</v>
      </c>
      <c r="D3696" t="s">
        <v>62</v>
      </c>
      <c r="E3696">
        <v>433</v>
      </c>
      <c r="F3696">
        <v>5</v>
      </c>
      <c r="G3696">
        <v>5</v>
      </c>
      <c r="H3696">
        <v>1</v>
      </c>
      <c r="I3696">
        <v>1</v>
      </c>
      <c r="J3696">
        <v>0.96643356643356604</v>
      </c>
      <c r="K3696">
        <v>1</v>
      </c>
      <c r="L3696">
        <v>0.982930298719772</v>
      </c>
      <c r="M3696">
        <v>0.93006993006993</v>
      </c>
      <c r="N3696">
        <v>1</v>
      </c>
      <c r="O3696">
        <v>0.95524475524475505</v>
      </c>
      <c r="P3696" t="s">
        <v>2586</v>
      </c>
      <c r="Q3696" t="s">
        <v>2587</v>
      </c>
      <c r="R3696" t="s">
        <v>224</v>
      </c>
      <c r="S3696" t="s">
        <v>225</v>
      </c>
      <c r="T3696" t="s">
        <v>2588</v>
      </c>
      <c r="U3696" t="s">
        <v>2589</v>
      </c>
      <c r="V3696" t="s">
        <v>2590</v>
      </c>
      <c r="W3696" t="s">
        <v>2591</v>
      </c>
      <c r="X3696" t="s">
        <v>2590</v>
      </c>
      <c r="Y3696" t="s">
        <v>749</v>
      </c>
      <c r="AD3696" t="s">
        <v>762</v>
      </c>
      <c r="AE3696" t="s">
        <v>1545</v>
      </c>
      <c r="AF3696" t="s">
        <v>2593</v>
      </c>
    </row>
    <row r="3697" spans="1:32" hidden="1" x14ac:dyDescent="0.35">
      <c r="A3697">
        <v>1252</v>
      </c>
      <c r="B3697" t="s">
        <v>2585</v>
      </c>
      <c r="C3697" t="s">
        <v>72</v>
      </c>
      <c r="D3697" t="s">
        <v>34</v>
      </c>
      <c r="E3697">
        <v>816</v>
      </c>
      <c r="F3697">
        <v>5</v>
      </c>
      <c r="G3697">
        <v>5</v>
      </c>
      <c r="H3697">
        <v>1</v>
      </c>
      <c r="I3697">
        <v>1</v>
      </c>
      <c r="J3697">
        <v>0.96643356643356604</v>
      </c>
      <c r="K3697">
        <v>1</v>
      </c>
      <c r="L3697">
        <v>0.982930298719772</v>
      </c>
      <c r="M3697">
        <v>0.93006993006993</v>
      </c>
      <c r="N3697">
        <v>1</v>
      </c>
      <c r="O3697">
        <v>0.95524475524475505</v>
      </c>
      <c r="P3697" t="s">
        <v>2586</v>
      </c>
      <c r="Q3697" t="s">
        <v>2587</v>
      </c>
      <c r="R3697" t="s">
        <v>224</v>
      </c>
      <c r="S3697" t="s">
        <v>225</v>
      </c>
      <c r="T3697" t="s">
        <v>2588</v>
      </c>
      <c r="U3697" t="s">
        <v>2589</v>
      </c>
      <c r="V3697" t="s">
        <v>2590</v>
      </c>
      <c r="W3697" t="s">
        <v>2591</v>
      </c>
      <c r="X3697" t="s">
        <v>2590</v>
      </c>
      <c r="Y3697" t="s">
        <v>749</v>
      </c>
      <c r="AD3697" t="s">
        <v>762</v>
      </c>
      <c r="AE3697" t="s">
        <v>1545</v>
      </c>
      <c r="AF3697" t="s">
        <v>2594</v>
      </c>
    </row>
    <row r="3698" spans="1:32" hidden="1" x14ac:dyDescent="0.35">
      <c r="A3698">
        <v>1253</v>
      </c>
      <c r="B3698" t="s">
        <v>2585</v>
      </c>
      <c r="C3698" t="s">
        <v>72</v>
      </c>
      <c r="D3698" t="s">
        <v>45</v>
      </c>
      <c r="E3698">
        <v>2073</v>
      </c>
      <c r="F3698">
        <v>5</v>
      </c>
      <c r="G3698">
        <v>5</v>
      </c>
      <c r="H3698">
        <v>1</v>
      </c>
      <c r="I3698">
        <v>1</v>
      </c>
      <c r="J3698">
        <v>0.96643356643356604</v>
      </c>
      <c r="K3698">
        <v>1</v>
      </c>
      <c r="L3698">
        <v>0.982930298719772</v>
      </c>
      <c r="M3698">
        <v>0.93006993006993</v>
      </c>
      <c r="N3698">
        <v>1</v>
      </c>
      <c r="O3698">
        <v>0.95524475524475505</v>
      </c>
      <c r="P3698" t="s">
        <v>2586</v>
      </c>
      <c r="Q3698" t="s">
        <v>2587</v>
      </c>
      <c r="R3698" t="s">
        <v>224</v>
      </c>
      <c r="S3698" t="s">
        <v>225</v>
      </c>
      <c r="T3698" t="s">
        <v>2588</v>
      </c>
      <c r="U3698" t="s">
        <v>2589</v>
      </c>
      <c r="V3698" t="s">
        <v>2590</v>
      </c>
      <c r="W3698" t="s">
        <v>2591</v>
      </c>
      <c r="X3698" t="s">
        <v>2590</v>
      </c>
      <c r="Y3698" t="s">
        <v>749</v>
      </c>
      <c r="AD3698" t="s">
        <v>762</v>
      </c>
      <c r="AE3698" t="s">
        <v>1545</v>
      </c>
      <c r="AF3698" t="s">
        <v>2594</v>
      </c>
    </row>
    <row r="3699" spans="1:32" hidden="1" x14ac:dyDescent="0.35">
      <c r="A3699">
        <v>6161</v>
      </c>
      <c r="B3699" t="s">
        <v>12677</v>
      </c>
      <c r="C3699" t="s">
        <v>68</v>
      </c>
      <c r="D3699" t="s">
        <v>58</v>
      </c>
      <c r="E3699">
        <v>550</v>
      </c>
      <c r="F3699">
        <v>3</v>
      </c>
      <c r="G3699">
        <v>3</v>
      </c>
      <c r="H3699">
        <v>1</v>
      </c>
      <c r="I3699">
        <v>0</v>
      </c>
      <c r="J3699">
        <v>0.76527685859254402</v>
      </c>
      <c r="K3699">
        <v>0.92372574138076202</v>
      </c>
      <c r="L3699">
        <v>0.83706908867530505</v>
      </c>
      <c r="M3699">
        <v>0.47810218978102198</v>
      </c>
      <c r="N3699">
        <v>1</v>
      </c>
      <c r="O3699">
        <v>0.65206812652068102</v>
      </c>
      <c r="P3699" t="s">
        <v>1992</v>
      </c>
      <c r="Q3699" t="s">
        <v>1993</v>
      </c>
      <c r="R3699" t="s">
        <v>1191</v>
      </c>
      <c r="S3699" t="s">
        <v>1192</v>
      </c>
      <c r="T3699" t="s">
        <v>12678</v>
      </c>
      <c r="U3699" t="s">
        <v>12679</v>
      </c>
      <c r="V3699" t="s">
        <v>12680</v>
      </c>
      <c r="W3699" t="s">
        <v>12681</v>
      </c>
      <c r="AD3699" t="s">
        <v>1998</v>
      </c>
      <c r="AE3699" t="s">
        <v>12682</v>
      </c>
      <c r="AF3699" t="s">
        <v>12683</v>
      </c>
    </row>
    <row r="3700" spans="1:32" hidden="1" x14ac:dyDescent="0.35">
      <c r="A3700">
        <v>1270</v>
      </c>
      <c r="B3700" t="s">
        <v>2631</v>
      </c>
      <c r="C3700" t="s">
        <v>72</v>
      </c>
      <c r="D3700" t="s">
        <v>60</v>
      </c>
      <c r="E3700">
        <v>413</v>
      </c>
      <c r="F3700">
        <v>5</v>
      </c>
      <c r="G3700">
        <v>5</v>
      </c>
      <c r="H3700">
        <v>1</v>
      </c>
      <c r="I3700">
        <v>1</v>
      </c>
      <c r="J3700">
        <v>0.97978142076502694</v>
      </c>
      <c r="K3700">
        <v>1</v>
      </c>
      <c r="L3700">
        <v>0.98978746894838499</v>
      </c>
      <c r="M3700">
        <v>0.95081967213114704</v>
      </c>
      <c r="N3700">
        <v>1</v>
      </c>
      <c r="O3700">
        <v>0.96557377049180304</v>
      </c>
      <c r="P3700" t="s">
        <v>2632</v>
      </c>
      <c r="Q3700" t="s">
        <v>2633</v>
      </c>
      <c r="R3700" t="s">
        <v>224</v>
      </c>
      <c r="S3700" t="s">
        <v>225</v>
      </c>
      <c r="T3700" t="s">
        <v>2634</v>
      </c>
      <c r="U3700" t="s">
        <v>2635</v>
      </c>
      <c r="V3700" t="s">
        <v>2636</v>
      </c>
      <c r="W3700" t="s">
        <v>2637</v>
      </c>
      <c r="X3700" t="s">
        <v>2636</v>
      </c>
      <c r="Y3700" t="s">
        <v>749</v>
      </c>
      <c r="AD3700" t="s">
        <v>762</v>
      </c>
      <c r="AE3700" t="s">
        <v>1545</v>
      </c>
      <c r="AF3700" t="s">
        <v>2639</v>
      </c>
    </row>
    <row r="3701" spans="1:32" hidden="1" x14ac:dyDescent="0.35">
      <c r="A3701">
        <v>1271</v>
      </c>
      <c r="B3701" t="s">
        <v>2631</v>
      </c>
      <c r="C3701" t="s">
        <v>72</v>
      </c>
      <c r="D3701" t="s">
        <v>62</v>
      </c>
      <c r="E3701">
        <v>494</v>
      </c>
      <c r="F3701">
        <v>5</v>
      </c>
      <c r="G3701">
        <v>5</v>
      </c>
      <c r="H3701">
        <v>1</v>
      </c>
      <c r="I3701">
        <v>1</v>
      </c>
      <c r="J3701">
        <v>0.97978142076502694</v>
      </c>
      <c r="K3701">
        <v>1</v>
      </c>
      <c r="L3701">
        <v>0.98978746894838499</v>
      </c>
      <c r="M3701">
        <v>0.95081967213114704</v>
      </c>
      <c r="N3701">
        <v>1</v>
      </c>
      <c r="O3701">
        <v>0.96557377049180304</v>
      </c>
      <c r="P3701" t="s">
        <v>2632</v>
      </c>
      <c r="Q3701" t="s">
        <v>2633</v>
      </c>
      <c r="R3701" t="s">
        <v>224</v>
      </c>
      <c r="S3701" t="s">
        <v>225</v>
      </c>
      <c r="T3701" t="s">
        <v>2634</v>
      </c>
      <c r="U3701" t="s">
        <v>2635</v>
      </c>
      <c r="V3701" t="s">
        <v>2636</v>
      </c>
      <c r="W3701" t="s">
        <v>2637</v>
      </c>
      <c r="X3701" t="s">
        <v>2636</v>
      </c>
      <c r="Y3701" t="s">
        <v>749</v>
      </c>
      <c r="AD3701" t="s">
        <v>762</v>
      </c>
      <c r="AE3701" t="s">
        <v>1545</v>
      </c>
      <c r="AF3701" t="s">
        <v>2639</v>
      </c>
    </row>
    <row r="3702" spans="1:32" hidden="1" x14ac:dyDescent="0.35">
      <c r="A3702">
        <v>1272</v>
      </c>
      <c r="B3702" t="s">
        <v>2631</v>
      </c>
      <c r="C3702" t="s">
        <v>72</v>
      </c>
      <c r="D3702" t="s">
        <v>34</v>
      </c>
      <c r="E3702">
        <v>693</v>
      </c>
      <c r="F3702">
        <v>5</v>
      </c>
      <c r="G3702">
        <v>5</v>
      </c>
      <c r="H3702">
        <v>1</v>
      </c>
      <c r="I3702">
        <v>1</v>
      </c>
      <c r="J3702">
        <v>0.97978142076502694</v>
      </c>
      <c r="K3702">
        <v>1</v>
      </c>
      <c r="L3702">
        <v>0.98978746894838499</v>
      </c>
      <c r="M3702">
        <v>0.95081967213114704</v>
      </c>
      <c r="N3702">
        <v>1</v>
      </c>
      <c r="O3702">
        <v>0.96557377049180304</v>
      </c>
      <c r="P3702" t="s">
        <v>2632</v>
      </c>
      <c r="Q3702" t="s">
        <v>2633</v>
      </c>
      <c r="R3702" t="s">
        <v>224</v>
      </c>
      <c r="S3702" t="s">
        <v>225</v>
      </c>
      <c r="T3702" t="s">
        <v>2634</v>
      </c>
      <c r="U3702" t="s">
        <v>2635</v>
      </c>
      <c r="V3702" t="s">
        <v>2636</v>
      </c>
      <c r="W3702" t="s">
        <v>2637</v>
      </c>
      <c r="X3702" t="s">
        <v>2636</v>
      </c>
      <c r="Y3702" t="s">
        <v>749</v>
      </c>
      <c r="AD3702" t="s">
        <v>762</v>
      </c>
      <c r="AE3702" t="s">
        <v>1545</v>
      </c>
      <c r="AF3702" t="s">
        <v>2640</v>
      </c>
    </row>
    <row r="3703" spans="1:32" hidden="1" x14ac:dyDescent="0.35">
      <c r="A3703">
        <v>1273</v>
      </c>
      <c r="B3703" t="s">
        <v>2631</v>
      </c>
      <c r="C3703" t="s">
        <v>72</v>
      </c>
      <c r="D3703" t="s">
        <v>45</v>
      </c>
      <c r="E3703">
        <v>1959</v>
      </c>
      <c r="F3703">
        <v>5</v>
      </c>
      <c r="G3703">
        <v>5</v>
      </c>
      <c r="H3703">
        <v>1</v>
      </c>
      <c r="I3703">
        <v>1</v>
      </c>
      <c r="J3703">
        <v>0.97978142076502694</v>
      </c>
      <c r="K3703">
        <v>1</v>
      </c>
      <c r="L3703">
        <v>0.98978746894838499</v>
      </c>
      <c r="M3703">
        <v>0.95081967213114704</v>
      </c>
      <c r="N3703">
        <v>1</v>
      </c>
      <c r="O3703">
        <v>0.96557377049180304</v>
      </c>
      <c r="P3703" t="s">
        <v>2632</v>
      </c>
      <c r="Q3703" t="s">
        <v>2633</v>
      </c>
      <c r="R3703" t="s">
        <v>224</v>
      </c>
      <c r="S3703" t="s">
        <v>225</v>
      </c>
      <c r="T3703" t="s">
        <v>2634</v>
      </c>
      <c r="U3703" t="s">
        <v>2635</v>
      </c>
      <c r="V3703" t="s">
        <v>2636</v>
      </c>
      <c r="W3703" t="s">
        <v>2637</v>
      </c>
      <c r="X3703" t="s">
        <v>2636</v>
      </c>
      <c r="Y3703" t="s">
        <v>749</v>
      </c>
      <c r="AD3703" t="s">
        <v>762</v>
      </c>
      <c r="AE3703" t="s">
        <v>1545</v>
      </c>
      <c r="AF3703" t="s">
        <v>2640</v>
      </c>
    </row>
    <row r="3704" spans="1:32" hidden="1" x14ac:dyDescent="0.35">
      <c r="A3704">
        <v>11275</v>
      </c>
      <c r="B3704" t="s">
        <v>22936</v>
      </c>
      <c r="C3704" t="s">
        <v>33</v>
      </c>
      <c r="D3704" t="s">
        <v>58</v>
      </c>
      <c r="E3704">
        <v>305</v>
      </c>
      <c r="F3704">
        <v>1</v>
      </c>
      <c r="G3704">
        <v>1</v>
      </c>
      <c r="H3704">
        <v>1</v>
      </c>
      <c r="I3704">
        <v>0</v>
      </c>
      <c r="J3704">
        <v>1</v>
      </c>
      <c r="K3704">
        <v>1</v>
      </c>
      <c r="L3704">
        <v>1</v>
      </c>
      <c r="M3704">
        <v>0</v>
      </c>
      <c r="N3704">
        <v>0</v>
      </c>
      <c r="O3704">
        <v>0</v>
      </c>
      <c r="P3704" t="s">
        <v>1992</v>
      </c>
      <c r="Q3704" t="s">
        <v>1993</v>
      </c>
      <c r="R3704" t="s">
        <v>1191</v>
      </c>
      <c r="S3704" t="s">
        <v>1192</v>
      </c>
      <c r="V3704" t="s">
        <v>12680</v>
      </c>
      <c r="W3704" t="s">
        <v>12681</v>
      </c>
      <c r="AF3704" t="s">
        <v>22937</v>
      </c>
    </row>
    <row r="3705" spans="1:32" hidden="1" x14ac:dyDescent="0.35">
      <c r="A3705">
        <v>1280</v>
      </c>
      <c r="B3705" t="s">
        <v>2649</v>
      </c>
      <c r="C3705" t="s">
        <v>72</v>
      </c>
      <c r="D3705" t="s">
        <v>60</v>
      </c>
      <c r="E3705">
        <v>1487</v>
      </c>
      <c r="F3705">
        <v>5</v>
      </c>
      <c r="G3705">
        <v>5</v>
      </c>
      <c r="H3705">
        <v>1</v>
      </c>
      <c r="I3705">
        <v>1</v>
      </c>
      <c r="J3705">
        <v>0.87113909108793997</v>
      </c>
      <c r="K3705">
        <v>0.90504487319803495</v>
      </c>
      <c r="L3705">
        <v>0.88776836643548995</v>
      </c>
      <c r="M3705">
        <v>0.69964664310954106</v>
      </c>
      <c r="N3705">
        <v>1</v>
      </c>
      <c r="O3705">
        <v>0.78816254416961096</v>
      </c>
      <c r="P3705" t="s">
        <v>2650</v>
      </c>
      <c r="Q3705" t="s">
        <v>2651</v>
      </c>
      <c r="R3705" t="s">
        <v>224</v>
      </c>
      <c r="S3705" t="s">
        <v>225</v>
      </c>
      <c r="T3705" t="s">
        <v>2652</v>
      </c>
      <c r="U3705" t="s">
        <v>207</v>
      </c>
      <c r="V3705" t="s">
        <v>2653</v>
      </c>
      <c r="W3705" t="s">
        <v>2654</v>
      </c>
      <c r="AD3705" t="s">
        <v>210</v>
      </c>
      <c r="AE3705" t="s">
        <v>211</v>
      </c>
      <c r="AF3705" t="s">
        <v>2656</v>
      </c>
    </row>
    <row r="3706" spans="1:32" hidden="1" x14ac:dyDescent="0.35">
      <c r="A3706">
        <v>1281</v>
      </c>
      <c r="B3706" t="s">
        <v>2649</v>
      </c>
      <c r="C3706" t="s">
        <v>72</v>
      </c>
      <c r="D3706" t="s">
        <v>62</v>
      </c>
      <c r="E3706">
        <v>1522</v>
      </c>
      <c r="F3706">
        <v>5</v>
      </c>
      <c r="G3706">
        <v>5</v>
      </c>
      <c r="H3706">
        <v>1</v>
      </c>
      <c r="I3706">
        <v>1</v>
      </c>
      <c r="J3706">
        <v>0.87113909108793997</v>
      </c>
      <c r="K3706">
        <v>0.90504487319803495</v>
      </c>
      <c r="L3706">
        <v>0.88776836643548995</v>
      </c>
      <c r="M3706">
        <v>0.69964664310954106</v>
      </c>
      <c r="N3706">
        <v>1</v>
      </c>
      <c r="O3706">
        <v>0.78816254416961096</v>
      </c>
      <c r="P3706" t="s">
        <v>2650</v>
      </c>
      <c r="Q3706" t="s">
        <v>2651</v>
      </c>
      <c r="R3706" t="s">
        <v>224</v>
      </c>
      <c r="S3706" t="s">
        <v>225</v>
      </c>
      <c r="T3706" t="s">
        <v>2652</v>
      </c>
      <c r="U3706" t="s">
        <v>207</v>
      </c>
      <c r="V3706" t="s">
        <v>2653</v>
      </c>
      <c r="W3706" t="s">
        <v>2654</v>
      </c>
      <c r="AD3706" t="s">
        <v>210</v>
      </c>
      <c r="AE3706" t="s">
        <v>211</v>
      </c>
      <c r="AF3706" t="s">
        <v>2656</v>
      </c>
    </row>
    <row r="3707" spans="1:32" hidden="1" x14ac:dyDescent="0.35">
      <c r="A3707">
        <v>1282</v>
      </c>
      <c r="B3707" t="s">
        <v>2649</v>
      </c>
      <c r="C3707" t="s">
        <v>72</v>
      </c>
      <c r="D3707" t="s">
        <v>34</v>
      </c>
      <c r="E3707">
        <v>1918</v>
      </c>
      <c r="F3707">
        <v>5</v>
      </c>
      <c r="G3707">
        <v>5</v>
      </c>
      <c r="H3707">
        <v>1</v>
      </c>
      <c r="I3707">
        <v>1</v>
      </c>
      <c r="J3707">
        <v>0.87113909108793997</v>
      </c>
      <c r="K3707">
        <v>0.90504487319803495</v>
      </c>
      <c r="L3707">
        <v>0.88776836643548995</v>
      </c>
      <c r="M3707">
        <v>0.69964664310954106</v>
      </c>
      <c r="N3707">
        <v>1</v>
      </c>
      <c r="O3707">
        <v>0.78816254416961096</v>
      </c>
      <c r="P3707" t="s">
        <v>2650</v>
      </c>
      <c r="Q3707" t="s">
        <v>2651</v>
      </c>
      <c r="R3707" t="s">
        <v>224</v>
      </c>
      <c r="S3707" t="s">
        <v>225</v>
      </c>
      <c r="T3707" t="s">
        <v>2652</v>
      </c>
      <c r="U3707" t="s">
        <v>207</v>
      </c>
      <c r="V3707" t="s">
        <v>2653</v>
      </c>
      <c r="W3707" t="s">
        <v>2654</v>
      </c>
      <c r="AD3707" t="s">
        <v>210</v>
      </c>
      <c r="AE3707" t="s">
        <v>211</v>
      </c>
      <c r="AF3707" t="s">
        <v>2657</v>
      </c>
    </row>
    <row r="3708" spans="1:32" hidden="1" x14ac:dyDescent="0.35">
      <c r="A3708">
        <v>1283</v>
      </c>
      <c r="B3708" t="s">
        <v>2649</v>
      </c>
      <c r="C3708" t="s">
        <v>72</v>
      </c>
      <c r="D3708" t="s">
        <v>45</v>
      </c>
      <c r="E3708">
        <v>956</v>
      </c>
      <c r="F3708">
        <v>5</v>
      </c>
      <c r="G3708">
        <v>5</v>
      </c>
      <c r="H3708">
        <v>1</v>
      </c>
      <c r="I3708">
        <v>1</v>
      </c>
      <c r="J3708">
        <v>0.87113909108793997</v>
      </c>
      <c r="K3708">
        <v>0.90504487319803495</v>
      </c>
      <c r="L3708">
        <v>0.88776836643548995</v>
      </c>
      <c r="M3708">
        <v>0.69964664310954106</v>
      </c>
      <c r="N3708">
        <v>1</v>
      </c>
      <c r="O3708">
        <v>0.78816254416961096</v>
      </c>
      <c r="P3708" t="s">
        <v>2650</v>
      </c>
      <c r="Q3708" t="s">
        <v>2651</v>
      </c>
      <c r="R3708" t="s">
        <v>224</v>
      </c>
      <c r="S3708" t="s">
        <v>225</v>
      </c>
      <c r="T3708" t="s">
        <v>2652</v>
      </c>
      <c r="U3708" t="s">
        <v>207</v>
      </c>
      <c r="V3708" t="s">
        <v>2653</v>
      </c>
      <c r="W3708" t="s">
        <v>2654</v>
      </c>
      <c r="AD3708" t="s">
        <v>210</v>
      </c>
      <c r="AE3708" t="s">
        <v>211</v>
      </c>
      <c r="AF3708" t="s">
        <v>2658</v>
      </c>
    </row>
    <row r="3709" spans="1:32" hidden="1" x14ac:dyDescent="0.35">
      <c r="A3709">
        <v>11157</v>
      </c>
      <c r="B3709" t="s">
        <v>22637</v>
      </c>
      <c r="C3709" t="s">
        <v>33</v>
      </c>
      <c r="D3709" t="s">
        <v>58</v>
      </c>
      <c r="E3709">
        <v>461</v>
      </c>
      <c r="F3709">
        <v>1</v>
      </c>
      <c r="G3709">
        <v>1</v>
      </c>
      <c r="H3709">
        <v>1</v>
      </c>
      <c r="I3709">
        <v>0</v>
      </c>
      <c r="J3709">
        <v>1</v>
      </c>
      <c r="K3709">
        <v>1</v>
      </c>
      <c r="L3709">
        <v>1</v>
      </c>
      <c r="M3709">
        <v>0</v>
      </c>
      <c r="N3709">
        <v>0</v>
      </c>
      <c r="O3709">
        <v>0</v>
      </c>
      <c r="P3709" t="s">
        <v>5977</v>
      </c>
      <c r="Q3709" t="s">
        <v>5978</v>
      </c>
      <c r="R3709" t="s">
        <v>342</v>
      </c>
      <c r="S3709" t="s">
        <v>343</v>
      </c>
      <c r="V3709" t="s">
        <v>13134</v>
      </c>
      <c r="W3709" t="s">
        <v>13135</v>
      </c>
      <c r="AF3709" t="s">
        <v>22638</v>
      </c>
    </row>
    <row r="3710" spans="1:32" hidden="1" x14ac:dyDescent="0.35">
      <c r="A3710">
        <v>1290</v>
      </c>
      <c r="B3710" t="s">
        <v>2668</v>
      </c>
      <c r="C3710" t="s">
        <v>72</v>
      </c>
      <c r="D3710" t="s">
        <v>60</v>
      </c>
      <c r="E3710">
        <v>1140</v>
      </c>
      <c r="F3710">
        <v>5</v>
      </c>
      <c r="G3710">
        <v>5</v>
      </c>
      <c r="H3710">
        <v>1</v>
      </c>
      <c r="I3710">
        <v>1</v>
      </c>
      <c r="J3710">
        <v>0.94165293794618299</v>
      </c>
      <c r="K3710">
        <v>0.97345373477879105</v>
      </c>
      <c r="L3710">
        <v>0.95728930650619004</v>
      </c>
      <c r="M3710">
        <v>0.87575150300601201</v>
      </c>
      <c r="N3710">
        <v>1</v>
      </c>
      <c r="O3710">
        <v>0.91222444889779597</v>
      </c>
      <c r="P3710" t="s">
        <v>2669</v>
      </c>
      <c r="Q3710" t="s">
        <v>2670</v>
      </c>
      <c r="R3710" t="s">
        <v>224</v>
      </c>
      <c r="S3710" t="s">
        <v>225</v>
      </c>
      <c r="T3710" t="s">
        <v>2671</v>
      </c>
      <c r="U3710" t="s">
        <v>2672</v>
      </c>
      <c r="V3710" t="s">
        <v>2673</v>
      </c>
      <c r="W3710" t="s">
        <v>2674</v>
      </c>
      <c r="X3710" t="s">
        <v>2673</v>
      </c>
      <c r="Y3710" t="s">
        <v>761</v>
      </c>
      <c r="AD3710" t="s">
        <v>750</v>
      </c>
      <c r="AE3710" t="s">
        <v>2675</v>
      </c>
      <c r="AF3710" t="s">
        <v>2677</v>
      </c>
    </row>
    <row r="3711" spans="1:32" hidden="1" x14ac:dyDescent="0.35">
      <c r="A3711">
        <v>1291</v>
      </c>
      <c r="B3711" t="s">
        <v>2668</v>
      </c>
      <c r="C3711" t="s">
        <v>72</v>
      </c>
      <c r="D3711" t="s">
        <v>62</v>
      </c>
      <c r="E3711">
        <v>1177</v>
      </c>
      <c r="F3711">
        <v>5</v>
      </c>
      <c r="G3711">
        <v>5</v>
      </c>
      <c r="H3711">
        <v>1</v>
      </c>
      <c r="I3711">
        <v>1</v>
      </c>
      <c r="J3711">
        <v>0.94165293794618299</v>
      </c>
      <c r="K3711">
        <v>0.97345373477879105</v>
      </c>
      <c r="L3711">
        <v>0.95728930650619004</v>
      </c>
      <c r="M3711">
        <v>0.87575150300601201</v>
      </c>
      <c r="N3711">
        <v>1</v>
      </c>
      <c r="O3711">
        <v>0.91222444889779597</v>
      </c>
      <c r="P3711" t="s">
        <v>2669</v>
      </c>
      <c r="Q3711" t="s">
        <v>2670</v>
      </c>
      <c r="R3711" t="s">
        <v>224</v>
      </c>
      <c r="S3711" t="s">
        <v>225</v>
      </c>
      <c r="T3711" t="s">
        <v>2671</v>
      </c>
      <c r="U3711" t="s">
        <v>2672</v>
      </c>
      <c r="V3711" t="s">
        <v>2673</v>
      </c>
      <c r="W3711" t="s">
        <v>2674</v>
      </c>
      <c r="X3711" t="s">
        <v>2673</v>
      </c>
      <c r="Y3711" t="s">
        <v>761</v>
      </c>
      <c r="AD3711" t="s">
        <v>750</v>
      </c>
      <c r="AE3711" t="s">
        <v>2675</v>
      </c>
      <c r="AF3711" t="s">
        <v>2678</v>
      </c>
    </row>
    <row r="3712" spans="1:32" hidden="1" x14ac:dyDescent="0.35">
      <c r="A3712">
        <v>1292</v>
      </c>
      <c r="B3712" t="s">
        <v>2668</v>
      </c>
      <c r="C3712" t="s">
        <v>72</v>
      </c>
      <c r="D3712" t="s">
        <v>34</v>
      </c>
      <c r="E3712">
        <v>8</v>
      </c>
      <c r="F3712">
        <v>5</v>
      </c>
      <c r="G3712">
        <v>5</v>
      </c>
      <c r="H3712">
        <v>1</v>
      </c>
      <c r="I3712">
        <v>1</v>
      </c>
      <c r="J3712">
        <v>0.94165293794618299</v>
      </c>
      <c r="K3712">
        <v>0.97345373477879105</v>
      </c>
      <c r="L3712">
        <v>0.95728930650619004</v>
      </c>
      <c r="M3712">
        <v>0.87575150300601201</v>
      </c>
      <c r="N3712">
        <v>1</v>
      </c>
      <c r="O3712">
        <v>0.91222444889779597</v>
      </c>
      <c r="P3712" t="s">
        <v>2669</v>
      </c>
      <c r="Q3712" t="s">
        <v>2670</v>
      </c>
      <c r="R3712" t="s">
        <v>224</v>
      </c>
      <c r="S3712" t="s">
        <v>225</v>
      </c>
      <c r="T3712" t="s">
        <v>2671</v>
      </c>
      <c r="U3712" t="s">
        <v>2672</v>
      </c>
      <c r="V3712" t="s">
        <v>2673</v>
      </c>
      <c r="W3712" t="s">
        <v>2674</v>
      </c>
      <c r="X3712" t="s">
        <v>2673</v>
      </c>
      <c r="Y3712" t="s">
        <v>761</v>
      </c>
      <c r="AD3712" t="s">
        <v>750</v>
      </c>
      <c r="AE3712" t="s">
        <v>2675</v>
      </c>
      <c r="AF3712" t="s">
        <v>2679</v>
      </c>
    </row>
    <row r="3713" spans="1:32" hidden="1" x14ac:dyDescent="0.35">
      <c r="A3713">
        <v>1293</v>
      </c>
      <c r="B3713" t="s">
        <v>2668</v>
      </c>
      <c r="C3713" t="s">
        <v>72</v>
      </c>
      <c r="D3713" t="s">
        <v>45</v>
      </c>
      <c r="E3713">
        <v>1265</v>
      </c>
      <c r="F3713">
        <v>5</v>
      </c>
      <c r="G3713">
        <v>5</v>
      </c>
      <c r="H3713">
        <v>1</v>
      </c>
      <c r="I3713">
        <v>1</v>
      </c>
      <c r="J3713">
        <v>0.94165293794618299</v>
      </c>
      <c r="K3713">
        <v>0.97345373477879105</v>
      </c>
      <c r="L3713">
        <v>0.95728930650619004</v>
      </c>
      <c r="M3713">
        <v>0.87575150300601201</v>
      </c>
      <c r="N3713">
        <v>1</v>
      </c>
      <c r="O3713">
        <v>0.91222444889779597</v>
      </c>
      <c r="P3713" t="s">
        <v>2669</v>
      </c>
      <c r="Q3713" t="s">
        <v>2670</v>
      </c>
      <c r="R3713" t="s">
        <v>224</v>
      </c>
      <c r="S3713" t="s">
        <v>225</v>
      </c>
      <c r="T3713" t="s">
        <v>2671</v>
      </c>
      <c r="U3713" t="s">
        <v>2672</v>
      </c>
      <c r="V3713" t="s">
        <v>2673</v>
      </c>
      <c r="W3713" t="s">
        <v>2674</v>
      </c>
      <c r="X3713" t="s">
        <v>2673</v>
      </c>
      <c r="Y3713" t="s">
        <v>761</v>
      </c>
      <c r="AD3713" t="s">
        <v>750</v>
      </c>
      <c r="AE3713" t="s">
        <v>2675</v>
      </c>
      <c r="AF3713" t="s">
        <v>2679</v>
      </c>
    </row>
    <row r="3714" spans="1:32" hidden="1" x14ac:dyDescent="0.35">
      <c r="A3714">
        <v>11655</v>
      </c>
      <c r="B3714" t="s">
        <v>23890</v>
      </c>
      <c r="C3714" t="s">
        <v>33</v>
      </c>
      <c r="D3714" t="s">
        <v>58</v>
      </c>
      <c r="E3714">
        <v>1464</v>
      </c>
      <c r="F3714">
        <v>1</v>
      </c>
      <c r="G3714">
        <v>1</v>
      </c>
      <c r="H3714">
        <v>1</v>
      </c>
      <c r="I3714">
        <v>0</v>
      </c>
      <c r="J3714">
        <v>1</v>
      </c>
      <c r="K3714">
        <v>1</v>
      </c>
      <c r="L3714">
        <v>1</v>
      </c>
      <c r="M3714">
        <v>0</v>
      </c>
      <c r="N3714">
        <v>0</v>
      </c>
      <c r="O3714">
        <v>0</v>
      </c>
      <c r="P3714" t="s">
        <v>20427</v>
      </c>
      <c r="Q3714" t="s">
        <v>20428</v>
      </c>
      <c r="R3714" t="s">
        <v>869</v>
      </c>
      <c r="S3714" t="s">
        <v>870</v>
      </c>
      <c r="T3714" t="s">
        <v>15284</v>
      </c>
      <c r="U3714" t="s">
        <v>15285</v>
      </c>
      <c r="V3714" t="s">
        <v>15286</v>
      </c>
      <c r="W3714" t="s">
        <v>15287</v>
      </c>
      <c r="X3714" t="s">
        <v>15286</v>
      </c>
      <c r="Y3714" t="s">
        <v>3682</v>
      </c>
      <c r="Z3714" t="s">
        <v>13357</v>
      </c>
      <c r="AA3714" t="s">
        <v>13358</v>
      </c>
      <c r="AB3714" t="s">
        <v>13357</v>
      </c>
      <c r="AC3714" t="s">
        <v>1742</v>
      </c>
      <c r="AD3714" t="s">
        <v>219</v>
      </c>
      <c r="AE3714" t="s">
        <v>15288</v>
      </c>
      <c r="AF3714" t="s">
        <v>23891</v>
      </c>
    </row>
    <row r="3715" spans="1:32" hidden="1" x14ac:dyDescent="0.35">
      <c r="A3715">
        <v>1310</v>
      </c>
      <c r="B3715" t="s">
        <v>2710</v>
      </c>
      <c r="C3715" t="s">
        <v>72</v>
      </c>
      <c r="D3715" t="s">
        <v>60</v>
      </c>
      <c r="E3715">
        <v>1199</v>
      </c>
      <c r="F3715">
        <v>5</v>
      </c>
      <c r="G3715">
        <v>5</v>
      </c>
      <c r="H3715">
        <v>1</v>
      </c>
      <c r="I3715">
        <v>1</v>
      </c>
      <c r="J3715">
        <v>0.84804270462633402</v>
      </c>
      <c r="K3715">
        <v>0.96305841924398605</v>
      </c>
      <c r="L3715">
        <v>0.90189847027814096</v>
      </c>
      <c r="M3715">
        <v>0.69520547945205502</v>
      </c>
      <c r="N3715">
        <v>1</v>
      </c>
      <c r="O3715">
        <v>0.78321917808219199</v>
      </c>
      <c r="P3715" t="s">
        <v>1163</v>
      </c>
      <c r="Q3715" t="s">
        <v>1164</v>
      </c>
      <c r="R3715" t="s">
        <v>224</v>
      </c>
      <c r="S3715" t="s">
        <v>225</v>
      </c>
      <c r="T3715" t="s">
        <v>2711</v>
      </c>
      <c r="U3715" t="s">
        <v>2712</v>
      </c>
      <c r="V3715" t="s">
        <v>2713</v>
      </c>
      <c r="W3715" t="s">
        <v>2714</v>
      </c>
      <c r="X3715" t="s">
        <v>2713</v>
      </c>
      <c r="Y3715" t="s">
        <v>2715</v>
      </c>
      <c r="AD3715" t="s">
        <v>1170</v>
      </c>
      <c r="AE3715" t="s">
        <v>2716</v>
      </c>
      <c r="AF3715" t="s">
        <v>2718</v>
      </c>
    </row>
    <row r="3716" spans="1:32" hidden="1" x14ac:dyDescent="0.35">
      <c r="A3716">
        <v>1311</v>
      </c>
      <c r="B3716" t="s">
        <v>2710</v>
      </c>
      <c r="C3716" t="s">
        <v>72</v>
      </c>
      <c r="D3716" t="s">
        <v>62</v>
      </c>
      <c r="E3716">
        <v>1236</v>
      </c>
      <c r="F3716">
        <v>5</v>
      </c>
      <c r="G3716">
        <v>5</v>
      </c>
      <c r="H3716">
        <v>1</v>
      </c>
      <c r="I3716">
        <v>1</v>
      </c>
      <c r="J3716">
        <v>0.84804270462633402</v>
      </c>
      <c r="K3716">
        <v>0.96305841924398605</v>
      </c>
      <c r="L3716">
        <v>0.90189847027814096</v>
      </c>
      <c r="M3716">
        <v>0.69520547945205502</v>
      </c>
      <c r="N3716">
        <v>1</v>
      </c>
      <c r="O3716">
        <v>0.78321917808219199</v>
      </c>
      <c r="P3716" t="s">
        <v>1163</v>
      </c>
      <c r="Q3716" t="s">
        <v>1164</v>
      </c>
      <c r="R3716" t="s">
        <v>224</v>
      </c>
      <c r="S3716" t="s">
        <v>225</v>
      </c>
      <c r="T3716" t="s">
        <v>2711</v>
      </c>
      <c r="U3716" t="s">
        <v>2712</v>
      </c>
      <c r="V3716" t="s">
        <v>2713</v>
      </c>
      <c r="W3716" t="s">
        <v>2714</v>
      </c>
      <c r="X3716" t="s">
        <v>2713</v>
      </c>
      <c r="Y3716" t="s">
        <v>2715</v>
      </c>
      <c r="AD3716" t="s">
        <v>1170</v>
      </c>
      <c r="AE3716" t="s">
        <v>2716</v>
      </c>
      <c r="AF3716" t="s">
        <v>2718</v>
      </c>
    </row>
    <row r="3717" spans="1:32" hidden="1" x14ac:dyDescent="0.35">
      <c r="A3717">
        <v>1312</v>
      </c>
      <c r="B3717" t="s">
        <v>2710</v>
      </c>
      <c r="C3717" t="s">
        <v>72</v>
      </c>
      <c r="D3717" t="s">
        <v>34</v>
      </c>
      <c r="E3717">
        <v>1661</v>
      </c>
      <c r="F3717">
        <v>5</v>
      </c>
      <c r="G3717">
        <v>5</v>
      </c>
      <c r="H3717">
        <v>1</v>
      </c>
      <c r="I3717">
        <v>1</v>
      </c>
      <c r="J3717">
        <v>0.84804270462633402</v>
      </c>
      <c r="K3717">
        <v>0.96305841924398605</v>
      </c>
      <c r="L3717">
        <v>0.90189847027814096</v>
      </c>
      <c r="M3717">
        <v>0.69520547945205502</v>
      </c>
      <c r="N3717">
        <v>1</v>
      </c>
      <c r="O3717">
        <v>0.78321917808219199</v>
      </c>
      <c r="P3717" t="s">
        <v>1163</v>
      </c>
      <c r="Q3717" t="s">
        <v>1164</v>
      </c>
      <c r="R3717" t="s">
        <v>224</v>
      </c>
      <c r="S3717" t="s">
        <v>225</v>
      </c>
      <c r="T3717" t="s">
        <v>2711</v>
      </c>
      <c r="U3717" t="s">
        <v>2712</v>
      </c>
      <c r="V3717" t="s">
        <v>2713</v>
      </c>
      <c r="W3717" t="s">
        <v>2714</v>
      </c>
      <c r="X3717" t="s">
        <v>2713</v>
      </c>
      <c r="Y3717" t="s">
        <v>2715</v>
      </c>
      <c r="AD3717" t="s">
        <v>1170</v>
      </c>
      <c r="AE3717" t="s">
        <v>2716</v>
      </c>
      <c r="AF3717" t="s">
        <v>2719</v>
      </c>
    </row>
    <row r="3718" spans="1:32" hidden="1" x14ac:dyDescent="0.35">
      <c r="A3718">
        <v>1313</v>
      </c>
      <c r="B3718" t="s">
        <v>2710</v>
      </c>
      <c r="C3718" t="s">
        <v>72</v>
      </c>
      <c r="D3718" t="s">
        <v>45</v>
      </c>
      <c r="E3718">
        <v>1216</v>
      </c>
      <c r="F3718">
        <v>5</v>
      </c>
      <c r="G3718">
        <v>5</v>
      </c>
      <c r="H3718">
        <v>1</v>
      </c>
      <c r="I3718">
        <v>1</v>
      </c>
      <c r="J3718">
        <v>0.84804270462633402</v>
      </c>
      <c r="K3718">
        <v>0.96305841924398605</v>
      </c>
      <c r="L3718">
        <v>0.90189847027814096</v>
      </c>
      <c r="M3718">
        <v>0.69520547945205502</v>
      </c>
      <c r="N3718">
        <v>1</v>
      </c>
      <c r="O3718">
        <v>0.78321917808219199</v>
      </c>
      <c r="P3718" t="s">
        <v>1163</v>
      </c>
      <c r="Q3718" t="s">
        <v>1164</v>
      </c>
      <c r="R3718" t="s">
        <v>224</v>
      </c>
      <c r="S3718" t="s">
        <v>225</v>
      </c>
      <c r="T3718" t="s">
        <v>2711</v>
      </c>
      <c r="U3718" t="s">
        <v>2712</v>
      </c>
      <c r="V3718" t="s">
        <v>2713</v>
      </c>
      <c r="W3718" t="s">
        <v>2714</v>
      </c>
      <c r="X3718" t="s">
        <v>2713</v>
      </c>
      <c r="Y3718" t="s">
        <v>2715</v>
      </c>
      <c r="AD3718" t="s">
        <v>1170</v>
      </c>
      <c r="AE3718" t="s">
        <v>2716</v>
      </c>
      <c r="AF3718" t="s">
        <v>2720</v>
      </c>
    </row>
    <row r="3719" spans="1:32" hidden="1" x14ac:dyDescent="0.35">
      <c r="A3719">
        <v>6434</v>
      </c>
      <c r="B3719" t="s">
        <v>13261</v>
      </c>
      <c r="C3719" t="s">
        <v>68</v>
      </c>
      <c r="D3719" t="s">
        <v>58</v>
      </c>
      <c r="E3719">
        <v>297</v>
      </c>
      <c r="F3719">
        <v>3</v>
      </c>
      <c r="G3719">
        <v>3</v>
      </c>
      <c r="H3719">
        <v>1</v>
      </c>
      <c r="I3719">
        <v>0</v>
      </c>
      <c r="J3719">
        <v>0.79180151024811196</v>
      </c>
      <c r="K3719">
        <v>0.93812594025360097</v>
      </c>
      <c r="L3719">
        <v>0.85877536203070504</v>
      </c>
      <c r="M3719">
        <v>0.54242424242424203</v>
      </c>
      <c r="N3719">
        <v>0.98181818181818203</v>
      </c>
      <c r="O3719">
        <v>0.68989898989899001</v>
      </c>
      <c r="P3719" t="s">
        <v>13262</v>
      </c>
      <c r="Q3719" t="s">
        <v>13263</v>
      </c>
      <c r="R3719" t="s">
        <v>235</v>
      </c>
      <c r="S3719" t="s">
        <v>236</v>
      </c>
      <c r="V3719" t="s">
        <v>13264</v>
      </c>
      <c r="W3719" t="s">
        <v>13265</v>
      </c>
      <c r="AF3719" t="s">
        <v>13266</v>
      </c>
    </row>
    <row r="3720" spans="1:32" hidden="1" x14ac:dyDescent="0.35">
      <c r="A3720">
        <v>1410</v>
      </c>
      <c r="B3720" t="s">
        <v>2940</v>
      </c>
      <c r="C3720" t="s">
        <v>72</v>
      </c>
      <c r="D3720" t="s">
        <v>60</v>
      </c>
      <c r="E3720">
        <v>1896</v>
      </c>
      <c r="F3720">
        <v>5</v>
      </c>
      <c r="G3720">
        <v>5</v>
      </c>
      <c r="H3720">
        <v>1</v>
      </c>
      <c r="I3720">
        <v>1</v>
      </c>
      <c r="J3720">
        <v>0.78520770010131702</v>
      </c>
      <c r="K3720">
        <v>0.88717568866111296</v>
      </c>
      <c r="L3720">
        <v>0.83308311570218796</v>
      </c>
      <c r="M3720">
        <v>0.51785714285714302</v>
      </c>
      <c r="N3720">
        <v>1</v>
      </c>
      <c r="O3720">
        <v>0.65535714285714297</v>
      </c>
      <c r="P3720" t="s">
        <v>2941</v>
      </c>
      <c r="Q3720" t="s">
        <v>2942</v>
      </c>
      <c r="R3720" t="s">
        <v>224</v>
      </c>
      <c r="S3720" t="s">
        <v>225</v>
      </c>
      <c r="T3720" t="s">
        <v>2943</v>
      </c>
      <c r="U3720" t="s">
        <v>2944</v>
      </c>
      <c r="V3720" t="s">
        <v>2945</v>
      </c>
      <c r="W3720" t="s">
        <v>2946</v>
      </c>
      <c r="X3720" t="s">
        <v>2945</v>
      </c>
      <c r="Y3720" t="s">
        <v>2715</v>
      </c>
      <c r="AD3720" t="s">
        <v>210</v>
      </c>
      <c r="AE3720" t="s">
        <v>1520</v>
      </c>
      <c r="AF3720" t="s">
        <v>2948</v>
      </c>
    </row>
    <row r="3721" spans="1:32" hidden="1" x14ac:dyDescent="0.35">
      <c r="A3721">
        <v>1411</v>
      </c>
      <c r="B3721" t="s">
        <v>2940</v>
      </c>
      <c r="C3721" t="s">
        <v>72</v>
      </c>
      <c r="D3721" t="s">
        <v>62</v>
      </c>
      <c r="E3721">
        <v>1936</v>
      </c>
      <c r="F3721">
        <v>5</v>
      </c>
      <c r="G3721">
        <v>5</v>
      </c>
      <c r="H3721">
        <v>1</v>
      </c>
      <c r="I3721">
        <v>1</v>
      </c>
      <c r="J3721">
        <v>0.78520770010131702</v>
      </c>
      <c r="K3721">
        <v>0.88717568866111296</v>
      </c>
      <c r="L3721">
        <v>0.83308311570218796</v>
      </c>
      <c r="M3721">
        <v>0.51785714285714302</v>
      </c>
      <c r="N3721">
        <v>1</v>
      </c>
      <c r="O3721">
        <v>0.65535714285714297</v>
      </c>
      <c r="P3721" t="s">
        <v>2941</v>
      </c>
      <c r="Q3721" t="s">
        <v>2942</v>
      </c>
      <c r="R3721" t="s">
        <v>224</v>
      </c>
      <c r="S3721" t="s">
        <v>225</v>
      </c>
      <c r="T3721" t="s">
        <v>2943</v>
      </c>
      <c r="U3721" t="s">
        <v>2944</v>
      </c>
      <c r="V3721" t="s">
        <v>2945</v>
      </c>
      <c r="W3721" t="s">
        <v>2946</v>
      </c>
      <c r="X3721" t="s">
        <v>2945</v>
      </c>
      <c r="Y3721" t="s">
        <v>2715</v>
      </c>
      <c r="AD3721" t="s">
        <v>210</v>
      </c>
      <c r="AE3721" t="s">
        <v>1520</v>
      </c>
      <c r="AF3721" t="s">
        <v>2948</v>
      </c>
    </row>
    <row r="3722" spans="1:32" hidden="1" x14ac:dyDescent="0.35">
      <c r="A3722">
        <v>1412</v>
      </c>
      <c r="B3722" t="s">
        <v>2940</v>
      </c>
      <c r="C3722" t="s">
        <v>72</v>
      </c>
      <c r="D3722" t="s">
        <v>34</v>
      </c>
      <c r="E3722">
        <v>2251</v>
      </c>
      <c r="F3722">
        <v>5</v>
      </c>
      <c r="G3722">
        <v>5</v>
      </c>
      <c r="H3722">
        <v>1</v>
      </c>
      <c r="I3722">
        <v>1</v>
      </c>
      <c r="J3722">
        <v>0.78520770010131702</v>
      </c>
      <c r="K3722">
        <v>0.88717568866111296</v>
      </c>
      <c r="L3722">
        <v>0.83308311570218796</v>
      </c>
      <c r="M3722">
        <v>0.51785714285714302</v>
      </c>
      <c r="N3722">
        <v>1</v>
      </c>
      <c r="O3722">
        <v>0.65535714285714297</v>
      </c>
      <c r="P3722" t="s">
        <v>2941</v>
      </c>
      <c r="Q3722" t="s">
        <v>2942</v>
      </c>
      <c r="R3722" t="s">
        <v>224</v>
      </c>
      <c r="S3722" t="s">
        <v>225</v>
      </c>
      <c r="T3722" t="s">
        <v>2943</v>
      </c>
      <c r="U3722" t="s">
        <v>2944</v>
      </c>
      <c r="V3722" t="s">
        <v>2945</v>
      </c>
      <c r="W3722" t="s">
        <v>2946</v>
      </c>
      <c r="X3722" t="s">
        <v>2945</v>
      </c>
      <c r="Y3722" t="s">
        <v>2715</v>
      </c>
      <c r="AD3722" t="s">
        <v>210</v>
      </c>
      <c r="AE3722" t="s">
        <v>1520</v>
      </c>
      <c r="AF3722" t="s">
        <v>2949</v>
      </c>
    </row>
    <row r="3723" spans="1:32" hidden="1" x14ac:dyDescent="0.35">
      <c r="A3723">
        <v>1413</v>
      </c>
      <c r="B3723" t="s">
        <v>2940</v>
      </c>
      <c r="C3723" t="s">
        <v>72</v>
      </c>
      <c r="D3723" t="s">
        <v>45</v>
      </c>
      <c r="E3723">
        <v>626</v>
      </c>
      <c r="F3723">
        <v>5</v>
      </c>
      <c r="G3723">
        <v>5</v>
      </c>
      <c r="H3723">
        <v>1</v>
      </c>
      <c r="I3723">
        <v>1</v>
      </c>
      <c r="J3723">
        <v>0.78520770010131702</v>
      </c>
      <c r="K3723">
        <v>0.88717568866111296</v>
      </c>
      <c r="L3723">
        <v>0.83308311570218796</v>
      </c>
      <c r="M3723">
        <v>0.51785714285714302</v>
      </c>
      <c r="N3723">
        <v>1</v>
      </c>
      <c r="O3723">
        <v>0.65535714285714297</v>
      </c>
      <c r="P3723" t="s">
        <v>2941</v>
      </c>
      <c r="Q3723" t="s">
        <v>2942</v>
      </c>
      <c r="R3723" t="s">
        <v>224</v>
      </c>
      <c r="S3723" t="s">
        <v>225</v>
      </c>
      <c r="T3723" t="s">
        <v>2943</v>
      </c>
      <c r="U3723" t="s">
        <v>2944</v>
      </c>
      <c r="V3723" t="s">
        <v>2945</v>
      </c>
      <c r="W3723" t="s">
        <v>2946</v>
      </c>
      <c r="X3723" t="s">
        <v>2945</v>
      </c>
      <c r="Y3723" t="s">
        <v>2715</v>
      </c>
      <c r="AD3723" t="s">
        <v>210</v>
      </c>
      <c r="AE3723" t="s">
        <v>1520</v>
      </c>
      <c r="AF3723" t="s">
        <v>2949</v>
      </c>
    </row>
    <row r="3724" spans="1:32" hidden="1" x14ac:dyDescent="0.35">
      <c r="A3724">
        <v>3959</v>
      </c>
      <c r="B3724" t="s">
        <v>8180</v>
      </c>
      <c r="C3724" t="s">
        <v>72</v>
      </c>
      <c r="D3724" t="s">
        <v>58</v>
      </c>
      <c r="E3724">
        <v>554</v>
      </c>
      <c r="F3724">
        <v>5</v>
      </c>
      <c r="G3724">
        <v>5</v>
      </c>
      <c r="H3724">
        <v>1</v>
      </c>
      <c r="I3724">
        <v>1</v>
      </c>
      <c r="J3724">
        <v>0.74974747474747505</v>
      </c>
      <c r="K3724">
        <v>0.95747381783560903</v>
      </c>
      <c r="L3724">
        <v>0.84097308319405895</v>
      </c>
      <c r="M3724">
        <v>0.54347826086956497</v>
      </c>
      <c r="N3724">
        <v>0.97101449275362295</v>
      </c>
      <c r="O3724">
        <v>0.66159420289855098</v>
      </c>
      <c r="P3724" t="s">
        <v>8181</v>
      </c>
      <c r="Q3724" t="s">
        <v>8182</v>
      </c>
      <c r="R3724" t="s">
        <v>157</v>
      </c>
      <c r="S3724" t="s">
        <v>158</v>
      </c>
      <c r="T3724" t="s">
        <v>8183</v>
      </c>
      <c r="U3724" t="s">
        <v>8184</v>
      </c>
      <c r="V3724" t="s">
        <v>8185</v>
      </c>
      <c r="W3724" t="s">
        <v>8186</v>
      </c>
      <c r="AD3724" t="s">
        <v>166</v>
      </c>
      <c r="AE3724" t="s">
        <v>2843</v>
      </c>
      <c r="AF3724" t="s">
        <v>8187</v>
      </c>
    </row>
    <row r="3725" spans="1:32" hidden="1" x14ac:dyDescent="0.35">
      <c r="A3725">
        <v>1430</v>
      </c>
      <c r="B3725" t="s">
        <v>2984</v>
      </c>
      <c r="C3725" t="s">
        <v>72</v>
      </c>
      <c r="D3725" t="s">
        <v>60</v>
      </c>
      <c r="E3725">
        <v>140</v>
      </c>
      <c r="F3725">
        <v>5</v>
      </c>
      <c r="G3725">
        <v>5</v>
      </c>
      <c r="H3725">
        <v>1</v>
      </c>
      <c r="I3725">
        <v>1</v>
      </c>
      <c r="J3725">
        <v>0.87723970944309904</v>
      </c>
      <c r="K3725">
        <v>0.95724306092635703</v>
      </c>
      <c r="L3725">
        <v>0.91549687813567504</v>
      </c>
      <c r="M3725">
        <v>0.75925925925925897</v>
      </c>
      <c r="N3725">
        <v>1</v>
      </c>
      <c r="O3725">
        <v>0.81736111111111098</v>
      </c>
      <c r="P3725" t="s">
        <v>2985</v>
      </c>
      <c r="Q3725" t="s">
        <v>2986</v>
      </c>
      <c r="R3725" t="s">
        <v>224</v>
      </c>
      <c r="S3725" t="s">
        <v>225</v>
      </c>
      <c r="T3725" t="s">
        <v>2987</v>
      </c>
      <c r="U3725" t="s">
        <v>2988</v>
      </c>
      <c r="V3725" t="s">
        <v>2989</v>
      </c>
      <c r="W3725" t="s">
        <v>2990</v>
      </c>
      <c r="X3725" t="s">
        <v>2989</v>
      </c>
      <c r="Y3725" t="s">
        <v>1598</v>
      </c>
      <c r="AD3725" t="s">
        <v>2991</v>
      </c>
      <c r="AE3725" t="s">
        <v>2992</v>
      </c>
      <c r="AF3725" t="s">
        <v>2994</v>
      </c>
    </row>
    <row r="3726" spans="1:32" hidden="1" x14ac:dyDescent="0.35">
      <c r="A3726">
        <v>1431</v>
      </c>
      <c r="B3726" t="s">
        <v>2984</v>
      </c>
      <c r="C3726" t="s">
        <v>72</v>
      </c>
      <c r="D3726" t="s">
        <v>62</v>
      </c>
      <c r="E3726">
        <v>212</v>
      </c>
      <c r="F3726">
        <v>5</v>
      </c>
      <c r="G3726">
        <v>5</v>
      </c>
      <c r="H3726">
        <v>1</v>
      </c>
      <c r="I3726">
        <v>1</v>
      </c>
      <c r="J3726">
        <v>0.87723970944309904</v>
      </c>
      <c r="K3726">
        <v>0.95724306092635703</v>
      </c>
      <c r="L3726">
        <v>0.91549687813567504</v>
      </c>
      <c r="M3726">
        <v>0.75925925925925897</v>
      </c>
      <c r="N3726">
        <v>1</v>
      </c>
      <c r="O3726">
        <v>0.81736111111111098</v>
      </c>
      <c r="P3726" t="s">
        <v>2985</v>
      </c>
      <c r="Q3726" t="s">
        <v>2986</v>
      </c>
      <c r="R3726" t="s">
        <v>224</v>
      </c>
      <c r="S3726" t="s">
        <v>225</v>
      </c>
      <c r="T3726" t="s">
        <v>2987</v>
      </c>
      <c r="U3726" t="s">
        <v>2988</v>
      </c>
      <c r="V3726" t="s">
        <v>2989</v>
      </c>
      <c r="W3726" t="s">
        <v>2990</v>
      </c>
      <c r="X3726" t="s">
        <v>2989</v>
      </c>
      <c r="Y3726" t="s">
        <v>1598</v>
      </c>
      <c r="AD3726" t="s">
        <v>2991</v>
      </c>
      <c r="AE3726" t="s">
        <v>2992</v>
      </c>
      <c r="AF3726" t="s">
        <v>2994</v>
      </c>
    </row>
    <row r="3727" spans="1:32" hidden="1" x14ac:dyDescent="0.35">
      <c r="A3727">
        <v>1432</v>
      </c>
      <c r="B3727" t="s">
        <v>2984</v>
      </c>
      <c r="C3727" t="s">
        <v>72</v>
      </c>
      <c r="D3727" t="s">
        <v>34</v>
      </c>
      <c r="E3727">
        <v>930</v>
      </c>
      <c r="F3727">
        <v>5</v>
      </c>
      <c r="G3727">
        <v>5</v>
      </c>
      <c r="H3727">
        <v>1</v>
      </c>
      <c r="I3727">
        <v>1</v>
      </c>
      <c r="J3727">
        <v>0.87723970944309904</v>
      </c>
      <c r="K3727">
        <v>0.95724306092635703</v>
      </c>
      <c r="L3727">
        <v>0.91549687813567504</v>
      </c>
      <c r="M3727">
        <v>0.75925925925925897</v>
      </c>
      <c r="N3727">
        <v>1</v>
      </c>
      <c r="O3727">
        <v>0.81736111111111098</v>
      </c>
      <c r="P3727" t="s">
        <v>2985</v>
      </c>
      <c r="Q3727" t="s">
        <v>2986</v>
      </c>
      <c r="R3727" t="s">
        <v>224</v>
      </c>
      <c r="S3727" t="s">
        <v>225</v>
      </c>
      <c r="T3727" t="s">
        <v>2987</v>
      </c>
      <c r="U3727" t="s">
        <v>2988</v>
      </c>
      <c r="V3727" t="s">
        <v>2989</v>
      </c>
      <c r="W3727" t="s">
        <v>2990</v>
      </c>
      <c r="X3727" t="s">
        <v>2989</v>
      </c>
      <c r="Y3727" t="s">
        <v>1598</v>
      </c>
      <c r="AD3727" t="s">
        <v>2991</v>
      </c>
      <c r="AE3727" t="s">
        <v>2992</v>
      </c>
      <c r="AF3727" t="s">
        <v>2995</v>
      </c>
    </row>
    <row r="3728" spans="1:32" hidden="1" x14ac:dyDescent="0.35">
      <c r="A3728">
        <v>1433</v>
      </c>
      <c r="B3728" t="s">
        <v>2984</v>
      </c>
      <c r="C3728" t="s">
        <v>72</v>
      </c>
      <c r="D3728" t="s">
        <v>45</v>
      </c>
      <c r="E3728">
        <v>2186</v>
      </c>
      <c r="F3728">
        <v>5</v>
      </c>
      <c r="G3728">
        <v>5</v>
      </c>
      <c r="H3728">
        <v>1</v>
      </c>
      <c r="I3728">
        <v>1</v>
      </c>
      <c r="J3728">
        <v>0.87723970944309904</v>
      </c>
      <c r="K3728">
        <v>0.95724306092635703</v>
      </c>
      <c r="L3728">
        <v>0.91549687813567504</v>
      </c>
      <c r="M3728">
        <v>0.75925925925925897</v>
      </c>
      <c r="N3728">
        <v>1</v>
      </c>
      <c r="O3728">
        <v>0.81736111111111098</v>
      </c>
      <c r="P3728" t="s">
        <v>2985</v>
      </c>
      <c r="Q3728" t="s">
        <v>2986</v>
      </c>
      <c r="R3728" t="s">
        <v>224</v>
      </c>
      <c r="S3728" t="s">
        <v>225</v>
      </c>
      <c r="T3728" t="s">
        <v>2987</v>
      </c>
      <c r="U3728" t="s">
        <v>2988</v>
      </c>
      <c r="V3728" t="s">
        <v>2989</v>
      </c>
      <c r="W3728" t="s">
        <v>2990</v>
      </c>
      <c r="X3728" t="s">
        <v>2989</v>
      </c>
      <c r="Y3728" t="s">
        <v>1598</v>
      </c>
      <c r="AD3728" t="s">
        <v>2991</v>
      </c>
      <c r="AE3728" t="s">
        <v>2992</v>
      </c>
      <c r="AF3728" t="s">
        <v>2996</v>
      </c>
    </row>
    <row r="3729" spans="1:32" hidden="1" x14ac:dyDescent="0.35">
      <c r="A3729">
        <v>3749</v>
      </c>
      <c r="B3729" t="s">
        <v>7737</v>
      </c>
      <c r="C3729" t="s">
        <v>72</v>
      </c>
      <c r="D3729" t="s">
        <v>58</v>
      </c>
      <c r="E3729">
        <v>717</v>
      </c>
      <c r="F3729">
        <v>5</v>
      </c>
      <c r="G3729">
        <v>5</v>
      </c>
      <c r="H3729">
        <v>1</v>
      </c>
      <c r="I3729">
        <v>1</v>
      </c>
      <c r="J3729">
        <v>0.80840749583966398</v>
      </c>
      <c r="K3729">
        <v>0.91723400911519204</v>
      </c>
      <c r="L3729">
        <v>0.85938921413133995</v>
      </c>
      <c r="M3729">
        <v>0.57227722772277201</v>
      </c>
      <c r="N3729">
        <v>0.99801980198019802</v>
      </c>
      <c r="O3729">
        <v>0.70613861386138599</v>
      </c>
      <c r="P3729" t="s">
        <v>7738</v>
      </c>
      <c r="Q3729" t="s">
        <v>7739</v>
      </c>
      <c r="R3729" t="s">
        <v>235</v>
      </c>
      <c r="S3729" t="s">
        <v>236</v>
      </c>
      <c r="T3729" t="s">
        <v>7740</v>
      </c>
      <c r="U3729" t="s">
        <v>7741</v>
      </c>
      <c r="V3729" t="s">
        <v>7742</v>
      </c>
      <c r="W3729" t="s">
        <v>7743</v>
      </c>
      <c r="AD3729" t="s">
        <v>166</v>
      </c>
      <c r="AE3729" t="s">
        <v>818</v>
      </c>
      <c r="AF3729" t="s">
        <v>7744</v>
      </c>
    </row>
    <row r="3730" spans="1:32" hidden="1" x14ac:dyDescent="0.35">
      <c r="A3730">
        <v>1450</v>
      </c>
      <c r="B3730" t="s">
        <v>3037</v>
      </c>
      <c r="C3730" t="s">
        <v>72</v>
      </c>
      <c r="D3730" t="s">
        <v>60</v>
      </c>
      <c r="E3730">
        <v>1457</v>
      </c>
      <c r="F3730">
        <v>5</v>
      </c>
      <c r="G3730">
        <v>5</v>
      </c>
      <c r="H3730">
        <v>1</v>
      </c>
      <c r="I3730">
        <v>1</v>
      </c>
      <c r="J3730">
        <v>0.79353233830845804</v>
      </c>
      <c r="K3730">
        <v>0.92917624521072695</v>
      </c>
      <c r="L3730">
        <v>0.85601407645686101</v>
      </c>
      <c r="M3730">
        <v>0.52413793103448303</v>
      </c>
      <c r="N3730">
        <v>1</v>
      </c>
      <c r="O3730">
        <v>0.67862068965517197</v>
      </c>
      <c r="P3730" t="s">
        <v>3038</v>
      </c>
      <c r="Q3730" t="s">
        <v>3039</v>
      </c>
      <c r="R3730" t="s">
        <v>224</v>
      </c>
      <c r="S3730" t="s">
        <v>225</v>
      </c>
      <c r="T3730" t="s">
        <v>3040</v>
      </c>
      <c r="U3730" t="s">
        <v>3041</v>
      </c>
      <c r="V3730" t="s">
        <v>3042</v>
      </c>
      <c r="W3730" t="s">
        <v>3043</v>
      </c>
      <c r="AD3730" t="s">
        <v>3044</v>
      </c>
      <c r="AE3730" t="s">
        <v>3045</v>
      </c>
      <c r="AF3730" t="s">
        <v>3047</v>
      </c>
    </row>
    <row r="3731" spans="1:32" hidden="1" x14ac:dyDescent="0.35">
      <c r="A3731">
        <v>1451</v>
      </c>
      <c r="B3731" t="s">
        <v>3037</v>
      </c>
      <c r="C3731" t="s">
        <v>72</v>
      </c>
      <c r="D3731" t="s">
        <v>62</v>
      </c>
      <c r="E3731">
        <v>1492</v>
      </c>
      <c r="F3731">
        <v>5</v>
      </c>
      <c r="G3731">
        <v>5</v>
      </c>
      <c r="H3731">
        <v>1</v>
      </c>
      <c r="I3731">
        <v>1</v>
      </c>
      <c r="J3731">
        <v>0.79353233830845804</v>
      </c>
      <c r="K3731">
        <v>0.92917624521072695</v>
      </c>
      <c r="L3731">
        <v>0.85601407645686101</v>
      </c>
      <c r="M3731">
        <v>0.52413793103448303</v>
      </c>
      <c r="N3731">
        <v>1</v>
      </c>
      <c r="O3731">
        <v>0.67862068965517197</v>
      </c>
      <c r="P3731" t="s">
        <v>3038</v>
      </c>
      <c r="Q3731" t="s">
        <v>3039</v>
      </c>
      <c r="R3731" t="s">
        <v>224</v>
      </c>
      <c r="S3731" t="s">
        <v>225</v>
      </c>
      <c r="T3731" t="s">
        <v>3040</v>
      </c>
      <c r="U3731" t="s">
        <v>3041</v>
      </c>
      <c r="V3731" t="s">
        <v>3042</v>
      </c>
      <c r="W3731" t="s">
        <v>3043</v>
      </c>
      <c r="AD3731" t="s">
        <v>3044</v>
      </c>
      <c r="AE3731" t="s">
        <v>3045</v>
      </c>
      <c r="AF3731" t="s">
        <v>3047</v>
      </c>
    </row>
    <row r="3732" spans="1:32" hidden="1" x14ac:dyDescent="0.35">
      <c r="A3732">
        <v>1452</v>
      </c>
      <c r="B3732" t="s">
        <v>3037</v>
      </c>
      <c r="C3732" t="s">
        <v>72</v>
      </c>
      <c r="D3732" t="s">
        <v>34</v>
      </c>
      <c r="E3732">
        <v>1892</v>
      </c>
      <c r="F3732">
        <v>5</v>
      </c>
      <c r="G3732">
        <v>5</v>
      </c>
      <c r="H3732">
        <v>1</v>
      </c>
      <c r="I3732">
        <v>1</v>
      </c>
      <c r="J3732">
        <v>0.79353233830845804</v>
      </c>
      <c r="K3732">
        <v>0.92917624521072695</v>
      </c>
      <c r="L3732">
        <v>0.85601407645686101</v>
      </c>
      <c r="M3732">
        <v>0.52413793103448303</v>
      </c>
      <c r="N3732">
        <v>1</v>
      </c>
      <c r="O3732">
        <v>0.67862068965517197</v>
      </c>
      <c r="P3732" t="s">
        <v>3038</v>
      </c>
      <c r="Q3732" t="s">
        <v>3039</v>
      </c>
      <c r="R3732" t="s">
        <v>224</v>
      </c>
      <c r="S3732" t="s">
        <v>225</v>
      </c>
      <c r="T3732" t="s">
        <v>3040</v>
      </c>
      <c r="U3732" t="s">
        <v>3041</v>
      </c>
      <c r="V3732" t="s">
        <v>3042</v>
      </c>
      <c r="W3732" t="s">
        <v>3043</v>
      </c>
      <c r="AD3732" t="s">
        <v>3044</v>
      </c>
      <c r="AE3732" t="s">
        <v>3045</v>
      </c>
      <c r="AF3732" t="s">
        <v>3048</v>
      </c>
    </row>
    <row r="3733" spans="1:32" hidden="1" x14ac:dyDescent="0.35">
      <c r="A3733">
        <v>1453</v>
      </c>
      <c r="B3733" t="s">
        <v>3037</v>
      </c>
      <c r="C3733" t="s">
        <v>72</v>
      </c>
      <c r="D3733" t="s">
        <v>45</v>
      </c>
      <c r="E3733">
        <v>981</v>
      </c>
      <c r="F3733">
        <v>5</v>
      </c>
      <c r="G3733">
        <v>5</v>
      </c>
      <c r="H3733">
        <v>1</v>
      </c>
      <c r="I3733">
        <v>1</v>
      </c>
      <c r="J3733">
        <v>0.79353233830845804</v>
      </c>
      <c r="K3733">
        <v>0.92917624521072695</v>
      </c>
      <c r="L3733">
        <v>0.85601407645686101</v>
      </c>
      <c r="M3733">
        <v>0.52413793103448303</v>
      </c>
      <c r="N3733">
        <v>1</v>
      </c>
      <c r="O3733">
        <v>0.67862068965517197</v>
      </c>
      <c r="P3733" t="s">
        <v>3038</v>
      </c>
      <c r="Q3733" t="s">
        <v>3039</v>
      </c>
      <c r="R3733" t="s">
        <v>224</v>
      </c>
      <c r="S3733" t="s">
        <v>225</v>
      </c>
      <c r="T3733" t="s">
        <v>3040</v>
      </c>
      <c r="U3733" t="s">
        <v>3041</v>
      </c>
      <c r="V3733" t="s">
        <v>3042</v>
      </c>
      <c r="W3733" t="s">
        <v>3043</v>
      </c>
      <c r="AD3733" t="s">
        <v>3044</v>
      </c>
      <c r="AE3733" t="s">
        <v>3045</v>
      </c>
      <c r="AF3733" t="s">
        <v>3049</v>
      </c>
    </row>
    <row r="3734" spans="1:32" hidden="1" x14ac:dyDescent="0.35">
      <c r="A3734">
        <v>11703</v>
      </c>
      <c r="B3734" t="s">
        <v>24018</v>
      </c>
      <c r="C3734" t="s">
        <v>33</v>
      </c>
      <c r="D3734" t="s">
        <v>58</v>
      </c>
      <c r="E3734">
        <v>684</v>
      </c>
      <c r="F3734">
        <v>1</v>
      </c>
      <c r="G3734">
        <v>1</v>
      </c>
      <c r="H3734">
        <v>1</v>
      </c>
      <c r="I3734">
        <v>0</v>
      </c>
      <c r="J3734">
        <v>1</v>
      </c>
      <c r="K3734">
        <v>1</v>
      </c>
      <c r="L3734">
        <v>1</v>
      </c>
      <c r="M3734">
        <v>0</v>
      </c>
      <c r="N3734">
        <v>0</v>
      </c>
      <c r="O3734">
        <v>0</v>
      </c>
      <c r="P3734" t="s">
        <v>14470</v>
      </c>
      <c r="Q3734" t="s">
        <v>14471</v>
      </c>
      <c r="R3734" t="s">
        <v>235</v>
      </c>
      <c r="S3734" t="s">
        <v>236</v>
      </c>
      <c r="V3734" t="s">
        <v>7742</v>
      </c>
      <c r="W3734" t="s">
        <v>7743</v>
      </c>
      <c r="AF3734" t="s">
        <v>24019</v>
      </c>
    </row>
    <row r="3735" spans="1:32" hidden="1" x14ac:dyDescent="0.35">
      <c r="A3735">
        <v>1505</v>
      </c>
      <c r="B3735" t="s">
        <v>3151</v>
      </c>
      <c r="C3735" t="s">
        <v>72</v>
      </c>
      <c r="D3735" t="s">
        <v>60</v>
      </c>
      <c r="E3735">
        <v>2486</v>
      </c>
      <c r="F3735">
        <v>5</v>
      </c>
      <c r="G3735">
        <v>5</v>
      </c>
      <c r="H3735">
        <v>1</v>
      </c>
      <c r="I3735">
        <v>1</v>
      </c>
      <c r="J3735">
        <v>0.89436866037075902</v>
      </c>
      <c r="K3735">
        <v>0.97282768777614004</v>
      </c>
      <c r="L3735">
        <v>0.93194976173922806</v>
      </c>
      <c r="M3735">
        <v>0.76530612244898</v>
      </c>
      <c r="N3735">
        <v>1</v>
      </c>
      <c r="O3735">
        <v>0.840816326530612</v>
      </c>
      <c r="P3735" t="s">
        <v>3152</v>
      </c>
      <c r="Q3735" t="s">
        <v>3153</v>
      </c>
      <c r="R3735" t="s">
        <v>224</v>
      </c>
      <c r="S3735" t="s">
        <v>225</v>
      </c>
      <c r="T3735" t="s">
        <v>3154</v>
      </c>
      <c r="U3735" t="s">
        <v>3155</v>
      </c>
      <c r="V3735" t="s">
        <v>3156</v>
      </c>
      <c r="W3735" t="s">
        <v>3157</v>
      </c>
      <c r="X3735" t="s">
        <v>3156</v>
      </c>
      <c r="Y3735" t="s">
        <v>761</v>
      </c>
      <c r="AD3735" t="s">
        <v>750</v>
      </c>
      <c r="AE3735" t="s">
        <v>2675</v>
      </c>
      <c r="AF3735" t="e">
        <f>---MRQYEIMIILDPSQDERTVAPSLDKFLEVVRNENGKVEKVDIWGKRRLAYPINKKDEGIYAVIDLTCESATVQELDRLLNLSDDVLRTKVLRGDR</f>
        <v>#NAME?</v>
      </c>
    </row>
    <row r="3736" spans="1:32" hidden="1" x14ac:dyDescent="0.35">
      <c r="A3736">
        <v>1506</v>
      </c>
      <c r="B3736" t="s">
        <v>3151</v>
      </c>
      <c r="C3736" t="s">
        <v>72</v>
      </c>
      <c r="D3736" t="s">
        <v>62</v>
      </c>
      <c r="E3736">
        <v>13</v>
      </c>
      <c r="F3736">
        <v>5</v>
      </c>
      <c r="G3736">
        <v>5</v>
      </c>
      <c r="H3736">
        <v>1</v>
      </c>
      <c r="I3736">
        <v>1</v>
      </c>
      <c r="J3736">
        <v>0.89436866037075902</v>
      </c>
      <c r="K3736">
        <v>0.97282768777614004</v>
      </c>
      <c r="L3736">
        <v>0.93194976173922806</v>
      </c>
      <c r="M3736">
        <v>0.76530612244898</v>
      </c>
      <c r="N3736">
        <v>1</v>
      </c>
      <c r="O3736">
        <v>0.840816326530612</v>
      </c>
      <c r="P3736" t="s">
        <v>3152</v>
      </c>
      <c r="Q3736" t="s">
        <v>3153</v>
      </c>
      <c r="R3736" t="s">
        <v>224</v>
      </c>
      <c r="S3736" t="s">
        <v>225</v>
      </c>
      <c r="T3736" t="s">
        <v>3154</v>
      </c>
      <c r="U3736" t="s">
        <v>3155</v>
      </c>
      <c r="V3736" t="s">
        <v>3156</v>
      </c>
      <c r="W3736" t="s">
        <v>3157</v>
      </c>
      <c r="X3736" t="s">
        <v>3156</v>
      </c>
      <c r="Y3736" t="s">
        <v>761</v>
      </c>
      <c r="AD3736" t="s">
        <v>750</v>
      </c>
      <c r="AE3736" t="s">
        <v>2675</v>
      </c>
      <c r="AF3736" t="e">
        <f>---MRQYEIMIILDPSQDERTVAPSLDKFLEVVRNENGKVEKVDIWGKRRLAYPINKKDEGIYAVIDLTCESATVQELDRLLNLSDDVLRTKVLRGDR</f>
        <v>#NAME?</v>
      </c>
    </row>
    <row r="3737" spans="1:32" hidden="1" x14ac:dyDescent="0.35">
      <c r="A3737">
        <v>1507</v>
      </c>
      <c r="B3737" t="s">
        <v>3151</v>
      </c>
      <c r="C3737" t="s">
        <v>72</v>
      </c>
      <c r="D3737" t="s">
        <v>34</v>
      </c>
      <c r="E3737">
        <v>1180</v>
      </c>
      <c r="F3737">
        <v>5</v>
      </c>
      <c r="G3737">
        <v>5</v>
      </c>
      <c r="H3737">
        <v>1</v>
      </c>
      <c r="I3737">
        <v>1</v>
      </c>
      <c r="J3737">
        <v>0.89436866037075902</v>
      </c>
      <c r="K3737">
        <v>0.97282768777614004</v>
      </c>
      <c r="L3737">
        <v>0.93194976173922806</v>
      </c>
      <c r="M3737">
        <v>0.76530612244898</v>
      </c>
      <c r="N3737">
        <v>1</v>
      </c>
      <c r="O3737">
        <v>0.840816326530612</v>
      </c>
      <c r="P3737" t="s">
        <v>3152</v>
      </c>
      <c r="Q3737" t="s">
        <v>3153</v>
      </c>
      <c r="R3737" t="s">
        <v>224</v>
      </c>
      <c r="S3737" t="s">
        <v>225</v>
      </c>
      <c r="T3737" t="s">
        <v>3154</v>
      </c>
      <c r="U3737" t="s">
        <v>3155</v>
      </c>
      <c r="V3737" t="s">
        <v>3156</v>
      </c>
      <c r="W3737" t="s">
        <v>3157</v>
      </c>
      <c r="X3737" t="s">
        <v>3156</v>
      </c>
      <c r="Y3737" t="s">
        <v>761</v>
      </c>
      <c r="AD3737" t="s">
        <v>750</v>
      </c>
      <c r="AE3737" t="s">
        <v>2675</v>
      </c>
      <c r="AF3737" t="s">
        <v>3158</v>
      </c>
    </row>
    <row r="3738" spans="1:32" hidden="1" x14ac:dyDescent="0.35">
      <c r="A3738">
        <v>1508</v>
      </c>
      <c r="B3738" t="s">
        <v>3151</v>
      </c>
      <c r="C3738" t="s">
        <v>72</v>
      </c>
      <c r="D3738" t="s">
        <v>45</v>
      </c>
      <c r="E3738">
        <v>2424</v>
      </c>
      <c r="F3738">
        <v>5</v>
      </c>
      <c r="G3738">
        <v>5</v>
      </c>
      <c r="H3738">
        <v>1</v>
      </c>
      <c r="I3738">
        <v>1</v>
      </c>
      <c r="J3738">
        <v>0.89436866037075902</v>
      </c>
      <c r="K3738">
        <v>0.97282768777614004</v>
      </c>
      <c r="L3738">
        <v>0.93194976173922806</v>
      </c>
      <c r="M3738">
        <v>0.76530612244898</v>
      </c>
      <c r="N3738">
        <v>1</v>
      </c>
      <c r="O3738">
        <v>0.840816326530612</v>
      </c>
      <c r="P3738" t="s">
        <v>3152</v>
      </c>
      <c r="Q3738" t="s">
        <v>3153</v>
      </c>
      <c r="R3738" t="s">
        <v>224</v>
      </c>
      <c r="S3738" t="s">
        <v>225</v>
      </c>
      <c r="T3738" t="s">
        <v>3154</v>
      </c>
      <c r="U3738" t="s">
        <v>3155</v>
      </c>
      <c r="V3738" t="s">
        <v>3156</v>
      </c>
      <c r="W3738" t="s">
        <v>3157</v>
      </c>
      <c r="X3738" t="s">
        <v>3156</v>
      </c>
      <c r="Y3738" t="s">
        <v>761</v>
      </c>
      <c r="AD3738" t="s">
        <v>750</v>
      </c>
      <c r="AE3738" t="s">
        <v>2675</v>
      </c>
      <c r="AF3738" t="s">
        <v>3158</v>
      </c>
    </row>
    <row r="3739" spans="1:32" hidden="1" x14ac:dyDescent="0.35">
      <c r="A3739">
        <v>11344</v>
      </c>
      <c r="B3739" t="s">
        <v>23101</v>
      </c>
      <c r="C3739" t="s">
        <v>33</v>
      </c>
      <c r="D3739" t="s">
        <v>58</v>
      </c>
      <c r="E3739">
        <v>1537</v>
      </c>
      <c r="F3739">
        <v>1</v>
      </c>
      <c r="G3739">
        <v>1</v>
      </c>
      <c r="H3739">
        <v>1</v>
      </c>
      <c r="I3739">
        <v>0</v>
      </c>
      <c r="J3739">
        <v>1</v>
      </c>
      <c r="K3739">
        <v>1</v>
      </c>
      <c r="L3739">
        <v>1</v>
      </c>
      <c r="M3739">
        <v>0</v>
      </c>
      <c r="N3739">
        <v>0</v>
      </c>
      <c r="O3739">
        <v>0</v>
      </c>
      <c r="P3739" t="s">
        <v>14169</v>
      </c>
      <c r="Q3739" t="s">
        <v>14170</v>
      </c>
      <c r="R3739" t="s">
        <v>113</v>
      </c>
      <c r="S3739" t="s">
        <v>114</v>
      </c>
      <c r="V3739" t="s">
        <v>14171</v>
      </c>
      <c r="W3739" t="s">
        <v>14172</v>
      </c>
      <c r="AF3739" t="s">
        <v>23102</v>
      </c>
    </row>
    <row r="3740" spans="1:32" hidden="1" x14ac:dyDescent="0.35">
      <c r="A3740">
        <v>1570</v>
      </c>
      <c r="B3740" t="s">
        <v>3293</v>
      </c>
      <c r="C3740" t="s">
        <v>72</v>
      </c>
      <c r="D3740" t="s">
        <v>60</v>
      </c>
      <c r="E3740">
        <v>1950</v>
      </c>
      <c r="F3740">
        <v>5</v>
      </c>
      <c r="G3740">
        <v>5</v>
      </c>
      <c r="H3740">
        <v>1</v>
      </c>
      <c r="I3740">
        <v>1</v>
      </c>
      <c r="J3740">
        <v>0.94678780012978603</v>
      </c>
      <c r="K3740">
        <v>0.98322963959419596</v>
      </c>
      <c r="L3740">
        <v>0.96466467953462998</v>
      </c>
      <c r="M3740">
        <v>0.87878787878787901</v>
      </c>
      <c r="N3740">
        <v>1</v>
      </c>
      <c r="O3740">
        <v>0.91451355661881994</v>
      </c>
      <c r="P3740" t="s">
        <v>1401</v>
      </c>
      <c r="Q3740" t="s">
        <v>1402</v>
      </c>
      <c r="R3740" t="s">
        <v>224</v>
      </c>
      <c r="S3740" t="s">
        <v>225</v>
      </c>
      <c r="T3740" t="s">
        <v>3294</v>
      </c>
      <c r="U3740" t="s">
        <v>3295</v>
      </c>
      <c r="V3740" t="s">
        <v>3296</v>
      </c>
      <c r="W3740" t="s">
        <v>3297</v>
      </c>
      <c r="AF3740" t="s">
        <v>3299</v>
      </c>
    </row>
    <row r="3741" spans="1:32" hidden="1" x14ac:dyDescent="0.35">
      <c r="A3741">
        <v>1571</v>
      </c>
      <c r="B3741" t="s">
        <v>3293</v>
      </c>
      <c r="C3741" t="s">
        <v>72</v>
      </c>
      <c r="D3741" t="s">
        <v>62</v>
      </c>
      <c r="E3741">
        <v>1991</v>
      </c>
      <c r="F3741">
        <v>5</v>
      </c>
      <c r="G3741">
        <v>5</v>
      </c>
      <c r="H3741">
        <v>1</v>
      </c>
      <c r="I3741">
        <v>1</v>
      </c>
      <c r="J3741">
        <v>0.94678780012978603</v>
      </c>
      <c r="K3741">
        <v>0.98322963959419596</v>
      </c>
      <c r="L3741">
        <v>0.96466467953462998</v>
      </c>
      <c r="M3741">
        <v>0.87878787878787901</v>
      </c>
      <c r="N3741">
        <v>1</v>
      </c>
      <c r="O3741">
        <v>0.91451355661881994</v>
      </c>
      <c r="P3741" t="s">
        <v>1401</v>
      </c>
      <c r="Q3741" t="s">
        <v>1402</v>
      </c>
      <c r="R3741" t="s">
        <v>224</v>
      </c>
      <c r="S3741" t="s">
        <v>225</v>
      </c>
      <c r="T3741" t="s">
        <v>3294</v>
      </c>
      <c r="U3741" t="s">
        <v>3295</v>
      </c>
      <c r="V3741" t="s">
        <v>3296</v>
      </c>
      <c r="W3741" t="s">
        <v>3297</v>
      </c>
      <c r="AF3741" t="s">
        <v>3299</v>
      </c>
    </row>
    <row r="3742" spans="1:32" hidden="1" x14ac:dyDescent="0.35">
      <c r="A3742">
        <v>1572</v>
      </c>
      <c r="B3742" t="s">
        <v>3293</v>
      </c>
      <c r="C3742" t="s">
        <v>72</v>
      </c>
      <c r="D3742" t="s">
        <v>34</v>
      </c>
      <c r="E3742">
        <v>2306</v>
      </c>
      <c r="F3742">
        <v>5</v>
      </c>
      <c r="G3742">
        <v>5</v>
      </c>
      <c r="H3742">
        <v>1</v>
      </c>
      <c r="I3742">
        <v>1</v>
      </c>
      <c r="J3742">
        <v>0.94678780012978603</v>
      </c>
      <c r="K3742">
        <v>0.98322963959419596</v>
      </c>
      <c r="L3742">
        <v>0.96466467953462998</v>
      </c>
      <c r="M3742">
        <v>0.87878787878787901</v>
      </c>
      <c r="N3742">
        <v>1</v>
      </c>
      <c r="O3742">
        <v>0.91451355661881994</v>
      </c>
      <c r="P3742" t="s">
        <v>1401</v>
      </c>
      <c r="Q3742" t="s">
        <v>1402</v>
      </c>
      <c r="R3742" t="s">
        <v>224</v>
      </c>
      <c r="S3742" t="s">
        <v>225</v>
      </c>
      <c r="T3742" t="s">
        <v>3294</v>
      </c>
      <c r="U3742" t="s">
        <v>3295</v>
      </c>
      <c r="V3742" t="s">
        <v>3296</v>
      </c>
      <c r="W3742" t="s">
        <v>3297</v>
      </c>
      <c r="AF3742" t="s">
        <v>3300</v>
      </c>
    </row>
    <row r="3743" spans="1:32" hidden="1" x14ac:dyDescent="0.35">
      <c r="A3743">
        <v>1573</v>
      </c>
      <c r="B3743" t="s">
        <v>3293</v>
      </c>
      <c r="C3743" t="s">
        <v>72</v>
      </c>
      <c r="D3743" t="s">
        <v>45</v>
      </c>
      <c r="E3743">
        <v>572</v>
      </c>
      <c r="F3743">
        <v>5</v>
      </c>
      <c r="G3743">
        <v>5</v>
      </c>
      <c r="H3743">
        <v>1</v>
      </c>
      <c r="I3743">
        <v>1</v>
      </c>
      <c r="J3743">
        <v>0.94678780012978603</v>
      </c>
      <c r="K3743">
        <v>0.98322963959419596</v>
      </c>
      <c r="L3743">
        <v>0.96466467953462998</v>
      </c>
      <c r="M3743">
        <v>0.87878787878787901</v>
      </c>
      <c r="N3743">
        <v>1</v>
      </c>
      <c r="O3743">
        <v>0.91451355661881994</v>
      </c>
      <c r="P3743" t="s">
        <v>1401</v>
      </c>
      <c r="Q3743" t="s">
        <v>1402</v>
      </c>
      <c r="R3743" t="s">
        <v>224</v>
      </c>
      <c r="S3743" t="s">
        <v>225</v>
      </c>
      <c r="T3743" t="s">
        <v>3294</v>
      </c>
      <c r="U3743" t="s">
        <v>3295</v>
      </c>
      <c r="V3743" t="s">
        <v>3296</v>
      </c>
      <c r="W3743" t="s">
        <v>3297</v>
      </c>
      <c r="AF3743" t="s">
        <v>3300</v>
      </c>
    </row>
    <row r="3744" spans="1:32" hidden="1" x14ac:dyDescent="0.35">
      <c r="A3744">
        <v>11469</v>
      </c>
      <c r="B3744" t="s">
        <v>23407</v>
      </c>
      <c r="C3744" t="s">
        <v>33</v>
      </c>
      <c r="D3744" t="s">
        <v>58</v>
      </c>
      <c r="E3744">
        <v>1531</v>
      </c>
      <c r="F3744">
        <v>1</v>
      </c>
      <c r="G3744">
        <v>1</v>
      </c>
      <c r="H3744">
        <v>1</v>
      </c>
      <c r="I3744">
        <v>0</v>
      </c>
      <c r="J3744">
        <v>1</v>
      </c>
      <c r="K3744">
        <v>1</v>
      </c>
      <c r="L3744">
        <v>1</v>
      </c>
      <c r="M3744">
        <v>0</v>
      </c>
      <c r="N3744">
        <v>0</v>
      </c>
      <c r="O3744">
        <v>0</v>
      </c>
      <c r="P3744" t="s">
        <v>14169</v>
      </c>
      <c r="Q3744" t="s">
        <v>14170</v>
      </c>
      <c r="R3744" t="s">
        <v>113</v>
      </c>
      <c r="S3744" t="s">
        <v>114</v>
      </c>
      <c r="V3744" t="s">
        <v>14171</v>
      </c>
      <c r="W3744" t="s">
        <v>14172</v>
      </c>
      <c r="AF3744" t="s">
        <v>23408</v>
      </c>
    </row>
    <row r="3745" spans="1:32" hidden="1" x14ac:dyDescent="0.35">
      <c r="A3745">
        <v>1585</v>
      </c>
      <c r="B3745" t="s">
        <v>3323</v>
      </c>
      <c r="C3745" t="s">
        <v>72</v>
      </c>
      <c r="D3745" t="s">
        <v>60</v>
      </c>
      <c r="E3745">
        <v>423</v>
      </c>
      <c r="F3745">
        <v>5</v>
      </c>
      <c r="G3745">
        <v>5</v>
      </c>
      <c r="H3745">
        <v>1</v>
      </c>
      <c r="I3745">
        <v>1</v>
      </c>
      <c r="J3745">
        <v>0.96676347208777003</v>
      </c>
      <c r="K3745">
        <v>0.98387331966279301</v>
      </c>
      <c r="L3745">
        <v>0.97524335707634202</v>
      </c>
      <c r="M3745">
        <v>0.91428571428571404</v>
      </c>
      <c r="N3745">
        <v>1</v>
      </c>
      <c r="O3745">
        <v>0.94</v>
      </c>
      <c r="P3745" t="s">
        <v>3331</v>
      </c>
      <c r="Q3745" t="s">
        <v>3332</v>
      </c>
      <c r="R3745" t="s">
        <v>224</v>
      </c>
      <c r="S3745" t="s">
        <v>225</v>
      </c>
      <c r="T3745" t="s">
        <v>3326</v>
      </c>
      <c r="U3745" t="s">
        <v>3327</v>
      </c>
      <c r="V3745" t="s">
        <v>3328</v>
      </c>
      <c r="W3745" t="s">
        <v>3329</v>
      </c>
      <c r="X3745" t="s">
        <v>3328</v>
      </c>
      <c r="Y3745" t="s">
        <v>761</v>
      </c>
      <c r="AD3745" t="s">
        <v>762</v>
      </c>
      <c r="AE3745" t="s">
        <v>763</v>
      </c>
      <c r="AF3745" t="s">
        <v>3333</v>
      </c>
    </row>
    <row r="3746" spans="1:32" hidden="1" x14ac:dyDescent="0.35">
      <c r="A3746">
        <v>1586</v>
      </c>
      <c r="B3746" t="s">
        <v>3323</v>
      </c>
      <c r="C3746" t="s">
        <v>72</v>
      </c>
      <c r="D3746" t="s">
        <v>62</v>
      </c>
      <c r="E3746">
        <v>504</v>
      </c>
      <c r="F3746">
        <v>5</v>
      </c>
      <c r="G3746">
        <v>5</v>
      </c>
      <c r="H3746">
        <v>1</v>
      </c>
      <c r="I3746">
        <v>1</v>
      </c>
      <c r="J3746">
        <v>0.96676347208777003</v>
      </c>
      <c r="K3746">
        <v>0.98387331966279301</v>
      </c>
      <c r="L3746">
        <v>0.97524335707634202</v>
      </c>
      <c r="M3746">
        <v>0.91428571428571404</v>
      </c>
      <c r="N3746">
        <v>1</v>
      </c>
      <c r="O3746">
        <v>0.94</v>
      </c>
      <c r="P3746" t="s">
        <v>3331</v>
      </c>
      <c r="Q3746" t="s">
        <v>3332</v>
      </c>
      <c r="R3746" t="s">
        <v>224</v>
      </c>
      <c r="S3746" t="s">
        <v>225</v>
      </c>
      <c r="T3746" t="s">
        <v>3326</v>
      </c>
      <c r="U3746" t="s">
        <v>3327</v>
      </c>
      <c r="V3746" t="s">
        <v>3328</v>
      </c>
      <c r="W3746" t="s">
        <v>3329</v>
      </c>
      <c r="X3746" t="s">
        <v>3328</v>
      </c>
      <c r="Y3746" t="s">
        <v>761</v>
      </c>
      <c r="AD3746" t="s">
        <v>762</v>
      </c>
      <c r="AE3746" t="s">
        <v>763</v>
      </c>
      <c r="AF3746" t="s">
        <v>3333</v>
      </c>
    </row>
    <row r="3747" spans="1:32" hidden="1" x14ac:dyDescent="0.35">
      <c r="A3747">
        <v>1587</v>
      </c>
      <c r="B3747" t="s">
        <v>3323</v>
      </c>
      <c r="C3747" t="s">
        <v>72</v>
      </c>
      <c r="D3747" t="s">
        <v>34</v>
      </c>
      <c r="E3747">
        <v>671</v>
      </c>
      <c r="F3747">
        <v>5</v>
      </c>
      <c r="G3747">
        <v>5</v>
      </c>
      <c r="H3747">
        <v>1</v>
      </c>
      <c r="I3747">
        <v>1</v>
      </c>
      <c r="J3747">
        <v>0.96676347208777003</v>
      </c>
      <c r="K3747">
        <v>0.98387331966279301</v>
      </c>
      <c r="L3747">
        <v>0.97524335707634202</v>
      </c>
      <c r="M3747">
        <v>0.91428571428571404</v>
      </c>
      <c r="N3747">
        <v>1</v>
      </c>
      <c r="O3747">
        <v>0.94</v>
      </c>
      <c r="P3747" t="s">
        <v>3331</v>
      </c>
      <c r="Q3747" t="s">
        <v>3332</v>
      </c>
      <c r="R3747" t="s">
        <v>224</v>
      </c>
      <c r="S3747" t="s">
        <v>225</v>
      </c>
      <c r="T3747" t="s">
        <v>3326</v>
      </c>
      <c r="U3747" t="s">
        <v>3327</v>
      </c>
      <c r="V3747" t="s">
        <v>3328</v>
      </c>
      <c r="W3747" t="s">
        <v>3329</v>
      </c>
      <c r="X3747" t="s">
        <v>3328</v>
      </c>
      <c r="Y3747" t="s">
        <v>761</v>
      </c>
      <c r="AD3747" t="s">
        <v>762</v>
      </c>
      <c r="AE3747" t="s">
        <v>763</v>
      </c>
      <c r="AF3747" t="s">
        <v>3334</v>
      </c>
    </row>
    <row r="3748" spans="1:32" hidden="1" x14ac:dyDescent="0.35">
      <c r="A3748">
        <v>1588</v>
      </c>
      <c r="B3748" t="s">
        <v>3323</v>
      </c>
      <c r="C3748" t="s">
        <v>72</v>
      </c>
      <c r="D3748" t="s">
        <v>45</v>
      </c>
      <c r="E3748">
        <v>1937</v>
      </c>
      <c r="F3748">
        <v>5</v>
      </c>
      <c r="G3748">
        <v>5</v>
      </c>
      <c r="H3748">
        <v>1</v>
      </c>
      <c r="I3748">
        <v>1</v>
      </c>
      <c r="J3748">
        <v>0.96676347208777003</v>
      </c>
      <c r="K3748">
        <v>0.98387331966279301</v>
      </c>
      <c r="L3748">
        <v>0.97524335707634202</v>
      </c>
      <c r="M3748">
        <v>0.91428571428571404</v>
      </c>
      <c r="N3748">
        <v>1</v>
      </c>
      <c r="O3748">
        <v>0.94</v>
      </c>
      <c r="P3748" t="s">
        <v>3331</v>
      </c>
      <c r="Q3748" t="s">
        <v>3332</v>
      </c>
      <c r="R3748" t="s">
        <v>224</v>
      </c>
      <c r="S3748" t="s">
        <v>225</v>
      </c>
      <c r="T3748" t="s">
        <v>3326</v>
      </c>
      <c r="U3748" t="s">
        <v>3327</v>
      </c>
      <c r="V3748" t="s">
        <v>3328</v>
      </c>
      <c r="W3748" t="s">
        <v>3329</v>
      </c>
      <c r="X3748" t="s">
        <v>3328</v>
      </c>
      <c r="Y3748" t="s">
        <v>761</v>
      </c>
      <c r="AD3748" t="s">
        <v>762</v>
      </c>
      <c r="AE3748" t="s">
        <v>763</v>
      </c>
      <c r="AF3748" t="s">
        <v>3334</v>
      </c>
    </row>
    <row r="3749" spans="1:32" hidden="1" x14ac:dyDescent="0.35">
      <c r="A3749">
        <v>11675</v>
      </c>
      <c r="B3749" t="s">
        <v>23948</v>
      </c>
      <c r="C3749" t="s">
        <v>33</v>
      </c>
      <c r="D3749" t="s">
        <v>58</v>
      </c>
      <c r="E3749">
        <v>1337</v>
      </c>
      <c r="F3749">
        <v>1</v>
      </c>
      <c r="G3749">
        <v>1</v>
      </c>
      <c r="H3749">
        <v>1</v>
      </c>
      <c r="I3749">
        <v>0</v>
      </c>
      <c r="J3749">
        <v>1</v>
      </c>
      <c r="K3749">
        <v>1</v>
      </c>
      <c r="L3749">
        <v>1</v>
      </c>
      <c r="M3749">
        <v>0</v>
      </c>
      <c r="N3749">
        <v>0</v>
      </c>
      <c r="O3749">
        <v>0</v>
      </c>
      <c r="P3749" t="s">
        <v>10883</v>
      </c>
      <c r="Q3749" t="s">
        <v>10884</v>
      </c>
      <c r="R3749" t="s">
        <v>235</v>
      </c>
      <c r="S3749" t="s">
        <v>236</v>
      </c>
      <c r="T3749" t="s">
        <v>10885</v>
      </c>
      <c r="U3749" t="s">
        <v>10886</v>
      </c>
      <c r="V3749" t="s">
        <v>10887</v>
      </c>
      <c r="W3749" t="s">
        <v>10888</v>
      </c>
      <c r="AD3749" t="s">
        <v>546</v>
      </c>
      <c r="AE3749" t="s">
        <v>10889</v>
      </c>
      <c r="AF3749" t="s">
        <v>23949</v>
      </c>
    </row>
    <row r="3750" spans="1:32" hidden="1" x14ac:dyDescent="0.35">
      <c r="A3750">
        <v>1590</v>
      </c>
      <c r="B3750" t="s">
        <v>3335</v>
      </c>
      <c r="C3750" t="s">
        <v>72</v>
      </c>
      <c r="D3750" t="s">
        <v>60</v>
      </c>
      <c r="E3750">
        <v>2436</v>
      </c>
      <c r="F3750">
        <v>5</v>
      </c>
      <c r="G3750">
        <v>5</v>
      </c>
      <c r="H3750">
        <v>1</v>
      </c>
      <c r="I3750">
        <v>1</v>
      </c>
      <c r="J3750">
        <v>0.88167938931297696</v>
      </c>
      <c r="K3750">
        <v>0.99573125212080305</v>
      </c>
      <c r="L3750">
        <v>0.93524102070631798</v>
      </c>
      <c r="M3750">
        <v>0.79097387173396705</v>
      </c>
      <c r="N3750">
        <v>1</v>
      </c>
      <c r="O3750">
        <v>0.84988123515439395</v>
      </c>
      <c r="P3750" t="s">
        <v>3336</v>
      </c>
      <c r="Q3750" t="s">
        <v>3337</v>
      </c>
      <c r="R3750" t="s">
        <v>224</v>
      </c>
      <c r="S3750" t="s">
        <v>225</v>
      </c>
      <c r="T3750" t="s">
        <v>3338</v>
      </c>
      <c r="U3750" t="s">
        <v>3339</v>
      </c>
      <c r="V3750" t="s">
        <v>3340</v>
      </c>
      <c r="W3750" t="s">
        <v>3341</v>
      </c>
      <c r="X3750" t="s">
        <v>3340</v>
      </c>
      <c r="Y3750" t="s">
        <v>589</v>
      </c>
      <c r="AD3750" t="s">
        <v>997</v>
      </c>
      <c r="AE3750" t="s">
        <v>3342</v>
      </c>
      <c r="AF3750" t="s">
        <v>3344</v>
      </c>
    </row>
    <row r="3751" spans="1:32" hidden="1" x14ac:dyDescent="0.35">
      <c r="A3751">
        <v>1591</v>
      </c>
      <c r="B3751" t="s">
        <v>3335</v>
      </c>
      <c r="C3751" t="s">
        <v>72</v>
      </c>
      <c r="D3751" t="s">
        <v>62</v>
      </c>
      <c r="E3751">
        <v>2463</v>
      </c>
      <c r="F3751">
        <v>5</v>
      </c>
      <c r="G3751">
        <v>5</v>
      </c>
      <c r="H3751">
        <v>1</v>
      </c>
      <c r="I3751">
        <v>1</v>
      </c>
      <c r="J3751">
        <v>0.88167938931297696</v>
      </c>
      <c r="K3751">
        <v>0.99573125212080305</v>
      </c>
      <c r="L3751">
        <v>0.93524102070631798</v>
      </c>
      <c r="M3751">
        <v>0.79097387173396705</v>
      </c>
      <c r="N3751">
        <v>1</v>
      </c>
      <c r="O3751">
        <v>0.84988123515439395</v>
      </c>
      <c r="P3751" t="s">
        <v>3336</v>
      </c>
      <c r="Q3751" t="s">
        <v>3337</v>
      </c>
      <c r="R3751" t="s">
        <v>224</v>
      </c>
      <c r="S3751" t="s">
        <v>225</v>
      </c>
      <c r="T3751" t="s">
        <v>3338</v>
      </c>
      <c r="U3751" t="s">
        <v>3339</v>
      </c>
      <c r="V3751" t="s">
        <v>3340</v>
      </c>
      <c r="W3751" t="s">
        <v>3341</v>
      </c>
      <c r="X3751" t="s">
        <v>3340</v>
      </c>
      <c r="Y3751" t="s">
        <v>589</v>
      </c>
      <c r="AD3751" t="s">
        <v>997</v>
      </c>
      <c r="AE3751" t="s">
        <v>3342</v>
      </c>
      <c r="AF3751" t="s">
        <v>3344</v>
      </c>
    </row>
    <row r="3752" spans="1:32" hidden="1" x14ac:dyDescent="0.35">
      <c r="A3752">
        <v>1592</v>
      </c>
      <c r="B3752" t="s">
        <v>3335</v>
      </c>
      <c r="C3752" t="s">
        <v>72</v>
      </c>
      <c r="D3752" t="s">
        <v>34</v>
      </c>
      <c r="E3752">
        <v>1290</v>
      </c>
      <c r="F3752">
        <v>5</v>
      </c>
      <c r="G3752">
        <v>5</v>
      </c>
      <c r="H3752">
        <v>1</v>
      </c>
      <c r="I3752">
        <v>1</v>
      </c>
      <c r="J3752">
        <v>0.88167938931297696</v>
      </c>
      <c r="K3752">
        <v>0.99573125212080305</v>
      </c>
      <c r="L3752">
        <v>0.93524102070631798</v>
      </c>
      <c r="M3752">
        <v>0.79097387173396705</v>
      </c>
      <c r="N3752">
        <v>1</v>
      </c>
      <c r="O3752">
        <v>0.84988123515439395</v>
      </c>
      <c r="P3752" t="s">
        <v>3336</v>
      </c>
      <c r="Q3752" t="s">
        <v>3337</v>
      </c>
      <c r="R3752" t="s">
        <v>224</v>
      </c>
      <c r="S3752" t="s">
        <v>225</v>
      </c>
      <c r="T3752" t="s">
        <v>3338</v>
      </c>
      <c r="U3752" t="s">
        <v>3339</v>
      </c>
      <c r="V3752" t="s">
        <v>3340</v>
      </c>
      <c r="W3752" t="s">
        <v>3341</v>
      </c>
      <c r="X3752" t="s">
        <v>3340</v>
      </c>
      <c r="Y3752" t="s">
        <v>589</v>
      </c>
      <c r="AD3752" t="s">
        <v>997</v>
      </c>
      <c r="AE3752" t="s">
        <v>3342</v>
      </c>
      <c r="AF3752" t="s">
        <v>3345</v>
      </c>
    </row>
    <row r="3753" spans="1:32" hidden="1" x14ac:dyDescent="0.35">
      <c r="A3753">
        <v>1593</v>
      </c>
      <c r="B3753" t="s">
        <v>3335</v>
      </c>
      <c r="C3753" t="s">
        <v>72</v>
      </c>
      <c r="D3753" t="s">
        <v>45</v>
      </c>
      <c r="E3753">
        <v>42</v>
      </c>
      <c r="F3753">
        <v>5</v>
      </c>
      <c r="G3753">
        <v>5</v>
      </c>
      <c r="H3753">
        <v>1</v>
      </c>
      <c r="I3753">
        <v>1</v>
      </c>
      <c r="J3753">
        <v>0.88167938931297696</v>
      </c>
      <c r="K3753">
        <v>0.99573125212080305</v>
      </c>
      <c r="L3753">
        <v>0.93524102070631798</v>
      </c>
      <c r="M3753">
        <v>0.79097387173396705</v>
      </c>
      <c r="N3753">
        <v>1</v>
      </c>
      <c r="O3753">
        <v>0.84988123515439395</v>
      </c>
      <c r="P3753" t="s">
        <v>3336</v>
      </c>
      <c r="Q3753" t="s">
        <v>3337</v>
      </c>
      <c r="R3753" t="s">
        <v>224</v>
      </c>
      <c r="S3753" t="s">
        <v>225</v>
      </c>
      <c r="T3753" t="s">
        <v>3338</v>
      </c>
      <c r="U3753" t="s">
        <v>3339</v>
      </c>
      <c r="V3753" t="s">
        <v>3340</v>
      </c>
      <c r="W3753" t="s">
        <v>3341</v>
      </c>
      <c r="X3753" t="s">
        <v>3340</v>
      </c>
      <c r="Y3753" t="s">
        <v>589</v>
      </c>
      <c r="AD3753" t="s">
        <v>997</v>
      </c>
      <c r="AE3753" t="s">
        <v>3342</v>
      </c>
      <c r="AF3753" t="s">
        <v>3345</v>
      </c>
    </row>
    <row r="3754" spans="1:32" hidden="1" x14ac:dyDescent="0.35">
      <c r="A3754">
        <v>4554</v>
      </c>
      <c r="B3754" t="s">
        <v>9514</v>
      </c>
      <c r="C3754" t="s">
        <v>72</v>
      </c>
      <c r="D3754" t="s">
        <v>58</v>
      </c>
      <c r="E3754">
        <v>1856</v>
      </c>
      <c r="F3754">
        <v>5</v>
      </c>
      <c r="G3754">
        <v>5</v>
      </c>
      <c r="H3754">
        <v>1</v>
      </c>
      <c r="I3754">
        <v>1</v>
      </c>
      <c r="J3754">
        <v>0.85662399943580503</v>
      </c>
      <c r="K3754">
        <v>0.96434001123384605</v>
      </c>
      <c r="L3754">
        <v>0.90729612710502805</v>
      </c>
      <c r="M3754">
        <v>0.740061162079511</v>
      </c>
      <c r="N3754">
        <v>0.99082568807339499</v>
      </c>
      <c r="O3754">
        <v>0.79836901121304804</v>
      </c>
      <c r="P3754" t="s">
        <v>9515</v>
      </c>
      <c r="Q3754" t="s">
        <v>9516</v>
      </c>
      <c r="R3754" t="s">
        <v>224</v>
      </c>
      <c r="S3754" t="s">
        <v>225</v>
      </c>
      <c r="T3754" t="s">
        <v>9517</v>
      </c>
      <c r="U3754" t="s">
        <v>9518</v>
      </c>
      <c r="V3754" t="s">
        <v>9519</v>
      </c>
      <c r="W3754" t="s">
        <v>9520</v>
      </c>
      <c r="X3754" t="s">
        <v>9519</v>
      </c>
      <c r="Y3754" t="s">
        <v>589</v>
      </c>
      <c r="AD3754" t="s">
        <v>7033</v>
      </c>
      <c r="AE3754" t="s">
        <v>9521</v>
      </c>
      <c r="AF3754" t="s">
        <v>9522</v>
      </c>
    </row>
    <row r="3755" spans="1:32" hidden="1" x14ac:dyDescent="0.35">
      <c r="A3755">
        <v>1600</v>
      </c>
      <c r="B3755" t="s">
        <v>3352</v>
      </c>
      <c r="C3755" t="s">
        <v>72</v>
      </c>
      <c r="D3755" t="s">
        <v>60</v>
      </c>
      <c r="E3755">
        <v>382</v>
      </c>
      <c r="F3755">
        <v>5</v>
      </c>
      <c r="G3755">
        <v>5</v>
      </c>
      <c r="H3755">
        <v>1</v>
      </c>
      <c r="I3755">
        <v>1</v>
      </c>
      <c r="J3755">
        <v>0.91914051456036205</v>
      </c>
      <c r="K3755">
        <v>0.98266806722688904</v>
      </c>
      <c r="L3755">
        <v>0.94984326141188702</v>
      </c>
      <c r="M3755">
        <v>0.82499999999999996</v>
      </c>
      <c r="N3755">
        <v>1</v>
      </c>
      <c r="O3755">
        <v>0.88666666666666705</v>
      </c>
      <c r="P3755" t="s">
        <v>3353</v>
      </c>
      <c r="Q3755" t="s">
        <v>3354</v>
      </c>
      <c r="R3755" t="s">
        <v>224</v>
      </c>
      <c r="S3755" t="s">
        <v>225</v>
      </c>
      <c r="T3755" t="s">
        <v>3355</v>
      </c>
      <c r="U3755" t="s">
        <v>3356</v>
      </c>
      <c r="V3755" t="s">
        <v>3357</v>
      </c>
      <c r="W3755" t="s">
        <v>3358</v>
      </c>
      <c r="X3755" t="s">
        <v>3357</v>
      </c>
      <c r="Y3755" t="s">
        <v>749</v>
      </c>
      <c r="AD3755" t="s">
        <v>762</v>
      </c>
      <c r="AE3755" t="s">
        <v>1545</v>
      </c>
      <c r="AF3755" t="s">
        <v>3360</v>
      </c>
    </row>
    <row r="3756" spans="1:32" hidden="1" x14ac:dyDescent="0.35">
      <c r="A3756">
        <v>1601</v>
      </c>
      <c r="B3756" t="s">
        <v>3352</v>
      </c>
      <c r="C3756" t="s">
        <v>72</v>
      </c>
      <c r="D3756" t="s">
        <v>62</v>
      </c>
      <c r="E3756">
        <v>463</v>
      </c>
      <c r="F3756">
        <v>5</v>
      </c>
      <c r="G3756">
        <v>5</v>
      </c>
      <c r="H3756">
        <v>1</v>
      </c>
      <c r="I3756">
        <v>1</v>
      </c>
      <c r="J3756">
        <v>0.91914051456036205</v>
      </c>
      <c r="K3756">
        <v>0.98266806722688904</v>
      </c>
      <c r="L3756">
        <v>0.94984326141188702</v>
      </c>
      <c r="M3756">
        <v>0.82499999999999996</v>
      </c>
      <c r="N3756">
        <v>1</v>
      </c>
      <c r="O3756">
        <v>0.88666666666666705</v>
      </c>
      <c r="P3756" t="s">
        <v>3353</v>
      </c>
      <c r="Q3756" t="s">
        <v>3354</v>
      </c>
      <c r="R3756" t="s">
        <v>224</v>
      </c>
      <c r="S3756" t="s">
        <v>225</v>
      </c>
      <c r="T3756" t="s">
        <v>3355</v>
      </c>
      <c r="U3756" t="s">
        <v>3356</v>
      </c>
      <c r="V3756" t="s">
        <v>3357</v>
      </c>
      <c r="W3756" t="s">
        <v>3358</v>
      </c>
      <c r="X3756" t="s">
        <v>3357</v>
      </c>
      <c r="Y3756" t="s">
        <v>749</v>
      </c>
      <c r="AD3756" t="s">
        <v>762</v>
      </c>
      <c r="AE3756" t="s">
        <v>1545</v>
      </c>
      <c r="AF3756" t="s">
        <v>3360</v>
      </c>
    </row>
    <row r="3757" spans="1:32" hidden="1" x14ac:dyDescent="0.35">
      <c r="A3757">
        <v>1602</v>
      </c>
      <c r="B3757" t="s">
        <v>3352</v>
      </c>
      <c r="C3757" t="s">
        <v>72</v>
      </c>
      <c r="D3757" t="s">
        <v>34</v>
      </c>
      <c r="E3757">
        <v>729</v>
      </c>
      <c r="F3757">
        <v>5</v>
      </c>
      <c r="G3757">
        <v>5</v>
      </c>
      <c r="H3757">
        <v>1</v>
      </c>
      <c r="I3757">
        <v>1</v>
      </c>
      <c r="J3757">
        <v>0.91914051456036205</v>
      </c>
      <c r="K3757">
        <v>0.98266806722688904</v>
      </c>
      <c r="L3757">
        <v>0.94984326141188702</v>
      </c>
      <c r="M3757">
        <v>0.82499999999999996</v>
      </c>
      <c r="N3757">
        <v>1</v>
      </c>
      <c r="O3757">
        <v>0.88666666666666705</v>
      </c>
      <c r="P3757" t="s">
        <v>3353</v>
      </c>
      <c r="Q3757" t="s">
        <v>3354</v>
      </c>
      <c r="R3757" t="s">
        <v>224</v>
      </c>
      <c r="S3757" t="s">
        <v>225</v>
      </c>
      <c r="T3757" t="s">
        <v>3355</v>
      </c>
      <c r="U3757" t="s">
        <v>3356</v>
      </c>
      <c r="V3757" t="s">
        <v>3357</v>
      </c>
      <c r="W3757" t="s">
        <v>3358</v>
      </c>
      <c r="X3757" t="s">
        <v>3357</v>
      </c>
      <c r="Y3757" t="s">
        <v>749</v>
      </c>
      <c r="AD3757" t="s">
        <v>762</v>
      </c>
      <c r="AE3757" t="s">
        <v>1545</v>
      </c>
      <c r="AF3757" t="s">
        <v>3361</v>
      </c>
    </row>
    <row r="3758" spans="1:32" hidden="1" x14ac:dyDescent="0.35">
      <c r="A3758">
        <v>1603</v>
      </c>
      <c r="B3758" t="s">
        <v>3352</v>
      </c>
      <c r="C3758" t="s">
        <v>72</v>
      </c>
      <c r="D3758" t="s">
        <v>45</v>
      </c>
      <c r="E3758">
        <v>1995</v>
      </c>
      <c r="F3758">
        <v>5</v>
      </c>
      <c r="G3758">
        <v>5</v>
      </c>
      <c r="H3758">
        <v>1</v>
      </c>
      <c r="I3758">
        <v>1</v>
      </c>
      <c r="J3758">
        <v>0.91914051456036205</v>
      </c>
      <c r="K3758">
        <v>0.98266806722688904</v>
      </c>
      <c r="L3758">
        <v>0.94984326141188702</v>
      </c>
      <c r="M3758">
        <v>0.82499999999999996</v>
      </c>
      <c r="N3758">
        <v>1</v>
      </c>
      <c r="O3758">
        <v>0.88666666666666705</v>
      </c>
      <c r="P3758" t="s">
        <v>3353</v>
      </c>
      <c r="Q3758" t="s">
        <v>3354</v>
      </c>
      <c r="R3758" t="s">
        <v>224</v>
      </c>
      <c r="S3758" t="s">
        <v>225</v>
      </c>
      <c r="T3758" t="s">
        <v>3355</v>
      </c>
      <c r="U3758" t="s">
        <v>3356</v>
      </c>
      <c r="V3758" t="s">
        <v>3357</v>
      </c>
      <c r="W3758" t="s">
        <v>3358</v>
      </c>
      <c r="X3758" t="s">
        <v>3357</v>
      </c>
      <c r="Y3758" t="s">
        <v>749</v>
      </c>
      <c r="AD3758" t="s">
        <v>762</v>
      </c>
      <c r="AE3758" t="s">
        <v>1545</v>
      </c>
      <c r="AF3758" t="s">
        <v>3361</v>
      </c>
    </row>
    <row r="3759" spans="1:32" hidden="1" x14ac:dyDescent="0.35">
      <c r="A3759">
        <v>11026</v>
      </c>
      <c r="B3759" t="s">
        <v>22267</v>
      </c>
      <c r="C3759" t="s">
        <v>33</v>
      </c>
      <c r="D3759" t="s">
        <v>58</v>
      </c>
      <c r="E3759">
        <v>250</v>
      </c>
      <c r="F3759">
        <v>1</v>
      </c>
      <c r="G3759">
        <v>1</v>
      </c>
      <c r="H3759">
        <v>1</v>
      </c>
      <c r="I3759">
        <v>0</v>
      </c>
      <c r="J3759">
        <v>1</v>
      </c>
      <c r="K3759">
        <v>1</v>
      </c>
      <c r="L3759">
        <v>1</v>
      </c>
      <c r="M3759">
        <v>0</v>
      </c>
      <c r="N3759">
        <v>0</v>
      </c>
      <c r="O3759">
        <v>0</v>
      </c>
      <c r="P3759" t="s">
        <v>5134</v>
      </c>
      <c r="Q3759" t="s">
        <v>5135</v>
      </c>
      <c r="R3759" t="s">
        <v>157</v>
      </c>
      <c r="S3759" t="s">
        <v>158</v>
      </c>
      <c r="V3759" t="s">
        <v>15327</v>
      </c>
      <c r="W3759" t="s">
        <v>15328</v>
      </c>
      <c r="AF3759" t="s">
        <v>22268</v>
      </c>
    </row>
    <row r="3760" spans="1:32" hidden="1" x14ac:dyDescent="0.35">
      <c r="A3760">
        <v>1760</v>
      </c>
      <c r="B3760" t="s">
        <v>3657</v>
      </c>
      <c r="C3760" t="s">
        <v>72</v>
      </c>
      <c r="D3760" t="s">
        <v>60</v>
      </c>
      <c r="E3760">
        <v>1557</v>
      </c>
      <c r="F3760">
        <v>5</v>
      </c>
      <c r="G3760">
        <v>5</v>
      </c>
      <c r="H3760">
        <v>1</v>
      </c>
      <c r="I3760">
        <v>1</v>
      </c>
      <c r="J3760">
        <v>0.85619581845996895</v>
      </c>
      <c r="K3760">
        <v>0.96072780390025003</v>
      </c>
      <c r="L3760">
        <v>0.90545482292655499</v>
      </c>
      <c r="M3760">
        <v>0.71778140293637804</v>
      </c>
      <c r="N3760">
        <v>1</v>
      </c>
      <c r="O3760">
        <v>0.78140293637846703</v>
      </c>
      <c r="P3760" t="s">
        <v>3336</v>
      </c>
      <c r="Q3760" t="s">
        <v>3337</v>
      </c>
      <c r="R3760" t="s">
        <v>224</v>
      </c>
      <c r="S3760" t="s">
        <v>225</v>
      </c>
      <c r="T3760" t="s">
        <v>3658</v>
      </c>
      <c r="U3760" t="s">
        <v>3659</v>
      </c>
      <c r="V3760" t="s">
        <v>3660</v>
      </c>
      <c r="W3760" t="s">
        <v>3661</v>
      </c>
      <c r="X3760" t="s">
        <v>3660</v>
      </c>
      <c r="Y3760" t="s">
        <v>589</v>
      </c>
      <c r="AD3760" t="s">
        <v>997</v>
      </c>
      <c r="AE3760" t="s">
        <v>3662</v>
      </c>
      <c r="AF3760" t="s">
        <v>3664</v>
      </c>
    </row>
    <row r="3761" spans="1:32" hidden="1" x14ac:dyDescent="0.35">
      <c r="A3761">
        <v>1761</v>
      </c>
      <c r="B3761" t="s">
        <v>3657</v>
      </c>
      <c r="C3761" t="s">
        <v>72</v>
      </c>
      <c r="D3761" t="s">
        <v>62</v>
      </c>
      <c r="E3761">
        <v>1593</v>
      </c>
      <c r="F3761">
        <v>5</v>
      </c>
      <c r="G3761">
        <v>5</v>
      </c>
      <c r="H3761">
        <v>1</v>
      </c>
      <c r="I3761">
        <v>1</v>
      </c>
      <c r="J3761">
        <v>0.85619581845996895</v>
      </c>
      <c r="K3761">
        <v>0.96072780390025003</v>
      </c>
      <c r="L3761">
        <v>0.90545482292655499</v>
      </c>
      <c r="M3761">
        <v>0.71778140293637804</v>
      </c>
      <c r="N3761">
        <v>1</v>
      </c>
      <c r="O3761">
        <v>0.78140293637846703</v>
      </c>
      <c r="P3761" t="s">
        <v>3336</v>
      </c>
      <c r="Q3761" t="s">
        <v>3337</v>
      </c>
      <c r="R3761" t="s">
        <v>224</v>
      </c>
      <c r="S3761" t="s">
        <v>225</v>
      </c>
      <c r="T3761" t="s">
        <v>3658</v>
      </c>
      <c r="U3761" t="s">
        <v>3659</v>
      </c>
      <c r="V3761" t="s">
        <v>3660</v>
      </c>
      <c r="W3761" t="s">
        <v>3661</v>
      </c>
      <c r="X3761" t="s">
        <v>3660</v>
      </c>
      <c r="Y3761" t="s">
        <v>589</v>
      </c>
      <c r="AD3761" t="s">
        <v>997</v>
      </c>
      <c r="AE3761" t="s">
        <v>3662</v>
      </c>
      <c r="AF3761" t="s">
        <v>3664</v>
      </c>
    </row>
    <row r="3762" spans="1:32" hidden="1" x14ac:dyDescent="0.35">
      <c r="A3762">
        <v>1762</v>
      </c>
      <c r="B3762" t="s">
        <v>3657</v>
      </c>
      <c r="C3762" t="s">
        <v>72</v>
      </c>
      <c r="D3762" t="s">
        <v>34</v>
      </c>
      <c r="E3762">
        <v>1964</v>
      </c>
      <c r="F3762">
        <v>5</v>
      </c>
      <c r="G3762">
        <v>5</v>
      </c>
      <c r="H3762">
        <v>1</v>
      </c>
      <c r="I3762">
        <v>1</v>
      </c>
      <c r="J3762">
        <v>0.85619581845996895</v>
      </c>
      <c r="K3762">
        <v>0.96072780390025003</v>
      </c>
      <c r="L3762">
        <v>0.90545482292655499</v>
      </c>
      <c r="M3762">
        <v>0.71778140293637804</v>
      </c>
      <c r="N3762">
        <v>1</v>
      </c>
      <c r="O3762">
        <v>0.78140293637846703</v>
      </c>
      <c r="P3762" t="s">
        <v>3336</v>
      </c>
      <c r="Q3762" t="s">
        <v>3337</v>
      </c>
      <c r="R3762" t="s">
        <v>224</v>
      </c>
      <c r="S3762" t="s">
        <v>225</v>
      </c>
      <c r="T3762" t="s">
        <v>3658</v>
      </c>
      <c r="U3762" t="s">
        <v>3659</v>
      </c>
      <c r="V3762" t="s">
        <v>3660</v>
      </c>
      <c r="W3762" t="s">
        <v>3661</v>
      </c>
      <c r="X3762" t="s">
        <v>3660</v>
      </c>
      <c r="Y3762" t="s">
        <v>589</v>
      </c>
      <c r="AD3762" t="s">
        <v>997</v>
      </c>
      <c r="AE3762" t="s">
        <v>3662</v>
      </c>
      <c r="AF3762" t="s">
        <v>3665</v>
      </c>
    </row>
    <row r="3763" spans="1:32" hidden="1" x14ac:dyDescent="0.35">
      <c r="A3763">
        <v>1763</v>
      </c>
      <c r="B3763" t="s">
        <v>3657</v>
      </c>
      <c r="C3763" t="s">
        <v>72</v>
      </c>
      <c r="D3763" t="s">
        <v>45</v>
      </c>
      <c r="E3763">
        <v>909</v>
      </c>
      <c r="F3763">
        <v>5</v>
      </c>
      <c r="G3763">
        <v>5</v>
      </c>
      <c r="H3763">
        <v>1</v>
      </c>
      <c r="I3763">
        <v>1</v>
      </c>
      <c r="J3763">
        <v>0.85619581845996895</v>
      </c>
      <c r="K3763">
        <v>0.96072780390025003</v>
      </c>
      <c r="L3763">
        <v>0.90545482292655499</v>
      </c>
      <c r="M3763">
        <v>0.71778140293637804</v>
      </c>
      <c r="N3763">
        <v>1</v>
      </c>
      <c r="O3763">
        <v>0.78140293637846703</v>
      </c>
      <c r="P3763" t="s">
        <v>3336</v>
      </c>
      <c r="Q3763" t="s">
        <v>3337</v>
      </c>
      <c r="R3763" t="s">
        <v>224</v>
      </c>
      <c r="S3763" t="s">
        <v>225</v>
      </c>
      <c r="T3763" t="s">
        <v>3658</v>
      </c>
      <c r="U3763" t="s">
        <v>3659</v>
      </c>
      <c r="V3763" t="s">
        <v>3660</v>
      </c>
      <c r="W3763" t="s">
        <v>3661</v>
      </c>
      <c r="X3763" t="s">
        <v>3660</v>
      </c>
      <c r="Y3763" t="s">
        <v>589</v>
      </c>
      <c r="AD3763" t="s">
        <v>997</v>
      </c>
      <c r="AE3763" t="s">
        <v>3662</v>
      </c>
      <c r="AF3763" t="s">
        <v>3665</v>
      </c>
    </row>
    <row r="3764" spans="1:32" hidden="1" x14ac:dyDescent="0.35">
      <c r="A3764">
        <v>11511</v>
      </c>
      <c r="B3764" t="s">
        <v>23504</v>
      </c>
      <c r="C3764" t="s">
        <v>33</v>
      </c>
      <c r="D3764" t="s">
        <v>58</v>
      </c>
      <c r="E3764">
        <v>1803</v>
      </c>
      <c r="F3764">
        <v>1</v>
      </c>
      <c r="G3764">
        <v>1</v>
      </c>
      <c r="H3764">
        <v>1</v>
      </c>
      <c r="I3764">
        <v>0</v>
      </c>
      <c r="J3764">
        <v>1</v>
      </c>
      <c r="K3764">
        <v>1</v>
      </c>
      <c r="L3764">
        <v>1</v>
      </c>
      <c r="M3764">
        <v>0</v>
      </c>
      <c r="N3764">
        <v>0</v>
      </c>
      <c r="O3764">
        <v>0</v>
      </c>
      <c r="P3764" t="s">
        <v>16684</v>
      </c>
      <c r="Q3764" t="s">
        <v>5841</v>
      </c>
      <c r="R3764" t="s">
        <v>157</v>
      </c>
      <c r="S3764" t="s">
        <v>158</v>
      </c>
      <c r="T3764" t="s">
        <v>16685</v>
      </c>
      <c r="U3764" t="s">
        <v>16686</v>
      </c>
      <c r="V3764" t="s">
        <v>15327</v>
      </c>
      <c r="W3764" t="s">
        <v>15328</v>
      </c>
      <c r="AF3764" t="s">
        <v>23505</v>
      </c>
    </row>
    <row r="3765" spans="1:32" hidden="1" x14ac:dyDescent="0.35">
      <c r="A3765">
        <v>1785</v>
      </c>
      <c r="B3765" t="s">
        <v>3707</v>
      </c>
      <c r="C3765" t="s">
        <v>72</v>
      </c>
      <c r="D3765" t="s">
        <v>60</v>
      </c>
      <c r="E3765">
        <v>374</v>
      </c>
      <c r="F3765">
        <v>5</v>
      </c>
      <c r="G3765">
        <v>5</v>
      </c>
      <c r="H3765">
        <v>1</v>
      </c>
      <c r="I3765">
        <v>1</v>
      </c>
      <c r="J3765">
        <v>0.95357052737824899</v>
      </c>
      <c r="K3765">
        <v>0.99823677581864201</v>
      </c>
      <c r="L3765">
        <v>0.97539256791040096</v>
      </c>
      <c r="M3765">
        <v>0.90176322418136001</v>
      </c>
      <c r="N3765">
        <v>1</v>
      </c>
      <c r="O3765">
        <v>0.92896725440806005</v>
      </c>
      <c r="P3765" t="s">
        <v>1401</v>
      </c>
      <c r="Q3765" t="s">
        <v>1402</v>
      </c>
      <c r="R3765" t="s">
        <v>224</v>
      </c>
      <c r="S3765" t="s">
        <v>225</v>
      </c>
      <c r="T3765" t="s">
        <v>3708</v>
      </c>
      <c r="U3765" t="s">
        <v>3709</v>
      </c>
      <c r="V3765" t="s">
        <v>3710</v>
      </c>
      <c r="W3765" t="s">
        <v>3711</v>
      </c>
      <c r="X3765" t="s">
        <v>3710</v>
      </c>
      <c r="Y3765" t="s">
        <v>773</v>
      </c>
      <c r="AD3765" t="s">
        <v>3712</v>
      </c>
      <c r="AE3765" t="s">
        <v>3713</v>
      </c>
      <c r="AF3765" t="s">
        <v>3715</v>
      </c>
    </row>
    <row r="3766" spans="1:32" hidden="1" x14ac:dyDescent="0.35">
      <c r="A3766">
        <v>1786</v>
      </c>
      <c r="B3766" t="s">
        <v>3707</v>
      </c>
      <c r="C3766" t="s">
        <v>72</v>
      </c>
      <c r="D3766" t="s">
        <v>62</v>
      </c>
      <c r="E3766">
        <v>454</v>
      </c>
      <c r="F3766">
        <v>5</v>
      </c>
      <c r="G3766">
        <v>5</v>
      </c>
      <c r="H3766">
        <v>1</v>
      </c>
      <c r="I3766">
        <v>1</v>
      </c>
      <c r="J3766">
        <v>0.95357052737824899</v>
      </c>
      <c r="K3766">
        <v>0.99823677581864201</v>
      </c>
      <c r="L3766">
        <v>0.97539256791040096</v>
      </c>
      <c r="M3766">
        <v>0.90176322418136001</v>
      </c>
      <c r="N3766">
        <v>1</v>
      </c>
      <c r="O3766">
        <v>0.92896725440806005</v>
      </c>
      <c r="P3766" t="s">
        <v>1401</v>
      </c>
      <c r="Q3766" t="s">
        <v>1402</v>
      </c>
      <c r="R3766" t="s">
        <v>224</v>
      </c>
      <c r="S3766" t="s">
        <v>225</v>
      </c>
      <c r="T3766" t="s">
        <v>3708</v>
      </c>
      <c r="U3766" t="s">
        <v>3709</v>
      </c>
      <c r="V3766" t="s">
        <v>3710</v>
      </c>
      <c r="W3766" t="s">
        <v>3711</v>
      </c>
      <c r="X3766" t="s">
        <v>3710</v>
      </c>
      <c r="Y3766" t="s">
        <v>773</v>
      </c>
      <c r="AD3766" t="s">
        <v>3712</v>
      </c>
      <c r="AE3766" t="s">
        <v>3713</v>
      </c>
      <c r="AF3766" t="s">
        <v>3715</v>
      </c>
    </row>
    <row r="3767" spans="1:32" hidden="1" x14ac:dyDescent="0.35">
      <c r="A3767">
        <v>1787</v>
      </c>
      <c r="B3767" t="s">
        <v>3707</v>
      </c>
      <c r="C3767" t="s">
        <v>72</v>
      </c>
      <c r="D3767" t="s">
        <v>34</v>
      </c>
      <c r="E3767">
        <v>749</v>
      </c>
      <c r="F3767">
        <v>5</v>
      </c>
      <c r="G3767">
        <v>5</v>
      </c>
      <c r="H3767">
        <v>1</v>
      </c>
      <c r="I3767">
        <v>1</v>
      </c>
      <c r="J3767">
        <v>0.95357052737824899</v>
      </c>
      <c r="K3767">
        <v>0.99823677581864201</v>
      </c>
      <c r="L3767">
        <v>0.97539256791040096</v>
      </c>
      <c r="M3767">
        <v>0.90176322418136001</v>
      </c>
      <c r="N3767">
        <v>1</v>
      </c>
      <c r="O3767">
        <v>0.92896725440806005</v>
      </c>
      <c r="P3767" t="s">
        <v>1401</v>
      </c>
      <c r="Q3767" t="s">
        <v>1402</v>
      </c>
      <c r="R3767" t="s">
        <v>224</v>
      </c>
      <c r="S3767" t="s">
        <v>225</v>
      </c>
      <c r="T3767" t="s">
        <v>3708</v>
      </c>
      <c r="U3767" t="s">
        <v>3709</v>
      </c>
      <c r="V3767" t="s">
        <v>3710</v>
      </c>
      <c r="W3767" t="s">
        <v>3711</v>
      </c>
      <c r="X3767" t="s">
        <v>3710</v>
      </c>
      <c r="Y3767" t="s">
        <v>773</v>
      </c>
      <c r="AD3767" t="s">
        <v>3712</v>
      </c>
      <c r="AE3767" t="s">
        <v>3713</v>
      </c>
      <c r="AF3767" t="s">
        <v>3716</v>
      </c>
    </row>
    <row r="3768" spans="1:32" hidden="1" x14ac:dyDescent="0.35">
      <c r="A3768">
        <v>1788</v>
      </c>
      <c r="B3768" t="s">
        <v>3707</v>
      </c>
      <c r="C3768" t="s">
        <v>72</v>
      </c>
      <c r="D3768" t="s">
        <v>45</v>
      </c>
      <c r="E3768">
        <v>2016</v>
      </c>
      <c r="F3768">
        <v>5</v>
      </c>
      <c r="G3768">
        <v>5</v>
      </c>
      <c r="H3768">
        <v>1</v>
      </c>
      <c r="I3768">
        <v>1</v>
      </c>
      <c r="J3768">
        <v>0.95357052737824899</v>
      </c>
      <c r="K3768">
        <v>0.99823677581864201</v>
      </c>
      <c r="L3768">
        <v>0.97539256791040096</v>
      </c>
      <c r="M3768">
        <v>0.90176322418136001</v>
      </c>
      <c r="N3768">
        <v>1</v>
      </c>
      <c r="O3768">
        <v>0.92896725440806005</v>
      </c>
      <c r="P3768" t="s">
        <v>1401</v>
      </c>
      <c r="Q3768" t="s">
        <v>1402</v>
      </c>
      <c r="R3768" t="s">
        <v>224</v>
      </c>
      <c r="S3768" t="s">
        <v>225</v>
      </c>
      <c r="T3768" t="s">
        <v>3708</v>
      </c>
      <c r="U3768" t="s">
        <v>3709</v>
      </c>
      <c r="V3768" t="s">
        <v>3710</v>
      </c>
      <c r="W3768" t="s">
        <v>3711</v>
      </c>
      <c r="X3768" t="s">
        <v>3710</v>
      </c>
      <c r="Y3768" t="s">
        <v>773</v>
      </c>
      <c r="AD3768" t="s">
        <v>3712</v>
      </c>
      <c r="AE3768" t="s">
        <v>3713</v>
      </c>
      <c r="AF3768" t="s">
        <v>3716</v>
      </c>
    </row>
    <row r="3769" spans="1:32" hidden="1" x14ac:dyDescent="0.35">
      <c r="A3769">
        <v>4219</v>
      </c>
      <c r="B3769" t="s">
        <v>8746</v>
      </c>
      <c r="C3769" t="s">
        <v>72</v>
      </c>
      <c r="D3769" t="s">
        <v>58</v>
      </c>
      <c r="E3769">
        <v>530</v>
      </c>
      <c r="F3769">
        <v>5</v>
      </c>
      <c r="G3769">
        <v>5</v>
      </c>
      <c r="H3769">
        <v>1</v>
      </c>
      <c r="I3769">
        <v>1</v>
      </c>
      <c r="J3769">
        <v>0.755948189403154</v>
      </c>
      <c r="K3769">
        <v>0.85027747973552303</v>
      </c>
      <c r="L3769">
        <v>0.80034298249139801</v>
      </c>
      <c r="M3769">
        <v>0.46951871657754002</v>
      </c>
      <c r="N3769">
        <v>0.99518716577540101</v>
      </c>
      <c r="O3769">
        <v>0.631283422459893</v>
      </c>
      <c r="P3769" t="s">
        <v>8747</v>
      </c>
      <c r="Q3769" t="s">
        <v>8748</v>
      </c>
      <c r="R3769" t="s">
        <v>371</v>
      </c>
      <c r="S3769" t="s">
        <v>372</v>
      </c>
      <c r="T3769" t="s">
        <v>8749</v>
      </c>
      <c r="U3769" t="s">
        <v>8750</v>
      </c>
      <c r="V3769" t="s">
        <v>8751</v>
      </c>
      <c r="W3769" t="s">
        <v>8752</v>
      </c>
      <c r="AD3769" t="s">
        <v>8753</v>
      </c>
      <c r="AE3769" t="s">
        <v>8754</v>
      </c>
      <c r="AF3769" t="s">
        <v>8755</v>
      </c>
    </row>
    <row r="3770" spans="1:32" hidden="1" x14ac:dyDescent="0.35">
      <c r="A3770">
        <v>1825</v>
      </c>
      <c r="B3770" t="s">
        <v>3783</v>
      </c>
      <c r="C3770" t="s">
        <v>72</v>
      </c>
      <c r="D3770" t="s">
        <v>60</v>
      </c>
      <c r="E3770">
        <v>1154</v>
      </c>
      <c r="F3770">
        <v>5</v>
      </c>
      <c r="G3770">
        <v>5</v>
      </c>
      <c r="H3770">
        <v>1</v>
      </c>
      <c r="I3770">
        <v>1</v>
      </c>
      <c r="J3770">
        <v>0.92395833333333299</v>
      </c>
      <c r="K3770">
        <v>1</v>
      </c>
      <c r="L3770">
        <v>0.96047644829453205</v>
      </c>
      <c r="M3770">
        <v>0.859375</v>
      </c>
      <c r="N3770">
        <v>1</v>
      </c>
      <c r="O3770">
        <v>0.90937500000000004</v>
      </c>
      <c r="P3770" t="s">
        <v>3784</v>
      </c>
      <c r="Q3770" t="s">
        <v>3785</v>
      </c>
      <c r="R3770" t="s">
        <v>224</v>
      </c>
      <c r="S3770" t="s">
        <v>225</v>
      </c>
      <c r="T3770" t="s">
        <v>3786</v>
      </c>
      <c r="U3770" t="s">
        <v>3787</v>
      </c>
      <c r="V3770" t="s">
        <v>3788</v>
      </c>
      <c r="W3770" t="s">
        <v>3789</v>
      </c>
      <c r="X3770" t="s">
        <v>3788</v>
      </c>
      <c r="Y3770" t="s">
        <v>749</v>
      </c>
      <c r="AD3770" t="s">
        <v>750</v>
      </c>
      <c r="AE3770" t="s">
        <v>751</v>
      </c>
      <c r="AF3770" t="s">
        <v>3791</v>
      </c>
    </row>
    <row r="3771" spans="1:32" hidden="1" x14ac:dyDescent="0.35">
      <c r="A3771">
        <v>1826</v>
      </c>
      <c r="B3771" t="s">
        <v>3783</v>
      </c>
      <c r="C3771" t="s">
        <v>72</v>
      </c>
      <c r="D3771" t="s">
        <v>62</v>
      </c>
      <c r="E3771">
        <v>1191</v>
      </c>
      <c r="F3771">
        <v>5</v>
      </c>
      <c r="G3771">
        <v>5</v>
      </c>
      <c r="H3771">
        <v>1</v>
      </c>
      <c r="I3771">
        <v>1</v>
      </c>
      <c r="J3771">
        <v>0.92395833333333299</v>
      </c>
      <c r="K3771">
        <v>1</v>
      </c>
      <c r="L3771">
        <v>0.96047644829453205</v>
      </c>
      <c r="M3771">
        <v>0.859375</v>
      </c>
      <c r="N3771">
        <v>1</v>
      </c>
      <c r="O3771">
        <v>0.90937500000000004</v>
      </c>
      <c r="P3771" t="s">
        <v>3784</v>
      </c>
      <c r="Q3771" t="s">
        <v>3785</v>
      </c>
      <c r="R3771" t="s">
        <v>224</v>
      </c>
      <c r="S3771" t="s">
        <v>225</v>
      </c>
      <c r="T3771" t="s">
        <v>3786</v>
      </c>
      <c r="U3771" t="s">
        <v>3787</v>
      </c>
      <c r="V3771" t="s">
        <v>3788</v>
      </c>
      <c r="W3771" t="s">
        <v>3789</v>
      </c>
      <c r="X3771" t="s">
        <v>3788</v>
      </c>
      <c r="Y3771" t="s">
        <v>749</v>
      </c>
      <c r="AD3771" t="s">
        <v>750</v>
      </c>
      <c r="AE3771" t="s">
        <v>751</v>
      </c>
      <c r="AF3771" t="s">
        <v>3791</v>
      </c>
    </row>
    <row r="3772" spans="1:32" hidden="1" x14ac:dyDescent="0.35">
      <c r="A3772">
        <v>1827</v>
      </c>
      <c r="B3772" t="s">
        <v>3783</v>
      </c>
      <c r="C3772" t="s">
        <v>72</v>
      </c>
      <c r="D3772" t="s">
        <v>34</v>
      </c>
      <c r="E3772">
        <v>2521</v>
      </c>
      <c r="F3772">
        <v>5</v>
      </c>
      <c r="G3772">
        <v>5</v>
      </c>
      <c r="H3772">
        <v>1</v>
      </c>
      <c r="I3772">
        <v>1</v>
      </c>
      <c r="J3772">
        <v>0.92395833333333299</v>
      </c>
      <c r="K3772">
        <v>1</v>
      </c>
      <c r="L3772">
        <v>0.96047644829453205</v>
      </c>
      <c r="M3772">
        <v>0.859375</v>
      </c>
      <c r="N3772">
        <v>1</v>
      </c>
      <c r="O3772">
        <v>0.90937500000000004</v>
      </c>
      <c r="P3772" t="s">
        <v>3784</v>
      </c>
      <c r="Q3772" t="s">
        <v>3785</v>
      </c>
      <c r="R3772" t="s">
        <v>224</v>
      </c>
      <c r="S3772" t="s">
        <v>225</v>
      </c>
      <c r="T3772" t="s">
        <v>3786</v>
      </c>
      <c r="U3772" t="s">
        <v>3787</v>
      </c>
      <c r="V3772" t="s">
        <v>3788</v>
      </c>
      <c r="W3772" t="s">
        <v>3789</v>
      </c>
      <c r="X3772" t="s">
        <v>3788</v>
      </c>
      <c r="Y3772" t="s">
        <v>749</v>
      </c>
      <c r="AD3772" t="s">
        <v>750</v>
      </c>
      <c r="AE3772" t="s">
        <v>751</v>
      </c>
      <c r="AF3772" t="s">
        <v>3792</v>
      </c>
    </row>
    <row r="3773" spans="1:32" hidden="1" x14ac:dyDescent="0.35">
      <c r="A3773">
        <v>1828</v>
      </c>
      <c r="B3773" t="s">
        <v>3783</v>
      </c>
      <c r="C3773" t="s">
        <v>72</v>
      </c>
      <c r="D3773" t="s">
        <v>45</v>
      </c>
      <c r="E3773">
        <v>1247</v>
      </c>
      <c r="F3773">
        <v>5</v>
      </c>
      <c r="G3773">
        <v>5</v>
      </c>
      <c r="H3773">
        <v>1</v>
      </c>
      <c r="I3773">
        <v>1</v>
      </c>
      <c r="J3773">
        <v>0.92395833333333299</v>
      </c>
      <c r="K3773">
        <v>1</v>
      </c>
      <c r="L3773">
        <v>0.96047644829453205</v>
      </c>
      <c r="M3773">
        <v>0.859375</v>
      </c>
      <c r="N3773">
        <v>1</v>
      </c>
      <c r="O3773">
        <v>0.90937500000000004</v>
      </c>
      <c r="P3773" t="s">
        <v>3784</v>
      </c>
      <c r="Q3773" t="s">
        <v>3785</v>
      </c>
      <c r="R3773" t="s">
        <v>224</v>
      </c>
      <c r="S3773" t="s">
        <v>225</v>
      </c>
      <c r="T3773" t="s">
        <v>3786</v>
      </c>
      <c r="U3773" t="s">
        <v>3787</v>
      </c>
      <c r="V3773" t="s">
        <v>3788</v>
      </c>
      <c r="W3773" t="s">
        <v>3789</v>
      </c>
      <c r="X3773" t="s">
        <v>3788</v>
      </c>
      <c r="Y3773" t="s">
        <v>749</v>
      </c>
      <c r="AD3773" t="s">
        <v>750</v>
      </c>
      <c r="AE3773" t="s">
        <v>751</v>
      </c>
      <c r="AF3773" t="s">
        <v>3792</v>
      </c>
    </row>
    <row r="3774" spans="1:32" hidden="1" x14ac:dyDescent="0.35">
      <c r="A3774">
        <v>11608</v>
      </c>
      <c r="B3774" t="s">
        <v>23757</v>
      </c>
      <c r="C3774" t="s">
        <v>33</v>
      </c>
      <c r="D3774" t="s">
        <v>58</v>
      </c>
      <c r="E3774">
        <v>1877</v>
      </c>
      <c r="F3774">
        <v>1</v>
      </c>
      <c r="G3774">
        <v>1</v>
      </c>
      <c r="H3774">
        <v>1</v>
      </c>
      <c r="I3774">
        <v>0</v>
      </c>
      <c r="J3774">
        <v>1</v>
      </c>
      <c r="K3774">
        <v>1</v>
      </c>
      <c r="L3774">
        <v>1</v>
      </c>
      <c r="M3774">
        <v>0</v>
      </c>
      <c r="N3774">
        <v>0</v>
      </c>
      <c r="O3774">
        <v>0</v>
      </c>
      <c r="P3774" t="s">
        <v>14504</v>
      </c>
      <c r="Q3774" t="s">
        <v>14505</v>
      </c>
      <c r="R3774" t="s">
        <v>157</v>
      </c>
      <c r="S3774" t="s">
        <v>158</v>
      </c>
      <c r="T3774" t="s">
        <v>14506</v>
      </c>
      <c r="U3774" t="s">
        <v>14507</v>
      </c>
      <c r="V3774" t="s">
        <v>14508</v>
      </c>
      <c r="W3774" t="s">
        <v>14509</v>
      </c>
      <c r="AD3774" t="s">
        <v>14510</v>
      </c>
      <c r="AE3774" t="s">
        <v>14511</v>
      </c>
      <c r="AF3774" t="s">
        <v>23758</v>
      </c>
    </row>
    <row r="3775" spans="1:32" hidden="1" x14ac:dyDescent="0.35">
      <c r="A3775">
        <v>1850</v>
      </c>
      <c r="B3775" t="s">
        <v>3831</v>
      </c>
      <c r="C3775" t="s">
        <v>72</v>
      </c>
      <c r="D3775" t="s">
        <v>60</v>
      </c>
      <c r="E3775">
        <v>141</v>
      </c>
      <c r="F3775">
        <v>5</v>
      </c>
      <c r="G3775">
        <v>5</v>
      </c>
      <c r="H3775">
        <v>1</v>
      </c>
      <c r="I3775">
        <v>1</v>
      </c>
      <c r="J3775">
        <v>0.83736559139784905</v>
      </c>
      <c r="K3775">
        <v>0.95529877847474298</v>
      </c>
      <c r="L3775">
        <v>0.89245297674544499</v>
      </c>
      <c r="M3775">
        <v>0.645299145299145</v>
      </c>
      <c r="N3775">
        <v>1</v>
      </c>
      <c r="O3775">
        <v>0.734615384615385</v>
      </c>
      <c r="P3775" t="s">
        <v>3832</v>
      </c>
      <c r="Q3775" t="s">
        <v>3833</v>
      </c>
      <c r="R3775" t="s">
        <v>224</v>
      </c>
      <c r="S3775" t="s">
        <v>225</v>
      </c>
      <c r="T3775" t="s">
        <v>3834</v>
      </c>
      <c r="U3775" t="s">
        <v>3835</v>
      </c>
      <c r="V3775" t="s">
        <v>3836</v>
      </c>
      <c r="W3775" t="s">
        <v>3837</v>
      </c>
      <c r="AD3775" t="s">
        <v>166</v>
      </c>
      <c r="AE3775" t="s">
        <v>818</v>
      </c>
      <c r="AF3775" t="s">
        <v>3839</v>
      </c>
    </row>
    <row r="3776" spans="1:32" hidden="1" x14ac:dyDescent="0.35">
      <c r="A3776">
        <v>1851</v>
      </c>
      <c r="B3776" t="s">
        <v>3831</v>
      </c>
      <c r="C3776" t="s">
        <v>72</v>
      </c>
      <c r="D3776" t="s">
        <v>62</v>
      </c>
      <c r="E3776">
        <v>213</v>
      </c>
      <c r="F3776">
        <v>5</v>
      </c>
      <c r="G3776">
        <v>5</v>
      </c>
      <c r="H3776">
        <v>1</v>
      </c>
      <c r="I3776">
        <v>1</v>
      </c>
      <c r="J3776">
        <v>0.83736559139784905</v>
      </c>
      <c r="K3776">
        <v>0.95529877847474298</v>
      </c>
      <c r="L3776">
        <v>0.89245297674544499</v>
      </c>
      <c r="M3776">
        <v>0.645299145299145</v>
      </c>
      <c r="N3776">
        <v>1</v>
      </c>
      <c r="O3776">
        <v>0.734615384615385</v>
      </c>
      <c r="P3776" t="s">
        <v>3832</v>
      </c>
      <c r="Q3776" t="s">
        <v>3833</v>
      </c>
      <c r="R3776" t="s">
        <v>224</v>
      </c>
      <c r="S3776" t="s">
        <v>225</v>
      </c>
      <c r="T3776" t="s">
        <v>3834</v>
      </c>
      <c r="U3776" t="s">
        <v>3835</v>
      </c>
      <c r="V3776" t="s">
        <v>3836</v>
      </c>
      <c r="W3776" t="s">
        <v>3837</v>
      </c>
      <c r="AD3776" t="s">
        <v>166</v>
      </c>
      <c r="AE3776" t="s">
        <v>818</v>
      </c>
      <c r="AF3776" t="s">
        <v>3839</v>
      </c>
    </row>
    <row r="3777" spans="1:32" hidden="1" x14ac:dyDescent="0.35">
      <c r="A3777">
        <v>1852</v>
      </c>
      <c r="B3777" t="s">
        <v>3831</v>
      </c>
      <c r="C3777" t="s">
        <v>72</v>
      </c>
      <c r="D3777" t="s">
        <v>34</v>
      </c>
      <c r="E3777">
        <v>929</v>
      </c>
      <c r="F3777">
        <v>5</v>
      </c>
      <c r="G3777">
        <v>5</v>
      </c>
      <c r="H3777">
        <v>1</v>
      </c>
      <c r="I3777">
        <v>1</v>
      </c>
      <c r="J3777">
        <v>0.83736559139784905</v>
      </c>
      <c r="K3777">
        <v>0.95529877847474298</v>
      </c>
      <c r="L3777">
        <v>0.89245297674544499</v>
      </c>
      <c r="M3777">
        <v>0.645299145299145</v>
      </c>
      <c r="N3777">
        <v>1</v>
      </c>
      <c r="O3777">
        <v>0.734615384615385</v>
      </c>
      <c r="P3777" t="s">
        <v>3832</v>
      </c>
      <c r="Q3777" t="s">
        <v>3833</v>
      </c>
      <c r="R3777" t="s">
        <v>224</v>
      </c>
      <c r="S3777" t="s">
        <v>225</v>
      </c>
      <c r="T3777" t="s">
        <v>3834</v>
      </c>
      <c r="U3777" t="s">
        <v>3835</v>
      </c>
      <c r="V3777" t="s">
        <v>3836</v>
      </c>
      <c r="W3777" t="s">
        <v>3837</v>
      </c>
      <c r="AD3777" t="s">
        <v>166</v>
      </c>
      <c r="AE3777" t="s">
        <v>818</v>
      </c>
      <c r="AF3777" t="s">
        <v>3840</v>
      </c>
    </row>
    <row r="3778" spans="1:32" hidden="1" x14ac:dyDescent="0.35">
      <c r="A3778">
        <v>1853</v>
      </c>
      <c r="B3778" t="s">
        <v>3831</v>
      </c>
      <c r="C3778" t="s">
        <v>72</v>
      </c>
      <c r="D3778" t="s">
        <v>45</v>
      </c>
      <c r="E3778">
        <v>2185</v>
      </c>
      <c r="F3778">
        <v>5</v>
      </c>
      <c r="G3778">
        <v>5</v>
      </c>
      <c r="H3778">
        <v>1</v>
      </c>
      <c r="I3778">
        <v>1</v>
      </c>
      <c r="J3778">
        <v>0.83736559139784905</v>
      </c>
      <c r="K3778">
        <v>0.95529877847474298</v>
      </c>
      <c r="L3778">
        <v>0.89245297674544499</v>
      </c>
      <c r="M3778">
        <v>0.645299145299145</v>
      </c>
      <c r="N3778">
        <v>1</v>
      </c>
      <c r="O3778">
        <v>0.734615384615385</v>
      </c>
      <c r="P3778" t="s">
        <v>3832</v>
      </c>
      <c r="Q3778" t="s">
        <v>3833</v>
      </c>
      <c r="R3778" t="s">
        <v>224</v>
      </c>
      <c r="S3778" t="s">
        <v>225</v>
      </c>
      <c r="T3778" t="s">
        <v>3834</v>
      </c>
      <c r="U3778" t="s">
        <v>3835</v>
      </c>
      <c r="V3778" t="s">
        <v>3836</v>
      </c>
      <c r="W3778" t="s">
        <v>3837</v>
      </c>
      <c r="AD3778" t="s">
        <v>166</v>
      </c>
      <c r="AE3778" t="s">
        <v>818</v>
      </c>
      <c r="AF3778" t="s">
        <v>3841</v>
      </c>
    </row>
    <row r="3779" spans="1:32" hidden="1" x14ac:dyDescent="0.35">
      <c r="A3779">
        <v>1369</v>
      </c>
      <c r="B3779" t="s">
        <v>2847</v>
      </c>
      <c r="C3779" t="s">
        <v>72</v>
      </c>
      <c r="D3779" t="s">
        <v>58</v>
      </c>
      <c r="E3779">
        <v>1341</v>
      </c>
      <c r="F3779">
        <v>5</v>
      </c>
      <c r="G3779">
        <v>5</v>
      </c>
      <c r="H3779">
        <v>1</v>
      </c>
      <c r="I3779">
        <v>1</v>
      </c>
      <c r="J3779">
        <v>0.91263440860215095</v>
      </c>
      <c r="K3779">
        <v>0.99485228732338704</v>
      </c>
      <c r="L3779">
        <v>0.951971440563399</v>
      </c>
      <c r="M3779">
        <v>0.819484240687679</v>
      </c>
      <c r="N3779">
        <v>1</v>
      </c>
      <c r="O3779">
        <v>0.87679083094555899</v>
      </c>
      <c r="P3779" t="s">
        <v>2848</v>
      </c>
      <c r="Q3779" t="s">
        <v>2849</v>
      </c>
      <c r="R3779" t="s">
        <v>869</v>
      </c>
      <c r="S3779" t="s">
        <v>870</v>
      </c>
      <c r="T3779" t="s">
        <v>2850</v>
      </c>
      <c r="U3779" t="s">
        <v>2851</v>
      </c>
      <c r="V3779" t="s">
        <v>2852</v>
      </c>
      <c r="W3779" t="s">
        <v>2853</v>
      </c>
      <c r="X3779" t="s">
        <v>2852</v>
      </c>
      <c r="Y3779" t="s">
        <v>2854</v>
      </c>
      <c r="Z3779" t="s">
        <v>2855</v>
      </c>
      <c r="AA3779" t="s">
        <v>2856</v>
      </c>
      <c r="AB3779" t="s">
        <v>2855</v>
      </c>
      <c r="AC3779" t="s">
        <v>1156</v>
      </c>
      <c r="AD3779" t="s">
        <v>219</v>
      </c>
      <c r="AE3779" t="s">
        <v>2857</v>
      </c>
      <c r="AF3779" t="s">
        <v>2858</v>
      </c>
    </row>
    <row r="3780" spans="1:32" hidden="1" x14ac:dyDescent="0.35">
      <c r="A3780">
        <v>1955</v>
      </c>
      <c r="B3780" t="s">
        <v>4051</v>
      </c>
      <c r="C3780" t="s">
        <v>72</v>
      </c>
      <c r="D3780" t="s">
        <v>60</v>
      </c>
      <c r="E3780">
        <v>422</v>
      </c>
      <c r="F3780">
        <v>5</v>
      </c>
      <c r="G3780">
        <v>5</v>
      </c>
      <c r="H3780">
        <v>1</v>
      </c>
      <c r="I3780">
        <v>1</v>
      </c>
      <c r="J3780">
        <v>0.86396599149787401</v>
      </c>
      <c r="K3780">
        <v>0.98034313725490196</v>
      </c>
      <c r="L3780">
        <v>0.91848282631376998</v>
      </c>
      <c r="M3780">
        <v>0.74264705882352899</v>
      </c>
      <c r="N3780">
        <v>1</v>
      </c>
      <c r="O3780">
        <v>0.80441176470588205</v>
      </c>
      <c r="P3780" t="s">
        <v>4052</v>
      </c>
      <c r="Q3780" t="s">
        <v>4053</v>
      </c>
      <c r="R3780" t="s">
        <v>224</v>
      </c>
      <c r="S3780" t="s">
        <v>225</v>
      </c>
      <c r="T3780" t="s">
        <v>4054</v>
      </c>
      <c r="U3780" t="s">
        <v>4055</v>
      </c>
      <c r="V3780" t="s">
        <v>4056</v>
      </c>
      <c r="W3780" t="s">
        <v>4057</v>
      </c>
      <c r="X3780" t="s">
        <v>4056</v>
      </c>
      <c r="Y3780" t="s">
        <v>749</v>
      </c>
      <c r="AD3780" t="s">
        <v>762</v>
      </c>
      <c r="AE3780" t="s">
        <v>1545</v>
      </c>
      <c r="AF3780" t="s">
        <v>4059</v>
      </c>
    </row>
    <row r="3781" spans="1:32" hidden="1" x14ac:dyDescent="0.35">
      <c r="A3781">
        <v>1956</v>
      </c>
      <c r="B3781" t="s">
        <v>4051</v>
      </c>
      <c r="C3781" t="s">
        <v>72</v>
      </c>
      <c r="D3781" t="s">
        <v>62</v>
      </c>
      <c r="E3781">
        <v>503</v>
      </c>
      <c r="F3781">
        <v>5</v>
      </c>
      <c r="G3781">
        <v>5</v>
      </c>
      <c r="H3781">
        <v>1</v>
      </c>
      <c r="I3781">
        <v>1</v>
      </c>
      <c r="J3781">
        <v>0.86396599149787401</v>
      </c>
      <c r="K3781">
        <v>0.98034313725490196</v>
      </c>
      <c r="L3781">
        <v>0.91848282631376998</v>
      </c>
      <c r="M3781">
        <v>0.74264705882352899</v>
      </c>
      <c r="N3781">
        <v>1</v>
      </c>
      <c r="O3781">
        <v>0.80441176470588205</v>
      </c>
      <c r="P3781" t="s">
        <v>4052</v>
      </c>
      <c r="Q3781" t="s">
        <v>4053</v>
      </c>
      <c r="R3781" t="s">
        <v>224</v>
      </c>
      <c r="S3781" t="s">
        <v>225</v>
      </c>
      <c r="T3781" t="s">
        <v>4054</v>
      </c>
      <c r="U3781" t="s">
        <v>4055</v>
      </c>
      <c r="V3781" t="s">
        <v>4056</v>
      </c>
      <c r="W3781" t="s">
        <v>4057</v>
      </c>
      <c r="X3781" t="s">
        <v>4056</v>
      </c>
      <c r="Y3781" t="s">
        <v>749</v>
      </c>
      <c r="AD3781" t="s">
        <v>762</v>
      </c>
      <c r="AE3781" t="s">
        <v>1545</v>
      </c>
      <c r="AF3781" t="s">
        <v>4059</v>
      </c>
    </row>
    <row r="3782" spans="1:32" hidden="1" x14ac:dyDescent="0.35">
      <c r="A3782">
        <v>1957</v>
      </c>
      <c r="B3782" t="s">
        <v>4051</v>
      </c>
      <c r="C3782" t="s">
        <v>72</v>
      </c>
      <c r="D3782" t="s">
        <v>34</v>
      </c>
      <c r="E3782">
        <v>672</v>
      </c>
      <c r="F3782">
        <v>5</v>
      </c>
      <c r="G3782">
        <v>5</v>
      </c>
      <c r="H3782">
        <v>1</v>
      </c>
      <c r="I3782">
        <v>1</v>
      </c>
      <c r="J3782">
        <v>0.86396599149787401</v>
      </c>
      <c r="K3782">
        <v>0.98034313725490196</v>
      </c>
      <c r="L3782">
        <v>0.91848282631376998</v>
      </c>
      <c r="M3782">
        <v>0.74264705882352899</v>
      </c>
      <c r="N3782">
        <v>1</v>
      </c>
      <c r="O3782">
        <v>0.80441176470588205</v>
      </c>
      <c r="P3782" t="s">
        <v>4052</v>
      </c>
      <c r="Q3782" t="s">
        <v>4053</v>
      </c>
      <c r="R3782" t="s">
        <v>224</v>
      </c>
      <c r="S3782" t="s">
        <v>225</v>
      </c>
      <c r="T3782" t="s">
        <v>4054</v>
      </c>
      <c r="U3782" t="s">
        <v>4055</v>
      </c>
      <c r="V3782" t="s">
        <v>4056</v>
      </c>
      <c r="W3782" t="s">
        <v>4057</v>
      </c>
      <c r="X3782" t="s">
        <v>4056</v>
      </c>
      <c r="Y3782" t="s">
        <v>749</v>
      </c>
      <c r="AD3782" t="s">
        <v>762</v>
      </c>
      <c r="AE3782" t="s">
        <v>1545</v>
      </c>
      <c r="AF3782" t="s">
        <v>4060</v>
      </c>
    </row>
    <row r="3783" spans="1:32" hidden="1" x14ac:dyDescent="0.35">
      <c r="A3783">
        <v>1958</v>
      </c>
      <c r="B3783" t="s">
        <v>4051</v>
      </c>
      <c r="C3783" t="s">
        <v>72</v>
      </c>
      <c r="D3783" t="s">
        <v>45</v>
      </c>
      <c r="E3783">
        <v>1938</v>
      </c>
      <c r="F3783">
        <v>5</v>
      </c>
      <c r="G3783">
        <v>5</v>
      </c>
      <c r="H3783">
        <v>1</v>
      </c>
      <c r="I3783">
        <v>1</v>
      </c>
      <c r="J3783">
        <v>0.86396599149787401</v>
      </c>
      <c r="K3783">
        <v>0.98034313725490196</v>
      </c>
      <c r="L3783">
        <v>0.91848282631376998</v>
      </c>
      <c r="M3783">
        <v>0.74264705882352899</v>
      </c>
      <c r="N3783">
        <v>1</v>
      </c>
      <c r="O3783">
        <v>0.80441176470588205</v>
      </c>
      <c r="P3783" t="s">
        <v>4052</v>
      </c>
      <c r="Q3783" t="s">
        <v>4053</v>
      </c>
      <c r="R3783" t="s">
        <v>224</v>
      </c>
      <c r="S3783" t="s">
        <v>225</v>
      </c>
      <c r="T3783" t="s">
        <v>4054</v>
      </c>
      <c r="U3783" t="s">
        <v>4055</v>
      </c>
      <c r="V3783" t="s">
        <v>4056</v>
      </c>
      <c r="W3783" t="s">
        <v>4057</v>
      </c>
      <c r="X3783" t="s">
        <v>4056</v>
      </c>
      <c r="Y3783" t="s">
        <v>749</v>
      </c>
      <c r="AD3783" t="s">
        <v>762</v>
      </c>
      <c r="AE3783" t="s">
        <v>1545</v>
      </c>
      <c r="AF3783" t="s">
        <v>4060</v>
      </c>
    </row>
    <row r="3784" spans="1:32" hidden="1" x14ac:dyDescent="0.35">
      <c r="A3784">
        <v>2229</v>
      </c>
      <c r="B3784" t="s">
        <v>4636</v>
      </c>
      <c r="C3784" t="s">
        <v>72</v>
      </c>
      <c r="D3784" t="s">
        <v>58</v>
      </c>
      <c r="E3784">
        <v>1340</v>
      </c>
      <c r="F3784">
        <v>5</v>
      </c>
      <c r="G3784">
        <v>5</v>
      </c>
      <c r="H3784">
        <v>1</v>
      </c>
      <c r="I3784">
        <v>1</v>
      </c>
      <c r="J3784">
        <v>0.80780780780780803</v>
      </c>
      <c r="K3784">
        <v>0.91027674514663304</v>
      </c>
      <c r="L3784">
        <v>0.85598658195354504</v>
      </c>
      <c r="M3784">
        <v>0.58888888888888902</v>
      </c>
      <c r="N3784">
        <v>1</v>
      </c>
      <c r="O3784">
        <v>0.72888888888888903</v>
      </c>
      <c r="P3784" t="s">
        <v>4637</v>
      </c>
      <c r="Q3784" t="s">
        <v>4638</v>
      </c>
      <c r="R3784" t="s">
        <v>869</v>
      </c>
      <c r="S3784" t="s">
        <v>870</v>
      </c>
      <c r="T3784" t="s">
        <v>4639</v>
      </c>
      <c r="U3784" t="s">
        <v>4640</v>
      </c>
      <c r="V3784" t="s">
        <v>4641</v>
      </c>
      <c r="W3784" t="s">
        <v>4642</v>
      </c>
      <c r="X3784" t="s">
        <v>4641</v>
      </c>
      <c r="Y3784" t="s">
        <v>2854</v>
      </c>
      <c r="Z3784" t="s">
        <v>4643</v>
      </c>
      <c r="AA3784" t="s">
        <v>4644</v>
      </c>
      <c r="AB3784" t="s">
        <v>4643</v>
      </c>
      <c r="AC3784" t="s">
        <v>1094</v>
      </c>
      <c r="AD3784" t="s">
        <v>219</v>
      </c>
      <c r="AE3784" t="s">
        <v>4645</v>
      </c>
      <c r="AF3784" t="s">
        <v>4646</v>
      </c>
    </row>
    <row r="3785" spans="1:32" hidden="1" x14ac:dyDescent="0.35">
      <c r="A3785">
        <v>1965</v>
      </c>
      <c r="B3785" t="s">
        <v>4074</v>
      </c>
      <c r="C3785" t="s">
        <v>72</v>
      </c>
      <c r="D3785" t="s">
        <v>60</v>
      </c>
      <c r="E3785">
        <v>384</v>
      </c>
      <c r="F3785">
        <v>5</v>
      </c>
      <c r="G3785">
        <v>5</v>
      </c>
      <c r="H3785">
        <v>1</v>
      </c>
      <c r="I3785">
        <v>1</v>
      </c>
      <c r="J3785">
        <v>0.96425120772946904</v>
      </c>
      <c r="K3785">
        <v>1</v>
      </c>
      <c r="L3785">
        <v>0.98180029513034905</v>
      </c>
      <c r="M3785">
        <v>0.92028985507246397</v>
      </c>
      <c r="N3785">
        <v>1</v>
      </c>
      <c r="O3785">
        <v>0.950724637681159</v>
      </c>
      <c r="P3785" t="s">
        <v>4075</v>
      </c>
      <c r="Q3785" t="s">
        <v>4076</v>
      </c>
      <c r="R3785" t="s">
        <v>224</v>
      </c>
      <c r="S3785" t="s">
        <v>225</v>
      </c>
      <c r="T3785" t="s">
        <v>4077</v>
      </c>
      <c r="U3785" t="s">
        <v>4078</v>
      </c>
      <c r="V3785" t="s">
        <v>4079</v>
      </c>
      <c r="W3785" t="s">
        <v>4080</v>
      </c>
      <c r="X3785" t="s">
        <v>4079</v>
      </c>
      <c r="Y3785" t="s">
        <v>749</v>
      </c>
      <c r="AD3785" t="s">
        <v>750</v>
      </c>
      <c r="AE3785" t="s">
        <v>751</v>
      </c>
      <c r="AF3785" t="s">
        <v>4082</v>
      </c>
    </row>
    <row r="3786" spans="1:32" hidden="1" x14ac:dyDescent="0.35">
      <c r="A3786">
        <v>1966</v>
      </c>
      <c r="B3786" t="s">
        <v>4074</v>
      </c>
      <c r="C3786" t="s">
        <v>72</v>
      </c>
      <c r="D3786" t="s">
        <v>62</v>
      </c>
      <c r="E3786">
        <v>465</v>
      </c>
      <c r="F3786">
        <v>5</v>
      </c>
      <c r="G3786">
        <v>5</v>
      </c>
      <c r="H3786">
        <v>1</v>
      </c>
      <c r="I3786">
        <v>1</v>
      </c>
      <c r="J3786">
        <v>0.96425120772946904</v>
      </c>
      <c r="K3786">
        <v>1</v>
      </c>
      <c r="L3786">
        <v>0.98180029513034905</v>
      </c>
      <c r="M3786">
        <v>0.92028985507246397</v>
      </c>
      <c r="N3786">
        <v>1</v>
      </c>
      <c r="O3786">
        <v>0.950724637681159</v>
      </c>
      <c r="P3786" t="s">
        <v>4075</v>
      </c>
      <c r="Q3786" t="s">
        <v>4076</v>
      </c>
      <c r="R3786" t="s">
        <v>224</v>
      </c>
      <c r="S3786" t="s">
        <v>225</v>
      </c>
      <c r="T3786" t="s">
        <v>4077</v>
      </c>
      <c r="U3786" t="s">
        <v>4078</v>
      </c>
      <c r="V3786" t="s">
        <v>4079</v>
      </c>
      <c r="W3786" t="s">
        <v>4080</v>
      </c>
      <c r="X3786" t="s">
        <v>4079</v>
      </c>
      <c r="Y3786" t="s">
        <v>749</v>
      </c>
      <c r="AD3786" t="s">
        <v>750</v>
      </c>
      <c r="AE3786" t="s">
        <v>751</v>
      </c>
      <c r="AF3786" t="s">
        <v>4082</v>
      </c>
    </row>
    <row r="3787" spans="1:32" hidden="1" x14ac:dyDescent="0.35">
      <c r="A3787">
        <v>1967</v>
      </c>
      <c r="B3787" t="s">
        <v>4074</v>
      </c>
      <c r="C3787" t="s">
        <v>72</v>
      </c>
      <c r="D3787" t="s">
        <v>34</v>
      </c>
      <c r="E3787">
        <v>727</v>
      </c>
      <c r="F3787">
        <v>5</v>
      </c>
      <c r="G3787">
        <v>5</v>
      </c>
      <c r="H3787">
        <v>1</v>
      </c>
      <c r="I3787">
        <v>1</v>
      </c>
      <c r="J3787">
        <v>0.96425120772946904</v>
      </c>
      <c r="K3787">
        <v>1</v>
      </c>
      <c r="L3787">
        <v>0.98180029513034905</v>
      </c>
      <c r="M3787">
        <v>0.92028985507246397</v>
      </c>
      <c r="N3787">
        <v>1</v>
      </c>
      <c r="O3787">
        <v>0.950724637681159</v>
      </c>
      <c r="P3787" t="s">
        <v>4075</v>
      </c>
      <c r="Q3787" t="s">
        <v>4076</v>
      </c>
      <c r="R3787" t="s">
        <v>224</v>
      </c>
      <c r="S3787" t="s">
        <v>225</v>
      </c>
      <c r="T3787" t="s">
        <v>4077</v>
      </c>
      <c r="U3787" t="s">
        <v>4078</v>
      </c>
      <c r="V3787" t="s">
        <v>4079</v>
      </c>
      <c r="W3787" t="s">
        <v>4080</v>
      </c>
      <c r="X3787" t="s">
        <v>4079</v>
      </c>
      <c r="Y3787" t="s">
        <v>749</v>
      </c>
      <c r="AD3787" t="s">
        <v>750</v>
      </c>
      <c r="AE3787" t="s">
        <v>751</v>
      </c>
      <c r="AF3787" t="s">
        <v>4083</v>
      </c>
    </row>
    <row r="3788" spans="1:32" hidden="1" x14ac:dyDescent="0.35">
      <c r="A3788">
        <v>1968</v>
      </c>
      <c r="B3788" t="s">
        <v>4074</v>
      </c>
      <c r="C3788" t="s">
        <v>72</v>
      </c>
      <c r="D3788" t="s">
        <v>45</v>
      </c>
      <c r="E3788">
        <v>1993</v>
      </c>
      <c r="F3788">
        <v>5</v>
      </c>
      <c r="G3788">
        <v>5</v>
      </c>
      <c r="H3788">
        <v>1</v>
      </c>
      <c r="I3788">
        <v>1</v>
      </c>
      <c r="J3788">
        <v>0.96425120772946904</v>
      </c>
      <c r="K3788">
        <v>1</v>
      </c>
      <c r="L3788">
        <v>0.98180029513034905</v>
      </c>
      <c r="M3788">
        <v>0.92028985507246397</v>
      </c>
      <c r="N3788">
        <v>1</v>
      </c>
      <c r="O3788">
        <v>0.950724637681159</v>
      </c>
      <c r="P3788" t="s">
        <v>4075</v>
      </c>
      <c r="Q3788" t="s">
        <v>4076</v>
      </c>
      <c r="R3788" t="s">
        <v>224</v>
      </c>
      <c r="S3788" t="s">
        <v>225</v>
      </c>
      <c r="T3788" t="s">
        <v>4077</v>
      </c>
      <c r="U3788" t="s">
        <v>4078</v>
      </c>
      <c r="V3788" t="s">
        <v>4079</v>
      </c>
      <c r="W3788" t="s">
        <v>4080</v>
      </c>
      <c r="X3788" t="s">
        <v>4079</v>
      </c>
      <c r="Y3788" t="s">
        <v>749</v>
      </c>
      <c r="AD3788" t="s">
        <v>750</v>
      </c>
      <c r="AE3788" t="s">
        <v>751</v>
      </c>
      <c r="AF3788" t="s">
        <v>4083</v>
      </c>
    </row>
    <row r="3789" spans="1:32" hidden="1" x14ac:dyDescent="0.35">
      <c r="A3789">
        <v>674</v>
      </c>
      <c r="B3789" t="s">
        <v>1380</v>
      </c>
      <c r="C3789" t="s">
        <v>72</v>
      </c>
      <c r="D3789" t="s">
        <v>58</v>
      </c>
      <c r="E3789">
        <v>312</v>
      </c>
      <c r="F3789">
        <v>5</v>
      </c>
      <c r="G3789">
        <v>5</v>
      </c>
      <c r="H3789">
        <v>1</v>
      </c>
      <c r="I3789">
        <v>1</v>
      </c>
      <c r="J3789">
        <v>0.70152671755725204</v>
      </c>
      <c r="K3789">
        <v>0.95489925117520902</v>
      </c>
      <c r="L3789">
        <v>0.80883462336374401</v>
      </c>
      <c r="M3789">
        <v>0.48786407766990297</v>
      </c>
      <c r="N3789">
        <v>1</v>
      </c>
      <c r="O3789">
        <v>0.62888349514563102</v>
      </c>
      <c r="P3789" t="s">
        <v>1381</v>
      </c>
      <c r="Q3789" t="s">
        <v>1382</v>
      </c>
      <c r="R3789" t="s">
        <v>157</v>
      </c>
      <c r="S3789" t="s">
        <v>158</v>
      </c>
      <c r="V3789" t="s">
        <v>1383</v>
      </c>
      <c r="W3789" t="s">
        <v>1384</v>
      </c>
      <c r="AF3789" t="s">
        <v>1385</v>
      </c>
    </row>
    <row r="3790" spans="1:32" hidden="1" x14ac:dyDescent="0.35">
      <c r="A3790">
        <v>1990</v>
      </c>
      <c r="B3790" t="s">
        <v>4118</v>
      </c>
      <c r="C3790" t="s">
        <v>72</v>
      </c>
      <c r="D3790" t="s">
        <v>60</v>
      </c>
      <c r="E3790">
        <v>1889</v>
      </c>
      <c r="F3790">
        <v>5</v>
      </c>
      <c r="G3790">
        <v>5</v>
      </c>
      <c r="H3790">
        <v>1</v>
      </c>
      <c r="I3790">
        <v>1</v>
      </c>
      <c r="J3790">
        <v>0.88443670150987197</v>
      </c>
      <c r="K3790">
        <v>0.996101103461287</v>
      </c>
      <c r="L3790">
        <v>0.93695364377868096</v>
      </c>
      <c r="M3790">
        <v>0.76138828633405597</v>
      </c>
      <c r="N3790">
        <v>1</v>
      </c>
      <c r="O3790">
        <v>0.84381778741865499</v>
      </c>
      <c r="P3790" t="s">
        <v>4119</v>
      </c>
      <c r="Q3790" t="s">
        <v>4120</v>
      </c>
      <c r="R3790" t="s">
        <v>224</v>
      </c>
      <c r="S3790" t="s">
        <v>225</v>
      </c>
      <c r="T3790" t="s">
        <v>4121</v>
      </c>
      <c r="U3790" t="s">
        <v>4122</v>
      </c>
      <c r="V3790" t="s">
        <v>4123</v>
      </c>
      <c r="W3790" t="s">
        <v>4124</v>
      </c>
      <c r="X3790" t="s">
        <v>4123</v>
      </c>
      <c r="Y3790" t="s">
        <v>589</v>
      </c>
      <c r="AD3790" t="s">
        <v>4125</v>
      </c>
      <c r="AE3790" t="s">
        <v>4126</v>
      </c>
      <c r="AF3790" t="s">
        <v>4128</v>
      </c>
    </row>
    <row r="3791" spans="1:32" hidden="1" x14ac:dyDescent="0.35">
      <c r="A3791">
        <v>1991</v>
      </c>
      <c r="B3791" t="s">
        <v>4118</v>
      </c>
      <c r="C3791" t="s">
        <v>72</v>
      </c>
      <c r="D3791" t="s">
        <v>62</v>
      </c>
      <c r="E3791">
        <v>1929</v>
      </c>
      <c r="F3791">
        <v>5</v>
      </c>
      <c r="G3791">
        <v>5</v>
      </c>
      <c r="H3791">
        <v>1</v>
      </c>
      <c r="I3791">
        <v>1</v>
      </c>
      <c r="J3791">
        <v>0.88443670150987197</v>
      </c>
      <c r="K3791">
        <v>0.996101103461287</v>
      </c>
      <c r="L3791">
        <v>0.93695364377868096</v>
      </c>
      <c r="M3791">
        <v>0.76138828633405597</v>
      </c>
      <c r="N3791">
        <v>1</v>
      </c>
      <c r="O3791">
        <v>0.84381778741865499</v>
      </c>
      <c r="P3791" t="s">
        <v>4119</v>
      </c>
      <c r="Q3791" t="s">
        <v>4120</v>
      </c>
      <c r="R3791" t="s">
        <v>224</v>
      </c>
      <c r="S3791" t="s">
        <v>225</v>
      </c>
      <c r="T3791" t="s">
        <v>4121</v>
      </c>
      <c r="U3791" t="s">
        <v>4122</v>
      </c>
      <c r="V3791" t="s">
        <v>4123</v>
      </c>
      <c r="W3791" t="s">
        <v>4124</v>
      </c>
      <c r="X3791" t="s">
        <v>4123</v>
      </c>
      <c r="Y3791" t="s">
        <v>589</v>
      </c>
      <c r="AD3791" t="s">
        <v>4125</v>
      </c>
      <c r="AE3791" t="s">
        <v>4126</v>
      </c>
      <c r="AF3791" t="s">
        <v>4128</v>
      </c>
    </row>
    <row r="3792" spans="1:32" hidden="1" x14ac:dyDescent="0.35">
      <c r="A3792">
        <v>1992</v>
      </c>
      <c r="B3792" t="s">
        <v>4118</v>
      </c>
      <c r="C3792" t="s">
        <v>72</v>
      </c>
      <c r="D3792" t="s">
        <v>34</v>
      </c>
      <c r="E3792">
        <v>2239</v>
      </c>
      <c r="F3792">
        <v>5</v>
      </c>
      <c r="G3792">
        <v>5</v>
      </c>
      <c r="H3792">
        <v>1</v>
      </c>
      <c r="I3792">
        <v>1</v>
      </c>
      <c r="J3792">
        <v>0.88443670150987197</v>
      </c>
      <c r="K3792">
        <v>0.996101103461287</v>
      </c>
      <c r="L3792">
        <v>0.93695364377868096</v>
      </c>
      <c r="M3792">
        <v>0.76138828633405597</v>
      </c>
      <c r="N3792">
        <v>1</v>
      </c>
      <c r="O3792">
        <v>0.84381778741865499</v>
      </c>
      <c r="P3792" t="s">
        <v>4119</v>
      </c>
      <c r="Q3792" t="s">
        <v>4120</v>
      </c>
      <c r="R3792" t="s">
        <v>224</v>
      </c>
      <c r="S3792" t="s">
        <v>225</v>
      </c>
      <c r="T3792" t="s">
        <v>4121</v>
      </c>
      <c r="U3792" t="s">
        <v>4122</v>
      </c>
      <c r="V3792" t="s">
        <v>4123</v>
      </c>
      <c r="W3792" t="s">
        <v>4124</v>
      </c>
      <c r="X3792" t="s">
        <v>4123</v>
      </c>
      <c r="Y3792" t="s">
        <v>589</v>
      </c>
      <c r="AD3792" t="s">
        <v>4125</v>
      </c>
      <c r="AE3792" t="s">
        <v>4126</v>
      </c>
      <c r="AF3792" t="s">
        <v>4129</v>
      </c>
    </row>
    <row r="3793" spans="1:32" hidden="1" x14ac:dyDescent="0.35">
      <c r="A3793">
        <v>1993</v>
      </c>
      <c r="B3793" t="s">
        <v>4118</v>
      </c>
      <c r="C3793" t="s">
        <v>72</v>
      </c>
      <c r="D3793" t="s">
        <v>45</v>
      </c>
      <c r="E3793">
        <v>638</v>
      </c>
      <c r="F3793">
        <v>5</v>
      </c>
      <c r="G3793">
        <v>5</v>
      </c>
      <c r="H3793">
        <v>1</v>
      </c>
      <c r="I3793">
        <v>1</v>
      </c>
      <c r="J3793">
        <v>0.88443670150987197</v>
      </c>
      <c r="K3793">
        <v>0.996101103461287</v>
      </c>
      <c r="L3793">
        <v>0.93695364377868096</v>
      </c>
      <c r="M3793">
        <v>0.76138828633405597</v>
      </c>
      <c r="N3793">
        <v>1</v>
      </c>
      <c r="O3793">
        <v>0.84381778741865499</v>
      </c>
      <c r="P3793" t="s">
        <v>4119</v>
      </c>
      <c r="Q3793" t="s">
        <v>4120</v>
      </c>
      <c r="R3793" t="s">
        <v>224</v>
      </c>
      <c r="S3793" t="s">
        <v>225</v>
      </c>
      <c r="T3793" t="s">
        <v>4121</v>
      </c>
      <c r="U3793" t="s">
        <v>4122</v>
      </c>
      <c r="V3793" t="s">
        <v>4123</v>
      </c>
      <c r="W3793" t="s">
        <v>4124</v>
      </c>
      <c r="X3793" t="s">
        <v>4123</v>
      </c>
      <c r="Y3793" t="s">
        <v>589</v>
      </c>
      <c r="AD3793" t="s">
        <v>4125</v>
      </c>
      <c r="AE3793" t="s">
        <v>4126</v>
      </c>
      <c r="AF3793" t="s">
        <v>4129</v>
      </c>
    </row>
    <row r="3794" spans="1:32" hidden="1" x14ac:dyDescent="0.35">
      <c r="A3794">
        <v>6398</v>
      </c>
      <c r="B3794" t="s">
        <v>13176</v>
      </c>
      <c r="C3794" t="s">
        <v>68</v>
      </c>
      <c r="D3794" t="s">
        <v>58</v>
      </c>
      <c r="E3794">
        <v>282</v>
      </c>
      <c r="F3794">
        <v>3</v>
      </c>
      <c r="G3794">
        <v>3</v>
      </c>
      <c r="H3794">
        <v>1</v>
      </c>
      <c r="I3794">
        <v>0</v>
      </c>
      <c r="J3794">
        <v>0.79585798816567999</v>
      </c>
      <c r="K3794">
        <v>0.94429403560587599</v>
      </c>
      <c r="L3794">
        <v>0.86374516840811599</v>
      </c>
      <c r="M3794">
        <v>0.57322175732217595</v>
      </c>
      <c r="N3794">
        <v>0.99581589958159</v>
      </c>
      <c r="O3794">
        <v>0.71548117154811697</v>
      </c>
      <c r="P3794" t="s">
        <v>13177</v>
      </c>
      <c r="Q3794" t="s">
        <v>13178</v>
      </c>
      <c r="R3794" t="s">
        <v>157</v>
      </c>
      <c r="S3794" t="s">
        <v>158</v>
      </c>
      <c r="V3794" t="s">
        <v>1383</v>
      </c>
      <c r="W3794" t="s">
        <v>1384</v>
      </c>
      <c r="AF3794" t="s">
        <v>13179</v>
      </c>
    </row>
    <row r="3795" spans="1:32" hidden="1" x14ac:dyDescent="0.35">
      <c r="A3795">
        <v>2025</v>
      </c>
      <c r="B3795" t="s">
        <v>4208</v>
      </c>
      <c r="C3795" t="s">
        <v>72</v>
      </c>
      <c r="D3795" t="s">
        <v>60</v>
      </c>
      <c r="E3795">
        <v>1979</v>
      </c>
      <c r="F3795">
        <v>5</v>
      </c>
      <c r="G3795">
        <v>5</v>
      </c>
      <c r="H3795">
        <v>1</v>
      </c>
      <c r="I3795">
        <v>1</v>
      </c>
      <c r="J3795">
        <v>0.892078071182549</v>
      </c>
      <c r="K3795">
        <v>0.97880490296220601</v>
      </c>
      <c r="L3795">
        <v>0.93343132837873299</v>
      </c>
      <c r="M3795">
        <v>0.78651685393258397</v>
      </c>
      <c r="N3795">
        <v>1</v>
      </c>
      <c r="O3795">
        <v>0.84719101123595497</v>
      </c>
      <c r="P3795" t="s">
        <v>4209</v>
      </c>
      <c r="Q3795" t="s">
        <v>4210</v>
      </c>
      <c r="R3795" t="s">
        <v>224</v>
      </c>
      <c r="S3795" t="s">
        <v>225</v>
      </c>
      <c r="T3795" t="s">
        <v>4211</v>
      </c>
      <c r="U3795" t="s">
        <v>4212</v>
      </c>
      <c r="V3795" t="s">
        <v>4213</v>
      </c>
      <c r="W3795" t="s">
        <v>4214</v>
      </c>
      <c r="X3795" t="s">
        <v>4213</v>
      </c>
      <c r="Y3795" t="s">
        <v>749</v>
      </c>
      <c r="AD3795" t="s">
        <v>750</v>
      </c>
      <c r="AE3795" t="s">
        <v>751</v>
      </c>
      <c r="AF3795" t="s">
        <v>4216</v>
      </c>
    </row>
    <row r="3796" spans="1:32" hidden="1" x14ac:dyDescent="0.35">
      <c r="A3796">
        <v>2026</v>
      </c>
      <c r="B3796" t="s">
        <v>4208</v>
      </c>
      <c r="C3796" t="s">
        <v>72</v>
      </c>
      <c r="D3796" t="s">
        <v>62</v>
      </c>
      <c r="E3796">
        <v>2020</v>
      </c>
      <c r="F3796">
        <v>5</v>
      </c>
      <c r="G3796">
        <v>5</v>
      </c>
      <c r="H3796">
        <v>1</v>
      </c>
      <c r="I3796">
        <v>1</v>
      </c>
      <c r="J3796">
        <v>0.892078071182549</v>
      </c>
      <c r="K3796">
        <v>0.97880490296220601</v>
      </c>
      <c r="L3796">
        <v>0.93343132837873299</v>
      </c>
      <c r="M3796">
        <v>0.78651685393258397</v>
      </c>
      <c r="N3796">
        <v>1</v>
      </c>
      <c r="O3796">
        <v>0.84719101123595497</v>
      </c>
      <c r="P3796" t="s">
        <v>4209</v>
      </c>
      <c r="Q3796" t="s">
        <v>4210</v>
      </c>
      <c r="R3796" t="s">
        <v>224</v>
      </c>
      <c r="S3796" t="s">
        <v>225</v>
      </c>
      <c r="T3796" t="s">
        <v>4211</v>
      </c>
      <c r="U3796" t="s">
        <v>4212</v>
      </c>
      <c r="V3796" t="s">
        <v>4213</v>
      </c>
      <c r="W3796" t="s">
        <v>4214</v>
      </c>
      <c r="X3796" t="s">
        <v>4213</v>
      </c>
      <c r="Y3796" t="s">
        <v>749</v>
      </c>
      <c r="AD3796" t="s">
        <v>750</v>
      </c>
      <c r="AE3796" t="s">
        <v>751</v>
      </c>
      <c r="AF3796" t="s">
        <v>4216</v>
      </c>
    </row>
    <row r="3797" spans="1:32" hidden="1" x14ac:dyDescent="0.35">
      <c r="A3797">
        <v>2027</v>
      </c>
      <c r="B3797" t="s">
        <v>4208</v>
      </c>
      <c r="C3797" t="s">
        <v>72</v>
      </c>
      <c r="D3797" t="s">
        <v>34</v>
      </c>
      <c r="E3797">
        <v>2332</v>
      </c>
      <c r="F3797">
        <v>5</v>
      </c>
      <c r="G3797">
        <v>5</v>
      </c>
      <c r="H3797">
        <v>1</v>
      </c>
      <c r="I3797">
        <v>1</v>
      </c>
      <c r="J3797">
        <v>0.892078071182549</v>
      </c>
      <c r="K3797">
        <v>0.97880490296220601</v>
      </c>
      <c r="L3797">
        <v>0.93343132837873299</v>
      </c>
      <c r="M3797">
        <v>0.78651685393258397</v>
      </c>
      <c r="N3797">
        <v>1</v>
      </c>
      <c r="O3797">
        <v>0.84719101123595497</v>
      </c>
      <c r="P3797" t="s">
        <v>4209</v>
      </c>
      <c r="Q3797" t="s">
        <v>4210</v>
      </c>
      <c r="R3797" t="s">
        <v>224</v>
      </c>
      <c r="S3797" t="s">
        <v>225</v>
      </c>
      <c r="T3797" t="s">
        <v>4211</v>
      </c>
      <c r="U3797" t="s">
        <v>4212</v>
      </c>
      <c r="V3797" t="s">
        <v>4213</v>
      </c>
      <c r="W3797" t="s">
        <v>4214</v>
      </c>
      <c r="X3797" t="s">
        <v>4213</v>
      </c>
      <c r="Y3797" t="s">
        <v>749</v>
      </c>
      <c r="AD3797" t="s">
        <v>750</v>
      </c>
      <c r="AE3797" t="s">
        <v>751</v>
      </c>
      <c r="AF3797" t="s">
        <v>4217</v>
      </c>
    </row>
    <row r="3798" spans="1:32" hidden="1" x14ac:dyDescent="0.35">
      <c r="A3798">
        <v>2028</v>
      </c>
      <c r="B3798" t="s">
        <v>4208</v>
      </c>
      <c r="C3798" t="s">
        <v>72</v>
      </c>
      <c r="D3798" t="s">
        <v>45</v>
      </c>
      <c r="E3798">
        <v>547</v>
      </c>
      <c r="F3798">
        <v>5</v>
      </c>
      <c r="G3798">
        <v>5</v>
      </c>
      <c r="H3798">
        <v>1</v>
      </c>
      <c r="I3798">
        <v>1</v>
      </c>
      <c r="J3798">
        <v>0.892078071182549</v>
      </c>
      <c r="K3798">
        <v>0.97880490296220601</v>
      </c>
      <c r="L3798">
        <v>0.93343132837873299</v>
      </c>
      <c r="M3798">
        <v>0.78651685393258397</v>
      </c>
      <c r="N3798">
        <v>1</v>
      </c>
      <c r="O3798">
        <v>0.84719101123595497</v>
      </c>
      <c r="P3798" t="s">
        <v>4209</v>
      </c>
      <c r="Q3798" t="s">
        <v>4210</v>
      </c>
      <c r="R3798" t="s">
        <v>224</v>
      </c>
      <c r="S3798" t="s">
        <v>225</v>
      </c>
      <c r="T3798" t="s">
        <v>4211</v>
      </c>
      <c r="U3798" t="s">
        <v>4212</v>
      </c>
      <c r="V3798" t="s">
        <v>4213</v>
      </c>
      <c r="W3798" t="s">
        <v>4214</v>
      </c>
      <c r="X3798" t="s">
        <v>4213</v>
      </c>
      <c r="Y3798" t="s">
        <v>749</v>
      </c>
      <c r="AD3798" t="s">
        <v>750</v>
      </c>
      <c r="AE3798" t="s">
        <v>751</v>
      </c>
      <c r="AF3798" t="s">
        <v>4217</v>
      </c>
    </row>
    <row r="3799" spans="1:32" hidden="1" x14ac:dyDescent="0.35">
      <c r="A3799">
        <v>6173</v>
      </c>
      <c r="B3799" t="s">
        <v>12699</v>
      </c>
      <c r="C3799" t="s">
        <v>68</v>
      </c>
      <c r="D3799" t="s">
        <v>58</v>
      </c>
      <c r="E3799">
        <v>753</v>
      </c>
      <c r="F3799">
        <v>3</v>
      </c>
      <c r="G3799">
        <v>3</v>
      </c>
      <c r="H3799">
        <v>1</v>
      </c>
      <c r="I3799">
        <v>0</v>
      </c>
      <c r="J3799">
        <v>0.83684950773558398</v>
      </c>
      <c r="K3799">
        <v>0.97890960061925703</v>
      </c>
      <c r="L3799">
        <v>0.902322355015577</v>
      </c>
      <c r="M3799">
        <v>0.65663716814159301</v>
      </c>
      <c r="N3799">
        <v>0.98407079646017703</v>
      </c>
      <c r="O3799">
        <v>0.76637168141592904</v>
      </c>
      <c r="P3799" t="s">
        <v>12700</v>
      </c>
      <c r="Q3799" t="s">
        <v>12701</v>
      </c>
      <c r="R3799" t="s">
        <v>652</v>
      </c>
      <c r="S3799" t="s">
        <v>653</v>
      </c>
      <c r="T3799" t="s">
        <v>12702</v>
      </c>
      <c r="U3799" t="s">
        <v>12703</v>
      </c>
      <c r="V3799" t="s">
        <v>12704</v>
      </c>
      <c r="W3799" t="s">
        <v>12705</v>
      </c>
      <c r="AD3799" t="s">
        <v>166</v>
      </c>
      <c r="AE3799" t="s">
        <v>818</v>
      </c>
      <c r="AF3799" t="s">
        <v>12706</v>
      </c>
    </row>
    <row r="3800" spans="1:32" hidden="1" x14ac:dyDescent="0.35">
      <c r="A3800">
        <v>2030</v>
      </c>
      <c r="B3800" t="s">
        <v>4218</v>
      </c>
      <c r="C3800" t="s">
        <v>72</v>
      </c>
      <c r="D3800" t="s">
        <v>60</v>
      </c>
      <c r="E3800">
        <v>810</v>
      </c>
      <c r="F3800">
        <v>5</v>
      </c>
      <c r="G3800">
        <v>5</v>
      </c>
      <c r="H3800">
        <v>1</v>
      </c>
      <c r="I3800">
        <v>1</v>
      </c>
      <c r="J3800">
        <v>0.92301957129543299</v>
      </c>
      <c r="K3800">
        <v>0.98277951406392206</v>
      </c>
      <c r="L3800">
        <v>0.95196259953936202</v>
      </c>
      <c r="M3800">
        <v>0.84432234432234399</v>
      </c>
      <c r="N3800">
        <v>1</v>
      </c>
      <c r="O3800">
        <v>0.88186813186813195</v>
      </c>
      <c r="P3800" t="s">
        <v>1401</v>
      </c>
      <c r="Q3800" t="s">
        <v>1402</v>
      </c>
      <c r="R3800" t="s">
        <v>224</v>
      </c>
      <c r="S3800" t="s">
        <v>225</v>
      </c>
      <c r="T3800" t="s">
        <v>4219</v>
      </c>
      <c r="U3800" t="s">
        <v>4220</v>
      </c>
      <c r="V3800" t="s">
        <v>4221</v>
      </c>
      <c r="W3800" t="s">
        <v>4222</v>
      </c>
      <c r="X3800" t="s">
        <v>4221</v>
      </c>
      <c r="Y3800" t="s">
        <v>773</v>
      </c>
      <c r="AD3800" t="s">
        <v>774</v>
      </c>
      <c r="AE3800" t="s">
        <v>4223</v>
      </c>
      <c r="AF3800" t="s">
        <v>4225</v>
      </c>
    </row>
    <row r="3801" spans="1:32" hidden="1" x14ac:dyDescent="0.35">
      <c r="A3801">
        <v>2031</v>
      </c>
      <c r="B3801" t="s">
        <v>4218</v>
      </c>
      <c r="C3801" t="s">
        <v>72</v>
      </c>
      <c r="D3801" t="s">
        <v>62</v>
      </c>
      <c r="E3801">
        <v>843</v>
      </c>
      <c r="F3801">
        <v>5</v>
      </c>
      <c r="G3801">
        <v>5</v>
      </c>
      <c r="H3801">
        <v>1</v>
      </c>
      <c r="I3801">
        <v>1</v>
      </c>
      <c r="J3801">
        <v>0.92301957129543299</v>
      </c>
      <c r="K3801">
        <v>0.98277951406392206</v>
      </c>
      <c r="L3801">
        <v>0.95196259953936202</v>
      </c>
      <c r="M3801">
        <v>0.84432234432234399</v>
      </c>
      <c r="N3801">
        <v>1</v>
      </c>
      <c r="O3801">
        <v>0.88186813186813195</v>
      </c>
      <c r="P3801" t="s">
        <v>1401</v>
      </c>
      <c r="Q3801" t="s">
        <v>1402</v>
      </c>
      <c r="R3801" t="s">
        <v>224</v>
      </c>
      <c r="S3801" t="s">
        <v>225</v>
      </c>
      <c r="T3801" t="s">
        <v>4219</v>
      </c>
      <c r="U3801" t="s">
        <v>4220</v>
      </c>
      <c r="V3801" t="s">
        <v>4221</v>
      </c>
      <c r="W3801" t="s">
        <v>4222</v>
      </c>
      <c r="X3801" t="s">
        <v>4221</v>
      </c>
      <c r="Y3801" t="s">
        <v>773</v>
      </c>
      <c r="AD3801" t="s">
        <v>774</v>
      </c>
      <c r="AE3801" t="s">
        <v>4223</v>
      </c>
      <c r="AF3801" t="s">
        <v>4225</v>
      </c>
    </row>
    <row r="3802" spans="1:32" hidden="1" x14ac:dyDescent="0.35">
      <c r="A3802">
        <v>2032</v>
      </c>
      <c r="B3802" t="s">
        <v>4218</v>
      </c>
      <c r="C3802" t="s">
        <v>72</v>
      </c>
      <c r="D3802" t="s">
        <v>34</v>
      </c>
      <c r="E3802">
        <v>326</v>
      </c>
      <c r="F3802">
        <v>5</v>
      </c>
      <c r="G3802">
        <v>5</v>
      </c>
      <c r="H3802">
        <v>1</v>
      </c>
      <c r="I3802">
        <v>1</v>
      </c>
      <c r="J3802">
        <v>0.92301957129543299</v>
      </c>
      <c r="K3802">
        <v>0.98277951406392206</v>
      </c>
      <c r="L3802">
        <v>0.95196259953936202</v>
      </c>
      <c r="M3802">
        <v>0.84432234432234399</v>
      </c>
      <c r="N3802">
        <v>1</v>
      </c>
      <c r="O3802">
        <v>0.88186813186813195</v>
      </c>
      <c r="P3802" t="s">
        <v>1401</v>
      </c>
      <c r="Q3802" t="s">
        <v>1402</v>
      </c>
      <c r="R3802" t="s">
        <v>224</v>
      </c>
      <c r="S3802" t="s">
        <v>225</v>
      </c>
      <c r="T3802" t="s">
        <v>4219</v>
      </c>
      <c r="U3802" t="s">
        <v>4220</v>
      </c>
      <c r="V3802" t="s">
        <v>4221</v>
      </c>
      <c r="W3802" t="s">
        <v>4222</v>
      </c>
      <c r="X3802" t="s">
        <v>4221</v>
      </c>
      <c r="Y3802" t="s">
        <v>773</v>
      </c>
      <c r="AD3802" t="s">
        <v>774</v>
      </c>
      <c r="AE3802" t="s">
        <v>4223</v>
      </c>
      <c r="AF3802" t="s">
        <v>4226</v>
      </c>
    </row>
    <row r="3803" spans="1:32" hidden="1" x14ac:dyDescent="0.35">
      <c r="A3803">
        <v>2033</v>
      </c>
      <c r="B3803" t="s">
        <v>4218</v>
      </c>
      <c r="C3803" t="s">
        <v>72</v>
      </c>
      <c r="D3803" t="s">
        <v>45</v>
      </c>
      <c r="E3803">
        <v>1588</v>
      </c>
      <c r="F3803">
        <v>5</v>
      </c>
      <c r="G3803">
        <v>5</v>
      </c>
      <c r="H3803">
        <v>1</v>
      </c>
      <c r="I3803">
        <v>1</v>
      </c>
      <c r="J3803">
        <v>0.92301957129543299</v>
      </c>
      <c r="K3803">
        <v>0.98277951406392206</v>
      </c>
      <c r="L3803">
        <v>0.95196259953936202</v>
      </c>
      <c r="M3803">
        <v>0.84432234432234399</v>
      </c>
      <c r="N3803">
        <v>1</v>
      </c>
      <c r="O3803">
        <v>0.88186813186813195</v>
      </c>
      <c r="P3803" t="s">
        <v>1401</v>
      </c>
      <c r="Q3803" t="s">
        <v>1402</v>
      </c>
      <c r="R3803" t="s">
        <v>224</v>
      </c>
      <c r="S3803" t="s">
        <v>225</v>
      </c>
      <c r="T3803" t="s">
        <v>4219</v>
      </c>
      <c r="U3803" t="s">
        <v>4220</v>
      </c>
      <c r="V3803" t="s">
        <v>4221</v>
      </c>
      <c r="W3803" t="s">
        <v>4222</v>
      </c>
      <c r="X3803" t="s">
        <v>4221</v>
      </c>
      <c r="Y3803" t="s">
        <v>773</v>
      </c>
      <c r="AD3803" t="s">
        <v>774</v>
      </c>
      <c r="AE3803" t="s">
        <v>4223</v>
      </c>
      <c r="AF3803" t="s">
        <v>4227</v>
      </c>
    </row>
    <row r="3804" spans="1:32" hidden="1" x14ac:dyDescent="0.35">
      <c r="A3804">
        <v>1574</v>
      </c>
      <c r="B3804" t="s">
        <v>3301</v>
      </c>
      <c r="C3804" t="s">
        <v>72</v>
      </c>
      <c r="D3804" t="s">
        <v>58</v>
      </c>
      <c r="E3804">
        <v>751</v>
      </c>
      <c r="F3804">
        <v>5</v>
      </c>
      <c r="G3804">
        <v>5</v>
      </c>
      <c r="H3804">
        <v>1</v>
      </c>
      <c r="I3804">
        <v>1</v>
      </c>
      <c r="J3804">
        <v>0.86664084688871701</v>
      </c>
      <c r="K3804">
        <v>0.98376444929117002</v>
      </c>
      <c r="L3804">
        <v>0.92149590928303204</v>
      </c>
      <c r="M3804">
        <v>0.748571428571429</v>
      </c>
      <c r="N3804">
        <v>1</v>
      </c>
      <c r="O3804">
        <v>0.82019047619047603</v>
      </c>
      <c r="P3804" t="s">
        <v>3302</v>
      </c>
      <c r="Q3804" t="s">
        <v>3303</v>
      </c>
      <c r="R3804" t="s">
        <v>652</v>
      </c>
      <c r="S3804" t="s">
        <v>653</v>
      </c>
      <c r="T3804" t="s">
        <v>3304</v>
      </c>
      <c r="U3804" t="s">
        <v>3305</v>
      </c>
      <c r="V3804" t="s">
        <v>3306</v>
      </c>
      <c r="W3804" t="s">
        <v>3307</v>
      </c>
      <c r="AD3804" t="s">
        <v>410</v>
      </c>
      <c r="AE3804" t="s">
        <v>3308</v>
      </c>
      <c r="AF3804" t="s">
        <v>3309</v>
      </c>
    </row>
    <row r="3805" spans="1:32" hidden="1" x14ac:dyDescent="0.35">
      <c r="A3805">
        <v>2065</v>
      </c>
      <c r="B3805" t="s">
        <v>4294</v>
      </c>
      <c r="C3805" t="s">
        <v>72</v>
      </c>
      <c r="D3805" t="s">
        <v>60</v>
      </c>
      <c r="E3805">
        <v>379</v>
      </c>
      <c r="F3805">
        <v>5</v>
      </c>
      <c r="G3805">
        <v>5</v>
      </c>
      <c r="H3805">
        <v>1</v>
      </c>
      <c r="I3805">
        <v>1</v>
      </c>
      <c r="J3805">
        <v>0.88223552894211599</v>
      </c>
      <c r="K3805">
        <v>0.98243059600077598</v>
      </c>
      <c r="L3805">
        <v>0.92964114585200397</v>
      </c>
      <c r="M3805">
        <v>0.79411764705882304</v>
      </c>
      <c r="N3805">
        <v>1</v>
      </c>
      <c r="O3805">
        <v>0.84117647058823497</v>
      </c>
      <c r="P3805" t="s">
        <v>4295</v>
      </c>
      <c r="Q3805" t="s">
        <v>4296</v>
      </c>
      <c r="R3805" t="s">
        <v>224</v>
      </c>
      <c r="S3805" t="s">
        <v>225</v>
      </c>
      <c r="T3805" t="s">
        <v>4297</v>
      </c>
      <c r="U3805" t="s">
        <v>4298</v>
      </c>
      <c r="V3805" t="s">
        <v>4299</v>
      </c>
      <c r="W3805" t="s">
        <v>4300</v>
      </c>
      <c r="X3805" t="s">
        <v>4299</v>
      </c>
      <c r="Y3805" t="s">
        <v>749</v>
      </c>
      <c r="AD3805" t="s">
        <v>762</v>
      </c>
      <c r="AE3805" t="s">
        <v>1545</v>
      </c>
      <c r="AF3805" t="s">
        <v>4302</v>
      </c>
    </row>
    <row r="3806" spans="1:32" hidden="1" x14ac:dyDescent="0.35">
      <c r="A3806">
        <v>2066</v>
      </c>
      <c r="B3806" t="s">
        <v>4294</v>
      </c>
      <c r="C3806" t="s">
        <v>72</v>
      </c>
      <c r="D3806" t="s">
        <v>62</v>
      </c>
      <c r="E3806">
        <v>460</v>
      </c>
      <c r="F3806">
        <v>5</v>
      </c>
      <c r="G3806">
        <v>5</v>
      </c>
      <c r="H3806">
        <v>1</v>
      </c>
      <c r="I3806">
        <v>1</v>
      </c>
      <c r="J3806">
        <v>0.88223552894211599</v>
      </c>
      <c r="K3806">
        <v>0.98243059600077598</v>
      </c>
      <c r="L3806">
        <v>0.92964114585200397</v>
      </c>
      <c r="M3806">
        <v>0.79411764705882304</v>
      </c>
      <c r="N3806">
        <v>1</v>
      </c>
      <c r="O3806">
        <v>0.84117647058823497</v>
      </c>
      <c r="P3806" t="s">
        <v>4295</v>
      </c>
      <c r="Q3806" t="s">
        <v>4296</v>
      </c>
      <c r="R3806" t="s">
        <v>224</v>
      </c>
      <c r="S3806" t="s">
        <v>225</v>
      </c>
      <c r="T3806" t="s">
        <v>4297</v>
      </c>
      <c r="U3806" t="s">
        <v>4298</v>
      </c>
      <c r="V3806" t="s">
        <v>4299</v>
      </c>
      <c r="W3806" t="s">
        <v>4300</v>
      </c>
      <c r="X3806" t="s">
        <v>4299</v>
      </c>
      <c r="Y3806" t="s">
        <v>749</v>
      </c>
      <c r="AD3806" t="s">
        <v>762</v>
      </c>
      <c r="AE3806" t="s">
        <v>1545</v>
      </c>
      <c r="AF3806" t="s">
        <v>4302</v>
      </c>
    </row>
    <row r="3807" spans="1:32" hidden="1" x14ac:dyDescent="0.35">
      <c r="A3807">
        <v>2067</v>
      </c>
      <c r="B3807" t="s">
        <v>4294</v>
      </c>
      <c r="C3807" t="s">
        <v>72</v>
      </c>
      <c r="D3807" t="s">
        <v>34</v>
      </c>
      <c r="E3807">
        <v>732</v>
      </c>
      <c r="F3807">
        <v>5</v>
      </c>
      <c r="G3807">
        <v>5</v>
      </c>
      <c r="H3807">
        <v>1</v>
      </c>
      <c r="I3807">
        <v>1</v>
      </c>
      <c r="J3807">
        <v>0.88223552894211599</v>
      </c>
      <c r="K3807">
        <v>0.98243059600077598</v>
      </c>
      <c r="L3807">
        <v>0.92964114585200397</v>
      </c>
      <c r="M3807">
        <v>0.79411764705882304</v>
      </c>
      <c r="N3807">
        <v>1</v>
      </c>
      <c r="O3807">
        <v>0.84117647058823497</v>
      </c>
      <c r="P3807" t="s">
        <v>4295</v>
      </c>
      <c r="Q3807" t="s">
        <v>4296</v>
      </c>
      <c r="R3807" t="s">
        <v>224</v>
      </c>
      <c r="S3807" t="s">
        <v>225</v>
      </c>
      <c r="T3807" t="s">
        <v>4297</v>
      </c>
      <c r="U3807" t="s">
        <v>4298</v>
      </c>
      <c r="V3807" t="s">
        <v>4299</v>
      </c>
      <c r="W3807" t="s">
        <v>4300</v>
      </c>
      <c r="X3807" t="s">
        <v>4299</v>
      </c>
      <c r="Y3807" t="s">
        <v>749</v>
      </c>
      <c r="AD3807" t="s">
        <v>762</v>
      </c>
      <c r="AE3807" t="s">
        <v>1545</v>
      </c>
      <c r="AF3807" t="s">
        <v>4303</v>
      </c>
    </row>
    <row r="3808" spans="1:32" hidden="1" x14ac:dyDescent="0.35">
      <c r="A3808">
        <v>2068</v>
      </c>
      <c r="B3808" t="s">
        <v>4294</v>
      </c>
      <c r="C3808" t="s">
        <v>72</v>
      </c>
      <c r="D3808" t="s">
        <v>45</v>
      </c>
      <c r="E3808">
        <v>1998</v>
      </c>
      <c r="F3808">
        <v>5</v>
      </c>
      <c r="G3808">
        <v>5</v>
      </c>
      <c r="H3808">
        <v>1</v>
      </c>
      <c r="I3808">
        <v>1</v>
      </c>
      <c r="J3808">
        <v>0.88223552894211599</v>
      </c>
      <c r="K3808">
        <v>0.98243059600077598</v>
      </c>
      <c r="L3808">
        <v>0.92964114585200397</v>
      </c>
      <c r="M3808">
        <v>0.79411764705882304</v>
      </c>
      <c r="N3808">
        <v>1</v>
      </c>
      <c r="O3808">
        <v>0.84117647058823497</v>
      </c>
      <c r="P3808" t="s">
        <v>4295</v>
      </c>
      <c r="Q3808" t="s">
        <v>4296</v>
      </c>
      <c r="R3808" t="s">
        <v>224</v>
      </c>
      <c r="S3808" t="s">
        <v>225</v>
      </c>
      <c r="T3808" t="s">
        <v>4297</v>
      </c>
      <c r="U3808" t="s">
        <v>4298</v>
      </c>
      <c r="V3808" t="s">
        <v>4299</v>
      </c>
      <c r="W3808" t="s">
        <v>4300</v>
      </c>
      <c r="X3808" t="s">
        <v>4299</v>
      </c>
      <c r="Y3808" t="s">
        <v>749</v>
      </c>
      <c r="AD3808" t="s">
        <v>762</v>
      </c>
      <c r="AE3808" t="s">
        <v>1545</v>
      </c>
      <c r="AF3808" t="s">
        <v>4303</v>
      </c>
    </row>
    <row r="3809" spans="1:32" hidden="1" x14ac:dyDescent="0.35">
      <c r="A3809">
        <v>3259</v>
      </c>
      <c r="B3809" t="s">
        <v>6705</v>
      </c>
      <c r="C3809" t="s">
        <v>72</v>
      </c>
      <c r="D3809" t="s">
        <v>58</v>
      </c>
      <c r="E3809">
        <v>750</v>
      </c>
      <c r="F3809">
        <v>5</v>
      </c>
      <c r="G3809">
        <v>5</v>
      </c>
      <c r="H3809">
        <v>1</v>
      </c>
      <c r="I3809">
        <v>1</v>
      </c>
      <c r="J3809">
        <v>0.80285893810870201</v>
      </c>
      <c r="K3809">
        <v>0.92231884057971103</v>
      </c>
      <c r="L3809">
        <v>0.85845289000701597</v>
      </c>
      <c r="M3809">
        <v>0.60606060606060597</v>
      </c>
      <c r="N3809">
        <v>1</v>
      </c>
      <c r="O3809">
        <v>0.70692640692640696</v>
      </c>
      <c r="P3809" t="s">
        <v>3302</v>
      </c>
      <c r="Q3809" t="s">
        <v>3303</v>
      </c>
      <c r="R3809" t="s">
        <v>652</v>
      </c>
      <c r="S3809" t="s">
        <v>653</v>
      </c>
      <c r="T3809" t="s">
        <v>6706</v>
      </c>
      <c r="U3809" t="s">
        <v>6707</v>
      </c>
      <c r="V3809" t="s">
        <v>6708</v>
      </c>
      <c r="W3809" t="s">
        <v>6709</v>
      </c>
      <c r="AD3809" t="s">
        <v>410</v>
      </c>
      <c r="AE3809" t="s">
        <v>3308</v>
      </c>
      <c r="AF3809" t="s">
        <v>6710</v>
      </c>
    </row>
    <row r="3810" spans="1:32" hidden="1" x14ac:dyDescent="0.35">
      <c r="A3810">
        <v>2080</v>
      </c>
      <c r="B3810" t="s">
        <v>4326</v>
      </c>
      <c r="C3810" t="s">
        <v>72</v>
      </c>
      <c r="D3810" t="s">
        <v>60</v>
      </c>
      <c r="E3810">
        <v>1155</v>
      </c>
      <c r="F3810">
        <v>5</v>
      </c>
      <c r="G3810">
        <v>5</v>
      </c>
      <c r="H3810">
        <v>1</v>
      </c>
      <c r="I3810">
        <v>1</v>
      </c>
      <c r="J3810">
        <v>0.96482939632545905</v>
      </c>
      <c r="K3810">
        <v>1</v>
      </c>
      <c r="L3810">
        <v>0.98209991985038703</v>
      </c>
      <c r="M3810">
        <v>0.93700787401574803</v>
      </c>
      <c r="N3810">
        <v>1</v>
      </c>
      <c r="O3810">
        <v>0.95118110236220499</v>
      </c>
      <c r="P3810" t="s">
        <v>4327</v>
      </c>
      <c r="Q3810" t="s">
        <v>4328</v>
      </c>
      <c r="R3810" t="s">
        <v>224</v>
      </c>
      <c r="S3810" t="s">
        <v>225</v>
      </c>
      <c r="T3810" t="s">
        <v>4329</v>
      </c>
      <c r="U3810" t="s">
        <v>4330</v>
      </c>
      <c r="V3810" t="s">
        <v>4331</v>
      </c>
      <c r="W3810" t="s">
        <v>4332</v>
      </c>
      <c r="X3810" t="s">
        <v>4331</v>
      </c>
      <c r="Y3810" t="s">
        <v>749</v>
      </c>
      <c r="AD3810" t="s">
        <v>750</v>
      </c>
      <c r="AE3810" t="s">
        <v>751</v>
      </c>
      <c r="AF3810" t="s">
        <v>4334</v>
      </c>
    </row>
    <row r="3811" spans="1:32" hidden="1" x14ac:dyDescent="0.35">
      <c r="A3811">
        <v>2081</v>
      </c>
      <c r="B3811" t="s">
        <v>4326</v>
      </c>
      <c r="C3811" t="s">
        <v>72</v>
      </c>
      <c r="D3811" t="s">
        <v>62</v>
      </c>
      <c r="E3811">
        <v>1192</v>
      </c>
      <c r="F3811">
        <v>5</v>
      </c>
      <c r="G3811">
        <v>5</v>
      </c>
      <c r="H3811">
        <v>1</v>
      </c>
      <c r="I3811">
        <v>1</v>
      </c>
      <c r="J3811">
        <v>0.96482939632545905</v>
      </c>
      <c r="K3811">
        <v>1</v>
      </c>
      <c r="L3811">
        <v>0.98209991985038703</v>
      </c>
      <c r="M3811">
        <v>0.93700787401574803</v>
      </c>
      <c r="N3811">
        <v>1</v>
      </c>
      <c r="O3811">
        <v>0.95118110236220499</v>
      </c>
      <c r="P3811" t="s">
        <v>4327</v>
      </c>
      <c r="Q3811" t="s">
        <v>4328</v>
      </c>
      <c r="R3811" t="s">
        <v>224</v>
      </c>
      <c r="S3811" t="s">
        <v>225</v>
      </c>
      <c r="T3811" t="s">
        <v>4329</v>
      </c>
      <c r="U3811" t="s">
        <v>4330</v>
      </c>
      <c r="V3811" t="s">
        <v>4331</v>
      </c>
      <c r="W3811" t="s">
        <v>4332</v>
      </c>
      <c r="X3811" t="s">
        <v>4331</v>
      </c>
      <c r="Y3811" t="s">
        <v>749</v>
      </c>
      <c r="AD3811" t="s">
        <v>750</v>
      </c>
      <c r="AE3811" t="s">
        <v>751</v>
      </c>
      <c r="AF3811" t="s">
        <v>4334</v>
      </c>
    </row>
    <row r="3812" spans="1:32" hidden="1" x14ac:dyDescent="0.35">
      <c r="A3812">
        <v>2082</v>
      </c>
      <c r="B3812" t="s">
        <v>4326</v>
      </c>
      <c r="C3812" t="s">
        <v>72</v>
      </c>
      <c r="D3812" t="s">
        <v>34</v>
      </c>
      <c r="E3812">
        <v>2520</v>
      </c>
      <c r="F3812">
        <v>5</v>
      </c>
      <c r="G3812">
        <v>5</v>
      </c>
      <c r="H3812">
        <v>1</v>
      </c>
      <c r="I3812">
        <v>1</v>
      </c>
      <c r="J3812">
        <v>0.96482939632545905</v>
      </c>
      <c r="K3812">
        <v>1</v>
      </c>
      <c r="L3812">
        <v>0.98209991985038703</v>
      </c>
      <c r="M3812">
        <v>0.93700787401574803</v>
      </c>
      <c r="N3812">
        <v>1</v>
      </c>
      <c r="O3812">
        <v>0.95118110236220499</v>
      </c>
      <c r="P3812" t="s">
        <v>4327</v>
      </c>
      <c r="Q3812" t="s">
        <v>4328</v>
      </c>
      <c r="R3812" t="s">
        <v>224</v>
      </c>
      <c r="S3812" t="s">
        <v>225</v>
      </c>
      <c r="T3812" t="s">
        <v>4329</v>
      </c>
      <c r="U3812" t="s">
        <v>4330</v>
      </c>
      <c r="V3812" t="s">
        <v>4331</v>
      </c>
      <c r="W3812" t="s">
        <v>4332</v>
      </c>
      <c r="X3812" t="s">
        <v>4331</v>
      </c>
      <c r="Y3812" t="s">
        <v>749</v>
      </c>
      <c r="AD3812" t="s">
        <v>750</v>
      </c>
      <c r="AE3812" t="s">
        <v>751</v>
      </c>
      <c r="AF3812" t="s">
        <v>4335</v>
      </c>
    </row>
    <row r="3813" spans="1:32" hidden="1" x14ac:dyDescent="0.35">
      <c r="A3813">
        <v>2083</v>
      </c>
      <c r="B3813" t="s">
        <v>4326</v>
      </c>
      <c r="C3813" t="s">
        <v>72</v>
      </c>
      <c r="D3813" t="s">
        <v>45</v>
      </c>
      <c r="E3813">
        <v>1246</v>
      </c>
      <c r="F3813">
        <v>5</v>
      </c>
      <c r="G3813">
        <v>5</v>
      </c>
      <c r="H3813">
        <v>1</v>
      </c>
      <c r="I3813">
        <v>1</v>
      </c>
      <c r="J3813">
        <v>0.96482939632545905</v>
      </c>
      <c r="K3813">
        <v>1</v>
      </c>
      <c r="L3813">
        <v>0.98209991985038703</v>
      </c>
      <c r="M3813">
        <v>0.93700787401574803</v>
      </c>
      <c r="N3813">
        <v>1</v>
      </c>
      <c r="O3813">
        <v>0.95118110236220499</v>
      </c>
      <c r="P3813" t="s">
        <v>4327</v>
      </c>
      <c r="Q3813" t="s">
        <v>4328</v>
      </c>
      <c r="R3813" t="s">
        <v>224</v>
      </c>
      <c r="S3813" t="s">
        <v>225</v>
      </c>
      <c r="T3813" t="s">
        <v>4329</v>
      </c>
      <c r="U3813" t="s">
        <v>4330</v>
      </c>
      <c r="V3813" t="s">
        <v>4331</v>
      </c>
      <c r="W3813" t="s">
        <v>4332</v>
      </c>
      <c r="X3813" t="s">
        <v>4331</v>
      </c>
      <c r="Y3813" t="s">
        <v>749</v>
      </c>
      <c r="AD3813" t="s">
        <v>750</v>
      </c>
      <c r="AE3813" t="s">
        <v>751</v>
      </c>
      <c r="AF3813" t="s">
        <v>4335</v>
      </c>
    </row>
    <row r="3814" spans="1:32" hidden="1" x14ac:dyDescent="0.35">
      <c r="A3814">
        <v>4114</v>
      </c>
      <c r="B3814" t="s">
        <v>8506</v>
      </c>
      <c r="C3814" t="s">
        <v>72</v>
      </c>
      <c r="D3814" t="s">
        <v>58</v>
      </c>
      <c r="E3814">
        <v>1401</v>
      </c>
      <c r="F3814">
        <v>5</v>
      </c>
      <c r="G3814">
        <v>5</v>
      </c>
      <c r="H3814">
        <v>1</v>
      </c>
      <c r="I3814">
        <v>1</v>
      </c>
      <c r="J3814">
        <v>0.86875307225954401</v>
      </c>
      <c r="K3814">
        <v>0.99078898743533095</v>
      </c>
      <c r="L3814">
        <v>0.92576661259988302</v>
      </c>
      <c r="M3814">
        <v>0.73863636363636398</v>
      </c>
      <c r="N3814">
        <v>0.99837662337662303</v>
      </c>
      <c r="O3814">
        <v>0.80568181818181805</v>
      </c>
      <c r="P3814" t="s">
        <v>3179</v>
      </c>
      <c r="Q3814" t="s">
        <v>3180</v>
      </c>
      <c r="R3814" t="s">
        <v>75</v>
      </c>
      <c r="S3814" t="s">
        <v>76</v>
      </c>
      <c r="T3814" t="s">
        <v>8374</v>
      </c>
      <c r="U3814" t="s">
        <v>8375</v>
      </c>
      <c r="V3814" t="s">
        <v>8507</v>
      </c>
      <c r="W3814" t="s">
        <v>8508</v>
      </c>
      <c r="Z3814" t="s">
        <v>8376</v>
      </c>
      <c r="AA3814" t="s">
        <v>8377</v>
      </c>
      <c r="AB3814" t="s">
        <v>8376</v>
      </c>
      <c r="AC3814" t="s">
        <v>146</v>
      </c>
      <c r="AD3814" t="s">
        <v>8378</v>
      </c>
      <c r="AE3814" t="s">
        <v>8379</v>
      </c>
      <c r="AF3814" t="s">
        <v>8509</v>
      </c>
    </row>
    <row r="3815" spans="1:32" hidden="1" x14ac:dyDescent="0.35">
      <c r="A3815">
        <v>2085</v>
      </c>
      <c r="B3815" t="s">
        <v>4336</v>
      </c>
      <c r="C3815" t="s">
        <v>72</v>
      </c>
      <c r="D3815" t="s">
        <v>60</v>
      </c>
      <c r="E3815">
        <v>765</v>
      </c>
      <c r="F3815">
        <v>5</v>
      </c>
      <c r="G3815">
        <v>5</v>
      </c>
      <c r="H3815">
        <v>1</v>
      </c>
      <c r="I3815">
        <v>1</v>
      </c>
      <c r="J3815">
        <v>0.99012345679012304</v>
      </c>
      <c r="K3815">
        <v>1</v>
      </c>
      <c r="L3815">
        <v>0.99503722084367197</v>
      </c>
      <c r="M3815">
        <v>0.94444444444444398</v>
      </c>
      <c r="N3815">
        <v>1</v>
      </c>
      <c r="O3815">
        <v>0.97037037037036999</v>
      </c>
      <c r="P3815" t="s">
        <v>4337</v>
      </c>
      <c r="Q3815" t="s">
        <v>4338</v>
      </c>
      <c r="R3815" t="s">
        <v>224</v>
      </c>
      <c r="S3815" t="s">
        <v>225</v>
      </c>
      <c r="T3815" t="s">
        <v>4339</v>
      </c>
      <c r="U3815" t="s">
        <v>4340</v>
      </c>
      <c r="V3815" t="s">
        <v>4341</v>
      </c>
      <c r="W3815" t="s">
        <v>4342</v>
      </c>
      <c r="X3815" t="s">
        <v>4341</v>
      </c>
      <c r="Y3815" t="s">
        <v>749</v>
      </c>
      <c r="AD3815" t="s">
        <v>750</v>
      </c>
      <c r="AE3815" t="s">
        <v>751</v>
      </c>
      <c r="AF3815" t="s">
        <v>4344</v>
      </c>
    </row>
    <row r="3816" spans="1:32" hidden="1" x14ac:dyDescent="0.35">
      <c r="A3816">
        <v>2086</v>
      </c>
      <c r="B3816" t="s">
        <v>4336</v>
      </c>
      <c r="C3816" t="s">
        <v>72</v>
      </c>
      <c r="D3816" t="s">
        <v>62</v>
      </c>
      <c r="E3816">
        <v>798</v>
      </c>
      <c r="F3816">
        <v>5</v>
      </c>
      <c r="G3816">
        <v>5</v>
      </c>
      <c r="H3816">
        <v>1</v>
      </c>
      <c r="I3816">
        <v>1</v>
      </c>
      <c r="J3816">
        <v>0.99012345679012304</v>
      </c>
      <c r="K3816">
        <v>1</v>
      </c>
      <c r="L3816">
        <v>0.99503722084367197</v>
      </c>
      <c r="M3816">
        <v>0.94444444444444398</v>
      </c>
      <c r="N3816">
        <v>1</v>
      </c>
      <c r="O3816">
        <v>0.97037037037036999</v>
      </c>
      <c r="P3816" t="s">
        <v>4337</v>
      </c>
      <c r="Q3816" t="s">
        <v>4338</v>
      </c>
      <c r="R3816" t="s">
        <v>224</v>
      </c>
      <c r="S3816" t="s">
        <v>225</v>
      </c>
      <c r="T3816" t="s">
        <v>4339</v>
      </c>
      <c r="U3816" t="s">
        <v>4340</v>
      </c>
      <c r="V3816" t="s">
        <v>4341</v>
      </c>
      <c r="W3816" t="s">
        <v>4342</v>
      </c>
      <c r="X3816" t="s">
        <v>4341</v>
      </c>
      <c r="Y3816" t="s">
        <v>749</v>
      </c>
      <c r="AD3816" t="s">
        <v>750</v>
      </c>
      <c r="AE3816" t="s">
        <v>751</v>
      </c>
      <c r="AF3816" t="s">
        <v>4344</v>
      </c>
    </row>
    <row r="3817" spans="1:32" hidden="1" x14ac:dyDescent="0.35">
      <c r="A3817">
        <v>2087</v>
      </c>
      <c r="B3817" t="s">
        <v>4336</v>
      </c>
      <c r="C3817" t="s">
        <v>72</v>
      </c>
      <c r="D3817" t="s">
        <v>34</v>
      </c>
      <c r="E3817">
        <v>368</v>
      </c>
      <c r="F3817">
        <v>5</v>
      </c>
      <c r="G3817">
        <v>5</v>
      </c>
      <c r="H3817">
        <v>1</v>
      </c>
      <c r="I3817">
        <v>1</v>
      </c>
      <c r="J3817">
        <v>0.99012345679012304</v>
      </c>
      <c r="K3817">
        <v>1</v>
      </c>
      <c r="L3817">
        <v>0.99503722084367197</v>
      </c>
      <c r="M3817">
        <v>0.94444444444444398</v>
      </c>
      <c r="N3817">
        <v>1</v>
      </c>
      <c r="O3817">
        <v>0.97037037037036999</v>
      </c>
      <c r="P3817" t="s">
        <v>4337</v>
      </c>
      <c r="Q3817" t="s">
        <v>4338</v>
      </c>
      <c r="R3817" t="s">
        <v>224</v>
      </c>
      <c r="S3817" t="s">
        <v>225</v>
      </c>
      <c r="T3817" t="s">
        <v>4339</v>
      </c>
      <c r="U3817" t="s">
        <v>4340</v>
      </c>
      <c r="V3817" t="s">
        <v>4341</v>
      </c>
      <c r="W3817" t="s">
        <v>4342</v>
      </c>
      <c r="X3817" t="s">
        <v>4341</v>
      </c>
      <c r="Y3817" t="s">
        <v>749</v>
      </c>
      <c r="AD3817" t="s">
        <v>750</v>
      </c>
      <c r="AE3817" t="s">
        <v>751</v>
      </c>
      <c r="AF3817" t="s">
        <v>4345</v>
      </c>
    </row>
    <row r="3818" spans="1:32" hidden="1" x14ac:dyDescent="0.35">
      <c r="A3818">
        <v>2088</v>
      </c>
      <c r="B3818" t="s">
        <v>4336</v>
      </c>
      <c r="C3818" t="s">
        <v>72</v>
      </c>
      <c r="D3818" t="s">
        <v>45</v>
      </c>
      <c r="E3818">
        <v>1630</v>
      </c>
      <c r="F3818">
        <v>5</v>
      </c>
      <c r="G3818">
        <v>5</v>
      </c>
      <c r="H3818">
        <v>1</v>
      </c>
      <c r="I3818">
        <v>1</v>
      </c>
      <c r="J3818">
        <v>0.99012345679012304</v>
      </c>
      <c r="K3818">
        <v>1</v>
      </c>
      <c r="L3818">
        <v>0.99503722084367197</v>
      </c>
      <c r="M3818">
        <v>0.94444444444444398</v>
      </c>
      <c r="N3818">
        <v>1</v>
      </c>
      <c r="O3818">
        <v>0.97037037037036999</v>
      </c>
      <c r="P3818" t="s">
        <v>4337</v>
      </c>
      <c r="Q3818" t="s">
        <v>4338</v>
      </c>
      <c r="R3818" t="s">
        <v>224</v>
      </c>
      <c r="S3818" t="s">
        <v>225</v>
      </c>
      <c r="T3818" t="s">
        <v>4339</v>
      </c>
      <c r="U3818" t="s">
        <v>4340</v>
      </c>
      <c r="V3818" t="s">
        <v>4341</v>
      </c>
      <c r="W3818" t="s">
        <v>4342</v>
      </c>
      <c r="X3818" t="s">
        <v>4341</v>
      </c>
      <c r="Y3818" t="s">
        <v>749</v>
      </c>
      <c r="AD3818" t="s">
        <v>750</v>
      </c>
      <c r="AE3818" t="s">
        <v>751</v>
      </c>
      <c r="AF3818" t="s">
        <v>4345</v>
      </c>
    </row>
    <row r="3819" spans="1:32" hidden="1" x14ac:dyDescent="0.35">
      <c r="A3819">
        <v>11072</v>
      </c>
      <c r="B3819" t="s">
        <v>22404</v>
      </c>
      <c r="C3819" t="s">
        <v>33</v>
      </c>
      <c r="D3819" t="s">
        <v>58</v>
      </c>
      <c r="E3819">
        <v>584</v>
      </c>
      <c r="F3819">
        <v>1</v>
      </c>
      <c r="G3819">
        <v>1</v>
      </c>
      <c r="H3819">
        <v>1</v>
      </c>
      <c r="I3819">
        <v>0</v>
      </c>
      <c r="J3819">
        <v>1</v>
      </c>
      <c r="K3819">
        <v>1</v>
      </c>
      <c r="L3819">
        <v>1</v>
      </c>
      <c r="M3819">
        <v>0</v>
      </c>
      <c r="N3819">
        <v>0</v>
      </c>
      <c r="O3819">
        <v>0</v>
      </c>
      <c r="P3819" t="s">
        <v>22405</v>
      </c>
      <c r="Q3819" t="s">
        <v>22406</v>
      </c>
      <c r="R3819" t="s">
        <v>235</v>
      </c>
      <c r="S3819" t="s">
        <v>236</v>
      </c>
      <c r="T3819" t="s">
        <v>17067</v>
      </c>
      <c r="U3819" t="s">
        <v>17068</v>
      </c>
      <c r="V3819" t="s">
        <v>17069</v>
      </c>
      <c r="W3819" t="s">
        <v>17070</v>
      </c>
      <c r="Z3819" t="s">
        <v>17071</v>
      </c>
      <c r="AA3819" t="s">
        <v>17072</v>
      </c>
      <c r="AB3819" t="s">
        <v>17071</v>
      </c>
      <c r="AC3819" t="s">
        <v>7049</v>
      </c>
      <c r="AD3819" t="s">
        <v>245</v>
      </c>
      <c r="AE3819" t="s">
        <v>17073</v>
      </c>
      <c r="AF3819" t="s">
        <v>22407</v>
      </c>
    </row>
    <row r="3820" spans="1:32" hidden="1" x14ac:dyDescent="0.35">
      <c r="A3820">
        <v>2105</v>
      </c>
      <c r="B3820" t="s">
        <v>4377</v>
      </c>
      <c r="C3820" t="s">
        <v>72</v>
      </c>
      <c r="D3820" t="s">
        <v>60</v>
      </c>
      <c r="E3820">
        <v>1758</v>
      </c>
      <c r="F3820">
        <v>5</v>
      </c>
      <c r="G3820">
        <v>5</v>
      </c>
      <c r="H3820">
        <v>1</v>
      </c>
      <c r="I3820">
        <v>1</v>
      </c>
      <c r="J3820">
        <v>0.788406682966585</v>
      </c>
      <c r="K3820">
        <v>0.94747759068442505</v>
      </c>
      <c r="L3820">
        <v>0.86065376107769098</v>
      </c>
      <c r="M3820">
        <v>0.59537572254335303</v>
      </c>
      <c r="N3820">
        <v>1</v>
      </c>
      <c r="O3820">
        <v>0.70491329479768805</v>
      </c>
      <c r="P3820" t="s">
        <v>4378</v>
      </c>
      <c r="Q3820" t="s">
        <v>4379</v>
      </c>
      <c r="R3820" t="s">
        <v>224</v>
      </c>
      <c r="S3820" t="s">
        <v>225</v>
      </c>
      <c r="T3820" t="s">
        <v>4380</v>
      </c>
      <c r="U3820" t="s">
        <v>4381</v>
      </c>
      <c r="V3820" t="s">
        <v>4382</v>
      </c>
      <c r="W3820" t="s">
        <v>4383</v>
      </c>
      <c r="X3820" t="s">
        <v>4382</v>
      </c>
      <c r="Y3820" t="s">
        <v>2715</v>
      </c>
      <c r="AD3820" t="s">
        <v>1170</v>
      </c>
      <c r="AE3820" t="s">
        <v>4384</v>
      </c>
      <c r="AF3820" t="s">
        <v>4385</v>
      </c>
    </row>
    <row r="3821" spans="1:32" hidden="1" x14ac:dyDescent="0.35">
      <c r="A3821">
        <v>2106</v>
      </c>
      <c r="B3821" t="s">
        <v>4377</v>
      </c>
      <c r="C3821" t="s">
        <v>72</v>
      </c>
      <c r="D3821" t="s">
        <v>62</v>
      </c>
      <c r="E3821">
        <v>1794</v>
      </c>
      <c r="F3821">
        <v>5</v>
      </c>
      <c r="G3821">
        <v>5</v>
      </c>
      <c r="H3821">
        <v>1</v>
      </c>
      <c r="I3821">
        <v>1</v>
      </c>
      <c r="J3821">
        <v>0.788406682966585</v>
      </c>
      <c r="K3821">
        <v>0.94747759068442505</v>
      </c>
      <c r="L3821">
        <v>0.86065376107769098</v>
      </c>
      <c r="M3821">
        <v>0.59537572254335303</v>
      </c>
      <c r="N3821">
        <v>1</v>
      </c>
      <c r="O3821">
        <v>0.70491329479768805</v>
      </c>
      <c r="P3821" t="s">
        <v>4378</v>
      </c>
      <c r="Q3821" t="s">
        <v>4379</v>
      </c>
      <c r="R3821" t="s">
        <v>224</v>
      </c>
      <c r="S3821" t="s">
        <v>225</v>
      </c>
      <c r="T3821" t="s">
        <v>4380</v>
      </c>
      <c r="U3821" t="s">
        <v>4381</v>
      </c>
      <c r="V3821" t="s">
        <v>4382</v>
      </c>
      <c r="W3821" t="s">
        <v>4383</v>
      </c>
      <c r="X3821" t="s">
        <v>4382</v>
      </c>
      <c r="Y3821" t="s">
        <v>2715</v>
      </c>
      <c r="AD3821" t="s">
        <v>1170</v>
      </c>
      <c r="AE3821" t="s">
        <v>4384</v>
      </c>
      <c r="AF3821" t="s">
        <v>4385</v>
      </c>
    </row>
    <row r="3822" spans="1:32" hidden="1" x14ac:dyDescent="0.35">
      <c r="A3822">
        <v>2107</v>
      </c>
      <c r="B3822" t="s">
        <v>4377</v>
      </c>
      <c r="C3822" t="s">
        <v>72</v>
      </c>
      <c r="D3822" t="s">
        <v>34</v>
      </c>
      <c r="E3822">
        <v>2125</v>
      </c>
      <c r="F3822">
        <v>5</v>
      </c>
      <c r="G3822">
        <v>5</v>
      </c>
      <c r="H3822">
        <v>1</v>
      </c>
      <c r="I3822">
        <v>1</v>
      </c>
      <c r="J3822">
        <v>0.788406682966585</v>
      </c>
      <c r="K3822">
        <v>0.94747759068442505</v>
      </c>
      <c r="L3822">
        <v>0.86065376107769098</v>
      </c>
      <c r="M3822">
        <v>0.59537572254335303</v>
      </c>
      <c r="N3822">
        <v>1</v>
      </c>
      <c r="O3822">
        <v>0.70491329479768805</v>
      </c>
      <c r="P3822" t="s">
        <v>4378</v>
      </c>
      <c r="Q3822" t="s">
        <v>4379</v>
      </c>
      <c r="R3822" t="s">
        <v>224</v>
      </c>
      <c r="S3822" t="s">
        <v>225</v>
      </c>
      <c r="T3822" t="s">
        <v>4380</v>
      </c>
      <c r="U3822" t="s">
        <v>4381</v>
      </c>
      <c r="V3822" t="s">
        <v>4382</v>
      </c>
      <c r="W3822" t="s">
        <v>4383</v>
      </c>
      <c r="X3822" t="s">
        <v>4382</v>
      </c>
      <c r="Y3822" t="s">
        <v>2715</v>
      </c>
      <c r="AD3822" t="s">
        <v>1170</v>
      </c>
      <c r="AE3822" t="s">
        <v>4384</v>
      </c>
      <c r="AF3822" t="s">
        <v>4386</v>
      </c>
    </row>
    <row r="3823" spans="1:32" hidden="1" x14ac:dyDescent="0.35">
      <c r="A3823">
        <v>2108</v>
      </c>
      <c r="B3823" t="s">
        <v>4377</v>
      </c>
      <c r="C3823" t="s">
        <v>72</v>
      </c>
      <c r="D3823" t="s">
        <v>45</v>
      </c>
      <c r="E3823">
        <v>747</v>
      </c>
      <c r="F3823">
        <v>5</v>
      </c>
      <c r="G3823">
        <v>5</v>
      </c>
      <c r="H3823">
        <v>1</v>
      </c>
      <c r="I3823">
        <v>1</v>
      </c>
      <c r="J3823">
        <v>0.788406682966585</v>
      </c>
      <c r="K3823">
        <v>0.94747759068442505</v>
      </c>
      <c r="L3823">
        <v>0.86065376107769098</v>
      </c>
      <c r="M3823">
        <v>0.59537572254335303</v>
      </c>
      <c r="N3823">
        <v>1</v>
      </c>
      <c r="O3823">
        <v>0.70491329479768805</v>
      </c>
      <c r="P3823" t="s">
        <v>4378</v>
      </c>
      <c r="Q3823" t="s">
        <v>4379</v>
      </c>
      <c r="R3823" t="s">
        <v>224</v>
      </c>
      <c r="S3823" t="s">
        <v>225</v>
      </c>
      <c r="T3823" t="s">
        <v>4380</v>
      </c>
      <c r="U3823" t="s">
        <v>4381</v>
      </c>
      <c r="V3823" t="s">
        <v>4382</v>
      </c>
      <c r="W3823" t="s">
        <v>4383</v>
      </c>
      <c r="X3823" t="s">
        <v>4382</v>
      </c>
      <c r="Y3823" t="s">
        <v>2715</v>
      </c>
      <c r="AD3823" t="s">
        <v>1170</v>
      </c>
      <c r="AE3823" t="s">
        <v>4384</v>
      </c>
      <c r="AF3823" t="s">
        <v>4387</v>
      </c>
    </row>
    <row r="3824" spans="1:32" hidden="1" x14ac:dyDescent="0.35">
      <c r="A3824">
        <v>11288</v>
      </c>
      <c r="B3824" t="s">
        <v>22974</v>
      </c>
      <c r="C3824" t="s">
        <v>33</v>
      </c>
      <c r="D3824" t="s">
        <v>58</v>
      </c>
      <c r="E3824">
        <v>583</v>
      </c>
      <c r="F3824">
        <v>1</v>
      </c>
      <c r="G3824">
        <v>1</v>
      </c>
      <c r="H3824">
        <v>1</v>
      </c>
      <c r="I3824">
        <v>0</v>
      </c>
      <c r="J3824">
        <v>1</v>
      </c>
      <c r="K3824">
        <v>1</v>
      </c>
      <c r="L3824">
        <v>1</v>
      </c>
      <c r="M3824">
        <v>0</v>
      </c>
      <c r="N3824">
        <v>0</v>
      </c>
      <c r="O3824">
        <v>0</v>
      </c>
      <c r="R3824" t="s">
        <v>235</v>
      </c>
      <c r="S3824" t="s">
        <v>236</v>
      </c>
      <c r="V3824" t="s">
        <v>17069</v>
      </c>
      <c r="W3824" t="s">
        <v>17070</v>
      </c>
      <c r="AF3824" t="s">
        <v>22975</v>
      </c>
    </row>
    <row r="3825" spans="1:32" hidden="1" x14ac:dyDescent="0.35">
      <c r="A3825">
        <v>2145</v>
      </c>
      <c r="B3825" t="s">
        <v>4456</v>
      </c>
      <c r="C3825" t="s">
        <v>72</v>
      </c>
      <c r="D3825" t="s">
        <v>60</v>
      </c>
      <c r="E3825">
        <v>1607</v>
      </c>
      <c r="F3825">
        <v>5</v>
      </c>
      <c r="G3825">
        <v>5</v>
      </c>
      <c r="H3825">
        <v>1</v>
      </c>
      <c r="I3825">
        <v>1</v>
      </c>
      <c r="J3825">
        <v>0.90522757455028402</v>
      </c>
      <c r="K3825">
        <v>0.92958330508665898</v>
      </c>
      <c r="L3825">
        <v>0.91724378784208904</v>
      </c>
      <c r="M3825">
        <v>0.75503355704698005</v>
      </c>
      <c r="N3825">
        <v>1</v>
      </c>
      <c r="O3825">
        <v>0.82651006711409403</v>
      </c>
      <c r="P3825" t="s">
        <v>4457</v>
      </c>
      <c r="Q3825" t="s">
        <v>4458</v>
      </c>
      <c r="R3825" t="s">
        <v>224</v>
      </c>
      <c r="S3825" t="s">
        <v>225</v>
      </c>
      <c r="T3825" t="s">
        <v>4459</v>
      </c>
      <c r="U3825" t="s">
        <v>4460</v>
      </c>
      <c r="V3825" t="s">
        <v>4461</v>
      </c>
      <c r="W3825" t="s">
        <v>4462</v>
      </c>
      <c r="X3825" t="s">
        <v>4461</v>
      </c>
      <c r="Y3825" t="s">
        <v>761</v>
      </c>
      <c r="AD3825" t="s">
        <v>762</v>
      </c>
      <c r="AE3825" t="s">
        <v>763</v>
      </c>
      <c r="AF3825" t="s">
        <v>4464</v>
      </c>
    </row>
    <row r="3826" spans="1:32" hidden="1" x14ac:dyDescent="0.35">
      <c r="A3826">
        <v>2146</v>
      </c>
      <c r="B3826" t="s">
        <v>4456</v>
      </c>
      <c r="C3826" t="s">
        <v>72</v>
      </c>
      <c r="D3826" t="s">
        <v>62</v>
      </c>
      <c r="E3826">
        <v>1643</v>
      </c>
      <c r="F3826">
        <v>5</v>
      </c>
      <c r="G3826">
        <v>5</v>
      </c>
      <c r="H3826">
        <v>1</v>
      </c>
      <c r="I3826">
        <v>1</v>
      </c>
      <c r="J3826">
        <v>0.90522757455028402</v>
      </c>
      <c r="K3826">
        <v>0.92958330508665898</v>
      </c>
      <c r="L3826">
        <v>0.91724378784208904</v>
      </c>
      <c r="M3826">
        <v>0.75503355704698005</v>
      </c>
      <c r="N3826">
        <v>1</v>
      </c>
      <c r="O3826">
        <v>0.82651006711409403</v>
      </c>
      <c r="P3826" t="s">
        <v>4457</v>
      </c>
      <c r="Q3826" t="s">
        <v>4458</v>
      </c>
      <c r="R3826" t="s">
        <v>224</v>
      </c>
      <c r="S3826" t="s">
        <v>225</v>
      </c>
      <c r="T3826" t="s">
        <v>4459</v>
      </c>
      <c r="U3826" t="s">
        <v>4460</v>
      </c>
      <c r="V3826" t="s">
        <v>4461</v>
      </c>
      <c r="W3826" t="s">
        <v>4462</v>
      </c>
      <c r="X3826" t="s">
        <v>4461</v>
      </c>
      <c r="Y3826" t="s">
        <v>761</v>
      </c>
      <c r="AD3826" t="s">
        <v>762</v>
      </c>
      <c r="AE3826" t="s">
        <v>763</v>
      </c>
      <c r="AF3826" t="s">
        <v>4464</v>
      </c>
    </row>
    <row r="3827" spans="1:32" hidden="1" x14ac:dyDescent="0.35">
      <c r="A3827">
        <v>2147</v>
      </c>
      <c r="B3827" t="s">
        <v>4456</v>
      </c>
      <c r="C3827" t="s">
        <v>72</v>
      </c>
      <c r="D3827" t="s">
        <v>34</v>
      </c>
      <c r="E3827">
        <v>2000</v>
      </c>
      <c r="F3827">
        <v>5</v>
      </c>
      <c r="G3827">
        <v>5</v>
      </c>
      <c r="H3827">
        <v>1</v>
      </c>
      <c r="I3827">
        <v>1</v>
      </c>
      <c r="J3827">
        <v>0.90522757455028402</v>
      </c>
      <c r="K3827">
        <v>0.92958330508665898</v>
      </c>
      <c r="L3827">
        <v>0.91724378784208904</v>
      </c>
      <c r="M3827">
        <v>0.75503355704698005</v>
      </c>
      <c r="N3827">
        <v>1</v>
      </c>
      <c r="O3827">
        <v>0.82651006711409403</v>
      </c>
      <c r="P3827" t="s">
        <v>4457</v>
      </c>
      <c r="Q3827" t="s">
        <v>4458</v>
      </c>
      <c r="R3827" t="s">
        <v>224</v>
      </c>
      <c r="S3827" t="s">
        <v>225</v>
      </c>
      <c r="T3827" t="s">
        <v>4459</v>
      </c>
      <c r="U3827" t="s">
        <v>4460</v>
      </c>
      <c r="V3827" t="s">
        <v>4461</v>
      </c>
      <c r="W3827" t="s">
        <v>4462</v>
      </c>
      <c r="X3827" t="s">
        <v>4461</v>
      </c>
      <c r="Y3827" t="s">
        <v>761</v>
      </c>
      <c r="AD3827" t="s">
        <v>762</v>
      </c>
      <c r="AE3827" t="s">
        <v>763</v>
      </c>
      <c r="AF3827" t="s">
        <v>4465</v>
      </c>
    </row>
    <row r="3828" spans="1:32" hidden="1" x14ac:dyDescent="0.35">
      <c r="A3828">
        <v>2148</v>
      </c>
      <c r="B3828" t="s">
        <v>4456</v>
      </c>
      <c r="C3828" t="s">
        <v>72</v>
      </c>
      <c r="D3828" t="s">
        <v>45</v>
      </c>
      <c r="E3828">
        <v>873</v>
      </c>
      <c r="F3828">
        <v>5</v>
      </c>
      <c r="G3828">
        <v>5</v>
      </c>
      <c r="H3828">
        <v>1</v>
      </c>
      <c r="I3828">
        <v>1</v>
      </c>
      <c r="J3828">
        <v>0.90522757455028402</v>
      </c>
      <c r="K3828">
        <v>0.92958330508665898</v>
      </c>
      <c r="L3828">
        <v>0.91724378784208904</v>
      </c>
      <c r="M3828">
        <v>0.75503355704698005</v>
      </c>
      <c r="N3828">
        <v>1</v>
      </c>
      <c r="O3828">
        <v>0.82651006711409403</v>
      </c>
      <c r="P3828" t="s">
        <v>4457</v>
      </c>
      <c r="Q3828" t="s">
        <v>4458</v>
      </c>
      <c r="R3828" t="s">
        <v>224</v>
      </c>
      <c r="S3828" t="s">
        <v>225</v>
      </c>
      <c r="T3828" t="s">
        <v>4459</v>
      </c>
      <c r="U3828" t="s">
        <v>4460</v>
      </c>
      <c r="V3828" t="s">
        <v>4461</v>
      </c>
      <c r="W3828" t="s">
        <v>4462</v>
      </c>
      <c r="X3828" t="s">
        <v>4461</v>
      </c>
      <c r="Y3828" t="s">
        <v>761</v>
      </c>
      <c r="AD3828" t="s">
        <v>762</v>
      </c>
      <c r="AE3828" t="s">
        <v>763</v>
      </c>
      <c r="AF3828" t="s">
        <v>4466</v>
      </c>
    </row>
    <row r="3829" spans="1:32" hidden="1" x14ac:dyDescent="0.35">
      <c r="A3829">
        <v>10953</v>
      </c>
      <c r="B3829" t="s">
        <v>22080</v>
      </c>
      <c r="C3829" t="s">
        <v>33</v>
      </c>
      <c r="D3829" t="s">
        <v>58</v>
      </c>
      <c r="E3829">
        <v>1151</v>
      </c>
      <c r="F3829">
        <v>1</v>
      </c>
      <c r="G3829">
        <v>1</v>
      </c>
      <c r="H3829">
        <v>1</v>
      </c>
      <c r="I3829">
        <v>0</v>
      </c>
      <c r="J3829">
        <v>1</v>
      </c>
      <c r="K3829">
        <v>1</v>
      </c>
      <c r="L3829">
        <v>1</v>
      </c>
      <c r="M3829">
        <v>0</v>
      </c>
      <c r="N3829">
        <v>0</v>
      </c>
      <c r="O3829">
        <v>0</v>
      </c>
      <c r="P3829" t="s">
        <v>10923</v>
      </c>
      <c r="Q3829" t="s">
        <v>10924</v>
      </c>
      <c r="R3829" t="s">
        <v>75</v>
      </c>
      <c r="S3829" t="s">
        <v>76</v>
      </c>
      <c r="V3829" t="s">
        <v>14811</v>
      </c>
      <c r="W3829" t="s">
        <v>14812</v>
      </c>
      <c r="AF3829" t="s">
        <v>22081</v>
      </c>
    </row>
    <row r="3830" spans="1:32" hidden="1" x14ac:dyDescent="0.35">
      <c r="A3830">
        <v>2155</v>
      </c>
      <c r="B3830" t="s">
        <v>4480</v>
      </c>
      <c r="C3830" t="s">
        <v>72</v>
      </c>
      <c r="D3830" t="s">
        <v>60</v>
      </c>
      <c r="E3830">
        <v>1534</v>
      </c>
      <c r="F3830">
        <v>5</v>
      </c>
      <c r="G3830">
        <v>5</v>
      </c>
      <c r="H3830">
        <v>1</v>
      </c>
      <c r="I3830">
        <v>1</v>
      </c>
      <c r="J3830">
        <v>0.81043517885623195</v>
      </c>
      <c r="K3830">
        <v>0.95157881334351901</v>
      </c>
      <c r="L3830">
        <v>0.87535394066317895</v>
      </c>
      <c r="M3830">
        <v>0.62337662337662303</v>
      </c>
      <c r="N3830">
        <v>1</v>
      </c>
      <c r="O3830">
        <v>0.72337662337662301</v>
      </c>
      <c r="P3830" t="s">
        <v>4481</v>
      </c>
      <c r="Q3830" t="s">
        <v>4482</v>
      </c>
      <c r="R3830" t="s">
        <v>224</v>
      </c>
      <c r="S3830" t="s">
        <v>225</v>
      </c>
      <c r="T3830" t="s">
        <v>4483</v>
      </c>
      <c r="U3830" t="s">
        <v>4484</v>
      </c>
      <c r="V3830" t="s">
        <v>4485</v>
      </c>
      <c r="W3830" t="s">
        <v>4486</v>
      </c>
      <c r="AD3830" t="s">
        <v>210</v>
      </c>
      <c r="AE3830" t="s">
        <v>1520</v>
      </c>
      <c r="AF3830" t="s">
        <v>4488</v>
      </c>
    </row>
    <row r="3831" spans="1:32" hidden="1" x14ac:dyDescent="0.35">
      <c r="A3831">
        <v>2156</v>
      </c>
      <c r="B3831" t="s">
        <v>4480</v>
      </c>
      <c r="C3831" t="s">
        <v>72</v>
      </c>
      <c r="D3831" t="s">
        <v>62</v>
      </c>
      <c r="E3831">
        <v>1569</v>
      </c>
      <c r="F3831">
        <v>5</v>
      </c>
      <c r="G3831">
        <v>5</v>
      </c>
      <c r="H3831">
        <v>1</v>
      </c>
      <c r="I3831">
        <v>1</v>
      </c>
      <c r="J3831">
        <v>0.81043517885623195</v>
      </c>
      <c r="K3831">
        <v>0.95157881334351901</v>
      </c>
      <c r="L3831">
        <v>0.87535394066317895</v>
      </c>
      <c r="M3831">
        <v>0.62337662337662303</v>
      </c>
      <c r="N3831">
        <v>1</v>
      </c>
      <c r="O3831">
        <v>0.72337662337662301</v>
      </c>
      <c r="P3831" t="s">
        <v>4481</v>
      </c>
      <c r="Q3831" t="s">
        <v>4482</v>
      </c>
      <c r="R3831" t="s">
        <v>224</v>
      </c>
      <c r="S3831" t="s">
        <v>225</v>
      </c>
      <c r="T3831" t="s">
        <v>4483</v>
      </c>
      <c r="U3831" t="s">
        <v>4484</v>
      </c>
      <c r="V3831" t="s">
        <v>4485</v>
      </c>
      <c r="W3831" t="s">
        <v>4486</v>
      </c>
      <c r="AD3831" t="s">
        <v>210</v>
      </c>
      <c r="AE3831" t="s">
        <v>1520</v>
      </c>
      <c r="AF3831" t="s">
        <v>4488</v>
      </c>
    </row>
    <row r="3832" spans="1:32" hidden="1" x14ac:dyDescent="0.35">
      <c r="A3832">
        <v>2157</v>
      </c>
      <c r="B3832" t="s">
        <v>4480</v>
      </c>
      <c r="C3832" t="s">
        <v>72</v>
      </c>
      <c r="D3832" t="s">
        <v>34</v>
      </c>
      <c r="E3832">
        <v>1958</v>
      </c>
      <c r="F3832">
        <v>5</v>
      </c>
      <c r="G3832">
        <v>5</v>
      </c>
      <c r="H3832">
        <v>1</v>
      </c>
      <c r="I3832">
        <v>1</v>
      </c>
      <c r="J3832">
        <v>0.81043517885623195</v>
      </c>
      <c r="K3832">
        <v>0.95157881334351901</v>
      </c>
      <c r="L3832">
        <v>0.87535394066317895</v>
      </c>
      <c r="M3832">
        <v>0.62337662337662303</v>
      </c>
      <c r="N3832">
        <v>1</v>
      </c>
      <c r="O3832">
        <v>0.72337662337662301</v>
      </c>
      <c r="P3832" t="s">
        <v>4481</v>
      </c>
      <c r="Q3832" t="s">
        <v>4482</v>
      </c>
      <c r="R3832" t="s">
        <v>224</v>
      </c>
      <c r="S3832" t="s">
        <v>225</v>
      </c>
      <c r="T3832" t="s">
        <v>4483</v>
      </c>
      <c r="U3832" t="s">
        <v>4484</v>
      </c>
      <c r="V3832" t="s">
        <v>4485</v>
      </c>
      <c r="W3832" t="s">
        <v>4486</v>
      </c>
      <c r="AD3832" t="s">
        <v>210</v>
      </c>
      <c r="AE3832" t="s">
        <v>1520</v>
      </c>
      <c r="AF3832" t="s">
        <v>4489</v>
      </c>
    </row>
    <row r="3833" spans="1:32" hidden="1" x14ac:dyDescent="0.35">
      <c r="A3833">
        <v>2158</v>
      </c>
      <c r="B3833" t="s">
        <v>4480</v>
      </c>
      <c r="C3833" t="s">
        <v>72</v>
      </c>
      <c r="D3833" t="s">
        <v>45</v>
      </c>
      <c r="E3833">
        <v>915</v>
      </c>
      <c r="F3833">
        <v>5</v>
      </c>
      <c r="G3833">
        <v>5</v>
      </c>
      <c r="H3833">
        <v>1</v>
      </c>
      <c r="I3833">
        <v>1</v>
      </c>
      <c r="J3833">
        <v>0.81043517885623195</v>
      </c>
      <c r="K3833">
        <v>0.95157881334351901</v>
      </c>
      <c r="L3833">
        <v>0.87535394066317895</v>
      </c>
      <c r="M3833">
        <v>0.62337662337662303</v>
      </c>
      <c r="N3833">
        <v>1</v>
      </c>
      <c r="O3833">
        <v>0.72337662337662301</v>
      </c>
      <c r="P3833" t="s">
        <v>4481</v>
      </c>
      <c r="Q3833" t="s">
        <v>4482</v>
      </c>
      <c r="R3833" t="s">
        <v>224</v>
      </c>
      <c r="S3833" t="s">
        <v>225</v>
      </c>
      <c r="T3833" t="s">
        <v>4483</v>
      </c>
      <c r="U3833" t="s">
        <v>4484</v>
      </c>
      <c r="V3833" t="s">
        <v>4485</v>
      </c>
      <c r="W3833" t="s">
        <v>4486</v>
      </c>
      <c r="AD3833" t="s">
        <v>210</v>
      </c>
      <c r="AE3833" t="s">
        <v>1520</v>
      </c>
      <c r="AF3833" t="s">
        <v>4489</v>
      </c>
    </row>
    <row r="3834" spans="1:32" hidden="1" x14ac:dyDescent="0.35">
      <c r="A3834">
        <v>11513</v>
      </c>
      <c r="B3834" t="s">
        <v>23508</v>
      </c>
      <c r="C3834" t="s">
        <v>33</v>
      </c>
      <c r="D3834" t="s">
        <v>58</v>
      </c>
      <c r="E3834">
        <v>1649</v>
      </c>
      <c r="F3834">
        <v>1</v>
      </c>
      <c r="G3834">
        <v>1</v>
      </c>
      <c r="H3834">
        <v>1</v>
      </c>
      <c r="I3834">
        <v>0</v>
      </c>
      <c r="J3834">
        <v>1</v>
      </c>
      <c r="K3834">
        <v>1</v>
      </c>
      <c r="L3834">
        <v>1</v>
      </c>
      <c r="M3834">
        <v>0</v>
      </c>
      <c r="N3834">
        <v>0</v>
      </c>
      <c r="O3834">
        <v>0</v>
      </c>
      <c r="P3834" t="s">
        <v>13748</v>
      </c>
      <c r="Q3834" t="s">
        <v>13749</v>
      </c>
      <c r="R3834" t="s">
        <v>75</v>
      </c>
      <c r="S3834" t="s">
        <v>76</v>
      </c>
      <c r="T3834" t="s">
        <v>13750</v>
      </c>
      <c r="U3834" t="s">
        <v>13751</v>
      </c>
      <c r="V3834" t="s">
        <v>13752</v>
      </c>
      <c r="W3834" t="s">
        <v>13753</v>
      </c>
      <c r="Z3834" t="s">
        <v>13754</v>
      </c>
      <c r="AA3834" t="s">
        <v>13755</v>
      </c>
      <c r="AB3834" t="s">
        <v>13754</v>
      </c>
      <c r="AC3834" t="s">
        <v>3240</v>
      </c>
      <c r="AD3834" t="s">
        <v>13756</v>
      </c>
      <c r="AE3834" t="s">
        <v>13757</v>
      </c>
      <c r="AF3834" t="s">
        <v>23509</v>
      </c>
    </row>
    <row r="3835" spans="1:32" hidden="1" x14ac:dyDescent="0.35">
      <c r="A3835">
        <v>2180</v>
      </c>
      <c r="B3835" t="s">
        <v>4532</v>
      </c>
      <c r="C3835" t="s">
        <v>72</v>
      </c>
      <c r="D3835" t="s">
        <v>60</v>
      </c>
      <c r="E3835">
        <v>943</v>
      </c>
      <c r="F3835">
        <v>5</v>
      </c>
      <c r="G3835">
        <v>5</v>
      </c>
      <c r="H3835">
        <v>1</v>
      </c>
      <c r="I3835">
        <v>1</v>
      </c>
      <c r="J3835">
        <v>0.69287020109689201</v>
      </c>
      <c r="K3835">
        <v>0.72476523793063896</v>
      </c>
      <c r="L3835">
        <v>0.70845892015441703</v>
      </c>
      <c r="M3835">
        <v>0.200757575757576</v>
      </c>
      <c r="N3835">
        <v>1</v>
      </c>
      <c r="O3835">
        <v>0.486363636363636</v>
      </c>
      <c r="P3835" t="s">
        <v>4536</v>
      </c>
      <c r="Q3835" t="s">
        <v>4537</v>
      </c>
      <c r="R3835" t="s">
        <v>224</v>
      </c>
      <c r="S3835" t="s">
        <v>225</v>
      </c>
      <c r="V3835" t="s">
        <v>4533</v>
      </c>
      <c r="W3835" t="s">
        <v>4534</v>
      </c>
      <c r="X3835" t="s">
        <v>4533</v>
      </c>
      <c r="Y3835" t="s">
        <v>1598</v>
      </c>
      <c r="AF3835" t="e">
        <f>--------------------MNDTAFDALRSYITDTTV--------------------IDNALAAAQQDAEEFGLAAPDAAAGSLLSALAASYIDEAGVGAIAVTPAAGVVGLYLLRGLGLTGTLTCIDPETEHQRQARTNFMAAGYKPNQFRFLPSRPLEVMSRLAADSYHVVYGDIRPSDYRAFIDAAWPLLRSGGILILANSLLDGTLSDTTRKDRDTICAREADEYVRSMDQ---AVVCRLPLGSGLTLITKKDDDSESE</f>
        <v>#NAME?</v>
      </c>
    </row>
    <row r="3836" spans="1:32" hidden="1" x14ac:dyDescent="0.35">
      <c r="A3836">
        <v>2181</v>
      </c>
      <c r="B3836" t="s">
        <v>4532</v>
      </c>
      <c r="C3836" t="s">
        <v>72</v>
      </c>
      <c r="D3836" t="s">
        <v>62</v>
      </c>
      <c r="E3836">
        <v>979</v>
      </c>
      <c r="F3836">
        <v>5</v>
      </c>
      <c r="G3836">
        <v>5</v>
      </c>
      <c r="H3836">
        <v>1</v>
      </c>
      <c r="I3836">
        <v>1</v>
      </c>
      <c r="J3836">
        <v>0.69287020109689201</v>
      </c>
      <c r="K3836">
        <v>0.72476523793063896</v>
      </c>
      <c r="L3836">
        <v>0.70845892015441703</v>
      </c>
      <c r="M3836">
        <v>0.200757575757576</v>
      </c>
      <c r="N3836">
        <v>1</v>
      </c>
      <c r="O3836">
        <v>0.486363636363636</v>
      </c>
      <c r="P3836" t="s">
        <v>4536</v>
      </c>
      <c r="Q3836" t="s">
        <v>4537</v>
      </c>
      <c r="R3836" t="s">
        <v>224</v>
      </c>
      <c r="S3836" t="s">
        <v>225</v>
      </c>
      <c r="V3836" t="s">
        <v>4533</v>
      </c>
      <c r="W3836" t="s">
        <v>4534</v>
      </c>
      <c r="X3836" t="s">
        <v>4533</v>
      </c>
      <c r="Y3836" t="s">
        <v>1598</v>
      </c>
      <c r="AF3836" t="e">
        <f>--------------------MNDTAFDALRSYITDTTV--------------------IDNALAAAQQDAEEFGLAAPDAAAGSLLSALAASYIDEAGVGAIAVTPAAGVVGLYLLRGLGLTGTLTCIDPETEHQRQARTNFMAAGYKPNQFRFLPSRPLEVMSRLAADSYHVVYGDIRPSDYRAFIDAAWPLLRSGGILILANSLLDGTLSDTTRKDRDTICAREADEYVRSMDQ---AVVCRLPLGSGLTLITKKDDDSESE</f>
        <v>#NAME?</v>
      </c>
    </row>
    <row r="3837" spans="1:32" hidden="1" x14ac:dyDescent="0.35">
      <c r="A3837">
        <v>2182</v>
      </c>
      <c r="B3837" t="s">
        <v>4532</v>
      </c>
      <c r="C3837" t="s">
        <v>72</v>
      </c>
      <c r="D3837" t="s">
        <v>34</v>
      </c>
      <c r="E3837">
        <v>217</v>
      </c>
      <c r="F3837">
        <v>5</v>
      </c>
      <c r="G3837">
        <v>5</v>
      </c>
      <c r="H3837">
        <v>1</v>
      </c>
      <c r="I3837">
        <v>1</v>
      </c>
      <c r="J3837">
        <v>0.69287020109689201</v>
      </c>
      <c r="K3837">
        <v>0.72476523793063896</v>
      </c>
      <c r="L3837">
        <v>0.70845892015441703</v>
      </c>
      <c r="M3837">
        <v>0.200757575757576</v>
      </c>
      <c r="N3837">
        <v>1</v>
      </c>
      <c r="O3837">
        <v>0.486363636363636</v>
      </c>
      <c r="P3837" t="s">
        <v>4536</v>
      </c>
      <c r="Q3837" t="s">
        <v>4537</v>
      </c>
      <c r="R3837" t="s">
        <v>224</v>
      </c>
      <c r="S3837" t="s">
        <v>225</v>
      </c>
      <c r="V3837" t="s">
        <v>4533</v>
      </c>
      <c r="W3837" t="s">
        <v>4534</v>
      </c>
      <c r="X3837" t="s">
        <v>4533</v>
      </c>
      <c r="Y3837" t="s">
        <v>1598</v>
      </c>
      <c r="AF3837" t="s">
        <v>4538</v>
      </c>
    </row>
    <row r="3838" spans="1:32" hidden="1" x14ac:dyDescent="0.35">
      <c r="A3838">
        <v>2183</v>
      </c>
      <c r="B3838" t="s">
        <v>4532</v>
      </c>
      <c r="C3838" t="s">
        <v>72</v>
      </c>
      <c r="D3838" t="s">
        <v>45</v>
      </c>
      <c r="E3838">
        <v>1480</v>
      </c>
      <c r="F3838">
        <v>5</v>
      </c>
      <c r="G3838">
        <v>5</v>
      </c>
      <c r="H3838">
        <v>1</v>
      </c>
      <c r="I3838">
        <v>1</v>
      </c>
      <c r="J3838">
        <v>0.69287020109689201</v>
      </c>
      <c r="K3838">
        <v>0.72476523793063896</v>
      </c>
      <c r="L3838">
        <v>0.70845892015441703</v>
      </c>
      <c r="M3838">
        <v>0.200757575757576</v>
      </c>
      <c r="N3838">
        <v>1</v>
      </c>
      <c r="O3838">
        <v>0.486363636363636</v>
      </c>
      <c r="R3838" t="s">
        <v>224</v>
      </c>
      <c r="S3838" t="s">
        <v>225</v>
      </c>
      <c r="V3838" t="s">
        <v>4533</v>
      </c>
      <c r="W3838" t="s">
        <v>4534</v>
      </c>
      <c r="X3838" t="s">
        <v>4533</v>
      </c>
      <c r="Y3838" t="s">
        <v>1598</v>
      </c>
      <c r="AF3838" t="s">
        <v>4539</v>
      </c>
    </row>
    <row r="3839" spans="1:32" hidden="1" x14ac:dyDescent="0.35">
      <c r="A3839">
        <v>3664</v>
      </c>
      <c r="B3839" t="s">
        <v>7547</v>
      </c>
      <c r="C3839" t="s">
        <v>72</v>
      </c>
      <c r="D3839" t="s">
        <v>58</v>
      </c>
      <c r="E3839">
        <v>1687</v>
      </c>
      <c r="F3839">
        <v>5</v>
      </c>
      <c r="G3839">
        <v>5</v>
      </c>
      <c r="H3839">
        <v>1</v>
      </c>
      <c r="I3839">
        <v>1</v>
      </c>
      <c r="J3839">
        <v>0.895260085947021</v>
      </c>
      <c r="K3839">
        <v>0.97176730022051205</v>
      </c>
      <c r="L3839">
        <v>0.931946133368452</v>
      </c>
      <c r="M3839">
        <v>0.80186915887850496</v>
      </c>
      <c r="N3839">
        <v>0.99439252336448603</v>
      </c>
      <c r="O3839">
        <v>0.84242990654205596</v>
      </c>
      <c r="P3839" t="s">
        <v>7548</v>
      </c>
      <c r="Q3839" t="s">
        <v>7549</v>
      </c>
      <c r="R3839" t="s">
        <v>224</v>
      </c>
      <c r="S3839" t="s">
        <v>225</v>
      </c>
      <c r="T3839" t="s">
        <v>7550</v>
      </c>
      <c r="U3839" t="s">
        <v>7551</v>
      </c>
      <c r="V3839" t="s">
        <v>7552</v>
      </c>
      <c r="W3839" t="s">
        <v>7553</v>
      </c>
      <c r="X3839" t="s">
        <v>7552</v>
      </c>
      <c r="Y3839" t="s">
        <v>589</v>
      </c>
      <c r="AD3839" t="s">
        <v>997</v>
      </c>
      <c r="AE3839" t="s">
        <v>7554</v>
      </c>
      <c r="AF3839" t="s">
        <v>7555</v>
      </c>
    </row>
    <row r="3840" spans="1:32" hidden="1" x14ac:dyDescent="0.35">
      <c r="A3840">
        <v>2185</v>
      </c>
      <c r="B3840" t="s">
        <v>4540</v>
      </c>
      <c r="C3840" t="s">
        <v>72</v>
      </c>
      <c r="D3840" t="s">
        <v>60</v>
      </c>
      <c r="E3840">
        <v>420</v>
      </c>
      <c r="F3840">
        <v>5</v>
      </c>
      <c r="G3840">
        <v>5</v>
      </c>
      <c r="H3840">
        <v>1</v>
      </c>
      <c r="I3840">
        <v>1</v>
      </c>
      <c r="J3840">
        <v>0.93888888888888899</v>
      </c>
      <c r="K3840">
        <v>1</v>
      </c>
      <c r="L3840">
        <v>0.96848137535816603</v>
      </c>
      <c r="M3840">
        <v>0.87121212121212099</v>
      </c>
      <c r="N3840">
        <v>1</v>
      </c>
      <c r="O3840">
        <v>0.91060606060606097</v>
      </c>
      <c r="P3840" t="s">
        <v>4541</v>
      </c>
      <c r="Q3840" t="s">
        <v>4542</v>
      </c>
      <c r="R3840" t="s">
        <v>224</v>
      </c>
      <c r="S3840" t="s">
        <v>225</v>
      </c>
      <c r="T3840" t="s">
        <v>4543</v>
      </c>
      <c r="U3840" t="s">
        <v>4544</v>
      </c>
      <c r="V3840" t="s">
        <v>4545</v>
      </c>
      <c r="W3840" t="s">
        <v>4546</v>
      </c>
      <c r="X3840" t="s">
        <v>4545</v>
      </c>
      <c r="Y3840" t="s">
        <v>761</v>
      </c>
      <c r="AD3840" t="s">
        <v>762</v>
      </c>
      <c r="AE3840" t="s">
        <v>763</v>
      </c>
      <c r="AF3840" t="s">
        <v>4548</v>
      </c>
    </row>
    <row r="3841" spans="1:32" hidden="1" x14ac:dyDescent="0.35">
      <c r="A3841">
        <v>2186</v>
      </c>
      <c r="B3841" t="s">
        <v>4540</v>
      </c>
      <c r="C3841" t="s">
        <v>72</v>
      </c>
      <c r="D3841" t="s">
        <v>62</v>
      </c>
      <c r="E3841">
        <v>501</v>
      </c>
      <c r="F3841">
        <v>5</v>
      </c>
      <c r="G3841">
        <v>5</v>
      </c>
      <c r="H3841">
        <v>1</v>
      </c>
      <c r="I3841">
        <v>1</v>
      </c>
      <c r="J3841">
        <v>0.93888888888888899</v>
      </c>
      <c r="K3841">
        <v>1</v>
      </c>
      <c r="L3841">
        <v>0.96848137535816603</v>
      </c>
      <c r="M3841">
        <v>0.87121212121212099</v>
      </c>
      <c r="N3841">
        <v>1</v>
      </c>
      <c r="O3841">
        <v>0.91060606060606097</v>
      </c>
      <c r="P3841" t="s">
        <v>4541</v>
      </c>
      <c r="Q3841" t="s">
        <v>4542</v>
      </c>
      <c r="R3841" t="s">
        <v>224</v>
      </c>
      <c r="S3841" t="s">
        <v>225</v>
      </c>
      <c r="T3841" t="s">
        <v>4543</v>
      </c>
      <c r="U3841" t="s">
        <v>4544</v>
      </c>
      <c r="V3841" t="s">
        <v>4545</v>
      </c>
      <c r="W3841" t="s">
        <v>4546</v>
      </c>
      <c r="X3841" t="s">
        <v>4545</v>
      </c>
      <c r="Y3841" t="s">
        <v>761</v>
      </c>
      <c r="AD3841" t="s">
        <v>762</v>
      </c>
      <c r="AE3841" t="s">
        <v>763</v>
      </c>
      <c r="AF3841" t="s">
        <v>4548</v>
      </c>
    </row>
    <row r="3842" spans="1:32" hidden="1" x14ac:dyDescent="0.35">
      <c r="A3842">
        <v>2187</v>
      </c>
      <c r="B3842" t="s">
        <v>4540</v>
      </c>
      <c r="C3842" t="s">
        <v>72</v>
      </c>
      <c r="D3842" t="s">
        <v>34</v>
      </c>
      <c r="E3842">
        <v>674</v>
      </c>
      <c r="F3842">
        <v>5</v>
      </c>
      <c r="G3842">
        <v>5</v>
      </c>
      <c r="H3842">
        <v>1</v>
      </c>
      <c r="I3842">
        <v>1</v>
      </c>
      <c r="J3842">
        <v>0.93888888888888899</v>
      </c>
      <c r="K3842">
        <v>1</v>
      </c>
      <c r="L3842">
        <v>0.96848137535816603</v>
      </c>
      <c r="M3842">
        <v>0.87121212121212099</v>
      </c>
      <c r="N3842">
        <v>1</v>
      </c>
      <c r="O3842">
        <v>0.91060606060606097</v>
      </c>
      <c r="P3842" t="s">
        <v>4541</v>
      </c>
      <c r="Q3842" t="s">
        <v>4542</v>
      </c>
      <c r="R3842" t="s">
        <v>224</v>
      </c>
      <c r="S3842" t="s">
        <v>225</v>
      </c>
      <c r="T3842" t="s">
        <v>4543</v>
      </c>
      <c r="U3842" t="s">
        <v>4544</v>
      </c>
      <c r="V3842" t="s">
        <v>4545</v>
      </c>
      <c r="W3842" t="s">
        <v>4546</v>
      </c>
      <c r="X3842" t="s">
        <v>4545</v>
      </c>
      <c r="Y3842" t="s">
        <v>761</v>
      </c>
      <c r="AD3842" t="s">
        <v>762</v>
      </c>
      <c r="AE3842" t="s">
        <v>763</v>
      </c>
      <c r="AF3842" t="s">
        <v>4549</v>
      </c>
    </row>
    <row r="3843" spans="1:32" hidden="1" x14ac:dyDescent="0.35">
      <c r="A3843">
        <v>2188</v>
      </c>
      <c r="B3843" t="s">
        <v>4540</v>
      </c>
      <c r="C3843" t="s">
        <v>72</v>
      </c>
      <c r="D3843" t="s">
        <v>45</v>
      </c>
      <c r="E3843">
        <v>1940</v>
      </c>
      <c r="F3843">
        <v>5</v>
      </c>
      <c r="G3843">
        <v>5</v>
      </c>
      <c r="H3843">
        <v>1</v>
      </c>
      <c r="I3843">
        <v>1</v>
      </c>
      <c r="J3843">
        <v>0.93888888888888899</v>
      </c>
      <c r="K3843">
        <v>1</v>
      </c>
      <c r="L3843">
        <v>0.96848137535816603</v>
      </c>
      <c r="M3843">
        <v>0.87121212121212099</v>
      </c>
      <c r="N3843">
        <v>1</v>
      </c>
      <c r="O3843">
        <v>0.91060606060606097</v>
      </c>
      <c r="P3843" t="s">
        <v>4541</v>
      </c>
      <c r="Q3843" t="s">
        <v>4542</v>
      </c>
      <c r="R3843" t="s">
        <v>224</v>
      </c>
      <c r="S3843" t="s">
        <v>225</v>
      </c>
      <c r="T3843" t="s">
        <v>4543</v>
      </c>
      <c r="U3843" t="s">
        <v>4544</v>
      </c>
      <c r="V3843" t="s">
        <v>4545</v>
      </c>
      <c r="W3843" t="s">
        <v>4546</v>
      </c>
      <c r="X3843" t="s">
        <v>4545</v>
      </c>
      <c r="Y3843" t="s">
        <v>761</v>
      </c>
      <c r="AD3843" t="s">
        <v>762</v>
      </c>
      <c r="AE3843" t="s">
        <v>763</v>
      </c>
      <c r="AF3843" t="s">
        <v>4549</v>
      </c>
    </row>
    <row r="3844" spans="1:32" hidden="1" x14ac:dyDescent="0.35">
      <c r="A3844">
        <v>6407</v>
      </c>
      <c r="B3844" t="s">
        <v>13195</v>
      </c>
      <c r="C3844" t="s">
        <v>68</v>
      </c>
      <c r="D3844" t="s">
        <v>58</v>
      </c>
      <c r="E3844">
        <v>56</v>
      </c>
      <c r="F3844">
        <v>3</v>
      </c>
      <c r="G3844">
        <v>3</v>
      </c>
      <c r="H3844">
        <v>1</v>
      </c>
      <c r="I3844">
        <v>0</v>
      </c>
      <c r="J3844">
        <v>0.75669570829299804</v>
      </c>
      <c r="K3844">
        <v>0.93022996041864103</v>
      </c>
      <c r="L3844">
        <v>0.83453708936914095</v>
      </c>
      <c r="M3844">
        <v>0.48247978436657701</v>
      </c>
      <c r="N3844">
        <v>0.99191374663072795</v>
      </c>
      <c r="O3844">
        <v>0.65318957771788</v>
      </c>
      <c r="P3844" t="s">
        <v>13196</v>
      </c>
      <c r="Q3844" t="s">
        <v>13197</v>
      </c>
      <c r="R3844" t="s">
        <v>157</v>
      </c>
      <c r="S3844" t="s">
        <v>158</v>
      </c>
      <c r="T3844" t="s">
        <v>13198</v>
      </c>
      <c r="U3844" t="s">
        <v>13199</v>
      </c>
      <c r="V3844" t="s">
        <v>13200</v>
      </c>
      <c r="W3844" t="s">
        <v>13201</v>
      </c>
      <c r="AD3844" t="s">
        <v>410</v>
      </c>
      <c r="AE3844" t="s">
        <v>5489</v>
      </c>
      <c r="AF3844" t="e">
        <f>------------------------MSAVVAVVALVNV-KADAFGINSP-SGIDVASWQHPGGAPIDWNAVAADGQKYAFIKATEGVGYLNPHFLEDTKGAAAAGMLVGSYHMARPTQSASLQAAEYAAALATMPQPSLPPVLDIEYADGVGPVAMQNWVREFLSELTRLTGRTPMIYTYRYFWENEVGNTTEFNNYPLWMAAYQSQPPTVLPGGWDYMTFWQRTNDLQVSGMPTVTDANLFNGTKSDLDGFAAGMNVNLGQLLTPGIDLGRT--TAQLEALGNKNPELVGAILALGAGIVAVSTVMTVAQNNGIDVGMAKQIAEQAETLAKAGQLPTGDLQTMLAVGDYTIGDLLILLKNALKVAREAGLI</f>
        <v>#NAME?</v>
      </c>
    </row>
    <row r="3845" spans="1:32" hidden="1" x14ac:dyDescent="0.35">
      <c r="A3845">
        <v>2245</v>
      </c>
      <c r="B3845" t="s">
        <v>4672</v>
      </c>
      <c r="C3845" t="s">
        <v>72</v>
      </c>
      <c r="D3845" t="s">
        <v>60</v>
      </c>
      <c r="E3845">
        <v>2495</v>
      </c>
      <c r="F3845">
        <v>5</v>
      </c>
      <c r="G3845">
        <v>5</v>
      </c>
      <c r="H3845">
        <v>1</v>
      </c>
      <c r="I3845">
        <v>1</v>
      </c>
      <c r="J3845">
        <v>0.85314164004259896</v>
      </c>
      <c r="K3845">
        <v>0.93384683724236095</v>
      </c>
      <c r="L3845">
        <v>0.89167180695423898</v>
      </c>
      <c r="M3845">
        <v>0.69047619047619002</v>
      </c>
      <c r="N3845">
        <v>1</v>
      </c>
      <c r="O3845">
        <v>0.766369047619048</v>
      </c>
      <c r="P3845" t="s">
        <v>4673</v>
      </c>
      <c r="Q3845" t="s">
        <v>4674</v>
      </c>
      <c r="R3845" t="s">
        <v>224</v>
      </c>
      <c r="S3845" t="s">
        <v>225</v>
      </c>
      <c r="T3845" t="s">
        <v>4675</v>
      </c>
      <c r="U3845" t="s">
        <v>4676</v>
      </c>
      <c r="V3845" t="s">
        <v>4677</v>
      </c>
      <c r="W3845" t="s">
        <v>4678</v>
      </c>
      <c r="AD3845" t="s">
        <v>410</v>
      </c>
      <c r="AE3845" t="s">
        <v>603</v>
      </c>
      <c r="AF3845" t="s">
        <v>4679</v>
      </c>
    </row>
    <row r="3846" spans="1:32" hidden="1" x14ac:dyDescent="0.35">
      <c r="A3846">
        <v>2246</v>
      </c>
      <c r="B3846" t="s">
        <v>4672</v>
      </c>
      <c r="C3846" t="s">
        <v>72</v>
      </c>
      <c r="D3846" t="s">
        <v>62</v>
      </c>
      <c r="E3846">
        <v>22</v>
      </c>
      <c r="F3846">
        <v>5</v>
      </c>
      <c r="G3846">
        <v>5</v>
      </c>
      <c r="H3846">
        <v>1</v>
      </c>
      <c r="I3846">
        <v>1</v>
      </c>
      <c r="J3846">
        <v>0.85314164004259896</v>
      </c>
      <c r="K3846">
        <v>0.93384683724236095</v>
      </c>
      <c r="L3846">
        <v>0.89167180695423898</v>
      </c>
      <c r="M3846">
        <v>0.69047619047619002</v>
      </c>
      <c r="N3846">
        <v>1</v>
      </c>
      <c r="O3846">
        <v>0.766369047619048</v>
      </c>
      <c r="P3846" t="s">
        <v>4673</v>
      </c>
      <c r="Q3846" t="s">
        <v>4674</v>
      </c>
      <c r="R3846" t="s">
        <v>224</v>
      </c>
      <c r="S3846" t="s">
        <v>225</v>
      </c>
      <c r="T3846" t="s">
        <v>4675</v>
      </c>
      <c r="U3846" t="s">
        <v>4676</v>
      </c>
      <c r="V3846" t="s">
        <v>4677</v>
      </c>
      <c r="W3846" t="s">
        <v>4678</v>
      </c>
      <c r="AD3846" t="s">
        <v>410</v>
      </c>
      <c r="AE3846" t="s">
        <v>603</v>
      </c>
      <c r="AF3846" t="s">
        <v>4679</v>
      </c>
    </row>
    <row r="3847" spans="1:32" hidden="1" x14ac:dyDescent="0.35">
      <c r="A3847">
        <v>2247</v>
      </c>
      <c r="B3847" t="s">
        <v>4672</v>
      </c>
      <c r="C3847" t="s">
        <v>72</v>
      </c>
      <c r="D3847" t="s">
        <v>34</v>
      </c>
      <c r="E3847">
        <v>1163</v>
      </c>
      <c r="F3847">
        <v>5</v>
      </c>
      <c r="G3847">
        <v>5</v>
      </c>
      <c r="H3847">
        <v>1</v>
      </c>
      <c r="I3847">
        <v>1</v>
      </c>
      <c r="J3847">
        <v>0.85314164004259896</v>
      </c>
      <c r="K3847">
        <v>0.93384683724236095</v>
      </c>
      <c r="L3847">
        <v>0.89167180695423898</v>
      </c>
      <c r="M3847">
        <v>0.69047619047619002</v>
      </c>
      <c r="N3847">
        <v>1</v>
      </c>
      <c r="O3847">
        <v>0.766369047619048</v>
      </c>
      <c r="P3847" t="s">
        <v>4673</v>
      </c>
      <c r="Q3847" t="s">
        <v>4674</v>
      </c>
      <c r="R3847" t="s">
        <v>224</v>
      </c>
      <c r="S3847" t="s">
        <v>225</v>
      </c>
      <c r="T3847" t="s">
        <v>4675</v>
      </c>
      <c r="U3847" t="s">
        <v>4676</v>
      </c>
      <c r="V3847" t="s">
        <v>4677</v>
      </c>
      <c r="W3847" t="s">
        <v>4678</v>
      </c>
      <c r="AD3847" t="s">
        <v>410</v>
      </c>
      <c r="AE3847" t="s">
        <v>603</v>
      </c>
      <c r="AF3847" t="s">
        <v>4680</v>
      </c>
    </row>
    <row r="3848" spans="1:32" hidden="1" x14ac:dyDescent="0.35">
      <c r="A3848">
        <v>2248</v>
      </c>
      <c r="B3848" t="s">
        <v>4672</v>
      </c>
      <c r="C3848" t="s">
        <v>72</v>
      </c>
      <c r="D3848" t="s">
        <v>45</v>
      </c>
      <c r="E3848">
        <v>2408</v>
      </c>
      <c r="F3848">
        <v>5</v>
      </c>
      <c r="G3848">
        <v>5</v>
      </c>
      <c r="H3848">
        <v>1</v>
      </c>
      <c r="I3848">
        <v>1</v>
      </c>
      <c r="J3848">
        <v>0.85314164004259896</v>
      </c>
      <c r="K3848">
        <v>0.93384683724236095</v>
      </c>
      <c r="L3848">
        <v>0.89167180695423898</v>
      </c>
      <c r="M3848">
        <v>0.69047619047619002</v>
      </c>
      <c r="N3848">
        <v>1</v>
      </c>
      <c r="O3848">
        <v>0.766369047619048</v>
      </c>
      <c r="P3848" t="s">
        <v>4673</v>
      </c>
      <c r="Q3848" t="s">
        <v>4674</v>
      </c>
      <c r="R3848" t="s">
        <v>224</v>
      </c>
      <c r="S3848" t="s">
        <v>225</v>
      </c>
      <c r="T3848" t="s">
        <v>4675</v>
      </c>
      <c r="U3848" t="s">
        <v>4676</v>
      </c>
      <c r="V3848" t="s">
        <v>4677</v>
      </c>
      <c r="W3848" t="s">
        <v>4678</v>
      </c>
      <c r="AD3848" t="s">
        <v>410</v>
      </c>
      <c r="AE3848" t="s">
        <v>603</v>
      </c>
      <c r="AF3848" t="s">
        <v>4681</v>
      </c>
    </row>
    <row r="3849" spans="1:32" hidden="1" x14ac:dyDescent="0.35">
      <c r="A3849">
        <v>6371</v>
      </c>
      <c r="B3849" t="s">
        <v>13128</v>
      </c>
      <c r="C3849" t="s">
        <v>68</v>
      </c>
      <c r="D3849" t="s">
        <v>58</v>
      </c>
      <c r="E3849">
        <v>457</v>
      </c>
      <c r="F3849">
        <v>3</v>
      </c>
      <c r="G3849">
        <v>3</v>
      </c>
      <c r="H3849">
        <v>1</v>
      </c>
      <c r="I3849">
        <v>0</v>
      </c>
      <c r="J3849">
        <v>0.79041487839771096</v>
      </c>
      <c r="K3849">
        <v>0.94763475040353495</v>
      </c>
      <c r="L3849">
        <v>0.86191394491107398</v>
      </c>
      <c r="M3849">
        <v>0.54811205846528599</v>
      </c>
      <c r="N3849">
        <v>0.980511571254568</v>
      </c>
      <c r="O3849">
        <v>0.69346325619163596</v>
      </c>
      <c r="P3849" t="s">
        <v>11715</v>
      </c>
      <c r="Q3849" t="s">
        <v>11716</v>
      </c>
      <c r="R3849" t="s">
        <v>342</v>
      </c>
      <c r="S3849" t="s">
        <v>343</v>
      </c>
      <c r="T3849" t="s">
        <v>13129</v>
      </c>
      <c r="U3849" t="s">
        <v>13130</v>
      </c>
      <c r="V3849" t="s">
        <v>11453</v>
      </c>
      <c r="W3849" t="s">
        <v>11454</v>
      </c>
      <c r="AD3849" t="s">
        <v>410</v>
      </c>
      <c r="AE3849" t="s">
        <v>563</v>
      </c>
      <c r="AF3849" t="s">
        <v>13131</v>
      </c>
    </row>
    <row r="3850" spans="1:32" hidden="1" x14ac:dyDescent="0.35">
      <c r="A3850">
        <v>2255</v>
      </c>
      <c r="B3850" t="s">
        <v>4693</v>
      </c>
      <c r="C3850" t="s">
        <v>72</v>
      </c>
      <c r="D3850" t="s">
        <v>60</v>
      </c>
      <c r="E3850">
        <v>1376</v>
      </c>
      <c r="F3850">
        <v>5</v>
      </c>
      <c r="G3850">
        <v>5</v>
      </c>
      <c r="H3850">
        <v>1</v>
      </c>
      <c r="I3850">
        <v>1</v>
      </c>
      <c r="J3850">
        <v>0.91377694470477999</v>
      </c>
      <c r="K3850">
        <v>0.987997577016268</v>
      </c>
      <c r="L3850">
        <v>0.94943895502883902</v>
      </c>
      <c r="M3850">
        <v>0.842592592592593</v>
      </c>
      <c r="N3850">
        <v>1</v>
      </c>
      <c r="O3850">
        <v>0.88333333333333297</v>
      </c>
      <c r="P3850" t="s">
        <v>4694</v>
      </c>
      <c r="Q3850" t="s">
        <v>4695</v>
      </c>
      <c r="R3850" t="s">
        <v>224</v>
      </c>
      <c r="S3850" t="s">
        <v>225</v>
      </c>
      <c r="V3850" t="s">
        <v>4696</v>
      </c>
      <c r="W3850" t="s">
        <v>4697</v>
      </c>
      <c r="X3850" t="s">
        <v>4696</v>
      </c>
      <c r="Y3850" t="s">
        <v>761</v>
      </c>
      <c r="AF3850" t="s">
        <v>4699</v>
      </c>
    </row>
    <row r="3851" spans="1:32" hidden="1" x14ac:dyDescent="0.35">
      <c r="A3851">
        <v>2256</v>
      </c>
      <c r="B3851" t="s">
        <v>4693</v>
      </c>
      <c r="C3851" t="s">
        <v>72</v>
      </c>
      <c r="D3851" t="s">
        <v>62</v>
      </c>
      <c r="E3851">
        <v>1411</v>
      </c>
      <c r="F3851">
        <v>5</v>
      </c>
      <c r="G3851">
        <v>5</v>
      </c>
      <c r="H3851">
        <v>1</v>
      </c>
      <c r="I3851">
        <v>1</v>
      </c>
      <c r="J3851">
        <v>0.91377694470477999</v>
      </c>
      <c r="K3851">
        <v>0.987997577016268</v>
      </c>
      <c r="L3851">
        <v>0.94943895502883902</v>
      </c>
      <c r="M3851">
        <v>0.842592592592593</v>
      </c>
      <c r="N3851">
        <v>1</v>
      </c>
      <c r="O3851">
        <v>0.88333333333333297</v>
      </c>
      <c r="P3851" t="s">
        <v>4694</v>
      </c>
      <c r="Q3851" t="s">
        <v>4695</v>
      </c>
      <c r="R3851" t="s">
        <v>224</v>
      </c>
      <c r="S3851" t="s">
        <v>225</v>
      </c>
      <c r="V3851" t="s">
        <v>4696</v>
      </c>
      <c r="W3851" t="s">
        <v>4697</v>
      </c>
      <c r="X3851" t="s">
        <v>4696</v>
      </c>
      <c r="Y3851" t="s">
        <v>761</v>
      </c>
      <c r="AF3851" t="s">
        <v>4699</v>
      </c>
    </row>
    <row r="3852" spans="1:32" hidden="1" x14ac:dyDescent="0.35">
      <c r="A3852">
        <v>2257</v>
      </c>
      <c r="B3852" t="s">
        <v>4693</v>
      </c>
      <c r="C3852" t="s">
        <v>72</v>
      </c>
      <c r="D3852" t="s">
        <v>34</v>
      </c>
      <c r="E3852">
        <v>1803</v>
      </c>
      <c r="F3852">
        <v>5</v>
      </c>
      <c r="G3852">
        <v>5</v>
      </c>
      <c r="H3852">
        <v>1</v>
      </c>
      <c r="I3852">
        <v>1</v>
      </c>
      <c r="J3852">
        <v>0.91377694470477999</v>
      </c>
      <c r="K3852">
        <v>0.987997577016268</v>
      </c>
      <c r="L3852">
        <v>0.94943895502883902</v>
      </c>
      <c r="M3852">
        <v>0.842592592592593</v>
      </c>
      <c r="N3852">
        <v>1</v>
      </c>
      <c r="O3852">
        <v>0.88333333333333297</v>
      </c>
      <c r="P3852" t="s">
        <v>4694</v>
      </c>
      <c r="Q3852" t="s">
        <v>4695</v>
      </c>
      <c r="R3852" t="s">
        <v>224</v>
      </c>
      <c r="S3852" t="s">
        <v>225</v>
      </c>
      <c r="V3852" t="s">
        <v>4696</v>
      </c>
      <c r="W3852" t="s">
        <v>4697</v>
      </c>
      <c r="X3852" t="s">
        <v>4696</v>
      </c>
      <c r="Y3852" t="s">
        <v>761</v>
      </c>
      <c r="AF3852" t="s">
        <v>4700</v>
      </c>
    </row>
    <row r="3853" spans="1:32" hidden="1" x14ac:dyDescent="0.35">
      <c r="A3853">
        <v>2258</v>
      </c>
      <c r="B3853" t="s">
        <v>4693</v>
      </c>
      <c r="C3853" t="s">
        <v>72</v>
      </c>
      <c r="D3853" t="s">
        <v>45</v>
      </c>
      <c r="E3853">
        <v>1070</v>
      </c>
      <c r="F3853">
        <v>5</v>
      </c>
      <c r="G3853">
        <v>5</v>
      </c>
      <c r="H3853">
        <v>1</v>
      </c>
      <c r="I3853">
        <v>1</v>
      </c>
      <c r="J3853">
        <v>0.91377694470477999</v>
      </c>
      <c r="K3853">
        <v>0.987997577016268</v>
      </c>
      <c r="L3853">
        <v>0.94943895502883902</v>
      </c>
      <c r="M3853">
        <v>0.842592592592593</v>
      </c>
      <c r="N3853">
        <v>1</v>
      </c>
      <c r="O3853">
        <v>0.88333333333333297</v>
      </c>
      <c r="P3853" t="s">
        <v>4694</v>
      </c>
      <c r="Q3853" t="s">
        <v>4695</v>
      </c>
      <c r="R3853" t="s">
        <v>224</v>
      </c>
      <c r="S3853" t="s">
        <v>225</v>
      </c>
      <c r="V3853" t="s">
        <v>4696</v>
      </c>
      <c r="W3853" t="s">
        <v>4697</v>
      </c>
      <c r="X3853" t="s">
        <v>4696</v>
      </c>
      <c r="Y3853" t="s">
        <v>761</v>
      </c>
      <c r="AF3853" t="s">
        <v>4700</v>
      </c>
    </row>
    <row r="3854" spans="1:32" hidden="1" x14ac:dyDescent="0.35">
      <c r="A3854">
        <v>10878</v>
      </c>
      <c r="B3854" t="s">
        <v>21874</v>
      </c>
      <c r="C3854" t="s">
        <v>33</v>
      </c>
      <c r="D3854" t="s">
        <v>58</v>
      </c>
      <c r="E3854">
        <v>1055</v>
      </c>
      <c r="F3854">
        <v>1</v>
      </c>
      <c r="G3854">
        <v>1</v>
      </c>
      <c r="H3854">
        <v>1</v>
      </c>
      <c r="I3854">
        <v>0</v>
      </c>
      <c r="J3854">
        <v>1</v>
      </c>
      <c r="K3854">
        <v>1</v>
      </c>
      <c r="L3854">
        <v>1</v>
      </c>
      <c r="M3854">
        <v>0</v>
      </c>
      <c r="N3854">
        <v>0</v>
      </c>
      <c r="O3854">
        <v>0</v>
      </c>
      <c r="R3854" t="s">
        <v>157</v>
      </c>
      <c r="S3854" t="s">
        <v>158</v>
      </c>
      <c r="V3854" t="s">
        <v>11127</v>
      </c>
      <c r="W3854" t="s">
        <v>11128</v>
      </c>
      <c r="AF3854" t="s">
        <v>21875</v>
      </c>
    </row>
    <row r="3855" spans="1:32" hidden="1" x14ac:dyDescent="0.35">
      <c r="A3855">
        <v>2270</v>
      </c>
      <c r="B3855" t="s">
        <v>4726</v>
      </c>
      <c r="C3855" t="s">
        <v>72</v>
      </c>
      <c r="D3855" t="s">
        <v>60</v>
      </c>
      <c r="E3855">
        <v>482</v>
      </c>
      <c r="F3855">
        <v>5</v>
      </c>
      <c r="G3855">
        <v>5</v>
      </c>
      <c r="H3855">
        <v>1</v>
      </c>
      <c r="I3855">
        <v>1</v>
      </c>
      <c r="J3855">
        <v>0.84074544684455699</v>
      </c>
      <c r="K3855">
        <v>0.836467069066823</v>
      </c>
      <c r="L3855">
        <v>0.83860080112889102</v>
      </c>
      <c r="M3855">
        <v>0.52061855670103097</v>
      </c>
      <c r="N3855">
        <v>1</v>
      </c>
      <c r="O3855">
        <v>0.69278350515463905</v>
      </c>
      <c r="P3855" t="s">
        <v>4727</v>
      </c>
      <c r="Q3855" t="s">
        <v>4728</v>
      </c>
      <c r="R3855" t="s">
        <v>224</v>
      </c>
      <c r="S3855" t="s">
        <v>225</v>
      </c>
      <c r="T3855" t="s">
        <v>4729</v>
      </c>
      <c r="U3855" t="s">
        <v>4730</v>
      </c>
      <c r="V3855" t="s">
        <v>4731</v>
      </c>
      <c r="W3855" t="s">
        <v>4732</v>
      </c>
      <c r="X3855" t="s">
        <v>4731</v>
      </c>
      <c r="Y3855" t="s">
        <v>1598</v>
      </c>
      <c r="AD3855" t="s">
        <v>2991</v>
      </c>
      <c r="AE3855" t="s">
        <v>4733</v>
      </c>
      <c r="AF3855" t="s">
        <v>4735</v>
      </c>
    </row>
    <row r="3856" spans="1:32" hidden="1" x14ac:dyDescent="0.35">
      <c r="A3856">
        <v>2271</v>
      </c>
      <c r="B3856" t="s">
        <v>4726</v>
      </c>
      <c r="C3856" t="s">
        <v>72</v>
      </c>
      <c r="D3856" t="s">
        <v>62</v>
      </c>
      <c r="E3856">
        <v>565</v>
      </c>
      <c r="F3856">
        <v>5</v>
      </c>
      <c r="G3856">
        <v>5</v>
      </c>
      <c r="H3856">
        <v>1</v>
      </c>
      <c r="I3856">
        <v>1</v>
      </c>
      <c r="J3856">
        <v>0.84074544684455699</v>
      </c>
      <c r="K3856">
        <v>0.836467069066823</v>
      </c>
      <c r="L3856">
        <v>0.83860080112889102</v>
      </c>
      <c r="M3856">
        <v>0.52061855670103097</v>
      </c>
      <c r="N3856">
        <v>1</v>
      </c>
      <c r="O3856">
        <v>0.69278350515463905</v>
      </c>
      <c r="P3856" t="s">
        <v>4727</v>
      </c>
      <c r="Q3856" t="s">
        <v>4728</v>
      </c>
      <c r="R3856" t="s">
        <v>224</v>
      </c>
      <c r="S3856" t="s">
        <v>225</v>
      </c>
      <c r="T3856" t="s">
        <v>4729</v>
      </c>
      <c r="U3856" t="s">
        <v>4730</v>
      </c>
      <c r="V3856" t="s">
        <v>4731</v>
      </c>
      <c r="W3856" t="s">
        <v>4732</v>
      </c>
      <c r="X3856" t="s">
        <v>4731</v>
      </c>
      <c r="Y3856" t="s">
        <v>1598</v>
      </c>
      <c r="AD3856" t="s">
        <v>2991</v>
      </c>
      <c r="AE3856" t="s">
        <v>4733</v>
      </c>
      <c r="AF3856" t="s">
        <v>4735</v>
      </c>
    </row>
    <row r="3857" spans="1:32" hidden="1" x14ac:dyDescent="0.35">
      <c r="A3857">
        <v>2272</v>
      </c>
      <c r="B3857" t="s">
        <v>4726</v>
      </c>
      <c r="C3857" t="s">
        <v>72</v>
      </c>
      <c r="D3857" t="s">
        <v>34</v>
      </c>
      <c r="E3857">
        <v>595</v>
      </c>
      <c r="F3857">
        <v>5</v>
      </c>
      <c r="G3857">
        <v>5</v>
      </c>
      <c r="H3857">
        <v>1</v>
      </c>
      <c r="I3857">
        <v>1</v>
      </c>
      <c r="J3857">
        <v>0.84074544684455699</v>
      </c>
      <c r="K3857">
        <v>0.836467069066823</v>
      </c>
      <c r="L3857">
        <v>0.83860080112889102</v>
      </c>
      <c r="M3857">
        <v>0.52061855670103097</v>
      </c>
      <c r="N3857">
        <v>1</v>
      </c>
      <c r="O3857">
        <v>0.69278350515463905</v>
      </c>
      <c r="P3857" t="s">
        <v>4727</v>
      </c>
      <c r="Q3857" t="s">
        <v>4728</v>
      </c>
      <c r="R3857" t="s">
        <v>224</v>
      </c>
      <c r="S3857" t="s">
        <v>225</v>
      </c>
      <c r="T3857" t="s">
        <v>4729</v>
      </c>
      <c r="U3857" t="s">
        <v>4730</v>
      </c>
      <c r="V3857" t="s">
        <v>4731</v>
      </c>
      <c r="W3857" t="s">
        <v>4732</v>
      </c>
      <c r="X3857" t="s">
        <v>4731</v>
      </c>
      <c r="Y3857" t="s">
        <v>1598</v>
      </c>
      <c r="AD3857" t="s">
        <v>2991</v>
      </c>
      <c r="AE3857" t="s">
        <v>4733</v>
      </c>
      <c r="AF3857" t="s">
        <v>4736</v>
      </c>
    </row>
    <row r="3858" spans="1:32" hidden="1" x14ac:dyDescent="0.35">
      <c r="A3858">
        <v>2273</v>
      </c>
      <c r="B3858" t="s">
        <v>4726</v>
      </c>
      <c r="C3858" t="s">
        <v>72</v>
      </c>
      <c r="D3858" t="s">
        <v>45</v>
      </c>
      <c r="E3858">
        <v>1862</v>
      </c>
      <c r="F3858">
        <v>5</v>
      </c>
      <c r="G3858">
        <v>5</v>
      </c>
      <c r="H3858">
        <v>1</v>
      </c>
      <c r="I3858">
        <v>1</v>
      </c>
      <c r="J3858">
        <v>0.84074544684455699</v>
      </c>
      <c r="K3858">
        <v>0.836467069066823</v>
      </c>
      <c r="L3858">
        <v>0.83860080112889102</v>
      </c>
      <c r="M3858">
        <v>0.52061855670103097</v>
      </c>
      <c r="N3858">
        <v>1</v>
      </c>
      <c r="O3858">
        <v>0.69278350515463905</v>
      </c>
      <c r="P3858" t="s">
        <v>4727</v>
      </c>
      <c r="Q3858" t="s">
        <v>4728</v>
      </c>
      <c r="R3858" t="s">
        <v>224</v>
      </c>
      <c r="S3858" t="s">
        <v>225</v>
      </c>
      <c r="T3858" t="s">
        <v>4729</v>
      </c>
      <c r="U3858" t="s">
        <v>4730</v>
      </c>
      <c r="V3858" t="s">
        <v>4731</v>
      </c>
      <c r="W3858" t="s">
        <v>4732</v>
      </c>
      <c r="X3858" t="s">
        <v>4731</v>
      </c>
      <c r="Y3858" t="s">
        <v>1598</v>
      </c>
      <c r="AD3858" t="s">
        <v>2991</v>
      </c>
      <c r="AE3858" t="s">
        <v>4733</v>
      </c>
      <c r="AF3858" t="s">
        <v>4736</v>
      </c>
    </row>
    <row r="3859" spans="1:32" hidden="1" x14ac:dyDescent="0.35">
      <c r="A3859">
        <v>1624</v>
      </c>
      <c r="B3859" t="s">
        <v>3403</v>
      </c>
      <c r="C3859" t="s">
        <v>72</v>
      </c>
      <c r="D3859" t="s">
        <v>58</v>
      </c>
      <c r="E3859">
        <v>1476</v>
      </c>
      <c r="F3859">
        <v>5</v>
      </c>
      <c r="G3859">
        <v>5</v>
      </c>
      <c r="H3859">
        <v>1</v>
      </c>
      <c r="I3859">
        <v>1</v>
      </c>
      <c r="J3859">
        <v>0.87394612379189796</v>
      </c>
      <c r="K3859">
        <v>0.99448607833883795</v>
      </c>
      <c r="L3859">
        <v>0.930327846349567</v>
      </c>
      <c r="M3859">
        <v>0.73312883435582799</v>
      </c>
      <c r="N3859">
        <v>1</v>
      </c>
      <c r="O3859">
        <v>0.82638036809815996</v>
      </c>
      <c r="P3859" t="s">
        <v>3404</v>
      </c>
      <c r="Q3859" t="s">
        <v>3405</v>
      </c>
      <c r="R3859" t="s">
        <v>652</v>
      </c>
      <c r="S3859" t="s">
        <v>653</v>
      </c>
      <c r="T3859" t="s">
        <v>3406</v>
      </c>
      <c r="U3859" t="s">
        <v>3407</v>
      </c>
      <c r="V3859" t="s">
        <v>3408</v>
      </c>
      <c r="W3859" t="s">
        <v>3409</v>
      </c>
      <c r="X3859" t="s">
        <v>3408</v>
      </c>
      <c r="Y3859" t="s">
        <v>1782</v>
      </c>
      <c r="Z3859" t="s">
        <v>3410</v>
      </c>
      <c r="AA3859" t="s">
        <v>3411</v>
      </c>
      <c r="AB3859" t="s">
        <v>3410</v>
      </c>
      <c r="AC3859" t="s">
        <v>3412</v>
      </c>
      <c r="AD3859" t="s">
        <v>1066</v>
      </c>
      <c r="AE3859" t="s">
        <v>3413</v>
      </c>
      <c r="AF3859" t="s">
        <v>3414</v>
      </c>
    </row>
    <row r="3860" spans="1:32" hidden="1" x14ac:dyDescent="0.35">
      <c r="A3860">
        <v>2285</v>
      </c>
      <c r="B3860" t="s">
        <v>4750</v>
      </c>
      <c r="C3860" t="s">
        <v>72</v>
      </c>
      <c r="D3860" t="s">
        <v>60</v>
      </c>
      <c r="E3860">
        <v>1627</v>
      </c>
      <c r="F3860">
        <v>5</v>
      </c>
      <c r="G3860">
        <v>5</v>
      </c>
      <c r="H3860">
        <v>1</v>
      </c>
      <c r="I3860">
        <v>1</v>
      </c>
      <c r="J3860">
        <v>0.84995625546806697</v>
      </c>
      <c r="K3860">
        <v>0.92721359940872095</v>
      </c>
      <c r="L3860">
        <v>0.886905657115305</v>
      </c>
      <c r="M3860">
        <v>0.63030303030303003</v>
      </c>
      <c r="N3860">
        <v>1</v>
      </c>
      <c r="O3860">
        <v>0.75030303030303003</v>
      </c>
      <c r="P3860" t="s">
        <v>4751</v>
      </c>
      <c r="Q3860" t="s">
        <v>4752</v>
      </c>
      <c r="R3860" t="s">
        <v>224</v>
      </c>
      <c r="S3860" t="s">
        <v>225</v>
      </c>
      <c r="T3860" t="s">
        <v>4753</v>
      </c>
      <c r="U3860" t="s">
        <v>4754</v>
      </c>
      <c r="V3860" t="s">
        <v>4755</v>
      </c>
      <c r="W3860" t="s">
        <v>4756</v>
      </c>
      <c r="X3860" t="s">
        <v>4755</v>
      </c>
      <c r="Y3860" t="s">
        <v>761</v>
      </c>
      <c r="AD3860" t="s">
        <v>750</v>
      </c>
      <c r="AE3860" t="s">
        <v>2675</v>
      </c>
      <c r="AF3860" t="s">
        <v>4758</v>
      </c>
    </row>
    <row r="3861" spans="1:32" hidden="1" x14ac:dyDescent="0.35">
      <c r="A3861">
        <v>2286</v>
      </c>
      <c r="B3861" t="s">
        <v>4750</v>
      </c>
      <c r="C3861" t="s">
        <v>72</v>
      </c>
      <c r="D3861" t="s">
        <v>62</v>
      </c>
      <c r="E3861">
        <v>1663</v>
      </c>
      <c r="F3861">
        <v>5</v>
      </c>
      <c r="G3861">
        <v>5</v>
      </c>
      <c r="H3861">
        <v>1</v>
      </c>
      <c r="I3861">
        <v>1</v>
      </c>
      <c r="J3861">
        <v>0.84995625546806697</v>
      </c>
      <c r="K3861">
        <v>0.92721359940872095</v>
      </c>
      <c r="L3861">
        <v>0.886905657115305</v>
      </c>
      <c r="M3861">
        <v>0.63030303030303003</v>
      </c>
      <c r="N3861">
        <v>1</v>
      </c>
      <c r="O3861">
        <v>0.75030303030303003</v>
      </c>
      <c r="P3861" t="s">
        <v>4751</v>
      </c>
      <c r="Q3861" t="s">
        <v>4752</v>
      </c>
      <c r="R3861" t="s">
        <v>224</v>
      </c>
      <c r="S3861" t="s">
        <v>225</v>
      </c>
      <c r="T3861" t="s">
        <v>4753</v>
      </c>
      <c r="U3861" t="s">
        <v>4754</v>
      </c>
      <c r="V3861" t="s">
        <v>4755</v>
      </c>
      <c r="W3861" t="s">
        <v>4756</v>
      </c>
      <c r="X3861" t="s">
        <v>4755</v>
      </c>
      <c r="Y3861" t="s">
        <v>761</v>
      </c>
      <c r="AD3861" t="s">
        <v>750</v>
      </c>
      <c r="AE3861" t="s">
        <v>2675</v>
      </c>
      <c r="AF3861" t="s">
        <v>4759</v>
      </c>
    </row>
    <row r="3862" spans="1:32" hidden="1" x14ac:dyDescent="0.35">
      <c r="A3862">
        <v>2287</v>
      </c>
      <c r="B3862" t="s">
        <v>4750</v>
      </c>
      <c r="C3862" t="s">
        <v>72</v>
      </c>
      <c r="D3862" t="s">
        <v>34</v>
      </c>
      <c r="E3862">
        <v>2026</v>
      </c>
      <c r="F3862">
        <v>5</v>
      </c>
      <c r="G3862">
        <v>5</v>
      </c>
      <c r="H3862">
        <v>1</v>
      </c>
      <c r="I3862">
        <v>1</v>
      </c>
      <c r="J3862">
        <v>0.84995625546806697</v>
      </c>
      <c r="K3862">
        <v>0.92721359940872095</v>
      </c>
      <c r="L3862">
        <v>0.886905657115305</v>
      </c>
      <c r="M3862">
        <v>0.63030303030303003</v>
      </c>
      <c r="N3862">
        <v>1</v>
      </c>
      <c r="O3862">
        <v>0.75030303030303003</v>
      </c>
      <c r="P3862" t="s">
        <v>4751</v>
      </c>
      <c r="Q3862" t="s">
        <v>4752</v>
      </c>
      <c r="R3862" t="s">
        <v>224</v>
      </c>
      <c r="S3862" t="s">
        <v>225</v>
      </c>
      <c r="T3862" t="s">
        <v>4753</v>
      </c>
      <c r="U3862" t="s">
        <v>4754</v>
      </c>
      <c r="V3862" t="s">
        <v>4755</v>
      </c>
      <c r="W3862" t="s">
        <v>4756</v>
      </c>
      <c r="X3862" t="s">
        <v>4755</v>
      </c>
      <c r="Y3862" t="s">
        <v>761</v>
      </c>
      <c r="AD3862" t="s">
        <v>750</v>
      </c>
      <c r="AE3862" t="s">
        <v>2675</v>
      </c>
      <c r="AF3862" t="s">
        <v>4760</v>
      </c>
    </row>
    <row r="3863" spans="1:32" hidden="1" x14ac:dyDescent="0.35">
      <c r="A3863">
        <v>2288</v>
      </c>
      <c r="B3863" t="s">
        <v>4750</v>
      </c>
      <c r="C3863" t="s">
        <v>72</v>
      </c>
      <c r="D3863" t="s">
        <v>45</v>
      </c>
      <c r="E3863">
        <v>845</v>
      </c>
      <c r="F3863">
        <v>5</v>
      </c>
      <c r="G3863">
        <v>5</v>
      </c>
      <c r="H3863">
        <v>1</v>
      </c>
      <c r="I3863">
        <v>1</v>
      </c>
      <c r="J3863">
        <v>0.84995625546806697</v>
      </c>
      <c r="K3863">
        <v>0.92721359940872095</v>
      </c>
      <c r="L3863">
        <v>0.886905657115305</v>
      </c>
      <c r="M3863">
        <v>0.63030303030303003</v>
      </c>
      <c r="N3863">
        <v>1</v>
      </c>
      <c r="O3863">
        <v>0.75030303030303003</v>
      </c>
      <c r="P3863" t="s">
        <v>4751</v>
      </c>
      <c r="Q3863" t="s">
        <v>4752</v>
      </c>
      <c r="R3863" t="s">
        <v>224</v>
      </c>
      <c r="S3863" t="s">
        <v>225</v>
      </c>
      <c r="T3863" t="s">
        <v>4753</v>
      </c>
      <c r="U3863" t="s">
        <v>4754</v>
      </c>
      <c r="V3863" t="s">
        <v>4755</v>
      </c>
      <c r="W3863" t="s">
        <v>4756</v>
      </c>
      <c r="X3863" t="s">
        <v>4755</v>
      </c>
      <c r="Y3863" t="s">
        <v>761</v>
      </c>
      <c r="AD3863" t="s">
        <v>750</v>
      </c>
      <c r="AE3863" t="s">
        <v>2675</v>
      </c>
      <c r="AF3863" t="s">
        <v>4760</v>
      </c>
    </row>
    <row r="3864" spans="1:32" hidden="1" x14ac:dyDescent="0.35">
      <c r="A3864">
        <v>2914</v>
      </c>
      <c r="B3864" t="s">
        <v>6007</v>
      </c>
      <c r="C3864" t="s">
        <v>72</v>
      </c>
      <c r="D3864" t="s">
        <v>58</v>
      </c>
      <c r="E3864">
        <v>1816</v>
      </c>
      <c r="F3864">
        <v>5</v>
      </c>
      <c r="G3864">
        <v>5</v>
      </c>
      <c r="H3864">
        <v>1</v>
      </c>
      <c r="I3864">
        <v>1</v>
      </c>
      <c r="J3864">
        <v>0.881195443112887</v>
      </c>
      <c r="K3864">
        <v>0.79612577625185399</v>
      </c>
      <c r="L3864">
        <v>0.83650334602401499</v>
      </c>
      <c r="M3864">
        <v>0.168195718654434</v>
      </c>
      <c r="N3864">
        <v>1</v>
      </c>
      <c r="O3864">
        <v>0.58256880733944905</v>
      </c>
      <c r="P3864" t="s">
        <v>6008</v>
      </c>
      <c r="Q3864" t="s">
        <v>6009</v>
      </c>
      <c r="R3864" t="s">
        <v>652</v>
      </c>
      <c r="S3864" t="s">
        <v>653</v>
      </c>
      <c r="T3864" t="s">
        <v>6010</v>
      </c>
      <c r="U3864" t="s">
        <v>6011</v>
      </c>
      <c r="V3864" t="s">
        <v>3408</v>
      </c>
      <c r="W3864" t="s">
        <v>3409</v>
      </c>
      <c r="X3864" t="s">
        <v>3408</v>
      </c>
      <c r="Y3864" t="s">
        <v>1782</v>
      </c>
      <c r="AD3864" t="s">
        <v>6012</v>
      </c>
      <c r="AE3864" t="s">
        <v>6013</v>
      </c>
      <c r="AF3864" t="s">
        <v>6014</v>
      </c>
    </row>
    <row r="3865" spans="1:32" hidden="1" x14ac:dyDescent="0.35">
      <c r="A3865">
        <v>2325</v>
      </c>
      <c r="B3865" t="s">
        <v>4831</v>
      </c>
      <c r="C3865" t="s">
        <v>72</v>
      </c>
      <c r="D3865" t="s">
        <v>60</v>
      </c>
      <c r="E3865">
        <v>1523</v>
      </c>
      <c r="F3865">
        <v>5</v>
      </c>
      <c r="G3865">
        <v>5</v>
      </c>
      <c r="H3865">
        <v>1</v>
      </c>
      <c r="I3865">
        <v>1</v>
      </c>
      <c r="J3865">
        <v>0.91573033707865203</v>
      </c>
      <c r="K3865">
        <v>1</v>
      </c>
      <c r="L3865">
        <v>0.95601173020527896</v>
      </c>
      <c r="M3865">
        <v>0.86516853932584303</v>
      </c>
      <c r="N3865">
        <v>1</v>
      </c>
      <c r="O3865">
        <v>0.89775280898876397</v>
      </c>
      <c r="P3865" t="s">
        <v>4832</v>
      </c>
      <c r="Q3865" t="s">
        <v>4833</v>
      </c>
      <c r="R3865" t="s">
        <v>224</v>
      </c>
      <c r="S3865" t="s">
        <v>225</v>
      </c>
      <c r="T3865" t="s">
        <v>4834</v>
      </c>
      <c r="U3865" t="s">
        <v>4835</v>
      </c>
      <c r="V3865" t="s">
        <v>4836</v>
      </c>
      <c r="W3865" t="s">
        <v>4837</v>
      </c>
      <c r="X3865" t="s">
        <v>4836</v>
      </c>
      <c r="Y3865" t="s">
        <v>761</v>
      </c>
      <c r="AD3865" t="s">
        <v>762</v>
      </c>
      <c r="AE3865" t="s">
        <v>763</v>
      </c>
      <c r="AF3865" t="s">
        <v>4839</v>
      </c>
    </row>
    <row r="3866" spans="1:32" hidden="1" x14ac:dyDescent="0.35">
      <c r="A3866">
        <v>2326</v>
      </c>
      <c r="B3866" t="s">
        <v>4831</v>
      </c>
      <c r="C3866" t="s">
        <v>72</v>
      </c>
      <c r="D3866" t="s">
        <v>62</v>
      </c>
      <c r="E3866">
        <v>1558</v>
      </c>
      <c r="F3866">
        <v>5</v>
      </c>
      <c r="G3866">
        <v>5</v>
      </c>
      <c r="H3866">
        <v>1</v>
      </c>
      <c r="I3866">
        <v>1</v>
      </c>
      <c r="J3866">
        <v>0.91573033707865203</v>
      </c>
      <c r="K3866">
        <v>1</v>
      </c>
      <c r="L3866">
        <v>0.95601173020527896</v>
      </c>
      <c r="M3866">
        <v>0.86516853932584303</v>
      </c>
      <c r="N3866">
        <v>1</v>
      </c>
      <c r="O3866">
        <v>0.89775280898876397</v>
      </c>
      <c r="P3866" t="s">
        <v>4832</v>
      </c>
      <c r="Q3866" t="s">
        <v>4833</v>
      </c>
      <c r="R3866" t="s">
        <v>224</v>
      </c>
      <c r="S3866" t="s">
        <v>225</v>
      </c>
      <c r="T3866" t="s">
        <v>4834</v>
      </c>
      <c r="U3866" t="s">
        <v>4835</v>
      </c>
      <c r="V3866" t="s">
        <v>4836</v>
      </c>
      <c r="W3866" t="s">
        <v>4837</v>
      </c>
      <c r="X3866" t="s">
        <v>4836</v>
      </c>
      <c r="Y3866" t="s">
        <v>761</v>
      </c>
      <c r="AD3866" t="s">
        <v>762</v>
      </c>
      <c r="AE3866" t="s">
        <v>763</v>
      </c>
      <c r="AF3866" t="s">
        <v>4839</v>
      </c>
    </row>
    <row r="3867" spans="1:32" hidden="1" x14ac:dyDescent="0.35">
      <c r="A3867">
        <v>2327</v>
      </c>
      <c r="B3867" t="s">
        <v>4831</v>
      </c>
      <c r="C3867" t="s">
        <v>72</v>
      </c>
      <c r="D3867" t="s">
        <v>34</v>
      </c>
      <c r="E3867">
        <v>1950</v>
      </c>
      <c r="F3867">
        <v>5</v>
      </c>
      <c r="G3867">
        <v>5</v>
      </c>
      <c r="H3867">
        <v>1</v>
      </c>
      <c r="I3867">
        <v>1</v>
      </c>
      <c r="J3867">
        <v>0.91573033707865203</v>
      </c>
      <c r="K3867">
        <v>1</v>
      </c>
      <c r="L3867">
        <v>0.95601173020527896</v>
      </c>
      <c r="M3867">
        <v>0.86516853932584303</v>
      </c>
      <c r="N3867">
        <v>1</v>
      </c>
      <c r="O3867">
        <v>0.89775280898876397</v>
      </c>
      <c r="P3867" t="s">
        <v>4832</v>
      </c>
      <c r="Q3867" t="s">
        <v>4833</v>
      </c>
      <c r="R3867" t="s">
        <v>224</v>
      </c>
      <c r="S3867" t="s">
        <v>225</v>
      </c>
      <c r="T3867" t="s">
        <v>4834</v>
      </c>
      <c r="U3867" t="s">
        <v>4835</v>
      </c>
      <c r="V3867" t="s">
        <v>4836</v>
      </c>
      <c r="W3867" t="s">
        <v>4837</v>
      </c>
      <c r="X3867" t="s">
        <v>4836</v>
      </c>
      <c r="Y3867" t="s">
        <v>761</v>
      </c>
      <c r="AD3867" t="s">
        <v>762</v>
      </c>
      <c r="AE3867" t="s">
        <v>763</v>
      </c>
      <c r="AF3867" t="s">
        <v>4840</v>
      </c>
    </row>
    <row r="3868" spans="1:32" hidden="1" x14ac:dyDescent="0.35">
      <c r="A3868">
        <v>2328</v>
      </c>
      <c r="B3868" t="s">
        <v>4831</v>
      </c>
      <c r="C3868" t="s">
        <v>72</v>
      </c>
      <c r="D3868" t="s">
        <v>45</v>
      </c>
      <c r="E3868">
        <v>923</v>
      </c>
      <c r="F3868">
        <v>5</v>
      </c>
      <c r="G3868">
        <v>5</v>
      </c>
      <c r="H3868">
        <v>1</v>
      </c>
      <c r="I3868">
        <v>1</v>
      </c>
      <c r="J3868">
        <v>0.91573033707865203</v>
      </c>
      <c r="K3868">
        <v>1</v>
      </c>
      <c r="L3868">
        <v>0.95601173020527896</v>
      </c>
      <c r="M3868">
        <v>0.86516853932584303</v>
      </c>
      <c r="N3868">
        <v>1</v>
      </c>
      <c r="O3868">
        <v>0.89775280898876397</v>
      </c>
      <c r="P3868" t="s">
        <v>4832</v>
      </c>
      <c r="Q3868" t="s">
        <v>4833</v>
      </c>
      <c r="R3868" t="s">
        <v>224</v>
      </c>
      <c r="S3868" t="s">
        <v>225</v>
      </c>
      <c r="T3868" t="s">
        <v>4834</v>
      </c>
      <c r="U3868" t="s">
        <v>4835</v>
      </c>
      <c r="V3868" t="s">
        <v>4836</v>
      </c>
      <c r="W3868" t="s">
        <v>4837</v>
      </c>
      <c r="X3868" t="s">
        <v>4836</v>
      </c>
      <c r="Y3868" t="s">
        <v>761</v>
      </c>
      <c r="AD3868" t="s">
        <v>762</v>
      </c>
      <c r="AE3868" t="s">
        <v>763</v>
      </c>
      <c r="AF3868" t="s">
        <v>4841</v>
      </c>
    </row>
    <row r="3869" spans="1:32" hidden="1" x14ac:dyDescent="0.35">
      <c r="A3869">
        <v>11916</v>
      </c>
      <c r="B3869" t="s">
        <v>24567</v>
      </c>
      <c r="C3869" t="s">
        <v>10130</v>
      </c>
      <c r="D3869" t="s">
        <v>58</v>
      </c>
      <c r="E3869">
        <v>1144</v>
      </c>
      <c r="F3869">
        <v>1</v>
      </c>
      <c r="G3869">
        <v>1</v>
      </c>
      <c r="H3869">
        <v>1</v>
      </c>
      <c r="I3869">
        <v>0</v>
      </c>
      <c r="J3869">
        <v>1</v>
      </c>
      <c r="K3869">
        <v>1</v>
      </c>
      <c r="L3869">
        <v>1</v>
      </c>
      <c r="M3869">
        <v>0</v>
      </c>
      <c r="N3869">
        <v>0</v>
      </c>
      <c r="O3869">
        <v>0</v>
      </c>
      <c r="R3869" t="s">
        <v>157</v>
      </c>
      <c r="S3869" t="s">
        <v>158</v>
      </c>
      <c r="T3869" t="s">
        <v>10584</v>
      </c>
      <c r="U3869" t="s">
        <v>10585</v>
      </c>
      <c r="V3869" t="s">
        <v>10586</v>
      </c>
      <c r="W3869" t="s">
        <v>10587</v>
      </c>
      <c r="AD3869" t="s">
        <v>410</v>
      </c>
      <c r="AE3869" t="s">
        <v>603</v>
      </c>
      <c r="AF3869" t="s">
        <v>24568</v>
      </c>
    </row>
    <row r="3870" spans="1:32" hidden="1" x14ac:dyDescent="0.35">
      <c r="A3870">
        <v>2330</v>
      </c>
      <c r="B3870" t="s">
        <v>4842</v>
      </c>
      <c r="C3870" t="s">
        <v>72</v>
      </c>
      <c r="D3870" t="s">
        <v>60</v>
      </c>
      <c r="E3870">
        <v>373</v>
      </c>
      <c r="F3870">
        <v>5</v>
      </c>
      <c r="G3870">
        <v>5</v>
      </c>
      <c r="H3870">
        <v>1</v>
      </c>
      <c r="I3870">
        <v>1</v>
      </c>
      <c r="J3870">
        <v>0.94088530618017296</v>
      </c>
      <c r="K3870">
        <v>0.99592184985795695</v>
      </c>
      <c r="L3870">
        <v>0.96762161551687298</v>
      </c>
      <c r="M3870">
        <v>0.88028169014084501</v>
      </c>
      <c r="N3870">
        <v>1</v>
      </c>
      <c r="O3870">
        <v>0.90985915492957803</v>
      </c>
      <c r="P3870" t="s">
        <v>1401</v>
      </c>
      <c r="Q3870" t="s">
        <v>1402</v>
      </c>
      <c r="R3870" t="s">
        <v>224</v>
      </c>
      <c r="S3870" t="s">
        <v>225</v>
      </c>
      <c r="T3870" t="s">
        <v>4843</v>
      </c>
      <c r="U3870" t="s">
        <v>4844</v>
      </c>
      <c r="V3870" t="s">
        <v>4845</v>
      </c>
      <c r="W3870" t="s">
        <v>4846</v>
      </c>
      <c r="X3870" t="s">
        <v>4845</v>
      </c>
      <c r="Y3870" t="s">
        <v>773</v>
      </c>
      <c r="AD3870" t="s">
        <v>4847</v>
      </c>
      <c r="AE3870" t="s">
        <v>4848</v>
      </c>
      <c r="AF3870" t="s">
        <v>4850</v>
      </c>
    </row>
    <row r="3871" spans="1:32" hidden="1" x14ac:dyDescent="0.35">
      <c r="A3871">
        <v>2331</v>
      </c>
      <c r="B3871" t="s">
        <v>4842</v>
      </c>
      <c r="C3871" t="s">
        <v>72</v>
      </c>
      <c r="D3871" t="s">
        <v>62</v>
      </c>
      <c r="E3871">
        <v>453</v>
      </c>
      <c r="F3871">
        <v>5</v>
      </c>
      <c r="G3871">
        <v>5</v>
      </c>
      <c r="H3871">
        <v>1</v>
      </c>
      <c r="I3871">
        <v>1</v>
      </c>
      <c r="J3871">
        <v>0.94088530618017296</v>
      </c>
      <c r="K3871">
        <v>0.99592184985795695</v>
      </c>
      <c r="L3871">
        <v>0.96762161551687298</v>
      </c>
      <c r="M3871">
        <v>0.88028169014084501</v>
      </c>
      <c r="N3871">
        <v>1</v>
      </c>
      <c r="O3871">
        <v>0.90985915492957803</v>
      </c>
      <c r="P3871" t="s">
        <v>1401</v>
      </c>
      <c r="Q3871" t="s">
        <v>1402</v>
      </c>
      <c r="R3871" t="s">
        <v>224</v>
      </c>
      <c r="S3871" t="s">
        <v>225</v>
      </c>
      <c r="T3871" t="s">
        <v>4843</v>
      </c>
      <c r="U3871" t="s">
        <v>4844</v>
      </c>
      <c r="V3871" t="s">
        <v>4845</v>
      </c>
      <c r="W3871" t="s">
        <v>4846</v>
      </c>
      <c r="X3871" t="s">
        <v>4845</v>
      </c>
      <c r="Y3871" t="s">
        <v>773</v>
      </c>
      <c r="AD3871" t="s">
        <v>4847</v>
      </c>
      <c r="AE3871" t="s">
        <v>4848</v>
      </c>
      <c r="AF3871" t="s">
        <v>4850</v>
      </c>
    </row>
    <row r="3872" spans="1:32" hidden="1" x14ac:dyDescent="0.35">
      <c r="A3872">
        <v>2332</v>
      </c>
      <c r="B3872" t="s">
        <v>4842</v>
      </c>
      <c r="C3872" t="s">
        <v>72</v>
      </c>
      <c r="D3872" t="s">
        <v>34</v>
      </c>
      <c r="E3872">
        <v>750</v>
      </c>
      <c r="F3872">
        <v>5</v>
      </c>
      <c r="G3872">
        <v>5</v>
      </c>
      <c r="H3872">
        <v>1</v>
      </c>
      <c r="I3872">
        <v>1</v>
      </c>
      <c r="J3872">
        <v>0.94088530618017296</v>
      </c>
      <c r="K3872">
        <v>0.99592184985795695</v>
      </c>
      <c r="L3872">
        <v>0.96762161551687298</v>
      </c>
      <c r="M3872">
        <v>0.88028169014084501</v>
      </c>
      <c r="N3872">
        <v>1</v>
      </c>
      <c r="O3872">
        <v>0.90985915492957803</v>
      </c>
      <c r="P3872" t="s">
        <v>1401</v>
      </c>
      <c r="Q3872" t="s">
        <v>1402</v>
      </c>
      <c r="R3872" t="s">
        <v>224</v>
      </c>
      <c r="S3872" t="s">
        <v>225</v>
      </c>
      <c r="T3872" t="s">
        <v>4843</v>
      </c>
      <c r="U3872" t="s">
        <v>4844</v>
      </c>
      <c r="V3872" t="s">
        <v>4845</v>
      </c>
      <c r="W3872" t="s">
        <v>4846</v>
      </c>
      <c r="X3872" t="s">
        <v>4845</v>
      </c>
      <c r="Y3872" t="s">
        <v>773</v>
      </c>
      <c r="AD3872" t="s">
        <v>4847</v>
      </c>
      <c r="AE3872" t="s">
        <v>4848</v>
      </c>
      <c r="AF3872" t="s">
        <v>4851</v>
      </c>
    </row>
    <row r="3873" spans="1:32" hidden="1" x14ac:dyDescent="0.35">
      <c r="A3873">
        <v>2333</v>
      </c>
      <c r="B3873" t="s">
        <v>4842</v>
      </c>
      <c r="C3873" t="s">
        <v>72</v>
      </c>
      <c r="D3873" t="s">
        <v>45</v>
      </c>
      <c r="E3873">
        <v>2017</v>
      </c>
      <c r="F3873">
        <v>5</v>
      </c>
      <c r="G3873">
        <v>5</v>
      </c>
      <c r="H3873">
        <v>1</v>
      </c>
      <c r="I3873">
        <v>1</v>
      </c>
      <c r="J3873">
        <v>0.94088530618017296</v>
      </c>
      <c r="K3873">
        <v>0.99592184985795695</v>
      </c>
      <c r="L3873">
        <v>0.96762161551687298</v>
      </c>
      <c r="M3873">
        <v>0.88028169014084501</v>
      </c>
      <c r="N3873">
        <v>1</v>
      </c>
      <c r="O3873">
        <v>0.90985915492957803</v>
      </c>
      <c r="P3873" t="s">
        <v>1401</v>
      </c>
      <c r="Q3873" t="s">
        <v>1402</v>
      </c>
      <c r="R3873" t="s">
        <v>224</v>
      </c>
      <c r="S3873" t="s">
        <v>225</v>
      </c>
      <c r="T3873" t="s">
        <v>4843</v>
      </c>
      <c r="U3873" t="s">
        <v>4844</v>
      </c>
      <c r="V3873" t="s">
        <v>4845</v>
      </c>
      <c r="W3873" t="s">
        <v>4846</v>
      </c>
      <c r="X3873" t="s">
        <v>4845</v>
      </c>
      <c r="Y3873" t="s">
        <v>773</v>
      </c>
      <c r="AD3873" t="s">
        <v>4847</v>
      </c>
      <c r="AE3873" t="s">
        <v>4848</v>
      </c>
      <c r="AF3873" t="s">
        <v>4852</v>
      </c>
    </row>
    <row r="3874" spans="1:32" hidden="1" x14ac:dyDescent="0.35">
      <c r="A3874">
        <v>5951</v>
      </c>
      <c r="B3874" t="s">
        <v>12238</v>
      </c>
      <c r="C3874" t="s">
        <v>13295</v>
      </c>
      <c r="D3874" t="s">
        <v>58</v>
      </c>
      <c r="E3874">
        <v>899</v>
      </c>
      <c r="F3874">
        <v>3</v>
      </c>
      <c r="G3874">
        <v>3</v>
      </c>
      <c r="H3874">
        <v>1</v>
      </c>
      <c r="I3874">
        <v>0</v>
      </c>
      <c r="J3874">
        <v>0.82296408700050605</v>
      </c>
      <c r="K3874">
        <v>0.96840928878665999</v>
      </c>
      <c r="L3874">
        <v>0.88978219388676505</v>
      </c>
      <c r="M3874">
        <v>0.59471365638766505</v>
      </c>
      <c r="N3874">
        <v>1</v>
      </c>
      <c r="O3874">
        <v>0.72980910425844303</v>
      </c>
      <c r="P3874" t="s">
        <v>10582</v>
      </c>
      <c r="Q3874" t="s">
        <v>10583</v>
      </c>
      <c r="R3874" t="s">
        <v>157</v>
      </c>
      <c r="S3874" t="s">
        <v>158</v>
      </c>
      <c r="T3874" t="s">
        <v>10584</v>
      </c>
      <c r="U3874" t="s">
        <v>10585</v>
      </c>
      <c r="V3874" t="s">
        <v>10586</v>
      </c>
      <c r="W3874" t="s">
        <v>10587</v>
      </c>
      <c r="AD3874" t="s">
        <v>410</v>
      </c>
      <c r="AE3874" t="s">
        <v>603</v>
      </c>
      <c r="AF3874" t="s">
        <v>12239</v>
      </c>
    </row>
    <row r="3875" spans="1:32" hidden="1" x14ac:dyDescent="0.35">
      <c r="A3875">
        <v>2370</v>
      </c>
      <c r="B3875" t="s">
        <v>4924</v>
      </c>
      <c r="C3875" t="s">
        <v>72</v>
      </c>
      <c r="D3875" t="s">
        <v>60</v>
      </c>
      <c r="E3875">
        <v>354</v>
      </c>
      <c r="F3875">
        <v>5</v>
      </c>
      <c r="G3875">
        <v>5</v>
      </c>
      <c r="H3875">
        <v>1</v>
      </c>
      <c r="I3875">
        <v>1</v>
      </c>
      <c r="J3875">
        <v>0.90472127417519899</v>
      </c>
      <c r="K3875">
        <v>0.99322033898304996</v>
      </c>
      <c r="L3875">
        <v>0.94690749640731398</v>
      </c>
      <c r="M3875">
        <v>0.78813559322033899</v>
      </c>
      <c r="N3875">
        <v>1</v>
      </c>
      <c r="O3875">
        <v>0.85</v>
      </c>
      <c r="P3875" t="s">
        <v>4925</v>
      </c>
      <c r="Q3875" t="s">
        <v>4926</v>
      </c>
      <c r="R3875" t="s">
        <v>224</v>
      </c>
      <c r="S3875" t="s">
        <v>225</v>
      </c>
      <c r="T3875" t="s">
        <v>4927</v>
      </c>
      <c r="U3875" t="s">
        <v>4928</v>
      </c>
      <c r="V3875" t="s">
        <v>4929</v>
      </c>
      <c r="W3875" t="s">
        <v>4930</v>
      </c>
      <c r="X3875" t="s">
        <v>4929</v>
      </c>
      <c r="Y3875" t="s">
        <v>749</v>
      </c>
      <c r="AD3875" t="s">
        <v>762</v>
      </c>
      <c r="AE3875" t="s">
        <v>1545</v>
      </c>
      <c r="AF3875" t="s">
        <v>4932</v>
      </c>
    </row>
    <row r="3876" spans="1:32" hidden="1" x14ac:dyDescent="0.35">
      <c r="A3876">
        <v>2371</v>
      </c>
      <c r="B3876" t="s">
        <v>4924</v>
      </c>
      <c r="C3876" t="s">
        <v>72</v>
      </c>
      <c r="D3876" t="s">
        <v>62</v>
      </c>
      <c r="E3876">
        <v>434</v>
      </c>
      <c r="F3876">
        <v>5</v>
      </c>
      <c r="G3876">
        <v>5</v>
      </c>
      <c r="H3876">
        <v>1</v>
      </c>
      <c r="I3876">
        <v>1</v>
      </c>
      <c r="J3876">
        <v>0.90472127417519899</v>
      </c>
      <c r="K3876">
        <v>0.99322033898304996</v>
      </c>
      <c r="L3876">
        <v>0.94690749640731398</v>
      </c>
      <c r="M3876">
        <v>0.78813559322033899</v>
      </c>
      <c r="N3876">
        <v>1</v>
      </c>
      <c r="O3876">
        <v>0.85</v>
      </c>
      <c r="P3876" t="s">
        <v>4925</v>
      </c>
      <c r="Q3876" t="s">
        <v>4926</v>
      </c>
      <c r="R3876" t="s">
        <v>224</v>
      </c>
      <c r="S3876" t="s">
        <v>225</v>
      </c>
      <c r="T3876" t="s">
        <v>4927</v>
      </c>
      <c r="U3876" t="s">
        <v>4928</v>
      </c>
      <c r="V3876" t="s">
        <v>4929</v>
      </c>
      <c r="W3876" t="s">
        <v>4930</v>
      </c>
      <c r="X3876" t="s">
        <v>4929</v>
      </c>
      <c r="Y3876" t="s">
        <v>749</v>
      </c>
      <c r="AD3876" t="s">
        <v>762</v>
      </c>
      <c r="AE3876" t="s">
        <v>1545</v>
      </c>
      <c r="AF3876" t="s">
        <v>4932</v>
      </c>
    </row>
    <row r="3877" spans="1:32" hidden="1" x14ac:dyDescent="0.35">
      <c r="A3877">
        <v>2372</v>
      </c>
      <c r="B3877" t="s">
        <v>4924</v>
      </c>
      <c r="C3877" t="s">
        <v>72</v>
      </c>
      <c r="D3877" t="s">
        <v>34</v>
      </c>
      <c r="E3877">
        <v>815</v>
      </c>
      <c r="F3877">
        <v>5</v>
      </c>
      <c r="G3877">
        <v>5</v>
      </c>
      <c r="H3877">
        <v>1</v>
      </c>
      <c r="I3877">
        <v>1</v>
      </c>
      <c r="J3877">
        <v>0.90472127417519899</v>
      </c>
      <c r="K3877">
        <v>0.99322033898304996</v>
      </c>
      <c r="L3877">
        <v>0.94690749640731398</v>
      </c>
      <c r="M3877">
        <v>0.78813559322033899</v>
      </c>
      <c r="N3877">
        <v>1</v>
      </c>
      <c r="O3877">
        <v>0.85</v>
      </c>
      <c r="P3877" t="s">
        <v>4925</v>
      </c>
      <c r="Q3877" t="s">
        <v>4926</v>
      </c>
      <c r="R3877" t="s">
        <v>224</v>
      </c>
      <c r="S3877" t="s">
        <v>225</v>
      </c>
      <c r="T3877" t="s">
        <v>4927</v>
      </c>
      <c r="U3877" t="s">
        <v>4928</v>
      </c>
      <c r="V3877" t="s">
        <v>4929</v>
      </c>
      <c r="W3877" t="s">
        <v>4930</v>
      </c>
      <c r="X3877" t="s">
        <v>4929</v>
      </c>
      <c r="Y3877" t="s">
        <v>749</v>
      </c>
      <c r="AD3877" t="s">
        <v>762</v>
      </c>
      <c r="AE3877" t="s">
        <v>1545</v>
      </c>
      <c r="AF3877" t="s">
        <v>4933</v>
      </c>
    </row>
    <row r="3878" spans="1:32" hidden="1" x14ac:dyDescent="0.35">
      <c r="A3878">
        <v>2373</v>
      </c>
      <c r="B3878" t="s">
        <v>4924</v>
      </c>
      <c r="C3878" t="s">
        <v>72</v>
      </c>
      <c r="D3878" t="s">
        <v>45</v>
      </c>
      <c r="E3878">
        <v>2072</v>
      </c>
      <c r="F3878">
        <v>5</v>
      </c>
      <c r="G3878">
        <v>5</v>
      </c>
      <c r="H3878">
        <v>1</v>
      </c>
      <c r="I3878">
        <v>1</v>
      </c>
      <c r="J3878">
        <v>0.90472127417519899</v>
      </c>
      <c r="K3878">
        <v>0.99322033898304996</v>
      </c>
      <c r="L3878">
        <v>0.94690749640731398</v>
      </c>
      <c r="M3878">
        <v>0.78813559322033899</v>
      </c>
      <c r="N3878">
        <v>1</v>
      </c>
      <c r="O3878">
        <v>0.85</v>
      </c>
      <c r="P3878" t="s">
        <v>4925</v>
      </c>
      <c r="Q3878" t="s">
        <v>4926</v>
      </c>
      <c r="R3878" t="s">
        <v>224</v>
      </c>
      <c r="S3878" t="s">
        <v>225</v>
      </c>
      <c r="T3878" t="s">
        <v>4927</v>
      </c>
      <c r="U3878" t="s">
        <v>4928</v>
      </c>
      <c r="V3878" t="s">
        <v>4929</v>
      </c>
      <c r="W3878" t="s">
        <v>4930</v>
      </c>
      <c r="X3878" t="s">
        <v>4929</v>
      </c>
      <c r="Y3878" t="s">
        <v>749</v>
      </c>
      <c r="AD3878" t="s">
        <v>762</v>
      </c>
      <c r="AE3878" t="s">
        <v>1545</v>
      </c>
      <c r="AF3878" t="s">
        <v>4933</v>
      </c>
    </row>
    <row r="3879" spans="1:32" hidden="1" x14ac:dyDescent="0.35">
      <c r="A3879">
        <v>11734</v>
      </c>
      <c r="B3879" t="s">
        <v>24101</v>
      </c>
      <c r="C3879" t="s">
        <v>33</v>
      </c>
      <c r="D3879" t="s">
        <v>58</v>
      </c>
      <c r="E3879">
        <v>1765</v>
      </c>
      <c r="F3879">
        <v>1</v>
      </c>
      <c r="G3879">
        <v>1</v>
      </c>
      <c r="H3879">
        <v>1</v>
      </c>
      <c r="I3879">
        <v>0</v>
      </c>
      <c r="J3879">
        <v>1</v>
      </c>
      <c r="K3879">
        <v>1</v>
      </c>
      <c r="L3879">
        <v>1</v>
      </c>
      <c r="M3879">
        <v>0</v>
      </c>
      <c r="N3879">
        <v>0</v>
      </c>
      <c r="O3879">
        <v>0</v>
      </c>
      <c r="P3879" t="s">
        <v>10582</v>
      </c>
      <c r="Q3879" t="s">
        <v>10583</v>
      </c>
      <c r="R3879" t="s">
        <v>157</v>
      </c>
      <c r="S3879" t="s">
        <v>158</v>
      </c>
      <c r="T3879" t="s">
        <v>10584</v>
      </c>
      <c r="U3879" t="s">
        <v>10585</v>
      </c>
      <c r="V3879" t="s">
        <v>10586</v>
      </c>
      <c r="W3879" t="s">
        <v>10587</v>
      </c>
      <c r="AD3879" t="s">
        <v>410</v>
      </c>
      <c r="AE3879" t="s">
        <v>603</v>
      </c>
      <c r="AF3879" t="s">
        <v>24102</v>
      </c>
    </row>
    <row r="3880" spans="1:32" hidden="1" x14ac:dyDescent="0.35">
      <c r="A3880">
        <v>2395</v>
      </c>
      <c r="B3880" t="s">
        <v>4972</v>
      </c>
      <c r="C3880" t="s">
        <v>72</v>
      </c>
      <c r="D3880" t="s">
        <v>60</v>
      </c>
      <c r="E3880">
        <v>1494</v>
      </c>
      <c r="F3880">
        <v>5</v>
      </c>
      <c r="G3880">
        <v>5</v>
      </c>
      <c r="H3880">
        <v>1</v>
      </c>
      <c r="I3880">
        <v>1</v>
      </c>
      <c r="J3880">
        <v>0.797983156028369</v>
      </c>
      <c r="K3880">
        <v>0.92076527187290103</v>
      </c>
      <c r="L3880">
        <v>0.85498862507487705</v>
      </c>
      <c r="M3880">
        <v>0.60060975609756095</v>
      </c>
      <c r="N3880">
        <v>1</v>
      </c>
      <c r="O3880">
        <v>0.70030487804878006</v>
      </c>
      <c r="P3880" t="s">
        <v>4973</v>
      </c>
      <c r="Q3880" t="s">
        <v>4974</v>
      </c>
      <c r="R3880" t="s">
        <v>224</v>
      </c>
      <c r="S3880" t="s">
        <v>225</v>
      </c>
      <c r="T3880" t="s">
        <v>4975</v>
      </c>
      <c r="U3880" t="s">
        <v>4976</v>
      </c>
      <c r="V3880" t="s">
        <v>4977</v>
      </c>
      <c r="W3880" t="s">
        <v>4978</v>
      </c>
      <c r="X3880" t="s">
        <v>4977</v>
      </c>
      <c r="Y3880" t="s">
        <v>1598</v>
      </c>
      <c r="AD3880" t="s">
        <v>4979</v>
      </c>
      <c r="AE3880" t="s">
        <v>4980</v>
      </c>
      <c r="AF3880" t="s">
        <v>4982</v>
      </c>
    </row>
    <row r="3881" spans="1:32" hidden="1" x14ac:dyDescent="0.35">
      <c r="A3881">
        <v>2396</v>
      </c>
      <c r="B3881" t="s">
        <v>4972</v>
      </c>
      <c r="C3881" t="s">
        <v>72</v>
      </c>
      <c r="D3881" t="s">
        <v>62</v>
      </c>
      <c r="E3881">
        <v>1529</v>
      </c>
      <c r="F3881">
        <v>5</v>
      </c>
      <c r="G3881">
        <v>5</v>
      </c>
      <c r="H3881">
        <v>1</v>
      </c>
      <c r="I3881">
        <v>1</v>
      </c>
      <c r="J3881">
        <v>0.797983156028369</v>
      </c>
      <c r="K3881">
        <v>0.92076527187290103</v>
      </c>
      <c r="L3881">
        <v>0.85498862507487705</v>
      </c>
      <c r="M3881">
        <v>0.60060975609756095</v>
      </c>
      <c r="N3881">
        <v>1</v>
      </c>
      <c r="O3881">
        <v>0.70030487804878006</v>
      </c>
      <c r="P3881" t="s">
        <v>4973</v>
      </c>
      <c r="Q3881" t="s">
        <v>4974</v>
      </c>
      <c r="R3881" t="s">
        <v>224</v>
      </c>
      <c r="S3881" t="s">
        <v>225</v>
      </c>
      <c r="T3881" t="s">
        <v>4975</v>
      </c>
      <c r="U3881" t="s">
        <v>4976</v>
      </c>
      <c r="V3881" t="s">
        <v>4977</v>
      </c>
      <c r="W3881" t="s">
        <v>4978</v>
      </c>
      <c r="X3881" t="s">
        <v>4977</v>
      </c>
      <c r="Y3881" t="s">
        <v>1598</v>
      </c>
      <c r="AD3881" t="s">
        <v>4979</v>
      </c>
      <c r="AE3881" t="s">
        <v>4980</v>
      </c>
      <c r="AF3881" t="s">
        <v>4982</v>
      </c>
    </row>
    <row r="3882" spans="1:32" hidden="1" x14ac:dyDescent="0.35">
      <c r="A3882">
        <v>2397</v>
      </c>
      <c r="B3882" t="s">
        <v>4972</v>
      </c>
      <c r="C3882" t="s">
        <v>72</v>
      </c>
      <c r="D3882" t="s">
        <v>34</v>
      </c>
      <c r="E3882">
        <v>1925</v>
      </c>
      <c r="F3882">
        <v>5</v>
      </c>
      <c r="G3882">
        <v>5</v>
      </c>
      <c r="H3882">
        <v>1</v>
      </c>
      <c r="I3882">
        <v>1</v>
      </c>
      <c r="J3882">
        <v>0.797983156028369</v>
      </c>
      <c r="K3882">
        <v>0.92076527187290103</v>
      </c>
      <c r="L3882">
        <v>0.85498862507487705</v>
      </c>
      <c r="M3882">
        <v>0.60060975609756095</v>
      </c>
      <c r="N3882">
        <v>1</v>
      </c>
      <c r="O3882">
        <v>0.70030487804878006</v>
      </c>
      <c r="P3882" t="s">
        <v>4973</v>
      </c>
      <c r="Q3882" t="s">
        <v>4974</v>
      </c>
      <c r="R3882" t="s">
        <v>224</v>
      </c>
      <c r="S3882" t="s">
        <v>225</v>
      </c>
      <c r="T3882" t="s">
        <v>4975</v>
      </c>
      <c r="U3882" t="s">
        <v>4976</v>
      </c>
      <c r="V3882" t="s">
        <v>4977</v>
      </c>
      <c r="W3882" t="s">
        <v>4978</v>
      </c>
      <c r="X3882" t="s">
        <v>4977</v>
      </c>
      <c r="Y3882" t="s">
        <v>1598</v>
      </c>
      <c r="AD3882" t="s">
        <v>4979</v>
      </c>
      <c r="AE3882" t="s">
        <v>4980</v>
      </c>
      <c r="AF3882" t="s">
        <v>4983</v>
      </c>
    </row>
    <row r="3883" spans="1:32" hidden="1" x14ac:dyDescent="0.35">
      <c r="A3883">
        <v>2398</v>
      </c>
      <c r="B3883" t="s">
        <v>4972</v>
      </c>
      <c r="C3883" t="s">
        <v>72</v>
      </c>
      <c r="D3883" t="s">
        <v>45</v>
      </c>
      <c r="E3883">
        <v>948</v>
      </c>
      <c r="F3883">
        <v>5</v>
      </c>
      <c r="G3883">
        <v>5</v>
      </c>
      <c r="H3883">
        <v>1</v>
      </c>
      <c r="I3883">
        <v>1</v>
      </c>
      <c r="J3883">
        <v>0.797983156028369</v>
      </c>
      <c r="K3883">
        <v>0.92076527187290103</v>
      </c>
      <c r="L3883">
        <v>0.85498862507487705</v>
      </c>
      <c r="M3883">
        <v>0.60060975609756095</v>
      </c>
      <c r="N3883">
        <v>1</v>
      </c>
      <c r="O3883">
        <v>0.70030487804878006</v>
      </c>
      <c r="P3883" t="s">
        <v>4973</v>
      </c>
      <c r="Q3883" t="s">
        <v>4974</v>
      </c>
      <c r="R3883" t="s">
        <v>224</v>
      </c>
      <c r="S3883" t="s">
        <v>225</v>
      </c>
      <c r="T3883" t="s">
        <v>4975</v>
      </c>
      <c r="U3883" t="s">
        <v>4976</v>
      </c>
      <c r="V3883" t="s">
        <v>4977</v>
      </c>
      <c r="W3883" t="s">
        <v>4978</v>
      </c>
      <c r="X3883" t="s">
        <v>4977</v>
      </c>
      <c r="Y3883" t="s">
        <v>1598</v>
      </c>
      <c r="AD3883" t="s">
        <v>4979</v>
      </c>
      <c r="AE3883" t="s">
        <v>4980</v>
      </c>
      <c r="AF3883" t="s">
        <v>4984</v>
      </c>
    </row>
    <row r="3884" spans="1:32" hidden="1" x14ac:dyDescent="0.35">
      <c r="A3884">
        <v>2334</v>
      </c>
      <c r="B3884" t="s">
        <v>4853</v>
      </c>
      <c r="C3884" t="s">
        <v>72</v>
      </c>
      <c r="D3884" t="s">
        <v>58</v>
      </c>
      <c r="E3884">
        <v>1885</v>
      </c>
      <c r="F3884">
        <v>5</v>
      </c>
      <c r="G3884">
        <v>5</v>
      </c>
      <c r="H3884">
        <v>1</v>
      </c>
      <c r="I3884">
        <v>1</v>
      </c>
      <c r="J3884">
        <v>0.83401275216891402</v>
      </c>
      <c r="K3884">
        <v>0.99656250000000102</v>
      </c>
      <c r="L3884">
        <v>0.90807065412751498</v>
      </c>
      <c r="M3884">
        <v>0.67500000000000004</v>
      </c>
      <c r="N3884">
        <v>1</v>
      </c>
      <c r="O3884">
        <v>0.770625</v>
      </c>
      <c r="P3884" t="s">
        <v>4854</v>
      </c>
      <c r="Q3884" t="s">
        <v>4855</v>
      </c>
      <c r="R3884" t="s">
        <v>157</v>
      </c>
      <c r="S3884" t="s">
        <v>158</v>
      </c>
      <c r="T3884" t="s">
        <v>4856</v>
      </c>
      <c r="U3884" t="s">
        <v>4857</v>
      </c>
      <c r="V3884" t="s">
        <v>4858</v>
      </c>
      <c r="W3884" t="s">
        <v>4859</v>
      </c>
      <c r="AD3884" t="s">
        <v>4860</v>
      </c>
      <c r="AE3884" t="s">
        <v>4861</v>
      </c>
      <c r="AF3884" t="s">
        <v>4862</v>
      </c>
    </row>
    <row r="3885" spans="1:32" hidden="1" x14ac:dyDescent="0.35">
      <c r="A3885">
        <v>2435</v>
      </c>
      <c r="B3885" t="s">
        <v>5043</v>
      </c>
      <c r="C3885" t="s">
        <v>72</v>
      </c>
      <c r="D3885" t="s">
        <v>60</v>
      </c>
      <c r="E3885">
        <v>1025</v>
      </c>
      <c r="F3885">
        <v>5</v>
      </c>
      <c r="G3885">
        <v>5</v>
      </c>
      <c r="H3885">
        <v>1</v>
      </c>
      <c r="I3885">
        <v>1</v>
      </c>
      <c r="J3885">
        <v>0.87079037800687298</v>
      </c>
      <c r="K3885">
        <v>0.97996289424860805</v>
      </c>
      <c r="L3885">
        <v>0.92215669360995001</v>
      </c>
      <c r="M3885">
        <v>0.74747474747474796</v>
      </c>
      <c r="N3885">
        <v>1</v>
      </c>
      <c r="O3885">
        <v>0.83838383838383801</v>
      </c>
      <c r="P3885" t="s">
        <v>5044</v>
      </c>
      <c r="Q3885" t="s">
        <v>5045</v>
      </c>
      <c r="R3885" t="s">
        <v>224</v>
      </c>
      <c r="S3885" t="s">
        <v>225</v>
      </c>
      <c r="T3885" t="s">
        <v>5046</v>
      </c>
      <c r="U3885" t="s">
        <v>5047</v>
      </c>
      <c r="V3885" t="s">
        <v>5048</v>
      </c>
      <c r="W3885" t="s">
        <v>5049</v>
      </c>
      <c r="X3885" t="s">
        <v>5048</v>
      </c>
      <c r="Y3885" t="s">
        <v>589</v>
      </c>
      <c r="AD3885" t="s">
        <v>5050</v>
      </c>
      <c r="AE3885" t="s">
        <v>5051</v>
      </c>
      <c r="AF3885" t="s">
        <v>5053</v>
      </c>
    </row>
    <row r="3886" spans="1:32" hidden="1" x14ac:dyDescent="0.35">
      <c r="A3886">
        <v>2436</v>
      </c>
      <c r="B3886" t="s">
        <v>5043</v>
      </c>
      <c r="C3886" t="s">
        <v>72</v>
      </c>
      <c r="D3886" t="s">
        <v>62</v>
      </c>
      <c r="E3886">
        <v>1061</v>
      </c>
      <c r="F3886">
        <v>5</v>
      </c>
      <c r="G3886">
        <v>5</v>
      </c>
      <c r="H3886">
        <v>1</v>
      </c>
      <c r="I3886">
        <v>1</v>
      </c>
      <c r="J3886">
        <v>0.87079037800687298</v>
      </c>
      <c r="K3886">
        <v>0.97996289424860805</v>
      </c>
      <c r="L3886">
        <v>0.92215669360995001</v>
      </c>
      <c r="M3886">
        <v>0.74747474747474796</v>
      </c>
      <c r="N3886">
        <v>1</v>
      </c>
      <c r="O3886">
        <v>0.83838383838383801</v>
      </c>
      <c r="P3886" t="s">
        <v>5044</v>
      </c>
      <c r="Q3886" t="s">
        <v>5045</v>
      </c>
      <c r="R3886" t="s">
        <v>224</v>
      </c>
      <c r="S3886" t="s">
        <v>225</v>
      </c>
      <c r="T3886" t="s">
        <v>5046</v>
      </c>
      <c r="U3886" t="s">
        <v>5047</v>
      </c>
      <c r="V3886" t="s">
        <v>5048</v>
      </c>
      <c r="W3886" t="s">
        <v>5049</v>
      </c>
      <c r="X3886" t="s">
        <v>5048</v>
      </c>
      <c r="Y3886" t="s">
        <v>589</v>
      </c>
      <c r="AD3886" t="s">
        <v>5050</v>
      </c>
      <c r="AE3886" t="s">
        <v>5051</v>
      </c>
      <c r="AF3886" t="s">
        <v>5053</v>
      </c>
    </row>
    <row r="3887" spans="1:32" hidden="1" x14ac:dyDescent="0.35">
      <c r="A3887">
        <v>2437</v>
      </c>
      <c r="B3887" t="s">
        <v>5043</v>
      </c>
      <c r="C3887" t="s">
        <v>72</v>
      </c>
      <c r="D3887" t="s">
        <v>34</v>
      </c>
      <c r="E3887">
        <v>87</v>
      </c>
      <c r="F3887">
        <v>5</v>
      </c>
      <c r="G3887">
        <v>5</v>
      </c>
      <c r="H3887">
        <v>1</v>
      </c>
      <c r="I3887">
        <v>1</v>
      </c>
      <c r="J3887">
        <v>0.87079037800687298</v>
      </c>
      <c r="K3887">
        <v>0.97996289424860805</v>
      </c>
      <c r="L3887">
        <v>0.92215669360995001</v>
      </c>
      <c r="M3887">
        <v>0.74747474747474796</v>
      </c>
      <c r="N3887">
        <v>1</v>
      </c>
      <c r="O3887">
        <v>0.83838383838383801</v>
      </c>
      <c r="P3887" t="s">
        <v>5044</v>
      </c>
      <c r="Q3887" t="s">
        <v>5045</v>
      </c>
      <c r="R3887" t="s">
        <v>224</v>
      </c>
      <c r="S3887" t="s">
        <v>225</v>
      </c>
      <c r="T3887" t="s">
        <v>5046</v>
      </c>
      <c r="U3887" t="s">
        <v>5047</v>
      </c>
      <c r="V3887" t="s">
        <v>5048</v>
      </c>
      <c r="W3887" t="s">
        <v>5049</v>
      </c>
      <c r="X3887" t="s">
        <v>5048</v>
      </c>
      <c r="Y3887" t="s">
        <v>589</v>
      </c>
      <c r="AD3887" t="s">
        <v>5050</v>
      </c>
      <c r="AE3887" t="s">
        <v>5051</v>
      </c>
      <c r="AF3887" t="s">
        <v>5054</v>
      </c>
    </row>
    <row r="3888" spans="1:32" hidden="1" x14ac:dyDescent="0.35">
      <c r="A3888">
        <v>2438</v>
      </c>
      <c r="B3888" t="s">
        <v>5043</v>
      </c>
      <c r="C3888" t="s">
        <v>72</v>
      </c>
      <c r="D3888" t="s">
        <v>45</v>
      </c>
      <c r="E3888">
        <v>1346</v>
      </c>
      <c r="F3888">
        <v>5</v>
      </c>
      <c r="G3888">
        <v>5</v>
      </c>
      <c r="H3888">
        <v>1</v>
      </c>
      <c r="I3888">
        <v>1</v>
      </c>
      <c r="J3888">
        <v>0.87079037800687298</v>
      </c>
      <c r="K3888">
        <v>0.97996289424860805</v>
      </c>
      <c r="L3888">
        <v>0.92215669360995001</v>
      </c>
      <c r="M3888">
        <v>0.74747474747474796</v>
      </c>
      <c r="N3888">
        <v>1</v>
      </c>
      <c r="O3888">
        <v>0.83838383838383801</v>
      </c>
      <c r="P3888" t="s">
        <v>5044</v>
      </c>
      <c r="Q3888" t="s">
        <v>5045</v>
      </c>
      <c r="R3888" t="s">
        <v>224</v>
      </c>
      <c r="S3888" t="s">
        <v>225</v>
      </c>
      <c r="T3888" t="s">
        <v>5046</v>
      </c>
      <c r="U3888" t="s">
        <v>5047</v>
      </c>
      <c r="V3888" t="s">
        <v>5048</v>
      </c>
      <c r="W3888" t="s">
        <v>5049</v>
      </c>
      <c r="X3888" t="s">
        <v>5048</v>
      </c>
      <c r="Y3888" t="s">
        <v>589</v>
      </c>
      <c r="AD3888" t="s">
        <v>5050</v>
      </c>
      <c r="AE3888" t="s">
        <v>5051</v>
      </c>
      <c r="AF3888" t="s">
        <v>5055</v>
      </c>
    </row>
    <row r="3889" spans="1:32" hidden="1" x14ac:dyDescent="0.35">
      <c r="A3889">
        <v>11369</v>
      </c>
      <c r="B3889" t="s">
        <v>23157</v>
      </c>
      <c r="C3889" t="s">
        <v>33</v>
      </c>
      <c r="D3889" t="s">
        <v>58</v>
      </c>
      <c r="E3889">
        <v>1830</v>
      </c>
      <c r="F3889">
        <v>1</v>
      </c>
      <c r="G3889">
        <v>1</v>
      </c>
      <c r="H3889">
        <v>1</v>
      </c>
      <c r="I3889">
        <v>0</v>
      </c>
      <c r="J3889">
        <v>1</v>
      </c>
      <c r="K3889">
        <v>1</v>
      </c>
      <c r="L3889">
        <v>1</v>
      </c>
      <c r="M3889">
        <v>0</v>
      </c>
      <c r="N3889">
        <v>0</v>
      </c>
      <c r="O3889">
        <v>0</v>
      </c>
      <c r="P3889" t="s">
        <v>4854</v>
      </c>
      <c r="Q3889" t="s">
        <v>4855</v>
      </c>
      <c r="R3889" t="s">
        <v>157</v>
      </c>
      <c r="S3889" t="s">
        <v>158</v>
      </c>
      <c r="T3889" t="s">
        <v>4856</v>
      </c>
      <c r="U3889" t="s">
        <v>4857</v>
      </c>
      <c r="V3889" t="s">
        <v>4858</v>
      </c>
      <c r="W3889" t="s">
        <v>4859</v>
      </c>
      <c r="AD3889" t="s">
        <v>4860</v>
      </c>
      <c r="AE3889" t="s">
        <v>4861</v>
      </c>
      <c r="AF3889" t="s">
        <v>23158</v>
      </c>
    </row>
    <row r="3890" spans="1:32" hidden="1" x14ac:dyDescent="0.35">
      <c r="A3890">
        <v>2495</v>
      </c>
      <c r="B3890" t="s">
        <v>5164</v>
      </c>
      <c r="C3890" t="s">
        <v>72</v>
      </c>
      <c r="D3890" t="s">
        <v>60</v>
      </c>
      <c r="E3890">
        <v>1981</v>
      </c>
      <c r="F3890">
        <v>5</v>
      </c>
      <c r="G3890">
        <v>5</v>
      </c>
      <c r="H3890">
        <v>1</v>
      </c>
      <c r="I3890">
        <v>1</v>
      </c>
      <c r="J3890">
        <v>0.74519567703146306</v>
      </c>
      <c r="K3890">
        <v>0.84416749991668205</v>
      </c>
      <c r="L3890">
        <v>0.791600032959482</v>
      </c>
      <c r="M3890">
        <v>0.49270072992700698</v>
      </c>
      <c r="N3890">
        <v>1</v>
      </c>
      <c r="O3890">
        <v>0.64653284671532896</v>
      </c>
      <c r="P3890" t="s">
        <v>5165</v>
      </c>
      <c r="Q3890" t="s">
        <v>5166</v>
      </c>
      <c r="R3890" t="s">
        <v>224</v>
      </c>
      <c r="S3890" t="s">
        <v>225</v>
      </c>
      <c r="T3890" t="s">
        <v>5167</v>
      </c>
      <c r="U3890" t="s">
        <v>5168</v>
      </c>
      <c r="V3890" t="s">
        <v>5169</v>
      </c>
      <c r="W3890" t="s">
        <v>5170</v>
      </c>
      <c r="AD3890" t="s">
        <v>5171</v>
      </c>
      <c r="AE3890" t="s">
        <v>5172</v>
      </c>
      <c r="AF3890" t="s">
        <v>5174</v>
      </c>
    </row>
    <row r="3891" spans="1:32" hidden="1" x14ac:dyDescent="0.35">
      <c r="A3891">
        <v>2496</v>
      </c>
      <c r="B3891" t="s">
        <v>5164</v>
      </c>
      <c r="C3891" t="s">
        <v>72</v>
      </c>
      <c r="D3891" t="s">
        <v>62</v>
      </c>
      <c r="E3891">
        <v>2022</v>
      </c>
      <c r="F3891">
        <v>5</v>
      </c>
      <c r="G3891">
        <v>5</v>
      </c>
      <c r="H3891">
        <v>1</v>
      </c>
      <c r="I3891">
        <v>1</v>
      </c>
      <c r="J3891">
        <v>0.74519567703146306</v>
      </c>
      <c r="K3891">
        <v>0.84416749991668205</v>
      </c>
      <c r="L3891">
        <v>0.791600032959482</v>
      </c>
      <c r="M3891">
        <v>0.49270072992700698</v>
      </c>
      <c r="N3891">
        <v>1</v>
      </c>
      <c r="O3891">
        <v>0.64653284671532896</v>
      </c>
      <c r="P3891" t="s">
        <v>5165</v>
      </c>
      <c r="Q3891" t="s">
        <v>5166</v>
      </c>
      <c r="R3891" t="s">
        <v>224</v>
      </c>
      <c r="S3891" t="s">
        <v>225</v>
      </c>
      <c r="T3891" t="s">
        <v>5167</v>
      </c>
      <c r="U3891" t="s">
        <v>5168</v>
      </c>
      <c r="V3891" t="s">
        <v>5169</v>
      </c>
      <c r="W3891" t="s">
        <v>5170</v>
      </c>
      <c r="AD3891" t="s">
        <v>5171</v>
      </c>
      <c r="AE3891" t="s">
        <v>5172</v>
      </c>
      <c r="AF3891" t="s">
        <v>5174</v>
      </c>
    </row>
    <row r="3892" spans="1:32" hidden="1" x14ac:dyDescent="0.35">
      <c r="A3892">
        <v>2497</v>
      </c>
      <c r="B3892" t="s">
        <v>5164</v>
      </c>
      <c r="C3892" t="s">
        <v>72</v>
      </c>
      <c r="D3892" t="s">
        <v>34</v>
      </c>
      <c r="E3892">
        <v>2334</v>
      </c>
      <c r="F3892">
        <v>5</v>
      </c>
      <c r="G3892">
        <v>5</v>
      </c>
      <c r="H3892">
        <v>1</v>
      </c>
      <c r="I3892">
        <v>1</v>
      </c>
      <c r="J3892">
        <v>0.74519567703146306</v>
      </c>
      <c r="K3892">
        <v>0.84416749991668205</v>
      </c>
      <c r="L3892">
        <v>0.791600032959482</v>
      </c>
      <c r="M3892">
        <v>0.49270072992700698</v>
      </c>
      <c r="N3892">
        <v>1</v>
      </c>
      <c r="O3892">
        <v>0.64653284671532896</v>
      </c>
      <c r="P3892" t="s">
        <v>5165</v>
      </c>
      <c r="Q3892" t="s">
        <v>5166</v>
      </c>
      <c r="R3892" t="s">
        <v>224</v>
      </c>
      <c r="S3892" t="s">
        <v>225</v>
      </c>
      <c r="T3892" t="s">
        <v>5167</v>
      </c>
      <c r="U3892" t="s">
        <v>5168</v>
      </c>
      <c r="V3892" t="s">
        <v>5169</v>
      </c>
      <c r="W3892" t="s">
        <v>5170</v>
      </c>
      <c r="AD3892" t="s">
        <v>5171</v>
      </c>
      <c r="AE3892" t="s">
        <v>5172</v>
      </c>
      <c r="AF3892" t="s">
        <v>5175</v>
      </c>
    </row>
    <row r="3893" spans="1:32" hidden="1" x14ac:dyDescent="0.35">
      <c r="A3893">
        <v>2498</v>
      </c>
      <c r="B3893" t="s">
        <v>5164</v>
      </c>
      <c r="C3893" t="s">
        <v>72</v>
      </c>
      <c r="D3893" t="s">
        <v>45</v>
      </c>
      <c r="E3893">
        <v>545</v>
      </c>
      <c r="F3893">
        <v>5</v>
      </c>
      <c r="G3893">
        <v>5</v>
      </c>
      <c r="H3893">
        <v>1</v>
      </c>
      <c r="I3893">
        <v>1</v>
      </c>
      <c r="J3893">
        <v>0.74519567703146306</v>
      </c>
      <c r="K3893">
        <v>0.84416749991668205</v>
      </c>
      <c r="L3893">
        <v>0.791600032959482</v>
      </c>
      <c r="M3893">
        <v>0.49270072992700698</v>
      </c>
      <c r="N3893">
        <v>1</v>
      </c>
      <c r="O3893">
        <v>0.64653284671532896</v>
      </c>
      <c r="P3893" t="s">
        <v>5165</v>
      </c>
      <c r="Q3893" t="s">
        <v>5166</v>
      </c>
      <c r="R3893" t="s">
        <v>224</v>
      </c>
      <c r="S3893" t="s">
        <v>225</v>
      </c>
      <c r="T3893" t="s">
        <v>5167</v>
      </c>
      <c r="U3893" t="s">
        <v>5168</v>
      </c>
      <c r="V3893" t="s">
        <v>5169</v>
      </c>
      <c r="W3893" t="s">
        <v>5170</v>
      </c>
      <c r="AD3893" t="s">
        <v>5171</v>
      </c>
      <c r="AE3893" t="s">
        <v>5172</v>
      </c>
      <c r="AF3893" t="s">
        <v>5176</v>
      </c>
    </row>
    <row r="3894" spans="1:32" hidden="1" x14ac:dyDescent="0.35">
      <c r="A3894">
        <v>3614</v>
      </c>
      <c r="B3894" t="s">
        <v>7441</v>
      </c>
      <c r="C3894" t="s">
        <v>72</v>
      </c>
      <c r="D3894" t="s">
        <v>58</v>
      </c>
      <c r="E3894">
        <v>698</v>
      </c>
      <c r="F3894">
        <v>5</v>
      </c>
      <c r="G3894">
        <v>5</v>
      </c>
      <c r="H3894">
        <v>1</v>
      </c>
      <c r="I3894">
        <v>1</v>
      </c>
      <c r="J3894">
        <v>0.78085916258836296</v>
      </c>
      <c r="K3894">
        <v>0.91890785592992996</v>
      </c>
      <c r="L3894">
        <v>0.84427761106083798</v>
      </c>
      <c r="M3894">
        <v>0.53432835820895497</v>
      </c>
      <c r="N3894">
        <v>0.99402985074626904</v>
      </c>
      <c r="O3894">
        <v>0.66597014925373099</v>
      </c>
      <c r="P3894" t="s">
        <v>7442</v>
      </c>
      <c r="Q3894" t="s">
        <v>7443</v>
      </c>
      <c r="R3894" t="s">
        <v>371</v>
      </c>
      <c r="S3894" t="s">
        <v>372</v>
      </c>
      <c r="T3894" t="s">
        <v>7444</v>
      </c>
      <c r="U3894" t="s">
        <v>407</v>
      </c>
      <c r="V3894" t="s">
        <v>7445</v>
      </c>
      <c r="W3894" t="s">
        <v>7446</v>
      </c>
      <c r="AD3894" t="s">
        <v>410</v>
      </c>
      <c r="AE3894" t="s">
        <v>411</v>
      </c>
      <c r="AF3894" t="s">
        <v>7447</v>
      </c>
    </row>
    <row r="3895" spans="1:32" hidden="1" x14ac:dyDescent="0.35">
      <c r="A3895">
        <v>2520</v>
      </c>
      <c r="B3895" t="s">
        <v>5210</v>
      </c>
      <c r="C3895" t="s">
        <v>72</v>
      </c>
      <c r="D3895" t="s">
        <v>60</v>
      </c>
      <c r="E3895">
        <v>433</v>
      </c>
      <c r="F3895">
        <v>5</v>
      </c>
      <c r="G3895">
        <v>5</v>
      </c>
      <c r="H3895">
        <v>1</v>
      </c>
      <c r="I3895">
        <v>1</v>
      </c>
      <c r="J3895">
        <v>0.92786069651741299</v>
      </c>
      <c r="K3895">
        <v>1</v>
      </c>
      <c r="L3895">
        <v>0.96258064516129005</v>
      </c>
      <c r="M3895">
        <v>0.83582089552238803</v>
      </c>
      <c r="N3895">
        <v>1</v>
      </c>
      <c r="O3895">
        <v>0.90298507462686595</v>
      </c>
      <c r="P3895" t="s">
        <v>5211</v>
      </c>
      <c r="Q3895" t="s">
        <v>5212</v>
      </c>
      <c r="R3895" t="s">
        <v>224</v>
      </c>
      <c r="S3895" t="s">
        <v>225</v>
      </c>
      <c r="T3895" t="s">
        <v>5213</v>
      </c>
      <c r="U3895" t="s">
        <v>5214</v>
      </c>
      <c r="V3895" t="s">
        <v>5215</v>
      </c>
      <c r="W3895" t="s">
        <v>5216</v>
      </c>
      <c r="X3895" t="s">
        <v>5215</v>
      </c>
      <c r="Y3895" t="s">
        <v>761</v>
      </c>
      <c r="AD3895" t="s">
        <v>762</v>
      </c>
      <c r="AE3895" t="s">
        <v>763</v>
      </c>
      <c r="AF3895" t="s">
        <v>5218</v>
      </c>
    </row>
    <row r="3896" spans="1:32" hidden="1" x14ac:dyDescent="0.35">
      <c r="A3896">
        <v>2521</v>
      </c>
      <c r="B3896" t="s">
        <v>5210</v>
      </c>
      <c r="C3896" t="s">
        <v>72</v>
      </c>
      <c r="D3896" t="s">
        <v>62</v>
      </c>
      <c r="E3896">
        <v>514</v>
      </c>
      <c r="F3896">
        <v>5</v>
      </c>
      <c r="G3896">
        <v>5</v>
      </c>
      <c r="H3896">
        <v>1</v>
      </c>
      <c r="I3896">
        <v>1</v>
      </c>
      <c r="J3896">
        <v>0.92786069651741299</v>
      </c>
      <c r="K3896">
        <v>1</v>
      </c>
      <c r="L3896">
        <v>0.96258064516129005</v>
      </c>
      <c r="M3896">
        <v>0.83582089552238803</v>
      </c>
      <c r="N3896">
        <v>1</v>
      </c>
      <c r="O3896">
        <v>0.90298507462686595</v>
      </c>
      <c r="P3896" t="s">
        <v>5211</v>
      </c>
      <c r="Q3896" t="s">
        <v>5212</v>
      </c>
      <c r="R3896" t="s">
        <v>224</v>
      </c>
      <c r="S3896" t="s">
        <v>225</v>
      </c>
      <c r="T3896" t="s">
        <v>5213</v>
      </c>
      <c r="U3896" t="s">
        <v>5214</v>
      </c>
      <c r="V3896" t="s">
        <v>5215</v>
      </c>
      <c r="W3896" t="s">
        <v>5216</v>
      </c>
      <c r="X3896" t="s">
        <v>5215</v>
      </c>
      <c r="Y3896" t="s">
        <v>761</v>
      </c>
      <c r="AD3896" t="s">
        <v>762</v>
      </c>
      <c r="AE3896" t="s">
        <v>763</v>
      </c>
      <c r="AF3896" t="s">
        <v>5218</v>
      </c>
    </row>
    <row r="3897" spans="1:32" hidden="1" x14ac:dyDescent="0.35">
      <c r="A3897">
        <v>2522</v>
      </c>
      <c r="B3897" t="s">
        <v>5210</v>
      </c>
      <c r="C3897" t="s">
        <v>72</v>
      </c>
      <c r="D3897" t="s">
        <v>34</v>
      </c>
      <c r="E3897">
        <v>656</v>
      </c>
      <c r="F3897">
        <v>5</v>
      </c>
      <c r="G3897">
        <v>5</v>
      </c>
      <c r="H3897">
        <v>1</v>
      </c>
      <c r="I3897">
        <v>1</v>
      </c>
      <c r="J3897">
        <v>0.92786069651741299</v>
      </c>
      <c r="K3897">
        <v>1</v>
      </c>
      <c r="L3897">
        <v>0.96258064516129005</v>
      </c>
      <c r="M3897">
        <v>0.83582089552238803</v>
      </c>
      <c r="N3897">
        <v>1</v>
      </c>
      <c r="O3897">
        <v>0.90298507462686595</v>
      </c>
      <c r="P3897" t="s">
        <v>5211</v>
      </c>
      <c r="Q3897" t="s">
        <v>5212</v>
      </c>
      <c r="R3897" t="s">
        <v>224</v>
      </c>
      <c r="S3897" t="s">
        <v>225</v>
      </c>
      <c r="T3897" t="s">
        <v>5213</v>
      </c>
      <c r="U3897" t="s">
        <v>5214</v>
      </c>
      <c r="V3897" t="s">
        <v>5215</v>
      </c>
      <c r="W3897" t="s">
        <v>5216</v>
      </c>
      <c r="X3897" t="s">
        <v>5215</v>
      </c>
      <c r="Y3897" t="s">
        <v>761</v>
      </c>
      <c r="AD3897" t="s">
        <v>762</v>
      </c>
      <c r="AE3897" t="s">
        <v>763</v>
      </c>
      <c r="AF3897" t="s">
        <v>5219</v>
      </c>
    </row>
    <row r="3898" spans="1:32" hidden="1" x14ac:dyDescent="0.35">
      <c r="A3898">
        <v>2523</v>
      </c>
      <c r="B3898" t="s">
        <v>5210</v>
      </c>
      <c r="C3898" t="s">
        <v>72</v>
      </c>
      <c r="D3898" t="s">
        <v>45</v>
      </c>
      <c r="E3898">
        <v>1922</v>
      </c>
      <c r="F3898">
        <v>5</v>
      </c>
      <c r="G3898">
        <v>5</v>
      </c>
      <c r="H3898">
        <v>1</v>
      </c>
      <c r="I3898">
        <v>1</v>
      </c>
      <c r="J3898">
        <v>0.92786069651741299</v>
      </c>
      <c r="K3898">
        <v>1</v>
      </c>
      <c r="L3898">
        <v>0.96258064516129005</v>
      </c>
      <c r="M3898">
        <v>0.83582089552238803</v>
      </c>
      <c r="N3898">
        <v>1</v>
      </c>
      <c r="O3898">
        <v>0.90298507462686595</v>
      </c>
      <c r="P3898" t="s">
        <v>5211</v>
      </c>
      <c r="Q3898" t="s">
        <v>5212</v>
      </c>
      <c r="R3898" t="s">
        <v>224</v>
      </c>
      <c r="S3898" t="s">
        <v>225</v>
      </c>
      <c r="T3898" t="s">
        <v>5213</v>
      </c>
      <c r="U3898" t="s">
        <v>5214</v>
      </c>
      <c r="V3898" t="s">
        <v>5215</v>
      </c>
      <c r="W3898" t="s">
        <v>5216</v>
      </c>
      <c r="X3898" t="s">
        <v>5215</v>
      </c>
      <c r="Y3898" t="s">
        <v>761</v>
      </c>
      <c r="AD3898" t="s">
        <v>762</v>
      </c>
      <c r="AE3898" t="s">
        <v>763</v>
      </c>
      <c r="AF3898" t="s">
        <v>5219</v>
      </c>
    </row>
    <row r="3899" spans="1:32" hidden="1" x14ac:dyDescent="0.35">
      <c r="A3899">
        <v>11445</v>
      </c>
      <c r="B3899" t="s">
        <v>23348</v>
      </c>
      <c r="C3899" t="s">
        <v>33</v>
      </c>
      <c r="D3899" t="s">
        <v>58</v>
      </c>
      <c r="E3899">
        <v>55</v>
      </c>
      <c r="F3899">
        <v>1</v>
      </c>
      <c r="G3899">
        <v>1</v>
      </c>
      <c r="H3899">
        <v>1</v>
      </c>
      <c r="I3899">
        <v>0</v>
      </c>
      <c r="J3899">
        <v>1</v>
      </c>
      <c r="K3899">
        <v>1</v>
      </c>
      <c r="L3899">
        <v>1</v>
      </c>
      <c r="M3899">
        <v>0</v>
      </c>
      <c r="N3899">
        <v>0</v>
      </c>
      <c r="O3899">
        <v>0</v>
      </c>
      <c r="P3899" t="s">
        <v>17282</v>
      </c>
      <c r="Q3899" t="s">
        <v>17283</v>
      </c>
      <c r="R3899" t="s">
        <v>1191</v>
      </c>
      <c r="S3899" t="s">
        <v>1192</v>
      </c>
      <c r="T3899" t="s">
        <v>17284</v>
      </c>
      <c r="U3899" t="s">
        <v>17285</v>
      </c>
      <c r="V3899" t="s">
        <v>17286</v>
      </c>
      <c r="W3899" t="s">
        <v>17287</v>
      </c>
      <c r="AD3899" t="s">
        <v>7708</v>
      </c>
      <c r="AE3899" t="s">
        <v>17288</v>
      </c>
      <c r="AF3899" t="s">
        <v>23349</v>
      </c>
    </row>
    <row r="3900" spans="1:32" hidden="1" x14ac:dyDescent="0.35">
      <c r="A3900">
        <v>2525</v>
      </c>
      <c r="B3900" t="s">
        <v>5220</v>
      </c>
      <c r="C3900" t="s">
        <v>72</v>
      </c>
      <c r="D3900" t="s">
        <v>60</v>
      </c>
      <c r="E3900">
        <v>425</v>
      </c>
      <c r="F3900">
        <v>5</v>
      </c>
      <c r="G3900">
        <v>5</v>
      </c>
      <c r="H3900">
        <v>1</v>
      </c>
      <c r="I3900">
        <v>1</v>
      </c>
      <c r="J3900">
        <v>0.90997074049065996</v>
      </c>
      <c r="K3900">
        <v>0.98097130242825503</v>
      </c>
      <c r="L3900">
        <v>0.94413806685771995</v>
      </c>
      <c r="M3900">
        <v>0.82119205298013198</v>
      </c>
      <c r="N3900">
        <v>1</v>
      </c>
      <c r="O3900">
        <v>0.87284768211920505</v>
      </c>
      <c r="P3900" t="s">
        <v>5221</v>
      </c>
      <c r="Q3900" t="s">
        <v>5222</v>
      </c>
      <c r="R3900" t="s">
        <v>224</v>
      </c>
      <c r="S3900" t="s">
        <v>225</v>
      </c>
      <c r="T3900" t="s">
        <v>5223</v>
      </c>
      <c r="U3900" t="s">
        <v>5224</v>
      </c>
      <c r="V3900" t="s">
        <v>5225</v>
      </c>
      <c r="W3900" t="s">
        <v>5226</v>
      </c>
      <c r="X3900" t="s">
        <v>5225</v>
      </c>
      <c r="Y3900" t="s">
        <v>749</v>
      </c>
      <c r="AD3900" t="s">
        <v>762</v>
      </c>
      <c r="AE3900" t="s">
        <v>1545</v>
      </c>
      <c r="AF3900" t="s">
        <v>5228</v>
      </c>
    </row>
    <row r="3901" spans="1:32" hidden="1" x14ac:dyDescent="0.35">
      <c r="A3901">
        <v>2526</v>
      </c>
      <c r="B3901" t="s">
        <v>5220</v>
      </c>
      <c r="C3901" t="s">
        <v>72</v>
      </c>
      <c r="D3901" t="s">
        <v>62</v>
      </c>
      <c r="E3901">
        <v>506</v>
      </c>
      <c r="F3901">
        <v>5</v>
      </c>
      <c r="G3901">
        <v>5</v>
      </c>
      <c r="H3901">
        <v>1</v>
      </c>
      <c r="I3901">
        <v>1</v>
      </c>
      <c r="J3901">
        <v>0.90997074049065996</v>
      </c>
      <c r="K3901">
        <v>0.98097130242825503</v>
      </c>
      <c r="L3901">
        <v>0.94413806685771995</v>
      </c>
      <c r="M3901">
        <v>0.82119205298013198</v>
      </c>
      <c r="N3901">
        <v>1</v>
      </c>
      <c r="O3901">
        <v>0.87284768211920505</v>
      </c>
      <c r="P3901" t="s">
        <v>5221</v>
      </c>
      <c r="Q3901" t="s">
        <v>5222</v>
      </c>
      <c r="R3901" t="s">
        <v>224</v>
      </c>
      <c r="S3901" t="s">
        <v>225</v>
      </c>
      <c r="T3901" t="s">
        <v>5223</v>
      </c>
      <c r="U3901" t="s">
        <v>5224</v>
      </c>
      <c r="V3901" t="s">
        <v>5225</v>
      </c>
      <c r="W3901" t="s">
        <v>5226</v>
      </c>
      <c r="X3901" t="s">
        <v>5225</v>
      </c>
      <c r="Y3901" t="s">
        <v>749</v>
      </c>
      <c r="AD3901" t="s">
        <v>762</v>
      </c>
      <c r="AE3901" t="s">
        <v>1545</v>
      </c>
      <c r="AF3901" t="s">
        <v>5228</v>
      </c>
    </row>
    <row r="3902" spans="1:32" hidden="1" x14ac:dyDescent="0.35">
      <c r="A3902">
        <v>2527</v>
      </c>
      <c r="B3902" t="s">
        <v>5220</v>
      </c>
      <c r="C3902" t="s">
        <v>72</v>
      </c>
      <c r="D3902" t="s">
        <v>34</v>
      </c>
      <c r="E3902">
        <v>669</v>
      </c>
      <c r="F3902">
        <v>5</v>
      </c>
      <c r="G3902">
        <v>5</v>
      </c>
      <c r="H3902">
        <v>1</v>
      </c>
      <c r="I3902">
        <v>1</v>
      </c>
      <c r="J3902">
        <v>0.90997074049065996</v>
      </c>
      <c r="K3902">
        <v>0.98097130242825503</v>
      </c>
      <c r="L3902">
        <v>0.94413806685771995</v>
      </c>
      <c r="M3902">
        <v>0.82119205298013198</v>
      </c>
      <c r="N3902">
        <v>1</v>
      </c>
      <c r="O3902">
        <v>0.87284768211920505</v>
      </c>
      <c r="P3902" t="s">
        <v>5221</v>
      </c>
      <c r="Q3902" t="s">
        <v>5222</v>
      </c>
      <c r="R3902" t="s">
        <v>224</v>
      </c>
      <c r="S3902" t="s">
        <v>225</v>
      </c>
      <c r="T3902" t="s">
        <v>5223</v>
      </c>
      <c r="U3902" t="s">
        <v>5224</v>
      </c>
      <c r="V3902" t="s">
        <v>5225</v>
      </c>
      <c r="W3902" t="s">
        <v>5226</v>
      </c>
      <c r="X3902" t="s">
        <v>5225</v>
      </c>
      <c r="Y3902" t="s">
        <v>749</v>
      </c>
      <c r="AD3902" t="s">
        <v>762</v>
      </c>
      <c r="AE3902" t="s">
        <v>1545</v>
      </c>
      <c r="AF3902" t="s">
        <v>5229</v>
      </c>
    </row>
    <row r="3903" spans="1:32" hidden="1" x14ac:dyDescent="0.35">
      <c r="A3903">
        <v>2528</v>
      </c>
      <c r="B3903" t="s">
        <v>5220</v>
      </c>
      <c r="C3903" t="s">
        <v>72</v>
      </c>
      <c r="D3903" t="s">
        <v>45</v>
      </c>
      <c r="E3903">
        <v>1935</v>
      </c>
      <c r="F3903">
        <v>5</v>
      </c>
      <c r="G3903">
        <v>5</v>
      </c>
      <c r="H3903">
        <v>1</v>
      </c>
      <c r="I3903">
        <v>1</v>
      </c>
      <c r="J3903">
        <v>0.90997074049065996</v>
      </c>
      <c r="K3903">
        <v>0.98097130242825503</v>
      </c>
      <c r="L3903">
        <v>0.94413806685771995</v>
      </c>
      <c r="M3903">
        <v>0.82119205298013198</v>
      </c>
      <c r="N3903">
        <v>1</v>
      </c>
      <c r="O3903">
        <v>0.87284768211920505</v>
      </c>
      <c r="P3903" t="s">
        <v>5221</v>
      </c>
      <c r="Q3903" t="s">
        <v>5222</v>
      </c>
      <c r="R3903" t="s">
        <v>224</v>
      </c>
      <c r="S3903" t="s">
        <v>225</v>
      </c>
      <c r="T3903" t="s">
        <v>5223</v>
      </c>
      <c r="U3903" t="s">
        <v>5224</v>
      </c>
      <c r="V3903" t="s">
        <v>5225</v>
      </c>
      <c r="W3903" t="s">
        <v>5226</v>
      </c>
      <c r="X3903" t="s">
        <v>5225</v>
      </c>
      <c r="Y3903" t="s">
        <v>749</v>
      </c>
      <c r="AD3903" t="s">
        <v>762</v>
      </c>
      <c r="AE3903" t="s">
        <v>1545</v>
      </c>
      <c r="AF3903" t="s">
        <v>5230</v>
      </c>
    </row>
    <row r="3904" spans="1:32" hidden="1" x14ac:dyDescent="0.35">
      <c r="A3904">
        <v>6281</v>
      </c>
      <c r="B3904" t="s">
        <v>12932</v>
      </c>
      <c r="C3904" t="s">
        <v>68</v>
      </c>
      <c r="D3904" t="s">
        <v>58</v>
      </c>
      <c r="E3904">
        <v>1886</v>
      </c>
      <c r="F3904">
        <v>3</v>
      </c>
      <c r="G3904">
        <v>3</v>
      </c>
      <c r="H3904">
        <v>1</v>
      </c>
      <c r="I3904">
        <v>0</v>
      </c>
      <c r="J3904">
        <v>0.793197278911565</v>
      </c>
      <c r="K3904">
        <v>0.87383351997013803</v>
      </c>
      <c r="L3904">
        <v>0.83156516451525297</v>
      </c>
      <c r="M3904">
        <v>0.43157894736842101</v>
      </c>
      <c r="N3904">
        <v>0.97894736842105301</v>
      </c>
      <c r="O3904">
        <v>0.61403508771929804</v>
      </c>
      <c r="P3904" t="s">
        <v>12933</v>
      </c>
      <c r="Q3904" t="s">
        <v>12934</v>
      </c>
      <c r="R3904" t="s">
        <v>157</v>
      </c>
      <c r="S3904" t="s">
        <v>158</v>
      </c>
      <c r="T3904" t="s">
        <v>12935</v>
      </c>
      <c r="U3904" t="s">
        <v>407</v>
      </c>
      <c r="V3904" t="s">
        <v>12936</v>
      </c>
      <c r="W3904" t="s">
        <v>12937</v>
      </c>
      <c r="AD3904" t="s">
        <v>410</v>
      </c>
      <c r="AE3904" t="s">
        <v>411</v>
      </c>
      <c r="AF3904" t="s">
        <v>12938</v>
      </c>
    </row>
    <row r="3905" spans="1:32" hidden="1" x14ac:dyDescent="0.35">
      <c r="A3905">
        <v>2555</v>
      </c>
      <c r="B3905" t="s">
        <v>5282</v>
      </c>
      <c r="C3905" t="s">
        <v>72</v>
      </c>
      <c r="D3905" t="s">
        <v>60</v>
      </c>
      <c r="E3905">
        <v>763</v>
      </c>
      <c r="F3905">
        <v>5</v>
      </c>
      <c r="G3905">
        <v>5</v>
      </c>
      <c r="H3905">
        <v>1</v>
      </c>
      <c r="I3905">
        <v>1</v>
      </c>
      <c r="J3905">
        <v>0.96178861788617898</v>
      </c>
      <c r="K3905">
        <v>1</v>
      </c>
      <c r="L3905">
        <v>0.98052217157065902</v>
      </c>
      <c r="M3905">
        <v>0.90243902439024404</v>
      </c>
      <c r="N3905">
        <v>1</v>
      </c>
      <c r="O3905">
        <v>0.94390243902438997</v>
      </c>
      <c r="P3905" t="s">
        <v>5283</v>
      </c>
      <c r="Q3905" t="s">
        <v>5284</v>
      </c>
      <c r="R3905" t="s">
        <v>224</v>
      </c>
      <c r="S3905" t="s">
        <v>225</v>
      </c>
      <c r="T3905" t="s">
        <v>5285</v>
      </c>
      <c r="U3905" t="s">
        <v>5286</v>
      </c>
      <c r="V3905" t="s">
        <v>5287</v>
      </c>
      <c r="W3905" t="s">
        <v>5288</v>
      </c>
      <c r="X3905" t="s">
        <v>5287</v>
      </c>
      <c r="Y3905" t="s">
        <v>761</v>
      </c>
      <c r="AD3905" t="s">
        <v>750</v>
      </c>
      <c r="AE3905" t="s">
        <v>2675</v>
      </c>
      <c r="AF3905" t="s">
        <v>5290</v>
      </c>
    </row>
    <row r="3906" spans="1:32" hidden="1" x14ac:dyDescent="0.35">
      <c r="A3906">
        <v>2556</v>
      </c>
      <c r="B3906" t="s">
        <v>5282</v>
      </c>
      <c r="C3906" t="s">
        <v>72</v>
      </c>
      <c r="D3906" t="s">
        <v>62</v>
      </c>
      <c r="E3906">
        <v>796</v>
      </c>
      <c r="F3906">
        <v>5</v>
      </c>
      <c r="G3906">
        <v>5</v>
      </c>
      <c r="H3906">
        <v>1</v>
      </c>
      <c r="I3906">
        <v>1</v>
      </c>
      <c r="J3906">
        <v>0.96178861788617898</v>
      </c>
      <c r="K3906">
        <v>1</v>
      </c>
      <c r="L3906">
        <v>0.98052217157065902</v>
      </c>
      <c r="M3906">
        <v>0.90243902439024404</v>
      </c>
      <c r="N3906">
        <v>1</v>
      </c>
      <c r="O3906">
        <v>0.94390243902438997</v>
      </c>
      <c r="P3906" t="s">
        <v>5283</v>
      </c>
      <c r="Q3906" t="s">
        <v>5284</v>
      </c>
      <c r="R3906" t="s">
        <v>224</v>
      </c>
      <c r="S3906" t="s">
        <v>225</v>
      </c>
      <c r="T3906" t="s">
        <v>5285</v>
      </c>
      <c r="U3906" t="s">
        <v>5286</v>
      </c>
      <c r="V3906" t="s">
        <v>5287</v>
      </c>
      <c r="W3906" t="s">
        <v>5288</v>
      </c>
      <c r="X3906" t="s">
        <v>5287</v>
      </c>
      <c r="Y3906" t="s">
        <v>761</v>
      </c>
      <c r="AD3906" t="s">
        <v>750</v>
      </c>
      <c r="AE3906" t="s">
        <v>2675</v>
      </c>
      <c r="AF3906" t="s">
        <v>5290</v>
      </c>
    </row>
    <row r="3907" spans="1:32" hidden="1" x14ac:dyDescent="0.35">
      <c r="A3907">
        <v>2557</v>
      </c>
      <c r="B3907" t="s">
        <v>5282</v>
      </c>
      <c r="C3907" t="s">
        <v>72</v>
      </c>
      <c r="D3907" t="s">
        <v>34</v>
      </c>
      <c r="E3907">
        <v>370</v>
      </c>
      <c r="F3907">
        <v>5</v>
      </c>
      <c r="G3907">
        <v>5</v>
      </c>
      <c r="H3907">
        <v>1</v>
      </c>
      <c r="I3907">
        <v>1</v>
      </c>
      <c r="J3907">
        <v>0.96178861788617898</v>
      </c>
      <c r="K3907">
        <v>1</v>
      </c>
      <c r="L3907">
        <v>0.98052217157065902</v>
      </c>
      <c r="M3907">
        <v>0.90243902439024404</v>
      </c>
      <c r="N3907">
        <v>1</v>
      </c>
      <c r="O3907">
        <v>0.94390243902438997</v>
      </c>
      <c r="P3907" t="s">
        <v>5283</v>
      </c>
      <c r="Q3907" t="s">
        <v>5284</v>
      </c>
      <c r="R3907" t="s">
        <v>224</v>
      </c>
      <c r="S3907" t="s">
        <v>225</v>
      </c>
      <c r="T3907" t="s">
        <v>5285</v>
      </c>
      <c r="U3907" t="s">
        <v>5286</v>
      </c>
      <c r="V3907" t="s">
        <v>5287</v>
      </c>
      <c r="W3907" t="s">
        <v>5288</v>
      </c>
      <c r="X3907" t="s">
        <v>5287</v>
      </c>
      <c r="Y3907" t="s">
        <v>761</v>
      </c>
      <c r="AD3907" t="s">
        <v>750</v>
      </c>
      <c r="AE3907" t="s">
        <v>2675</v>
      </c>
      <c r="AF3907" t="s">
        <v>5291</v>
      </c>
    </row>
    <row r="3908" spans="1:32" hidden="1" x14ac:dyDescent="0.35">
      <c r="A3908">
        <v>2558</v>
      </c>
      <c r="B3908" t="s">
        <v>5282</v>
      </c>
      <c r="C3908" t="s">
        <v>72</v>
      </c>
      <c r="D3908" t="s">
        <v>45</v>
      </c>
      <c r="E3908">
        <v>1632</v>
      </c>
      <c r="F3908">
        <v>5</v>
      </c>
      <c r="G3908">
        <v>5</v>
      </c>
      <c r="H3908">
        <v>1</v>
      </c>
      <c r="I3908">
        <v>1</v>
      </c>
      <c r="J3908">
        <v>0.96178861788617898</v>
      </c>
      <c r="K3908">
        <v>1</v>
      </c>
      <c r="L3908">
        <v>0.98052217157065902</v>
      </c>
      <c r="M3908">
        <v>0.90243902439024404</v>
      </c>
      <c r="N3908">
        <v>1</v>
      </c>
      <c r="O3908">
        <v>0.94390243902438997</v>
      </c>
      <c r="P3908" t="s">
        <v>5283</v>
      </c>
      <c r="Q3908" t="s">
        <v>5284</v>
      </c>
      <c r="R3908" t="s">
        <v>224</v>
      </c>
      <c r="S3908" t="s">
        <v>225</v>
      </c>
      <c r="T3908" t="s">
        <v>5285</v>
      </c>
      <c r="U3908" t="s">
        <v>5286</v>
      </c>
      <c r="V3908" t="s">
        <v>5287</v>
      </c>
      <c r="W3908" t="s">
        <v>5288</v>
      </c>
      <c r="X3908" t="s">
        <v>5287</v>
      </c>
      <c r="Y3908" t="s">
        <v>761</v>
      </c>
      <c r="AD3908" t="s">
        <v>750</v>
      </c>
      <c r="AE3908" t="s">
        <v>2675</v>
      </c>
      <c r="AF3908" t="s">
        <v>5291</v>
      </c>
    </row>
    <row r="3909" spans="1:32" hidden="1" x14ac:dyDescent="0.35">
      <c r="A3909">
        <v>3474</v>
      </c>
      <c r="B3909" t="s">
        <v>7144</v>
      </c>
      <c r="C3909" t="s">
        <v>72</v>
      </c>
      <c r="D3909" t="s">
        <v>58</v>
      </c>
      <c r="E3909">
        <v>1796</v>
      </c>
      <c r="F3909">
        <v>5</v>
      </c>
      <c r="G3909">
        <v>5</v>
      </c>
      <c r="H3909">
        <v>1</v>
      </c>
      <c r="I3909">
        <v>1</v>
      </c>
      <c r="J3909">
        <v>0.78129984051036705</v>
      </c>
      <c r="K3909">
        <v>0.84768159203980098</v>
      </c>
      <c r="L3909">
        <v>0.813138172640128</v>
      </c>
      <c r="M3909">
        <v>0.44776119402985098</v>
      </c>
      <c r="N3909">
        <v>1</v>
      </c>
      <c r="O3909">
        <v>0.66915422885572196</v>
      </c>
      <c r="P3909" t="s">
        <v>7145</v>
      </c>
      <c r="Q3909" t="s">
        <v>7146</v>
      </c>
      <c r="R3909" t="s">
        <v>75</v>
      </c>
      <c r="S3909" t="s">
        <v>76</v>
      </c>
      <c r="T3909" t="s">
        <v>7147</v>
      </c>
      <c r="U3909" t="s">
        <v>7148</v>
      </c>
      <c r="V3909" t="s">
        <v>7149</v>
      </c>
      <c r="W3909" t="s">
        <v>7150</v>
      </c>
      <c r="X3909" t="s">
        <v>7149</v>
      </c>
      <c r="Y3909" t="s">
        <v>2392</v>
      </c>
      <c r="AD3909" t="s">
        <v>219</v>
      </c>
      <c r="AE3909" t="s">
        <v>7151</v>
      </c>
      <c r="AF3909" t="s">
        <v>7152</v>
      </c>
    </row>
    <row r="3910" spans="1:32" hidden="1" x14ac:dyDescent="0.35">
      <c r="A3910">
        <v>2585</v>
      </c>
      <c r="B3910" t="s">
        <v>5350</v>
      </c>
      <c r="C3910" t="s">
        <v>72</v>
      </c>
      <c r="D3910" t="s">
        <v>60</v>
      </c>
      <c r="E3910">
        <v>717</v>
      </c>
      <c r="F3910">
        <v>5</v>
      </c>
      <c r="G3910">
        <v>5</v>
      </c>
      <c r="H3910">
        <v>1</v>
      </c>
      <c r="I3910">
        <v>1</v>
      </c>
      <c r="J3910">
        <v>0.79051094890510998</v>
      </c>
      <c r="K3910">
        <v>0.882704869660771</v>
      </c>
      <c r="L3910">
        <v>0.83406797422794299</v>
      </c>
      <c r="M3910">
        <v>0.579617834394904</v>
      </c>
      <c r="N3910">
        <v>1</v>
      </c>
      <c r="O3910">
        <v>0.707643312101911</v>
      </c>
      <c r="P3910" t="s">
        <v>4727</v>
      </c>
      <c r="Q3910" t="s">
        <v>4728</v>
      </c>
      <c r="R3910" t="s">
        <v>224</v>
      </c>
      <c r="S3910" t="s">
        <v>225</v>
      </c>
      <c r="V3910" t="s">
        <v>5351</v>
      </c>
      <c r="W3910" t="s">
        <v>5352</v>
      </c>
      <c r="X3910" t="s">
        <v>5351</v>
      </c>
      <c r="Y3910" t="s">
        <v>1598</v>
      </c>
      <c r="AF3910" t="s">
        <v>5354</v>
      </c>
    </row>
    <row r="3911" spans="1:32" hidden="1" x14ac:dyDescent="0.35">
      <c r="A3911">
        <v>2586</v>
      </c>
      <c r="B3911" t="s">
        <v>5350</v>
      </c>
      <c r="C3911" t="s">
        <v>72</v>
      </c>
      <c r="D3911" t="s">
        <v>62</v>
      </c>
      <c r="E3911">
        <v>748</v>
      </c>
      <c r="F3911">
        <v>5</v>
      </c>
      <c r="G3911">
        <v>5</v>
      </c>
      <c r="H3911">
        <v>1</v>
      </c>
      <c r="I3911">
        <v>1</v>
      </c>
      <c r="J3911">
        <v>0.79051094890510998</v>
      </c>
      <c r="K3911">
        <v>0.882704869660771</v>
      </c>
      <c r="L3911">
        <v>0.83406797422794299</v>
      </c>
      <c r="M3911">
        <v>0.579617834394904</v>
      </c>
      <c r="N3911">
        <v>1</v>
      </c>
      <c r="O3911">
        <v>0.707643312101911</v>
      </c>
      <c r="P3911" t="s">
        <v>4727</v>
      </c>
      <c r="Q3911" t="s">
        <v>4728</v>
      </c>
      <c r="R3911" t="s">
        <v>224</v>
      </c>
      <c r="S3911" t="s">
        <v>225</v>
      </c>
      <c r="V3911" t="s">
        <v>5351</v>
      </c>
      <c r="W3911" t="s">
        <v>5352</v>
      </c>
      <c r="X3911" t="s">
        <v>5351</v>
      </c>
      <c r="Y3911" t="s">
        <v>1598</v>
      </c>
      <c r="AF3911" t="s">
        <v>5354</v>
      </c>
    </row>
    <row r="3912" spans="1:32" hidden="1" x14ac:dyDescent="0.35">
      <c r="A3912">
        <v>2587</v>
      </c>
      <c r="B3912" t="s">
        <v>5350</v>
      </c>
      <c r="C3912" t="s">
        <v>72</v>
      </c>
      <c r="D3912" t="s">
        <v>34</v>
      </c>
      <c r="E3912">
        <v>420</v>
      </c>
      <c r="F3912">
        <v>5</v>
      </c>
      <c r="G3912">
        <v>5</v>
      </c>
      <c r="H3912">
        <v>1</v>
      </c>
      <c r="I3912">
        <v>1</v>
      </c>
      <c r="J3912">
        <v>0.79051094890510998</v>
      </c>
      <c r="K3912">
        <v>0.882704869660771</v>
      </c>
      <c r="L3912">
        <v>0.83406797422794299</v>
      </c>
      <c r="M3912">
        <v>0.579617834394904</v>
      </c>
      <c r="N3912">
        <v>1</v>
      </c>
      <c r="O3912">
        <v>0.707643312101911</v>
      </c>
      <c r="P3912" t="s">
        <v>4727</v>
      </c>
      <c r="Q3912" t="s">
        <v>4728</v>
      </c>
      <c r="R3912" t="s">
        <v>224</v>
      </c>
      <c r="S3912" t="s">
        <v>225</v>
      </c>
      <c r="T3912" t="s">
        <v>5355</v>
      </c>
      <c r="U3912" t="s">
        <v>5356</v>
      </c>
      <c r="V3912" t="s">
        <v>5351</v>
      </c>
      <c r="W3912" t="s">
        <v>5352</v>
      </c>
      <c r="X3912" t="s">
        <v>5351</v>
      </c>
      <c r="Y3912" t="s">
        <v>1598</v>
      </c>
      <c r="AD3912" t="s">
        <v>1717</v>
      </c>
      <c r="AE3912" t="s">
        <v>5357</v>
      </c>
      <c r="AF3912" t="e">
        <f>-----------MIITHISDPTDPRLDDFRDLKHSDNRPDLPGGKGLVIAEGPLIVERLLASRYPVRTLVGFPAKLDKFLS----QPHIADLAA--------------GIDTYSLDRETLAQVAGYDMHRGLLAAANRAPELSLSEVIKTATTVVVLEGVGDHENIGSIFRNAAGLGVDAILFGNGCADPLYRRSVRVSMGHVLRLPHASFEGKHTNWHYGLDQLKESGFQLVSLTPHEDAVPLDQALYDGNGVPYEKIALLVGAEGPGLTERTMRRTDIRARIPMSAGTDSLNVATAAAIALYERQRGRMPHGE</f>
        <v>#NAME?</v>
      </c>
    </row>
    <row r="3913" spans="1:32" hidden="1" x14ac:dyDescent="0.35">
      <c r="A3913">
        <v>2588</v>
      </c>
      <c r="B3913" t="s">
        <v>5350</v>
      </c>
      <c r="C3913" t="s">
        <v>72</v>
      </c>
      <c r="D3913" t="s">
        <v>45</v>
      </c>
      <c r="E3913">
        <v>1682</v>
      </c>
      <c r="F3913">
        <v>5</v>
      </c>
      <c r="G3913">
        <v>5</v>
      </c>
      <c r="H3913">
        <v>1</v>
      </c>
      <c r="I3913">
        <v>1</v>
      </c>
      <c r="J3913">
        <v>0.79051094890510998</v>
      </c>
      <c r="K3913">
        <v>0.882704869660771</v>
      </c>
      <c r="L3913">
        <v>0.83406797422794299</v>
      </c>
      <c r="M3913">
        <v>0.579617834394904</v>
      </c>
      <c r="N3913">
        <v>1</v>
      </c>
      <c r="O3913">
        <v>0.707643312101911</v>
      </c>
      <c r="P3913" t="s">
        <v>4727</v>
      </c>
      <c r="Q3913" t="s">
        <v>4728</v>
      </c>
      <c r="R3913" t="s">
        <v>224</v>
      </c>
      <c r="S3913" t="s">
        <v>225</v>
      </c>
      <c r="T3913" t="s">
        <v>5355</v>
      </c>
      <c r="U3913" t="s">
        <v>5356</v>
      </c>
      <c r="V3913" t="s">
        <v>5351</v>
      </c>
      <c r="W3913" t="s">
        <v>5352</v>
      </c>
      <c r="X3913" t="s">
        <v>5351</v>
      </c>
      <c r="Y3913" t="s">
        <v>1598</v>
      </c>
      <c r="AD3913" t="s">
        <v>1717</v>
      </c>
      <c r="AE3913" t="s">
        <v>5357</v>
      </c>
      <c r="AF3913" t="e">
        <f>-----------MIITHISDPTDPRLDDFRDLKHSDNRPDLPGGKGLVIAEGPLIVERLLASRYPVRTLVGFPAKLDKFLS----QPHIADLAA--------------GIDTYSLDRETLAQVAGYDMHRGLLAAANRAPELGLSEVIKTATTVVVLEGVGDHENIGSIFRNAAGLGVDAILFGNGCADPLYRRSVRVSMGHVLRLPHASFEGKHTNWHYGLDQLKESGFQLVSLTPHEDAVPLDQALYDGNGVPYEKIALLVGAEGPGLTERTMRRTDIRARIPMSAGTDSLNVATAAAIALYERQRGRMPHGE</f>
        <v>#NAME?</v>
      </c>
    </row>
    <row r="3914" spans="1:32" hidden="1" x14ac:dyDescent="0.35">
      <c r="A3914">
        <v>11441</v>
      </c>
      <c r="B3914" t="s">
        <v>23333</v>
      </c>
      <c r="C3914" t="s">
        <v>33</v>
      </c>
      <c r="D3914" t="s">
        <v>58</v>
      </c>
      <c r="E3914">
        <v>37</v>
      </c>
      <c r="F3914">
        <v>1</v>
      </c>
      <c r="G3914">
        <v>1</v>
      </c>
      <c r="H3914">
        <v>1</v>
      </c>
      <c r="I3914">
        <v>0</v>
      </c>
      <c r="J3914">
        <v>1</v>
      </c>
      <c r="K3914">
        <v>1</v>
      </c>
      <c r="L3914">
        <v>1</v>
      </c>
      <c r="M3914">
        <v>0</v>
      </c>
      <c r="N3914">
        <v>0</v>
      </c>
      <c r="O3914">
        <v>0</v>
      </c>
      <c r="P3914" t="s">
        <v>7145</v>
      </c>
      <c r="Q3914" t="s">
        <v>7146</v>
      </c>
      <c r="R3914" t="s">
        <v>75</v>
      </c>
      <c r="S3914" t="s">
        <v>76</v>
      </c>
      <c r="T3914" t="s">
        <v>14793</v>
      </c>
      <c r="U3914" t="s">
        <v>3223</v>
      </c>
      <c r="V3914" t="s">
        <v>7149</v>
      </c>
      <c r="W3914" t="s">
        <v>7150</v>
      </c>
      <c r="X3914" t="s">
        <v>7149</v>
      </c>
      <c r="Y3914" t="s">
        <v>2392</v>
      </c>
      <c r="AD3914" t="s">
        <v>2264</v>
      </c>
      <c r="AE3914" t="s">
        <v>3226</v>
      </c>
      <c r="AF3914" t="s">
        <v>23334</v>
      </c>
    </row>
    <row r="3915" spans="1:32" hidden="1" x14ac:dyDescent="0.35">
      <c r="A3915">
        <v>2640</v>
      </c>
      <c r="B3915" t="s">
        <v>5454</v>
      </c>
      <c r="C3915" t="s">
        <v>72</v>
      </c>
      <c r="D3915" t="s">
        <v>60</v>
      </c>
      <c r="E3915">
        <v>378</v>
      </c>
      <c r="F3915">
        <v>5</v>
      </c>
      <c r="G3915">
        <v>5</v>
      </c>
      <c r="H3915">
        <v>1</v>
      </c>
      <c r="I3915">
        <v>1</v>
      </c>
      <c r="J3915">
        <v>0.85729696409308098</v>
      </c>
      <c r="K3915">
        <v>0.98774663818022101</v>
      </c>
      <c r="L3915">
        <v>0.91791022516942899</v>
      </c>
      <c r="M3915">
        <v>0.75342465753424703</v>
      </c>
      <c r="N3915">
        <v>1</v>
      </c>
      <c r="O3915">
        <v>0.81735159817351599</v>
      </c>
      <c r="P3915" t="s">
        <v>5455</v>
      </c>
      <c r="Q3915" t="s">
        <v>5456</v>
      </c>
      <c r="R3915" t="s">
        <v>224</v>
      </c>
      <c r="S3915" t="s">
        <v>225</v>
      </c>
      <c r="T3915" t="s">
        <v>5457</v>
      </c>
      <c r="U3915" t="s">
        <v>5458</v>
      </c>
      <c r="V3915" t="s">
        <v>5459</v>
      </c>
      <c r="W3915" t="s">
        <v>5460</v>
      </c>
      <c r="X3915" t="s">
        <v>5459</v>
      </c>
      <c r="Y3915" t="s">
        <v>749</v>
      </c>
      <c r="AD3915" t="s">
        <v>750</v>
      </c>
      <c r="AE3915" t="s">
        <v>751</v>
      </c>
      <c r="AF3915" t="s">
        <v>5462</v>
      </c>
    </row>
    <row r="3916" spans="1:32" hidden="1" x14ac:dyDescent="0.35">
      <c r="A3916">
        <v>2641</v>
      </c>
      <c r="B3916" t="s">
        <v>5454</v>
      </c>
      <c r="C3916" t="s">
        <v>72</v>
      </c>
      <c r="D3916" t="s">
        <v>62</v>
      </c>
      <c r="E3916">
        <v>459</v>
      </c>
      <c r="F3916">
        <v>5</v>
      </c>
      <c r="G3916">
        <v>5</v>
      </c>
      <c r="H3916">
        <v>1</v>
      </c>
      <c r="I3916">
        <v>1</v>
      </c>
      <c r="J3916">
        <v>0.85729696409308098</v>
      </c>
      <c r="K3916">
        <v>0.98774663818022101</v>
      </c>
      <c r="L3916">
        <v>0.91791022516942899</v>
      </c>
      <c r="M3916">
        <v>0.75342465753424703</v>
      </c>
      <c r="N3916">
        <v>1</v>
      </c>
      <c r="O3916">
        <v>0.81735159817351599</v>
      </c>
      <c r="P3916" t="s">
        <v>5455</v>
      </c>
      <c r="Q3916" t="s">
        <v>5456</v>
      </c>
      <c r="R3916" t="s">
        <v>224</v>
      </c>
      <c r="S3916" t="s">
        <v>225</v>
      </c>
      <c r="T3916" t="s">
        <v>5457</v>
      </c>
      <c r="U3916" t="s">
        <v>5458</v>
      </c>
      <c r="V3916" t="s">
        <v>5459</v>
      </c>
      <c r="W3916" t="s">
        <v>5460</v>
      </c>
      <c r="X3916" t="s">
        <v>5459</v>
      </c>
      <c r="Y3916" t="s">
        <v>749</v>
      </c>
      <c r="AD3916" t="s">
        <v>750</v>
      </c>
      <c r="AE3916" t="s">
        <v>751</v>
      </c>
      <c r="AF3916" t="s">
        <v>5462</v>
      </c>
    </row>
    <row r="3917" spans="1:32" hidden="1" x14ac:dyDescent="0.35">
      <c r="A3917">
        <v>2642</v>
      </c>
      <c r="B3917" t="s">
        <v>5454</v>
      </c>
      <c r="C3917" t="s">
        <v>72</v>
      </c>
      <c r="D3917" t="s">
        <v>34</v>
      </c>
      <c r="E3917">
        <v>733</v>
      </c>
      <c r="F3917">
        <v>5</v>
      </c>
      <c r="G3917">
        <v>5</v>
      </c>
      <c r="H3917">
        <v>1</v>
      </c>
      <c r="I3917">
        <v>1</v>
      </c>
      <c r="J3917">
        <v>0.85729696409308098</v>
      </c>
      <c r="K3917">
        <v>0.98774663818022101</v>
      </c>
      <c r="L3917">
        <v>0.91791022516942899</v>
      </c>
      <c r="M3917">
        <v>0.75342465753424703</v>
      </c>
      <c r="N3917">
        <v>1</v>
      </c>
      <c r="O3917">
        <v>0.81735159817351599</v>
      </c>
      <c r="P3917" t="s">
        <v>5455</v>
      </c>
      <c r="Q3917" t="s">
        <v>5456</v>
      </c>
      <c r="R3917" t="s">
        <v>224</v>
      </c>
      <c r="S3917" t="s">
        <v>225</v>
      </c>
      <c r="T3917" t="s">
        <v>5457</v>
      </c>
      <c r="U3917" t="s">
        <v>5458</v>
      </c>
      <c r="V3917" t="s">
        <v>5459</v>
      </c>
      <c r="W3917" t="s">
        <v>5460</v>
      </c>
      <c r="X3917" t="s">
        <v>5459</v>
      </c>
      <c r="Y3917" t="s">
        <v>749</v>
      </c>
      <c r="AD3917" t="s">
        <v>750</v>
      </c>
      <c r="AE3917" t="s">
        <v>751</v>
      </c>
      <c r="AF3917" t="s">
        <v>5463</v>
      </c>
    </row>
    <row r="3918" spans="1:32" hidden="1" x14ac:dyDescent="0.35">
      <c r="A3918">
        <v>2643</v>
      </c>
      <c r="B3918" t="s">
        <v>5454</v>
      </c>
      <c r="C3918" t="s">
        <v>72</v>
      </c>
      <c r="D3918" t="s">
        <v>45</v>
      </c>
      <c r="E3918">
        <v>1999</v>
      </c>
      <c r="F3918">
        <v>5</v>
      </c>
      <c r="G3918">
        <v>5</v>
      </c>
      <c r="H3918">
        <v>1</v>
      </c>
      <c r="I3918">
        <v>1</v>
      </c>
      <c r="J3918">
        <v>0.85729696409308098</v>
      </c>
      <c r="K3918">
        <v>0.98774663818022101</v>
      </c>
      <c r="L3918">
        <v>0.91791022516942899</v>
      </c>
      <c r="M3918">
        <v>0.75342465753424703</v>
      </c>
      <c r="N3918">
        <v>1</v>
      </c>
      <c r="O3918">
        <v>0.81735159817351599</v>
      </c>
      <c r="P3918" t="s">
        <v>5455</v>
      </c>
      <c r="Q3918" t="s">
        <v>5456</v>
      </c>
      <c r="R3918" t="s">
        <v>224</v>
      </c>
      <c r="S3918" t="s">
        <v>225</v>
      </c>
      <c r="T3918" t="s">
        <v>5457</v>
      </c>
      <c r="U3918" t="s">
        <v>5458</v>
      </c>
      <c r="V3918" t="s">
        <v>5459</v>
      </c>
      <c r="W3918" t="s">
        <v>5460</v>
      </c>
      <c r="X3918" t="s">
        <v>5459</v>
      </c>
      <c r="Y3918" t="s">
        <v>749</v>
      </c>
      <c r="AD3918" t="s">
        <v>750</v>
      </c>
      <c r="AE3918" t="s">
        <v>751</v>
      </c>
      <c r="AF3918" t="s">
        <v>5463</v>
      </c>
    </row>
    <row r="3919" spans="1:32" hidden="1" x14ac:dyDescent="0.35">
      <c r="A3919">
        <v>1069</v>
      </c>
      <c r="B3919" t="s">
        <v>2225</v>
      </c>
      <c r="C3919" t="s">
        <v>72</v>
      </c>
      <c r="D3919" t="s">
        <v>58</v>
      </c>
      <c r="E3919">
        <v>653</v>
      </c>
      <c r="F3919">
        <v>5</v>
      </c>
      <c r="G3919">
        <v>5</v>
      </c>
      <c r="H3919">
        <v>1</v>
      </c>
      <c r="I3919">
        <v>1</v>
      </c>
      <c r="J3919">
        <v>0.75831689677843495</v>
      </c>
      <c r="K3919">
        <v>0.961183604101853</v>
      </c>
      <c r="L3919">
        <v>0.84778314111997399</v>
      </c>
      <c r="M3919">
        <v>0.51515151515151503</v>
      </c>
      <c r="N3919">
        <v>1</v>
      </c>
      <c r="O3919">
        <v>0.68030303030302997</v>
      </c>
      <c r="P3919" t="s">
        <v>2226</v>
      </c>
      <c r="Q3919" t="s">
        <v>2227</v>
      </c>
      <c r="R3919" t="s">
        <v>157</v>
      </c>
      <c r="S3919" t="s">
        <v>158</v>
      </c>
      <c r="V3919" t="s">
        <v>2228</v>
      </c>
      <c r="W3919" t="s">
        <v>2229</v>
      </c>
      <c r="AF3919" t="e">
        <f>-----------------MVVPLLLLVLAGWLVVIGRGVNPIRHLEPVPDDVPPAAGAALPSVDINGPGRTAQQFTDWSQPLSEETGISVQALNAYANATAIIDAATPGCHLRWTTLAGIGYVETRHGTYSGRVFGGGKLDADGVATPPIVGPVLDGTRGFAEIKDTDRGEIDTDSTYDRAVGPMQFIPGSWALYGRDADGDGVKNPQQIDDAAISAATLLCASERDLATPEGWVSAVRAYNNSDDYVIKVRNAANAYAMGQPPA</f>
        <v>#NAME?</v>
      </c>
    </row>
    <row r="3920" spans="1:32" hidden="1" x14ac:dyDescent="0.35">
      <c r="A3920">
        <v>2650</v>
      </c>
      <c r="B3920" t="s">
        <v>5469</v>
      </c>
      <c r="C3920" t="s">
        <v>72</v>
      </c>
      <c r="D3920" t="s">
        <v>60</v>
      </c>
      <c r="E3920">
        <v>1578</v>
      </c>
      <c r="F3920">
        <v>5</v>
      </c>
      <c r="G3920">
        <v>5</v>
      </c>
      <c r="H3920">
        <v>1</v>
      </c>
      <c r="I3920">
        <v>1</v>
      </c>
      <c r="J3920">
        <v>0.88754743014832704</v>
      </c>
      <c r="K3920">
        <v>0.96392469545957904</v>
      </c>
      <c r="L3920">
        <v>0.92416069837482095</v>
      </c>
      <c r="M3920">
        <v>0.77076411960132896</v>
      </c>
      <c r="N3920">
        <v>1</v>
      </c>
      <c r="O3920">
        <v>0.83521594684385403</v>
      </c>
      <c r="P3920" t="s">
        <v>5470</v>
      </c>
      <c r="Q3920" t="s">
        <v>5471</v>
      </c>
      <c r="R3920" t="s">
        <v>224</v>
      </c>
      <c r="S3920" t="s">
        <v>225</v>
      </c>
      <c r="T3920" t="s">
        <v>5472</v>
      </c>
      <c r="U3920" t="s">
        <v>5473</v>
      </c>
      <c r="V3920" t="s">
        <v>5474</v>
      </c>
      <c r="W3920" t="s">
        <v>5475</v>
      </c>
      <c r="AD3920" t="s">
        <v>5476</v>
      </c>
      <c r="AE3920" t="s">
        <v>5477</v>
      </c>
      <c r="AF3920" t="s">
        <v>5479</v>
      </c>
    </row>
    <row r="3921" spans="1:32" hidden="1" x14ac:dyDescent="0.35">
      <c r="A3921">
        <v>2651</v>
      </c>
      <c r="B3921" t="s">
        <v>5469</v>
      </c>
      <c r="C3921" t="s">
        <v>72</v>
      </c>
      <c r="D3921" t="s">
        <v>62</v>
      </c>
      <c r="E3921">
        <v>1614</v>
      </c>
      <c r="F3921">
        <v>5</v>
      </c>
      <c r="G3921">
        <v>5</v>
      </c>
      <c r="H3921">
        <v>1</v>
      </c>
      <c r="I3921">
        <v>1</v>
      </c>
      <c r="J3921">
        <v>0.88754743014832704</v>
      </c>
      <c r="K3921">
        <v>0.96392469545957904</v>
      </c>
      <c r="L3921">
        <v>0.92416069837482095</v>
      </c>
      <c r="M3921">
        <v>0.77076411960132896</v>
      </c>
      <c r="N3921">
        <v>1</v>
      </c>
      <c r="O3921">
        <v>0.83521594684385403</v>
      </c>
      <c r="P3921" t="s">
        <v>5470</v>
      </c>
      <c r="Q3921" t="s">
        <v>5471</v>
      </c>
      <c r="R3921" t="s">
        <v>224</v>
      </c>
      <c r="S3921" t="s">
        <v>225</v>
      </c>
      <c r="T3921" t="s">
        <v>5472</v>
      </c>
      <c r="U3921" t="s">
        <v>5473</v>
      </c>
      <c r="V3921" t="s">
        <v>5474</v>
      </c>
      <c r="W3921" t="s">
        <v>5475</v>
      </c>
      <c r="AD3921" t="s">
        <v>5476</v>
      </c>
      <c r="AE3921" t="s">
        <v>5477</v>
      </c>
      <c r="AF3921" t="s">
        <v>5479</v>
      </c>
    </row>
    <row r="3922" spans="1:32" hidden="1" x14ac:dyDescent="0.35">
      <c r="A3922">
        <v>2652</v>
      </c>
      <c r="B3922" t="s">
        <v>5469</v>
      </c>
      <c r="C3922" t="s">
        <v>72</v>
      </c>
      <c r="D3922" t="s">
        <v>34</v>
      </c>
      <c r="E3922">
        <v>1980</v>
      </c>
      <c r="F3922">
        <v>5</v>
      </c>
      <c r="G3922">
        <v>5</v>
      </c>
      <c r="H3922">
        <v>1</v>
      </c>
      <c r="I3922">
        <v>1</v>
      </c>
      <c r="J3922">
        <v>0.88754743014832704</v>
      </c>
      <c r="K3922">
        <v>0.96392469545957904</v>
      </c>
      <c r="L3922">
        <v>0.92416069837482095</v>
      </c>
      <c r="M3922">
        <v>0.77076411960132896</v>
      </c>
      <c r="N3922">
        <v>1</v>
      </c>
      <c r="O3922">
        <v>0.83521594684385403</v>
      </c>
      <c r="P3922" t="s">
        <v>5470</v>
      </c>
      <c r="Q3922" t="s">
        <v>5471</v>
      </c>
      <c r="R3922" t="s">
        <v>224</v>
      </c>
      <c r="S3922" t="s">
        <v>225</v>
      </c>
      <c r="T3922" t="s">
        <v>5472</v>
      </c>
      <c r="U3922" t="s">
        <v>5473</v>
      </c>
      <c r="V3922" t="s">
        <v>5474</v>
      </c>
      <c r="W3922" t="s">
        <v>5475</v>
      </c>
      <c r="AD3922" t="s">
        <v>5476</v>
      </c>
      <c r="AE3922" t="s">
        <v>5477</v>
      </c>
      <c r="AF3922" t="s">
        <v>5480</v>
      </c>
    </row>
    <row r="3923" spans="1:32" hidden="1" x14ac:dyDescent="0.35">
      <c r="A3923">
        <v>2653</v>
      </c>
      <c r="B3923" t="s">
        <v>5469</v>
      </c>
      <c r="C3923" t="s">
        <v>72</v>
      </c>
      <c r="D3923" t="s">
        <v>45</v>
      </c>
      <c r="E3923">
        <v>893</v>
      </c>
      <c r="F3923">
        <v>5</v>
      </c>
      <c r="G3923">
        <v>5</v>
      </c>
      <c r="H3923">
        <v>1</v>
      </c>
      <c r="I3923">
        <v>1</v>
      </c>
      <c r="J3923">
        <v>0.88754743014832704</v>
      </c>
      <c r="K3923">
        <v>0.96392469545957904</v>
      </c>
      <c r="L3923">
        <v>0.92416069837482095</v>
      </c>
      <c r="M3923">
        <v>0.77076411960132896</v>
      </c>
      <c r="N3923">
        <v>1</v>
      </c>
      <c r="O3923">
        <v>0.83521594684385403</v>
      </c>
      <c r="P3923" t="s">
        <v>5470</v>
      </c>
      <c r="Q3923" t="s">
        <v>5471</v>
      </c>
      <c r="R3923" t="s">
        <v>224</v>
      </c>
      <c r="S3923" t="s">
        <v>225</v>
      </c>
      <c r="T3923" t="s">
        <v>5472</v>
      </c>
      <c r="U3923" t="s">
        <v>5473</v>
      </c>
      <c r="V3923" t="s">
        <v>5474</v>
      </c>
      <c r="W3923" t="s">
        <v>5475</v>
      </c>
      <c r="AD3923" t="s">
        <v>5476</v>
      </c>
      <c r="AE3923" t="s">
        <v>5477</v>
      </c>
      <c r="AF3923" t="s">
        <v>5481</v>
      </c>
    </row>
    <row r="3924" spans="1:32" hidden="1" x14ac:dyDescent="0.35">
      <c r="A3924">
        <v>2649</v>
      </c>
      <c r="B3924" t="s">
        <v>5469</v>
      </c>
      <c r="C3924" t="s">
        <v>72</v>
      </c>
      <c r="D3924" t="s">
        <v>58</v>
      </c>
      <c r="E3924">
        <v>1157</v>
      </c>
      <c r="F3924">
        <v>5</v>
      </c>
      <c r="G3924">
        <v>5</v>
      </c>
      <c r="H3924">
        <v>1</v>
      </c>
      <c r="I3924">
        <v>1</v>
      </c>
      <c r="J3924">
        <v>0.88754743014832704</v>
      </c>
      <c r="K3924">
        <v>0.96392469545957904</v>
      </c>
      <c r="L3924">
        <v>0.92416069837482095</v>
      </c>
      <c r="M3924">
        <v>0.77076411960132896</v>
      </c>
      <c r="N3924">
        <v>1</v>
      </c>
      <c r="O3924">
        <v>0.83521594684385403</v>
      </c>
      <c r="P3924" t="s">
        <v>5470</v>
      </c>
      <c r="Q3924" t="s">
        <v>5471</v>
      </c>
      <c r="R3924" t="s">
        <v>224</v>
      </c>
      <c r="S3924" t="s">
        <v>225</v>
      </c>
      <c r="T3924" t="s">
        <v>5472</v>
      </c>
      <c r="U3924" t="s">
        <v>5473</v>
      </c>
      <c r="V3924" t="s">
        <v>5474</v>
      </c>
      <c r="W3924" t="s">
        <v>5475</v>
      </c>
      <c r="AD3924" t="s">
        <v>5476</v>
      </c>
      <c r="AE3924" t="s">
        <v>5477</v>
      </c>
      <c r="AF3924" t="s">
        <v>5478</v>
      </c>
    </row>
    <row r="3925" spans="1:32" hidden="1" x14ac:dyDescent="0.35">
      <c r="A3925">
        <v>2670</v>
      </c>
      <c r="B3925" t="s">
        <v>5512</v>
      </c>
      <c r="C3925" t="s">
        <v>72</v>
      </c>
      <c r="D3925" t="s">
        <v>60</v>
      </c>
      <c r="E3925">
        <v>1743</v>
      </c>
      <c r="F3925">
        <v>5</v>
      </c>
      <c r="G3925">
        <v>5</v>
      </c>
      <c r="H3925">
        <v>1</v>
      </c>
      <c r="I3925">
        <v>1</v>
      </c>
      <c r="J3925">
        <v>0.87551139684395096</v>
      </c>
      <c r="K3925">
        <v>0.96648117735224304</v>
      </c>
      <c r="L3925">
        <v>0.91874994227519802</v>
      </c>
      <c r="M3925">
        <v>0.76481655691439299</v>
      </c>
      <c r="N3925">
        <v>1</v>
      </c>
      <c r="O3925">
        <v>0.82784571966133602</v>
      </c>
      <c r="P3925" t="s">
        <v>5513</v>
      </c>
      <c r="Q3925" t="s">
        <v>5514</v>
      </c>
      <c r="R3925" t="s">
        <v>224</v>
      </c>
      <c r="S3925" t="s">
        <v>225</v>
      </c>
      <c r="T3925" t="s">
        <v>5515</v>
      </c>
      <c r="U3925" t="s">
        <v>5516</v>
      </c>
      <c r="V3925" t="s">
        <v>5517</v>
      </c>
      <c r="W3925" t="s">
        <v>5518</v>
      </c>
      <c r="X3925" t="s">
        <v>5517</v>
      </c>
      <c r="Y3925" t="s">
        <v>589</v>
      </c>
      <c r="AD3925" t="s">
        <v>997</v>
      </c>
      <c r="AE3925" t="s">
        <v>5519</v>
      </c>
      <c r="AF3925" t="s">
        <v>5521</v>
      </c>
    </row>
    <row r="3926" spans="1:32" hidden="1" x14ac:dyDescent="0.35">
      <c r="A3926">
        <v>2671</v>
      </c>
      <c r="B3926" t="s">
        <v>5512</v>
      </c>
      <c r="C3926" t="s">
        <v>72</v>
      </c>
      <c r="D3926" t="s">
        <v>62</v>
      </c>
      <c r="E3926">
        <v>1779</v>
      </c>
      <c r="F3926">
        <v>5</v>
      </c>
      <c r="G3926">
        <v>5</v>
      </c>
      <c r="H3926">
        <v>1</v>
      </c>
      <c r="I3926">
        <v>1</v>
      </c>
      <c r="J3926">
        <v>0.87551139684395096</v>
      </c>
      <c r="K3926">
        <v>0.96648117735224304</v>
      </c>
      <c r="L3926">
        <v>0.91874994227519802</v>
      </c>
      <c r="M3926">
        <v>0.76481655691439299</v>
      </c>
      <c r="N3926">
        <v>1</v>
      </c>
      <c r="O3926">
        <v>0.82784571966133602</v>
      </c>
      <c r="P3926" t="s">
        <v>5513</v>
      </c>
      <c r="Q3926" t="s">
        <v>5514</v>
      </c>
      <c r="R3926" t="s">
        <v>224</v>
      </c>
      <c r="S3926" t="s">
        <v>225</v>
      </c>
      <c r="T3926" t="s">
        <v>5515</v>
      </c>
      <c r="U3926" t="s">
        <v>5516</v>
      </c>
      <c r="V3926" t="s">
        <v>5517</v>
      </c>
      <c r="W3926" t="s">
        <v>5518</v>
      </c>
      <c r="X3926" t="s">
        <v>5517</v>
      </c>
      <c r="Y3926" t="s">
        <v>589</v>
      </c>
      <c r="AD3926" t="s">
        <v>997</v>
      </c>
      <c r="AE3926" t="s">
        <v>5519</v>
      </c>
      <c r="AF3926" t="s">
        <v>5521</v>
      </c>
    </row>
    <row r="3927" spans="1:32" hidden="1" x14ac:dyDescent="0.35">
      <c r="A3927">
        <v>2672</v>
      </c>
      <c r="B3927" t="s">
        <v>5512</v>
      </c>
      <c r="C3927" t="s">
        <v>72</v>
      </c>
      <c r="D3927" t="s">
        <v>34</v>
      </c>
      <c r="E3927">
        <v>2107</v>
      </c>
      <c r="F3927">
        <v>5</v>
      </c>
      <c r="G3927">
        <v>5</v>
      </c>
      <c r="H3927">
        <v>1</v>
      </c>
      <c r="I3927">
        <v>1</v>
      </c>
      <c r="J3927">
        <v>0.87551139684395096</v>
      </c>
      <c r="K3927">
        <v>0.96648117735224304</v>
      </c>
      <c r="L3927">
        <v>0.91874994227519802</v>
      </c>
      <c r="M3927">
        <v>0.76481655691439299</v>
      </c>
      <c r="N3927">
        <v>1</v>
      </c>
      <c r="O3927">
        <v>0.82784571966133602</v>
      </c>
      <c r="P3927" t="s">
        <v>5513</v>
      </c>
      <c r="Q3927" t="s">
        <v>5514</v>
      </c>
      <c r="R3927" t="s">
        <v>224</v>
      </c>
      <c r="S3927" t="s">
        <v>225</v>
      </c>
      <c r="T3927" t="s">
        <v>5515</v>
      </c>
      <c r="U3927" t="s">
        <v>5516</v>
      </c>
      <c r="V3927" t="s">
        <v>5517</v>
      </c>
      <c r="W3927" t="s">
        <v>5518</v>
      </c>
      <c r="X3927" t="s">
        <v>5517</v>
      </c>
      <c r="Y3927" t="s">
        <v>589</v>
      </c>
      <c r="AD3927" t="s">
        <v>997</v>
      </c>
      <c r="AE3927" t="s">
        <v>5519</v>
      </c>
      <c r="AF3927" t="s">
        <v>5522</v>
      </c>
    </row>
    <row r="3928" spans="1:32" hidden="1" x14ac:dyDescent="0.35">
      <c r="A3928">
        <v>2673</v>
      </c>
      <c r="B3928" t="s">
        <v>5512</v>
      </c>
      <c r="C3928" t="s">
        <v>72</v>
      </c>
      <c r="D3928" t="s">
        <v>45</v>
      </c>
      <c r="E3928">
        <v>765</v>
      </c>
      <c r="F3928">
        <v>5</v>
      </c>
      <c r="G3928">
        <v>5</v>
      </c>
      <c r="H3928">
        <v>1</v>
      </c>
      <c r="I3928">
        <v>1</v>
      </c>
      <c r="J3928">
        <v>0.87551139684395096</v>
      </c>
      <c r="K3928">
        <v>0.96648117735224304</v>
      </c>
      <c r="L3928">
        <v>0.91874994227519802</v>
      </c>
      <c r="M3928">
        <v>0.76481655691439299</v>
      </c>
      <c r="N3928">
        <v>1</v>
      </c>
      <c r="O3928">
        <v>0.82784571966133602</v>
      </c>
      <c r="P3928" t="s">
        <v>5513</v>
      </c>
      <c r="Q3928" t="s">
        <v>5514</v>
      </c>
      <c r="R3928" t="s">
        <v>224</v>
      </c>
      <c r="S3928" t="s">
        <v>225</v>
      </c>
      <c r="T3928" t="s">
        <v>5515</v>
      </c>
      <c r="U3928" t="s">
        <v>5516</v>
      </c>
      <c r="V3928" t="s">
        <v>5517</v>
      </c>
      <c r="W3928" t="s">
        <v>5518</v>
      </c>
      <c r="X3928" t="s">
        <v>5517</v>
      </c>
      <c r="Y3928" t="s">
        <v>589</v>
      </c>
      <c r="AD3928" t="s">
        <v>997</v>
      </c>
      <c r="AE3928" t="s">
        <v>5519</v>
      </c>
      <c r="AF3928" t="s">
        <v>5523</v>
      </c>
    </row>
    <row r="3929" spans="1:32" hidden="1" x14ac:dyDescent="0.35">
      <c r="A3929">
        <v>4109</v>
      </c>
      <c r="B3929" t="s">
        <v>8504</v>
      </c>
      <c r="C3929" t="s">
        <v>72</v>
      </c>
      <c r="D3929" t="s">
        <v>58</v>
      </c>
      <c r="E3929">
        <v>281</v>
      </c>
      <c r="F3929">
        <v>5</v>
      </c>
      <c r="G3929">
        <v>5</v>
      </c>
      <c r="H3929">
        <v>1</v>
      </c>
      <c r="I3929">
        <v>1</v>
      </c>
      <c r="J3929">
        <v>0.86459593922280498</v>
      </c>
      <c r="K3929">
        <v>0.91963646303129798</v>
      </c>
      <c r="L3929">
        <v>0.89126724802618695</v>
      </c>
      <c r="M3929">
        <v>0.690036900369004</v>
      </c>
      <c r="N3929">
        <v>0.99630996309963105</v>
      </c>
      <c r="O3929">
        <v>0.79520295202951996</v>
      </c>
      <c r="P3929" t="s">
        <v>5470</v>
      </c>
      <c r="Q3929" t="s">
        <v>5471</v>
      </c>
      <c r="R3929" t="s">
        <v>224</v>
      </c>
      <c r="S3929" t="s">
        <v>225</v>
      </c>
      <c r="T3929" t="s">
        <v>5472</v>
      </c>
      <c r="U3929" t="s">
        <v>5473</v>
      </c>
      <c r="V3929" t="s">
        <v>5474</v>
      </c>
      <c r="W3929" t="s">
        <v>5475</v>
      </c>
      <c r="AD3929" t="s">
        <v>5476</v>
      </c>
      <c r="AE3929" t="s">
        <v>5477</v>
      </c>
      <c r="AF3929" t="s">
        <v>8505</v>
      </c>
    </row>
    <row r="3930" spans="1:32" hidden="1" x14ac:dyDescent="0.35">
      <c r="A3930">
        <v>2675</v>
      </c>
      <c r="B3930" t="s">
        <v>5524</v>
      </c>
      <c r="C3930" t="s">
        <v>72</v>
      </c>
      <c r="D3930" t="s">
        <v>60</v>
      </c>
      <c r="E3930">
        <v>361</v>
      </c>
      <c r="F3930">
        <v>5</v>
      </c>
      <c r="G3930">
        <v>5</v>
      </c>
      <c r="H3930">
        <v>1</v>
      </c>
      <c r="I3930">
        <v>1</v>
      </c>
      <c r="J3930">
        <v>0.86242459622494605</v>
      </c>
      <c r="K3930">
        <v>0.98454919938874397</v>
      </c>
      <c r="L3930">
        <v>0.91944936930120702</v>
      </c>
      <c r="M3930">
        <v>0.71264367816092</v>
      </c>
      <c r="N3930">
        <v>1</v>
      </c>
      <c r="O3930">
        <v>0.81206896551724095</v>
      </c>
      <c r="P3930" t="s">
        <v>5525</v>
      </c>
      <c r="Q3930" t="s">
        <v>5526</v>
      </c>
      <c r="R3930" t="s">
        <v>224</v>
      </c>
      <c r="S3930" t="s">
        <v>225</v>
      </c>
      <c r="T3930" t="s">
        <v>5527</v>
      </c>
      <c r="U3930" t="s">
        <v>5528</v>
      </c>
      <c r="V3930" t="s">
        <v>5529</v>
      </c>
      <c r="W3930" t="s">
        <v>5530</v>
      </c>
      <c r="X3930" t="s">
        <v>5529</v>
      </c>
      <c r="Y3930" t="s">
        <v>749</v>
      </c>
      <c r="AD3930" t="s">
        <v>762</v>
      </c>
      <c r="AE3930" t="s">
        <v>1545</v>
      </c>
      <c r="AF3930" t="s">
        <v>5532</v>
      </c>
    </row>
    <row r="3931" spans="1:32" hidden="1" x14ac:dyDescent="0.35">
      <c r="A3931">
        <v>2676</v>
      </c>
      <c r="B3931" t="s">
        <v>5524</v>
      </c>
      <c r="C3931" t="s">
        <v>72</v>
      </c>
      <c r="D3931" t="s">
        <v>62</v>
      </c>
      <c r="E3931">
        <v>441</v>
      </c>
      <c r="F3931">
        <v>5</v>
      </c>
      <c r="G3931">
        <v>5</v>
      </c>
      <c r="H3931">
        <v>1</v>
      </c>
      <c r="I3931">
        <v>1</v>
      </c>
      <c r="J3931">
        <v>0.86242459622494605</v>
      </c>
      <c r="K3931">
        <v>0.98454919938874397</v>
      </c>
      <c r="L3931">
        <v>0.91944936930120702</v>
      </c>
      <c r="M3931">
        <v>0.71264367816092</v>
      </c>
      <c r="N3931">
        <v>1</v>
      </c>
      <c r="O3931">
        <v>0.81206896551724095</v>
      </c>
      <c r="P3931" t="s">
        <v>5525</v>
      </c>
      <c r="Q3931" t="s">
        <v>5526</v>
      </c>
      <c r="R3931" t="s">
        <v>224</v>
      </c>
      <c r="S3931" t="s">
        <v>225</v>
      </c>
      <c r="T3931" t="s">
        <v>5527</v>
      </c>
      <c r="U3931" t="s">
        <v>5528</v>
      </c>
      <c r="V3931" t="s">
        <v>5529</v>
      </c>
      <c r="W3931" t="s">
        <v>5530</v>
      </c>
      <c r="X3931" t="s">
        <v>5529</v>
      </c>
      <c r="Y3931" t="s">
        <v>749</v>
      </c>
      <c r="AD3931" t="s">
        <v>762</v>
      </c>
      <c r="AE3931" t="s">
        <v>1545</v>
      </c>
      <c r="AF3931" t="s">
        <v>5532</v>
      </c>
    </row>
    <row r="3932" spans="1:32" hidden="1" x14ac:dyDescent="0.35">
      <c r="A3932">
        <v>2677</v>
      </c>
      <c r="B3932" t="s">
        <v>5524</v>
      </c>
      <c r="C3932" t="s">
        <v>72</v>
      </c>
      <c r="D3932" t="s">
        <v>34</v>
      </c>
      <c r="E3932">
        <v>808</v>
      </c>
      <c r="F3932">
        <v>5</v>
      </c>
      <c r="G3932">
        <v>5</v>
      </c>
      <c r="H3932">
        <v>1</v>
      </c>
      <c r="I3932">
        <v>1</v>
      </c>
      <c r="J3932">
        <v>0.86242459622494605</v>
      </c>
      <c r="K3932">
        <v>0.98454919938874397</v>
      </c>
      <c r="L3932">
        <v>0.91944936930120702</v>
      </c>
      <c r="M3932">
        <v>0.71264367816092</v>
      </c>
      <c r="N3932">
        <v>1</v>
      </c>
      <c r="O3932">
        <v>0.81206896551724095</v>
      </c>
      <c r="P3932" t="s">
        <v>5525</v>
      </c>
      <c r="Q3932" t="s">
        <v>5526</v>
      </c>
      <c r="R3932" t="s">
        <v>224</v>
      </c>
      <c r="S3932" t="s">
        <v>225</v>
      </c>
      <c r="T3932" t="s">
        <v>5527</v>
      </c>
      <c r="U3932" t="s">
        <v>5528</v>
      </c>
      <c r="V3932" t="s">
        <v>5529</v>
      </c>
      <c r="W3932" t="s">
        <v>5530</v>
      </c>
      <c r="X3932" t="s">
        <v>5529</v>
      </c>
      <c r="Y3932" t="s">
        <v>749</v>
      </c>
      <c r="AD3932" t="s">
        <v>762</v>
      </c>
      <c r="AE3932" t="s">
        <v>1545</v>
      </c>
      <c r="AF3932" t="s">
        <v>5533</v>
      </c>
    </row>
    <row r="3933" spans="1:32" hidden="1" x14ac:dyDescent="0.35">
      <c r="A3933">
        <v>2678</v>
      </c>
      <c r="B3933" t="s">
        <v>5524</v>
      </c>
      <c r="C3933" t="s">
        <v>72</v>
      </c>
      <c r="D3933" t="s">
        <v>45</v>
      </c>
      <c r="E3933">
        <v>2064</v>
      </c>
      <c r="F3933">
        <v>5</v>
      </c>
      <c r="G3933">
        <v>5</v>
      </c>
      <c r="H3933">
        <v>1</v>
      </c>
      <c r="I3933">
        <v>1</v>
      </c>
      <c r="J3933">
        <v>0.86242459622494605</v>
      </c>
      <c r="K3933">
        <v>0.98454919938874397</v>
      </c>
      <c r="L3933">
        <v>0.91944936930120702</v>
      </c>
      <c r="M3933">
        <v>0.71264367816092</v>
      </c>
      <c r="N3933">
        <v>1</v>
      </c>
      <c r="O3933">
        <v>0.81206896551724095</v>
      </c>
      <c r="P3933" t="s">
        <v>5525</v>
      </c>
      <c r="Q3933" t="s">
        <v>5526</v>
      </c>
      <c r="R3933" t="s">
        <v>224</v>
      </c>
      <c r="S3933" t="s">
        <v>225</v>
      </c>
      <c r="T3933" t="s">
        <v>5527</v>
      </c>
      <c r="U3933" t="s">
        <v>5528</v>
      </c>
      <c r="V3933" t="s">
        <v>5529</v>
      </c>
      <c r="W3933" t="s">
        <v>5530</v>
      </c>
      <c r="X3933" t="s">
        <v>5529</v>
      </c>
      <c r="Y3933" t="s">
        <v>749</v>
      </c>
      <c r="AD3933" t="s">
        <v>762</v>
      </c>
      <c r="AE3933" t="s">
        <v>1545</v>
      </c>
      <c r="AF3933" t="s">
        <v>5534</v>
      </c>
    </row>
    <row r="3934" spans="1:32" hidden="1" x14ac:dyDescent="0.35">
      <c r="A3934">
        <v>11254</v>
      </c>
      <c r="B3934" t="s">
        <v>22886</v>
      </c>
      <c r="C3934" t="s">
        <v>33</v>
      </c>
      <c r="D3934" t="s">
        <v>58</v>
      </c>
      <c r="E3934">
        <v>760</v>
      </c>
      <c r="F3934">
        <v>1</v>
      </c>
      <c r="G3934">
        <v>1</v>
      </c>
      <c r="H3934">
        <v>1</v>
      </c>
      <c r="I3934">
        <v>0</v>
      </c>
      <c r="J3934">
        <v>1</v>
      </c>
      <c r="K3934">
        <v>1</v>
      </c>
      <c r="L3934">
        <v>1</v>
      </c>
      <c r="M3934">
        <v>0</v>
      </c>
      <c r="N3934">
        <v>0</v>
      </c>
      <c r="O3934">
        <v>0</v>
      </c>
      <c r="R3934" t="s">
        <v>235</v>
      </c>
      <c r="S3934" t="s">
        <v>236</v>
      </c>
      <c r="V3934" t="s">
        <v>14675</v>
      </c>
      <c r="W3934" t="s">
        <v>14676</v>
      </c>
      <c r="X3934" t="s">
        <v>14675</v>
      </c>
      <c r="Y3934" t="s">
        <v>2431</v>
      </c>
      <c r="AF3934" t="s">
        <v>22887</v>
      </c>
    </row>
    <row r="3935" spans="1:32" hidden="1" x14ac:dyDescent="0.35">
      <c r="A3935">
        <v>2680</v>
      </c>
      <c r="B3935" t="s">
        <v>5535</v>
      </c>
      <c r="C3935" t="s">
        <v>72</v>
      </c>
      <c r="D3935" t="s">
        <v>60</v>
      </c>
      <c r="E3935">
        <v>415</v>
      </c>
      <c r="F3935">
        <v>5</v>
      </c>
      <c r="G3935">
        <v>5</v>
      </c>
      <c r="H3935">
        <v>1</v>
      </c>
      <c r="I3935">
        <v>1</v>
      </c>
      <c r="J3935">
        <v>0.94492131616595099</v>
      </c>
      <c r="K3935">
        <v>0.99151211741950296</v>
      </c>
      <c r="L3935">
        <v>0.967656226893152</v>
      </c>
      <c r="M3935">
        <v>0.88829787234042601</v>
      </c>
      <c r="N3935">
        <v>1</v>
      </c>
      <c r="O3935">
        <v>0.91702127659574495</v>
      </c>
      <c r="P3935" t="s">
        <v>5536</v>
      </c>
      <c r="Q3935" t="s">
        <v>5537</v>
      </c>
      <c r="R3935" t="s">
        <v>224</v>
      </c>
      <c r="S3935" t="s">
        <v>225</v>
      </c>
      <c r="T3935" t="s">
        <v>5538</v>
      </c>
      <c r="U3935" t="s">
        <v>5539</v>
      </c>
      <c r="V3935" t="s">
        <v>5540</v>
      </c>
      <c r="W3935" t="s">
        <v>5541</v>
      </c>
      <c r="X3935" t="s">
        <v>5540</v>
      </c>
      <c r="Y3935" t="s">
        <v>749</v>
      </c>
      <c r="AD3935" t="s">
        <v>762</v>
      </c>
      <c r="AE3935" t="s">
        <v>1545</v>
      </c>
      <c r="AF3935" t="s">
        <v>5543</v>
      </c>
    </row>
    <row r="3936" spans="1:32" hidden="1" x14ac:dyDescent="0.35">
      <c r="A3936">
        <v>2681</v>
      </c>
      <c r="B3936" t="s">
        <v>5535</v>
      </c>
      <c r="C3936" t="s">
        <v>72</v>
      </c>
      <c r="D3936" t="s">
        <v>62</v>
      </c>
      <c r="E3936">
        <v>496</v>
      </c>
      <c r="F3936">
        <v>5</v>
      </c>
      <c r="G3936">
        <v>5</v>
      </c>
      <c r="H3936">
        <v>1</v>
      </c>
      <c r="I3936">
        <v>1</v>
      </c>
      <c r="J3936">
        <v>0.94492131616595099</v>
      </c>
      <c r="K3936">
        <v>0.99151211741950296</v>
      </c>
      <c r="L3936">
        <v>0.967656226893152</v>
      </c>
      <c r="M3936">
        <v>0.88829787234042601</v>
      </c>
      <c r="N3936">
        <v>1</v>
      </c>
      <c r="O3936">
        <v>0.91702127659574495</v>
      </c>
      <c r="P3936" t="s">
        <v>5536</v>
      </c>
      <c r="Q3936" t="s">
        <v>5537</v>
      </c>
      <c r="R3936" t="s">
        <v>224</v>
      </c>
      <c r="S3936" t="s">
        <v>225</v>
      </c>
      <c r="T3936" t="s">
        <v>5538</v>
      </c>
      <c r="U3936" t="s">
        <v>5539</v>
      </c>
      <c r="V3936" t="s">
        <v>5540</v>
      </c>
      <c r="W3936" t="s">
        <v>5541</v>
      </c>
      <c r="X3936" t="s">
        <v>5540</v>
      </c>
      <c r="Y3936" t="s">
        <v>749</v>
      </c>
      <c r="AD3936" t="s">
        <v>762</v>
      </c>
      <c r="AE3936" t="s">
        <v>1545</v>
      </c>
      <c r="AF3936" t="s">
        <v>5543</v>
      </c>
    </row>
    <row r="3937" spans="1:32" hidden="1" x14ac:dyDescent="0.35">
      <c r="A3937">
        <v>2682</v>
      </c>
      <c r="B3937" t="s">
        <v>5535</v>
      </c>
      <c r="C3937" t="s">
        <v>72</v>
      </c>
      <c r="D3937" t="s">
        <v>34</v>
      </c>
      <c r="E3937">
        <v>691</v>
      </c>
      <c r="F3937">
        <v>5</v>
      </c>
      <c r="G3937">
        <v>5</v>
      </c>
      <c r="H3937">
        <v>1</v>
      </c>
      <c r="I3937">
        <v>1</v>
      </c>
      <c r="J3937">
        <v>0.94492131616595099</v>
      </c>
      <c r="K3937">
        <v>0.99151211741950296</v>
      </c>
      <c r="L3937">
        <v>0.967656226893152</v>
      </c>
      <c r="M3937">
        <v>0.88829787234042601</v>
      </c>
      <c r="N3937">
        <v>1</v>
      </c>
      <c r="O3937">
        <v>0.91702127659574495</v>
      </c>
      <c r="P3937" t="s">
        <v>5536</v>
      </c>
      <c r="Q3937" t="s">
        <v>5537</v>
      </c>
      <c r="R3937" t="s">
        <v>224</v>
      </c>
      <c r="S3937" t="s">
        <v>225</v>
      </c>
      <c r="T3937" t="s">
        <v>5538</v>
      </c>
      <c r="U3937" t="s">
        <v>5539</v>
      </c>
      <c r="V3937" t="s">
        <v>5540</v>
      </c>
      <c r="W3937" t="s">
        <v>5541</v>
      </c>
      <c r="X3937" t="s">
        <v>5540</v>
      </c>
      <c r="Y3937" t="s">
        <v>749</v>
      </c>
      <c r="AD3937" t="s">
        <v>762</v>
      </c>
      <c r="AE3937" t="s">
        <v>1545</v>
      </c>
      <c r="AF3937" t="s">
        <v>5544</v>
      </c>
    </row>
    <row r="3938" spans="1:32" hidden="1" x14ac:dyDescent="0.35">
      <c r="A3938">
        <v>2683</v>
      </c>
      <c r="B3938" t="s">
        <v>5535</v>
      </c>
      <c r="C3938" t="s">
        <v>72</v>
      </c>
      <c r="D3938" t="s">
        <v>45</v>
      </c>
      <c r="E3938">
        <v>1957</v>
      </c>
      <c r="F3938">
        <v>5</v>
      </c>
      <c r="G3938">
        <v>5</v>
      </c>
      <c r="H3938">
        <v>1</v>
      </c>
      <c r="I3938">
        <v>1</v>
      </c>
      <c r="J3938">
        <v>0.94492131616595099</v>
      </c>
      <c r="K3938">
        <v>0.99151211741950296</v>
      </c>
      <c r="L3938">
        <v>0.967656226893152</v>
      </c>
      <c r="M3938">
        <v>0.88829787234042601</v>
      </c>
      <c r="N3938">
        <v>1</v>
      </c>
      <c r="O3938">
        <v>0.91702127659574495</v>
      </c>
      <c r="P3938" t="s">
        <v>5536</v>
      </c>
      <c r="Q3938" t="s">
        <v>5537</v>
      </c>
      <c r="R3938" t="s">
        <v>224</v>
      </c>
      <c r="S3938" t="s">
        <v>225</v>
      </c>
      <c r="T3938" t="s">
        <v>5538</v>
      </c>
      <c r="U3938" t="s">
        <v>5539</v>
      </c>
      <c r="V3938" t="s">
        <v>5540</v>
      </c>
      <c r="W3938" t="s">
        <v>5541</v>
      </c>
      <c r="X3938" t="s">
        <v>5540</v>
      </c>
      <c r="Y3938" t="s">
        <v>749</v>
      </c>
      <c r="AD3938" t="s">
        <v>762</v>
      </c>
      <c r="AE3938" t="s">
        <v>1545</v>
      </c>
      <c r="AF3938" t="s">
        <v>5545</v>
      </c>
    </row>
    <row r="3939" spans="1:32" hidden="1" x14ac:dyDescent="0.35">
      <c r="A3939">
        <v>4159</v>
      </c>
      <c r="B3939" t="s">
        <v>8609</v>
      </c>
      <c r="C3939" t="s">
        <v>72</v>
      </c>
      <c r="D3939" t="s">
        <v>58</v>
      </c>
      <c r="E3939">
        <v>1003</v>
      </c>
      <c r="F3939">
        <v>5</v>
      </c>
      <c r="G3939">
        <v>5</v>
      </c>
      <c r="H3939">
        <v>1</v>
      </c>
      <c r="I3939">
        <v>1</v>
      </c>
      <c r="J3939">
        <v>0.75611869179120605</v>
      </c>
      <c r="K3939">
        <v>0.97447257383966301</v>
      </c>
      <c r="L3939">
        <v>0.85152045124815401</v>
      </c>
      <c r="M3939">
        <v>0.572784810126582</v>
      </c>
      <c r="N3939">
        <v>0.987341772151899</v>
      </c>
      <c r="O3939">
        <v>0.66582278481012702</v>
      </c>
      <c r="P3939" t="s">
        <v>7416</v>
      </c>
      <c r="Q3939" t="s">
        <v>7417</v>
      </c>
      <c r="R3939" t="s">
        <v>224</v>
      </c>
      <c r="S3939" t="s">
        <v>225</v>
      </c>
      <c r="T3939" t="s">
        <v>8610</v>
      </c>
      <c r="U3939" t="s">
        <v>8611</v>
      </c>
      <c r="V3939" t="s">
        <v>8612</v>
      </c>
      <c r="W3939" t="s">
        <v>8613</v>
      </c>
      <c r="AD3939" t="s">
        <v>219</v>
      </c>
      <c r="AE3939" t="s">
        <v>8614</v>
      </c>
      <c r="AF3939" t="s">
        <v>8615</v>
      </c>
    </row>
    <row r="3940" spans="1:32" hidden="1" x14ac:dyDescent="0.35">
      <c r="A3940">
        <v>2715</v>
      </c>
      <c r="B3940" t="s">
        <v>5607</v>
      </c>
      <c r="C3940" t="s">
        <v>72</v>
      </c>
      <c r="D3940" t="s">
        <v>60</v>
      </c>
      <c r="E3940">
        <v>1894</v>
      </c>
      <c r="F3940">
        <v>5</v>
      </c>
      <c r="G3940">
        <v>5</v>
      </c>
      <c r="H3940">
        <v>1</v>
      </c>
      <c r="I3940">
        <v>1</v>
      </c>
      <c r="J3940">
        <v>0.87829636985545601</v>
      </c>
      <c r="K3940">
        <v>0.990556514236411</v>
      </c>
      <c r="L3940">
        <v>0.93105476412422405</v>
      </c>
      <c r="M3940">
        <v>0.71803278688524597</v>
      </c>
      <c r="N3940">
        <v>1</v>
      </c>
      <c r="O3940">
        <v>0.80688524590163901</v>
      </c>
      <c r="P3940" t="s">
        <v>222</v>
      </c>
      <c r="Q3940" t="s">
        <v>223</v>
      </c>
      <c r="R3940" t="s">
        <v>224</v>
      </c>
      <c r="S3940" t="s">
        <v>225</v>
      </c>
      <c r="T3940" t="s">
        <v>5608</v>
      </c>
      <c r="U3940" t="s">
        <v>207</v>
      </c>
      <c r="V3940" t="s">
        <v>5609</v>
      </c>
      <c r="W3940" t="s">
        <v>5610</v>
      </c>
      <c r="AD3940" t="s">
        <v>5611</v>
      </c>
      <c r="AE3940" t="s">
        <v>5612</v>
      </c>
      <c r="AF3940" t="s">
        <v>5613</v>
      </c>
    </row>
    <row r="3941" spans="1:32" hidden="1" x14ac:dyDescent="0.35">
      <c r="A3941">
        <v>2716</v>
      </c>
      <c r="B3941" t="s">
        <v>5607</v>
      </c>
      <c r="C3941" t="s">
        <v>72</v>
      </c>
      <c r="D3941" t="s">
        <v>62</v>
      </c>
      <c r="E3941">
        <v>1934</v>
      </c>
      <c r="F3941">
        <v>5</v>
      </c>
      <c r="G3941">
        <v>5</v>
      </c>
      <c r="H3941">
        <v>1</v>
      </c>
      <c r="I3941">
        <v>1</v>
      </c>
      <c r="J3941">
        <v>0.87829636985545601</v>
      </c>
      <c r="K3941">
        <v>0.990556514236411</v>
      </c>
      <c r="L3941">
        <v>0.93105476412422405</v>
      </c>
      <c r="M3941">
        <v>0.71803278688524597</v>
      </c>
      <c r="N3941">
        <v>1</v>
      </c>
      <c r="O3941">
        <v>0.80688524590163901</v>
      </c>
      <c r="P3941" t="s">
        <v>222</v>
      </c>
      <c r="Q3941" t="s">
        <v>223</v>
      </c>
      <c r="R3941" t="s">
        <v>224</v>
      </c>
      <c r="S3941" t="s">
        <v>225</v>
      </c>
      <c r="T3941" t="s">
        <v>5608</v>
      </c>
      <c r="U3941" t="s">
        <v>207</v>
      </c>
      <c r="V3941" t="s">
        <v>5609</v>
      </c>
      <c r="W3941" t="s">
        <v>5610</v>
      </c>
      <c r="AD3941" t="s">
        <v>5611</v>
      </c>
      <c r="AE3941" t="s">
        <v>5612</v>
      </c>
      <c r="AF3941" t="s">
        <v>5614</v>
      </c>
    </row>
    <row r="3942" spans="1:32" hidden="1" x14ac:dyDescent="0.35">
      <c r="A3942">
        <v>2717</v>
      </c>
      <c r="B3942" t="s">
        <v>5607</v>
      </c>
      <c r="C3942" t="s">
        <v>72</v>
      </c>
      <c r="D3942" t="s">
        <v>34</v>
      </c>
      <c r="E3942">
        <v>2245</v>
      </c>
      <c r="F3942">
        <v>5</v>
      </c>
      <c r="G3942">
        <v>5</v>
      </c>
      <c r="H3942">
        <v>1</v>
      </c>
      <c r="I3942">
        <v>1</v>
      </c>
      <c r="J3942">
        <v>0.87829636985545601</v>
      </c>
      <c r="K3942">
        <v>0.990556514236411</v>
      </c>
      <c r="L3942">
        <v>0.93105476412422405</v>
      </c>
      <c r="M3942">
        <v>0.71803278688524597</v>
      </c>
      <c r="N3942">
        <v>1</v>
      </c>
      <c r="O3942">
        <v>0.80688524590163901</v>
      </c>
      <c r="P3942" t="s">
        <v>222</v>
      </c>
      <c r="Q3942" t="s">
        <v>223</v>
      </c>
      <c r="R3942" t="s">
        <v>224</v>
      </c>
      <c r="S3942" t="s">
        <v>225</v>
      </c>
      <c r="T3942" t="s">
        <v>5608</v>
      </c>
      <c r="U3942" t="s">
        <v>207</v>
      </c>
      <c r="V3942" t="s">
        <v>5609</v>
      </c>
      <c r="W3942" t="s">
        <v>5610</v>
      </c>
      <c r="AD3942" t="s">
        <v>5611</v>
      </c>
      <c r="AE3942" t="s">
        <v>5612</v>
      </c>
      <c r="AF3942" t="s">
        <v>5615</v>
      </c>
    </row>
    <row r="3943" spans="1:32" hidden="1" x14ac:dyDescent="0.35">
      <c r="A3943">
        <v>2718</v>
      </c>
      <c r="B3943" t="s">
        <v>5607</v>
      </c>
      <c r="C3943" t="s">
        <v>72</v>
      </c>
      <c r="D3943" t="s">
        <v>45</v>
      </c>
      <c r="E3943">
        <v>632</v>
      </c>
      <c r="F3943">
        <v>5</v>
      </c>
      <c r="G3943">
        <v>5</v>
      </c>
      <c r="H3943">
        <v>1</v>
      </c>
      <c r="I3943">
        <v>1</v>
      </c>
      <c r="J3943">
        <v>0.87829636985545601</v>
      </c>
      <c r="K3943">
        <v>0.990556514236411</v>
      </c>
      <c r="L3943">
        <v>0.93105476412422405</v>
      </c>
      <c r="M3943">
        <v>0.71803278688524597</v>
      </c>
      <c r="N3943">
        <v>1</v>
      </c>
      <c r="O3943">
        <v>0.80688524590163901</v>
      </c>
      <c r="P3943" t="s">
        <v>222</v>
      </c>
      <c r="Q3943" t="s">
        <v>223</v>
      </c>
      <c r="R3943" t="s">
        <v>224</v>
      </c>
      <c r="S3943" t="s">
        <v>225</v>
      </c>
      <c r="T3943" t="s">
        <v>5608</v>
      </c>
      <c r="U3943" t="s">
        <v>207</v>
      </c>
      <c r="V3943" t="s">
        <v>5609</v>
      </c>
      <c r="W3943" t="s">
        <v>5610</v>
      </c>
      <c r="AD3943" t="s">
        <v>5611</v>
      </c>
      <c r="AE3943" t="s">
        <v>5612</v>
      </c>
      <c r="AF3943" t="s">
        <v>5615</v>
      </c>
    </row>
    <row r="3944" spans="1:32" hidden="1" x14ac:dyDescent="0.35">
      <c r="A3944">
        <v>4754</v>
      </c>
      <c r="B3944" t="s">
        <v>9961</v>
      </c>
      <c r="C3944" t="s">
        <v>10127</v>
      </c>
      <c r="D3944" t="s">
        <v>58</v>
      </c>
      <c r="E3944">
        <v>566</v>
      </c>
      <c r="F3944">
        <v>5</v>
      </c>
      <c r="G3944">
        <v>5</v>
      </c>
      <c r="H3944">
        <v>1</v>
      </c>
      <c r="I3944">
        <v>1</v>
      </c>
      <c r="J3944">
        <v>0.88756267713102199</v>
      </c>
      <c r="K3944">
        <v>0.965477098190481</v>
      </c>
      <c r="L3944">
        <v>0.92488186102746595</v>
      </c>
      <c r="M3944">
        <v>0.78233438485804396</v>
      </c>
      <c r="N3944">
        <v>0.99526813880126197</v>
      </c>
      <c r="O3944">
        <v>0.83895899053627798</v>
      </c>
      <c r="P3944" t="s">
        <v>9962</v>
      </c>
      <c r="Q3944" t="s">
        <v>9963</v>
      </c>
      <c r="R3944" t="s">
        <v>224</v>
      </c>
      <c r="S3944" t="s">
        <v>225</v>
      </c>
      <c r="T3944" t="s">
        <v>9964</v>
      </c>
      <c r="U3944" t="s">
        <v>9965</v>
      </c>
      <c r="V3944" t="s">
        <v>9966</v>
      </c>
      <c r="W3944" t="s">
        <v>9967</v>
      </c>
      <c r="X3944" t="s">
        <v>9966</v>
      </c>
      <c r="Y3944" t="s">
        <v>589</v>
      </c>
      <c r="AD3944" t="s">
        <v>9968</v>
      </c>
      <c r="AE3944" t="s">
        <v>9969</v>
      </c>
      <c r="AF3944" t="s">
        <v>9970</v>
      </c>
    </row>
    <row r="3945" spans="1:32" hidden="1" x14ac:dyDescent="0.35">
      <c r="A3945">
        <v>2720</v>
      </c>
      <c r="B3945" t="s">
        <v>5616</v>
      </c>
      <c r="C3945" t="s">
        <v>72</v>
      </c>
      <c r="D3945" t="s">
        <v>60</v>
      </c>
      <c r="E3945">
        <v>764</v>
      </c>
      <c r="F3945">
        <v>5</v>
      </c>
      <c r="G3945">
        <v>5</v>
      </c>
      <c r="H3945">
        <v>1</v>
      </c>
      <c r="I3945">
        <v>1</v>
      </c>
      <c r="J3945">
        <v>0.94983498349835005</v>
      </c>
      <c r="K3945">
        <v>1</v>
      </c>
      <c r="L3945">
        <v>0.97427217332430605</v>
      </c>
      <c r="M3945">
        <v>0.90099009900990101</v>
      </c>
      <c r="N3945">
        <v>1</v>
      </c>
      <c r="O3945">
        <v>0.92871287128712898</v>
      </c>
      <c r="P3945" t="s">
        <v>5617</v>
      </c>
      <c r="Q3945" t="s">
        <v>5618</v>
      </c>
      <c r="R3945" t="s">
        <v>224</v>
      </c>
      <c r="S3945" t="s">
        <v>225</v>
      </c>
      <c r="T3945" t="s">
        <v>5619</v>
      </c>
      <c r="U3945" t="s">
        <v>5620</v>
      </c>
      <c r="V3945" t="s">
        <v>5621</v>
      </c>
      <c r="W3945" t="s">
        <v>5622</v>
      </c>
      <c r="X3945" t="s">
        <v>5621</v>
      </c>
      <c r="Y3945" t="s">
        <v>761</v>
      </c>
      <c r="AD3945" t="s">
        <v>762</v>
      </c>
      <c r="AE3945" t="s">
        <v>763</v>
      </c>
      <c r="AF3945" t="s">
        <v>5624</v>
      </c>
    </row>
    <row r="3946" spans="1:32" hidden="1" x14ac:dyDescent="0.35">
      <c r="A3946">
        <v>2721</v>
      </c>
      <c r="B3946" t="s">
        <v>5616</v>
      </c>
      <c r="C3946" t="s">
        <v>72</v>
      </c>
      <c r="D3946" t="s">
        <v>62</v>
      </c>
      <c r="E3946">
        <v>797</v>
      </c>
      <c r="F3946">
        <v>5</v>
      </c>
      <c r="G3946">
        <v>5</v>
      </c>
      <c r="H3946">
        <v>1</v>
      </c>
      <c r="I3946">
        <v>1</v>
      </c>
      <c r="J3946">
        <v>0.94983498349835005</v>
      </c>
      <c r="K3946">
        <v>1</v>
      </c>
      <c r="L3946">
        <v>0.97427217332430605</v>
      </c>
      <c r="M3946">
        <v>0.90099009900990101</v>
      </c>
      <c r="N3946">
        <v>1</v>
      </c>
      <c r="O3946">
        <v>0.92871287128712898</v>
      </c>
      <c r="P3946" t="s">
        <v>5617</v>
      </c>
      <c r="Q3946" t="s">
        <v>5618</v>
      </c>
      <c r="R3946" t="s">
        <v>224</v>
      </c>
      <c r="S3946" t="s">
        <v>225</v>
      </c>
      <c r="T3946" t="s">
        <v>5619</v>
      </c>
      <c r="U3946" t="s">
        <v>5620</v>
      </c>
      <c r="V3946" t="s">
        <v>5621</v>
      </c>
      <c r="W3946" t="s">
        <v>5622</v>
      </c>
      <c r="X3946" t="s">
        <v>5621</v>
      </c>
      <c r="Y3946" t="s">
        <v>761</v>
      </c>
      <c r="AD3946" t="s">
        <v>762</v>
      </c>
      <c r="AE3946" t="s">
        <v>763</v>
      </c>
      <c r="AF3946" t="s">
        <v>5624</v>
      </c>
    </row>
    <row r="3947" spans="1:32" hidden="1" x14ac:dyDescent="0.35">
      <c r="A3947">
        <v>2722</v>
      </c>
      <c r="B3947" t="s">
        <v>5616</v>
      </c>
      <c r="C3947" t="s">
        <v>72</v>
      </c>
      <c r="D3947" t="s">
        <v>34</v>
      </c>
      <c r="E3947">
        <v>369</v>
      </c>
      <c r="F3947">
        <v>5</v>
      </c>
      <c r="G3947">
        <v>5</v>
      </c>
      <c r="H3947">
        <v>1</v>
      </c>
      <c r="I3947">
        <v>1</v>
      </c>
      <c r="J3947">
        <v>0.94983498349835005</v>
      </c>
      <c r="K3947">
        <v>1</v>
      </c>
      <c r="L3947">
        <v>0.97427217332430605</v>
      </c>
      <c r="M3947">
        <v>0.90099009900990101</v>
      </c>
      <c r="N3947">
        <v>1</v>
      </c>
      <c r="O3947">
        <v>0.92871287128712898</v>
      </c>
      <c r="P3947" t="s">
        <v>5617</v>
      </c>
      <c r="Q3947" t="s">
        <v>5618</v>
      </c>
      <c r="R3947" t="s">
        <v>224</v>
      </c>
      <c r="S3947" t="s">
        <v>225</v>
      </c>
      <c r="T3947" t="s">
        <v>5619</v>
      </c>
      <c r="U3947" t="s">
        <v>5620</v>
      </c>
      <c r="V3947" t="s">
        <v>5621</v>
      </c>
      <c r="W3947" t="s">
        <v>5622</v>
      </c>
      <c r="X3947" t="s">
        <v>5621</v>
      </c>
      <c r="Y3947" t="s">
        <v>761</v>
      </c>
      <c r="AD3947" t="s">
        <v>762</v>
      </c>
      <c r="AE3947" t="s">
        <v>763</v>
      </c>
      <c r="AF3947" t="s">
        <v>5625</v>
      </c>
    </row>
    <row r="3948" spans="1:32" hidden="1" x14ac:dyDescent="0.35">
      <c r="A3948">
        <v>2723</v>
      </c>
      <c r="B3948" t="s">
        <v>5616</v>
      </c>
      <c r="C3948" t="s">
        <v>72</v>
      </c>
      <c r="D3948" t="s">
        <v>45</v>
      </c>
      <c r="E3948">
        <v>1631</v>
      </c>
      <c r="F3948">
        <v>5</v>
      </c>
      <c r="G3948">
        <v>5</v>
      </c>
      <c r="H3948">
        <v>1</v>
      </c>
      <c r="I3948">
        <v>1</v>
      </c>
      <c r="J3948">
        <v>0.94983498349835005</v>
      </c>
      <c r="K3948">
        <v>1</v>
      </c>
      <c r="L3948">
        <v>0.97427217332430605</v>
      </c>
      <c r="M3948">
        <v>0.90099009900990101</v>
      </c>
      <c r="N3948">
        <v>1</v>
      </c>
      <c r="O3948">
        <v>0.92871287128712898</v>
      </c>
      <c r="P3948" t="s">
        <v>5617</v>
      </c>
      <c r="Q3948" t="s">
        <v>5618</v>
      </c>
      <c r="R3948" t="s">
        <v>224</v>
      </c>
      <c r="S3948" t="s">
        <v>225</v>
      </c>
      <c r="T3948" t="s">
        <v>5619</v>
      </c>
      <c r="U3948" t="s">
        <v>5620</v>
      </c>
      <c r="V3948" t="s">
        <v>5621</v>
      </c>
      <c r="W3948" t="s">
        <v>5622</v>
      </c>
      <c r="X3948" t="s">
        <v>5621</v>
      </c>
      <c r="Y3948" t="s">
        <v>761</v>
      </c>
      <c r="AD3948" t="s">
        <v>762</v>
      </c>
      <c r="AE3948" t="s">
        <v>763</v>
      </c>
      <c r="AF3948" t="s">
        <v>5625</v>
      </c>
    </row>
    <row r="3949" spans="1:32" hidden="1" x14ac:dyDescent="0.35">
      <c r="A3949">
        <v>11781</v>
      </c>
      <c r="B3949" t="s">
        <v>24206</v>
      </c>
      <c r="C3949" t="s">
        <v>33</v>
      </c>
      <c r="D3949" t="s">
        <v>58</v>
      </c>
      <c r="E3949">
        <v>1252</v>
      </c>
      <c r="F3949">
        <v>1</v>
      </c>
      <c r="G3949">
        <v>1</v>
      </c>
      <c r="H3949">
        <v>1</v>
      </c>
      <c r="I3949">
        <v>0</v>
      </c>
      <c r="J3949">
        <v>1</v>
      </c>
      <c r="K3949">
        <v>1</v>
      </c>
      <c r="L3949">
        <v>1</v>
      </c>
      <c r="M3949">
        <v>0</v>
      </c>
      <c r="N3949">
        <v>0</v>
      </c>
      <c r="O3949">
        <v>0</v>
      </c>
      <c r="P3949" t="s">
        <v>14160</v>
      </c>
      <c r="Q3949" t="s">
        <v>14161</v>
      </c>
      <c r="R3949" t="s">
        <v>224</v>
      </c>
      <c r="S3949" t="s">
        <v>225</v>
      </c>
      <c r="T3949" t="s">
        <v>14162</v>
      </c>
      <c r="U3949" t="s">
        <v>14163</v>
      </c>
      <c r="V3949" t="s">
        <v>14164</v>
      </c>
      <c r="W3949" t="s">
        <v>14165</v>
      </c>
      <c r="AD3949" t="s">
        <v>12828</v>
      </c>
      <c r="AE3949" t="s">
        <v>14166</v>
      </c>
      <c r="AF3949" t="s">
        <v>24207</v>
      </c>
    </row>
    <row r="3950" spans="1:32" hidden="1" x14ac:dyDescent="0.35">
      <c r="A3950">
        <v>2785</v>
      </c>
      <c r="B3950" t="s">
        <v>5758</v>
      </c>
      <c r="C3950" t="s">
        <v>72</v>
      </c>
      <c r="D3950" t="s">
        <v>60</v>
      </c>
      <c r="E3950">
        <v>1153</v>
      </c>
      <c r="F3950">
        <v>5</v>
      </c>
      <c r="G3950">
        <v>5</v>
      </c>
      <c r="H3950">
        <v>1</v>
      </c>
      <c r="I3950">
        <v>1</v>
      </c>
      <c r="J3950">
        <v>0.95630630630630598</v>
      </c>
      <c r="K3950">
        <v>0.844444444444445</v>
      </c>
      <c r="L3950">
        <v>0.89690097001028402</v>
      </c>
      <c r="M3950">
        <v>0.72777777777777797</v>
      </c>
      <c r="N3950">
        <v>1</v>
      </c>
      <c r="O3950">
        <v>0.85888888888888903</v>
      </c>
      <c r="P3950" t="s">
        <v>5759</v>
      </c>
      <c r="Q3950" t="s">
        <v>5760</v>
      </c>
      <c r="R3950" t="s">
        <v>224</v>
      </c>
      <c r="S3950" t="s">
        <v>225</v>
      </c>
      <c r="T3950" t="s">
        <v>5761</v>
      </c>
      <c r="U3950" t="s">
        <v>5762</v>
      </c>
      <c r="V3950" t="s">
        <v>5763</v>
      </c>
      <c r="W3950" t="s">
        <v>5764</v>
      </c>
      <c r="X3950" t="s">
        <v>5763</v>
      </c>
      <c r="Y3950" t="s">
        <v>773</v>
      </c>
      <c r="AD3950" t="s">
        <v>904</v>
      </c>
      <c r="AE3950" t="s">
        <v>5765</v>
      </c>
      <c r="AF3950" t="e">
        <f>-------------------------MGPSGEQVGIVRIEDARKLAYEADLDLVEVAPNAKPPVCKIMDYGKFKYEAAQKAREARKNQQQTVVKEQKLRPKIDDHDYETKKGNVIRFLEKGSKVKVTIMFRGREQSRPELGYRLLDRLAADVADYGVVETKAKQDGRNMTMVIGPVRKGKK</f>
        <v>#NAME?</v>
      </c>
    </row>
    <row r="3951" spans="1:32" hidden="1" x14ac:dyDescent="0.35">
      <c r="A3951">
        <v>2786</v>
      </c>
      <c r="B3951" t="s">
        <v>5758</v>
      </c>
      <c r="C3951" t="s">
        <v>72</v>
      </c>
      <c r="D3951" t="s">
        <v>62</v>
      </c>
      <c r="E3951">
        <v>1190</v>
      </c>
      <c r="F3951">
        <v>5</v>
      </c>
      <c r="G3951">
        <v>5</v>
      </c>
      <c r="H3951">
        <v>1</v>
      </c>
      <c r="I3951">
        <v>1</v>
      </c>
      <c r="J3951">
        <v>0.95630630630630598</v>
      </c>
      <c r="K3951">
        <v>0.844444444444445</v>
      </c>
      <c r="L3951">
        <v>0.89690097001028402</v>
      </c>
      <c r="M3951">
        <v>0.72777777777777797</v>
      </c>
      <c r="N3951">
        <v>1</v>
      </c>
      <c r="O3951">
        <v>0.85888888888888903</v>
      </c>
      <c r="P3951" t="s">
        <v>5759</v>
      </c>
      <c r="Q3951" t="s">
        <v>5760</v>
      </c>
      <c r="R3951" t="s">
        <v>224</v>
      </c>
      <c r="S3951" t="s">
        <v>225</v>
      </c>
      <c r="T3951" t="s">
        <v>5761</v>
      </c>
      <c r="U3951" t="s">
        <v>5762</v>
      </c>
      <c r="V3951" t="s">
        <v>5763</v>
      </c>
      <c r="W3951" t="s">
        <v>5764</v>
      </c>
      <c r="X3951" t="s">
        <v>5763</v>
      </c>
      <c r="Y3951" t="s">
        <v>773</v>
      </c>
      <c r="AD3951" t="s">
        <v>904</v>
      </c>
      <c r="AE3951" t="s">
        <v>5765</v>
      </c>
      <c r="AF3951" t="e">
        <f>-------------------------MGPSGEQVGIVRIEDARKLAYEADLDLVEVAPNAKPPVCKIMDYGKFKYEAAQKAREARKNQQQTVVKEQKLRPKIDDHDYETKKGNVIRFLEKGSKVKVTIMFRGREQSRPELGYRLLDRLAADVADYGVVETKAKQDGRNMTMVIGPVRKGKK</f>
        <v>#NAME?</v>
      </c>
    </row>
    <row r="3952" spans="1:32" hidden="1" x14ac:dyDescent="0.35">
      <c r="A3952">
        <v>2787</v>
      </c>
      <c r="B3952" t="s">
        <v>5758</v>
      </c>
      <c r="C3952" t="s">
        <v>72</v>
      </c>
      <c r="D3952" t="s">
        <v>34</v>
      </c>
      <c r="E3952">
        <v>2522</v>
      </c>
      <c r="F3952">
        <v>5</v>
      </c>
      <c r="G3952">
        <v>5</v>
      </c>
      <c r="H3952">
        <v>1</v>
      </c>
      <c r="I3952">
        <v>1</v>
      </c>
      <c r="J3952">
        <v>0.95630630630630598</v>
      </c>
      <c r="K3952">
        <v>0.844444444444445</v>
      </c>
      <c r="L3952">
        <v>0.89690097001028402</v>
      </c>
      <c r="M3952">
        <v>0.72777777777777797</v>
      </c>
      <c r="N3952">
        <v>1</v>
      </c>
      <c r="O3952">
        <v>0.85888888888888903</v>
      </c>
      <c r="P3952" t="s">
        <v>5759</v>
      </c>
      <c r="Q3952" t="s">
        <v>5760</v>
      </c>
      <c r="R3952" t="s">
        <v>224</v>
      </c>
      <c r="S3952" t="s">
        <v>225</v>
      </c>
      <c r="T3952" t="s">
        <v>5761</v>
      </c>
      <c r="U3952" t="s">
        <v>5762</v>
      </c>
      <c r="V3952" t="s">
        <v>5763</v>
      </c>
      <c r="W3952" t="s">
        <v>5764</v>
      </c>
      <c r="X3952" t="s">
        <v>5763</v>
      </c>
      <c r="Y3952" t="s">
        <v>773</v>
      </c>
      <c r="AD3952" t="s">
        <v>904</v>
      </c>
      <c r="AE3952" t="s">
        <v>5765</v>
      </c>
      <c r="AF3952" t="e">
        <f>-----------------------------------MHIEDARKLAYDADLDLVEVAPNAKPPVCKIMDYGKFKYEQAQKAREARKNQQQTVVKEQKFRPKIDDHDYETKKSNVIRFLEKGSKVKVTIMFRGREQSRPELGTRLLDRLAEDVADYGIVESKPKQDGRNMTMVFGPVRKGKK</f>
        <v>#NAME?</v>
      </c>
    </row>
    <row r="3953" spans="1:32" hidden="1" x14ac:dyDescent="0.35">
      <c r="A3953">
        <v>2788</v>
      </c>
      <c r="B3953" t="s">
        <v>5758</v>
      </c>
      <c r="C3953" t="s">
        <v>72</v>
      </c>
      <c r="D3953" t="s">
        <v>45</v>
      </c>
      <c r="E3953">
        <v>1248</v>
      </c>
      <c r="F3953">
        <v>5</v>
      </c>
      <c r="G3953">
        <v>5</v>
      </c>
      <c r="H3953">
        <v>1</v>
      </c>
      <c r="I3953">
        <v>1</v>
      </c>
      <c r="J3953">
        <v>0.95630630630630598</v>
      </c>
      <c r="K3953">
        <v>0.844444444444445</v>
      </c>
      <c r="L3953">
        <v>0.89690097001028402</v>
      </c>
      <c r="M3953">
        <v>0.72777777777777797</v>
      </c>
      <c r="N3953">
        <v>1</v>
      </c>
      <c r="O3953">
        <v>0.85888888888888903</v>
      </c>
      <c r="P3953" t="s">
        <v>5759</v>
      </c>
      <c r="Q3953" t="s">
        <v>5760</v>
      </c>
      <c r="R3953" t="s">
        <v>224</v>
      </c>
      <c r="S3953" t="s">
        <v>225</v>
      </c>
      <c r="T3953" t="s">
        <v>5761</v>
      </c>
      <c r="U3953" t="s">
        <v>5762</v>
      </c>
      <c r="V3953" t="s">
        <v>5763</v>
      </c>
      <c r="W3953" t="s">
        <v>5764</v>
      </c>
      <c r="X3953" t="s">
        <v>5763</v>
      </c>
      <c r="Y3953" t="s">
        <v>773</v>
      </c>
      <c r="AD3953" t="s">
        <v>904</v>
      </c>
      <c r="AE3953" t="s">
        <v>5765</v>
      </c>
      <c r="AF3953" t="e">
        <f>-----------------------------------MHIEDARKLAYDADLDLVEVAPNAKPPVCKIMDYGKFKYEQAQKAREARKNQQQTVVKEQKFRPKIDDHDYETKKSNVIRFLEKGSKVKVTIMFRGREQSRPELGTRLLDRLAEDVADYGIVESKPKQDGRNMTMVFGPVRKGKK</f>
        <v>#NAME?</v>
      </c>
    </row>
    <row r="3954" spans="1:32" hidden="1" x14ac:dyDescent="0.35">
      <c r="A3954">
        <v>11964</v>
      </c>
      <c r="B3954" t="s">
        <v>24699</v>
      </c>
      <c r="D3954" t="s">
        <v>58</v>
      </c>
      <c r="E3954">
        <v>1079</v>
      </c>
      <c r="F3954">
        <v>1</v>
      </c>
      <c r="G3954">
        <v>1</v>
      </c>
      <c r="H3954">
        <v>1</v>
      </c>
      <c r="I3954">
        <v>0</v>
      </c>
      <c r="J3954">
        <v>1</v>
      </c>
      <c r="K3954">
        <v>1</v>
      </c>
      <c r="L3954">
        <v>1</v>
      </c>
      <c r="M3954">
        <v>0</v>
      </c>
      <c r="N3954">
        <v>0</v>
      </c>
      <c r="O3954">
        <v>0</v>
      </c>
      <c r="P3954" t="s">
        <v>14292</v>
      </c>
      <c r="Q3954" t="s">
        <v>14293</v>
      </c>
      <c r="R3954" t="s">
        <v>224</v>
      </c>
      <c r="S3954" t="s">
        <v>225</v>
      </c>
      <c r="V3954" t="s">
        <v>14164</v>
      </c>
      <c r="W3954" t="s">
        <v>14165</v>
      </c>
      <c r="AF3954" t="s">
        <v>24700</v>
      </c>
    </row>
    <row r="3955" spans="1:32" hidden="1" x14ac:dyDescent="0.35">
      <c r="A3955">
        <v>2800</v>
      </c>
      <c r="B3955" t="s">
        <v>5789</v>
      </c>
      <c r="C3955" t="s">
        <v>72</v>
      </c>
      <c r="D3955" t="s">
        <v>60</v>
      </c>
      <c r="E3955">
        <v>421</v>
      </c>
      <c r="F3955">
        <v>5</v>
      </c>
      <c r="G3955">
        <v>5</v>
      </c>
      <c r="H3955">
        <v>1</v>
      </c>
      <c r="I3955">
        <v>1</v>
      </c>
      <c r="J3955">
        <v>0.89513108614232195</v>
      </c>
      <c r="K3955">
        <v>1</v>
      </c>
      <c r="L3955">
        <v>0.94466403162055301</v>
      </c>
      <c r="M3955">
        <v>0.797752808988764</v>
      </c>
      <c r="N3955">
        <v>1</v>
      </c>
      <c r="O3955">
        <v>0.85617977528089895</v>
      </c>
      <c r="P3955" t="s">
        <v>5790</v>
      </c>
      <c r="Q3955" t="s">
        <v>5791</v>
      </c>
      <c r="R3955" t="s">
        <v>224</v>
      </c>
      <c r="S3955" t="s">
        <v>225</v>
      </c>
      <c r="T3955" t="s">
        <v>5792</v>
      </c>
      <c r="U3955" t="s">
        <v>5793</v>
      </c>
      <c r="V3955" t="s">
        <v>5794</v>
      </c>
      <c r="W3955" t="s">
        <v>5795</v>
      </c>
      <c r="X3955" t="s">
        <v>5794</v>
      </c>
      <c r="Y3955" t="s">
        <v>749</v>
      </c>
      <c r="AD3955" t="s">
        <v>762</v>
      </c>
      <c r="AE3955" t="s">
        <v>1545</v>
      </c>
      <c r="AF3955" t="s">
        <v>5797</v>
      </c>
    </row>
    <row r="3956" spans="1:32" hidden="1" x14ac:dyDescent="0.35">
      <c r="A3956">
        <v>2801</v>
      </c>
      <c r="B3956" t="s">
        <v>5789</v>
      </c>
      <c r="C3956" t="s">
        <v>72</v>
      </c>
      <c r="D3956" t="s">
        <v>62</v>
      </c>
      <c r="E3956">
        <v>502</v>
      </c>
      <c r="F3956">
        <v>5</v>
      </c>
      <c r="G3956">
        <v>5</v>
      </c>
      <c r="H3956">
        <v>1</v>
      </c>
      <c r="I3956">
        <v>1</v>
      </c>
      <c r="J3956">
        <v>0.89513108614232195</v>
      </c>
      <c r="K3956">
        <v>1</v>
      </c>
      <c r="L3956">
        <v>0.94466403162055301</v>
      </c>
      <c r="M3956">
        <v>0.797752808988764</v>
      </c>
      <c r="N3956">
        <v>1</v>
      </c>
      <c r="O3956">
        <v>0.85617977528089895</v>
      </c>
      <c r="P3956" t="s">
        <v>5790</v>
      </c>
      <c r="Q3956" t="s">
        <v>5791</v>
      </c>
      <c r="R3956" t="s">
        <v>224</v>
      </c>
      <c r="S3956" t="s">
        <v>225</v>
      </c>
      <c r="T3956" t="s">
        <v>5792</v>
      </c>
      <c r="U3956" t="s">
        <v>5793</v>
      </c>
      <c r="V3956" t="s">
        <v>5794</v>
      </c>
      <c r="W3956" t="s">
        <v>5795</v>
      </c>
      <c r="X3956" t="s">
        <v>5794</v>
      </c>
      <c r="Y3956" t="s">
        <v>749</v>
      </c>
      <c r="AD3956" t="s">
        <v>762</v>
      </c>
      <c r="AE3956" t="s">
        <v>1545</v>
      </c>
      <c r="AF3956" t="s">
        <v>5798</v>
      </c>
    </row>
    <row r="3957" spans="1:32" hidden="1" x14ac:dyDescent="0.35">
      <c r="A3957">
        <v>2802</v>
      </c>
      <c r="B3957" t="s">
        <v>5789</v>
      </c>
      <c r="C3957" t="s">
        <v>72</v>
      </c>
      <c r="D3957" t="s">
        <v>34</v>
      </c>
      <c r="E3957">
        <v>673</v>
      </c>
      <c r="F3957">
        <v>5</v>
      </c>
      <c r="G3957">
        <v>5</v>
      </c>
      <c r="H3957">
        <v>1</v>
      </c>
      <c r="I3957">
        <v>1</v>
      </c>
      <c r="J3957">
        <v>0.89513108614232195</v>
      </c>
      <c r="K3957">
        <v>1</v>
      </c>
      <c r="L3957">
        <v>0.94466403162055301</v>
      </c>
      <c r="M3957">
        <v>0.797752808988764</v>
      </c>
      <c r="N3957">
        <v>1</v>
      </c>
      <c r="O3957">
        <v>0.85617977528089895</v>
      </c>
      <c r="P3957" t="s">
        <v>5790</v>
      </c>
      <c r="Q3957" t="s">
        <v>5791</v>
      </c>
      <c r="R3957" t="s">
        <v>224</v>
      </c>
      <c r="S3957" t="s">
        <v>225</v>
      </c>
      <c r="T3957" t="s">
        <v>5792</v>
      </c>
      <c r="U3957" t="s">
        <v>5793</v>
      </c>
      <c r="V3957" t="s">
        <v>5794</v>
      </c>
      <c r="W3957" t="s">
        <v>5795</v>
      </c>
      <c r="X3957" t="s">
        <v>5794</v>
      </c>
      <c r="Y3957" t="s">
        <v>749</v>
      </c>
      <c r="AD3957" t="s">
        <v>762</v>
      </c>
      <c r="AE3957" t="s">
        <v>1545</v>
      </c>
      <c r="AF3957" t="s">
        <v>5799</v>
      </c>
    </row>
    <row r="3958" spans="1:32" hidden="1" x14ac:dyDescent="0.35">
      <c r="A3958">
        <v>2803</v>
      </c>
      <c r="B3958" t="s">
        <v>5789</v>
      </c>
      <c r="C3958" t="s">
        <v>72</v>
      </c>
      <c r="D3958" t="s">
        <v>45</v>
      </c>
      <c r="E3958">
        <v>1939</v>
      </c>
      <c r="F3958">
        <v>5</v>
      </c>
      <c r="G3958">
        <v>5</v>
      </c>
      <c r="H3958">
        <v>1</v>
      </c>
      <c r="I3958">
        <v>1</v>
      </c>
      <c r="J3958">
        <v>0.89513108614232195</v>
      </c>
      <c r="K3958">
        <v>1</v>
      </c>
      <c r="L3958">
        <v>0.94466403162055301</v>
      </c>
      <c r="M3958">
        <v>0.797752808988764</v>
      </c>
      <c r="N3958">
        <v>1</v>
      </c>
      <c r="O3958">
        <v>0.85617977528089895</v>
      </c>
      <c r="P3958" t="s">
        <v>5790</v>
      </c>
      <c r="Q3958" t="s">
        <v>5791</v>
      </c>
      <c r="R3958" t="s">
        <v>224</v>
      </c>
      <c r="S3958" t="s">
        <v>225</v>
      </c>
      <c r="T3958" t="s">
        <v>5792</v>
      </c>
      <c r="U3958" t="s">
        <v>5793</v>
      </c>
      <c r="V3958" t="s">
        <v>5794</v>
      </c>
      <c r="W3958" t="s">
        <v>5795</v>
      </c>
      <c r="X3958" t="s">
        <v>5794</v>
      </c>
      <c r="Y3958" t="s">
        <v>749</v>
      </c>
      <c r="AD3958" t="s">
        <v>762</v>
      </c>
      <c r="AE3958" t="s">
        <v>1545</v>
      </c>
      <c r="AF3958" t="s">
        <v>5799</v>
      </c>
    </row>
    <row r="3959" spans="1:32" hidden="1" x14ac:dyDescent="0.35">
      <c r="A3959">
        <v>3694</v>
      </c>
      <c r="B3959" t="s">
        <v>7617</v>
      </c>
      <c r="C3959" t="s">
        <v>72</v>
      </c>
      <c r="D3959" t="s">
        <v>58</v>
      </c>
      <c r="E3959">
        <v>953</v>
      </c>
      <c r="F3959">
        <v>5</v>
      </c>
      <c r="G3959">
        <v>5</v>
      </c>
      <c r="H3959">
        <v>1</v>
      </c>
      <c r="I3959">
        <v>1</v>
      </c>
      <c r="J3959">
        <v>0.80420042996527197</v>
      </c>
      <c r="K3959">
        <v>0.97124741294328698</v>
      </c>
      <c r="L3959">
        <v>0.87986542686838898</v>
      </c>
      <c r="M3959">
        <v>0.63563402889245602</v>
      </c>
      <c r="N3959">
        <v>0.99678972712680602</v>
      </c>
      <c r="O3959">
        <v>0.73707865168539299</v>
      </c>
      <c r="P3959" t="s">
        <v>1750</v>
      </c>
      <c r="Q3959" t="s">
        <v>1751</v>
      </c>
      <c r="R3959" t="s">
        <v>75</v>
      </c>
      <c r="S3959" t="s">
        <v>76</v>
      </c>
      <c r="T3959" t="s">
        <v>1754</v>
      </c>
      <c r="U3959" t="s">
        <v>1755</v>
      </c>
      <c r="V3959" t="s">
        <v>7618</v>
      </c>
      <c r="W3959" t="s">
        <v>7619</v>
      </c>
      <c r="Z3959" t="s">
        <v>1758</v>
      </c>
      <c r="AA3959" t="s">
        <v>1759</v>
      </c>
      <c r="AB3959" t="s">
        <v>1758</v>
      </c>
      <c r="AC3959" t="s">
        <v>1760</v>
      </c>
      <c r="AD3959" t="s">
        <v>1140</v>
      </c>
      <c r="AE3959" t="s">
        <v>1761</v>
      </c>
      <c r="AF3959" t="s">
        <v>7620</v>
      </c>
    </row>
    <row r="3960" spans="1:32" hidden="1" x14ac:dyDescent="0.35">
      <c r="A3960">
        <v>2855</v>
      </c>
      <c r="B3960" t="s">
        <v>5897</v>
      </c>
      <c r="C3960" t="s">
        <v>72</v>
      </c>
      <c r="D3960" t="s">
        <v>60</v>
      </c>
      <c r="E3960">
        <v>436</v>
      </c>
      <c r="F3960">
        <v>5</v>
      </c>
      <c r="G3960">
        <v>5</v>
      </c>
      <c r="H3960">
        <v>1</v>
      </c>
      <c r="I3960">
        <v>1</v>
      </c>
      <c r="J3960">
        <v>0.86080347448425598</v>
      </c>
      <c r="K3960">
        <v>0.90459580323357403</v>
      </c>
      <c r="L3960">
        <v>0.88215648466102503</v>
      </c>
      <c r="M3960">
        <v>0.68421052631578905</v>
      </c>
      <c r="N3960">
        <v>1</v>
      </c>
      <c r="O3960">
        <v>0.76315789473684204</v>
      </c>
      <c r="P3960" t="s">
        <v>5898</v>
      </c>
      <c r="Q3960" t="s">
        <v>5899</v>
      </c>
      <c r="R3960" t="s">
        <v>224</v>
      </c>
      <c r="S3960" t="s">
        <v>225</v>
      </c>
      <c r="T3960" t="s">
        <v>5900</v>
      </c>
      <c r="U3960" t="s">
        <v>5901</v>
      </c>
      <c r="V3960" t="s">
        <v>5902</v>
      </c>
      <c r="W3960" t="s">
        <v>5903</v>
      </c>
      <c r="X3960" t="s">
        <v>5902</v>
      </c>
      <c r="Y3960" t="s">
        <v>749</v>
      </c>
      <c r="AD3960" t="s">
        <v>750</v>
      </c>
      <c r="AE3960" t="s">
        <v>751</v>
      </c>
      <c r="AF3960" t="s">
        <v>5905</v>
      </c>
    </row>
    <row r="3961" spans="1:32" hidden="1" x14ac:dyDescent="0.35">
      <c r="A3961">
        <v>2856</v>
      </c>
      <c r="B3961" t="s">
        <v>5897</v>
      </c>
      <c r="C3961" t="s">
        <v>72</v>
      </c>
      <c r="D3961" t="s">
        <v>62</v>
      </c>
      <c r="E3961">
        <v>517</v>
      </c>
      <c r="F3961">
        <v>5</v>
      </c>
      <c r="G3961">
        <v>5</v>
      </c>
      <c r="H3961">
        <v>1</v>
      </c>
      <c r="I3961">
        <v>1</v>
      </c>
      <c r="J3961">
        <v>0.86080347448425598</v>
      </c>
      <c r="K3961">
        <v>0.90459580323357403</v>
      </c>
      <c r="L3961">
        <v>0.88215648466102503</v>
      </c>
      <c r="M3961">
        <v>0.68421052631578905</v>
      </c>
      <c r="N3961">
        <v>1</v>
      </c>
      <c r="O3961">
        <v>0.76315789473684204</v>
      </c>
      <c r="P3961" t="s">
        <v>5898</v>
      </c>
      <c r="Q3961" t="s">
        <v>5899</v>
      </c>
      <c r="R3961" t="s">
        <v>224</v>
      </c>
      <c r="S3961" t="s">
        <v>225</v>
      </c>
      <c r="T3961" t="s">
        <v>5900</v>
      </c>
      <c r="U3961" t="s">
        <v>5901</v>
      </c>
      <c r="V3961" t="s">
        <v>5902</v>
      </c>
      <c r="W3961" t="s">
        <v>5903</v>
      </c>
      <c r="X3961" t="s">
        <v>5902</v>
      </c>
      <c r="Y3961" t="s">
        <v>749</v>
      </c>
      <c r="AD3961" t="s">
        <v>750</v>
      </c>
      <c r="AE3961" t="s">
        <v>751</v>
      </c>
      <c r="AF3961" t="s">
        <v>5906</v>
      </c>
    </row>
    <row r="3962" spans="1:32" hidden="1" x14ac:dyDescent="0.35">
      <c r="A3962">
        <v>2857</v>
      </c>
      <c r="B3962" t="s">
        <v>5897</v>
      </c>
      <c r="C3962" t="s">
        <v>72</v>
      </c>
      <c r="D3962" t="s">
        <v>34</v>
      </c>
      <c r="E3962">
        <v>653</v>
      </c>
      <c r="F3962">
        <v>5</v>
      </c>
      <c r="G3962">
        <v>5</v>
      </c>
      <c r="H3962">
        <v>1</v>
      </c>
      <c r="I3962">
        <v>1</v>
      </c>
      <c r="J3962">
        <v>0.86080347448425598</v>
      </c>
      <c r="K3962">
        <v>0.90459580323357403</v>
      </c>
      <c r="L3962">
        <v>0.88215648466102503</v>
      </c>
      <c r="M3962">
        <v>0.68421052631578905</v>
      </c>
      <c r="N3962">
        <v>1</v>
      </c>
      <c r="O3962">
        <v>0.76315789473684204</v>
      </c>
      <c r="P3962" t="s">
        <v>5898</v>
      </c>
      <c r="Q3962" t="s">
        <v>5899</v>
      </c>
      <c r="R3962" t="s">
        <v>224</v>
      </c>
      <c r="S3962" t="s">
        <v>225</v>
      </c>
      <c r="T3962" t="s">
        <v>5900</v>
      </c>
      <c r="U3962" t="s">
        <v>5901</v>
      </c>
      <c r="V3962" t="s">
        <v>5902</v>
      </c>
      <c r="W3962" t="s">
        <v>5903</v>
      </c>
      <c r="X3962" t="s">
        <v>5902</v>
      </c>
      <c r="Y3962" t="s">
        <v>749</v>
      </c>
      <c r="AD3962" t="s">
        <v>750</v>
      </c>
      <c r="AE3962" t="s">
        <v>751</v>
      </c>
      <c r="AF3962" t="s">
        <v>5907</v>
      </c>
    </row>
    <row r="3963" spans="1:32" hidden="1" x14ac:dyDescent="0.35">
      <c r="A3963">
        <v>2858</v>
      </c>
      <c r="B3963" t="s">
        <v>5897</v>
      </c>
      <c r="C3963" t="s">
        <v>72</v>
      </c>
      <c r="D3963" t="s">
        <v>45</v>
      </c>
      <c r="E3963">
        <v>1919</v>
      </c>
      <c r="F3963">
        <v>5</v>
      </c>
      <c r="G3963">
        <v>5</v>
      </c>
      <c r="H3963">
        <v>1</v>
      </c>
      <c r="I3963">
        <v>1</v>
      </c>
      <c r="J3963">
        <v>0.86080347448425598</v>
      </c>
      <c r="K3963">
        <v>0.90459580323357403</v>
      </c>
      <c r="L3963">
        <v>0.88215648466102503</v>
      </c>
      <c r="M3963">
        <v>0.68421052631578905</v>
      </c>
      <c r="N3963">
        <v>1</v>
      </c>
      <c r="O3963">
        <v>0.76315789473684204</v>
      </c>
      <c r="P3963" t="s">
        <v>5898</v>
      </c>
      <c r="Q3963" t="s">
        <v>5899</v>
      </c>
      <c r="R3963" t="s">
        <v>224</v>
      </c>
      <c r="S3963" t="s">
        <v>225</v>
      </c>
      <c r="T3963" t="s">
        <v>5900</v>
      </c>
      <c r="U3963" t="s">
        <v>5901</v>
      </c>
      <c r="V3963" t="s">
        <v>5902</v>
      </c>
      <c r="W3963" t="s">
        <v>5903</v>
      </c>
      <c r="X3963" t="s">
        <v>5902</v>
      </c>
      <c r="Y3963" t="s">
        <v>749</v>
      </c>
      <c r="AD3963" t="s">
        <v>750</v>
      </c>
      <c r="AE3963" t="s">
        <v>751</v>
      </c>
      <c r="AF3963" t="s">
        <v>5907</v>
      </c>
    </row>
    <row r="3964" spans="1:32" hidden="1" x14ac:dyDescent="0.35">
      <c r="A3964">
        <v>1364</v>
      </c>
      <c r="B3964" t="s">
        <v>2836</v>
      </c>
      <c r="C3964" t="s">
        <v>72</v>
      </c>
      <c r="D3964" t="s">
        <v>58</v>
      </c>
      <c r="E3964">
        <v>732</v>
      </c>
      <c r="F3964">
        <v>5</v>
      </c>
      <c r="G3964">
        <v>5</v>
      </c>
      <c r="H3964">
        <v>1</v>
      </c>
      <c r="I3964">
        <v>1</v>
      </c>
      <c r="J3964">
        <v>0.84604585868039295</v>
      </c>
      <c r="K3964">
        <v>0.965625159596742</v>
      </c>
      <c r="L3964">
        <v>0.90188909473347301</v>
      </c>
      <c r="M3964">
        <v>0.67494356659142196</v>
      </c>
      <c r="N3964">
        <v>1</v>
      </c>
      <c r="O3964">
        <v>0.76207674943566595</v>
      </c>
      <c r="P3964" t="s">
        <v>2837</v>
      </c>
      <c r="Q3964" t="s">
        <v>2838</v>
      </c>
      <c r="R3964" t="s">
        <v>342</v>
      </c>
      <c r="S3964" t="s">
        <v>343</v>
      </c>
      <c r="T3964" t="s">
        <v>2839</v>
      </c>
      <c r="U3964" t="s">
        <v>2840</v>
      </c>
      <c r="V3964" t="s">
        <v>2841</v>
      </c>
      <c r="W3964" t="s">
        <v>2842</v>
      </c>
      <c r="AD3964" t="s">
        <v>166</v>
      </c>
      <c r="AE3964" t="s">
        <v>2843</v>
      </c>
      <c r="AF3964" t="s">
        <v>2844</v>
      </c>
    </row>
    <row r="3965" spans="1:32" hidden="1" x14ac:dyDescent="0.35">
      <c r="A3965">
        <v>2890</v>
      </c>
      <c r="B3965" t="s">
        <v>5959</v>
      </c>
      <c r="C3965" t="s">
        <v>72</v>
      </c>
      <c r="D3965" t="s">
        <v>60</v>
      </c>
      <c r="E3965">
        <v>432</v>
      </c>
      <c r="F3965">
        <v>5</v>
      </c>
      <c r="G3965">
        <v>5</v>
      </c>
      <c r="H3965">
        <v>1</v>
      </c>
      <c r="I3965">
        <v>1</v>
      </c>
      <c r="J3965">
        <v>0.97377049180327901</v>
      </c>
      <c r="K3965">
        <v>1</v>
      </c>
      <c r="L3965">
        <v>0.98671096345514997</v>
      </c>
      <c r="M3965">
        <v>0.95901639344262302</v>
      </c>
      <c r="N3965">
        <v>1</v>
      </c>
      <c r="O3965">
        <v>0.970491803278689</v>
      </c>
      <c r="P3965" t="s">
        <v>5960</v>
      </c>
      <c r="Q3965" t="s">
        <v>5961</v>
      </c>
      <c r="R3965" t="s">
        <v>224</v>
      </c>
      <c r="S3965" t="s">
        <v>225</v>
      </c>
      <c r="T3965" t="s">
        <v>5962</v>
      </c>
      <c r="U3965" t="s">
        <v>5963</v>
      </c>
      <c r="V3965" t="s">
        <v>4696</v>
      </c>
      <c r="W3965" t="s">
        <v>4697</v>
      </c>
      <c r="X3965" t="s">
        <v>4696</v>
      </c>
      <c r="Y3965" t="s">
        <v>761</v>
      </c>
      <c r="AD3965" t="s">
        <v>762</v>
      </c>
      <c r="AE3965" t="s">
        <v>763</v>
      </c>
      <c r="AF3965" t="s">
        <v>5965</v>
      </c>
    </row>
    <row r="3966" spans="1:32" hidden="1" x14ac:dyDescent="0.35">
      <c r="A3966">
        <v>2891</v>
      </c>
      <c r="B3966" t="s">
        <v>5959</v>
      </c>
      <c r="C3966" t="s">
        <v>72</v>
      </c>
      <c r="D3966" t="s">
        <v>62</v>
      </c>
      <c r="E3966">
        <v>513</v>
      </c>
      <c r="F3966">
        <v>5</v>
      </c>
      <c r="G3966">
        <v>5</v>
      </c>
      <c r="H3966">
        <v>1</v>
      </c>
      <c r="I3966">
        <v>1</v>
      </c>
      <c r="J3966">
        <v>0.97377049180327901</v>
      </c>
      <c r="K3966">
        <v>1</v>
      </c>
      <c r="L3966">
        <v>0.98671096345514997</v>
      </c>
      <c r="M3966">
        <v>0.95901639344262302</v>
      </c>
      <c r="N3966">
        <v>1</v>
      </c>
      <c r="O3966">
        <v>0.970491803278689</v>
      </c>
      <c r="P3966" t="s">
        <v>5960</v>
      </c>
      <c r="Q3966" t="s">
        <v>5961</v>
      </c>
      <c r="R3966" t="s">
        <v>224</v>
      </c>
      <c r="S3966" t="s">
        <v>225</v>
      </c>
      <c r="T3966" t="s">
        <v>5962</v>
      </c>
      <c r="U3966" t="s">
        <v>5963</v>
      </c>
      <c r="V3966" t="s">
        <v>4696</v>
      </c>
      <c r="W3966" t="s">
        <v>4697</v>
      </c>
      <c r="X3966" t="s">
        <v>4696</v>
      </c>
      <c r="Y3966" t="s">
        <v>761</v>
      </c>
      <c r="AD3966" t="s">
        <v>762</v>
      </c>
      <c r="AE3966" t="s">
        <v>763</v>
      </c>
      <c r="AF3966" t="s">
        <v>5965</v>
      </c>
    </row>
    <row r="3967" spans="1:32" hidden="1" x14ac:dyDescent="0.35">
      <c r="A3967">
        <v>2892</v>
      </c>
      <c r="B3967" t="s">
        <v>5959</v>
      </c>
      <c r="C3967" t="s">
        <v>72</v>
      </c>
      <c r="D3967" t="s">
        <v>34</v>
      </c>
      <c r="E3967">
        <v>657</v>
      </c>
      <c r="F3967">
        <v>5</v>
      </c>
      <c r="G3967">
        <v>5</v>
      </c>
      <c r="H3967">
        <v>1</v>
      </c>
      <c r="I3967">
        <v>1</v>
      </c>
      <c r="J3967">
        <v>0.97377049180327901</v>
      </c>
      <c r="K3967">
        <v>1</v>
      </c>
      <c r="L3967">
        <v>0.98671096345514997</v>
      </c>
      <c r="M3967">
        <v>0.95901639344262302</v>
      </c>
      <c r="N3967">
        <v>1</v>
      </c>
      <c r="O3967">
        <v>0.970491803278689</v>
      </c>
      <c r="P3967" t="s">
        <v>5960</v>
      </c>
      <c r="Q3967" t="s">
        <v>5961</v>
      </c>
      <c r="R3967" t="s">
        <v>224</v>
      </c>
      <c r="S3967" t="s">
        <v>225</v>
      </c>
      <c r="T3967" t="s">
        <v>5962</v>
      </c>
      <c r="U3967" t="s">
        <v>5963</v>
      </c>
      <c r="V3967" t="s">
        <v>4696</v>
      </c>
      <c r="W3967" t="s">
        <v>4697</v>
      </c>
      <c r="X3967" t="s">
        <v>4696</v>
      </c>
      <c r="Y3967" t="s">
        <v>761</v>
      </c>
      <c r="AD3967" t="s">
        <v>762</v>
      </c>
      <c r="AE3967" t="s">
        <v>763</v>
      </c>
      <c r="AF3967" t="s">
        <v>5966</v>
      </c>
    </row>
    <row r="3968" spans="1:32" hidden="1" x14ac:dyDescent="0.35">
      <c r="A3968">
        <v>2893</v>
      </c>
      <c r="B3968" t="s">
        <v>5959</v>
      </c>
      <c r="C3968" t="s">
        <v>72</v>
      </c>
      <c r="D3968" t="s">
        <v>45</v>
      </c>
      <c r="E3968">
        <v>1923</v>
      </c>
      <c r="F3968">
        <v>5</v>
      </c>
      <c r="G3968">
        <v>5</v>
      </c>
      <c r="H3968">
        <v>1</v>
      </c>
      <c r="I3968">
        <v>1</v>
      </c>
      <c r="J3968">
        <v>0.97377049180327901</v>
      </c>
      <c r="K3968">
        <v>1</v>
      </c>
      <c r="L3968">
        <v>0.98671096345514997</v>
      </c>
      <c r="M3968">
        <v>0.95901639344262302</v>
      </c>
      <c r="N3968">
        <v>1</v>
      </c>
      <c r="O3968">
        <v>0.970491803278689</v>
      </c>
      <c r="P3968" t="s">
        <v>5960</v>
      </c>
      <c r="Q3968" t="s">
        <v>5961</v>
      </c>
      <c r="R3968" t="s">
        <v>224</v>
      </c>
      <c r="S3968" t="s">
        <v>225</v>
      </c>
      <c r="T3968" t="s">
        <v>5962</v>
      </c>
      <c r="U3968" t="s">
        <v>5963</v>
      </c>
      <c r="V3968" t="s">
        <v>4696</v>
      </c>
      <c r="W3968" t="s">
        <v>4697</v>
      </c>
      <c r="X3968" t="s">
        <v>4696</v>
      </c>
      <c r="Y3968" t="s">
        <v>761</v>
      </c>
      <c r="AD3968" t="s">
        <v>762</v>
      </c>
      <c r="AE3968" t="s">
        <v>763</v>
      </c>
      <c r="AF3968" t="s">
        <v>5966</v>
      </c>
    </row>
    <row r="3969" spans="1:32" hidden="1" x14ac:dyDescent="0.35">
      <c r="A3969">
        <v>11681</v>
      </c>
      <c r="B3969" t="s">
        <v>23960</v>
      </c>
      <c r="C3969" t="s">
        <v>33</v>
      </c>
      <c r="D3969" t="s">
        <v>58</v>
      </c>
      <c r="E3969">
        <v>734</v>
      </c>
      <c r="F3969">
        <v>1</v>
      </c>
      <c r="G3969">
        <v>1</v>
      </c>
      <c r="H3969">
        <v>1</v>
      </c>
      <c r="I3969">
        <v>0</v>
      </c>
      <c r="J3969">
        <v>1</v>
      </c>
      <c r="K3969">
        <v>1</v>
      </c>
      <c r="L3969">
        <v>1</v>
      </c>
      <c r="M3969">
        <v>0</v>
      </c>
      <c r="N3969">
        <v>0</v>
      </c>
      <c r="O3969">
        <v>0</v>
      </c>
      <c r="P3969" t="s">
        <v>15366</v>
      </c>
      <c r="Q3969" t="s">
        <v>15367</v>
      </c>
      <c r="R3969" t="s">
        <v>342</v>
      </c>
      <c r="S3969" t="s">
        <v>343</v>
      </c>
      <c r="T3969" t="s">
        <v>15368</v>
      </c>
      <c r="U3969" t="s">
        <v>2840</v>
      </c>
      <c r="V3969" t="s">
        <v>15369</v>
      </c>
      <c r="W3969" t="s">
        <v>15370</v>
      </c>
      <c r="AD3969" t="s">
        <v>166</v>
      </c>
      <c r="AE3969" t="s">
        <v>2843</v>
      </c>
      <c r="AF3969" t="s">
        <v>23961</v>
      </c>
    </row>
    <row r="3970" spans="1:32" hidden="1" x14ac:dyDescent="0.35">
      <c r="A3970">
        <v>2980</v>
      </c>
      <c r="B3970" t="s">
        <v>6152</v>
      </c>
      <c r="C3970" t="s">
        <v>72</v>
      </c>
      <c r="D3970" t="s">
        <v>60</v>
      </c>
      <c r="E3970">
        <v>377</v>
      </c>
      <c r="F3970">
        <v>5</v>
      </c>
      <c r="G3970">
        <v>5</v>
      </c>
      <c r="H3970">
        <v>1</v>
      </c>
      <c r="I3970">
        <v>1</v>
      </c>
      <c r="J3970">
        <v>0.92507645259938798</v>
      </c>
      <c r="K3970">
        <v>1</v>
      </c>
      <c r="L3970">
        <v>0.96108022239872903</v>
      </c>
      <c r="M3970">
        <v>0.83944954128440397</v>
      </c>
      <c r="N3970">
        <v>1</v>
      </c>
      <c r="O3970">
        <v>0.88348623853210995</v>
      </c>
      <c r="P3970" t="s">
        <v>6153</v>
      </c>
      <c r="Q3970" t="s">
        <v>6154</v>
      </c>
      <c r="R3970" t="s">
        <v>224</v>
      </c>
      <c r="S3970" t="s">
        <v>225</v>
      </c>
      <c r="T3970" t="s">
        <v>6155</v>
      </c>
      <c r="U3970" t="s">
        <v>6156</v>
      </c>
      <c r="V3970" t="s">
        <v>6157</v>
      </c>
      <c r="W3970" t="s">
        <v>6158</v>
      </c>
      <c r="X3970" t="s">
        <v>6157</v>
      </c>
      <c r="Y3970" t="s">
        <v>749</v>
      </c>
      <c r="AD3970" t="s">
        <v>762</v>
      </c>
      <c r="AE3970" t="s">
        <v>1545</v>
      </c>
      <c r="AF3970" t="s">
        <v>6160</v>
      </c>
    </row>
    <row r="3971" spans="1:32" hidden="1" x14ac:dyDescent="0.35">
      <c r="A3971">
        <v>2981</v>
      </c>
      <c r="B3971" t="s">
        <v>6152</v>
      </c>
      <c r="C3971" t="s">
        <v>72</v>
      </c>
      <c r="D3971" t="s">
        <v>62</v>
      </c>
      <c r="E3971">
        <v>458</v>
      </c>
      <c r="F3971">
        <v>5</v>
      </c>
      <c r="G3971">
        <v>5</v>
      </c>
      <c r="H3971">
        <v>1</v>
      </c>
      <c r="I3971">
        <v>1</v>
      </c>
      <c r="J3971">
        <v>0.92507645259938798</v>
      </c>
      <c r="K3971">
        <v>1</v>
      </c>
      <c r="L3971">
        <v>0.96108022239872903</v>
      </c>
      <c r="M3971">
        <v>0.83944954128440397</v>
      </c>
      <c r="N3971">
        <v>1</v>
      </c>
      <c r="O3971">
        <v>0.88348623853210995</v>
      </c>
      <c r="P3971" t="s">
        <v>6153</v>
      </c>
      <c r="Q3971" t="s">
        <v>6154</v>
      </c>
      <c r="R3971" t="s">
        <v>224</v>
      </c>
      <c r="S3971" t="s">
        <v>225</v>
      </c>
      <c r="T3971" t="s">
        <v>6155</v>
      </c>
      <c r="U3971" t="s">
        <v>6156</v>
      </c>
      <c r="V3971" t="s">
        <v>6157</v>
      </c>
      <c r="W3971" t="s">
        <v>6158</v>
      </c>
      <c r="X3971" t="s">
        <v>6157</v>
      </c>
      <c r="Y3971" t="s">
        <v>749</v>
      </c>
      <c r="AD3971" t="s">
        <v>762</v>
      </c>
      <c r="AE3971" t="s">
        <v>1545</v>
      </c>
      <c r="AF3971" t="s">
        <v>6160</v>
      </c>
    </row>
    <row r="3972" spans="1:32" hidden="1" x14ac:dyDescent="0.35">
      <c r="A3972">
        <v>2982</v>
      </c>
      <c r="B3972" t="s">
        <v>6152</v>
      </c>
      <c r="C3972" t="s">
        <v>72</v>
      </c>
      <c r="D3972" t="s">
        <v>34</v>
      </c>
      <c r="E3972">
        <v>734</v>
      </c>
      <c r="F3972">
        <v>5</v>
      </c>
      <c r="G3972">
        <v>5</v>
      </c>
      <c r="H3972">
        <v>1</v>
      </c>
      <c r="I3972">
        <v>1</v>
      </c>
      <c r="J3972">
        <v>0.92507645259938798</v>
      </c>
      <c r="K3972">
        <v>1</v>
      </c>
      <c r="L3972">
        <v>0.96108022239872903</v>
      </c>
      <c r="M3972">
        <v>0.83944954128440397</v>
      </c>
      <c r="N3972">
        <v>1</v>
      </c>
      <c r="O3972">
        <v>0.88348623853210995</v>
      </c>
      <c r="P3972" t="s">
        <v>6153</v>
      </c>
      <c r="Q3972" t="s">
        <v>6154</v>
      </c>
      <c r="R3972" t="s">
        <v>224</v>
      </c>
      <c r="S3972" t="s">
        <v>225</v>
      </c>
      <c r="T3972" t="s">
        <v>6155</v>
      </c>
      <c r="U3972" t="s">
        <v>6156</v>
      </c>
      <c r="V3972" t="s">
        <v>6157</v>
      </c>
      <c r="W3972" t="s">
        <v>6158</v>
      </c>
      <c r="X3972" t="s">
        <v>6157</v>
      </c>
      <c r="Y3972" t="s">
        <v>749</v>
      </c>
      <c r="AD3972" t="s">
        <v>762</v>
      </c>
      <c r="AE3972" t="s">
        <v>1545</v>
      </c>
      <c r="AF3972" t="s">
        <v>6161</v>
      </c>
    </row>
    <row r="3973" spans="1:32" hidden="1" x14ac:dyDescent="0.35">
      <c r="A3973">
        <v>2983</v>
      </c>
      <c r="B3973" t="s">
        <v>6152</v>
      </c>
      <c r="C3973" t="s">
        <v>72</v>
      </c>
      <c r="D3973" t="s">
        <v>45</v>
      </c>
      <c r="E3973">
        <v>2000</v>
      </c>
      <c r="F3973">
        <v>5</v>
      </c>
      <c r="G3973">
        <v>5</v>
      </c>
      <c r="H3973">
        <v>1</v>
      </c>
      <c r="I3973">
        <v>1</v>
      </c>
      <c r="J3973">
        <v>0.92507645259938798</v>
      </c>
      <c r="K3973">
        <v>1</v>
      </c>
      <c r="L3973">
        <v>0.96108022239872903</v>
      </c>
      <c r="M3973">
        <v>0.83944954128440397</v>
      </c>
      <c r="N3973">
        <v>1</v>
      </c>
      <c r="O3973">
        <v>0.88348623853210995</v>
      </c>
      <c r="P3973" t="s">
        <v>6153</v>
      </c>
      <c r="Q3973" t="s">
        <v>6154</v>
      </c>
      <c r="R3973" t="s">
        <v>224</v>
      </c>
      <c r="S3973" t="s">
        <v>225</v>
      </c>
      <c r="T3973" t="s">
        <v>6155</v>
      </c>
      <c r="U3973" t="s">
        <v>6156</v>
      </c>
      <c r="V3973" t="s">
        <v>6157</v>
      </c>
      <c r="W3973" t="s">
        <v>6158</v>
      </c>
      <c r="X3973" t="s">
        <v>6157</v>
      </c>
      <c r="Y3973" t="s">
        <v>749</v>
      </c>
      <c r="AD3973" t="s">
        <v>762</v>
      </c>
      <c r="AE3973" t="s">
        <v>1545</v>
      </c>
      <c r="AF3973" t="s">
        <v>6161</v>
      </c>
    </row>
    <row r="3974" spans="1:32" hidden="1" x14ac:dyDescent="0.35">
      <c r="A3974">
        <v>1059</v>
      </c>
      <c r="B3974" t="s">
        <v>2207</v>
      </c>
      <c r="C3974" t="s">
        <v>72</v>
      </c>
      <c r="D3974" t="s">
        <v>58</v>
      </c>
      <c r="E3974">
        <v>1149</v>
      </c>
      <c r="F3974">
        <v>5</v>
      </c>
      <c r="G3974">
        <v>5</v>
      </c>
      <c r="H3974">
        <v>1</v>
      </c>
      <c r="I3974">
        <v>1</v>
      </c>
      <c r="J3974">
        <v>0.81020917290347305</v>
      </c>
      <c r="K3974">
        <v>0.96554781801300305</v>
      </c>
      <c r="L3974">
        <v>0.88108418328942895</v>
      </c>
      <c r="M3974">
        <v>0.61111111111111105</v>
      </c>
      <c r="N3974">
        <v>1</v>
      </c>
      <c r="O3974">
        <v>0.73388888888888903</v>
      </c>
      <c r="P3974" t="s">
        <v>2208</v>
      </c>
      <c r="Q3974" t="s">
        <v>2209</v>
      </c>
      <c r="R3974" t="s">
        <v>869</v>
      </c>
      <c r="S3974" t="s">
        <v>870</v>
      </c>
      <c r="T3974" t="s">
        <v>2210</v>
      </c>
      <c r="U3974" t="s">
        <v>2211</v>
      </c>
      <c r="V3974" t="s">
        <v>2212</v>
      </c>
      <c r="W3974" t="s">
        <v>2213</v>
      </c>
      <c r="AD3974" t="s">
        <v>219</v>
      </c>
      <c r="AE3974" t="s">
        <v>2214</v>
      </c>
      <c r="AF3974" t="s">
        <v>2215</v>
      </c>
    </row>
    <row r="3975" spans="1:32" hidden="1" x14ac:dyDescent="0.35">
      <c r="A3975">
        <v>2990</v>
      </c>
      <c r="B3975" t="s">
        <v>6170</v>
      </c>
      <c r="C3975" t="s">
        <v>72</v>
      </c>
      <c r="D3975" t="s">
        <v>60</v>
      </c>
      <c r="E3975">
        <v>381</v>
      </c>
      <c r="F3975">
        <v>5</v>
      </c>
      <c r="G3975">
        <v>5</v>
      </c>
      <c r="H3975">
        <v>1</v>
      </c>
      <c r="I3975">
        <v>1</v>
      </c>
      <c r="J3975">
        <v>0.97608695652173905</v>
      </c>
      <c r="K3975">
        <v>1</v>
      </c>
      <c r="L3975">
        <v>0.98789878987898805</v>
      </c>
      <c r="M3975">
        <v>0.92391304347826098</v>
      </c>
      <c r="N3975">
        <v>1</v>
      </c>
      <c r="O3975">
        <v>0.95434782608695601</v>
      </c>
      <c r="P3975" t="s">
        <v>6171</v>
      </c>
      <c r="Q3975" t="s">
        <v>6172</v>
      </c>
      <c r="R3975" t="s">
        <v>224</v>
      </c>
      <c r="S3975" t="s">
        <v>225</v>
      </c>
      <c r="T3975" t="s">
        <v>6173</v>
      </c>
      <c r="U3975" t="s">
        <v>6174</v>
      </c>
      <c r="V3975" t="s">
        <v>6175</v>
      </c>
      <c r="W3975" t="s">
        <v>6176</v>
      </c>
      <c r="X3975" t="s">
        <v>6175</v>
      </c>
      <c r="Y3975" t="s">
        <v>761</v>
      </c>
      <c r="AD3975" t="s">
        <v>762</v>
      </c>
      <c r="AE3975" t="s">
        <v>763</v>
      </c>
      <c r="AF3975" t="s">
        <v>6178</v>
      </c>
    </row>
    <row r="3976" spans="1:32" hidden="1" x14ac:dyDescent="0.35">
      <c r="A3976">
        <v>2991</v>
      </c>
      <c r="B3976" t="s">
        <v>6170</v>
      </c>
      <c r="C3976" t="s">
        <v>72</v>
      </c>
      <c r="D3976" t="s">
        <v>62</v>
      </c>
      <c r="E3976">
        <v>462</v>
      </c>
      <c r="F3976">
        <v>5</v>
      </c>
      <c r="G3976">
        <v>5</v>
      </c>
      <c r="H3976">
        <v>1</v>
      </c>
      <c r="I3976">
        <v>1</v>
      </c>
      <c r="J3976">
        <v>0.97608695652173905</v>
      </c>
      <c r="K3976">
        <v>1</v>
      </c>
      <c r="L3976">
        <v>0.98789878987898805</v>
      </c>
      <c r="M3976">
        <v>0.92391304347826098</v>
      </c>
      <c r="N3976">
        <v>1</v>
      </c>
      <c r="O3976">
        <v>0.95434782608695601</v>
      </c>
      <c r="P3976" t="s">
        <v>6171</v>
      </c>
      <c r="Q3976" t="s">
        <v>6172</v>
      </c>
      <c r="R3976" t="s">
        <v>224</v>
      </c>
      <c r="S3976" t="s">
        <v>225</v>
      </c>
      <c r="T3976" t="s">
        <v>6173</v>
      </c>
      <c r="U3976" t="s">
        <v>6174</v>
      </c>
      <c r="V3976" t="s">
        <v>6175</v>
      </c>
      <c r="W3976" t="s">
        <v>6176</v>
      </c>
      <c r="X3976" t="s">
        <v>6175</v>
      </c>
      <c r="Y3976" t="s">
        <v>761</v>
      </c>
      <c r="AD3976" t="s">
        <v>762</v>
      </c>
      <c r="AE3976" t="s">
        <v>763</v>
      </c>
      <c r="AF3976" t="s">
        <v>6178</v>
      </c>
    </row>
    <row r="3977" spans="1:32" hidden="1" x14ac:dyDescent="0.35">
      <c r="A3977">
        <v>2992</v>
      </c>
      <c r="B3977" t="s">
        <v>6170</v>
      </c>
      <c r="C3977" t="s">
        <v>72</v>
      </c>
      <c r="D3977" t="s">
        <v>34</v>
      </c>
      <c r="E3977">
        <v>730</v>
      </c>
      <c r="F3977">
        <v>5</v>
      </c>
      <c r="G3977">
        <v>5</v>
      </c>
      <c r="H3977">
        <v>1</v>
      </c>
      <c r="I3977">
        <v>1</v>
      </c>
      <c r="J3977">
        <v>0.97608695652173905</v>
      </c>
      <c r="K3977">
        <v>1</v>
      </c>
      <c r="L3977">
        <v>0.98789878987898805</v>
      </c>
      <c r="M3977">
        <v>0.92391304347826098</v>
      </c>
      <c r="N3977">
        <v>1</v>
      </c>
      <c r="O3977">
        <v>0.95434782608695601</v>
      </c>
      <c r="P3977" t="s">
        <v>6171</v>
      </c>
      <c r="Q3977" t="s">
        <v>6172</v>
      </c>
      <c r="R3977" t="s">
        <v>224</v>
      </c>
      <c r="S3977" t="s">
        <v>225</v>
      </c>
      <c r="T3977" t="s">
        <v>6173</v>
      </c>
      <c r="U3977" t="s">
        <v>6174</v>
      </c>
      <c r="V3977" t="s">
        <v>6175</v>
      </c>
      <c r="W3977" t="s">
        <v>6176</v>
      </c>
      <c r="X3977" t="s">
        <v>6175</v>
      </c>
      <c r="Y3977" t="s">
        <v>761</v>
      </c>
      <c r="AD3977" t="s">
        <v>762</v>
      </c>
      <c r="AE3977" t="s">
        <v>763</v>
      </c>
      <c r="AF3977" t="s">
        <v>6179</v>
      </c>
    </row>
    <row r="3978" spans="1:32" hidden="1" x14ac:dyDescent="0.35">
      <c r="A3978">
        <v>2993</v>
      </c>
      <c r="B3978" t="s">
        <v>6170</v>
      </c>
      <c r="C3978" t="s">
        <v>72</v>
      </c>
      <c r="D3978" t="s">
        <v>45</v>
      </c>
      <c r="E3978">
        <v>1996</v>
      </c>
      <c r="F3978">
        <v>5</v>
      </c>
      <c r="G3978">
        <v>5</v>
      </c>
      <c r="H3978">
        <v>1</v>
      </c>
      <c r="I3978">
        <v>1</v>
      </c>
      <c r="J3978">
        <v>0.97608695652173905</v>
      </c>
      <c r="K3978">
        <v>1</v>
      </c>
      <c r="L3978">
        <v>0.98789878987898805</v>
      </c>
      <c r="M3978">
        <v>0.92391304347826098</v>
      </c>
      <c r="N3978">
        <v>1</v>
      </c>
      <c r="O3978">
        <v>0.95434782608695601</v>
      </c>
      <c r="P3978" t="s">
        <v>6171</v>
      </c>
      <c r="Q3978" t="s">
        <v>6172</v>
      </c>
      <c r="R3978" t="s">
        <v>224</v>
      </c>
      <c r="S3978" t="s">
        <v>225</v>
      </c>
      <c r="T3978" t="s">
        <v>6173</v>
      </c>
      <c r="U3978" t="s">
        <v>6174</v>
      </c>
      <c r="V3978" t="s">
        <v>6175</v>
      </c>
      <c r="W3978" t="s">
        <v>6176</v>
      </c>
      <c r="X3978" t="s">
        <v>6175</v>
      </c>
      <c r="Y3978" t="s">
        <v>761</v>
      </c>
      <c r="AD3978" t="s">
        <v>762</v>
      </c>
      <c r="AE3978" t="s">
        <v>763</v>
      </c>
      <c r="AF3978" t="s">
        <v>6179</v>
      </c>
    </row>
    <row r="3979" spans="1:32" hidden="1" x14ac:dyDescent="0.35">
      <c r="A3979">
        <v>6080</v>
      </c>
      <c r="B3979" t="s">
        <v>12507</v>
      </c>
      <c r="C3979" t="s">
        <v>68</v>
      </c>
      <c r="D3979" t="s">
        <v>58</v>
      </c>
      <c r="E3979">
        <v>676</v>
      </c>
      <c r="F3979">
        <v>3</v>
      </c>
      <c r="G3979">
        <v>3</v>
      </c>
      <c r="H3979">
        <v>1</v>
      </c>
      <c r="I3979">
        <v>0</v>
      </c>
      <c r="J3979">
        <v>0.85346215780998402</v>
      </c>
      <c r="K3979">
        <v>0.97674963200856801</v>
      </c>
      <c r="L3979">
        <v>0.91095342431029303</v>
      </c>
      <c r="M3979">
        <v>0.66273584905660399</v>
      </c>
      <c r="N3979">
        <v>1</v>
      </c>
      <c r="O3979">
        <v>0.77515723270440295</v>
      </c>
      <c r="P3979" t="s">
        <v>12508</v>
      </c>
      <c r="Q3979" t="s">
        <v>12509</v>
      </c>
      <c r="R3979" t="s">
        <v>342</v>
      </c>
      <c r="S3979" t="s">
        <v>343</v>
      </c>
      <c r="V3979" t="s">
        <v>12510</v>
      </c>
      <c r="W3979" t="s">
        <v>12511</v>
      </c>
      <c r="AF3979" t="s">
        <v>12512</v>
      </c>
    </row>
    <row r="3980" spans="1:32" hidden="1" x14ac:dyDescent="0.35">
      <c r="A3980">
        <v>3005</v>
      </c>
      <c r="B3980" t="s">
        <v>6205</v>
      </c>
      <c r="C3980" t="s">
        <v>72</v>
      </c>
      <c r="D3980" t="s">
        <v>60</v>
      </c>
      <c r="E3980">
        <v>633</v>
      </c>
      <c r="F3980">
        <v>5</v>
      </c>
      <c r="G3980">
        <v>5</v>
      </c>
      <c r="H3980">
        <v>1</v>
      </c>
      <c r="I3980">
        <v>1</v>
      </c>
      <c r="J3980">
        <v>0.88031624863685898</v>
      </c>
      <c r="K3980">
        <v>0.97335910604435805</v>
      </c>
      <c r="L3980">
        <v>0.92450259388257705</v>
      </c>
      <c r="M3980">
        <v>0.77718832891246703</v>
      </c>
      <c r="N3980">
        <v>1</v>
      </c>
      <c r="O3980">
        <v>0.82944297082228102</v>
      </c>
      <c r="P3980" t="s">
        <v>2564</v>
      </c>
      <c r="Q3980" t="s">
        <v>2565</v>
      </c>
      <c r="R3980" t="s">
        <v>224</v>
      </c>
      <c r="S3980" t="s">
        <v>225</v>
      </c>
      <c r="T3980" t="s">
        <v>6206</v>
      </c>
      <c r="U3980" t="s">
        <v>6207</v>
      </c>
      <c r="V3980" t="s">
        <v>6208</v>
      </c>
      <c r="W3980" t="s">
        <v>6209</v>
      </c>
      <c r="X3980" t="s">
        <v>6208</v>
      </c>
      <c r="Y3980" t="s">
        <v>773</v>
      </c>
      <c r="AD3980" t="s">
        <v>774</v>
      </c>
      <c r="AE3980" t="s">
        <v>4223</v>
      </c>
      <c r="AF3980" t="s">
        <v>6211</v>
      </c>
    </row>
    <row r="3981" spans="1:32" hidden="1" x14ac:dyDescent="0.35">
      <c r="A3981">
        <v>3006</v>
      </c>
      <c r="B3981" t="s">
        <v>6205</v>
      </c>
      <c r="C3981" t="s">
        <v>72</v>
      </c>
      <c r="D3981" t="s">
        <v>62</v>
      </c>
      <c r="E3981">
        <v>717</v>
      </c>
      <c r="F3981">
        <v>5</v>
      </c>
      <c r="G3981">
        <v>5</v>
      </c>
      <c r="H3981">
        <v>1</v>
      </c>
      <c r="I3981">
        <v>1</v>
      </c>
      <c r="J3981">
        <v>0.88031624863685898</v>
      </c>
      <c r="K3981">
        <v>0.97335910604435805</v>
      </c>
      <c r="L3981">
        <v>0.92450259388257705</v>
      </c>
      <c r="M3981">
        <v>0.77718832891246703</v>
      </c>
      <c r="N3981">
        <v>1</v>
      </c>
      <c r="O3981">
        <v>0.82944297082228102</v>
      </c>
      <c r="P3981" t="s">
        <v>2564</v>
      </c>
      <c r="Q3981" t="s">
        <v>2565</v>
      </c>
      <c r="R3981" t="s">
        <v>224</v>
      </c>
      <c r="S3981" t="s">
        <v>225</v>
      </c>
      <c r="T3981" t="s">
        <v>6206</v>
      </c>
      <c r="U3981" t="s">
        <v>6207</v>
      </c>
      <c r="V3981" t="s">
        <v>6208</v>
      </c>
      <c r="W3981" t="s">
        <v>6209</v>
      </c>
      <c r="X3981" t="s">
        <v>6208</v>
      </c>
      <c r="Y3981" t="s">
        <v>773</v>
      </c>
      <c r="AD3981" t="s">
        <v>774</v>
      </c>
      <c r="AE3981" t="s">
        <v>4223</v>
      </c>
      <c r="AF3981" t="s">
        <v>6211</v>
      </c>
    </row>
    <row r="3982" spans="1:32" hidden="1" x14ac:dyDescent="0.35">
      <c r="A3982">
        <v>3007</v>
      </c>
      <c r="B3982" t="s">
        <v>6205</v>
      </c>
      <c r="C3982" t="s">
        <v>72</v>
      </c>
      <c r="D3982" t="s">
        <v>34</v>
      </c>
      <c r="E3982">
        <v>452</v>
      </c>
      <c r="F3982">
        <v>5</v>
      </c>
      <c r="G3982">
        <v>5</v>
      </c>
      <c r="H3982">
        <v>1</v>
      </c>
      <c r="I3982">
        <v>1</v>
      </c>
      <c r="J3982">
        <v>0.88031624863685898</v>
      </c>
      <c r="K3982">
        <v>0.97335910604435805</v>
      </c>
      <c r="L3982">
        <v>0.92450259388257705</v>
      </c>
      <c r="M3982">
        <v>0.77718832891246703</v>
      </c>
      <c r="N3982">
        <v>1</v>
      </c>
      <c r="O3982">
        <v>0.82944297082228102</v>
      </c>
      <c r="P3982" t="s">
        <v>2564</v>
      </c>
      <c r="Q3982" t="s">
        <v>2565</v>
      </c>
      <c r="R3982" t="s">
        <v>224</v>
      </c>
      <c r="S3982" t="s">
        <v>225</v>
      </c>
      <c r="T3982" t="s">
        <v>6206</v>
      </c>
      <c r="U3982" t="s">
        <v>6207</v>
      </c>
      <c r="V3982" t="s">
        <v>6208</v>
      </c>
      <c r="W3982" t="s">
        <v>6209</v>
      </c>
      <c r="X3982" t="s">
        <v>6208</v>
      </c>
      <c r="Y3982" t="s">
        <v>773</v>
      </c>
      <c r="AD3982" t="s">
        <v>774</v>
      </c>
      <c r="AE3982" t="s">
        <v>4223</v>
      </c>
      <c r="AF3982" t="s">
        <v>6212</v>
      </c>
    </row>
    <row r="3983" spans="1:32" hidden="1" x14ac:dyDescent="0.35">
      <c r="A3983">
        <v>3008</v>
      </c>
      <c r="B3983" t="s">
        <v>6205</v>
      </c>
      <c r="C3983" t="s">
        <v>72</v>
      </c>
      <c r="D3983" t="s">
        <v>45</v>
      </c>
      <c r="E3983">
        <v>1715</v>
      </c>
      <c r="F3983">
        <v>5</v>
      </c>
      <c r="G3983">
        <v>5</v>
      </c>
      <c r="H3983">
        <v>1</v>
      </c>
      <c r="I3983">
        <v>1</v>
      </c>
      <c r="J3983">
        <v>0.88031624863685898</v>
      </c>
      <c r="K3983">
        <v>0.97335910604435805</v>
      </c>
      <c r="L3983">
        <v>0.92450259388257705</v>
      </c>
      <c r="M3983">
        <v>0.77718832891246703</v>
      </c>
      <c r="N3983">
        <v>1</v>
      </c>
      <c r="O3983">
        <v>0.82944297082228102</v>
      </c>
      <c r="P3983" t="s">
        <v>2564</v>
      </c>
      <c r="Q3983" t="s">
        <v>2565</v>
      </c>
      <c r="R3983" t="s">
        <v>224</v>
      </c>
      <c r="S3983" t="s">
        <v>225</v>
      </c>
      <c r="T3983" t="s">
        <v>6206</v>
      </c>
      <c r="U3983" t="s">
        <v>6207</v>
      </c>
      <c r="V3983" t="s">
        <v>6208</v>
      </c>
      <c r="W3983" t="s">
        <v>6209</v>
      </c>
      <c r="X3983" t="s">
        <v>6208</v>
      </c>
      <c r="Y3983" t="s">
        <v>773</v>
      </c>
      <c r="AD3983" t="s">
        <v>774</v>
      </c>
      <c r="AE3983" t="s">
        <v>4223</v>
      </c>
      <c r="AF3983" t="s">
        <v>6213</v>
      </c>
    </row>
    <row r="3984" spans="1:32" hidden="1" x14ac:dyDescent="0.35">
      <c r="A3984">
        <v>804</v>
      </c>
      <c r="B3984" t="s">
        <v>1649</v>
      </c>
      <c r="C3984" t="s">
        <v>72</v>
      </c>
      <c r="D3984" t="s">
        <v>58</v>
      </c>
      <c r="E3984">
        <v>1082</v>
      </c>
      <c r="F3984">
        <v>5</v>
      </c>
      <c r="G3984">
        <v>5</v>
      </c>
      <c r="H3984">
        <v>1</v>
      </c>
      <c r="I3984">
        <v>1</v>
      </c>
      <c r="J3984">
        <v>0.81662230109435097</v>
      </c>
      <c r="K3984">
        <v>0.98864286266326495</v>
      </c>
      <c r="L3984">
        <v>0.89443681258226504</v>
      </c>
      <c r="M3984">
        <v>0.679824561403509</v>
      </c>
      <c r="N3984">
        <v>1</v>
      </c>
      <c r="O3984">
        <v>0.75263157894736799</v>
      </c>
      <c r="P3984" t="s">
        <v>1650</v>
      </c>
      <c r="Q3984" t="s">
        <v>1651</v>
      </c>
      <c r="R3984" t="s">
        <v>113</v>
      </c>
      <c r="S3984" t="s">
        <v>114</v>
      </c>
      <c r="T3984" t="s">
        <v>1652</v>
      </c>
      <c r="U3984" t="s">
        <v>1653</v>
      </c>
      <c r="V3984" t="s">
        <v>1654</v>
      </c>
      <c r="W3984" t="s">
        <v>1655</v>
      </c>
      <c r="AD3984" t="s">
        <v>312</v>
      </c>
      <c r="AE3984" t="s">
        <v>1656</v>
      </c>
      <c r="AF3984" t="s">
        <v>1657</v>
      </c>
    </row>
    <row r="3985" spans="1:32" hidden="1" x14ac:dyDescent="0.35">
      <c r="A3985">
        <v>3085</v>
      </c>
      <c r="B3985" t="s">
        <v>6369</v>
      </c>
      <c r="C3985" t="s">
        <v>72</v>
      </c>
      <c r="D3985" t="s">
        <v>60</v>
      </c>
      <c r="E3985">
        <v>362</v>
      </c>
      <c r="F3985">
        <v>5</v>
      </c>
      <c r="G3985">
        <v>5</v>
      </c>
      <c r="H3985">
        <v>1</v>
      </c>
      <c r="I3985">
        <v>1</v>
      </c>
      <c r="J3985">
        <v>0.91974822974036197</v>
      </c>
      <c r="K3985">
        <v>0.97048737522020001</v>
      </c>
      <c r="L3985">
        <v>0.94443681306359994</v>
      </c>
      <c r="M3985">
        <v>0.82442748091603102</v>
      </c>
      <c r="N3985">
        <v>1</v>
      </c>
      <c r="O3985">
        <v>0.86870229007633604</v>
      </c>
      <c r="P3985" t="s">
        <v>6370</v>
      </c>
      <c r="Q3985" t="s">
        <v>6371</v>
      </c>
      <c r="R3985" t="s">
        <v>224</v>
      </c>
      <c r="S3985" t="s">
        <v>225</v>
      </c>
      <c r="T3985" t="s">
        <v>6372</v>
      </c>
      <c r="U3985" t="s">
        <v>6373</v>
      </c>
      <c r="V3985" t="s">
        <v>6374</v>
      </c>
      <c r="W3985" t="s">
        <v>6375</v>
      </c>
      <c r="X3985" t="s">
        <v>6374</v>
      </c>
      <c r="Y3985" t="s">
        <v>749</v>
      </c>
      <c r="AD3985" t="s">
        <v>750</v>
      </c>
      <c r="AE3985" t="s">
        <v>751</v>
      </c>
      <c r="AF3985" t="s">
        <v>6377</v>
      </c>
    </row>
    <row r="3986" spans="1:32" hidden="1" x14ac:dyDescent="0.35">
      <c r="A3986">
        <v>3086</v>
      </c>
      <c r="B3986" t="s">
        <v>6369</v>
      </c>
      <c r="C3986" t="s">
        <v>72</v>
      </c>
      <c r="D3986" t="s">
        <v>62</v>
      </c>
      <c r="E3986">
        <v>442</v>
      </c>
      <c r="F3986">
        <v>5</v>
      </c>
      <c r="G3986">
        <v>5</v>
      </c>
      <c r="H3986">
        <v>1</v>
      </c>
      <c r="I3986">
        <v>1</v>
      </c>
      <c r="J3986">
        <v>0.91974822974036197</v>
      </c>
      <c r="K3986">
        <v>0.97048737522020001</v>
      </c>
      <c r="L3986">
        <v>0.94443681306359994</v>
      </c>
      <c r="M3986">
        <v>0.82442748091603102</v>
      </c>
      <c r="N3986">
        <v>1</v>
      </c>
      <c r="O3986">
        <v>0.86870229007633604</v>
      </c>
      <c r="P3986" t="s">
        <v>6370</v>
      </c>
      <c r="Q3986" t="s">
        <v>6371</v>
      </c>
      <c r="R3986" t="s">
        <v>224</v>
      </c>
      <c r="S3986" t="s">
        <v>225</v>
      </c>
      <c r="T3986" t="s">
        <v>6372</v>
      </c>
      <c r="U3986" t="s">
        <v>6373</v>
      </c>
      <c r="V3986" t="s">
        <v>6374</v>
      </c>
      <c r="W3986" t="s">
        <v>6375</v>
      </c>
      <c r="X3986" t="s">
        <v>6374</v>
      </c>
      <c r="Y3986" t="s">
        <v>749</v>
      </c>
      <c r="AD3986" t="s">
        <v>750</v>
      </c>
      <c r="AE3986" t="s">
        <v>751</v>
      </c>
      <c r="AF3986" t="s">
        <v>6377</v>
      </c>
    </row>
    <row r="3987" spans="1:32" hidden="1" x14ac:dyDescent="0.35">
      <c r="A3987">
        <v>3087</v>
      </c>
      <c r="B3987" t="s">
        <v>6369</v>
      </c>
      <c r="C3987" t="s">
        <v>72</v>
      </c>
      <c r="D3987" t="s">
        <v>34</v>
      </c>
      <c r="E3987">
        <v>807</v>
      </c>
      <c r="F3987">
        <v>5</v>
      </c>
      <c r="G3987">
        <v>5</v>
      </c>
      <c r="H3987">
        <v>1</v>
      </c>
      <c r="I3987">
        <v>1</v>
      </c>
      <c r="J3987">
        <v>0.91974822974036197</v>
      </c>
      <c r="K3987">
        <v>0.97048737522020001</v>
      </c>
      <c r="L3987">
        <v>0.94443681306359994</v>
      </c>
      <c r="M3987">
        <v>0.82442748091603102</v>
      </c>
      <c r="N3987">
        <v>1</v>
      </c>
      <c r="O3987">
        <v>0.86870229007633604</v>
      </c>
      <c r="P3987" t="s">
        <v>6370</v>
      </c>
      <c r="Q3987" t="s">
        <v>6371</v>
      </c>
      <c r="R3987" t="s">
        <v>224</v>
      </c>
      <c r="S3987" t="s">
        <v>225</v>
      </c>
      <c r="T3987" t="s">
        <v>6372</v>
      </c>
      <c r="U3987" t="s">
        <v>6373</v>
      </c>
      <c r="V3987" t="s">
        <v>6374</v>
      </c>
      <c r="W3987" t="s">
        <v>6375</v>
      </c>
      <c r="X3987" t="s">
        <v>6374</v>
      </c>
      <c r="Y3987" t="s">
        <v>749</v>
      </c>
      <c r="AD3987" t="s">
        <v>750</v>
      </c>
      <c r="AE3987" t="s">
        <v>751</v>
      </c>
      <c r="AF3987" t="s">
        <v>6378</v>
      </c>
    </row>
    <row r="3988" spans="1:32" hidden="1" x14ac:dyDescent="0.35">
      <c r="A3988">
        <v>3088</v>
      </c>
      <c r="B3988" t="s">
        <v>6369</v>
      </c>
      <c r="C3988" t="s">
        <v>72</v>
      </c>
      <c r="D3988" t="s">
        <v>45</v>
      </c>
      <c r="E3988">
        <v>2063</v>
      </c>
      <c r="F3988">
        <v>5</v>
      </c>
      <c r="G3988">
        <v>5</v>
      </c>
      <c r="H3988">
        <v>1</v>
      </c>
      <c r="I3988">
        <v>1</v>
      </c>
      <c r="J3988">
        <v>0.91974822974036197</v>
      </c>
      <c r="K3988">
        <v>0.97048737522020001</v>
      </c>
      <c r="L3988">
        <v>0.94443681306359994</v>
      </c>
      <c r="M3988">
        <v>0.82442748091603102</v>
      </c>
      <c r="N3988">
        <v>1</v>
      </c>
      <c r="O3988">
        <v>0.86870229007633604</v>
      </c>
      <c r="P3988" t="s">
        <v>6370</v>
      </c>
      <c r="Q3988" t="s">
        <v>6371</v>
      </c>
      <c r="R3988" t="s">
        <v>224</v>
      </c>
      <c r="S3988" t="s">
        <v>225</v>
      </c>
      <c r="T3988" t="s">
        <v>6372</v>
      </c>
      <c r="U3988" t="s">
        <v>6373</v>
      </c>
      <c r="V3988" t="s">
        <v>6374</v>
      </c>
      <c r="W3988" t="s">
        <v>6375</v>
      </c>
      <c r="X3988" t="s">
        <v>6374</v>
      </c>
      <c r="Y3988" t="s">
        <v>749</v>
      </c>
      <c r="AD3988" t="s">
        <v>750</v>
      </c>
      <c r="AE3988" t="s">
        <v>751</v>
      </c>
      <c r="AF3988" t="s">
        <v>6378</v>
      </c>
    </row>
    <row r="3989" spans="1:32" hidden="1" x14ac:dyDescent="0.35">
      <c r="A3989">
        <v>1434</v>
      </c>
      <c r="B3989" t="s">
        <v>2997</v>
      </c>
      <c r="C3989" t="s">
        <v>72</v>
      </c>
      <c r="D3989" t="s">
        <v>58</v>
      </c>
      <c r="E3989">
        <v>1543</v>
      </c>
      <c r="F3989">
        <v>5</v>
      </c>
      <c r="G3989">
        <v>5</v>
      </c>
      <c r="H3989">
        <v>1</v>
      </c>
      <c r="I3989">
        <v>1</v>
      </c>
      <c r="J3989">
        <v>0.69877835951134404</v>
      </c>
      <c r="K3989">
        <v>0.80784877885580397</v>
      </c>
      <c r="L3989">
        <v>0.74936555972820496</v>
      </c>
      <c r="M3989">
        <v>0.40816326530612201</v>
      </c>
      <c r="N3989">
        <v>1</v>
      </c>
      <c r="O3989">
        <v>0.55346938775510202</v>
      </c>
      <c r="P3989" t="s">
        <v>2998</v>
      </c>
      <c r="Q3989" t="s">
        <v>2999</v>
      </c>
      <c r="R3989" t="s">
        <v>113</v>
      </c>
      <c r="S3989" t="s">
        <v>114</v>
      </c>
      <c r="T3989" t="s">
        <v>3000</v>
      </c>
      <c r="U3989" t="s">
        <v>3001</v>
      </c>
      <c r="V3989" t="s">
        <v>1654</v>
      </c>
      <c r="W3989" t="s">
        <v>1655</v>
      </c>
      <c r="AD3989" t="s">
        <v>312</v>
      </c>
      <c r="AE3989" t="s">
        <v>1656</v>
      </c>
      <c r="AF3989" t="e">
        <f>------MHIQSLSQKTQDYLKVIWEICERTETPASNSAIADALEEKNSTVSEAIKRLRAQKLVEHKPYQGVTLTEEGASLAVAMVRRHRLIEMFLCDTLGYTWDEVHDEAEILEHAVSDTFLDRVDTLLGHPHRDPHGDPIPRADGTIDIVGIRDLSSVNIGESATVERIRDRDPELLRYLAQRGILPGVTISVVDTPHSSLKMLKV----AGADEPVALADSQSCAIVVSSQKNQAAATPRTQQ</f>
        <v>#NAME?</v>
      </c>
    </row>
    <row r="3990" spans="1:32" hidden="1" x14ac:dyDescent="0.35">
      <c r="A3990">
        <v>3135</v>
      </c>
      <c r="B3990" t="s">
        <v>6455</v>
      </c>
      <c r="C3990" t="s">
        <v>72</v>
      </c>
      <c r="D3990" t="s">
        <v>60</v>
      </c>
      <c r="E3990">
        <v>1203</v>
      </c>
      <c r="F3990">
        <v>5</v>
      </c>
      <c r="G3990">
        <v>5</v>
      </c>
      <c r="H3990">
        <v>1</v>
      </c>
      <c r="I3990">
        <v>1</v>
      </c>
      <c r="J3990">
        <v>0.81573744563068395</v>
      </c>
      <c r="K3990">
        <v>0.89672514619883104</v>
      </c>
      <c r="L3990">
        <v>0.85431621535340396</v>
      </c>
      <c r="M3990">
        <v>0.57368421052631602</v>
      </c>
      <c r="N3990">
        <v>1</v>
      </c>
      <c r="O3990">
        <v>0.74736842105263201</v>
      </c>
      <c r="P3990" t="s">
        <v>1619</v>
      </c>
      <c r="Q3990" t="s">
        <v>1620</v>
      </c>
      <c r="R3990" t="s">
        <v>224</v>
      </c>
      <c r="S3990" t="s">
        <v>225</v>
      </c>
      <c r="T3990" t="s">
        <v>1621</v>
      </c>
      <c r="U3990" t="s">
        <v>1622</v>
      </c>
      <c r="V3990" t="s">
        <v>1623</v>
      </c>
      <c r="W3990" t="s">
        <v>1624</v>
      </c>
      <c r="AD3990" t="s">
        <v>219</v>
      </c>
      <c r="AE3990" t="s">
        <v>1625</v>
      </c>
      <c r="AF3990" t="s">
        <v>6457</v>
      </c>
    </row>
    <row r="3991" spans="1:32" hidden="1" x14ac:dyDescent="0.35">
      <c r="A3991">
        <v>3136</v>
      </c>
      <c r="B3991" t="s">
        <v>6455</v>
      </c>
      <c r="C3991" t="s">
        <v>72</v>
      </c>
      <c r="D3991" t="s">
        <v>62</v>
      </c>
      <c r="E3991">
        <v>1240</v>
      </c>
      <c r="F3991">
        <v>5</v>
      </c>
      <c r="G3991">
        <v>5</v>
      </c>
      <c r="H3991">
        <v>1</v>
      </c>
      <c r="I3991">
        <v>1</v>
      </c>
      <c r="J3991">
        <v>0.81573744563068395</v>
      </c>
      <c r="K3991">
        <v>0.89672514619883104</v>
      </c>
      <c r="L3991">
        <v>0.85431621535340396</v>
      </c>
      <c r="M3991">
        <v>0.57368421052631602</v>
      </c>
      <c r="N3991">
        <v>1</v>
      </c>
      <c r="O3991">
        <v>0.74736842105263201</v>
      </c>
      <c r="P3991" t="s">
        <v>1619</v>
      </c>
      <c r="Q3991" t="s">
        <v>1620</v>
      </c>
      <c r="R3991" t="s">
        <v>224</v>
      </c>
      <c r="S3991" t="s">
        <v>225</v>
      </c>
      <c r="T3991" t="s">
        <v>1621</v>
      </c>
      <c r="U3991" t="s">
        <v>1622</v>
      </c>
      <c r="V3991" t="s">
        <v>1623</v>
      </c>
      <c r="W3991" t="s">
        <v>1624</v>
      </c>
      <c r="AD3991" t="s">
        <v>219</v>
      </c>
      <c r="AE3991" t="s">
        <v>1625</v>
      </c>
      <c r="AF3991" t="s">
        <v>6457</v>
      </c>
    </row>
    <row r="3992" spans="1:32" hidden="1" x14ac:dyDescent="0.35">
      <c r="A3992">
        <v>3137</v>
      </c>
      <c r="B3992" t="s">
        <v>6455</v>
      </c>
      <c r="C3992" t="s">
        <v>72</v>
      </c>
      <c r="D3992" t="s">
        <v>34</v>
      </c>
      <c r="E3992">
        <v>1797</v>
      </c>
      <c r="F3992">
        <v>5</v>
      </c>
      <c r="G3992">
        <v>5</v>
      </c>
      <c r="H3992">
        <v>1</v>
      </c>
      <c r="I3992">
        <v>1</v>
      </c>
      <c r="J3992">
        <v>0.81573744563068395</v>
      </c>
      <c r="K3992">
        <v>0.89672514619883104</v>
      </c>
      <c r="L3992">
        <v>0.85431621535340396</v>
      </c>
      <c r="M3992">
        <v>0.57368421052631602</v>
      </c>
      <c r="N3992">
        <v>1</v>
      </c>
      <c r="O3992">
        <v>0.74736842105263201</v>
      </c>
      <c r="P3992" t="s">
        <v>1619</v>
      </c>
      <c r="Q3992" t="s">
        <v>1620</v>
      </c>
      <c r="R3992" t="s">
        <v>224</v>
      </c>
      <c r="S3992" t="s">
        <v>225</v>
      </c>
      <c r="T3992" t="s">
        <v>1621</v>
      </c>
      <c r="U3992" t="s">
        <v>1622</v>
      </c>
      <c r="V3992" t="s">
        <v>1623</v>
      </c>
      <c r="W3992" t="s">
        <v>1624</v>
      </c>
      <c r="AD3992" t="s">
        <v>219</v>
      </c>
      <c r="AE3992" t="s">
        <v>1625</v>
      </c>
      <c r="AF3992" t="s">
        <v>6458</v>
      </c>
    </row>
    <row r="3993" spans="1:32" hidden="1" x14ac:dyDescent="0.35">
      <c r="A3993">
        <v>3138</v>
      </c>
      <c r="B3993" t="s">
        <v>6455</v>
      </c>
      <c r="C3993" t="s">
        <v>72</v>
      </c>
      <c r="D3993" t="s">
        <v>45</v>
      </c>
      <c r="E3993">
        <v>1076</v>
      </c>
      <c r="F3993">
        <v>5</v>
      </c>
      <c r="G3993">
        <v>5</v>
      </c>
      <c r="H3993">
        <v>1</v>
      </c>
      <c r="I3993">
        <v>1</v>
      </c>
      <c r="J3993">
        <v>0.81573744563068395</v>
      </c>
      <c r="K3993">
        <v>0.89672514619883104</v>
      </c>
      <c r="L3993">
        <v>0.85431621535340396</v>
      </c>
      <c r="M3993">
        <v>0.57368421052631602</v>
      </c>
      <c r="N3993">
        <v>1</v>
      </c>
      <c r="O3993">
        <v>0.74736842105263201</v>
      </c>
      <c r="P3993" t="s">
        <v>1619</v>
      </c>
      <c r="Q3993" t="s">
        <v>1620</v>
      </c>
      <c r="R3993" t="s">
        <v>224</v>
      </c>
      <c r="S3993" t="s">
        <v>225</v>
      </c>
      <c r="T3993" t="s">
        <v>1621</v>
      </c>
      <c r="U3993" t="s">
        <v>1622</v>
      </c>
      <c r="V3993" t="s">
        <v>1623</v>
      </c>
      <c r="W3993" t="s">
        <v>1624</v>
      </c>
      <c r="AD3993" t="s">
        <v>219</v>
      </c>
      <c r="AE3993" t="s">
        <v>1625</v>
      </c>
      <c r="AF3993" t="s">
        <v>6459</v>
      </c>
    </row>
    <row r="3994" spans="1:32" hidden="1" x14ac:dyDescent="0.35">
      <c r="A3994">
        <v>1014</v>
      </c>
      <c r="B3994" t="s">
        <v>2111</v>
      </c>
      <c r="C3994" t="s">
        <v>72</v>
      </c>
      <c r="D3994" t="s">
        <v>58</v>
      </c>
      <c r="E3994">
        <v>552</v>
      </c>
      <c r="F3994">
        <v>5</v>
      </c>
      <c r="G3994">
        <v>5</v>
      </c>
      <c r="H3994">
        <v>1</v>
      </c>
      <c r="I3994">
        <v>1</v>
      </c>
      <c r="J3994">
        <v>0.78264649626152005</v>
      </c>
      <c r="K3994">
        <v>0.85827923332560596</v>
      </c>
      <c r="L3994">
        <v>0.818719851440593</v>
      </c>
      <c r="M3994">
        <v>0.50877192982456099</v>
      </c>
      <c r="N3994">
        <v>1</v>
      </c>
      <c r="O3994">
        <v>0.66315789473684195</v>
      </c>
      <c r="P3994" t="s">
        <v>2112</v>
      </c>
      <c r="Q3994" t="s">
        <v>2113</v>
      </c>
      <c r="R3994" t="s">
        <v>869</v>
      </c>
      <c r="S3994" t="s">
        <v>870</v>
      </c>
      <c r="V3994" t="s">
        <v>2114</v>
      </c>
      <c r="W3994" t="s">
        <v>2115</v>
      </c>
      <c r="X3994" t="s">
        <v>2114</v>
      </c>
      <c r="Y3994" t="s">
        <v>2116</v>
      </c>
      <c r="AF3994" t="s">
        <v>2117</v>
      </c>
    </row>
    <row r="3995" spans="1:32" hidden="1" x14ac:dyDescent="0.35">
      <c r="A3995">
        <v>3145</v>
      </c>
      <c r="B3995" t="s">
        <v>6468</v>
      </c>
      <c r="C3995" t="s">
        <v>72</v>
      </c>
      <c r="D3995" t="s">
        <v>60</v>
      </c>
      <c r="E3995">
        <v>1129</v>
      </c>
      <c r="F3995">
        <v>5</v>
      </c>
      <c r="G3995">
        <v>5</v>
      </c>
      <c r="H3995">
        <v>1</v>
      </c>
      <c r="I3995">
        <v>1</v>
      </c>
      <c r="J3995">
        <v>0.83478409284860899</v>
      </c>
      <c r="K3995">
        <v>0.97682160804020202</v>
      </c>
      <c r="L3995">
        <v>0.90023468080575197</v>
      </c>
      <c r="M3995">
        <v>0.69499999999999995</v>
      </c>
      <c r="N3995">
        <v>1</v>
      </c>
      <c r="O3995">
        <v>0.79100000000000004</v>
      </c>
      <c r="P3995" t="s">
        <v>6469</v>
      </c>
      <c r="Q3995" t="s">
        <v>6470</v>
      </c>
      <c r="R3995" t="s">
        <v>224</v>
      </c>
      <c r="S3995" t="s">
        <v>225</v>
      </c>
      <c r="T3995" t="s">
        <v>6471</v>
      </c>
      <c r="U3995" t="s">
        <v>6472</v>
      </c>
      <c r="V3995" t="s">
        <v>6473</v>
      </c>
      <c r="W3995" t="s">
        <v>6474</v>
      </c>
      <c r="X3995" t="s">
        <v>6473</v>
      </c>
      <c r="Y3995" t="s">
        <v>2715</v>
      </c>
      <c r="AD3995" t="s">
        <v>1170</v>
      </c>
      <c r="AE3995" t="s">
        <v>6475</v>
      </c>
      <c r="AF3995" t="s">
        <v>6477</v>
      </c>
    </row>
    <row r="3996" spans="1:32" hidden="1" x14ac:dyDescent="0.35">
      <c r="A3996">
        <v>3146</v>
      </c>
      <c r="B3996" t="s">
        <v>6468</v>
      </c>
      <c r="C3996" t="s">
        <v>72</v>
      </c>
      <c r="D3996" t="s">
        <v>62</v>
      </c>
      <c r="E3996">
        <v>1165</v>
      </c>
      <c r="F3996">
        <v>5</v>
      </c>
      <c r="G3996">
        <v>5</v>
      </c>
      <c r="H3996">
        <v>1</v>
      </c>
      <c r="I3996">
        <v>1</v>
      </c>
      <c r="J3996">
        <v>0.83478409284860899</v>
      </c>
      <c r="K3996">
        <v>0.97682160804020202</v>
      </c>
      <c r="L3996">
        <v>0.90023468080575197</v>
      </c>
      <c r="M3996">
        <v>0.69499999999999995</v>
      </c>
      <c r="N3996">
        <v>1</v>
      </c>
      <c r="O3996">
        <v>0.79100000000000004</v>
      </c>
      <c r="P3996" t="s">
        <v>6469</v>
      </c>
      <c r="Q3996" t="s">
        <v>6470</v>
      </c>
      <c r="R3996" t="s">
        <v>224</v>
      </c>
      <c r="S3996" t="s">
        <v>225</v>
      </c>
      <c r="T3996" t="s">
        <v>6471</v>
      </c>
      <c r="U3996" t="s">
        <v>6472</v>
      </c>
      <c r="V3996" t="s">
        <v>6473</v>
      </c>
      <c r="W3996" t="s">
        <v>6474</v>
      </c>
      <c r="X3996" t="s">
        <v>6473</v>
      </c>
      <c r="Y3996" t="s">
        <v>2715</v>
      </c>
      <c r="AD3996" t="s">
        <v>1170</v>
      </c>
      <c r="AE3996" t="s">
        <v>6475</v>
      </c>
      <c r="AF3996" t="s">
        <v>6478</v>
      </c>
    </row>
    <row r="3997" spans="1:32" hidden="1" x14ac:dyDescent="0.35">
      <c r="A3997">
        <v>3147</v>
      </c>
      <c r="B3997" t="s">
        <v>6468</v>
      </c>
      <c r="C3997" t="s">
        <v>72</v>
      </c>
      <c r="D3997" t="s">
        <v>34</v>
      </c>
      <c r="E3997">
        <v>19</v>
      </c>
      <c r="F3997">
        <v>5</v>
      </c>
      <c r="G3997">
        <v>5</v>
      </c>
      <c r="H3997">
        <v>1</v>
      </c>
      <c r="I3997">
        <v>1</v>
      </c>
      <c r="J3997">
        <v>0.83478409284860899</v>
      </c>
      <c r="K3997">
        <v>0.97682160804020202</v>
      </c>
      <c r="L3997">
        <v>0.90023468080575197</v>
      </c>
      <c r="M3997">
        <v>0.69499999999999995</v>
      </c>
      <c r="N3997">
        <v>1</v>
      </c>
      <c r="O3997">
        <v>0.79100000000000004</v>
      </c>
      <c r="P3997" t="s">
        <v>6469</v>
      </c>
      <c r="Q3997" t="s">
        <v>6470</v>
      </c>
      <c r="R3997" t="s">
        <v>224</v>
      </c>
      <c r="S3997" t="s">
        <v>225</v>
      </c>
      <c r="T3997" t="s">
        <v>6471</v>
      </c>
      <c r="U3997" t="s">
        <v>6472</v>
      </c>
      <c r="V3997" t="s">
        <v>6473</v>
      </c>
      <c r="W3997" t="s">
        <v>6474</v>
      </c>
      <c r="X3997" t="s">
        <v>6473</v>
      </c>
      <c r="Y3997" t="s">
        <v>2715</v>
      </c>
      <c r="AD3997" t="s">
        <v>1170</v>
      </c>
      <c r="AE3997" t="s">
        <v>6475</v>
      </c>
      <c r="AF3997" t="s">
        <v>6479</v>
      </c>
    </row>
    <row r="3998" spans="1:32" hidden="1" x14ac:dyDescent="0.35">
      <c r="A3998">
        <v>3148</v>
      </c>
      <c r="B3998" t="s">
        <v>6468</v>
      </c>
      <c r="C3998" t="s">
        <v>72</v>
      </c>
      <c r="D3998" t="s">
        <v>45</v>
      </c>
      <c r="E3998">
        <v>1275</v>
      </c>
      <c r="F3998">
        <v>5</v>
      </c>
      <c r="G3998">
        <v>5</v>
      </c>
      <c r="H3998">
        <v>1</v>
      </c>
      <c r="I3998">
        <v>1</v>
      </c>
      <c r="J3998">
        <v>0.83478409284860899</v>
      </c>
      <c r="K3998">
        <v>0.97682160804020202</v>
      </c>
      <c r="L3998">
        <v>0.90023468080575197</v>
      </c>
      <c r="M3998">
        <v>0.69499999999999995</v>
      </c>
      <c r="N3998">
        <v>1</v>
      </c>
      <c r="O3998">
        <v>0.79100000000000004</v>
      </c>
      <c r="P3998" t="s">
        <v>6469</v>
      </c>
      <c r="Q3998" t="s">
        <v>6470</v>
      </c>
      <c r="R3998" t="s">
        <v>224</v>
      </c>
      <c r="S3998" t="s">
        <v>225</v>
      </c>
      <c r="T3998" t="s">
        <v>6471</v>
      </c>
      <c r="U3998" t="s">
        <v>6472</v>
      </c>
      <c r="V3998" t="s">
        <v>6473</v>
      </c>
      <c r="W3998" t="s">
        <v>6474</v>
      </c>
      <c r="X3998" t="s">
        <v>6473</v>
      </c>
      <c r="Y3998" t="s">
        <v>2715</v>
      </c>
      <c r="AD3998" t="s">
        <v>1170</v>
      </c>
      <c r="AE3998" t="s">
        <v>6475</v>
      </c>
      <c r="AF3998" t="s">
        <v>6479</v>
      </c>
    </row>
    <row r="3999" spans="1:32" hidden="1" x14ac:dyDescent="0.35">
      <c r="A3999">
        <v>2599</v>
      </c>
      <c r="B3999" t="s">
        <v>5381</v>
      </c>
      <c r="C3999" t="s">
        <v>72</v>
      </c>
      <c r="D3999" t="s">
        <v>58</v>
      </c>
      <c r="E3999">
        <v>558</v>
      </c>
      <c r="F3999">
        <v>5</v>
      </c>
      <c r="G3999">
        <v>5</v>
      </c>
      <c r="H3999">
        <v>1</v>
      </c>
      <c r="I3999">
        <v>1</v>
      </c>
      <c r="J3999">
        <v>0.85660554771979303</v>
      </c>
      <c r="K3999">
        <v>0.95920627173448503</v>
      </c>
      <c r="L3999">
        <v>0.90500723144573503</v>
      </c>
      <c r="M3999">
        <v>0.70945945945945899</v>
      </c>
      <c r="N3999">
        <v>1</v>
      </c>
      <c r="O3999">
        <v>0.786036036036036</v>
      </c>
      <c r="P3999" t="s">
        <v>5382</v>
      </c>
      <c r="Q3999" t="s">
        <v>5383</v>
      </c>
      <c r="R3999" t="s">
        <v>869</v>
      </c>
      <c r="S3999" t="s">
        <v>870</v>
      </c>
      <c r="T3999" t="s">
        <v>5384</v>
      </c>
      <c r="U3999" t="s">
        <v>5385</v>
      </c>
      <c r="V3999" t="s">
        <v>5386</v>
      </c>
      <c r="W3999" t="s">
        <v>5387</v>
      </c>
      <c r="X3999" t="s">
        <v>5386</v>
      </c>
      <c r="Y3999" t="s">
        <v>2116</v>
      </c>
      <c r="Z3999" t="s">
        <v>5388</v>
      </c>
      <c r="AA3999" t="s">
        <v>5389</v>
      </c>
      <c r="AB3999" t="s">
        <v>5388</v>
      </c>
      <c r="AC3999" t="s">
        <v>1094</v>
      </c>
      <c r="AD3999" t="s">
        <v>219</v>
      </c>
      <c r="AE3999" t="s">
        <v>5390</v>
      </c>
      <c r="AF3999" t="s">
        <v>5391</v>
      </c>
    </row>
    <row r="4000" spans="1:32" hidden="1" x14ac:dyDescent="0.35">
      <c r="A4000">
        <v>3180</v>
      </c>
      <c r="B4000" t="s">
        <v>6532</v>
      </c>
      <c r="C4000" t="s">
        <v>72</v>
      </c>
      <c r="D4000" t="s">
        <v>60</v>
      </c>
      <c r="E4000">
        <v>446</v>
      </c>
      <c r="F4000">
        <v>5</v>
      </c>
      <c r="G4000">
        <v>5</v>
      </c>
      <c r="H4000">
        <v>1</v>
      </c>
      <c r="I4000">
        <v>1</v>
      </c>
      <c r="J4000">
        <v>0.91496598639455795</v>
      </c>
      <c r="K4000">
        <v>1</v>
      </c>
      <c r="L4000">
        <v>0.95559502664298401</v>
      </c>
      <c r="M4000">
        <v>0.80272108843537404</v>
      </c>
      <c r="N4000">
        <v>1</v>
      </c>
      <c r="O4000">
        <v>0.865986394557823</v>
      </c>
      <c r="P4000" t="s">
        <v>6533</v>
      </c>
      <c r="Q4000" t="s">
        <v>6534</v>
      </c>
      <c r="R4000" t="s">
        <v>224</v>
      </c>
      <c r="S4000" t="s">
        <v>225</v>
      </c>
      <c r="T4000" t="s">
        <v>6535</v>
      </c>
      <c r="U4000" t="s">
        <v>6536</v>
      </c>
      <c r="V4000" t="s">
        <v>6537</v>
      </c>
      <c r="W4000" t="s">
        <v>6538</v>
      </c>
      <c r="X4000" t="s">
        <v>6537</v>
      </c>
      <c r="Y4000" t="s">
        <v>749</v>
      </c>
      <c r="AD4000" t="s">
        <v>762</v>
      </c>
      <c r="AE4000" t="s">
        <v>1545</v>
      </c>
      <c r="AF4000" t="s">
        <v>6540</v>
      </c>
    </row>
    <row r="4001" spans="1:32" hidden="1" x14ac:dyDescent="0.35">
      <c r="A4001">
        <v>3181</v>
      </c>
      <c r="B4001" t="s">
        <v>6532</v>
      </c>
      <c r="C4001" t="s">
        <v>72</v>
      </c>
      <c r="D4001" t="s">
        <v>62</v>
      </c>
      <c r="E4001">
        <v>527</v>
      </c>
      <c r="F4001">
        <v>5</v>
      </c>
      <c r="G4001">
        <v>5</v>
      </c>
      <c r="H4001">
        <v>1</v>
      </c>
      <c r="I4001">
        <v>1</v>
      </c>
      <c r="J4001">
        <v>0.91496598639455795</v>
      </c>
      <c r="K4001">
        <v>1</v>
      </c>
      <c r="L4001">
        <v>0.95559502664298401</v>
      </c>
      <c r="M4001">
        <v>0.80272108843537404</v>
      </c>
      <c r="N4001">
        <v>1</v>
      </c>
      <c r="O4001">
        <v>0.865986394557823</v>
      </c>
      <c r="P4001" t="s">
        <v>6533</v>
      </c>
      <c r="Q4001" t="s">
        <v>6534</v>
      </c>
      <c r="R4001" t="s">
        <v>224</v>
      </c>
      <c r="S4001" t="s">
        <v>225</v>
      </c>
      <c r="T4001" t="s">
        <v>6535</v>
      </c>
      <c r="U4001" t="s">
        <v>6536</v>
      </c>
      <c r="V4001" t="s">
        <v>6537</v>
      </c>
      <c r="W4001" t="s">
        <v>6538</v>
      </c>
      <c r="X4001" t="s">
        <v>6537</v>
      </c>
      <c r="Y4001" t="s">
        <v>749</v>
      </c>
      <c r="AD4001" t="s">
        <v>762</v>
      </c>
      <c r="AE4001" t="s">
        <v>1545</v>
      </c>
      <c r="AF4001" t="s">
        <v>6541</v>
      </c>
    </row>
    <row r="4002" spans="1:32" hidden="1" x14ac:dyDescent="0.35">
      <c r="A4002">
        <v>3182</v>
      </c>
      <c r="B4002" t="s">
        <v>6532</v>
      </c>
      <c r="C4002" t="s">
        <v>72</v>
      </c>
      <c r="D4002" t="s">
        <v>34</v>
      </c>
      <c r="E4002">
        <v>639</v>
      </c>
      <c r="F4002">
        <v>5</v>
      </c>
      <c r="G4002">
        <v>5</v>
      </c>
      <c r="H4002">
        <v>1</v>
      </c>
      <c r="I4002">
        <v>1</v>
      </c>
      <c r="J4002">
        <v>0.91496598639455795</v>
      </c>
      <c r="K4002">
        <v>1</v>
      </c>
      <c r="L4002">
        <v>0.95559502664298401</v>
      </c>
      <c r="M4002">
        <v>0.80272108843537404</v>
      </c>
      <c r="N4002">
        <v>1</v>
      </c>
      <c r="O4002">
        <v>0.865986394557823</v>
      </c>
      <c r="P4002" t="s">
        <v>6533</v>
      </c>
      <c r="Q4002" t="s">
        <v>6534</v>
      </c>
      <c r="R4002" t="s">
        <v>224</v>
      </c>
      <c r="S4002" t="s">
        <v>225</v>
      </c>
      <c r="T4002" t="s">
        <v>6535</v>
      </c>
      <c r="U4002" t="s">
        <v>6536</v>
      </c>
      <c r="V4002" t="s">
        <v>6537</v>
      </c>
      <c r="W4002" t="s">
        <v>6538</v>
      </c>
      <c r="X4002" t="s">
        <v>6537</v>
      </c>
      <c r="Y4002" t="s">
        <v>749</v>
      </c>
      <c r="AD4002" t="s">
        <v>762</v>
      </c>
      <c r="AE4002" t="s">
        <v>1545</v>
      </c>
      <c r="AF4002" t="s">
        <v>6542</v>
      </c>
    </row>
    <row r="4003" spans="1:32" hidden="1" x14ac:dyDescent="0.35">
      <c r="A4003">
        <v>3183</v>
      </c>
      <c r="B4003" t="s">
        <v>6532</v>
      </c>
      <c r="C4003" t="s">
        <v>72</v>
      </c>
      <c r="D4003" t="s">
        <v>45</v>
      </c>
      <c r="E4003">
        <v>1905</v>
      </c>
      <c r="F4003">
        <v>5</v>
      </c>
      <c r="G4003">
        <v>5</v>
      </c>
      <c r="H4003">
        <v>1</v>
      </c>
      <c r="I4003">
        <v>1</v>
      </c>
      <c r="J4003">
        <v>0.91496598639455795</v>
      </c>
      <c r="K4003">
        <v>1</v>
      </c>
      <c r="L4003">
        <v>0.95559502664298401</v>
      </c>
      <c r="M4003">
        <v>0.80272108843537404</v>
      </c>
      <c r="N4003">
        <v>1</v>
      </c>
      <c r="O4003">
        <v>0.865986394557823</v>
      </c>
      <c r="P4003" t="s">
        <v>6533</v>
      </c>
      <c r="Q4003" t="s">
        <v>6534</v>
      </c>
      <c r="R4003" t="s">
        <v>224</v>
      </c>
      <c r="S4003" t="s">
        <v>225</v>
      </c>
      <c r="T4003" t="s">
        <v>6535</v>
      </c>
      <c r="U4003" t="s">
        <v>6536</v>
      </c>
      <c r="V4003" t="s">
        <v>6537</v>
      </c>
      <c r="W4003" t="s">
        <v>6538</v>
      </c>
      <c r="X4003" t="s">
        <v>6537</v>
      </c>
      <c r="Y4003" t="s">
        <v>749</v>
      </c>
      <c r="AD4003" t="s">
        <v>762</v>
      </c>
      <c r="AE4003" t="s">
        <v>1545</v>
      </c>
      <c r="AF4003" t="s">
        <v>6542</v>
      </c>
    </row>
    <row r="4004" spans="1:32" hidden="1" x14ac:dyDescent="0.35">
      <c r="A4004">
        <v>10967</v>
      </c>
      <c r="B4004" t="s">
        <v>22109</v>
      </c>
      <c r="C4004" t="s">
        <v>33</v>
      </c>
      <c r="D4004" t="s">
        <v>58</v>
      </c>
      <c r="E4004">
        <v>892</v>
      </c>
      <c r="F4004">
        <v>1</v>
      </c>
      <c r="G4004">
        <v>1</v>
      </c>
      <c r="H4004">
        <v>1</v>
      </c>
      <c r="I4004">
        <v>0</v>
      </c>
      <c r="J4004">
        <v>1</v>
      </c>
      <c r="K4004">
        <v>1</v>
      </c>
      <c r="L4004">
        <v>1</v>
      </c>
      <c r="M4004">
        <v>0</v>
      </c>
      <c r="N4004">
        <v>0</v>
      </c>
      <c r="O4004">
        <v>0</v>
      </c>
      <c r="P4004" t="s">
        <v>11343</v>
      </c>
      <c r="Q4004" t="s">
        <v>11344</v>
      </c>
      <c r="R4004" t="s">
        <v>869</v>
      </c>
      <c r="S4004" t="s">
        <v>870</v>
      </c>
      <c r="V4004" t="s">
        <v>22110</v>
      </c>
      <c r="W4004" t="s">
        <v>22111</v>
      </c>
      <c r="X4004" t="s">
        <v>22110</v>
      </c>
      <c r="Y4004" t="s">
        <v>2116</v>
      </c>
      <c r="AF4004" t="s">
        <v>22112</v>
      </c>
    </row>
    <row r="4005" spans="1:32" hidden="1" x14ac:dyDescent="0.35">
      <c r="A4005">
        <v>3200</v>
      </c>
      <c r="B4005" t="s">
        <v>6571</v>
      </c>
      <c r="C4005" t="s">
        <v>72</v>
      </c>
      <c r="D4005" t="s">
        <v>60</v>
      </c>
      <c r="E4005">
        <v>372</v>
      </c>
      <c r="F4005">
        <v>5</v>
      </c>
      <c r="G4005">
        <v>5</v>
      </c>
      <c r="H4005">
        <v>1</v>
      </c>
      <c r="I4005">
        <v>1</v>
      </c>
      <c r="J4005">
        <v>0.95096774193548395</v>
      </c>
      <c r="K4005">
        <v>1</v>
      </c>
      <c r="L4005">
        <v>0.97486772486772499</v>
      </c>
      <c r="M4005">
        <v>0.90967741935483903</v>
      </c>
      <c r="N4005">
        <v>1</v>
      </c>
      <c r="O4005">
        <v>0.94064516129032305</v>
      </c>
      <c r="P4005" t="s">
        <v>6572</v>
      </c>
      <c r="Q4005" t="s">
        <v>6573</v>
      </c>
      <c r="R4005" t="s">
        <v>224</v>
      </c>
      <c r="S4005" t="s">
        <v>225</v>
      </c>
      <c r="T4005" t="s">
        <v>6574</v>
      </c>
      <c r="U4005" t="s">
        <v>6575</v>
      </c>
      <c r="V4005" t="s">
        <v>6576</v>
      </c>
      <c r="W4005" t="s">
        <v>6577</v>
      </c>
      <c r="X4005" t="s">
        <v>6576</v>
      </c>
      <c r="Y4005" t="s">
        <v>761</v>
      </c>
      <c r="AD4005" t="s">
        <v>762</v>
      </c>
      <c r="AE4005" t="s">
        <v>763</v>
      </c>
      <c r="AF4005" t="s">
        <v>6579</v>
      </c>
    </row>
    <row r="4006" spans="1:32" hidden="1" x14ac:dyDescent="0.35">
      <c r="A4006">
        <v>3201</v>
      </c>
      <c r="B4006" t="s">
        <v>6571</v>
      </c>
      <c r="C4006" t="s">
        <v>72</v>
      </c>
      <c r="D4006" t="s">
        <v>62</v>
      </c>
      <c r="E4006">
        <v>452</v>
      </c>
      <c r="F4006">
        <v>5</v>
      </c>
      <c r="G4006">
        <v>5</v>
      </c>
      <c r="H4006">
        <v>1</v>
      </c>
      <c r="I4006">
        <v>1</v>
      </c>
      <c r="J4006">
        <v>0.95096774193548395</v>
      </c>
      <c r="K4006">
        <v>1</v>
      </c>
      <c r="L4006">
        <v>0.97486772486772499</v>
      </c>
      <c r="M4006">
        <v>0.90967741935483903</v>
      </c>
      <c r="N4006">
        <v>1</v>
      </c>
      <c r="O4006">
        <v>0.94064516129032305</v>
      </c>
      <c r="P4006" t="s">
        <v>6572</v>
      </c>
      <c r="Q4006" t="s">
        <v>6573</v>
      </c>
      <c r="R4006" t="s">
        <v>224</v>
      </c>
      <c r="S4006" t="s">
        <v>225</v>
      </c>
      <c r="T4006" t="s">
        <v>6574</v>
      </c>
      <c r="U4006" t="s">
        <v>6575</v>
      </c>
      <c r="V4006" t="s">
        <v>6576</v>
      </c>
      <c r="W4006" t="s">
        <v>6577</v>
      </c>
      <c r="X4006" t="s">
        <v>6576</v>
      </c>
      <c r="Y4006" t="s">
        <v>761</v>
      </c>
      <c r="AD4006" t="s">
        <v>762</v>
      </c>
      <c r="AE4006" t="s">
        <v>763</v>
      </c>
      <c r="AF4006" t="s">
        <v>6579</v>
      </c>
    </row>
    <row r="4007" spans="1:32" hidden="1" x14ac:dyDescent="0.35">
      <c r="A4007">
        <v>3202</v>
      </c>
      <c r="B4007" t="s">
        <v>6571</v>
      </c>
      <c r="C4007" t="s">
        <v>72</v>
      </c>
      <c r="D4007" t="s">
        <v>34</v>
      </c>
      <c r="E4007">
        <v>751</v>
      </c>
      <c r="F4007">
        <v>5</v>
      </c>
      <c r="G4007">
        <v>5</v>
      </c>
      <c r="H4007">
        <v>1</v>
      </c>
      <c r="I4007">
        <v>1</v>
      </c>
      <c r="J4007">
        <v>0.95096774193548395</v>
      </c>
      <c r="K4007">
        <v>1</v>
      </c>
      <c r="L4007">
        <v>0.97486772486772499</v>
      </c>
      <c r="M4007">
        <v>0.90967741935483903</v>
      </c>
      <c r="N4007">
        <v>1</v>
      </c>
      <c r="O4007">
        <v>0.94064516129032305</v>
      </c>
      <c r="P4007" t="s">
        <v>6572</v>
      </c>
      <c r="Q4007" t="s">
        <v>6573</v>
      </c>
      <c r="R4007" t="s">
        <v>224</v>
      </c>
      <c r="S4007" t="s">
        <v>225</v>
      </c>
      <c r="T4007" t="s">
        <v>6574</v>
      </c>
      <c r="U4007" t="s">
        <v>6575</v>
      </c>
      <c r="V4007" t="s">
        <v>6576</v>
      </c>
      <c r="W4007" t="s">
        <v>6577</v>
      </c>
      <c r="X4007" t="s">
        <v>6576</v>
      </c>
      <c r="Y4007" t="s">
        <v>761</v>
      </c>
      <c r="AD4007" t="s">
        <v>762</v>
      </c>
      <c r="AE4007" t="s">
        <v>763</v>
      </c>
      <c r="AF4007" t="s">
        <v>6580</v>
      </c>
    </row>
    <row r="4008" spans="1:32" hidden="1" x14ac:dyDescent="0.35">
      <c r="A4008">
        <v>3203</v>
      </c>
      <c r="B4008" t="s">
        <v>6571</v>
      </c>
      <c r="C4008" t="s">
        <v>72</v>
      </c>
      <c r="D4008" t="s">
        <v>45</v>
      </c>
      <c r="E4008">
        <v>2018</v>
      </c>
      <c r="F4008">
        <v>5</v>
      </c>
      <c r="G4008">
        <v>5</v>
      </c>
      <c r="H4008">
        <v>1</v>
      </c>
      <c r="I4008">
        <v>1</v>
      </c>
      <c r="J4008">
        <v>0.95096774193548395</v>
      </c>
      <c r="K4008">
        <v>1</v>
      </c>
      <c r="L4008">
        <v>0.97486772486772499</v>
      </c>
      <c r="M4008">
        <v>0.90967741935483903</v>
      </c>
      <c r="N4008">
        <v>1</v>
      </c>
      <c r="O4008">
        <v>0.94064516129032305</v>
      </c>
      <c r="P4008" t="s">
        <v>6572</v>
      </c>
      <c r="Q4008" t="s">
        <v>6573</v>
      </c>
      <c r="R4008" t="s">
        <v>224</v>
      </c>
      <c r="S4008" t="s">
        <v>225</v>
      </c>
      <c r="T4008" t="s">
        <v>6574</v>
      </c>
      <c r="U4008" t="s">
        <v>6575</v>
      </c>
      <c r="V4008" t="s">
        <v>6576</v>
      </c>
      <c r="W4008" t="s">
        <v>6577</v>
      </c>
      <c r="X4008" t="s">
        <v>6576</v>
      </c>
      <c r="Y4008" t="s">
        <v>761</v>
      </c>
      <c r="AD4008" t="s">
        <v>762</v>
      </c>
      <c r="AE4008" t="s">
        <v>763</v>
      </c>
      <c r="AF4008" t="s">
        <v>6580</v>
      </c>
    </row>
    <row r="4009" spans="1:32" hidden="1" x14ac:dyDescent="0.35">
      <c r="A4009">
        <v>11958</v>
      </c>
      <c r="B4009" t="s">
        <v>24677</v>
      </c>
      <c r="C4009" t="s">
        <v>10130</v>
      </c>
      <c r="D4009" t="s">
        <v>58</v>
      </c>
      <c r="E4009">
        <v>253</v>
      </c>
      <c r="F4009">
        <v>1</v>
      </c>
      <c r="G4009">
        <v>1</v>
      </c>
      <c r="H4009">
        <v>1</v>
      </c>
      <c r="I4009">
        <v>0</v>
      </c>
      <c r="J4009">
        <v>1</v>
      </c>
      <c r="K4009">
        <v>1</v>
      </c>
      <c r="L4009">
        <v>1</v>
      </c>
      <c r="M4009">
        <v>0</v>
      </c>
      <c r="N4009">
        <v>0</v>
      </c>
      <c r="O4009">
        <v>0</v>
      </c>
      <c r="P4009" t="s">
        <v>10786</v>
      </c>
      <c r="Q4009" t="s">
        <v>10787</v>
      </c>
      <c r="R4009" t="s">
        <v>235</v>
      </c>
      <c r="S4009" t="s">
        <v>236</v>
      </c>
      <c r="T4009" t="s">
        <v>24678</v>
      </c>
      <c r="U4009" t="s">
        <v>24679</v>
      </c>
      <c r="V4009" t="s">
        <v>24680</v>
      </c>
      <c r="W4009" t="s">
        <v>24681</v>
      </c>
      <c r="Z4009" t="s">
        <v>24682</v>
      </c>
      <c r="AA4009" t="s">
        <v>24683</v>
      </c>
      <c r="AB4009" t="s">
        <v>24682</v>
      </c>
      <c r="AC4009" t="s">
        <v>24684</v>
      </c>
      <c r="AD4009" t="s">
        <v>219</v>
      </c>
      <c r="AE4009" t="s">
        <v>24685</v>
      </c>
      <c r="AF4009" t="s">
        <v>24686</v>
      </c>
    </row>
    <row r="4010" spans="1:32" hidden="1" x14ac:dyDescent="0.35">
      <c r="A4010">
        <v>3235</v>
      </c>
      <c r="B4010" t="s">
        <v>6649</v>
      </c>
      <c r="C4010" t="s">
        <v>72</v>
      </c>
      <c r="D4010" t="s">
        <v>60</v>
      </c>
      <c r="E4010">
        <v>768</v>
      </c>
      <c r="F4010">
        <v>5</v>
      </c>
      <c r="G4010">
        <v>5</v>
      </c>
      <c r="H4010">
        <v>1</v>
      </c>
      <c r="I4010">
        <v>1</v>
      </c>
      <c r="J4010">
        <v>0.85029239766081899</v>
      </c>
      <c r="K4010">
        <v>1</v>
      </c>
      <c r="L4010">
        <v>0.919089759797724</v>
      </c>
      <c r="M4010">
        <v>0.71929824561403499</v>
      </c>
      <c r="N4010">
        <v>1</v>
      </c>
      <c r="O4010">
        <v>0.80350877192982495</v>
      </c>
      <c r="P4010" t="s">
        <v>6650</v>
      </c>
      <c r="Q4010" t="s">
        <v>6651</v>
      </c>
      <c r="R4010" t="s">
        <v>224</v>
      </c>
      <c r="S4010" t="s">
        <v>225</v>
      </c>
      <c r="T4010" t="s">
        <v>6652</v>
      </c>
      <c r="U4010" t="s">
        <v>6653</v>
      </c>
      <c r="V4010" t="s">
        <v>6654</v>
      </c>
      <c r="W4010" t="s">
        <v>6655</v>
      </c>
      <c r="X4010" t="s">
        <v>6654</v>
      </c>
      <c r="Y4010" t="s">
        <v>749</v>
      </c>
      <c r="AD4010" t="s">
        <v>750</v>
      </c>
      <c r="AE4010" t="s">
        <v>751</v>
      </c>
      <c r="AF4010" t="s">
        <v>6657</v>
      </c>
    </row>
    <row r="4011" spans="1:32" hidden="1" x14ac:dyDescent="0.35">
      <c r="A4011">
        <v>3236</v>
      </c>
      <c r="B4011" t="s">
        <v>6649</v>
      </c>
      <c r="C4011" t="s">
        <v>72</v>
      </c>
      <c r="D4011" t="s">
        <v>62</v>
      </c>
      <c r="E4011">
        <v>801</v>
      </c>
      <c r="F4011">
        <v>5</v>
      </c>
      <c r="G4011">
        <v>5</v>
      </c>
      <c r="H4011">
        <v>1</v>
      </c>
      <c r="I4011">
        <v>1</v>
      </c>
      <c r="J4011">
        <v>0.85029239766081899</v>
      </c>
      <c r="K4011">
        <v>1</v>
      </c>
      <c r="L4011">
        <v>0.919089759797724</v>
      </c>
      <c r="M4011">
        <v>0.71929824561403499</v>
      </c>
      <c r="N4011">
        <v>1</v>
      </c>
      <c r="O4011">
        <v>0.80350877192982495</v>
      </c>
      <c r="P4011" t="s">
        <v>6650</v>
      </c>
      <c r="Q4011" t="s">
        <v>6651</v>
      </c>
      <c r="R4011" t="s">
        <v>224</v>
      </c>
      <c r="S4011" t="s">
        <v>225</v>
      </c>
      <c r="T4011" t="s">
        <v>6652</v>
      </c>
      <c r="U4011" t="s">
        <v>6653</v>
      </c>
      <c r="V4011" t="s">
        <v>6654</v>
      </c>
      <c r="W4011" t="s">
        <v>6655</v>
      </c>
      <c r="X4011" t="s">
        <v>6654</v>
      </c>
      <c r="Y4011" t="s">
        <v>749</v>
      </c>
      <c r="AD4011" t="s">
        <v>750</v>
      </c>
      <c r="AE4011" t="s">
        <v>751</v>
      </c>
      <c r="AF4011" t="s">
        <v>6657</v>
      </c>
    </row>
    <row r="4012" spans="1:32" hidden="1" x14ac:dyDescent="0.35">
      <c r="A4012">
        <v>3237</v>
      </c>
      <c r="B4012" t="s">
        <v>6649</v>
      </c>
      <c r="C4012" t="s">
        <v>72</v>
      </c>
      <c r="D4012" t="s">
        <v>34</v>
      </c>
      <c r="E4012">
        <v>365</v>
      </c>
      <c r="F4012">
        <v>5</v>
      </c>
      <c r="G4012">
        <v>5</v>
      </c>
      <c r="H4012">
        <v>1</v>
      </c>
      <c r="I4012">
        <v>1</v>
      </c>
      <c r="J4012">
        <v>0.85029239766081899</v>
      </c>
      <c r="K4012">
        <v>1</v>
      </c>
      <c r="L4012">
        <v>0.919089759797724</v>
      </c>
      <c r="M4012">
        <v>0.71929824561403499</v>
      </c>
      <c r="N4012">
        <v>1</v>
      </c>
      <c r="O4012">
        <v>0.80350877192982495</v>
      </c>
      <c r="P4012" t="s">
        <v>6650</v>
      </c>
      <c r="Q4012" t="s">
        <v>6651</v>
      </c>
      <c r="R4012" t="s">
        <v>224</v>
      </c>
      <c r="S4012" t="s">
        <v>225</v>
      </c>
      <c r="T4012" t="s">
        <v>6652</v>
      </c>
      <c r="U4012" t="s">
        <v>6653</v>
      </c>
      <c r="V4012" t="s">
        <v>6654</v>
      </c>
      <c r="W4012" t="s">
        <v>6655</v>
      </c>
      <c r="X4012" t="s">
        <v>6654</v>
      </c>
      <c r="Y4012" t="s">
        <v>749</v>
      </c>
      <c r="AD4012" t="s">
        <v>750</v>
      </c>
      <c r="AE4012" t="s">
        <v>751</v>
      </c>
      <c r="AF4012" t="s">
        <v>6658</v>
      </c>
    </row>
    <row r="4013" spans="1:32" hidden="1" x14ac:dyDescent="0.35">
      <c r="A4013">
        <v>3238</v>
      </c>
      <c r="B4013" t="s">
        <v>6649</v>
      </c>
      <c r="C4013" t="s">
        <v>72</v>
      </c>
      <c r="D4013" t="s">
        <v>45</v>
      </c>
      <c r="E4013">
        <v>1627</v>
      </c>
      <c r="F4013">
        <v>5</v>
      </c>
      <c r="G4013">
        <v>5</v>
      </c>
      <c r="H4013">
        <v>1</v>
      </c>
      <c r="I4013">
        <v>1</v>
      </c>
      <c r="J4013">
        <v>0.85029239766081899</v>
      </c>
      <c r="K4013">
        <v>1</v>
      </c>
      <c r="L4013">
        <v>0.919089759797724</v>
      </c>
      <c r="M4013">
        <v>0.71929824561403499</v>
      </c>
      <c r="N4013">
        <v>1</v>
      </c>
      <c r="O4013">
        <v>0.80350877192982495</v>
      </c>
      <c r="P4013" t="s">
        <v>6650</v>
      </c>
      <c r="Q4013" t="s">
        <v>6651</v>
      </c>
      <c r="R4013" t="s">
        <v>224</v>
      </c>
      <c r="S4013" t="s">
        <v>225</v>
      </c>
      <c r="T4013" t="s">
        <v>6652</v>
      </c>
      <c r="U4013" t="s">
        <v>6653</v>
      </c>
      <c r="V4013" t="s">
        <v>6654</v>
      </c>
      <c r="W4013" t="s">
        <v>6655</v>
      </c>
      <c r="X4013" t="s">
        <v>6654</v>
      </c>
      <c r="Y4013" t="s">
        <v>749</v>
      </c>
      <c r="AD4013" t="s">
        <v>750</v>
      </c>
      <c r="AE4013" t="s">
        <v>751</v>
      </c>
      <c r="AF4013" t="s">
        <v>6659</v>
      </c>
    </row>
    <row r="4014" spans="1:32" hidden="1" x14ac:dyDescent="0.35">
      <c r="A4014">
        <v>4689</v>
      </c>
      <c r="B4014" t="s">
        <v>9809</v>
      </c>
      <c r="C4014" t="s">
        <v>10127</v>
      </c>
      <c r="D4014" t="s">
        <v>58</v>
      </c>
      <c r="E4014">
        <v>1528</v>
      </c>
      <c r="F4014">
        <v>5</v>
      </c>
      <c r="G4014">
        <v>5</v>
      </c>
      <c r="H4014">
        <v>1</v>
      </c>
      <c r="I4014">
        <v>1</v>
      </c>
      <c r="J4014">
        <v>0.886296848862968</v>
      </c>
      <c r="K4014">
        <v>0.99905149051490005</v>
      </c>
      <c r="L4014">
        <v>0.93930248262492699</v>
      </c>
      <c r="M4014">
        <v>0.79539295392953901</v>
      </c>
      <c r="N4014">
        <v>0.99864498644986499</v>
      </c>
      <c r="O4014">
        <v>0.85704607046070502</v>
      </c>
      <c r="P4014" t="s">
        <v>9810</v>
      </c>
      <c r="Q4014" t="s">
        <v>9811</v>
      </c>
      <c r="R4014" t="s">
        <v>652</v>
      </c>
      <c r="S4014" t="s">
        <v>653</v>
      </c>
      <c r="T4014" t="s">
        <v>9812</v>
      </c>
      <c r="U4014" t="s">
        <v>9813</v>
      </c>
      <c r="V4014" t="s">
        <v>9814</v>
      </c>
      <c r="W4014" t="s">
        <v>9815</v>
      </c>
      <c r="X4014" t="s">
        <v>9814</v>
      </c>
      <c r="Y4014" t="s">
        <v>1782</v>
      </c>
      <c r="Z4014" t="s">
        <v>9816</v>
      </c>
      <c r="AA4014" t="s">
        <v>9817</v>
      </c>
      <c r="AB4014" t="s">
        <v>9816</v>
      </c>
      <c r="AC4014" t="s">
        <v>9818</v>
      </c>
      <c r="AD4014" t="s">
        <v>1140</v>
      </c>
      <c r="AE4014" t="s">
        <v>9819</v>
      </c>
      <c r="AF4014" t="s">
        <v>9820</v>
      </c>
    </row>
    <row r="4015" spans="1:32" hidden="1" x14ac:dyDescent="0.35">
      <c r="A4015">
        <v>3240</v>
      </c>
      <c r="B4015" t="s">
        <v>6660</v>
      </c>
      <c r="C4015" t="s">
        <v>72</v>
      </c>
      <c r="D4015" t="s">
        <v>60</v>
      </c>
      <c r="E4015">
        <v>2090</v>
      </c>
      <c r="F4015">
        <v>5</v>
      </c>
      <c r="G4015">
        <v>5</v>
      </c>
      <c r="H4015">
        <v>1</v>
      </c>
      <c r="I4015">
        <v>1</v>
      </c>
      <c r="J4015">
        <v>0.73598008385744196</v>
      </c>
      <c r="K4015">
        <v>0.96796215133660302</v>
      </c>
      <c r="L4015">
        <v>0.83617959646433104</v>
      </c>
      <c r="M4015">
        <v>0.55133079847908795</v>
      </c>
      <c r="N4015">
        <v>1</v>
      </c>
      <c r="O4015">
        <v>0.65437262357414405</v>
      </c>
      <c r="P4015" t="s">
        <v>6661</v>
      </c>
      <c r="Q4015" t="s">
        <v>6662</v>
      </c>
      <c r="R4015" t="s">
        <v>224</v>
      </c>
      <c r="S4015" t="s">
        <v>225</v>
      </c>
      <c r="T4015" t="s">
        <v>6663</v>
      </c>
      <c r="U4015" t="s">
        <v>6664</v>
      </c>
      <c r="V4015" t="s">
        <v>6665</v>
      </c>
      <c r="W4015" t="s">
        <v>6666</v>
      </c>
      <c r="AD4015" t="s">
        <v>3044</v>
      </c>
      <c r="AE4015" t="s">
        <v>6667</v>
      </c>
      <c r="AF4015" t="s">
        <v>6669</v>
      </c>
    </row>
    <row r="4016" spans="1:32" hidden="1" x14ac:dyDescent="0.35">
      <c r="A4016">
        <v>3241</v>
      </c>
      <c r="B4016" t="s">
        <v>6660</v>
      </c>
      <c r="C4016" t="s">
        <v>72</v>
      </c>
      <c r="D4016" t="s">
        <v>62</v>
      </c>
      <c r="E4016">
        <v>2125</v>
      </c>
      <c r="F4016">
        <v>5</v>
      </c>
      <c r="G4016">
        <v>5</v>
      </c>
      <c r="H4016">
        <v>1</v>
      </c>
      <c r="I4016">
        <v>1</v>
      </c>
      <c r="J4016">
        <v>0.73598008385744196</v>
      </c>
      <c r="K4016">
        <v>0.96796215133660302</v>
      </c>
      <c r="L4016">
        <v>0.83617959646433104</v>
      </c>
      <c r="M4016">
        <v>0.55133079847908795</v>
      </c>
      <c r="N4016">
        <v>1</v>
      </c>
      <c r="O4016">
        <v>0.65437262357414405</v>
      </c>
      <c r="P4016" t="s">
        <v>6661</v>
      </c>
      <c r="Q4016" t="s">
        <v>6662</v>
      </c>
      <c r="R4016" t="s">
        <v>224</v>
      </c>
      <c r="S4016" t="s">
        <v>225</v>
      </c>
      <c r="T4016" t="s">
        <v>6663</v>
      </c>
      <c r="U4016" t="s">
        <v>6664</v>
      </c>
      <c r="V4016" t="s">
        <v>6665</v>
      </c>
      <c r="W4016" t="s">
        <v>6666</v>
      </c>
      <c r="AD4016" t="s">
        <v>3044</v>
      </c>
      <c r="AE4016" t="s">
        <v>6667</v>
      </c>
      <c r="AF4016" t="s">
        <v>6670</v>
      </c>
    </row>
    <row r="4017" spans="1:32" hidden="1" x14ac:dyDescent="0.35">
      <c r="A4017">
        <v>3242</v>
      </c>
      <c r="B4017" t="s">
        <v>6660</v>
      </c>
      <c r="C4017" t="s">
        <v>72</v>
      </c>
      <c r="D4017" t="s">
        <v>34</v>
      </c>
      <c r="E4017">
        <v>2440</v>
      </c>
      <c r="F4017">
        <v>5</v>
      </c>
      <c r="G4017">
        <v>5</v>
      </c>
      <c r="H4017">
        <v>1</v>
      </c>
      <c r="I4017">
        <v>1</v>
      </c>
      <c r="J4017">
        <v>0.73598008385744196</v>
      </c>
      <c r="K4017">
        <v>0.96796215133660302</v>
      </c>
      <c r="L4017">
        <v>0.83617959646433104</v>
      </c>
      <c r="M4017">
        <v>0.55133079847908795</v>
      </c>
      <c r="N4017">
        <v>1</v>
      </c>
      <c r="O4017">
        <v>0.65437262357414405</v>
      </c>
      <c r="P4017" t="s">
        <v>6661</v>
      </c>
      <c r="Q4017" t="s">
        <v>6662</v>
      </c>
      <c r="R4017" t="s">
        <v>224</v>
      </c>
      <c r="S4017" t="s">
        <v>225</v>
      </c>
      <c r="T4017" t="s">
        <v>6663</v>
      </c>
      <c r="U4017" t="s">
        <v>6664</v>
      </c>
      <c r="V4017" t="s">
        <v>6665</v>
      </c>
      <c r="W4017" t="s">
        <v>6666</v>
      </c>
      <c r="AD4017" t="s">
        <v>3044</v>
      </c>
      <c r="AE4017" t="s">
        <v>6667</v>
      </c>
      <c r="AF4017" t="s">
        <v>6671</v>
      </c>
    </row>
    <row r="4018" spans="1:32" hidden="1" x14ac:dyDescent="0.35">
      <c r="A4018">
        <v>3243</v>
      </c>
      <c r="B4018" t="s">
        <v>6660</v>
      </c>
      <c r="C4018" t="s">
        <v>72</v>
      </c>
      <c r="D4018" t="s">
        <v>45</v>
      </c>
      <c r="E4018">
        <v>462</v>
      </c>
      <c r="F4018">
        <v>5</v>
      </c>
      <c r="G4018">
        <v>5</v>
      </c>
      <c r="H4018">
        <v>1</v>
      </c>
      <c r="I4018">
        <v>1</v>
      </c>
      <c r="J4018">
        <v>0.73598008385744196</v>
      </c>
      <c r="K4018">
        <v>0.96796215133660302</v>
      </c>
      <c r="L4018">
        <v>0.83617959646433104</v>
      </c>
      <c r="M4018">
        <v>0.55133079847908795</v>
      </c>
      <c r="N4018">
        <v>1</v>
      </c>
      <c r="O4018">
        <v>0.65437262357414405</v>
      </c>
      <c r="P4018" t="s">
        <v>6661</v>
      </c>
      <c r="Q4018" t="s">
        <v>6662</v>
      </c>
      <c r="R4018" t="s">
        <v>224</v>
      </c>
      <c r="S4018" t="s">
        <v>225</v>
      </c>
      <c r="T4018" t="s">
        <v>6663</v>
      </c>
      <c r="U4018" t="s">
        <v>6664</v>
      </c>
      <c r="V4018" t="s">
        <v>6665</v>
      </c>
      <c r="W4018" t="s">
        <v>6666</v>
      </c>
      <c r="AD4018" t="s">
        <v>3044</v>
      </c>
      <c r="AE4018" t="s">
        <v>6667</v>
      </c>
      <c r="AF4018" t="s">
        <v>6671</v>
      </c>
    </row>
    <row r="4019" spans="1:32" hidden="1" x14ac:dyDescent="0.35">
      <c r="A4019">
        <v>759</v>
      </c>
      <c r="B4019" t="s">
        <v>1549</v>
      </c>
      <c r="C4019" t="s">
        <v>72</v>
      </c>
      <c r="D4019" t="s">
        <v>58</v>
      </c>
      <c r="E4019">
        <v>1304</v>
      </c>
      <c r="F4019">
        <v>5</v>
      </c>
      <c r="G4019">
        <v>5</v>
      </c>
      <c r="H4019">
        <v>1</v>
      </c>
      <c r="I4019">
        <v>1</v>
      </c>
      <c r="J4019">
        <v>0.88671328671328697</v>
      </c>
      <c r="K4019">
        <v>1</v>
      </c>
      <c r="L4019">
        <v>0.93995552260934001</v>
      </c>
      <c r="M4019">
        <v>0.80419580419580405</v>
      </c>
      <c r="N4019">
        <v>1</v>
      </c>
      <c r="O4019">
        <v>0.85874125874125895</v>
      </c>
      <c r="P4019" t="s">
        <v>1550</v>
      </c>
      <c r="Q4019" t="s">
        <v>1551</v>
      </c>
      <c r="R4019" t="s">
        <v>224</v>
      </c>
      <c r="S4019" t="s">
        <v>225</v>
      </c>
      <c r="T4019" t="s">
        <v>1552</v>
      </c>
      <c r="U4019" t="s">
        <v>1553</v>
      </c>
      <c r="V4019" t="s">
        <v>1554</v>
      </c>
      <c r="W4019" t="s">
        <v>1555</v>
      </c>
      <c r="AD4019" t="s">
        <v>312</v>
      </c>
      <c r="AE4019" t="s">
        <v>805</v>
      </c>
      <c r="AF4019" t="s">
        <v>1556</v>
      </c>
    </row>
    <row r="4020" spans="1:32" hidden="1" x14ac:dyDescent="0.35">
      <c r="A4020">
        <v>3265</v>
      </c>
      <c r="B4020" t="s">
        <v>6714</v>
      </c>
      <c r="C4020" t="s">
        <v>72</v>
      </c>
      <c r="D4020" t="s">
        <v>60</v>
      </c>
      <c r="E4020">
        <v>1475</v>
      </c>
      <c r="F4020">
        <v>5</v>
      </c>
      <c r="G4020">
        <v>5</v>
      </c>
      <c r="H4020">
        <v>1</v>
      </c>
      <c r="I4020">
        <v>1</v>
      </c>
      <c r="J4020">
        <v>0.76726910706080598</v>
      </c>
      <c r="K4020">
        <v>0.92804723309167403</v>
      </c>
      <c r="L4020">
        <v>0.840034340470588</v>
      </c>
      <c r="M4020">
        <v>0.51983002832861203</v>
      </c>
      <c r="N4020">
        <v>1</v>
      </c>
      <c r="O4020">
        <v>0.67485835694051</v>
      </c>
      <c r="P4020" t="s">
        <v>6715</v>
      </c>
      <c r="Q4020" t="s">
        <v>6716</v>
      </c>
      <c r="R4020" t="s">
        <v>224</v>
      </c>
      <c r="S4020" t="s">
        <v>225</v>
      </c>
      <c r="T4020" t="s">
        <v>6717</v>
      </c>
      <c r="U4020" t="s">
        <v>6718</v>
      </c>
      <c r="V4020" t="s">
        <v>6719</v>
      </c>
      <c r="W4020" t="s">
        <v>6720</v>
      </c>
      <c r="AD4020" t="s">
        <v>6721</v>
      </c>
      <c r="AE4020" t="s">
        <v>6722</v>
      </c>
      <c r="AF4020" t="s">
        <v>6724</v>
      </c>
    </row>
    <row r="4021" spans="1:32" hidden="1" x14ac:dyDescent="0.35">
      <c r="A4021">
        <v>3266</v>
      </c>
      <c r="B4021" t="s">
        <v>6714</v>
      </c>
      <c r="C4021" t="s">
        <v>72</v>
      </c>
      <c r="D4021" t="s">
        <v>62</v>
      </c>
      <c r="E4021">
        <v>1510</v>
      </c>
      <c r="F4021">
        <v>5</v>
      </c>
      <c r="G4021">
        <v>5</v>
      </c>
      <c r="H4021">
        <v>1</v>
      </c>
      <c r="I4021">
        <v>1</v>
      </c>
      <c r="J4021">
        <v>0.76726910706080598</v>
      </c>
      <c r="K4021">
        <v>0.92804723309167403</v>
      </c>
      <c r="L4021">
        <v>0.840034340470588</v>
      </c>
      <c r="M4021">
        <v>0.51983002832861203</v>
      </c>
      <c r="N4021">
        <v>1</v>
      </c>
      <c r="O4021">
        <v>0.67485835694051</v>
      </c>
      <c r="P4021" t="s">
        <v>6715</v>
      </c>
      <c r="Q4021" t="s">
        <v>6716</v>
      </c>
      <c r="R4021" t="s">
        <v>224</v>
      </c>
      <c r="S4021" t="s">
        <v>225</v>
      </c>
      <c r="T4021" t="s">
        <v>6717</v>
      </c>
      <c r="U4021" t="s">
        <v>6718</v>
      </c>
      <c r="V4021" t="s">
        <v>6719</v>
      </c>
      <c r="W4021" t="s">
        <v>6720</v>
      </c>
      <c r="AD4021" t="s">
        <v>6721</v>
      </c>
      <c r="AE4021" t="s">
        <v>6722</v>
      </c>
      <c r="AF4021" t="s">
        <v>6724</v>
      </c>
    </row>
    <row r="4022" spans="1:32" hidden="1" x14ac:dyDescent="0.35">
      <c r="A4022">
        <v>3267</v>
      </c>
      <c r="B4022" t="s">
        <v>6714</v>
      </c>
      <c r="C4022" t="s">
        <v>72</v>
      </c>
      <c r="D4022" t="s">
        <v>34</v>
      </c>
      <c r="E4022">
        <v>1902</v>
      </c>
      <c r="F4022">
        <v>5</v>
      </c>
      <c r="G4022">
        <v>5</v>
      </c>
      <c r="H4022">
        <v>1</v>
      </c>
      <c r="I4022">
        <v>1</v>
      </c>
      <c r="J4022">
        <v>0.76726910706080598</v>
      </c>
      <c r="K4022">
        <v>0.92804723309167403</v>
      </c>
      <c r="L4022">
        <v>0.840034340470588</v>
      </c>
      <c r="M4022">
        <v>0.51983002832861203</v>
      </c>
      <c r="N4022">
        <v>1</v>
      </c>
      <c r="O4022">
        <v>0.67485835694051</v>
      </c>
      <c r="P4022" t="s">
        <v>6715</v>
      </c>
      <c r="Q4022" t="s">
        <v>6716</v>
      </c>
      <c r="R4022" t="s">
        <v>224</v>
      </c>
      <c r="S4022" t="s">
        <v>225</v>
      </c>
      <c r="T4022" t="s">
        <v>6717</v>
      </c>
      <c r="U4022" t="s">
        <v>6718</v>
      </c>
      <c r="V4022" t="s">
        <v>6719</v>
      </c>
      <c r="W4022" t="s">
        <v>6720</v>
      </c>
      <c r="AD4022" t="s">
        <v>6721</v>
      </c>
      <c r="AE4022" t="s">
        <v>6722</v>
      </c>
      <c r="AF4022" t="s">
        <v>6725</v>
      </c>
    </row>
    <row r="4023" spans="1:32" hidden="1" x14ac:dyDescent="0.35">
      <c r="A4023">
        <v>3268</v>
      </c>
      <c r="B4023" t="s">
        <v>6714</v>
      </c>
      <c r="C4023" t="s">
        <v>72</v>
      </c>
      <c r="D4023" t="s">
        <v>45</v>
      </c>
      <c r="E4023">
        <v>972</v>
      </c>
      <c r="F4023">
        <v>5</v>
      </c>
      <c r="G4023">
        <v>5</v>
      </c>
      <c r="H4023">
        <v>1</v>
      </c>
      <c r="I4023">
        <v>1</v>
      </c>
      <c r="J4023">
        <v>0.76726910706080598</v>
      </c>
      <c r="K4023">
        <v>0.92804723309167403</v>
      </c>
      <c r="L4023">
        <v>0.840034340470588</v>
      </c>
      <c r="M4023">
        <v>0.51983002832861203</v>
      </c>
      <c r="N4023">
        <v>1</v>
      </c>
      <c r="O4023">
        <v>0.67485835694051</v>
      </c>
      <c r="P4023" t="s">
        <v>6715</v>
      </c>
      <c r="Q4023" t="s">
        <v>6716</v>
      </c>
      <c r="R4023" t="s">
        <v>224</v>
      </c>
      <c r="S4023" t="s">
        <v>225</v>
      </c>
      <c r="T4023" t="s">
        <v>6717</v>
      </c>
      <c r="U4023" t="s">
        <v>6718</v>
      </c>
      <c r="V4023" t="s">
        <v>6719</v>
      </c>
      <c r="W4023" t="s">
        <v>6720</v>
      </c>
      <c r="AD4023" t="s">
        <v>6721</v>
      </c>
      <c r="AE4023" t="s">
        <v>6722</v>
      </c>
      <c r="AF4023" t="s">
        <v>6726</v>
      </c>
    </row>
    <row r="4024" spans="1:32" hidden="1" x14ac:dyDescent="0.35">
      <c r="A4024">
        <v>3454</v>
      </c>
      <c r="B4024" t="s">
        <v>7104</v>
      </c>
      <c r="C4024" t="s">
        <v>72</v>
      </c>
      <c r="D4024" t="s">
        <v>58</v>
      </c>
      <c r="E4024">
        <v>1121</v>
      </c>
      <c r="F4024">
        <v>5</v>
      </c>
      <c r="G4024">
        <v>5</v>
      </c>
      <c r="H4024">
        <v>1</v>
      </c>
      <c r="I4024">
        <v>1</v>
      </c>
      <c r="J4024">
        <v>0.86818362086059897</v>
      </c>
      <c r="K4024">
        <v>0.94502182580330196</v>
      </c>
      <c r="L4024">
        <v>0.90497463707463199</v>
      </c>
      <c r="M4024">
        <v>0.72791023842917202</v>
      </c>
      <c r="N4024">
        <v>1</v>
      </c>
      <c r="O4024">
        <v>0.806030855539972</v>
      </c>
      <c r="P4024" t="s">
        <v>7105</v>
      </c>
      <c r="Q4024" t="s">
        <v>7106</v>
      </c>
      <c r="R4024" t="s">
        <v>224</v>
      </c>
      <c r="S4024" t="s">
        <v>225</v>
      </c>
      <c r="T4024" t="s">
        <v>7107</v>
      </c>
      <c r="U4024" t="s">
        <v>7108</v>
      </c>
      <c r="V4024" t="s">
        <v>7109</v>
      </c>
      <c r="W4024" t="s">
        <v>7110</v>
      </c>
      <c r="AD4024" t="s">
        <v>7111</v>
      </c>
      <c r="AE4024" t="s">
        <v>7112</v>
      </c>
      <c r="AF4024" t="s">
        <v>7113</v>
      </c>
    </row>
    <row r="4025" spans="1:32" hidden="1" x14ac:dyDescent="0.35">
      <c r="A4025">
        <v>3290</v>
      </c>
      <c r="B4025" t="s">
        <v>6761</v>
      </c>
      <c r="C4025" t="s">
        <v>72</v>
      </c>
      <c r="D4025" t="s">
        <v>60</v>
      </c>
      <c r="E4025">
        <v>383</v>
      </c>
      <c r="F4025">
        <v>5</v>
      </c>
      <c r="G4025">
        <v>5</v>
      </c>
      <c r="H4025">
        <v>1</v>
      </c>
      <c r="I4025">
        <v>1</v>
      </c>
      <c r="J4025">
        <v>0.95497311827956999</v>
      </c>
      <c r="K4025">
        <v>1</v>
      </c>
      <c r="L4025">
        <v>0.97696803025094503</v>
      </c>
      <c r="M4025">
        <v>0.91129032258064502</v>
      </c>
      <c r="N4025">
        <v>1</v>
      </c>
      <c r="O4025">
        <v>0.93830645161290305</v>
      </c>
      <c r="P4025" t="s">
        <v>6762</v>
      </c>
      <c r="Q4025" t="s">
        <v>6763</v>
      </c>
      <c r="R4025" t="s">
        <v>224</v>
      </c>
      <c r="S4025" t="s">
        <v>225</v>
      </c>
      <c r="T4025" t="s">
        <v>6764</v>
      </c>
      <c r="U4025" t="s">
        <v>6765</v>
      </c>
      <c r="V4025" t="s">
        <v>6766</v>
      </c>
      <c r="W4025" t="s">
        <v>6767</v>
      </c>
      <c r="X4025" t="s">
        <v>6766</v>
      </c>
      <c r="Y4025" t="s">
        <v>761</v>
      </c>
      <c r="AD4025" t="s">
        <v>762</v>
      </c>
      <c r="AE4025" t="s">
        <v>763</v>
      </c>
      <c r="AF4025" t="s">
        <v>6769</v>
      </c>
    </row>
    <row r="4026" spans="1:32" hidden="1" x14ac:dyDescent="0.35">
      <c r="A4026">
        <v>3291</v>
      </c>
      <c r="B4026" t="s">
        <v>6761</v>
      </c>
      <c r="C4026" t="s">
        <v>72</v>
      </c>
      <c r="D4026" t="s">
        <v>62</v>
      </c>
      <c r="E4026">
        <v>464</v>
      </c>
      <c r="F4026">
        <v>5</v>
      </c>
      <c r="G4026">
        <v>5</v>
      </c>
      <c r="H4026">
        <v>1</v>
      </c>
      <c r="I4026">
        <v>1</v>
      </c>
      <c r="J4026">
        <v>0.95497311827956999</v>
      </c>
      <c r="K4026">
        <v>1</v>
      </c>
      <c r="L4026">
        <v>0.97696803025094503</v>
      </c>
      <c r="M4026">
        <v>0.91129032258064502</v>
      </c>
      <c r="N4026">
        <v>1</v>
      </c>
      <c r="O4026">
        <v>0.93830645161290305</v>
      </c>
      <c r="P4026" t="s">
        <v>6762</v>
      </c>
      <c r="Q4026" t="s">
        <v>6763</v>
      </c>
      <c r="R4026" t="s">
        <v>224</v>
      </c>
      <c r="S4026" t="s">
        <v>225</v>
      </c>
      <c r="T4026" t="s">
        <v>6764</v>
      </c>
      <c r="U4026" t="s">
        <v>6765</v>
      </c>
      <c r="V4026" t="s">
        <v>6766</v>
      </c>
      <c r="W4026" t="s">
        <v>6767</v>
      </c>
      <c r="X4026" t="s">
        <v>6766</v>
      </c>
      <c r="Y4026" t="s">
        <v>761</v>
      </c>
      <c r="AD4026" t="s">
        <v>762</v>
      </c>
      <c r="AE4026" t="s">
        <v>763</v>
      </c>
      <c r="AF4026" t="s">
        <v>6769</v>
      </c>
    </row>
    <row r="4027" spans="1:32" hidden="1" x14ac:dyDescent="0.35">
      <c r="A4027">
        <v>3292</v>
      </c>
      <c r="B4027" t="s">
        <v>6761</v>
      </c>
      <c r="C4027" t="s">
        <v>72</v>
      </c>
      <c r="D4027" t="s">
        <v>34</v>
      </c>
      <c r="E4027">
        <v>728</v>
      </c>
      <c r="F4027">
        <v>5</v>
      </c>
      <c r="G4027">
        <v>5</v>
      </c>
      <c r="H4027">
        <v>1</v>
      </c>
      <c r="I4027">
        <v>1</v>
      </c>
      <c r="J4027">
        <v>0.95497311827956999</v>
      </c>
      <c r="K4027">
        <v>1</v>
      </c>
      <c r="L4027">
        <v>0.97696803025094503</v>
      </c>
      <c r="M4027">
        <v>0.91129032258064502</v>
      </c>
      <c r="N4027">
        <v>1</v>
      </c>
      <c r="O4027">
        <v>0.93830645161290305</v>
      </c>
      <c r="P4027" t="s">
        <v>6762</v>
      </c>
      <c r="Q4027" t="s">
        <v>6763</v>
      </c>
      <c r="R4027" t="s">
        <v>224</v>
      </c>
      <c r="S4027" t="s">
        <v>225</v>
      </c>
      <c r="T4027" t="s">
        <v>6764</v>
      </c>
      <c r="U4027" t="s">
        <v>6765</v>
      </c>
      <c r="V4027" t="s">
        <v>6766</v>
      </c>
      <c r="W4027" t="s">
        <v>6767</v>
      </c>
      <c r="X4027" t="s">
        <v>6766</v>
      </c>
      <c r="Y4027" t="s">
        <v>761</v>
      </c>
      <c r="AD4027" t="s">
        <v>762</v>
      </c>
      <c r="AE4027" t="s">
        <v>763</v>
      </c>
      <c r="AF4027" t="s">
        <v>6770</v>
      </c>
    </row>
    <row r="4028" spans="1:32" hidden="1" x14ac:dyDescent="0.35">
      <c r="A4028">
        <v>3293</v>
      </c>
      <c r="B4028" t="s">
        <v>6761</v>
      </c>
      <c r="C4028" t="s">
        <v>72</v>
      </c>
      <c r="D4028" t="s">
        <v>45</v>
      </c>
      <c r="E4028">
        <v>1994</v>
      </c>
      <c r="F4028">
        <v>5</v>
      </c>
      <c r="G4028">
        <v>5</v>
      </c>
      <c r="H4028">
        <v>1</v>
      </c>
      <c r="I4028">
        <v>1</v>
      </c>
      <c r="J4028">
        <v>0.95497311827956999</v>
      </c>
      <c r="K4028">
        <v>1</v>
      </c>
      <c r="L4028">
        <v>0.97696803025094503</v>
      </c>
      <c r="M4028">
        <v>0.91129032258064502</v>
      </c>
      <c r="N4028">
        <v>1</v>
      </c>
      <c r="O4028">
        <v>0.93830645161290305</v>
      </c>
      <c r="P4028" t="s">
        <v>6762</v>
      </c>
      <c r="Q4028" t="s">
        <v>6763</v>
      </c>
      <c r="R4028" t="s">
        <v>224</v>
      </c>
      <c r="S4028" t="s">
        <v>225</v>
      </c>
      <c r="T4028" t="s">
        <v>6764</v>
      </c>
      <c r="U4028" t="s">
        <v>6765</v>
      </c>
      <c r="V4028" t="s">
        <v>6766</v>
      </c>
      <c r="W4028" t="s">
        <v>6767</v>
      </c>
      <c r="X4028" t="s">
        <v>6766</v>
      </c>
      <c r="Y4028" t="s">
        <v>761</v>
      </c>
      <c r="AD4028" t="s">
        <v>762</v>
      </c>
      <c r="AE4028" t="s">
        <v>763</v>
      </c>
      <c r="AF4028" t="s">
        <v>6771</v>
      </c>
    </row>
    <row r="4029" spans="1:32" hidden="1" x14ac:dyDescent="0.35">
      <c r="A4029">
        <v>11447</v>
      </c>
      <c r="B4029" t="s">
        <v>23352</v>
      </c>
      <c r="C4029" t="s">
        <v>33</v>
      </c>
      <c r="D4029" t="s">
        <v>58</v>
      </c>
      <c r="E4029">
        <v>690</v>
      </c>
      <c r="F4029">
        <v>1</v>
      </c>
      <c r="G4029">
        <v>1</v>
      </c>
      <c r="H4029">
        <v>1</v>
      </c>
      <c r="I4029">
        <v>0</v>
      </c>
      <c r="J4029">
        <v>1</v>
      </c>
      <c r="K4029">
        <v>1</v>
      </c>
      <c r="L4029">
        <v>1</v>
      </c>
      <c r="M4029">
        <v>0</v>
      </c>
      <c r="N4029">
        <v>0</v>
      </c>
      <c r="O4029">
        <v>0</v>
      </c>
      <c r="P4029" t="s">
        <v>23353</v>
      </c>
      <c r="Q4029" t="s">
        <v>23354</v>
      </c>
      <c r="R4029" t="s">
        <v>138</v>
      </c>
      <c r="S4029" t="s">
        <v>139</v>
      </c>
      <c r="T4029" t="s">
        <v>23355</v>
      </c>
      <c r="U4029" t="s">
        <v>23356</v>
      </c>
      <c r="V4029" t="s">
        <v>23357</v>
      </c>
      <c r="W4029" t="s">
        <v>23358</v>
      </c>
      <c r="AD4029" t="s">
        <v>14436</v>
      </c>
      <c r="AE4029" t="s">
        <v>23359</v>
      </c>
      <c r="AF4029" t="s">
        <v>23360</v>
      </c>
    </row>
    <row r="4030" spans="1:32" hidden="1" x14ac:dyDescent="0.35">
      <c r="A4030">
        <v>3305</v>
      </c>
      <c r="B4030" t="s">
        <v>6790</v>
      </c>
      <c r="C4030" t="s">
        <v>72</v>
      </c>
      <c r="D4030" t="s">
        <v>60</v>
      </c>
      <c r="E4030">
        <v>984</v>
      </c>
      <c r="F4030">
        <v>5</v>
      </c>
      <c r="G4030">
        <v>5</v>
      </c>
      <c r="H4030">
        <v>1</v>
      </c>
      <c r="I4030">
        <v>1</v>
      </c>
      <c r="J4030">
        <v>0.82954369682908002</v>
      </c>
      <c r="K4030">
        <v>0.92790439544176295</v>
      </c>
      <c r="L4030">
        <v>0.87597152471697204</v>
      </c>
      <c r="M4030">
        <v>0.60515021459227503</v>
      </c>
      <c r="N4030">
        <v>1</v>
      </c>
      <c r="O4030">
        <v>0.75622317596566502</v>
      </c>
      <c r="P4030" t="s">
        <v>6791</v>
      </c>
      <c r="Q4030" t="s">
        <v>6792</v>
      </c>
      <c r="R4030" t="s">
        <v>224</v>
      </c>
      <c r="S4030" t="s">
        <v>225</v>
      </c>
      <c r="T4030" t="s">
        <v>6793</v>
      </c>
      <c r="U4030" t="s">
        <v>6794</v>
      </c>
      <c r="V4030" t="s">
        <v>6795</v>
      </c>
      <c r="W4030" t="s">
        <v>6796</v>
      </c>
      <c r="X4030" t="s">
        <v>6795</v>
      </c>
      <c r="Y4030" t="s">
        <v>1598</v>
      </c>
      <c r="AD4030" t="s">
        <v>6797</v>
      </c>
      <c r="AE4030" t="s">
        <v>6798</v>
      </c>
      <c r="AF4030" t="s">
        <v>6800</v>
      </c>
    </row>
    <row r="4031" spans="1:32" hidden="1" x14ac:dyDescent="0.35">
      <c r="A4031">
        <v>3306</v>
      </c>
      <c r="B4031" t="s">
        <v>6790</v>
      </c>
      <c r="C4031" t="s">
        <v>72</v>
      </c>
      <c r="D4031" t="s">
        <v>62</v>
      </c>
      <c r="E4031">
        <v>1020</v>
      </c>
      <c r="F4031">
        <v>5</v>
      </c>
      <c r="G4031">
        <v>5</v>
      </c>
      <c r="H4031">
        <v>1</v>
      </c>
      <c r="I4031">
        <v>1</v>
      </c>
      <c r="J4031">
        <v>0.82954369682908002</v>
      </c>
      <c r="K4031">
        <v>0.92790439544176295</v>
      </c>
      <c r="L4031">
        <v>0.87597152471697204</v>
      </c>
      <c r="M4031">
        <v>0.60515021459227503</v>
      </c>
      <c r="N4031">
        <v>1</v>
      </c>
      <c r="O4031">
        <v>0.75622317596566502</v>
      </c>
      <c r="P4031" t="s">
        <v>6791</v>
      </c>
      <c r="Q4031" t="s">
        <v>6792</v>
      </c>
      <c r="R4031" t="s">
        <v>224</v>
      </c>
      <c r="S4031" t="s">
        <v>225</v>
      </c>
      <c r="T4031" t="s">
        <v>6793</v>
      </c>
      <c r="U4031" t="s">
        <v>6794</v>
      </c>
      <c r="V4031" t="s">
        <v>6795</v>
      </c>
      <c r="W4031" t="s">
        <v>6796</v>
      </c>
      <c r="X4031" t="s">
        <v>6795</v>
      </c>
      <c r="Y4031" t="s">
        <v>1598</v>
      </c>
      <c r="AD4031" t="s">
        <v>6797</v>
      </c>
      <c r="AE4031" t="s">
        <v>6798</v>
      </c>
      <c r="AF4031" t="s">
        <v>6800</v>
      </c>
    </row>
    <row r="4032" spans="1:32" hidden="1" x14ac:dyDescent="0.35">
      <c r="A4032">
        <v>3307</v>
      </c>
      <c r="B4032" t="s">
        <v>6790</v>
      </c>
      <c r="C4032" t="s">
        <v>72</v>
      </c>
      <c r="D4032" t="s">
        <v>34</v>
      </c>
      <c r="E4032">
        <v>142</v>
      </c>
      <c r="F4032">
        <v>5</v>
      </c>
      <c r="G4032">
        <v>5</v>
      </c>
      <c r="H4032">
        <v>1</v>
      </c>
      <c r="I4032">
        <v>1</v>
      </c>
      <c r="J4032">
        <v>0.82954369682908002</v>
      </c>
      <c r="K4032">
        <v>0.92790439544176295</v>
      </c>
      <c r="L4032">
        <v>0.87597152471697204</v>
      </c>
      <c r="M4032">
        <v>0.60515021459227503</v>
      </c>
      <c r="N4032">
        <v>1</v>
      </c>
      <c r="O4032">
        <v>0.75622317596566502</v>
      </c>
      <c r="P4032" t="s">
        <v>6791</v>
      </c>
      <c r="Q4032" t="s">
        <v>6792</v>
      </c>
      <c r="R4032" t="s">
        <v>224</v>
      </c>
      <c r="S4032" t="s">
        <v>225</v>
      </c>
      <c r="T4032" t="s">
        <v>6793</v>
      </c>
      <c r="U4032" t="s">
        <v>6794</v>
      </c>
      <c r="V4032" t="s">
        <v>6795</v>
      </c>
      <c r="W4032" t="s">
        <v>6796</v>
      </c>
      <c r="X4032" t="s">
        <v>6795</v>
      </c>
      <c r="Y4032" t="s">
        <v>1598</v>
      </c>
      <c r="AD4032" t="s">
        <v>6797</v>
      </c>
      <c r="AE4032" t="s">
        <v>6798</v>
      </c>
      <c r="AF4032" t="s">
        <v>6801</v>
      </c>
    </row>
    <row r="4033" spans="1:32" hidden="1" x14ac:dyDescent="0.35">
      <c r="A4033">
        <v>3308</v>
      </c>
      <c r="B4033" t="s">
        <v>6790</v>
      </c>
      <c r="C4033" t="s">
        <v>72</v>
      </c>
      <c r="D4033" t="s">
        <v>45</v>
      </c>
      <c r="E4033">
        <v>1404</v>
      </c>
      <c r="F4033">
        <v>5</v>
      </c>
      <c r="G4033">
        <v>5</v>
      </c>
      <c r="H4033">
        <v>1</v>
      </c>
      <c r="I4033">
        <v>1</v>
      </c>
      <c r="J4033">
        <v>0.82954369682908002</v>
      </c>
      <c r="K4033">
        <v>0.92790439544176295</v>
      </c>
      <c r="L4033">
        <v>0.87597152471697204</v>
      </c>
      <c r="M4033">
        <v>0.60515021459227503</v>
      </c>
      <c r="N4033">
        <v>1</v>
      </c>
      <c r="O4033">
        <v>0.75622317596566502</v>
      </c>
      <c r="P4033" t="s">
        <v>6791</v>
      </c>
      <c r="Q4033" t="s">
        <v>6792</v>
      </c>
      <c r="R4033" t="s">
        <v>224</v>
      </c>
      <c r="S4033" t="s">
        <v>225</v>
      </c>
      <c r="T4033" t="s">
        <v>6793</v>
      </c>
      <c r="U4033" t="s">
        <v>6794</v>
      </c>
      <c r="V4033" t="s">
        <v>6795</v>
      </c>
      <c r="W4033" t="s">
        <v>6796</v>
      </c>
      <c r="X4033" t="s">
        <v>6795</v>
      </c>
      <c r="Y4033" t="s">
        <v>1598</v>
      </c>
      <c r="AD4033" t="s">
        <v>6797</v>
      </c>
      <c r="AE4033" t="s">
        <v>6798</v>
      </c>
      <c r="AF4033" t="s">
        <v>6802</v>
      </c>
    </row>
    <row r="4034" spans="1:32" hidden="1" x14ac:dyDescent="0.35">
      <c r="A4034">
        <v>11493</v>
      </c>
      <c r="B4034" t="s">
        <v>23464</v>
      </c>
      <c r="C4034" t="s">
        <v>33</v>
      </c>
      <c r="D4034" t="s">
        <v>58</v>
      </c>
      <c r="E4034">
        <v>263</v>
      </c>
      <c r="F4034">
        <v>1</v>
      </c>
      <c r="G4034">
        <v>1</v>
      </c>
      <c r="H4034">
        <v>1</v>
      </c>
      <c r="I4034">
        <v>0</v>
      </c>
      <c r="J4034">
        <v>1</v>
      </c>
      <c r="K4034">
        <v>1</v>
      </c>
      <c r="L4034">
        <v>1</v>
      </c>
      <c r="M4034">
        <v>0</v>
      </c>
      <c r="N4034">
        <v>0</v>
      </c>
      <c r="O4034">
        <v>0</v>
      </c>
      <c r="P4034" t="s">
        <v>21577</v>
      </c>
      <c r="Q4034" t="s">
        <v>20612</v>
      </c>
      <c r="R4034" t="s">
        <v>138</v>
      </c>
      <c r="S4034" t="s">
        <v>139</v>
      </c>
      <c r="T4034" t="s">
        <v>20611</v>
      </c>
      <c r="U4034" t="s">
        <v>20612</v>
      </c>
      <c r="V4034" t="s">
        <v>20613</v>
      </c>
      <c r="W4034" t="s">
        <v>20614</v>
      </c>
      <c r="AD4034" t="s">
        <v>410</v>
      </c>
      <c r="AE4034" t="s">
        <v>5489</v>
      </c>
      <c r="AF4034" t="s">
        <v>23465</v>
      </c>
    </row>
    <row r="4035" spans="1:32" hidden="1" x14ac:dyDescent="0.35">
      <c r="A4035">
        <v>3315</v>
      </c>
      <c r="B4035" t="s">
        <v>6815</v>
      </c>
      <c r="C4035" t="s">
        <v>72</v>
      </c>
      <c r="D4035" t="s">
        <v>60</v>
      </c>
      <c r="E4035">
        <v>2261</v>
      </c>
      <c r="F4035">
        <v>5</v>
      </c>
      <c r="G4035">
        <v>5</v>
      </c>
      <c r="H4035">
        <v>1</v>
      </c>
      <c r="I4035">
        <v>1</v>
      </c>
      <c r="J4035">
        <v>0.85907253775792403</v>
      </c>
      <c r="K4035">
        <v>0.97963362068965598</v>
      </c>
      <c r="L4035">
        <v>0.91540057853440704</v>
      </c>
      <c r="M4035">
        <v>0.74375000000000002</v>
      </c>
      <c r="N4035">
        <v>1</v>
      </c>
      <c r="O4035">
        <v>0.80031249999999998</v>
      </c>
      <c r="P4035" t="s">
        <v>4727</v>
      </c>
      <c r="Q4035" t="s">
        <v>4728</v>
      </c>
      <c r="R4035" t="s">
        <v>224</v>
      </c>
      <c r="S4035" t="s">
        <v>225</v>
      </c>
      <c r="T4035" t="s">
        <v>6816</v>
      </c>
      <c r="U4035" t="s">
        <v>6817</v>
      </c>
      <c r="V4035" t="s">
        <v>5351</v>
      </c>
      <c r="W4035" t="s">
        <v>5352</v>
      </c>
      <c r="X4035" t="s">
        <v>5351</v>
      </c>
      <c r="Y4035" t="s">
        <v>1598</v>
      </c>
      <c r="AD4035" t="s">
        <v>1170</v>
      </c>
      <c r="AE4035" t="s">
        <v>6818</v>
      </c>
      <c r="AF4035" t="s">
        <v>6820</v>
      </c>
    </row>
    <row r="4036" spans="1:32" hidden="1" x14ac:dyDescent="0.35">
      <c r="A4036">
        <v>3316</v>
      </c>
      <c r="B4036" t="s">
        <v>6815</v>
      </c>
      <c r="C4036" t="s">
        <v>72</v>
      </c>
      <c r="D4036" t="s">
        <v>62</v>
      </c>
      <c r="E4036">
        <v>2290</v>
      </c>
      <c r="F4036">
        <v>5</v>
      </c>
      <c r="G4036">
        <v>5</v>
      </c>
      <c r="H4036">
        <v>1</v>
      </c>
      <c r="I4036">
        <v>1</v>
      </c>
      <c r="J4036">
        <v>0.85907253775792403</v>
      </c>
      <c r="K4036">
        <v>0.97963362068965598</v>
      </c>
      <c r="L4036">
        <v>0.91540057853440704</v>
      </c>
      <c r="M4036">
        <v>0.74375000000000002</v>
      </c>
      <c r="N4036">
        <v>1</v>
      </c>
      <c r="O4036">
        <v>0.80031249999999998</v>
      </c>
      <c r="P4036" t="s">
        <v>4727</v>
      </c>
      <c r="Q4036" t="s">
        <v>4728</v>
      </c>
      <c r="R4036" t="s">
        <v>224</v>
      </c>
      <c r="S4036" t="s">
        <v>225</v>
      </c>
      <c r="T4036" t="s">
        <v>6816</v>
      </c>
      <c r="U4036" t="s">
        <v>6817</v>
      </c>
      <c r="V4036" t="s">
        <v>5351</v>
      </c>
      <c r="W4036" t="s">
        <v>5352</v>
      </c>
      <c r="X4036" t="s">
        <v>5351</v>
      </c>
      <c r="Y4036" t="s">
        <v>1598</v>
      </c>
      <c r="AD4036" t="s">
        <v>1170</v>
      </c>
      <c r="AE4036" t="s">
        <v>6818</v>
      </c>
      <c r="AF4036" t="s">
        <v>6820</v>
      </c>
    </row>
    <row r="4037" spans="1:32" hidden="1" x14ac:dyDescent="0.35">
      <c r="A4037">
        <v>3317</v>
      </c>
      <c r="B4037" t="s">
        <v>6815</v>
      </c>
      <c r="C4037" t="s">
        <v>72</v>
      </c>
      <c r="D4037" t="s">
        <v>34</v>
      </c>
      <c r="E4037">
        <v>1534</v>
      </c>
      <c r="F4037">
        <v>5</v>
      </c>
      <c r="G4037">
        <v>5</v>
      </c>
      <c r="H4037">
        <v>1</v>
      </c>
      <c r="I4037">
        <v>1</v>
      </c>
      <c r="J4037">
        <v>0.85907253775792403</v>
      </c>
      <c r="K4037">
        <v>0.97963362068965598</v>
      </c>
      <c r="L4037">
        <v>0.91540057853440704</v>
      </c>
      <c r="M4037">
        <v>0.74375000000000002</v>
      </c>
      <c r="N4037">
        <v>1</v>
      </c>
      <c r="O4037">
        <v>0.80031249999999998</v>
      </c>
      <c r="P4037" t="s">
        <v>4727</v>
      </c>
      <c r="Q4037" t="s">
        <v>4728</v>
      </c>
      <c r="R4037" t="s">
        <v>224</v>
      </c>
      <c r="S4037" t="s">
        <v>225</v>
      </c>
      <c r="T4037" t="s">
        <v>6816</v>
      </c>
      <c r="U4037" t="s">
        <v>6817</v>
      </c>
      <c r="V4037" t="s">
        <v>5351</v>
      </c>
      <c r="W4037" t="s">
        <v>5352</v>
      </c>
      <c r="X4037" t="s">
        <v>5351</v>
      </c>
      <c r="Y4037" t="s">
        <v>1598</v>
      </c>
      <c r="AD4037" t="s">
        <v>1170</v>
      </c>
      <c r="AE4037" t="s">
        <v>6818</v>
      </c>
      <c r="AF4037" t="s">
        <v>6821</v>
      </c>
    </row>
    <row r="4038" spans="1:32" hidden="1" x14ac:dyDescent="0.35">
      <c r="A4038">
        <v>3318</v>
      </c>
      <c r="B4038" t="s">
        <v>6815</v>
      </c>
      <c r="C4038" t="s">
        <v>72</v>
      </c>
      <c r="D4038" t="s">
        <v>45</v>
      </c>
      <c r="E4038">
        <v>284</v>
      </c>
      <c r="F4038">
        <v>5</v>
      </c>
      <c r="G4038">
        <v>5</v>
      </c>
      <c r="H4038">
        <v>1</v>
      </c>
      <c r="I4038">
        <v>1</v>
      </c>
      <c r="J4038">
        <v>0.85907253775792403</v>
      </c>
      <c r="K4038">
        <v>0.97963362068965598</v>
      </c>
      <c r="L4038">
        <v>0.91540057853440704</v>
      </c>
      <c r="M4038">
        <v>0.74375000000000002</v>
      </c>
      <c r="N4038">
        <v>1</v>
      </c>
      <c r="O4038">
        <v>0.80031249999999998</v>
      </c>
      <c r="P4038" t="s">
        <v>4727</v>
      </c>
      <c r="Q4038" t="s">
        <v>4728</v>
      </c>
      <c r="R4038" t="s">
        <v>224</v>
      </c>
      <c r="S4038" t="s">
        <v>225</v>
      </c>
      <c r="T4038" t="s">
        <v>6816</v>
      </c>
      <c r="U4038" t="s">
        <v>6817</v>
      </c>
      <c r="V4038" t="s">
        <v>5351</v>
      </c>
      <c r="W4038" t="s">
        <v>5352</v>
      </c>
      <c r="X4038" t="s">
        <v>5351</v>
      </c>
      <c r="Y4038" t="s">
        <v>1598</v>
      </c>
      <c r="AD4038" t="s">
        <v>1170</v>
      </c>
      <c r="AE4038" t="s">
        <v>6818</v>
      </c>
      <c r="AF4038" t="s">
        <v>6822</v>
      </c>
    </row>
    <row r="4039" spans="1:32" hidden="1" x14ac:dyDescent="0.35">
      <c r="A4039">
        <v>689</v>
      </c>
      <c r="B4039" t="s">
        <v>1411</v>
      </c>
      <c r="C4039" t="s">
        <v>72</v>
      </c>
      <c r="D4039" t="s">
        <v>58</v>
      </c>
      <c r="E4039">
        <v>103</v>
      </c>
      <c r="F4039">
        <v>5</v>
      </c>
      <c r="G4039">
        <v>5</v>
      </c>
      <c r="H4039">
        <v>1</v>
      </c>
      <c r="I4039">
        <v>1</v>
      </c>
      <c r="J4039">
        <v>0.75976418570375803</v>
      </c>
      <c r="K4039">
        <v>0.81609087242908895</v>
      </c>
      <c r="L4039">
        <v>0.78692087061104099</v>
      </c>
      <c r="M4039">
        <v>0.42196531791907499</v>
      </c>
      <c r="N4039">
        <v>1</v>
      </c>
      <c r="O4039">
        <v>0.62774566473988402</v>
      </c>
      <c r="P4039" t="s">
        <v>1412</v>
      </c>
      <c r="Q4039" t="s">
        <v>1413</v>
      </c>
      <c r="R4039" t="s">
        <v>342</v>
      </c>
      <c r="S4039" t="s">
        <v>343</v>
      </c>
      <c r="T4039" t="s">
        <v>1414</v>
      </c>
      <c r="U4039" t="s">
        <v>1415</v>
      </c>
      <c r="V4039" t="s">
        <v>1416</v>
      </c>
      <c r="W4039" t="s">
        <v>1417</v>
      </c>
      <c r="AD4039" t="s">
        <v>166</v>
      </c>
      <c r="AE4039" t="s">
        <v>818</v>
      </c>
      <c r="AF4039" t="s">
        <v>1418</v>
      </c>
    </row>
    <row r="4040" spans="1:32" hidden="1" x14ac:dyDescent="0.35">
      <c r="A4040">
        <v>3415</v>
      </c>
      <c r="B4040" t="s">
        <v>7011</v>
      </c>
      <c r="C4040" t="s">
        <v>72</v>
      </c>
      <c r="D4040" t="s">
        <v>60</v>
      </c>
      <c r="E4040">
        <v>1535</v>
      </c>
      <c r="F4040">
        <v>5</v>
      </c>
      <c r="G4040">
        <v>5</v>
      </c>
      <c r="H4040">
        <v>1</v>
      </c>
      <c r="I4040">
        <v>1</v>
      </c>
      <c r="J4040">
        <v>0.90447683498178</v>
      </c>
      <c r="K4040">
        <v>0.80317972604468102</v>
      </c>
      <c r="L4040">
        <v>0.85082384024309599</v>
      </c>
      <c r="M4040">
        <v>0.577380952380952</v>
      </c>
      <c r="N4040">
        <v>1</v>
      </c>
      <c r="O4040">
        <v>0.71607142857142903</v>
      </c>
      <c r="P4040" t="s">
        <v>7012</v>
      </c>
      <c r="Q4040" t="s">
        <v>7013</v>
      </c>
      <c r="R4040" t="s">
        <v>224</v>
      </c>
      <c r="S4040" t="s">
        <v>225</v>
      </c>
      <c r="T4040" t="s">
        <v>7014</v>
      </c>
      <c r="U4040" t="s">
        <v>7015</v>
      </c>
      <c r="V4040" t="s">
        <v>7016</v>
      </c>
      <c r="W4040" t="s">
        <v>7017</v>
      </c>
      <c r="X4040" t="s">
        <v>7016</v>
      </c>
      <c r="Y4040" t="s">
        <v>773</v>
      </c>
      <c r="AD4040" t="s">
        <v>904</v>
      </c>
      <c r="AE4040" t="s">
        <v>5765</v>
      </c>
      <c r="AF4040" t="s">
        <v>7019</v>
      </c>
    </row>
    <row r="4041" spans="1:32" hidden="1" x14ac:dyDescent="0.35">
      <c r="A4041">
        <v>3416</v>
      </c>
      <c r="B4041" t="s">
        <v>7011</v>
      </c>
      <c r="C4041" t="s">
        <v>72</v>
      </c>
      <c r="D4041" t="s">
        <v>62</v>
      </c>
      <c r="E4041">
        <v>1570</v>
      </c>
      <c r="F4041">
        <v>5</v>
      </c>
      <c r="G4041">
        <v>5</v>
      </c>
      <c r="H4041">
        <v>1</v>
      </c>
      <c r="I4041">
        <v>1</v>
      </c>
      <c r="J4041">
        <v>0.90447683498178</v>
      </c>
      <c r="K4041">
        <v>0.80317972604468102</v>
      </c>
      <c r="L4041">
        <v>0.85082384024309599</v>
      </c>
      <c r="M4041">
        <v>0.577380952380952</v>
      </c>
      <c r="N4041">
        <v>1</v>
      </c>
      <c r="O4041">
        <v>0.71607142857142903</v>
      </c>
      <c r="P4041" t="s">
        <v>7012</v>
      </c>
      <c r="Q4041" t="s">
        <v>7013</v>
      </c>
      <c r="R4041" t="s">
        <v>224</v>
      </c>
      <c r="S4041" t="s">
        <v>225</v>
      </c>
      <c r="T4041" t="s">
        <v>7014</v>
      </c>
      <c r="U4041" t="s">
        <v>7015</v>
      </c>
      <c r="V4041" t="s">
        <v>7016</v>
      </c>
      <c r="W4041" t="s">
        <v>7017</v>
      </c>
      <c r="X4041" t="s">
        <v>7016</v>
      </c>
      <c r="Y4041" t="s">
        <v>773</v>
      </c>
      <c r="AD4041" t="s">
        <v>904</v>
      </c>
      <c r="AE4041" t="s">
        <v>5765</v>
      </c>
      <c r="AF4041" t="s">
        <v>7019</v>
      </c>
    </row>
    <row r="4042" spans="1:32" hidden="1" x14ac:dyDescent="0.35">
      <c r="A4042">
        <v>3417</v>
      </c>
      <c r="B4042" t="s">
        <v>7011</v>
      </c>
      <c r="C4042" t="s">
        <v>72</v>
      </c>
      <c r="D4042" t="s">
        <v>34</v>
      </c>
      <c r="E4042">
        <v>1959</v>
      </c>
      <c r="F4042">
        <v>5</v>
      </c>
      <c r="G4042">
        <v>5</v>
      </c>
      <c r="H4042">
        <v>1</v>
      </c>
      <c r="I4042">
        <v>1</v>
      </c>
      <c r="J4042">
        <v>0.90447683498178</v>
      </c>
      <c r="K4042">
        <v>0.80317972604468102</v>
      </c>
      <c r="L4042">
        <v>0.85082384024309599</v>
      </c>
      <c r="M4042">
        <v>0.577380952380952</v>
      </c>
      <c r="N4042">
        <v>1</v>
      </c>
      <c r="O4042">
        <v>0.71607142857142903</v>
      </c>
      <c r="P4042" t="s">
        <v>7012</v>
      </c>
      <c r="Q4042" t="s">
        <v>7013</v>
      </c>
      <c r="R4042" t="s">
        <v>224</v>
      </c>
      <c r="S4042" t="s">
        <v>225</v>
      </c>
      <c r="T4042" t="s">
        <v>7014</v>
      </c>
      <c r="U4042" t="s">
        <v>7015</v>
      </c>
      <c r="V4042" t="s">
        <v>7016</v>
      </c>
      <c r="W4042" t="s">
        <v>7017</v>
      </c>
      <c r="X4042" t="s">
        <v>7016</v>
      </c>
      <c r="Y4042" t="s">
        <v>773</v>
      </c>
      <c r="AD4042" t="s">
        <v>904</v>
      </c>
      <c r="AE4042" t="s">
        <v>5765</v>
      </c>
      <c r="AF4042" t="s">
        <v>221</v>
      </c>
    </row>
    <row r="4043" spans="1:32" hidden="1" x14ac:dyDescent="0.35">
      <c r="A4043">
        <v>3418</v>
      </c>
      <c r="B4043" t="s">
        <v>7011</v>
      </c>
      <c r="C4043" t="s">
        <v>72</v>
      </c>
      <c r="D4043" t="s">
        <v>45</v>
      </c>
      <c r="E4043">
        <v>914</v>
      </c>
      <c r="F4043">
        <v>5</v>
      </c>
      <c r="G4043">
        <v>5</v>
      </c>
      <c r="H4043">
        <v>1</v>
      </c>
      <c r="I4043">
        <v>1</v>
      </c>
      <c r="J4043">
        <v>0.90447683498178</v>
      </c>
      <c r="K4043">
        <v>0.80317972604468102</v>
      </c>
      <c r="L4043">
        <v>0.85082384024309599</v>
      </c>
      <c r="M4043">
        <v>0.577380952380952</v>
      </c>
      <c r="N4043">
        <v>1</v>
      </c>
      <c r="O4043">
        <v>0.71607142857142903</v>
      </c>
      <c r="P4043" t="s">
        <v>7012</v>
      </c>
      <c r="Q4043" t="s">
        <v>7013</v>
      </c>
      <c r="R4043" t="s">
        <v>224</v>
      </c>
      <c r="S4043" t="s">
        <v>225</v>
      </c>
      <c r="T4043" t="s">
        <v>7014</v>
      </c>
      <c r="U4043" t="s">
        <v>7015</v>
      </c>
      <c r="V4043" t="s">
        <v>7016</v>
      </c>
      <c r="W4043" t="s">
        <v>7017</v>
      </c>
      <c r="X4043" t="s">
        <v>7016</v>
      </c>
      <c r="Y4043" t="s">
        <v>773</v>
      </c>
      <c r="AD4043" t="s">
        <v>904</v>
      </c>
      <c r="AE4043" t="s">
        <v>5765</v>
      </c>
      <c r="AF4043" t="s">
        <v>221</v>
      </c>
    </row>
    <row r="4044" spans="1:32" hidden="1" x14ac:dyDescent="0.35">
      <c r="A4044">
        <v>6011</v>
      </c>
      <c r="B4044" t="s">
        <v>12362</v>
      </c>
      <c r="C4044" t="s">
        <v>68</v>
      </c>
      <c r="D4044" t="s">
        <v>58</v>
      </c>
      <c r="E4044">
        <v>101</v>
      </c>
      <c r="F4044">
        <v>3</v>
      </c>
      <c r="G4044">
        <v>3</v>
      </c>
      <c r="H4044">
        <v>1</v>
      </c>
      <c r="I4044">
        <v>0</v>
      </c>
      <c r="J4044">
        <v>0.80254154447702797</v>
      </c>
      <c r="K4044">
        <v>0.988456648868548</v>
      </c>
      <c r="L4044">
        <v>0.88584961009895102</v>
      </c>
      <c r="M4044">
        <v>0.60869565217391297</v>
      </c>
      <c r="N4044">
        <v>1</v>
      </c>
      <c r="O4044">
        <v>0.73913043478260898</v>
      </c>
      <c r="P4044" t="s">
        <v>12363</v>
      </c>
      <c r="Q4044" t="s">
        <v>12364</v>
      </c>
      <c r="R4044" t="s">
        <v>342</v>
      </c>
      <c r="S4044" t="s">
        <v>343</v>
      </c>
      <c r="T4044" t="s">
        <v>12365</v>
      </c>
      <c r="U4044" t="s">
        <v>12366</v>
      </c>
      <c r="V4044" t="s">
        <v>12367</v>
      </c>
      <c r="W4044" t="s">
        <v>12368</v>
      </c>
      <c r="AD4044" t="s">
        <v>166</v>
      </c>
      <c r="AE4044" t="s">
        <v>818</v>
      </c>
      <c r="AF4044" t="s">
        <v>12369</v>
      </c>
    </row>
    <row r="4045" spans="1:32" hidden="1" x14ac:dyDescent="0.35">
      <c r="A4045">
        <v>3425</v>
      </c>
      <c r="B4045" t="s">
        <v>7026</v>
      </c>
      <c r="C4045" t="s">
        <v>72</v>
      </c>
      <c r="D4045" t="s">
        <v>60</v>
      </c>
      <c r="E4045">
        <v>976</v>
      </c>
      <c r="F4045">
        <v>5</v>
      </c>
      <c r="G4045">
        <v>5</v>
      </c>
      <c r="H4045">
        <v>1</v>
      </c>
      <c r="I4045">
        <v>1</v>
      </c>
      <c r="J4045">
        <v>0.84582803896654002</v>
      </c>
      <c r="K4045">
        <v>0.98911822068377797</v>
      </c>
      <c r="L4045">
        <v>0.911878394810829</v>
      </c>
      <c r="M4045">
        <v>0.71095152603231604</v>
      </c>
      <c r="N4045">
        <v>1</v>
      </c>
      <c r="O4045">
        <v>0.79353680430879703</v>
      </c>
      <c r="P4045" t="s">
        <v>7027</v>
      </c>
      <c r="Q4045" t="s">
        <v>7028</v>
      </c>
      <c r="R4045" t="s">
        <v>224</v>
      </c>
      <c r="S4045" t="s">
        <v>225</v>
      </c>
      <c r="T4045" t="s">
        <v>7029</v>
      </c>
      <c r="U4045" t="s">
        <v>7030</v>
      </c>
      <c r="V4045" t="s">
        <v>7031</v>
      </c>
      <c r="W4045" t="s">
        <v>7032</v>
      </c>
      <c r="X4045" t="s">
        <v>7031</v>
      </c>
      <c r="Y4045" t="s">
        <v>589</v>
      </c>
      <c r="AD4045" t="s">
        <v>7033</v>
      </c>
      <c r="AE4045" t="s">
        <v>7034</v>
      </c>
      <c r="AF4045" t="s">
        <v>7036</v>
      </c>
    </row>
    <row r="4046" spans="1:32" hidden="1" x14ac:dyDescent="0.35">
      <c r="A4046">
        <v>3426</v>
      </c>
      <c r="B4046" t="s">
        <v>7026</v>
      </c>
      <c r="C4046" t="s">
        <v>72</v>
      </c>
      <c r="D4046" t="s">
        <v>62</v>
      </c>
      <c r="E4046">
        <v>1012</v>
      </c>
      <c r="F4046">
        <v>5</v>
      </c>
      <c r="G4046">
        <v>5</v>
      </c>
      <c r="H4046">
        <v>1</v>
      </c>
      <c r="I4046">
        <v>1</v>
      </c>
      <c r="J4046">
        <v>0.84582803896654002</v>
      </c>
      <c r="K4046">
        <v>0.98911822068377797</v>
      </c>
      <c r="L4046">
        <v>0.911878394810829</v>
      </c>
      <c r="M4046">
        <v>0.71095152603231604</v>
      </c>
      <c r="N4046">
        <v>1</v>
      </c>
      <c r="O4046">
        <v>0.79353680430879703</v>
      </c>
      <c r="P4046" t="s">
        <v>7027</v>
      </c>
      <c r="Q4046" t="s">
        <v>7028</v>
      </c>
      <c r="R4046" t="s">
        <v>224</v>
      </c>
      <c r="S4046" t="s">
        <v>225</v>
      </c>
      <c r="T4046" t="s">
        <v>7029</v>
      </c>
      <c r="U4046" t="s">
        <v>7030</v>
      </c>
      <c r="V4046" t="s">
        <v>7031</v>
      </c>
      <c r="W4046" t="s">
        <v>7032</v>
      </c>
      <c r="X4046" t="s">
        <v>7031</v>
      </c>
      <c r="Y4046" t="s">
        <v>589</v>
      </c>
      <c r="AD4046" t="s">
        <v>7033</v>
      </c>
      <c r="AE4046" t="s">
        <v>7034</v>
      </c>
      <c r="AF4046" t="s">
        <v>7036</v>
      </c>
    </row>
    <row r="4047" spans="1:32" hidden="1" x14ac:dyDescent="0.35">
      <c r="A4047">
        <v>3427</v>
      </c>
      <c r="B4047" t="s">
        <v>7026</v>
      </c>
      <c r="C4047" t="s">
        <v>72</v>
      </c>
      <c r="D4047" t="s">
        <v>34</v>
      </c>
      <c r="E4047">
        <v>172</v>
      </c>
      <c r="F4047">
        <v>5</v>
      </c>
      <c r="G4047">
        <v>5</v>
      </c>
      <c r="H4047">
        <v>1</v>
      </c>
      <c r="I4047">
        <v>1</v>
      </c>
      <c r="J4047">
        <v>0.84582803896654002</v>
      </c>
      <c r="K4047">
        <v>0.98911822068377797</v>
      </c>
      <c r="L4047">
        <v>0.911878394810829</v>
      </c>
      <c r="M4047">
        <v>0.71095152603231604</v>
      </c>
      <c r="N4047">
        <v>1</v>
      </c>
      <c r="O4047">
        <v>0.79353680430879703</v>
      </c>
      <c r="P4047" t="s">
        <v>7027</v>
      </c>
      <c r="Q4047" t="s">
        <v>7028</v>
      </c>
      <c r="R4047" t="s">
        <v>224</v>
      </c>
      <c r="S4047" t="s">
        <v>225</v>
      </c>
      <c r="T4047" t="s">
        <v>7029</v>
      </c>
      <c r="U4047" t="s">
        <v>7030</v>
      </c>
      <c r="V4047" t="s">
        <v>7031</v>
      </c>
      <c r="W4047" t="s">
        <v>7032</v>
      </c>
      <c r="X4047" t="s">
        <v>7031</v>
      </c>
      <c r="Y4047" t="s">
        <v>589</v>
      </c>
      <c r="AD4047" t="s">
        <v>7033</v>
      </c>
      <c r="AE4047" t="s">
        <v>7034</v>
      </c>
      <c r="AF4047" t="s">
        <v>7037</v>
      </c>
    </row>
    <row r="4048" spans="1:32" hidden="1" x14ac:dyDescent="0.35">
      <c r="A4048">
        <v>3428</v>
      </c>
      <c r="B4048" t="s">
        <v>7026</v>
      </c>
      <c r="C4048" t="s">
        <v>72</v>
      </c>
      <c r="D4048" t="s">
        <v>45</v>
      </c>
      <c r="E4048">
        <v>1433</v>
      </c>
      <c r="F4048">
        <v>5</v>
      </c>
      <c r="G4048">
        <v>5</v>
      </c>
      <c r="H4048">
        <v>1</v>
      </c>
      <c r="I4048">
        <v>1</v>
      </c>
      <c r="J4048">
        <v>0.84582803896654002</v>
      </c>
      <c r="K4048">
        <v>0.98911822068377797</v>
      </c>
      <c r="L4048">
        <v>0.911878394810829</v>
      </c>
      <c r="M4048">
        <v>0.71095152603231604</v>
      </c>
      <c r="N4048">
        <v>1</v>
      </c>
      <c r="O4048">
        <v>0.79353680430879703</v>
      </c>
      <c r="P4048" t="s">
        <v>7027</v>
      </c>
      <c r="Q4048" t="s">
        <v>7028</v>
      </c>
      <c r="R4048" t="s">
        <v>224</v>
      </c>
      <c r="S4048" t="s">
        <v>225</v>
      </c>
      <c r="T4048" t="s">
        <v>7029</v>
      </c>
      <c r="U4048" t="s">
        <v>7030</v>
      </c>
      <c r="V4048" t="s">
        <v>7031</v>
      </c>
      <c r="W4048" t="s">
        <v>7032</v>
      </c>
      <c r="X4048" t="s">
        <v>7031</v>
      </c>
      <c r="Y4048" t="s">
        <v>589</v>
      </c>
      <c r="AD4048" t="s">
        <v>7033</v>
      </c>
      <c r="AE4048" t="s">
        <v>7034</v>
      </c>
      <c r="AF4048" t="s">
        <v>7038</v>
      </c>
    </row>
    <row r="4049" spans="1:32" hidden="1" x14ac:dyDescent="0.35">
      <c r="A4049">
        <v>10895</v>
      </c>
      <c r="B4049" t="s">
        <v>21923</v>
      </c>
      <c r="C4049" t="s">
        <v>33</v>
      </c>
      <c r="D4049" t="s">
        <v>58</v>
      </c>
      <c r="E4049">
        <v>99</v>
      </c>
      <c r="F4049">
        <v>1</v>
      </c>
      <c r="G4049">
        <v>1</v>
      </c>
      <c r="H4049">
        <v>1</v>
      </c>
      <c r="I4049">
        <v>0</v>
      </c>
      <c r="J4049">
        <v>1</v>
      </c>
      <c r="K4049">
        <v>1</v>
      </c>
      <c r="L4049">
        <v>1</v>
      </c>
      <c r="M4049">
        <v>0</v>
      </c>
      <c r="N4049">
        <v>0</v>
      </c>
      <c r="O4049">
        <v>0</v>
      </c>
      <c r="P4049" t="s">
        <v>14524</v>
      </c>
      <c r="Q4049" t="s">
        <v>14525</v>
      </c>
      <c r="R4049" t="s">
        <v>342</v>
      </c>
      <c r="S4049" t="s">
        <v>343</v>
      </c>
      <c r="V4049" t="s">
        <v>20284</v>
      </c>
      <c r="W4049" t="s">
        <v>20285</v>
      </c>
      <c r="AF4049" t="s">
        <v>21924</v>
      </c>
    </row>
    <row r="4050" spans="1:32" hidden="1" x14ac:dyDescent="0.35">
      <c r="A4050">
        <v>3435</v>
      </c>
      <c r="B4050" t="s">
        <v>7055</v>
      </c>
      <c r="C4050" t="s">
        <v>72</v>
      </c>
      <c r="D4050" t="s">
        <v>60</v>
      </c>
      <c r="E4050">
        <v>2539</v>
      </c>
      <c r="F4050">
        <v>5</v>
      </c>
      <c r="G4050">
        <v>5</v>
      </c>
      <c r="H4050">
        <v>1</v>
      </c>
      <c r="I4050">
        <v>1</v>
      </c>
      <c r="J4050">
        <v>0.79100529100529104</v>
      </c>
      <c r="K4050">
        <v>0.89124419031311597</v>
      </c>
      <c r="L4050">
        <v>0.83813831175967701</v>
      </c>
      <c r="M4050">
        <v>0.5078125</v>
      </c>
      <c r="N4050">
        <v>1</v>
      </c>
      <c r="O4050">
        <v>0.66718750000000004</v>
      </c>
      <c r="P4050" t="s">
        <v>7056</v>
      </c>
      <c r="Q4050" t="s">
        <v>7057</v>
      </c>
      <c r="R4050" t="s">
        <v>224</v>
      </c>
      <c r="S4050" t="s">
        <v>225</v>
      </c>
      <c r="T4050" t="s">
        <v>7058</v>
      </c>
      <c r="U4050" t="s">
        <v>7059</v>
      </c>
      <c r="V4050" t="s">
        <v>7060</v>
      </c>
      <c r="W4050" t="s">
        <v>7061</v>
      </c>
      <c r="X4050" t="s">
        <v>7060</v>
      </c>
      <c r="Y4050" t="s">
        <v>1598</v>
      </c>
      <c r="AD4050" t="s">
        <v>7062</v>
      </c>
      <c r="AE4050" t="s">
        <v>7063</v>
      </c>
      <c r="AF4050" t="s">
        <v>7065</v>
      </c>
    </row>
    <row r="4051" spans="1:32" hidden="1" x14ac:dyDescent="0.35">
      <c r="A4051">
        <v>3436</v>
      </c>
      <c r="B4051" t="s">
        <v>7055</v>
      </c>
      <c r="C4051" t="s">
        <v>72</v>
      </c>
      <c r="D4051" t="s">
        <v>62</v>
      </c>
      <c r="E4051">
        <v>64</v>
      </c>
      <c r="F4051">
        <v>5</v>
      </c>
      <c r="G4051">
        <v>5</v>
      </c>
      <c r="H4051">
        <v>1</v>
      </c>
      <c r="I4051">
        <v>1</v>
      </c>
      <c r="J4051">
        <v>0.79100529100529104</v>
      </c>
      <c r="K4051">
        <v>0.89124419031311597</v>
      </c>
      <c r="L4051">
        <v>0.83813831175967701</v>
      </c>
      <c r="M4051">
        <v>0.5078125</v>
      </c>
      <c r="N4051">
        <v>1</v>
      </c>
      <c r="O4051">
        <v>0.66718750000000004</v>
      </c>
      <c r="P4051" t="s">
        <v>7056</v>
      </c>
      <c r="Q4051" t="s">
        <v>7057</v>
      </c>
      <c r="R4051" t="s">
        <v>224</v>
      </c>
      <c r="S4051" t="s">
        <v>225</v>
      </c>
      <c r="T4051" t="s">
        <v>7058</v>
      </c>
      <c r="U4051" t="s">
        <v>7059</v>
      </c>
      <c r="V4051" t="s">
        <v>7060</v>
      </c>
      <c r="W4051" t="s">
        <v>7061</v>
      </c>
      <c r="X4051" t="s">
        <v>7060</v>
      </c>
      <c r="Y4051" t="s">
        <v>1598</v>
      </c>
      <c r="AD4051" t="s">
        <v>7062</v>
      </c>
      <c r="AE4051" t="s">
        <v>7063</v>
      </c>
      <c r="AF4051" t="s">
        <v>7065</v>
      </c>
    </row>
    <row r="4052" spans="1:32" hidden="1" x14ac:dyDescent="0.35">
      <c r="A4052">
        <v>3437</v>
      </c>
      <c r="B4052" t="s">
        <v>7055</v>
      </c>
      <c r="C4052" t="s">
        <v>72</v>
      </c>
      <c r="D4052" t="s">
        <v>34</v>
      </c>
      <c r="E4052">
        <v>1106</v>
      </c>
      <c r="F4052">
        <v>5</v>
      </c>
      <c r="G4052">
        <v>5</v>
      </c>
      <c r="H4052">
        <v>1</v>
      </c>
      <c r="I4052">
        <v>1</v>
      </c>
      <c r="J4052">
        <v>0.79100529100529104</v>
      </c>
      <c r="K4052">
        <v>0.89124419031311597</v>
      </c>
      <c r="L4052">
        <v>0.83813831175967701</v>
      </c>
      <c r="M4052">
        <v>0.5078125</v>
      </c>
      <c r="N4052">
        <v>1</v>
      </c>
      <c r="O4052">
        <v>0.66718750000000004</v>
      </c>
      <c r="P4052" t="s">
        <v>7056</v>
      </c>
      <c r="Q4052" t="s">
        <v>7057</v>
      </c>
      <c r="R4052" t="s">
        <v>224</v>
      </c>
      <c r="S4052" t="s">
        <v>225</v>
      </c>
      <c r="T4052" t="s">
        <v>7058</v>
      </c>
      <c r="U4052" t="s">
        <v>7059</v>
      </c>
      <c r="V4052" t="s">
        <v>7060</v>
      </c>
      <c r="W4052" t="s">
        <v>7061</v>
      </c>
      <c r="X4052" t="s">
        <v>7060</v>
      </c>
      <c r="Y4052" t="s">
        <v>1598</v>
      </c>
      <c r="AD4052" t="s">
        <v>7062</v>
      </c>
      <c r="AE4052" t="s">
        <v>7063</v>
      </c>
      <c r="AF4052" t="s">
        <v>7066</v>
      </c>
    </row>
    <row r="4053" spans="1:32" hidden="1" x14ac:dyDescent="0.35">
      <c r="A4053">
        <v>3438</v>
      </c>
      <c r="B4053" t="s">
        <v>7055</v>
      </c>
      <c r="C4053" t="s">
        <v>72</v>
      </c>
      <c r="D4053" t="s">
        <v>45</v>
      </c>
      <c r="E4053">
        <v>2360</v>
      </c>
      <c r="F4053">
        <v>5</v>
      </c>
      <c r="G4053">
        <v>5</v>
      </c>
      <c r="H4053">
        <v>1</v>
      </c>
      <c r="I4053">
        <v>1</v>
      </c>
      <c r="J4053">
        <v>0.79100529100529104</v>
      </c>
      <c r="K4053">
        <v>0.89124419031311597</v>
      </c>
      <c r="L4053">
        <v>0.83813831175967701</v>
      </c>
      <c r="M4053">
        <v>0.5078125</v>
      </c>
      <c r="N4053">
        <v>1</v>
      </c>
      <c r="O4053">
        <v>0.66718750000000004</v>
      </c>
      <c r="P4053" t="s">
        <v>7056</v>
      </c>
      <c r="Q4053" t="s">
        <v>7057</v>
      </c>
      <c r="R4053" t="s">
        <v>224</v>
      </c>
      <c r="S4053" t="s">
        <v>225</v>
      </c>
      <c r="T4053" t="s">
        <v>7058</v>
      </c>
      <c r="U4053" t="s">
        <v>7059</v>
      </c>
      <c r="V4053" t="s">
        <v>7060</v>
      </c>
      <c r="W4053" t="s">
        <v>7061</v>
      </c>
      <c r="X4053" t="s">
        <v>7060</v>
      </c>
      <c r="Y4053" t="s">
        <v>1598</v>
      </c>
      <c r="AD4053" t="s">
        <v>7062</v>
      </c>
      <c r="AE4053" t="s">
        <v>7063</v>
      </c>
      <c r="AF4053" t="s">
        <v>7067</v>
      </c>
    </row>
    <row r="4054" spans="1:32" hidden="1" x14ac:dyDescent="0.35">
      <c r="A4054">
        <v>11378</v>
      </c>
      <c r="B4054" t="s">
        <v>23175</v>
      </c>
      <c r="C4054" t="s">
        <v>33</v>
      </c>
      <c r="D4054" t="s">
        <v>58</v>
      </c>
      <c r="E4054">
        <v>214</v>
      </c>
      <c r="F4054">
        <v>1</v>
      </c>
      <c r="G4054">
        <v>1</v>
      </c>
      <c r="H4054">
        <v>1</v>
      </c>
      <c r="I4054">
        <v>0</v>
      </c>
      <c r="J4054">
        <v>1</v>
      </c>
      <c r="K4054">
        <v>1</v>
      </c>
      <c r="L4054">
        <v>1</v>
      </c>
      <c r="M4054">
        <v>0</v>
      </c>
      <c r="N4054">
        <v>0</v>
      </c>
      <c r="O4054">
        <v>0</v>
      </c>
      <c r="P4054" t="s">
        <v>13658</v>
      </c>
      <c r="Q4054" t="s">
        <v>13659</v>
      </c>
      <c r="R4054" t="s">
        <v>157</v>
      </c>
      <c r="S4054" t="s">
        <v>158</v>
      </c>
      <c r="V4054" t="s">
        <v>13531</v>
      </c>
      <c r="W4054" t="s">
        <v>13532</v>
      </c>
      <c r="AF4054" t="s">
        <v>23176</v>
      </c>
    </row>
    <row r="4055" spans="1:32" hidden="1" x14ac:dyDescent="0.35">
      <c r="A4055">
        <v>3455</v>
      </c>
      <c r="B4055" t="s">
        <v>7104</v>
      </c>
      <c r="C4055" t="s">
        <v>72</v>
      </c>
      <c r="D4055" t="s">
        <v>60</v>
      </c>
      <c r="E4055">
        <v>1514</v>
      </c>
      <c r="F4055">
        <v>5</v>
      </c>
      <c r="G4055">
        <v>5</v>
      </c>
      <c r="H4055">
        <v>1</v>
      </c>
      <c r="I4055">
        <v>1</v>
      </c>
      <c r="J4055">
        <v>0.86818362086059897</v>
      </c>
      <c r="K4055">
        <v>0.94502182580330196</v>
      </c>
      <c r="L4055">
        <v>0.90497463707463199</v>
      </c>
      <c r="M4055">
        <v>0.72791023842917202</v>
      </c>
      <c r="N4055">
        <v>1</v>
      </c>
      <c r="O4055">
        <v>0.806030855539972</v>
      </c>
      <c r="P4055" t="s">
        <v>7105</v>
      </c>
      <c r="Q4055" t="s">
        <v>7106</v>
      </c>
      <c r="R4055" t="s">
        <v>224</v>
      </c>
      <c r="S4055" t="s">
        <v>225</v>
      </c>
      <c r="T4055" t="s">
        <v>7107</v>
      </c>
      <c r="U4055" t="s">
        <v>7108</v>
      </c>
      <c r="V4055" t="s">
        <v>7109</v>
      </c>
      <c r="W4055" t="s">
        <v>7110</v>
      </c>
      <c r="AD4055" t="s">
        <v>7111</v>
      </c>
      <c r="AE4055" t="s">
        <v>7112</v>
      </c>
      <c r="AF4055" t="s">
        <v>7114</v>
      </c>
    </row>
    <row r="4056" spans="1:32" hidden="1" x14ac:dyDescent="0.35">
      <c r="A4056">
        <v>3456</v>
      </c>
      <c r="B4056" t="s">
        <v>7104</v>
      </c>
      <c r="C4056" t="s">
        <v>72</v>
      </c>
      <c r="D4056" t="s">
        <v>62</v>
      </c>
      <c r="E4056">
        <v>1549</v>
      </c>
      <c r="F4056">
        <v>5</v>
      </c>
      <c r="G4056">
        <v>5</v>
      </c>
      <c r="H4056">
        <v>1</v>
      </c>
      <c r="I4056">
        <v>1</v>
      </c>
      <c r="J4056">
        <v>0.86818362086059897</v>
      </c>
      <c r="K4056">
        <v>0.94502182580330196</v>
      </c>
      <c r="L4056">
        <v>0.90497463707463199</v>
      </c>
      <c r="M4056">
        <v>0.72791023842917202</v>
      </c>
      <c r="N4056">
        <v>1</v>
      </c>
      <c r="O4056">
        <v>0.806030855539972</v>
      </c>
      <c r="P4056" t="s">
        <v>7105</v>
      </c>
      <c r="Q4056" t="s">
        <v>7106</v>
      </c>
      <c r="R4056" t="s">
        <v>224</v>
      </c>
      <c r="S4056" t="s">
        <v>225</v>
      </c>
      <c r="T4056" t="s">
        <v>7107</v>
      </c>
      <c r="U4056" t="s">
        <v>7108</v>
      </c>
      <c r="V4056" t="s">
        <v>7109</v>
      </c>
      <c r="W4056" t="s">
        <v>7110</v>
      </c>
      <c r="AD4056" t="s">
        <v>7111</v>
      </c>
      <c r="AE4056" t="s">
        <v>7112</v>
      </c>
      <c r="AF4056" t="s">
        <v>7114</v>
      </c>
    </row>
    <row r="4057" spans="1:32" hidden="1" x14ac:dyDescent="0.35">
      <c r="A4057">
        <v>3457</v>
      </c>
      <c r="B4057" t="s">
        <v>7104</v>
      </c>
      <c r="C4057" t="s">
        <v>72</v>
      </c>
      <c r="D4057" t="s">
        <v>34</v>
      </c>
      <c r="E4057">
        <v>1945</v>
      </c>
      <c r="F4057">
        <v>5</v>
      </c>
      <c r="G4057">
        <v>5</v>
      </c>
      <c r="H4057">
        <v>1</v>
      </c>
      <c r="I4057">
        <v>1</v>
      </c>
      <c r="J4057">
        <v>0.86818362086059897</v>
      </c>
      <c r="K4057">
        <v>0.94502182580330196</v>
      </c>
      <c r="L4057">
        <v>0.90497463707463199</v>
      </c>
      <c r="M4057">
        <v>0.72791023842917202</v>
      </c>
      <c r="N4057">
        <v>1</v>
      </c>
      <c r="O4057">
        <v>0.806030855539972</v>
      </c>
      <c r="P4057" t="s">
        <v>7105</v>
      </c>
      <c r="Q4057" t="s">
        <v>7106</v>
      </c>
      <c r="R4057" t="s">
        <v>224</v>
      </c>
      <c r="S4057" t="s">
        <v>225</v>
      </c>
      <c r="T4057" t="s">
        <v>7107</v>
      </c>
      <c r="U4057" t="s">
        <v>7108</v>
      </c>
      <c r="V4057" t="s">
        <v>7109</v>
      </c>
      <c r="W4057" t="s">
        <v>7110</v>
      </c>
      <c r="AD4057" t="s">
        <v>7111</v>
      </c>
      <c r="AE4057" t="s">
        <v>7112</v>
      </c>
      <c r="AF4057" t="s">
        <v>7115</v>
      </c>
    </row>
    <row r="4058" spans="1:32" hidden="1" x14ac:dyDescent="0.35">
      <c r="A4058">
        <v>3458</v>
      </c>
      <c r="B4058" t="s">
        <v>7104</v>
      </c>
      <c r="C4058" t="s">
        <v>72</v>
      </c>
      <c r="D4058" t="s">
        <v>45</v>
      </c>
      <c r="E4058">
        <v>928</v>
      </c>
      <c r="F4058">
        <v>5</v>
      </c>
      <c r="G4058">
        <v>5</v>
      </c>
      <c r="H4058">
        <v>1</v>
      </c>
      <c r="I4058">
        <v>1</v>
      </c>
      <c r="J4058">
        <v>0.86818362086059897</v>
      </c>
      <c r="K4058">
        <v>0.94502182580330196</v>
      </c>
      <c r="L4058">
        <v>0.90497463707463199</v>
      </c>
      <c r="M4058">
        <v>0.72791023842917202</v>
      </c>
      <c r="N4058">
        <v>1</v>
      </c>
      <c r="O4058">
        <v>0.806030855539972</v>
      </c>
      <c r="P4058" t="s">
        <v>7105</v>
      </c>
      <c r="Q4058" t="s">
        <v>7106</v>
      </c>
      <c r="R4058" t="s">
        <v>224</v>
      </c>
      <c r="S4058" t="s">
        <v>225</v>
      </c>
      <c r="T4058" t="s">
        <v>7107</v>
      </c>
      <c r="U4058" t="s">
        <v>7108</v>
      </c>
      <c r="V4058" t="s">
        <v>7109</v>
      </c>
      <c r="W4058" t="s">
        <v>7110</v>
      </c>
      <c r="AD4058" t="s">
        <v>7111</v>
      </c>
      <c r="AE4058" t="s">
        <v>7112</v>
      </c>
      <c r="AF4058" t="s">
        <v>7116</v>
      </c>
    </row>
    <row r="4059" spans="1:32" hidden="1" x14ac:dyDescent="0.35">
      <c r="A4059">
        <v>1124</v>
      </c>
      <c r="B4059" t="s">
        <v>2333</v>
      </c>
      <c r="C4059" t="s">
        <v>72</v>
      </c>
      <c r="D4059" t="s">
        <v>58</v>
      </c>
      <c r="E4059">
        <v>536</v>
      </c>
      <c r="F4059">
        <v>5</v>
      </c>
      <c r="G4059">
        <v>5</v>
      </c>
      <c r="H4059">
        <v>1</v>
      </c>
      <c r="I4059">
        <v>1</v>
      </c>
      <c r="J4059">
        <v>0.77552171460800901</v>
      </c>
      <c r="K4059">
        <v>0.96160610585697903</v>
      </c>
      <c r="L4059">
        <v>0.85859705567563405</v>
      </c>
      <c r="M4059">
        <v>0.56097560975609795</v>
      </c>
      <c r="N4059">
        <v>1</v>
      </c>
      <c r="O4059">
        <v>0.69430894308943103</v>
      </c>
      <c r="P4059" t="s">
        <v>2334</v>
      </c>
      <c r="Q4059" t="s">
        <v>2335</v>
      </c>
      <c r="R4059" t="s">
        <v>157</v>
      </c>
      <c r="S4059" t="s">
        <v>158</v>
      </c>
      <c r="V4059" t="s">
        <v>2336</v>
      </c>
      <c r="W4059" t="s">
        <v>2337</v>
      </c>
      <c r="AF4059" t="s">
        <v>2338</v>
      </c>
    </row>
    <row r="4060" spans="1:32" hidden="1" x14ac:dyDescent="0.35">
      <c r="A4060">
        <v>3470</v>
      </c>
      <c r="B4060" t="s">
        <v>7132</v>
      </c>
      <c r="C4060" t="s">
        <v>72</v>
      </c>
      <c r="D4060" t="s">
        <v>60</v>
      </c>
      <c r="E4060">
        <v>1518</v>
      </c>
      <c r="F4060">
        <v>5</v>
      </c>
      <c r="G4060">
        <v>5</v>
      </c>
      <c r="H4060">
        <v>1</v>
      </c>
      <c r="I4060">
        <v>1</v>
      </c>
      <c r="J4060">
        <v>0.906650747324666</v>
      </c>
      <c r="K4060">
        <v>0.94067757132697105</v>
      </c>
      <c r="L4060">
        <v>0.92335078115151303</v>
      </c>
      <c r="M4060">
        <v>0.78953922789539199</v>
      </c>
      <c r="N4060">
        <v>1</v>
      </c>
      <c r="O4060">
        <v>0.84246575342465801</v>
      </c>
      <c r="P4060" t="s">
        <v>7133</v>
      </c>
      <c r="Q4060" t="s">
        <v>7134</v>
      </c>
      <c r="R4060" t="s">
        <v>224</v>
      </c>
      <c r="S4060" t="s">
        <v>225</v>
      </c>
      <c r="T4060" t="s">
        <v>7135</v>
      </c>
      <c r="U4060" t="s">
        <v>7136</v>
      </c>
      <c r="V4060" t="s">
        <v>7137</v>
      </c>
      <c r="W4060" t="s">
        <v>7138</v>
      </c>
      <c r="AD4060" t="s">
        <v>7139</v>
      </c>
      <c r="AE4060" t="s">
        <v>7140</v>
      </c>
      <c r="AF4060" t="s">
        <v>7142</v>
      </c>
    </row>
    <row r="4061" spans="1:32" hidden="1" x14ac:dyDescent="0.35">
      <c r="A4061">
        <v>3471</v>
      </c>
      <c r="B4061" t="s">
        <v>7132</v>
      </c>
      <c r="C4061" t="s">
        <v>72</v>
      </c>
      <c r="D4061" t="s">
        <v>62</v>
      </c>
      <c r="E4061">
        <v>1553</v>
      </c>
      <c r="F4061">
        <v>5</v>
      </c>
      <c r="G4061">
        <v>5</v>
      </c>
      <c r="H4061">
        <v>1</v>
      </c>
      <c r="I4061">
        <v>1</v>
      </c>
      <c r="J4061">
        <v>0.906650747324666</v>
      </c>
      <c r="K4061">
        <v>0.94067757132697105</v>
      </c>
      <c r="L4061">
        <v>0.92335078115151303</v>
      </c>
      <c r="M4061">
        <v>0.78953922789539199</v>
      </c>
      <c r="N4061">
        <v>1</v>
      </c>
      <c r="O4061">
        <v>0.84246575342465801</v>
      </c>
      <c r="P4061" t="s">
        <v>7133</v>
      </c>
      <c r="Q4061" t="s">
        <v>7134</v>
      </c>
      <c r="R4061" t="s">
        <v>224</v>
      </c>
      <c r="S4061" t="s">
        <v>225</v>
      </c>
      <c r="T4061" t="s">
        <v>7135</v>
      </c>
      <c r="U4061" t="s">
        <v>7136</v>
      </c>
      <c r="V4061" t="s">
        <v>7137</v>
      </c>
      <c r="W4061" t="s">
        <v>7138</v>
      </c>
      <c r="AD4061" t="s">
        <v>7139</v>
      </c>
      <c r="AE4061" t="s">
        <v>7140</v>
      </c>
      <c r="AF4061" t="s">
        <v>7142</v>
      </c>
    </row>
    <row r="4062" spans="1:32" hidden="1" x14ac:dyDescent="0.35">
      <c r="A4062">
        <v>3472</v>
      </c>
      <c r="B4062" t="s">
        <v>7132</v>
      </c>
      <c r="C4062" t="s">
        <v>72</v>
      </c>
      <c r="D4062" t="s">
        <v>34</v>
      </c>
      <c r="E4062">
        <v>1949</v>
      </c>
      <c r="F4062">
        <v>5</v>
      </c>
      <c r="G4062">
        <v>5</v>
      </c>
      <c r="H4062">
        <v>1</v>
      </c>
      <c r="I4062">
        <v>1</v>
      </c>
      <c r="J4062">
        <v>0.906650747324666</v>
      </c>
      <c r="K4062">
        <v>0.94067757132697105</v>
      </c>
      <c r="L4062">
        <v>0.92335078115151303</v>
      </c>
      <c r="M4062">
        <v>0.78953922789539199</v>
      </c>
      <c r="N4062">
        <v>1</v>
      </c>
      <c r="O4062">
        <v>0.84246575342465801</v>
      </c>
      <c r="P4062" t="s">
        <v>7133</v>
      </c>
      <c r="Q4062" t="s">
        <v>7134</v>
      </c>
      <c r="R4062" t="s">
        <v>224</v>
      </c>
      <c r="S4062" t="s">
        <v>225</v>
      </c>
      <c r="T4062" t="s">
        <v>7135</v>
      </c>
      <c r="U4062" t="s">
        <v>7136</v>
      </c>
      <c r="V4062" t="s">
        <v>7137</v>
      </c>
      <c r="W4062" t="s">
        <v>7138</v>
      </c>
      <c r="AD4062" t="s">
        <v>7139</v>
      </c>
      <c r="AE4062" t="s">
        <v>7140</v>
      </c>
      <c r="AF4062" t="s">
        <v>7143</v>
      </c>
    </row>
    <row r="4063" spans="1:32" hidden="1" x14ac:dyDescent="0.35">
      <c r="A4063">
        <v>3473</v>
      </c>
      <c r="B4063" t="s">
        <v>7132</v>
      </c>
      <c r="C4063" t="s">
        <v>72</v>
      </c>
      <c r="D4063" t="s">
        <v>45</v>
      </c>
      <c r="E4063">
        <v>924</v>
      </c>
      <c r="F4063">
        <v>5</v>
      </c>
      <c r="G4063">
        <v>5</v>
      </c>
      <c r="H4063">
        <v>1</v>
      </c>
      <c r="I4063">
        <v>1</v>
      </c>
      <c r="J4063">
        <v>0.906650747324666</v>
      </c>
      <c r="K4063">
        <v>0.94067757132697105</v>
      </c>
      <c r="L4063">
        <v>0.92335078115151303</v>
      </c>
      <c r="M4063">
        <v>0.78953922789539199</v>
      </c>
      <c r="N4063">
        <v>1</v>
      </c>
      <c r="O4063">
        <v>0.84246575342465801</v>
      </c>
      <c r="P4063" t="s">
        <v>7133</v>
      </c>
      <c r="Q4063" t="s">
        <v>7134</v>
      </c>
      <c r="R4063" t="s">
        <v>224</v>
      </c>
      <c r="S4063" t="s">
        <v>225</v>
      </c>
      <c r="T4063" t="s">
        <v>7135</v>
      </c>
      <c r="U4063" t="s">
        <v>7136</v>
      </c>
      <c r="V4063" t="s">
        <v>7137</v>
      </c>
      <c r="W4063" t="s">
        <v>7138</v>
      </c>
      <c r="AD4063" t="s">
        <v>7139</v>
      </c>
      <c r="AE4063" t="s">
        <v>7140</v>
      </c>
      <c r="AF4063" t="s">
        <v>7143</v>
      </c>
    </row>
    <row r="4064" spans="1:32" hidden="1" x14ac:dyDescent="0.35">
      <c r="A4064">
        <v>11850</v>
      </c>
      <c r="B4064" t="s">
        <v>24377</v>
      </c>
      <c r="C4064" t="s">
        <v>33</v>
      </c>
      <c r="D4064" t="s">
        <v>58</v>
      </c>
      <c r="E4064">
        <v>1170</v>
      </c>
      <c r="F4064">
        <v>1</v>
      </c>
      <c r="G4064">
        <v>1</v>
      </c>
      <c r="H4064">
        <v>1</v>
      </c>
      <c r="I4064">
        <v>0</v>
      </c>
      <c r="J4064">
        <v>1</v>
      </c>
      <c r="K4064">
        <v>1</v>
      </c>
      <c r="L4064">
        <v>1</v>
      </c>
      <c r="M4064">
        <v>0</v>
      </c>
      <c r="N4064">
        <v>0</v>
      </c>
      <c r="O4064">
        <v>0</v>
      </c>
      <c r="P4064" t="s">
        <v>2334</v>
      </c>
      <c r="Q4064" t="s">
        <v>2335</v>
      </c>
      <c r="R4064" t="s">
        <v>157</v>
      </c>
      <c r="S4064" t="s">
        <v>158</v>
      </c>
      <c r="V4064" t="s">
        <v>2336</v>
      </c>
      <c r="W4064" t="s">
        <v>2337</v>
      </c>
      <c r="AF4064" t="s">
        <v>24378</v>
      </c>
    </row>
    <row r="4065" spans="1:32" hidden="1" x14ac:dyDescent="0.35">
      <c r="A4065">
        <v>3500</v>
      </c>
      <c r="B4065" t="s">
        <v>7181</v>
      </c>
      <c r="C4065" t="s">
        <v>72</v>
      </c>
      <c r="D4065" t="s">
        <v>60</v>
      </c>
      <c r="E4065">
        <v>131</v>
      </c>
      <c r="F4065">
        <v>5</v>
      </c>
      <c r="G4065">
        <v>5</v>
      </c>
      <c r="H4065">
        <v>1</v>
      </c>
      <c r="I4065">
        <v>1</v>
      </c>
      <c r="J4065">
        <v>0.76609347442680797</v>
      </c>
      <c r="K4065">
        <v>0.94694968553459102</v>
      </c>
      <c r="L4065">
        <v>0.84697454407968897</v>
      </c>
      <c r="M4065">
        <v>0.52500000000000002</v>
      </c>
      <c r="N4065">
        <v>1</v>
      </c>
      <c r="O4065">
        <v>0.671875</v>
      </c>
      <c r="P4065" t="s">
        <v>7182</v>
      </c>
      <c r="Q4065" t="s">
        <v>7183</v>
      </c>
      <c r="R4065" t="s">
        <v>224</v>
      </c>
      <c r="S4065" t="s">
        <v>225</v>
      </c>
      <c r="T4065" t="s">
        <v>7184</v>
      </c>
      <c r="U4065" t="s">
        <v>7185</v>
      </c>
      <c r="V4065" t="s">
        <v>7186</v>
      </c>
      <c r="W4065" t="s">
        <v>7187</v>
      </c>
      <c r="X4065" t="s">
        <v>7186</v>
      </c>
      <c r="Y4065" t="s">
        <v>7188</v>
      </c>
      <c r="AD4065" t="s">
        <v>2991</v>
      </c>
      <c r="AE4065" t="s">
        <v>7189</v>
      </c>
      <c r="AF4065" t="e">
        <f>--MTLPREAGLVRDERYMRRALEVARSTPRDDVPVGAVIFGPDGRELGYGTNRREADQDPIAHAEILAIQAAVRSYGDGWRLTDCTLAVTLEPCAMCAGALVGARLGRLVFGAYEPKTGACGSAFDIVRDPSVLHKLEVRGGVLERECADLLKVFFSSLR</f>
        <v>#NAME?</v>
      </c>
    </row>
    <row r="4066" spans="1:32" hidden="1" x14ac:dyDescent="0.35">
      <c r="A4066">
        <v>3501</v>
      </c>
      <c r="B4066" t="s">
        <v>7181</v>
      </c>
      <c r="C4066" t="s">
        <v>72</v>
      </c>
      <c r="D4066" t="s">
        <v>62</v>
      </c>
      <c r="E4066">
        <v>203</v>
      </c>
      <c r="F4066">
        <v>5</v>
      </c>
      <c r="G4066">
        <v>5</v>
      </c>
      <c r="H4066">
        <v>1</v>
      </c>
      <c r="I4066">
        <v>1</v>
      </c>
      <c r="J4066">
        <v>0.76609347442680797</v>
      </c>
      <c r="K4066">
        <v>0.94694968553459102</v>
      </c>
      <c r="L4066">
        <v>0.84697454407968897</v>
      </c>
      <c r="M4066">
        <v>0.52500000000000002</v>
      </c>
      <c r="N4066">
        <v>1</v>
      </c>
      <c r="O4066">
        <v>0.671875</v>
      </c>
      <c r="P4066" t="s">
        <v>7182</v>
      </c>
      <c r="Q4066" t="s">
        <v>7183</v>
      </c>
      <c r="R4066" t="s">
        <v>224</v>
      </c>
      <c r="S4066" t="s">
        <v>225</v>
      </c>
      <c r="T4066" t="s">
        <v>7184</v>
      </c>
      <c r="U4066" t="s">
        <v>7185</v>
      </c>
      <c r="V4066" t="s">
        <v>7186</v>
      </c>
      <c r="W4066" t="s">
        <v>7187</v>
      </c>
      <c r="X4066" t="s">
        <v>7186</v>
      </c>
      <c r="Y4066" t="s">
        <v>7188</v>
      </c>
      <c r="AD4066" t="s">
        <v>2991</v>
      </c>
      <c r="AE4066" t="s">
        <v>7189</v>
      </c>
      <c r="AF4066" t="e">
        <f>--MALPREAGLVRDEDYMRRALEVARSTPRDDVPVGAVIFGPDGRELGYGTNRREADQDPTAHAELLAIHAAVRSYGDGWRLTDCTLAVTLEPCAMCAGALVGARLGRLIFGAYEPKTGACGSAFDIVRDPSVLHKLEVRGGVLERECADLLKVFFSSLR</f>
        <v>#NAME?</v>
      </c>
    </row>
    <row r="4067" spans="1:32" hidden="1" x14ac:dyDescent="0.35">
      <c r="A4067">
        <v>3502</v>
      </c>
      <c r="B4067" t="s">
        <v>7181</v>
      </c>
      <c r="C4067" t="s">
        <v>72</v>
      </c>
      <c r="D4067" t="s">
        <v>34</v>
      </c>
      <c r="E4067">
        <v>938</v>
      </c>
      <c r="F4067">
        <v>5</v>
      </c>
      <c r="G4067">
        <v>5</v>
      </c>
      <c r="H4067">
        <v>1</v>
      </c>
      <c r="I4067">
        <v>1</v>
      </c>
      <c r="J4067">
        <v>0.76609347442680797</v>
      </c>
      <c r="K4067">
        <v>0.94694968553459102</v>
      </c>
      <c r="L4067">
        <v>0.84697454407968897</v>
      </c>
      <c r="M4067">
        <v>0.52500000000000002</v>
      </c>
      <c r="N4067">
        <v>1</v>
      </c>
      <c r="O4067">
        <v>0.671875</v>
      </c>
      <c r="P4067" t="s">
        <v>7182</v>
      </c>
      <c r="Q4067" t="s">
        <v>7183</v>
      </c>
      <c r="R4067" t="s">
        <v>224</v>
      </c>
      <c r="S4067" t="s">
        <v>225</v>
      </c>
      <c r="T4067" t="s">
        <v>7184</v>
      </c>
      <c r="U4067" t="s">
        <v>7185</v>
      </c>
      <c r="V4067" t="s">
        <v>7186</v>
      </c>
      <c r="W4067" t="s">
        <v>7187</v>
      </c>
      <c r="X4067" t="s">
        <v>7186</v>
      </c>
      <c r="Y4067" t="s">
        <v>7188</v>
      </c>
      <c r="AD4067" t="s">
        <v>2991</v>
      </c>
      <c r="AE4067" t="s">
        <v>7189</v>
      </c>
      <c r="AF4067" t="s">
        <v>7190</v>
      </c>
    </row>
    <row r="4068" spans="1:32" hidden="1" x14ac:dyDescent="0.35">
      <c r="A4068">
        <v>3503</v>
      </c>
      <c r="B4068" t="s">
        <v>7181</v>
      </c>
      <c r="C4068" t="s">
        <v>72</v>
      </c>
      <c r="D4068" t="s">
        <v>45</v>
      </c>
      <c r="E4068">
        <v>2195</v>
      </c>
      <c r="F4068">
        <v>5</v>
      </c>
      <c r="G4068">
        <v>5</v>
      </c>
      <c r="H4068">
        <v>1</v>
      </c>
      <c r="I4068">
        <v>1</v>
      </c>
      <c r="J4068">
        <v>0.76609347442680797</v>
      </c>
      <c r="K4068">
        <v>0.94694968553459102</v>
      </c>
      <c r="L4068">
        <v>0.84697454407968897</v>
      </c>
      <c r="M4068">
        <v>0.52500000000000002</v>
      </c>
      <c r="N4068">
        <v>1</v>
      </c>
      <c r="O4068">
        <v>0.671875</v>
      </c>
      <c r="P4068" t="s">
        <v>7182</v>
      </c>
      <c r="Q4068" t="s">
        <v>7183</v>
      </c>
      <c r="R4068" t="s">
        <v>224</v>
      </c>
      <c r="S4068" t="s">
        <v>225</v>
      </c>
      <c r="T4068" t="s">
        <v>7184</v>
      </c>
      <c r="U4068" t="s">
        <v>7185</v>
      </c>
      <c r="V4068" t="s">
        <v>7186</v>
      </c>
      <c r="W4068" t="s">
        <v>7187</v>
      </c>
      <c r="X4068" t="s">
        <v>7186</v>
      </c>
      <c r="Y4068" t="s">
        <v>7188</v>
      </c>
      <c r="AD4068" t="s">
        <v>2991</v>
      </c>
      <c r="AE4068" t="s">
        <v>7189</v>
      </c>
      <c r="AF4068" t="s">
        <v>7190</v>
      </c>
    </row>
    <row r="4069" spans="1:32" hidden="1" x14ac:dyDescent="0.35">
      <c r="A4069">
        <v>5963</v>
      </c>
      <c r="B4069" t="s">
        <v>12267</v>
      </c>
      <c r="C4069" t="s">
        <v>13295</v>
      </c>
      <c r="D4069" t="s">
        <v>58</v>
      </c>
      <c r="E4069">
        <v>459</v>
      </c>
      <c r="F4069">
        <v>3</v>
      </c>
      <c r="G4069">
        <v>3</v>
      </c>
      <c r="H4069">
        <v>1</v>
      </c>
      <c r="I4069">
        <v>0</v>
      </c>
      <c r="J4069">
        <v>0.85455294602389797</v>
      </c>
      <c r="K4069">
        <v>0.95404901133034703</v>
      </c>
      <c r="L4069">
        <v>0.90156420540005899</v>
      </c>
      <c r="M4069">
        <v>0.66961130742049502</v>
      </c>
      <c r="N4069">
        <v>1</v>
      </c>
      <c r="O4069">
        <v>0.77974087161366301</v>
      </c>
      <c r="P4069" t="s">
        <v>5779</v>
      </c>
      <c r="Q4069" t="s">
        <v>5780</v>
      </c>
      <c r="R4069" t="s">
        <v>652</v>
      </c>
      <c r="S4069" t="s">
        <v>653</v>
      </c>
      <c r="T4069" t="s">
        <v>12268</v>
      </c>
      <c r="U4069" t="s">
        <v>12269</v>
      </c>
      <c r="V4069" t="s">
        <v>12270</v>
      </c>
      <c r="W4069" t="s">
        <v>12271</v>
      </c>
      <c r="AD4069" t="s">
        <v>166</v>
      </c>
      <c r="AE4069" t="s">
        <v>818</v>
      </c>
      <c r="AF4069" t="s">
        <v>12272</v>
      </c>
    </row>
    <row r="4070" spans="1:32" hidden="1" x14ac:dyDescent="0.35">
      <c r="A4070">
        <v>3535</v>
      </c>
      <c r="B4070" t="s">
        <v>7256</v>
      </c>
      <c r="C4070" t="s">
        <v>72</v>
      </c>
      <c r="D4070" t="s">
        <v>60</v>
      </c>
      <c r="E4070">
        <v>1183</v>
      </c>
      <c r="F4070">
        <v>5</v>
      </c>
      <c r="G4070">
        <v>5</v>
      </c>
      <c r="H4070">
        <v>1</v>
      </c>
      <c r="I4070">
        <v>1</v>
      </c>
      <c r="J4070">
        <v>0.78580201424711404</v>
      </c>
      <c r="K4070">
        <v>0.99417151475975096</v>
      </c>
      <c r="L4070">
        <v>0.87779055820138996</v>
      </c>
      <c r="M4070">
        <v>0.55677655677655702</v>
      </c>
      <c r="N4070">
        <v>1</v>
      </c>
      <c r="O4070">
        <v>0.70989010989011003</v>
      </c>
      <c r="P4070" t="s">
        <v>7257</v>
      </c>
      <c r="Q4070" t="s">
        <v>7258</v>
      </c>
      <c r="R4070" t="s">
        <v>224</v>
      </c>
      <c r="S4070" t="s">
        <v>225</v>
      </c>
      <c r="T4070" t="s">
        <v>7259</v>
      </c>
      <c r="U4070" t="s">
        <v>7260</v>
      </c>
      <c r="V4070" t="s">
        <v>7261</v>
      </c>
      <c r="W4070" t="s">
        <v>7262</v>
      </c>
      <c r="AD4070" t="s">
        <v>7263</v>
      </c>
      <c r="AE4070" t="s">
        <v>7264</v>
      </c>
      <c r="AF4070" t="s">
        <v>7265</v>
      </c>
    </row>
    <row r="4071" spans="1:32" hidden="1" x14ac:dyDescent="0.35">
      <c r="A4071">
        <v>3536</v>
      </c>
      <c r="B4071" t="s">
        <v>7256</v>
      </c>
      <c r="C4071" t="s">
        <v>72</v>
      </c>
      <c r="D4071" t="s">
        <v>62</v>
      </c>
      <c r="E4071">
        <v>1220</v>
      </c>
      <c r="F4071">
        <v>5</v>
      </c>
      <c r="G4071">
        <v>5</v>
      </c>
      <c r="H4071">
        <v>1</v>
      </c>
      <c r="I4071">
        <v>1</v>
      </c>
      <c r="J4071">
        <v>0.78580201424711404</v>
      </c>
      <c r="K4071">
        <v>0.99417151475975096</v>
      </c>
      <c r="L4071">
        <v>0.87779055820138996</v>
      </c>
      <c r="M4071">
        <v>0.55677655677655702</v>
      </c>
      <c r="N4071">
        <v>1</v>
      </c>
      <c r="O4071">
        <v>0.70989010989011003</v>
      </c>
      <c r="P4071" t="s">
        <v>7257</v>
      </c>
      <c r="Q4071" t="s">
        <v>7258</v>
      </c>
      <c r="R4071" t="s">
        <v>224</v>
      </c>
      <c r="S4071" t="s">
        <v>225</v>
      </c>
      <c r="T4071" t="s">
        <v>7259</v>
      </c>
      <c r="U4071" t="s">
        <v>7260</v>
      </c>
      <c r="V4071" t="s">
        <v>7261</v>
      </c>
      <c r="W4071" t="s">
        <v>7262</v>
      </c>
      <c r="AD4071" t="s">
        <v>7263</v>
      </c>
      <c r="AE4071" t="s">
        <v>7264</v>
      </c>
      <c r="AF4071" t="s">
        <v>7266</v>
      </c>
    </row>
    <row r="4072" spans="1:32" hidden="1" x14ac:dyDescent="0.35">
      <c r="A4072">
        <v>3537</v>
      </c>
      <c r="B4072" t="s">
        <v>7256</v>
      </c>
      <c r="C4072" t="s">
        <v>72</v>
      </c>
      <c r="D4072" t="s">
        <v>34</v>
      </c>
      <c r="E4072">
        <v>1649</v>
      </c>
      <c r="F4072">
        <v>5</v>
      </c>
      <c r="G4072">
        <v>5</v>
      </c>
      <c r="H4072">
        <v>1</v>
      </c>
      <c r="I4072">
        <v>1</v>
      </c>
      <c r="J4072">
        <v>0.78580201424711404</v>
      </c>
      <c r="K4072">
        <v>0.99417151475975096</v>
      </c>
      <c r="L4072">
        <v>0.87779055820138996</v>
      </c>
      <c r="M4072">
        <v>0.55677655677655702</v>
      </c>
      <c r="N4072">
        <v>1</v>
      </c>
      <c r="O4072">
        <v>0.70989010989011003</v>
      </c>
      <c r="P4072" t="s">
        <v>7257</v>
      </c>
      <c r="Q4072" t="s">
        <v>7258</v>
      </c>
      <c r="R4072" t="s">
        <v>224</v>
      </c>
      <c r="S4072" t="s">
        <v>225</v>
      </c>
      <c r="T4072" t="s">
        <v>7259</v>
      </c>
      <c r="U4072" t="s">
        <v>7260</v>
      </c>
      <c r="V4072" t="s">
        <v>7261</v>
      </c>
      <c r="W4072" t="s">
        <v>7262</v>
      </c>
      <c r="AD4072" t="s">
        <v>7263</v>
      </c>
      <c r="AE4072" t="s">
        <v>7264</v>
      </c>
      <c r="AF4072" t="s">
        <v>7267</v>
      </c>
    </row>
    <row r="4073" spans="1:32" hidden="1" x14ac:dyDescent="0.35">
      <c r="A4073">
        <v>3538</v>
      </c>
      <c r="B4073" t="s">
        <v>7256</v>
      </c>
      <c r="C4073" t="s">
        <v>72</v>
      </c>
      <c r="D4073" t="s">
        <v>45</v>
      </c>
      <c r="E4073">
        <v>1228</v>
      </c>
      <c r="F4073">
        <v>5</v>
      </c>
      <c r="G4073">
        <v>5</v>
      </c>
      <c r="H4073">
        <v>1</v>
      </c>
      <c r="I4073">
        <v>1</v>
      </c>
      <c r="J4073">
        <v>0.78580201424711404</v>
      </c>
      <c r="K4073">
        <v>0.99417151475975096</v>
      </c>
      <c r="L4073">
        <v>0.87779055820138996</v>
      </c>
      <c r="M4073">
        <v>0.55677655677655702</v>
      </c>
      <c r="N4073">
        <v>1</v>
      </c>
      <c r="O4073">
        <v>0.70989010989011003</v>
      </c>
      <c r="P4073" t="s">
        <v>7257</v>
      </c>
      <c r="Q4073" t="s">
        <v>7258</v>
      </c>
      <c r="R4073" t="s">
        <v>224</v>
      </c>
      <c r="S4073" t="s">
        <v>225</v>
      </c>
      <c r="T4073" t="s">
        <v>7259</v>
      </c>
      <c r="U4073" t="s">
        <v>7260</v>
      </c>
      <c r="V4073" t="s">
        <v>7261</v>
      </c>
      <c r="W4073" t="s">
        <v>7262</v>
      </c>
      <c r="AD4073" t="s">
        <v>7263</v>
      </c>
      <c r="AE4073" t="s">
        <v>7264</v>
      </c>
      <c r="AF4073" t="s">
        <v>7267</v>
      </c>
    </row>
    <row r="4074" spans="1:32" hidden="1" x14ac:dyDescent="0.35">
      <c r="A4074">
        <v>3374</v>
      </c>
      <c r="B4074" t="s">
        <v>6937</v>
      </c>
      <c r="C4074" t="s">
        <v>72</v>
      </c>
      <c r="D4074" t="s">
        <v>58</v>
      </c>
      <c r="E4074">
        <v>1193</v>
      </c>
      <c r="F4074">
        <v>5</v>
      </c>
      <c r="G4074">
        <v>5</v>
      </c>
      <c r="H4074">
        <v>1</v>
      </c>
      <c r="I4074">
        <v>1</v>
      </c>
      <c r="J4074">
        <v>0.77450378555350896</v>
      </c>
      <c r="K4074">
        <v>0.96441674267761102</v>
      </c>
      <c r="L4074">
        <v>0.85908976969155404</v>
      </c>
      <c r="M4074">
        <v>0.560157790927022</v>
      </c>
      <c r="N4074">
        <v>1</v>
      </c>
      <c r="O4074">
        <v>0.67455621301775204</v>
      </c>
      <c r="P4074" t="s">
        <v>6938</v>
      </c>
      <c r="Q4074" t="s">
        <v>6939</v>
      </c>
      <c r="R4074" t="s">
        <v>235</v>
      </c>
      <c r="S4074" t="s">
        <v>236</v>
      </c>
      <c r="T4074" t="s">
        <v>6940</v>
      </c>
      <c r="U4074" t="s">
        <v>6941</v>
      </c>
      <c r="V4074" t="s">
        <v>6942</v>
      </c>
      <c r="W4074" t="s">
        <v>6943</v>
      </c>
      <c r="AD4074" t="s">
        <v>410</v>
      </c>
      <c r="AE4074" t="s">
        <v>532</v>
      </c>
      <c r="AF4074" t="s">
        <v>6944</v>
      </c>
    </row>
    <row r="4075" spans="1:32" hidden="1" x14ac:dyDescent="0.35">
      <c r="A4075">
        <v>3555</v>
      </c>
      <c r="B4075" t="s">
        <v>7298</v>
      </c>
      <c r="C4075" t="s">
        <v>72</v>
      </c>
      <c r="D4075" t="s">
        <v>60</v>
      </c>
      <c r="E4075">
        <v>1952</v>
      </c>
      <c r="F4075">
        <v>5</v>
      </c>
      <c r="G4075">
        <v>5</v>
      </c>
      <c r="H4075">
        <v>1</v>
      </c>
      <c r="I4075">
        <v>1</v>
      </c>
      <c r="J4075">
        <v>0.83754789272030605</v>
      </c>
      <c r="K4075">
        <v>1</v>
      </c>
      <c r="L4075">
        <v>0.91159299416180195</v>
      </c>
      <c r="M4075">
        <v>0.64367816091954</v>
      </c>
      <c r="N4075">
        <v>1</v>
      </c>
      <c r="O4075">
        <v>0.79310344827586199</v>
      </c>
      <c r="P4075" t="s">
        <v>7299</v>
      </c>
      <c r="Q4075" t="s">
        <v>7300</v>
      </c>
      <c r="R4075" t="s">
        <v>224</v>
      </c>
      <c r="S4075" t="s">
        <v>225</v>
      </c>
      <c r="T4075" t="s">
        <v>7301</v>
      </c>
      <c r="U4075" t="s">
        <v>7302</v>
      </c>
      <c r="V4075" t="s">
        <v>7303</v>
      </c>
      <c r="W4075" t="s">
        <v>7304</v>
      </c>
      <c r="X4075" t="s">
        <v>7303</v>
      </c>
      <c r="Y4075" t="s">
        <v>761</v>
      </c>
      <c r="AD4075" t="s">
        <v>750</v>
      </c>
      <c r="AE4075" t="s">
        <v>2675</v>
      </c>
      <c r="AF4075" t="s">
        <v>7306</v>
      </c>
    </row>
    <row r="4076" spans="1:32" hidden="1" x14ac:dyDescent="0.35">
      <c r="A4076">
        <v>3556</v>
      </c>
      <c r="B4076" t="s">
        <v>7298</v>
      </c>
      <c r="C4076" t="s">
        <v>72</v>
      </c>
      <c r="D4076" t="s">
        <v>62</v>
      </c>
      <c r="E4076">
        <v>1993</v>
      </c>
      <c r="F4076">
        <v>5</v>
      </c>
      <c r="G4076">
        <v>5</v>
      </c>
      <c r="H4076">
        <v>1</v>
      </c>
      <c r="I4076">
        <v>1</v>
      </c>
      <c r="J4076">
        <v>0.83754789272030605</v>
      </c>
      <c r="K4076">
        <v>1</v>
      </c>
      <c r="L4076">
        <v>0.91159299416180195</v>
      </c>
      <c r="M4076">
        <v>0.64367816091954</v>
      </c>
      <c r="N4076">
        <v>1</v>
      </c>
      <c r="O4076">
        <v>0.79310344827586199</v>
      </c>
      <c r="P4076" t="s">
        <v>7299</v>
      </c>
      <c r="Q4076" t="s">
        <v>7300</v>
      </c>
      <c r="R4076" t="s">
        <v>224</v>
      </c>
      <c r="S4076" t="s">
        <v>225</v>
      </c>
      <c r="T4076" t="s">
        <v>7301</v>
      </c>
      <c r="U4076" t="s">
        <v>7302</v>
      </c>
      <c r="V4076" t="s">
        <v>7303</v>
      </c>
      <c r="W4076" t="s">
        <v>7304</v>
      </c>
      <c r="X4076" t="s">
        <v>7303</v>
      </c>
      <c r="Y4076" t="s">
        <v>761</v>
      </c>
      <c r="AD4076" t="s">
        <v>750</v>
      </c>
      <c r="AE4076" t="s">
        <v>2675</v>
      </c>
      <c r="AF4076" t="s">
        <v>7306</v>
      </c>
    </row>
    <row r="4077" spans="1:32" hidden="1" x14ac:dyDescent="0.35">
      <c r="A4077">
        <v>3557</v>
      </c>
      <c r="B4077" t="s">
        <v>7298</v>
      </c>
      <c r="C4077" t="s">
        <v>72</v>
      </c>
      <c r="D4077" t="s">
        <v>34</v>
      </c>
      <c r="E4077">
        <v>2308</v>
      </c>
      <c r="F4077">
        <v>5</v>
      </c>
      <c r="G4077">
        <v>5</v>
      </c>
      <c r="H4077">
        <v>1</v>
      </c>
      <c r="I4077">
        <v>1</v>
      </c>
      <c r="J4077">
        <v>0.83754789272030605</v>
      </c>
      <c r="K4077">
        <v>1</v>
      </c>
      <c r="L4077">
        <v>0.91159299416180195</v>
      </c>
      <c r="M4077">
        <v>0.64367816091954</v>
      </c>
      <c r="N4077">
        <v>1</v>
      </c>
      <c r="O4077">
        <v>0.79310344827586199</v>
      </c>
      <c r="P4077" t="s">
        <v>7299</v>
      </c>
      <c r="Q4077" t="s">
        <v>7300</v>
      </c>
      <c r="R4077" t="s">
        <v>224</v>
      </c>
      <c r="S4077" t="s">
        <v>225</v>
      </c>
      <c r="T4077" t="s">
        <v>7301</v>
      </c>
      <c r="U4077" t="s">
        <v>7302</v>
      </c>
      <c r="V4077" t="s">
        <v>7303</v>
      </c>
      <c r="W4077" t="s">
        <v>7304</v>
      </c>
      <c r="X4077" t="s">
        <v>7303</v>
      </c>
      <c r="Y4077" t="s">
        <v>761</v>
      </c>
      <c r="AD4077" t="s">
        <v>750</v>
      </c>
      <c r="AE4077" t="s">
        <v>2675</v>
      </c>
      <c r="AF4077" t="s">
        <v>7307</v>
      </c>
    </row>
    <row r="4078" spans="1:32" hidden="1" x14ac:dyDescent="0.35">
      <c r="A4078">
        <v>3558</v>
      </c>
      <c r="B4078" t="s">
        <v>7298</v>
      </c>
      <c r="C4078" t="s">
        <v>72</v>
      </c>
      <c r="D4078" t="s">
        <v>45</v>
      </c>
      <c r="E4078">
        <v>570</v>
      </c>
      <c r="F4078">
        <v>5</v>
      </c>
      <c r="G4078">
        <v>5</v>
      </c>
      <c r="H4078">
        <v>1</v>
      </c>
      <c r="I4078">
        <v>1</v>
      </c>
      <c r="J4078">
        <v>0.83754789272030605</v>
      </c>
      <c r="K4078">
        <v>1</v>
      </c>
      <c r="L4078">
        <v>0.91159299416180195</v>
      </c>
      <c r="M4078">
        <v>0.64367816091954</v>
      </c>
      <c r="N4078">
        <v>1</v>
      </c>
      <c r="O4078">
        <v>0.79310344827586199</v>
      </c>
      <c r="P4078" t="s">
        <v>7299</v>
      </c>
      <c r="Q4078" t="s">
        <v>7300</v>
      </c>
      <c r="R4078" t="s">
        <v>224</v>
      </c>
      <c r="S4078" t="s">
        <v>225</v>
      </c>
      <c r="T4078" t="s">
        <v>7301</v>
      </c>
      <c r="U4078" t="s">
        <v>7302</v>
      </c>
      <c r="V4078" t="s">
        <v>7303</v>
      </c>
      <c r="W4078" t="s">
        <v>7304</v>
      </c>
      <c r="X4078" t="s">
        <v>7303</v>
      </c>
      <c r="Y4078" t="s">
        <v>761</v>
      </c>
      <c r="AD4078" t="s">
        <v>750</v>
      </c>
      <c r="AE4078" t="s">
        <v>2675</v>
      </c>
      <c r="AF4078" t="s">
        <v>7307</v>
      </c>
    </row>
    <row r="4079" spans="1:32" hidden="1" x14ac:dyDescent="0.35">
      <c r="A4079">
        <v>11093</v>
      </c>
      <c r="B4079" t="s">
        <v>22461</v>
      </c>
      <c r="C4079" t="s">
        <v>33</v>
      </c>
      <c r="D4079" t="s">
        <v>58</v>
      </c>
      <c r="E4079">
        <v>1608</v>
      </c>
      <c r="F4079">
        <v>1</v>
      </c>
      <c r="G4079">
        <v>1</v>
      </c>
      <c r="H4079">
        <v>1</v>
      </c>
      <c r="I4079">
        <v>0</v>
      </c>
      <c r="J4079">
        <v>1</v>
      </c>
      <c r="K4079">
        <v>1</v>
      </c>
      <c r="L4079">
        <v>1</v>
      </c>
      <c r="M4079">
        <v>0</v>
      </c>
      <c r="N4079">
        <v>0</v>
      </c>
      <c r="O4079">
        <v>0</v>
      </c>
      <c r="P4079" t="s">
        <v>6938</v>
      </c>
      <c r="Q4079" t="s">
        <v>6939</v>
      </c>
      <c r="R4079" t="s">
        <v>235</v>
      </c>
      <c r="S4079" t="s">
        <v>236</v>
      </c>
      <c r="T4079" t="s">
        <v>6940</v>
      </c>
      <c r="U4079" t="s">
        <v>6941</v>
      </c>
      <c r="V4079" t="s">
        <v>6942</v>
      </c>
      <c r="W4079" t="s">
        <v>6943</v>
      </c>
      <c r="AD4079" t="s">
        <v>410</v>
      </c>
      <c r="AE4079" t="s">
        <v>532</v>
      </c>
      <c r="AF4079" t="s">
        <v>22462</v>
      </c>
    </row>
    <row r="4080" spans="1:32" hidden="1" x14ac:dyDescent="0.35">
      <c r="A4080">
        <v>3565</v>
      </c>
      <c r="B4080" t="s">
        <v>7322</v>
      </c>
      <c r="C4080" t="s">
        <v>72</v>
      </c>
      <c r="D4080" t="s">
        <v>60</v>
      </c>
      <c r="E4080">
        <v>1169</v>
      </c>
      <c r="F4080">
        <v>5</v>
      </c>
      <c r="G4080">
        <v>5</v>
      </c>
      <c r="H4080">
        <v>1</v>
      </c>
      <c r="I4080">
        <v>1</v>
      </c>
      <c r="J4080">
        <v>0.77536231884058004</v>
      </c>
      <c r="K4080">
        <v>0.90013568521031195</v>
      </c>
      <c r="L4080">
        <v>0.83310310184603797</v>
      </c>
      <c r="M4080">
        <v>0.56716417910447803</v>
      </c>
      <c r="N4080">
        <v>0.97014925373134298</v>
      </c>
      <c r="O4080">
        <v>0.67014925373134304</v>
      </c>
      <c r="P4080" t="s">
        <v>7323</v>
      </c>
      <c r="Q4080" t="s">
        <v>7324</v>
      </c>
      <c r="R4080" t="s">
        <v>224</v>
      </c>
      <c r="S4080" t="s">
        <v>225</v>
      </c>
      <c r="T4080" t="s">
        <v>7325</v>
      </c>
      <c r="U4080" t="s">
        <v>407</v>
      </c>
      <c r="V4080" t="s">
        <v>7326</v>
      </c>
      <c r="W4080" t="s">
        <v>7327</v>
      </c>
      <c r="AD4080" t="s">
        <v>410</v>
      </c>
      <c r="AE4080" t="s">
        <v>411</v>
      </c>
      <c r="AF4080" t="s">
        <v>7329</v>
      </c>
    </row>
    <row r="4081" spans="1:32" hidden="1" x14ac:dyDescent="0.35">
      <c r="A4081">
        <v>3566</v>
      </c>
      <c r="B4081" t="s">
        <v>7322</v>
      </c>
      <c r="C4081" t="s">
        <v>72</v>
      </c>
      <c r="D4081" t="s">
        <v>62</v>
      </c>
      <c r="E4081">
        <v>1206</v>
      </c>
      <c r="F4081">
        <v>5</v>
      </c>
      <c r="G4081">
        <v>5</v>
      </c>
      <c r="H4081">
        <v>1</v>
      </c>
      <c r="I4081">
        <v>1</v>
      </c>
      <c r="J4081">
        <v>0.77536231884058004</v>
      </c>
      <c r="K4081">
        <v>0.90013568521031195</v>
      </c>
      <c r="L4081">
        <v>0.83310310184603797</v>
      </c>
      <c r="M4081">
        <v>0.56716417910447803</v>
      </c>
      <c r="N4081">
        <v>0.97014925373134298</v>
      </c>
      <c r="O4081">
        <v>0.67014925373134304</v>
      </c>
      <c r="P4081" t="s">
        <v>7323</v>
      </c>
      <c r="Q4081" t="s">
        <v>7324</v>
      </c>
      <c r="R4081" t="s">
        <v>224</v>
      </c>
      <c r="S4081" t="s">
        <v>225</v>
      </c>
      <c r="T4081" t="s">
        <v>7325</v>
      </c>
      <c r="U4081" t="s">
        <v>407</v>
      </c>
      <c r="V4081" t="s">
        <v>7326</v>
      </c>
      <c r="W4081" t="s">
        <v>7327</v>
      </c>
      <c r="AD4081" t="s">
        <v>410</v>
      </c>
      <c r="AE4081" t="s">
        <v>411</v>
      </c>
      <c r="AF4081" t="s">
        <v>7330</v>
      </c>
    </row>
    <row r="4082" spans="1:32" hidden="1" x14ac:dyDescent="0.35">
      <c r="A4082">
        <v>3567</v>
      </c>
      <c r="B4082" t="s">
        <v>7322</v>
      </c>
      <c r="C4082" t="s">
        <v>72</v>
      </c>
      <c r="D4082" t="s">
        <v>34</v>
      </c>
      <c r="E4082">
        <v>2507</v>
      </c>
      <c r="F4082">
        <v>5</v>
      </c>
      <c r="G4082">
        <v>5</v>
      </c>
      <c r="H4082">
        <v>1</v>
      </c>
      <c r="I4082">
        <v>1</v>
      </c>
      <c r="J4082">
        <v>0.77536231884058004</v>
      </c>
      <c r="K4082">
        <v>0.90013568521031195</v>
      </c>
      <c r="L4082">
        <v>0.83310310184603797</v>
      </c>
      <c r="M4082">
        <v>0.56716417910447803</v>
      </c>
      <c r="N4082">
        <v>0.97014925373134298</v>
      </c>
      <c r="O4082">
        <v>0.67014925373134304</v>
      </c>
      <c r="P4082" t="s">
        <v>7323</v>
      </c>
      <c r="Q4082" t="s">
        <v>7324</v>
      </c>
      <c r="R4082" t="s">
        <v>224</v>
      </c>
      <c r="S4082" t="s">
        <v>225</v>
      </c>
      <c r="T4082" t="s">
        <v>7325</v>
      </c>
      <c r="U4082" t="s">
        <v>407</v>
      </c>
      <c r="V4082" t="s">
        <v>7326</v>
      </c>
      <c r="W4082" t="s">
        <v>7327</v>
      </c>
      <c r="AD4082" t="s">
        <v>410</v>
      </c>
      <c r="AE4082" t="s">
        <v>411</v>
      </c>
      <c r="AF4082" t="s">
        <v>7331</v>
      </c>
    </row>
    <row r="4083" spans="1:32" hidden="1" x14ac:dyDescent="0.35">
      <c r="A4083">
        <v>3568</v>
      </c>
      <c r="B4083" t="s">
        <v>7322</v>
      </c>
      <c r="C4083" t="s">
        <v>72</v>
      </c>
      <c r="D4083" t="s">
        <v>45</v>
      </c>
      <c r="E4083">
        <v>1233</v>
      </c>
      <c r="F4083">
        <v>5</v>
      </c>
      <c r="G4083">
        <v>5</v>
      </c>
      <c r="H4083">
        <v>1</v>
      </c>
      <c r="I4083">
        <v>1</v>
      </c>
      <c r="J4083">
        <v>0.77536231884058004</v>
      </c>
      <c r="K4083">
        <v>0.90013568521031195</v>
      </c>
      <c r="L4083">
        <v>0.83310310184603797</v>
      </c>
      <c r="M4083">
        <v>0.56716417910447803</v>
      </c>
      <c r="N4083">
        <v>0.97014925373134298</v>
      </c>
      <c r="O4083">
        <v>0.67014925373134304</v>
      </c>
      <c r="P4083" t="s">
        <v>7323</v>
      </c>
      <c r="Q4083" t="s">
        <v>7324</v>
      </c>
      <c r="R4083" t="s">
        <v>224</v>
      </c>
      <c r="S4083" t="s">
        <v>225</v>
      </c>
      <c r="T4083" t="s">
        <v>7325</v>
      </c>
      <c r="U4083" t="s">
        <v>407</v>
      </c>
      <c r="V4083" t="s">
        <v>7326</v>
      </c>
      <c r="W4083" t="s">
        <v>7327</v>
      </c>
      <c r="AD4083" t="s">
        <v>410</v>
      </c>
      <c r="AE4083" t="s">
        <v>411</v>
      </c>
      <c r="AF4083" t="s">
        <v>7332</v>
      </c>
    </row>
    <row r="4084" spans="1:32" hidden="1" x14ac:dyDescent="0.35">
      <c r="A4084">
        <v>2974</v>
      </c>
      <c r="B4084" t="s">
        <v>6140</v>
      </c>
      <c r="C4084" t="s">
        <v>72</v>
      </c>
      <c r="D4084" t="s">
        <v>58</v>
      </c>
      <c r="E4084">
        <v>1147</v>
      </c>
      <c r="F4084">
        <v>5</v>
      </c>
      <c r="G4084">
        <v>5</v>
      </c>
      <c r="H4084">
        <v>1</v>
      </c>
      <c r="I4084">
        <v>1</v>
      </c>
      <c r="J4084">
        <v>0.91829371816638405</v>
      </c>
      <c r="K4084">
        <v>0.98793051811919697</v>
      </c>
      <c r="L4084">
        <v>0.95184015763170204</v>
      </c>
      <c r="M4084">
        <v>0.81132075471698095</v>
      </c>
      <c r="N4084">
        <v>1</v>
      </c>
      <c r="O4084">
        <v>0.87735849056603799</v>
      </c>
      <c r="P4084" t="s">
        <v>6141</v>
      </c>
      <c r="Q4084" t="s">
        <v>6142</v>
      </c>
      <c r="R4084" t="s">
        <v>652</v>
      </c>
      <c r="S4084" t="s">
        <v>653</v>
      </c>
      <c r="T4084" t="s">
        <v>6143</v>
      </c>
      <c r="U4084" t="s">
        <v>6144</v>
      </c>
      <c r="V4084" t="s">
        <v>6145</v>
      </c>
      <c r="W4084" t="s">
        <v>6146</v>
      </c>
      <c r="AD4084" t="s">
        <v>439</v>
      </c>
      <c r="AE4084" t="s">
        <v>6147</v>
      </c>
      <c r="AF4084" t="s">
        <v>6148</v>
      </c>
    </row>
    <row r="4085" spans="1:32" hidden="1" x14ac:dyDescent="0.35">
      <c r="A4085">
        <v>3600</v>
      </c>
      <c r="B4085" t="s">
        <v>7402</v>
      </c>
      <c r="C4085" t="s">
        <v>72</v>
      </c>
      <c r="D4085" t="s">
        <v>60</v>
      </c>
      <c r="E4085">
        <v>1271</v>
      </c>
      <c r="F4085">
        <v>5</v>
      </c>
      <c r="G4085">
        <v>5</v>
      </c>
      <c r="H4085">
        <v>1</v>
      </c>
      <c r="I4085">
        <v>1</v>
      </c>
      <c r="J4085">
        <v>0.80184331797234998</v>
      </c>
      <c r="K4085">
        <v>0.95366521255666503</v>
      </c>
      <c r="L4085">
        <v>0.87118924798480701</v>
      </c>
      <c r="M4085">
        <v>0.61200923787528905</v>
      </c>
      <c r="N4085">
        <v>0.99538106235565804</v>
      </c>
      <c r="O4085">
        <v>0.73510392609699804</v>
      </c>
      <c r="P4085" t="s">
        <v>7403</v>
      </c>
      <c r="Q4085" t="s">
        <v>7404</v>
      </c>
      <c r="R4085" t="s">
        <v>224</v>
      </c>
      <c r="S4085" t="s">
        <v>225</v>
      </c>
      <c r="T4085" t="s">
        <v>7405</v>
      </c>
      <c r="U4085" t="s">
        <v>7406</v>
      </c>
      <c r="V4085" t="s">
        <v>7407</v>
      </c>
      <c r="W4085" t="s">
        <v>7408</v>
      </c>
      <c r="X4085" t="s">
        <v>7407</v>
      </c>
      <c r="Y4085" t="s">
        <v>589</v>
      </c>
      <c r="AD4085" t="s">
        <v>219</v>
      </c>
      <c r="AE4085" t="s">
        <v>7409</v>
      </c>
      <c r="AF4085" t="s">
        <v>7411</v>
      </c>
    </row>
    <row r="4086" spans="1:32" hidden="1" x14ac:dyDescent="0.35">
      <c r="A4086">
        <v>3601</v>
      </c>
      <c r="B4086" t="s">
        <v>7402</v>
      </c>
      <c r="C4086" t="s">
        <v>72</v>
      </c>
      <c r="D4086" t="s">
        <v>62</v>
      </c>
      <c r="E4086">
        <v>1307</v>
      </c>
      <c r="F4086">
        <v>5</v>
      </c>
      <c r="G4086">
        <v>5</v>
      </c>
      <c r="H4086">
        <v>1</v>
      </c>
      <c r="I4086">
        <v>1</v>
      </c>
      <c r="J4086">
        <v>0.80184331797234998</v>
      </c>
      <c r="K4086">
        <v>0.95366521255666503</v>
      </c>
      <c r="L4086">
        <v>0.87118924798480701</v>
      </c>
      <c r="M4086">
        <v>0.61200923787528905</v>
      </c>
      <c r="N4086">
        <v>0.99538106235565804</v>
      </c>
      <c r="O4086">
        <v>0.73510392609699804</v>
      </c>
      <c r="P4086" t="s">
        <v>7403</v>
      </c>
      <c r="Q4086" t="s">
        <v>7404</v>
      </c>
      <c r="R4086" t="s">
        <v>224</v>
      </c>
      <c r="S4086" t="s">
        <v>225</v>
      </c>
      <c r="T4086" t="s">
        <v>7405</v>
      </c>
      <c r="U4086" t="s">
        <v>7406</v>
      </c>
      <c r="V4086" t="s">
        <v>7407</v>
      </c>
      <c r="W4086" t="s">
        <v>7408</v>
      </c>
      <c r="X4086" t="s">
        <v>7407</v>
      </c>
      <c r="Y4086" t="s">
        <v>589</v>
      </c>
      <c r="AD4086" t="s">
        <v>219</v>
      </c>
      <c r="AE4086" t="s">
        <v>7409</v>
      </c>
      <c r="AF4086" t="s">
        <v>7412</v>
      </c>
    </row>
    <row r="4087" spans="1:32" hidden="1" x14ac:dyDescent="0.35">
      <c r="A4087">
        <v>3602</v>
      </c>
      <c r="B4087" t="s">
        <v>7402</v>
      </c>
      <c r="C4087" t="s">
        <v>72</v>
      </c>
      <c r="D4087" t="s">
        <v>34</v>
      </c>
      <c r="E4087">
        <v>1729</v>
      </c>
      <c r="F4087">
        <v>5</v>
      </c>
      <c r="G4087">
        <v>5</v>
      </c>
      <c r="H4087">
        <v>1</v>
      </c>
      <c r="I4087">
        <v>1</v>
      </c>
      <c r="J4087">
        <v>0.80184331797234998</v>
      </c>
      <c r="K4087">
        <v>0.95366521255666503</v>
      </c>
      <c r="L4087">
        <v>0.87118924798480701</v>
      </c>
      <c r="M4087">
        <v>0.61200923787528905</v>
      </c>
      <c r="N4087">
        <v>0.99538106235565804</v>
      </c>
      <c r="O4087">
        <v>0.73510392609699804</v>
      </c>
      <c r="P4087" t="s">
        <v>7403</v>
      </c>
      <c r="Q4087" t="s">
        <v>7404</v>
      </c>
      <c r="R4087" t="s">
        <v>224</v>
      </c>
      <c r="S4087" t="s">
        <v>225</v>
      </c>
      <c r="T4087" t="s">
        <v>7405</v>
      </c>
      <c r="U4087" t="s">
        <v>7406</v>
      </c>
      <c r="V4087" t="s">
        <v>7407</v>
      </c>
      <c r="W4087" t="s">
        <v>7408</v>
      </c>
      <c r="X4087" t="s">
        <v>7407</v>
      </c>
      <c r="Y4087" t="s">
        <v>589</v>
      </c>
      <c r="AD4087" t="s">
        <v>219</v>
      </c>
      <c r="AE4087" t="s">
        <v>7409</v>
      </c>
      <c r="AF4087" t="s">
        <v>7413</v>
      </c>
    </row>
    <row r="4088" spans="1:32" hidden="1" x14ac:dyDescent="0.35">
      <c r="A4088">
        <v>3603</v>
      </c>
      <c r="B4088" t="s">
        <v>7402</v>
      </c>
      <c r="C4088" t="s">
        <v>72</v>
      </c>
      <c r="D4088" t="s">
        <v>45</v>
      </c>
      <c r="E4088">
        <v>1145</v>
      </c>
      <c r="F4088">
        <v>5</v>
      </c>
      <c r="G4088">
        <v>5</v>
      </c>
      <c r="H4088">
        <v>1</v>
      </c>
      <c r="I4088">
        <v>1</v>
      </c>
      <c r="J4088">
        <v>0.80184331797234998</v>
      </c>
      <c r="K4088">
        <v>0.95366521255666503</v>
      </c>
      <c r="L4088">
        <v>0.87118924798480701</v>
      </c>
      <c r="M4088">
        <v>0.61200923787528905</v>
      </c>
      <c r="N4088">
        <v>0.99538106235565804</v>
      </c>
      <c r="O4088">
        <v>0.73510392609699804</v>
      </c>
      <c r="P4088" t="s">
        <v>7403</v>
      </c>
      <c r="Q4088" t="s">
        <v>7404</v>
      </c>
      <c r="R4088" t="s">
        <v>224</v>
      </c>
      <c r="S4088" t="s">
        <v>225</v>
      </c>
      <c r="T4088" t="s">
        <v>7405</v>
      </c>
      <c r="U4088" t="s">
        <v>7406</v>
      </c>
      <c r="V4088" t="s">
        <v>7407</v>
      </c>
      <c r="W4088" t="s">
        <v>7408</v>
      </c>
      <c r="X4088" t="s">
        <v>7407</v>
      </c>
      <c r="Y4088" t="s">
        <v>589</v>
      </c>
      <c r="AD4088" t="s">
        <v>219</v>
      </c>
      <c r="AE4088" t="s">
        <v>7409</v>
      </c>
      <c r="AF4088" t="s">
        <v>7414</v>
      </c>
    </row>
    <row r="4089" spans="1:32" hidden="1" x14ac:dyDescent="0.35">
      <c r="A4089">
        <v>3784</v>
      </c>
      <c r="B4089" t="s">
        <v>7823</v>
      </c>
      <c r="C4089" t="s">
        <v>72</v>
      </c>
      <c r="D4089" t="s">
        <v>58</v>
      </c>
      <c r="E4089">
        <v>1862</v>
      </c>
      <c r="F4089">
        <v>5</v>
      </c>
      <c r="G4089">
        <v>5</v>
      </c>
      <c r="H4089">
        <v>1</v>
      </c>
      <c r="I4089">
        <v>1</v>
      </c>
      <c r="J4089">
        <v>0.82466747279322805</v>
      </c>
      <c r="K4089">
        <v>0.95015343245808104</v>
      </c>
      <c r="L4089">
        <v>0.88297430754013695</v>
      </c>
      <c r="M4089">
        <v>0.62155963302752304</v>
      </c>
      <c r="N4089">
        <v>0.99770642201834903</v>
      </c>
      <c r="O4089">
        <v>0.72958715596330304</v>
      </c>
      <c r="P4089" t="s">
        <v>6141</v>
      </c>
      <c r="Q4089" t="s">
        <v>6142</v>
      </c>
      <c r="R4089" t="s">
        <v>652</v>
      </c>
      <c r="S4089" t="s">
        <v>653</v>
      </c>
      <c r="V4089" t="s">
        <v>6145</v>
      </c>
      <c r="W4089" t="s">
        <v>6146</v>
      </c>
      <c r="AF4089" t="s">
        <v>7824</v>
      </c>
    </row>
    <row r="4090" spans="1:32" hidden="1" x14ac:dyDescent="0.35">
      <c r="A4090">
        <v>3650</v>
      </c>
      <c r="B4090" t="s">
        <v>7522</v>
      </c>
      <c r="C4090" t="s">
        <v>72</v>
      </c>
      <c r="D4090" t="s">
        <v>60</v>
      </c>
      <c r="E4090">
        <v>143</v>
      </c>
      <c r="F4090">
        <v>5</v>
      </c>
      <c r="G4090">
        <v>5</v>
      </c>
      <c r="H4090">
        <v>1</v>
      </c>
      <c r="I4090">
        <v>1</v>
      </c>
      <c r="J4090">
        <v>0.77566403445800403</v>
      </c>
      <c r="K4090">
        <v>0.90321335960999805</v>
      </c>
      <c r="L4090">
        <v>0.83459354562383503</v>
      </c>
      <c r="M4090">
        <v>0.50803858520900302</v>
      </c>
      <c r="N4090">
        <v>0.98713826366559498</v>
      </c>
      <c r="O4090">
        <v>0.65627009646302203</v>
      </c>
      <c r="P4090" t="s">
        <v>2349</v>
      </c>
      <c r="Q4090" t="s">
        <v>2350</v>
      </c>
      <c r="R4090" t="s">
        <v>224</v>
      </c>
      <c r="S4090" t="s">
        <v>225</v>
      </c>
      <c r="T4090" t="s">
        <v>2351</v>
      </c>
      <c r="U4090" t="s">
        <v>2352</v>
      </c>
      <c r="V4090" t="s">
        <v>2353</v>
      </c>
      <c r="W4090" t="s">
        <v>2354</v>
      </c>
      <c r="X4090" t="s">
        <v>2353</v>
      </c>
      <c r="Y4090" t="s">
        <v>1153</v>
      </c>
      <c r="Z4090" t="s">
        <v>2355</v>
      </c>
      <c r="AA4090" t="s">
        <v>2356</v>
      </c>
      <c r="AB4090" t="s">
        <v>2355</v>
      </c>
      <c r="AC4090" t="s">
        <v>1094</v>
      </c>
      <c r="AD4090" t="s">
        <v>2357</v>
      </c>
      <c r="AE4090" t="s">
        <v>2358</v>
      </c>
      <c r="AF4090" t="s">
        <v>7523</v>
      </c>
    </row>
    <row r="4091" spans="1:32" hidden="1" x14ac:dyDescent="0.35">
      <c r="A4091">
        <v>3651</v>
      </c>
      <c r="B4091" t="s">
        <v>7522</v>
      </c>
      <c r="C4091" t="s">
        <v>72</v>
      </c>
      <c r="D4091" t="s">
        <v>62</v>
      </c>
      <c r="E4091">
        <v>215</v>
      </c>
      <c r="F4091">
        <v>5</v>
      </c>
      <c r="G4091">
        <v>5</v>
      </c>
      <c r="H4091">
        <v>1</v>
      </c>
      <c r="I4091">
        <v>1</v>
      </c>
      <c r="J4091">
        <v>0.77566403445800403</v>
      </c>
      <c r="K4091">
        <v>0.90321335960999805</v>
      </c>
      <c r="L4091">
        <v>0.83459354562383503</v>
      </c>
      <c r="M4091">
        <v>0.50803858520900302</v>
      </c>
      <c r="N4091">
        <v>0.98713826366559498</v>
      </c>
      <c r="O4091">
        <v>0.65627009646302203</v>
      </c>
      <c r="P4091" t="s">
        <v>2349</v>
      </c>
      <c r="Q4091" t="s">
        <v>2350</v>
      </c>
      <c r="R4091" t="s">
        <v>224</v>
      </c>
      <c r="S4091" t="s">
        <v>225</v>
      </c>
      <c r="T4091" t="s">
        <v>2351</v>
      </c>
      <c r="U4091" t="s">
        <v>2352</v>
      </c>
      <c r="V4091" t="s">
        <v>2353</v>
      </c>
      <c r="W4091" t="s">
        <v>2354</v>
      </c>
      <c r="X4091" t="s">
        <v>2353</v>
      </c>
      <c r="Y4091" t="s">
        <v>1153</v>
      </c>
      <c r="Z4091" t="s">
        <v>2355</v>
      </c>
      <c r="AA4091" t="s">
        <v>2356</v>
      </c>
      <c r="AB4091" t="s">
        <v>2355</v>
      </c>
      <c r="AC4091" t="s">
        <v>1094</v>
      </c>
      <c r="AD4091" t="s">
        <v>2357</v>
      </c>
      <c r="AE4091" t="s">
        <v>2358</v>
      </c>
      <c r="AF4091" t="s">
        <v>7524</v>
      </c>
    </row>
    <row r="4092" spans="1:32" hidden="1" x14ac:dyDescent="0.35">
      <c r="A4092">
        <v>3652</v>
      </c>
      <c r="B4092" t="s">
        <v>7522</v>
      </c>
      <c r="C4092" t="s">
        <v>72</v>
      </c>
      <c r="D4092" t="s">
        <v>34</v>
      </c>
      <c r="E4092">
        <v>926</v>
      </c>
      <c r="F4092">
        <v>5</v>
      </c>
      <c r="G4092">
        <v>5</v>
      </c>
      <c r="H4092">
        <v>1</v>
      </c>
      <c r="I4092">
        <v>1</v>
      </c>
      <c r="J4092">
        <v>0.77566403445800403</v>
      </c>
      <c r="K4092">
        <v>0.90321335960999805</v>
      </c>
      <c r="L4092">
        <v>0.83459354562383503</v>
      </c>
      <c r="M4092">
        <v>0.50803858520900302</v>
      </c>
      <c r="N4092">
        <v>0.98713826366559498</v>
      </c>
      <c r="O4092">
        <v>0.65627009646302203</v>
      </c>
      <c r="P4092" t="s">
        <v>2349</v>
      </c>
      <c r="Q4092" t="s">
        <v>2350</v>
      </c>
      <c r="R4092" t="s">
        <v>224</v>
      </c>
      <c r="S4092" t="s">
        <v>225</v>
      </c>
      <c r="T4092" t="s">
        <v>2351</v>
      </c>
      <c r="U4092" t="s">
        <v>2352</v>
      </c>
      <c r="V4092" t="s">
        <v>2353</v>
      </c>
      <c r="W4092" t="s">
        <v>2354</v>
      </c>
      <c r="X4092" t="s">
        <v>2353</v>
      </c>
      <c r="Y4092" t="s">
        <v>1153</v>
      </c>
      <c r="Z4092" t="s">
        <v>2355</v>
      </c>
      <c r="AA4092" t="s">
        <v>2356</v>
      </c>
      <c r="AB4092" t="s">
        <v>2355</v>
      </c>
      <c r="AC4092" t="s">
        <v>1094</v>
      </c>
      <c r="AD4092" t="s">
        <v>2357</v>
      </c>
      <c r="AE4092" t="s">
        <v>2358</v>
      </c>
      <c r="AF4092" t="e">
        <f>------MTDFVGAGRYAPSPSGDLHFGNLRTAVLAWLFARTTGRAFYLRVEDIDTGRSSAESAAQQIADLADLGLDWDGEVLYQSQRFEDYAAALVKLPH----YECYCSRKEIAEASQAPHSIPGHYPGTCRDLTEDERMFKRAELIGQGRVPALRLRAEVTKWQVHDYYAGEVVGEVDDMVLRRGGSQPDWAYNLAVVVDDAYQGVDQVVRGDDLLSSAPRQAYLAHLLQLPVPEYVHVPLVMNAAGQRLSKRDGAEVTLRSM-----RPQEMFPRIAASLSYG-AETPQELLKQFRPERLSREPFVLK</f>
        <v>#NAME?</v>
      </c>
    </row>
    <row r="4093" spans="1:32" hidden="1" x14ac:dyDescent="0.35">
      <c r="A4093">
        <v>3653</v>
      </c>
      <c r="B4093" t="s">
        <v>7522</v>
      </c>
      <c r="C4093" t="s">
        <v>72</v>
      </c>
      <c r="D4093" t="s">
        <v>45</v>
      </c>
      <c r="E4093">
        <v>2182</v>
      </c>
      <c r="F4093">
        <v>5</v>
      </c>
      <c r="G4093">
        <v>5</v>
      </c>
      <c r="H4093">
        <v>1</v>
      </c>
      <c r="I4093">
        <v>1</v>
      </c>
      <c r="J4093">
        <v>0.77566403445800403</v>
      </c>
      <c r="K4093">
        <v>0.90321335960999805</v>
      </c>
      <c r="L4093">
        <v>0.83459354562383503</v>
      </c>
      <c r="M4093">
        <v>0.50803858520900302</v>
      </c>
      <c r="N4093">
        <v>0.98713826366559498</v>
      </c>
      <c r="O4093">
        <v>0.65627009646302203</v>
      </c>
      <c r="P4093" t="s">
        <v>2349</v>
      </c>
      <c r="Q4093" t="s">
        <v>2350</v>
      </c>
      <c r="R4093" t="s">
        <v>224</v>
      </c>
      <c r="S4093" t="s">
        <v>225</v>
      </c>
      <c r="T4093" t="s">
        <v>2351</v>
      </c>
      <c r="U4093" t="s">
        <v>2352</v>
      </c>
      <c r="V4093" t="s">
        <v>2353</v>
      </c>
      <c r="W4093" t="s">
        <v>2354</v>
      </c>
      <c r="X4093" t="s">
        <v>2353</v>
      </c>
      <c r="Y4093" t="s">
        <v>1153</v>
      </c>
      <c r="Z4093" t="s">
        <v>2355</v>
      </c>
      <c r="AA4093" t="s">
        <v>2356</v>
      </c>
      <c r="AB4093" t="s">
        <v>2355</v>
      </c>
      <c r="AC4093" t="s">
        <v>1094</v>
      </c>
      <c r="AD4093" t="s">
        <v>2357</v>
      </c>
      <c r="AE4093" t="s">
        <v>2358</v>
      </c>
      <c r="AF4093" t="e">
        <f>------MTDFVGAGRYAPSPSGDLHFGNLRTAVLAWLFARTTGRAFYLRVEDIDTGRSSAESAAQQIADLADLGLDWDGEVLYQSQRFEDYAAALVKLPH----YECYCSRKEIAEASQAPHSIPGHYPGTCRDLTEDERMFKRAELIGQGRVPALRLRAGVAKWQIHDYYAGEVVGEVDDMVLRRGGSQPDWAYNLAVVVDDAYQGVDQVVRGDDLLSSAPRQAYLAHLLQLPVPEYVHVPLVMNAAGQRLSKRDGAEVTLRSM-----RPQEMFPRIAASLSYG-AETSQELLKQFRPERLSREPFVLK</f>
        <v>#NAME?</v>
      </c>
    </row>
    <row r="4094" spans="1:32" hidden="1" x14ac:dyDescent="0.35">
      <c r="A4094">
        <v>2794</v>
      </c>
      <c r="B4094" t="s">
        <v>5778</v>
      </c>
      <c r="C4094" t="s">
        <v>72</v>
      </c>
      <c r="D4094" t="s">
        <v>58</v>
      </c>
      <c r="E4094">
        <v>1204</v>
      </c>
      <c r="F4094">
        <v>5</v>
      </c>
      <c r="G4094">
        <v>5</v>
      </c>
      <c r="H4094">
        <v>1</v>
      </c>
      <c r="I4094">
        <v>1</v>
      </c>
      <c r="J4094">
        <v>0.82841486763055405</v>
      </c>
      <c r="K4094">
        <v>0.99003544050233505</v>
      </c>
      <c r="L4094">
        <v>0.90204288203553495</v>
      </c>
      <c r="M4094">
        <v>0.67058823529411804</v>
      </c>
      <c r="N4094">
        <v>1</v>
      </c>
      <c r="O4094">
        <v>0.75039215686274496</v>
      </c>
      <c r="P4094" t="s">
        <v>5779</v>
      </c>
      <c r="Q4094" t="s">
        <v>5780</v>
      </c>
      <c r="R4094" t="s">
        <v>235</v>
      </c>
      <c r="S4094" t="s">
        <v>236</v>
      </c>
      <c r="T4094" t="s">
        <v>5781</v>
      </c>
      <c r="U4094" t="s">
        <v>5782</v>
      </c>
      <c r="V4094" t="s">
        <v>5783</v>
      </c>
      <c r="W4094" t="s">
        <v>5784</v>
      </c>
      <c r="AD4094" t="s">
        <v>166</v>
      </c>
      <c r="AE4094" t="s">
        <v>818</v>
      </c>
      <c r="AF4094" t="s">
        <v>5785</v>
      </c>
    </row>
    <row r="4095" spans="1:32" hidden="1" x14ac:dyDescent="0.35">
      <c r="A4095">
        <v>3665</v>
      </c>
      <c r="B4095" t="s">
        <v>7547</v>
      </c>
      <c r="C4095" t="s">
        <v>72</v>
      </c>
      <c r="D4095" t="s">
        <v>60</v>
      </c>
      <c r="E4095">
        <v>2281</v>
      </c>
      <c r="F4095">
        <v>5</v>
      </c>
      <c r="G4095">
        <v>5</v>
      </c>
      <c r="H4095">
        <v>1</v>
      </c>
      <c r="I4095">
        <v>1</v>
      </c>
      <c r="J4095">
        <v>0.895260085947021</v>
      </c>
      <c r="K4095">
        <v>0.97176730022051205</v>
      </c>
      <c r="L4095">
        <v>0.931946133368452</v>
      </c>
      <c r="M4095">
        <v>0.80186915887850496</v>
      </c>
      <c r="N4095">
        <v>0.99439252336448603</v>
      </c>
      <c r="O4095">
        <v>0.84242990654205596</v>
      </c>
      <c r="P4095" t="s">
        <v>7548</v>
      </c>
      <c r="Q4095" t="s">
        <v>7549</v>
      </c>
      <c r="R4095" t="s">
        <v>224</v>
      </c>
      <c r="S4095" t="s">
        <v>225</v>
      </c>
      <c r="T4095" t="s">
        <v>7550</v>
      </c>
      <c r="U4095" t="s">
        <v>7551</v>
      </c>
      <c r="V4095" t="s">
        <v>7552</v>
      </c>
      <c r="W4095" t="s">
        <v>7553</v>
      </c>
      <c r="X4095" t="s">
        <v>7552</v>
      </c>
      <c r="Y4095" t="s">
        <v>589</v>
      </c>
      <c r="AD4095" t="s">
        <v>997</v>
      </c>
      <c r="AE4095" t="s">
        <v>7554</v>
      </c>
      <c r="AF4095" t="s">
        <v>7556</v>
      </c>
    </row>
    <row r="4096" spans="1:32" hidden="1" x14ac:dyDescent="0.35">
      <c r="A4096">
        <v>3666</v>
      </c>
      <c r="B4096" t="s">
        <v>7547</v>
      </c>
      <c r="C4096" t="s">
        <v>72</v>
      </c>
      <c r="D4096" t="s">
        <v>62</v>
      </c>
      <c r="E4096">
        <v>2310</v>
      </c>
      <c r="F4096">
        <v>5</v>
      </c>
      <c r="G4096">
        <v>5</v>
      </c>
      <c r="H4096">
        <v>1</v>
      </c>
      <c r="I4096">
        <v>1</v>
      </c>
      <c r="J4096">
        <v>0.895260085947021</v>
      </c>
      <c r="K4096">
        <v>0.97176730022051205</v>
      </c>
      <c r="L4096">
        <v>0.931946133368452</v>
      </c>
      <c r="M4096">
        <v>0.80186915887850496</v>
      </c>
      <c r="N4096">
        <v>0.99439252336448603</v>
      </c>
      <c r="O4096">
        <v>0.84242990654205596</v>
      </c>
      <c r="P4096" t="s">
        <v>7548</v>
      </c>
      <c r="Q4096" t="s">
        <v>7549</v>
      </c>
      <c r="R4096" t="s">
        <v>224</v>
      </c>
      <c r="S4096" t="s">
        <v>225</v>
      </c>
      <c r="T4096" t="s">
        <v>7550</v>
      </c>
      <c r="U4096" t="s">
        <v>7551</v>
      </c>
      <c r="V4096" t="s">
        <v>7552</v>
      </c>
      <c r="W4096" t="s">
        <v>7553</v>
      </c>
      <c r="X4096" t="s">
        <v>7552</v>
      </c>
      <c r="Y4096" t="s">
        <v>589</v>
      </c>
      <c r="AD4096" t="s">
        <v>997</v>
      </c>
      <c r="AE4096" t="s">
        <v>7554</v>
      </c>
      <c r="AF4096" t="s">
        <v>7557</v>
      </c>
    </row>
    <row r="4097" spans="1:32" hidden="1" x14ac:dyDescent="0.35">
      <c r="A4097">
        <v>3667</v>
      </c>
      <c r="B4097" t="s">
        <v>7547</v>
      </c>
      <c r="C4097" t="s">
        <v>72</v>
      </c>
      <c r="D4097" t="s">
        <v>34</v>
      </c>
      <c r="E4097">
        <v>1508</v>
      </c>
      <c r="F4097">
        <v>5</v>
      </c>
      <c r="G4097">
        <v>5</v>
      </c>
      <c r="H4097">
        <v>1</v>
      </c>
      <c r="I4097">
        <v>1</v>
      </c>
      <c r="J4097">
        <v>0.895260085947021</v>
      </c>
      <c r="K4097">
        <v>0.97176730022051205</v>
      </c>
      <c r="L4097">
        <v>0.931946133368452</v>
      </c>
      <c r="M4097">
        <v>0.80186915887850496</v>
      </c>
      <c r="N4097">
        <v>0.99439252336448603</v>
      </c>
      <c r="O4097">
        <v>0.84242990654205596</v>
      </c>
      <c r="P4097" t="s">
        <v>7548</v>
      </c>
      <c r="Q4097" t="s">
        <v>7549</v>
      </c>
      <c r="R4097" t="s">
        <v>224</v>
      </c>
      <c r="S4097" t="s">
        <v>225</v>
      </c>
      <c r="T4097" t="s">
        <v>7550</v>
      </c>
      <c r="U4097" t="s">
        <v>7551</v>
      </c>
      <c r="V4097" t="s">
        <v>7552</v>
      </c>
      <c r="W4097" t="s">
        <v>7553</v>
      </c>
      <c r="X4097" t="s">
        <v>7552</v>
      </c>
      <c r="Y4097" t="s">
        <v>589</v>
      </c>
      <c r="AD4097" t="s">
        <v>997</v>
      </c>
      <c r="AE4097" t="s">
        <v>7554</v>
      </c>
      <c r="AF4097" t="s">
        <v>7558</v>
      </c>
    </row>
    <row r="4098" spans="1:32" hidden="1" x14ac:dyDescent="0.35">
      <c r="A4098">
        <v>3668</v>
      </c>
      <c r="B4098" t="s">
        <v>7547</v>
      </c>
      <c r="C4098" t="s">
        <v>72</v>
      </c>
      <c r="D4098" t="s">
        <v>45</v>
      </c>
      <c r="E4098">
        <v>258</v>
      </c>
      <c r="F4098">
        <v>5</v>
      </c>
      <c r="G4098">
        <v>5</v>
      </c>
      <c r="H4098">
        <v>1</v>
      </c>
      <c r="I4098">
        <v>1</v>
      </c>
      <c r="J4098">
        <v>0.895260085947021</v>
      </c>
      <c r="K4098">
        <v>0.97176730022051205</v>
      </c>
      <c r="L4098">
        <v>0.931946133368452</v>
      </c>
      <c r="M4098">
        <v>0.80186915887850496</v>
      </c>
      <c r="N4098">
        <v>0.99439252336448603</v>
      </c>
      <c r="O4098">
        <v>0.84242990654205596</v>
      </c>
      <c r="P4098" t="s">
        <v>7548</v>
      </c>
      <c r="Q4098" t="s">
        <v>7549</v>
      </c>
      <c r="R4098" t="s">
        <v>224</v>
      </c>
      <c r="S4098" t="s">
        <v>225</v>
      </c>
      <c r="T4098" t="s">
        <v>7550</v>
      </c>
      <c r="U4098" t="s">
        <v>7551</v>
      </c>
      <c r="V4098" t="s">
        <v>7552</v>
      </c>
      <c r="W4098" t="s">
        <v>7553</v>
      </c>
      <c r="X4098" t="s">
        <v>7552</v>
      </c>
      <c r="Y4098" t="s">
        <v>589</v>
      </c>
      <c r="AD4098" t="s">
        <v>997</v>
      </c>
      <c r="AE4098" t="s">
        <v>7554</v>
      </c>
      <c r="AF4098" t="s">
        <v>7559</v>
      </c>
    </row>
    <row r="4099" spans="1:32" hidden="1" x14ac:dyDescent="0.35">
      <c r="A4099">
        <v>2859</v>
      </c>
      <c r="B4099" t="s">
        <v>5908</v>
      </c>
      <c r="C4099" t="s">
        <v>72</v>
      </c>
      <c r="D4099" t="s">
        <v>58</v>
      </c>
      <c r="E4099">
        <v>1131</v>
      </c>
      <c r="F4099">
        <v>5</v>
      </c>
      <c r="G4099">
        <v>5</v>
      </c>
      <c r="H4099">
        <v>1</v>
      </c>
      <c r="I4099">
        <v>1</v>
      </c>
      <c r="J4099">
        <v>0.76054025818968696</v>
      </c>
      <c r="K4099">
        <v>0.91214235063242999</v>
      </c>
      <c r="L4099">
        <v>0.829471144372388</v>
      </c>
      <c r="M4099">
        <v>0.50101419878296105</v>
      </c>
      <c r="N4099">
        <v>1</v>
      </c>
      <c r="O4099">
        <v>0.63955375253549696</v>
      </c>
      <c r="P4099" t="s">
        <v>5909</v>
      </c>
      <c r="Q4099" t="s">
        <v>5910</v>
      </c>
      <c r="R4099" t="s">
        <v>138</v>
      </c>
      <c r="S4099" t="s">
        <v>139</v>
      </c>
      <c r="T4099" t="s">
        <v>5911</v>
      </c>
      <c r="U4099" t="s">
        <v>5912</v>
      </c>
      <c r="V4099" t="s">
        <v>5913</v>
      </c>
      <c r="W4099" t="s">
        <v>5914</v>
      </c>
      <c r="AD4099" t="s">
        <v>166</v>
      </c>
      <c r="AE4099" t="s">
        <v>5915</v>
      </c>
      <c r="AF4099" t="s">
        <v>5916</v>
      </c>
    </row>
    <row r="4100" spans="1:32" hidden="1" x14ac:dyDescent="0.35">
      <c r="A4100">
        <v>3700</v>
      </c>
      <c r="B4100" t="s">
        <v>7625</v>
      </c>
      <c r="C4100" t="s">
        <v>72</v>
      </c>
      <c r="D4100" t="s">
        <v>60</v>
      </c>
      <c r="E4100">
        <v>1047</v>
      </c>
      <c r="F4100">
        <v>5</v>
      </c>
      <c r="G4100">
        <v>5</v>
      </c>
      <c r="H4100">
        <v>1</v>
      </c>
      <c r="I4100">
        <v>1</v>
      </c>
      <c r="J4100">
        <v>0.91837956495709405</v>
      </c>
      <c r="K4100">
        <v>0.98844087907633305</v>
      </c>
      <c r="L4100">
        <v>0.95212310876190398</v>
      </c>
      <c r="M4100">
        <v>0.84615384615384603</v>
      </c>
      <c r="N4100">
        <v>0.99605522682445802</v>
      </c>
      <c r="O4100">
        <v>0.89250493096646899</v>
      </c>
      <c r="P4100" t="s">
        <v>7626</v>
      </c>
      <c r="Q4100" t="s">
        <v>7627</v>
      </c>
      <c r="R4100" t="s">
        <v>224</v>
      </c>
      <c r="S4100" t="s">
        <v>225</v>
      </c>
      <c r="T4100" t="s">
        <v>7628</v>
      </c>
      <c r="U4100" t="s">
        <v>7629</v>
      </c>
      <c r="V4100" t="s">
        <v>7630</v>
      </c>
      <c r="W4100" t="s">
        <v>7631</v>
      </c>
      <c r="X4100" t="s">
        <v>7630</v>
      </c>
      <c r="Y4100" t="s">
        <v>589</v>
      </c>
      <c r="AD4100" t="s">
        <v>5050</v>
      </c>
      <c r="AE4100" t="s">
        <v>5051</v>
      </c>
      <c r="AF4100" t="s">
        <v>7633</v>
      </c>
    </row>
    <row r="4101" spans="1:32" hidden="1" x14ac:dyDescent="0.35">
      <c r="A4101">
        <v>3701</v>
      </c>
      <c r="B4101" t="s">
        <v>7625</v>
      </c>
      <c r="C4101" t="s">
        <v>72</v>
      </c>
      <c r="D4101" t="s">
        <v>62</v>
      </c>
      <c r="E4101">
        <v>1083</v>
      </c>
      <c r="F4101">
        <v>5</v>
      </c>
      <c r="G4101">
        <v>5</v>
      </c>
      <c r="H4101">
        <v>1</v>
      </c>
      <c r="I4101">
        <v>1</v>
      </c>
      <c r="J4101">
        <v>0.91837956495709405</v>
      </c>
      <c r="K4101">
        <v>0.98844087907633305</v>
      </c>
      <c r="L4101">
        <v>0.95212310876190398</v>
      </c>
      <c r="M4101">
        <v>0.84615384615384603</v>
      </c>
      <c r="N4101">
        <v>0.99605522682445802</v>
      </c>
      <c r="O4101">
        <v>0.89250493096646899</v>
      </c>
      <c r="P4101" t="s">
        <v>7626</v>
      </c>
      <c r="Q4101" t="s">
        <v>7627</v>
      </c>
      <c r="R4101" t="s">
        <v>224</v>
      </c>
      <c r="S4101" t="s">
        <v>225</v>
      </c>
      <c r="T4101" t="s">
        <v>7628</v>
      </c>
      <c r="U4101" t="s">
        <v>7629</v>
      </c>
      <c r="V4101" t="s">
        <v>7630</v>
      </c>
      <c r="W4101" t="s">
        <v>7631</v>
      </c>
      <c r="X4101" t="s">
        <v>7630</v>
      </c>
      <c r="Y4101" t="s">
        <v>589</v>
      </c>
      <c r="AD4101" t="s">
        <v>5050</v>
      </c>
      <c r="AE4101" t="s">
        <v>5051</v>
      </c>
      <c r="AF4101" t="s">
        <v>7634</v>
      </c>
    </row>
    <row r="4102" spans="1:32" hidden="1" x14ac:dyDescent="0.35">
      <c r="A4102">
        <v>3702</v>
      </c>
      <c r="B4102" t="s">
        <v>7625</v>
      </c>
      <c r="C4102" t="s">
        <v>72</v>
      </c>
      <c r="D4102" t="s">
        <v>34</v>
      </c>
      <c r="E4102">
        <v>67</v>
      </c>
      <c r="F4102">
        <v>5</v>
      </c>
      <c r="G4102">
        <v>5</v>
      </c>
      <c r="H4102">
        <v>1</v>
      </c>
      <c r="I4102">
        <v>1</v>
      </c>
      <c r="J4102">
        <v>0.91837956495709405</v>
      </c>
      <c r="K4102">
        <v>0.98844087907633305</v>
      </c>
      <c r="L4102">
        <v>0.95212310876190398</v>
      </c>
      <c r="M4102">
        <v>0.84615384615384603</v>
      </c>
      <c r="N4102">
        <v>0.99605522682445802</v>
      </c>
      <c r="O4102">
        <v>0.89250493096646899</v>
      </c>
      <c r="P4102" t="s">
        <v>7626</v>
      </c>
      <c r="Q4102" t="s">
        <v>7627</v>
      </c>
      <c r="R4102" t="s">
        <v>224</v>
      </c>
      <c r="S4102" t="s">
        <v>225</v>
      </c>
      <c r="T4102" t="s">
        <v>7628</v>
      </c>
      <c r="U4102" t="s">
        <v>7629</v>
      </c>
      <c r="V4102" t="s">
        <v>7630</v>
      </c>
      <c r="W4102" t="s">
        <v>7631</v>
      </c>
      <c r="X4102" t="s">
        <v>7630</v>
      </c>
      <c r="Y4102" t="s">
        <v>589</v>
      </c>
      <c r="AD4102" t="s">
        <v>5050</v>
      </c>
      <c r="AE4102" t="s">
        <v>5051</v>
      </c>
      <c r="AF4102" t="s">
        <v>7635</v>
      </c>
    </row>
    <row r="4103" spans="1:32" hidden="1" x14ac:dyDescent="0.35">
      <c r="A4103">
        <v>3703</v>
      </c>
      <c r="B4103" t="s">
        <v>7625</v>
      </c>
      <c r="C4103" t="s">
        <v>72</v>
      </c>
      <c r="D4103" t="s">
        <v>45</v>
      </c>
      <c r="E4103">
        <v>1325</v>
      </c>
      <c r="F4103">
        <v>5</v>
      </c>
      <c r="G4103">
        <v>5</v>
      </c>
      <c r="H4103">
        <v>1</v>
      </c>
      <c r="I4103">
        <v>1</v>
      </c>
      <c r="J4103">
        <v>0.91837956495709405</v>
      </c>
      <c r="K4103">
        <v>0.98844087907633305</v>
      </c>
      <c r="L4103">
        <v>0.95212310876190398</v>
      </c>
      <c r="M4103">
        <v>0.84615384615384603</v>
      </c>
      <c r="N4103">
        <v>0.99605522682445802</v>
      </c>
      <c r="O4103">
        <v>0.89250493096646899</v>
      </c>
      <c r="P4103" t="s">
        <v>7626</v>
      </c>
      <c r="Q4103" t="s">
        <v>7627</v>
      </c>
      <c r="R4103" t="s">
        <v>224</v>
      </c>
      <c r="S4103" t="s">
        <v>225</v>
      </c>
      <c r="T4103" t="s">
        <v>7628</v>
      </c>
      <c r="U4103" t="s">
        <v>7629</v>
      </c>
      <c r="V4103" t="s">
        <v>7630</v>
      </c>
      <c r="W4103" t="s">
        <v>7631</v>
      </c>
      <c r="X4103" t="s">
        <v>7630</v>
      </c>
      <c r="Y4103" t="s">
        <v>589</v>
      </c>
      <c r="AD4103" t="s">
        <v>5050</v>
      </c>
      <c r="AE4103" t="s">
        <v>5051</v>
      </c>
      <c r="AF4103" t="s">
        <v>7636</v>
      </c>
    </row>
    <row r="4104" spans="1:32" hidden="1" x14ac:dyDescent="0.35">
      <c r="A4104">
        <v>11948</v>
      </c>
      <c r="B4104" t="s">
        <v>24657</v>
      </c>
      <c r="C4104" t="s">
        <v>10130</v>
      </c>
      <c r="D4104" t="s">
        <v>58</v>
      </c>
      <c r="E4104">
        <v>518</v>
      </c>
      <c r="F4104">
        <v>1</v>
      </c>
      <c r="G4104">
        <v>1</v>
      </c>
      <c r="H4104">
        <v>1</v>
      </c>
      <c r="I4104">
        <v>0</v>
      </c>
      <c r="J4104">
        <v>1</v>
      </c>
      <c r="K4104">
        <v>1</v>
      </c>
      <c r="L4104">
        <v>1</v>
      </c>
      <c r="M4104">
        <v>0</v>
      </c>
      <c r="N4104">
        <v>0</v>
      </c>
      <c r="O4104">
        <v>0</v>
      </c>
      <c r="P4104" t="s">
        <v>16684</v>
      </c>
      <c r="Q4104" t="s">
        <v>5841</v>
      </c>
      <c r="R4104" t="s">
        <v>157</v>
      </c>
      <c r="S4104" t="s">
        <v>158</v>
      </c>
      <c r="V4104" t="s">
        <v>10824</v>
      </c>
      <c r="W4104" t="s">
        <v>10825</v>
      </c>
      <c r="AF4104" t="s">
        <v>24658</v>
      </c>
    </row>
    <row r="4105" spans="1:32" hidden="1" x14ac:dyDescent="0.35">
      <c r="A4105">
        <v>3770</v>
      </c>
      <c r="B4105" t="s">
        <v>7783</v>
      </c>
      <c r="C4105" t="s">
        <v>72</v>
      </c>
      <c r="D4105" t="s">
        <v>60</v>
      </c>
      <c r="E4105">
        <v>1409</v>
      </c>
      <c r="F4105">
        <v>5</v>
      </c>
      <c r="G4105">
        <v>5</v>
      </c>
      <c r="H4105">
        <v>1</v>
      </c>
      <c r="I4105">
        <v>1</v>
      </c>
      <c r="J4105">
        <v>0.84899882214369804</v>
      </c>
      <c r="K4105">
        <v>0.95942208103939097</v>
      </c>
      <c r="L4105">
        <v>0.90083919656908795</v>
      </c>
      <c r="M4105">
        <v>0.71783295711060902</v>
      </c>
      <c r="N4105">
        <v>0.99548532731377004</v>
      </c>
      <c r="O4105">
        <v>0.793002257336343</v>
      </c>
      <c r="P4105" t="s">
        <v>7784</v>
      </c>
      <c r="Q4105" t="s">
        <v>7785</v>
      </c>
      <c r="R4105" t="s">
        <v>224</v>
      </c>
      <c r="S4105" t="s">
        <v>225</v>
      </c>
      <c r="T4105" t="s">
        <v>7786</v>
      </c>
      <c r="U4105" t="s">
        <v>7787</v>
      </c>
      <c r="V4105" t="s">
        <v>7788</v>
      </c>
      <c r="W4105" t="s">
        <v>7789</v>
      </c>
      <c r="X4105" t="s">
        <v>7788</v>
      </c>
      <c r="Y4105" t="s">
        <v>589</v>
      </c>
      <c r="AD4105" t="s">
        <v>997</v>
      </c>
      <c r="AE4105" t="s">
        <v>7790</v>
      </c>
      <c r="AF4105" t="s">
        <v>7792</v>
      </c>
    </row>
    <row r="4106" spans="1:32" hidden="1" x14ac:dyDescent="0.35">
      <c r="A4106">
        <v>3771</v>
      </c>
      <c r="B4106" t="s">
        <v>7783</v>
      </c>
      <c r="C4106" t="s">
        <v>72</v>
      </c>
      <c r="D4106" t="s">
        <v>62</v>
      </c>
      <c r="E4106">
        <v>1444</v>
      </c>
      <c r="F4106">
        <v>5</v>
      </c>
      <c r="G4106">
        <v>5</v>
      </c>
      <c r="H4106">
        <v>1</v>
      </c>
      <c r="I4106">
        <v>1</v>
      </c>
      <c r="J4106">
        <v>0.84899882214369804</v>
      </c>
      <c r="K4106">
        <v>0.95942208103939097</v>
      </c>
      <c r="L4106">
        <v>0.90083919656908795</v>
      </c>
      <c r="M4106">
        <v>0.71783295711060902</v>
      </c>
      <c r="N4106">
        <v>0.99548532731377004</v>
      </c>
      <c r="O4106">
        <v>0.793002257336343</v>
      </c>
      <c r="P4106" t="s">
        <v>7784</v>
      </c>
      <c r="Q4106" t="s">
        <v>7785</v>
      </c>
      <c r="R4106" t="s">
        <v>224</v>
      </c>
      <c r="S4106" t="s">
        <v>225</v>
      </c>
      <c r="T4106" t="s">
        <v>7786</v>
      </c>
      <c r="U4106" t="s">
        <v>7787</v>
      </c>
      <c r="V4106" t="s">
        <v>7788</v>
      </c>
      <c r="W4106" t="s">
        <v>7789</v>
      </c>
      <c r="X4106" t="s">
        <v>7788</v>
      </c>
      <c r="Y4106" t="s">
        <v>589</v>
      </c>
      <c r="AD4106" t="s">
        <v>997</v>
      </c>
      <c r="AE4106" t="s">
        <v>7790</v>
      </c>
      <c r="AF4106" t="s">
        <v>7793</v>
      </c>
    </row>
    <row r="4107" spans="1:32" hidden="1" x14ac:dyDescent="0.35">
      <c r="A4107">
        <v>3772</v>
      </c>
      <c r="B4107" t="s">
        <v>7783</v>
      </c>
      <c r="C4107" t="s">
        <v>72</v>
      </c>
      <c r="D4107" t="s">
        <v>34</v>
      </c>
      <c r="E4107">
        <v>1835</v>
      </c>
      <c r="F4107">
        <v>5</v>
      </c>
      <c r="G4107">
        <v>5</v>
      </c>
      <c r="H4107">
        <v>1</v>
      </c>
      <c r="I4107">
        <v>1</v>
      </c>
      <c r="J4107">
        <v>0.84899882214369804</v>
      </c>
      <c r="K4107">
        <v>0.95942208103939097</v>
      </c>
      <c r="L4107">
        <v>0.90083919656908795</v>
      </c>
      <c r="M4107">
        <v>0.71783295711060902</v>
      </c>
      <c r="N4107">
        <v>0.99548532731377004</v>
      </c>
      <c r="O4107">
        <v>0.793002257336343</v>
      </c>
      <c r="P4107" t="s">
        <v>7784</v>
      </c>
      <c r="Q4107" t="s">
        <v>7785</v>
      </c>
      <c r="R4107" t="s">
        <v>224</v>
      </c>
      <c r="S4107" t="s">
        <v>225</v>
      </c>
      <c r="T4107" t="s">
        <v>7786</v>
      </c>
      <c r="U4107" t="s">
        <v>7787</v>
      </c>
      <c r="V4107" t="s">
        <v>7788</v>
      </c>
      <c r="W4107" t="s">
        <v>7789</v>
      </c>
      <c r="X4107" t="s">
        <v>7788</v>
      </c>
      <c r="Y4107" t="s">
        <v>589</v>
      </c>
      <c r="AD4107" t="s">
        <v>997</v>
      </c>
      <c r="AE4107" t="s">
        <v>7790</v>
      </c>
      <c r="AF4107" t="s">
        <v>7794</v>
      </c>
    </row>
    <row r="4108" spans="1:32" hidden="1" x14ac:dyDescent="0.35">
      <c r="A4108">
        <v>3773</v>
      </c>
      <c r="B4108" t="s">
        <v>7783</v>
      </c>
      <c r="C4108" t="s">
        <v>72</v>
      </c>
      <c r="D4108" t="s">
        <v>45</v>
      </c>
      <c r="E4108">
        <v>1038</v>
      </c>
      <c r="F4108">
        <v>5</v>
      </c>
      <c r="G4108">
        <v>5</v>
      </c>
      <c r="H4108">
        <v>1</v>
      </c>
      <c r="I4108">
        <v>1</v>
      </c>
      <c r="J4108">
        <v>0.84899882214369804</v>
      </c>
      <c r="K4108">
        <v>0.95942208103939097</v>
      </c>
      <c r="L4108">
        <v>0.90083919656908795</v>
      </c>
      <c r="M4108">
        <v>0.71783295711060902</v>
      </c>
      <c r="N4108">
        <v>0.99548532731377004</v>
      </c>
      <c r="O4108">
        <v>0.793002257336343</v>
      </c>
      <c r="P4108" t="s">
        <v>7784</v>
      </c>
      <c r="Q4108" t="s">
        <v>7785</v>
      </c>
      <c r="R4108" t="s">
        <v>224</v>
      </c>
      <c r="S4108" t="s">
        <v>225</v>
      </c>
      <c r="T4108" t="s">
        <v>7786</v>
      </c>
      <c r="U4108" t="s">
        <v>7787</v>
      </c>
      <c r="V4108" t="s">
        <v>7788</v>
      </c>
      <c r="W4108" t="s">
        <v>7789</v>
      </c>
      <c r="X4108" t="s">
        <v>7788</v>
      </c>
      <c r="Y4108" t="s">
        <v>589</v>
      </c>
      <c r="AD4108" t="s">
        <v>997</v>
      </c>
      <c r="AE4108" t="s">
        <v>7790</v>
      </c>
      <c r="AF4108" t="s">
        <v>7795</v>
      </c>
    </row>
    <row r="4109" spans="1:32" hidden="1" x14ac:dyDescent="0.35">
      <c r="A4109">
        <v>11583</v>
      </c>
      <c r="B4109" t="s">
        <v>23703</v>
      </c>
      <c r="C4109" t="s">
        <v>33</v>
      </c>
      <c r="D4109" t="s">
        <v>58</v>
      </c>
      <c r="E4109">
        <v>462</v>
      </c>
      <c r="F4109">
        <v>1</v>
      </c>
      <c r="G4109">
        <v>1</v>
      </c>
      <c r="H4109">
        <v>1</v>
      </c>
      <c r="I4109">
        <v>0</v>
      </c>
      <c r="J4109">
        <v>1</v>
      </c>
      <c r="K4109">
        <v>1</v>
      </c>
      <c r="L4109">
        <v>1</v>
      </c>
      <c r="M4109">
        <v>0</v>
      </c>
      <c r="N4109">
        <v>0</v>
      </c>
      <c r="O4109">
        <v>0</v>
      </c>
      <c r="P4109" t="s">
        <v>10822</v>
      </c>
      <c r="Q4109" t="s">
        <v>10823</v>
      </c>
      <c r="R4109" t="s">
        <v>157</v>
      </c>
      <c r="S4109" t="s">
        <v>158</v>
      </c>
      <c r="V4109" t="s">
        <v>10824</v>
      </c>
      <c r="W4109" t="s">
        <v>10825</v>
      </c>
      <c r="AF4109" t="s">
        <v>23704</v>
      </c>
    </row>
    <row r="4110" spans="1:32" hidden="1" x14ac:dyDescent="0.35">
      <c r="A4110">
        <v>3815</v>
      </c>
      <c r="B4110" t="s">
        <v>7879</v>
      </c>
      <c r="C4110" t="s">
        <v>72</v>
      </c>
      <c r="D4110" t="s">
        <v>60</v>
      </c>
      <c r="E4110">
        <v>2346</v>
      </c>
      <c r="F4110">
        <v>5</v>
      </c>
      <c r="G4110">
        <v>5</v>
      </c>
      <c r="H4110">
        <v>1</v>
      </c>
      <c r="I4110">
        <v>1</v>
      </c>
      <c r="J4110">
        <v>0.86759634128055196</v>
      </c>
      <c r="K4110">
        <v>0.90704387610677994</v>
      </c>
      <c r="L4110">
        <v>0.88688167954373998</v>
      </c>
      <c r="M4110">
        <v>0.68825910931174095</v>
      </c>
      <c r="N4110">
        <v>0.99595141700404899</v>
      </c>
      <c r="O4110">
        <v>0.80607287449392695</v>
      </c>
      <c r="P4110" t="s">
        <v>4727</v>
      </c>
      <c r="Q4110" t="s">
        <v>4728</v>
      </c>
      <c r="R4110" t="s">
        <v>224</v>
      </c>
      <c r="S4110" t="s">
        <v>225</v>
      </c>
      <c r="V4110" t="s">
        <v>5351</v>
      </c>
      <c r="W4110" t="s">
        <v>5352</v>
      </c>
      <c r="X4110" t="s">
        <v>5351</v>
      </c>
      <c r="Y4110" t="s">
        <v>1598</v>
      </c>
      <c r="AF4110" t="e">
        <f>-------------------------MPDQHPGPTEWGESRVGVGPWEVEHPGQPLP-TDPRFDAALLAEGDRRNVVDAYRYWTRDAIVADIDTRRHDLHVAIENFEHDANIGTVVRTANAFAVNTVHIVGRRRWNRRGAMVTDRYQHLLHHPDVDTLLQWAKEQGLTVVAIDNTPGSVPLETAELPERCLLLFGQEGPGVTEAARSGALMTCSIAQFGSTRSINAGVAAGIAMHAWIRQHADISQAW</f>
        <v>#NAME?</v>
      </c>
    </row>
    <row r="4111" spans="1:32" hidden="1" x14ac:dyDescent="0.35">
      <c r="A4111">
        <v>3816</v>
      </c>
      <c r="B4111" t="s">
        <v>7879</v>
      </c>
      <c r="C4111" t="s">
        <v>72</v>
      </c>
      <c r="D4111" t="s">
        <v>62</v>
      </c>
      <c r="E4111">
        <v>2374</v>
      </c>
      <c r="F4111">
        <v>5</v>
      </c>
      <c r="G4111">
        <v>5</v>
      </c>
      <c r="H4111">
        <v>1</v>
      </c>
      <c r="I4111">
        <v>1</v>
      </c>
      <c r="J4111">
        <v>0.86759634128055196</v>
      </c>
      <c r="K4111">
        <v>0.90704387610677994</v>
      </c>
      <c r="L4111">
        <v>0.88688167954373998</v>
      </c>
      <c r="M4111">
        <v>0.68825910931174095</v>
      </c>
      <c r="N4111">
        <v>0.99595141700404899</v>
      </c>
      <c r="O4111">
        <v>0.80607287449392695</v>
      </c>
      <c r="P4111" t="s">
        <v>4727</v>
      </c>
      <c r="Q4111" t="s">
        <v>4728</v>
      </c>
      <c r="R4111" t="s">
        <v>224</v>
      </c>
      <c r="S4111" t="s">
        <v>225</v>
      </c>
      <c r="V4111" t="s">
        <v>5351</v>
      </c>
      <c r="W4111" t="s">
        <v>5352</v>
      </c>
      <c r="X4111" t="s">
        <v>5351</v>
      </c>
      <c r="Y4111" t="s">
        <v>1598</v>
      </c>
      <c r="AF4111" t="e">
        <f>-------------------------MIDQHPGPTEWGESRVGVGPWEVEHPGQPLP-TDPRFDAALLAEGDRRNVVDAYRYWTRDAIVADIDTRRHDLHVAIENFEHDANIGTVVRTANAFAVNTVHIVGRRRWNRRGAMVTDRYQHLLHHPDVDTLLQWAKEQGLTVVAIDNTPGSVPLETAELPERCLLLFGQEGPGVTEAARSGALMTCSIAQFGSTRSINAGVAAGIAMHAWIRQHADISQAW</f>
        <v>#NAME?</v>
      </c>
    </row>
    <row r="4112" spans="1:32" hidden="1" x14ac:dyDescent="0.35">
      <c r="A4112">
        <v>3817</v>
      </c>
      <c r="B4112" t="s">
        <v>7879</v>
      </c>
      <c r="C4112" t="s">
        <v>72</v>
      </c>
      <c r="D4112" t="s">
        <v>34</v>
      </c>
      <c r="E4112">
        <v>1425</v>
      </c>
      <c r="F4112">
        <v>5</v>
      </c>
      <c r="G4112">
        <v>5</v>
      </c>
      <c r="H4112">
        <v>1</v>
      </c>
      <c r="I4112">
        <v>1</v>
      </c>
      <c r="J4112">
        <v>0.86759634128055196</v>
      </c>
      <c r="K4112">
        <v>0.90704387610677994</v>
      </c>
      <c r="L4112">
        <v>0.88688167954373998</v>
      </c>
      <c r="M4112">
        <v>0.68825910931174095</v>
      </c>
      <c r="N4112">
        <v>0.99595141700404899</v>
      </c>
      <c r="O4112">
        <v>0.80607287449392695</v>
      </c>
      <c r="P4112" t="s">
        <v>4727</v>
      </c>
      <c r="Q4112" t="s">
        <v>4728</v>
      </c>
      <c r="R4112" t="s">
        <v>224</v>
      </c>
      <c r="S4112" t="s">
        <v>225</v>
      </c>
      <c r="V4112" t="s">
        <v>5351</v>
      </c>
      <c r="W4112" t="s">
        <v>5352</v>
      </c>
      <c r="X4112" t="s">
        <v>5351</v>
      </c>
      <c r="Y4112" t="s">
        <v>1598</v>
      </c>
      <c r="AF4112" t="e">
        <f>---------------------MGESEASATPGPTEWGQGQHGVGPWEVEHPGQPAPVDDPRYDPELLAMGDRRNVVDAYRYLRREAIVADIDTRRHALHIAIENFENDANIGTVVRTANAFAVDTVHIVGRRRWNRRGAMVTDRYQHLLHHDTTDSVVAWAAEHGLTVVAIDNTPGSVPLETVELPKRCLLLFGQEGPGVTAAAQAAAVMTCSIAQFGSTRSINAGVAAGIAMHAWIRQHADLSLAW</f>
        <v>#NAME?</v>
      </c>
    </row>
    <row r="4113" spans="1:32" hidden="1" x14ac:dyDescent="0.35">
      <c r="A4113">
        <v>3818</v>
      </c>
      <c r="B4113" t="s">
        <v>7879</v>
      </c>
      <c r="C4113" t="s">
        <v>72</v>
      </c>
      <c r="D4113" t="s">
        <v>45</v>
      </c>
      <c r="E4113">
        <v>176</v>
      </c>
      <c r="F4113">
        <v>5</v>
      </c>
      <c r="G4113">
        <v>5</v>
      </c>
      <c r="H4113">
        <v>1</v>
      </c>
      <c r="I4113">
        <v>1</v>
      </c>
      <c r="J4113">
        <v>0.86759634128055196</v>
      </c>
      <c r="K4113">
        <v>0.90704387610677994</v>
      </c>
      <c r="L4113">
        <v>0.88688167954373998</v>
      </c>
      <c r="M4113">
        <v>0.68825910931174095</v>
      </c>
      <c r="N4113">
        <v>0.99595141700404899</v>
      </c>
      <c r="O4113">
        <v>0.80607287449392695</v>
      </c>
      <c r="P4113" t="s">
        <v>4727</v>
      </c>
      <c r="Q4113" t="s">
        <v>4728</v>
      </c>
      <c r="R4113" t="s">
        <v>224</v>
      </c>
      <c r="S4113" t="s">
        <v>225</v>
      </c>
      <c r="V4113" t="s">
        <v>5351</v>
      </c>
      <c r="W4113" t="s">
        <v>5352</v>
      </c>
      <c r="X4113" t="s">
        <v>5351</v>
      </c>
      <c r="Y4113" t="s">
        <v>1598</v>
      </c>
      <c r="AF4113" t="e">
        <f>---------------------MGESEASATPGPTEWGQGQHGVGPWEVEHPGEPAPVDDPRYDPELLAMGDRRNVVDAYRYLRREAIVADIDTRRHALHIAIENFENDANIGTVVRTANAFAVDTVHIVGRRRWNRRGAMVTDRYQHLLHHDTTDSVVAWAAEHGLTVVAIDNTPGSVPLETVELPKRCLLLFGQEGPGVTAAAQAAAVMTCSIAQFGSTRSINAGVAAGIAMHAWIRQHADLSLAW</f>
        <v>#NAME?</v>
      </c>
    </row>
    <row r="4114" spans="1:32" hidden="1" x14ac:dyDescent="0.35">
      <c r="A4114">
        <v>3309</v>
      </c>
      <c r="B4114" t="s">
        <v>6803</v>
      </c>
      <c r="C4114" t="s">
        <v>72</v>
      </c>
      <c r="D4114" t="s">
        <v>58</v>
      </c>
      <c r="E4114">
        <v>842</v>
      </c>
      <c r="F4114">
        <v>5</v>
      </c>
      <c r="G4114">
        <v>5</v>
      </c>
      <c r="H4114">
        <v>1</v>
      </c>
      <c r="I4114">
        <v>1</v>
      </c>
      <c r="J4114">
        <v>0.79815623483745801</v>
      </c>
      <c r="K4114">
        <v>0.96569156512106502</v>
      </c>
      <c r="L4114">
        <v>0.87396740654091098</v>
      </c>
      <c r="M4114">
        <v>0.58988764044943798</v>
      </c>
      <c r="N4114">
        <v>1</v>
      </c>
      <c r="O4114">
        <v>0.73539325842696601</v>
      </c>
      <c r="P4114" t="s">
        <v>6804</v>
      </c>
      <c r="Q4114" t="s">
        <v>5064</v>
      </c>
      <c r="R4114" t="s">
        <v>235</v>
      </c>
      <c r="S4114" t="s">
        <v>236</v>
      </c>
      <c r="T4114" t="s">
        <v>6805</v>
      </c>
      <c r="U4114" t="s">
        <v>6806</v>
      </c>
      <c r="V4114" t="s">
        <v>6807</v>
      </c>
      <c r="W4114" t="s">
        <v>6808</v>
      </c>
      <c r="X4114" t="s">
        <v>6807</v>
      </c>
      <c r="Y4114" t="s">
        <v>2932</v>
      </c>
      <c r="Z4114" t="s">
        <v>6809</v>
      </c>
      <c r="AA4114" t="s">
        <v>6810</v>
      </c>
      <c r="AB4114" t="s">
        <v>6809</v>
      </c>
      <c r="AC4114" t="s">
        <v>6189</v>
      </c>
      <c r="AD4114" t="s">
        <v>219</v>
      </c>
      <c r="AE4114" t="s">
        <v>6811</v>
      </c>
      <c r="AF4114" t="s">
        <v>6812</v>
      </c>
    </row>
    <row r="4115" spans="1:32" hidden="1" x14ac:dyDescent="0.35">
      <c r="A4115">
        <v>3825</v>
      </c>
      <c r="B4115" t="s">
        <v>7892</v>
      </c>
      <c r="C4115" t="s">
        <v>72</v>
      </c>
      <c r="D4115" t="s">
        <v>60</v>
      </c>
      <c r="E4115">
        <v>2413</v>
      </c>
      <c r="F4115">
        <v>5</v>
      </c>
      <c r="G4115">
        <v>5</v>
      </c>
      <c r="H4115">
        <v>1</v>
      </c>
      <c r="I4115">
        <v>1</v>
      </c>
      <c r="J4115">
        <v>0.83140693503387797</v>
      </c>
      <c r="K4115">
        <v>0.79371540214913805</v>
      </c>
      <c r="L4115">
        <v>0.81212407791264096</v>
      </c>
      <c r="M4115">
        <v>0.51951951951951902</v>
      </c>
      <c r="N4115">
        <v>0.99099099099099097</v>
      </c>
      <c r="O4115">
        <v>0.66756756756756797</v>
      </c>
      <c r="P4115" t="s">
        <v>7893</v>
      </c>
      <c r="Q4115" t="s">
        <v>7894</v>
      </c>
      <c r="R4115" t="s">
        <v>224</v>
      </c>
      <c r="S4115" t="s">
        <v>225</v>
      </c>
      <c r="T4115" t="s">
        <v>7895</v>
      </c>
      <c r="U4115" t="s">
        <v>7896</v>
      </c>
      <c r="V4115" t="s">
        <v>7897</v>
      </c>
      <c r="W4115" t="s">
        <v>7898</v>
      </c>
      <c r="X4115" t="s">
        <v>7897</v>
      </c>
      <c r="Y4115" t="s">
        <v>1598</v>
      </c>
      <c r="AD4115" t="s">
        <v>3044</v>
      </c>
      <c r="AE4115" t="s">
        <v>7899</v>
      </c>
      <c r="AF4115" t="s">
        <v>7901</v>
      </c>
    </row>
    <row r="4116" spans="1:32" hidden="1" x14ac:dyDescent="0.35">
      <c r="A4116">
        <v>3826</v>
      </c>
      <c r="B4116" t="s">
        <v>7892</v>
      </c>
      <c r="C4116" t="s">
        <v>72</v>
      </c>
      <c r="D4116" t="s">
        <v>62</v>
      </c>
      <c r="E4116">
        <v>2440</v>
      </c>
      <c r="F4116">
        <v>5</v>
      </c>
      <c r="G4116">
        <v>5</v>
      </c>
      <c r="H4116">
        <v>1</v>
      </c>
      <c r="I4116">
        <v>1</v>
      </c>
      <c r="J4116">
        <v>0.83140693503387797</v>
      </c>
      <c r="K4116">
        <v>0.79371540214913805</v>
      </c>
      <c r="L4116">
        <v>0.81212407791264096</v>
      </c>
      <c r="M4116">
        <v>0.51951951951951902</v>
      </c>
      <c r="N4116">
        <v>0.99099099099099097</v>
      </c>
      <c r="O4116">
        <v>0.66756756756756797</v>
      </c>
      <c r="P4116" t="s">
        <v>7893</v>
      </c>
      <c r="Q4116" t="s">
        <v>7894</v>
      </c>
      <c r="R4116" t="s">
        <v>224</v>
      </c>
      <c r="S4116" t="s">
        <v>225</v>
      </c>
      <c r="T4116" t="s">
        <v>7895</v>
      </c>
      <c r="U4116" t="s">
        <v>7896</v>
      </c>
      <c r="V4116" t="s">
        <v>7897</v>
      </c>
      <c r="W4116" t="s">
        <v>7898</v>
      </c>
      <c r="X4116" t="s">
        <v>7897</v>
      </c>
      <c r="Y4116" t="s">
        <v>1598</v>
      </c>
      <c r="AD4116" t="s">
        <v>3044</v>
      </c>
      <c r="AE4116" t="s">
        <v>7899</v>
      </c>
      <c r="AF4116" t="s">
        <v>7902</v>
      </c>
    </row>
    <row r="4117" spans="1:32" hidden="1" x14ac:dyDescent="0.35">
      <c r="A4117">
        <v>3827</v>
      </c>
      <c r="B4117" t="s">
        <v>7892</v>
      </c>
      <c r="C4117" t="s">
        <v>72</v>
      </c>
      <c r="D4117" t="s">
        <v>34</v>
      </c>
      <c r="E4117">
        <v>1321</v>
      </c>
      <c r="F4117">
        <v>5</v>
      </c>
      <c r="G4117">
        <v>5</v>
      </c>
      <c r="H4117">
        <v>1</v>
      </c>
      <c r="I4117">
        <v>1</v>
      </c>
      <c r="J4117">
        <v>0.83140693503387797</v>
      </c>
      <c r="K4117">
        <v>0.79371540214913805</v>
      </c>
      <c r="L4117">
        <v>0.81212407791264096</v>
      </c>
      <c r="M4117">
        <v>0.51951951951951902</v>
      </c>
      <c r="N4117">
        <v>0.99099099099099097</v>
      </c>
      <c r="O4117">
        <v>0.66756756756756797</v>
      </c>
      <c r="P4117" t="s">
        <v>7893</v>
      </c>
      <c r="Q4117" t="s">
        <v>7894</v>
      </c>
      <c r="R4117" t="s">
        <v>224</v>
      </c>
      <c r="S4117" t="s">
        <v>225</v>
      </c>
      <c r="T4117" t="s">
        <v>7895</v>
      </c>
      <c r="U4117" t="s">
        <v>7896</v>
      </c>
      <c r="V4117" t="s">
        <v>7897</v>
      </c>
      <c r="W4117" t="s">
        <v>7898</v>
      </c>
      <c r="X4117" t="s">
        <v>7897</v>
      </c>
      <c r="Y4117" t="s">
        <v>1598</v>
      </c>
      <c r="AD4117" t="s">
        <v>3044</v>
      </c>
      <c r="AE4117" t="s">
        <v>7899</v>
      </c>
      <c r="AF4117" t="s">
        <v>7903</v>
      </c>
    </row>
    <row r="4118" spans="1:32" hidden="1" x14ac:dyDescent="0.35">
      <c r="A4118">
        <v>3828</v>
      </c>
      <c r="B4118" t="s">
        <v>7892</v>
      </c>
      <c r="C4118" t="s">
        <v>72</v>
      </c>
      <c r="D4118" t="s">
        <v>45</v>
      </c>
      <c r="E4118">
        <v>73</v>
      </c>
      <c r="F4118">
        <v>5</v>
      </c>
      <c r="G4118">
        <v>5</v>
      </c>
      <c r="H4118">
        <v>1</v>
      </c>
      <c r="I4118">
        <v>1</v>
      </c>
      <c r="J4118">
        <v>0.83140693503387797</v>
      </c>
      <c r="K4118">
        <v>0.79371540214913805</v>
      </c>
      <c r="L4118">
        <v>0.81212407791264096</v>
      </c>
      <c r="M4118">
        <v>0.51951951951951902</v>
      </c>
      <c r="N4118">
        <v>0.99099099099099097</v>
      </c>
      <c r="O4118">
        <v>0.66756756756756797</v>
      </c>
      <c r="P4118" t="s">
        <v>7893</v>
      </c>
      <c r="Q4118" t="s">
        <v>7894</v>
      </c>
      <c r="R4118" t="s">
        <v>224</v>
      </c>
      <c r="S4118" t="s">
        <v>225</v>
      </c>
      <c r="T4118" t="s">
        <v>7895</v>
      </c>
      <c r="U4118" t="s">
        <v>7896</v>
      </c>
      <c r="V4118" t="s">
        <v>7897</v>
      </c>
      <c r="W4118" t="s">
        <v>7898</v>
      </c>
      <c r="X4118" t="s">
        <v>7897</v>
      </c>
      <c r="Y4118" t="s">
        <v>1598</v>
      </c>
      <c r="AD4118" t="s">
        <v>3044</v>
      </c>
      <c r="AE4118" t="s">
        <v>7899</v>
      </c>
      <c r="AF4118" t="s">
        <v>7904</v>
      </c>
    </row>
    <row r="4119" spans="1:32" hidden="1" x14ac:dyDescent="0.35">
      <c r="A4119">
        <v>3524</v>
      </c>
      <c r="B4119" t="s">
        <v>7242</v>
      </c>
      <c r="C4119" t="s">
        <v>72</v>
      </c>
      <c r="D4119" t="s">
        <v>58</v>
      </c>
      <c r="E4119">
        <v>844</v>
      </c>
      <c r="F4119">
        <v>5</v>
      </c>
      <c r="G4119">
        <v>5</v>
      </c>
      <c r="H4119">
        <v>1</v>
      </c>
      <c r="I4119">
        <v>1</v>
      </c>
      <c r="J4119">
        <v>0.85757575757575799</v>
      </c>
      <c r="K4119">
        <v>0.95474876449435497</v>
      </c>
      <c r="L4119">
        <v>0.90355715550384197</v>
      </c>
      <c r="M4119">
        <v>0.72445820433436503</v>
      </c>
      <c r="N4119">
        <v>1</v>
      </c>
      <c r="O4119">
        <v>0.78823529411764703</v>
      </c>
      <c r="P4119" t="s">
        <v>1130</v>
      </c>
      <c r="Q4119" t="s">
        <v>1131</v>
      </c>
      <c r="R4119" t="s">
        <v>235</v>
      </c>
      <c r="S4119" t="s">
        <v>236</v>
      </c>
      <c r="T4119" t="s">
        <v>7243</v>
      </c>
      <c r="U4119" t="s">
        <v>7244</v>
      </c>
      <c r="V4119" t="s">
        <v>7245</v>
      </c>
      <c r="W4119" t="s">
        <v>7246</v>
      </c>
      <c r="X4119" t="s">
        <v>7245</v>
      </c>
      <c r="Y4119" t="s">
        <v>2932</v>
      </c>
      <c r="Z4119" t="s">
        <v>7247</v>
      </c>
      <c r="AA4119" t="s">
        <v>7248</v>
      </c>
      <c r="AB4119" t="s">
        <v>7247</v>
      </c>
      <c r="AC4119" t="s">
        <v>1682</v>
      </c>
      <c r="AD4119" t="s">
        <v>219</v>
      </c>
      <c r="AE4119" t="s">
        <v>7249</v>
      </c>
      <c r="AF4119" t="s">
        <v>7250</v>
      </c>
    </row>
    <row r="4120" spans="1:32" hidden="1" x14ac:dyDescent="0.35">
      <c r="A4120">
        <v>3835</v>
      </c>
      <c r="B4120" t="s">
        <v>7920</v>
      </c>
      <c r="C4120" t="s">
        <v>72</v>
      </c>
      <c r="D4120" t="s">
        <v>60</v>
      </c>
      <c r="E4120">
        <v>2262</v>
      </c>
      <c r="F4120">
        <v>5</v>
      </c>
      <c r="G4120">
        <v>5</v>
      </c>
      <c r="H4120">
        <v>1</v>
      </c>
      <c r="I4120">
        <v>1</v>
      </c>
      <c r="J4120">
        <v>0.79766160262138797</v>
      </c>
      <c r="K4120">
        <v>0.91383438477969603</v>
      </c>
      <c r="L4120">
        <v>0.85180521048230795</v>
      </c>
      <c r="M4120">
        <v>0.58739837398373995</v>
      </c>
      <c r="N4120">
        <v>0.99593495934959397</v>
      </c>
      <c r="O4120">
        <v>0.70670731707317103</v>
      </c>
      <c r="P4120" t="s">
        <v>7403</v>
      </c>
      <c r="Q4120" t="s">
        <v>7404</v>
      </c>
      <c r="R4120" t="s">
        <v>224</v>
      </c>
      <c r="S4120" t="s">
        <v>225</v>
      </c>
      <c r="T4120" t="s">
        <v>7921</v>
      </c>
      <c r="U4120" t="s">
        <v>7922</v>
      </c>
      <c r="V4120" t="s">
        <v>7407</v>
      </c>
      <c r="W4120" t="s">
        <v>7408</v>
      </c>
      <c r="X4120" t="s">
        <v>7407</v>
      </c>
      <c r="Y4120" t="s">
        <v>589</v>
      </c>
      <c r="AD4120" t="s">
        <v>997</v>
      </c>
      <c r="AE4120" t="s">
        <v>7923</v>
      </c>
      <c r="AF4120" t="e">
        <f>-MEVPAPSV------TLIRVTLRIYDTATRTLRDFEPVRAGHASVYLCGATVQTVPHIGHIRSGVAFDILRNWLEAHELDVAFVRNVTNIDDKILTKAADNGRPWWEWAATHERAFQWAYDQLGVRPPSIEPRATGHITEMVEYMRRIIDNGHGYAADGNVYMQPTSL-----PDYGHLSGQKLDELDQGESAGTGKRDPRDFTMWKAAKPEEPSWPTPWGDGRPGWHIECTAMATKYLGAEFDIHCGGLDLQFPHHENEIAQAHAAGDPFARYWMHNGWVTMSGEKMSKSLGNVLSIPNVLTKVRPVELRYYLGSAHYRSMLEYSEASLQEAAAGYRRIESFLHRVVEL-NAGEIEKGEVTDAFTAAMDDDLGVPAALAEVHNAVRAGNSALDKGDTAEATAIAGQVRAMTAILGVDPYAPQWRDRDQSN--DAALAALDVLIADALRRRELARADKDWATADQVRDQLNAAGIDIVDTADGAKWSLRDGR</f>
        <v>#NAME?</v>
      </c>
    </row>
    <row r="4121" spans="1:32" hidden="1" x14ac:dyDescent="0.35">
      <c r="A4121">
        <v>3836</v>
      </c>
      <c r="B4121" t="s">
        <v>7920</v>
      </c>
      <c r="C4121" t="s">
        <v>72</v>
      </c>
      <c r="D4121" t="s">
        <v>62</v>
      </c>
      <c r="E4121">
        <v>2291</v>
      </c>
      <c r="F4121">
        <v>5</v>
      </c>
      <c r="G4121">
        <v>5</v>
      </c>
      <c r="H4121">
        <v>1</v>
      </c>
      <c r="I4121">
        <v>1</v>
      </c>
      <c r="J4121">
        <v>0.79766160262138797</v>
      </c>
      <c r="K4121">
        <v>0.91383438477969603</v>
      </c>
      <c r="L4121">
        <v>0.85180521048230795</v>
      </c>
      <c r="M4121">
        <v>0.58739837398373995</v>
      </c>
      <c r="N4121">
        <v>0.99593495934959397</v>
      </c>
      <c r="O4121">
        <v>0.70670731707317103</v>
      </c>
      <c r="P4121" t="s">
        <v>7403</v>
      </c>
      <c r="Q4121" t="s">
        <v>7404</v>
      </c>
      <c r="R4121" t="s">
        <v>224</v>
      </c>
      <c r="S4121" t="s">
        <v>225</v>
      </c>
      <c r="T4121" t="s">
        <v>7921</v>
      </c>
      <c r="U4121" t="s">
        <v>7922</v>
      </c>
      <c r="V4121" t="s">
        <v>7407</v>
      </c>
      <c r="W4121" t="s">
        <v>7408</v>
      </c>
      <c r="X4121" t="s">
        <v>7407</v>
      </c>
      <c r="Y4121" t="s">
        <v>589</v>
      </c>
      <c r="AD4121" t="s">
        <v>997</v>
      </c>
      <c r="AE4121" t="s">
        <v>7923</v>
      </c>
      <c r="AF4121" t="e">
        <f>-MEVPAPSV------TLIRVTLRIYDTATRTLRDFEPVRAGHASVYLCGATVQTVPHIGHIRSGVAFDILRNWLEAHGLDVAFVRNVTNIDDKILTKAADNGRPWWEWAATHERAFQWAYDQLGVRPPSIEPRATGHITEMVEYMRRIIDNGHGYAADGNVYMQPTSL-----PDYGHLSGQKLDELDQGESAGTGKRDPRDFTMWKAAKPGEPSWPTPWGDGRPGWHIECTAMATKYLGAEFDIHCGGLDLQFPHHENEIAQAHAAGDPFARYWMHNGWVTMSGEKMSKSLGNVLSIPNVLTKVRPVELRYYLGSAHYRSMLEYSEASLQEAAAGYRRIESFLHRVVEL-NAGEIEKGEVTGAFTAAMDDDLGVPAALAEVHNAVRAGNSALDKGDTAEATAIAGQVRAMTAILGVDPYAPQWRDRDQSN--DAALAALDVLIADALRRRELARADKDWATADQVRDQLNAAGIDIVDTADGAKWSLRDGR</f>
        <v>#NAME?</v>
      </c>
    </row>
    <row r="4122" spans="1:32" hidden="1" x14ac:dyDescent="0.35">
      <c r="A4122">
        <v>3837</v>
      </c>
      <c r="B4122" t="s">
        <v>7920</v>
      </c>
      <c r="C4122" t="s">
        <v>72</v>
      </c>
      <c r="D4122" t="s">
        <v>34</v>
      </c>
      <c r="E4122">
        <v>1533</v>
      </c>
      <c r="F4122">
        <v>5</v>
      </c>
      <c r="G4122">
        <v>5</v>
      </c>
      <c r="H4122">
        <v>1</v>
      </c>
      <c r="I4122">
        <v>1</v>
      </c>
      <c r="J4122">
        <v>0.79766160262138797</v>
      </c>
      <c r="K4122">
        <v>0.91383438477969603</v>
      </c>
      <c r="L4122">
        <v>0.85180521048230795</v>
      </c>
      <c r="M4122">
        <v>0.58739837398373995</v>
      </c>
      <c r="N4122">
        <v>0.99593495934959397</v>
      </c>
      <c r="O4122">
        <v>0.70670731707317103</v>
      </c>
      <c r="P4122" t="s">
        <v>7403</v>
      </c>
      <c r="Q4122" t="s">
        <v>7404</v>
      </c>
      <c r="R4122" t="s">
        <v>224</v>
      </c>
      <c r="S4122" t="s">
        <v>225</v>
      </c>
      <c r="T4122" t="s">
        <v>7921</v>
      </c>
      <c r="U4122" t="s">
        <v>7922</v>
      </c>
      <c r="V4122" t="s">
        <v>7407</v>
      </c>
      <c r="W4122" t="s">
        <v>7408</v>
      </c>
      <c r="X4122" t="s">
        <v>7407</v>
      </c>
      <c r="Y4122" t="s">
        <v>589</v>
      </c>
      <c r="AD4122" t="s">
        <v>997</v>
      </c>
      <c r="AE4122" t="s">
        <v>7923</v>
      </c>
      <c r="AF4122" t="s">
        <v>7925</v>
      </c>
    </row>
    <row r="4123" spans="1:32" hidden="1" x14ac:dyDescent="0.35">
      <c r="A4123">
        <v>3838</v>
      </c>
      <c r="B4123" t="s">
        <v>7920</v>
      </c>
      <c r="C4123" t="s">
        <v>72</v>
      </c>
      <c r="D4123" t="s">
        <v>45</v>
      </c>
      <c r="E4123">
        <v>283</v>
      </c>
      <c r="F4123">
        <v>5</v>
      </c>
      <c r="G4123">
        <v>5</v>
      </c>
      <c r="H4123">
        <v>1</v>
      </c>
      <c r="I4123">
        <v>1</v>
      </c>
      <c r="J4123">
        <v>0.79766160262138797</v>
      </c>
      <c r="K4123">
        <v>0.91383438477969603</v>
      </c>
      <c r="L4123">
        <v>0.85180521048230795</v>
      </c>
      <c r="M4123">
        <v>0.58739837398373995</v>
      </c>
      <c r="N4123">
        <v>0.99593495934959397</v>
      </c>
      <c r="O4123">
        <v>0.70670731707317103</v>
      </c>
      <c r="P4123" t="s">
        <v>7403</v>
      </c>
      <c r="Q4123" t="s">
        <v>7404</v>
      </c>
      <c r="R4123" t="s">
        <v>224</v>
      </c>
      <c r="S4123" t="s">
        <v>225</v>
      </c>
      <c r="T4123" t="s">
        <v>7921</v>
      </c>
      <c r="U4123" t="s">
        <v>7922</v>
      </c>
      <c r="V4123" t="s">
        <v>7407</v>
      </c>
      <c r="W4123" t="s">
        <v>7408</v>
      </c>
      <c r="X4123" t="s">
        <v>7407</v>
      </c>
      <c r="Y4123" t="s">
        <v>589</v>
      </c>
      <c r="AD4123" t="s">
        <v>997</v>
      </c>
      <c r="AE4123" t="s">
        <v>7923</v>
      </c>
      <c r="AF4123" t="s">
        <v>7926</v>
      </c>
    </row>
    <row r="4124" spans="1:32" hidden="1" x14ac:dyDescent="0.35">
      <c r="A4124">
        <v>1329</v>
      </c>
      <c r="B4124" t="s">
        <v>2757</v>
      </c>
      <c r="C4124" t="s">
        <v>72</v>
      </c>
      <c r="D4124" t="s">
        <v>58</v>
      </c>
      <c r="E4124">
        <v>864</v>
      </c>
      <c r="F4124">
        <v>5</v>
      </c>
      <c r="G4124">
        <v>5</v>
      </c>
      <c r="H4124">
        <v>1</v>
      </c>
      <c r="I4124">
        <v>1</v>
      </c>
      <c r="J4124">
        <v>0.81196020553186798</v>
      </c>
      <c r="K4124">
        <v>0.98052276734778898</v>
      </c>
      <c r="L4124">
        <v>0.88831579406901096</v>
      </c>
      <c r="M4124">
        <v>0.65273311897106101</v>
      </c>
      <c r="N4124">
        <v>1</v>
      </c>
      <c r="O4124">
        <v>0.74726688102893901</v>
      </c>
      <c r="P4124" t="s">
        <v>2758</v>
      </c>
      <c r="Q4124" t="s">
        <v>2759</v>
      </c>
      <c r="R4124" t="s">
        <v>869</v>
      </c>
      <c r="S4124" t="s">
        <v>870</v>
      </c>
      <c r="T4124" t="s">
        <v>2760</v>
      </c>
      <c r="U4124" t="s">
        <v>2761</v>
      </c>
      <c r="V4124" t="s">
        <v>2762</v>
      </c>
      <c r="W4124" t="s">
        <v>2763</v>
      </c>
      <c r="AD4124" t="s">
        <v>219</v>
      </c>
      <c r="AE4124" t="s">
        <v>2764</v>
      </c>
      <c r="AF4124" t="s">
        <v>2765</v>
      </c>
    </row>
    <row r="4125" spans="1:32" hidden="1" x14ac:dyDescent="0.35">
      <c r="A4125">
        <v>3930</v>
      </c>
      <c r="B4125" t="s">
        <v>8105</v>
      </c>
      <c r="C4125" t="s">
        <v>72</v>
      </c>
      <c r="D4125" t="s">
        <v>60</v>
      </c>
      <c r="E4125">
        <v>1987</v>
      </c>
      <c r="F4125">
        <v>5</v>
      </c>
      <c r="G4125">
        <v>5</v>
      </c>
      <c r="H4125">
        <v>1</v>
      </c>
      <c r="I4125">
        <v>1</v>
      </c>
      <c r="J4125">
        <v>0.88290451686678095</v>
      </c>
      <c r="K4125">
        <v>0.96176609968689897</v>
      </c>
      <c r="L4125">
        <v>0.92064960103212001</v>
      </c>
      <c r="M4125">
        <v>0.77362637362637399</v>
      </c>
      <c r="N4125">
        <v>0.99120879120879102</v>
      </c>
      <c r="O4125">
        <v>0.82703296703296703</v>
      </c>
      <c r="P4125" t="s">
        <v>5513</v>
      </c>
      <c r="Q4125" t="s">
        <v>5514</v>
      </c>
      <c r="R4125" t="s">
        <v>224</v>
      </c>
      <c r="S4125" t="s">
        <v>225</v>
      </c>
      <c r="T4125" t="s">
        <v>8106</v>
      </c>
      <c r="U4125" t="s">
        <v>8107</v>
      </c>
      <c r="V4125" t="s">
        <v>8108</v>
      </c>
      <c r="W4125" t="s">
        <v>8109</v>
      </c>
      <c r="X4125" t="s">
        <v>8108</v>
      </c>
      <c r="Y4125" t="s">
        <v>589</v>
      </c>
      <c r="AD4125" t="s">
        <v>997</v>
      </c>
      <c r="AE4125" t="s">
        <v>8110</v>
      </c>
      <c r="AF4125" t="s">
        <v>8112</v>
      </c>
    </row>
    <row r="4126" spans="1:32" hidden="1" x14ac:dyDescent="0.35">
      <c r="A4126">
        <v>3931</v>
      </c>
      <c r="B4126" t="s">
        <v>8105</v>
      </c>
      <c r="C4126" t="s">
        <v>72</v>
      </c>
      <c r="D4126" t="s">
        <v>62</v>
      </c>
      <c r="E4126">
        <v>2028</v>
      </c>
      <c r="F4126">
        <v>5</v>
      </c>
      <c r="G4126">
        <v>5</v>
      </c>
      <c r="H4126">
        <v>1</v>
      </c>
      <c r="I4126">
        <v>1</v>
      </c>
      <c r="J4126">
        <v>0.88290451686678095</v>
      </c>
      <c r="K4126">
        <v>0.96176609968689897</v>
      </c>
      <c r="L4126">
        <v>0.92064960103212001</v>
      </c>
      <c r="M4126">
        <v>0.77362637362637399</v>
      </c>
      <c r="N4126">
        <v>0.99120879120879102</v>
      </c>
      <c r="O4126">
        <v>0.82703296703296703</v>
      </c>
      <c r="P4126" t="s">
        <v>5513</v>
      </c>
      <c r="Q4126" t="s">
        <v>5514</v>
      </c>
      <c r="R4126" t="s">
        <v>224</v>
      </c>
      <c r="S4126" t="s">
        <v>225</v>
      </c>
      <c r="T4126" t="s">
        <v>8106</v>
      </c>
      <c r="U4126" t="s">
        <v>8107</v>
      </c>
      <c r="V4126" t="s">
        <v>8108</v>
      </c>
      <c r="W4126" t="s">
        <v>8109</v>
      </c>
      <c r="X4126" t="s">
        <v>8108</v>
      </c>
      <c r="Y4126" t="s">
        <v>589</v>
      </c>
      <c r="AD4126" t="s">
        <v>997</v>
      </c>
      <c r="AE4126" t="s">
        <v>8110</v>
      </c>
      <c r="AF4126" t="s">
        <v>8113</v>
      </c>
    </row>
    <row r="4127" spans="1:32" hidden="1" x14ac:dyDescent="0.35">
      <c r="A4127">
        <v>3932</v>
      </c>
      <c r="B4127" t="s">
        <v>8105</v>
      </c>
      <c r="C4127" t="s">
        <v>72</v>
      </c>
      <c r="D4127" t="s">
        <v>34</v>
      </c>
      <c r="E4127">
        <v>2342</v>
      </c>
      <c r="F4127">
        <v>5</v>
      </c>
      <c r="G4127">
        <v>5</v>
      </c>
      <c r="H4127">
        <v>1</v>
      </c>
      <c r="I4127">
        <v>1</v>
      </c>
      <c r="J4127">
        <v>0.88290451686678095</v>
      </c>
      <c r="K4127">
        <v>0.96176609968689897</v>
      </c>
      <c r="L4127">
        <v>0.92064960103212001</v>
      </c>
      <c r="M4127">
        <v>0.77362637362637399</v>
      </c>
      <c r="N4127">
        <v>0.99120879120879102</v>
      </c>
      <c r="O4127">
        <v>0.82703296703296703</v>
      </c>
      <c r="P4127" t="s">
        <v>5513</v>
      </c>
      <c r="Q4127" t="s">
        <v>5514</v>
      </c>
      <c r="R4127" t="s">
        <v>224</v>
      </c>
      <c r="S4127" t="s">
        <v>225</v>
      </c>
      <c r="T4127" t="s">
        <v>8106</v>
      </c>
      <c r="U4127" t="s">
        <v>8107</v>
      </c>
      <c r="V4127" t="s">
        <v>8108</v>
      </c>
      <c r="W4127" t="s">
        <v>8109</v>
      </c>
      <c r="X4127" t="s">
        <v>8108</v>
      </c>
      <c r="Y4127" t="s">
        <v>589</v>
      </c>
      <c r="AD4127" t="s">
        <v>997</v>
      </c>
      <c r="AE4127" t="s">
        <v>8110</v>
      </c>
      <c r="AF4127" t="s">
        <v>8114</v>
      </c>
    </row>
    <row r="4128" spans="1:32" hidden="1" x14ac:dyDescent="0.35">
      <c r="A4128">
        <v>3933</v>
      </c>
      <c r="B4128" t="s">
        <v>8105</v>
      </c>
      <c r="C4128" t="s">
        <v>72</v>
      </c>
      <c r="D4128" t="s">
        <v>45</v>
      </c>
      <c r="E4128">
        <v>537</v>
      </c>
      <c r="F4128">
        <v>5</v>
      </c>
      <c r="G4128">
        <v>5</v>
      </c>
      <c r="H4128">
        <v>1</v>
      </c>
      <c r="I4128">
        <v>1</v>
      </c>
      <c r="J4128">
        <v>0.88290451686678095</v>
      </c>
      <c r="K4128">
        <v>0.96176609968689897</v>
      </c>
      <c r="L4128">
        <v>0.92064960103212001</v>
      </c>
      <c r="M4128">
        <v>0.77362637362637399</v>
      </c>
      <c r="N4128">
        <v>0.99120879120879102</v>
      </c>
      <c r="O4128">
        <v>0.82703296703296703</v>
      </c>
      <c r="P4128" t="s">
        <v>5513</v>
      </c>
      <c r="Q4128" t="s">
        <v>5514</v>
      </c>
      <c r="R4128" t="s">
        <v>224</v>
      </c>
      <c r="S4128" t="s">
        <v>225</v>
      </c>
      <c r="T4128" t="s">
        <v>8106</v>
      </c>
      <c r="U4128" t="s">
        <v>8107</v>
      </c>
      <c r="V4128" t="s">
        <v>8108</v>
      </c>
      <c r="W4128" t="s">
        <v>8109</v>
      </c>
      <c r="X4128" t="s">
        <v>8108</v>
      </c>
      <c r="Y4128" t="s">
        <v>589</v>
      </c>
      <c r="AD4128" t="s">
        <v>997</v>
      </c>
      <c r="AE4128" t="s">
        <v>8110</v>
      </c>
      <c r="AF4128" t="s">
        <v>8115</v>
      </c>
    </row>
    <row r="4129" spans="1:32" hidden="1" x14ac:dyDescent="0.35">
      <c r="A4129">
        <v>11068</v>
      </c>
      <c r="B4129" t="s">
        <v>22386</v>
      </c>
      <c r="C4129" t="s">
        <v>33</v>
      </c>
      <c r="D4129" t="s">
        <v>58</v>
      </c>
      <c r="E4129">
        <v>251</v>
      </c>
      <c r="F4129">
        <v>1</v>
      </c>
      <c r="G4129">
        <v>1</v>
      </c>
      <c r="H4129">
        <v>1</v>
      </c>
      <c r="I4129">
        <v>0</v>
      </c>
      <c r="J4129">
        <v>1</v>
      </c>
      <c r="K4129">
        <v>1</v>
      </c>
      <c r="L4129">
        <v>1</v>
      </c>
      <c r="M4129">
        <v>0</v>
      </c>
      <c r="N4129">
        <v>0</v>
      </c>
      <c r="O4129">
        <v>0</v>
      </c>
      <c r="P4129" t="s">
        <v>11509</v>
      </c>
      <c r="Q4129" t="s">
        <v>11510</v>
      </c>
      <c r="R4129" t="s">
        <v>75</v>
      </c>
      <c r="S4129" t="s">
        <v>76</v>
      </c>
      <c r="V4129" t="s">
        <v>11511</v>
      </c>
      <c r="W4129" t="s">
        <v>11512</v>
      </c>
      <c r="X4129" t="s">
        <v>11511</v>
      </c>
      <c r="Y4129" t="s">
        <v>2750</v>
      </c>
      <c r="AF4129" t="s">
        <v>22387</v>
      </c>
    </row>
    <row r="4130" spans="1:32" hidden="1" x14ac:dyDescent="0.35">
      <c r="A4130">
        <v>3935</v>
      </c>
      <c r="B4130" t="s">
        <v>8116</v>
      </c>
      <c r="C4130" t="s">
        <v>72</v>
      </c>
      <c r="D4130" t="s">
        <v>60</v>
      </c>
      <c r="E4130">
        <v>437</v>
      </c>
      <c r="F4130">
        <v>5</v>
      </c>
      <c r="G4130">
        <v>5</v>
      </c>
      <c r="H4130">
        <v>1</v>
      </c>
      <c r="I4130">
        <v>1</v>
      </c>
      <c r="J4130">
        <v>0.80735153256704995</v>
      </c>
      <c r="K4130">
        <v>0.90411942791522903</v>
      </c>
      <c r="L4130">
        <v>0.85299981431798599</v>
      </c>
      <c r="M4130">
        <v>0.6</v>
      </c>
      <c r="N4130">
        <v>0.99354838709677396</v>
      </c>
      <c r="O4130">
        <v>0.73</v>
      </c>
      <c r="P4130" t="s">
        <v>8117</v>
      </c>
      <c r="Q4130" t="s">
        <v>8118</v>
      </c>
      <c r="R4130" t="s">
        <v>224</v>
      </c>
      <c r="S4130" t="s">
        <v>225</v>
      </c>
      <c r="T4130" t="s">
        <v>8119</v>
      </c>
      <c r="U4130" t="s">
        <v>8120</v>
      </c>
      <c r="V4130" t="s">
        <v>8121</v>
      </c>
      <c r="W4130" t="s">
        <v>8122</v>
      </c>
      <c r="X4130" t="s">
        <v>8121</v>
      </c>
      <c r="Y4130" t="s">
        <v>1598</v>
      </c>
      <c r="AD4130" t="s">
        <v>3044</v>
      </c>
      <c r="AE4130" t="s">
        <v>8123</v>
      </c>
      <c r="AF4130" t="s">
        <v>8125</v>
      </c>
    </row>
    <row r="4131" spans="1:32" hidden="1" x14ac:dyDescent="0.35">
      <c r="A4131">
        <v>3936</v>
      </c>
      <c r="B4131" t="s">
        <v>8116</v>
      </c>
      <c r="C4131" t="s">
        <v>72</v>
      </c>
      <c r="D4131" t="s">
        <v>62</v>
      </c>
      <c r="E4131">
        <v>518</v>
      </c>
      <c r="F4131">
        <v>5</v>
      </c>
      <c r="G4131">
        <v>5</v>
      </c>
      <c r="H4131">
        <v>1</v>
      </c>
      <c r="I4131">
        <v>1</v>
      </c>
      <c r="J4131">
        <v>0.80735153256704995</v>
      </c>
      <c r="K4131">
        <v>0.90411942791522903</v>
      </c>
      <c r="L4131">
        <v>0.85299981431798599</v>
      </c>
      <c r="M4131">
        <v>0.6</v>
      </c>
      <c r="N4131">
        <v>0.99354838709677396</v>
      </c>
      <c r="O4131">
        <v>0.73</v>
      </c>
      <c r="P4131" t="s">
        <v>8117</v>
      </c>
      <c r="Q4131" t="s">
        <v>8118</v>
      </c>
      <c r="R4131" t="s">
        <v>224</v>
      </c>
      <c r="S4131" t="s">
        <v>225</v>
      </c>
      <c r="T4131" t="s">
        <v>8119</v>
      </c>
      <c r="U4131" t="s">
        <v>8120</v>
      </c>
      <c r="V4131" t="s">
        <v>8121</v>
      </c>
      <c r="W4131" t="s">
        <v>8122</v>
      </c>
      <c r="X4131" t="s">
        <v>8121</v>
      </c>
      <c r="Y4131" t="s">
        <v>1598</v>
      </c>
      <c r="AD4131" t="s">
        <v>3044</v>
      </c>
      <c r="AE4131" t="s">
        <v>8123</v>
      </c>
      <c r="AF4131" t="s">
        <v>8126</v>
      </c>
    </row>
    <row r="4132" spans="1:32" hidden="1" x14ac:dyDescent="0.35">
      <c r="A4132">
        <v>3937</v>
      </c>
      <c r="B4132" t="s">
        <v>8116</v>
      </c>
      <c r="C4132" t="s">
        <v>72</v>
      </c>
      <c r="D4132" t="s">
        <v>34</v>
      </c>
      <c r="E4132">
        <v>650</v>
      </c>
      <c r="F4132">
        <v>5</v>
      </c>
      <c r="G4132">
        <v>5</v>
      </c>
      <c r="H4132">
        <v>1</v>
      </c>
      <c r="I4132">
        <v>1</v>
      </c>
      <c r="J4132">
        <v>0.80735153256704995</v>
      </c>
      <c r="K4132">
        <v>0.90411942791522903</v>
      </c>
      <c r="L4132">
        <v>0.85299981431798599</v>
      </c>
      <c r="M4132">
        <v>0.6</v>
      </c>
      <c r="N4132">
        <v>0.99354838709677396</v>
      </c>
      <c r="O4132">
        <v>0.73</v>
      </c>
      <c r="P4132" t="s">
        <v>8117</v>
      </c>
      <c r="Q4132" t="s">
        <v>8118</v>
      </c>
      <c r="R4132" t="s">
        <v>224</v>
      </c>
      <c r="S4132" t="s">
        <v>225</v>
      </c>
      <c r="T4132" t="s">
        <v>8119</v>
      </c>
      <c r="U4132" t="s">
        <v>8120</v>
      </c>
      <c r="V4132" t="s">
        <v>8121</v>
      </c>
      <c r="W4132" t="s">
        <v>8122</v>
      </c>
      <c r="X4132" t="s">
        <v>8121</v>
      </c>
      <c r="Y4132" t="s">
        <v>1598</v>
      </c>
      <c r="AD4132" t="s">
        <v>3044</v>
      </c>
      <c r="AE4132" t="s">
        <v>8123</v>
      </c>
      <c r="AF4132" t="s">
        <v>8127</v>
      </c>
    </row>
    <row r="4133" spans="1:32" hidden="1" x14ac:dyDescent="0.35">
      <c r="A4133">
        <v>3938</v>
      </c>
      <c r="B4133" t="s">
        <v>8116</v>
      </c>
      <c r="C4133" t="s">
        <v>72</v>
      </c>
      <c r="D4133" t="s">
        <v>45</v>
      </c>
      <c r="E4133">
        <v>1916</v>
      </c>
      <c r="F4133">
        <v>5</v>
      </c>
      <c r="G4133">
        <v>5</v>
      </c>
      <c r="H4133">
        <v>1</v>
      </c>
      <c r="I4133">
        <v>1</v>
      </c>
      <c r="J4133">
        <v>0.80735153256704995</v>
      </c>
      <c r="K4133">
        <v>0.90411942791522903</v>
      </c>
      <c r="L4133">
        <v>0.85299981431798599</v>
      </c>
      <c r="M4133">
        <v>0.6</v>
      </c>
      <c r="N4133">
        <v>0.99354838709677396</v>
      </c>
      <c r="O4133">
        <v>0.73</v>
      </c>
      <c r="P4133" t="s">
        <v>8117</v>
      </c>
      <c r="Q4133" t="s">
        <v>8118</v>
      </c>
      <c r="R4133" t="s">
        <v>224</v>
      </c>
      <c r="S4133" t="s">
        <v>225</v>
      </c>
      <c r="T4133" t="s">
        <v>8119</v>
      </c>
      <c r="U4133" t="s">
        <v>8120</v>
      </c>
      <c r="V4133" t="s">
        <v>8121</v>
      </c>
      <c r="W4133" t="s">
        <v>8122</v>
      </c>
      <c r="X4133" t="s">
        <v>8121</v>
      </c>
      <c r="Y4133" t="s">
        <v>1598</v>
      </c>
      <c r="AD4133" t="s">
        <v>3044</v>
      </c>
      <c r="AE4133" t="s">
        <v>8123</v>
      </c>
      <c r="AF4133" t="s">
        <v>8128</v>
      </c>
    </row>
    <row r="4134" spans="1:32" hidden="1" x14ac:dyDescent="0.35">
      <c r="A4134">
        <v>11308</v>
      </c>
      <c r="B4134" t="s">
        <v>23025</v>
      </c>
      <c r="C4134" t="s">
        <v>33</v>
      </c>
      <c r="D4134" t="s">
        <v>58</v>
      </c>
      <c r="E4134">
        <v>1629</v>
      </c>
      <c r="F4134">
        <v>1</v>
      </c>
      <c r="G4134">
        <v>1</v>
      </c>
      <c r="H4134">
        <v>1</v>
      </c>
      <c r="I4134">
        <v>0</v>
      </c>
      <c r="J4134">
        <v>1</v>
      </c>
      <c r="K4134">
        <v>1</v>
      </c>
      <c r="L4134">
        <v>1</v>
      </c>
      <c r="M4134">
        <v>0</v>
      </c>
      <c r="N4134">
        <v>0</v>
      </c>
      <c r="O4134">
        <v>0</v>
      </c>
      <c r="P4134" t="s">
        <v>11509</v>
      </c>
      <c r="Q4134" t="s">
        <v>11510</v>
      </c>
      <c r="R4134" t="s">
        <v>75</v>
      </c>
      <c r="S4134" t="s">
        <v>76</v>
      </c>
      <c r="T4134" t="s">
        <v>23026</v>
      </c>
      <c r="U4134" t="s">
        <v>23027</v>
      </c>
      <c r="V4134" t="s">
        <v>11511</v>
      </c>
      <c r="W4134" t="s">
        <v>11512</v>
      </c>
      <c r="X4134" t="s">
        <v>11511</v>
      </c>
      <c r="Y4134" t="s">
        <v>2750</v>
      </c>
      <c r="AD4134" t="s">
        <v>23028</v>
      </c>
      <c r="AE4134" t="s">
        <v>23029</v>
      </c>
      <c r="AF4134" t="s">
        <v>23030</v>
      </c>
    </row>
    <row r="4135" spans="1:32" hidden="1" x14ac:dyDescent="0.35">
      <c r="A4135">
        <v>4035</v>
      </c>
      <c r="B4135" t="s">
        <v>8332</v>
      </c>
      <c r="C4135" t="s">
        <v>72</v>
      </c>
      <c r="D4135" t="s">
        <v>60</v>
      </c>
      <c r="E4135">
        <v>1624</v>
      </c>
      <c r="F4135">
        <v>5</v>
      </c>
      <c r="G4135">
        <v>5</v>
      </c>
      <c r="H4135">
        <v>1</v>
      </c>
      <c r="I4135">
        <v>1</v>
      </c>
      <c r="J4135">
        <v>0.82332726905195097</v>
      </c>
      <c r="K4135">
        <v>0.75660756105720905</v>
      </c>
      <c r="L4135">
        <v>0.78855864826557398</v>
      </c>
      <c r="M4135">
        <v>0.45714285714285702</v>
      </c>
      <c r="N4135">
        <v>0.99591836734693895</v>
      </c>
      <c r="O4135">
        <v>0.70367346938775499</v>
      </c>
      <c r="P4135" t="s">
        <v>8333</v>
      </c>
      <c r="Q4135" t="s">
        <v>8334</v>
      </c>
      <c r="R4135" t="s">
        <v>224</v>
      </c>
      <c r="S4135" t="s">
        <v>225</v>
      </c>
      <c r="T4135" t="s">
        <v>8335</v>
      </c>
      <c r="U4135" t="s">
        <v>8336</v>
      </c>
      <c r="V4135" t="s">
        <v>8337</v>
      </c>
      <c r="W4135" t="s">
        <v>8338</v>
      </c>
      <c r="X4135" t="s">
        <v>8337</v>
      </c>
      <c r="Y4135" t="s">
        <v>2715</v>
      </c>
      <c r="AD4135" t="s">
        <v>210</v>
      </c>
      <c r="AE4135" t="s">
        <v>8339</v>
      </c>
      <c r="AF4135" t="e">
        <f>------------------------------------------------------------------------------MELKIGRVVKSHGIKGEVTVEITTDEPDIRFAVGEVLHGRQGSKEHALTVEAARAHQRRLLVKFEEITDRNAADSLRGTVFYAPPLDSDDDDEGFYDHELEGLRVIHDDANIGEVTGVLHGPAGEILEVRLSGGKDVLVPFVHAIVPEVDLDAGTCTITPPDGLLEL</f>
        <v>#NAME?</v>
      </c>
    </row>
    <row r="4136" spans="1:32" hidden="1" x14ac:dyDescent="0.35">
      <c r="A4136">
        <v>4036</v>
      </c>
      <c r="B4136" t="s">
        <v>8332</v>
      </c>
      <c r="C4136" t="s">
        <v>72</v>
      </c>
      <c r="D4136" t="s">
        <v>62</v>
      </c>
      <c r="E4136">
        <v>1660</v>
      </c>
      <c r="F4136">
        <v>5</v>
      </c>
      <c r="G4136">
        <v>5</v>
      </c>
      <c r="H4136">
        <v>1</v>
      </c>
      <c r="I4136">
        <v>1</v>
      </c>
      <c r="J4136">
        <v>0.82332726905195097</v>
      </c>
      <c r="K4136">
        <v>0.75660756105720905</v>
      </c>
      <c r="L4136">
        <v>0.78855864826557398</v>
      </c>
      <c r="M4136">
        <v>0.45714285714285702</v>
      </c>
      <c r="N4136">
        <v>0.99591836734693895</v>
      </c>
      <c r="O4136">
        <v>0.70367346938775499</v>
      </c>
      <c r="P4136" t="s">
        <v>8333</v>
      </c>
      <c r="Q4136" t="s">
        <v>8334</v>
      </c>
      <c r="R4136" t="s">
        <v>224</v>
      </c>
      <c r="S4136" t="s">
        <v>225</v>
      </c>
      <c r="T4136" t="s">
        <v>8335</v>
      </c>
      <c r="U4136" t="s">
        <v>8336</v>
      </c>
      <c r="V4136" t="s">
        <v>8337</v>
      </c>
      <c r="W4136" t="s">
        <v>8338</v>
      </c>
      <c r="X4136" t="s">
        <v>8337</v>
      </c>
      <c r="Y4136" t="s">
        <v>2715</v>
      </c>
      <c r="AD4136" t="s">
        <v>210</v>
      </c>
      <c r="AE4136" t="s">
        <v>8339</v>
      </c>
      <c r="AF4136" t="e">
        <f>------------------------------------------------------------------------------MELKIGRVVKSHGIKGEVTVDITTDEPDIRFAVGEVLHGRQGSKEHTLTVEAARAHQRRLLVKFEEVTDRNTADSLRGTVFYAPPLDSDDDDDGFYDHELEGLRVIHDDANIGEVTGVLHGPAGEILEVRLSGGKDVLVPFVHAIVPEVDLDAGTCTITPPDGLLEL</f>
        <v>#NAME?</v>
      </c>
    </row>
    <row r="4137" spans="1:32" hidden="1" x14ac:dyDescent="0.35">
      <c r="A4137">
        <v>4037</v>
      </c>
      <c r="B4137" t="s">
        <v>8332</v>
      </c>
      <c r="C4137" t="s">
        <v>72</v>
      </c>
      <c r="D4137" t="s">
        <v>34</v>
      </c>
      <c r="E4137">
        <v>2023</v>
      </c>
      <c r="F4137">
        <v>5</v>
      </c>
      <c r="G4137">
        <v>5</v>
      </c>
      <c r="H4137">
        <v>1</v>
      </c>
      <c r="I4137">
        <v>1</v>
      </c>
      <c r="J4137">
        <v>0.82332726905195097</v>
      </c>
      <c r="K4137">
        <v>0.75660756105720905</v>
      </c>
      <c r="L4137">
        <v>0.78855864826557398</v>
      </c>
      <c r="M4137">
        <v>0.45714285714285702</v>
      </c>
      <c r="N4137">
        <v>0.99591836734693895</v>
      </c>
      <c r="O4137">
        <v>0.70367346938775499</v>
      </c>
      <c r="P4137" t="s">
        <v>8333</v>
      </c>
      <c r="Q4137" t="s">
        <v>8334</v>
      </c>
      <c r="R4137" t="s">
        <v>224</v>
      </c>
      <c r="S4137" t="s">
        <v>225</v>
      </c>
      <c r="T4137" t="s">
        <v>8335</v>
      </c>
      <c r="U4137" t="s">
        <v>8336</v>
      </c>
      <c r="V4137" t="s">
        <v>8337</v>
      </c>
      <c r="W4137" t="s">
        <v>8338</v>
      </c>
      <c r="X4137" t="s">
        <v>8337</v>
      </c>
      <c r="Y4137" t="s">
        <v>2715</v>
      </c>
      <c r="AD4137" t="s">
        <v>210</v>
      </c>
      <c r="AE4137" t="s">
        <v>8339</v>
      </c>
      <c r="AF4137" t="e">
        <f>---------------------------------------------------------------------------------MIGRVIKAHGIRGEVVVDPTTDEPDIRYAPGTVLHGKQGKREHTLTVAHARPHQGRLLVTFDEVPDRTAAESLRGTQFWAEQLDIDDDEEGFYDHDLTGLRVIHEGAEIGTVTGVMSGPAGTILEVELAGGKQALVPFVFDIVPKVDLEAGTCTITPPDGLLDI</f>
        <v>#NAME?</v>
      </c>
    </row>
    <row r="4138" spans="1:32" hidden="1" x14ac:dyDescent="0.35">
      <c r="A4138">
        <v>4038</v>
      </c>
      <c r="B4138" t="s">
        <v>8332</v>
      </c>
      <c r="C4138" t="s">
        <v>72</v>
      </c>
      <c r="D4138" t="s">
        <v>45</v>
      </c>
      <c r="E4138">
        <v>848</v>
      </c>
      <c r="F4138">
        <v>5</v>
      </c>
      <c r="G4138">
        <v>5</v>
      </c>
      <c r="H4138">
        <v>1</v>
      </c>
      <c r="I4138">
        <v>1</v>
      </c>
      <c r="J4138">
        <v>0.82332726905195097</v>
      </c>
      <c r="K4138">
        <v>0.75660756105720905</v>
      </c>
      <c r="L4138">
        <v>0.78855864826557398</v>
      </c>
      <c r="M4138">
        <v>0.45714285714285702</v>
      </c>
      <c r="N4138">
        <v>0.99591836734693895</v>
      </c>
      <c r="O4138">
        <v>0.70367346938775499</v>
      </c>
      <c r="P4138" t="s">
        <v>8333</v>
      </c>
      <c r="Q4138" t="s">
        <v>8334</v>
      </c>
      <c r="R4138" t="s">
        <v>224</v>
      </c>
      <c r="S4138" t="s">
        <v>225</v>
      </c>
      <c r="T4138" t="s">
        <v>8335</v>
      </c>
      <c r="U4138" t="s">
        <v>8336</v>
      </c>
      <c r="V4138" t="s">
        <v>8337</v>
      </c>
      <c r="W4138" t="s">
        <v>8338</v>
      </c>
      <c r="X4138" t="s">
        <v>8337</v>
      </c>
      <c r="Y4138" t="s">
        <v>2715</v>
      </c>
      <c r="AD4138" t="s">
        <v>210</v>
      </c>
      <c r="AE4138" t="s">
        <v>8339</v>
      </c>
      <c r="AF4138" t="e">
        <f>---------------------------------------------------------------------------------MIGRVIKAHGIRGEVVVDPTTDEPDIRYAPGTVLHGKQGKREHTLTVAHARPHQGRLLVTFDEVPDRTAAESLRGTQFWAEQLDIDDDEEGFYDHDLTGLRVIHEGAEIGTVTGVMSGPAGTILEVELAGGKQALVPFVFDIVPEVDLEAGTCTITPPDGLLDI</f>
        <v>#NAME?</v>
      </c>
    </row>
    <row r="4139" spans="1:32" hidden="1" x14ac:dyDescent="0.35">
      <c r="A4139">
        <v>11798</v>
      </c>
      <c r="B4139" t="s">
        <v>24242</v>
      </c>
      <c r="C4139" t="s">
        <v>33</v>
      </c>
      <c r="D4139" t="s">
        <v>58</v>
      </c>
      <c r="E4139">
        <v>630</v>
      </c>
      <c r="F4139">
        <v>1</v>
      </c>
      <c r="G4139">
        <v>1</v>
      </c>
      <c r="H4139">
        <v>1</v>
      </c>
      <c r="I4139">
        <v>0</v>
      </c>
      <c r="J4139">
        <v>1</v>
      </c>
      <c r="K4139">
        <v>1</v>
      </c>
      <c r="L4139">
        <v>1</v>
      </c>
      <c r="M4139">
        <v>0</v>
      </c>
      <c r="N4139">
        <v>0</v>
      </c>
      <c r="O4139">
        <v>0</v>
      </c>
      <c r="P4139" t="s">
        <v>5019</v>
      </c>
      <c r="Q4139" t="s">
        <v>5020</v>
      </c>
      <c r="R4139" t="s">
        <v>75</v>
      </c>
      <c r="S4139" t="s">
        <v>76</v>
      </c>
      <c r="V4139" t="s">
        <v>11511</v>
      </c>
      <c r="W4139" t="s">
        <v>11512</v>
      </c>
      <c r="X4139" t="s">
        <v>11511</v>
      </c>
      <c r="Y4139" t="s">
        <v>2750</v>
      </c>
      <c r="AF4139" t="s">
        <v>24243</v>
      </c>
    </row>
    <row r="4140" spans="1:32" hidden="1" x14ac:dyDescent="0.35">
      <c r="A4140">
        <v>4050</v>
      </c>
      <c r="B4140" t="s">
        <v>8360</v>
      </c>
      <c r="C4140" t="s">
        <v>72</v>
      </c>
      <c r="D4140" t="s">
        <v>60</v>
      </c>
      <c r="E4140">
        <v>1623</v>
      </c>
      <c r="F4140">
        <v>5</v>
      </c>
      <c r="G4140">
        <v>5</v>
      </c>
      <c r="H4140">
        <v>1</v>
      </c>
      <c r="I4140">
        <v>1</v>
      </c>
      <c r="J4140">
        <v>0.74797831689327299</v>
      </c>
      <c r="K4140">
        <v>0.91607975787786999</v>
      </c>
      <c r="L4140">
        <v>0.82353831975692604</v>
      </c>
      <c r="M4140">
        <v>0.55717761557177603</v>
      </c>
      <c r="N4140">
        <v>0.99513381995133798</v>
      </c>
      <c r="O4140">
        <v>0.65401459854014599</v>
      </c>
      <c r="P4140" t="s">
        <v>8361</v>
      </c>
      <c r="Q4140" t="s">
        <v>8362</v>
      </c>
      <c r="R4140" t="s">
        <v>224</v>
      </c>
      <c r="S4140" t="s">
        <v>225</v>
      </c>
      <c r="T4140" t="s">
        <v>8363</v>
      </c>
      <c r="U4140" t="s">
        <v>8364</v>
      </c>
      <c r="V4140" t="s">
        <v>8365</v>
      </c>
      <c r="W4140" t="s">
        <v>8366</v>
      </c>
      <c r="X4140" t="s">
        <v>8365</v>
      </c>
      <c r="Y4140" t="s">
        <v>1598</v>
      </c>
      <c r="AD4140" t="s">
        <v>2991</v>
      </c>
      <c r="AE4140" t="s">
        <v>8367</v>
      </c>
      <c r="AF4140" t="s">
        <v>8369</v>
      </c>
    </row>
    <row r="4141" spans="1:32" hidden="1" x14ac:dyDescent="0.35">
      <c r="A4141">
        <v>4051</v>
      </c>
      <c r="B4141" t="s">
        <v>8360</v>
      </c>
      <c r="C4141" t="s">
        <v>72</v>
      </c>
      <c r="D4141" t="s">
        <v>62</v>
      </c>
      <c r="E4141">
        <v>1659</v>
      </c>
      <c r="F4141">
        <v>5</v>
      </c>
      <c r="G4141">
        <v>5</v>
      </c>
      <c r="H4141">
        <v>1</v>
      </c>
      <c r="I4141">
        <v>1</v>
      </c>
      <c r="J4141">
        <v>0.74797831689327299</v>
      </c>
      <c r="K4141">
        <v>0.91607975787786999</v>
      </c>
      <c r="L4141">
        <v>0.82353831975692604</v>
      </c>
      <c r="M4141">
        <v>0.55717761557177603</v>
      </c>
      <c r="N4141">
        <v>0.99513381995133798</v>
      </c>
      <c r="O4141">
        <v>0.65401459854014599</v>
      </c>
      <c r="P4141" t="s">
        <v>8361</v>
      </c>
      <c r="Q4141" t="s">
        <v>8362</v>
      </c>
      <c r="R4141" t="s">
        <v>224</v>
      </c>
      <c r="S4141" t="s">
        <v>225</v>
      </c>
      <c r="T4141" t="s">
        <v>8363</v>
      </c>
      <c r="U4141" t="s">
        <v>8364</v>
      </c>
      <c r="V4141" t="s">
        <v>8365</v>
      </c>
      <c r="W4141" t="s">
        <v>8366</v>
      </c>
      <c r="X4141" t="s">
        <v>8365</v>
      </c>
      <c r="Y4141" t="s">
        <v>1598</v>
      </c>
      <c r="AD4141" t="s">
        <v>2991</v>
      </c>
      <c r="AE4141" t="s">
        <v>8367</v>
      </c>
      <c r="AF4141" t="s">
        <v>8370</v>
      </c>
    </row>
    <row r="4142" spans="1:32" hidden="1" x14ac:dyDescent="0.35">
      <c r="A4142">
        <v>4052</v>
      </c>
      <c r="B4142" t="s">
        <v>8360</v>
      </c>
      <c r="C4142" t="s">
        <v>72</v>
      </c>
      <c r="D4142" t="s">
        <v>34</v>
      </c>
      <c r="E4142">
        <v>2022</v>
      </c>
      <c r="F4142">
        <v>5</v>
      </c>
      <c r="G4142">
        <v>5</v>
      </c>
      <c r="H4142">
        <v>1</v>
      </c>
      <c r="I4142">
        <v>1</v>
      </c>
      <c r="J4142">
        <v>0.74797831689327299</v>
      </c>
      <c r="K4142">
        <v>0.91607975787786999</v>
      </c>
      <c r="L4142">
        <v>0.82353831975692604</v>
      </c>
      <c r="M4142">
        <v>0.55717761557177603</v>
      </c>
      <c r="N4142">
        <v>0.99513381995133798</v>
      </c>
      <c r="O4142">
        <v>0.65401459854014599</v>
      </c>
      <c r="P4142" t="s">
        <v>8361</v>
      </c>
      <c r="Q4142" t="s">
        <v>8362</v>
      </c>
      <c r="R4142" t="s">
        <v>224</v>
      </c>
      <c r="S4142" t="s">
        <v>225</v>
      </c>
      <c r="T4142" t="s">
        <v>8363</v>
      </c>
      <c r="U4142" t="s">
        <v>8364</v>
      </c>
      <c r="V4142" t="s">
        <v>8365</v>
      </c>
      <c r="W4142" t="s">
        <v>8366</v>
      </c>
      <c r="X4142" t="s">
        <v>8365</v>
      </c>
      <c r="Y4142" t="s">
        <v>1598</v>
      </c>
      <c r="AD4142" t="s">
        <v>2991</v>
      </c>
      <c r="AE4142" t="s">
        <v>8367</v>
      </c>
      <c r="AF4142" t="s">
        <v>8371</v>
      </c>
    </row>
    <row r="4143" spans="1:32" hidden="1" x14ac:dyDescent="0.35">
      <c r="A4143">
        <v>4053</v>
      </c>
      <c r="B4143" t="s">
        <v>8360</v>
      </c>
      <c r="C4143" t="s">
        <v>72</v>
      </c>
      <c r="D4143" t="s">
        <v>45</v>
      </c>
      <c r="E4143">
        <v>849</v>
      </c>
      <c r="F4143">
        <v>5</v>
      </c>
      <c r="G4143">
        <v>5</v>
      </c>
      <c r="H4143">
        <v>1</v>
      </c>
      <c r="I4143">
        <v>1</v>
      </c>
      <c r="J4143">
        <v>0.74797831689327299</v>
      </c>
      <c r="K4143">
        <v>0.91607975787786999</v>
      </c>
      <c r="L4143">
        <v>0.82353831975692604</v>
      </c>
      <c r="M4143">
        <v>0.55717761557177603</v>
      </c>
      <c r="N4143">
        <v>0.99513381995133798</v>
      </c>
      <c r="O4143">
        <v>0.65401459854014599</v>
      </c>
      <c r="P4143" t="s">
        <v>8361</v>
      </c>
      <c r="Q4143" t="s">
        <v>8362</v>
      </c>
      <c r="R4143" t="s">
        <v>224</v>
      </c>
      <c r="S4143" t="s">
        <v>225</v>
      </c>
      <c r="T4143" t="s">
        <v>8363</v>
      </c>
      <c r="U4143" t="s">
        <v>8364</v>
      </c>
      <c r="V4143" t="s">
        <v>8365</v>
      </c>
      <c r="W4143" t="s">
        <v>8366</v>
      </c>
      <c r="X4143" t="s">
        <v>8365</v>
      </c>
      <c r="Y4143" t="s">
        <v>1598</v>
      </c>
      <c r="AD4143" t="s">
        <v>2991</v>
      </c>
      <c r="AE4143" t="s">
        <v>8367</v>
      </c>
      <c r="AF4143" t="s">
        <v>8372</v>
      </c>
    </row>
    <row r="4144" spans="1:32" hidden="1" x14ac:dyDescent="0.35">
      <c r="A4144">
        <v>10975</v>
      </c>
      <c r="B4144" t="s">
        <v>22133</v>
      </c>
      <c r="C4144" t="s">
        <v>33</v>
      </c>
      <c r="D4144" t="s">
        <v>58</v>
      </c>
      <c r="E4144">
        <v>628</v>
      </c>
      <c r="F4144">
        <v>1</v>
      </c>
      <c r="G4144">
        <v>1</v>
      </c>
      <c r="H4144">
        <v>1</v>
      </c>
      <c r="I4144">
        <v>0</v>
      </c>
      <c r="J4144">
        <v>1</v>
      </c>
      <c r="K4144">
        <v>1</v>
      </c>
      <c r="L4144">
        <v>1</v>
      </c>
      <c r="M4144">
        <v>0</v>
      </c>
      <c r="N4144">
        <v>0</v>
      </c>
      <c r="O4144">
        <v>0</v>
      </c>
      <c r="P4144" t="s">
        <v>182</v>
      </c>
      <c r="Q4144" t="s">
        <v>183</v>
      </c>
      <c r="R4144" t="s">
        <v>652</v>
      </c>
      <c r="S4144" t="s">
        <v>653</v>
      </c>
      <c r="T4144" t="s">
        <v>22134</v>
      </c>
      <c r="U4144" t="s">
        <v>22135</v>
      </c>
      <c r="V4144" t="s">
        <v>22136</v>
      </c>
      <c r="W4144" t="s">
        <v>22137</v>
      </c>
      <c r="Z4144" t="s">
        <v>22138</v>
      </c>
      <c r="AA4144" t="s">
        <v>22139</v>
      </c>
      <c r="AB4144" t="s">
        <v>22138</v>
      </c>
      <c r="AC4144" t="s">
        <v>21973</v>
      </c>
      <c r="AD4144" t="s">
        <v>951</v>
      </c>
      <c r="AE4144" t="s">
        <v>22140</v>
      </c>
      <c r="AF4144" t="s">
        <v>22141</v>
      </c>
    </row>
    <row r="4145" spans="1:32" hidden="1" x14ac:dyDescent="0.35">
      <c r="A4145">
        <v>4080</v>
      </c>
      <c r="B4145" t="s">
        <v>8428</v>
      </c>
      <c r="C4145" t="s">
        <v>72</v>
      </c>
      <c r="D4145" t="s">
        <v>60</v>
      </c>
      <c r="E4145">
        <v>796</v>
      </c>
      <c r="F4145">
        <v>5</v>
      </c>
      <c r="G4145">
        <v>5</v>
      </c>
      <c r="H4145">
        <v>1</v>
      </c>
      <c r="I4145">
        <v>1</v>
      </c>
      <c r="J4145">
        <v>0.81477957500792897</v>
      </c>
      <c r="K4145">
        <v>0.66325335512306405</v>
      </c>
      <c r="L4145">
        <v>0.73124931900111201</v>
      </c>
      <c r="M4145">
        <v>0.31761006289308202</v>
      </c>
      <c r="N4145">
        <v>0.98899371069182396</v>
      </c>
      <c r="O4145">
        <v>0.56446540880503104</v>
      </c>
      <c r="P4145" t="s">
        <v>8429</v>
      </c>
      <c r="Q4145" t="s">
        <v>8430</v>
      </c>
      <c r="R4145" t="s">
        <v>224</v>
      </c>
      <c r="S4145" t="s">
        <v>225</v>
      </c>
      <c r="T4145" t="s">
        <v>8431</v>
      </c>
      <c r="U4145" t="s">
        <v>8432</v>
      </c>
      <c r="V4145" t="s">
        <v>8433</v>
      </c>
      <c r="W4145" t="s">
        <v>8434</v>
      </c>
      <c r="X4145" t="s">
        <v>8433</v>
      </c>
      <c r="Y4145" t="s">
        <v>2715</v>
      </c>
      <c r="Z4145" t="s">
        <v>891</v>
      </c>
      <c r="AA4145" t="s">
        <v>892</v>
      </c>
      <c r="AB4145" t="s">
        <v>891</v>
      </c>
      <c r="AC4145" t="s">
        <v>893</v>
      </c>
      <c r="AD4145" t="s">
        <v>219</v>
      </c>
      <c r="AE4145" t="s">
        <v>8437</v>
      </c>
      <c r="AF4145" t="s">
        <v>8438</v>
      </c>
    </row>
    <row r="4146" spans="1:32" hidden="1" x14ac:dyDescent="0.35">
      <c r="A4146">
        <v>4081</v>
      </c>
      <c r="B4146" t="s">
        <v>8428</v>
      </c>
      <c r="C4146" t="s">
        <v>72</v>
      </c>
      <c r="D4146" t="s">
        <v>62</v>
      </c>
      <c r="E4146">
        <v>829</v>
      </c>
      <c r="F4146">
        <v>5</v>
      </c>
      <c r="G4146">
        <v>5</v>
      </c>
      <c r="H4146">
        <v>1</v>
      </c>
      <c r="I4146">
        <v>1</v>
      </c>
      <c r="J4146">
        <v>0.81477957500792897</v>
      </c>
      <c r="K4146">
        <v>0.66325335512306405</v>
      </c>
      <c r="L4146">
        <v>0.73124931900111201</v>
      </c>
      <c r="M4146">
        <v>0.31761006289308202</v>
      </c>
      <c r="N4146">
        <v>0.98899371069182396</v>
      </c>
      <c r="O4146">
        <v>0.56446540880503104</v>
      </c>
      <c r="P4146" t="s">
        <v>8429</v>
      </c>
      <c r="Q4146" t="s">
        <v>8430</v>
      </c>
      <c r="R4146" t="s">
        <v>224</v>
      </c>
      <c r="S4146" t="s">
        <v>225</v>
      </c>
      <c r="T4146" t="s">
        <v>8431</v>
      </c>
      <c r="U4146" t="s">
        <v>8432</v>
      </c>
      <c r="V4146" t="s">
        <v>8433</v>
      </c>
      <c r="W4146" t="s">
        <v>8434</v>
      </c>
      <c r="X4146" t="s">
        <v>8433</v>
      </c>
      <c r="Y4146" t="s">
        <v>2715</v>
      </c>
      <c r="Z4146" t="s">
        <v>891</v>
      </c>
      <c r="AA4146" t="s">
        <v>892</v>
      </c>
      <c r="AB4146" t="s">
        <v>891</v>
      </c>
      <c r="AC4146" t="s">
        <v>893</v>
      </c>
      <c r="AD4146" t="s">
        <v>219</v>
      </c>
      <c r="AE4146" t="s">
        <v>8437</v>
      </c>
      <c r="AF4146" t="s">
        <v>8439</v>
      </c>
    </row>
    <row r="4147" spans="1:32" hidden="1" x14ac:dyDescent="0.35">
      <c r="A4147">
        <v>4082</v>
      </c>
      <c r="B4147" t="s">
        <v>8428</v>
      </c>
      <c r="C4147" t="s">
        <v>72</v>
      </c>
      <c r="D4147" t="s">
        <v>34</v>
      </c>
      <c r="E4147">
        <v>340</v>
      </c>
      <c r="F4147">
        <v>5</v>
      </c>
      <c r="G4147">
        <v>5</v>
      </c>
      <c r="H4147">
        <v>1</v>
      </c>
      <c r="I4147">
        <v>1</v>
      </c>
      <c r="J4147">
        <v>0.81477957500792897</v>
      </c>
      <c r="K4147">
        <v>0.66325335512306405</v>
      </c>
      <c r="L4147">
        <v>0.73124931900111201</v>
      </c>
      <c r="M4147">
        <v>0.31761006289308202</v>
      </c>
      <c r="N4147">
        <v>0.98899371069182396</v>
      </c>
      <c r="O4147">
        <v>0.56446540880503104</v>
      </c>
      <c r="P4147" t="s">
        <v>8429</v>
      </c>
      <c r="Q4147" t="s">
        <v>8430</v>
      </c>
      <c r="R4147" t="s">
        <v>224</v>
      </c>
      <c r="S4147" t="s">
        <v>225</v>
      </c>
      <c r="T4147" t="s">
        <v>8431</v>
      </c>
      <c r="U4147" t="s">
        <v>8432</v>
      </c>
      <c r="V4147" t="s">
        <v>8433</v>
      </c>
      <c r="W4147" t="s">
        <v>8434</v>
      </c>
      <c r="X4147" t="s">
        <v>8433</v>
      </c>
      <c r="Y4147" t="s">
        <v>2715</v>
      </c>
      <c r="AD4147" t="s">
        <v>1170</v>
      </c>
      <c r="AE4147" t="s">
        <v>8435</v>
      </c>
      <c r="AF4147" t="s">
        <v>8440</v>
      </c>
    </row>
    <row r="4148" spans="1:32" hidden="1" x14ac:dyDescent="0.35">
      <c r="A4148">
        <v>4083</v>
      </c>
      <c r="B4148" t="s">
        <v>8428</v>
      </c>
      <c r="C4148" t="s">
        <v>72</v>
      </c>
      <c r="D4148" t="s">
        <v>45</v>
      </c>
      <c r="E4148">
        <v>1602</v>
      </c>
      <c r="F4148">
        <v>5</v>
      </c>
      <c r="G4148">
        <v>5</v>
      </c>
      <c r="H4148">
        <v>1</v>
      </c>
      <c r="I4148">
        <v>1</v>
      </c>
      <c r="J4148">
        <v>0.81477957500792897</v>
      </c>
      <c r="K4148">
        <v>0.66325335512306405</v>
      </c>
      <c r="L4148">
        <v>0.73124931900111201</v>
      </c>
      <c r="M4148">
        <v>0.31761006289308202</v>
      </c>
      <c r="N4148">
        <v>0.98899371069182396</v>
      </c>
      <c r="O4148">
        <v>0.56446540880503104</v>
      </c>
      <c r="P4148" t="s">
        <v>8429</v>
      </c>
      <c r="Q4148" t="s">
        <v>8430</v>
      </c>
      <c r="R4148" t="s">
        <v>224</v>
      </c>
      <c r="S4148" t="s">
        <v>225</v>
      </c>
      <c r="T4148" t="s">
        <v>8431</v>
      </c>
      <c r="U4148" t="s">
        <v>8432</v>
      </c>
      <c r="V4148" t="s">
        <v>8433</v>
      </c>
      <c r="W4148" t="s">
        <v>8434</v>
      </c>
      <c r="X4148" t="s">
        <v>8433</v>
      </c>
      <c r="Y4148" t="s">
        <v>2715</v>
      </c>
      <c r="AD4148" t="s">
        <v>1170</v>
      </c>
      <c r="AE4148" t="s">
        <v>8435</v>
      </c>
      <c r="AF4148" t="s">
        <v>8441</v>
      </c>
    </row>
    <row r="4149" spans="1:32" hidden="1" x14ac:dyDescent="0.35">
      <c r="A4149">
        <v>2239</v>
      </c>
      <c r="B4149" t="s">
        <v>4659</v>
      </c>
      <c r="C4149" t="s">
        <v>72</v>
      </c>
      <c r="D4149" t="s">
        <v>58</v>
      </c>
      <c r="E4149">
        <v>765</v>
      </c>
      <c r="F4149">
        <v>5</v>
      </c>
      <c r="G4149">
        <v>5</v>
      </c>
      <c r="H4149">
        <v>1</v>
      </c>
      <c r="I4149">
        <v>1</v>
      </c>
      <c r="J4149">
        <v>0.80627324329614403</v>
      </c>
      <c r="K4149">
        <v>0.91407866460092402</v>
      </c>
      <c r="L4149">
        <v>0.85679815408986804</v>
      </c>
      <c r="M4149">
        <v>0.63818424566088106</v>
      </c>
      <c r="N4149">
        <v>1</v>
      </c>
      <c r="O4149">
        <v>0.72483311081441903</v>
      </c>
      <c r="P4149" t="s">
        <v>4660</v>
      </c>
      <c r="Q4149" t="s">
        <v>4661</v>
      </c>
      <c r="R4149" t="s">
        <v>371</v>
      </c>
      <c r="S4149" t="s">
        <v>372</v>
      </c>
      <c r="T4149" t="s">
        <v>4662</v>
      </c>
      <c r="U4149" t="s">
        <v>4663</v>
      </c>
      <c r="V4149" t="s">
        <v>4664</v>
      </c>
      <c r="W4149" t="s">
        <v>4665</v>
      </c>
      <c r="AD4149" t="s">
        <v>4666</v>
      </c>
      <c r="AE4149" t="s">
        <v>4667</v>
      </c>
      <c r="AF4149" t="s">
        <v>4668</v>
      </c>
    </row>
    <row r="4150" spans="1:32" hidden="1" x14ac:dyDescent="0.35">
      <c r="A4150">
        <v>4110</v>
      </c>
      <c r="B4150" t="s">
        <v>8504</v>
      </c>
      <c r="C4150" t="s">
        <v>72</v>
      </c>
      <c r="D4150" t="s">
        <v>60</v>
      </c>
      <c r="E4150">
        <v>429</v>
      </c>
      <c r="F4150">
        <v>5</v>
      </c>
      <c r="G4150">
        <v>5</v>
      </c>
      <c r="H4150">
        <v>1</v>
      </c>
      <c r="I4150">
        <v>1</v>
      </c>
      <c r="J4150">
        <v>0.86459593922280498</v>
      </c>
      <c r="K4150">
        <v>0.91963646303129798</v>
      </c>
      <c r="L4150">
        <v>0.89126724802618695</v>
      </c>
      <c r="M4150">
        <v>0.690036900369004</v>
      </c>
      <c r="N4150">
        <v>0.99630996309963105</v>
      </c>
      <c r="O4150">
        <v>0.79520295202951996</v>
      </c>
      <c r="P4150" t="s">
        <v>5470</v>
      </c>
      <c r="Q4150" t="s">
        <v>5471</v>
      </c>
      <c r="R4150" t="s">
        <v>224</v>
      </c>
      <c r="S4150" t="s">
        <v>225</v>
      </c>
      <c r="T4150" t="s">
        <v>5472</v>
      </c>
      <c r="U4150" t="s">
        <v>5473</v>
      </c>
      <c r="V4150" t="s">
        <v>5474</v>
      </c>
      <c r="W4150" t="s">
        <v>5475</v>
      </c>
      <c r="AD4150" t="s">
        <v>5476</v>
      </c>
      <c r="AE4150" t="s">
        <v>5477</v>
      </c>
      <c r="AF4150" t="e">
        <f>--------------------MQAAGEIVGRALQAVKAAAGPGVSTAELDAVAEQTIRDAGAIPTFQGYQGFPASICASVNDVIVHGIPSAATVLAEGDLVSIDCGATFNGWVGDSAWTFGIG---EVADDVDKLNKATEWVLMEGMKAMVPDNRLTDVSHALEVATRQAENKFGVTLGIVEGYGGHGIGRTMHEDPYLANEGKSGRGPIIQEGSVLAIEPMLTLGTTRSEVKEDGWTVVTLDGSWASHWEHTVAATAGGPRILTPRRSSLS</f>
        <v>#NAME?</v>
      </c>
    </row>
    <row r="4151" spans="1:32" hidden="1" x14ac:dyDescent="0.35">
      <c r="A4151">
        <v>4111</v>
      </c>
      <c r="B4151" t="s">
        <v>8504</v>
      </c>
      <c r="C4151" t="s">
        <v>72</v>
      </c>
      <c r="D4151" t="s">
        <v>62</v>
      </c>
      <c r="E4151">
        <v>510</v>
      </c>
      <c r="F4151">
        <v>5</v>
      </c>
      <c r="G4151">
        <v>5</v>
      </c>
      <c r="H4151">
        <v>1</v>
      </c>
      <c r="I4151">
        <v>1</v>
      </c>
      <c r="J4151">
        <v>0.86459593922280498</v>
      </c>
      <c r="K4151">
        <v>0.91963646303129798</v>
      </c>
      <c r="L4151">
        <v>0.89126724802618695</v>
      </c>
      <c r="M4151">
        <v>0.690036900369004</v>
      </c>
      <c r="N4151">
        <v>0.99630996309963105</v>
      </c>
      <c r="O4151">
        <v>0.79520295202951996</v>
      </c>
      <c r="P4151" t="s">
        <v>5470</v>
      </c>
      <c r="Q4151" t="s">
        <v>5471</v>
      </c>
      <c r="R4151" t="s">
        <v>224</v>
      </c>
      <c r="S4151" t="s">
        <v>225</v>
      </c>
      <c r="T4151" t="s">
        <v>5472</v>
      </c>
      <c r="U4151" t="s">
        <v>5473</v>
      </c>
      <c r="V4151" t="s">
        <v>5474</v>
      </c>
      <c r="W4151" t="s">
        <v>5475</v>
      </c>
      <c r="AD4151" t="s">
        <v>5476</v>
      </c>
      <c r="AE4151" t="s">
        <v>5477</v>
      </c>
      <c r="AF4151" t="e">
        <f>--------------------MQAAGEIVGRALQAVKAAAGPGVSTAELDAVAEQTIRDAGAIPTFQGYQGFPASICASVNDVIVHGIPSAATVLAEGELVSIDCGATLDGWVGDSAWTFGIG---EVADDVDKLNKATEWVLMEGMKAMVPDNRLTDVSHALEVATRQAENKFGVTLGIVEGYGGHGIGRTMHEDPYLANEGKSGRGPIIQEASVLAIEPMLTLGTTRSEVREDGWTVVTLDGSWASHWEHTVAATAGGPRILTPRRSSLS</f>
        <v>#NAME?</v>
      </c>
    </row>
    <row r="4152" spans="1:32" hidden="1" x14ac:dyDescent="0.35">
      <c r="A4152">
        <v>4112</v>
      </c>
      <c r="B4152" t="s">
        <v>8504</v>
      </c>
      <c r="C4152" t="s">
        <v>72</v>
      </c>
      <c r="D4152" t="s">
        <v>34</v>
      </c>
      <c r="E4152">
        <v>660</v>
      </c>
      <c r="F4152">
        <v>5</v>
      </c>
      <c r="G4152">
        <v>5</v>
      </c>
      <c r="H4152">
        <v>1</v>
      </c>
      <c r="I4152">
        <v>1</v>
      </c>
      <c r="J4152">
        <v>0.86459593922280498</v>
      </c>
      <c r="K4152">
        <v>0.91963646303129798</v>
      </c>
      <c r="L4152">
        <v>0.89126724802618695</v>
      </c>
      <c r="M4152">
        <v>0.690036900369004</v>
      </c>
      <c r="N4152">
        <v>0.99630996309963105</v>
      </c>
      <c r="O4152">
        <v>0.79520295202951996</v>
      </c>
      <c r="P4152" t="s">
        <v>5470</v>
      </c>
      <c r="Q4152" t="s">
        <v>5471</v>
      </c>
      <c r="R4152" t="s">
        <v>224</v>
      </c>
      <c r="S4152" t="s">
        <v>225</v>
      </c>
      <c r="T4152" t="s">
        <v>5472</v>
      </c>
      <c r="U4152" t="s">
        <v>5473</v>
      </c>
      <c r="V4152" t="s">
        <v>5474</v>
      </c>
      <c r="W4152" t="s">
        <v>5475</v>
      </c>
      <c r="AD4152" t="s">
        <v>5476</v>
      </c>
      <c r="AE4152" t="s">
        <v>5477</v>
      </c>
      <c r="AF4152" t="e">
        <f>--------------------MQAAGEVVGKALQAVKAAATAGVSTLDLDKVAEDVIRSAGAIPTFQGYQGFPASICVSINTEIVHGIPNDRTHVRKGDLVSIDCGATLDGWVGDSAWTFGIGGQEALKPPAAALNEATEWVLMEGMKAMIPGNRLSDVSHALEQATRQAEQRWGITLGIVDGYGGHGIGRTMHEQPWLANEGRPGRGPLIQDGSVLAIEPMLTLGSVDSFVLDDGWTVVTADGSLAAHWEHTVAATATGPRILTPRYKITK</f>
        <v>#NAME?</v>
      </c>
    </row>
    <row r="4153" spans="1:32" hidden="1" x14ac:dyDescent="0.35">
      <c r="A4153">
        <v>4113</v>
      </c>
      <c r="B4153" t="s">
        <v>8504</v>
      </c>
      <c r="C4153" t="s">
        <v>72</v>
      </c>
      <c r="D4153" t="s">
        <v>45</v>
      </c>
      <c r="E4153">
        <v>1926</v>
      </c>
      <c r="F4153">
        <v>5</v>
      </c>
      <c r="G4153">
        <v>5</v>
      </c>
      <c r="H4153">
        <v>1</v>
      </c>
      <c r="I4153">
        <v>1</v>
      </c>
      <c r="J4153">
        <v>0.86459593922280498</v>
      </c>
      <c r="K4153">
        <v>0.91963646303129798</v>
      </c>
      <c r="L4153">
        <v>0.89126724802618695</v>
      </c>
      <c r="M4153">
        <v>0.690036900369004</v>
      </c>
      <c r="N4153">
        <v>0.99630996309963105</v>
      </c>
      <c r="O4153">
        <v>0.79520295202951996</v>
      </c>
      <c r="P4153" t="s">
        <v>5470</v>
      </c>
      <c r="Q4153" t="s">
        <v>5471</v>
      </c>
      <c r="R4153" t="s">
        <v>224</v>
      </c>
      <c r="S4153" t="s">
        <v>225</v>
      </c>
      <c r="T4153" t="s">
        <v>5472</v>
      </c>
      <c r="U4153" t="s">
        <v>5473</v>
      </c>
      <c r="V4153" t="s">
        <v>5474</v>
      </c>
      <c r="W4153" t="s">
        <v>5475</v>
      </c>
      <c r="AD4153" t="s">
        <v>5476</v>
      </c>
      <c r="AE4153" t="s">
        <v>5477</v>
      </c>
      <c r="AF4153" t="e">
        <f>--------------------MQAAGEVVGKALQAVKAAATAGVSTLDLDKVAEDVIRSAGAIPTFQGYQGFPASICVSINTEIVHGIPNDRTHVRTGDLVSIDCGATLDGWVGDSAWTFGIGGQEALKPPAAALNEATEWVLMEGMKAMIPGNRLSDVSHALEQATRQAEQRWGITLGIVDGYGGHGIGRTMHEQPWLANEGRPGRGPLIQDGSVLAIEPMLTLGSVDSFVLDDGWTVVTADGSLAAHWEHTVAATATGPRILTPRYKITK</f>
        <v>#NAME?</v>
      </c>
    </row>
    <row r="4154" spans="1:32" hidden="1" x14ac:dyDescent="0.35">
      <c r="A4154">
        <v>3864</v>
      </c>
      <c r="B4154" t="s">
        <v>7968</v>
      </c>
      <c r="C4154" t="s">
        <v>72</v>
      </c>
      <c r="D4154" t="s">
        <v>58</v>
      </c>
      <c r="E4154">
        <v>897</v>
      </c>
      <c r="F4154">
        <v>5</v>
      </c>
      <c r="G4154">
        <v>5</v>
      </c>
      <c r="H4154">
        <v>1</v>
      </c>
      <c r="I4154">
        <v>1</v>
      </c>
      <c r="J4154">
        <v>0.83139236797773397</v>
      </c>
      <c r="K4154">
        <v>0.95361130847433995</v>
      </c>
      <c r="L4154">
        <v>0.88831768174132797</v>
      </c>
      <c r="M4154">
        <v>0.67991631799163199</v>
      </c>
      <c r="N4154">
        <v>0.99581589958159</v>
      </c>
      <c r="O4154">
        <v>0.75732217573221705</v>
      </c>
      <c r="P4154" t="s">
        <v>182</v>
      </c>
      <c r="Q4154" t="s">
        <v>183</v>
      </c>
      <c r="R4154" t="s">
        <v>652</v>
      </c>
      <c r="S4154" t="s">
        <v>653</v>
      </c>
      <c r="T4154" t="s">
        <v>7969</v>
      </c>
      <c r="U4154" t="s">
        <v>7970</v>
      </c>
      <c r="V4154" t="s">
        <v>7971</v>
      </c>
      <c r="W4154" t="s">
        <v>7972</v>
      </c>
      <c r="AD4154" t="s">
        <v>219</v>
      </c>
      <c r="AE4154" t="s">
        <v>7973</v>
      </c>
      <c r="AF4154" t="s">
        <v>7974</v>
      </c>
    </row>
    <row r="4155" spans="1:32" hidden="1" x14ac:dyDescent="0.35">
      <c r="A4155">
        <v>4140</v>
      </c>
      <c r="B4155" t="s">
        <v>8559</v>
      </c>
      <c r="C4155" t="s">
        <v>72</v>
      </c>
      <c r="D4155" t="s">
        <v>60</v>
      </c>
      <c r="E4155">
        <v>1170</v>
      </c>
      <c r="F4155">
        <v>5</v>
      </c>
      <c r="G4155">
        <v>5</v>
      </c>
      <c r="H4155">
        <v>1</v>
      </c>
      <c r="I4155">
        <v>1</v>
      </c>
      <c r="J4155">
        <v>0.82135752367311199</v>
      </c>
      <c r="K4155">
        <v>0.95775524278236102</v>
      </c>
      <c r="L4155">
        <v>0.88432783950386995</v>
      </c>
      <c r="M4155">
        <v>0.66438356164383605</v>
      </c>
      <c r="N4155">
        <v>0.99771689497716898</v>
      </c>
      <c r="O4155">
        <v>0.76278538812785401</v>
      </c>
      <c r="P4155" t="s">
        <v>8560</v>
      </c>
      <c r="Q4155" t="s">
        <v>8561</v>
      </c>
      <c r="R4155" t="s">
        <v>224</v>
      </c>
      <c r="S4155" t="s">
        <v>225</v>
      </c>
      <c r="T4155" t="s">
        <v>8562</v>
      </c>
      <c r="U4155" t="s">
        <v>8563</v>
      </c>
      <c r="V4155" t="s">
        <v>8564</v>
      </c>
      <c r="W4155" t="s">
        <v>8565</v>
      </c>
      <c r="X4155" t="s">
        <v>8564</v>
      </c>
      <c r="Y4155" t="s">
        <v>589</v>
      </c>
      <c r="AD4155" t="s">
        <v>7033</v>
      </c>
      <c r="AE4155" t="s">
        <v>8566</v>
      </c>
      <c r="AF4155" t="s">
        <v>8568</v>
      </c>
    </row>
    <row r="4156" spans="1:32" hidden="1" x14ac:dyDescent="0.35">
      <c r="A4156">
        <v>4141</v>
      </c>
      <c r="B4156" t="s">
        <v>8559</v>
      </c>
      <c r="C4156" t="s">
        <v>72</v>
      </c>
      <c r="D4156" t="s">
        <v>62</v>
      </c>
      <c r="E4156">
        <v>1207</v>
      </c>
      <c r="F4156">
        <v>5</v>
      </c>
      <c r="G4156">
        <v>5</v>
      </c>
      <c r="H4156">
        <v>1</v>
      </c>
      <c r="I4156">
        <v>1</v>
      </c>
      <c r="J4156">
        <v>0.82135752367311199</v>
      </c>
      <c r="K4156">
        <v>0.95775524278236102</v>
      </c>
      <c r="L4156">
        <v>0.88432783950386995</v>
      </c>
      <c r="M4156">
        <v>0.66438356164383605</v>
      </c>
      <c r="N4156">
        <v>0.99771689497716898</v>
      </c>
      <c r="O4156">
        <v>0.76278538812785401</v>
      </c>
      <c r="P4156" t="s">
        <v>8560</v>
      </c>
      <c r="Q4156" t="s">
        <v>8561</v>
      </c>
      <c r="R4156" t="s">
        <v>224</v>
      </c>
      <c r="S4156" t="s">
        <v>225</v>
      </c>
      <c r="T4156" t="s">
        <v>8562</v>
      </c>
      <c r="U4156" t="s">
        <v>8563</v>
      </c>
      <c r="V4156" t="s">
        <v>8564</v>
      </c>
      <c r="W4156" t="s">
        <v>8565</v>
      </c>
      <c r="X4156" t="s">
        <v>8564</v>
      </c>
      <c r="Y4156" t="s">
        <v>589</v>
      </c>
      <c r="AD4156" t="s">
        <v>7033</v>
      </c>
      <c r="AE4156" t="s">
        <v>8566</v>
      </c>
      <c r="AF4156" t="s">
        <v>8569</v>
      </c>
    </row>
    <row r="4157" spans="1:32" hidden="1" x14ac:dyDescent="0.35">
      <c r="A4157">
        <v>4142</v>
      </c>
      <c r="B4157" t="s">
        <v>8559</v>
      </c>
      <c r="C4157" t="s">
        <v>72</v>
      </c>
      <c r="D4157" t="s">
        <v>34</v>
      </c>
      <c r="E4157">
        <v>2506</v>
      </c>
      <c r="F4157">
        <v>5</v>
      </c>
      <c r="G4157">
        <v>5</v>
      </c>
      <c r="H4157">
        <v>1</v>
      </c>
      <c r="I4157">
        <v>1</v>
      </c>
      <c r="J4157">
        <v>0.82135752367311199</v>
      </c>
      <c r="K4157">
        <v>0.95775524278236102</v>
      </c>
      <c r="L4157">
        <v>0.88432783950386995</v>
      </c>
      <c r="M4157">
        <v>0.66438356164383605</v>
      </c>
      <c r="N4157">
        <v>0.99771689497716898</v>
      </c>
      <c r="O4157">
        <v>0.76278538812785401</v>
      </c>
      <c r="P4157" t="s">
        <v>8560</v>
      </c>
      <c r="Q4157" t="s">
        <v>8561</v>
      </c>
      <c r="R4157" t="s">
        <v>224</v>
      </c>
      <c r="S4157" t="s">
        <v>225</v>
      </c>
      <c r="T4157" t="s">
        <v>8562</v>
      </c>
      <c r="U4157" t="s">
        <v>8563</v>
      </c>
      <c r="V4157" t="s">
        <v>8564</v>
      </c>
      <c r="W4157" t="s">
        <v>8565</v>
      </c>
      <c r="X4157" t="s">
        <v>8564</v>
      </c>
      <c r="Y4157" t="s">
        <v>589</v>
      </c>
      <c r="AD4157" t="s">
        <v>7033</v>
      </c>
      <c r="AE4157" t="s">
        <v>8566</v>
      </c>
      <c r="AF4157" t="s">
        <v>8570</v>
      </c>
    </row>
    <row r="4158" spans="1:32" hidden="1" x14ac:dyDescent="0.35">
      <c r="A4158">
        <v>4143</v>
      </c>
      <c r="B4158" t="s">
        <v>8559</v>
      </c>
      <c r="C4158" t="s">
        <v>72</v>
      </c>
      <c r="D4158" t="s">
        <v>45</v>
      </c>
      <c r="E4158">
        <v>1232</v>
      </c>
      <c r="F4158">
        <v>5</v>
      </c>
      <c r="G4158">
        <v>5</v>
      </c>
      <c r="H4158">
        <v>1</v>
      </c>
      <c r="I4158">
        <v>1</v>
      </c>
      <c r="J4158">
        <v>0.82135752367311199</v>
      </c>
      <c r="K4158">
        <v>0.95775524278236102</v>
      </c>
      <c r="L4158">
        <v>0.88432783950386995</v>
      </c>
      <c r="M4158">
        <v>0.66438356164383605</v>
      </c>
      <c r="N4158">
        <v>0.99771689497716898</v>
      </c>
      <c r="O4158">
        <v>0.76278538812785401</v>
      </c>
      <c r="P4158" t="s">
        <v>8560</v>
      </c>
      <c r="Q4158" t="s">
        <v>8561</v>
      </c>
      <c r="R4158" t="s">
        <v>224</v>
      </c>
      <c r="S4158" t="s">
        <v>225</v>
      </c>
      <c r="T4158" t="s">
        <v>8562</v>
      </c>
      <c r="U4158" t="s">
        <v>8563</v>
      </c>
      <c r="V4158" t="s">
        <v>8564</v>
      </c>
      <c r="W4158" t="s">
        <v>8565</v>
      </c>
      <c r="X4158" t="s">
        <v>8564</v>
      </c>
      <c r="Y4158" t="s">
        <v>589</v>
      </c>
      <c r="AD4158" t="s">
        <v>7033</v>
      </c>
      <c r="AE4158" t="s">
        <v>8566</v>
      </c>
      <c r="AF4158" t="s">
        <v>8570</v>
      </c>
    </row>
    <row r="4159" spans="1:32" hidden="1" x14ac:dyDescent="0.35">
      <c r="A4159">
        <v>4519</v>
      </c>
      <c r="B4159" t="s">
        <v>9414</v>
      </c>
      <c r="C4159" t="s">
        <v>72</v>
      </c>
      <c r="D4159" t="s">
        <v>58</v>
      </c>
      <c r="E4159">
        <v>48</v>
      </c>
      <c r="F4159">
        <v>5</v>
      </c>
      <c r="G4159">
        <v>5</v>
      </c>
      <c r="H4159">
        <v>1</v>
      </c>
      <c r="I4159">
        <v>1</v>
      </c>
      <c r="J4159">
        <v>0.820812248605164</v>
      </c>
      <c r="K4159">
        <v>0.70067212853961003</v>
      </c>
      <c r="L4159">
        <v>0.75599891001291497</v>
      </c>
      <c r="M4159">
        <v>0.32962138084632497</v>
      </c>
      <c r="N4159">
        <v>0.99331848552338498</v>
      </c>
      <c r="O4159">
        <v>0.57616926503340804</v>
      </c>
      <c r="P4159" t="s">
        <v>5019</v>
      </c>
      <c r="Q4159" t="s">
        <v>5020</v>
      </c>
      <c r="R4159" t="s">
        <v>652</v>
      </c>
      <c r="S4159" t="s">
        <v>653</v>
      </c>
      <c r="V4159" t="s">
        <v>9415</v>
      </c>
      <c r="W4159" t="s">
        <v>9416</v>
      </c>
      <c r="X4159" t="s">
        <v>9415</v>
      </c>
      <c r="Y4159" t="s">
        <v>5826</v>
      </c>
      <c r="AF4159" t="s">
        <v>9417</v>
      </c>
    </row>
    <row r="4160" spans="1:32" hidden="1" x14ac:dyDescent="0.35">
      <c r="A4160">
        <v>4160</v>
      </c>
      <c r="B4160" t="s">
        <v>8609</v>
      </c>
      <c r="C4160" t="s">
        <v>72</v>
      </c>
      <c r="D4160" t="s">
        <v>60</v>
      </c>
      <c r="E4160">
        <v>1204</v>
      </c>
      <c r="F4160">
        <v>5</v>
      </c>
      <c r="G4160">
        <v>5</v>
      </c>
      <c r="H4160">
        <v>1</v>
      </c>
      <c r="I4160">
        <v>1</v>
      </c>
      <c r="J4160">
        <v>0.75611869179120605</v>
      </c>
      <c r="K4160">
        <v>0.97447257383966301</v>
      </c>
      <c r="L4160">
        <v>0.85152045124815401</v>
      </c>
      <c r="M4160">
        <v>0.572784810126582</v>
      </c>
      <c r="N4160">
        <v>0.987341772151899</v>
      </c>
      <c r="O4160">
        <v>0.66582278481012702</v>
      </c>
      <c r="P4160" t="s">
        <v>7416</v>
      </c>
      <c r="Q4160" t="s">
        <v>7417</v>
      </c>
      <c r="R4160" t="s">
        <v>224</v>
      </c>
      <c r="S4160" t="s">
        <v>225</v>
      </c>
      <c r="T4160" t="s">
        <v>8610</v>
      </c>
      <c r="U4160" t="s">
        <v>8611</v>
      </c>
      <c r="V4160" t="s">
        <v>8612</v>
      </c>
      <c r="W4160" t="s">
        <v>8613</v>
      </c>
      <c r="AD4160" t="s">
        <v>219</v>
      </c>
      <c r="AE4160" t="s">
        <v>8614</v>
      </c>
      <c r="AF4160" t="s">
        <v>8616</v>
      </c>
    </row>
    <row r="4161" spans="1:32" hidden="1" x14ac:dyDescent="0.35">
      <c r="A4161">
        <v>4161</v>
      </c>
      <c r="B4161" t="s">
        <v>8609</v>
      </c>
      <c r="C4161" t="s">
        <v>72</v>
      </c>
      <c r="D4161" t="s">
        <v>62</v>
      </c>
      <c r="E4161">
        <v>1241</v>
      </c>
      <c r="F4161">
        <v>5</v>
      </c>
      <c r="G4161">
        <v>5</v>
      </c>
      <c r="H4161">
        <v>1</v>
      </c>
      <c r="I4161">
        <v>1</v>
      </c>
      <c r="J4161">
        <v>0.75611869179120605</v>
      </c>
      <c r="K4161">
        <v>0.97447257383966301</v>
      </c>
      <c r="L4161">
        <v>0.85152045124815401</v>
      </c>
      <c r="M4161">
        <v>0.572784810126582</v>
      </c>
      <c r="N4161">
        <v>0.987341772151899</v>
      </c>
      <c r="O4161">
        <v>0.66582278481012702</v>
      </c>
      <c r="P4161" t="s">
        <v>7416</v>
      </c>
      <c r="Q4161" t="s">
        <v>7417</v>
      </c>
      <c r="R4161" t="s">
        <v>224</v>
      </c>
      <c r="S4161" t="s">
        <v>225</v>
      </c>
      <c r="T4161" t="s">
        <v>8610</v>
      </c>
      <c r="U4161" t="s">
        <v>8611</v>
      </c>
      <c r="V4161" t="s">
        <v>8612</v>
      </c>
      <c r="W4161" t="s">
        <v>8613</v>
      </c>
      <c r="AD4161" t="s">
        <v>219</v>
      </c>
      <c r="AE4161" t="s">
        <v>8614</v>
      </c>
      <c r="AF4161" t="s">
        <v>8617</v>
      </c>
    </row>
    <row r="4162" spans="1:32" hidden="1" x14ac:dyDescent="0.35">
      <c r="A4162">
        <v>4162</v>
      </c>
      <c r="B4162" t="s">
        <v>8609</v>
      </c>
      <c r="C4162" t="s">
        <v>72</v>
      </c>
      <c r="D4162" t="s">
        <v>34</v>
      </c>
      <c r="E4162">
        <v>1796</v>
      </c>
      <c r="F4162">
        <v>5</v>
      </c>
      <c r="G4162">
        <v>5</v>
      </c>
      <c r="H4162">
        <v>1</v>
      </c>
      <c r="I4162">
        <v>1</v>
      </c>
      <c r="J4162">
        <v>0.75611869179120605</v>
      </c>
      <c r="K4162">
        <v>0.97447257383966301</v>
      </c>
      <c r="L4162">
        <v>0.85152045124815401</v>
      </c>
      <c r="M4162">
        <v>0.572784810126582</v>
      </c>
      <c r="N4162">
        <v>0.987341772151899</v>
      </c>
      <c r="O4162">
        <v>0.66582278481012702</v>
      </c>
      <c r="P4162" t="s">
        <v>7416</v>
      </c>
      <c r="Q4162" t="s">
        <v>7417</v>
      </c>
      <c r="R4162" t="s">
        <v>224</v>
      </c>
      <c r="S4162" t="s">
        <v>225</v>
      </c>
      <c r="T4162" t="s">
        <v>8610</v>
      </c>
      <c r="U4162" t="s">
        <v>8611</v>
      </c>
      <c r="V4162" t="s">
        <v>8612</v>
      </c>
      <c r="W4162" t="s">
        <v>8613</v>
      </c>
      <c r="AD4162" t="s">
        <v>219</v>
      </c>
      <c r="AE4162" t="s">
        <v>8614</v>
      </c>
      <c r="AF4162" t="s">
        <v>8618</v>
      </c>
    </row>
    <row r="4163" spans="1:32" hidden="1" x14ac:dyDescent="0.35">
      <c r="A4163">
        <v>4163</v>
      </c>
      <c r="B4163" t="s">
        <v>8609</v>
      </c>
      <c r="C4163" t="s">
        <v>72</v>
      </c>
      <c r="D4163" t="s">
        <v>45</v>
      </c>
      <c r="E4163">
        <v>1077</v>
      </c>
      <c r="F4163">
        <v>5</v>
      </c>
      <c r="G4163">
        <v>5</v>
      </c>
      <c r="H4163">
        <v>1</v>
      </c>
      <c r="I4163">
        <v>1</v>
      </c>
      <c r="J4163">
        <v>0.75611869179120605</v>
      </c>
      <c r="K4163">
        <v>0.97447257383966301</v>
      </c>
      <c r="L4163">
        <v>0.85152045124815401</v>
      </c>
      <c r="M4163">
        <v>0.572784810126582</v>
      </c>
      <c r="N4163">
        <v>0.987341772151899</v>
      </c>
      <c r="O4163">
        <v>0.66582278481012702</v>
      </c>
      <c r="P4163" t="s">
        <v>7416</v>
      </c>
      <c r="Q4163" t="s">
        <v>7417</v>
      </c>
      <c r="R4163" t="s">
        <v>224</v>
      </c>
      <c r="S4163" t="s">
        <v>225</v>
      </c>
      <c r="T4163" t="s">
        <v>8610</v>
      </c>
      <c r="U4163" t="s">
        <v>8611</v>
      </c>
      <c r="V4163" t="s">
        <v>8612</v>
      </c>
      <c r="W4163" t="s">
        <v>8613</v>
      </c>
      <c r="AD4163" t="s">
        <v>219</v>
      </c>
      <c r="AE4163" t="s">
        <v>8614</v>
      </c>
      <c r="AF4163" t="s">
        <v>8619</v>
      </c>
    </row>
    <row r="4164" spans="1:32" hidden="1" x14ac:dyDescent="0.35">
      <c r="A4164">
        <v>11239</v>
      </c>
      <c r="B4164" t="s">
        <v>22838</v>
      </c>
      <c r="C4164" t="s">
        <v>33</v>
      </c>
      <c r="D4164" t="s">
        <v>58</v>
      </c>
      <c r="E4164">
        <v>248</v>
      </c>
      <c r="F4164">
        <v>1</v>
      </c>
      <c r="G4164">
        <v>1</v>
      </c>
      <c r="H4164">
        <v>1</v>
      </c>
      <c r="I4164">
        <v>0</v>
      </c>
      <c r="J4164">
        <v>1</v>
      </c>
      <c r="K4164">
        <v>1</v>
      </c>
      <c r="L4164">
        <v>1</v>
      </c>
      <c r="M4164">
        <v>0</v>
      </c>
      <c r="N4164">
        <v>0</v>
      </c>
      <c r="O4164">
        <v>0</v>
      </c>
      <c r="P4164" t="s">
        <v>19101</v>
      </c>
      <c r="Q4164" t="s">
        <v>19102</v>
      </c>
      <c r="R4164" t="s">
        <v>342</v>
      </c>
      <c r="S4164" t="s">
        <v>343</v>
      </c>
      <c r="T4164" t="s">
        <v>22839</v>
      </c>
      <c r="U4164" t="s">
        <v>22840</v>
      </c>
      <c r="V4164" t="s">
        <v>17668</v>
      </c>
      <c r="W4164" t="s">
        <v>17669</v>
      </c>
      <c r="AD4164" t="s">
        <v>219</v>
      </c>
      <c r="AE4164" t="s">
        <v>22841</v>
      </c>
      <c r="AF4164" t="s">
        <v>22842</v>
      </c>
    </row>
    <row r="4165" spans="1:32" hidden="1" x14ac:dyDescent="0.35">
      <c r="A4165">
        <v>4180</v>
      </c>
      <c r="B4165" t="s">
        <v>8659</v>
      </c>
      <c r="C4165" t="s">
        <v>72</v>
      </c>
      <c r="D4165" t="s">
        <v>60</v>
      </c>
      <c r="E4165">
        <v>513</v>
      </c>
      <c r="F4165">
        <v>5</v>
      </c>
      <c r="G4165">
        <v>5</v>
      </c>
      <c r="H4165">
        <v>1</v>
      </c>
      <c r="I4165">
        <v>1</v>
      </c>
      <c r="J4165">
        <v>0.85930543187889596</v>
      </c>
      <c r="K4165">
        <v>0.94333364630768302</v>
      </c>
      <c r="L4165">
        <v>0.89936109358261296</v>
      </c>
      <c r="M4165">
        <v>0.71787709497206698</v>
      </c>
      <c r="N4165">
        <v>0.99720670391061506</v>
      </c>
      <c r="O4165">
        <v>0.79888268156424602</v>
      </c>
      <c r="P4165" t="s">
        <v>8560</v>
      </c>
      <c r="Q4165" t="s">
        <v>8561</v>
      </c>
      <c r="R4165" t="s">
        <v>224</v>
      </c>
      <c r="S4165" t="s">
        <v>225</v>
      </c>
      <c r="T4165" t="s">
        <v>8660</v>
      </c>
      <c r="U4165" t="s">
        <v>8661</v>
      </c>
      <c r="V4165" t="s">
        <v>8662</v>
      </c>
      <c r="W4165" t="s">
        <v>8663</v>
      </c>
      <c r="X4165" t="s">
        <v>8662</v>
      </c>
      <c r="Y4165" t="s">
        <v>589</v>
      </c>
      <c r="AD4165" t="s">
        <v>997</v>
      </c>
      <c r="AE4165" t="s">
        <v>8664</v>
      </c>
      <c r="AF4165" t="s">
        <v>8666</v>
      </c>
    </row>
    <row r="4166" spans="1:32" hidden="1" x14ac:dyDescent="0.35">
      <c r="A4166">
        <v>4181</v>
      </c>
      <c r="B4166" t="s">
        <v>8659</v>
      </c>
      <c r="C4166" t="s">
        <v>72</v>
      </c>
      <c r="D4166" t="s">
        <v>62</v>
      </c>
      <c r="E4166">
        <v>597</v>
      </c>
      <c r="F4166">
        <v>5</v>
      </c>
      <c r="G4166">
        <v>5</v>
      </c>
      <c r="H4166">
        <v>1</v>
      </c>
      <c r="I4166">
        <v>1</v>
      </c>
      <c r="J4166">
        <v>0.85930543187889596</v>
      </c>
      <c r="K4166">
        <v>0.94333364630768302</v>
      </c>
      <c r="L4166">
        <v>0.89936109358261296</v>
      </c>
      <c r="M4166">
        <v>0.71787709497206698</v>
      </c>
      <c r="N4166">
        <v>0.99720670391061506</v>
      </c>
      <c r="O4166">
        <v>0.79888268156424602</v>
      </c>
      <c r="P4166" t="s">
        <v>8560</v>
      </c>
      <c r="Q4166" t="s">
        <v>8561</v>
      </c>
      <c r="R4166" t="s">
        <v>224</v>
      </c>
      <c r="S4166" t="s">
        <v>225</v>
      </c>
      <c r="T4166" t="s">
        <v>8660</v>
      </c>
      <c r="U4166" t="s">
        <v>8661</v>
      </c>
      <c r="V4166" t="s">
        <v>8662</v>
      </c>
      <c r="W4166" t="s">
        <v>8663</v>
      </c>
      <c r="X4166" t="s">
        <v>8662</v>
      </c>
      <c r="Y4166" t="s">
        <v>589</v>
      </c>
      <c r="AD4166" t="s">
        <v>997</v>
      </c>
      <c r="AE4166" t="s">
        <v>8664</v>
      </c>
      <c r="AF4166" t="s">
        <v>8666</v>
      </c>
    </row>
    <row r="4167" spans="1:32" hidden="1" x14ac:dyDescent="0.35">
      <c r="A4167">
        <v>4182</v>
      </c>
      <c r="B4167" t="s">
        <v>8659</v>
      </c>
      <c r="C4167" t="s">
        <v>72</v>
      </c>
      <c r="D4167" t="s">
        <v>34</v>
      </c>
      <c r="E4167">
        <v>580</v>
      </c>
      <c r="F4167">
        <v>5</v>
      </c>
      <c r="G4167">
        <v>5</v>
      </c>
      <c r="H4167">
        <v>1</v>
      </c>
      <c r="I4167">
        <v>1</v>
      </c>
      <c r="J4167">
        <v>0.85930543187889596</v>
      </c>
      <c r="K4167">
        <v>0.94333364630768302</v>
      </c>
      <c r="L4167">
        <v>0.89936109358261296</v>
      </c>
      <c r="M4167">
        <v>0.71787709497206698</v>
      </c>
      <c r="N4167">
        <v>0.99720670391061506</v>
      </c>
      <c r="O4167">
        <v>0.79888268156424602</v>
      </c>
      <c r="P4167" t="s">
        <v>8560</v>
      </c>
      <c r="Q4167" t="s">
        <v>8561</v>
      </c>
      <c r="R4167" t="s">
        <v>224</v>
      </c>
      <c r="S4167" t="s">
        <v>225</v>
      </c>
      <c r="T4167" t="s">
        <v>8660</v>
      </c>
      <c r="U4167" t="s">
        <v>8661</v>
      </c>
      <c r="V4167" t="s">
        <v>8662</v>
      </c>
      <c r="W4167" t="s">
        <v>8663</v>
      </c>
      <c r="X4167" t="s">
        <v>8662</v>
      </c>
      <c r="Y4167" t="s">
        <v>589</v>
      </c>
      <c r="AD4167" t="s">
        <v>997</v>
      </c>
      <c r="AE4167" t="s">
        <v>8664</v>
      </c>
      <c r="AF4167" t="s">
        <v>8667</v>
      </c>
    </row>
    <row r="4168" spans="1:32" hidden="1" x14ac:dyDescent="0.35">
      <c r="A4168">
        <v>4183</v>
      </c>
      <c r="B4168" t="s">
        <v>8659</v>
      </c>
      <c r="C4168" t="s">
        <v>72</v>
      </c>
      <c r="D4168" t="s">
        <v>45</v>
      </c>
      <c r="E4168">
        <v>1846</v>
      </c>
      <c r="F4168">
        <v>5</v>
      </c>
      <c r="G4168">
        <v>5</v>
      </c>
      <c r="H4168">
        <v>1</v>
      </c>
      <c r="I4168">
        <v>1</v>
      </c>
      <c r="J4168">
        <v>0.85930543187889596</v>
      </c>
      <c r="K4168">
        <v>0.94333364630768302</v>
      </c>
      <c r="L4168">
        <v>0.89936109358261296</v>
      </c>
      <c r="M4168">
        <v>0.71787709497206698</v>
      </c>
      <c r="N4168">
        <v>0.99720670391061506</v>
      </c>
      <c r="O4168">
        <v>0.79888268156424602</v>
      </c>
      <c r="P4168" t="s">
        <v>8560</v>
      </c>
      <c r="Q4168" t="s">
        <v>8561</v>
      </c>
      <c r="R4168" t="s">
        <v>224</v>
      </c>
      <c r="S4168" t="s">
        <v>225</v>
      </c>
      <c r="T4168" t="s">
        <v>8660</v>
      </c>
      <c r="U4168" t="s">
        <v>8661</v>
      </c>
      <c r="V4168" t="s">
        <v>8662</v>
      </c>
      <c r="W4168" t="s">
        <v>8663</v>
      </c>
      <c r="X4168" t="s">
        <v>8662</v>
      </c>
      <c r="Y4168" t="s">
        <v>589</v>
      </c>
      <c r="AD4168" t="s">
        <v>997</v>
      </c>
      <c r="AE4168" t="s">
        <v>8664</v>
      </c>
      <c r="AF4168" t="s">
        <v>8667</v>
      </c>
    </row>
    <row r="4169" spans="1:32" hidden="1" x14ac:dyDescent="0.35">
      <c r="A4169">
        <v>11736</v>
      </c>
      <c r="B4169" t="s">
        <v>24105</v>
      </c>
      <c r="C4169" t="s">
        <v>33</v>
      </c>
      <c r="D4169" t="s">
        <v>58</v>
      </c>
      <c r="E4169">
        <v>199</v>
      </c>
      <c r="F4169">
        <v>1</v>
      </c>
      <c r="G4169">
        <v>1</v>
      </c>
      <c r="H4169">
        <v>1</v>
      </c>
      <c r="I4169">
        <v>0</v>
      </c>
      <c r="J4169">
        <v>1</v>
      </c>
      <c r="K4169">
        <v>1</v>
      </c>
      <c r="L4169">
        <v>1</v>
      </c>
      <c r="M4169">
        <v>0</v>
      </c>
      <c r="N4169">
        <v>0</v>
      </c>
      <c r="O4169">
        <v>0</v>
      </c>
      <c r="P4169" t="s">
        <v>19101</v>
      </c>
      <c r="Q4169" t="s">
        <v>19102</v>
      </c>
      <c r="R4169" t="s">
        <v>342</v>
      </c>
      <c r="S4169" t="s">
        <v>343</v>
      </c>
      <c r="V4169" t="s">
        <v>17668</v>
      </c>
      <c r="W4169" t="s">
        <v>17669</v>
      </c>
      <c r="AF4169" t="s">
        <v>24106</v>
      </c>
    </row>
    <row r="4170" spans="1:32" hidden="1" x14ac:dyDescent="0.35">
      <c r="A4170">
        <v>4205</v>
      </c>
      <c r="B4170" t="s">
        <v>8714</v>
      </c>
      <c r="C4170" t="s">
        <v>72</v>
      </c>
      <c r="D4170" t="s">
        <v>60</v>
      </c>
      <c r="E4170">
        <v>1525</v>
      </c>
      <c r="F4170">
        <v>5</v>
      </c>
      <c r="G4170">
        <v>5</v>
      </c>
      <c r="H4170">
        <v>1</v>
      </c>
      <c r="I4170">
        <v>1</v>
      </c>
      <c r="J4170">
        <v>0.77405296681193403</v>
      </c>
      <c r="K4170">
        <v>0.96314333437728095</v>
      </c>
      <c r="L4170">
        <v>0.85830709509284198</v>
      </c>
      <c r="M4170">
        <v>0.59677419354838701</v>
      </c>
      <c r="N4170">
        <v>0.99677419354838703</v>
      </c>
      <c r="O4170">
        <v>0.71032258064516096</v>
      </c>
      <c r="P4170" t="s">
        <v>8715</v>
      </c>
      <c r="Q4170" t="s">
        <v>8716</v>
      </c>
      <c r="R4170" t="s">
        <v>224</v>
      </c>
      <c r="S4170" t="s">
        <v>225</v>
      </c>
      <c r="T4170" t="s">
        <v>8717</v>
      </c>
      <c r="U4170" t="s">
        <v>8718</v>
      </c>
      <c r="V4170" t="s">
        <v>8719</v>
      </c>
      <c r="W4170" t="s">
        <v>8720</v>
      </c>
      <c r="X4170" t="s">
        <v>8719</v>
      </c>
      <c r="Y4170" t="s">
        <v>1598</v>
      </c>
      <c r="AD4170" t="s">
        <v>3044</v>
      </c>
      <c r="AE4170" t="s">
        <v>8721</v>
      </c>
      <c r="AF4170" t="s">
        <v>8723</v>
      </c>
    </row>
    <row r="4171" spans="1:32" hidden="1" x14ac:dyDescent="0.35">
      <c r="A4171">
        <v>4206</v>
      </c>
      <c r="B4171" t="s">
        <v>8714</v>
      </c>
      <c r="C4171" t="s">
        <v>72</v>
      </c>
      <c r="D4171" t="s">
        <v>62</v>
      </c>
      <c r="E4171">
        <v>1560</v>
      </c>
      <c r="F4171">
        <v>5</v>
      </c>
      <c r="G4171">
        <v>5</v>
      </c>
      <c r="H4171">
        <v>1</v>
      </c>
      <c r="I4171">
        <v>1</v>
      </c>
      <c r="J4171">
        <v>0.77405296681193403</v>
      </c>
      <c r="K4171">
        <v>0.96314333437728095</v>
      </c>
      <c r="L4171">
        <v>0.85830709509284198</v>
      </c>
      <c r="M4171">
        <v>0.59677419354838701</v>
      </c>
      <c r="N4171">
        <v>0.99677419354838703</v>
      </c>
      <c r="O4171">
        <v>0.71032258064516096</v>
      </c>
      <c r="P4171" t="s">
        <v>8715</v>
      </c>
      <c r="Q4171" t="s">
        <v>8716</v>
      </c>
      <c r="R4171" t="s">
        <v>224</v>
      </c>
      <c r="S4171" t="s">
        <v>225</v>
      </c>
      <c r="T4171" t="s">
        <v>8717</v>
      </c>
      <c r="U4171" t="s">
        <v>8718</v>
      </c>
      <c r="V4171" t="s">
        <v>8719</v>
      </c>
      <c r="W4171" t="s">
        <v>8720</v>
      </c>
      <c r="X4171" t="s">
        <v>8719</v>
      </c>
      <c r="Y4171" t="s">
        <v>1598</v>
      </c>
      <c r="AD4171" t="s">
        <v>3044</v>
      </c>
      <c r="AE4171" t="s">
        <v>8721</v>
      </c>
      <c r="AF4171" t="s">
        <v>8724</v>
      </c>
    </row>
    <row r="4172" spans="1:32" hidden="1" x14ac:dyDescent="0.35">
      <c r="A4172">
        <v>4207</v>
      </c>
      <c r="B4172" t="s">
        <v>8714</v>
      </c>
      <c r="C4172" t="s">
        <v>72</v>
      </c>
      <c r="D4172" t="s">
        <v>34</v>
      </c>
      <c r="E4172">
        <v>1953</v>
      </c>
      <c r="F4172">
        <v>5</v>
      </c>
      <c r="G4172">
        <v>5</v>
      </c>
      <c r="H4172">
        <v>1</v>
      </c>
      <c r="I4172">
        <v>1</v>
      </c>
      <c r="J4172">
        <v>0.77405296681193403</v>
      </c>
      <c r="K4172">
        <v>0.96314333437728095</v>
      </c>
      <c r="L4172">
        <v>0.85830709509284198</v>
      </c>
      <c r="M4172">
        <v>0.59677419354838701</v>
      </c>
      <c r="N4172">
        <v>0.99677419354838703</v>
      </c>
      <c r="O4172">
        <v>0.71032258064516096</v>
      </c>
      <c r="P4172" t="s">
        <v>8715</v>
      </c>
      <c r="Q4172" t="s">
        <v>8716</v>
      </c>
      <c r="R4172" t="s">
        <v>224</v>
      </c>
      <c r="S4172" t="s">
        <v>225</v>
      </c>
      <c r="T4172" t="s">
        <v>8717</v>
      </c>
      <c r="U4172" t="s">
        <v>8718</v>
      </c>
      <c r="V4172" t="s">
        <v>8719</v>
      </c>
      <c r="W4172" t="s">
        <v>8720</v>
      </c>
      <c r="X4172" t="s">
        <v>8719</v>
      </c>
      <c r="Y4172" t="s">
        <v>1598</v>
      </c>
      <c r="AD4172" t="s">
        <v>3044</v>
      </c>
      <c r="AE4172" t="s">
        <v>8721</v>
      </c>
      <c r="AF4172" t="s">
        <v>8725</v>
      </c>
    </row>
    <row r="4173" spans="1:32" hidden="1" x14ac:dyDescent="0.35">
      <c r="A4173">
        <v>4208</v>
      </c>
      <c r="B4173" t="s">
        <v>8714</v>
      </c>
      <c r="C4173" t="s">
        <v>72</v>
      </c>
      <c r="D4173" t="s">
        <v>45</v>
      </c>
      <c r="E4173">
        <v>920</v>
      </c>
      <c r="F4173">
        <v>5</v>
      </c>
      <c r="G4173">
        <v>5</v>
      </c>
      <c r="H4173">
        <v>1</v>
      </c>
      <c r="I4173">
        <v>1</v>
      </c>
      <c r="J4173">
        <v>0.77405296681193403</v>
      </c>
      <c r="K4173">
        <v>0.96314333437728095</v>
      </c>
      <c r="L4173">
        <v>0.85830709509284198</v>
      </c>
      <c r="M4173">
        <v>0.59677419354838701</v>
      </c>
      <c r="N4173">
        <v>0.99677419354838703</v>
      </c>
      <c r="O4173">
        <v>0.71032258064516096</v>
      </c>
      <c r="P4173" t="s">
        <v>8715</v>
      </c>
      <c r="Q4173" t="s">
        <v>8716</v>
      </c>
      <c r="R4173" t="s">
        <v>224</v>
      </c>
      <c r="S4173" t="s">
        <v>225</v>
      </c>
      <c r="T4173" t="s">
        <v>8717</v>
      </c>
      <c r="U4173" t="s">
        <v>8718</v>
      </c>
      <c r="V4173" t="s">
        <v>8719</v>
      </c>
      <c r="W4173" t="s">
        <v>8720</v>
      </c>
      <c r="X4173" t="s">
        <v>8719</v>
      </c>
      <c r="Y4173" t="s">
        <v>1598</v>
      </c>
      <c r="AD4173" t="s">
        <v>3044</v>
      </c>
      <c r="AE4173" t="s">
        <v>8721</v>
      </c>
      <c r="AF4173" t="s">
        <v>8726</v>
      </c>
    </row>
    <row r="4174" spans="1:32" hidden="1" x14ac:dyDescent="0.35">
      <c r="A4174">
        <v>554</v>
      </c>
      <c r="B4174" t="s">
        <v>1084</v>
      </c>
      <c r="C4174" t="s">
        <v>72</v>
      </c>
      <c r="D4174" t="s">
        <v>58</v>
      </c>
      <c r="E4174">
        <v>1334</v>
      </c>
      <c r="F4174">
        <v>5</v>
      </c>
      <c r="G4174">
        <v>5</v>
      </c>
      <c r="H4174">
        <v>1</v>
      </c>
      <c r="I4174">
        <v>1</v>
      </c>
      <c r="J4174">
        <v>0.79283444091303101</v>
      </c>
      <c r="K4174">
        <v>0.98615384615384505</v>
      </c>
      <c r="L4174">
        <v>0.87899031033949404</v>
      </c>
      <c r="M4174">
        <v>0.62678062678062696</v>
      </c>
      <c r="N4174">
        <v>1</v>
      </c>
      <c r="O4174">
        <v>0.71823361823361798</v>
      </c>
      <c r="P4174" t="s">
        <v>1085</v>
      </c>
      <c r="Q4174" t="s">
        <v>1086</v>
      </c>
      <c r="R4174" t="s">
        <v>869</v>
      </c>
      <c r="S4174" t="s">
        <v>870</v>
      </c>
      <c r="T4174" t="s">
        <v>1087</v>
      </c>
      <c r="U4174" t="s">
        <v>1088</v>
      </c>
      <c r="V4174" t="s">
        <v>1089</v>
      </c>
      <c r="W4174" t="s">
        <v>1090</v>
      </c>
      <c r="X4174" t="s">
        <v>1089</v>
      </c>
      <c r="Y4174" t="s">
        <v>1091</v>
      </c>
      <c r="Z4174" t="s">
        <v>1092</v>
      </c>
      <c r="AA4174" t="s">
        <v>1093</v>
      </c>
      <c r="AB4174" t="s">
        <v>1092</v>
      </c>
      <c r="AC4174" t="s">
        <v>1094</v>
      </c>
      <c r="AD4174" t="s">
        <v>219</v>
      </c>
      <c r="AE4174" t="s">
        <v>1095</v>
      </c>
      <c r="AF4174" t="e">
        <f>-MAAELFPTIDAPSADARAQATAHQNVLTKPAGSLGRLEQLGIWLSACQGVCPPKKITDPRIVVFAGDHGVAANGVSAYPTEVSLQMAANIRAGGAGINAIGSASGATVRVVDVSLDHDAEGP-----ERVRRSCGSIDREDAMTTEEAIAAFKVGIAVADQEVDSGADLLIAGDLGIGNTTPAAAIIGSLCGAEPVKVVGRGTGIDDAAWQRKVAAVRDAMFRAREKTSDPIAFARTTASPDLAAMAGFLAQAAVRRTPVILDGVVVTSAALIADLAAPGARDWWVAGHAGAEPAHAIALERLGLEPIVSLGLRLGEGSGAATALPLVKLSANILCDMATFSSAGVSEAH</f>
        <v>#NAME?</v>
      </c>
    </row>
    <row r="4175" spans="1:32" hidden="1" x14ac:dyDescent="0.35">
      <c r="A4175">
        <v>4215</v>
      </c>
      <c r="B4175" t="s">
        <v>8733</v>
      </c>
      <c r="C4175" t="s">
        <v>72</v>
      </c>
      <c r="D4175" t="s">
        <v>60</v>
      </c>
      <c r="E4175">
        <v>2315</v>
      </c>
      <c r="F4175">
        <v>5</v>
      </c>
      <c r="G4175">
        <v>5</v>
      </c>
      <c r="H4175">
        <v>1</v>
      </c>
      <c r="I4175">
        <v>1</v>
      </c>
      <c r="J4175">
        <v>0.73651691276573505</v>
      </c>
      <c r="K4175">
        <v>0.90390598742017603</v>
      </c>
      <c r="L4175">
        <v>0.81167124307972305</v>
      </c>
      <c r="M4175">
        <v>0.51129943502824904</v>
      </c>
      <c r="N4175">
        <v>0.99717514124293805</v>
      </c>
      <c r="O4175">
        <v>0.63163841807909604</v>
      </c>
      <c r="P4175" t="s">
        <v>8734</v>
      </c>
      <c r="Q4175" t="s">
        <v>8735</v>
      </c>
      <c r="R4175" t="s">
        <v>224</v>
      </c>
      <c r="S4175" t="s">
        <v>225</v>
      </c>
      <c r="T4175" t="s">
        <v>8736</v>
      </c>
      <c r="U4175" t="s">
        <v>8737</v>
      </c>
      <c r="V4175" t="s">
        <v>8738</v>
      </c>
      <c r="W4175" t="s">
        <v>8739</v>
      </c>
      <c r="AD4175" t="s">
        <v>219</v>
      </c>
      <c r="AE4175" t="s">
        <v>8740</v>
      </c>
      <c r="AF4175" t="s">
        <v>8742</v>
      </c>
    </row>
    <row r="4176" spans="1:32" hidden="1" x14ac:dyDescent="0.35">
      <c r="A4176">
        <v>4216</v>
      </c>
      <c r="B4176" t="s">
        <v>8733</v>
      </c>
      <c r="C4176" t="s">
        <v>72</v>
      </c>
      <c r="D4176" t="s">
        <v>62</v>
      </c>
      <c r="E4176">
        <v>2343</v>
      </c>
      <c r="F4176">
        <v>5</v>
      </c>
      <c r="G4176">
        <v>5</v>
      </c>
      <c r="H4176">
        <v>1</v>
      </c>
      <c r="I4176">
        <v>1</v>
      </c>
      <c r="J4176">
        <v>0.73651691276573505</v>
      </c>
      <c r="K4176">
        <v>0.90390598742017603</v>
      </c>
      <c r="L4176">
        <v>0.81167124307972305</v>
      </c>
      <c r="M4176">
        <v>0.51129943502824904</v>
      </c>
      <c r="N4176">
        <v>0.99717514124293805</v>
      </c>
      <c r="O4176">
        <v>0.63163841807909604</v>
      </c>
      <c r="P4176" t="s">
        <v>8734</v>
      </c>
      <c r="Q4176" t="s">
        <v>8735</v>
      </c>
      <c r="R4176" t="s">
        <v>224</v>
      </c>
      <c r="S4176" t="s">
        <v>225</v>
      </c>
      <c r="T4176" t="s">
        <v>8736</v>
      </c>
      <c r="U4176" t="s">
        <v>8737</v>
      </c>
      <c r="V4176" t="s">
        <v>8738</v>
      </c>
      <c r="W4176" t="s">
        <v>8739</v>
      </c>
      <c r="AD4176" t="s">
        <v>219</v>
      </c>
      <c r="AE4176" t="s">
        <v>8740</v>
      </c>
      <c r="AF4176" t="s">
        <v>8743</v>
      </c>
    </row>
    <row r="4177" spans="1:32" hidden="1" x14ac:dyDescent="0.35">
      <c r="A4177">
        <v>4217</v>
      </c>
      <c r="B4177" t="s">
        <v>8733</v>
      </c>
      <c r="C4177" t="s">
        <v>72</v>
      </c>
      <c r="D4177" t="s">
        <v>34</v>
      </c>
      <c r="E4177">
        <v>1477</v>
      </c>
      <c r="F4177">
        <v>5</v>
      </c>
      <c r="G4177">
        <v>5</v>
      </c>
      <c r="H4177">
        <v>1</v>
      </c>
      <c r="I4177">
        <v>1</v>
      </c>
      <c r="J4177">
        <v>0.73651691276573505</v>
      </c>
      <c r="K4177">
        <v>0.90390598742017603</v>
      </c>
      <c r="L4177">
        <v>0.81167124307972305</v>
      </c>
      <c r="M4177">
        <v>0.51129943502824904</v>
      </c>
      <c r="N4177">
        <v>0.99717514124293805</v>
      </c>
      <c r="O4177">
        <v>0.63163841807909604</v>
      </c>
      <c r="P4177" t="s">
        <v>8734</v>
      </c>
      <c r="Q4177" t="s">
        <v>8735</v>
      </c>
      <c r="R4177" t="s">
        <v>224</v>
      </c>
      <c r="S4177" t="s">
        <v>225</v>
      </c>
      <c r="T4177" t="s">
        <v>8736</v>
      </c>
      <c r="U4177" t="s">
        <v>8737</v>
      </c>
      <c r="V4177" t="s">
        <v>8738</v>
      </c>
      <c r="W4177" t="s">
        <v>8739</v>
      </c>
      <c r="AD4177" t="s">
        <v>219</v>
      </c>
      <c r="AE4177" t="s">
        <v>8740</v>
      </c>
      <c r="AF4177" t="s">
        <v>8744</v>
      </c>
    </row>
    <row r="4178" spans="1:32" hidden="1" x14ac:dyDescent="0.35">
      <c r="A4178">
        <v>4218</v>
      </c>
      <c r="B4178" t="s">
        <v>8733</v>
      </c>
      <c r="C4178" t="s">
        <v>72</v>
      </c>
      <c r="D4178" t="s">
        <v>45</v>
      </c>
      <c r="E4178">
        <v>227</v>
      </c>
      <c r="F4178">
        <v>5</v>
      </c>
      <c r="G4178">
        <v>5</v>
      </c>
      <c r="H4178">
        <v>1</v>
      </c>
      <c r="I4178">
        <v>1</v>
      </c>
      <c r="J4178">
        <v>0.73651691276573505</v>
      </c>
      <c r="K4178">
        <v>0.90390598742017603</v>
      </c>
      <c r="L4178">
        <v>0.81167124307972305</v>
      </c>
      <c r="M4178">
        <v>0.51129943502824904</v>
      </c>
      <c r="N4178">
        <v>0.99717514124293805</v>
      </c>
      <c r="O4178">
        <v>0.63163841807909604</v>
      </c>
      <c r="P4178" t="s">
        <v>8734</v>
      </c>
      <c r="Q4178" t="s">
        <v>8735</v>
      </c>
      <c r="R4178" t="s">
        <v>224</v>
      </c>
      <c r="S4178" t="s">
        <v>225</v>
      </c>
      <c r="T4178" t="s">
        <v>8736</v>
      </c>
      <c r="U4178" t="s">
        <v>8737</v>
      </c>
      <c r="V4178" t="s">
        <v>8738</v>
      </c>
      <c r="W4178" t="s">
        <v>8739</v>
      </c>
      <c r="AD4178" t="s">
        <v>219</v>
      </c>
      <c r="AE4178" t="s">
        <v>8740</v>
      </c>
      <c r="AF4178" t="s">
        <v>8745</v>
      </c>
    </row>
    <row r="4179" spans="1:32" hidden="1" x14ac:dyDescent="0.35">
      <c r="A4179">
        <v>2039</v>
      </c>
      <c r="B4179" t="s">
        <v>4233</v>
      </c>
      <c r="C4179" t="s">
        <v>72</v>
      </c>
      <c r="D4179" t="s">
        <v>58</v>
      </c>
      <c r="E4179">
        <v>1603</v>
      </c>
      <c r="F4179">
        <v>5</v>
      </c>
      <c r="G4179">
        <v>5</v>
      </c>
      <c r="H4179">
        <v>1</v>
      </c>
      <c r="I4179">
        <v>1</v>
      </c>
      <c r="J4179">
        <v>0.772293752980448</v>
      </c>
      <c r="K4179">
        <v>0.97782357992884195</v>
      </c>
      <c r="L4179">
        <v>0.86299018711011599</v>
      </c>
      <c r="M4179">
        <v>0.59090909090909105</v>
      </c>
      <c r="N4179">
        <v>1</v>
      </c>
      <c r="O4179">
        <v>0.69720279720279699</v>
      </c>
      <c r="P4179" t="s">
        <v>4234</v>
      </c>
      <c r="Q4179" t="s">
        <v>4235</v>
      </c>
      <c r="R4179" t="s">
        <v>869</v>
      </c>
      <c r="S4179" t="s">
        <v>870</v>
      </c>
      <c r="T4179" t="s">
        <v>4236</v>
      </c>
      <c r="U4179" t="s">
        <v>4237</v>
      </c>
      <c r="V4179" t="s">
        <v>4238</v>
      </c>
      <c r="W4179" t="s">
        <v>4239</v>
      </c>
      <c r="X4179" t="s">
        <v>4238</v>
      </c>
      <c r="Y4179" t="s">
        <v>4240</v>
      </c>
      <c r="Z4179" t="s">
        <v>4241</v>
      </c>
      <c r="AA4179" t="s">
        <v>4242</v>
      </c>
      <c r="AB4179" t="s">
        <v>4241</v>
      </c>
      <c r="AC4179" t="s">
        <v>878</v>
      </c>
      <c r="AD4179" t="s">
        <v>219</v>
      </c>
      <c r="AE4179" t="s">
        <v>4243</v>
      </c>
      <c r="AF4179" t="e">
        <f>-MGIMINETRAAIVAALHTKKTIDPAAEVRSRINLLKDYITNSGTAGYVLGISGGQDSTLAGHLAQIACEELRSEGTPAHFTAVRLPYGVQVDEDDAQMALEFINPDDTVTVNIKASVDAMVAALDDD-AASGISDFNKGNVKARMRMLAQYAVAAERKALVIGTDHAAENVTGFFTKFGDGAADIMPLFGLSKRQGAQLLEHLGAPERAWQKVPTADLEDDRPALPDEVALGVSYREIDDYIEGAVPDDVIPARAHERLEHLWRIGEHKRHLPVTPYDQWWRAQL</f>
        <v>#NAME?</v>
      </c>
    </row>
    <row r="4180" spans="1:32" hidden="1" x14ac:dyDescent="0.35">
      <c r="A4180">
        <v>4270</v>
      </c>
      <c r="B4180" t="s">
        <v>8868</v>
      </c>
      <c r="C4180" t="s">
        <v>72</v>
      </c>
      <c r="D4180" t="s">
        <v>60</v>
      </c>
      <c r="E4180">
        <v>1205</v>
      </c>
      <c r="F4180">
        <v>5</v>
      </c>
      <c r="G4180">
        <v>5</v>
      </c>
      <c r="H4180">
        <v>1</v>
      </c>
      <c r="I4180">
        <v>1</v>
      </c>
      <c r="J4180">
        <v>0.76362640372500701</v>
      </c>
      <c r="K4180">
        <v>0.95008071393762505</v>
      </c>
      <c r="L4180">
        <v>0.846710282469052</v>
      </c>
      <c r="M4180">
        <v>0.55360623781676399</v>
      </c>
      <c r="N4180">
        <v>0.99610136452241704</v>
      </c>
      <c r="O4180">
        <v>0.67680311890838196</v>
      </c>
      <c r="P4180" t="s">
        <v>8869</v>
      </c>
      <c r="Q4180" t="s">
        <v>8870</v>
      </c>
      <c r="R4180" t="s">
        <v>224</v>
      </c>
      <c r="S4180" t="s">
        <v>225</v>
      </c>
      <c r="T4180" t="s">
        <v>8871</v>
      </c>
      <c r="U4180" t="s">
        <v>8872</v>
      </c>
      <c r="V4180" t="s">
        <v>8873</v>
      </c>
      <c r="W4180" t="s">
        <v>8874</v>
      </c>
      <c r="X4180" t="s">
        <v>8873</v>
      </c>
      <c r="Y4180" t="s">
        <v>2715</v>
      </c>
      <c r="AD4180" t="s">
        <v>1170</v>
      </c>
      <c r="AE4180" t="s">
        <v>8875</v>
      </c>
      <c r="AF4180" t="s">
        <v>8877</v>
      </c>
    </row>
    <row r="4181" spans="1:32" hidden="1" x14ac:dyDescent="0.35">
      <c r="A4181">
        <v>4271</v>
      </c>
      <c r="B4181" t="s">
        <v>8868</v>
      </c>
      <c r="C4181" t="s">
        <v>72</v>
      </c>
      <c r="D4181" t="s">
        <v>62</v>
      </c>
      <c r="E4181">
        <v>1242</v>
      </c>
      <c r="F4181">
        <v>5</v>
      </c>
      <c r="G4181">
        <v>5</v>
      </c>
      <c r="H4181">
        <v>1</v>
      </c>
      <c r="I4181">
        <v>1</v>
      </c>
      <c r="J4181">
        <v>0.76362640372500701</v>
      </c>
      <c r="K4181">
        <v>0.95008071393762505</v>
      </c>
      <c r="L4181">
        <v>0.846710282469052</v>
      </c>
      <c r="M4181">
        <v>0.55360623781676399</v>
      </c>
      <c r="N4181">
        <v>0.99610136452241704</v>
      </c>
      <c r="O4181">
        <v>0.67680311890838196</v>
      </c>
      <c r="P4181" t="s">
        <v>8869</v>
      </c>
      <c r="Q4181" t="s">
        <v>8870</v>
      </c>
      <c r="R4181" t="s">
        <v>224</v>
      </c>
      <c r="S4181" t="s">
        <v>225</v>
      </c>
      <c r="T4181" t="s">
        <v>8871</v>
      </c>
      <c r="U4181" t="s">
        <v>8872</v>
      </c>
      <c r="V4181" t="s">
        <v>8873</v>
      </c>
      <c r="W4181" t="s">
        <v>8874</v>
      </c>
      <c r="X4181" t="s">
        <v>8873</v>
      </c>
      <c r="Y4181" t="s">
        <v>2715</v>
      </c>
      <c r="AD4181" t="s">
        <v>1170</v>
      </c>
      <c r="AE4181" t="s">
        <v>8875</v>
      </c>
      <c r="AF4181" t="s">
        <v>8878</v>
      </c>
    </row>
    <row r="4182" spans="1:32" hidden="1" x14ac:dyDescent="0.35">
      <c r="A4182">
        <v>4272</v>
      </c>
      <c r="B4182" t="s">
        <v>8868</v>
      </c>
      <c r="C4182" t="s">
        <v>72</v>
      </c>
      <c r="D4182" t="s">
        <v>34</v>
      </c>
      <c r="E4182">
        <v>1795</v>
      </c>
      <c r="F4182">
        <v>5</v>
      </c>
      <c r="G4182">
        <v>5</v>
      </c>
      <c r="H4182">
        <v>1</v>
      </c>
      <c r="I4182">
        <v>1</v>
      </c>
      <c r="J4182">
        <v>0.76362640372500701</v>
      </c>
      <c r="K4182">
        <v>0.95008071393762505</v>
      </c>
      <c r="L4182">
        <v>0.846710282469052</v>
      </c>
      <c r="M4182">
        <v>0.55360623781676399</v>
      </c>
      <c r="N4182">
        <v>0.99610136452241704</v>
      </c>
      <c r="O4182">
        <v>0.67680311890838196</v>
      </c>
      <c r="P4182" t="s">
        <v>8869</v>
      </c>
      <c r="Q4182" t="s">
        <v>8870</v>
      </c>
      <c r="R4182" t="s">
        <v>224</v>
      </c>
      <c r="S4182" t="s">
        <v>225</v>
      </c>
      <c r="T4182" t="s">
        <v>8871</v>
      </c>
      <c r="U4182" t="s">
        <v>8872</v>
      </c>
      <c r="V4182" t="s">
        <v>8873</v>
      </c>
      <c r="W4182" t="s">
        <v>8874</v>
      </c>
      <c r="X4182" t="s">
        <v>8873</v>
      </c>
      <c r="Y4182" t="s">
        <v>2715</v>
      </c>
      <c r="AD4182" t="s">
        <v>1170</v>
      </c>
      <c r="AE4182" t="s">
        <v>8875</v>
      </c>
      <c r="AF4182" t="s">
        <v>8879</v>
      </c>
    </row>
    <row r="4183" spans="1:32" hidden="1" x14ac:dyDescent="0.35">
      <c r="A4183">
        <v>4273</v>
      </c>
      <c r="B4183" t="s">
        <v>8868</v>
      </c>
      <c r="C4183" t="s">
        <v>72</v>
      </c>
      <c r="D4183" t="s">
        <v>45</v>
      </c>
      <c r="E4183">
        <v>1078</v>
      </c>
      <c r="F4183">
        <v>5</v>
      </c>
      <c r="G4183">
        <v>5</v>
      </c>
      <c r="H4183">
        <v>1</v>
      </c>
      <c r="I4183">
        <v>1</v>
      </c>
      <c r="J4183">
        <v>0.76362640372500701</v>
      </c>
      <c r="K4183">
        <v>0.95008071393762505</v>
      </c>
      <c r="L4183">
        <v>0.846710282469052</v>
      </c>
      <c r="M4183">
        <v>0.55360623781676399</v>
      </c>
      <c r="N4183">
        <v>0.99610136452241704</v>
      </c>
      <c r="O4183">
        <v>0.67680311890838196</v>
      </c>
      <c r="P4183" t="s">
        <v>8869</v>
      </c>
      <c r="Q4183" t="s">
        <v>8870</v>
      </c>
      <c r="R4183" t="s">
        <v>224</v>
      </c>
      <c r="S4183" t="s">
        <v>225</v>
      </c>
      <c r="T4183" t="s">
        <v>8871</v>
      </c>
      <c r="U4183" t="s">
        <v>8872</v>
      </c>
      <c r="V4183" t="s">
        <v>8873</v>
      </c>
      <c r="W4183" t="s">
        <v>8874</v>
      </c>
      <c r="X4183" t="s">
        <v>8873</v>
      </c>
      <c r="Y4183" t="s">
        <v>2715</v>
      </c>
      <c r="AD4183" t="s">
        <v>1170</v>
      </c>
      <c r="AE4183" t="s">
        <v>8875</v>
      </c>
      <c r="AF4183" t="s">
        <v>8880</v>
      </c>
    </row>
    <row r="4184" spans="1:32" hidden="1" x14ac:dyDescent="0.35">
      <c r="A4184">
        <v>2899</v>
      </c>
      <c r="B4184" t="s">
        <v>5976</v>
      </c>
      <c r="C4184" t="s">
        <v>72</v>
      </c>
      <c r="D4184" t="s">
        <v>58</v>
      </c>
      <c r="E4184">
        <v>1842</v>
      </c>
      <c r="F4184">
        <v>5</v>
      </c>
      <c r="G4184">
        <v>5</v>
      </c>
      <c r="H4184">
        <v>1</v>
      </c>
      <c r="I4184">
        <v>1</v>
      </c>
      <c r="J4184">
        <v>0.74478464599781802</v>
      </c>
      <c r="K4184">
        <v>0.92342057365216301</v>
      </c>
      <c r="L4184">
        <v>0.824538200640483</v>
      </c>
      <c r="M4184">
        <v>0.51327433628318597</v>
      </c>
      <c r="N4184">
        <v>1</v>
      </c>
      <c r="O4184">
        <v>0.65203539823008805</v>
      </c>
      <c r="P4184" t="s">
        <v>5977</v>
      </c>
      <c r="Q4184" t="s">
        <v>5978</v>
      </c>
      <c r="R4184" t="s">
        <v>342</v>
      </c>
      <c r="S4184" t="s">
        <v>343</v>
      </c>
      <c r="T4184" t="s">
        <v>5979</v>
      </c>
      <c r="U4184" t="s">
        <v>5980</v>
      </c>
      <c r="V4184" t="s">
        <v>5981</v>
      </c>
      <c r="W4184" t="s">
        <v>5982</v>
      </c>
      <c r="AD4184" t="s">
        <v>166</v>
      </c>
      <c r="AE4184" t="s">
        <v>818</v>
      </c>
      <c r="AF4184" t="s">
        <v>5983</v>
      </c>
    </row>
    <row r="4185" spans="1:32" hidden="1" x14ac:dyDescent="0.35">
      <c r="A4185">
        <v>4425</v>
      </c>
      <c r="B4185" t="s">
        <v>9221</v>
      </c>
      <c r="C4185" t="s">
        <v>72</v>
      </c>
      <c r="D4185" t="s">
        <v>60</v>
      </c>
      <c r="E4185">
        <v>1157</v>
      </c>
      <c r="F4185">
        <v>5</v>
      </c>
      <c r="G4185">
        <v>5</v>
      </c>
      <c r="H4185">
        <v>1</v>
      </c>
      <c r="I4185">
        <v>1</v>
      </c>
      <c r="J4185">
        <v>0.75898967276346896</v>
      </c>
      <c r="K4185">
        <v>0.93590555785677498</v>
      </c>
      <c r="L4185">
        <v>0.83821423326004296</v>
      </c>
      <c r="M4185">
        <v>0.57142857142857095</v>
      </c>
      <c r="N4185">
        <v>0.989547038327526</v>
      </c>
      <c r="O4185">
        <v>0.67142857142857104</v>
      </c>
      <c r="P4185" t="s">
        <v>4727</v>
      </c>
      <c r="Q4185" t="s">
        <v>4728</v>
      </c>
      <c r="R4185" t="s">
        <v>224</v>
      </c>
      <c r="S4185" t="s">
        <v>225</v>
      </c>
      <c r="T4185" t="s">
        <v>5355</v>
      </c>
      <c r="U4185" t="s">
        <v>5356</v>
      </c>
      <c r="V4185" t="s">
        <v>5351</v>
      </c>
      <c r="W4185" t="s">
        <v>5352</v>
      </c>
      <c r="X4185" t="s">
        <v>5351</v>
      </c>
      <c r="Y4185" t="s">
        <v>1598</v>
      </c>
      <c r="AD4185" t="s">
        <v>1717</v>
      </c>
      <c r="AE4185" t="s">
        <v>5357</v>
      </c>
      <c r="AF4185" t="e">
        <f>-----MAVDFTSPFTERTPRIVQAGKLHRAAGRRKAGRFLVEGENAVDAAVSTGAATDVFVTEQAYQRFGDIVQVAGHLDVYVHAITDKAAKALSDTVHSTGIFAVCTSVLWSVDKALRGRPRLVSVPVQTSEPGNAGTMIRVSDAVGADSVIFAGEAVDPLGGKVVRASAGSLFHIPVARDASVTGTIKRVKAKGLTILAATADGEIDLDDAG---DLLREPTAWLFGNEAHGLGEEAIAGADHLVRIPIRGRAESLNLATAAAICLYESAKAQHQAQRQAQQHAE</f>
        <v>#NAME?</v>
      </c>
    </row>
    <row r="4186" spans="1:32" hidden="1" x14ac:dyDescent="0.35">
      <c r="A4186">
        <v>4426</v>
      </c>
      <c r="B4186" t="s">
        <v>9221</v>
      </c>
      <c r="C4186" t="s">
        <v>72</v>
      </c>
      <c r="D4186" t="s">
        <v>62</v>
      </c>
      <c r="E4186">
        <v>1194</v>
      </c>
      <c r="F4186">
        <v>5</v>
      </c>
      <c r="G4186">
        <v>5</v>
      </c>
      <c r="H4186">
        <v>1</v>
      </c>
      <c r="I4186">
        <v>1</v>
      </c>
      <c r="J4186">
        <v>0.75898967276346896</v>
      </c>
      <c r="K4186">
        <v>0.93590555785677498</v>
      </c>
      <c r="L4186">
        <v>0.83821423326004296</v>
      </c>
      <c r="M4186">
        <v>0.57142857142857095</v>
      </c>
      <c r="N4186">
        <v>0.989547038327526</v>
      </c>
      <c r="O4186">
        <v>0.67142857142857104</v>
      </c>
      <c r="P4186" t="s">
        <v>4727</v>
      </c>
      <c r="Q4186" t="s">
        <v>4728</v>
      </c>
      <c r="R4186" t="s">
        <v>224</v>
      </c>
      <c r="S4186" t="s">
        <v>225</v>
      </c>
      <c r="T4186" t="s">
        <v>5355</v>
      </c>
      <c r="U4186" t="s">
        <v>5356</v>
      </c>
      <c r="V4186" t="s">
        <v>5351</v>
      </c>
      <c r="W4186" t="s">
        <v>5352</v>
      </c>
      <c r="X4186" t="s">
        <v>5351</v>
      </c>
      <c r="Y4186" t="s">
        <v>1598</v>
      </c>
      <c r="AD4186" t="s">
        <v>1717</v>
      </c>
      <c r="AE4186" t="s">
        <v>5357</v>
      </c>
      <c r="AF4186" t="e">
        <f>-----MAVDFTSPFTERTPRIVQAGKLHRAAGRRKAGRFLVEGENAVDAAVSTGAATDVFVTEQAYQRFGDIVQVAGHLDVYVHAITDKAAKALSDTVHSTEIFAVCTSVLWSVDKALRGRPRLVSVPVQTSEPGNAGTMIRVSDAVGADSVIFAGEAVDPLGGKVVRASAGSLFHIPVARDASVTGTIKRVKAKGLTILAATADGDIDLDDAG---DLLREPTAWLFGNEAHGLGEEAIAGADHLVRIPIRGRAESLNLATAAAICLYESAKAQHQAQRQAQQYAE</f>
        <v>#NAME?</v>
      </c>
    </row>
    <row r="4187" spans="1:32" hidden="1" x14ac:dyDescent="0.35">
      <c r="A4187">
        <v>4427</v>
      </c>
      <c r="B4187" t="s">
        <v>9221</v>
      </c>
      <c r="C4187" t="s">
        <v>72</v>
      </c>
      <c r="D4187" t="s">
        <v>34</v>
      </c>
      <c r="E4187">
        <v>2519</v>
      </c>
      <c r="F4187">
        <v>5</v>
      </c>
      <c r="G4187">
        <v>5</v>
      </c>
      <c r="H4187">
        <v>1</v>
      </c>
      <c r="I4187">
        <v>1</v>
      </c>
      <c r="J4187">
        <v>0.75898967276346896</v>
      </c>
      <c r="K4187">
        <v>0.93590555785677498</v>
      </c>
      <c r="L4187">
        <v>0.83821423326004296</v>
      </c>
      <c r="M4187">
        <v>0.57142857142857095</v>
      </c>
      <c r="N4187">
        <v>0.989547038327526</v>
      </c>
      <c r="O4187">
        <v>0.67142857142857104</v>
      </c>
      <c r="P4187" t="s">
        <v>4727</v>
      </c>
      <c r="Q4187" t="s">
        <v>4728</v>
      </c>
      <c r="R4187" t="s">
        <v>224</v>
      </c>
      <c r="S4187" t="s">
        <v>225</v>
      </c>
      <c r="T4187" t="s">
        <v>5355</v>
      </c>
      <c r="U4187" t="s">
        <v>5356</v>
      </c>
      <c r="V4187" t="s">
        <v>5351</v>
      </c>
      <c r="W4187" t="s">
        <v>5352</v>
      </c>
      <c r="X4187" t="s">
        <v>5351</v>
      </c>
      <c r="Y4187" t="s">
        <v>1598</v>
      </c>
      <c r="AD4187" t="s">
        <v>1717</v>
      </c>
      <c r="AE4187" t="s">
        <v>5357</v>
      </c>
      <c r="AF4187" t="s">
        <v>9223</v>
      </c>
    </row>
    <row r="4188" spans="1:32" hidden="1" x14ac:dyDescent="0.35">
      <c r="A4188">
        <v>4428</v>
      </c>
      <c r="B4188" t="s">
        <v>9221</v>
      </c>
      <c r="C4188" t="s">
        <v>72</v>
      </c>
      <c r="D4188" t="s">
        <v>45</v>
      </c>
      <c r="E4188">
        <v>1245</v>
      </c>
      <c r="F4188">
        <v>5</v>
      </c>
      <c r="G4188">
        <v>5</v>
      </c>
      <c r="H4188">
        <v>1</v>
      </c>
      <c r="I4188">
        <v>1</v>
      </c>
      <c r="J4188">
        <v>0.75898967276346896</v>
      </c>
      <c r="K4188">
        <v>0.93590555785677498</v>
      </c>
      <c r="L4188">
        <v>0.83821423326004296</v>
      </c>
      <c r="M4188">
        <v>0.57142857142857095</v>
      </c>
      <c r="N4188">
        <v>0.989547038327526</v>
      </c>
      <c r="O4188">
        <v>0.67142857142857104</v>
      </c>
      <c r="P4188" t="s">
        <v>4727</v>
      </c>
      <c r="Q4188" t="s">
        <v>4728</v>
      </c>
      <c r="R4188" t="s">
        <v>224</v>
      </c>
      <c r="S4188" t="s">
        <v>225</v>
      </c>
      <c r="T4188" t="s">
        <v>5355</v>
      </c>
      <c r="U4188" t="s">
        <v>5356</v>
      </c>
      <c r="V4188" t="s">
        <v>5351</v>
      </c>
      <c r="W4188" t="s">
        <v>5352</v>
      </c>
      <c r="X4188" t="s">
        <v>5351</v>
      </c>
      <c r="Y4188" t="s">
        <v>1598</v>
      </c>
      <c r="AD4188" t="s">
        <v>1717</v>
      </c>
      <c r="AE4188" t="s">
        <v>5357</v>
      </c>
      <c r="AF4188" t="s">
        <v>9224</v>
      </c>
    </row>
    <row r="4189" spans="1:32" hidden="1" x14ac:dyDescent="0.35">
      <c r="A4189">
        <v>10915</v>
      </c>
      <c r="B4189" t="s">
        <v>21988</v>
      </c>
      <c r="C4189" t="s">
        <v>33</v>
      </c>
      <c r="D4189" t="s">
        <v>58</v>
      </c>
      <c r="E4189">
        <v>1116</v>
      </c>
      <c r="F4189">
        <v>1</v>
      </c>
      <c r="G4189">
        <v>1</v>
      </c>
      <c r="H4189">
        <v>1</v>
      </c>
      <c r="I4189">
        <v>0</v>
      </c>
      <c r="J4189">
        <v>1</v>
      </c>
      <c r="K4189">
        <v>1</v>
      </c>
      <c r="L4189">
        <v>1</v>
      </c>
      <c r="M4189">
        <v>0</v>
      </c>
      <c r="N4189">
        <v>0</v>
      </c>
      <c r="O4189">
        <v>0</v>
      </c>
      <c r="P4189" t="s">
        <v>18508</v>
      </c>
      <c r="Q4189" t="s">
        <v>18509</v>
      </c>
      <c r="R4189" t="s">
        <v>869</v>
      </c>
      <c r="S4189" t="s">
        <v>870</v>
      </c>
      <c r="T4189" t="s">
        <v>18510</v>
      </c>
      <c r="U4189" t="s">
        <v>18511</v>
      </c>
      <c r="V4189" t="s">
        <v>18512</v>
      </c>
      <c r="W4189" t="s">
        <v>18513</v>
      </c>
      <c r="X4189" t="s">
        <v>18512</v>
      </c>
      <c r="Y4189" t="s">
        <v>4240</v>
      </c>
      <c r="AD4189" t="s">
        <v>219</v>
      </c>
      <c r="AE4189" t="s">
        <v>18514</v>
      </c>
      <c r="AF4189" t="s">
        <v>21989</v>
      </c>
    </row>
    <row r="4190" spans="1:32" hidden="1" x14ac:dyDescent="0.35">
      <c r="A4190">
        <v>4480</v>
      </c>
      <c r="B4190" t="s">
        <v>9322</v>
      </c>
      <c r="C4190" t="s">
        <v>72</v>
      </c>
      <c r="D4190" t="s">
        <v>60</v>
      </c>
      <c r="E4190">
        <v>2189</v>
      </c>
      <c r="F4190">
        <v>5</v>
      </c>
      <c r="G4190">
        <v>5</v>
      </c>
      <c r="H4190">
        <v>1</v>
      </c>
      <c r="I4190">
        <v>1</v>
      </c>
      <c r="J4190">
        <v>0.87285044293903102</v>
      </c>
      <c r="K4190">
        <v>0.84093269914165103</v>
      </c>
      <c r="L4190">
        <v>0.85659435071412204</v>
      </c>
      <c r="M4190">
        <v>0.637526652452026</v>
      </c>
      <c r="N4190">
        <v>0.993603411513859</v>
      </c>
      <c r="O4190">
        <v>0.73944562899786803</v>
      </c>
      <c r="P4190" t="s">
        <v>9323</v>
      </c>
      <c r="Q4190" t="s">
        <v>9324</v>
      </c>
      <c r="R4190" t="s">
        <v>224</v>
      </c>
      <c r="S4190" t="s">
        <v>225</v>
      </c>
      <c r="T4190" t="s">
        <v>9325</v>
      </c>
      <c r="U4190" t="s">
        <v>9326</v>
      </c>
      <c r="V4190" t="s">
        <v>9327</v>
      </c>
      <c r="W4190" t="s">
        <v>9328</v>
      </c>
      <c r="X4190" t="s">
        <v>9327</v>
      </c>
      <c r="Y4190" t="s">
        <v>1598</v>
      </c>
      <c r="AD4190" t="s">
        <v>1717</v>
      </c>
      <c r="AE4190" t="s">
        <v>9329</v>
      </c>
      <c r="AF4190" t="s">
        <v>9331</v>
      </c>
    </row>
    <row r="4191" spans="1:32" hidden="1" x14ac:dyDescent="0.35">
      <c r="A4191">
        <v>4481</v>
      </c>
      <c r="B4191" t="s">
        <v>9322</v>
      </c>
      <c r="C4191" t="s">
        <v>72</v>
      </c>
      <c r="D4191" t="s">
        <v>62</v>
      </c>
      <c r="E4191">
        <v>2223</v>
      </c>
      <c r="F4191">
        <v>5</v>
      </c>
      <c r="G4191">
        <v>5</v>
      </c>
      <c r="H4191">
        <v>1</v>
      </c>
      <c r="I4191">
        <v>1</v>
      </c>
      <c r="J4191">
        <v>0.87285044293903102</v>
      </c>
      <c r="K4191">
        <v>0.84093269914165103</v>
      </c>
      <c r="L4191">
        <v>0.85659435071412204</v>
      </c>
      <c r="M4191">
        <v>0.637526652452026</v>
      </c>
      <c r="N4191">
        <v>0.993603411513859</v>
      </c>
      <c r="O4191">
        <v>0.73944562899786803</v>
      </c>
      <c r="P4191" t="s">
        <v>9323</v>
      </c>
      <c r="Q4191" t="s">
        <v>9324</v>
      </c>
      <c r="R4191" t="s">
        <v>224</v>
      </c>
      <c r="S4191" t="s">
        <v>225</v>
      </c>
      <c r="T4191" t="s">
        <v>9325</v>
      </c>
      <c r="U4191" t="s">
        <v>9326</v>
      </c>
      <c r="V4191" t="s">
        <v>9327</v>
      </c>
      <c r="W4191" t="s">
        <v>9328</v>
      </c>
      <c r="X4191" t="s">
        <v>9327</v>
      </c>
      <c r="Y4191" t="s">
        <v>1598</v>
      </c>
      <c r="AD4191" t="s">
        <v>1717</v>
      </c>
      <c r="AE4191" t="s">
        <v>9329</v>
      </c>
      <c r="AF4191" t="s">
        <v>9332</v>
      </c>
    </row>
    <row r="4192" spans="1:32" hidden="1" x14ac:dyDescent="0.35">
      <c r="A4192">
        <v>4482</v>
      </c>
      <c r="B4192" t="s">
        <v>9322</v>
      </c>
      <c r="C4192" t="s">
        <v>72</v>
      </c>
      <c r="D4192" t="s">
        <v>34</v>
      </c>
      <c r="E4192">
        <v>1582</v>
      </c>
      <c r="F4192">
        <v>5</v>
      </c>
      <c r="G4192">
        <v>5</v>
      </c>
      <c r="H4192">
        <v>1</v>
      </c>
      <c r="I4192">
        <v>1</v>
      </c>
      <c r="J4192">
        <v>0.87285044293903102</v>
      </c>
      <c r="K4192">
        <v>0.84093269914165103</v>
      </c>
      <c r="L4192">
        <v>0.85659435071412204</v>
      </c>
      <c r="M4192">
        <v>0.637526652452026</v>
      </c>
      <c r="N4192">
        <v>0.993603411513859</v>
      </c>
      <c r="O4192">
        <v>0.73944562899786803</v>
      </c>
      <c r="P4192" t="s">
        <v>9323</v>
      </c>
      <c r="Q4192" t="s">
        <v>9324</v>
      </c>
      <c r="R4192" t="s">
        <v>224</v>
      </c>
      <c r="S4192" t="s">
        <v>225</v>
      </c>
      <c r="T4192" t="s">
        <v>9325</v>
      </c>
      <c r="U4192" t="s">
        <v>9326</v>
      </c>
      <c r="V4192" t="s">
        <v>9327</v>
      </c>
      <c r="W4192" t="s">
        <v>9328</v>
      </c>
      <c r="X4192" t="s">
        <v>9327</v>
      </c>
      <c r="Y4192" t="s">
        <v>1598</v>
      </c>
      <c r="AD4192" t="s">
        <v>1717</v>
      </c>
      <c r="AE4192" t="s">
        <v>9329</v>
      </c>
      <c r="AF4192" t="e">
        <f>----------------------------------------------------------------------------------MTTVSLTIGSIKLASPVILAPMAGVTNVAFRTLCREQELAKTGTVSGLYVCEMITARALVEGNEKTRHMTTFSPDEHPRSLQFYTTDPEYTYKAARMVADNNLADHIDMNFGCPVPKVTRRGGGSALPYKRRLFGNIVAAAVKAVAGTNIPITVKFRIGIDDDHHTHLDAGRIAAAEGAAAVALHARTAAQRYSGTADWSQIAALKEHL---ADTGIPVLGNGDIFQATDAQKMITETGCDGVVVGRGCLGRPWLFAELSAALRGVDIPPEPTLGEVTGIILRHAELLTHYDGEDKACRDLRKHMGWYLRGFPVGGPLRAQLSAIKTLADLRAALEPWRESPALATDADGVRGRQGSPAKVILPEGWLDDPEDETVPEGADIMHSGG</f>
        <v>#NAME?</v>
      </c>
    </row>
    <row r="4193" spans="1:32" hidden="1" x14ac:dyDescent="0.35">
      <c r="A4193">
        <v>4483</v>
      </c>
      <c r="B4193" t="s">
        <v>9322</v>
      </c>
      <c r="C4193" t="s">
        <v>72</v>
      </c>
      <c r="D4193" t="s">
        <v>45</v>
      </c>
      <c r="E4193">
        <v>332</v>
      </c>
      <c r="F4193">
        <v>5</v>
      </c>
      <c r="G4193">
        <v>5</v>
      </c>
      <c r="H4193">
        <v>1</v>
      </c>
      <c r="I4193">
        <v>1</v>
      </c>
      <c r="J4193">
        <v>0.87285044293903102</v>
      </c>
      <c r="K4193">
        <v>0.84093269914165103</v>
      </c>
      <c r="L4193">
        <v>0.85659435071412204</v>
      </c>
      <c r="M4193">
        <v>0.637526652452026</v>
      </c>
      <c r="N4193">
        <v>0.993603411513859</v>
      </c>
      <c r="O4193">
        <v>0.73944562899786803</v>
      </c>
      <c r="P4193" t="s">
        <v>9323</v>
      </c>
      <c r="Q4193" t="s">
        <v>9324</v>
      </c>
      <c r="R4193" t="s">
        <v>224</v>
      </c>
      <c r="S4193" t="s">
        <v>225</v>
      </c>
      <c r="T4193" t="s">
        <v>9325</v>
      </c>
      <c r="U4193" t="s">
        <v>9326</v>
      </c>
      <c r="V4193" t="s">
        <v>9327</v>
      </c>
      <c r="W4193" t="s">
        <v>9328</v>
      </c>
      <c r="X4193" t="s">
        <v>9327</v>
      </c>
      <c r="Y4193" t="s">
        <v>1598</v>
      </c>
      <c r="AD4193" t="s">
        <v>1717</v>
      </c>
      <c r="AE4193" t="s">
        <v>9329</v>
      </c>
      <c r="AF4193" t="e">
        <f>----------------------------------------------------------------------------------MTTVSLTIGSIKLASPVILAPMAGVTNVAFRTLCREQELAKTGTVSGLYVCEMITARALVEGNEKTRHMTTFGPDEHPRSLQFYTTDPEYTYKAARMVADNNLADHIDMNFGCPVPKVTRRGGGSALPYKRRLFGNIVAAAVKAVAGTNIPITVKFRIGIDDDHHTHLDAGRIAAAEGAAAVALHARTAAQRYSGTADWSQIAALKEHL---ADTGIPVLGNGDIFQATDAQKMMTETGCDGVVVGRGCLGRPWLFAELSAALRGVDIPPEPTLGEVTGIILRHAELLTHYDGEDKACRDLRKHMGWYLRGFPVGGPLRAQLSAIKTLADLRAALEPWRESPALATDADGVRGRQGSPAKVILPEGWLDDPEDETVPKGADIMHSGG</f>
        <v>#NAME?</v>
      </c>
    </row>
    <row r="4194" spans="1:32" hidden="1" x14ac:dyDescent="0.35">
      <c r="A4194">
        <v>3354</v>
      </c>
      <c r="B4194" t="s">
        <v>6902</v>
      </c>
      <c r="C4194" t="s">
        <v>72</v>
      </c>
      <c r="D4194" t="s">
        <v>58</v>
      </c>
      <c r="E4194">
        <v>1453</v>
      </c>
      <c r="F4194">
        <v>5</v>
      </c>
      <c r="G4194">
        <v>5</v>
      </c>
      <c r="H4194">
        <v>1</v>
      </c>
      <c r="I4194">
        <v>1</v>
      </c>
      <c r="J4194">
        <v>0.84256861729673704</v>
      </c>
      <c r="K4194">
        <v>0.93068794128576504</v>
      </c>
      <c r="L4194">
        <v>0.884438800497926</v>
      </c>
      <c r="M4194">
        <v>0.68269230769230804</v>
      </c>
      <c r="N4194">
        <v>1</v>
      </c>
      <c r="O4194">
        <v>0.75288461538461504</v>
      </c>
      <c r="P4194" t="s">
        <v>6903</v>
      </c>
      <c r="Q4194" t="s">
        <v>6904</v>
      </c>
      <c r="R4194" t="s">
        <v>869</v>
      </c>
      <c r="S4194" t="s">
        <v>870</v>
      </c>
      <c r="T4194" t="s">
        <v>6905</v>
      </c>
      <c r="U4194" t="s">
        <v>6906</v>
      </c>
      <c r="V4194" t="s">
        <v>6907</v>
      </c>
      <c r="W4194" t="s">
        <v>6908</v>
      </c>
      <c r="X4194" t="s">
        <v>6907</v>
      </c>
      <c r="Y4194" t="s">
        <v>4240</v>
      </c>
      <c r="Z4194" t="s">
        <v>4241</v>
      </c>
      <c r="AA4194" t="s">
        <v>4242</v>
      </c>
      <c r="AB4194" t="s">
        <v>4241</v>
      </c>
      <c r="AC4194" t="s">
        <v>878</v>
      </c>
      <c r="AD4194" t="s">
        <v>219</v>
      </c>
      <c r="AE4194" t="s">
        <v>6909</v>
      </c>
      <c r="AF4194" t="s">
        <v>6910</v>
      </c>
    </row>
    <row r="4195" spans="1:32" hidden="1" x14ac:dyDescent="0.35">
      <c r="A4195">
        <v>4555</v>
      </c>
      <c r="B4195" t="s">
        <v>9514</v>
      </c>
      <c r="C4195" t="s">
        <v>72</v>
      </c>
      <c r="D4195" t="s">
        <v>60</v>
      </c>
      <c r="E4195">
        <v>2515</v>
      </c>
      <c r="F4195">
        <v>5</v>
      </c>
      <c r="G4195">
        <v>5</v>
      </c>
      <c r="H4195">
        <v>1</v>
      </c>
      <c r="I4195">
        <v>1</v>
      </c>
      <c r="J4195">
        <v>0.85662399943580503</v>
      </c>
      <c r="K4195">
        <v>0.96434001123384605</v>
      </c>
      <c r="L4195">
        <v>0.90729612710502805</v>
      </c>
      <c r="M4195">
        <v>0.740061162079511</v>
      </c>
      <c r="N4195">
        <v>0.99082568807339499</v>
      </c>
      <c r="O4195">
        <v>0.79836901121304804</v>
      </c>
      <c r="P4195" t="s">
        <v>9515</v>
      </c>
      <c r="Q4195" t="s">
        <v>9516</v>
      </c>
      <c r="R4195" t="s">
        <v>224</v>
      </c>
      <c r="S4195" t="s">
        <v>225</v>
      </c>
      <c r="T4195" t="s">
        <v>9517</v>
      </c>
      <c r="U4195" t="s">
        <v>9518</v>
      </c>
      <c r="V4195" t="s">
        <v>9519</v>
      </c>
      <c r="W4195" t="s">
        <v>9520</v>
      </c>
      <c r="X4195" t="s">
        <v>9519</v>
      </c>
      <c r="Y4195" t="s">
        <v>589</v>
      </c>
      <c r="AD4195" t="s">
        <v>7033</v>
      </c>
      <c r="AE4195" t="s">
        <v>9521</v>
      </c>
      <c r="AF4195" t="s">
        <v>9523</v>
      </c>
    </row>
    <row r="4196" spans="1:32" hidden="1" x14ac:dyDescent="0.35">
      <c r="A4196">
        <v>4556</v>
      </c>
      <c r="B4196" t="s">
        <v>9514</v>
      </c>
      <c r="C4196" t="s">
        <v>72</v>
      </c>
      <c r="D4196" t="s">
        <v>62</v>
      </c>
      <c r="E4196">
        <v>41</v>
      </c>
      <c r="F4196">
        <v>5</v>
      </c>
      <c r="G4196">
        <v>5</v>
      </c>
      <c r="H4196">
        <v>1</v>
      </c>
      <c r="I4196">
        <v>1</v>
      </c>
      <c r="J4196">
        <v>0.85662399943580503</v>
      </c>
      <c r="K4196">
        <v>0.96434001123384605</v>
      </c>
      <c r="L4196">
        <v>0.90729612710502805</v>
      </c>
      <c r="M4196">
        <v>0.740061162079511</v>
      </c>
      <c r="N4196">
        <v>0.99082568807339499</v>
      </c>
      <c r="O4196">
        <v>0.79836901121304804</v>
      </c>
      <c r="P4196" t="s">
        <v>9515</v>
      </c>
      <c r="Q4196" t="s">
        <v>9516</v>
      </c>
      <c r="R4196" t="s">
        <v>224</v>
      </c>
      <c r="S4196" t="s">
        <v>225</v>
      </c>
      <c r="T4196" t="s">
        <v>9517</v>
      </c>
      <c r="U4196" t="s">
        <v>9518</v>
      </c>
      <c r="V4196" t="s">
        <v>9519</v>
      </c>
      <c r="W4196" t="s">
        <v>9520</v>
      </c>
      <c r="X4196" t="s">
        <v>9519</v>
      </c>
      <c r="Y4196" t="s">
        <v>589</v>
      </c>
      <c r="AD4196" t="s">
        <v>7033</v>
      </c>
      <c r="AE4196" t="s">
        <v>9521</v>
      </c>
      <c r="AF4196" t="s">
        <v>9524</v>
      </c>
    </row>
    <row r="4197" spans="1:32" hidden="1" x14ac:dyDescent="0.35">
      <c r="A4197">
        <v>4557</v>
      </c>
      <c r="B4197" t="s">
        <v>9514</v>
      </c>
      <c r="C4197" t="s">
        <v>72</v>
      </c>
      <c r="D4197" t="s">
        <v>34</v>
      </c>
      <c r="E4197">
        <v>1141</v>
      </c>
      <c r="F4197">
        <v>5</v>
      </c>
      <c r="G4197">
        <v>5</v>
      </c>
      <c r="H4197">
        <v>1</v>
      </c>
      <c r="I4197">
        <v>1</v>
      </c>
      <c r="J4197">
        <v>0.85662399943580503</v>
      </c>
      <c r="K4197">
        <v>0.96434001123384605</v>
      </c>
      <c r="L4197">
        <v>0.90729612710502805</v>
      </c>
      <c r="M4197">
        <v>0.740061162079511</v>
      </c>
      <c r="N4197">
        <v>0.99082568807339499</v>
      </c>
      <c r="O4197">
        <v>0.79836901121304804</v>
      </c>
      <c r="P4197" t="s">
        <v>9515</v>
      </c>
      <c r="Q4197" t="s">
        <v>9516</v>
      </c>
      <c r="R4197" t="s">
        <v>224</v>
      </c>
      <c r="S4197" t="s">
        <v>225</v>
      </c>
      <c r="T4197" t="s">
        <v>9517</v>
      </c>
      <c r="U4197" t="s">
        <v>9518</v>
      </c>
      <c r="V4197" t="s">
        <v>9519</v>
      </c>
      <c r="W4197" t="s">
        <v>9520</v>
      </c>
      <c r="X4197" t="s">
        <v>9519</v>
      </c>
      <c r="Y4197" t="s">
        <v>589</v>
      </c>
      <c r="AD4197" t="s">
        <v>7033</v>
      </c>
      <c r="AE4197" t="s">
        <v>9521</v>
      </c>
      <c r="AF4197" t="s">
        <v>9525</v>
      </c>
    </row>
    <row r="4198" spans="1:32" hidden="1" x14ac:dyDescent="0.35">
      <c r="A4198">
        <v>4558</v>
      </c>
      <c r="B4198" t="s">
        <v>9514</v>
      </c>
      <c r="C4198" t="s">
        <v>72</v>
      </c>
      <c r="D4198" t="s">
        <v>45</v>
      </c>
      <c r="E4198">
        <v>2386</v>
      </c>
      <c r="F4198">
        <v>5</v>
      </c>
      <c r="G4198">
        <v>5</v>
      </c>
      <c r="H4198">
        <v>1</v>
      </c>
      <c r="I4198">
        <v>1</v>
      </c>
      <c r="J4198">
        <v>0.85662399943580503</v>
      </c>
      <c r="K4198">
        <v>0.96434001123384605</v>
      </c>
      <c r="L4198">
        <v>0.90729612710502805</v>
      </c>
      <c r="M4198">
        <v>0.740061162079511</v>
      </c>
      <c r="N4198">
        <v>0.99082568807339499</v>
      </c>
      <c r="O4198">
        <v>0.79836901121304804</v>
      </c>
      <c r="P4198" t="s">
        <v>9515</v>
      </c>
      <c r="Q4198" t="s">
        <v>9516</v>
      </c>
      <c r="R4198" t="s">
        <v>224</v>
      </c>
      <c r="S4198" t="s">
        <v>225</v>
      </c>
      <c r="T4198" t="s">
        <v>9517</v>
      </c>
      <c r="U4198" t="s">
        <v>9518</v>
      </c>
      <c r="V4198" t="s">
        <v>9519</v>
      </c>
      <c r="W4198" t="s">
        <v>9520</v>
      </c>
      <c r="X4198" t="s">
        <v>9519</v>
      </c>
      <c r="Y4198" t="s">
        <v>589</v>
      </c>
      <c r="AD4198" t="s">
        <v>7033</v>
      </c>
      <c r="AE4198" t="s">
        <v>9521</v>
      </c>
      <c r="AF4198" t="s">
        <v>9526</v>
      </c>
    </row>
    <row r="4199" spans="1:32" hidden="1" x14ac:dyDescent="0.35">
      <c r="A4199">
        <v>3869</v>
      </c>
      <c r="B4199" t="s">
        <v>7979</v>
      </c>
      <c r="C4199" t="s">
        <v>72</v>
      </c>
      <c r="D4199" t="s">
        <v>58</v>
      </c>
      <c r="E4199">
        <v>294</v>
      </c>
      <c r="F4199">
        <v>5</v>
      </c>
      <c r="G4199">
        <v>5</v>
      </c>
      <c r="H4199">
        <v>1</v>
      </c>
      <c r="I4199">
        <v>1</v>
      </c>
      <c r="J4199">
        <v>0.86069991649586297</v>
      </c>
      <c r="K4199">
        <v>0.92649314462627597</v>
      </c>
      <c r="L4199">
        <v>0.89238548376316396</v>
      </c>
      <c r="M4199">
        <v>0.69327731092436995</v>
      </c>
      <c r="N4199">
        <v>0.997899159663866</v>
      </c>
      <c r="O4199">
        <v>0.77962184873949603</v>
      </c>
      <c r="P4199" t="s">
        <v>7980</v>
      </c>
      <c r="Q4199" t="s">
        <v>7981</v>
      </c>
      <c r="R4199" t="s">
        <v>869</v>
      </c>
      <c r="S4199" t="s">
        <v>870</v>
      </c>
      <c r="T4199" t="s">
        <v>7982</v>
      </c>
      <c r="U4199" t="s">
        <v>7983</v>
      </c>
      <c r="V4199" t="s">
        <v>7984</v>
      </c>
      <c r="W4199" t="s">
        <v>7985</v>
      </c>
      <c r="X4199" t="s">
        <v>7984</v>
      </c>
      <c r="Y4199" t="s">
        <v>4240</v>
      </c>
      <c r="AD4199" t="s">
        <v>219</v>
      </c>
      <c r="AE4199" t="s">
        <v>7986</v>
      </c>
      <c r="AF4199" t="s">
        <v>7987</v>
      </c>
    </row>
    <row r="4200" spans="1:32" hidden="1" x14ac:dyDescent="0.35">
      <c r="A4200">
        <v>4560</v>
      </c>
      <c r="B4200" t="s">
        <v>9527</v>
      </c>
      <c r="C4200" t="s">
        <v>72</v>
      </c>
      <c r="D4200" t="s">
        <v>60</v>
      </c>
      <c r="E4200">
        <v>784</v>
      </c>
      <c r="F4200">
        <v>5</v>
      </c>
      <c r="G4200">
        <v>5</v>
      </c>
      <c r="H4200">
        <v>1</v>
      </c>
      <c r="I4200">
        <v>1</v>
      </c>
      <c r="J4200">
        <v>0.80974505599237501</v>
      </c>
      <c r="K4200">
        <v>0.93019515522210505</v>
      </c>
      <c r="L4200">
        <v>0.86580093177271999</v>
      </c>
      <c r="M4200">
        <v>0.58278145695364203</v>
      </c>
      <c r="N4200">
        <v>0.99668874172185395</v>
      </c>
      <c r="O4200">
        <v>0.72947019867549701</v>
      </c>
      <c r="P4200" t="s">
        <v>3920</v>
      </c>
      <c r="Q4200" t="s">
        <v>3921</v>
      </c>
      <c r="R4200" t="s">
        <v>224</v>
      </c>
      <c r="S4200" t="s">
        <v>225</v>
      </c>
      <c r="T4200" t="s">
        <v>9528</v>
      </c>
      <c r="U4200" t="s">
        <v>9529</v>
      </c>
      <c r="V4200" t="s">
        <v>9530</v>
      </c>
      <c r="W4200" t="s">
        <v>9531</v>
      </c>
      <c r="X4200" t="s">
        <v>9530</v>
      </c>
      <c r="Y4200" t="s">
        <v>2715</v>
      </c>
      <c r="AD4200" t="s">
        <v>1170</v>
      </c>
      <c r="AE4200" t="s">
        <v>9532</v>
      </c>
      <c r="AF4200" t="s">
        <v>9534</v>
      </c>
    </row>
    <row r="4201" spans="1:32" hidden="1" x14ac:dyDescent="0.35">
      <c r="A4201">
        <v>4561</v>
      </c>
      <c r="B4201" t="s">
        <v>9527</v>
      </c>
      <c r="C4201" t="s">
        <v>72</v>
      </c>
      <c r="D4201" t="s">
        <v>62</v>
      </c>
      <c r="E4201">
        <v>817</v>
      </c>
      <c r="F4201">
        <v>5</v>
      </c>
      <c r="G4201">
        <v>5</v>
      </c>
      <c r="H4201">
        <v>1</v>
      </c>
      <c r="I4201">
        <v>1</v>
      </c>
      <c r="J4201">
        <v>0.80974505599237501</v>
      </c>
      <c r="K4201">
        <v>0.93019515522210505</v>
      </c>
      <c r="L4201">
        <v>0.86580093177271999</v>
      </c>
      <c r="M4201">
        <v>0.58278145695364203</v>
      </c>
      <c r="N4201">
        <v>0.99668874172185395</v>
      </c>
      <c r="O4201">
        <v>0.72947019867549701</v>
      </c>
      <c r="P4201" t="s">
        <v>3920</v>
      </c>
      <c r="Q4201" t="s">
        <v>3921</v>
      </c>
      <c r="R4201" t="s">
        <v>224</v>
      </c>
      <c r="S4201" t="s">
        <v>225</v>
      </c>
      <c r="T4201" t="s">
        <v>9528</v>
      </c>
      <c r="U4201" t="s">
        <v>9529</v>
      </c>
      <c r="V4201" t="s">
        <v>9530</v>
      </c>
      <c r="W4201" t="s">
        <v>9531</v>
      </c>
      <c r="X4201" t="s">
        <v>9530</v>
      </c>
      <c r="Y4201" t="s">
        <v>2715</v>
      </c>
      <c r="AD4201" t="s">
        <v>1170</v>
      </c>
      <c r="AE4201" t="s">
        <v>9532</v>
      </c>
      <c r="AF4201" t="s">
        <v>9534</v>
      </c>
    </row>
    <row r="4202" spans="1:32" hidden="1" x14ac:dyDescent="0.35">
      <c r="A4202">
        <v>4562</v>
      </c>
      <c r="B4202" t="s">
        <v>9527</v>
      </c>
      <c r="C4202" t="s">
        <v>72</v>
      </c>
      <c r="D4202" t="s">
        <v>34</v>
      </c>
      <c r="E4202">
        <v>346</v>
      </c>
      <c r="F4202">
        <v>5</v>
      </c>
      <c r="G4202">
        <v>5</v>
      </c>
      <c r="H4202">
        <v>1</v>
      </c>
      <c r="I4202">
        <v>1</v>
      </c>
      <c r="J4202">
        <v>0.80974505599237501</v>
      </c>
      <c r="K4202">
        <v>0.93019515522210505</v>
      </c>
      <c r="L4202">
        <v>0.86580093177271999</v>
      </c>
      <c r="M4202">
        <v>0.58278145695364203</v>
      </c>
      <c r="N4202">
        <v>0.99668874172185395</v>
      </c>
      <c r="O4202">
        <v>0.72947019867549701</v>
      </c>
      <c r="P4202" t="s">
        <v>3920</v>
      </c>
      <c r="Q4202" t="s">
        <v>3921</v>
      </c>
      <c r="R4202" t="s">
        <v>224</v>
      </c>
      <c r="S4202" t="s">
        <v>225</v>
      </c>
      <c r="T4202" t="s">
        <v>9528</v>
      </c>
      <c r="U4202" t="s">
        <v>9529</v>
      </c>
      <c r="V4202" t="s">
        <v>9530</v>
      </c>
      <c r="W4202" t="s">
        <v>9531</v>
      </c>
      <c r="X4202" t="s">
        <v>9530</v>
      </c>
      <c r="Y4202" t="s">
        <v>2715</v>
      </c>
      <c r="AD4202" t="s">
        <v>1170</v>
      </c>
      <c r="AE4202" t="s">
        <v>9532</v>
      </c>
      <c r="AF4202" t="s">
        <v>9535</v>
      </c>
    </row>
    <row r="4203" spans="1:32" hidden="1" x14ac:dyDescent="0.35">
      <c r="A4203">
        <v>4563</v>
      </c>
      <c r="B4203" t="s">
        <v>9527</v>
      </c>
      <c r="C4203" t="s">
        <v>72</v>
      </c>
      <c r="D4203" t="s">
        <v>45</v>
      </c>
      <c r="E4203">
        <v>1608</v>
      </c>
      <c r="F4203">
        <v>5</v>
      </c>
      <c r="G4203">
        <v>5</v>
      </c>
      <c r="H4203">
        <v>1</v>
      </c>
      <c r="I4203">
        <v>1</v>
      </c>
      <c r="J4203">
        <v>0.80974505599237501</v>
      </c>
      <c r="K4203">
        <v>0.93019515522210505</v>
      </c>
      <c r="L4203">
        <v>0.86580093177271999</v>
      </c>
      <c r="M4203">
        <v>0.58278145695364203</v>
      </c>
      <c r="N4203">
        <v>0.99668874172185395</v>
      </c>
      <c r="O4203">
        <v>0.72947019867549701</v>
      </c>
      <c r="P4203" t="s">
        <v>3920</v>
      </c>
      <c r="Q4203" t="s">
        <v>3921</v>
      </c>
      <c r="R4203" t="s">
        <v>224</v>
      </c>
      <c r="S4203" t="s">
        <v>225</v>
      </c>
      <c r="T4203" t="s">
        <v>9528</v>
      </c>
      <c r="U4203" t="s">
        <v>9529</v>
      </c>
      <c r="V4203" t="s">
        <v>9530</v>
      </c>
      <c r="W4203" t="s">
        <v>9531</v>
      </c>
      <c r="X4203" t="s">
        <v>9530</v>
      </c>
      <c r="Y4203" t="s">
        <v>2715</v>
      </c>
      <c r="AD4203" t="s">
        <v>1170</v>
      </c>
      <c r="AE4203" t="s">
        <v>9532</v>
      </c>
      <c r="AF4203" t="s">
        <v>9536</v>
      </c>
    </row>
    <row r="4204" spans="1:32" hidden="1" x14ac:dyDescent="0.35">
      <c r="A4204">
        <v>4649</v>
      </c>
      <c r="B4204" t="s">
        <v>9712</v>
      </c>
      <c r="C4204" t="s">
        <v>10127</v>
      </c>
      <c r="D4204" t="s">
        <v>58</v>
      </c>
      <c r="E4204">
        <v>1468</v>
      </c>
      <c r="F4204">
        <v>5</v>
      </c>
      <c r="G4204">
        <v>5</v>
      </c>
      <c r="H4204">
        <v>1</v>
      </c>
      <c r="I4204">
        <v>1</v>
      </c>
      <c r="J4204">
        <v>0.76650286650286603</v>
      </c>
      <c r="K4204">
        <v>0.93828274802691003</v>
      </c>
      <c r="L4204">
        <v>0.84373825051449203</v>
      </c>
      <c r="M4204">
        <v>0.54482758620689697</v>
      </c>
      <c r="N4204">
        <v>0.99770114942528698</v>
      </c>
      <c r="O4204">
        <v>0.65448275862069005</v>
      </c>
      <c r="P4204" t="s">
        <v>4358</v>
      </c>
      <c r="Q4204" t="s">
        <v>4359</v>
      </c>
      <c r="R4204" t="s">
        <v>342</v>
      </c>
      <c r="S4204" t="s">
        <v>343</v>
      </c>
      <c r="T4204" t="s">
        <v>9713</v>
      </c>
      <c r="U4204" t="s">
        <v>9714</v>
      </c>
      <c r="V4204" t="s">
        <v>9715</v>
      </c>
      <c r="W4204" t="s">
        <v>9716</v>
      </c>
      <c r="AD4204" t="s">
        <v>166</v>
      </c>
      <c r="AE4204" t="s">
        <v>9717</v>
      </c>
      <c r="AF4204" t="s">
        <v>9718</v>
      </c>
    </row>
    <row r="4205" spans="1:32" hidden="1" x14ac:dyDescent="0.35">
      <c r="A4205">
        <v>4595</v>
      </c>
      <c r="B4205" t="s">
        <v>9608</v>
      </c>
      <c r="C4205" t="s">
        <v>72</v>
      </c>
      <c r="D4205" t="s">
        <v>60</v>
      </c>
      <c r="E4205">
        <v>1599</v>
      </c>
      <c r="F4205">
        <v>5</v>
      </c>
      <c r="G4205">
        <v>5</v>
      </c>
      <c r="H4205">
        <v>1</v>
      </c>
      <c r="I4205">
        <v>1</v>
      </c>
      <c r="J4205">
        <v>0.88578088578088598</v>
      </c>
      <c r="K4205">
        <v>0.95710916174170901</v>
      </c>
      <c r="L4205">
        <v>0.92006465845996499</v>
      </c>
      <c r="M4205">
        <v>0.74550128534704396</v>
      </c>
      <c r="N4205">
        <v>0.99228791773778902</v>
      </c>
      <c r="O4205">
        <v>0.82467866323907502</v>
      </c>
      <c r="P4205" t="s">
        <v>2848</v>
      </c>
      <c r="Q4205" t="s">
        <v>2849</v>
      </c>
      <c r="R4205" t="s">
        <v>224</v>
      </c>
      <c r="S4205" t="s">
        <v>225</v>
      </c>
      <c r="T4205" t="s">
        <v>9609</v>
      </c>
      <c r="U4205" t="s">
        <v>9610</v>
      </c>
      <c r="V4205" t="s">
        <v>9611</v>
      </c>
      <c r="W4205" t="s">
        <v>9612</v>
      </c>
      <c r="X4205" t="s">
        <v>9611</v>
      </c>
      <c r="Y4205" t="s">
        <v>1169</v>
      </c>
      <c r="AD4205" t="s">
        <v>1170</v>
      </c>
      <c r="AE4205" t="s">
        <v>9613</v>
      </c>
      <c r="AF4205" t="s">
        <v>9615</v>
      </c>
    </row>
    <row r="4206" spans="1:32" hidden="1" x14ac:dyDescent="0.35">
      <c r="A4206">
        <v>4596</v>
      </c>
      <c r="B4206" t="s">
        <v>9608</v>
      </c>
      <c r="C4206" t="s">
        <v>72</v>
      </c>
      <c r="D4206" t="s">
        <v>62</v>
      </c>
      <c r="E4206">
        <v>1635</v>
      </c>
      <c r="F4206">
        <v>5</v>
      </c>
      <c r="G4206">
        <v>5</v>
      </c>
      <c r="H4206">
        <v>1</v>
      </c>
      <c r="I4206">
        <v>1</v>
      </c>
      <c r="J4206">
        <v>0.88578088578088598</v>
      </c>
      <c r="K4206">
        <v>0.95710916174170901</v>
      </c>
      <c r="L4206">
        <v>0.92006465845996499</v>
      </c>
      <c r="M4206">
        <v>0.74550128534704396</v>
      </c>
      <c r="N4206">
        <v>0.99228791773778902</v>
      </c>
      <c r="O4206">
        <v>0.82467866323907502</v>
      </c>
      <c r="P4206" t="s">
        <v>2848</v>
      </c>
      <c r="Q4206" t="s">
        <v>2849</v>
      </c>
      <c r="R4206" t="s">
        <v>224</v>
      </c>
      <c r="S4206" t="s">
        <v>225</v>
      </c>
      <c r="T4206" t="s">
        <v>9609</v>
      </c>
      <c r="U4206" t="s">
        <v>9610</v>
      </c>
      <c r="V4206" t="s">
        <v>9611</v>
      </c>
      <c r="W4206" t="s">
        <v>9612</v>
      </c>
      <c r="X4206" t="s">
        <v>9611</v>
      </c>
      <c r="Y4206" t="s">
        <v>1169</v>
      </c>
      <c r="AD4206" t="s">
        <v>1170</v>
      </c>
      <c r="AE4206" t="s">
        <v>9613</v>
      </c>
      <c r="AF4206" t="s">
        <v>9616</v>
      </c>
    </row>
    <row r="4207" spans="1:32" hidden="1" x14ac:dyDescent="0.35">
      <c r="A4207">
        <v>4597</v>
      </c>
      <c r="B4207" t="s">
        <v>9608</v>
      </c>
      <c r="C4207" t="s">
        <v>72</v>
      </c>
      <c r="D4207" t="s">
        <v>34</v>
      </c>
      <c r="E4207">
        <v>1994</v>
      </c>
      <c r="F4207">
        <v>5</v>
      </c>
      <c r="G4207">
        <v>5</v>
      </c>
      <c r="H4207">
        <v>1</v>
      </c>
      <c r="I4207">
        <v>1</v>
      </c>
      <c r="J4207">
        <v>0.88578088578088598</v>
      </c>
      <c r="K4207">
        <v>0.95710916174170901</v>
      </c>
      <c r="L4207">
        <v>0.92006465845996499</v>
      </c>
      <c r="M4207">
        <v>0.74550128534704396</v>
      </c>
      <c r="N4207">
        <v>0.99228791773778902</v>
      </c>
      <c r="O4207">
        <v>0.82467866323907502</v>
      </c>
      <c r="P4207" t="s">
        <v>2848</v>
      </c>
      <c r="Q4207" t="s">
        <v>2849</v>
      </c>
      <c r="R4207" t="s">
        <v>224</v>
      </c>
      <c r="S4207" t="s">
        <v>225</v>
      </c>
      <c r="T4207" t="s">
        <v>9609</v>
      </c>
      <c r="U4207" t="s">
        <v>9610</v>
      </c>
      <c r="V4207" t="s">
        <v>9611</v>
      </c>
      <c r="W4207" t="s">
        <v>9612</v>
      </c>
      <c r="X4207" t="s">
        <v>9611</v>
      </c>
      <c r="Y4207" t="s">
        <v>1169</v>
      </c>
      <c r="AD4207" t="s">
        <v>1170</v>
      </c>
      <c r="AE4207" t="s">
        <v>9613</v>
      </c>
      <c r="AF4207" t="s">
        <v>9617</v>
      </c>
    </row>
    <row r="4208" spans="1:32" hidden="1" x14ac:dyDescent="0.35">
      <c r="A4208">
        <v>4598</v>
      </c>
      <c r="B4208" t="s">
        <v>9608</v>
      </c>
      <c r="C4208" t="s">
        <v>72</v>
      </c>
      <c r="D4208" t="s">
        <v>45</v>
      </c>
      <c r="E4208">
        <v>879</v>
      </c>
      <c r="F4208">
        <v>5</v>
      </c>
      <c r="G4208">
        <v>5</v>
      </c>
      <c r="H4208">
        <v>1</v>
      </c>
      <c r="I4208">
        <v>1</v>
      </c>
      <c r="J4208">
        <v>0.88578088578088598</v>
      </c>
      <c r="K4208">
        <v>0.95710916174170901</v>
      </c>
      <c r="L4208">
        <v>0.92006465845996499</v>
      </c>
      <c r="M4208">
        <v>0.74550128534704396</v>
      </c>
      <c r="N4208">
        <v>0.99228791773778902</v>
      </c>
      <c r="O4208">
        <v>0.82467866323907502</v>
      </c>
      <c r="P4208" t="s">
        <v>2848</v>
      </c>
      <c r="Q4208" t="s">
        <v>2849</v>
      </c>
      <c r="R4208" t="s">
        <v>224</v>
      </c>
      <c r="S4208" t="s">
        <v>225</v>
      </c>
      <c r="T4208" t="s">
        <v>9609</v>
      </c>
      <c r="U4208" t="s">
        <v>9610</v>
      </c>
      <c r="V4208" t="s">
        <v>9611</v>
      </c>
      <c r="W4208" t="s">
        <v>9612</v>
      </c>
      <c r="X4208" t="s">
        <v>9611</v>
      </c>
      <c r="Y4208" t="s">
        <v>1169</v>
      </c>
      <c r="AD4208" t="s">
        <v>1170</v>
      </c>
      <c r="AE4208" t="s">
        <v>9613</v>
      </c>
      <c r="AF4208" t="s">
        <v>9618</v>
      </c>
    </row>
    <row r="4209" spans="1:32" hidden="1" x14ac:dyDescent="0.35">
      <c r="A4209">
        <v>11450</v>
      </c>
      <c r="B4209" t="s">
        <v>23365</v>
      </c>
      <c r="C4209" t="s">
        <v>33</v>
      </c>
      <c r="D4209" t="s">
        <v>58</v>
      </c>
      <c r="E4209">
        <v>1349</v>
      </c>
      <c r="F4209">
        <v>1</v>
      </c>
      <c r="G4209">
        <v>1</v>
      </c>
      <c r="H4209">
        <v>1</v>
      </c>
      <c r="I4209">
        <v>0</v>
      </c>
      <c r="J4209">
        <v>1</v>
      </c>
      <c r="K4209">
        <v>1</v>
      </c>
      <c r="L4209">
        <v>1</v>
      </c>
      <c r="M4209">
        <v>0</v>
      </c>
      <c r="N4209">
        <v>0</v>
      </c>
      <c r="O4209">
        <v>0</v>
      </c>
      <c r="P4209" t="s">
        <v>4358</v>
      </c>
      <c r="Q4209" t="s">
        <v>4359</v>
      </c>
      <c r="R4209" t="s">
        <v>342</v>
      </c>
      <c r="S4209" t="s">
        <v>343</v>
      </c>
      <c r="V4209" t="s">
        <v>9715</v>
      </c>
      <c r="W4209" t="s">
        <v>9716</v>
      </c>
      <c r="AF4209" t="s">
        <v>23366</v>
      </c>
    </row>
    <row r="4210" spans="1:32" hidden="1" x14ac:dyDescent="0.35">
      <c r="A4210">
        <v>4600</v>
      </c>
      <c r="B4210" t="s">
        <v>9619</v>
      </c>
      <c r="C4210" t="s">
        <v>72</v>
      </c>
      <c r="D4210" t="s">
        <v>60</v>
      </c>
      <c r="E4210">
        <v>1497</v>
      </c>
      <c r="F4210">
        <v>5</v>
      </c>
      <c r="G4210">
        <v>5</v>
      </c>
      <c r="H4210">
        <v>1</v>
      </c>
      <c r="I4210">
        <v>1</v>
      </c>
      <c r="J4210">
        <v>0.88706311945748595</v>
      </c>
      <c r="K4210">
        <v>0.94619018278906997</v>
      </c>
      <c r="L4210">
        <v>0.91567315233128499</v>
      </c>
      <c r="M4210">
        <v>0.75046210720887196</v>
      </c>
      <c r="N4210">
        <v>0.99815157116451003</v>
      </c>
      <c r="O4210">
        <v>0.82181146025878005</v>
      </c>
      <c r="P4210" t="s">
        <v>9626</v>
      </c>
      <c r="Q4210" t="s">
        <v>9627</v>
      </c>
      <c r="R4210" t="s">
        <v>224</v>
      </c>
      <c r="S4210" t="s">
        <v>225</v>
      </c>
      <c r="T4210" t="s">
        <v>9620</v>
      </c>
      <c r="U4210" t="s">
        <v>9621</v>
      </c>
      <c r="V4210" t="s">
        <v>9622</v>
      </c>
      <c r="W4210" t="s">
        <v>9623</v>
      </c>
      <c r="X4210" t="s">
        <v>9622</v>
      </c>
      <c r="Y4210" t="s">
        <v>1598</v>
      </c>
      <c r="AD4210" t="s">
        <v>2991</v>
      </c>
      <c r="AE4210" t="s">
        <v>9624</v>
      </c>
      <c r="AF4210" t="s">
        <v>9628</v>
      </c>
    </row>
    <row r="4211" spans="1:32" hidden="1" x14ac:dyDescent="0.35">
      <c r="A4211">
        <v>4601</v>
      </c>
      <c r="B4211" t="s">
        <v>9619</v>
      </c>
      <c r="C4211" t="s">
        <v>72</v>
      </c>
      <c r="D4211" t="s">
        <v>62</v>
      </c>
      <c r="E4211">
        <v>1532</v>
      </c>
      <c r="F4211">
        <v>5</v>
      </c>
      <c r="G4211">
        <v>5</v>
      </c>
      <c r="H4211">
        <v>1</v>
      </c>
      <c r="I4211">
        <v>1</v>
      </c>
      <c r="J4211">
        <v>0.88706311945748595</v>
      </c>
      <c r="K4211">
        <v>0.94619018278906997</v>
      </c>
      <c r="L4211">
        <v>0.91567315233128499</v>
      </c>
      <c r="M4211">
        <v>0.75046210720887196</v>
      </c>
      <c r="N4211">
        <v>0.99815157116451003</v>
      </c>
      <c r="O4211">
        <v>0.82181146025878005</v>
      </c>
      <c r="P4211" t="s">
        <v>9626</v>
      </c>
      <c r="Q4211" t="s">
        <v>9627</v>
      </c>
      <c r="R4211" t="s">
        <v>224</v>
      </c>
      <c r="S4211" t="s">
        <v>225</v>
      </c>
      <c r="T4211" t="s">
        <v>9620</v>
      </c>
      <c r="U4211" t="s">
        <v>9621</v>
      </c>
      <c r="V4211" t="s">
        <v>9622</v>
      </c>
      <c r="W4211" t="s">
        <v>9623</v>
      </c>
      <c r="X4211" t="s">
        <v>9622</v>
      </c>
      <c r="Y4211" t="s">
        <v>1598</v>
      </c>
      <c r="AD4211" t="s">
        <v>2991</v>
      </c>
      <c r="AE4211" t="s">
        <v>9624</v>
      </c>
      <c r="AF4211" t="s">
        <v>9628</v>
      </c>
    </row>
    <row r="4212" spans="1:32" hidden="1" x14ac:dyDescent="0.35">
      <c r="A4212">
        <v>4602</v>
      </c>
      <c r="B4212" t="s">
        <v>9619</v>
      </c>
      <c r="C4212" t="s">
        <v>72</v>
      </c>
      <c r="D4212" t="s">
        <v>34</v>
      </c>
      <c r="E4212">
        <v>1929</v>
      </c>
      <c r="F4212">
        <v>5</v>
      </c>
      <c r="G4212">
        <v>5</v>
      </c>
      <c r="H4212">
        <v>1</v>
      </c>
      <c r="I4212">
        <v>1</v>
      </c>
      <c r="J4212">
        <v>0.88706311945748595</v>
      </c>
      <c r="K4212">
        <v>0.94619018278906997</v>
      </c>
      <c r="L4212">
        <v>0.91567315233128499</v>
      </c>
      <c r="M4212">
        <v>0.75046210720887196</v>
      </c>
      <c r="N4212">
        <v>0.99815157116451003</v>
      </c>
      <c r="O4212">
        <v>0.82181146025878005</v>
      </c>
      <c r="P4212" t="s">
        <v>9626</v>
      </c>
      <c r="Q4212" t="s">
        <v>9627</v>
      </c>
      <c r="R4212" t="s">
        <v>224</v>
      </c>
      <c r="S4212" t="s">
        <v>225</v>
      </c>
      <c r="T4212" t="s">
        <v>9620</v>
      </c>
      <c r="U4212" t="s">
        <v>9621</v>
      </c>
      <c r="V4212" t="s">
        <v>9622</v>
      </c>
      <c r="W4212" t="s">
        <v>9623</v>
      </c>
      <c r="X4212" t="s">
        <v>9622</v>
      </c>
      <c r="Y4212" t="s">
        <v>1598</v>
      </c>
      <c r="AD4212" t="s">
        <v>2991</v>
      </c>
      <c r="AE4212" t="s">
        <v>9624</v>
      </c>
      <c r="AF4212" t="s">
        <v>9629</v>
      </c>
    </row>
    <row r="4213" spans="1:32" hidden="1" x14ac:dyDescent="0.35">
      <c r="A4213">
        <v>4603</v>
      </c>
      <c r="B4213" t="s">
        <v>9619</v>
      </c>
      <c r="C4213" t="s">
        <v>72</v>
      </c>
      <c r="D4213" t="s">
        <v>45</v>
      </c>
      <c r="E4213">
        <v>944</v>
      </c>
      <c r="F4213">
        <v>5</v>
      </c>
      <c r="G4213">
        <v>5</v>
      </c>
      <c r="H4213">
        <v>1</v>
      </c>
      <c r="I4213">
        <v>1</v>
      </c>
      <c r="J4213">
        <v>0.88706311945748595</v>
      </c>
      <c r="K4213">
        <v>0.94619018278906997</v>
      </c>
      <c r="L4213">
        <v>0.91567315233128499</v>
      </c>
      <c r="M4213">
        <v>0.75046210720887196</v>
      </c>
      <c r="N4213">
        <v>0.99815157116451003</v>
      </c>
      <c r="O4213">
        <v>0.82181146025878005</v>
      </c>
      <c r="P4213" t="s">
        <v>9626</v>
      </c>
      <c r="Q4213" t="s">
        <v>9627</v>
      </c>
      <c r="R4213" t="s">
        <v>224</v>
      </c>
      <c r="S4213" t="s">
        <v>225</v>
      </c>
      <c r="T4213" t="s">
        <v>9620</v>
      </c>
      <c r="U4213" t="s">
        <v>9621</v>
      </c>
      <c r="V4213" t="s">
        <v>9622</v>
      </c>
      <c r="W4213" t="s">
        <v>9623</v>
      </c>
      <c r="X4213" t="s">
        <v>9622</v>
      </c>
      <c r="Y4213" t="s">
        <v>1598</v>
      </c>
      <c r="AD4213" t="s">
        <v>2991</v>
      </c>
      <c r="AE4213" t="s">
        <v>9624</v>
      </c>
      <c r="AF4213" t="s">
        <v>9630</v>
      </c>
    </row>
    <row r="4214" spans="1:32" hidden="1" x14ac:dyDescent="0.35">
      <c r="A4214">
        <v>11882</v>
      </c>
      <c r="B4214" t="s">
        <v>24456</v>
      </c>
      <c r="C4214" t="s">
        <v>10130</v>
      </c>
      <c r="D4214" t="s">
        <v>45</v>
      </c>
      <c r="E4214">
        <v>1405</v>
      </c>
      <c r="F4214">
        <v>1</v>
      </c>
      <c r="G4214">
        <v>1</v>
      </c>
      <c r="H4214">
        <v>1</v>
      </c>
      <c r="I4214">
        <v>0</v>
      </c>
      <c r="J4214">
        <v>1</v>
      </c>
      <c r="K4214">
        <v>1</v>
      </c>
      <c r="L4214">
        <v>1</v>
      </c>
      <c r="M4214">
        <v>0</v>
      </c>
      <c r="N4214">
        <v>0</v>
      </c>
      <c r="O4214">
        <v>0</v>
      </c>
      <c r="P4214" t="s">
        <v>14160</v>
      </c>
      <c r="Q4214" t="s">
        <v>14161</v>
      </c>
      <c r="R4214" t="s">
        <v>224</v>
      </c>
      <c r="S4214" t="s">
        <v>225</v>
      </c>
      <c r="T4214" t="s">
        <v>14162</v>
      </c>
      <c r="U4214" t="s">
        <v>14163</v>
      </c>
      <c r="V4214" t="s">
        <v>14164</v>
      </c>
      <c r="W4214" t="s">
        <v>14165</v>
      </c>
      <c r="AD4214" t="s">
        <v>12828</v>
      </c>
      <c r="AE4214" t="s">
        <v>14166</v>
      </c>
      <c r="AF4214" t="s">
        <v>24457</v>
      </c>
    </row>
    <row r="4215" spans="1:32" hidden="1" x14ac:dyDescent="0.35">
      <c r="A4215">
        <v>11237</v>
      </c>
      <c r="B4215" t="s">
        <v>22834</v>
      </c>
      <c r="C4215" t="s">
        <v>33</v>
      </c>
      <c r="D4215" t="s">
        <v>58</v>
      </c>
      <c r="E4215">
        <v>1604</v>
      </c>
      <c r="F4215">
        <v>1</v>
      </c>
      <c r="G4215">
        <v>1</v>
      </c>
      <c r="H4215">
        <v>1</v>
      </c>
      <c r="I4215">
        <v>0</v>
      </c>
      <c r="J4215">
        <v>1</v>
      </c>
      <c r="K4215">
        <v>1</v>
      </c>
      <c r="L4215">
        <v>1</v>
      </c>
      <c r="M4215">
        <v>0</v>
      </c>
      <c r="N4215">
        <v>0</v>
      </c>
      <c r="O4215">
        <v>0</v>
      </c>
      <c r="P4215" t="s">
        <v>13784</v>
      </c>
      <c r="Q4215" t="s">
        <v>13785</v>
      </c>
      <c r="R4215" t="s">
        <v>138</v>
      </c>
      <c r="S4215" t="s">
        <v>139</v>
      </c>
      <c r="T4215" t="s">
        <v>13786</v>
      </c>
      <c r="U4215" t="s">
        <v>407</v>
      </c>
      <c r="V4215" t="s">
        <v>13787</v>
      </c>
      <c r="W4215" t="s">
        <v>13788</v>
      </c>
      <c r="AD4215" t="s">
        <v>410</v>
      </c>
      <c r="AE4215" t="s">
        <v>411</v>
      </c>
      <c r="AF4215" t="s">
        <v>22835</v>
      </c>
    </row>
    <row r="4216" spans="1:32" hidden="1" x14ac:dyDescent="0.35">
      <c r="A4216">
        <v>4009</v>
      </c>
      <c r="B4216" t="s">
        <v>8279</v>
      </c>
      <c r="C4216" t="s">
        <v>72</v>
      </c>
      <c r="D4216" t="s">
        <v>58</v>
      </c>
      <c r="E4216">
        <v>270</v>
      </c>
      <c r="F4216">
        <v>5</v>
      </c>
      <c r="G4216">
        <v>5</v>
      </c>
      <c r="H4216">
        <v>1</v>
      </c>
      <c r="I4216">
        <v>1</v>
      </c>
      <c r="J4216">
        <v>0.72057548968625396</v>
      </c>
      <c r="K4216">
        <v>0.95791044776119405</v>
      </c>
      <c r="L4216">
        <v>0.82246359599627294</v>
      </c>
      <c r="M4216">
        <v>0.49253731343283602</v>
      </c>
      <c r="N4216">
        <v>0.99502487562189101</v>
      </c>
      <c r="O4216">
        <v>0.65771144278606997</v>
      </c>
      <c r="P4216" t="s">
        <v>8280</v>
      </c>
      <c r="Q4216" t="s">
        <v>8281</v>
      </c>
      <c r="R4216" t="s">
        <v>652</v>
      </c>
      <c r="S4216" t="s">
        <v>653</v>
      </c>
      <c r="V4216" t="s">
        <v>8282</v>
      </c>
      <c r="W4216" t="s">
        <v>8283</v>
      </c>
      <c r="X4216" t="s">
        <v>8282</v>
      </c>
      <c r="Y4216" t="s">
        <v>5826</v>
      </c>
      <c r="AF4216" t="s">
        <v>8284</v>
      </c>
    </row>
    <row r="4217" spans="1:32" hidden="1" x14ac:dyDescent="0.35">
      <c r="A4217">
        <v>2739</v>
      </c>
      <c r="B4217" t="s">
        <v>5664</v>
      </c>
      <c r="C4217" t="s">
        <v>72</v>
      </c>
      <c r="D4217" t="s">
        <v>58</v>
      </c>
      <c r="E4217">
        <v>336</v>
      </c>
      <c r="F4217">
        <v>5</v>
      </c>
      <c r="G4217">
        <v>5</v>
      </c>
      <c r="H4217">
        <v>1</v>
      </c>
      <c r="I4217">
        <v>1</v>
      </c>
      <c r="J4217">
        <v>0.85224421522163396</v>
      </c>
      <c r="K4217">
        <v>0.98823341399935805</v>
      </c>
      <c r="L4217">
        <v>0.91521483010489901</v>
      </c>
      <c r="M4217">
        <v>0.74104683195592302</v>
      </c>
      <c r="N4217">
        <v>1</v>
      </c>
      <c r="O4217">
        <v>0.80495867768594997</v>
      </c>
      <c r="P4217" t="s">
        <v>3800</v>
      </c>
      <c r="Q4217" t="s">
        <v>3801</v>
      </c>
      <c r="R4217" t="s">
        <v>5665</v>
      </c>
      <c r="S4217" t="s">
        <v>5666</v>
      </c>
      <c r="T4217" t="s">
        <v>5667</v>
      </c>
      <c r="U4217" t="s">
        <v>5668</v>
      </c>
      <c r="V4217" t="s">
        <v>5669</v>
      </c>
      <c r="W4217" t="s">
        <v>5670</v>
      </c>
      <c r="Z4217" t="s">
        <v>5671</v>
      </c>
      <c r="AA4217" t="s">
        <v>5672</v>
      </c>
      <c r="AB4217" t="s">
        <v>5671</v>
      </c>
      <c r="AC4217" t="s">
        <v>4023</v>
      </c>
      <c r="AD4217" t="s">
        <v>245</v>
      </c>
      <c r="AE4217" t="s">
        <v>5673</v>
      </c>
      <c r="AF4217" t="s">
        <v>5674</v>
      </c>
    </row>
    <row r="4218" spans="1:32" hidden="1" x14ac:dyDescent="0.35">
      <c r="A4218">
        <v>2740</v>
      </c>
      <c r="B4218" t="s">
        <v>5664</v>
      </c>
      <c r="C4218" t="s">
        <v>72</v>
      </c>
      <c r="D4218" t="s">
        <v>60</v>
      </c>
      <c r="E4218">
        <v>572</v>
      </c>
      <c r="F4218">
        <v>5</v>
      </c>
      <c r="G4218">
        <v>5</v>
      </c>
      <c r="H4218">
        <v>1</v>
      </c>
      <c r="I4218">
        <v>1</v>
      </c>
      <c r="J4218">
        <v>0.85224421522163396</v>
      </c>
      <c r="K4218">
        <v>0.98823341399935805</v>
      </c>
      <c r="L4218">
        <v>0.91521483010489901</v>
      </c>
      <c r="M4218">
        <v>0.74104683195592302</v>
      </c>
      <c r="N4218">
        <v>1</v>
      </c>
      <c r="O4218">
        <v>0.80495867768594997</v>
      </c>
      <c r="P4218" t="s">
        <v>3800</v>
      </c>
      <c r="Q4218" t="s">
        <v>3801</v>
      </c>
      <c r="R4218" t="s">
        <v>5665</v>
      </c>
      <c r="S4218" t="s">
        <v>5666</v>
      </c>
      <c r="T4218" t="s">
        <v>5667</v>
      </c>
      <c r="U4218" t="s">
        <v>5668</v>
      </c>
      <c r="V4218" t="s">
        <v>5669</v>
      </c>
      <c r="W4218" t="s">
        <v>5670</v>
      </c>
      <c r="Z4218" t="s">
        <v>5671</v>
      </c>
      <c r="AA4218" t="s">
        <v>5672</v>
      </c>
      <c r="AB4218" t="s">
        <v>5671</v>
      </c>
      <c r="AC4218" t="s">
        <v>4023</v>
      </c>
      <c r="AD4218" t="s">
        <v>245</v>
      </c>
      <c r="AE4218" t="s">
        <v>5673</v>
      </c>
      <c r="AF4218" t="s">
        <v>5675</v>
      </c>
    </row>
    <row r="4219" spans="1:32" hidden="1" x14ac:dyDescent="0.35">
      <c r="A4219">
        <v>2741</v>
      </c>
      <c r="B4219" t="s">
        <v>5664</v>
      </c>
      <c r="C4219" t="s">
        <v>72</v>
      </c>
      <c r="D4219" t="s">
        <v>62</v>
      </c>
      <c r="E4219">
        <v>656</v>
      </c>
      <c r="F4219">
        <v>5</v>
      </c>
      <c r="G4219">
        <v>5</v>
      </c>
      <c r="H4219">
        <v>1</v>
      </c>
      <c r="I4219">
        <v>1</v>
      </c>
      <c r="J4219">
        <v>0.85224421522163396</v>
      </c>
      <c r="K4219">
        <v>0.98823341399935805</v>
      </c>
      <c r="L4219">
        <v>0.91521483010489901</v>
      </c>
      <c r="M4219">
        <v>0.74104683195592302</v>
      </c>
      <c r="N4219">
        <v>1</v>
      </c>
      <c r="O4219">
        <v>0.80495867768594997</v>
      </c>
      <c r="P4219" t="s">
        <v>3800</v>
      </c>
      <c r="Q4219" t="s">
        <v>3801</v>
      </c>
      <c r="R4219" t="s">
        <v>5665</v>
      </c>
      <c r="S4219" t="s">
        <v>5666</v>
      </c>
      <c r="T4219" t="s">
        <v>5667</v>
      </c>
      <c r="U4219" t="s">
        <v>5668</v>
      </c>
      <c r="V4219" t="s">
        <v>5669</v>
      </c>
      <c r="W4219" t="s">
        <v>5670</v>
      </c>
      <c r="Z4219" t="s">
        <v>5671</v>
      </c>
      <c r="AA4219" t="s">
        <v>5672</v>
      </c>
      <c r="AB4219" t="s">
        <v>5671</v>
      </c>
      <c r="AC4219" t="s">
        <v>4023</v>
      </c>
      <c r="AD4219" t="s">
        <v>245</v>
      </c>
      <c r="AE4219" t="s">
        <v>5673</v>
      </c>
      <c r="AF4219" t="s">
        <v>5675</v>
      </c>
    </row>
    <row r="4220" spans="1:32" hidden="1" x14ac:dyDescent="0.35">
      <c r="A4220">
        <v>2742</v>
      </c>
      <c r="B4220" t="s">
        <v>5664</v>
      </c>
      <c r="C4220" t="s">
        <v>72</v>
      </c>
      <c r="D4220" t="s">
        <v>34</v>
      </c>
      <c r="E4220">
        <v>520</v>
      </c>
      <c r="F4220">
        <v>5</v>
      </c>
      <c r="G4220">
        <v>5</v>
      </c>
      <c r="H4220">
        <v>1</v>
      </c>
      <c r="I4220">
        <v>1</v>
      </c>
      <c r="J4220">
        <v>0.85224421522163396</v>
      </c>
      <c r="K4220">
        <v>0.98823341399935805</v>
      </c>
      <c r="L4220">
        <v>0.91521483010489901</v>
      </c>
      <c r="M4220">
        <v>0.74104683195592302</v>
      </c>
      <c r="N4220">
        <v>1</v>
      </c>
      <c r="O4220">
        <v>0.80495867768594997</v>
      </c>
      <c r="P4220" t="s">
        <v>3800</v>
      </c>
      <c r="Q4220" t="s">
        <v>3801</v>
      </c>
      <c r="R4220" t="s">
        <v>5665</v>
      </c>
      <c r="S4220" t="s">
        <v>5666</v>
      </c>
      <c r="T4220" t="s">
        <v>5667</v>
      </c>
      <c r="U4220" t="s">
        <v>5668</v>
      </c>
      <c r="V4220" t="s">
        <v>5669</v>
      </c>
      <c r="W4220" t="s">
        <v>5670</v>
      </c>
      <c r="Z4220" t="s">
        <v>5671</v>
      </c>
      <c r="AA4220" t="s">
        <v>5672</v>
      </c>
      <c r="AB4220" t="s">
        <v>5671</v>
      </c>
      <c r="AC4220" t="s">
        <v>4023</v>
      </c>
      <c r="AD4220" t="s">
        <v>245</v>
      </c>
      <c r="AE4220" t="s">
        <v>5673</v>
      </c>
      <c r="AF4220" t="s">
        <v>5676</v>
      </c>
    </row>
    <row r="4221" spans="1:32" hidden="1" x14ac:dyDescent="0.35">
      <c r="A4221">
        <v>2743</v>
      </c>
      <c r="B4221" t="s">
        <v>5664</v>
      </c>
      <c r="C4221" t="s">
        <v>72</v>
      </c>
      <c r="D4221" t="s">
        <v>45</v>
      </c>
      <c r="E4221">
        <v>1785</v>
      </c>
      <c r="F4221">
        <v>5</v>
      </c>
      <c r="G4221">
        <v>5</v>
      </c>
      <c r="H4221">
        <v>1</v>
      </c>
      <c r="I4221">
        <v>1</v>
      </c>
      <c r="J4221">
        <v>0.85224421522163396</v>
      </c>
      <c r="K4221">
        <v>0.98823341399935805</v>
      </c>
      <c r="L4221">
        <v>0.91521483010489901</v>
      </c>
      <c r="M4221">
        <v>0.74104683195592302</v>
      </c>
      <c r="N4221">
        <v>1</v>
      </c>
      <c r="O4221">
        <v>0.80495867768594997</v>
      </c>
      <c r="P4221" t="s">
        <v>3800</v>
      </c>
      <c r="Q4221" t="s">
        <v>3801</v>
      </c>
      <c r="R4221" t="s">
        <v>5665</v>
      </c>
      <c r="S4221" t="s">
        <v>5666</v>
      </c>
      <c r="T4221" t="s">
        <v>5667</v>
      </c>
      <c r="U4221" t="s">
        <v>5668</v>
      </c>
      <c r="V4221" t="s">
        <v>5669</v>
      </c>
      <c r="W4221" t="s">
        <v>5670</v>
      </c>
      <c r="Z4221" t="s">
        <v>5671</v>
      </c>
      <c r="AA4221" t="s">
        <v>5672</v>
      </c>
      <c r="AB4221" t="s">
        <v>5671</v>
      </c>
      <c r="AC4221" t="s">
        <v>4023</v>
      </c>
      <c r="AD4221" t="s">
        <v>245</v>
      </c>
      <c r="AE4221" t="s">
        <v>5673</v>
      </c>
      <c r="AF4221" t="s">
        <v>5676</v>
      </c>
    </row>
    <row r="4222" spans="1:32" hidden="1" x14ac:dyDescent="0.35">
      <c r="A4222">
        <v>3619</v>
      </c>
      <c r="B4222" t="s">
        <v>7452</v>
      </c>
      <c r="C4222" t="s">
        <v>72</v>
      </c>
      <c r="D4222" t="s">
        <v>58</v>
      </c>
      <c r="E4222">
        <v>840</v>
      </c>
      <c r="F4222">
        <v>5</v>
      </c>
      <c r="G4222">
        <v>5</v>
      </c>
      <c r="H4222">
        <v>1</v>
      </c>
      <c r="I4222">
        <v>1</v>
      </c>
      <c r="J4222">
        <v>0.81254293449711101</v>
      </c>
      <c r="K4222">
        <v>0.97652878656160003</v>
      </c>
      <c r="L4222">
        <v>0.88702041009749599</v>
      </c>
      <c r="M4222">
        <v>0.67100591715976299</v>
      </c>
      <c r="N4222">
        <v>0.99053254437869798</v>
      </c>
      <c r="O4222">
        <v>0.75207100591716003</v>
      </c>
      <c r="P4222" t="s">
        <v>7453</v>
      </c>
      <c r="Q4222" t="s">
        <v>7454</v>
      </c>
      <c r="R4222" t="s">
        <v>7455</v>
      </c>
      <c r="S4222" t="s">
        <v>7456</v>
      </c>
      <c r="T4222" t="s">
        <v>7457</v>
      </c>
      <c r="U4222" t="s">
        <v>7458</v>
      </c>
      <c r="V4222" t="s">
        <v>7459</v>
      </c>
      <c r="W4222" t="s">
        <v>7460</v>
      </c>
      <c r="X4222" t="s">
        <v>7459</v>
      </c>
      <c r="Y4222" t="s">
        <v>589</v>
      </c>
      <c r="AD4222" t="s">
        <v>997</v>
      </c>
      <c r="AE4222" t="s">
        <v>1287</v>
      </c>
      <c r="AF4222" t="s">
        <v>7461</v>
      </c>
    </row>
    <row r="4223" spans="1:32" hidden="1" x14ac:dyDescent="0.35">
      <c r="A4223">
        <v>3620</v>
      </c>
      <c r="B4223" t="s">
        <v>7452</v>
      </c>
      <c r="C4223" t="s">
        <v>72</v>
      </c>
      <c r="D4223" t="s">
        <v>60</v>
      </c>
      <c r="E4223">
        <v>1159</v>
      </c>
      <c r="F4223">
        <v>5</v>
      </c>
      <c r="G4223">
        <v>5</v>
      </c>
      <c r="H4223">
        <v>1</v>
      </c>
      <c r="I4223">
        <v>1</v>
      </c>
      <c r="J4223">
        <v>0.81254293449711101</v>
      </c>
      <c r="K4223">
        <v>0.97652878656160003</v>
      </c>
      <c r="L4223">
        <v>0.88702041009749599</v>
      </c>
      <c r="M4223">
        <v>0.67100591715976299</v>
      </c>
      <c r="N4223">
        <v>0.99053254437869798</v>
      </c>
      <c r="O4223">
        <v>0.75207100591716003</v>
      </c>
      <c r="P4223" t="s">
        <v>7453</v>
      </c>
      <c r="Q4223" t="s">
        <v>7454</v>
      </c>
      <c r="R4223" t="s">
        <v>7455</v>
      </c>
      <c r="S4223" t="s">
        <v>7456</v>
      </c>
      <c r="T4223" t="s">
        <v>7457</v>
      </c>
      <c r="U4223" t="s">
        <v>7458</v>
      </c>
      <c r="V4223" t="s">
        <v>7459</v>
      </c>
      <c r="W4223" t="s">
        <v>7460</v>
      </c>
      <c r="X4223" t="s">
        <v>7459</v>
      </c>
      <c r="Y4223" t="s">
        <v>589</v>
      </c>
      <c r="AD4223" t="s">
        <v>997</v>
      </c>
      <c r="AE4223" t="s">
        <v>1287</v>
      </c>
      <c r="AF4223" t="s">
        <v>7462</v>
      </c>
    </row>
    <row r="4224" spans="1:32" hidden="1" x14ac:dyDescent="0.35">
      <c r="A4224">
        <v>3621</v>
      </c>
      <c r="B4224" t="s">
        <v>7452</v>
      </c>
      <c r="C4224" t="s">
        <v>72</v>
      </c>
      <c r="D4224" t="s">
        <v>62</v>
      </c>
      <c r="E4224">
        <v>1196</v>
      </c>
      <c r="F4224">
        <v>5</v>
      </c>
      <c r="G4224">
        <v>5</v>
      </c>
      <c r="H4224">
        <v>1</v>
      </c>
      <c r="I4224">
        <v>1</v>
      </c>
      <c r="J4224">
        <v>0.81254293449711101</v>
      </c>
      <c r="K4224">
        <v>0.97652878656160003</v>
      </c>
      <c r="L4224">
        <v>0.88702041009749599</v>
      </c>
      <c r="M4224">
        <v>0.67100591715976299</v>
      </c>
      <c r="N4224">
        <v>0.99053254437869798</v>
      </c>
      <c r="O4224">
        <v>0.75207100591716003</v>
      </c>
      <c r="P4224" t="s">
        <v>7453</v>
      </c>
      <c r="Q4224" t="s">
        <v>7454</v>
      </c>
      <c r="R4224" t="s">
        <v>7455</v>
      </c>
      <c r="S4224" t="s">
        <v>7456</v>
      </c>
      <c r="T4224" t="s">
        <v>7457</v>
      </c>
      <c r="U4224" t="s">
        <v>7458</v>
      </c>
      <c r="V4224" t="s">
        <v>7459</v>
      </c>
      <c r="W4224" t="s">
        <v>7460</v>
      </c>
      <c r="X4224" t="s">
        <v>7459</v>
      </c>
      <c r="Y4224" t="s">
        <v>589</v>
      </c>
      <c r="AD4224" t="s">
        <v>997</v>
      </c>
      <c r="AE4224" t="s">
        <v>1287</v>
      </c>
      <c r="AF4224" t="s">
        <v>7463</v>
      </c>
    </row>
    <row r="4225" spans="1:32" hidden="1" x14ac:dyDescent="0.35">
      <c r="A4225">
        <v>3622</v>
      </c>
      <c r="B4225" t="s">
        <v>7452</v>
      </c>
      <c r="C4225" t="s">
        <v>72</v>
      </c>
      <c r="D4225" t="s">
        <v>34</v>
      </c>
      <c r="E4225">
        <v>2516</v>
      </c>
      <c r="F4225">
        <v>5</v>
      </c>
      <c r="G4225">
        <v>5</v>
      </c>
      <c r="H4225">
        <v>1</v>
      </c>
      <c r="I4225">
        <v>1</v>
      </c>
      <c r="J4225">
        <v>0.81254293449711101</v>
      </c>
      <c r="K4225">
        <v>0.97652878656160003</v>
      </c>
      <c r="L4225">
        <v>0.88702041009749599</v>
      </c>
      <c r="M4225">
        <v>0.67100591715976299</v>
      </c>
      <c r="N4225">
        <v>0.99053254437869798</v>
      </c>
      <c r="O4225">
        <v>0.75207100591716003</v>
      </c>
      <c r="P4225" t="s">
        <v>7453</v>
      </c>
      <c r="Q4225" t="s">
        <v>7454</v>
      </c>
      <c r="R4225" t="s">
        <v>7455</v>
      </c>
      <c r="S4225" t="s">
        <v>7456</v>
      </c>
      <c r="T4225" t="s">
        <v>7457</v>
      </c>
      <c r="U4225" t="s">
        <v>7458</v>
      </c>
      <c r="V4225" t="s">
        <v>7459</v>
      </c>
      <c r="W4225" t="s">
        <v>7460</v>
      </c>
      <c r="X4225" t="s">
        <v>7459</v>
      </c>
      <c r="Y4225" t="s">
        <v>589</v>
      </c>
      <c r="AD4225" t="s">
        <v>997</v>
      </c>
      <c r="AE4225" t="s">
        <v>1287</v>
      </c>
      <c r="AF4225" t="s">
        <v>7464</v>
      </c>
    </row>
    <row r="4226" spans="1:32" hidden="1" x14ac:dyDescent="0.35">
      <c r="A4226">
        <v>3623</v>
      </c>
      <c r="B4226" t="s">
        <v>7452</v>
      </c>
      <c r="C4226" t="s">
        <v>72</v>
      </c>
      <c r="D4226" t="s">
        <v>45</v>
      </c>
      <c r="E4226">
        <v>1242</v>
      </c>
      <c r="F4226">
        <v>5</v>
      </c>
      <c r="G4226">
        <v>5</v>
      </c>
      <c r="H4226">
        <v>1</v>
      </c>
      <c r="I4226">
        <v>1</v>
      </c>
      <c r="J4226">
        <v>0.81254293449711101</v>
      </c>
      <c r="K4226">
        <v>0.97652878656160003</v>
      </c>
      <c r="L4226">
        <v>0.88702041009749599</v>
      </c>
      <c r="M4226">
        <v>0.67100591715976299</v>
      </c>
      <c r="N4226">
        <v>0.99053254437869798</v>
      </c>
      <c r="O4226">
        <v>0.75207100591716003</v>
      </c>
      <c r="P4226" t="s">
        <v>7453</v>
      </c>
      <c r="Q4226" t="s">
        <v>7454</v>
      </c>
      <c r="R4226" t="s">
        <v>7455</v>
      </c>
      <c r="S4226" t="s">
        <v>7456</v>
      </c>
      <c r="T4226" t="s">
        <v>7457</v>
      </c>
      <c r="U4226" t="s">
        <v>7458</v>
      </c>
      <c r="V4226" t="s">
        <v>7459</v>
      </c>
      <c r="W4226" t="s">
        <v>7460</v>
      </c>
      <c r="X4226" t="s">
        <v>7459</v>
      </c>
      <c r="Y4226" t="s">
        <v>589</v>
      </c>
      <c r="AD4226" t="s">
        <v>997</v>
      </c>
      <c r="AE4226" t="s">
        <v>1287</v>
      </c>
      <c r="AF4226" t="s">
        <v>7465</v>
      </c>
    </row>
    <row r="4227" spans="1:32" hidden="1" x14ac:dyDescent="0.35">
      <c r="A4227">
        <v>1</v>
      </c>
      <c r="B4227" t="s">
        <v>32</v>
      </c>
      <c r="C4227" t="s">
        <v>72</v>
      </c>
      <c r="D4227" t="s">
        <v>34</v>
      </c>
      <c r="E4227">
        <v>312</v>
      </c>
      <c r="F4227">
        <v>2</v>
      </c>
      <c r="G4227">
        <v>23</v>
      </c>
      <c r="H4227">
        <v>13</v>
      </c>
      <c r="I4227">
        <v>0</v>
      </c>
      <c r="J4227">
        <v>0.83406188057076103</v>
      </c>
      <c r="K4227">
        <v>0.75229903410726895</v>
      </c>
      <c r="L4227">
        <v>0.79107338227181001</v>
      </c>
      <c r="M4227">
        <v>0.49006622516556297</v>
      </c>
      <c r="N4227">
        <v>1</v>
      </c>
      <c r="O4227">
        <v>0.76627489987697295</v>
      </c>
      <c r="AF4227" t="s">
        <v>35</v>
      </c>
    </row>
    <row r="4228" spans="1:32" hidden="1" x14ac:dyDescent="0.35">
      <c r="A4228">
        <v>2</v>
      </c>
      <c r="B4228" t="s">
        <v>32</v>
      </c>
      <c r="C4228" t="s">
        <v>72</v>
      </c>
      <c r="D4228" t="s">
        <v>34</v>
      </c>
      <c r="E4228">
        <v>694</v>
      </c>
      <c r="F4228">
        <v>2</v>
      </c>
      <c r="G4228">
        <v>23</v>
      </c>
      <c r="H4228">
        <v>13</v>
      </c>
      <c r="I4228">
        <v>0</v>
      </c>
      <c r="J4228">
        <v>0.83406188057076103</v>
      </c>
      <c r="K4228">
        <v>0.75229903410726895</v>
      </c>
      <c r="L4228">
        <v>0.79107338227181001</v>
      </c>
      <c r="M4228">
        <v>0.49006622516556297</v>
      </c>
      <c r="N4228">
        <v>1</v>
      </c>
      <c r="O4228">
        <v>0.76627489987697295</v>
      </c>
      <c r="AF4228" t="s">
        <v>36</v>
      </c>
    </row>
    <row r="4229" spans="1:32" hidden="1" x14ac:dyDescent="0.35">
      <c r="A4229">
        <v>3</v>
      </c>
      <c r="B4229" t="s">
        <v>32</v>
      </c>
      <c r="C4229" t="s">
        <v>72</v>
      </c>
      <c r="D4229" t="s">
        <v>34</v>
      </c>
      <c r="E4229">
        <v>253</v>
      </c>
      <c r="F4229">
        <v>2</v>
      </c>
      <c r="G4229">
        <v>23</v>
      </c>
      <c r="H4229">
        <v>13</v>
      </c>
      <c r="I4229">
        <v>0</v>
      </c>
      <c r="J4229">
        <v>0.83406188057076103</v>
      </c>
      <c r="K4229">
        <v>0.75229903410726895</v>
      </c>
      <c r="L4229">
        <v>0.79107338227181001</v>
      </c>
      <c r="M4229">
        <v>0.49006622516556297</v>
      </c>
      <c r="N4229">
        <v>1</v>
      </c>
      <c r="O4229">
        <v>0.76627489987697295</v>
      </c>
      <c r="AF4229" t="s">
        <v>37</v>
      </c>
    </row>
    <row r="4230" spans="1:32" hidden="1" x14ac:dyDescent="0.35">
      <c r="A4230">
        <v>4</v>
      </c>
      <c r="B4230" t="s">
        <v>32</v>
      </c>
      <c r="C4230" t="s">
        <v>72</v>
      </c>
      <c r="D4230" t="s">
        <v>34</v>
      </c>
      <c r="E4230">
        <v>1738</v>
      </c>
      <c r="F4230">
        <v>2</v>
      </c>
      <c r="G4230">
        <v>23</v>
      </c>
      <c r="H4230">
        <v>13</v>
      </c>
      <c r="I4230">
        <v>0</v>
      </c>
      <c r="J4230">
        <v>0.83406188057076103</v>
      </c>
      <c r="K4230">
        <v>0.75229903410726895</v>
      </c>
      <c r="L4230">
        <v>0.79107338227181001</v>
      </c>
      <c r="M4230">
        <v>0.49006622516556297</v>
      </c>
      <c r="N4230">
        <v>1</v>
      </c>
      <c r="O4230">
        <v>0.76627489987697295</v>
      </c>
      <c r="AF4230" t="s">
        <v>38</v>
      </c>
    </row>
    <row r="4231" spans="1:32" hidden="1" x14ac:dyDescent="0.35">
      <c r="A4231">
        <v>5</v>
      </c>
      <c r="B4231" t="s">
        <v>32</v>
      </c>
      <c r="C4231" t="s">
        <v>72</v>
      </c>
      <c r="D4231" t="s">
        <v>34</v>
      </c>
      <c r="E4231">
        <v>1741</v>
      </c>
      <c r="F4231">
        <v>2</v>
      </c>
      <c r="G4231">
        <v>23</v>
      </c>
      <c r="H4231">
        <v>13</v>
      </c>
      <c r="I4231">
        <v>0</v>
      </c>
      <c r="J4231">
        <v>0.83406188057076103</v>
      </c>
      <c r="K4231">
        <v>0.75229903410726895</v>
      </c>
      <c r="L4231">
        <v>0.79107338227181001</v>
      </c>
      <c r="M4231">
        <v>0.49006622516556297</v>
      </c>
      <c r="N4231">
        <v>1</v>
      </c>
      <c r="O4231">
        <v>0.76627489987697295</v>
      </c>
      <c r="AF4231" t="s">
        <v>39</v>
      </c>
    </row>
    <row r="4232" spans="1:32" hidden="1" x14ac:dyDescent="0.35">
      <c r="A4232">
        <v>6</v>
      </c>
      <c r="B4232" t="s">
        <v>32</v>
      </c>
      <c r="C4232" t="s">
        <v>72</v>
      </c>
      <c r="D4232" t="s">
        <v>34</v>
      </c>
      <c r="E4232">
        <v>1739</v>
      </c>
      <c r="F4232">
        <v>2</v>
      </c>
      <c r="G4232">
        <v>23</v>
      </c>
      <c r="H4232">
        <v>13</v>
      </c>
      <c r="I4232">
        <v>0</v>
      </c>
      <c r="J4232">
        <v>0.83406188057076103</v>
      </c>
      <c r="K4232">
        <v>0.75229903410726895</v>
      </c>
      <c r="L4232">
        <v>0.79107338227181001</v>
      </c>
      <c r="M4232">
        <v>0.49006622516556297</v>
      </c>
      <c r="N4232">
        <v>1</v>
      </c>
      <c r="O4232">
        <v>0.76627489987697295</v>
      </c>
      <c r="AF4232" t="s">
        <v>40</v>
      </c>
    </row>
    <row r="4233" spans="1:32" hidden="1" x14ac:dyDescent="0.35">
      <c r="A4233">
        <v>7</v>
      </c>
      <c r="B4233" t="s">
        <v>32</v>
      </c>
      <c r="C4233" t="s">
        <v>72</v>
      </c>
      <c r="D4233" t="s">
        <v>34</v>
      </c>
      <c r="E4233">
        <v>1742</v>
      </c>
      <c r="F4233">
        <v>2</v>
      </c>
      <c r="G4233">
        <v>23</v>
      </c>
      <c r="H4233">
        <v>13</v>
      </c>
      <c r="I4233">
        <v>0</v>
      </c>
      <c r="J4233">
        <v>0.83406188057076103</v>
      </c>
      <c r="K4233">
        <v>0.75229903410726895</v>
      </c>
      <c r="L4233">
        <v>0.79107338227181001</v>
      </c>
      <c r="M4233">
        <v>0.49006622516556297</v>
      </c>
      <c r="N4233">
        <v>1</v>
      </c>
      <c r="O4233">
        <v>0.76627489987697295</v>
      </c>
      <c r="AF4233" t="s">
        <v>41</v>
      </c>
    </row>
    <row r="4234" spans="1:32" hidden="1" x14ac:dyDescent="0.35">
      <c r="A4234">
        <v>8</v>
      </c>
      <c r="B4234" t="s">
        <v>32</v>
      </c>
      <c r="C4234" t="s">
        <v>72</v>
      </c>
      <c r="D4234" t="s">
        <v>34</v>
      </c>
      <c r="E4234">
        <v>106</v>
      </c>
      <c r="F4234">
        <v>2</v>
      </c>
      <c r="G4234">
        <v>23</v>
      </c>
      <c r="H4234">
        <v>13</v>
      </c>
      <c r="I4234">
        <v>0</v>
      </c>
      <c r="J4234">
        <v>0.83406188057076103</v>
      </c>
      <c r="K4234">
        <v>0.75229903410726895</v>
      </c>
      <c r="L4234">
        <v>0.79107338227181001</v>
      </c>
      <c r="M4234">
        <v>0.49006622516556297</v>
      </c>
      <c r="N4234">
        <v>1</v>
      </c>
      <c r="O4234">
        <v>0.76627489987697295</v>
      </c>
      <c r="AF4234" t="s">
        <v>42</v>
      </c>
    </row>
    <row r="4235" spans="1:32" hidden="1" x14ac:dyDescent="0.35">
      <c r="A4235">
        <v>9</v>
      </c>
      <c r="B4235" t="s">
        <v>32</v>
      </c>
      <c r="C4235" t="s">
        <v>72</v>
      </c>
      <c r="D4235" t="s">
        <v>34</v>
      </c>
      <c r="E4235">
        <v>1743</v>
      </c>
      <c r="F4235">
        <v>2</v>
      </c>
      <c r="G4235">
        <v>23</v>
      </c>
      <c r="H4235">
        <v>13</v>
      </c>
      <c r="I4235">
        <v>0</v>
      </c>
      <c r="J4235">
        <v>0.83406188057076103</v>
      </c>
      <c r="K4235">
        <v>0.75229903410726895</v>
      </c>
      <c r="L4235">
        <v>0.79107338227181001</v>
      </c>
      <c r="M4235">
        <v>0.49006622516556297</v>
      </c>
      <c r="N4235">
        <v>1</v>
      </c>
      <c r="O4235">
        <v>0.76627489987697295</v>
      </c>
      <c r="AF4235" t="s">
        <v>43</v>
      </c>
    </row>
    <row r="4236" spans="1:32" hidden="1" x14ac:dyDescent="0.35">
      <c r="A4236">
        <v>10</v>
      </c>
      <c r="B4236" t="s">
        <v>32</v>
      </c>
      <c r="C4236" t="s">
        <v>72</v>
      </c>
      <c r="D4236" t="s">
        <v>34</v>
      </c>
      <c r="E4236">
        <v>1740</v>
      </c>
      <c r="F4236">
        <v>2</v>
      </c>
      <c r="G4236">
        <v>23</v>
      </c>
      <c r="H4236">
        <v>13</v>
      </c>
      <c r="I4236">
        <v>0</v>
      </c>
      <c r="J4236">
        <v>0.83406188057076103</v>
      </c>
      <c r="K4236">
        <v>0.75229903410726895</v>
      </c>
      <c r="L4236">
        <v>0.79107338227181001</v>
      </c>
      <c r="M4236">
        <v>0.49006622516556297</v>
      </c>
      <c r="N4236">
        <v>1</v>
      </c>
      <c r="O4236">
        <v>0.76627489987697295</v>
      </c>
      <c r="AF4236" t="s">
        <v>44</v>
      </c>
    </row>
    <row r="4237" spans="1:32" hidden="1" x14ac:dyDescent="0.35">
      <c r="A4237">
        <v>11</v>
      </c>
      <c r="B4237" t="s">
        <v>32</v>
      </c>
      <c r="C4237" t="s">
        <v>72</v>
      </c>
      <c r="D4237" t="s">
        <v>45</v>
      </c>
      <c r="E4237">
        <v>1574</v>
      </c>
      <c r="F4237">
        <v>2</v>
      </c>
      <c r="G4237">
        <v>23</v>
      </c>
      <c r="H4237">
        <v>13</v>
      </c>
      <c r="I4237">
        <v>0</v>
      </c>
      <c r="J4237">
        <v>0.83406188057076103</v>
      </c>
      <c r="K4237">
        <v>0.75229903410726895</v>
      </c>
      <c r="L4237">
        <v>0.79107338227181001</v>
      </c>
      <c r="M4237">
        <v>0.49006622516556297</v>
      </c>
      <c r="N4237">
        <v>1</v>
      </c>
      <c r="O4237">
        <v>0.76627489987697295</v>
      </c>
      <c r="AF4237" t="s">
        <v>35</v>
      </c>
    </row>
    <row r="4238" spans="1:32" hidden="1" x14ac:dyDescent="0.35">
      <c r="A4238">
        <v>12</v>
      </c>
      <c r="B4238" t="s">
        <v>32</v>
      </c>
      <c r="C4238" t="s">
        <v>72</v>
      </c>
      <c r="D4238" t="s">
        <v>45</v>
      </c>
      <c r="E4238">
        <v>1131</v>
      </c>
      <c r="F4238">
        <v>2</v>
      </c>
      <c r="G4238">
        <v>23</v>
      </c>
      <c r="H4238">
        <v>13</v>
      </c>
      <c r="I4238">
        <v>0</v>
      </c>
      <c r="J4238">
        <v>0.83406188057076103</v>
      </c>
      <c r="K4238">
        <v>0.75229903410726895</v>
      </c>
      <c r="L4238">
        <v>0.79107338227181001</v>
      </c>
      <c r="M4238">
        <v>0.49006622516556297</v>
      </c>
      <c r="N4238">
        <v>1</v>
      </c>
      <c r="O4238">
        <v>0.76627489987697295</v>
      </c>
      <c r="AF4238" t="s">
        <v>46</v>
      </c>
    </row>
    <row r="4239" spans="1:32" hidden="1" x14ac:dyDescent="0.35">
      <c r="A4239">
        <v>13</v>
      </c>
      <c r="B4239" t="s">
        <v>32</v>
      </c>
      <c r="C4239" t="s">
        <v>72</v>
      </c>
      <c r="D4239" t="s">
        <v>45</v>
      </c>
      <c r="E4239">
        <v>1368</v>
      </c>
      <c r="F4239">
        <v>2</v>
      </c>
      <c r="G4239">
        <v>23</v>
      </c>
      <c r="H4239">
        <v>13</v>
      </c>
      <c r="I4239">
        <v>0</v>
      </c>
      <c r="J4239">
        <v>0.83406188057076103</v>
      </c>
      <c r="K4239">
        <v>0.75229903410726895</v>
      </c>
      <c r="L4239">
        <v>0.79107338227181001</v>
      </c>
      <c r="M4239">
        <v>0.49006622516556297</v>
      </c>
      <c r="N4239">
        <v>1</v>
      </c>
      <c r="O4239">
        <v>0.76627489987697295</v>
      </c>
      <c r="AF4239" t="s">
        <v>47</v>
      </c>
    </row>
    <row r="4240" spans="1:32" hidden="1" x14ac:dyDescent="0.35">
      <c r="A4240">
        <v>14</v>
      </c>
      <c r="B4240" t="s">
        <v>32</v>
      </c>
      <c r="C4240" t="s">
        <v>72</v>
      </c>
      <c r="D4240" t="s">
        <v>45</v>
      </c>
      <c r="E4240">
        <v>1960</v>
      </c>
      <c r="F4240">
        <v>2</v>
      </c>
      <c r="G4240">
        <v>23</v>
      </c>
      <c r="H4240">
        <v>13</v>
      </c>
      <c r="I4240">
        <v>0</v>
      </c>
      <c r="J4240">
        <v>0.83406188057076103</v>
      </c>
      <c r="K4240">
        <v>0.75229903410726895</v>
      </c>
      <c r="L4240">
        <v>0.79107338227181001</v>
      </c>
      <c r="M4240">
        <v>0.49006622516556297</v>
      </c>
      <c r="N4240">
        <v>1</v>
      </c>
      <c r="O4240">
        <v>0.76627489987697295</v>
      </c>
      <c r="AF4240" t="s">
        <v>48</v>
      </c>
    </row>
    <row r="4241" spans="1:32" hidden="1" x14ac:dyDescent="0.35">
      <c r="A4241">
        <v>15</v>
      </c>
      <c r="B4241" t="s">
        <v>32</v>
      </c>
      <c r="C4241" t="s">
        <v>72</v>
      </c>
      <c r="D4241" t="s">
        <v>45</v>
      </c>
      <c r="E4241">
        <v>851</v>
      </c>
      <c r="F4241">
        <v>2</v>
      </c>
      <c r="G4241">
        <v>23</v>
      </c>
      <c r="H4241">
        <v>13</v>
      </c>
      <c r="I4241">
        <v>0</v>
      </c>
      <c r="J4241">
        <v>0.83406188057076103</v>
      </c>
      <c r="K4241">
        <v>0.75229903410726895</v>
      </c>
      <c r="L4241">
        <v>0.79107338227181001</v>
      </c>
      <c r="M4241">
        <v>0.49006622516556297</v>
      </c>
      <c r="N4241">
        <v>1</v>
      </c>
      <c r="O4241">
        <v>0.76627489987697295</v>
      </c>
      <c r="AF4241" t="s">
        <v>49</v>
      </c>
    </row>
    <row r="4242" spans="1:32" hidden="1" x14ac:dyDescent="0.35">
      <c r="A4242">
        <v>16</v>
      </c>
      <c r="B4242" t="s">
        <v>32</v>
      </c>
      <c r="C4242" t="s">
        <v>72</v>
      </c>
      <c r="D4242" t="s">
        <v>45</v>
      </c>
      <c r="E4242">
        <v>1516</v>
      </c>
      <c r="F4242">
        <v>2</v>
      </c>
      <c r="G4242">
        <v>23</v>
      </c>
      <c r="H4242">
        <v>13</v>
      </c>
      <c r="I4242">
        <v>0</v>
      </c>
      <c r="J4242">
        <v>0.83406188057076103</v>
      </c>
      <c r="K4242">
        <v>0.75229903410726895</v>
      </c>
      <c r="L4242">
        <v>0.79107338227181001</v>
      </c>
      <c r="M4242">
        <v>0.49006622516556297</v>
      </c>
      <c r="N4242">
        <v>1</v>
      </c>
      <c r="O4242">
        <v>0.76627489987697295</v>
      </c>
      <c r="AF4242" t="s">
        <v>50</v>
      </c>
    </row>
    <row r="4243" spans="1:32" hidden="1" x14ac:dyDescent="0.35">
      <c r="A4243">
        <v>17</v>
      </c>
      <c r="B4243" t="s">
        <v>32</v>
      </c>
      <c r="C4243" t="s">
        <v>72</v>
      </c>
      <c r="D4243" t="s">
        <v>45</v>
      </c>
      <c r="E4243">
        <v>1348</v>
      </c>
      <c r="F4243">
        <v>2</v>
      </c>
      <c r="G4243">
        <v>23</v>
      </c>
      <c r="H4243">
        <v>13</v>
      </c>
      <c r="I4243">
        <v>0</v>
      </c>
      <c r="J4243">
        <v>0.83406188057076103</v>
      </c>
      <c r="K4243">
        <v>0.75229903410726895</v>
      </c>
      <c r="L4243">
        <v>0.79107338227181001</v>
      </c>
      <c r="M4243">
        <v>0.49006622516556297</v>
      </c>
      <c r="N4243">
        <v>1</v>
      </c>
      <c r="O4243">
        <v>0.76627489987697295</v>
      </c>
      <c r="AF4243" t="s">
        <v>51</v>
      </c>
    </row>
    <row r="4244" spans="1:32" hidden="1" x14ac:dyDescent="0.35">
      <c r="A4244">
        <v>18</v>
      </c>
      <c r="B4244" t="s">
        <v>32</v>
      </c>
      <c r="C4244" t="s">
        <v>72</v>
      </c>
      <c r="D4244" t="s">
        <v>45</v>
      </c>
      <c r="E4244">
        <v>648</v>
      </c>
      <c r="F4244">
        <v>2</v>
      </c>
      <c r="G4244">
        <v>23</v>
      </c>
      <c r="H4244">
        <v>13</v>
      </c>
      <c r="I4244">
        <v>0</v>
      </c>
      <c r="J4244">
        <v>0.83406188057076103</v>
      </c>
      <c r="K4244">
        <v>0.75229903410726895</v>
      </c>
      <c r="L4244">
        <v>0.79107338227181001</v>
      </c>
      <c r="M4244">
        <v>0.49006622516556297</v>
      </c>
      <c r="N4244">
        <v>1</v>
      </c>
      <c r="O4244">
        <v>0.76627489987697295</v>
      </c>
      <c r="AF4244" t="s">
        <v>52</v>
      </c>
    </row>
    <row r="4245" spans="1:32" hidden="1" x14ac:dyDescent="0.35">
      <c r="A4245">
        <v>19</v>
      </c>
      <c r="B4245" t="s">
        <v>32</v>
      </c>
      <c r="C4245" t="s">
        <v>72</v>
      </c>
      <c r="D4245" t="s">
        <v>45</v>
      </c>
      <c r="E4245">
        <v>1130</v>
      </c>
      <c r="F4245">
        <v>2</v>
      </c>
      <c r="G4245">
        <v>23</v>
      </c>
      <c r="H4245">
        <v>13</v>
      </c>
      <c r="I4245">
        <v>0</v>
      </c>
      <c r="J4245">
        <v>0.83406188057076103</v>
      </c>
      <c r="K4245">
        <v>0.75229903410726895</v>
      </c>
      <c r="L4245">
        <v>0.79107338227181001</v>
      </c>
      <c r="M4245">
        <v>0.49006622516556297</v>
      </c>
      <c r="N4245">
        <v>1</v>
      </c>
      <c r="O4245">
        <v>0.76627489987697295</v>
      </c>
      <c r="AF4245" t="s">
        <v>53</v>
      </c>
    </row>
    <row r="4246" spans="1:32" hidden="1" x14ac:dyDescent="0.35">
      <c r="A4246">
        <v>20</v>
      </c>
      <c r="B4246" t="s">
        <v>32</v>
      </c>
      <c r="C4246" t="s">
        <v>72</v>
      </c>
      <c r="D4246" t="s">
        <v>45</v>
      </c>
      <c r="E4246">
        <v>1135</v>
      </c>
      <c r="F4246">
        <v>2</v>
      </c>
      <c r="G4246">
        <v>23</v>
      </c>
      <c r="H4246">
        <v>13</v>
      </c>
      <c r="I4246">
        <v>0</v>
      </c>
      <c r="J4246">
        <v>0.83406188057076103</v>
      </c>
      <c r="K4246">
        <v>0.75229903410726895</v>
      </c>
      <c r="L4246">
        <v>0.79107338227181001</v>
      </c>
      <c r="M4246">
        <v>0.49006622516556297</v>
      </c>
      <c r="N4246">
        <v>1</v>
      </c>
      <c r="O4246">
        <v>0.76627489987697295</v>
      </c>
      <c r="AF4246" t="s">
        <v>54</v>
      </c>
    </row>
    <row r="4247" spans="1:32" hidden="1" x14ac:dyDescent="0.35">
      <c r="A4247">
        <v>21</v>
      </c>
      <c r="B4247" t="s">
        <v>32</v>
      </c>
      <c r="C4247" t="s">
        <v>72</v>
      </c>
      <c r="D4247" t="s">
        <v>45</v>
      </c>
      <c r="E4247">
        <v>1132</v>
      </c>
      <c r="F4247">
        <v>2</v>
      </c>
      <c r="G4247">
        <v>23</v>
      </c>
      <c r="H4247">
        <v>13</v>
      </c>
      <c r="I4247">
        <v>0</v>
      </c>
      <c r="J4247">
        <v>0.83406188057076103</v>
      </c>
      <c r="K4247">
        <v>0.75229903410726895</v>
      </c>
      <c r="L4247">
        <v>0.79107338227181001</v>
      </c>
      <c r="M4247">
        <v>0.49006622516556297</v>
      </c>
      <c r="N4247">
        <v>1</v>
      </c>
      <c r="O4247">
        <v>0.76627489987697295</v>
      </c>
      <c r="AF4247" t="s">
        <v>55</v>
      </c>
    </row>
    <row r="4248" spans="1:32" hidden="1" x14ac:dyDescent="0.35">
      <c r="A4248">
        <v>22</v>
      </c>
      <c r="B4248" t="s">
        <v>32</v>
      </c>
      <c r="C4248" t="s">
        <v>72</v>
      </c>
      <c r="D4248" t="s">
        <v>45</v>
      </c>
      <c r="E4248">
        <v>1134</v>
      </c>
      <c r="F4248">
        <v>2</v>
      </c>
      <c r="G4248">
        <v>23</v>
      </c>
      <c r="H4248">
        <v>13</v>
      </c>
      <c r="I4248">
        <v>0</v>
      </c>
      <c r="J4248">
        <v>0.83406188057076103</v>
      </c>
      <c r="K4248">
        <v>0.75229903410726895</v>
      </c>
      <c r="L4248">
        <v>0.79107338227181001</v>
      </c>
      <c r="M4248">
        <v>0.49006622516556297</v>
      </c>
      <c r="N4248">
        <v>1</v>
      </c>
      <c r="O4248">
        <v>0.76627489987697295</v>
      </c>
      <c r="AF4248" t="e">
        <f>--------------------------MAKRLFQQVADEARPPAILGR-PGCGPPDYFTDVLLDDLVESGAWLDLELKKPFLALWVNSEDFDNPD-WEDPIIGLTQKNLRKFAAMAPAIDLESLRGMKVYHNHMYDDTHSPGLLLSVSAYKI</f>
        <v>#NAME?</v>
      </c>
    </row>
    <row r="4249" spans="1:32" hidden="1" x14ac:dyDescent="0.35">
      <c r="A4249">
        <v>23</v>
      </c>
      <c r="B4249" t="s">
        <v>32</v>
      </c>
      <c r="C4249" t="s">
        <v>72</v>
      </c>
      <c r="D4249" t="s">
        <v>45</v>
      </c>
      <c r="E4249">
        <v>1133</v>
      </c>
      <c r="F4249">
        <v>2</v>
      </c>
      <c r="G4249">
        <v>23</v>
      </c>
      <c r="H4249">
        <v>13</v>
      </c>
      <c r="I4249">
        <v>0</v>
      </c>
      <c r="J4249">
        <v>0.83406188057076103</v>
      </c>
      <c r="K4249">
        <v>0.75229903410726895</v>
      </c>
      <c r="L4249">
        <v>0.79107338227181001</v>
      </c>
      <c r="M4249">
        <v>0.49006622516556297</v>
      </c>
      <c r="N4249">
        <v>1</v>
      </c>
      <c r="O4249">
        <v>0.76627489987697295</v>
      </c>
      <c r="AF4249" t="s">
        <v>44</v>
      </c>
    </row>
    <row r="4250" spans="1:32" hidden="1" x14ac:dyDescent="0.35">
      <c r="A4250">
        <v>24</v>
      </c>
      <c r="B4250" t="s">
        <v>56</v>
      </c>
      <c r="C4250" t="s">
        <v>72</v>
      </c>
      <c r="D4250" t="s">
        <v>58</v>
      </c>
      <c r="E4250">
        <v>431</v>
      </c>
      <c r="F4250">
        <v>3</v>
      </c>
      <c r="G4250">
        <v>14</v>
      </c>
      <c r="H4250">
        <v>5</v>
      </c>
      <c r="I4250">
        <v>0</v>
      </c>
      <c r="J4250">
        <v>0.98744113029827296</v>
      </c>
      <c r="K4250">
        <v>1</v>
      </c>
      <c r="L4250">
        <v>0.99368088467614502</v>
      </c>
      <c r="M4250">
        <v>0.97142857142857097</v>
      </c>
      <c r="N4250">
        <v>1</v>
      </c>
      <c r="O4250">
        <v>0.98744113029827296</v>
      </c>
      <c r="AF4250" t="s">
        <v>59</v>
      </c>
    </row>
    <row r="4251" spans="1:32" hidden="1" x14ac:dyDescent="0.35">
      <c r="A4251">
        <v>25</v>
      </c>
      <c r="B4251" t="s">
        <v>56</v>
      </c>
      <c r="C4251" t="s">
        <v>72</v>
      </c>
      <c r="D4251" t="s">
        <v>58</v>
      </c>
      <c r="E4251">
        <v>857</v>
      </c>
      <c r="F4251">
        <v>3</v>
      </c>
      <c r="G4251">
        <v>14</v>
      </c>
      <c r="H4251">
        <v>5</v>
      </c>
      <c r="I4251">
        <v>0</v>
      </c>
      <c r="J4251">
        <v>0.98744113029827296</v>
      </c>
      <c r="K4251">
        <v>1</v>
      </c>
      <c r="L4251">
        <v>0.99368088467614502</v>
      </c>
      <c r="M4251">
        <v>0.97142857142857097</v>
      </c>
      <c r="N4251">
        <v>1</v>
      </c>
      <c r="O4251">
        <v>0.98744113029827296</v>
      </c>
      <c r="AF4251" t="s">
        <v>59</v>
      </c>
    </row>
    <row r="4252" spans="1:32" hidden="1" x14ac:dyDescent="0.35">
      <c r="A4252">
        <v>26</v>
      </c>
      <c r="B4252" t="s">
        <v>56</v>
      </c>
      <c r="C4252" t="s">
        <v>72</v>
      </c>
      <c r="D4252" t="s">
        <v>58</v>
      </c>
      <c r="E4252">
        <v>1613</v>
      </c>
      <c r="F4252">
        <v>3</v>
      </c>
      <c r="G4252">
        <v>14</v>
      </c>
      <c r="H4252">
        <v>5</v>
      </c>
      <c r="I4252">
        <v>0</v>
      </c>
      <c r="J4252">
        <v>0.98744113029827296</v>
      </c>
      <c r="K4252">
        <v>1</v>
      </c>
      <c r="L4252">
        <v>0.99368088467614502</v>
      </c>
      <c r="M4252">
        <v>0.97142857142857097</v>
      </c>
      <c r="N4252">
        <v>1</v>
      </c>
      <c r="O4252">
        <v>0.98744113029827296</v>
      </c>
      <c r="AF4252" t="s">
        <v>59</v>
      </c>
    </row>
    <row r="4253" spans="1:32" hidden="1" x14ac:dyDescent="0.35">
      <c r="A4253">
        <v>27</v>
      </c>
      <c r="B4253" t="s">
        <v>56</v>
      </c>
      <c r="C4253" t="s">
        <v>72</v>
      </c>
      <c r="D4253" t="s">
        <v>58</v>
      </c>
      <c r="E4253">
        <v>1837</v>
      </c>
      <c r="F4253">
        <v>3</v>
      </c>
      <c r="G4253">
        <v>14</v>
      </c>
      <c r="H4253">
        <v>5</v>
      </c>
      <c r="I4253">
        <v>0</v>
      </c>
      <c r="J4253">
        <v>0.98744113029827296</v>
      </c>
      <c r="K4253">
        <v>1</v>
      </c>
      <c r="L4253">
        <v>0.99368088467614502</v>
      </c>
      <c r="M4253">
        <v>0.97142857142857097</v>
      </c>
      <c r="N4253">
        <v>1</v>
      </c>
      <c r="O4253">
        <v>0.98744113029827296</v>
      </c>
      <c r="AF4253" t="s">
        <v>59</v>
      </c>
    </row>
    <row r="4254" spans="1:32" hidden="1" x14ac:dyDescent="0.35">
      <c r="A4254">
        <v>28</v>
      </c>
      <c r="B4254" t="s">
        <v>56</v>
      </c>
      <c r="C4254" t="s">
        <v>72</v>
      </c>
      <c r="D4254" t="s">
        <v>60</v>
      </c>
      <c r="E4254">
        <v>699</v>
      </c>
      <c r="F4254">
        <v>3</v>
      </c>
      <c r="G4254">
        <v>14</v>
      </c>
      <c r="H4254">
        <v>5</v>
      </c>
      <c r="I4254">
        <v>0</v>
      </c>
      <c r="J4254">
        <v>0.98744113029827296</v>
      </c>
      <c r="K4254">
        <v>1</v>
      </c>
      <c r="L4254">
        <v>0.99368088467614502</v>
      </c>
      <c r="M4254">
        <v>0.97142857142857097</v>
      </c>
      <c r="N4254">
        <v>1</v>
      </c>
      <c r="O4254">
        <v>0.98744113029827296</v>
      </c>
      <c r="AF4254" t="s">
        <v>61</v>
      </c>
    </row>
    <row r="4255" spans="1:32" hidden="1" x14ac:dyDescent="0.35">
      <c r="A4255">
        <v>29</v>
      </c>
      <c r="B4255" t="s">
        <v>56</v>
      </c>
      <c r="C4255" t="s">
        <v>72</v>
      </c>
      <c r="D4255" t="s">
        <v>60</v>
      </c>
      <c r="E4255">
        <v>814</v>
      </c>
      <c r="F4255">
        <v>3</v>
      </c>
      <c r="G4255">
        <v>14</v>
      </c>
      <c r="H4255">
        <v>5</v>
      </c>
      <c r="I4255">
        <v>0</v>
      </c>
      <c r="J4255">
        <v>0.98744113029827296</v>
      </c>
      <c r="K4255">
        <v>1</v>
      </c>
      <c r="L4255">
        <v>0.99368088467614502</v>
      </c>
      <c r="M4255">
        <v>0.97142857142857097</v>
      </c>
      <c r="N4255">
        <v>1</v>
      </c>
      <c r="O4255">
        <v>0.98744113029827296</v>
      </c>
      <c r="AF4255" t="s">
        <v>61</v>
      </c>
    </row>
    <row r="4256" spans="1:32" hidden="1" x14ac:dyDescent="0.35">
      <c r="A4256">
        <v>30</v>
      </c>
      <c r="B4256" t="s">
        <v>56</v>
      </c>
      <c r="C4256" t="s">
        <v>72</v>
      </c>
      <c r="D4256" t="s">
        <v>60</v>
      </c>
      <c r="E4256">
        <v>1177</v>
      </c>
      <c r="F4256">
        <v>3</v>
      </c>
      <c r="G4256">
        <v>14</v>
      </c>
      <c r="H4256">
        <v>5</v>
      </c>
      <c r="I4256">
        <v>0</v>
      </c>
      <c r="J4256">
        <v>0.98744113029827296</v>
      </c>
      <c r="K4256">
        <v>1</v>
      </c>
      <c r="L4256">
        <v>0.99368088467614502</v>
      </c>
      <c r="M4256">
        <v>0.97142857142857097</v>
      </c>
      <c r="N4256">
        <v>1</v>
      </c>
      <c r="O4256">
        <v>0.98744113029827296</v>
      </c>
      <c r="AF4256" t="s">
        <v>61</v>
      </c>
    </row>
    <row r="4257" spans="1:32" hidden="1" x14ac:dyDescent="0.35">
      <c r="A4257">
        <v>31</v>
      </c>
      <c r="B4257" t="s">
        <v>56</v>
      </c>
      <c r="C4257" t="s">
        <v>72</v>
      </c>
      <c r="D4257" t="s">
        <v>60</v>
      </c>
      <c r="E4257">
        <v>2139</v>
      </c>
      <c r="F4257">
        <v>3</v>
      </c>
      <c r="G4257">
        <v>14</v>
      </c>
      <c r="H4257">
        <v>5</v>
      </c>
      <c r="I4257">
        <v>0</v>
      </c>
      <c r="J4257">
        <v>0.98744113029827296</v>
      </c>
      <c r="K4257">
        <v>1</v>
      </c>
      <c r="L4257">
        <v>0.99368088467614502</v>
      </c>
      <c r="M4257">
        <v>0.97142857142857097</v>
      </c>
      <c r="N4257">
        <v>1</v>
      </c>
      <c r="O4257">
        <v>0.98744113029827296</v>
      </c>
      <c r="AF4257" t="s">
        <v>61</v>
      </c>
    </row>
    <row r="4258" spans="1:32" hidden="1" x14ac:dyDescent="0.35">
      <c r="A4258">
        <v>32</v>
      </c>
      <c r="B4258" t="s">
        <v>56</v>
      </c>
      <c r="C4258" t="s">
        <v>72</v>
      </c>
      <c r="D4258" t="s">
        <v>60</v>
      </c>
      <c r="E4258">
        <v>2475</v>
      </c>
      <c r="F4258">
        <v>3</v>
      </c>
      <c r="G4258">
        <v>14</v>
      </c>
      <c r="H4258">
        <v>5</v>
      </c>
      <c r="I4258">
        <v>0</v>
      </c>
      <c r="J4258">
        <v>0.98744113029827296</v>
      </c>
      <c r="K4258">
        <v>1</v>
      </c>
      <c r="L4258">
        <v>0.99368088467614502</v>
      </c>
      <c r="M4258">
        <v>0.97142857142857097</v>
      </c>
      <c r="N4258">
        <v>1</v>
      </c>
      <c r="O4258">
        <v>0.98744113029827296</v>
      </c>
      <c r="AF4258" t="s">
        <v>61</v>
      </c>
    </row>
    <row r="4259" spans="1:32" hidden="1" x14ac:dyDescent="0.35">
      <c r="A4259">
        <v>33</v>
      </c>
      <c r="B4259" t="s">
        <v>56</v>
      </c>
      <c r="C4259" t="s">
        <v>72</v>
      </c>
      <c r="D4259" t="s">
        <v>62</v>
      </c>
      <c r="E4259">
        <v>3</v>
      </c>
      <c r="F4259">
        <v>3</v>
      </c>
      <c r="G4259">
        <v>14</v>
      </c>
      <c r="H4259">
        <v>5</v>
      </c>
      <c r="I4259">
        <v>0</v>
      </c>
      <c r="J4259">
        <v>0.98744113029827296</v>
      </c>
      <c r="K4259">
        <v>1</v>
      </c>
      <c r="L4259">
        <v>0.99368088467614502</v>
      </c>
      <c r="M4259">
        <v>0.97142857142857097</v>
      </c>
      <c r="N4259">
        <v>1</v>
      </c>
      <c r="O4259">
        <v>0.98744113029827296</v>
      </c>
      <c r="AF4259" t="s">
        <v>61</v>
      </c>
    </row>
    <row r="4260" spans="1:32" hidden="1" x14ac:dyDescent="0.35">
      <c r="A4260">
        <v>34</v>
      </c>
      <c r="B4260" t="s">
        <v>56</v>
      </c>
      <c r="C4260" t="s">
        <v>72</v>
      </c>
      <c r="D4260" t="s">
        <v>62</v>
      </c>
      <c r="E4260">
        <v>729</v>
      </c>
      <c r="F4260">
        <v>3</v>
      </c>
      <c r="G4260">
        <v>14</v>
      </c>
      <c r="H4260">
        <v>5</v>
      </c>
      <c r="I4260">
        <v>0</v>
      </c>
      <c r="J4260">
        <v>0.98744113029827296</v>
      </c>
      <c r="K4260">
        <v>1</v>
      </c>
      <c r="L4260">
        <v>0.99368088467614502</v>
      </c>
      <c r="M4260">
        <v>0.97142857142857097</v>
      </c>
      <c r="N4260">
        <v>1</v>
      </c>
      <c r="O4260">
        <v>0.98744113029827296</v>
      </c>
      <c r="AF4260" t="s">
        <v>61</v>
      </c>
    </row>
    <row r="4261" spans="1:32" hidden="1" x14ac:dyDescent="0.35">
      <c r="A4261">
        <v>35</v>
      </c>
      <c r="B4261" t="s">
        <v>56</v>
      </c>
      <c r="C4261" t="s">
        <v>72</v>
      </c>
      <c r="D4261" t="s">
        <v>62</v>
      </c>
      <c r="E4261">
        <v>847</v>
      </c>
      <c r="F4261">
        <v>3</v>
      </c>
      <c r="G4261">
        <v>14</v>
      </c>
      <c r="H4261">
        <v>5</v>
      </c>
      <c r="I4261">
        <v>0</v>
      </c>
      <c r="J4261">
        <v>0.98744113029827296</v>
      </c>
      <c r="K4261">
        <v>1</v>
      </c>
      <c r="L4261">
        <v>0.99368088467614502</v>
      </c>
      <c r="M4261">
        <v>0.97142857142857097</v>
      </c>
      <c r="N4261">
        <v>1</v>
      </c>
      <c r="O4261">
        <v>0.98744113029827296</v>
      </c>
      <c r="AF4261" t="s">
        <v>61</v>
      </c>
    </row>
    <row r="4262" spans="1:32" hidden="1" x14ac:dyDescent="0.35">
      <c r="A4262">
        <v>36</v>
      </c>
      <c r="B4262" t="s">
        <v>56</v>
      </c>
      <c r="C4262" t="s">
        <v>72</v>
      </c>
      <c r="D4262" t="s">
        <v>62</v>
      </c>
      <c r="E4262">
        <v>1213</v>
      </c>
      <c r="F4262">
        <v>3</v>
      </c>
      <c r="G4262">
        <v>14</v>
      </c>
      <c r="H4262">
        <v>5</v>
      </c>
      <c r="I4262">
        <v>0</v>
      </c>
      <c r="J4262">
        <v>0.98744113029827296</v>
      </c>
      <c r="K4262">
        <v>1</v>
      </c>
      <c r="L4262">
        <v>0.99368088467614502</v>
      </c>
      <c r="M4262">
        <v>0.97142857142857097</v>
      </c>
      <c r="N4262">
        <v>1</v>
      </c>
      <c r="O4262">
        <v>0.98744113029827296</v>
      </c>
      <c r="AF4262" t="s">
        <v>61</v>
      </c>
    </row>
    <row r="4263" spans="1:32" hidden="1" x14ac:dyDescent="0.35">
      <c r="A4263">
        <v>37</v>
      </c>
      <c r="B4263" t="s">
        <v>56</v>
      </c>
      <c r="C4263" t="s">
        <v>72</v>
      </c>
      <c r="D4263" t="s">
        <v>62</v>
      </c>
      <c r="E4263">
        <v>2173</v>
      </c>
      <c r="F4263">
        <v>3</v>
      </c>
      <c r="G4263">
        <v>14</v>
      </c>
      <c r="H4263">
        <v>5</v>
      </c>
      <c r="I4263">
        <v>0</v>
      </c>
      <c r="J4263">
        <v>0.98744113029827296</v>
      </c>
      <c r="K4263">
        <v>1</v>
      </c>
      <c r="L4263">
        <v>0.99368088467614502</v>
      </c>
      <c r="M4263">
        <v>0.97142857142857097</v>
      </c>
      <c r="N4263">
        <v>1</v>
      </c>
      <c r="O4263">
        <v>0.98744113029827296</v>
      </c>
      <c r="AF4263" t="s">
        <v>61</v>
      </c>
    </row>
    <row r="4264" spans="1:32" hidden="1" x14ac:dyDescent="0.35">
      <c r="A4264">
        <v>38</v>
      </c>
      <c r="B4264" t="s">
        <v>63</v>
      </c>
      <c r="C4264" t="s">
        <v>72</v>
      </c>
      <c r="D4264" t="s">
        <v>34</v>
      </c>
      <c r="E4264">
        <v>1256</v>
      </c>
      <c r="F4264">
        <v>2</v>
      </c>
      <c r="G4264">
        <v>11</v>
      </c>
      <c r="H4264">
        <v>10</v>
      </c>
      <c r="I4264">
        <v>0</v>
      </c>
      <c r="J4264">
        <v>0.95919796129827195</v>
      </c>
      <c r="K4264">
        <v>0.86867717262974098</v>
      </c>
      <c r="L4264">
        <v>0.91169616298922695</v>
      </c>
      <c r="M4264">
        <v>0.54545454545454497</v>
      </c>
      <c r="N4264">
        <v>1</v>
      </c>
      <c r="O4264">
        <v>0.83966942148760304</v>
      </c>
      <c r="P4264" t="s">
        <v>64</v>
      </c>
      <c r="Q4264" t="s">
        <v>65</v>
      </c>
      <c r="AF4264" t="e">
        <f t="shared" ref="AF4264:AF4269" si="0">------MDNLLTLANIITTSRLDHHCPPSLGVLTSVQITMLYLQENIRQQALASIFGTSQPTISRAINNVLNILDVVLPPPPRPKDLRPQRLYVLDGTLVPCWWWKNARNLYSGKHHKAGHNLQILTDQAGEIFYISPPLPGSTHDITAIRNTGLFDHMQPWHCTADKGYVGLGCDTPFKKRPGKPLLGWQRRFNKGINQIRYVVERSIAHLKVWRILSTPSRLPQPTTIRAINVIRKIMFYQPPTEPCFPSS</f>
        <v>#NAME?</v>
      </c>
    </row>
    <row r="4265" spans="1:32" hidden="1" x14ac:dyDescent="0.35">
      <c r="A4265">
        <v>39</v>
      </c>
      <c r="B4265" t="s">
        <v>63</v>
      </c>
      <c r="C4265" t="s">
        <v>72</v>
      </c>
      <c r="D4265" t="s">
        <v>34</v>
      </c>
      <c r="E4265">
        <v>1626</v>
      </c>
      <c r="F4265">
        <v>2</v>
      </c>
      <c r="G4265">
        <v>11</v>
      </c>
      <c r="H4265">
        <v>10</v>
      </c>
      <c r="I4265">
        <v>0</v>
      </c>
      <c r="J4265">
        <v>0.95919796129827195</v>
      </c>
      <c r="K4265">
        <v>0.86867717262974098</v>
      </c>
      <c r="L4265">
        <v>0.91169616298922695</v>
      </c>
      <c r="M4265">
        <v>0.54545454545454497</v>
      </c>
      <c r="N4265">
        <v>1</v>
      </c>
      <c r="O4265">
        <v>0.83966942148760304</v>
      </c>
      <c r="P4265" t="s">
        <v>64</v>
      </c>
      <c r="Q4265" t="s">
        <v>65</v>
      </c>
      <c r="AF4265" t="e">
        <f t="shared" si="0"/>
        <v>#NAME?</v>
      </c>
    </row>
    <row r="4266" spans="1:32" hidden="1" x14ac:dyDescent="0.35">
      <c r="A4266">
        <v>40</v>
      </c>
      <c r="B4266" t="s">
        <v>63</v>
      </c>
      <c r="C4266" t="s">
        <v>72</v>
      </c>
      <c r="D4266" t="s">
        <v>34</v>
      </c>
      <c r="E4266">
        <v>1627</v>
      </c>
      <c r="F4266">
        <v>2</v>
      </c>
      <c r="G4266">
        <v>11</v>
      </c>
      <c r="H4266">
        <v>10</v>
      </c>
      <c r="I4266">
        <v>0</v>
      </c>
      <c r="J4266">
        <v>0.95919796129827195</v>
      </c>
      <c r="K4266">
        <v>0.86867717262974098</v>
      </c>
      <c r="L4266">
        <v>0.91169616298922695</v>
      </c>
      <c r="M4266">
        <v>0.54545454545454497</v>
      </c>
      <c r="N4266">
        <v>1</v>
      </c>
      <c r="O4266">
        <v>0.83966942148760304</v>
      </c>
      <c r="P4266" t="s">
        <v>64</v>
      </c>
      <c r="Q4266" t="s">
        <v>65</v>
      </c>
      <c r="AF4266" t="e">
        <f t="shared" si="0"/>
        <v>#NAME?</v>
      </c>
    </row>
    <row r="4267" spans="1:32" hidden="1" x14ac:dyDescent="0.35">
      <c r="A4267">
        <v>41</v>
      </c>
      <c r="B4267" t="s">
        <v>63</v>
      </c>
      <c r="C4267" t="s">
        <v>72</v>
      </c>
      <c r="D4267" t="s">
        <v>34</v>
      </c>
      <c r="E4267">
        <v>2229</v>
      </c>
      <c r="F4267">
        <v>2</v>
      </c>
      <c r="G4267">
        <v>11</v>
      </c>
      <c r="H4267">
        <v>10</v>
      </c>
      <c r="I4267">
        <v>0</v>
      </c>
      <c r="J4267">
        <v>0.95919796129827195</v>
      </c>
      <c r="K4267">
        <v>0.86867717262974098</v>
      </c>
      <c r="L4267">
        <v>0.91169616298922695</v>
      </c>
      <c r="M4267">
        <v>0.54545454545454497</v>
      </c>
      <c r="N4267">
        <v>1</v>
      </c>
      <c r="O4267">
        <v>0.83966942148760304</v>
      </c>
      <c r="P4267" t="s">
        <v>64</v>
      </c>
      <c r="Q4267" t="s">
        <v>65</v>
      </c>
      <c r="AF4267" t="e">
        <f t="shared" si="0"/>
        <v>#NAME?</v>
      </c>
    </row>
    <row r="4268" spans="1:32" hidden="1" x14ac:dyDescent="0.35">
      <c r="A4268">
        <v>42</v>
      </c>
      <c r="B4268" t="s">
        <v>63</v>
      </c>
      <c r="C4268" t="s">
        <v>72</v>
      </c>
      <c r="D4268" t="s">
        <v>34</v>
      </c>
      <c r="E4268">
        <v>2230</v>
      </c>
      <c r="F4268">
        <v>2</v>
      </c>
      <c r="G4268">
        <v>11</v>
      </c>
      <c r="H4268">
        <v>10</v>
      </c>
      <c r="I4268">
        <v>0</v>
      </c>
      <c r="J4268">
        <v>0.95919796129827195</v>
      </c>
      <c r="K4268">
        <v>0.86867717262974098</v>
      </c>
      <c r="L4268">
        <v>0.91169616298922695</v>
      </c>
      <c r="M4268">
        <v>0.54545454545454497</v>
      </c>
      <c r="N4268">
        <v>1</v>
      </c>
      <c r="O4268">
        <v>0.83966942148760304</v>
      </c>
      <c r="P4268" t="s">
        <v>64</v>
      </c>
      <c r="Q4268" t="s">
        <v>65</v>
      </c>
      <c r="AF4268" t="e">
        <f t="shared" si="0"/>
        <v>#NAME?</v>
      </c>
    </row>
    <row r="4269" spans="1:32" hidden="1" x14ac:dyDescent="0.35">
      <c r="A4269">
        <v>43</v>
      </c>
      <c r="B4269" t="s">
        <v>63</v>
      </c>
      <c r="C4269" t="s">
        <v>72</v>
      </c>
      <c r="D4269" t="s">
        <v>34</v>
      </c>
      <c r="E4269">
        <v>2429</v>
      </c>
      <c r="F4269">
        <v>2</v>
      </c>
      <c r="G4269">
        <v>11</v>
      </c>
      <c r="H4269">
        <v>10</v>
      </c>
      <c r="I4269">
        <v>0</v>
      </c>
      <c r="J4269">
        <v>0.95919796129827195</v>
      </c>
      <c r="K4269">
        <v>0.86867717262974098</v>
      </c>
      <c r="L4269">
        <v>0.91169616298922695</v>
      </c>
      <c r="M4269">
        <v>0.54545454545454497</v>
      </c>
      <c r="N4269">
        <v>1</v>
      </c>
      <c r="O4269">
        <v>0.83966942148760304</v>
      </c>
      <c r="P4269" t="s">
        <v>64</v>
      </c>
      <c r="Q4269" t="s">
        <v>65</v>
      </c>
      <c r="AF4269" t="e">
        <f t="shared" si="0"/>
        <v>#NAME?</v>
      </c>
    </row>
    <row r="4270" spans="1:32" hidden="1" x14ac:dyDescent="0.35">
      <c r="A4270">
        <v>44</v>
      </c>
      <c r="B4270" t="s">
        <v>63</v>
      </c>
      <c r="C4270" t="s">
        <v>72</v>
      </c>
      <c r="D4270" t="s">
        <v>34</v>
      </c>
      <c r="E4270">
        <v>2356</v>
      </c>
      <c r="F4270">
        <v>2</v>
      </c>
      <c r="G4270">
        <v>11</v>
      </c>
      <c r="H4270">
        <v>10</v>
      </c>
      <c r="I4270">
        <v>0</v>
      </c>
      <c r="J4270">
        <v>0.95919796129827195</v>
      </c>
      <c r="K4270">
        <v>0.86867717262974098</v>
      </c>
      <c r="L4270">
        <v>0.91169616298922695</v>
      </c>
      <c r="M4270">
        <v>0.54545454545454497</v>
      </c>
      <c r="N4270">
        <v>1</v>
      </c>
      <c r="O4270">
        <v>0.83966942148760304</v>
      </c>
      <c r="P4270" t="s">
        <v>64</v>
      </c>
      <c r="Q4270" t="s">
        <v>65</v>
      </c>
      <c r="AF4270" t="e">
        <f>---------------------------------------MLYLQENIRQQALANIFGTSQPTISRAINNVLNMLDVVLPPPPRPKDLRPQRLYVLDGTLVPCWWWKNARNLYSGKHHRAGHNLQILTDQAGEIFYISEPLPGSTHDVTAIRNTGLFSYMQPWHCTADKGYVGLGCDTPFKRRPGKPLLGWQKRFNKGINQIRYVIERSIAHLKVWRILSTPCRLPQSTTIRAINVIRKIMFYQPPAEPCFPSS</f>
        <v>#NAME?</v>
      </c>
    </row>
    <row r="4271" spans="1:32" hidden="1" x14ac:dyDescent="0.35">
      <c r="A4271">
        <v>45</v>
      </c>
      <c r="B4271" t="s">
        <v>63</v>
      </c>
      <c r="C4271" t="s">
        <v>72</v>
      </c>
      <c r="D4271" t="s">
        <v>34</v>
      </c>
      <c r="E4271">
        <v>268</v>
      </c>
      <c r="F4271">
        <v>2</v>
      </c>
      <c r="G4271">
        <v>11</v>
      </c>
      <c r="H4271">
        <v>10</v>
      </c>
      <c r="I4271">
        <v>0</v>
      </c>
      <c r="J4271">
        <v>0.95919796129827195</v>
      </c>
      <c r="K4271">
        <v>0.86867717262974098</v>
      </c>
      <c r="L4271">
        <v>0.91169616298922695</v>
      </c>
      <c r="M4271">
        <v>0.54545454545454497</v>
      </c>
      <c r="N4271">
        <v>1</v>
      </c>
      <c r="O4271">
        <v>0.83966942148760304</v>
      </c>
      <c r="P4271" t="s">
        <v>64</v>
      </c>
      <c r="Q4271" t="s">
        <v>65</v>
      </c>
      <c r="AF4271" t="e">
        <f>---------------------------------------MLYLQENLRQQTLAGIFGTSQPTISRAINNVLNILNVVLPPPPQPVDLNPNRLYVLDGTLIPCWWWKNARNLYSGKHHRAGHNLQILTDQAGEIFYISPPLPGSTHDITAIRNTGLFGYMQPWHCTADKGYVGLGCDTPFKRRPGKPLLGWQRRFNKGINQIRYVVERSIAHLKVWRILSTPCRLPQSTTIRAINVIRKIMFYQPPAEPYFPSN</f>
        <v>#NAME?</v>
      </c>
    </row>
    <row r="4272" spans="1:32" hidden="1" x14ac:dyDescent="0.35">
      <c r="A4272">
        <v>46</v>
      </c>
      <c r="B4272" t="s">
        <v>63</v>
      </c>
      <c r="C4272" t="s">
        <v>72</v>
      </c>
      <c r="D4272" t="s">
        <v>34</v>
      </c>
      <c r="E4272">
        <v>1124</v>
      </c>
      <c r="F4272">
        <v>2</v>
      </c>
      <c r="G4272">
        <v>11</v>
      </c>
      <c r="H4272">
        <v>10</v>
      </c>
      <c r="I4272">
        <v>0</v>
      </c>
      <c r="J4272">
        <v>0.95919796129827195</v>
      </c>
      <c r="K4272">
        <v>0.86867717262974098</v>
      </c>
      <c r="L4272">
        <v>0.91169616298922695</v>
      </c>
      <c r="M4272">
        <v>0.54545454545454497</v>
      </c>
      <c r="N4272">
        <v>1</v>
      </c>
      <c r="O4272">
        <v>0.83966942148760304</v>
      </c>
      <c r="P4272" t="s">
        <v>64</v>
      </c>
      <c r="Q4272" t="s">
        <v>65</v>
      </c>
      <c r="AF4272" t="e">
        <f>-----------------------------------MQITMGYLQENLRQQTLAGIFGTSQPTISRAINNVLNILDVVLPPPPQPVDLNPNRLYVLDGTLIPCWWWKNARNLYSGKHHRAGHNLQVLTDQAGEIFYISPPLPGSTHDITAIRSTGLFSYMQPWHCTADKGYVGLGCDTPFKRRPGKPLLGWQRRFNKGINQIRYVVERSIAHLKTWRILSTPSRLPRNTTIRAINVIRRIMFYQPPAEPYFPSN</f>
        <v>#NAME?</v>
      </c>
    </row>
    <row r="4273" spans="1:32" hidden="1" x14ac:dyDescent="0.35">
      <c r="A4273">
        <v>47</v>
      </c>
      <c r="B4273" t="s">
        <v>63</v>
      </c>
      <c r="C4273" t="s">
        <v>72</v>
      </c>
      <c r="D4273" t="s">
        <v>34</v>
      </c>
      <c r="E4273">
        <v>2020</v>
      </c>
      <c r="F4273">
        <v>2</v>
      </c>
      <c r="G4273">
        <v>11</v>
      </c>
      <c r="H4273">
        <v>10</v>
      </c>
      <c r="I4273">
        <v>0</v>
      </c>
      <c r="J4273">
        <v>0.95919796129827195</v>
      </c>
      <c r="K4273">
        <v>0.86867717262974098</v>
      </c>
      <c r="L4273">
        <v>0.91169616298922695</v>
      </c>
      <c r="M4273">
        <v>0.54545454545454497</v>
      </c>
      <c r="N4273">
        <v>1</v>
      </c>
      <c r="O4273">
        <v>0.83966942148760304</v>
      </c>
      <c r="P4273" t="s">
        <v>64</v>
      </c>
      <c r="Q4273" t="s">
        <v>65</v>
      </c>
      <c r="AF4273" t="s">
        <v>66</v>
      </c>
    </row>
    <row r="4274" spans="1:32" hidden="1" x14ac:dyDescent="0.35">
      <c r="A4274">
        <v>48</v>
      </c>
      <c r="B4274" t="s">
        <v>63</v>
      </c>
      <c r="C4274" t="s">
        <v>72</v>
      </c>
      <c r="D4274" t="s">
        <v>45</v>
      </c>
      <c r="E4274">
        <v>2066</v>
      </c>
      <c r="F4274">
        <v>2</v>
      </c>
      <c r="G4274">
        <v>11</v>
      </c>
      <c r="H4274">
        <v>10</v>
      </c>
      <c r="I4274">
        <v>0</v>
      </c>
      <c r="J4274">
        <v>0.95919796129827195</v>
      </c>
      <c r="K4274">
        <v>0.86867717262974098</v>
      </c>
      <c r="L4274">
        <v>0.91169616298922695</v>
      </c>
      <c r="M4274">
        <v>0.54545454545454497</v>
      </c>
      <c r="N4274">
        <v>1</v>
      </c>
      <c r="O4274">
        <v>0.83966942148760304</v>
      </c>
      <c r="P4274" t="s">
        <v>64</v>
      </c>
      <c r="Q4274" t="s">
        <v>65</v>
      </c>
      <c r="AF4274" t="e">
        <f>-----------------------------------MQITMLYLQENLRQQTLAGIFGTSQPTISRAINTVLNILDMVLPPPPRPKDLSPQRLYVLDGTLIPCWWWKNARNLYSGKHHRAGHNLQILTDQAGEIFYISPPLPGSTHDITAIRNTGLFGYMQPWHCTADKGYVGLGCDTPFKRRPGKPLLGWQKRFNKGINQIRYVVERSIAHLKVWRILSTPSRLPRITTIRAINVIRKIMFYQPPTEPCFPSS</f>
        <v>#NAME?</v>
      </c>
    </row>
    <row r="4275" spans="1:32" hidden="1" x14ac:dyDescent="0.35">
      <c r="A4275">
        <v>49</v>
      </c>
      <c r="B4275" t="s">
        <v>67</v>
      </c>
      <c r="C4275" t="s">
        <v>72</v>
      </c>
      <c r="D4275" t="s">
        <v>60</v>
      </c>
      <c r="E4275">
        <v>700</v>
      </c>
      <c r="F4275">
        <v>2</v>
      </c>
      <c r="G4275">
        <v>10</v>
      </c>
      <c r="H4275">
        <v>5</v>
      </c>
      <c r="I4275">
        <v>0</v>
      </c>
      <c r="J4275">
        <v>0.99903381642512101</v>
      </c>
      <c r="K4275">
        <v>1</v>
      </c>
      <c r="L4275">
        <v>0.99951667472208805</v>
      </c>
      <c r="M4275">
        <v>0.98550724637681197</v>
      </c>
      <c r="N4275">
        <v>1</v>
      </c>
      <c r="O4275">
        <v>0.99710144927536204</v>
      </c>
      <c r="AF4275" t="s">
        <v>69</v>
      </c>
    </row>
    <row r="4276" spans="1:32" hidden="1" x14ac:dyDescent="0.35">
      <c r="A4276">
        <v>50</v>
      </c>
      <c r="B4276" t="s">
        <v>67</v>
      </c>
      <c r="C4276" t="s">
        <v>72</v>
      </c>
      <c r="D4276" t="s">
        <v>60</v>
      </c>
      <c r="E4276">
        <v>815</v>
      </c>
      <c r="F4276">
        <v>2</v>
      </c>
      <c r="G4276">
        <v>10</v>
      </c>
      <c r="H4276">
        <v>5</v>
      </c>
      <c r="I4276">
        <v>0</v>
      </c>
      <c r="J4276">
        <v>0.99903381642512101</v>
      </c>
      <c r="K4276">
        <v>1</v>
      </c>
      <c r="L4276">
        <v>0.99951667472208805</v>
      </c>
      <c r="M4276">
        <v>0.98550724637681197</v>
      </c>
      <c r="N4276">
        <v>1</v>
      </c>
      <c r="O4276">
        <v>0.99710144927536204</v>
      </c>
      <c r="AF4276" t="s">
        <v>69</v>
      </c>
    </row>
    <row r="4277" spans="1:32" hidden="1" x14ac:dyDescent="0.35">
      <c r="A4277">
        <v>51</v>
      </c>
      <c r="B4277" t="s">
        <v>67</v>
      </c>
      <c r="C4277" t="s">
        <v>72</v>
      </c>
      <c r="D4277" t="s">
        <v>60</v>
      </c>
      <c r="E4277">
        <v>2138</v>
      </c>
      <c r="F4277">
        <v>2</v>
      </c>
      <c r="G4277">
        <v>10</v>
      </c>
      <c r="H4277">
        <v>5</v>
      </c>
      <c r="I4277">
        <v>0</v>
      </c>
      <c r="J4277">
        <v>0.99903381642512101</v>
      </c>
      <c r="K4277">
        <v>1</v>
      </c>
      <c r="L4277">
        <v>0.99951667472208805</v>
      </c>
      <c r="M4277">
        <v>0.98550724637681197</v>
      </c>
      <c r="N4277">
        <v>1</v>
      </c>
      <c r="O4277">
        <v>0.99710144927536204</v>
      </c>
      <c r="AF4277" t="s">
        <v>69</v>
      </c>
    </row>
    <row r="4278" spans="1:32" hidden="1" x14ac:dyDescent="0.35">
      <c r="A4278">
        <v>52</v>
      </c>
      <c r="B4278" t="s">
        <v>67</v>
      </c>
      <c r="C4278" t="s">
        <v>72</v>
      </c>
      <c r="D4278" t="s">
        <v>60</v>
      </c>
      <c r="E4278">
        <v>2474</v>
      </c>
      <c r="F4278">
        <v>2</v>
      </c>
      <c r="G4278">
        <v>10</v>
      </c>
      <c r="H4278">
        <v>5</v>
      </c>
      <c r="I4278">
        <v>0</v>
      </c>
      <c r="J4278">
        <v>0.99903381642512101</v>
      </c>
      <c r="K4278">
        <v>1</v>
      </c>
      <c r="L4278">
        <v>0.99951667472208805</v>
      </c>
      <c r="M4278">
        <v>0.98550724637681197</v>
      </c>
      <c r="N4278">
        <v>1</v>
      </c>
      <c r="O4278">
        <v>0.99710144927536204</v>
      </c>
      <c r="AF4278" t="s">
        <v>69</v>
      </c>
    </row>
    <row r="4279" spans="1:32" hidden="1" x14ac:dyDescent="0.35">
      <c r="A4279">
        <v>53</v>
      </c>
      <c r="B4279" t="s">
        <v>67</v>
      </c>
      <c r="C4279" t="s">
        <v>72</v>
      </c>
      <c r="D4279" t="s">
        <v>60</v>
      </c>
      <c r="E4279">
        <v>1178</v>
      </c>
      <c r="F4279">
        <v>2</v>
      </c>
      <c r="G4279">
        <v>10</v>
      </c>
      <c r="H4279">
        <v>5</v>
      </c>
      <c r="I4279">
        <v>0</v>
      </c>
      <c r="J4279">
        <v>0.99903381642512101</v>
      </c>
      <c r="K4279">
        <v>1</v>
      </c>
      <c r="L4279">
        <v>0.99951667472208805</v>
      </c>
      <c r="M4279">
        <v>0.98550724637681197</v>
      </c>
      <c r="N4279">
        <v>1</v>
      </c>
      <c r="O4279">
        <v>0.99710144927536204</v>
      </c>
      <c r="AF4279" t="s">
        <v>70</v>
      </c>
    </row>
    <row r="4280" spans="1:32" hidden="1" x14ac:dyDescent="0.35">
      <c r="A4280">
        <v>54</v>
      </c>
      <c r="B4280" t="s">
        <v>67</v>
      </c>
      <c r="C4280" t="s">
        <v>72</v>
      </c>
      <c r="D4280" t="s">
        <v>62</v>
      </c>
      <c r="E4280">
        <v>2</v>
      </c>
      <c r="F4280">
        <v>2</v>
      </c>
      <c r="G4280">
        <v>10</v>
      </c>
      <c r="H4280">
        <v>5</v>
      </c>
      <c r="I4280">
        <v>0</v>
      </c>
      <c r="J4280">
        <v>0.99903381642512101</v>
      </c>
      <c r="K4280">
        <v>1</v>
      </c>
      <c r="L4280">
        <v>0.99951667472208805</v>
      </c>
      <c r="M4280">
        <v>0.98550724637681197</v>
      </c>
      <c r="N4280">
        <v>1</v>
      </c>
      <c r="O4280">
        <v>0.99710144927536204</v>
      </c>
      <c r="AF4280" t="s">
        <v>69</v>
      </c>
    </row>
    <row r="4281" spans="1:32" hidden="1" x14ac:dyDescent="0.35">
      <c r="A4281">
        <v>55</v>
      </c>
      <c r="B4281" t="s">
        <v>67</v>
      </c>
      <c r="C4281" t="s">
        <v>72</v>
      </c>
      <c r="D4281" t="s">
        <v>62</v>
      </c>
      <c r="E4281">
        <v>730</v>
      </c>
      <c r="F4281">
        <v>2</v>
      </c>
      <c r="G4281">
        <v>10</v>
      </c>
      <c r="H4281">
        <v>5</v>
      </c>
      <c r="I4281">
        <v>0</v>
      </c>
      <c r="J4281">
        <v>0.99903381642512101</v>
      </c>
      <c r="K4281">
        <v>1</v>
      </c>
      <c r="L4281">
        <v>0.99951667472208805</v>
      </c>
      <c r="M4281">
        <v>0.98550724637681197</v>
      </c>
      <c r="N4281">
        <v>1</v>
      </c>
      <c r="O4281">
        <v>0.99710144927536204</v>
      </c>
      <c r="AF4281" t="s">
        <v>69</v>
      </c>
    </row>
    <row r="4282" spans="1:32" hidden="1" x14ac:dyDescent="0.35">
      <c r="A4282">
        <v>56</v>
      </c>
      <c r="B4282" t="s">
        <v>67</v>
      </c>
      <c r="C4282" t="s">
        <v>72</v>
      </c>
      <c r="D4282" t="s">
        <v>62</v>
      </c>
      <c r="E4282">
        <v>848</v>
      </c>
      <c r="F4282">
        <v>2</v>
      </c>
      <c r="G4282">
        <v>10</v>
      </c>
      <c r="H4282">
        <v>5</v>
      </c>
      <c r="I4282">
        <v>0</v>
      </c>
      <c r="J4282">
        <v>0.99903381642512101</v>
      </c>
      <c r="K4282">
        <v>1</v>
      </c>
      <c r="L4282">
        <v>0.99951667472208805</v>
      </c>
      <c r="M4282">
        <v>0.98550724637681197</v>
      </c>
      <c r="N4282">
        <v>1</v>
      </c>
      <c r="O4282">
        <v>0.99710144927536204</v>
      </c>
      <c r="AF4282" t="s">
        <v>69</v>
      </c>
    </row>
    <row r="4283" spans="1:32" hidden="1" x14ac:dyDescent="0.35">
      <c r="A4283">
        <v>57</v>
      </c>
      <c r="B4283" t="s">
        <v>67</v>
      </c>
      <c r="C4283" t="s">
        <v>72</v>
      </c>
      <c r="D4283" t="s">
        <v>62</v>
      </c>
      <c r="E4283">
        <v>1214</v>
      </c>
      <c r="F4283">
        <v>2</v>
      </c>
      <c r="G4283">
        <v>10</v>
      </c>
      <c r="H4283">
        <v>5</v>
      </c>
      <c r="I4283">
        <v>0</v>
      </c>
      <c r="J4283">
        <v>0.99903381642512101</v>
      </c>
      <c r="K4283">
        <v>1</v>
      </c>
      <c r="L4283">
        <v>0.99951667472208805</v>
      </c>
      <c r="M4283">
        <v>0.98550724637681197</v>
      </c>
      <c r="N4283">
        <v>1</v>
      </c>
      <c r="O4283">
        <v>0.99710144927536204</v>
      </c>
      <c r="AF4283" t="s">
        <v>69</v>
      </c>
    </row>
    <row r="4284" spans="1:32" hidden="1" x14ac:dyDescent="0.35">
      <c r="A4284">
        <v>58</v>
      </c>
      <c r="B4284" t="s">
        <v>67</v>
      </c>
      <c r="C4284" t="s">
        <v>72</v>
      </c>
      <c r="D4284" t="s">
        <v>62</v>
      </c>
      <c r="E4284">
        <v>2172</v>
      </c>
      <c r="F4284">
        <v>2</v>
      </c>
      <c r="G4284">
        <v>10</v>
      </c>
      <c r="H4284">
        <v>5</v>
      </c>
      <c r="I4284">
        <v>0</v>
      </c>
      <c r="J4284">
        <v>0.99903381642512101</v>
      </c>
      <c r="K4284">
        <v>1</v>
      </c>
      <c r="L4284">
        <v>0.99951667472208805</v>
      </c>
      <c r="M4284">
        <v>0.98550724637681197</v>
      </c>
      <c r="N4284">
        <v>1</v>
      </c>
      <c r="O4284">
        <v>0.99710144927536204</v>
      </c>
      <c r="AF4284" t="s">
        <v>69</v>
      </c>
    </row>
    <row r="4285" spans="1:32" hidden="1" x14ac:dyDescent="0.35">
      <c r="A4285">
        <v>107</v>
      </c>
      <c r="B4285" t="s">
        <v>173</v>
      </c>
      <c r="C4285" t="s">
        <v>72</v>
      </c>
      <c r="D4285" t="s">
        <v>34</v>
      </c>
      <c r="E4285">
        <v>1605</v>
      </c>
      <c r="F4285">
        <v>2</v>
      </c>
      <c r="G4285">
        <v>9</v>
      </c>
      <c r="H4285">
        <v>5</v>
      </c>
      <c r="I4285">
        <v>0</v>
      </c>
      <c r="J4285">
        <v>0.73181080743791305</v>
      </c>
      <c r="K4285">
        <v>0.92103323705578</v>
      </c>
      <c r="L4285">
        <v>0.81559065313196599</v>
      </c>
      <c r="M4285">
        <v>0.44444444444444398</v>
      </c>
      <c r="N4285">
        <v>0.969135802469136</v>
      </c>
      <c r="O4285">
        <v>0.63717421124828499</v>
      </c>
      <c r="AF4285" t="e">
        <f>-MDFTRSGIPGFSVTDSFADVKQRLDDVCGHNDFGFESVRGYLELEGKRYFMGVDQNEVTHGIECVEVRGLFEGDTFEGIALGEMLAQEFAGELAKVGSTPIMEDYTIWWPDERVSFYVYEDVPSTICWWGKDLVDDEIKTIFSGKIEDLDPNVYHLYKAEE</f>
        <v>#NAME?</v>
      </c>
    </row>
    <row r="4286" spans="1:32" hidden="1" x14ac:dyDescent="0.35">
      <c r="A4286">
        <v>108</v>
      </c>
      <c r="B4286" t="s">
        <v>173</v>
      </c>
      <c r="C4286" t="s">
        <v>72</v>
      </c>
      <c r="D4286" t="s">
        <v>34</v>
      </c>
      <c r="E4286">
        <v>1603</v>
      </c>
      <c r="F4286">
        <v>2</v>
      </c>
      <c r="G4286">
        <v>9</v>
      </c>
      <c r="H4286">
        <v>5</v>
      </c>
      <c r="I4286">
        <v>0</v>
      </c>
      <c r="J4286">
        <v>0.73181080743791305</v>
      </c>
      <c r="K4286">
        <v>0.92103323705578</v>
      </c>
      <c r="L4286">
        <v>0.81559065313196599</v>
      </c>
      <c r="M4286">
        <v>0.44444444444444398</v>
      </c>
      <c r="N4286">
        <v>0.969135802469136</v>
      </c>
      <c r="O4286">
        <v>0.63717421124828499</v>
      </c>
      <c r="AF4286" t="s">
        <v>174</v>
      </c>
    </row>
    <row r="4287" spans="1:32" hidden="1" x14ac:dyDescent="0.35">
      <c r="A4287">
        <v>109</v>
      </c>
      <c r="B4287" t="s">
        <v>173</v>
      </c>
      <c r="C4287" t="s">
        <v>72</v>
      </c>
      <c r="D4287" t="s">
        <v>34</v>
      </c>
      <c r="E4287">
        <v>2330</v>
      </c>
      <c r="F4287">
        <v>2</v>
      </c>
      <c r="G4287">
        <v>9</v>
      </c>
      <c r="H4287">
        <v>5</v>
      </c>
      <c r="I4287">
        <v>0</v>
      </c>
      <c r="J4287">
        <v>0.73181080743791305</v>
      </c>
      <c r="K4287">
        <v>0.92103323705578</v>
      </c>
      <c r="L4287">
        <v>0.81559065313196599</v>
      </c>
      <c r="M4287">
        <v>0.44444444444444398</v>
      </c>
      <c r="N4287">
        <v>0.969135802469136</v>
      </c>
      <c r="O4287">
        <v>0.63717421124828499</v>
      </c>
      <c r="AF4287" t="s">
        <v>175</v>
      </c>
    </row>
    <row r="4288" spans="1:32" hidden="1" x14ac:dyDescent="0.35">
      <c r="A4288">
        <v>110</v>
      </c>
      <c r="B4288" t="s">
        <v>173</v>
      </c>
      <c r="C4288" t="s">
        <v>72</v>
      </c>
      <c r="D4288" t="s">
        <v>34</v>
      </c>
      <c r="E4288">
        <v>1737</v>
      </c>
      <c r="F4288">
        <v>2</v>
      </c>
      <c r="G4288">
        <v>9</v>
      </c>
      <c r="H4288">
        <v>5</v>
      </c>
      <c r="I4288">
        <v>0</v>
      </c>
      <c r="J4288">
        <v>0.73181080743791305</v>
      </c>
      <c r="K4288">
        <v>0.92103323705578</v>
      </c>
      <c r="L4288">
        <v>0.81559065313196599</v>
      </c>
      <c r="M4288">
        <v>0.44444444444444398</v>
      </c>
      <c r="N4288">
        <v>0.969135802469136</v>
      </c>
      <c r="O4288">
        <v>0.63717421124828499</v>
      </c>
      <c r="AF4288" t="s">
        <v>176</v>
      </c>
    </row>
    <row r="4289" spans="1:32" hidden="1" x14ac:dyDescent="0.35">
      <c r="A4289">
        <v>111</v>
      </c>
      <c r="B4289" t="s">
        <v>173</v>
      </c>
      <c r="C4289" t="s">
        <v>72</v>
      </c>
      <c r="D4289" t="s">
        <v>45</v>
      </c>
      <c r="E4289">
        <v>356</v>
      </c>
      <c r="F4289">
        <v>2</v>
      </c>
      <c r="G4289">
        <v>9</v>
      </c>
      <c r="H4289">
        <v>5</v>
      </c>
      <c r="I4289">
        <v>0</v>
      </c>
      <c r="J4289">
        <v>0.73181080743791305</v>
      </c>
      <c r="K4289">
        <v>0.92103323705578</v>
      </c>
      <c r="L4289">
        <v>0.81559065313196599</v>
      </c>
      <c r="M4289">
        <v>0.44444444444444398</v>
      </c>
      <c r="N4289">
        <v>0.969135802469136</v>
      </c>
      <c r="O4289">
        <v>0.63717421124828499</v>
      </c>
      <c r="AF4289" t="e">
        <f>-MDFTKSGIPGFSVTDSFADVKQRLDIVRAGNDFGFESVMGYLPLDGKRYLMGATQNPMTYDIDSVELRELFKGDTFEGIALGEMTAQEFAGELVKIGSVPIMEDTGIWWVDERVCFYVYEDVPSTICWWGKDLVDDEIKTIFSGKIEDLDPNVYHLYEAEE</f>
        <v>#NAME?</v>
      </c>
    </row>
    <row r="4290" spans="1:32" hidden="1" x14ac:dyDescent="0.35">
      <c r="A4290">
        <v>112</v>
      </c>
      <c r="B4290" t="s">
        <v>173</v>
      </c>
      <c r="C4290" t="s">
        <v>72</v>
      </c>
      <c r="D4290" t="s">
        <v>45</v>
      </c>
      <c r="E4290">
        <v>354</v>
      </c>
      <c r="F4290">
        <v>2</v>
      </c>
      <c r="G4290">
        <v>9</v>
      </c>
      <c r="H4290">
        <v>5</v>
      </c>
      <c r="I4290">
        <v>0</v>
      </c>
      <c r="J4290">
        <v>0.73181080743791305</v>
      </c>
      <c r="K4290">
        <v>0.92103323705578</v>
      </c>
      <c r="L4290">
        <v>0.81559065313196599</v>
      </c>
      <c r="M4290">
        <v>0.44444444444444398</v>
      </c>
      <c r="N4290">
        <v>0.969135802469136</v>
      </c>
      <c r="O4290">
        <v>0.63717421124828499</v>
      </c>
      <c r="AF4290" t="s">
        <v>177</v>
      </c>
    </row>
    <row r="4291" spans="1:32" hidden="1" x14ac:dyDescent="0.35">
      <c r="A4291">
        <v>113</v>
      </c>
      <c r="B4291" t="s">
        <v>173</v>
      </c>
      <c r="C4291" t="s">
        <v>72</v>
      </c>
      <c r="D4291" t="s">
        <v>45</v>
      </c>
      <c r="E4291">
        <v>353</v>
      </c>
      <c r="F4291">
        <v>2</v>
      </c>
      <c r="G4291">
        <v>9</v>
      </c>
      <c r="H4291">
        <v>5</v>
      </c>
      <c r="I4291">
        <v>0</v>
      </c>
      <c r="J4291">
        <v>0.73181080743791305</v>
      </c>
      <c r="K4291">
        <v>0.92103323705578</v>
      </c>
      <c r="L4291">
        <v>0.81559065313196599</v>
      </c>
      <c r="M4291">
        <v>0.44444444444444398</v>
      </c>
      <c r="N4291">
        <v>0.969135802469136</v>
      </c>
      <c r="O4291">
        <v>0.63717421124828499</v>
      </c>
      <c r="AF4291" t="s">
        <v>178</v>
      </c>
    </row>
    <row r="4292" spans="1:32" hidden="1" x14ac:dyDescent="0.35">
      <c r="A4292">
        <v>114</v>
      </c>
      <c r="B4292" t="s">
        <v>173</v>
      </c>
      <c r="C4292" t="s">
        <v>72</v>
      </c>
      <c r="D4292" t="s">
        <v>45</v>
      </c>
      <c r="E4292">
        <v>549</v>
      </c>
      <c r="F4292">
        <v>2</v>
      </c>
      <c r="G4292">
        <v>9</v>
      </c>
      <c r="H4292">
        <v>5</v>
      </c>
      <c r="I4292">
        <v>0</v>
      </c>
      <c r="J4292">
        <v>0.73181080743791305</v>
      </c>
      <c r="K4292">
        <v>0.92103323705578</v>
      </c>
      <c r="L4292">
        <v>0.81559065313196599</v>
      </c>
      <c r="M4292">
        <v>0.44444444444444398</v>
      </c>
      <c r="N4292">
        <v>0.969135802469136</v>
      </c>
      <c r="O4292">
        <v>0.63717421124828499</v>
      </c>
      <c r="AF4292" t="s">
        <v>179</v>
      </c>
    </row>
    <row r="4293" spans="1:32" hidden="1" x14ac:dyDescent="0.35">
      <c r="A4293">
        <v>115</v>
      </c>
      <c r="B4293" t="s">
        <v>173</v>
      </c>
      <c r="C4293" t="s">
        <v>72</v>
      </c>
      <c r="D4293" t="s">
        <v>45</v>
      </c>
      <c r="E4293">
        <v>1136</v>
      </c>
      <c r="F4293">
        <v>2</v>
      </c>
      <c r="G4293">
        <v>9</v>
      </c>
      <c r="H4293">
        <v>5</v>
      </c>
      <c r="I4293">
        <v>0</v>
      </c>
      <c r="J4293">
        <v>0.73181080743791305</v>
      </c>
      <c r="K4293">
        <v>0.92103323705578</v>
      </c>
      <c r="L4293">
        <v>0.81559065313196599</v>
      </c>
      <c r="M4293">
        <v>0.44444444444444398</v>
      </c>
      <c r="N4293">
        <v>0.969135802469136</v>
      </c>
      <c r="O4293">
        <v>0.63717421124828499</v>
      </c>
      <c r="AF4293" t="s">
        <v>180</v>
      </c>
    </row>
    <row r="4294" spans="1:32" hidden="1" x14ac:dyDescent="0.35">
      <c r="A4294">
        <v>143</v>
      </c>
      <c r="B4294" t="s">
        <v>252</v>
      </c>
      <c r="C4294" t="s">
        <v>72</v>
      </c>
      <c r="D4294" t="s">
        <v>60</v>
      </c>
      <c r="E4294">
        <v>701</v>
      </c>
      <c r="F4294">
        <v>2</v>
      </c>
      <c r="G4294">
        <v>8</v>
      </c>
      <c r="H4294">
        <v>5</v>
      </c>
      <c r="I4294">
        <v>0</v>
      </c>
      <c r="J4294">
        <v>0.99656862745097996</v>
      </c>
      <c r="K4294">
        <v>1</v>
      </c>
      <c r="L4294">
        <v>0.99828136508715903</v>
      </c>
      <c r="M4294">
        <v>0.98235294117647098</v>
      </c>
      <c r="N4294">
        <v>1</v>
      </c>
      <c r="O4294">
        <v>0.995588235294118</v>
      </c>
      <c r="AF4294" t="s">
        <v>253</v>
      </c>
    </row>
    <row r="4295" spans="1:32" hidden="1" x14ac:dyDescent="0.35">
      <c r="A4295">
        <v>144</v>
      </c>
      <c r="B4295" t="s">
        <v>252</v>
      </c>
      <c r="C4295" t="s">
        <v>72</v>
      </c>
      <c r="D4295" t="s">
        <v>60</v>
      </c>
      <c r="E4295">
        <v>2137</v>
      </c>
      <c r="F4295">
        <v>2</v>
      </c>
      <c r="G4295">
        <v>8</v>
      </c>
      <c r="H4295">
        <v>5</v>
      </c>
      <c r="I4295">
        <v>0</v>
      </c>
      <c r="J4295">
        <v>0.99656862745097996</v>
      </c>
      <c r="K4295">
        <v>1</v>
      </c>
      <c r="L4295">
        <v>0.99828136508715903</v>
      </c>
      <c r="M4295">
        <v>0.98235294117647098</v>
      </c>
      <c r="N4295">
        <v>1</v>
      </c>
      <c r="O4295">
        <v>0.995588235294118</v>
      </c>
      <c r="AF4295" t="s">
        <v>254</v>
      </c>
    </row>
    <row r="4296" spans="1:32" hidden="1" x14ac:dyDescent="0.35">
      <c r="A4296">
        <v>145</v>
      </c>
      <c r="B4296" t="s">
        <v>252</v>
      </c>
      <c r="C4296" t="s">
        <v>72</v>
      </c>
      <c r="D4296" t="s">
        <v>60</v>
      </c>
      <c r="E4296">
        <v>816</v>
      </c>
      <c r="F4296">
        <v>2</v>
      </c>
      <c r="G4296">
        <v>8</v>
      </c>
      <c r="H4296">
        <v>5</v>
      </c>
      <c r="I4296">
        <v>0</v>
      </c>
      <c r="J4296">
        <v>0.99656862745097996</v>
      </c>
      <c r="K4296">
        <v>1</v>
      </c>
      <c r="L4296">
        <v>0.99828136508715903</v>
      </c>
      <c r="M4296">
        <v>0.98235294117647098</v>
      </c>
      <c r="N4296">
        <v>1</v>
      </c>
      <c r="O4296">
        <v>0.995588235294118</v>
      </c>
      <c r="AF4296" t="s">
        <v>255</v>
      </c>
    </row>
    <row r="4297" spans="1:32" hidden="1" x14ac:dyDescent="0.35">
      <c r="A4297">
        <v>146</v>
      </c>
      <c r="B4297" t="s">
        <v>252</v>
      </c>
      <c r="C4297" t="s">
        <v>72</v>
      </c>
      <c r="D4297" t="s">
        <v>62</v>
      </c>
      <c r="E4297">
        <v>1</v>
      </c>
      <c r="F4297">
        <v>2</v>
      </c>
      <c r="G4297">
        <v>8</v>
      </c>
      <c r="H4297">
        <v>5</v>
      </c>
      <c r="I4297">
        <v>0</v>
      </c>
      <c r="J4297">
        <v>0.99656862745097996</v>
      </c>
      <c r="K4297">
        <v>1</v>
      </c>
      <c r="L4297">
        <v>0.99828136508715903</v>
      </c>
      <c r="M4297">
        <v>0.98235294117647098</v>
      </c>
      <c r="N4297">
        <v>1</v>
      </c>
      <c r="O4297">
        <v>0.995588235294118</v>
      </c>
      <c r="AF4297" t="s">
        <v>253</v>
      </c>
    </row>
    <row r="4298" spans="1:32" hidden="1" x14ac:dyDescent="0.35">
      <c r="A4298">
        <v>147</v>
      </c>
      <c r="B4298" t="s">
        <v>252</v>
      </c>
      <c r="C4298" t="s">
        <v>72</v>
      </c>
      <c r="D4298" t="s">
        <v>62</v>
      </c>
      <c r="E4298">
        <v>731</v>
      </c>
      <c r="F4298">
        <v>2</v>
      </c>
      <c r="G4298">
        <v>8</v>
      </c>
      <c r="H4298">
        <v>5</v>
      </c>
      <c r="I4298">
        <v>0</v>
      </c>
      <c r="J4298">
        <v>0.99656862745097996</v>
      </c>
      <c r="K4298">
        <v>1</v>
      </c>
      <c r="L4298">
        <v>0.99828136508715903</v>
      </c>
      <c r="M4298">
        <v>0.98235294117647098</v>
      </c>
      <c r="N4298">
        <v>1</v>
      </c>
      <c r="O4298">
        <v>0.995588235294118</v>
      </c>
      <c r="AF4298" t="s">
        <v>253</v>
      </c>
    </row>
    <row r="4299" spans="1:32" hidden="1" x14ac:dyDescent="0.35">
      <c r="A4299">
        <v>148</v>
      </c>
      <c r="B4299" t="s">
        <v>252</v>
      </c>
      <c r="C4299" t="s">
        <v>72</v>
      </c>
      <c r="D4299" t="s">
        <v>62</v>
      </c>
      <c r="E4299">
        <v>849</v>
      </c>
      <c r="F4299">
        <v>2</v>
      </c>
      <c r="G4299">
        <v>8</v>
      </c>
      <c r="H4299">
        <v>5</v>
      </c>
      <c r="I4299">
        <v>0</v>
      </c>
      <c r="J4299">
        <v>0.99656862745097996</v>
      </c>
      <c r="K4299">
        <v>1</v>
      </c>
      <c r="L4299">
        <v>0.99828136508715903</v>
      </c>
      <c r="M4299">
        <v>0.98235294117647098</v>
      </c>
      <c r="N4299">
        <v>1</v>
      </c>
      <c r="O4299">
        <v>0.995588235294118</v>
      </c>
      <c r="AF4299" t="s">
        <v>253</v>
      </c>
    </row>
    <row r="4300" spans="1:32" hidden="1" x14ac:dyDescent="0.35">
      <c r="A4300">
        <v>149</v>
      </c>
      <c r="B4300" t="s">
        <v>252</v>
      </c>
      <c r="C4300" t="s">
        <v>72</v>
      </c>
      <c r="D4300" t="s">
        <v>62</v>
      </c>
      <c r="E4300">
        <v>1215</v>
      </c>
      <c r="F4300">
        <v>2</v>
      </c>
      <c r="G4300">
        <v>8</v>
      </c>
      <c r="H4300">
        <v>5</v>
      </c>
      <c r="I4300">
        <v>0</v>
      </c>
      <c r="J4300">
        <v>0.99656862745097996</v>
      </c>
      <c r="K4300">
        <v>1</v>
      </c>
      <c r="L4300">
        <v>0.99828136508715903</v>
      </c>
      <c r="M4300">
        <v>0.98235294117647098</v>
      </c>
      <c r="N4300">
        <v>1</v>
      </c>
      <c r="O4300">
        <v>0.995588235294118</v>
      </c>
      <c r="AF4300" t="s">
        <v>253</v>
      </c>
    </row>
    <row r="4301" spans="1:32" hidden="1" x14ac:dyDescent="0.35">
      <c r="A4301">
        <v>150</v>
      </c>
      <c r="B4301" t="s">
        <v>252</v>
      </c>
      <c r="C4301" t="s">
        <v>72</v>
      </c>
      <c r="D4301" t="s">
        <v>62</v>
      </c>
      <c r="E4301">
        <v>2171</v>
      </c>
      <c r="F4301">
        <v>2</v>
      </c>
      <c r="G4301">
        <v>8</v>
      </c>
      <c r="H4301">
        <v>5</v>
      </c>
      <c r="I4301">
        <v>0</v>
      </c>
      <c r="J4301">
        <v>0.99656862745097996</v>
      </c>
      <c r="K4301">
        <v>1</v>
      </c>
      <c r="L4301">
        <v>0.99828136508715903</v>
      </c>
      <c r="M4301">
        <v>0.98235294117647098</v>
      </c>
      <c r="N4301">
        <v>1</v>
      </c>
      <c r="O4301">
        <v>0.995588235294118</v>
      </c>
      <c r="AF4301" t="s">
        <v>253</v>
      </c>
    </row>
    <row r="4302" spans="1:32" hidden="1" x14ac:dyDescent="0.35">
      <c r="A4302">
        <v>159</v>
      </c>
      <c r="B4302" t="s">
        <v>271</v>
      </c>
      <c r="C4302" t="s">
        <v>72</v>
      </c>
      <c r="D4302" t="s">
        <v>34</v>
      </c>
      <c r="E4302">
        <v>2187</v>
      </c>
      <c r="F4302">
        <v>2</v>
      </c>
      <c r="G4302">
        <v>8</v>
      </c>
      <c r="H4302">
        <v>4</v>
      </c>
      <c r="I4302">
        <v>0</v>
      </c>
      <c r="J4302">
        <v>0.70444337504010301</v>
      </c>
      <c r="K4302">
        <v>0.68394534773712501</v>
      </c>
      <c r="L4302">
        <v>0.69404304601258804</v>
      </c>
      <c r="M4302">
        <v>0.20198675496688701</v>
      </c>
      <c r="N4302">
        <v>0.99337748344370902</v>
      </c>
      <c r="O4302">
        <v>0.570600756859035</v>
      </c>
      <c r="AF4302" t="e">
        <f>---------------------------------------------------------------------------------------------------------------------------------------------------MTDSPDITEVKECFRASDDAKLLDAFQRFIASDKWPT-SCHKWGEENAEELSAFIQHIVPLLP-VSTPVDVVGELCRNYMLCLAQVPQSIDIAAKVFVDFWNRKRAEEDDDAVSFLSFMLTHPDGDYVAETARNAV-GLADQL-GIDKAKDTKSC</f>
        <v>#NAME?</v>
      </c>
    </row>
    <row r="4303" spans="1:32" hidden="1" x14ac:dyDescent="0.35">
      <c r="A4303">
        <v>160</v>
      </c>
      <c r="B4303" t="s">
        <v>271</v>
      </c>
      <c r="C4303" t="s">
        <v>72</v>
      </c>
      <c r="D4303" t="s">
        <v>34</v>
      </c>
      <c r="E4303">
        <v>2185</v>
      </c>
      <c r="F4303">
        <v>2</v>
      </c>
      <c r="G4303">
        <v>8</v>
      </c>
      <c r="H4303">
        <v>4</v>
      </c>
      <c r="I4303">
        <v>0</v>
      </c>
      <c r="J4303">
        <v>0.70444337504010301</v>
      </c>
      <c r="K4303">
        <v>0.68394534773712501</v>
      </c>
      <c r="L4303">
        <v>0.69404304601258804</v>
      </c>
      <c r="M4303">
        <v>0.20198675496688701</v>
      </c>
      <c r="N4303">
        <v>0.99337748344370902</v>
      </c>
      <c r="O4303">
        <v>0.570600756859035</v>
      </c>
      <c r="AF4303" t="s">
        <v>272</v>
      </c>
    </row>
    <row r="4304" spans="1:32" hidden="1" x14ac:dyDescent="0.35">
      <c r="A4304">
        <v>161</v>
      </c>
      <c r="B4304" t="s">
        <v>271</v>
      </c>
      <c r="C4304" t="s">
        <v>72</v>
      </c>
      <c r="D4304" t="s">
        <v>34</v>
      </c>
      <c r="E4304">
        <v>2184</v>
      </c>
      <c r="F4304">
        <v>2</v>
      </c>
      <c r="G4304">
        <v>8</v>
      </c>
      <c r="H4304">
        <v>4</v>
      </c>
      <c r="I4304">
        <v>0</v>
      </c>
      <c r="J4304">
        <v>0.70444337504010301</v>
      </c>
      <c r="K4304">
        <v>0.68394534773712501</v>
      </c>
      <c r="L4304">
        <v>0.69404304601258804</v>
      </c>
      <c r="M4304">
        <v>0.20198675496688701</v>
      </c>
      <c r="N4304">
        <v>0.99337748344370902</v>
      </c>
      <c r="O4304">
        <v>0.570600756859035</v>
      </c>
      <c r="AF4304" t="s">
        <v>273</v>
      </c>
    </row>
    <row r="4305" spans="1:32" hidden="1" x14ac:dyDescent="0.35">
      <c r="A4305">
        <v>162</v>
      </c>
      <c r="B4305" t="s">
        <v>271</v>
      </c>
      <c r="C4305" t="s">
        <v>72</v>
      </c>
      <c r="D4305" t="s">
        <v>34</v>
      </c>
      <c r="E4305">
        <v>2186</v>
      </c>
      <c r="F4305">
        <v>2</v>
      </c>
      <c r="G4305">
        <v>8</v>
      </c>
      <c r="H4305">
        <v>4</v>
      </c>
      <c r="I4305">
        <v>0</v>
      </c>
      <c r="J4305">
        <v>0.70444337504010301</v>
      </c>
      <c r="K4305">
        <v>0.68394534773712501</v>
      </c>
      <c r="L4305">
        <v>0.69404304601258804</v>
      </c>
      <c r="M4305">
        <v>0.20198675496688701</v>
      </c>
      <c r="N4305">
        <v>0.99337748344370902</v>
      </c>
      <c r="O4305">
        <v>0.570600756859035</v>
      </c>
      <c r="AF4305" t="e">
        <f>---------------------------------------------------------------------------------------------------------------------------------------------------MLTEADMIEAINYYHAGDDDKLLELFQRF-DFYDWETPECNEWKKHHAQEFSDFIQYVMAILPTTSTPMINVLALCDNYIDLLSHVPAAPNLAIQMIVDFWNRKRAAEEEDVASYLALLIKNPDGKRVAEIAQGAI-GIANKLQGDGHLSANPNH</f>
        <v>#NAME?</v>
      </c>
    </row>
    <row r="4306" spans="1:32" hidden="1" x14ac:dyDescent="0.35">
      <c r="A4306">
        <v>163</v>
      </c>
      <c r="B4306" t="s">
        <v>271</v>
      </c>
      <c r="C4306" t="s">
        <v>72</v>
      </c>
      <c r="D4306" t="s">
        <v>45</v>
      </c>
      <c r="E4306">
        <v>687</v>
      </c>
      <c r="F4306">
        <v>2</v>
      </c>
      <c r="G4306">
        <v>8</v>
      </c>
      <c r="H4306">
        <v>4</v>
      </c>
      <c r="I4306">
        <v>0</v>
      </c>
      <c r="J4306">
        <v>0.70444337504010301</v>
      </c>
      <c r="K4306">
        <v>0.68394534773712501</v>
      </c>
      <c r="L4306">
        <v>0.69404304601258804</v>
      </c>
      <c r="M4306">
        <v>0.20198675496688701</v>
      </c>
      <c r="N4306">
        <v>0.99337748344370902</v>
      </c>
      <c r="O4306">
        <v>0.570600756859035</v>
      </c>
      <c r="AF4306" t="e">
        <f>---------------------------------------------------------------------------------------------------------------------------------------------------MTDSPDITEVKECFRASDDAKLLDAFQRFIASDKWPT-SCHKWGEENAEELSAFIQHIVPLLP-VSTPVDVVGELCRNYMLGLAQVPQSIDITAKVFVDFWNRKRAEEDDNAVSFLSVMLTHPDGDYVAETARNAV-GLADQL-GIDKAKDTKSC</f>
        <v>#NAME?</v>
      </c>
    </row>
    <row r="4307" spans="1:32" hidden="1" x14ac:dyDescent="0.35">
      <c r="A4307">
        <v>164</v>
      </c>
      <c r="B4307" t="s">
        <v>271</v>
      </c>
      <c r="C4307" t="s">
        <v>72</v>
      </c>
      <c r="D4307" t="s">
        <v>45</v>
      </c>
      <c r="E4307">
        <v>689</v>
      </c>
      <c r="F4307">
        <v>2</v>
      </c>
      <c r="G4307">
        <v>8</v>
      </c>
      <c r="H4307">
        <v>4</v>
      </c>
      <c r="I4307">
        <v>0</v>
      </c>
      <c r="J4307">
        <v>0.70444337504010301</v>
      </c>
      <c r="K4307">
        <v>0.68394534773712501</v>
      </c>
      <c r="L4307">
        <v>0.69404304601258804</v>
      </c>
      <c r="M4307">
        <v>0.20198675496688701</v>
      </c>
      <c r="N4307">
        <v>0.99337748344370902</v>
      </c>
      <c r="O4307">
        <v>0.570600756859035</v>
      </c>
      <c r="AF4307" t="s">
        <v>274</v>
      </c>
    </row>
    <row r="4308" spans="1:32" hidden="1" x14ac:dyDescent="0.35">
      <c r="A4308">
        <v>165</v>
      </c>
      <c r="B4308" t="s">
        <v>271</v>
      </c>
      <c r="C4308" t="s">
        <v>72</v>
      </c>
      <c r="D4308" t="s">
        <v>45</v>
      </c>
      <c r="E4308">
        <v>690</v>
      </c>
      <c r="F4308">
        <v>2</v>
      </c>
      <c r="G4308">
        <v>8</v>
      </c>
      <c r="H4308">
        <v>4</v>
      </c>
      <c r="I4308">
        <v>0</v>
      </c>
      <c r="J4308">
        <v>0.70444337504010301</v>
      </c>
      <c r="K4308">
        <v>0.68394534773712501</v>
      </c>
      <c r="L4308">
        <v>0.69404304601258804</v>
      </c>
      <c r="M4308">
        <v>0.20198675496688701</v>
      </c>
      <c r="N4308">
        <v>0.99337748344370902</v>
      </c>
      <c r="O4308">
        <v>0.570600756859035</v>
      </c>
      <c r="AF4308" t="s">
        <v>275</v>
      </c>
    </row>
    <row r="4309" spans="1:32" hidden="1" x14ac:dyDescent="0.35">
      <c r="A4309">
        <v>166</v>
      </c>
      <c r="B4309" t="s">
        <v>271</v>
      </c>
      <c r="C4309" t="s">
        <v>72</v>
      </c>
      <c r="D4309" t="s">
        <v>45</v>
      </c>
      <c r="E4309">
        <v>688</v>
      </c>
      <c r="F4309">
        <v>2</v>
      </c>
      <c r="G4309">
        <v>8</v>
      </c>
      <c r="H4309">
        <v>4</v>
      </c>
      <c r="I4309">
        <v>0</v>
      </c>
      <c r="J4309">
        <v>0.70444337504010301</v>
      </c>
      <c r="K4309">
        <v>0.68394534773712501</v>
      </c>
      <c r="L4309">
        <v>0.69404304601258804</v>
      </c>
      <c r="M4309">
        <v>0.20198675496688701</v>
      </c>
      <c r="N4309">
        <v>0.99337748344370902</v>
      </c>
      <c r="O4309">
        <v>0.570600756859035</v>
      </c>
      <c r="AF4309" t="e">
        <f>---------------------------------------------------------------------------------------------------------------------------------------------------MLTEADMIEAINYYRAGDDDKLLELFQRF-DFYDWETPECNEWKKHHAQEFSDFIQYVMAILPTTSTPMINVLALCDNYIDLLAHVPAAPDLAIQMIVDFWNRKRAAEEEDVASYLALLIKNPDGERVAEIAQGAI-GIANKLQGDGHLSANPNH</f>
        <v>#NAME?</v>
      </c>
    </row>
    <row r="4310" spans="1:32" hidden="1" x14ac:dyDescent="0.35">
      <c r="A4310">
        <v>167</v>
      </c>
      <c r="B4310" t="s">
        <v>276</v>
      </c>
      <c r="C4310" t="s">
        <v>72</v>
      </c>
      <c r="D4310" t="s">
        <v>60</v>
      </c>
      <c r="E4310">
        <v>1339</v>
      </c>
      <c r="F4310">
        <v>4</v>
      </c>
      <c r="G4310">
        <v>8</v>
      </c>
      <c r="H4310">
        <v>2</v>
      </c>
      <c r="I4310">
        <v>0</v>
      </c>
      <c r="J4310">
        <v>0.68721319608086295</v>
      </c>
      <c r="K4310">
        <v>0.94575758042647695</v>
      </c>
      <c r="L4310">
        <v>0.79601802911953301</v>
      </c>
      <c r="M4310">
        <v>0.48196721311475399</v>
      </c>
      <c r="N4310">
        <v>0.99344262295081998</v>
      </c>
      <c r="O4310">
        <v>0.59063231850117104</v>
      </c>
      <c r="P4310" t="s">
        <v>278</v>
      </c>
      <c r="Q4310" t="s">
        <v>279</v>
      </c>
      <c r="AF4310" t="s">
        <v>280</v>
      </c>
    </row>
    <row r="4311" spans="1:32" hidden="1" x14ac:dyDescent="0.35">
      <c r="A4311">
        <v>168</v>
      </c>
      <c r="B4311" t="s">
        <v>276</v>
      </c>
      <c r="C4311" t="s">
        <v>72</v>
      </c>
      <c r="D4311" t="s">
        <v>60</v>
      </c>
      <c r="E4311">
        <v>1336</v>
      </c>
      <c r="F4311">
        <v>4</v>
      </c>
      <c r="G4311">
        <v>8</v>
      </c>
      <c r="H4311">
        <v>2</v>
      </c>
      <c r="I4311">
        <v>0</v>
      </c>
      <c r="J4311">
        <v>0.68721319608086295</v>
      </c>
      <c r="K4311">
        <v>0.94575758042647695</v>
      </c>
      <c r="L4311">
        <v>0.79601802911953301</v>
      </c>
      <c r="M4311">
        <v>0.48196721311475399</v>
      </c>
      <c r="N4311">
        <v>0.99344262295081998</v>
      </c>
      <c r="O4311">
        <v>0.59063231850117104</v>
      </c>
      <c r="P4311" t="s">
        <v>278</v>
      </c>
      <c r="Q4311" t="s">
        <v>279</v>
      </c>
      <c r="AF4311" t="s">
        <v>281</v>
      </c>
    </row>
    <row r="4312" spans="1:32" hidden="1" x14ac:dyDescent="0.35">
      <c r="A4312">
        <v>169</v>
      </c>
      <c r="B4312" t="s">
        <v>276</v>
      </c>
      <c r="C4312" t="s">
        <v>72</v>
      </c>
      <c r="D4312" t="s">
        <v>62</v>
      </c>
      <c r="E4312">
        <v>1375</v>
      </c>
      <c r="F4312">
        <v>4</v>
      </c>
      <c r="G4312">
        <v>8</v>
      </c>
      <c r="H4312">
        <v>2</v>
      </c>
      <c r="I4312">
        <v>0</v>
      </c>
      <c r="J4312">
        <v>0.68721319608086295</v>
      </c>
      <c r="K4312">
        <v>0.94575758042647695</v>
      </c>
      <c r="L4312">
        <v>0.79601802911953301</v>
      </c>
      <c r="M4312">
        <v>0.48196721311475399</v>
      </c>
      <c r="N4312">
        <v>0.99344262295081998</v>
      </c>
      <c r="O4312">
        <v>0.59063231850117104</v>
      </c>
      <c r="P4312" t="s">
        <v>278</v>
      </c>
      <c r="Q4312" t="s">
        <v>279</v>
      </c>
      <c r="AF4312" t="s">
        <v>282</v>
      </c>
    </row>
    <row r="4313" spans="1:32" hidden="1" x14ac:dyDescent="0.35">
      <c r="A4313">
        <v>170</v>
      </c>
      <c r="B4313" t="s">
        <v>276</v>
      </c>
      <c r="C4313" t="s">
        <v>72</v>
      </c>
      <c r="D4313" t="s">
        <v>62</v>
      </c>
      <c r="E4313">
        <v>1372</v>
      </c>
      <c r="F4313">
        <v>4</v>
      </c>
      <c r="G4313">
        <v>8</v>
      </c>
      <c r="H4313">
        <v>2</v>
      </c>
      <c r="I4313">
        <v>0</v>
      </c>
      <c r="J4313">
        <v>0.68721319608086295</v>
      </c>
      <c r="K4313">
        <v>0.94575758042647695</v>
      </c>
      <c r="L4313">
        <v>0.79601802911953301</v>
      </c>
      <c r="M4313">
        <v>0.48196721311475399</v>
      </c>
      <c r="N4313">
        <v>0.99344262295081998</v>
      </c>
      <c r="O4313">
        <v>0.59063231850117104</v>
      </c>
      <c r="P4313" t="s">
        <v>278</v>
      </c>
      <c r="Q4313" t="s">
        <v>279</v>
      </c>
      <c r="AF4313" t="s">
        <v>283</v>
      </c>
    </row>
    <row r="4314" spans="1:32" hidden="1" x14ac:dyDescent="0.35">
      <c r="A4314">
        <v>171</v>
      </c>
      <c r="B4314" t="s">
        <v>276</v>
      </c>
      <c r="C4314" t="s">
        <v>72</v>
      </c>
      <c r="D4314" t="s">
        <v>34</v>
      </c>
      <c r="E4314">
        <v>101</v>
      </c>
      <c r="F4314">
        <v>4</v>
      </c>
      <c r="G4314">
        <v>8</v>
      </c>
      <c r="H4314">
        <v>2</v>
      </c>
      <c r="I4314">
        <v>0</v>
      </c>
      <c r="J4314">
        <v>0.68721319608086295</v>
      </c>
      <c r="K4314">
        <v>0.94575758042647695</v>
      </c>
      <c r="L4314">
        <v>0.79601802911953301</v>
      </c>
      <c r="M4314">
        <v>0.48196721311475399</v>
      </c>
      <c r="N4314">
        <v>0.99344262295081998</v>
      </c>
      <c r="O4314">
        <v>0.59063231850117104</v>
      </c>
      <c r="P4314" t="s">
        <v>278</v>
      </c>
      <c r="Q4314" t="s">
        <v>279</v>
      </c>
      <c r="AF4314" t="e">
        <f>---------------MTDLHWIAAGDYQLALDGTT-ITAKNAKGRVLKTVPAKAKKTPEYEQLNNCRIYLEQHQKECLRQVSEWFLKGLPVPVLVVSEVWPDPLWRACFENLVVCVTATGDTGLLRDVS-DGHLHLADLDGEEITVPVDESGSITIPHPAIIADIADWREFAAELGVSQGVDQLFRDIYVKPDDAVGRQQAVRAYTDGRYAKAQVLIGRSRGGGFTTTMQEVSLIVVEDGVEVRISLDIDAWNPWEDGTIGELSFYQDGRSLPLEKVGPITWSEGIRMAEFVYAGRTVESAEEPS</f>
        <v>#NAME?</v>
      </c>
    </row>
    <row r="4315" spans="1:32" hidden="1" x14ac:dyDescent="0.35">
      <c r="A4315">
        <v>172</v>
      </c>
      <c r="B4315" t="s">
        <v>276</v>
      </c>
      <c r="C4315" t="s">
        <v>72</v>
      </c>
      <c r="D4315" t="s">
        <v>34</v>
      </c>
      <c r="E4315">
        <v>94</v>
      </c>
      <c r="F4315">
        <v>4</v>
      </c>
      <c r="G4315">
        <v>8</v>
      </c>
      <c r="H4315">
        <v>2</v>
      </c>
      <c r="I4315">
        <v>0</v>
      </c>
      <c r="J4315">
        <v>0.68721319608086295</v>
      </c>
      <c r="K4315">
        <v>0.94575758042647695</v>
      </c>
      <c r="L4315">
        <v>0.79601802911953301</v>
      </c>
      <c r="M4315">
        <v>0.48196721311475399</v>
      </c>
      <c r="N4315">
        <v>0.99344262295081998</v>
      </c>
      <c r="O4315">
        <v>0.59063231850117104</v>
      </c>
      <c r="P4315" t="s">
        <v>278</v>
      </c>
      <c r="Q4315" t="s">
        <v>279</v>
      </c>
      <c r="AF4315" t="s">
        <v>284</v>
      </c>
    </row>
    <row r="4316" spans="1:32" hidden="1" x14ac:dyDescent="0.35">
      <c r="A4316">
        <v>173</v>
      </c>
      <c r="B4316" t="s">
        <v>276</v>
      </c>
      <c r="C4316" t="s">
        <v>72</v>
      </c>
      <c r="D4316" t="s">
        <v>45</v>
      </c>
      <c r="E4316">
        <v>1362</v>
      </c>
      <c r="F4316">
        <v>4</v>
      </c>
      <c r="G4316">
        <v>8</v>
      </c>
      <c r="H4316">
        <v>2</v>
      </c>
      <c r="I4316">
        <v>0</v>
      </c>
      <c r="J4316">
        <v>0.68721319608086295</v>
      </c>
      <c r="K4316">
        <v>0.94575758042647695</v>
      </c>
      <c r="L4316">
        <v>0.79601802911953301</v>
      </c>
      <c r="M4316">
        <v>0.48196721311475399</v>
      </c>
      <c r="N4316">
        <v>0.99344262295081998</v>
      </c>
      <c r="O4316">
        <v>0.59063231850117104</v>
      </c>
      <c r="P4316" t="s">
        <v>278</v>
      </c>
      <c r="Q4316" t="s">
        <v>279</v>
      </c>
      <c r="AF4316" t="e">
        <f>---------------MTDLHWIAAGDYQLALDGTT-ITAKNAKGRVLKTVPAKAKKTPEYEQLNNCRIYLEQHQKECLRQVSEWFLKGLPVPVLVVSEVWPDPLWRACFENLVVCVTATGDTGLLRDVS-DGHLHLADLDGEEITVPVDESGSITIPHPAIIADIADWREFAAELGVSQGVDQLFRDIYVKPDDAVGRQQAVRAYSDGRYEKAQVLIGRSRGGGFTTTMQEVSLIVVEDGVEVRISLDIDAWNPWEDGTIGELSFYQDGRSLPLEKVGPITWSEGIRMAEFVYAGRTVESAEEPS</f>
        <v>#NAME?</v>
      </c>
    </row>
    <row r="4317" spans="1:32" hidden="1" x14ac:dyDescent="0.35">
      <c r="A4317">
        <v>174</v>
      </c>
      <c r="B4317" t="s">
        <v>276</v>
      </c>
      <c r="C4317" t="s">
        <v>72</v>
      </c>
      <c r="D4317" t="s">
        <v>45</v>
      </c>
      <c r="E4317">
        <v>1354</v>
      </c>
      <c r="F4317">
        <v>4</v>
      </c>
      <c r="G4317">
        <v>8</v>
      </c>
      <c r="H4317">
        <v>2</v>
      </c>
      <c r="I4317">
        <v>0</v>
      </c>
      <c r="J4317">
        <v>0.68721319608086295</v>
      </c>
      <c r="K4317">
        <v>0.94575758042647695</v>
      </c>
      <c r="L4317">
        <v>0.79601802911953301</v>
      </c>
      <c r="M4317">
        <v>0.48196721311475399</v>
      </c>
      <c r="N4317">
        <v>0.99344262295081998</v>
      </c>
      <c r="O4317">
        <v>0.59063231850117104</v>
      </c>
      <c r="P4317" t="s">
        <v>278</v>
      </c>
      <c r="Q4317" t="s">
        <v>279</v>
      </c>
      <c r="AF4317" t="s">
        <v>285</v>
      </c>
    </row>
    <row r="4318" spans="1:32" hidden="1" x14ac:dyDescent="0.35">
      <c r="A4318">
        <v>197</v>
      </c>
      <c r="B4318" t="s">
        <v>332</v>
      </c>
      <c r="C4318" t="s">
        <v>72</v>
      </c>
      <c r="D4318" t="s">
        <v>34</v>
      </c>
      <c r="E4318">
        <v>313</v>
      </c>
      <c r="F4318">
        <v>2</v>
      </c>
      <c r="G4318">
        <v>7</v>
      </c>
      <c r="H4318">
        <v>4</v>
      </c>
      <c r="I4318">
        <v>0</v>
      </c>
      <c r="J4318">
        <v>0.81876201460976505</v>
      </c>
      <c r="K4318">
        <v>0.99248487020226195</v>
      </c>
      <c r="L4318">
        <v>0.897292267123318</v>
      </c>
      <c r="M4318">
        <v>0.62019230769230804</v>
      </c>
      <c r="N4318">
        <v>1</v>
      </c>
      <c r="O4318">
        <v>0.76167582417582402</v>
      </c>
      <c r="AF4318" t="s">
        <v>333</v>
      </c>
    </row>
    <row r="4319" spans="1:32" hidden="1" x14ac:dyDescent="0.35">
      <c r="A4319">
        <v>198</v>
      </c>
      <c r="B4319" t="s">
        <v>332</v>
      </c>
      <c r="C4319" t="s">
        <v>72</v>
      </c>
      <c r="D4319" t="s">
        <v>34</v>
      </c>
      <c r="E4319">
        <v>2494</v>
      </c>
      <c r="F4319">
        <v>2</v>
      </c>
      <c r="G4319">
        <v>7</v>
      </c>
      <c r="H4319">
        <v>4</v>
      </c>
      <c r="I4319">
        <v>0</v>
      </c>
      <c r="J4319">
        <v>0.81876201460976505</v>
      </c>
      <c r="K4319">
        <v>0.99248487020226195</v>
      </c>
      <c r="L4319">
        <v>0.897292267123318</v>
      </c>
      <c r="M4319">
        <v>0.62019230769230804</v>
      </c>
      <c r="N4319">
        <v>1</v>
      </c>
      <c r="O4319">
        <v>0.76167582417582402</v>
      </c>
      <c r="AF4319" t="s">
        <v>334</v>
      </c>
    </row>
    <row r="4320" spans="1:32" hidden="1" x14ac:dyDescent="0.35">
      <c r="A4320">
        <v>199</v>
      </c>
      <c r="B4320" t="s">
        <v>332</v>
      </c>
      <c r="C4320" t="s">
        <v>72</v>
      </c>
      <c r="D4320" t="s">
        <v>34</v>
      </c>
      <c r="E4320">
        <v>2493</v>
      </c>
      <c r="F4320">
        <v>2</v>
      </c>
      <c r="G4320">
        <v>7</v>
      </c>
      <c r="H4320">
        <v>4</v>
      </c>
      <c r="I4320">
        <v>0</v>
      </c>
      <c r="J4320">
        <v>0.81876201460976505</v>
      </c>
      <c r="K4320">
        <v>0.99248487020226195</v>
      </c>
      <c r="L4320">
        <v>0.897292267123318</v>
      </c>
      <c r="M4320">
        <v>0.62019230769230804</v>
      </c>
      <c r="N4320">
        <v>1</v>
      </c>
      <c r="O4320">
        <v>0.76167582417582402</v>
      </c>
      <c r="AF4320" t="s">
        <v>335</v>
      </c>
    </row>
    <row r="4321" spans="1:32" hidden="1" x14ac:dyDescent="0.35">
      <c r="A4321">
        <v>200</v>
      </c>
      <c r="B4321" t="s">
        <v>332</v>
      </c>
      <c r="C4321" t="s">
        <v>72</v>
      </c>
      <c r="D4321" t="s">
        <v>45</v>
      </c>
      <c r="E4321">
        <v>1575</v>
      </c>
      <c r="F4321">
        <v>2</v>
      </c>
      <c r="G4321">
        <v>7</v>
      </c>
      <c r="H4321">
        <v>4</v>
      </c>
      <c r="I4321">
        <v>0</v>
      </c>
      <c r="J4321">
        <v>0.81876201460976505</v>
      </c>
      <c r="K4321">
        <v>0.99248487020226195</v>
      </c>
      <c r="L4321">
        <v>0.897292267123318</v>
      </c>
      <c r="M4321">
        <v>0.62019230769230804</v>
      </c>
      <c r="N4321">
        <v>1</v>
      </c>
      <c r="O4321">
        <v>0.76167582417582402</v>
      </c>
      <c r="AF4321" t="s">
        <v>333</v>
      </c>
    </row>
    <row r="4322" spans="1:32" hidden="1" x14ac:dyDescent="0.35">
      <c r="A4322">
        <v>201</v>
      </c>
      <c r="B4322" t="s">
        <v>332</v>
      </c>
      <c r="C4322" t="s">
        <v>72</v>
      </c>
      <c r="D4322" t="s">
        <v>45</v>
      </c>
      <c r="E4322">
        <v>407</v>
      </c>
      <c r="F4322">
        <v>2</v>
      </c>
      <c r="G4322">
        <v>7</v>
      </c>
      <c r="H4322">
        <v>4</v>
      </c>
      <c r="I4322">
        <v>0</v>
      </c>
      <c r="J4322">
        <v>0.81876201460976505</v>
      </c>
      <c r="K4322">
        <v>0.99248487020226195</v>
      </c>
      <c r="L4322">
        <v>0.897292267123318</v>
      </c>
      <c r="M4322">
        <v>0.62019230769230804</v>
      </c>
      <c r="N4322">
        <v>1</v>
      </c>
      <c r="O4322">
        <v>0.76167582417582402</v>
      </c>
      <c r="AF4322" t="s">
        <v>336</v>
      </c>
    </row>
    <row r="4323" spans="1:32" hidden="1" x14ac:dyDescent="0.35">
      <c r="A4323">
        <v>202</v>
      </c>
      <c r="B4323" t="s">
        <v>332</v>
      </c>
      <c r="C4323" t="s">
        <v>72</v>
      </c>
      <c r="D4323" t="s">
        <v>45</v>
      </c>
      <c r="E4323">
        <v>2319</v>
      </c>
      <c r="F4323">
        <v>2</v>
      </c>
      <c r="G4323">
        <v>7</v>
      </c>
      <c r="H4323">
        <v>4</v>
      </c>
      <c r="I4323">
        <v>0</v>
      </c>
      <c r="J4323">
        <v>0.81876201460976505</v>
      </c>
      <c r="K4323">
        <v>0.99248487020226195</v>
      </c>
      <c r="L4323">
        <v>0.897292267123318</v>
      </c>
      <c r="M4323">
        <v>0.62019230769230804</v>
      </c>
      <c r="N4323">
        <v>1</v>
      </c>
      <c r="O4323">
        <v>0.76167582417582402</v>
      </c>
      <c r="AF4323" t="s">
        <v>337</v>
      </c>
    </row>
    <row r="4324" spans="1:32" hidden="1" x14ac:dyDescent="0.35">
      <c r="A4324">
        <v>203</v>
      </c>
      <c r="B4324" t="s">
        <v>332</v>
      </c>
      <c r="C4324" t="s">
        <v>72</v>
      </c>
      <c r="D4324" t="s">
        <v>45</v>
      </c>
      <c r="E4324">
        <v>408</v>
      </c>
      <c r="F4324">
        <v>2</v>
      </c>
      <c r="G4324">
        <v>7</v>
      </c>
      <c r="H4324">
        <v>4</v>
      </c>
      <c r="I4324">
        <v>0</v>
      </c>
      <c r="J4324">
        <v>0.81876201460976505</v>
      </c>
      <c r="K4324">
        <v>0.99248487020226195</v>
      </c>
      <c r="L4324">
        <v>0.897292267123318</v>
      </c>
      <c r="M4324">
        <v>0.62019230769230804</v>
      </c>
      <c r="N4324">
        <v>1</v>
      </c>
      <c r="O4324">
        <v>0.76167582417582402</v>
      </c>
      <c r="AF4324" t="s">
        <v>338</v>
      </c>
    </row>
    <row r="4325" spans="1:32" hidden="1" x14ac:dyDescent="0.35">
      <c r="A4325">
        <v>225</v>
      </c>
      <c r="B4325" t="s">
        <v>386</v>
      </c>
      <c r="C4325" t="s">
        <v>72</v>
      </c>
      <c r="D4325" t="s">
        <v>34</v>
      </c>
      <c r="E4325">
        <v>1736</v>
      </c>
      <c r="F4325">
        <v>2</v>
      </c>
      <c r="G4325">
        <v>7</v>
      </c>
      <c r="H4325">
        <v>4</v>
      </c>
      <c r="I4325">
        <v>0</v>
      </c>
      <c r="J4325">
        <v>0.90491159135559895</v>
      </c>
      <c r="K4325">
        <v>0.76632069857876495</v>
      </c>
      <c r="L4325">
        <v>0.82986965608099805</v>
      </c>
      <c r="M4325">
        <v>0.25268817204301097</v>
      </c>
      <c r="N4325">
        <v>0.90860215053763405</v>
      </c>
      <c r="O4325">
        <v>0.58576548899129499</v>
      </c>
      <c r="AF4325" t="s">
        <v>387</v>
      </c>
    </row>
    <row r="4326" spans="1:32" hidden="1" x14ac:dyDescent="0.35">
      <c r="A4326">
        <v>226</v>
      </c>
      <c r="B4326" t="s">
        <v>386</v>
      </c>
      <c r="C4326" t="s">
        <v>72</v>
      </c>
      <c r="D4326" t="s">
        <v>34</v>
      </c>
      <c r="E4326">
        <v>2277</v>
      </c>
      <c r="F4326">
        <v>2</v>
      </c>
      <c r="G4326">
        <v>7</v>
      </c>
      <c r="H4326">
        <v>4</v>
      </c>
      <c r="I4326">
        <v>0</v>
      </c>
      <c r="J4326">
        <v>0.90491159135559895</v>
      </c>
      <c r="K4326">
        <v>0.76632069857876495</v>
      </c>
      <c r="L4326">
        <v>0.82986965608099805</v>
      </c>
      <c r="M4326">
        <v>0.25268817204301097</v>
      </c>
      <c r="N4326">
        <v>0.90860215053763405</v>
      </c>
      <c r="O4326">
        <v>0.58576548899129499</v>
      </c>
      <c r="AF4326" t="s">
        <v>388</v>
      </c>
    </row>
    <row r="4327" spans="1:32" hidden="1" x14ac:dyDescent="0.35">
      <c r="A4327">
        <v>227</v>
      </c>
      <c r="B4327" t="s">
        <v>386</v>
      </c>
      <c r="C4327" t="s">
        <v>72</v>
      </c>
      <c r="D4327" t="s">
        <v>34</v>
      </c>
      <c r="E4327">
        <v>2328</v>
      </c>
      <c r="F4327">
        <v>2</v>
      </c>
      <c r="G4327">
        <v>7</v>
      </c>
      <c r="H4327">
        <v>4</v>
      </c>
      <c r="I4327">
        <v>0</v>
      </c>
      <c r="J4327">
        <v>0.90491159135559895</v>
      </c>
      <c r="K4327">
        <v>0.76632069857876495</v>
      </c>
      <c r="L4327">
        <v>0.82986965608099805</v>
      </c>
      <c r="M4327">
        <v>0.25268817204301097</v>
      </c>
      <c r="N4327">
        <v>0.90860215053763405</v>
      </c>
      <c r="O4327">
        <v>0.58576548899129499</v>
      </c>
      <c r="AF4327" t="e">
        <f>----------------------------------------------------------------------------------------------------------MVSDDPTFPDKAKPLLAYDYSPATFMGTEEEKPKTFNITDELINAGALFTYRVEIYDQPVSKANYWMEFLCVNDSRDELY</f>
        <v>#NAME?</v>
      </c>
    </row>
    <row r="4328" spans="1:32" hidden="1" x14ac:dyDescent="0.35">
      <c r="A4328">
        <v>228</v>
      </c>
      <c r="B4328" t="s">
        <v>386</v>
      </c>
      <c r="C4328" t="s">
        <v>72</v>
      </c>
      <c r="D4328" t="s">
        <v>34</v>
      </c>
      <c r="E4328">
        <v>2327</v>
      </c>
      <c r="F4328">
        <v>2</v>
      </c>
      <c r="G4328">
        <v>7</v>
      </c>
      <c r="H4328">
        <v>4</v>
      </c>
      <c r="I4328">
        <v>0</v>
      </c>
      <c r="J4328">
        <v>0.90491159135559895</v>
      </c>
      <c r="K4328">
        <v>0.76632069857876495</v>
      </c>
      <c r="L4328">
        <v>0.82986965608099805</v>
      </c>
      <c r="M4328">
        <v>0.25268817204301097</v>
      </c>
      <c r="N4328">
        <v>0.90860215053763405</v>
      </c>
      <c r="O4328">
        <v>0.58576548899129499</v>
      </c>
      <c r="AF4328" t="s">
        <v>389</v>
      </c>
    </row>
    <row r="4329" spans="1:32" hidden="1" x14ac:dyDescent="0.35">
      <c r="A4329">
        <v>229</v>
      </c>
      <c r="B4329" t="s">
        <v>386</v>
      </c>
      <c r="C4329" t="s">
        <v>72</v>
      </c>
      <c r="D4329" t="s">
        <v>45</v>
      </c>
      <c r="E4329">
        <v>551</v>
      </c>
      <c r="F4329">
        <v>2</v>
      </c>
      <c r="G4329">
        <v>7</v>
      </c>
      <c r="H4329">
        <v>4</v>
      </c>
      <c r="I4329">
        <v>0</v>
      </c>
      <c r="J4329">
        <v>0.90491159135559895</v>
      </c>
      <c r="K4329">
        <v>0.76632069857876495</v>
      </c>
      <c r="L4329">
        <v>0.82986965608099805</v>
      </c>
      <c r="M4329">
        <v>0.25268817204301097</v>
      </c>
      <c r="N4329">
        <v>0.90860215053763405</v>
      </c>
      <c r="O4329">
        <v>0.58576548899129499</v>
      </c>
      <c r="AF4329" t="s">
        <v>390</v>
      </c>
    </row>
    <row r="4330" spans="1:32" hidden="1" x14ac:dyDescent="0.35">
      <c r="A4330">
        <v>230</v>
      </c>
      <c r="B4330" t="s">
        <v>386</v>
      </c>
      <c r="C4330" t="s">
        <v>72</v>
      </c>
      <c r="D4330" t="s">
        <v>45</v>
      </c>
      <c r="E4330">
        <v>1137</v>
      </c>
      <c r="F4330">
        <v>2</v>
      </c>
      <c r="G4330">
        <v>7</v>
      </c>
      <c r="H4330">
        <v>4</v>
      </c>
      <c r="I4330">
        <v>0</v>
      </c>
      <c r="J4330">
        <v>0.90491159135559895</v>
      </c>
      <c r="K4330">
        <v>0.76632069857876495</v>
      </c>
      <c r="L4330">
        <v>0.82986965608099805</v>
      </c>
      <c r="M4330">
        <v>0.25268817204301097</v>
      </c>
      <c r="N4330">
        <v>0.90860215053763405</v>
      </c>
      <c r="O4330">
        <v>0.58576548899129499</v>
      </c>
      <c r="AF4330" t="s">
        <v>391</v>
      </c>
    </row>
    <row r="4331" spans="1:32" hidden="1" x14ac:dyDescent="0.35">
      <c r="A4331">
        <v>231</v>
      </c>
      <c r="B4331" t="s">
        <v>386</v>
      </c>
      <c r="C4331" t="s">
        <v>72</v>
      </c>
      <c r="D4331" t="s">
        <v>45</v>
      </c>
      <c r="E4331">
        <v>601</v>
      </c>
      <c r="F4331">
        <v>2</v>
      </c>
      <c r="G4331">
        <v>7</v>
      </c>
      <c r="H4331">
        <v>4</v>
      </c>
      <c r="I4331">
        <v>0</v>
      </c>
      <c r="J4331">
        <v>0.90491159135559895</v>
      </c>
      <c r="K4331">
        <v>0.76632069857876495</v>
      </c>
      <c r="L4331">
        <v>0.82986965608099805</v>
      </c>
      <c r="M4331">
        <v>0.25268817204301097</v>
      </c>
      <c r="N4331">
        <v>0.90860215053763405</v>
      </c>
      <c r="O4331">
        <v>0.58576548899129499</v>
      </c>
      <c r="AF4331" t="s">
        <v>392</v>
      </c>
    </row>
    <row r="4332" spans="1:32" hidden="1" x14ac:dyDescent="0.35">
      <c r="A4332">
        <v>232</v>
      </c>
      <c r="B4332" t="s">
        <v>393</v>
      </c>
      <c r="C4332" t="s">
        <v>72</v>
      </c>
      <c r="D4332" t="s">
        <v>34</v>
      </c>
      <c r="E4332">
        <v>1267</v>
      </c>
      <c r="F4332">
        <v>2</v>
      </c>
      <c r="G4332">
        <v>7</v>
      </c>
      <c r="H4332">
        <v>4</v>
      </c>
      <c r="I4332">
        <v>0</v>
      </c>
      <c r="J4332">
        <v>0.78578799941028998</v>
      </c>
      <c r="K4332">
        <v>0.90434202726733603</v>
      </c>
      <c r="L4332">
        <v>0.84090703220739804</v>
      </c>
      <c r="M4332">
        <v>0.427385892116183</v>
      </c>
      <c r="N4332">
        <v>0.89626556016597503</v>
      </c>
      <c r="O4332">
        <v>0.67753408417308802</v>
      </c>
      <c r="AF4332" t="s">
        <v>394</v>
      </c>
    </row>
    <row r="4333" spans="1:32" hidden="1" x14ac:dyDescent="0.35">
      <c r="A4333">
        <v>233</v>
      </c>
      <c r="B4333" t="s">
        <v>393</v>
      </c>
      <c r="C4333" t="s">
        <v>72</v>
      </c>
      <c r="D4333" t="s">
        <v>34</v>
      </c>
      <c r="E4333">
        <v>1253</v>
      </c>
      <c r="F4333">
        <v>2</v>
      </c>
      <c r="G4333">
        <v>7</v>
      </c>
      <c r="H4333">
        <v>4</v>
      </c>
      <c r="I4333">
        <v>0</v>
      </c>
      <c r="J4333">
        <v>0.78578799941028998</v>
      </c>
      <c r="K4333">
        <v>0.90434202726733603</v>
      </c>
      <c r="L4333">
        <v>0.84090703220739804</v>
      </c>
      <c r="M4333">
        <v>0.427385892116183</v>
      </c>
      <c r="N4333">
        <v>0.89626556016597503</v>
      </c>
      <c r="O4333">
        <v>0.67753408417308802</v>
      </c>
      <c r="AF4333" t="s">
        <v>395</v>
      </c>
    </row>
    <row r="4334" spans="1:32" hidden="1" x14ac:dyDescent="0.35">
      <c r="A4334">
        <v>234</v>
      </c>
      <c r="B4334" t="s">
        <v>393</v>
      </c>
      <c r="C4334" t="s">
        <v>72</v>
      </c>
      <c r="D4334" t="s">
        <v>34</v>
      </c>
      <c r="E4334">
        <v>1255</v>
      </c>
      <c r="F4334">
        <v>2</v>
      </c>
      <c r="G4334">
        <v>7</v>
      </c>
      <c r="H4334">
        <v>4</v>
      </c>
      <c r="I4334">
        <v>0</v>
      </c>
      <c r="J4334">
        <v>0.78578799941028998</v>
      </c>
      <c r="K4334">
        <v>0.90434202726733603</v>
      </c>
      <c r="L4334">
        <v>0.84090703220739804</v>
      </c>
      <c r="M4334">
        <v>0.427385892116183</v>
      </c>
      <c r="N4334">
        <v>0.89626556016597503</v>
      </c>
      <c r="O4334">
        <v>0.67753408417308802</v>
      </c>
      <c r="AF4334" t="s">
        <v>396</v>
      </c>
    </row>
    <row r="4335" spans="1:32" hidden="1" x14ac:dyDescent="0.35">
      <c r="A4335">
        <v>235</v>
      </c>
      <c r="B4335" t="s">
        <v>393</v>
      </c>
      <c r="C4335" t="s">
        <v>72</v>
      </c>
      <c r="D4335" t="s">
        <v>45</v>
      </c>
      <c r="E4335">
        <v>20</v>
      </c>
      <c r="F4335">
        <v>2</v>
      </c>
      <c r="G4335">
        <v>7</v>
      </c>
      <c r="H4335">
        <v>4</v>
      </c>
      <c r="I4335">
        <v>0</v>
      </c>
      <c r="J4335">
        <v>0.78578799941028998</v>
      </c>
      <c r="K4335">
        <v>0.90434202726733603</v>
      </c>
      <c r="L4335">
        <v>0.84090703220739804</v>
      </c>
      <c r="M4335">
        <v>0.427385892116183</v>
      </c>
      <c r="N4335">
        <v>0.89626556016597503</v>
      </c>
      <c r="O4335">
        <v>0.67753408417308802</v>
      </c>
      <c r="AF4335" t="s">
        <v>397</v>
      </c>
    </row>
    <row r="4336" spans="1:32" hidden="1" x14ac:dyDescent="0.35">
      <c r="A4336">
        <v>236</v>
      </c>
      <c r="B4336" t="s">
        <v>393</v>
      </c>
      <c r="C4336" t="s">
        <v>72</v>
      </c>
      <c r="D4336" t="s">
        <v>45</v>
      </c>
      <c r="E4336">
        <v>8</v>
      </c>
      <c r="F4336">
        <v>2</v>
      </c>
      <c r="G4336">
        <v>7</v>
      </c>
      <c r="H4336">
        <v>4</v>
      </c>
      <c r="I4336">
        <v>0</v>
      </c>
      <c r="J4336">
        <v>0.78578799941028998</v>
      </c>
      <c r="K4336">
        <v>0.90434202726733603</v>
      </c>
      <c r="L4336">
        <v>0.84090703220739804</v>
      </c>
      <c r="M4336">
        <v>0.427385892116183</v>
      </c>
      <c r="N4336">
        <v>0.89626556016597503</v>
      </c>
      <c r="O4336">
        <v>0.67753408417308802</v>
      </c>
      <c r="AF4336" t="s">
        <v>398</v>
      </c>
    </row>
    <row r="4337" spans="1:32" hidden="1" x14ac:dyDescent="0.35">
      <c r="A4337">
        <v>237</v>
      </c>
      <c r="B4337" t="s">
        <v>393</v>
      </c>
      <c r="C4337" t="s">
        <v>72</v>
      </c>
      <c r="D4337" t="s">
        <v>45</v>
      </c>
      <c r="E4337">
        <v>1440</v>
      </c>
      <c r="F4337">
        <v>2</v>
      </c>
      <c r="G4337">
        <v>7</v>
      </c>
      <c r="H4337">
        <v>4</v>
      </c>
      <c r="I4337">
        <v>0</v>
      </c>
      <c r="J4337">
        <v>0.78578799941028998</v>
      </c>
      <c r="K4337">
        <v>0.90434202726733603</v>
      </c>
      <c r="L4337">
        <v>0.84090703220739804</v>
      </c>
      <c r="M4337">
        <v>0.427385892116183</v>
      </c>
      <c r="N4337">
        <v>0.89626556016597503</v>
      </c>
      <c r="O4337">
        <v>0.67753408417308802</v>
      </c>
      <c r="AF4337" t="s">
        <v>399</v>
      </c>
    </row>
    <row r="4338" spans="1:32" hidden="1" x14ac:dyDescent="0.35">
      <c r="A4338">
        <v>238</v>
      </c>
      <c r="B4338" t="s">
        <v>393</v>
      </c>
      <c r="C4338" t="s">
        <v>72</v>
      </c>
      <c r="D4338" t="s">
        <v>45</v>
      </c>
      <c r="E4338">
        <v>4</v>
      </c>
      <c r="F4338">
        <v>2</v>
      </c>
      <c r="G4338">
        <v>7</v>
      </c>
      <c r="H4338">
        <v>4</v>
      </c>
      <c r="I4338">
        <v>0</v>
      </c>
      <c r="J4338">
        <v>0.78578799941028998</v>
      </c>
      <c r="K4338">
        <v>0.90434202726733603</v>
      </c>
      <c r="L4338">
        <v>0.84090703220739804</v>
      </c>
      <c r="M4338">
        <v>0.427385892116183</v>
      </c>
      <c r="N4338">
        <v>0.89626556016597503</v>
      </c>
      <c r="O4338">
        <v>0.67753408417308802</v>
      </c>
      <c r="AF4338" t="s">
        <v>400</v>
      </c>
    </row>
    <row r="4339" spans="1:32" hidden="1" x14ac:dyDescent="0.35">
      <c r="A4339">
        <v>281</v>
      </c>
      <c r="B4339" t="s">
        <v>486</v>
      </c>
      <c r="C4339" t="s">
        <v>72</v>
      </c>
      <c r="D4339" t="s">
        <v>34</v>
      </c>
      <c r="E4339">
        <v>1011</v>
      </c>
      <c r="F4339">
        <v>2</v>
      </c>
      <c r="G4339">
        <v>7</v>
      </c>
      <c r="H4339">
        <v>4</v>
      </c>
      <c r="I4339">
        <v>0</v>
      </c>
      <c r="J4339">
        <v>0.87150804924242398</v>
      </c>
      <c r="K4339">
        <v>0.96547826205255105</v>
      </c>
      <c r="L4339">
        <v>0.91608965355242999</v>
      </c>
      <c r="M4339">
        <v>0.72661870503597104</v>
      </c>
      <c r="N4339">
        <v>0.93884892086330896</v>
      </c>
      <c r="O4339">
        <v>0.81688934566632398</v>
      </c>
      <c r="AF4339" t="s">
        <v>487</v>
      </c>
    </row>
    <row r="4340" spans="1:32" hidden="1" x14ac:dyDescent="0.35">
      <c r="A4340">
        <v>282</v>
      </c>
      <c r="B4340" t="s">
        <v>486</v>
      </c>
      <c r="C4340" t="s">
        <v>72</v>
      </c>
      <c r="D4340" t="s">
        <v>34</v>
      </c>
      <c r="E4340">
        <v>2019</v>
      </c>
      <c r="F4340">
        <v>2</v>
      </c>
      <c r="G4340">
        <v>7</v>
      </c>
      <c r="H4340">
        <v>4</v>
      </c>
      <c r="I4340">
        <v>0</v>
      </c>
      <c r="J4340">
        <v>0.87150804924242398</v>
      </c>
      <c r="K4340">
        <v>0.96547826205255105</v>
      </c>
      <c r="L4340">
        <v>0.91608965355242999</v>
      </c>
      <c r="M4340">
        <v>0.72661870503597104</v>
      </c>
      <c r="N4340">
        <v>0.93884892086330896</v>
      </c>
      <c r="O4340">
        <v>0.81688934566632398</v>
      </c>
      <c r="AF4340" t="s">
        <v>488</v>
      </c>
    </row>
    <row r="4341" spans="1:32" hidden="1" x14ac:dyDescent="0.35">
      <c r="A4341">
        <v>283</v>
      </c>
      <c r="B4341" t="s">
        <v>486</v>
      </c>
      <c r="C4341" t="s">
        <v>72</v>
      </c>
      <c r="D4341" t="s">
        <v>34</v>
      </c>
      <c r="E4341">
        <v>2227</v>
      </c>
      <c r="F4341">
        <v>2</v>
      </c>
      <c r="G4341">
        <v>7</v>
      </c>
      <c r="H4341">
        <v>4</v>
      </c>
      <c r="I4341">
        <v>0</v>
      </c>
      <c r="J4341">
        <v>0.87150804924242398</v>
      </c>
      <c r="K4341">
        <v>0.96547826205255105</v>
      </c>
      <c r="L4341">
        <v>0.91608965355242999</v>
      </c>
      <c r="M4341">
        <v>0.72661870503597104</v>
      </c>
      <c r="N4341">
        <v>0.93884892086330896</v>
      </c>
      <c r="O4341">
        <v>0.81688934566632398</v>
      </c>
      <c r="AF4341" t="s">
        <v>489</v>
      </c>
    </row>
    <row r="4342" spans="1:32" hidden="1" x14ac:dyDescent="0.35">
      <c r="A4342">
        <v>284</v>
      </c>
      <c r="B4342" t="s">
        <v>486</v>
      </c>
      <c r="C4342" t="s">
        <v>72</v>
      </c>
      <c r="D4342" t="s">
        <v>45</v>
      </c>
      <c r="E4342">
        <v>1349</v>
      </c>
      <c r="F4342">
        <v>2</v>
      </c>
      <c r="G4342">
        <v>7</v>
      </c>
      <c r="H4342">
        <v>4</v>
      </c>
      <c r="I4342">
        <v>0</v>
      </c>
      <c r="J4342">
        <v>0.87150804924242398</v>
      </c>
      <c r="K4342">
        <v>0.96547826205255105</v>
      </c>
      <c r="L4342">
        <v>0.91608965355242999</v>
      </c>
      <c r="M4342">
        <v>0.72661870503597104</v>
      </c>
      <c r="N4342">
        <v>0.93884892086330896</v>
      </c>
      <c r="O4342">
        <v>0.81688934566632398</v>
      </c>
      <c r="AF4342" t="s">
        <v>490</v>
      </c>
    </row>
    <row r="4343" spans="1:32" hidden="1" x14ac:dyDescent="0.35">
      <c r="A4343">
        <v>285</v>
      </c>
      <c r="B4343" t="s">
        <v>486</v>
      </c>
      <c r="C4343" t="s">
        <v>72</v>
      </c>
      <c r="D4343" t="s">
        <v>45</v>
      </c>
      <c r="E4343">
        <v>2265</v>
      </c>
      <c r="F4343">
        <v>2</v>
      </c>
      <c r="G4343">
        <v>7</v>
      </c>
      <c r="H4343">
        <v>4</v>
      </c>
      <c r="I4343">
        <v>0</v>
      </c>
      <c r="J4343">
        <v>0.87150804924242398</v>
      </c>
      <c r="K4343">
        <v>0.96547826205255105</v>
      </c>
      <c r="L4343">
        <v>0.91608965355242999</v>
      </c>
      <c r="M4343">
        <v>0.72661870503597104</v>
      </c>
      <c r="N4343">
        <v>0.93884892086330896</v>
      </c>
      <c r="O4343">
        <v>0.81688934566632398</v>
      </c>
      <c r="AF4343" t="s">
        <v>491</v>
      </c>
    </row>
    <row r="4344" spans="1:32" hidden="1" x14ac:dyDescent="0.35">
      <c r="A4344">
        <v>286</v>
      </c>
      <c r="B4344" t="s">
        <v>486</v>
      </c>
      <c r="C4344" t="s">
        <v>72</v>
      </c>
      <c r="D4344" t="s">
        <v>45</v>
      </c>
      <c r="E4344">
        <v>647</v>
      </c>
      <c r="F4344">
        <v>2</v>
      </c>
      <c r="G4344">
        <v>7</v>
      </c>
      <c r="H4344">
        <v>4</v>
      </c>
      <c r="I4344">
        <v>0</v>
      </c>
      <c r="J4344">
        <v>0.87150804924242398</v>
      </c>
      <c r="K4344">
        <v>0.96547826205255105</v>
      </c>
      <c r="L4344">
        <v>0.91608965355242999</v>
      </c>
      <c r="M4344">
        <v>0.72661870503597104</v>
      </c>
      <c r="N4344">
        <v>0.93884892086330896</v>
      </c>
      <c r="O4344">
        <v>0.81688934566632398</v>
      </c>
      <c r="AF4344" t="s">
        <v>492</v>
      </c>
    </row>
    <row r="4345" spans="1:32" hidden="1" x14ac:dyDescent="0.35">
      <c r="A4345">
        <v>287</v>
      </c>
      <c r="B4345" t="s">
        <v>486</v>
      </c>
      <c r="C4345" t="s">
        <v>72</v>
      </c>
      <c r="D4345" t="s">
        <v>45</v>
      </c>
      <c r="E4345">
        <v>852</v>
      </c>
      <c r="F4345">
        <v>2</v>
      </c>
      <c r="G4345">
        <v>7</v>
      </c>
      <c r="H4345">
        <v>4</v>
      </c>
      <c r="I4345">
        <v>0</v>
      </c>
      <c r="J4345">
        <v>0.87150804924242398</v>
      </c>
      <c r="K4345">
        <v>0.96547826205255105</v>
      </c>
      <c r="L4345">
        <v>0.91608965355242999</v>
      </c>
      <c r="M4345">
        <v>0.72661870503597104</v>
      </c>
      <c r="N4345">
        <v>0.93884892086330896</v>
      </c>
      <c r="O4345">
        <v>0.81688934566632398</v>
      </c>
      <c r="AF4345" t="s">
        <v>493</v>
      </c>
    </row>
    <row r="4346" spans="1:32" hidden="1" x14ac:dyDescent="0.35">
      <c r="A4346">
        <v>295</v>
      </c>
      <c r="B4346" t="s">
        <v>509</v>
      </c>
      <c r="C4346" t="s">
        <v>72</v>
      </c>
      <c r="D4346" t="s">
        <v>60</v>
      </c>
      <c r="E4346">
        <v>1576</v>
      </c>
      <c r="F4346">
        <v>2</v>
      </c>
      <c r="G4346">
        <v>6</v>
      </c>
      <c r="H4346">
        <v>3</v>
      </c>
      <c r="I4346">
        <v>0</v>
      </c>
      <c r="J4346">
        <v>0.75921506231768798</v>
      </c>
      <c r="K4346">
        <v>0.82880341880342001</v>
      </c>
      <c r="L4346">
        <v>0.79248452928799795</v>
      </c>
      <c r="M4346">
        <v>0.42857142857142899</v>
      </c>
      <c r="N4346">
        <v>1</v>
      </c>
      <c r="O4346">
        <v>0.57587301587301598</v>
      </c>
      <c r="AF4346" t="s">
        <v>510</v>
      </c>
    </row>
    <row r="4347" spans="1:32" hidden="1" x14ac:dyDescent="0.35">
      <c r="A4347">
        <v>296</v>
      </c>
      <c r="B4347" t="s">
        <v>509</v>
      </c>
      <c r="C4347" t="s">
        <v>72</v>
      </c>
      <c r="D4347" t="s">
        <v>60</v>
      </c>
      <c r="E4347">
        <v>1574</v>
      </c>
      <c r="F4347">
        <v>2</v>
      </c>
      <c r="G4347">
        <v>6</v>
      </c>
      <c r="H4347">
        <v>3</v>
      </c>
      <c r="I4347">
        <v>0</v>
      </c>
      <c r="J4347">
        <v>0.75921506231768798</v>
      </c>
      <c r="K4347">
        <v>0.82880341880342001</v>
      </c>
      <c r="L4347">
        <v>0.79248452928799795</v>
      </c>
      <c r="M4347">
        <v>0.42857142857142899</v>
      </c>
      <c r="N4347">
        <v>1</v>
      </c>
      <c r="O4347">
        <v>0.57587301587301598</v>
      </c>
      <c r="AF4347" t="s">
        <v>511</v>
      </c>
    </row>
    <row r="4348" spans="1:32" hidden="1" x14ac:dyDescent="0.35">
      <c r="A4348">
        <v>297</v>
      </c>
      <c r="B4348" t="s">
        <v>509</v>
      </c>
      <c r="C4348" t="s">
        <v>72</v>
      </c>
      <c r="D4348" t="s">
        <v>60</v>
      </c>
      <c r="E4348">
        <v>1575</v>
      </c>
      <c r="F4348">
        <v>2</v>
      </c>
      <c r="G4348">
        <v>6</v>
      </c>
      <c r="H4348">
        <v>3</v>
      </c>
      <c r="I4348">
        <v>0</v>
      </c>
      <c r="J4348">
        <v>0.75921506231768798</v>
      </c>
      <c r="K4348">
        <v>0.82880341880342001</v>
      </c>
      <c r="L4348">
        <v>0.79248452928799795</v>
      </c>
      <c r="M4348">
        <v>0.42857142857142899</v>
      </c>
      <c r="N4348">
        <v>1</v>
      </c>
      <c r="O4348">
        <v>0.57587301587301598</v>
      </c>
      <c r="AF4348" t="s">
        <v>512</v>
      </c>
    </row>
    <row r="4349" spans="1:32" hidden="1" x14ac:dyDescent="0.35">
      <c r="A4349">
        <v>298</v>
      </c>
      <c r="B4349" t="s">
        <v>509</v>
      </c>
      <c r="C4349" t="s">
        <v>72</v>
      </c>
      <c r="D4349" t="s">
        <v>62</v>
      </c>
      <c r="E4349">
        <v>1612</v>
      </c>
      <c r="F4349">
        <v>2</v>
      </c>
      <c r="G4349">
        <v>6</v>
      </c>
      <c r="H4349">
        <v>3</v>
      </c>
      <c r="I4349">
        <v>0</v>
      </c>
      <c r="J4349">
        <v>0.75921506231768798</v>
      </c>
      <c r="K4349">
        <v>0.82880341880342001</v>
      </c>
      <c r="L4349">
        <v>0.79248452928799795</v>
      </c>
      <c r="M4349">
        <v>0.42857142857142899</v>
      </c>
      <c r="N4349">
        <v>1</v>
      </c>
      <c r="O4349">
        <v>0.57587301587301598</v>
      </c>
      <c r="AF4349" t="s">
        <v>510</v>
      </c>
    </row>
    <row r="4350" spans="1:32" hidden="1" x14ac:dyDescent="0.35">
      <c r="A4350">
        <v>299</v>
      </c>
      <c r="B4350" t="s">
        <v>509</v>
      </c>
      <c r="C4350" t="s">
        <v>72</v>
      </c>
      <c r="D4350" t="s">
        <v>62</v>
      </c>
      <c r="E4350">
        <v>1610</v>
      </c>
      <c r="F4350">
        <v>2</v>
      </c>
      <c r="G4350">
        <v>6</v>
      </c>
      <c r="H4350">
        <v>3</v>
      </c>
      <c r="I4350">
        <v>0</v>
      </c>
      <c r="J4350">
        <v>0.75921506231768798</v>
      </c>
      <c r="K4350">
        <v>0.82880341880342001</v>
      </c>
      <c r="L4350">
        <v>0.79248452928799795</v>
      </c>
      <c r="M4350">
        <v>0.42857142857142899</v>
      </c>
      <c r="N4350">
        <v>1</v>
      </c>
      <c r="O4350">
        <v>0.57587301587301598</v>
      </c>
      <c r="AF4350" t="s">
        <v>511</v>
      </c>
    </row>
    <row r="4351" spans="1:32" hidden="1" x14ac:dyDescent="0.35">
      <c r="A4351">
        <v>300</v>
      </c>
      <c r="B4351" t="s">
        <v>509</v>
      </c>
      <c r="C4351" t="s">
        <v>72</v>
      </c>
      <c r="D4351" t="s">
        <v>62</v>
      </c>
      <c r="E4351">
        <v>1611</v>
      </c>
      <c r="F4351">
        <v>2</v>
      </c>
      <c r="G4351">
        <v>6</v>
      </c>
      <c r="H4351">
        <v>3</v>
      </c>
      <c r="I4351">
        <v>0</v>
      </c>
      <c r="J4351">
        <v>0.75921506231768798</v>
      </c>
      <c r="K4351">
        <v>0.82880341880342001</v>
      </c>
      <c r="L4351">
        <v>0.79248452928799795</v>
      </c>
      <c r="M4351">
        <v>0.42857142857142899</v>
      </c>
      <c r="N4351">
        <v>1</v>
      </c>
      <c r="O4351">
        <v>0.57587301587301598</v>
      </c>
      <c r="AF4351" t="s">
        <v>512</v>
      </c>
    </row>
    <row r="4352" spans="1:32" hidden="1" x14ac:dyDescent="0.35">
      <c r="A4352">
        <v>330</v>
      </c>
      <c r="B4352" t="s">
        <v>569</v>
      </c>
      <c r="C4352" t="s">
        <v>72</v>
      </c>
      <c r="D4352" t="s">
        <v>45</v>
      </c>
      <c r="E4352">
        <v>1161</v>
      </c>
      <c r="F4352">
        <v>5</v>
      </c>
      <c r="G4352">
        <v>6</v>
      </c>
      <c r="H4352">
        <v>2</v>
      </c>
      <c r="I4352">
        <v>0</v>
      </c>
      <c r="J4352">
        <v>0.71612811791383202</v>
      </c>
      <c r="K4352">
        <v>0.72832083722738294</v>
      </c>
      <c r="L4352">
        <v>0.722173017668293</v>
      </c>
      <c r="M4352">
        <v>5.2434456928839003E-2</v>
      </c>
      <c r="N4352">
        <v>1</v>
      </c>
      <c r="O4352">
        <v>0.43957553058676702</v>
      </c>
      <c r="P4352" t="s">
        <v>570</v>
      </c>
      <c r="Q4352" t="s">
        <v>571</v>
      </c>
      <c r="AF4352" t="s">
        <v>221</v>
      </c>
    </row>
    <row r="4353" spans="1:32" hidden="1" x14ac:dyDescent="0.35">
      <c r="A4353">
        <v>351</v>
      </c>
      <c r="B4353" t="s">
        <v>625</v>
      </c>
      <c r="C4353" t="s">
        <v>72</v>
      </c>
      <c r="D4353" t="s">
        <v>34</v>
      </c>
      <c r="E4353">
        <v>1283</v>
      </c>
      <c r="F4353">
        <v>2</v>
      </c>
      <c r="G4353">
        <v>6</v>
      </c>
      <c r="H4353">
        <v>3</v>
      </c>
      <c r="I4353">
        <v>0</v>
      </c>
      <c r="J4353">
        <v>0.84597085935176897</v>
      </c>
      <c r="K4353">
        <v>0.97512435921776897</v>
      </c>
      <c r="L4353">
        <v>0.90596777557878105</v>
      </c>
      <c r="M4353">
        <v>0.67391304347826098</v>
      </c>
      <c r="N4353">
        <v>1</v>
      </c>
      <c r="O4353">
        <v>0.790144927536232</v>
      </c>
      <c r="P4353" t="s">
        <v>626</v>
      </c>
      <c r="Q4353" t="s">
        <v>627</v>
      </c>
      <c r="AF4353" t="s">
        <v>632</v>
      </c>
    </row>
    <row r="4354" spans="1:32" hidden="1" x14ac:dyDescent="0.35">
      <c r="A4354">
        <v>354</v>
      </c>
      <c r="B4354" t="s">
        <v>625</v>
      </c>
      <c r="C4354" t="s">
        <v>72</v>
      </c>
      <c r="D4354" t="s">
        <v>45</v>
      </c>
      <c r="E4354">
        <v>35</v>
      </c>
      <c r="F4354">
        <v>2</v>
      </c>
      <c r="G4354">
        <v>6</v>
      </c>
      <c r="H4354">
        <v>3</v>
      </c>
      <c r="I4354">
        <v>0</v>
      </c>
      <c r="J4354">
        <v>0.84597085935176897</v>
      </c>
      <c r="K4354">
        <v>0.97512435921776897</v>
      </c>
      <c r="L4354">
        <v>0.90596777557878105</v>
      </c>
      <c r="M4354">
        <v>0.67391304347826098</v>
      </c>
      <c r="N4354">
        <v>1</v>
      </c>
      <c r="O4354">
        <v>0.790144927536232</v>
      </c>
      <c r="P4354" t="s">
        <v>626</v>
      </c>
      <c r="Q4354" t="s">
        <v>627</v>
      </c>
      <c r="AF4354" t="s">
        <v>634</v>
      </c>
    </row>
    <row r="4355" spans="1:32" hidden="1" x14ac:dyDescent="0.35">
      <c r="A4355">
        <v>355</v>
      </c>
      <c r="B4355" t="s">
        <v>635</v>
      </c>
      <c r="C4355" t="s">
        <v>72</v>
      </c>
      <c r="D4355" t="s">
        <v>58</v>
      </c>
      <c r="E4355">
        <v>58</v>
      </c>
      <c r="F4355">
        <v>5</v>
      </c>
      <c r="G4355">
        <v>6</v>
      </c>
      <c r="H4355">
        <v>2</v>
      </c>
      <c r="I4355">
        <v>0</v>
      </c>
      <c r="J4355">
        <v>0.74806084416238505</v>
      </c>
      <c r="K4355">
        <v>0.70826793414996003</v>
      </c>
      <c r="L4355">
        <v>0.72762073592661403</v>
      </c>
      <c r="M4355">
        <v>7.4585635359115998E-2</v>
      </c>
      <c r="N4355">
        <v>0.99861878453038699</v>
      </c>
      <c r="O4355">
        <v>0.43710865561694301</v>
      </c>
      <c r="P4355" t="s">
        <v>636</v>
      </c>
      <c r="Q4355" t="s">
        <v>637</v>
      </c>
      <c r="T4355" t="s">
        <v>638</v>
      </c>
      <c r="U4355" t="s">
        <v>639</v>
      </c>
      <c r="AD4355" t="s">
        <v>640</v>
      </c>
      <c r="AE4355" t="s">
        <v>641</v>
      </c>
      <c r="AF4355" t="s">
        <v>642</v>
      </c>
    </row>
    <row r="4356" spans="1:32" hidden="1" x14ac:dyDescent="0.35">
      <c r="A4356">
        <v>356</v>
      </c>
      <c r="B4356" t="s">
        <v>635</v>
      </c>
      <c r="C4356" t="s">
        <v>72</v>
      </c>
      <c r="D4356" t="s">
        <v>60</v>
      </c>
      <c r="E4356">
        <v>101</v>
      </c>
      <c r="F4356">
        <v>5</v>
      </c>
      <c r="G4356">
        <v>6</v>
      </c>
      <c r="H4356">
        <v>2</v>
      </c>
      <c r="I4356">
        <v>0</v>
      </c>
      <c r="J4356">
        <v>0.74806084416238505</v>
      </c>
      <c r="K4356">
        <v>0.70826793414996003</v>
      </c>
      <c r="L4356">
        <v>0.72762073592661403</v>
      </c>
      <c r="M4356">
        <v>7.4585635359115998E-2</v>
      </c>
      <c r="N4356">
        <v>0.99861878453038699</v>
      </c>
      <c r="O4356">
        <v>0.43710865561694301</v>
      </c>
      <c r="P4356" t="s">
        <v>636</v>
      </c>
      <c r="Q4356" t="s">
        <v>637</v>
      </c>
      <c r="T4356" t="s">
        <v>638</v>
      </c>
      <c r="U4356" t="s">
        <v>639</v>
      </c>
      <c r="AD4356" t="s">
        <v>640</v>
      </c>
      <c r="AE4356" t="s">
        <v>641</v>
      </c>
      <c r="AF4356" t="s">
        <v>643</v>
      </c>
    </row>
    <row r="4357" spans="1:32" hidden="1" x14ac:dyDescent="0.35">
      <c r="A4357">
        <v>357</v>
      </c>
      <c r="B4357" t="s">
        <v>635</v>
      </c>
      <c r="C4357" t="s">
        <v>72</v>
      </c>
      <c r="D4357" t="s">
        <v>62</v>
      </c>
      <c r="E4357">
        <v>173</v>
      </c>
      <c r="F4357">
        <v>5</v>
      </c>
      <c r="G4357">
        <v>6</v>
      </c>
      <c r="H4357">
        <v>2</v>
      </c>
      <c r="I4357">
        <v>0</v>
      </c>
      <c r="J4357">
        <v>0.74806084416238505</v>
      </c>
      <c r="K4357">
        <v>0.70826793414996003</v>
      </c>
      <c r="L4357">
        <v>0.72762073592661403</v>
      </c>
      <c r="M4357">
        <v>7.4585635359115998E-2</v>
      </c>
      <c r="N4357">
        <v>0.99861878453038699</v>
      </c>
      <c r="O4357">
        <v>0.43710865561694301</v>
      </c>
      <c r="P4357" t="s">
        <v>636</v>
      </c>
      <c r="Q4357" t="s">
        <v>637</v>
      </c>
      <c r="T4357" t="s">
        <v>638</v>
      </c>
      <c r="U4357" t="s">
        <v>639</v>
      </c>
      <c r="AD4357" t="s">
        <v>640</v>
      </c>
      <c r="AE4357" t="s">
        <v>641</v>
      </c>
      <c r="AF4357" t="s">
        <v>644</v>
      </c>
    </row>
    <row r="4358" spans="1:32" hidden="1" x14ac:dyDescent="0.35">
      <c r="A4358">
        <v>358</v>
      </c>
      <c r="B4358" t="s">
        <v>635</v>
      </c>
      <c r="C4358" t="s">
        <v>72</v>
      </c>
      <c r="D4358" t="s">
        <v>34</v>
      </c>
      <c r="E4358">
        <v>968</v>
      </c>
      <c r="F4358">
        <v>5</v>
      </c>
      <c r="G4358">
        <v>6</v>
      </c>
      <c r="H4358">
        <v>2</v>
      </c>
      <c r="I4358">
        <v>0</v>
      </c>
      <c r="J4358">
        <v>0.74806084416238505</v>
      </c>
      <c r="K4358">
        <v>0.70826793414996003</v>
      </c>
      <c r="L4358">
        <v>0.72762073592661403</v>
      </c>
      <c r="M4358">
        <v>7.4585635359115998E-2</v>
      </c>
      <c r="N4358">
        <v>0.99861878453038699</v>
      </c>
      <c r="O4358">
        <v>0.43710865561694301</v>
      </c>
      <c r="P4358" t="s">
        <v>645</v>
      </c>
      <c r="Q4358" t="s">
        <v>646</v>
      </c>
      <c r="T4358" t="s">
        <v>638</v>
      </c>
      <c r="U4358" t="s">
        <v>639</v>
      </c>
      <c r="AD4358" t="s">
        <v>640</v>
      </c>
      <c r="AE4358" t="s">
        <v>641</v>
      </c>
      <c r="AF4358" t="s">
        <v>221</v>
      </c>
    </row>
    <row r="4359" spans="1:32" hidden="1" x14ac:dyDescent="0.35">
      <c r="A4359">
        <v>359</v>
      </c>
      <c r="B4359" t="s">
        <v>635</v>
      </c>
      <c r="C4359" t="s">
        <v>72</v>
      </c>
      <c r="D4359" t="s">
        <v>34</v>
      </c>
      <c r="E4359">
        <v>967</v>
      </c>
      <c r="F4359">
        <v>5</v>
      </c>
      <c r="G4359">
        <v>6</v>
      </c>
      <c r="H4359">
        <v>2</v>
      </c>
      <c r="I4359">
        <v>0</v>
      </c>
      <c r="J4359">
        <v>0.74806084416238505</v>
      </c>
      <c r="K4359">
        <v>0.70826793414996003</v>
      </c>
      <c r="L4359">
        <v>0.72762073592661403</v>
      </c>
      <c r="M4359">
        <v>7.4585635359115998E-2</v>
      </c>
      <c r="N4359">
        <v>0.99861878453038699</v>
      </c>
      <c r="O4359">
        <v>0.43710865561694301</v>
      </c>
      <c r="P4359" t="s">
        <v>636</v>
      </c>
      <c r="Q4359" t="s">
        <v>637</v>
      </c>
      <c r="T4359" t="s">
        <v>638</v>
      </c>
      <c r="U4359" t="s">
        <v>639</v>
      </c>
      <c r="AD4359" t="s">
        <v>640</v>
      </c>
      <c r="AE4359" t="s">
        <v>641</v>
      </c>
      <c r="AF4359" t="s">
        <v>647</v>
      </c>
    </row>
    <row r="4360" spans="1:32" hidden="1" x14ac:dyDescent="0.35">
      <c r="A4360">
        <v>360</v>
      </c>
      <c r="B4360" t="s">
        <v>635</v>
      </c>
      <c r="C4360" t="s">
        <v>72</v>
      </c>
      <c r="D4360" t="s">
        <v>45</v>
      </c>
      <c r="E4360">
        <v>2223</v>
      </c>
      <c r="F4360">
        <v>5</v>
      </c>
      <c r="G4360">
        <v>6</v>
      </c>
      <c r="H4360">
        <v>2</v>
      </c>
      <c r="I4360">
        <v>0</v>
      </c>
      <c r="J4360">
        <v>0.74806084416238505</v>
      </c>
      <c r="K4360">
        <v>0.70826793414996003</v>
      </c>
      <c r="L4360">
        <v>0.72762073592661403</v>
      </c>
      <c r="M4360">
        <v>7.4585635359115998E-2</v>
      </c>
      <c r="N4360">
        <v>0.99861878453038699</v>
      </c>
      <c r="O4360">
        <v>0.43710865561694301</v>
      </c>
      <c r="P4360" t="s">
        <v>636</v>
      </c>
      <c r="Q4360" t="s">
        <v>637</v>
      </c>
      <c r="T4360" t="s">
        <v>638</v>
      </c>
      <c r="U4360" t="s">
        <v>639</v>
      </c>
      <c r="AD4360" t="s">
        <v>640</v>
      </c>
      <c r="AE4360" t="s">
        <v>641</v>
      </c>
      <c r="AF4360" t="s">
        <v>648</v>
      </c>
    </row>
    <row r="4361" spans="1:32" hidden="1" x14ac:dyDescent="0.35">
      <c r="A4361">
        <v>367</v>
      </c>
      <c r="B4361" t="s">
        <v>667</v>
      </c>
      <c r="C4361" t="s">
        <v>72</v>
      </c>
      <c r="D4361" t="s">
        <v>34</v>
      </c>
      <c r="E4361">
        <v>2273</v>
      </c>
      <c r="F4361">
        <v>2</v>
      </c>
      <c r="G4361">
        <v>6</v>
      </c>
      <c r="H4361">
        <v>4</v>
      </c>
      <c r="I4361">
        <v>0</v>
      </c>
      <c r="J4361">
        <v>0.81734317343173402</v>
      </c>
      <c r="K4361">
        <v>0.98206224756474303</v>
      </c>
      <c r="L4361">
        <v>0.89216344973281003</v>
      </c>
      <c r="M4361">
        <v>0.67934782608695699</v>
      </c>
      <c r="N4361">
        <v>0.92391304347826098</v>
      </c>
      <c r="O4361">
        <v>0.76557971014492698</v>
      </c>
      <c r="AF4361" t="s">
        <v>668</v>
      </c>
    </row>
    <row r="4362" spans="1:32" hidden="1" x14ac:dyDescent="0.35">
      <c r="A4362">
        <v>368</v>
      </c>
      <c r="B4362" t="s">
        <v>667</v>
      </c>
      <c r="C4362" t="s">
        <v>72</v>
      </c>
      <c r="D4362" t="s">
        <v>34</v>
      </c>
      <c r="E4362">
        <v>2274</v>
      </c>
      <c r="F4362">
        <v>2</v>
      </c>
      <c r="G4362">
        <v>6</v>
      </c>
      <c r="H4362">
        <v>4</v>
      </c>
      <c r="I4362">
        <v>0</v>
      </c>
      <c r="J4362">
        <v>0.81734317343173402</v>
      </c>
      <c r="K4362">
        <v>0.98206224756474303</v>
      </c>
      <c r="L4362">
        <v>0.89216344973281003</v>
      </c>
      <c r="M4362">
        <v>0.67934782608695699</v>
      </c>
      <c r="N4362">
        <v>0.92391304347826098</v>
      </c>
      <c r="O4362">
        <v>0.76557971014492698</v>
      </c>
      <c r="AF4362" t="s">
        <v>669</v>
      </c>
    </row>
    <row r="4363" spans="1:32" hidden="1" x14ac:dyDescent="0.35">
      <c r="A4363">
        <v>369</v>
      </c>
      <c r="B4363" t="s">
        <v>667</v>
      </c>
      <c r="C4363" t="s">
        <v>72</v>
      </c>
      <c r="D4363" t="s">
        <v>34</v>
      </c>
      <c r="E4363">
        <v>2276</v>
      </c>
      <c r="F4363">
        <v>2</v>
      </c>
      <c r="G4363">
        <v>6</v>
      </c>
      <c r="H4363">
        <v>4</v>
      </c>
      <c r="I4363">
        <v>0</v>
      </c>
      <c r="J4363">
        <v>0.81734317343173402</v>
      </c>
      <c r="K4363">
        <v>0.98206224756474303</v>
      </c>
      <c r="L4363">
        <v>0.89216344973281003</v>
      </c>
      <c r="M4363">
        <v>0.67934782608695699</v>
      </c>
      <c r="N4363">
        <v>0.92391304347826098</v>
      </c>
      <c r="O4363">
        <v>0.76557971014492698</v>
      </c>
      <c r="AF4363" t="s">
        <v>670</v>
      </c>
    </row>
    <row r="4364" spans="1:32" hidden="1" x14ac:dyDescent="0.35">
      <c r="A4364">
        <v>370</v>
      </c>
      <c r="B4364" t="s">
        <v>667</v>
      </c>
      <c r="C4364" t="s">
        <v>72</v>
      </c>
      <c r="D4364" t="s">
        <v>34</v>
      </c>
      <c r="E4364">
        <v>2329</v>
      </c>
      <c r="F4364">
        <v>2</v>
      </c>
      <c r="G4364">
        <v>6</v>
      </c>
      <c r="H4364">
        <v>4</v>
      </c>
      <c r="I4364">
        <v>0</v>
      </c>
      <c r="J4364">
        <v>0.81734317343173402</v>
      </c>
      <c r="K4364">
        <v>0.98206224756474303</v>
      </c>
      <c r="L4364">
        <v>0.89216344973281003</v>
      </c>
      <c r="M4364">
        <v>0.67934782608695699</v>
      </c>
      <c r="N4364">
        <v>0.92391304347826098</v>
      </c>
      <c r="O4364">
        <v>0.76557971014492698</v>
      </c>
      <c r="AF4364" t="s">
        <v>671</v>
      </c>
    </row>
    <row r="4365" spans="1:32" hidden="1" x14ac:dyDescent="0.35">
      <c r="A4365">
        <v>371</v>
      </c>
      <c r="B4365" t="s">
        <v>667</v>
      </c>
      <c r="C4365" t="s">
        <v>72</v>
      </c>
      <c r="D4365" t="s">
        <v>45</v>
      </c>
      <c r="E4365">
        <v>602</v>
      </c>
      <c r="F4365">
        <v>2</v>
      </c>
      <c r="G4365">
        <v>6</v>
      </c>
      <c r="H4365">
        <v>4</v>
      </c>
      <c r="I4365">
        <v>0</v>
      </c>
      <c r="J4365">
        <v>0.81734317343173402</v>
      </c>
      <c r="K4365">
        <v>0.98206224756474303</v>
      </c>
      <c r="L4365">
        <v>0.89216344973281003</v>
      </c>
      <c r="M4365">
        <v>0.67934782608695699</v>
      </c>
      <c r="N4365">
        <v>0.92391304347826098</v>
      </c>
      <c r="O4365">
        <v>0.76557971014492698</v>
      </c>
      <c r="AF4365" t="s">
        <v>672</v>
      </c>
    </row>
    <row r="4366" spans="1:32" hidden="1" x14ac:dyDescent="0.35">
      <c r="A4366">
        <v>372</v>
      </c>
      <c r="B4366" t="s">
        <v>667</v>
      </c>
      <c r="C4366" t="s">
        <v>72</v>
      </c>
      <c r="D4366" t="s">
        <v>45</v>
      </c>
      <c r="E4366">
        <v>550</v>
      </c>
      <c r="F4366">
        <v>2</v>
      </c>
      <c r="G4366">
        <v>6</v>
      </c>
      <c r="H4366">
        <v>4</v>
      </c>
      <c r="I4366">
        <v>0</v>
      </c>
      <c r="J4366">
        <v>0.81734317343173402</v>
      </c>
      <c r="K4366">
        <v>0.98206224756474303</v>
      </c>
      <c r="L4366">
        <v>0.89216344973281003</v>
      </c>
      <c r="M4366">
        <v>0.67934782608695699</v>
      </c>
      <c r="N4366">
        <v>0.92391304347826098</v>
      </c>
      <c r="O4366">
        <v>0.76557971014492698</v>
      </c>
      <c r="AF4366" t="s">
        <v>673</v>
      </c>
    </row>
    <row r="4367" spans="1:32" hidden="1" x14ac:dyDescent="0.35">
      <c r="A4367">
        <v>379</v>
      </c>
      <c r="B4367" t="s">
        <v>684</v>
      </c>
      <c r="C4367" t="s">
        <v>72</v>
      </c>
      <c r="D4367" t="s">
        <v>34</v>
      </c>
      <c r="E4367">
        <v>2232</v>
      </c>
      <c r="F4367">
        <v>2</v>
      </c>
      <c r="G4367">
        <v>6</v>
      </c>
      <c r="H4367">
        <v>3</v>
      </c>
      <c r="I4367">
        <v>0</v>
      </c>
      <c r="J4367">
        <v>0.79379930288020595</v>
      </c>
      <c r="K4367">
        <v>0.74838195737637203</v>
      </c>
      <c r="L4367">
        <v>0.77042185813443398</v>
      </c>
      <c r="M4367">
        <v>0.35</v>
      </c>
      <c r="N4367">
        <v>0.98333333333333295</v>
      </c>
      <c r="O4367">
        <v>0.62777777777777799</v>
      </c>
      <c r="AF4367" t="e">
        <f>---------------------------------------MAAENAVHFVEGEDDILADAFRAETSGRLIGVRNDHDITE-DHAVIVEPTPED-FDLLGREFIGQFFLLFSQDERHAVLFTAAGEYKLIAGPLSFLRRVFPDLSAQKREFIEFKNEELSNPHTAWVELVLENAVRFMDWLD</f>
        <v>#NAME?</v>
      </c>
    </row>
    <row r="4368" spans="1:32" hidden="1" x14ac:dyDescent="0.35">
      <c r="A4368">
        <v>380</v>
      </c>
      <c r="B4368" t="s">
        <v>684</v>
      </c>
      <c r="C4368" t="s">
        <v>72</v>
      </c>
      <c r="D4368" t="s">
        <v>34</v>
      </c>
      <c r="E4368">
        <v>2233</v>
      </c>
      <c r="F4368">
        <v>2</v>
      </c>
      <c r="G4368">
        <v>6</v>
      </c>
      <c r="H4368">
        <v>3</v>
      </c>
      <c r="I4368">
        <v>0</v>
      </c>
      <c r="J4368">
        <v>0.79379930288020595</v>
      </c>
      <c r="K4368">
        <v>0.74838195737637203</v>
      </c>
      <c r="L4368">
        <v>0.77042185813443398</v>
      </c>
      <c r="M4368">
        <v>0.35</v>
      </c>
      <c r="N4368">
        <v>0.98333333333333295</v>
      </c>
      <c r="O4368">
        <v>0.62777777777777799</v>
      </c>
      <c r="AF4368" t="e">
        <f>---------------------------------------MAAEGIVHFVDDEYKLFADAFCAEAPGRLFGVSNEDRPPGWDHAVMVEQSTEDELEQLETEFYGQYFLLFSEDERHAVLFTQA-DYKLIAGPLPFLHRFFPDLSAQKREFIEFKNEELSYRHTVGYEQAMETAVRFMNWLD</f>
        <v>#NAME?</v>
      </c>
    </row>
    <row r="4369" spans="1:32" hidden="1" x14ac:dyDescent="0.35">
      <c r="A4369">
        <v>381</v>
      </c>
      <c r="B4369" t="s">
        <v>684</v>
      </c>
      <c r="C4369" t="s">
        <v>72</v>
      </c>
      <c r="D4369" t="s">
        <v>34</v>
      </c>
      <c r="E4369">
        <v>2279</v>
      </c>
      <c r="F4369">
        <v>2</v>
      </c>
      <c r="G4369">
        <v>6</v>
      </c>
      <c r="H4369">
        <v>3</v>
      </c>
      <c r="I4369">
        <v>0</v>
      </c>
      <c r="J4369">
        <v>0.79379930288020595</v>
      </c>
      <c r="K4369">
        <v>0.74838195737637203</v>
      </c>
      <c r="L4369">
        <v>0.77042185813443398</v>
      </c>
      <c r="M4369">
        <v>0.35</v>
      </c>
      <c r="N4369">
        <v>0.98333333333333295</v>
      </c>
      <c r="O4369">
        <v>0.62777777777777799</v>
      </c>
      <c r="AF4369" t="e">
        <f>------------------------------------------------------------------------------------------------MGREFIGQGLLLFSEDERPAVLFTVA-DYKLIAGTLSFLHRVFPDLSVQNREFIELKNEELSRLHFVGYEQALETATRFMDWLD</f>
        <v>#NAME?</v>
      </c>
    </row>
    <row r="4370" spans="1:32" hidden="1" x14ac:dyDescent="0.35">
      <c r="A4370">
        <v>382</v>
      </c>
      <c r="B4370" t="s">
        <v>684</v>
      </c>
      <c r="C4370" t="s">
        <v>72</v>
      </c>
      <c r="D4370" t="s">
        <v>45</v>
      </c>
      <c r="E4370">
        <v>645</v>
      </c>
      <c r="F4370">
        <v>2</v>
      </c>
      <c r="G4370">
        <v>6</v>
      </c>
      <c r="H4370">
        <v>3</v>
      </c>
      <c r="I4370">
        <v>0</v>
      </c>
      <c r="J4370">
        <v>0.79379930288020595</v>
      </c>
      <c r="K4370">
        <v>0.74838195737637203</v>
      </c>
      <c r="L4370">
        <v>0.77042185813443398</v>
      </c>
      <c r="M4370">
        <v>0.35</v>
      </c>
      <c r="N4370">
        <v>0.98333333333333295</v>
      </c>
      <c r="O4370">
        <v>0.62777777777777799</v>
      </c>
      <c r="AF4370" t="s">
        <v>685</v>
      </c>
    </row>
    <row r="4371" spans="1:32" hidden="1" x14ac:dyDescent="0.35">
      <c r="A4371">
        <v>383</v>
      </c>
      <c r="B4371" t="s">
        <v>684</v>
      </c>
      <c r="C4371" t="s">
        <v>72</v>
      </c>
      <c r="D4371" t="s">
        <v>45</v>
      </c>
      <c r="E4371">
        <v>599</v>
      </c>
      <c r="F4371">
        <v>2</v>
      </c>
      <c r="G4371">
        <v>6</v>
      </c>
      <c r="H4371">
        <v>3</v>
      </c>
      <c r="I4371">
        <v>0</v>
      </c>
      <c r="J4371">
        <v>0.79379930288020595</v>
      </c>
      <c r="K4371">
        <v>0.74838195737637203</v>
      </c>
      <c r="L4371">
        <v>0.77042185813443398</v>
      </c>
      <c r="M4371">
        <v>0.35</v>
      </c>
      <c r="N4371">
        <v>0.98333333333333295</v>
      </c>
      <c r="O4371">
        <v>0.62777777777777799</v>
      </c>
      <c r="AF4371" t="s">
        <v>686</v>
      </c>
    </row>
    <row r="4372" spans="1:32" hidden="1" x14ac:dyDescent="0.35">
      <c r="A4372">
        <v>384</v>
      </c>
      <c r="B4372" t="s">
        <v>684</v>
      </c>
      <c r="C4372" t="s">
        <v>72</v>
      </c>
      <c r="D4372" t="s">
        <v>45</v>
      </c>
      <c r="E4372">
        <v>644</v>
      </c>
      <c r="F4372">
        <v>2</v>
      </c>
      <c r="G4372">
        <v>6</v>
      </c>
      <c r="H4372">
        <v>3</v>
      </c>
      <c r="I4372">
        <v>0</v>
      </c>
      <c r="J4372">
        <v>0.79379930288020595</v>
      </c>
      <c r="K4372">
        <v>0.74838195737637203</v>
      </c>
      <c r="L4372">
        <v>0.77042185813443398</v>
      </c>
      <c r="M4372">
        <v>0.35</v>
      </c>
      <c r="N4372">
        <v>0.98333333333333295</v>
      </c>
      <c r="O4372">
        <v>0.62777777777777799</v>
      </c>
      <c r="AF4372" t="e">
        <f>---------------------------------------MAAEGIVHFVDDEYKLFADAFRAEAPGRLFGVSNEDRPPGWDHAVMVEQSTEDELEQLETEFYGQYFLLFSEDERHAVLFTQA-DYKLIAGPLPFLHRFFPDLSAQKQEFLEFKNEELSYRHTVGYEQAMETAVRFMNWLD</f>
        <v>#NAME?</v>
      </c>
    </row>
    <row r="4373" spans="1:32" hidden="1" x14ac:dyDescent="0.35">
      <c r="A4373">
        <v>385</v>
      </c>
      <c r="B4373" t="s">
        <v>687</v>
      </c>
      <c r="C4373" t="s">
        <v>72</v>
      </c>
      <c r="D4373" t="s">
        <v>34</v>
      </c>
      <c r="E4373">
        <v>1526</v>
      </c>
      <c r="F4373">
        <v>2</v>
      </c>
      <c r="G4373">
        <v>6</v>
      </c>
      <c r="H4373">
        <v>3</v>
      </c>
      <c r="I4373">
        <v>0</v>
      </c>
      <c r="J4373">
        <v>0.83955637707948205</v>
      </c>
      <c r="K4373">
        <v>0.94532929181592795</v>
      </c>
      <c r="L4373">
        <v>0.88930876550233495</v>
      </c>
      <c r="M4373">
        <v>0.63874345549738198</v>
      </c>
      <c r="N4373">
        <v>0.95287958115183202</v>
      </c>
      <c r="O4373">
        <v>0.76649214659685905</v>
      </c>
      <c r="AF4373" t="s">
        <v>688</v>
      </c>
    </row>
    <row r="4374" spans="1:32" hidden="1" x14ac:dyDescent="0.35">
      <c r="A4374">
        <v>386</v>
      </c>
      <c r="B4374" t="s">
        <v>687</v>
      </c>
      <c r="C4374" t="s">
        <v>72</v>
      </c>
      <c r="D4374" t="s">
        <v>34</v>
      </c>
      <c r="E4374">
        <v>1522</v>
      </c>
      <c r="F4374">
        <v>2</v>
      </c>
      <c r="G4374">
        <v>6</v>
      </c>
      <c r="H4374">
        <v>3</v>
      </c>
      <c r="I4374">
        <v>0</v>
      </c>
      <c r="J4374">
        <v>0.83955637707948205</v>
      </c>
      <c r="K4374">
        <v>0.94532929181592795</v>
      </c>
      <c r="L4374">
        <v>0.88930876550233495</v>
      </c>
      <c r="M4374">
        <v>0.63874345549738198</v>
      </c>
      <c r="N4374">
        <v>0.95287958115183202</v>
      </c>
      <c r="O4374">
        <v>0.76649214659685905</v>
      </c>
      <c r="AF4374" t="s">
        <v>689</v>
      </c>
    </row>
    <row r="4375" spans="1:32" hidden="1" x14ac:dyDescent="0.35">
      <c r="A4375">
        <v>387</v>
      </c>
      <c r="B4375" t="s">
        <v>687</v>
      </c>
      <c r="C4375" t="s">
        <v>72</v>
      </c>
      <c r="D4375" t="s">
        <v>34</v>
      </c>
      <c r="E4375">
        <v>1523</v>
      </c>
      <c r="F4375">
        <v>2</v>
      </c>
      <c r="G4375">
        <v>6</v>
      </c>
      <c r="H4375">
        <v>3</v>
      </c>
      <c r="I4375">
        <v>0</v>
      </c>
      <c r="J4375">
        <v>0.83955637707948205</v>
      </c>
      <c r="K4375">
        <v>0.94532929181592795</v>
      </c>
      <c r="L4375">
        <v>0.88930876550233495</v>
      </c>
      <c r="M4375">
        <v>0.63874345549738198</v>
      </c>
      <c r="N4375">
        <v>0.95287958115183202</v>
      </c>
      <c r="O4375">
        <v>0.76649214659685905</v>
      </c>
      <c r="AF4375" t="e">
        <f>-MKKKIIAILVVLLLFIGAYRFASYYRLAQVVGVAVQKYVDVLDAESTDPQCTLEHCPNSSKSLPGMPEDRALFTSNERFNMEVK----GPATTTEFAIKQVTKKNDGTVEAMAYVTTTKCYFPED-ARPYGSATDLLLITLAPSTIKGEYVVIEDKRIGDTEDPLPPHARTLYKGKNKGDPPCSRRSKAS</f>
        <v>#NAME?</v>
      </c>
    </row>
    <row r="4376" spans="1:32" hidden="1" x14ac:dyDescent="0.35">
      <c r="A4376">
        <v>388</v>
      </c>
      <c r="B4376" t="s">
        <v>687</v>
      </c>
      <c r="C4376" t="s">
        <v>72</v>
      </c>
      <c r="D4376" t="s">
        <v>45</v>
      </c>
      <c r="E4376">
        <v>276</v>
      </c>
      <c r="F4376">
        <v>2</v>
      </c>
      <c r="G4376">
        <v>6</v>
      </c>
      <c r="H4376">
        <v>3</v>
      </c>
      <c r="I4376">
        <v>0</v>
      </c>
      <c r="J4376">
        <v>0.83955637707948205</v>
      </c>
      <c r="K4376">
        <v>0.94532929181592795</v>
      </c>
      <c r="L4376">
        <v>0.88930876550233495</v>
      </c>
      <c r="M4376">
        <v>0.63874345549738198</v>
      </c>
      <c r="N4376">
        <v>0.95287958115183202</v>
      </c>
      <c r="O4376">
        <v>0.76649214659685905</v>
      </c>
      <c r="AF4376" t="s">
        <v>690</v>
      </c>
    </row>
    <row r="4377" spans="1:32" hidden="1" x14ac:dyDescent="0.35">
      <c r="A4377">
        <v>389</v>
      </c>
      <c r="B4377" t="s">
        <v>687</v>
      </c>
      <c r="C4377" t="s">
        <v>72</v>
      </c>
      <c r="D4377" t="s">
        <v>45</v>
      </c>
      <c r="E4377">
        <v>272</v>
      </c>
      <c r="F4377">
        <v>2</v>
      </c>
      <c r="G4377">
        <v>6</v>
      </c>
      <c r="H4377">
        <v>3</v>
      </c>
      <c r="I4377">
        <v>0</v>
      </c>
      <c r="J4377">
        <v>0.83955637707948205</v>
      </c>
      <c r="K4377">
        <v>0.94532929181592795</v>
      </c>
      <c r="L4377">
        <v>0.88930876550233495</v>
      </c>
      <c r="M4377">
        <v>0.63874345549738198</v>
      </c>
      <c r="N4377">
        <v>0.95287958115183202</v>
      </c>
      <c r="O4377">
        <v>0.76649214659685905</v>
      </c>
      <c r="AF4377" t="e">
        <f>-MKKKLIIALVLSLWFTSAYWLGSYYRRAQVAGVAIQKYVDVLDAESTDPQCTLEHCPNSSKSLPGMPEDRALFTSNEQFNVEMKDSPTGPATATEFAVKHVTKKDNGMVEAIVYGTTTKCYFPGD-I---GSISDLFRITLAPSTIKGEYVVIEDKRLGDTENPV-PYARTLYKGKNKGEPSCSWKSKAS</f>
        <v>#NAME?</v>
      </c>
    </row>
    <row r="4378" spans="1:32" hidden="1" x14ac:dyDescent="0.35">
      <c r="A4378">
        <v>390</v>
      </c>
      <c r="B4378" t="s">
        <v>687</v>
      </c>
      <c r="C4378" t="s">
        <v>72</v>
      </c>
      <c r="D4378" t="s">
        <v>45</v>
      </c>
      <c r="E4378">
        <v>275</v>
      </c>
      <c r="F4378">
        <v>2</v>
      </c>
      <c r="G4378">
        <v>6</v>
      </c>
      <c r="H4378">
        <v>3</v>
      </c>
      <c r="I4378">
        <v>0</v>
      </c>
      <c r="J4378">
        <v>0.83955637707948205</v>
      </c>
      <c r="K4378">
        <v>0.94532929181592795</v>
      </c>
      <c r="L4378">
        <v>0.88930876550233495</v>
      </c>
      <c r="M4378">
        <v>0.63874345549738198</v>
      </c>
      <c r="N4378">
        <v>0.95287958115183202</v>
      </c>
      <c r="O4378">
        <v>0.76649214659685905</v>
      </c>
      <c r="AF4378" t="s">
        <v>691</v>
      </c>
    </row>
    <row r="4379" spans="1:32" hidden="1" x14ac:dyDescent="0.35">
      <c r="A4379">
        <v>409</v>
      </c>
      <c r="B4379" t="s">
        <v>737</v>
      </c>
      <c r="C4379" t="s">
        <v>72</v>
      </c>
      <c r="D4379" t="s">
        <v>58</v>
      </c>
      <c r="E4379">
        <v>172</v>
      </c>
      <c r="F4379">
        <v>5</v>
      </c>
      <c r="G4379">
        <v>5</v>
      </c>
      <c r="H4379">
        <v>1</v>
      </c>
      <c r="I4379">
        <v>1</v>
      </c>
      <c r="J4379">
        <v>0.99595959595959604</v>
      </c>
      <c r="K4379">
        <v>1</v>
      </c>
      <c r="L4379">
        <v>0.99797570850202399</v>
      </c>
      <c r="M4379">
        <v>0.96969696969696995</v>
      </c>
      <c r="N4379">
        <v>1</v>
      </c>
      <c r="O4379">
        <v>0.98787878787878802</v>
      </c>
      <c r="P4379" t="s">
        <v>738</v>
      </c>
      <c r="Q4379" t="s">
        <v>739</v>
      </c>
      <c r="AF4379" t="s">
        <v>740</v>
      </c>
    </row>
    <row r="4380" spans="1:32" hidden="1" x14ac:dyDescent="0.35">
      <c r="A4380">
        <v>410</v>
      </c>
      <c r="B4380" t="s">
        <v>737</v>
      </c>
      <c r="C4380" t="s">
        <v>72</v>
      </c>
      <c r="D4380" t="s">
        <v>60</v>
      </c>
      <c r="E4380">
        <v>305</v>
      </c>
      <c r="F4380">
        <v>5</v>
      </c>
      <c r="G4380">
        <v>5</v>
      </c>
      <c r="H4380">
        <v>1</v>
      </c>
      <c r="I4380">
        <v>1</v>
      </c>
      <c r="J4380">
        <v>0.99595959595959604</v>
      </c>
      <c r="K4380">
        <v>1</v>
      </c>
      <c r="L4380">
        <v>0.99797570850202399</v>
      </c>
      <c r="M4380">
        <v>0.96969696969696995</v>
      </c>
      <c r="N4380">
        <v>1</v>
      </c>
      <c r="O4380">
        <v>0.98787878787878802</v>
      </c>
      <c r="P4380" t="s">
        <v>738</v>
      </c>
      <c r="Q4380" t="s">
        <v>739</v>
      </c>
      <c r="AF4380" t="s">
        <v>741</v>
      </c>
    </row>
    <row r="4381" spans="1:32" hidden="1" x14ac:dyDescent="0.35">
      <c r="A4381">
        <v>411</v>
      </c>
      <c r="B4381" t="s">
        <v>737</v>
      </c>
      <c r="C4381" t="s">
        <v>72</v>
      </c>
      <c r="D4381" t="s">
        <v>62</v>
      </c>
      <c r="E4381">
        <v>385</v>
      </c>
      <c r="F4381">
        <v>5</v>
      </c>
      <c r="G4381">
        <v>5</v>
      </c>
      <c r="H4381">
        <v>1</v>
      </c>
      <c r="I4381">
        <v>1</v>
      </c>
      <c r="J4381">
        <v>0.99595959595959604</v>
      </c>
      <c r="K4381">
        <v>1</v>
      </c>
      <c r="L4381">
        <v>0.99797570850202399</v>
      </c>
      <c r="M4381">
        <v>0.96969696969696995</v>
      </c>
      <c r="N4381">
        <v>1</v>
      </c>
      <c r="O4381">
        <v>0.98787878787878802</v>
      </c>
      <c r="P4381" t="s">
        <v>738</v>
      </c>
      <c r="Q4381" t="s">
        <v>739</v>
      </c>
      <c r="AF4381" t="s">
        <v>741</v>
      </c>
    </row>
    <row r="4382" spans="1:32" hidden="1" x14ac:dyDescent="0.35">
      <c r="A4382">
        <v>412</v>
      </c>
      <c r="B4382" t="s">
        <v>737</v>
      </c>
      <c r="C4382" t="s">
        <v>72</v>
      </c>
      <c r="D4382" t="s">
        <v>34</v>
      </c>
      <c r="E4382">
        <v>853</v>
      </c>
      <c r="F4382">
        <v>5</v>
      </c>
      <c r="G4382">
        <v>5</v>
      </c>
      <c r="H4382">
        <v>1</v>
      </c>
      <c r="I4382">
        <v>1</v>
      </c>
      <c r="J4382">
        <v>0.99595959595959604</v>
      </c>
      <c r="K4382">
        <v>1</v>
      </c>
      <c r="L4382">
        <v>0.99797570850202399</v>
      </c>
      <c r="M4382">
        <v>0.96969696969696995</v>
      </c>
      <c r="N4382">
        <v>1</v>
      </c>
      <c r="O4382">
        <v>0.98787878787878802</v>
      </c>
      <c r="P4382" t="s">
        <v>738</v>
      </c>
      <c r="Q4382" t="s">
        <v>739</v>
      </c>
      <c r="AF4382" t="s">
        <v>741</v>
      </c>
    </row>
    <row r="4383" spans="1:32" hidden="1" x14ac:dyDescent="0.35">
      <c r="A4383">
        <v>413</v>
      </c>
      <c r="B4383" t="s">
        <v>737</v>
      </c>
      <c r="C4383" t="s">
        <v>72</v>
      </c>
      <c r="D4383" t="s">
        <v>45</v>
      </c>
      <c r="E4383">
        <v>2110</v>
      </c>
      <c r="F4383">
        <v>5</v>
      </c>
      <c r="G4383">
        <v>5</v>
      </c>
      <c r="H4383">
        <v>1</v>
      </c>
      <c r="I4383">
        <v>1</v>
      </c>
      <c r="J4383">
        <v>0.99595959595959604</v>
      </c>
      <c r="K4383">
        <v>1</v>
      </c>
      <c r="L4383">
        <v>0.99797570850202399</v>
      </c>
      <c r="M4383">
        <v>0.96969696969696995</v>
      </c>
      <c r="N4383">
        <v>1</v>
      </c>
      <c r="O4383">
        <v>0.98787878787878802</v>
      </c>
      <c r="P4383" t="s">
        <v>738</v>
      </c>
      <c r="Q4383" t="s">
        <v>739</v>
      </c>
      <c r="AF4383" t="s">
        <v>741</v>
      </c>
    </row>
    <row r="4384" spans="1:32" hidden="1" x14ac:dyDescent="0.35">
      <c r="A4384">
        <v>429</v>
      </c>
      <c r="B4384" t="s">
        <v>778</v>
      </c>
      <c r="C4384" t="s">
        <v>72</v>
      </c>
      <c r="D4384" t="s">
        <v>58</v>
      </c>
      <c r="E4384">
        <v>1472</v>
      </c>
      <c r="F4384">
        <v>5</v>
      </c>
      <c r="G4384">
        <v>5</v>
      </c>
      <c r="H4384">
        <v>1</v>
      </c>
      <c r="I4384">
        <v>1</v>
      </c>
      <c r="J4384">
        <v>0.779059249208503</v>
      </c>
      <c r="K4384">
        <v>0.93153411352599302</v>
      </c>
      <c r="L4384">
        <v>0.84850120771608395</v>
      </c>
      <c r="M4384">
        <v>0.490566037735849</v>
      </c>
      <c r="N4384">
        <v>1</v>
      </c>
      <c r="O4384">
        <v>0.65220125786163496</v>
      </c>
      <c r="P4384" t="s">
        <v>779</v>
      </c>
      <c r="Q4384" t="s">
        <v>780</v>
      </c>
      <c r="AF4384" t="e">
        <f>-------------------MSVG-----PLGPGHAPAKDPMKGLRGVMAGTLVMESISMLLVLTVIAKVDGGAHWTTFNWVFVTAVGVAMFLWAFMQKRPGALSINLMLNVIAVGGGLFVHYSMVIMALIFIAVWMYILVLRKNLLERMKRGLLTTQHT</f>
        <v>#NAME?</v>
      </c>
    </row>
    <row r="4385" spans="1:32" hidden="1" x14ac:dyDescent="0.35">
      <c r="A4385">
        <v>430</v>
      </c>
      <c r="B4385" t="s">
        <v>778</v>
      </c>
      <c r="C4385" t="s">
        <v>72</v>
      </c>
      <c r="D4385" t="s">
        <v>60</v>
      </c>
      <c r="E4385">
        <v>1985</v>
      </c>
      <c r="F4385">
        <v>5</v>
      </c>
      <c r="G4385">
        <v>5</v>
      </c>
      <c r="H4385">
        <v>1</v>
      </c>
      <c r="I4385">
        <v>1</v>
      </c>
      <c r="J4385">
        <v>0.779059249208503</v>
      </c>
      <c r="K4385">
        <v>0.93153411352599302</v>
      </c>
      <c r="L4385">
        <v>0.84850120771608395</v>
      </c>
      <c r="M4385">
        <v>0.490566037735849</v>
      </c>
      <c r="N4385">
        <v>1</v>
      </c>
      <c r="O4385">
        <v>0.65220125786163496</v>
      </c>
      <c r="P4385" t="s">
        <v>779</v>
      </c>
      <c r="Q4385" t="s">
        <v>780</v>
      </c>
      <c r="AF4385" t="s">
        <v>781</v>
      </c>
    </row>
    <row r="4386" spans="1:32" hidden="1" x14ac:dyDescent="0.35">
      <c r="A4386">
        <v>431</v>
      </c>
      <c r="B4386" t="s">
        <v>778</v>
      </c>
      <c r="C4386" t="s">
        <v>72</v>
      </c>
      <c r="D4386" t="s">
        <v>62</v>
      </c>
      <c r="E4386">
        <v>2026</v>
      </c>
      <c r="F4386">
        <v>5</v>
      </c>
      <c r="G4386">
        <v>5</v>
      </c>
      <c r="H4386">
        <v>1</v>
      </c>
      <c r="I4386">
        <v>1</v>
      </c>
      <c r="J4386">
        <v>0.779059249208503</v>
      </c>
      <c r="K4386">
        <v>0.93153411352599302</v>
      </c>
      <c r="L4386">
        <v>0.84850120771608395</v>
      </c>
      <c r="M4386">
        <v>0.490566037735849</v>
      </c>
      <c r="N4386">
        <v>1</v>
      </c>
      <c r="O4386">
        <v>0.65220125786163496</v>
      </c>
      <c r="P4386" t="s">
        <v>779</v>
      </c>
      <c r="Q4386" t="s">
        <v>780</v>
      </c>
      <c r="AF4386" t="s">
        <v>781</v>
      </c>
    </row>
    <row r="4387" spans="1:32" hidden="1" x14ac:dyDescent="0.35">
      <c r="A4387">
        <v>432</v>
      </c>
      <c r="B4387" t="s">
        <v>778</v>
      </c>
      <c r="C4387" t="s">
        <v>72</v>
      </c>
      <c r="D4387" t="s">
        <v>34</v>
      </c>
      <c r="E4387">
        <v>2340</v>
      </c>
      <c r="F4387">
        <v>5</v>
      </c>
      <c r="G4387">
        <v>5</v>
      </c>
      <c r="H4387">
        <v>1</v>
      </c>
      <c r="I4387">
        <v>1</v>
      </c>
      <c r="J4387">
        <v>0.779059249208503</v>
      </c>
      <c r="K4387">
        <v>0.93153411352599302</v>
      </c>
      <c r="L4387">
        <v>0.84850120771608395</v>
      </c>
      <c r="M4387">
        <v>0.490566037735849</v>
      </c>
      <c r="N4387">
        <v>1</v>
      </c>
      <c r="O4387">
        <v>0.65220125786163496</v>
      </c>
      <c r="P4387" t="s">
        <v>779</v>
      </c>
      <c r="Q4387" t="s">
        <v>780</v>
      </c>
      <c r="AF4387" t="s">
        <v>782</v>
      </c>
    </row>
    <row r="4388" spans="1:32" hidden="1" x14ac:dyDescent="0.35">
      <c r="A4388">
        <v>433</v>
      </c>
      <c r="B4388" t="s">
        <v>778</v>
      </c>
      <c r="C4388" t="s">
        <v>72</v>
      </c>
      <c r="D4388" t="s">
        <v>45</v>
      </c>
      <c r="E4388">
        <v>539</v>
      </c>
      <c r="F4388">
        <v>5</v>
      </c>
      <c r="G4388">
        <v>5</v>
      </c>
      <c r="H4388">
        <v>1</v>
      </c>
      <c r="I4388">
        <v>1</v>
      </c>
      <c r="J4388">
        <v>0.779059249208503</v>
      </c>
      <c r="K4388">
        <v>0.93153411352599302</v>
      </c>
      <c r="L4388">
        <v>0.84850120771608395</v>
      </c>
      <c r="M4388">
        <v>0.490566037735849</v>
      </c>
      <c r="N4388">
        <v>1</v>
      </c>
      <c r="O4388">
        <v>0.65220125786163496</v>
      </c>
      <c r="P4388" t="s">
        <v>779</v>
      </c>
      <c r="Q4388" t="s">
        <v>780</v>
      </c>
      <c r="AF4388" t="s">
        <v>783</v>
      </c>
    </row>
    <row r="4389" spans="1:32" hidden="1" x14ac:dyDescent="0.35">
      <c r="A4389">
        <v>439</v>
      </c>
      <c r="B4389" t="s">
        <v>800</v>
      </c>
      <c r="C4389" t="s">
        <v>72</v>
      </c>
      <c r="D4389" t="s">
        <v>58</v>
      </c>
      <c r="E4389">
        <v>368</v>
      </c>
      <c r="F4389">
        <v>5</v>
      </c>
      <c r="G4389">
        <v>5</v>
      </c>
      <c r="H4389">
        <v>1</v>
      </c>
      <c r="I4389">
        <v>1</v>
      </c>
      <c r="J4389">
        <v>0.94186046511627897</v>
      </c>
      <c r="K4389">
        <v>1</v>
      </c>
      <c r="L4389">
        <v>0.97005988023952106</v>
      </c>
      <c r="M4389">
        <v>0.87209302325581395</v>
      </c>
      <c r="N4389">
        <v>1</v>
      </c>
      <c r="O4389">
        <v>0.918604651162791</v>
      </c>
      <c r="P4389" t="s">
        <v>801</v>
      </c>
      <c r="Q4389" t="s">
        <v>802</v>
      </c>
      <c r="T4389" t="s">
        <v>803</v>
      </c>
      <c r="U4389" t="s">
        <v>804</v>
      </c>
      <c r="AD4389" t="s">
        <v>312</v>
      </c>
      <c r="AE4389" t="s">
        <v>805</v>
      </c>
      <c r="AF4389" t="s">
        <v>806</v>
      </c>
    </row>
    <row r="4390" spans="1:32" hidden="1" x14ac:dyDescent="0.35">
      <c r="A4390">
        <v>744</v>
      </c>
      <c r="B4390" t="s">
        <v>1525</v>
      </c>
      <c r="C4390" t="s">
        <v>72</v>
      </c>
      <c r="D4390" t="s">
        <v>58</v>
      </c>
      <c r="E4390">
        <v>404</v>
      </c>
      <c r="F4390">
        <v>5</v>
      </c>
      <c r="G4390">
        <v>5</v>
      </c>
      <c r="H4390">
        <v>1</v>
      </c>
      <c r="I4390">
        <v>1</v>
      </c>
      <c r="J4390">
        <v>0.78953488372092995</v>
      </c>
      <c r="K4390">
        <v>1</v>
      </c>
      <c r="L4390">
        <v>0.88239116309291699</v>
      </c>
      <c r="M4390">
        <v>0.60465116279069797</v>
      </c>
      <c r="N4390">
        <v>1</v>
      </c>
      <c r="O4390">
        <v>0.71511627906976705</v>
      </c>
      <c r="AF4390" t="s">
        <v>1526</v>
      </c>
    </row>
    <row r="4391" spans="1:32" hidden="1" x14ac:dyDescent="0.35">
      <c r="A4391">
        <v>745</v>
      </c>
      <c r="B4391" t="s">
        <v>1525</v>
      </c>
      <c r="C4391" t="s">
        <v>72</v>
      </c>
      <c r="D4391" t="s">
        <v>60</v>
      </c>
      <c r="E4391">
        <v>628</v>
      </c>
      <c r="F4391">
        <v>5</v>
      </c>
      <c r="G4391">
        <v>5</v>
      </c>
      <c r="H4391">
        <v>1</v>
      </c>
      <c r="I4391">
        <v>1</v>
      </c>
      <c r="J4391">
        <v>0.78953488372092995</v>
      </c>
      <c r="K4391">
        <v>1</v>
      </c>
      <c r="L4391">
        <v>0.88239116309291699</v>
      </c>
      <c r="M4391">
        <v>0.60465116279069797</v>
      </c>
      <c r="N4391">
        <v>1</v>
      </c>
      <c r="O4391">
        <v>0.71511627906976705</v>
      </c>
      <c r="AF4391" t="s">
        <v>1527</v>
      </c>
    </row>
    <row r="4392" spans="1:32" hidden="1" x14ac:dyDescent="0.35">
      <c r="A4392">
        <v>746</v>
      </c>
      <c r="B4392" t="s">
        <v>1525</v>
      </c>
      <c r="C4392" t="s">
        <v>72</v>
      </c>
      <c r="D4392" t="s">
        <v>62</v>
      </c>
      <c r="E4392">
        <v>712</v>
      </c>
      <c r="F4392">
        <v>5</v>
      </c>
      <c r="G4392">
        <v>5</v>
      </c>
      <c r="H4392">
        <v>1</v>
      </c>
      <c r="I4392">
        <v>1</v>
      </c>
      <c r="J4392">
        <v>0.78953488372092995</v>
      </c>
      <c r="K4392">
        <v>1</v>
      </c>
      <c r="L4392">
        <v>0.88239116309291699</v>
      </c>
      <c r="M4392">
        <v>0.60465116279069797</v>
      </c>
      <c r="N4392">
        <v>1</v>
      </c>
      <c r="O4392">
        <v>0.71511627906976705</v>
      </c>
      <c r="AF4392" t="s">
        <v>1527</v>
      </c>
    </row>
    <row r="4393" spans="1:32" hidden="1" x14ac:dyDescent="0.35">
      <c r="A4393">
        <v>747</v>
      </c>
      <c r="B4393" t="s">
        <v>1525</v>
      </c>
      <c r="C4393" t="s">
        <v>72</v>
      </c>
      <c r="D4393" t="s">
        <v>34</v>
      </c>
      <c r="E4393">
        <v>459</v>
      </c>
      <c r="F4393">
        <v>5</v>
      </c>
      <c r="G4393">
        <v>5</v>
      </c>
      <c r="H4393">
        <v>1</v>
      </c>
      <c r="I4393">
        <v>1</v>
      </c>
      <c r="J4393">
        <v>0.78953488372092995</v>
      </c>
      <c r="K4393">
        <v>1</v>
      </c>
      <c r="L4393">
        <v>0.88239116309291699</v>
      </c>
      <c r="M4393">
        <v>0.60465116279069797</v>
      </c>
      <c r="N4393">
        <v>1</v>
      </c>
      <c r="O4393">
        <v>0.71511627906976705</v>
      </c>
      <c r="AF4393" t="s">
        <v>1528</v>
      </c>
    </row>
    <row r="4394" spans="1:32" hidden="1" x14ac:dyDescent="0.35">
      <c r="A4394">
        <v>748</v>
      </c>
      <c r="B4394" t="s">
        <v>1525</v>
      </c>
      <c r="C4394" t="s">
        <v>72</v>
      </c>
      <c r="D4394" t="s">
        <v>45</v>
      </c>
      <c r="E4394">
        <v>1722</v>
      </c>
      <c r="F4394">
        <v>5</v>
      </c>
      <c r="G4394">
        <v>5</v>
      </c>
      <c r="H4394">
        <v>1</v>
      </c>
      <c r="I4394">
        <v>1</v>
      </c>
      <c r="J4394">
        <v>0.78953488372092995</v>
      </c>
      <c r="K4394">
        <v>1</v>
      </c>
      <c r="L4394">
        <v>0.88239116309291699</v>
      </c>
      <c r="M4394">
        <v>0.60465116279069797</v>
      </c>
      <c r="N4394">
        <v>1</v>
      </c>
      <c r="O4394">
        <v>0.71511627906976705</v>
      </c>
      <c r="AF4394" t="s">
        <v>1529</v>
      </c>
    </row>
    <row r="4395" spans="1:32" hidden="1" x14ac:dyDescent="0.35">
      <c r="A4395">
        <v>824</v>
      </c>
      <c r="B4395" t="s">
        <v>1697</v>
      </c>
      <c r="C4395" t="s">
        <v>72</v>
      </c>
      <c r="D4395" t="s">
        <v>58</v>
      </c>
      <c r="E4395">
        <v>151</v>
      </c>
      <c r="F4395">
        <v>5</v>
      </c>
      <c r="G4395">
        <v>5</v>
      </c>
      <c r="H4395">
        <v>1</v>
      </c>
      <c r="I4395">
        <v>1</v>
      </c>
      <c r="J4395">
        <v>0.87201907790143096</v>
      </c>
      <c r="K4395">
        <v>0.99841269841269897</v>
      </c>
      <c r="L4395">
        <v>0.930945390962715</v>
      </c>
      <c r="M4395">
        <v>0.69444444444444398</v>
      </c>
      <c r="N4395">
        <v>1</v>
      </c>
      <c r="O4395">
        <v>0.79603174603174598</v>
      </c>
      <c r="P4395" t="s">
        <v>1698</v>
      </c>
      <c r="Q4395" t="s">
        <v>1699</v>
      </c>
      <c r="T4395" t="s">
        <v>1700</v>
      </c>
      <c r="U4395" t="s">
        <v>1701</v>
      </c>
      <c r="Z4395" t="s">
        <v>1702</v>
      </c>
      <c r="AA4395" t="s">
        <v>1703</v>
      </c>
      <c r="AB4395" t="s">
        <v>1702</v>
      </c>
      <c r="AC4395" t="s">
        <v>1704</v>
      </c>
      <c r="AD4395" t="s">
        <v>1705</v>
      </c>
      <c r="AE4395" t="s">
        <v>1706</v>
      </c>
      <c r="AF4395" t="s">
        <v>1707</v>
      </c>
    </row>
    <row r="4396" spans="1:32" hidden="1" x14ac:dyDescent="0.35">
      <c r="A4396">
        <v>825</v>
      </c>
      <c r="B4396" t="s">
        <v>1697</v>
      </c>
      <c r="C4396" t="s">
        <v>72</v>
      </c>
      <c r="D4396" t="s">
        <v>60</v>
      </c>
      <c r="E4396">
        <v>253</v>
      </c>
      <c r="F4396">
        <v>5</v>
      </c>
      <c r="G4396">
        <v>5</v>
      </c>
      <c r="H4396">
        <v>1</v>
      </c>
      <c r="I4396">
        <v>1</v>
      </c>
      <c r="J4396">
        <v>0.87201907790143096</v>
      </c>
      <c r="K4396">
        <v>0.99841269841269897</v>
      </c>
      <c r="L4396">
        <v>0.930945390962715</v>
      </c>
      <c r="M4396">
        <v>0.69444444444444398</v>
      </c>
      <c r="N4396">
        <v>1</v>
      </c>
      <c r="O4396">
        <v>0.79603174603174598</v>
      </c>
      <c r="T4396" t="s">
        <v>1700</v>
      </c>
      <c r="U4396" t="s">
        <v>1701</v>
      </c>
      <c r="Z4396" t="s">
        <v>1702</v>
      </c>
      <c r="AA4396" t="s">
        <v>1703</v>
      </c>
      <c r="AB4396" t="s">
        <v>1702</v>
      </c>
      <c r="AC4396" t="s">
        <v>1704</v>
      </c>
      <c r="AD4396" t="s">
        <v>1705</v>
      </c>
      <c r="AE4396" t="s">
        <v>1706</v>
      </c>
      <c r="AF4396" t="s">
        <v>1708</v>
      </c>
    </row>
    <row r="4397" spans="1:32" hidden="1" x14ac:dyDescent="0.35">
      <c r="A4397">
        <v>826</v>
      </c>
      <c r="B4397" t="s">
        <v>1697</v>
      </c>
      <c r="C4397" t="s">
        <v>72</v>
      </c>
      <c r="D4397" t="s">
        <v>62</v>
      </c>
      <c r="E4397">
        <v>331</v>
      </c>
      <c r="F4397">
        <v>5</v>
      </c>
      <c r="G4397">
        <v>5</v>
      </c>
      <c r="H4397">
        <v>1</v>
      </c>
      <c r="I4397">
        <v>1</v>
      </c>
      <c r="J4397">
        <v>0.87201907790143096</v>
      </c>
      <c r="K4397">
        <v>0.99841269841269897</v>
      </c>
      <c r="L4397">
        <v>0.930945390962715</v>
      </c>
      <c r="M4397">
        <v>0.69444444444444398</v>
      </c>
      <c r="N4397">
        <v>1</v>
      </c>
      <c r="O4397">
        <v>0.79603174603174598</v>
      </c>
      <c r="T4397" t="s">
        <v>1700</v>
      </c>
      <c r="U4397" t="s">
        <v>1701</v>
      </c>
      <c r="Z4397" t="s">
        <v>1702</v>
      </c>
      <c r="AA4397" t="s">
        <v>1703</v>
      </c>
      <c r="AB4397" t="s">
        <v>1702</v>
      </c>
      <c r="AC4397" t="s">
        <v>1704</v>
      </c>
      <c r="AD4397" t="s">
        <v>1705</v>
      </c>
      <c r="AE4397" t="s">
        <v>1706</v>
      </c>
      <c r="AF4397" t="s">
        <v>1708</v>
      </c>
    </row>
    <row r="4398" spans="1:32" hidden="1" x14ac:dyDescent="0.35">
      <c r="A4398">
        <v>827</v>
      </c>
      <c r="B4398" t="s">
        <v>1697</v>
      </c>
      <c r="C4398" t="s">
        <v>72</v>
      </c>
      <c r="D4398" t="s">
        <v>34</v>
      </c>
      <c r="E4398">
        <v>873</v>
      </c>
      <c r="F4398">
        <v>5</v>
      </c>
      <c r="G4398">
        <v>5</v>
      </c>
      <c r="H4398">
        <v>1</v>
      </c>
      <c r="I4398">
        <v>1</v>
      </c>
      <c r="J4398">
        <v>0.87201907790143096</v>
      </c>
      <c r="K4398">
        <v>0.99841269841269897</v>
      </c>
      <c r="L4398">
        <v>0.930945390962715</v>
      </c>
      <c r="M4398">
        <v>0.69444444444444398</v>
      </c>
      <c r="N4398">
        <v>1</v>
      </c>
      <c r="O4398">
        <v>0.79603174603174598</v>
      </c>
      <c r="P4398" t="s">
        <v>1698</v>
      </c>
      <c r="Q4398" t="s">
        <v>1699</v>
      </c>
      <c r="T4398" t="s">
        <v>1700</v>
      </c>
      <c r="U4398" t="s">
        <v>1701</v>
      </c>
      <c r="Z4398" t="s">
        <v>1702</v>
      </c>
      <c r="AA4398" t="s">
        <v>1703</v>
      </c>
      <c r="AB4398" t="s">
        <v>1702</v>
      </c>
      <c r="AC4398" t="s">
        <v>1704</v>
      </c>
      <c r="AD4398" t="s">
        <v>1705</v>
      </c>
      <c r="AE4398" t="s">
        <v>1706</v>
      </c>
      <c r="AF4398" t="s">
        <v>1709</v>
      </c>
    </row>
    <row r="4399" spans="1:32" hidden="1" x14ac:dyDescent="0.35">
      <c r="A4399">
        <v>828</v>
      </c>
      <c r="B4399" t="s">
        <v>1697</v>
      </c>
      <c r="C4399" t="s">
        <v>72</v>
      </c>
      <c r="D4399" t="s">
        <v>45</v>
      </c>
      <c r="E4399">
        <v>2130</v>
      </c>
      <c r="F4399">
        <v>5</v>
      </c>
      <c r="G4399">
        <v>5</v>
      </c>
      <c r="H4399">
        <v>1</v>
      </c>
      <c r="I4399">
        <v>1</v>
      </c>
      <c r="J4399">
        <v>0.87201907790143096</v>
      </c>
      <c r="K4399">
        <v>0.99841269841269897</v>
      </c>
      <c r="L4399">
        <v>0.930945390962715</v>
      </c>
      <c r="M4399">
        <v>0.69444444444444398</v>
      </c>
      <c r="N4399">
        <v>1</v>
      </c>
      <c r="O4399">
        <v>0.79603174603174598</v>
      </c>
      <c r="P4399" t="s">
        <v>1698</v>
      </c>
      <c r="Q4399" t="s">
        <v>1699</v>
      </c>
      <c r="T4399" t="s">
        <v>1700</v>
      </c>
      <c r="U4399" t="s">
        <v>1701</v>
      </c>
      <c r="Z4399" t="s">
        <v>1702</v>
      </c>
      <c r="AA4399" t="s">
        <v>1703</v>
      </c>
      <c r="AB4399" t="s">
        <v>1702</v>
      </c>
      <c r="AC4399" t="s">
        <v>1704</v>
      </c>
      <c r="AD4399" t="s">
        <v>1705</v>
      </c>
      <c r="AE4399" t="s">
        <v>1706</v>
      </c>
      <c r="AF4399" t="s">
        <v>1709</v>
      </c>
    </row>
    <row r="4400" spans="1:32" hidden="1" x14ac:dyDescent="0.35">
      <c r="A4400">
        <v>890</v>
      </c>
      <c r="B4400" t="s">
        <v>1849</v>
      </c>
      <c r="C4400" t="s">
        <v>72</v>
      </c>
      <c r="D4400" t="s">
        <v>60</v>
      </c>
      <c r="E4400">
        <v>2080</v>
      </c>
      <c r="F4400">
        <v>5</v>
      </c>
      <c r="G4400">
        <v>5</v>
      </c>
      <c r="H4400">
        <v>1</v>
      </c>
      <c r="I4400">
        <v>1</v>
      </c>
      <c r="J4400">
        <v>0.80718667835232205</v>
      </c>
      <c r="K4400">
        <v>0.85180334907685695</v>
      </c>
      <c r="L4400">
        <v>0.82889505612785697</v>
      </c>
      <c r="M4400">
        <v>0.53284671532846695</v>
      </c>
      <c r="N4400">
        <v>1</v>
      </c>
      <c r="O4400">
        <v>0.69781021897810203</v>
      </c>
      <c r="P4400" t="s">
        <v>1850</v>
      </c>
      <c r="Q4400" t="s">
        <v>1851</v>
      </c>
      <c r="AF4400" t="s">
        <v>1858</v>
      </c>
    </row>
    <row r="4401" spans="1:32" hidden="1" x14ac:dyDescent="0.35">
      <c r="A4401">
        <v>891</v>
      </c>
      <c r="B4401" t="s">
        <v>1849</v>
      </c>
      <c r="C4401" t="s">
        <v>72</v>
      </c>
      <c r="D4401" t="s">
        <v>62</v>
      </c>
      <c r="E4401">
        <v>2115</v>
      </c>
      <c r="F4401">
        <v>5</v>
      </c>
      <c r="G4401">
        <v>5</v>
      </c>
      <c r="H4401">
        <v>1</v>
      </c>
      <c r="I4401">
        <v>1</v>
      </c>
      <c r="J4401">
        <v>0.80718667835232205</v>
      </c>
      <c r="K4401">
        <v>0.85180334907685695</v>
      </c>
      <c r="L4401">
        <v>0.82889505612785697</v>
      </c>
      <c r="M4401">
        <v>0.53284671532846695</v>
      </c>
      <c r="N4401">
        <v>1</v>
      </c>
      <c r="O4401">
        <v>0.69781021897810203</v>
      </c>
      <c r="P4401" t="s">
        <v>1850</v>
      </c>
      <c r="Q4401" t="s">
        <v>1851</v>
      </c>
      <c r="AF4401" t="s">
        <v>1858</v>
      </c>
    </row>
    <row r="4402" spans="1:32" hidden="1" x14ac:dyDescent="0.35">
      <c r="A4402">
        <v>894</v>
      </c>
      <c r="B4402" t="s">
        <v>1859</v>
      </c>
      <c r="C4402" t="s">
        <v>72</v>
      </c>
      <c r="D4402" t="s">
        <v>58</v>
      </c>
      <c r="E4402">
        <v>668</v>
      </c>
      <c r="F4402">
        <v>5</v>
      </c>
      <c r="G4402">
        <v>5</v>
      </c>
      <c r="H4402">
        <v>1</v>
      </c>
      <c r="I4402">
        <v>1</v>
      </c>
      <c r="J4402">
        <v>0.83736198149805996</v>
      </c>
      <c r="K4402">
        <v>0.96371064467766199</v>
      </c>
      <c r="L4402">
        <v>0.89610451382134004</v>
      </c>
      <c r="M4402">
        <v>0.72413793103448298</v>
      </c>
      <c r="N4402">
        <v>1</v>
      </c>
      <c r="O4402">
        <v>0.78534482758620705</v>
      </c>
      <c r="P4402" t="s">
        <v>1860</v>
      </c>
      <c r="Q4402" t="s">
        <v>1861</v>
      </c>
      <c r="AF4402" t="s">
        <v>1862</v>
      </c>
    </row>
    <row r="4403" spans="1:32" hidden="1" x14ac:dyDescent="0.35">
      <c r="A4403">
        <v>895</v>
      </c>
      <c r="B4403" t="s">
        <v>1859</v>
      </c>
      <c r="C4403" t="s">
        <v>72</v>
      </c>
      <c r="D4403" t="s">
        <v>60</v>
      </c>
      <c r="E4403">
        <v>863</v>
      </c>
      <c r="F4403">
        <v>5</v>
      </c>
      <c r="G4403">
        <v>5</v>
      </c>
      <c r="H4403">
        <v>1</v>
      </c>
      <c r="I4403">
        <v>1</v>
      </c>
      <c r="J4403">
        <v>0.83736198149805996</v>
      </c>
      <c r="K4403">
        <v>0.96371064467766199</v>
      </c>
      <c r="L4403">
        <v>0.89610451382134004</v>
      </c>
      <c r="M4403">
        <v>0.72413793103448298</v>
      </c>
      <c r="N4403">
        <v>1</v>
      </c>
      <c r="O4403">
        <v>0.78534482758620705</v>
      </c>
      <c r="P4403" t="s">
        <v>1860</v>
      </c>
      <c r="Q4403" t="s">
        <v>1861</v>
      </c>
      <c r="AF4403" t="s">
        <v>1863</v>
      </c>
    </row>
    <row r="4404" spans="1:32" hidden="1" x14ac:dyDescent="0.35">
      <c r="A4404">
        <v>896</v>
      </c>
      <c r="B4404" t="s">
        <v>1859</v>
      </c>
      <c r="C4404" t="s">
        <v>72</v>
      </c>
      <c r="D4404" t="s">
        <v>62</v>
      </c>
      <c r="E4404">
        <v>897</v>
      </c>
      <c r="F4404">
        <v>5</v>
      </c>
      <c r="G4404">
        <v>5</v>
      </c>
      <c r="H4404">
        <v>1</v>
      </c>
      <c r="I4404">
        <v>1</v>
      </c>
      <c r="J4404">
        <v>0.83736198149805996</v>
      </c>
      <c r="K4404">
        <v>0.96371064467766199</v>
      </c>
      <c r="L4404">
        <v>0.89610451382134004</v>
      </c>
      <c r="M4404">
        <v>0.72413793103448298</v>
      </c>
      <c r="N4404">
        <v>1</v>
      </c>
      <c r="O4404">
        <v>0.78534482758620705</v>
      </c>
      <c r="P4404" t="s">
        <v>1860</v>
      </c>
      <c r="Q4404" t="s">
        <v>1861</v>
      </c>
      <c r="AF4404" t="s">
        <v>1863</v>
      </c>
    </row>
    <row r="4405" spans="1:32" hidden="1" x14ac:dyDescent="0.35">
      <c r="A4405">
        <v>897</v>
      </c>
      <c r="B4405" t="s">
        <v>1859</v>
      </c>
      <c r="C4405" t="s">
        <v>72</v>
      </c>
      <c r="D4405" t="s">
        <v>34</v>
      </c>
      <c r="E4405">
        <v>286</v>
      </c>
      <c r="F4405">
        <v>5</v>
      </c>
      <c r="G4405">
        <v>5</v>
      </c>
      <c r="H4405">
        <v>1</v>
      </c>
      <c r="I4405">
        <v>1</v>
      </c>
      <c r="J4405">
        <v>0.83736198149805996</v>
      </c>
      <c r="K4405">
        <v>0.96371064467766199</v>
      </c>
      <c r="L4405">
        <v>0.89610451382134004</v>
      </c>
      <c r="M4405">
        <v>0.72413793103448298</v>
      </c>
      <c r="N4405">
        <v>1</v>
      </c>
      <c r="O4405">
        <v>0.78534482758620705</v>
      </c>
      <c r="P4405" t="s">
        <v>1860</v>
      </c>
      <c r="Q4405" t="s">
        <v>1861</v>
      </c>
      <c r="AF4405" t="s">
        <v>1864</v>
      </c>
    </row>
    <row r="4406" spans="1:32" hidden="1" x14ac:dyDescent="0.35">
      <c r="A4406">
        <v>898</v>
      </c>
      <c r="B4406" t="s">
        <v>1859</v>
      </c>
      <c r="C4406" t="s">
        <v>72</v>
      </c>
      <c r="D4406" t="s">
        <v>45</v>
      </c>
      <c r="E4406">
        <v>1548</v>
      </c>
      <c r="F4406">
        <v>5</v>
      </c>
      <c r="G4406">
        <v>5</v>
      </c>
      <c r="H4406">
        <v>1</v>
      </c>
      <c r="I4406">
        <v>1</v>
      </c>
      <c r="J4406">
        <v>0.83736198149805996</v>
      </c>
      <c r="K4406">
        <v>0.96371064467766199</v>
      </c>
      <c r="L4406">
        <v>0.89610451382134004</v>
      </c>
      <c r="M4406">
        <v>0.72413793103448298</v>
      </c>
      <c r="N4406">
        <v>1</v>
      </c>
      <c r="O4406">
        <v>0.78534482758620705</v>
      </c>
      <c r="P4406" t="s">
        <v>1860</v>
      </c>
      <c r="Q4406" t="s">
        <v>1861</v>
      </c>
      <c r="AF4406" t="s">
        <v>1865</v>
      </c>
    </row>
    <row r="4407" spans="1:32" hidden="1" x14ac:dyDescent="0.35">
      <c r="A4407">
        <v>934</v>
      </c>
      <c r="B4407" t="s">
        <v>1937</v>
      </c>
      <c r="C4407" t="s">
        <v>72</v>
      </c>
      <c r="D4407" t="s">
        <v>58</v>
      </c>
      <c r="E4407">
        <v>1327</v>
      </c>
      <c r="F4407">
        <v>5</v>
      </c>
      <c r="G4407">
        <v>5</v>
      </c>
      <c r="H4407">
        <v>1</v>
      </c>
      <c r="I4407">
        <v>1</v>
      </c>
      <c r="J4407">
        <v>0.79540709812108601</v>
      </c>
      <c r="K4407">
        <v>0.95912751677852304</v>
      </c>
      <c r="L4407">
        <v>0.86962870765879896</v>
      </c>
      <c r="M4407">
        <v>0.52666666666666695</v>
      </c>
      <c r="N4407">
        <v>1</v>
      </c>
      <c r="O4407">
        <v>0.69066666666666698</v>
      </c>
      <c r="P4407" t="s">
        <v>1938</v>
      </c>
      <c r="Q4407" t="s">
        <v>1939</v>
      </c>
      <c r="T4407" t="s">
        <v>1940</v>
      </c>
      <c r="U4407" t="s">
        <v>1941</v>
      </c>
      <c r="Z4407" t="s">
        <v>727</v>
      </c>
      <c r="AA4407" t="s">
        <v>728</v>
      </c>
      <c r="AB4407" t="s">
        <v>727</v>
      </c>
      <c r="AC4407" t="s">
        <v>729</v>
      </c>
      <c r="AD4407" t="s">
        <v>219</v>
      </c>
      <c r="AE4407" t="s">
        <v>730</v>
      </c>
      <c r="AF4407" t="s">
        <v>1942</v>
      </c>
    </row>
    <row r="4408" spans="1:32" hidden="1" x14ac:dyDescent="0.35">
      <c r="A4408">
        <v>935</v>
      </c>
      <c r="B4408" t="s">
        <v>1937</v>
      </c>
      <c r="C4408" t="s">
        <v>72</v>
      </c>
      <c r="D4408" t="s">
        <v>60</v>
      </c>
      <c r="E4408">
        <v>1783</v>
      </c>
      <c r="F4408">
        <v>5</v>
      </c>
      <c r="G4408">
        <v>5</v>
      </c>
      <c r="H4408">
        <v>1</v>
      </c>
      <c r="I4408">
        <v>1</v>
      </c>
      <c r="J4408">
        <v>0.79540709812108601</v>
      </c>
      <c r="K4408">
        <v>0.95912751677852304</v>
      </c>
      <c r="L4408">
        <v>0.86962870765879896</v>
      </c>
      <c r="M4408">
        <v>0.52666666666666695</v>
      </c>
      <c r="N4408">
        <v>1</v>
      </c>
      <c r="O4408">
        <v>0.69066666666666698</v>
      </c>
      <c r="P4408" t="s">
        <v>1938</v>
      </c>
      <c r="Q4408" t="s">
        <v>1939</v>
      </c>
      <c r="T4408" t="s">
        <v>1940</v>
      </c>
      <c r="U4408" t="s">
        <v>1941</v>
      </c>
      <c r="Z4408" t="s">
        <v>727</v>
      </c>
      <c r="AA4408" t="s">
        <v>728</v>
      </c>
      <c r="AB4408" t="s">
        <v>727</v>
      </c>
      <c r="AC4408" t="s">
        <v>729</v>
      </c>
      <c r="AD4408" t="s">
        <v>219</v>
      </c>
      <c r="AE4408" t="s">
        <v>730</v>
      </c>
      <c r="AF4408" t="s">
        <v>1943</v>
      </c>
    </row>
    <row r="4409" spans="1:32" hidden="1" x14ac:dyDescent="0.35">
      <c r="A4409">
        <v>936</v>
      </c>
      <c r="B4409" t="s">
        <v>1937</v>
      </c>
      <c r="C4409" t="s">
        <v>72</v>
      </c>
      <c r="D4409" t="s">
        <v>62</v>
      </c>
      <c r="E4409">
        <v>1819</v>
      </c>
      <c r="F4409">
        <v>5</v>
      </c>
      <c r="G4409">
        <v>5</v>
      </c>
      <c r="H4409">
        <v>1</v>
      </c>
      <c r="I4409">
        <v>1</v>
      </c>
      <c r="J4409">
        <v>0.79540709812108601</v>
      </c>
      <c r="K4409">
        <v>0.95912751677852304</v>
      </c>
      <c r="L4409">
        <v>0.86962870765879896</v>
      </c>
      <c r="M4409">
        <v>0.52666666666666695</v>
      </c>
      <c r="N4409">
        <v>1</v>
      </c>
      <c r="O4409">
        <v>0.69066666666666698</v>
      </c>
      <c r="P4409" t="s">
        <v>1938</v>
      </c>
      <c r="Q4409" t="s">
        <v>1939</v>
      </c>
      <c r="T4409" t="s">
        <v>1940</v>
      </c>
      <c r="U4409" t="s">
        <v>1941</v>
      </c>
      <c r="Z4409" t="s">
        <v>727</v>
      </c>
      <c r="AA4409" t="s">
        <v>728</v>
      </c>
      <c r="AB4409" t="s">
        <v>727</v>
      </c>
      <c r="AC4409" t="s">
        <v>729</v>
      </c>
      <c r="AD4409" t="s">
        <v>219</v>
      </c>
      <c r="AE4409" t="s">
        <v>730</v>
      </c>
      <c r="AF4409" t="s">
        <v>1943</v>
      </c>
    </row>
    <row r="4410" spans="1:32" hidden="1" x14ac:dyDescent="0.35">
      <c r="A4410">
        <v>937</v>
      </c>
      <c r="B4410" t="s">
        <v>1937</v>
      </c>
      <c r="C4410" t="s">
        <v>72</v>
      </c>
      <c r="D4410" t="s">
        <v>34</v>
      </c>
      <c r="E4410">
        <v>2151</v>
      </c>
      <c r="F4410">
        <v>5</v>
      </c>
      <c r="G4410">
        <v>5</v>
      </c>
      <c r="H4410">
        <v>1</v>
      </c>
      <c r="I4410">
        <v>1</v>
      </c>
      <c r="J4410">
        <v>0.79540709812108601</v>
      </c>
      <c r="K4410">
        <v>0.95912751677852304</v>
      </c>
      <c r="L4410">
        <v>0.86962870765879896</v>
      </c>
      <c r="M4410">
        <v>0.52666666666666695</v>
      </c>
      <c r="N4410">
        <v>1</v>
      </c>
      <c r="O4410">
        <v>0.69066666666666698</v>
      </c>
      <c r="P4410" t="s">
        <v>1938</v>
      </c>
      <c r="Q4410" t="s">
        <v>1939</v>
      </c>
      <c r="T4410" t="s">
        <v>1940</v>
      </c>
      <c r="U4410" t="s">
        <v>1941</v>
      </c>
      <c r="Z4410" t="s">
        <v>727</v>
      </c>
      <c r="AA4410" t="s">
        <v>728</v>
      </c>
      <c r="AB4410" t="s">
        <v>727</v>
      </c>
      <c r="AC4410" t="s">
        <v>729</v>
      </c>
      <c r="AD4410" t="s">
        <v>219</v>
      </c>
      <c r="AE4410" t="s">
        <v>730</v>
      </c>
      <c r="AF4410" t="s">
        <v>1944</v>
      </c>
    </row>
    <row r="4411" spans="1:32" hidden="1" x14ac:dyDescent="0.35">
      <c r="A4411">
        <v>938</v>
      </c>
      <c r="B4411" t="s">
        <v>1937</v>
      </c>
      <c r="C4411" t="s">
        <v>72</v>
      </c>
      <c r="D4411" t="s">
        <v>45</v>
      </c>
      <c r="E4411">
        <v>722</v>
      </c>
      <c r="F4411">
        <v>5</v>
      </c>
      <c r="G4411">
        <v>5</v>
      </c>
      <c r="H4411">
        <v>1</v>
      </c>
      <c r="I4411">
        <v>1</v>
      </c>
      <c r="J4411">
        <v>0.79540709812108601</v>
      </c>
      <c r="K4411">
        <v>0.95912751677852304</v>
      </c>
      <c r="L4411">
        <v>0.86962870765879896</v>
      </c>
      <c r="M4411">
        <v>0.52666666666666695</v>
      </c>
      <c r="N4411">
        <v>1</v>
      </c>
      <c r="O4411">
        <v>0.69066666666666698</v>
      </c>
      <c r="P4411" t="s">
        <v>1938</v>
      </c>
      <c r="Q4411" t="s">
        <v>1939</v>
      </c>
      <c r="T4411" t="s">
        <v>1940</v>
      </c>
      <c r="U4411" t="s">
        <v>1941</v>
      </c>
      <c r="Z4411" t="s">
        <v>727</v>
      </c>
      <c r="AA4411" t="s">
        <v>728</v>
      </c>
      <c r="AB4411" t="s">
        <v>727</v>
      </c>
      <c r="AC4411" t="s">
        <v>729</v>
      </c>
      <c r="AD4411" t="s">
        <v>219</v>
      </c>
      <c r="AE4411" t="s">
        <v>730</v>
      </c>
      <c r="AF4411" t="s">
        <v>1945</v>
      </c>
    </row>
    <row r="4412" spans="1:32" hidden="1" x14ac:dyDescent="0.35">
      <c r="A4412">
        <v>964</v>
      </c>
      <c r="B4412" t="s">
        <v>2003</v>
      </c>
      <c r="C4412" t="s">
        <v>72</v>
      </c>
      <c r="D4412" t="s">
        <v>58</v>
      </c>
      <c r="E4412">
        <v>8</v>
      </c>
      <c r="F4412">
        <v>5</v>
      </c>
      <c r="G4412">
        <v>5</v>
      </c>
      <c r="H4412">
        <v>1</v>
      </c>
      <c r="I4412">
        <v>1</v>
      </c>
      <c r="J4412">
        <v>0.74212715389186001</v>
      </c>
      <c r="K4412">
        <v>0.95206431986092999</v>
      </c>
      <c r="L4412">
        <v>0.83408846634707901</v>
      </c>
      <c r="M4412">
        <v>0.47457627118644102</v>
      </c>
      <c r="N4412">
        <v>1</v>
      </c>
      <c r="O4412">
        <v>0.63050847457627102</v>
      </c>
      <c r="P4412" t="s">
        <v>2004</v>
      </c>
      <c r="Q4412" t="s">
        <v>2005</v>
      </c>
      <c r="AF4412" t="s">
        <v>2006</v>
      </c>
    </row>
    <row r="4413" spans="1:32" hidden="1" x14ac:dyDescent="0.35">
      <c r="A4413">
        <v>965</v>
      </c>
      <c r="B4413" t="s">
        <v>2003</v>
      </c>
      <c r="C4413" t="s">
        <v>72</v>
      </c>
      <c r="D4413" t="s">
        <v>60</v>
      </c>
      <c r="E4413">
        <v>13</v>
      </c>
      <c r="F4413">
        <v>5</v>
      </c>
      <c r="G4413">
        <v>5</v>
      </c>
      <c r="H4413">
        <v>1</v>
      </c>
      <c r="I4413">
        <v>1</v>
      </c>
      <c r="J4413">
        <v>0.74212715389186001</v>
      </c>
      <c r="K4413">
        <v>0.95206431986092999</v>
      </c>
      <c r="L4413">
        <v>0.83408846634707901</v>
      </c>
      <c r="M4413">
        <v>0.47457627118644102</v>
      </c>
      <c r="N4413">
        <v>1</v>
      </c>
      <c r="O4413">
        <v>0.63050847457627102</v>
      </c>
      <c r="P4413" t="s">
        <v>2004</v>
      </c>
      <c r="Q4413" t="s">
        <v>2005</v>
      </c>
      <c r="AF4413" t="s">
        <v>2007</v>
      </c>
    </row>
    <row r="4414" spans="1:32" hidden="1" x14ac:dyDescent="0.35">
      <c r="A4414">
        <v>966</v>
      </c>
      <c r="B4414" t="s">
        <v>2003</v>
      </c>
      <c r="C4414" t="s">
        <v>72</v>
      </c>
      <c r="D4414" t="s">
        <v>62</v>
      </c>
      <c r="E4414">
        <v>92</v>
      </c>
      <c r="F4414">
        <v>5</v>
      </c>
      <c r="G4414">
        <v>5</v>
      </c>
      <c r="H4414">
        <v>1</v>
      </c>
      <c r="I4414">
        <v>1</v>
      </c>
      <c r="J4414">
        <v>0.74212715389186001</v>
      </c>
      <c r="K4414">
        <v>0.95206431986092999</v>
      </c>
      <c r="L4414">
        <v>0.83408846634707901</v>
      </c>
      <c r="M4414">
        <v>0.47457627118644102</v>
      </c>
      <c r="N4414">
        <v>1</v>
      </c>
      <c r="O4414">
        <v>0.63050847457627102</v>
      </c>
      <c r="P4414" t="s">
        <v>2004</v>
      </c>
      <c r="Q4414" t="s">
        <v>2005</v>
      </c>
      <c r="AF4414" t="s">
        <v>2008</v>
      </c>
    </row>
    <row r="4415" spans="1:32" hidden="1" x14ac:dyDescent="0.35">
      <c r="A4415">
        <v>967</v>
      </c>
      <c r="B4415" t="s">
        <v>2003</v>
      </c>
      <c r="C4415" t="s">
        <v>72</v>
      </c>
      <c r="D4415" t="s">
        <v>34</v>
      </c>
      <c r="E4415">
        <v>1065</v>
      </c>
      <c r="F4415">
        <v>5</v>
      </c>
      <c r="G4415">
        <v>5</v>
      </c>
      <c r="H4415">
        <v>1</v>
      </c>
      <c r="I4415">
        <v>1</v>
      </c>
      <c r="J4415">
        <v>0.74212715389186001</v>
      </c>
      <c r="K4415">
        <v>0.95206431986092999</v>
      </c>
      <c r="L4415">
        <v>0.83408846634707901</v>
      </c>
      <c r="M4415">
        <v>0.47457627118644102</v>
      </c>
      <c r="N4415">
        <v>1</v>
      </c>
      <c r="O4415">
        <v>0.63050847457627102</v>
      </c>
      <c r="P4415" t="s">
        <v>2004</v>
      </c>
      <c r="Q4415" t="s">
        <v>2005</v>
      </c>
      <c r="AF4415" t="s">
        <v>2009</v>
      </c>
    </row>
    <row r="4416" spans="1:32" hidden="1" x14ac:dyDescent="0.35">
      <c r="A4416">
        <v>968</v>
      </c>
      <c r="B4416" t="s">
        <v>2003</v>
      </c>
      <c r="C4416" t="s">
        <v>72</v>
      </c>
      <c r="D4416" t="s">
        <v>45</v>
      </c>
      <c r="E4416">
        <v>2322</v>
      </c>
      <c r="F4416">
        <v>5</v>
      </c>
      <c r="G4416">
        <v>5</v>
      </c>
      <c r="H4416">
        <v>1</v>
      </c>
      <c r="I4416">
        <v>1</v>
      </c>
      <c r="J4416">
        <v>0.74212715389186001</v>
      </c>
      <c r="K4416">
        <v>0.95206431986092999</v>
      </c>
      <c r="L4416">
        <v>0.83408846634707901</v>
      </c>
      <c r="M4416">
        <v>0.47457627118644102</v>
      </c>
      <c r="N4416">
        <v>1</v>
      </c>
      <c r="O4416">
        <v>0.63050847457627102</v>
      </c>
      <c r="P4416" t="s">
        <v>2004</v>
      </c>
      <c r="Q4416" t="s">
        <v>2005</v>
      </c>
      <c r="AF4416" t="s">
        <v>2009</v>
      </c>
    </row>
    <row r="4417" spans="1:32" hidden="1" x14ac:dyDescent="0.35">
      <c r="A4417">
        <v>1029</v>
      </c>
      <c r="B4417" t="s">
        <v>2144</v>
      </c>
      <c r="C4417" t="s">
        <v>72</v>
      </c>
      <c r="D4417" t="s">
        <v>58</v>
      </c>
      <c r="E4417">
        <v>343</v>
      </c>
      <c r="F4417">
        <v>5</v>
      </c>
      <c r="G4417">
        <v>5</v>
      </c>
      <c r="H4417">
        <v>1</v>
      </c>
      <c r="I4417">
        <v>1</v>
      </c>
      <c r="J4417">
        <v>0.73837868480725599</v>
      </c>
      <c r="K4417">
        <v>0.93569523809523703</v>
      </c>
      <c r="L4417">
        <v>0.82540849580561204</v>
      </c>
      <c r="M4417">
        <v>0.5</v>
      </c>
      <c r="N4417">
        <v>1</v>
      </c>
      <c r="O4417">
        <v>0.64365079365079403</v>
      </c>
      <c r="AF4417" t="s">
        <v>2145</v>
      </c>
    </row>
    <row r="4418" spans="1:32" hidden="1" x14ac:dyDescent="0.35">
      <c r="A4418">
        <v>1030</v>
      </c>
      <c r="B4418" t="s">
        <v>2144</v>
      </c>
      <c r="C4418" t="s">
        <v>72</v>
      </c>
      <c r="D4418" t="s">
        <v>60</v>
      </c>
      <c r="E4418">
        <v>580</v>
      </c>
      <c r="F4418">
        <v>5</v>
      </c>
      <c r="G4418">
        <v>5</v>
      </c>
      <c r="H4418">
        <v>1</v>
      </c>
      <c r="I4418">
        <v>1</v>
      </c>
      <c r="J4418">
        <v>0.73837868480725599</v>
      </c>
      <c r="K4418">
        <v>0.93569523809523703</v>
      </c>
      <c r="L4418">
        <v>0.82540849580561204</v>
      </c>
      <c r="M4418">
        <v>0.5</v>
      </c>
      <c r="N4418">
        <v>1</v>
      </c>
      <c r="O4418">
        <v>0.64365079365079403</v>
      </c>
      <c r="P4418" t="s">
        <v>2146</v>
      </c>
      <c r="Q4418" t="s">
        <v>2147</v>
      </c>
      <c r="AF4418" t="s">
        <v>2148</v>
      </c>
    </row>
    <row r="4419" spans="1:32" hidden="1" x14ac:dyDescent="0.35">
      <c r="A4419">
        <v>1031</v>
      </c>
      <c r="B4419" t="s">
        <v>2144</v>
      </c>
      <c r="C4419" t="s">
        <v>72</v>
      </c>
      <c r="D4419" t="s">
        <v>62</v>
      </c>
      <c r="E4419">
        <v>664</v>
      </c>
      <c r="F4419">
        <v>5</v>
      </c>
      <c r="G4419">
        <v>5</v>
      </c>
      <c r="H4419">
        <v>1</v>
      </c>
      <c r="I4419">
        <v>1</v>
      </c>
      <c r="J4419">
        <v>0.73837868480725599</v>
      </c>
      <c r="K4419">
        <v>0.93569523809523703</v>
      </c>
      <c r="L4419">
        <v>0.82540849580561204</v>
      </c>
      <c r="M4419">
        <v>0.5</v>
      </c>
      <c r="N4419">
        <v>1</v>
      </c>
      <c r="O4419">
        <v>0.64365079365079403</v>
      </c>
      <c r="P4419" t="s">
        <v>2146</v>
      </c>
      <c r="Q4419" t="s">
        <v>2147</v>
      </c>
      <c r="AF4419" t="s">
        <v>2148</v>
      </c>
    </row>
    <row r="4420" spans="1:32" hidden="1" x14ac:dyDescent="0.35">
      <c r="A4420">
        <v>1032</v>
      </c>
      <c r="B4420" t="s">
        <v>2144</v>
      </c>
      <c r="C4420" t="s">
        <v>72</v>
      </c>
      <c r="D4420" t="s">
        <v>34</v>
      </c>
      <c r="E4420">
        <v>512</v>
      </c>
      <c r="F4420">
        <v>5</v>
      </c>
      <c r="G4420">
        <v>5</v>
      </c>
      <c r="H4420">
        <v>1</v>
      </c>
      <c r="I4420">
        <v>1</v>
      </c>
      <c r="J4420">
        <v>0.73837868480725599</v>
      </c>
      <c r="K4420">
        <v>0.93569523809523703</v>
      </c>
      <c r="L4420">
        <v>0.82540849580561204</v>
      </c>
      <c r="M4420">
        <v>0.5</v>
      </c>
      <c r="N4420">
        <v>1</v>
      </c>
      <c r="O4420">
        <v>0.64365079365079403</v>
      </c>
      <c r="P4420" t="s">
        <v>2146</v>
      </c>
      <c r="Q4420" t="s">
        <v>2147</v>
      </c>
      <c r="AF4420" t="s">
        <v>2149</v>
      </c>
    </row>
    <row r="4421" spans="1:32" hidden="1" x14ac:dyDescent="0.35">
      <c r="A4421">
        <v>1033</v>
      </c>
      <c r="B4421" t="s">
        <v>2144</v>
      </c>
      <c r="C4421" t="s">
        <v>72</v>
      </c>
      <c r="D4421" t="s">
        <v>45</v>
      </c>
      <c r="E4421">
        <v>1777</v>
      </c>
      <c r="F4421">
        <v>5</v>
      </c>
      <c r="G4421">
        <v>5</v>
      </c>
      <c r="H4421">
        <v>1</v>
      </c>
      <c r="I4421">
        <v>1</v>
      </c>
      <c r="J4421">
        <v>0.73837868480725599</v>
      </c>
      <c r="K4421">
        <v>0.93569523809523703</v>
      </c>
      <c r="L4421">
        <v>0.82540849580561204</v>
      </c>
      <c r="M4421">
        <v>0.5</v>
      </c>
      <c r="N4421">
        <v>1</v>
      </c>
      <c r="O4421">
        <v>0.64365079365079403</v>
      </c>
      <c r="P4421" t="s">
        <v>2146</v>
      </c>
      <c r="Q4421" t="s">
        <v>2147</v>
      </c>
      <c r="AF4421" t="s">
        <v>2150</v>
      </c>
    </row>
    <row r="4422" spans="1:32" hidden="1" x14ac:dyDescent="0.35">
      <c r="A4422">
        <v>1084</v>
      </c>
      <c r="B4422" t="s">
        <v>2251</v>
      </c>
      <c r="C4422" t="s">
        <v>72</v>
      </c>
      <c r="D4422" t="s">
        <v>58</v>
      </c>
      <c r="E4422">
        <v>904</v>
      </c>
      <c r="F4422">
        <v>5</v>
      </c>
      <c r="G4422">
        <v>5</v>
      </c>
      <c r="H4422">
        <v>1</v>
      </c>
      <c r="I4422">
        <v>1</v>
      </c>
      <c r="J4422">
        <v>0.88703983862834102</v>
      </c>
      <c r="K4422">
        <v>0.986634496689486</v>
      </c>
      <c r="L4422">
        <v>0.93419020395573804</v>
      </c>
      <c r="M4422">
        <v>0.79850746268656703</v>
      </c>
      <c r="N4422">
        <v>1</v>
      </c>
      <c r="O4422">
        <v>0.84477611940298503</v>
      </c>
      <c r="P4422" t="s">
        <v>2252</v>
      </c>
      <c r="Q4422" t="s">
        <v>2253</v>
      </c>
      <c r="AF4422" t="s">
        <v>2254</v>
      </c>
    </row>
    <row r="4423" spans="1:32" hidden="1" x14ac:dyDescent="0.35">
      <c r="A4423">
        <v>1085</v>
      </c>
      <c r="B4423" t="s">
        <v>2251</v>
      </c>
      <c r="C4423" t="s">
        <v>72</v>
      </c>
      <c r="D4423" t="s">
        <v>60</v>
      </c>
      <c r="E4423">
        <v>1294</v>
      </c>
      <c r="F4423">
        <v>5</v>
      </c>
      <c r="G4423">
        <v>5</v>
      </c>
      <c r="H4423">
        <v>1</v>
      </c>
      <c r="I4423">
        <v>1</v>
      </c>
      <c r="J4423">
        <v>0.88703983862834102</v>
      </c>
      <c r="K4423">
        <v>0.986634496689486</v>
      </c>
      <c r="L4423">
        <v>0.93419020395573804</v>
      </c>
      <c r="M4423">
        <v>0.79850746268656703</v>
      </c>
      <c r="N4423">
        <v>1</v>
      </c>
      <c r="O4423">
        <v>0.84477611940298503</v>
      </c>
      <c r="P4423" t="s">
        <v>2252</v>
      </c>
      <c r="Q4423" t="s">
        <v>2253</v>
      </c>
      <c r="AF4423" t="s">
        <v>2255</v>
      </c>
    </row>
    <row r="4424" spans="1:32" hidden="1" x14ac:dyDescent="0.35">
      <c r="A4424">
        <v>1086</v>
      </c>
      <c r="B4424" t="s">
        <v>2251</v>
      </c>
      <c r="C4424" t="s">
        <v>72</v>
      </c>
      <c r="D4424" t="s">
        <v>62</v>
      </c>
      <c r="E4424">
        <v>1330</v>
      </c>
      <c r="F4424">
        <v>5</v>
      </c>
      <c r="G4424">
        <v>5</v>
      </c>
      <c r="H4424">
        <v>1</v>
      </c>
      <c r="I4424">
        <v>1</v>
      </c>
      <c r="J4424">
        <v>0.88703983862834102</v>
      </c>
      <c r="K4424">
        <v>0.986634496689486</v>
      </c>
      <c r="L4424">
        <v>0.93419020395573804</v>
      </c>
      <c r="M4424">
        <v>0.79850746268656703</v>
      </c>
      <c r="N4424">
        <v>1</v>
      </c>
      <c r="O4424">
        <v>0.84477611940298503</v>
      </c>
      <c r="P4424" t="s">
        <v>2252</v>
      </c>
      <c r="Q4424" t="s">
        <v>2253</v>
      </c>
      <c r="AF4424" t="s">
        <v>2255</v>
      </c>
    </row>
    <row r="4425" spans="1:32" hidden="1" x14ac:dyDescent="0.35">
      <c r="A4425">
        <v>1087</v>
      </c>
      <c r="B4425" t="s">
        <v>2251</v>
      </c>
      <c r="C4425" t="s">
        <v>72</v>
      </c>
      <c r="D4425" t="s">
        <v>34</v>
      </c>
      <c r="E4425">
        <v>1694</v>
      </c>
      <c r="F4425">
        <v>5</v>
      </c>
      <c r="G4425">
        <v>5</v>
      </c>
      <c r="H4425">
        <v>1</v>
      </c>
      <c r="I4425">
        <v>1</v>
      </c>
      <c r="J4425">
        <v>0.88703983862834102</v>
      </c>
      <c r="K4425">
        <v>0.986634496689486</v>
      </c>
      <c r="L4425">
        <v>0.93419020395573804</v>
      </c>
      <c r="M4425">
        <v>0.79850746268656703</v>
      </c>
      <c r="N4425">
        <v>1</v>
      </c>
      <c r="O4425">
        <v>0.84477611940298503</v>
      </c>
      <c r="P4425" t="s">
        <v>2252</v>
      </c>
      <c r="Q4425" t="s">
        <v>2253</v>
      </c>
      <c r="AF4425" t="s">
        <v>2256</v>
      </c>
    </row>
    <row r="4426" spans="1:32" hidden="1" x14ac:dyDescent="0.35">
      <c r="A4426">
        <v>1088</v>
      </c>
      <c r="B4426" t="s">
        <v>2251</v>
      </c>
      <c r="C4426" t="s">
        <v>72</v>
      </c>
      <c r="D4426" t="s">
        <v>45</v>
      </c>
      <c r="E4426">
        <v>1182</v>
      </c>
      <c r="F4426">
        <v>5</v>
      </c>
      <c r="G4426">
        <v>5</v>
      </c>
      <c r="H4426">
        <v>1</v>
      </c>
      <c r="I4426">
        <v>1</v>
      </c>
      <c r="J4426">
        <v>0.88703983862834102</v>
      </c>
      <c r="K4426">
        <v>0.986634496689486</v>
      </c>
      <c r="L4426">
        <v>0.93419020395573804</v>
      </c>
      <c r="M4426">
        <v>0.79850746268656703</v>
      </c>
      <c r="N4426">
        <v>1</v>
      </c>
      <c r="O4426">
        <v>0.84477611940298503</v>
      </c>
      <c r="P4426" t="s">
        <v>2252</v>
      </c>
      <c r="Q4426" t="s">
        <v>2253</v>
      </c>
      <c r="AF4426" t="s">
        <v>2256</v>
      </c>
    </row>
    <row r="4427" spans="1:32" hidden="1" x14ac:dyDescent="0.35">
      <c r="A4427">
        <v>1094</v>
      </c>
      <c r="B4427" t="s">
        <v>2268</v>
      </c>
      <c r="C4427" t="s">
        <v>72</v>
      </c>
      <c r="D4427" t="s">
        <v>58</v>
      </c>
      <c r="E4427">
        <v>25</v>
      </c>
      <c r="F4427">
        <v>5</v>
      </c>
      <c r="G4427">
        <v>5</v>
      </c>
      <c r="H4427">
        <v>1</v>
      </c>
      <c r="I4427">
        <v>1</v>
      </c>
      <c r="J4427">
        <v>0.83143074581430698</v>
      </c>
      <c r="K4427">
        <v>0.99545454545454504</v>
      </c>
      <c r="L4427">
        <v>0.90607934620424302</v>
      </c>
      <c r="M4427">
        <v>0.68181818181818199</v>
      </c>
      <c r="N4427">
        <v>1</v>
      </c>
      <c r="O4427">
        <v>0.76931818181818201</v>
      </c>
      <c r="P4427" t="s">
        <v>2269</v>
      </c>
      <c r="Q4427" t="s">
        <v>2270</v>
      </c>
      <c r="AF4427" t="s">
        <v>2271</v>
      </c>
    </row>
    <row r="4428" spans="1:32" hidden="1" x14ac:dyDescent="0.35">
      <c r="A4428">
        <v>1095</v>
      </c>
      <c r="B4428" t="s">
        <v>2268</v>
      </c>
      <c r="C4428" t="s">
        <v>72</v>
      </c>
      <c r="D4428" t="s">
        <v>60</v>
      </c>
      <c r="E4428">
        <v>25</v>
      </c>
      <c r="F4428">
        <v>5</v>
      </c>
      <c r="G4428">
        <v>5</v>
      </c>
      <c r="H4428">
        <v>1</v>
      </c>
      <c r="I4428">
        <v>1</v>
      </c>
      <c r="J4428">
        <v>0.83143074581430698</v>
      </c>
      <c r="K4428">
        <v>0.99545454545454504</v>
      </c>
      <c r="L4428">
        <v>0.90607934620424302</v>
      </c>
      <c r="M4428">
        <v>0.68181818181818199</v>
      </c>
      <c r="N4428">
        <v>1</v>
      </c>
      <c r="O4428">
        <v>0.76931818181818201</v>
      </c>
      <c r="P4428" t="s">
        <v>2269</v>
      </c>
      <c r="Q4428" t="s">
        <v>2270</v>
      </c>
      <c r="AF4428" t="s">
        <v>2272</v>
      </c>
    </row>
    <row r="4429" spans="1:32" hidden="1" x14ac:dyDescent="0.35">
      <c r="A4429">
        <v>1096</v>
      </c>
      <c r="B4429" t="s">
        <v>2268</v>
      </c>
      <c r="C4429" t="s">
        <v>72</v>
      </c>
      <c r="D4429" t="s">
        <v>62</v>
      </c>
      <c r="E4429">
        <v>98</v>
      </c>
      <c r="F4429">
        <v>5</v>
      </c>
      <c r="G4429">
        <v>5</v>
      </c>
      <c r="H4429">
        <v>1</v>
      </c>
      <c r="I4429">
        <v>1</v>
      </c>
      <c r="J4429">
        <v>0.83143074581430698</v>
      </c>
      <c r="K4429">
        <v>0.99545454545454504</v>
      </c>
      <c r="L4429">
        <v>0.90607934620424302</v>
      </c>
      <c r="M4429">
        <v>0.68181818181818199</v>
      </c>
      <c r="N4429">
        <v>1</v>
      </c>
      <c r="O4429">
        <v>0.76931818181818201</v>
      </c>
      <c r="P4429" t="s">
        <v>2269</v>
      </c>
      <c r="Q4429" t="s">
        <v>2270</v>
      </c>
      <c r="AF4429" t="s">
        <v>2272</v>
      </c>
    </row>
    <row r="4430" spans="1:32" hidden="1" x14ac:dyDescent="0.35">
      <c r="A4430">
        <v>1097</v>
      </c>
      <c r="B4430" t="s">
        <v>2268</v>
      </c>
      <c r="C4430" t="s">
        <v>72</v>
      </c>
      <c r="D4430" t="s">
        <v>34</v>
      </c>
      <c r="E4430">
        <v>1049</v>
      </c>
      <c r="F4430">
        <v>5</v>
      </c>
      <c r="G4430">
        <v>5</v>
      </c>
      <c r="H4430">
        <v>1</v>
      </c>
      <c r="I4430">
        <v>1</v>
      </c>
      <c r="J4430">
        <v>0.83143074581430698</v>
      </c>
      <c r="K4430">
        <v>0.99545454545454504</v>
      </c>
      <c r="L4430">
        <v>0.90607934620424302</v>
      </c>
      <c r="M4430">
        <v>0.68181818181818199</v>
      </c>
      <c r="N4430">
        <v>1</v>
      </c>
      <c r="O4430">
        <v>0.76931818181818201</v>
      </c>
      <c r="P4430" t="s">
        <v>2269</v>
      </c>
      <c r="Q4430" t="s">
        <v>2270</v>
      </c>
      <c r="AF4430" t="s">
        <v>2273</v>
      </c>
    </row>
    <row r="4431" spans="1:32" hidden="1" x14ac:dyDescent="0.35">
      <c r="A4431">
        <v>1098</v>
      </c>
      <c r="B4431" t="s">
        <v>2268</v>
      </c>
      <c r="C4431" t="s">
        <v>72</v>
      </c>
      <c r="D4431" t="s">
        <v>45</v>
      </c>
      <c r="E4431">
        <v>2304</v>
      </c>
      <c r="F4431">
        <v>5</v>
      </c>
      <c r="G4431">
        <v>5</v>
      </c>
      <c r="H4431">
        <v>1</v>
      </c>
      <c r="I4431">
        <v>1</v>
      </c>
      <c r="J4431">
        <v>0.83143074581430698</v>
      </c>
      <c r="K4431">
        <v>0.99545454545454504</v>
      </c>
      <c r="L4431">
        <v>0.90607934620424302</v>
      </c>
      <c r="M4431">
        <v>0.68181818181818199</v>
      </c>
      <c r="N4431">
        <v>1</v>
      </c>
      <c r="O4431">
        <v>0.76931818181818201</v>
      </c>
      <c r="P4431" t="s">
        <v>2269</v>
      </c>
      <c r="Q4431" t="s">
        <v>2270</v>
      </c>
      <c r="AF4431" t="s">
        <v>2274</v>
      </c>
    </row>
    <row r="4432" spans="1:32" hidden="1" x14ac:dyDescent="0.35">
      <c r="A4432">
        <v>1129</v>
      </c>
      <c r="B4432" t="s">
        <v>2341</v>
      </c>
      <c r="C4432" t="s">
        <v>72</v>
      </c>
      <c r="D4432" t="s">
        <v>58</v>
      </c>
      <c r="E4432">
        <v>1343</v>
      </c>
      <c r="F4432">
        <v>5</v>
      </c>
      <c r="G4432">
        <v>5</v>
      </c>
      <c r="H4432">
        <v>1</v>
      </c>
      <c r="I4432">
        <v>1</v>
      </c>
      <c r="J4432">
        <v>0.74802477044629501</v>
      </c>
      <c r="K4432">
        <v>0.95278692204099802</v>
      </c>
      <c r="L4432">
        <v>0.83808010233240304</v>
      </c>
      <c r="M4432">
        <v>0.53048780487804903</v>
      </c>
      <c r="N4432">
        <v>1</v>
      </c>
      <c r="O4432">
        <v>0.64756097560975601</v>
      </c>
      <c r="P4432" t="s">
        <v>2342</v>
      </c>
      <c r="Q4432" t="s">
        <v>2343</v>
      </c>
      <c r="AF4432" t="e">
        <f>------MEKRSWLSGPEIPSQFDDDGAPSRWPGEKLGLPEHGEGSLASVMRRVGGITIDWFFAMFIAIIIGQLSGN-GQFYAPSLTLGIFVIISIVSVALFARTPGHMMLRMGVARIDAQE-RVGLWRSVVRAALTVFIFPPIIVDADGRGLHDRATGTAVILG</f>
        <v>#NAME?</v>
      </c>
    </row>
    <row r="4433" spans="1:32" hidden="1" x14ac:dyDescent="0.35">
      <c r="A4433">
        <v>1130</v>
      </c>
      <c r="B4433" t="s">
        <v>2341</v>
      </c>
      <c r="C4433" t="s">
        <v>72</v>
      </c>
      <c r="D4433" t="s">
        <v>60</v>
      </c>
      <c r="E4433">
        <v>1806</v>
      </c>
      <c r="F4433">
        <v>5</v>
      </c>
      <c r="G4433">
        <v>5</v>
      </c>
      <c r="H4433">
        <v>1</v>
      </c>
      <c r="I4433">
        <v>1</v>
      </c>
      <c r="J4433">
        <v>0.74802477044629501</v>
      </c>
      <c r="K4433">
        <v>0.95278692204099802</v>
      </c>
      <c r="L4433">
        <v>0.83808010233240304</v>
      </c>
      <c r="M4433">
        <v>0.53048780487804903</v>
      </c>
      <c r="N4433">
        <v>1</v>
      </c>
      <c r="O4433">
        <v>0.64756097560975601</v>
      </c>
      <c r="AF4433" t="e">
        <f>----MANNKQSWLDGPNIPGENDDPSAPGRWPGEKLGLPQAGAGALASVMRRVGGITFDWFICLFAATIVHRFTDQLGG--ISTINFIVFLILGTLSVTFLARTPGQAVLGMGVARIDVPDARVGFIRAFVRSLLTLFIFPAVIVDSDGRGLHDRATGTAVVFG</f>
        <v>#NAME?</v>
      </c>
    </row>
    <row r="4434" spans="1:32" hidden="1" x14ac:dyDescent="0.35">
      <c r="A4434">
        <v>1131</v>
      </c>
      <c r="B4434" t="s">
        <v>2341</v>
      </c>
      <c r="C4434" t="s">
        <v>72</v>
      </c>
      <c r="D4434" t="s">
        <v>62</v>
      </c>
      <c r="E4434">
        <v>1842</v>
      </c>
      <c r="F4434">
        <v>5</v>
      </c>
      <c r="G4434">
        <v>5</v>
      </c>
      <c r="H4434">
        <v>1</v>
      </c>
      <c r="I4434">
        <v>1</v>
      </c>
      <c r="J4434">
        <v>0.74802477044629501</v>
      </c>
      <c r="K4434">
        <v>0.95278692204099802</v>
      </c>
      <c r="L4434">
        <v>0.83808010233240304</v>
      </c>
      <c r="M4434">
        <v>0.53048780487804903</v>
      </c>
      <c r="N4434">
        <v>1</v>
      </c>
      <c r="O4434">
        <v>0.64756097560975601</v>
      </c>
      <c r="AF4434" t="e">
        <f>----MANNKQSWLDGPNIPGENDDPSAPGRWPGEKLGLPQAGAGALASVMRRVGGITFDWFICLFAATIVHRFTDQLGG--ISTINFIVFLILGTLSVTFLARTPGQAVLGMGVARIDVPDARVGFIRAFVRSLLTLFIFPAVIVDSDGRGLHDRATGTAVVFG</f>
        <v>#NAME?</v>
      </c>
    </row>
    <row r="4435" spans="1:32" hidden="1" x14ac:dyDescent="0.35">
      <c r="A4435">
        <v>1204</v>
      </c>
      <c r="B4435" t="s">
        <v>2516</v>
      </c>
      <c r="C4435" t="s">
        <v>72</v>
      </c>
      <c r="D4435" t="s">
        <v>58</v>
      </c>
      <c r="E4435">
        <v>664</v>
      </c>
      <c r="F4435">
        <v>5</v>
      </c>
      <c r="G4435">
        <v>5</v>
      </c>
      <c r="H4435">
        <v>1</v>
      </c>
      <c r="I4435">
        <v>1</v>
      </c>
      <c r="J4435">
        <v>0.74004424778761102</v>
      </c>
      <c r="K4435">
        <v>0.96225120109814599</v>
      </c>
      <c r="L4435">
        <v>0.83664497460239995</v>
      </c>
      <c r="M4435">
        <v>0.5</v>
      </c>
      <c r="N4435">
        <v>1</v>
      </c>
      <c r="O4435">
        <v>0.63085106382978695</v>
      </c>
      <c r="AF4435" t="e">
        <f>---MLLMDILAQAEP-SRPLGSEFGKASPVGLFLIVVLLAIVLYLGWALNRRLKRMARRRAFAEAHGIDIFDTEALDKAMAEAGLADVNKERLI</f>
        <v>#NAME?</v>
      </c>
    </row>
    <row r="4436" spans="1:32" hidden="1" x14ac:dyDescent="0.35">
      <c r="A4436">
        <v>1205</v>
      </c>
      <c r="B4436" t="s">
        <v>2516</v>
      </c>
      <c r="C4436" t="s">
        <v>72</v>
      </c>
      <c r="D4436" t="s">
        <v>60</v>
      </c>
      <c r="E4436">
        <v>853</v>
      </c>
      <c r="F4436">
        <v>5</v>
      </c>
      <c r="G4436">
        <v>5</v>
      </c>
      <c r="H4436">
        <v>1</v>
      </c>
      <c r="I4436">
        <v>1</v>
      </c>
      <c r="J4436">
        <v>0.74004424778761102</v>
      </c>
      <c r="K4436">
        <v>0.96225120109814599</v>
      </c>
      <c r="L4436">
        <v>0.83664497460239995</v>
      </c>
      <c r="M4436">
        <v>0.5</v>
      </c>
      <c r="N4436">
        <v>1</v>
      </c>
      <c r="O4436">
        <v>0.63085106382978695</v>
      </c>
      <c r="AF4436" t="s">
        <v>2517</v>
      </c>
    </row>
    <row r="4437" spans="1:32" hidden="1" x14ac:dyDescent="0.35">
      <c r="A4437">
        <v>1206</v>
      </c>
      <c r="B4437" t="s">
        <v>2516</v>
      </c>
      <c r="C4437" t="s">
        <v>72</v>
      </c>
      <c r="D4437" t="s">
        <v>62</v>
      </c>
      <c r="E4437">
        <v>887</v>
      </c>
      <c r="F4437">
        <v>5</v>
      </c>
      <c r="G4437">
        <v>5</v>
      </c>
      <c r="H4437">
        <v>1</v>
      </c>
      <c r="I4437">
        <v>1</v>
      </c>
      <c r="J4437">
        <v>0.74004424778761102</v>
      </c>
      <c r="K4437">
        <v>0.96225120109814599</v>
      </c>
      <c r="L4437">
        <v>0.83664497460239995</v>
      </c>
      <c r="M4437">
        <v>0.5</v>
      </c>
      <c r="N4437">
        <v>1</v>
      </c>
      <c r="O4437">
        <v>0.63085106382978695</v>
      </c>
      <c r="AF4437" t="s">
        <v>2517</v>
      </c>
    </row>
    <row r="4438" spans="1:32" hidden="1" x14ac:dyDescent="0.35">
      <c r="A4438">
        <v>1207</v>
      </c>
      <c r="B4438" t="s">
        <v>2516</v>
      </c>
      <c r="C4438" t="s">
        <v>72</v>
      </c>
      <c r="D4438" t="s">
        <v>34</v>
      </c>
      <c r="E4438">
        <v>293</v>
      </c>
      <c r="F4438">
        <v>5</v>
      </c>
      <c r="G4438">
        <v>5</v>
      </c>
      <c r="H4438">
        <v>1</v>
      </c>
      <c r="I4438">
        <v>1</v>
      </c>
      <c r="J4438">
        <v>0.74004424778761102</v>
      </c>
      <c r="K4438">
        <v>0.96225120109814599</v>
      </c>
      <c r="L4438">
        <v>0.83664497460239995</v>
      </c>
      <c r="M4438">
        <v>0.5</v>
      </c>
      <c r="N4438">
        <v>1</v>
      </c>
      <c r="O4438">
        <v>0.63085106382978695</v>
      </c>
      <c r="AF4438" t="e">
        <f>---MVVESVLLVAQQGAGPVGSEFGKASPIGWFVIVALLAAVLFLGWAFHRRYSRMNRRRLFAETHGIDPFDAEKLDAAMAEAGVLDQRKLGWF</f>
        <v>#NAME?</v>
      </c>
    </row>
    <row r="4439" spans="1:32" hidden="1" x14ac:dyDescent="0.35">
      <c r="A4439">
        <v>1208</v>
      </c>
      <c r="B4439" t="s">
        <v>2516</v>
      </c>
      <c r="C4439" t="s">
        <v>72</v>
      </c>
      <c r="D4439" t="s">
        <v>45</v>
      </c>
      <c r="E4439">
        <v>1555</v>
      </c>
      <c r="F4439">
        <v>5</v>
      </c>
      <c r="G4439">
        <v>5</v>
      </c>
      <c r="H4439">
        <v>1</v>
      </c>
      <c r="I4439">
        <v>1</v>
      </c>
      <c r="J4439">
        <v>0.74004424778761102</v>
      </c>
      <c r="K4439">
        <v>0.96225120109814599</v>
      </c>
      <c r="L4439">
        <v>0.83664497460239995</v>
      </c>
      <c r="M4439">
        <v>0.5</v>
      </c>
      <c r="N4439">
        <v>1</v>
      </c>
      <c r="O4439">
        <v>0.63085106382978695</v>
      </c>
      <c r="AF4439" t="e">
        <f>---MVVKSVLLVAQQGAGPVGSEFGKASPIGWFVIVALLAAVLFLGWAFHRRYSRMNRRRLFAETHGIDPFDAEKLDAAMAEAGVLDQRKLGWF</f>
        <v>#NAME?</v>
      </c>
    </row>
    <row r="4440" spans="1:32" hidden="1" x14ac:dyDescent="0.35">
      <c r="A4440">
        <v>1234</v>
      </c>
      <c r="B4440" t="s">
        <v>2559</v>
      </c>
      <c r="C4440" t="s">
        <v>72</v>
      </c>
      <c r="D4440" t="s">
        <v>58</v>
      </c>
      <c r="E4440">
        <v>190</v>
      </c>
      <c r="F4440">
        <v>5</v>
      </c>
      <c r="G4440">
        <v>5</v>
      </c>
      <c r="H4440">
        <v>1</v>
      </c>
      <c r="I4440">
        <v>1</v>
      </c>
      <c r="J4440">
        <v>0.73271317829457405</v>
      </c>
      <c r="K4440">
        <v>0.89669421487603396</v>
      </c>
      <c r="L4440">
        <v>0.80645229780344196</v>
      </c>
      <c r="M4440">
        <v>0.43801652892561999</v>
      </c>
      <c r="N4440">
        <v>1</v>
      </c>
      <c r="O4440">
        <v>0.59338842975206596</v>
      </c>
      <c r="P4440" t="s">
        <v>2560</v>
      </c>
      <c r="Q4440" t="s">
        <v>2561</v>
      </c>
      <c r="AF4440" t="e">
        <f>-------MDKKTNPQAAPNP-HPEPHLDTNLRNRARRDVILYGLARLGLFIILTIIIQAIAMAASAPIPLIMSSLLALLVAFPLSMLIFRGLRNRVTEEVAAWDANRKAHKQWIHSELEGR</f>
        <v>#NAME?</v>
      </c>
    </row>
    <row r="4441" spans="1:32" hidden="1" x14ac:dyDescent="0.35">
      <c r="A4441">
        <v>1235</v>
      </c>
      <c r="B4441" t="s">
        <v>2559</v>
      </c>
      <c r="C4441" t="s">
        <v>72</v>
      </c>
      <c r="D4441" t="s">
        <v>60</v>
      </c>
      <c r="E4441">
        <v>332</v>
      </c>
      <c r="F4441">
        <v>5</v>
      </c>
      <c r="G4441">
        <v>5</v>
      </c>
      <c r="H4441">
        <v>1</v>
      </c>
      <c r="I4441">
        <v>1</v>
      </c>
      <c r="J4441">
        <v>0.73271317829457405</v>
      </c>
      <c r="K4441">
        <v>0.89669421487603396</v>
      </c>
      <c r="L4441">
        <v>0.80645229780344196</v>
      </c>
      <c r="M4441">
        <v>0.43801652892561999</v>
      </c>
      <c r="N4441">
        <v>1</v>
      </c>
      <c r="O4441">
        <v>0.59338842975206596</v>
      </c>
      <c r="P4441" t="s">
        <v>2560</v>
      </c>
      <c r="Q4441" t="s">
        <v>2561</v>
      </c>
      <c r="AF4441" t="e">
        <f>----------------MSNS-SEIPQIDPGLRARAARDFALYGAARLGLFLVLTVVIQGLAVLIDAPVPLAISALLALLVAFPLSMFVFKKLRVRVTQEMAAWDAQRKAHKAWVKKELSER</f>
        <v>#NAME?</v>
      </c>
    </row>
    <row r="4442" spans="1:32" hidden="1" x14ac:dyDescent="0.35">
      <c r="A4442">
        <v>1236</v>
      </c>
      <c r="B4442" t="s">
        <v>2559</v>
      </c>
      <c r="C4442" t="s">
        <v>72</v>
      </c>
      <c r="D4442" t="s">
        <v>62</v>
      </c>
      <c r="E4442">
        <v>412</v>
      </c>
      <c r="F4442">
        <v>5</v>
      </c>
      <c r="G4442">
        <v>5</v>
      </c>
      <c r="H4442">
        <v>1</v>
      </c>
      <c r="I4442">
        <v>1</v>
      </c>
      <c r="J4442">
        <v>0.73271317829457405</v>
      </c>
      <c r="K4442">
        <v>0.89669421487603396</v>
      </c>
      <c r="L4442">
        <v>0.80645229780344196</v>
      </c>
      <c r="M4442">
        <v>0.43801652892561999</v>
      </c>
      <c r="N4442">
        <v>1</v>
      </c>
      <c r="O4442">
        <v>0.59338842975206596</v>
      </c>
      <c r="P4442" t="s">
        <v>2560</v>
      </c>
      <c r="Q4442" t="s">
        <v>2561</v>
      </c>
      <c r="AF4442" t="e">
        <f>----------------MSNS-SEIPQIDPGLRARAARDFALYGAARLGLFLVLTVVIQGLAVLIDAPVPLAISALLALLVAFPLSMFVFKKLRVRVTQEMAAWDAQRKAHKAWVKKELSER</f>
        <v>#NAME?</v>
      </c>
    </row>
    <row r="4443" spans="1:32" hidden="1" x14ac:dyDescent="0.35">
      <c r="A4443">
        <v>1237</v>
      </c>
      <c r="B4443" t="s">
        <v>2559</v>
      </c>
      <c r="C4443" t="s">
        <v>72</v>
      </c>
      <c r="D4443" t="s">
        <v>34</v>
      </c>
      <c r="E4443">
        <v>830</v>
      </c>
      <c r="F4443">
        <v>5</v>
      </c>
      <c r="G4443">
        <v>5</v>
      </c>
      <c r="H4443">
        <v>1</v>
      </c>
      <c r="I4443">
        <v>1</v>
      </c>
      <c r="J4443">
        <v>0.73271317829457405</v>
      </c>
      <c r="K4443">
        <v>0.89669421487603396</v>
      </c>
      <c r="L4443">
        <v>0.80645229780344196</v>
      </c>
      <c r="M4443">
        <v>0.43801652892561999</v>
      </c>
      <c r="N4443">
        <v>1</v>
      </c>
      <c r="O4443">
        <v>0.59338842975206596</v>
      </c>
      <c r="P4443" t="s">
        <v>2560</v>
      </c>
      <c r="Q4443" t="s">
        <v>2561</v>
      </c>
      <c r="AF4443" t="s">
        <v>2562</v>
      </c>
    </row>
    <row r="4444" spans="1:32" hidden="1" x14ac:dyDescent="0.35">
      <c r="A4444">
        <v>1238</v>
      </c>
      <c r="B4444" t="s">
        <v>2559</v>
      </c>
      <c r="C4444" t="s">
        <v>72</v>
      </c>
      <c r="D4444" t="s">
        <v>45</v>
      </c>
      <c r="E4444">
        <v>2087</v>
      </c>
      <c r="F4444">
        <v>5</v>
      </c>
      <c r="G4444">
        <v>5</v>
      </c>
      <c r="H4444">
        <v>1</v>
      </c>
      <c r="I4444">
        <v>1</v>
      </c>
      <c r="J4444">
        <v>0.73271317829457405</v>
      </c>
      <c r="K4444">
        <v>0.89669421487603396</v>
      </c>
      <c r="L4444">
        <v>0.80645229780344196</v>
      </c>
      <c r="M4444">
        <v>0.43801652892561999</v>
      </c>
      <c r="N4444">
        <v>1</v>
      </c>
      <c r="O4444">
        <v>0.59338842975206596</v>
      </c>
      <c r="P4444" t="s">
        <v>2560</v>
      </c>
      <c r="Q4444" t="s">
        <v>2561</v>
      </c>
      <c r="AF4444" t="s">
        <v>2562</v>
      </c>
    </row>
    <row r="4445" spans="1:32" hidden="1" x14ac:dyDescent="0.35">
      <c r="A4445">
        <v>1394</v>
      </c>
      <c r="B4445" t="s">
        <v>2913</v>
      </c>
      <c r="C4445" t="s">
        <v>72</v>
      </c>
      <c r="D4445" t="s">
        <v>58</v>
      </c>
      <c r="E4445">
        <v>1175</v>
      </c>
      <c r="F4445">
        <v>5</v>
      </c>
      <c r="G4445">
        <v>5</v>
      </c>
      <c r="H4445">
        <v>1</v>
      </c>
      <c r="I4445">
        <v>1</v>
      </c>
      <c r="J4445">
        <v>0.94125412541254105</v>
      </c>
      <c r="K4445">
        <v>1</v>
      </c>
      <c r="L4445">
        <v>0.96973818429105796</v>
      </c>
      <c r="M4445">
        <v>0.86138613861386104</v>
      </c>
      <c r="N4445">
        <v>1</v>
      </c>
      <c r="O4445">
        <v>0.902970297029703</v>
      </c>
      <c r="P4445" t="s">
        <v>2914</v>
      </c>
      <c r="Q4445" t="s">
        <v>2915</v>
      </c>
      <c r="AF4445" t="s">
        <v>2916</v>
      </c>
    </row>
    <row r="4446" spans="1:32" hidden="1" x14ac:dyDescent="0.35">
      <c r="A4446">
        <v>1395</v>
      </c>
      <c r="B4446" t="s">
        <v>2913</v>
      </c>
      <c r="C4446" t="s">
        <v>72</v>
      </c>
      <c r="D4446" t="s">
        <v>60</v>
      </c>
      <c r="E4446">
        <v>1613</v>
      </c>
      <c r="F4446">
        <v>5</v>
      </c>
      <c r="G4446">
        <v>5</v>
      </c>
      <c r="H4446">
        <v>1</v>
      </c>
      <c r="I4446">
        <v>1</v>
      </c>
      <c r="J4446">
        <v>0.94125412541254105</v>
      </c>
      <c r="K4446">
        <v>1</v>
      </c>
      <c r="L4446">
        <v>0.96973818429105796</v>
      </c>
      <c r="M4446">
        <v>0.86138613861386104</v>
      </c>
      <c r="N4446">
        <v>1</v>
      </c>
      <c r="O4446">
        <v>0.902970297029703</v>
      </c>
      <c r="P4446" t="s">
        <v>2914</v>
      </c>
      <c r="Q4446" t="s">
        <v>2915</v>
      </c>
      <c r="AF4446" t="s">
        <v>2917</v>
      </c>
    </row>
    <row r="4447" spans="1:32" hidden="1" x14ac:dyDescent="0.35">
      <c r="A4447">
        <v>1396</v>
      </c>
      <c r="B4447" t="s">
        <v>2913</v>
      </c>
      <c r="C4447" t="s">
        <v>72</v>
      </c>
      <c r="D4447" t="s">
        <v>62</v>
      </c>
      <c r="E4447">
        <v>1649</v>
      </c>
      <c r="F4447">
        <v>5</v>
      </c>
      <c r="G4447">
        <v>5</v>
      </c>
      <c r="H4447">
        <v>1</v>
      </c>
      <c r="I4447">
        <v>1</v>
      </c>
      <c r="J4447">
        <v>0.94125412541254105</v>
      </c>
      <c r="K4447">
        <v>1</v>
      </c>
      <c r="L4447">
        <v>0.96973818429105796</v>
      </c>
      <c r="M4447">
        <v>0.86138613861386104</v>
      </c>
      <c r="N4447">
        <v>1</v>
      </c>
      <c r="O4447">
        <v>0.902970297029703</v>
      </c>
      <c r="P4447" t="s">
        <v>2914</v>
      </c>
      <c r="Q4447" t="s">
        <v>2915</v>
      </c>
      <c r="AF4447" t="s">
        <v>2917</v>
      </c>
    </row>
    <row r="4448" spans="1:32" hidden="1" x14ac:dyDescent="0.35">
      <c r="A4448">
        <v>1397</v>
      </c>
      <c r="B4448" t="s">
        <v>2913</v>
      </c>
      <c r="C4448" t="s">
        <v>72</v>
      </c>
      <c r="D4448" t="s">
        <v>34</v>
      </c>
      <c r="E4448">
        <v>2006</v>
      </c>
      <c r="F4448">
        <v>5</v>
      </c>
      <c r="G4448">
        <v>5</v>
      </c>
      <c r="H4448">
        <v>1</v>
      </c>
      <c r="I4448">
        <v>1</v>
      </c>
      <c r="J4448">
        <v>0.94125412541254105</v>
      </c>
      <c r="K4448">
        <v>1</v>
      </c>
      <c r="L4448">
        <v>0.96973818429105796</v>
      </c>
      <c r="M4448">
        <v>0.86138613861386104</v>
      </c>
      <c r="N4448">
        <v>1</v>
      </c>
      <c r="O4448">
        <v>0.902970297029703</v>
      </c>
      <c r="P4448" t="s">
        <v>2914</v>
      </c>
      <c r="Q4448" t="s">
        <v>2915</v>
      </c>
      <c r="AF4448" t="s">
        <v>2918</v>
      </c>
    </row>
    <row r="4449" spans="1:32" hidden="1" x14ac:dyDescent="0.35">
      <c r="A4449">
        <v>1398</v>
      </c>
      <c r="B4449" t="s">
        <v>2913</v>
      </c>
      <c r="C4449" t="s">
        <v>72</v>
      </c>
      <c r="D4449" t="s">
        <v>45</v>
      </c>
      <c r="E4449">
        <v>866</v>
      </c>
      <c r="F4449">
        <v>5</v>
      </c>
      <c r="G4449">
        <v>5</v>
      </c>
      <c r="H4449">
        <v>1</v>
      </c>
      <c r="I4449">
        <v>1</v>
      </c>
      <c r="J4449">
        <v>0.94125412541254105</v>
      </c>
      <c r="K4449">
        <v>1</v>
      </c>
      <c r="L4449">
        <v>0.96973818429105796</v>
      </c>
      <c r="M4449">
        <v>0.86138613861386104</v>
      </c>
      <c r="N4449">
        <v>1</v>
      </c>
      <c r="O4449">
        <v>0.902970297029703</v>
      </c>
      <c r="P4449" t="s">
        <v>2914</v>
      </c>
      <c r="Q4449" t="s">
        <v>2915</v>
      </c>
      <c r="AF4449" t="s">
        <v>2918</v>
      </c>
    </row>
    <row r="4450" spans="1:32" hidden="1" x14ac:dyDescent="0.35">
      <c r="A4450">
        <v>1464</v>
      </c>
      <c r="B4450" t="s">
        <v>3067</v>
      </c>
      <c r="C4450" t="s">
        <v>72</v>
      </c>
      <c r="D4450" t="s">
        <v>58</v>
      </c>
      <c r="E4450">
        <v>1637</v>
      </c>
      <c r="F4450">
        <v>5</v>
      </c>
      <c r="G4450">
        <v>5</v>
      </c>
      <c r="H4450">
        <v>1</v>
      </c>
      <c r="I4450">
        <v>1</v>
      </c>
      <c r="J4450">
        <v>0.77553136340072604</v>
      </c>
      <c r="K4450">
        <v>0.81893987341772201</v>
      </c>
      <c r="L4450">
        <v>0.79664473326235397</v>
      </c>
      <c r="M4450">
        <v>0.53749999999999998</v>
      </c>
      <c r="N4450">
        <v>1</v>
      </c>
      <c r="O4450">
        <v>0.65375000000000005</v>
      </c>
      <c r="P4450" t="s">
        <v>3068</v>
      </c>
      <c r="Q4450" t="s">
        <v>3069</v>
      </c>
      <c r="AF4450" t="s">
        <v>3070</v>
      </c>
    </row>
    <row r="4451" spans="1:32" hidden="1" x14ac:dyDescent="0.35">
      <c r="A4451">
        <v>1465</v>
      </c>
      <c r="B4451" t="s">
        <v>3067</v>
      </c>
      <c r="C4451" t="s">
        <v>72</v>
      </c>
      <c r="D4451" t="s">
        <v>60</v>
      </c>
      <c r="E4451">
        <v>2197</v>
      </c>
      <c r="F4451">
        <v>5</v>
      </c>
      <c r="G4451">
        <v>5</v>
      </c>
      <c r="H4451">
        <v>1</v>
      </c>
      <c r="I4451">
        <v>1</v>
      </c>
      <c r="J4451">
        <v>0.77553136340072604</v>
      </c>
      <c r="K4451">
        <v>0.81893987341772201</v>
      </c>
      <c r="L4451">
        <v>0.79664473326235397</v>
      </c>
      <c r="M4451">
        <v>0.53749999999999998</v>
      </c>
      <c r="N4451">
        <v>1</v>
      </c>
      <c r="O4451">
        <v>0.65375000000000005</v>
      </c>
      <c r="P4451" t="s">
        <v>3068</v>
      </c>
      <c r="Q4451" t="s">
        <v>3069</v>
      </c>
      <c r="AF4451" t="s">
        <v>3071</v>
      </c>
    </row>
    <row r="4452" spans="1:32" hidden="1" x14ac:dyDescent="0.35">
      <c r="A4452">
        <v>1466</v>
      </c>
      <c r="B4452" t="s">
        <v>3067</v>
      </c>
      <c r="C4452" t="s">
        <v>72</v>
      </c>
      <c r="D4452" t="s">
        <v>62</v>
      </c>
      <c r="E4452">
        <v>2231</v>
      </c>
      <c r="F4452">
        <v>5</v>
      </c>
      <c r="G4452">
        <v>5</v>
      </c>
      <c r="H4452">
        <v>1</v>
      </c>
      <c r="I4452">
        <v>1</v>
      </c>
      <c r="J4452">
        <v>0.77553136340072604</v>
      </c>
      <c r="K4452">
        <v>0.81893987341772201</v>
      </c>
      <c r="L4452">
        <v>0.79664473326235397</v>
      </c>
      <c r="M4452">
        <v>0.53749999999999998</v>
      </c>
      <c r="N4452">
        <v>1</v>
      </c>
      <c r="O4452">
        <v>0.65375000000000005</v>
      </c>
      <c r="P4452" t="s">
        <v>3068</v>
      </c>
      <c r="Q4452" t="s">
        <v>3069</v>
      </c>
      <c r="AF4452" t="s">
        <v>3072</v>
      </c>
    </row>
    <row r="4453" spans="1:32" hidden="1" x14ac:dyDescent="0.35">
      <c r="A4453">
        <v>1467</v>
      </c>
      <c r="B4453" t="s">
        <v>3067</v>
      </c>
      <c r="C4453" t="s">
        <v>72</v>
      </c>
      <c r="D4453" t="s">
        <v>34</v>
      </c>
      <c r="E4453">
        <v>1571</v>
      </c>
      <c r="F4453">
        <v>5</v>
      </c>
      <c r="G4453">
        <v>5</v>
      </c>
      <c r="H4453">
        <v>1</v>
      </c>
      <c r="I4453">
        <v>1</v>
      </c>
      <c r="J4453">
        <v>0.77553136340072604</v>
      </c>
      <c r="K4453">
        <v>0.81893987341772201</v>
      </c>
      <c r="L4453">
        <v>0.79664473326235397</v>
      </c>
      <c r="M4453">
        <v>0.53749999999999998</v>
      </c>
      <c r="N4453">
        <v>1</v>
      </c>
      <c r="O4453">
        <v>0.65375000000000005</v>
      </c>
      <c r="P4453" t="s">
        <v>3068</v>
      </c>
      <c r="Q4453" t="s">
        <v>3069</v>
      </c>
      <c r="AF4453" t="s">
        <v>3073</v>
      </c>
    </row>
    <row r="4454" spans="1:32" hidden="1" x14ac:dyDescent="0.35">
      <c r="A4454">
        <v>1468</v>
      </c>
      <c r="B4454" t="s">
        <v>3067</v>
      </c>
      <c r="C4454" t="s">
        <v>72</v>
      </c>
      <c r="D4454" t="s">
        <v>45</v>
      </c>
      <c r="E4454">
        <v>321</v>
      </c>
      <c r="F4454">
        <v>5</v>
      </c>
      <c r="G4454">
        <v>5</v>
      </c>
      <c r="H4454">
        <v>1</v>
      </c>
      <c r="I4454">
        <v>1</v>
      </c>
      <c r="J4454">
        <v>0.77553136340072604</v>
      </c>
      <c r="K4454">
        <v>0.81893987341772201</v>
      </c>
      <c r="L4454">
        <v>0.79664473326235397</v>
      </c>
      <c r="M4454">
        <v>0.53749999999999998</v>
      </c>
      <c r="N4454">
        <v>1</v>
      </c>
      <c r="O4454">
        <v>0.65375000000000005</v>
      </c>
      <c r="P4454" t="s">
        <v>3068</v>
      </c>
      <c r="Q4454" t="s">
        <v>3069</v>
      </c>
      <c r="AF4454" t="s">
        <v>3073</v>
      </c>
    </row>
    <row r="4455" spans="1:32" hidden="1" x14ac:dyDescent="0.35">
      <c r="A4455">
        <v>1639</v>
      </c>
      <c r="B4455" t="s">
        <v>3447</v>
      </c>
      <c r="C4455" t="s">
        <v>72</v>
      </c>
      <c r="D4455" t="s">
        <v>58</v>
      </c>
      <c r="E4455">
        <v>1338</v>
      </c>
      <c r="F4455">
        <v>5</v>
      </c>
      <c r="G4455">
        <v>5</v>
      </c>
      <c r="H4455">
        <v>1</v>
      </c>
      <c r="I4455">
        <v>1</v>
      </c>
      <c r="J4455">
        <v>0.80883678990081198</v>
      </c>
      <c r="K4455">
        <v>0.88260658914728496</v>
      </c>
      <c r="L4455">
        <v>0.84411300922523502</v>
      </c>
      <c r="M4455">
        <v>0.45736434108527102</v>
      </c>
      <c r="N4455">
        <v>1</v>
      </c>
      <c r="O4455">
        <v>0.63565891472868197</v>
      </c>
      <c r="AF4455" t="s">
        <v>3448</v>
      </c>
    </row>
    <row r="4456" spans="1:32" hidden="1" x14ac:dyDescent="0.35">
      <c r="A4456">
        <v>1640</v>
      </c>
      <c r="B4456" t="s">
        <v>3447</v>
      </c>
      <c r="C4456" t="s">
        <v>72</v>
      </c>
      <c r="D4456" t="s">
        <v>60</v>
      </c>
      <c r="E4456">
        <v>1794</v>
      </c>
      <c r="F4456">
        <v>5</v>
      </c>
      <c r="G4456">
        <v>5</v>
      </c>
      <c r="H4456">
        <v>1</v>
      </c>
      <c r="I4456">
        <v>1</v>
      </c>
      <c r="J4456">
        <v>0.80883678990081198</v>
      </c>
      <c r="K4456">
        <v>0.88260658914728496</v>
      </c>
      <c r="L4456">
        <v>0.84411300922523502</v>
      </c>
      <c r="M4456">
        <v>0.45736434108527102</v>
      </c>
      <c r="N4456">
        <v>1</v>
      </c>
      <c r="O4456">
        <v>0.63565891472868197</v>
      </c>
      <c r="AF4456" t="s">
        <v>3449</v>
      </c>
    </row>
    <row r="4457" spans="1:32" hidden="1" x14ac:dyDescent="0.35">
      <c r="A4457">
        <v>1641</v>
      </c>
      <c r="B4457" t="s">
        <v>3447</v>
      </c>
      <c r="C4457" t="s">
        <v>72</v>
      </c>
      <c r="D4457" t="s">
        <v>62</v>
      </c>
      <c r="E4457">
        <v>1830</v>
      </c>
      <c r="F4457">
        <v>5</v>
      </c>
      <c r="G4457">
        <v>5</v>
      </c>
      <c r="H4457">
        <v>1</v>
      </c>
      <c r="I4457">
        <v>1</v>
      </c>
      <c r="J4457">
        <v>0.80883678990081198</v>
      </c>
      <c r="K4457">
        <v>0.88260658914728496</v>
      </c>
      <c r="L4457">
        <v>0.84411300922523502</v>
      </c>
      <c r="M4457">
        <v>0.45736434108527102</v>
      </c>
      <c r="N4457">
        <v>1</v>
      </c>
      <c r="O4457">
        <v>0.63565891472868197</v>
      </c>
      <c r="AF4457" t="s">
        <v>3449</v>
      </c>
    </row>
    <row r="4458" spans="1:32" hidden="1" x14ac:dyDescent="0.35">
      <c r="A4458">
        <v>1642</v>
      </c>
      <c r="B4458" t="s">
        <v>3447</v>
      </c>
      <c r="C4458" t="s">
        <v>72</v>
      </c>
      <c r="D4458" t="s">
        <v>34</v>
      </c>
      <c r="E4458">
        <v>2161</v>
      </c>
      <c r="F4458">
        <v>5</v>
      </c>
      <c r="G4458">
        <v>5</v>
      </c>
      <c r="H4458">
        <v>1</v>
      </c>
      <c r="I4458">
        <v>1</v>
      </c>
      <c r="J4458">
        <v>0.80883678990081198</v>
      </c>
      <c r="K4458">
        <v>0.88260658914728496</v>
      </c>
      <c r="L4458">
        <v>0.84411300922523502</v>
      </c>
      <c r="M4458">
        <v>0.45736434108527102</v>
      </c>
      <c r="N4458">
        <v>1</v>
      </c>
      <c r="O4458">
        <v>0.63565891472868197</v>
      </c>
      <c r="AF4458" t="s">
        <v>3450</v>
      </c>
    </row>
    <row r="4459" spans="1:32" hidden="1" x14ac:dyDescent="0.35">
      <c r="A4459">
        <v>1643</v>
      </c>
      <c r="B4459" t="s">
        <v>3447</v>
      </c>
      <c r="C4459" t="s">
        <v>72</v>
      </c>
      <c r="D4459" t="s">
        <v>45</v>
      </c>
      <c r="E4459">
        <v>712</v>
      </c>
      <c r="F4459">
        <v>5</v>
      </c>
      <c r="G4459">
        <v>5</v>
      </c>
      <c r="H4459">
        <v>1</v>
      </c>
      <c r="I4459">
        <v>1</v>
      </c>
      <c r="J4459">
        <v>0.80883678990081198</v>
      </c>
      <c r="K4459">
        <v>0.88260658914728496</v>
      </c>
      <c r="L4459">
        <v>0.84411300922523502</v>
      </c>
      <c r="M4459">
        <v>0.45736434108527102</v>
      </c>
      <c r="N4459">
        <v>1</v>
      </c>
      <c r="O4459">
        <v>0.63565891472868197</v>
      </c>
      <c r="AF4459" t="s">
        <v>3450</v>
      </c>
    </row>
    <row r="4460" spans="1:32" hidden="1" x14ac:dyDescent="0.35">
      <c r="A4460">
        <v>1674</v>
      </c>
      <c r="B4460" t="s">
        <v>3511</v>
      </c>
      <c r="C4460" t="s">
        <v>72</v>
      </c>
      <c r="D4460" t="s">
        <v>58</v>
      </c>
      <c r="E4460">
        <v>686</v>
      </c>
      <c r="F4460">
        <v>5</v>
      </c>
      <c r="G4460">
        <v>5</v>
      </c>
      <c r="H4460">
        <v>1</v>
      </c>
      <c r="I4460">
        <v>1</v>
      </c>
      <c r="J4460">
        <v>0.79120879120879095</v>
      </c>
      <c r="K4460">
        <v>0.94319419237749602</v>
      </c>
      <c r="L4460">
        <v>0.86054226599988304</v>
      </c>
      <c r="M4460">
        <v>0.51724137931034497</v>
      </c>
      <c r="N4460">
        <v>1</v>
      </c>
      <c r="O4460">
        <v>0.67241379310344795</v>
      </c>
      <c r="P4460" t="s">
        <v>3512</v>
      </c>
      <c r="Q4460" t="s">
        <v>3513</v>
      </c>
      <c r="AF4460" t="s">
        <v>3514</v>
      </c>
    </row>
    <row r="4461" spans="1:32" hidden="1" x14ac:dyDescent="0.35">
      <c r="A4461">
        <v>1675</v>
      </c>
      <c r="B4461" t="s">
        <v>3511</v>
      </c>
      <c r="C4461" t="s">
        <v>72</v>
      </c>
      <c r="D4461" t="s">
        <v>60</v>
      </c>
      <c r="E4461">
        <v>880</v>
      </c>
      <c r="F4461">
        <v>5</v>
      </c>
      <c r="G4461">
        <v>5</v>
      </c>
      <c r="H4461">
        <v>1</v>
      </c>
      <c r="I4461">
        <v>1</v>
      </c>
      <c r="J4461">
        <v>0.79120879120879095</v>
      </c>
      <c r="K4461">
        <v>0.94319419237749602</v>
      </c>
      <c r="L4461">
        <v>0.86054226599988304</v>
      </c>
      <c r="M4461">
        <v>0.51724137931034497</v>
      </c>
      <c r="N4461">
        <v>1</v>
      </c>
      <c r="O4461">
        <v>0.67241379310344795</v>
      </c>
      <c r="P4461" t="s">
        <v>3512</v>
      </c>
      <c r="Q4461" t="s">
        <v>3513</v>
      </c>
      <c r="AF4461" t="s">
        <v>3515</v>
      </c>
    </row>
    <row r="4462" spans="1:32" hidden="1" x14ac:dyDescent="0.35">
      <c r="A4462">
        <v>1676</v>
      </c>
      <c r="B4462" t="s">
        <v>3511</v>
      </c>
      <c r="C4462" t="s">
        <v>72</v>
      </c>
      <c r="D4462" t="s">
        <v>62</v>
      </c>
      <c r="E4462">
        <v>914</v>
      </c>
      <c r="F4462">
        <v>5</v>
      </c>
      <c r="G4462">
        <v>5</v>
      </c>
      <c r="H4462">
        <v>1</v>
      </c>
      <c r="I4462">
        <v>1</v>
      </c>
      <c r="J4462">
        <v>0.79120879120879095</v>
      </c>
      <c r="K4462">
        <v>0.94319419237749602</v>
      </c>
      <c r="L4462">
        <v>0.86054226599988304</v>
      </c>
      <c r="M4462">
        <v>0.51724137931034497</v>
      </c>
      <c r="N4462">
        <v>1</v>
      </c>
      <c r="O4462">
        <v>0.67241379310344795</v>
      </c>
      <c r="P4462" t="s">
        <v>3512</v>
      </c>
      <c r="Q4462" t="s">
        <v>3513</v>
      </c>
      <c r="AF4462" t="s">
        <v>3515</v>
      </c>
    </row>
    <row r="4463" spans="1:32" hidden="1" x14ac:dyDescent="0.35">
      <c r="A4463">
        <v>1677</v>
      </c>
      <c r="B4463" t="s">
        <v>3511</v>
      </c>
      <c r="C4463" t="s">
        <v>72</v>
      </c>
      <c r="D4463" t="s">
        <v>34</v>
      </c>
      <c r="E4463">
        <v>274</v>
      </c>
      <c r="F4463">
        <v>5</v>
      </c>
      <c r="G4463">
        <v>5</v>
      </c>
      <c r="H4463">
        <v>1</v>
      </c>
      <c r="I4463">
        <v>1</v>
      </c>
      <c r="J4463">
        <v>0.79120879120879095</v>
      </c>
      <c r="K4463">
        <v>0.94319419237749602</v>
      </c>
      <c r="L4463">
        <v>0.86054226599988304</v>
      </c>
      <c r="M4463">
        <v>0.51724137931034497</v>
      </c>
      <c r="N4463">
        <v>1</v>
      </c>
      <c r="O4463">
        <v>0.67241379310344795</v>
      </c>
      <c r="P4463" t="s">
        <v>3512</v>
      </c>
      <c r="Q4463" t="s">
        <v>3513</v>
      </c>
      <c r="AF4463" t="s">
        <v>3516</v>
      </c>
    </row>
    <row r="4464" spans="1:32" hidden="1" x14ac:dyDescent="0.35">
      <c r="A4464">
        <v>1678</v>
      </c>
      <c r="B4464" t="s">
        <v>3511</v>
      </c>
      <c r="C4464" t="s">
        <v>72</v>
      </c>
      <c r="D4464" t="s">
        <v>45</v>
      </c>
      <c r="E4464">
        <v>1536</v>
      </c>
      <c r="F4464">
        <v>5</v>
      </c>
      <c r="G4464">
        <v>5</v>
      </c>
      <c r="H4464">
        <v>1</v>
      </c>
      <c r="I4464">
        <v>1</v>
      </c>
      <c r="J4464">
        <v>0.79120879120879095</v>
      </c>
      <c r="K4464">
        <v>0.94319419237749602</v>
      </c>
      <c r="L4464">
        <v>0.86054226599988304</v>
      </c>
      <c r="M4464">
        <v>0.51724137931034497</v>
      </c>
      <c r="N4464">
        <v>1</v>
      </c>
      <c r="O4464">
        <v>0.67241379310344795</v>
      </c>
      <c r="P4464" t="s">
        <v>3512</v>
      </c>
      <c r="Q4464" t="s">
        <v>3513</v>
      </c>
      <c r="AF4464" t="s">
        <v>3516</v>
      </c>
    </row>
    <row r="4465" spans="1:32" hidden="1" x14ac:dyDescent="0.35">
      <c r="A4465">
        <v>1734</v>
      </c>
      <c r="B4465" t="s">
        <v>3621</v>
      </c>
      <c r="C4465" t="s">
        <v>72</v>
      </c>
      <c r="D4465" t="s">
        <v>58</v>
      </c>
      <c r="E4465">
        <v>1000</v>
      </c>
      <c r="F4465">
        <v>5</v>
      </c>
      <c r="G4465">
        <v>5</v>
      </c>
      <c r="H4465">
        <v>1</v>
      </c>
      <c r="I4465">
        <v>1</v>
      </c>
      <c r="J4465">
        <v>0.79254783484390701</v>
      </c>
      <c r="K4465">
        <v>0.95785723887619401</v>
      </c>
      <c r="L4465">
        <v>0.86739657255161995</v>
      </c>
      <c r="M4465">
        <v>0.56647398843930596</v>
      </c>
      <c r="N4465">
        <v>1</v>
      </c>
      <c r="O4465">
        <v>0.70173410404624303</v>
      </c>
      <c r="P4465" t="s">
        <v>3622</v>
      </c>
      <c r="Q4465" t="s">
        <v>3623</v>
      </c>
      <c r="AF4465" t="s">
        <v>3624</v>
      </c>
    </row>
    <row r="4466" spans="1:32" hidden="1" x14ac:dyDescent="0.35">
      <c r="A4466">
        <v>1735</v>
      </c>
      <c r="B4466" t="s">
        <v>3621</v>
      </c>
      <c r="C4466" t="s">
        <v>72</v>
      </c>
      <c r="D4466" t="s">
        <v>60</v>
      </c>
      <c r="E4466">
        <v>1211</v>
      </c>
      <c r="F4466">
        <v>5</v>
      </c>
      <c r="G4466">
        <v>5</v>
      </c>
      <c r="H4466">
        <v>1</v>
      </c>
      <c r="I4466">
        <v>1</v>
      </c>
      <c r="J4466">
        <v>0.79254783484390701</v>
      </c>
      <c r="K4466">
        <v>0.95785723887619401</v>
      </c>
      <c r="L4466">
        <v>0.86739657255161995</v>
      </c>
      <c r="M4466">
        <v>0.56647398843930596</v>
      </c>
      <c r="N4466">
        <v>1</v>
      </c>
      <c r="O4466">
        <v>0.70173410404624303</v>
      </c>
      <c r="P4466" t="s">
        <v>3622</v>
      </c>
      <c r="Q4466" t="s">
        <v>3623</v>
      </c>
      <c r="AF4466" t="s">
        <v>3625</v>
      </c>
    </row>
    <row r="4467" spans="1:32" hidden="1" x14ac:dyDescent="0.35">
      <c r="A4467">
        <v>1736</v>
      </c>
      <c r="B4467" t="s">
        <v>3621</v>
      </c>
      <c r="C4467" t="s">
        <v>72</v>
      </c>
      <c r="D4467" t="s">
        <v>62</v>
      </c>
      <c r="E4467">
        <v>1248</v>
      </c>
      <c r="F4467">
        <v>5</v>
      </c>
      <c r="G4467">
        <v>5</v>
      </c>
      <c r="H4467">
        <v>1</v>
      </c>
      <c r="I4467">
        <v>1</v>
      </c>
      <c r="J4467">
        <v>0.79254783484390701</v>
      </c>
      <c r="K4467">
        <v>0.95785723887619401</v>
      </c>
      <c r="L4467">
        <v>0.86739657255161995</v>
      </c>
      <c r="M4467">
        <v>0.56647398843930596</v>
      </c>
      <c r="N4467">
        <v>1</v>
      </c>
      <c r="O4467">
        <v>0.70173410404624303</v>
      </c>
      <c r="P4467" t="s">
        <v>3622</v>
      </c>
      <c r="Q4467" t="s">
        <v>3623</v>
      </c>
      <c r="AF4467" t="s">
        <v>3625</v>
      </c>
    </row>
    <row r="4468" spans="1:32" hidden="1" x14ac:dyDescent="0.35">
      <c r="A4468">
        <v>1737</v>
      </c>
      <c r="B4468" t="s">
        <v>3621</v>
      </c>
      <c r="C4468" t="s">
        <v>72</v>
      </c>
      <c r="D4468" t="s">
        <v>34</v>
      </c>
      <c r="E4468">
        <v>1792</v>
      </c>
      <c r="F4468">
        <v>5</v>
      </c>
      <c r="G4468">
        <v>5</v>
      </c>
      <c r="H4468">
        <v>1</v>
      </c>
      <c r="I4468">
        <v>1</v>
      </c>
      <c r="J4468">
        <v>0.79254783484390701</v>
      </c>
      <c r="K4468">
        <v>0.95785723887619401</v>
      </c>
      <c r="L4468">
        <v>0.86739657255161995</v>
      </c>
      <c r="M4468">
        <v>0.56647398843930596</v>
      </c>
      <c r="N4468">
        <v>1</v>
      </c>
      <c r="O4468">
        <v>0.70173410404624303</v>
      </c>
      <c r="P4468" t="s">
        <v>3622</v>
      </c>
      <c r="Q4468" t="s">
        <v>3623</v>
      </c>
      <c r="AF4468" t="s">
        <v>3626</v>
      </c>
    </row>
    <row r="4469" spans="1:32" hidden="1" x14ac:dyDescent="0.35">
      <c r="A4469">
        <v>1738</v>
      </c>
      <c r="B4469" t="s">
        <v>3621</v>
      </c>
      <c r="C4469" t="s">
        <v>72</v>
      </c>
      <c r="D4469" t="s">
        <v>45</v>
      </c>
      <c r="E4469">
        <v>1081</v>
      </c>
      <c r="F4469">
        <v>5</v>
      </c>
      <c r="G4469">
        <v>5</v>
      </c>
      <c r="H4469">
        <v>1</v>
      </c>
      <c r="I4469">
        <v>1</v>
      </c>
      <c r="J4469">
        <v>0.79254783484390701</v>
      </c>
      <c r="K4469">
        <v>0.95785723887619401</v>
      </c>
      <c r="L4469">
        <v>0.86739657255161995</v>
      </c>
      <c r="M4469">
        <v>0.56647398843930596</v>
      </c>
      <c r="N4469">
        <v>1</v>
      </c>
      <c r="O4469">
        <v>0.70173410404624303</v>
      </c>
      <c r="P4469" t="s">
        <v>3622</v>
      </c>
      <c r="Q4469" t="s">
        <v>3623</v>
      </c>
      <c r="AF4469" t="s">
        <v>3626</v>
      </c>
    </row>
    <row r="4470" spans="1:32" hidden="1" x14ac:dyDescent="0.35">
      <c r="A4470">
        <v>1744</v>
      </c>
      <c r="B4470" t="s">
        <v>3631</v>
      </c>
      <c r="C4470" t="s">
        <v>72</v>
      </c>
      <c r="D4470" t="s">
        <v>58</v>
      </c>
      <c r="E4470">
        <v>126</v>
      </c>
      <c r="F4470">
        <v>5</v>
      </c>
      <c r="G4470">
        <v>5</v>
      </c>
      <c r="H4470">
        <v>1</v>
      </c>
      <c r="I4470">
        <v>1</v>
      </c>
      <c r="J4470">
        <v>0.68066355624676</v>
      </c>
      <c r="K4470">
        <v>0.72725211296639902</v>
      </c>
      <c r="L4470">
        <v>0.70318701655806903</v>
      </c>
      <c r="M4470">
        <v>0.28282828282828298</v>
      </c>
      <c r="N4470">
        <v>1</v>
      </c>
      <c r="O4470">
        <v>0.51313131313131299</v>
      </c>
      <c r="P4470" t="s">
        <v>3632</v>
      </c>
      <c r="Q4470" t="s">
        <v>3633</v>
      </c>
      <c r="AF4470" t="e">
        <f>----MNINEHTSTTGFPNNDPIAPGAPQNKQRSAGSTTGQRGGVWRSWHEEADGMTTIEYAMGSLAAAALAAALYAVVSGGKISKALTDIVMQALNSVS</f>
        <v>#NAME?</v>
      </c>
    </row>
    <row r="4471" spans="1:32" hidden="1" x14ac:dyDescent="0.35">
      <c r="A4471">
        <v>1745</v>
      </c>
      <c r="B4471" t="s">
        <v>3631</v>
      </c>
      <c r="C4471" t="s">
        <v>72</v>
      </c>
      <c r="D4471" t="s">
        <v>60</v>
      </c>
      <c r="E4471">
        <v>221</v>
      </c>
      <c r="F4471">
        <v>5</v>
      </c>
      <c r="G4471">
        <v>5</v>
      </c>
      <c r="H4471">
        <v>1</v>
      </c>
      <c r="I4471">
        <v>1</v>
      </c>
      <c r="J4471">
        <v>0.68066355624676</v>
      </c>
      <c r="K4471">
        <v>0.72725211296639902</v>
      </c>
      <c r="L4471">
        <v>0.70318701655806903</v>
      </c>
      <c r="M4471">
        <v>0.28282828282828298</v>
      </c>
      <c r="N4471">
        <v>1</v>
      </c>
      <c r="O4471">
        <v>0.51313131313131299</v>
      </c>
      <c r="P4471" t="s">
        <v>3632</v>
      </c>
      <c r="Q4471" t="s">
        <v>3633</v>
      </c>
      <c r="T4471" t="s">
        <v>3634</v>
      </c>
      <c r="U4471" t="s">
        <v>3635</v>
      </c>
      <c r="AD4471" t="s">
        <v>3636</v>
      </c>
      <c r="AE4471" t="s">
        <v>3637</v>
      </c>
      <c r="AF4471" t="s">
        <v>3638</v>
      </c>
    </row>
    <row r="4472" spans="1:32" hidden="1" x14ac:dyDescent="0.35">
      <c r="A4472">
        <v>1746</v>
      </c>
      <c r="B4472" t="s">
        <v>3631</v>
      </c>
      <c r="C4472" t="s">
        <v>72</v>
      </c>
      <c r="D4472" t="s">
        <v>62</v>
      </c>
      <c r="E4472">
        <v>298</v>
      </c>
      <c r="F4472">
        <v>5</v>
      </c>
      <c r="G4472">
        <v>5</v>
      </c>
      <c r="H4472">
        <v>1</v>
      </c>
      <c r="I4472">
        <v>1</v>
      </c>
      <c r="J4472">
        <v>0.68066355624676</v>
      </c>
      <c r="K4472">
        <v>0.72725211296639902</v>
      </c>
      <c r="L4472">
        <v>0.70318701655806903</v>
      </c>
      <c r="M4472">
        <v>0.28282828282828298</v>
      </c>
      <c r="N4472">
        <v>1</v>
      </c>
      <c r="O4472">
        <v>0.51313131313131299</v>
      </c>
      <c r="P4472" t="s">
        <v>3632</v>
      </c>
      <c r="Q4472" t="s">
        <v>3633</v>
      </c>
      <c r="T4472" t="s">
        <v>3634</v>
      </c>
      <c r="U4472" t="s">
        <v>3635</v>
      </c>
      <c r="AD4472" t="s">
        <v>3636</v>
      </c>
      <c r="AE4472" t="s">
        <v>3637</v>
      </c>
      <c r="AF4472" t="s">
        <v>3638</v>
      </c>
    </row>
    <row r="4473" spans="1:32" hidden="1" x14ac:dyDescent="0.35">
      <c r="A4473">
        <v>1747</v>
      </c>
      <c r="B4473" t="s">
        <v>3631</v>
      </c>
      <c r="C4473" t="s">
        <v>72</v>
      </c>
      <c r="D4473" t="s">
        <v>34</v>
      </c>
      <c r="E4473">
        <v>1244</v>
      </c>
      <c r="F4473">
        <v>5</v>
      </c>
      <c r="G4473">
        <v>5</v>
      </c>
      <c r="H4473">
        <v>1</v>
      </c>
      <c r="I4473">
        <v>1</v>
      </c>
      <c r="J4473">
        <v>0.68066355624676</v>
      </c>
      <c r="K4473">
        <v>0.72725211296639902</v>
      </c>
      <c r="L4473">
        <v>0.70318701655806903</v>
      </c>
      <c r="M4473">
        <v>0.28282828282828298</v>
      </c>
      <c r="N4473">
        <v>1</v>
      </c>
      <c r="O4473">
        <v>0.51313131313131299</v>
      </c>
      <c r="P4473" t="s">
        <v>3632</v>
      </c>
      <c r="Q4473" t="s">
        <v>3633</v>
      </c>
      <c r="T4473" t="s">
        <v>3634</v>
      </c>
      <c r="U4473" t="s">
        <v>3635</v>
      </c>
      <c r="AD4473" t="s">
        <v>3636</v>
      </c>
      <c r="AE4473" t="s">
        <v>3637</v>
      </c>
      <c r="AF4473" t="s">
        <v>3639</v>
      </c>
    </row>
    <row r="4474" spans="1:32" hidden="1" x14ac:dyDescent="0.35">
      <c r="A4474">
        <v>1748</v>
      </c>
      <c r="B4474" t="s">
        <v>3631</v>
      </c>
      <c r="C4474" t="s">
        <v>72</v>
      </c>
      <c r="D4474" t="s">
        <v>45</v>
      </c>
      <c r="E4474">
        <v>2488</v>
      </c>
      <c r="F4474">
        <v>5</v>
      </c>
      <c r="G4474">
        <v>5</v>
      </c>
      <c r="H4474">
        <v>1</v>
      </c>
      <c r="I4474">
        <v>1</v>
      </c>
      <c r="J4474">
        <v>0.68066355624676</v>
      </c>
      <c r="K4474">
        <v>0.72725211296639902</v>
      </c>
      <c r="L4474">
        <v>0.70318701655806903</v>
      </c>
      <c r="M4474">
        <v>0.28282828282828298</v>
      </c>
      <c r="N4474">
        <v>1</v>
      </c>
      <c r="O4474">
        <v>0.51313131313131299</v>
      </c>
      <c r="P4474" t="s">
        <v>3632</v>
      </c>
      <c r="Q4474" t="s">
        <v>3633</v>
      </c>
      <c r="T4474" t="s">
        <v>3634</v>
      </c>
      <c r="U4474" t="s">
        <v>3635</v>
      </c>
      <c r="AD4474" t="s">
        <v>3636</v>
      </c>
      <c r="AE4474" t="s">
        <v>3637</v>
      </c>
      <c r="AF4474" t="s">
        <v>3640</v>
      </c>
    </row>
    <row r="4475" spans="1:32" hidden="1" x14ac:dyDescent="0.35">
      <c r="A4475">
        <v>1814</v>
      </c>
      <c r="B4475" t="s">
        <v>3767</v>
      </c>
      <c r="C4475" t="s">
        <v>72</v>
      </c>
      <c r="D4475" t="s">
        <v>58</v>
      </c>
      <c r="E4475">
        <v>160</v>
      </c>
      <c r="F4475">
        <v>5</v>
      </c>
      <c r="G4475">
        <v>5</v>
      </c>
      <c r="H4475">
        <v>1</v>
      </c>
      <c r="I4475">
        <v>1</v>
      </c>
      <c r="J4475">
        <v>0.78809085328422301</v>
      </c>
      <c r="K4475">
        <v>0.92053252404947605</v>
      </c>
      <c r="L4475">
        <v>0.84917866860292501</v>
      </c>
      <c r="M4475">
        <v>0.61486486486486502</v>
      </c>
      <c r="N4475">
        <v>1</v>
      </c>
      <c r="O4475">
        <v>0.70135135135135096</v>
      </c>
      <c r="AF4475" t="s">
        <v>3768</v>
      </c>
    </row>
    <row r="4476" spans="1:32" hidden="1" x14ac:dyDescent="0.35">
      <c r="A4476">
        <v>1815</v>
      </c>
      <c r="B4476" t="s">
        <v>3767</v>
      </c>
      <c r="C4476" t="s">
        <v>72</v>
      </c>
      <c r="D4476" t="s">
        <v>60</v>
      </c>
      <c r="E4476">
        <v>272</v>
      </c>
      <c r="F4476">
        <v>5</v>
      </c>
      <c r="G4476">
        <v>5</v>
      </c>
      <c r="H4476">
        <v>1</v>
      </c>
      <c r="I4476">
        <v>1</v>
      </c>
      <c r="J4476">
        <v>0.78809085328422301</v>
      </c>
      <c r="K4476">
        <v>0.92053252404947605</v>
      </c>
      <c r="L4476">
        <v>0.84917866860292501</v>
      </c>
      <c r="M4476">
        <v>0.61486486486486502</v>
      </c>
      <c r="N4476">
        <v>1</v>
      </c>
      <c r="O4476">
        <v>0.70135135135135096</v>
      </c>
      <c r="AF4476" t="s">
        <v>3769</v>
      </c>
    </row>
    <row r="4477" spans="1:32" hidden="1" x14ac:dyDescent="0.35">
      <c r="A4477">
        <v>1816</v>
      </c>
      <c r="B4477" t="s">
        <v>3767</v>
      </c>
      <c r="C4477" t="s">
        <v>72</v>
      </c>
      <c r="D4477" t="s">
        <v>62</v>
      </c>
      <c r="E4477">
        <v>350</v>
      </c>
      <c r="F4477">
        <v>5</v>
      </c>
      <c r="G4477">
        <v>5</v>
      </c>
      <c r="H4477">
        <v>1</v>
      </c>
      <c r="I4477">
        <v>1</v>
      </c>
      <c r="J4477">
        <v>0.78809085328422301</v>
      </c>
      <c r="K4477">
        <v>0.92053252404947605</v>
      </c>
      <c r="L4477">
        <v>0.84917866860292501</v>
      </c>
      <c r="M4477">
        <v>0.61486486486486502</v>
      </c>
      <c r="N4477">
        <v>1</v>
      </c>
      <c r="O4477">
        <v>0.70135135135135096</v>
      </c>
      <c r="AF4477" t="s">
        <v>3769</v>
      </c>
    </row>
    <row r="4478" spans="1:32" hidden="1" x14ac:dyDescent="0.35">
      <c r="A4478">
        <v>1817</v>
      </c>
      <c r="B4478" t="s">
        <v>3767</v>
      </c>
      <c r="C4478" t="s">
        <v>72</v>
      </c>
      <c r="D4478" t="s">
        <v>34</v>
      </c>
      <c r="E4478">
        <v>866</v>
      </c>
      <c r="F4478">
        <v>5</v>
      </c>
      <c r="G4478">
        <v>5</v>
      </c>
      <c r="H4478">
        <v>1</v>
      </c>
      <c r="I4478">
        <v>1</v>
      </c>
      <c r="J4478">
        <v>0.78809085328422301</v>
      </c>
      <c r="K4478">
        <v>0.92053252404947605</v>
      </c>
      <c r="L4478">
        <v>0.84917866860292501</v>
      </c>
      <c r="M4478">
        <v>0.61486486486486502</v>
      </c>
      <c r="N4478">
        <v>1</v>
      </c>
      <c r="O4478">
        <v>0.70135135135135096</v>
      </c>
      <c r="AF4478" t="s">
        <v>3770</v>
      </c>
    </row>
    <row r="4479" spans="1:32" hidden="1" x14ac:dyDescent="0.35">
      <c r="A4479">
        <v>1818</v>
      </c>
      <c r="B4479" t="s">
        <v>3767</v>
      </c>
      <c r="C4479" t="s">
        <v>72</v>
      </c>
      <c r="D4479" t="s">
        <v>45</v>
      </c>
      <c r="E4479">
        <v>2123</v>
      </c>
      <c r="F4479">
        <v>5</v>
      </c>
      <c r="G4479">
        <v>5</v>
      </c>
      <c r="H4479">
        <v>1</v>
      </c>
      <c r="I4479">
        <v>1</v>
      </c>
      <c r="J4479">
        <v>0.78809085328422301</v>
      </c>
      <c r="K4479">
        <v>0.92053252404947605</v>
      </c>
      <c r="L4479">
        <v>0.84917866860292501</v>
      </c>
      <c r="M4479">
        <v>0.61486486486486502</v>
      </c>
      <c r="N4479">
        <v>1</v>
      </c>
      <c r="O4479">
        <v>0.70135135135135096</v>
      </c>
      <c r="AF4479" t="s">
        <v>3770</v>
      </c>
    </row>
    <row r="4480" spans="1:32" hidden="1" x14ac:dyDescent="0.35">
      <c r="A4480">
        <v>1829</v>
      </c>
      <c r="B4480" t="s">
        <v>3793</v>
      </c>
      <c r="C4480" t="s">
        <v>72</v>
      </c>
      <c r="D4480" t="s">
        <v>58</v>
      </c>
      <c r="E4480">
        <v>1072</v>
      </c>
      <c r="F4480">
        <v>5</v>
      </c>
      <c r="G4480">
        <v>5</v>
      </c>
      <c r="H4480">
        <v>1</v>
      </c>
      <c r="I4480">
        <v>1</v>
      </c>
      <c r="J4480">
        <v>0.82266477003319105</v>
      </c>
      <c r="K4480">
        <v>0.77310050251256401</v>
      </c>
      <c r="L4480">
        <v>0.79711290633291698</v>
      </c>
      <c r="M4480">
        <v>0.32</v>
      </c>
      <c r="N4480">
        <v>1</v>
      </c>
      <c r="O4480">
        <v>0.57999999999999996</v>
      </c>
      <c r="P4480" t="s">
        <v>3794</v>
      </c>
      <c r="Q4480" t="s">
        <v>3795</v>
      </c>
      <c r="AF4480" t="s">
        <v>3796</v>
      </c>
    </row>
    <row r="4481" spans="1:32" hidden="1" x14ac:dyDescent="0.35">
      <c r="A4481">
        <v>1830</v>
      </c>
      <c r="B4481" t="s">
        <v>3793</v>
      </c>
      <c r="C4481" t="s">
        <v>72</v>
      </c>
      <c r="D4481" t="s">
        <v>60</v>
      </c>
      <c r="E4481">
        <v>1447</v>
      </c>
      <c r="F4481">
        <v>5</v>
      </c>
      <c r="G4481">
        <v>5</v>
      </c>
      <c r="H4481">
        <v>1</v>
      </c>
      <c r="I4481">
        <v>1</v>
      </c>
      <c r="J4481">
        <v>0.82266477003319105</v>
      </c>
      <c r="K4481">
        <v>0.77310050251256401</v>
      </c>
      <c r="L4481">
        <v>0.79711290633291698</v>
      </c>
      <c r="M4481">
        <v>0.32</v>
      </c>
      <c r="N4481">
        <v>1</v>
      </c>
      <c r="O4481">
        <v>0.57999999999999996</v>
      </c>
      <c r="P4481" t="s">
        <v>3794</v>
      </c>
      <c r="Q4481" t="s">
        <v>3795</v>
      </c>
      <c r="AF4481" t="s">
        <v>3797</v>
      </c>
    </row>
    <row r="4482" spans="1:32" hidden="1" x14ac:dyDescent="0.35">
      <c r="A4482">
        <v>1831</v>
      </c>
      <c r="B4482" t="s">
        <v>3793</v>
      </c>
      <c r="C4482" t="s">
        <v>72</v>
      </c>
      <c r="D4482" t="s">
        <v>62</v>
      </c>
      <c r="E4482">
        <v>1482</v>
      </c>
      <c r="F4482">
        <v>5</v>
      </c>
      <c r="G4482">
        <v>5</v>
      </c>
      <c r="H4482">
        <v>1</v>
      </c>
      <c r="I4482">
        <v>1</v>
      </c>
      <c r="J4482">
        <v>0.82266477003319105</v>
      </c>
      <c r="K4482">
        <v>0.77310050251256401</v>
      </c>
      <c r="L4482">
        <v>0.79711290633291698</v>
      </c>
      <c r="M4482">
        <v>0.32</v>
      </c>
      <c r="N4482">
        <v>1</v>
      </c>
      <c r="O4482">
        <v>0.57999999999999996</v>
      </c>
      <c r="P4482" t="s">
        <v>3794</v>
      </c>
      <c r="Q4482" t="s">
        <v>3795</v>
      </c>
      <c r="AF4482" t="s">
        <v>3797</v>
      </c>
    </row>
    <row r="4483" spans="1:32" hidden="1" x14ac:dyDescent="0.35">
      <c r="A4483">
        <v>1832</v>
      </c>
      <c r="B4483" t="s">
        <v>3793</v>
      </c>
      <c r="C4483" t="s">
        <v>72</v>
      </c>
      <c r="D4483" t="s">
        <v>34</v>
      </c>
      <c r="E4483">
        <v>1877</v>
      </c>
      <c r="F4483">
        <v>5</v>
      </c>
      <c r="G4483">
        <v>5</v>
      </c>
      <c r="H4483">
        <v>1</v>
      </c>
      <c r="I4483">
        <v>1</v>
      </c>
      <c r="J4483">
        <v>0.82266477003319105</v>
      </c>
      <c r="K4483">
        <v>0.77310050251256401</v>
      </c>
      <c r="L4483">
        <v>0.79711290633291698</v>
      </c>
      <c r="M4483">
        <v>0.32</v>
      </c>
      <c r="N4483">
        <v>1</v>
      </c>
      <c r="O4483">
        <v>0.57999999999999996</v>
      </c>
      <c r="P4483" t="s">
        <v>3794</v>
      </c>
      <c r="Q4483" t="s">
        <v>3795</v>
      </c>
      <c r="AF4483" t="s">
        <v>3798</v>
      </c>
    </row>
    <row r="4484" spans="1:32" hidden="1" x14ac:dyDescent="0.35">
      <c r="A4484">
        <v>1833</v>
      </c>
      <c r="B4484" t="s">
        <v>3793</v>
      </c>
      <c r="C4484" t="s">
        <v>72</v>
      </c>
      <c r="D4484" t="s">
        <v>45</v>
      </c>
      <c r="E4484">
        <v>996</v>
      </c>
      <c r="F4484">
        <v>5</v>
      </c>
      <c r="G4484">
        <v>5</v>
      </c>
      <c r="H4484">
        <v>1</v>
      </c>
      <c r="I4484">
        <v>1</v>
      </c>
      <c r="J4484">
        <v>0.82266477003319105</v>
      </c>
      <c r="K4484">
        <v>0.77310050251256401</v>
      </c>
      <c r="L4484">
        <v>0.79711290633291698</v>
      </c>
      <c r="M4484">
        <v>0.32</v>
      </c>
      <c r="N4484">
        <v>1</v>
      </c>
      <c r="O4484">
        <v>0.57999999999999996</v>
      </c>
      <c r="P4484" t="s">
        <v>3794</v>
      </c>
      <c r="Q4484" t="s">
        <v>3795</v>
      </c>
      <c r="AF4484" t="s">
        <v>3798</v>
      </c>
    </row>
    <row r="4485" spans="1:32" hidden="1" x14ac:dyDescent="0.35">
      <c r="A4485">
        <v>1854</v>
      </c>
      <c r="B4485" t="s">
        <v>3842</v>
      </c>
      <c r="C4485" t="s">
        <v>72</v>
      </c>
      <c r="D4485" t="s">
        <v>58</v>
      </c>
      <c r="E4485">
        <v>1067</v>
      </c>
      <c r="F4485">
        <v>5</v>
      </c>
      <c r="G4485">
        <v>5</v>
      </c>
      <c r="H4485">
        <v>1</v>
      </c>
      <c r="I4485">
        <v>1</v>
      </c>
      <c r="J4485">
        <v>0.75837104072398198</v>
      </c>
      <c r="K4485">
        <v>0.86931541828793701</v>
      </c>
      <c r="L4485">
        <v>0.81006220188700195</v>
      </c>
      <c r="M4485">
        <v>0.51361867704280195</v>
      </c>
      <c r="N4485">
        <v>1</v>
      </c>
      <c r="O4485">
        <v>0.63190661478599197</v>
      </c>
      <c r="P4485" t="s">
        <v>3843</v>
      </c>
      <c r="Q4485" t="s">
        <v>3844</v>
      </c>
      <c r="AF4485" t="e">
        <f>-----------------------------------------MSELRTSSAAASASGSGSADG-LPKLFADAVESMHSVSLRTEITLGTIRPPQRLAPFSHAVGLEIEHPELDASSSMIPTHTDGDAFGRLILLHDPQGEETWDGDLRLVAYIQADMDASVAGDPLLPEVAWEWLSEGLDTHDAGYNNLGGTVTATASSRFGDIGGPPKAYQIELRASWTAADENLGPHVEAFAAVLANVAGLPPEGVATLGNGSSHA</f>
        <v>#NAME?</v>
      </c>
    </row>
    <row r="4486" spans="1:32" hidden="1" x14ac:dyDescent="0.35">
      <c r="A4486">
        <v>1855</v>
      </c>
      <c r="B4486" t="s">
        <v>3842</v>
      </c>
      <c r="C4486" t="s">
        <v>72</v>
      </c>
      <c r="D4486" t="s">
        <v>60</v>
      </c>
      <c r="E4486">
        <v>1439</v>
      </c>
      <c r="F4486">
        <v>5</v>
      </c>
      <c r="G4486">
        <v>5</v>
      </c>
      <c r="H4486">
        <v>1</v>
      </c>
      <c r="I4486">
        <v>1</v>
      </c>
      <c r="J4486">
        <v>0.75837104072398198</v>
      </c>
      <c r="K4486">
        <v>0.86931541828793701</v>
      </c>
      <c r="L4486">
        <v>0.81006220188700195</v>
      </c>
      <c r="M4486">
        <v>0.51361867704280195</v>
      </c>
      <c r="N4486">
        <v>1</v>
      </c>
      <c r="O4486">
        <v>0.63190661478599197</v>
      </c>
      <c r="P4486" t="s">
        <v>3843</v>
      </c>
      <c r="Q4486" t="s">
        <v>3844</v>
      </c>
      <c r="AF4486" t="s">
        <v>3845</v>
      </c>
    </row>
    <row r="4487" spans="1:32" hidden="1" x14ac:dyDescent="0.35">
      <c r="A4487">
        <v>1856</v>
      </c>
      <c r="B4487" t="s">
        <v>3842</v>
      </c>
      <c r="C4487" t="s">
        <v>72</v>
      </c>
      <c r="D4487" t="s">
        <v>62</v>
      </c>
      <c r="E4487">
        <v>1474</v>
      </c>
      <c r="F4487">
        <v>5</v>
      </c>
      <c r="G4487">
        <v>5</v>
      </c>
      <c r="H4487">
        <v>1</v>
      </c>
      <c r="I4487">
        <v>1</v>
      </c>
      <c r="J4487">
        <v>0.75837104072398198</v>
      </c>
      <c r="K4487">
        <v>0.86931541828793701</v>
      </c>
      <c r="L4487">
        <v>0.81006220188700195</v>
      </c>
      <c r="M4487">
        <v>0.51361867704280195</v>
      </c>
      <c r="N4487">
        <v>1</v>
      </c>
      <c r="O4487">
        <v>0.63190661478599197</v>
      </c>
      <c r="P4487" t="s">
        <v>3843</v>
      </c>
      <c r="Q4487" t="s">
        <v>3844</v>
      </c>
      <c r="AF4487" t="s">
        <v>3845</v>
      </c>
    </row>
    <row r="4488" spans="1:32" hidden="1" x14ac:dyDescent="0.35">
      <c r="A4488">
        <v>1857</v>
      </c>
      <c r="B4488" t="s">
        <v>3842</v>
      </c>
      <c r="C4488" t="s">
        <v>72</v>
      </c>
      <c r="D4488" t="s">
        <v>34</v>
      </c>
      <c r="E4488">
        <v>1866</v>
      </c>
      <c r="F4488">
        <v>5</v>
      </c>
      <c r="G4488">
        <v>5</v>
      </c>
      <c r="H4488">
        <v>1</v>
      </c>
      <c r="I4488">
        <v>1</v>
      </c>
      <c r="J4488">
        <v>0.75837104072398198</v>
      </c>
      <c r="K4488">
        <v>0.86931541828793701</v>
      </c>
      <c r="L4488">
        <v>0.81006220188700195</v>
      </c>
      <c r="M4488">
        <v>0.51361867704280195</v>
      </c>
      <c r="N4488">
        <v>1</v>
      </c>
      <c r="O4488">
        <v>0.63190661478599197</v>
      </c>
      <c r="P4488" t="s">
        <v>3843</v>
      </c>
      <c r="Q4488" t="s">
        <v>3844</v>
      </c>
      <c r="AF4488" t="s">
        <v>3846</v>
      </c>
    </row>
    <row r="4489" spans="1:32" hidden="1" x14ac:dyDescent="0.35">
      <c r="A4489">
        <v>1858</v>
      </c>
      <c r="B4489" t="s">
        <v>3842</v>
      </c>
      <c r="C4489" t="s">
        <v>72</v>
      </c>
      <c r="D4489" t="s">
        <v>45</v>
      </c>
      <c r="E4489">
        <v>1007</v>
      </c>
      <c r="F4489">
        <v>5</v>
      </c>
      <c r="G4489">
        <v>5</v>
      </c>
      <c r="H4489">
        <v>1</v>
      </c>
      <c r="I4489">
        <v>1</v>
      </c>
      <c r="J4489">
        <v>0.75837104072398198</v>
      </c>
      <c r="K4489">
        <v>0.86931541828793701</v>
      </c>
      <c r="L4489">
        <v>0.81006220188700195</v>
      </c>
      <c r="M4489">
        <v>0.51361867704280195</v>
      </c>
      <c r="N4489">
        <v>1</v>
      </c>
      <c r="O4489">
        <v>0.63190661478599197</v>
      </c>
      <c r="P4489" t="s">
        <v>3843</v>
      </c>
      <c r="Q4489" t="s">
        <v>3844</v>
      </c>
      <c r="AF4489" t="s">
        <v>3847</v>
      </c>
    </row>
    <row r="4490" spans="1:32" hidden="1" x14ac:dyDescent="0.35">
      <c r="A4490">
        <v>1934</v>
      </c>
      <c r="B4490" t="s">
        <v>4011</v>
      </c>
      <c r="C4490" t="s">
        <v>72</v>
      </c>
      <c r="D4490" t="s">
        <v>58</v>
      </c>
      <c r="E4490">
        <v>733</v>
      </c>
      <c r="F4490">
        <v>5</v>
      </c>
      <c r="G4490">
        <v>5</v>
      </c>
      <c r="H4490">
        <v>1</v>
      </c>
      <c r="I4490">
        <v>1</v>
      </c>
      <c r="J4490">
        <v>0.75958799035722102</v>
      </c>
      <c r="K4490">
        <v>0.88873504503293299</v>
      </c>
      <c r="L4490">
        <v>0.81910214481327304</v>
      </c>
      <c r="M4490">
        <v>0.50867052023121395</v>
      </c>
      <c r="N4490">
        <v>1</v>
      </c>
      <c r="O4490">
        <v>0.61907514450867096</v>
      </c>
      <c r="P4490" t="s">
        <v>4012</v>
      </c>
      <c r="Q4490" t="s">
        <v>4013</v>
      </c>
      <c r="AF4490" t="s">
        <v>4014</v>
      </c>
    </row>
    <row r="4491" spans="1:32" hidden="1" x14ac:dyDescent="0.35">
      <c r="A4491">
        <v>1935</v>
      </c>
      <c r="B4491" t="s">
        <v>4011</v>
      </c>
      <c r="C4491" t="s">
        <v>72</v>
      </c>
      <c r="D4491" t="s">
        <v>60</v>
      </c>
      <c r="E4491">
        <v>950</v>
      </c>
      <c r="F4491">
        <v>5</v>
      </c>
      <c r="G4491">
        <v>5</v>
      </c>
      <c r="H4491">
        <v>1</v>
      </c>
      <c r="I4491">
        <v>1</v>
      </c>
      <c r="J4491">
        <v>0.75958799035722102</v>
      </c>
      <c r="K4491">
        <v>0.88873504503293299</v>
      </c>
      <c r="L4491">
        <v>0.81910214481327304</v>
      </c>
      <c r="M4491">
        <v>0.50867052023121395</v>
      </c>
      <c r="N4491">
        <v>1</v>
      </c>
      <c r="O4491">
        <v>0.61907514450867096</v>
      </c>
      <c r="P4491" t="s">
        <v>4012</v>
      </c>
      <c r="Q4491" t="s">
        <v>4013</v>
      </c>
      <c r="AF4491" t="s">
        <v>4015</v>
      </c>
    </row>
    <row r="4492" spans="1:32" hidden="1" x14ac:dyDescent="0.35">
      <c r="A4492">
        <v>1936</v>
      </c>
      <c r="B4492" t="s">
        <v>4011</v>
      </c>
      <c r="C4492" t="s">
        <v>72</v>
      </c>
      <c r="D4492" t="s">
        <v>62</v>
      </c>
      <c r="E4492">
        <v>986</v>
      </c>
      <c r="F4492">
        <v>5</v>
      </c>
      <c r="G4492">
        <v>5</v>
      </c>
      <c r="H4492">
        <v>1</v>
      </c>
      <c r="I4492">
        <v>1</v>
      </c>
      <c r="J4492">
        <v>0.75958799035722102</v>
      </c>
      <c r="K4492">
        <v>0.88873504503293299</v>
      </c>
      <c r="L4492">
        <v>0.81910214481327304</v>
      </c>
      <c r="M4492">
        <v>0.50867052023121395</v>
      </c>
      <c r="N4492">
        <v>1</v>
      </c>
      <c r="O4492">
        <v>0.61907514450867096</v>
      </c>
      <c r="P4492" t="s">
        <v>4012</v>
      </c>
      <c r="Q4492" t="s">
        <v>4013</v>
      </c>
      <c r="AF4492" t="s">
        <v>4015</v>
      </c>
    </row>
    <row r="4493" spans="1:32" hidden="1" x14ac:dyDescent="0.35">
      <c r="A4493">
        <v>1937</v>
      </c>
      <c r="B4493" t="s">
        <v>4011</v>
      </c>
      <c r="C4493" t="s">
        <v>72</v>
      </c>
      <c r="D4493" t="s">
        <v>34</v>
      </c>
      <c r="E4493">
        <v>210</v>
      </c>
      <c r="F4493">
        <v>5</v>
      </c>
      <c r="G4493">
        <v>5</v>
      </c>
      <c r="H4493">
        <v>1</v>
      </c>
      <c r="I4493">
        <v>1</v>
      </c>
      <c r="J4493">
        <v>0.75958799035722102</v>
      </c>
      <c r="K4493">
        <v>0.88873504503293299</v>
      </c>
      <c r="L4493">
        <v>0.81910214481327304</v>
      </c>
      <c r="M4493">
        <v>0.50867052023121395</v>
      </c>
      <c r="N4493">
        <v>1</v>
      </c>
      <c r="O4493">
        <v>0.61907514450867096</v>
      </c>
      <c r="P4493" t="s">
        <v>4012</v>
      </c>
      <c r="Q4493" t="s">
        <v>4013</v>
      </c>
      <c r="AF4493" t="s">
        <v>4016</v>
      </c>
    </row>
    <row r="4494" spans="1:32" hidden="1" x14ac:dyDescent="0.35">
      <c r="A4494">
        <v>1938</v>
      </c>
      <c r="B4494" t="s">
        <v>4011</v>
      </c>
      <c r="C4494" t="s">
        <v>72</v>
      </c>
      <c r="D4494" t="s">
        <v>45</v>
      </c>
      <c r="E4494">
        <v>1473</v>
      </c>
      <c r="F4494">
        <v>5</v>
      </c>
      <c r="G4494">
        <v>5</v>
      </c>
      <c r="H4494">
        <v>1</v>
      </c>
      <c r="I4494">
        <v>1</v>
      </c>
      <c r="J4494">
        <v>0.75958799035722102</v>
      </c>
      <c r="K4494">
        <v>0.88873504503293299</v>
      </c>
      <c r="L4494">
        <v>0.81910214481327304</v>
      </c>
      <c r="M4494">
        <v>0.50867052023121395</v>
      </c>
      <c r="N4494">
        <v>1</v>
      </c>
      <c r="O4494">
        <v>0.61907514450867096</v>
      </c>
      <c r="P4494" t="s">
        <v>4012</v>
      </c>
      <c r="Q4494" t="s">
        <v>4013</v>
      </c>
      <c r="AF4494" t="s">
        <v>4017</v>
      </c>
    </row>
    <row r="4495" spans="1:32" hidden="1" x14ac:dyDescent="0.35">
      <c r="A4495">
        <v>1979</v>
      </c>
      <c r="B4495" t="s">
        <v>4109</v>
      </c>
      <c r="C4495" t="s">
        <v>72</v>
      </c>
      <c r="D4495" t="s">
        <v>58</v>
      </c>
      <c r="E4495">
        <v>767</v>
      </c>
      <c r="F4495">
        <v>5</v>
      </c>
      <c r="G4495">
        <v>5</v>
      </c>
      <c r="H4495">
        <v>1</v>
      </c>
      <c r="I4495">
        <v>1</v>
      </c>
      <c r="J4495">
        <v>0.75763097949886105</v>
      </c>
      <c r="K4495">
        <v>0.99322089675031</v>
      </c>
      <c r="L4495">
        <v>0.85957576545622505</v>
      </c>
      <c r="M4495">
        <v>0.54751131221719496</v>
      </c>
      <c r="N4495">
        <v>1</v>
      </c>
      <c r="O4495">
        <v>0.66063348416289602</v>
      </c>
      <c r="AF4495" t="s">
        <v>4110</v>
      </c>
    </row>
    <row r="4496" spans="1:32" hidden="1" x14ac:dyDescent="0.35">
      <c r="A4496">
        <v>1980</v>
      </c>
      <c r="B4496" t="s">
        <v>4109</v>
      </c>
      <c r="C4496" t="s">
        <v>72</v>
      </c>
      <c r="D4496" t="s">
        <v>60</v>
      </c>
      <c r="E4496">
        <v>1024</v>
      </c>
      <c r="F4496">
        <v>5</v>
      </c>
      <c r="G4496">
        <v>5</v>
      </c>
      <c r="H4496">
        <v>1</v>
      </c>
      <c r="I4496">
        <v>1</v>
      </c>
      <c r="J4496">
        <v>0.75763097949886105</v>
      </c>
      <c r="K4496">
        <v>0.99322089675031</v>
      </c>
      <c r="L4496">
        <v>0.85957576545622505</v>
      </c>
      <c r="M4496">
        <v>0.54751131221719496</v>
      </c>
      <c r="N4496">
        <v>1</v>
      </c>
      <c r="O4496">
        <v>0.66063348416289602</v>
      </c>
      <c r="AF4496" t="s">
        <v>4111</v>
      </c>
    </row>
    <row r="4497" spans="1:32" hidden="1" x14ac:dyDescent="0.35">
      <c r="A4497">
        <v>1981</v>
      </c>
      <c r="B4497" t="s">
        <v>4109</v>
      </c>
      <c r="C4497" t="s">
        <v>72</v>
      </c>
      <c r="D4497" t="s">
        <v>62</v>
      </c>
      <c r="E4497">
        <v>1060</v>
      </c>
      <c r="F4497">
        <v>5</v>
      </c>
      <c r="G4497">
        <v>5</v>
      </c>
      <c r="H4497">
        <v>1</v>
      </c>
      <c r="I4497">
        <v>1</v>
      </c>
      <c r="J4497">
        <v>0.75763097949886105</v>
      </c>
      <c r="K4497">
        <v>0.99322089675031</v>
      </c>
      <c r="L4497">
        <v>0.85957576545622505</v>
      </c>
      <c r="M4497">
        <v>0.54751131221719496</v>
      </c>
      <c r="N4497">
        <v>1</v>
      </c>
      <c r="O4497">
        <v>0.66063348416289602</v>
      </c>
      <c r="AF4497" t="s">
        <v>4111</v>
      </c>
    </row>
    <row r="4498" spans="1:32" hidden="1" x14ac:dyDescent="0.35">
      <c r="A4498">
        <v>1982</v>
      </c>
      <c r="B4498" t="s">
        <v>4109</v>
      </c>
      <c r="C4498" t="s">
        <v>72</v>
      </c>
      <c r="D4498" t="s">
        <v>34</v>
      </c>
      <c r="E4498">
        <v>88</v>
      </c>
      <c r="F4498">
        <v>5</v>
      </c>
      <c r="G4498">
        <v>5</v>
      </c>
      <c r="H4498">
        <v>1</v>
      </c>
      <c r="I4498">
        <v>1</v>
      </c>
      <c r="J4498">
        <v>0.75763097949886105</v>
      </c>
      <c r="K4498">
        <v>0.99322089675031</v>
      </c>
      <c r="L4498">
        <v>0.85957576545622505</v>
      </c>
      <c r="M4498">
        <v>0.54751131221719496</v>
      </c>
      <c r="N4498">
        <v>1</v>
      </c>
      <c r="O4498">
        <v>0.66063348416289602</v>
      </c>
      <c r="AF4498" t="s">
        <v>4112</v>
      </c>
    </row>
    <row r="4499" spans="1:32" hidden="1" x14ac:dyDescent="0.35">
      <c r="A4499">
        <v>1983</v>
      </c>
      <c r="B4499" t="s">
        <v>4109</v>
      </c>
      <c r="C4499" t="s">
        <v>72</v>
      </c>
      <c r="D4499" t="s">
        <v>45</v>
      </c>
      <c r="E4499">
        <v>1347</v>
      </c>
      <c r="F4499">
        <v>5</v>
      </c>
      <c r="G4499">
        <v>5</v>
      </c>
      <c r="H4499">
        <v>1</v>
      </c>
      <c r="I4499">
        <v>1</v>
      </c>
      <c r="J4499">
        <v>0.75763097949886105</v>
      </c>
      <c r="K4499">
        <v>0.99322089675031</v>
      </c>
      <c r="L4499">
        <v>0.85957576545622505</v>
      </c>
      <c r="M4499">
        <v>0.54751131221719496</v>
      </c>
      <c r="N4499">
        <v>1</v>
      </c>
      <c r="O4499">
        <v>0.66063348416289602</v>
      </c>
      <c r="AF4499" t="s">
        <v>4112</v>
      </c>
    </row>
    <row r="4500" spans="1:32" hidden="1" x14ac:dyDescent="0.35">
      <c r="A4500">
        <v>1984</v>
      </c>
      <c r="B4500" t="s">
        <v>4113</v>
      </c>
      <c r="C4500" t="s">
        <v>72</v>
      </c>
      <c r="D4500" t="s">
        <v>58</v>
      </c>
      <c r="E4500">
        <v>1371</v>
      </c>
      <c r="F4500">
        <v>5</v>
      </c>
      <c r="G4500">
        <v>5</v>
      </c>
      <c r="H4500">
        <v>1</v>
      </c>
      <c r="I4500">
        <v>1</v>
      </c>
      <c r="J4500">
        <v>0.76085930122757295</v>
      </c>
      <c r="K4500">
        <v>0.95482625482625605</v>
      </c>
      <c r="L4500">
        <v>0.84687830410114195</v>
      </c>
      <c r="M4500">
        <v>0.54729729729729704</v>
      </c>
      <c r="N4500">
        <v>1</v>
      </c>
      <c r="O4500">
        <v>0.68175675675675695</v>
      </c>
      <c r="P4500" t="s">
        <v>4114</v>
      </c>
      <c r="Q4500" t="s">
        <v>4115</v>
      </c>
      <c r="AF4500" t="e">
        <f>------MG--SAEAAAQKVANILGVRPGQLIQEIGWDEDCDSDISVAIEDAIDDDLLGEDSLEICDVVVLWWRNGDGDLVDALVDALRNLDESGCIWVLSPGASQSNALQPGEVAESAQLAGLVQTRNERLNSWQGSCLVRGGKNVRG</f>
        <v>#NAME?</v>
      </c>
    </row>
    <row r="4501" spans="1:32" hidden="1" x14ac:dyDescent="0.35">
      <c r="A4501">
        <v>1985</v>
      </c>
      <c r="B4501" t="s">
        <v>4113</v>
      </c>
      <c r="C4501" t="s">
        <v>72</v>
      </c>
      <c r="D4501" t="s">
        <v>60</v>
      </c>
      <c r="E4501">
        <v>1852</v>
      </c>
      <c r="F4501">
        <v>5</v>
      </c>
      <c r="G4501">
        <v>5</v>
      </c>
      <c r="H4501">
        <v>1</v>
      </c>
      <c r="I4501">
        <v>1</v>
      </c>
      <c r="J4501">
        <v>0.76085930122757295</v>
      </c>
      <c r="K4501">
        <v>0.95482625482625605</v>
      </c>
      <c r="L4501">
        <v>0.84687830410114195</v>
      </c>
      <c r="M4501">
        <v>0.54729729729729704</v>
      </c>
      <c r="N4501">
        <v>1</v>
      </c>
      <c r="O4501">
        <v>0.68175675675675695</v>
      </c>
      <c r="P4501" t="s">
        <v>4114</v>
      </c>
      <c r="Q4501" t="s">
        <v>4115</v>
      </c>
      <c r="AF4501" t="e">
        <f>-MVDIP-G--ATKNGVQDYAKTLGIKAGHTVQEVGWDDDCDSAISEAVEDAIGADLLDEDSYELCDVVLLWWRDDDGDLVDELVDAVRPLADHGRIWLLSPAAGTKGELAPGVVSESAQLAGLVQTKAERLGSWQGSCLVQRGAAKRS</f>
        <v>#NAME?</v>
      </c>
    </row>
    <row r="4502" spans="1:32" hidden="1" x14ac:dyDescent="0.35">
      <c r="A4502">
        <v>1986</v>
      </c>
      <c r="B4502" t="s">
        <v>4113</v>
      </c>
      <c r="C4502" t="s">
        <v>72</v>
      </c>
      <c r="D4502" t="s">
        <v>62</v>
      </c>
      <c r="E4502">
        <v>1890</v>
      </c>
      <c r="F4502">
        <v>5</v>
      </c>
      <c r="G4502">
        <v>5</v>
      </c>
      <c r="H4502">
        <v>1</v>
      </c>
      <c r="I4502">
        <v>1</v>
      </c>
      <c r="J4502">
        <v>0.76085930122757295</v>
      </c>
      <c r="K4502">
        <v>0.95482625482625605</v>
      </c>
      <c r="L4502">
        <v>0.84687830410114195</v>
      </c>
      <c r="M4502">
        <v>0.54729729729729704</v>
      </c>
      <c r="N4502">
        <v>1</v>
      </c>
      <c r="O4502">
        <v>0.68175675675675695</v>
      </c>
      <c r="P4502" t="s">
        <v>4114</v>
      </c>
      <c r="Q4502" t="s">
        <v>4115</v>
      </c>
      <c r="AF4502" t="e">
        <f>-MVDIP-G--ATKNGVQDYAKTLGIKAGHTVQEVGWDDDCDSAISEAVEDAIGADLLDEDSYELCDVVLLWWRDDDGDLVDELVDAVRPLADHGRIWLLSPAAGTKGELAPGVVSESAQLAGLVQTKAERLGSWQGSCLVQRGAAKRS</f>
        <v>#NAME?</v>
      </c>
    </row>
    <row r="4503" spans="1:32" hidden="1" x14ac:dyDescent="0.35">
      <c r="A4503">
        <v>1987</v>
      </c>
      <c r="B4503" t="s">
        <v>4113</v>
      </c>
      <c r="C4503" t="s">
        <v>72</v>
      </c>
      <c r="D4503" t="s">
        <v>34</v>
      </c>
      <c r="E4503">
        <v>2205</v>
      </c>
      <c r="F4503">
        <v>5</v>
      </c>
      <c r="G4503">
        <v>5</v>
      </c>
      <c r="H4503">
        <v>1</v>
      </c>
      <c r="I4503">
        <v>1</v>
      </c>
      <c r="J4503">
        <v>0.76085930122757295</v>
      </c>
      <c r="K4503">
        <v>0.95482625482625605</v>
      </c>
      <c r="L4503">
        <v>0.84687830410114195</v>
      </c>
      <c r="M4503">
        <v>0.54729729729729704</v>
      </c>
      <c r="N4503">
        <v>1</v>
      </c>
      <c r="O4503">
        <v>0.68175675675675695</v>
      </c>
      <c r="P4503" t="s">
        <v>4114</v>
      </c>
      <c r="Q4503" t="s">
        <v>4115</v>
      </c>
      <c r="AF4503" t="s">
        <v>4116</v>
      </c>
    </row>
    <row r="4504" spans="1:32" hidden="1" x14ac:dyDescent="0.35">
      <c r="A4504">
        <v>1988</v>
      </c>
      <c r="B4504" t="s">
        <v>4113</v>
      </c>
      <c r="C4504" t="s">
        <v>72</v>
      </c>
      <c r="D4504" t="s">
        <v>45</v>
      </c>
      <c r="E4504">
        <v>669</v>
      </c>
      <c r="F4504">
        <v>5</v>
      </c>
      <c r="G4504">
        <v>5</v>
      </c>
      <c r="H4504">
        <v>1</v>
      </c>
      <c r="I4504">
        <v>1</v>
      </c>
      <c r="J4504">
        <v>0.76085930122757295</v>
      </c>
      <c r="K4504">
        <v>0.95482625482625605</v>
      </c>
      <c r="L4504">
        <v>0.84687830410114195</v>
      </c>
      <c r="M4504">
        <v>0.54729729729729704</v>
      </c>
      <c r="N4504">
        <v>1</v>
      </c>
      <c r="O4504">
        <v>0.68175675675675695</v>
      </c>
      <c r="P4504" t="s">
        <v>4114</v>
      </c>
      <c r="Q4504" t="s">
        <v>4115</v>
      </c>
      <c r="AF4504" t="s">
        <v>4117</v>
      </c>
    </row>
    <row r="4505" spans="1:32" hidden="1" x14ac:dyDescent="0.35">
      <c r="A4505">
        <v>2134</v>
      </c>
      <c r="B4505" t="s">
        <v>4444</v>
      </c>
      <c r="C4505" t="s">
        <v>72</v>
      </c>
      <c r="D4505" t="s">
        <v>58</v>
      </c>
      <c r="E4505">
        <v>1828</v>
      </c>
      <c r="F4505">
        <v>5</v>
      </c>
      <c r="G4505">
        <v>5</v>
      </c>
      <c r="H4505">
        <v>1</v>
      </c>
      <c r="I4505">
        <v>1</v>
      </c>
      <c r="J4505">
        <v>0.82266666666666699</v>
      </c>
      <c r="K4505">
        <v>1</v>
      </c>
      <c r="L4505">
        <v>0.90270665691294805</v>
      </c>
      <c r="M4505">
        <v>0.57999999999999996</v>
      </c>
      <c r="N4505">
        <v>1</v>
      </c>
      <c r="O4505">
        <v>0.70799999999999996</v>
      </c>
      <c r="AF4505" t="s">
        <v>4445</v>
      </c>
    </row>
    <row r="4506" spans="1:32" hidden="1" x14ac:dyDescent="0.35">
      <c r="A4506">
        <v>2135</v>
      </c>
      <c r="B4506" t="s">
        <v>4444</v>
      </c>
      <c r="C4506" t="s">
        <v>72</v>
      </c>
      <c r="D4506" t="s">
        <v>60</v>
      </c>
      <c r="E4506">
        <v>2462</v>
      </c>
      <c r="F4506">
        <v>5</v>
      </c>
      <c r="G4506">
        <v>5</v>
      </c>
      <c r="H4506">
        <v>1</v>
      </c>
      <c r="I4506">
        <v>1</v>
      </c>
      <c r="J4506">
        <v>0.82266666666666699</v>
      </c>
      <c r="K4506">
        <v>1</v>
      </c>
      <c r="L4506">
        <v>0.90270665691294805</v>
      </c>
      <c r="M4506">
        <v>0.57999999999999996</v>
      </c>
      <c r="N4506">
        <v>1</v>
      </c>
      <c r="O4506">
        <v>0.70799999999999996</v>
      </c>
      <c r="AF4506" t="s">
        <v>4446</v>
      </c>
    </row>
    <row r="4507" spans="1:32" hidden="1" x14ac:dyDescent="0.35">
      <c r="A4507">
        <v>2136</v>
      </c>
      <c r="B4507" t="s">
        <v>4444</v>
      </c>
      <c r="C4507" t="s">
        <v>72</v>
      </c>
      <c r="D4507" t="s">
        <v>62</v>
      </c>
      <c r="E4507">
        <v>2488</v>
      </c>
      <c r="F4507">
        <v>5</v>
      </c>
      <c r="G4507">
        <v>5</v>
      </c>
      <c r="H4507">
        <v>1</v>
      </c>
      <c r="I4507">
        <v>1</v>
      </c>
      <c r="J4507">
        <v>0.82266666666666699</v>
      </c>
      <c r="K4507">
        <v>1</v>
      </c>
      <c r="L4507">
        <v>0.90270665691294805</v>
      </c>
      <c r="M4507">
        <v>0.57999999999999996</v>
      </c>
      <c r="N4507">
        <v>1</v>
      </c>
      <c r="O4507">
        <v>0.70799999999999996</v>
      </c>
      <c r="AF4507" t="s">
        <v>4446</v>
      </c>
    </row>
    <row r="4508" spans="1:32" hidden="1" x14ac:dyDescent="0.35">
      <c r="A4508">
        <v>2137</v>
      </c>
      <c r="B4508" t="s">
        <v>4444</v>
      </c>
      <c r="C4508" t="s">
        <v>72</v>
      </c>
      <c r="D4508" t="s">
        <v>34</v>
      </c>
      <c r="E4508">
        <v>1210</v>
      </c>
      <c r="F4508">
        <v>5</v>
      </c>
      <c r="G4508">
        <v>5</v>
      </c>
      <c r="H4508">
        <v>1</v>
      </c>
      <c r="I4508">
        <v>1</v>
      </c>
      <c r="J4508">
        <v>0.82266666666666699</v>
      </c>
      <c r="K4508">
        <v>1</v>
      </c>
      <c r="L4508">
        <v>0.90270665691294805</v>
      </c>
      <c r="M4508">
        <v>0.57999999999999996</v>
      </c>
      <c r="N4508">
        <v>1</v>
      </c>
      <c r="O4508">
        <v>0.70799999999999996</v>
      </c>
      <c r="AF4508" t="s">
        <v>4447</v>
      </c>
    </row>
    <row r="4509" spans="1:32" hidden="1" x14ac:dyDescent="0.35">
      <c r="A4509">
        <v>2138</v>
      </c>
      <c r="B4509" t="s">
        <v>4444</v>
      </c>
      <c r="C4509" t="s">
        <v>72</v>
      </c>
      <c r="D4509" t="s">
        <v>45</v>
      </c>
      <c r="E4509">
        <v>2453</v>
      </c>
      <c r="F4509">
        <v>5</v>
      </c>
      <c r="G4509">
        <v>5</v>
      </c>
      <c r="H4509">
        <v>1</v>
      </c>
      <c r="I4509">
        <v>1</v>
      </c>
      <c r="J4509">
        <v>0.82266666666666699</v>
      </c>
      <c r="K4509">
        <v>1</v>
      </c>
      <c r="L4509">
        <v>0.90270665691294805</v>
      </c>
      <c r="M4509">
        <v>0.57999999999999996</v>
      </c>
      <c r="N4509">
        <v>1</v>
      </c>
      <c r="O4509">
        <v>0.70799999999999996</v>
      </c>
      <c r="AF4509" t="s">
        <v>4447</v>
      </c>
    </row>
    <row r="4510" spans="1:32" hidden="1" x14ac:dyDescent="0.35">
      <c r="A4510">
        <v>2164</v>
      </c>
      <c r="B4510" t="s">
        <v>4505</v>
      </c>
      <c r="C4510" t="s">
        <v>72</v>
      </c>
      <c r="D4510" t="s">
        <v>58</v>
      </c>
      <c r="E4510">
        <v>1810</v>
      </c>
      <c r="F4510">
        <v>5</v>
      </c>
      <c r="G4510">
        <v>5</v>
      </c>
      <c r="H4510">
        <v>1</v>
      </c>
      <c r="I4510">
        <v>1</v>
      </c>
      <c r="J4510">
        <v>0.70197612599057102</v>
      </c>
      <c r="K4510">
        <v>0.95573636092616399</v>
      </c>
      <c r="L4510">
        <v>0.80943361820133697</v>
      </c>
      <c r="M4510">
        <v>0.5</v>
      </c>
      <c r="N4510">
        <v>1</v>
      </c>
      <c r="O4510">
        <v>0.62327586206896501</v>
      </c>
      <c r="P4510" t="s">
        <v>4506</v>
      </c>
      <c r="Q4510" t="s">
        <v>4507</v>
      </c>
      <c r="AF4510" t="s">
        <v>4508</v>
      </c>
    </row>
    <row r="4511" spans="1:32" hidden="1" x14ac:dyDescent="0.35">
      <c r="A4511">
        <v>2165</v>
      </c>
      <c r="B4511" t="s">
        <v>4505</v>
      </c>
      <c r="C4511" t="s">
        <v>72</v>
      </c>
      <c r="D4511" t="s">
        <v>60</v>
      </c>
      <c r="E4511">
        <v>2439</v>
      </c>
      <c r="F4511">
        <v>5</v>
      </c>
      <c r="G4511">
        <v>5</v>
      </c>
      <c r="H4511">
        <v>1</v>
      </c>
      <c r="I4511">
        <v>1</v>
      </c>
      <c r="J4511">
        <v>0.70197612599057102</v>
      </c>
      <c r="K4511">
        <v>0.95573636092616399</v>
      </c>
      <c r="L4511">
        <v>0.80943361820133697</v>
      </c>
      <c r="M4511">
        <v>0.5</v>
      </c>
      <c r="N4511">
        <v>1</v>
      </c>
      <c r="O4511">
        <v>0.62327586206896501</v>
      </c>
      <c r="P4511" t="s">
        <v>4506</v>
      </c>
      <c r="Q4511" t="s">
        <v>4507</v>
      </c>
      <c r="AF4511" t="s">
        <v>4509</v>
      </c>
    </row>
    <row r="4512" spans="1:32" hidden="1" x14ac:dyDescent="0.35">
      <c r="A4512">
        <v>2166</v>
      </c>
      <c r="B4512" t="s">
        <v>4505</v>
      </c>
      <c r="C4512" t="s">
        <v>72</v>
      </c>
      <c r="D4512" t="s">
        <v>62</v>
      </c>
      <c r="E4512">
        <v>2465</v>
      </c>
      <c r="F4512">
        <v>5</v>
      </c>
      <c r="G4512">
        <v>5</v>
      </c>
      <c r="H4512">
        <v>1</v>
      </c>
      <c r="I4512">
        <v>1</v>
      </c>
      <c r="J4512">
        <v>0.70197612599057102</v>
      </c>
      <c r="K4512">
        <v>0.95573636092616399</v>
      </c>
      <c r="L4512">
        <v>0.80943361820133697</v>
      </c>
      <c r="M4512">
        <v>0.5</v>
      </c>
      <c r="N4512">
        <v>1</v>
      </c>
      <c r="O4512">
        <v>0.62327586206896501</v>
      </c>
      <c r="P4512" t="s">
        <v>4506</v>
      </c>
      <c r="Q4512" t="s">
        <v>4507</v>
      </c>
      <c r="AF4512" t="s">
        <v>4509</v>
      </c>
    </row>
    <row r="4513" spans="1:32" hidden="1" x14ac:dyDescent="0.35">
      <c r="A4513">
        <v>2167</v>
      </c>
      <c r="B4513" t="s">
        <v>4505</v>
      </c>
      <c r="C4513" t="s">
        <v>72</v>
      </c>
      <c r="D4513" t="s">
        <v>34</v>
      </c>
      <c r="E4513">
        <v>1288</v>
      </c>
      <c r="F4513">
        <v>5</v>
      </c>
      <c r="G4513">
        <v>5</v>
      </c>
      <c r="H4513">
        <v>1</v>
      </c>
      <c r="I4513">
        <v>1</v>
      </c>
      <c r="J4513">
        <v>0.70197612599057102</v>
      </c>
      <c r="K4513">
        <v>0.95573636092616399</v>
      </c>
      <c r="L4513">
        <v>0.80943361820133697</v>
      </c>
      <c r="M4513">
        <v>0.5</v>
      </c>
      <c r="N4513">
        <v>1</v>
      </c>
      <c r="O4513">
        <v>0.62327586206896501</v>
      </c>
      <c r="P4513" t="s">
        <v>4506</v>
      </c>
      <c r="Q4513" t="s">
        <v>4507</v>
      </c>
      <c r="AF4513" t="e">
        <f>--MKKTWRTTDVLRILIVAVLAAAAAFGGYYLMSPTKNSDGKTTHASKADDGKSTKPG----VASFTSADAGSCLTWQ-DSGTTITAFEQTDCGGPHRFEVSSREDLSTYPSSEFGAKAAMPNTTRQAQLREELCMDPTMKYLGGTFDPLGRYSVASILPPQAAWNAGDRTLLCGIQATDEAGKVITTNGKVAQQDQARIFGVGECVAVDGANSEKQIDCTQPHQLEVTQIVDLLQVFPNNTPSIEDQDNHLRTVCTQAAKDYIGGDDQLYKSTLQPLWATIPANSWDRGSHSVNCSLMF-NDNGHLGTLAGSVKGQFTINGQPPAERPDRAPIVNPEALQSVQPKPQ</f>
        <v>#NAME?</v>
      </c>
    </row>
    <row r="4514" spans="1:32" hidden="1" x14ac:dyDescent="0.35">
      <c r="A4514">
        <v>2168</v>
      </c>
      <c r="B4514" t="s">
        <v>4505</v>
      </c>
      <c r="C4514" t="s">
        <v>72</v>
      </c>
      <c r="D4514" t="s">
        <v>45</v>
      </c>
      <c r="E4514">
        <v>40</v>
      </c>
      <c r="F4514">
        <v>5</v>
      </c>
      <c r="G4514">
        <v>5</v>
      </c>
      <c r="H4514">
        <v>1</v>
      </c>
      <c r="I4514">
        <v>1</v>
      </c>
      <c r="J4514">
        <v>0.70197612599057102</v>
      </c>
      <c r="K4514">
        <v>0.95573636092616399</v>
      </c>
      <c r="L4514">
        <v>0.80943361820133697</v>
      </c>
      <c r="M4514">
        <v>0.5</v>
      </c>
      <c r="N4514">
        <v>1</v>
      </c>
      <c r="O4514">
        <v>0.62327586206896501</v>
      </c>
      <c r="P4514" t="s">
        <v>4506</v>
      </c>
      <c r="Q4514" t="s">
        <v>4507</v>
      </c>
      <c r="AF4514" t="e">
        <f>--MKKTWRTTDVLRILIVAVLAAAAAFGGYYLMSPTKNSDGKTTHASKADDGKSTKPG----VASFTSADAGSCLTWQ-DSGTTITAFEQTDCGGPHRFEVSSREDLSTYPSSEFGAKAAMPNTTRQAQLREELCMDPTMKYLGGTFDPLGRYSVASILPPQAAWNAGDRTLLCGIQATDEAGKVITTNGKVAQQDQARIFGVGECVAVDGANSEKQIDCAQPHQLEVTQIVDLLQVFPNNTPSIEDQDNHLRTVCTQAAKDYIGGDDQLYKSTLQPLWATIPANSWDRGSHSVNCSLMF-NDNGHLGTLAGSVKGQFTINGQPPAERPDRAPIVNPEALQSVQPKPQ</f>
        <v>#NAME?</v>
      </c>
    </row>
    <row r="4515" spans="1:32" hidden="1" x14ac:dyDescent="0.35">
      <c r="A4515">
        <v>2319</v>
      </c>
      <c r="B4515" t="s">
        <v>4828</v>
      </c>
      <c r="C4515" t="s">
        <v>72</v>
      </c>
      <c r="D4515" t="s">
        <v>34</v>
      </c>
      <c r="E4515">
        <v>1600</v>
      </c>
      <c r="F4515">
        <v>2</v>
      </c>
      <c r="G4515">
        <v>5</v>
      </c>
      <c r="H4515">
        <v>3</v>
      </c>
      <c r="I4515">
        <v>0</v>
      </c>
      <c r="J4515">
        <v>0.74330900243308995</v>
      </c>
      <c r="K4515">
        <v>0.64615024755370198</v>
      </c>
      <c r="L4515">
        <v>0.69133268346747401</v>
      </c>
      <c r="M4515">
        <v>8.8105726872246701E-2</v>
      </c>
      <c r="N4515">
        <v>1</v>
      </c>
      <c r="O4515">
        <v>0.39295154185022002</v>
      </c>
      <c r="AF4515" t="s">
        <v>4829</v>
      </c>
    </row>
    <row r="4516" spans="1:32" hidden="1" x14ac:dyDescent="0.35">
      <c r="A4516">
        <v>2320</v>
      </c>
      <c r="B4516" t="s">
        <v>4828</v>
      </c>
      <c r="C4516" t="s">
        <v>72</v>
      </c>
      <c r="D4516" t="s">
        <v>34</v>
      </c>
      <c r="E4516">
        <v>1437</v>
      </c>
      <c r="F4516">
        <v>2</v>
      </c>
      <c r="G4516">
        <v>5</v>
      </c>
      <c r="H4516">
        <v>3</v>
      </c>
      <c r="I4516">
        <v>0</v>
      </c>
      <c r="J4516">
        <v>0.74330900243308995</v>
      </c>
      <c r="K4516">
        <v>0.64615024755370198</v>
      </c>
      <c r="L4516">
        <v>0.69133268346747401</v>
      </c>
      <c r="M4516">
        <v>8.8105726872246701E-2</v>
      </c>
      <c r="N4516">
        <v>1</v>
      </c>
      <c r="O4516">
        <v>0.39295154185022002</v>
      </c>
      <c r="AF4516" t="e">
        <f>-------------------------------------------------------------------------------------------------------------------------------MRRFDRDLPVAWADLSVADDLYEQMFQSKYWAWHYSVHRARLFVLLHQQRWDDALEQVHSWTEKDINKQGLDEEPGKWTAQEELDNAIRLVTEYVEKHRK</f>
        <v>#NAME?</v>
      </c>
    </row>
    <row r="4517" spans="1:32" hidden="1" x14ac:dyDescent="0.35">
      <c r="A4517">
        <v>2321</v>
      </c>
      <c r="B4517" t="s">
        <v>4828</v>
      </c>
      <c r="C4517" t="s">
        <v>72</v>
      </c>
      <c r="D4517" t="s">
        <v>34</v>
      </c>
      <c r="E4517">
        <v>1604</v>
      </c>
      <c r="F4517">
        <v>2</v>
      </c>
      <c r="G4517">
        <v>5</v>
      </c>
      <c r="H4517">
        <v>3</v>
      </c>
      <c r="I4517">
        <v>0</v>
      </c>
      <c r="J4517">
        <v>0.74330900243308995</v>
      </c>
      <c r="K4517">
        <v>0.64615024755370198</v>
      </c>
      <c r="L4517">
        <v>0.69133268346747401</v>
      </c>
      <c r="M4517">
        <v>8.8105726872246701E-2</v>
      </c>
      <c r="N4517">
        <v>1</v>
      </c>
      <c r="O4517">
        <v>0.39295154185022002</v>
      </c>
      <c r="AF4517" t="s">
        <v>4830</v>
      </c>
    </row>
    <row r="4518" spans="1:32" hidden="1" x14ac:dyDescent="0.35">
      <c r="A4518">
        <v>2322</v>
      </c>
      <c r="B4518" t="s">
        <v>4828</v>
      </c>
      <c r="C4518" t="s">
        <v>72</v>
      </c>
      <c r="D4518" t="s">
        <v>45</v>
      </c>
      <c r="E4518">
        <v>350</v>
      </c>
      <c r="F4518">
        <v>2</v>
      </c>
      <c r="G4518">
        <v>5</v>
      </c>
      <c r="H4518">
        <v>3</v>
      </c>
      <c r="I4518">
        <v>0</v>
      </c>
      <c r="J4518">
        <v>0.74330900243308995</v>
      </c>
      <c r="K4518">
        <v>0.64615024755370198</v>
      </c>
      <c r="L4518">
        <v>0.69133268346747401</v>
      </c>
      <c r="M4518">
        <v>8.8105726872246701E-2</v>
      </c>
      <c r="N4518">
        <v>1</v>
      </c>
      <c r="O4518">
        <v>0.39295154185022002</v>
      </c>
      <c r="AF4518" t="s">
        <v>4829</v>
      </c>
    </row>
    <row r="4519" spans="1:32" hidden="1" x14ac:dyDescent="0.35">
      <c r="A4519">
        <v>2323</v>
      </c>
      <c r="B4519" t="s">
        <v>4828</v>
      </c>
      <c r="C4519" t="s">
        <v>72</v>
      </c>
      <c r="D4519" t="s">
        <v>45</v>
      </c>
      <c r="E4519">
        <v>188</v>
      </c>
      <c r="F4519">
        <v>2</v>
      </c>
      <c r="G4519">
        <v>5</v>
      </c>
      <c r="H4519">
        <v>3</v>
      </c>
      <c r="I4519">
        <v>0</v>
      </c>
      <c r="J4519">
        <v>0.74330900243308995</v>
      </c>
      <c r="K4519">
        <v>0.64615024755370198</v>
      </c>
      <c r="L4519">
        <v>0.69133268346747401</v>
      </c>
      <c r="M4519">
        <v>8.8105726872246701E-2</v>
      </c>
      <c r="N4519">
        <v>1</v>
      </c>
      <c r="O4519">
        <v>0.39295154185022002</v>
      </c>
      <c r="AF4519" t="e">
        <f>-----------------------MCYYRLKQGDLLFELSITASPSKYDHTKWSTHITYYASLPKFGKLHVELQKNSSFSPPPTGPNSSFKGLFATSRNYVPGQRGFPWVRRFLHLENETIGPTWCSLLRQFDRDLPIAWADLSVADDLYEQMFQSKYWAW-YDLLHGQLFTLLHQQRWDDALEHVHSWTEKDINPQGFEAEPGKWTAQEELDNAIRLVTEYVDKHRK</f>
        <v>#NAME?</v>
      </c>
    </row>
    <row r="4520" spans="1:32" hidden="1" x14ac:dyDescent="0.35">
      <c r="A4520">
        <v>2354</v>
      </c>
      <c r="B4520" t="s">
        <v>4902</v>
      </c>
      <c r="C4520" t="s">
        <v>72</v>
      </c>
      <c r="D4520" t="s">
        <v>58</v>
      </c>
      <c r="E4520">
        <v>1104</v>
      </c>
      <c r="F4520">
        <v>5</v>
      </c>
      <c r="G4520">
        <v>5</v>
      </c>
      <c r="H4520">
        <v>1</v>
      </c>
      <c r="I4520">
        <v>1</v>
      </c>
      <c r="J4520">
        <v>0.73017159843264401</v>
      </c>
      <c r="K4520">
        <v>0.936370837654108</v>
      </c>
      <c r="L4520">
        <v>0.82051482932658204</v>
      </c>
      <c r="M4520">
        <v>0.48484848484848497</v>
      </c>
      <c r="N4520">
        <v>1</v>
      </c>
      <c r="O4520">
        <v>0.626893939393939</v>
      </c>
      <c r="AF4520" t="e">
        <f>---------MAFPRWQDAVEQAISSNRLGVVGEVRGGQLVAAVDSSGARLTVLAVEPFATFAGFDGATEATAHVQMLNDVLALCDVVTDDGDPIATVTCNLAQGPLIVDEPVFNFERINLSALGV--DVAFFDDTDAYTSATGGA----VGVFASVGAGVVTRGDGSQSPTAAANLVLEVKDAHYRFNTMTDQRFVHLDVVAPFPLDVVVSD---MAELPTPGSIIAGTFTLSGSIIAPAGCGDSCG--SGGCACGSGGCSSHG</f>
        <v>#NAME?</v>
      </c>
    </row>
    <row r="4521" spans="1:32" hidden="1" x14ac:dyDescent="0.35">
      <c r="A4521">
        <v>2355</v>
      </c>
      <c r="B4521" t="s">
        <v>4902</v>
      </c>
      <c r="C4521" t="s">
        <v>72</v>
      </c>
      <c r="D4521" t="s">
        <v>60</v>
      </c>
      <c r="E4521">
        <v>1491</v>
      </c>
      <c r="F4521">
        <v>5</v>
      </c>
      <c r="G4521">
        <v>5</v>
      </c>
      <c r="H4521">
        <v>1</v>
      </c>
      <c r="I4521">
        <v>1</v>
      </c>
      <c r="J4521">
        <v>0.73017159843264401</v>
      </c>
      <c r="K4521">
        <v>0.936370837654108</v>
      </c>
      <c r="L4521">
        <v>0.82051482932658204</v>
      </c>
      <c r="M4521">
        <v>0.48484848484848497</v>
      </c>
      <c r="N4521">
        <v>1</v>
      </c>
      <c r="O4521">
        <v>0.626893939393939</v>
      </c>
      <c r="AF4521" t="s">
        <v>4903</v>
      </c>
    </row>
    <row r="4522" spans="1:32" hidden="1" x14ac:dyDescent="0.35">
      <c r="A4522">
        <v>2356</v>
      </c>
      <c r="B4522" t="s">
        <v>4902</v>
      </c>
      <c r="C4522" t="s">
        <v>72</v>
      </c>
      <c r="D4522" t="s">
        <v>62</v>
      </c>
      <c r="E4522">
        <v>1526</v>
      </c>
      <c r="F4522">
        <v>5</v>
      </c>
      <c r="G4522">
        <v>5</v>
      </c>
      <c r="H4522">
        <v>1</v>
      </c>
      <c r="I4522">
        <v>1</v>
      </c>
      <c r="J4522">
        <v>0.73017159843264401</v>
      </c>
      <c r="K4522">
        <v>0.936370837654108</v>
      </c>
      <c r="L4522">
        <v>0.82051482932658204</v>
      </c>
      <c r="M4522">
        <v>0.48484848484848497</v>
      </c>
      <c r="N4522">
        <v>1</v>
      </c>
      <c r="O4522">
        <v>0.626893939393939</v>
      </c>
      <c r="AF4522" t="s">
        <v>4903</v>
      </c>
    </row>
    <row r="4523" spans="1:32" hidden="1" x14ac:dyDescent="0.35">
      <c r="A4523">
        <v>2357</v>
      </c>
      <c r="B4523" t="s">
        <v>4902</v>
      </c>
      <c r="C4523" t="s">
        <v>72</v>
      </c>
      <c r="D4523" t="s">
        <v>34</v>
      </c>
      <c r="E4523">
        <v>1919</v>
      </c>
      <c r="F4523">
        <v>5</v>
      </c>
      <c r="G4523">
        <v>5</v>
      </c>
      <c r="H4523">
        <v>1</v>
      </c>
      <c r="I4523">
        <v>1</v>
      </c>
      <c r="J4523">
        <v>0.73017159843264401</v>
      </c>
      <c r="K4523">
        <v>0.936370837654108</v>
      </c>
      <c r="L4523">
        <v>0.82051482932658204</v>
      </c>
      <c r="M4523">
        <v>0.48484848484848497</v>
      </c>
      <c r="N4523">
        <v>1</v>
      </c>
      <c r="O4523">
        <v>0.626893939393939</v>
      </c>
      <c r="AF4523" t="s">
        <v>4904</v>
      </c>
    </row>
    <row r="4524" spans="1:32" hidden="1" x14ac:dyDescent="0.35">
      <c r="A4524">
        <v>2358</v>
      </c>
      <c r="B4524" t="s">
        <v>4902</v>
      </c>
      <c r="C4524" t="s">
        <v>72</v>
      </c>
      <c r="D4524" t="s">
        <v>45</v>
      </c>
      <c r="E4524">
        <v>955</v>
      </c>
      <c r="F4524">
        <v>5</v>
      </c>
      <c r="G4524">
        <v>5</v>
      </c>
      <c r="H4524">
        <v>1</v>
      </c>
      <c r="I4524">
        <v>1</v>
      </c>
      <c r="J4524">
        <v>0.73017159843264401</v>
      </c>
      <c r="K4524">
        <v>0.936370837654108</v>
      </c>
      <c r="L4524">
        <v>0.82051482932658204</v>
      </c>
      <c r="M4524">
        <v>0.48484848484848497</v>
      </c>
      <c r="N4524">
        <v>1</v>
      </c>
      <c r="O4524">
        <v>0.626893939393939</v>
      </c>
      <c r="AF4524" t="s">
        <v>4905</v>
      </c>
    </row>
    <row r="4525" spans="1:32" hidden="1" x14ac:dyDescent="0.35">
      <c r="A4525">
        <v>2359</v>
      </c>
      <c r="B4525" t="s">
        <v>4906</v>
      </c>
      <c r="C4525" t="s">
        <v>72</v>
      </c>
      <c r="D4525" t="s">
        <v>58</v>
      </c>
      <c r="E4525">
        <v>1791</v>
      </c>
      <c r="F4525">
        <v>5</v>
      </c>
      <c r="G4525">
        <v>5</v>
      </c>
      <c r="H4525">
        <v>1</v>
      </c>
      <c r="I4525">
        <v>1</v>
      </c>
      <c r="J4525">
        <v>0.75236211821577703</v>
      </c>
      <c r="K4525">
        <v>0.94194950291329305</v>
      </c>
      <c r="L4525">
        <v>0.83654873687507603</v>
      </c>
      <c r="M4525">
        <v>0.54489164086687303</v>
      </c>
      <c r="N4525">
        <v>1</v>
      </c>
      <c r="O4525">
        <v>0.68111455108359098</v>
      </c>
      <c r="P4525" t="s">
        <v>4907</v>
      </c>
      <c r="Q4525" t="s">
        <v>4908</v>
      </c>
      <c r="T4525" t="s">
        <v>4909</v>
      </c>
      <c r="U4525" t="s">
        <v>4910</v>
      </c>
      <c r="AD4525" t="s">
        <v>410</v>
      </c>
      <c r="AE4525" t="s">
        <v>563</v>
      </c>
      <c r="AF4525" t="s">
        <v>4911</v>
      </c>
    </row>
    <row r="4526" spans="1:32" hidden="1" x14ac:dyDescent="0.35">
      <c r="A4526">
        <v>2360</v>
      </c>
      <c r="B4526" t="s">
        <v>4906</v>
      </c>
      <c r="C4526" t="s">
        <v>72</v>
      </c>
      <c r="D4526" t="s">
        <v>60</v>
      </c>
      <c r="E4526">
        <v>2421</v>
      </c>
      <c r="F4526">
        <v>5</v>
      </c>
      <c r="G4526">
        <v>5</v>
      </c>
      <c r="H4526">
        <v>1</v>
      </c>
      <c r="I4526">
        <v>1</v>
      </c>
      <c r="J4526">
        <v>0.75236211821577703</v>
      </c>
      <c r="K4526">
        <v>0.94194950291329305</v>
      </c>
      <c r="L4526">
        <v>0.83654873687507603</v>
      </c>
      <c r="M4526">
        <v>0.54489164086687303</v>
      </c>
      <c r="N4526">
        <v>1</v>
      </c>
      <c r="O4526">
        <v>0.68111455108359098</v>
      </c>
      <c r="P4526" t="s">
        <v>4907</v>
      </c>
      <c r="Q4526" t="s">
        <v>4908</v>
      </c>
      <c r="T4526" t="s">
        <v>4909</v>
      </c>
      <c r="U4526" t="s">
        <v>4910</v>
      </c>
      <c r="AD4526" t="s">
        <v>410</v>
      </c>
      <c r="AE4526" t="s">
        <v>563</v>
      </c>
      <c r="AF4526" t="e">
        <f>---------------MRKGLTVLAVVVVLGIIVGGILQWIGSQDN-PPTPPPTDGPTTQAQQPDWCPNVEVVAAPGTWESASTDDPYNPTFNPMSYMLSVTRPLQETHPADD---VRVWTLPYVAQFKNINSQQEITYDESRTEGTTRAQEEMTKTHNECPLTDFILVGFSQGAVIMGDIANAIGQGTGPIPADRVRGVALVADGRREPGVGQQAGNPVAGVGAEVSLAAVNALVQPIVPGATMRGPRPGGFGSLNDRTFEICAADDHICDAPLGVGAAFERAQALVAATGVHSQYATNPNVFPGSTTTEWLINWANGLINQQ</f>
        <v>#NAME?</v>
      </c>
    </row>
    <row r="4527" spans="1:32" hidden="1" x14ac:dyDescent="0.35">
      <c r="A4527">
        <v>2361</v>
      </c>
      <c r="B4527" t="s">
        <v>4906</v>
      </c>
      <c r="C4527" t="s">
        <v>72</v>
      </c>
      <c r="D4527" t="s">
        <v>62</v>
      </c>
      <c r="E4527">
        <v>2448</v>
      </c>
      <c r="F4527">
        <v>5</v>
      </c>
      <c r="G4527">
        <v>5</v>
      </c>
      <c r="H4527">
        <v>1</v>
      </c>
      <c r="I4527">
        <v>1</v>
      </c>
      <c r="J4527">
        <v>0.75236211821577703</v>
      </c>
      <c r="K4527">
        <v>0.94194950291329305</v>
      </c>
      <c r="L4527">
        <v>0.83654873687507603</v>
      </c>
      <c r="M4527">
        <v>0.54489164086687303</v>
      </c>
      <c r="N4527">
        <v>1</v>
      </c>
      <c r="O4527">
        <v>0.68111455108359098</v>
      </c>
      <c r="P4527" t="s">
        <v>4907</v>
      </c>
      <c r="Q4527" t="s">
        <v>4908</v>
      </c>
      <c r="T4527" t="s">
        <v>4909</v>
      </c>
      <c r="U4527" t="s">
        <v>4910</v>
      </c>
      <c r="AD4527" t="s">
        <v>410</v>
      </c>
      <c r="AE4527" t="s">
        <v>563</v>
      </c>
      <c r="AF4527" t="e">
        <f>---------------MRKGLTVLAVVVVLGIIVGGILQWIGSQDN-PPTPPPTDGPTTQAQQPDWCPNVEVVAAPGTWESASTDDPYNPTFNPMSYMLSVTRPLQETHPADD---VRVWTLPYVAQFKNINSQQEITYDESRTEGTTRAQEEMTKTHNECPLTDFILVGFSQGAVIMGDIANAIGQGTGPIPADRVRGVALVADGRREPGVGQQAGNPVAGVGAEVSLAAVNALVQPIVPGATMRGPRPGGFGSLNDRTFEICAADDHICDAPLGVGAAFERAQALVAATGVHSQYATNPNVFPGSTTTEWLINWANGLINQQ</f>
        <v>#NAME?</v>
      </c>
    </row>
    <row r="4528" spans="1:32" hidden="1" x14ac:dyDescent="0.35">
      <c r="A4528">
        <v>2362</v>
      </c>
      <c r="B4528" t="s">
        <v>4906</v>
      </c>
      <c r="C4528" t="s">
        <v>72</v>
      </c>
      <c r="D4528" t="s">
        <v>34</v>
      </c>
      <c r="E4528">
        <v>1306</v>
      </c>
      <c r="F4528">
        <v>5</v>
      </c>
      <c r="G4528">
        <v>5</v>
      </c>
      <c r="H4528">
        <v>1</v>
      </c>
      <c r="I4528">
        <v>1</v>
      </c>
      <c r="J4528">
        <v>0.75236211821577703</v>
      </c>
      <c r="K4528">
        <v>0.94194950291329305</v>
      </c>
      <c r="L4528">
        <v>0.83654873687507603</v>
      </c>
      <c r="M4528">
        <v>0.54489164086687303</v>
      </c>
      <c r="N4528">
        <v>1</v>
      </c>
      <c r="O4528">
        <v>0.68111455108359098</v>
      </c>
      <c r="P4528" t="s">
        <v>4907</v>
      </c>
      <c r="Q4528" t="s">
        <v>4908</v>
      </c>
      <c r="T4528" t="s">
        <v>4909</v>
      </c>
      <c r="U4528" t="s">
        <v>4910</v>
      </c>
      <c r="AD4528" t="s">
        <v>410</v>
      </c>
      <c r="AE4528" t="s">
        <v>563</v>
      </c>
      <c r="AF4528" t="s">
        <v>4912</v>
      </c>
    </row>
    <row r="4529" spans="1:32" hidden="1" x14ac:dyDescent="0.35">
      <c r="A4529">
        <v>2363</v>
      </c>
      <c r="B4529" t="s">
        <v>4906</v>
      </c>
      <c r="C4529" t="s">
        <v>72</v>
      </c>
      <c r="D4529" t="s">
        <v>45</v>
      </c>
      <c r="E4529">
        <v>58</v>
      </c>
      <c r="F4529">
        <v>5</v>
      </c>
      <c r="G4529">
        <v>5</v>
      </c>
      <c r="H4529">
        <v>1</v>
      </c>
      <c r="I4529">
        <v>1</v>
      </c>
      <c r="J4529">
        <v>0.75236211821577703</v>
      </c>
      <c r="K4529">
        <v>0.94194950291329305</v>
      </c>
      <c r="L4529">
        <v>0.83654873687507603</v>
      </c>
      <c r="M4529">
        <v>0.54489164086687303</v>
      </c>
      <c r="N4529">
        <v>1</v>
      </c>
      <c r="O4529">
        <v>0.68111455108359098</v>
      </c>
      <c r="P4529" t="s">
        <v>4907</v>
      </c>
      <c r="Q4529" t="s">
        <v>4908</v>
      </c>
      <c r="T4529" t="s">
        <v>4909</v>
      </c>
      <c r="U4529" t="s">
        <v>4910</v>
      </c>
      <c r="AD4529" t="s">
        <v>410</v>
      </c>
      <c r="AE4529" t="s">
        <v>563</v>
      </c>
      <c r="AF4529" t="s">
        <v>4913</v>
      </c>
    </row>
    <row r="4530" spans="1:32" hidden="1" x14ac:dyDescent="0.35">
      <c r="A4530">
        <v>2374</v>
      </c>
      <c r="B4530" t="s">
        <v>4934</v>
      </c>
      <c r="C4530" t="s">
        <v>72</v>
      </c>
      <c r="D4530" t="s">
        <v>58</v>
      </c>
      <c r="E4530">
        <v>6</v>
      </c>
      <c r="F4530">
        <v>5</v>
      </c>
      <c r="G4530">
        <v>5</v>
      </c>
      <c r="H4530">
        <v>1</v>
      </c>
      <c r="I4530">
        <v>1</v>
      </c>
      <c r="J4530">
        <v>0.693973634651601</v>
      </c>
      <c r="K4530">
        <v>0.77546897546897597</v>
      </c>
      <c r="L4530">
        <v>0.73246143777142703</v>
      </c>
      <c r="M4530">
        <v>0.36363636363636398</v>
      </c>
      <c r="N4530">
        <v>1</v>
      </c>
      <c r="O4530">
        <v>0.608080808080808</v>
      </c>
      <c r="AF4530" t="s">
        <v>4935</v>
      </c>
    </row>
    <row r="4531" spans="1:32" hidden="1" x14ac:dyDescent="0.35">
      <c r="A4531">
        <v>2375</v>
      </c>
      <c r="B4531" t="s">
        <v>4934</v>
      </c>
      <c r="C4531" t="s">
        <v>72</v>
      </c>
      <c r="D4531" t="s">
        <v>60</v>
      </c>
      <c r="E4531">
        <v>11</v>
      </c>
      <c r="F4531">
        <v>5</v>
      </c>
      <c r="G4531">
        <v>5</v>
      </c>
      <c r="H4531">
        <v>1</v>
      </c>
      <c r="I4531">
        <v>1</v>
      </c>
      <c r="J4531">
        <v>0.693973634651601</v>
      </c>
      <c r="K4531">
        <v>0.77546897546897597</v>
      </c>
      <c r="L4531">
        <v>0.73246143777142703</v>
      </c>
      <c r="M4531">
        <v>0.36363636363636398</v>
      </c>
      <c r="N4531">
        <v>1</v>
      </c>
      <c r="O4531">
        <v>0.608080808080808</v>
      </c>
      <c r="AF4531" t="s">
        <v>4936</v>
      </c>
    </row>
    <row r="4532" spans="1:32" hidden="1" x14ac:dyDescent="0.35">
      <c r="A4532">
        <v>2376</v>
      </c>
      <c r="B4532" t="s">
        <v>4934</v>
      </c>
      <c r="C4532" t="s">
        <v>72</v>
      </c>
      <c r="D4532" t="s">
        <v>62</v>
      </c>
      <c r="E4532">
        <v>90</v>
      </c>
      <c r="F4532">
        <v>5</v>
      </c>
      <c r="G4532">
        <v>5</v>
      </c>
      <c r="H4532">
        <v>1</v>
      </c>
      <c r="I4532">
        <v>1</v>
      </c>
      <c r="J4532">
        <v>0.693973634651601</v>
      </c>
      <c r="K4532">
        <v>0.77546897546897597</v>
      </c>
      <c r="L4532">
        <v>0.73246143777142703</v>
      </c>
      <c r="M4532">
        <v>0.36363636363636398</v>
      </c>
      <c r="N4532">
        <v>1</v>
      </c>
      <c r="O4532">
        <v>0.608080808080808</v>
      </c>
      <c r="AF4532" t="s">
        <v>4937</v>
      </c>
    </row>
    <row r="4533" spans="1:32" hidden="1" x14ac:dyDescent="0.35">
      <c r="A4533">
        <v>2377</v>
      </c>
      <c r="B4533" t="s">
        <v>4934</v>
      </c>
      <c r="C4533" t="s">
        <v>72</v>
      </c>
      <c r="D4533" t="s">
        <v>34</v>
      </c>
      <c r="E4533">
        <v>1067</v>
      </c>
      <c r="F4533">
        <v>5</v>
      </c>
      <c r="G4533">
        <v>5</v>
      </c>
      <c r="H4533">
        <v>1</v>
      </c>
      <c r="I4533">
        <v>1</v>
      </c>
      <c r="J4533">
        <v>0.693973634651601</v>
      </c>
      <c r="K4533">
        <v>0.77546897546897597</v>
      </c>
      <c r="L4533">
        <v>0.73246143777142703</v>
      </c>
      <c r="M4533">
        <v>0.36363636363636398</v>
      </c>
      <c r="N4533">
        <v>1</v>
      </c>
      <c r="O4533">
        <v>0.608080808080808</v>
      </c>
      <c r="AF4533" t="s">
        <v>4938</v>
      </c>
    </row>
    <row r="4534" spans="1:32" hidden="1" x14ac:dyDescent="0.35">
      <c r="A4534">
        <v>2378</v>
      </c>
      <c r="B4534" t="s">
        <v>4934</v>
      </c>
      <c r="C4534" t="s">
        <v>72</v>
      </c>
      <c r="D4534" t="s">
        <v>45</v>
      </c>
      <c r="E4534">
        <v>2324</v>
      </c>
      <c r="F4534">
        <v>5</v>
      </c>
      <c r="G4534">
        <v>5</v>
      </c>
      <c r="H4534">
        <v>1</v>
      </c>
      <c r="I4534">
        <v>1</v>
      </c>
      <c r="J4534">
        <v>0.693973634651601</v>
      </c>
      <c r="K4534">
        <v>0.77546897546897597</v>
      </c>
      <c r="L4534">
        <v>0.73246143777142703</v>
      </c>
      <c r="M4534">
        <v>0.36363636363636398</v>
      </c>
      <c r="N4534">
        <v>1</v>
      </c>
      <c r="O4534">
        <v>0.608080808080808</v>
      </c>
      <c r="AF4534" t="s">
        <v>4938</v>
      </c>
    </row>
    <row r="4535" spans="1:32" hidden="1" x14ac:dyDescent="0.35">
      <c r="A4535">
        <v>2409</v>
      </c>
      <c r="B4535" t="s">
        <v>5008</v>
      </c>
      <c r="C4535" t="s">
        <v>72</v>
      </c>
      <c r="D4535" t="s">
        <v>58</v>
      </c>
      <c r="E4535">
        <v>1218</v>
      </c>
      <c r="F4535">
        <v>5</v>
      </c>
      <c r="G4535">
        <v>5</v>
      </c>
      <c r="H4535">
        <v>1</v>
      </c>
      <c r="I4535">
        <v>1</v>
      </c>
      <c r="J4535">
        <v>0.83511269276393796</v>
      </c>
      <c r="K4535">
        <v>0.94882533197139896</v>
      </c>
      <c r="L4535">
        <v>0.888344849382118</v>
      </c>
      <c r="M4535">
        <v>0.66292134831460703</v>
      </c>
      <c r="N4535">
        <v>1</v>
      </c>
      <c r="O4535">
        <v>0.77415730337078603</v>
      </c>
      <c r="AF4535" t="s">
        <v>5009</v>
      </c>
    </row>
    <row r="4536" spans="1:32" hidden="1" x14ac:dyDescent="0.35">
      <c r="A4536">
        <v>2410</v>
      </c>
      <c r="B4536" t="s">
        <v>5008</v>
      </c>
      <c r="C4536" t="s">
        <v>72</v>
      </c>
      <c r="D4536" t="s">
        <v>60</v>
      </c>
      <c r="E4536">
        <v>1698</v>
      </c>
      <c r="F4536">
        <v>5</v>
      </c>
      <c r="G4536">
        <v>5</v>
      </c>
      <c r="H4536">
        <v>1</v>
      </c>
      <c r="I4536">
        <v>1</v>
      </c>
      <c r="J4536">
        <v>0.83511269276393796</v>
      </c>
      <c r="K4536">
        <v>0.94882533197139896</v>
      </c>
      <c r="L4536">
        <v>0.888344849382118</v>
      </c>
      <c r="M4536">
        <v>0.66292134831460703</v>
      </c>
      <c r="N4536">
        <v>1</v>
      </c>
      <c r="O4536">
        <v>0.77415730337078603</v>
      </c>
      <c r="AF4536" t="e">
        <f>----MREVTSDELLTALLCGDSPVFHPNTGQRIEEGTVIKLSPSARAGLEAPRFCQLCGRRMVVQVRPDGWDASCSRHGRVDSAYLGQR</f>
        <v>#NAME?</v>
      </c>
    </row>
    <row r="4537" spans="1:32" hidden="1" x14ac:dyDescent="0.35">
      <c r="A4537">
        <v>2411</v>
      </c>
      <c r="B4537" t="s">
        <v>5008</v>
      </c>
      <c r="C4537" t="s">
        <v>72</v>
      </c>
      <c r="D4537" t="s">
        <v>62</v>
      </c>
      <c r="E4537">
        <v>1733</v>
      </c>
      <c r="F4537">
        <v>5</v>
      </c>
      <c r="G4537">
        <v>5</v>
      </c>
      <c r="H4537">
        <v>1</v>
      </c>
      <c r="I4537">
        <v>1</v>
      </c>
      <c r="J4537">
        <v>0.83511269276393796</v>
      </c>
      <c r="K4537">
        <v>0.94882533197139896</v>
      </c>
      <c r="L4537">
        <v>0.888344849382118</v>
      </c>
      <c r="M4537">
        <v>0.66292134831460703</v>
      </c>
      <c r="N4537">
        <v>1</v>
      </c>
      <c r="O4537">
        <v>0.77415730337078603</v>
      </c>
      <c r="AF4537" t="e">
        <f>----MREVTSDELLTALLCGDSPVFHPNTGQRIEEGTVIKLSPSARAGLEAPRFCQLCGRRMVVQVRPDGWDASCSRHGRVDSAYLGQR</f>
        <v>#NAME?</v>
      </c>
    </row>
    <row r="4538" spans="1:32" hidden="1" x14ac:dyDescent="0.35">
      <c r="A4538">
        <v>2412</v>
      </c>
      <c r="B4538" t="s">
        <v>5008</v>
      </c>
      <c r="C4538" t="s">
        <v>72</v>
      </c>
      <c r="D4538" t="s">
        <v>34</v>
      </c>
      <c r="E4538">
        <v>1035</v>
      </c>
      <c r="F4538">
        <v>5</v>
      </c>
      <c r="G4538">
        <v>5</v>
      </c>
      <c r="H4538">
        <v>1</v>
      </c>
      <c r="I4538">
        <v>1</v>
      </c>
      <c r="J4538">
        <v>0.83511269276393796</v>
      </c>
      <c r="K4538">
        <v>0.94882533197139896</v>
      </c>
      <c r="L4538">
        <v>0.888344849382118</v>
      </c>
      <c r="M4538">
        <v>0.66292134831460703</v>
      </c>
      <c r="N4538">
        <v>1</v>
      </c>
      <c r="O4538">
        <v>0.77415730337078603</v>
      </c>
      <c r="AF4538" t="e">
        <f>-----MSKESTELLEALLAGDAPRFHPNTGQNLAEDGSLKLSPSARAGLEAPRYCQLCGRRMVVQVRPDGWDARCSRHGTIDSMYLDNR</f>
        <v>#NAME?</v>
      </c>
    </row>
    <row r="4539" spans="1:32" hidden="1" x14ac:dyDescent="0.35">
      <c r="A4539">
        <v>2413</v>
      </c>
      <c r="B4539" t="s">
        <v>5008</v>
      </c>
      <c r="C4539" t="s">
        <v>72</v>
      </c>
      <c r="D4539" t="s">
        <v>45</v>
      </c>
      <c r="E4539">
        <v>2290</v>
      </c>
      <c r="F4539">
        <v>5</v>
      </c>
      <c r="G4539">
        <v>5</v>
      </c>
      <c r="H4539">
        <v>1</v>
      </c>
      <c r="I4539">
        <v>1</v>
      </c>
      <c r="J4539">
        <v>0.83511269276393796</v>
      </c>
      <c r="K4539">
        <v>0.94882533197139896</v>
      </c>
      <c r="L4539">
        <v>0.888344849382118</v>
      </c>
      <c r="M4539">
        <v>0.66292134831460703</v>
      </c>
      <c r="N4539">
        <v>1</v>
      </c>
      <c r="O4539">
        <v>0.77415730337078603</v>
      </c>
      <c r="AF4539" t="e">
        <f>-----MSKESTELLEALLAGDAPRFHPNTGQNLAEDGALKLSPSARAGLEAPRYCQLCGRRMVVQVRPDGWDARCSRHGTIDSMYLDNR</f>
        <v>#NAME?</v>
      </c>
    </row>
    <row r="4540" spans="1:32" hidden="1" x14ac:dyDescent="0.35">
      <c r="A4540">
        <v>2414</v>
      </c>
      <c r="B4540" t="s">
        <v>5010</v>
      </c>
      <c r="C4540" t="s">
        <v>72</v>
      </c>
      <c r="D4540" t="s">
        <v>58</v>
      </c>
      <c r="E4540">
        <v>978</v>
      </c>
      <c r="F4540">
        <v>5</v>
      </c>
      <c r="G4540">
        <v>5</v>
      </c>
      <c r="H4540">
        <v>1</v>
      </c>
      <c r="I4540">
        <v>1</v>
      </c>
      <c r="J4540">
        <v>0.76136437748646701</v>
      </c>
      <c r="K4540">
        <v>0.84352068942004899</v>
      </c>
      <c r="L4540">
        <v>0.80033968517779297</v>
      </c>
      <c r="M4540">
        <v>0.39805825242718401</v>
      </c>
      <c r="N4540">
        <v>1</v>
      </c>
      <c r="O4540">
        <v>0.56812297734627804</v>
      </c>
      <c r="T4540" t="s">
        <v>5011</v>
      </c>
      <c r="U4540" t="s">
        <v>5012</v>
      </c>
      <c r="AD4540" t="s">
        <v>5013</v>
      </c>
      <c r="AE4540" t="s">
        <v>5014</v>
      </c>
      <c r="AF4540" t="e">
        <f>-----------------------------------------------------------------------------------------------------------------------------MGRLLQTSSMVTMVGVGFLVTAWLLAIPFVGVALTTADKIRPRASKSLVKRTFITWVAPIILTAPLFSQDVYSYLAQGSIAAQGLDPYSGGPADLLAVDNPLVRSVPYIWAHSGSPYGPVALGIAEAISRVTHDHIVAAVFVHRLVSIVAMVVTAWALTRLAKRCAVSAQATLWLAILNPLALLHLVGGVHNETIMLGCALAGLECGLRGID-HLKMGLRRNAVL-------W--LVCGSALISCGGMVKVTGFIGLGFLGMAVAR--VLRARDVPQ---------------WLALSGAAVFEAVCLVASVALVTGVTGIGTGWISGQGGAATIRSWMSMTTNAAVGAGTLGMHLGLGDHIDSIAIFTRGVGMAVGAALTLRLLIATYLGRIHPLGGLGVSTLVLVVLFPVVHPWYVLWAVVPLAAWANRPVFRIPVIVYSALMSF--FVLPRGLALQPGTVLSIYLGALLVYLSFMLCAWWLFRKI----LA</f>
        <v>#NAME?</v>
      </c>
    </row>
    <row r="4541" spans="1:32" hidden="1" x14ac:dyDescent="0.35">
      <c r="A4541">
        <v>2415</v>
      </c>
      <c r="B4541" t="s">
        <v>5010</v>
      </c>
      <c r="C4541" t="s">
        <v>72</v>
      </c>
      <c r="D4541" t="s">
        <v>60</v>
      </c>
      <c r="E4541">
        <v>1231</v>
      </c>
      <c r="F4541">
        <v>5</v>
      </c>
      <c r="G4541">
        <v>5</v>
      </c>
      <c r="H4541">
        <v>1</v>
      </c>
      <c r="I4541">
        <v>1</v>
      </c>
      <c r="J4541">
        <v>0.76136437748646701</v>
      </c>
      <c r="K4541">
        <v>0.84352068942004899</v>
      </c>
      <c r="L4541">
        <v>0.80033968517779297</v>
      </c>
      <c r="M4541">
        <v>0.39805825242718401</v>
      </c>
      <c r="N4541">
        <v>1</v>
      </c>
      <c r="O4541">
        <v>0.56812297734627804</v>
      </c>
      <c r="T4541" t="s">
        <v>5011</v>
      </c>
      <c r="U4541" t="s">
        <v>5012</v>
      </c>
      <c r="AD4541" t="s">
        <v>5013</v>
      </c>
      <c r="AE4541" t="s">
        <v>5014</v>
      </c>
      <c r="AF4541" t="s">
        <v>5015</v>
      </c>
    </row>
    <row r="4542" spans="1:32" hidden="1" x14ac:dyDescent="0.35">
      <c r="A4542">
        <v>2416</v>
      </c>
      <c r="B4542" t="s">
        <v>5010</v>
      </c>
      <c r="C4542" t="s">
        <v>72</v>
      </c>
      <c r="D4542" t="s">
        <v>62</v>
      </c>
      <c r="E4542">
        <v>1268</v>
      </c>
      <c r="F4542">
        <v>5</v>
      </c>
      <c r="G4542">
        <v>5</v>
      </c>
      <c r="H4542">
        <v>1</v>
      </c>
      <c r="I4542">
        <v>1</v>
      </c>
      <c r="J4542">
        <v>0.76136437748646701</v>
      </c>
      <c r="K4542">
        <v>0.84352068942004899</v>
      </c>
      <c r="L4542">
        <v>0.80033968517779297</v>
      </c>
      <c r="M4542">
        <v>0.39805825242718401</v>
      </c>
      <c r="N4542">
        <v>1</v>
      </c>
      <c r="O4542">
        <v>0.56812297734627804</v>
      </c>
      <c r="T4542" t="s">
        <v>5011</v>
      </c>
      <c r="U4542" t="s">
        <v>5012</v>
      </c>
      <c r="AD4542" t="s">
        <v>5013</v>
      </c>
      <c r="AE4542" t="s">
        <v>5014</v>
      </c>
      <c r="AF4542" t="s">
        <v>5015</v>
      </c>
    </row>
    <row r="4543" spans="1:32" hidden="1" x14ac:dyDescent="0.35">
      <c r="A4543">
        <v>2417</v>
      </c>
      <c r="B4543" t="s">
        <v>5010</v>
      </c>
      <c r="C4543" t="s">
        <v>72</v>
      </c>
      <c r="D4543" t="s">
        <v>34</v>
      </c>
      <c r="E4543">
        <v>1771</v>
      </c>
      <c r="F4543">
        <v>5</v>
      </c>
      <c r="G4543">
        <v>5</v>
      </c>
      <c r="H4543">
        <v>1</v>
      </c>
      <c r="I4543">
        <v>1</v>
      </c>
      <c r="J4543">
        <v>0.76136437748646701</v>
      </c>
      <c r="K4543">
        <v>0.84352068942004899</v>
      </c>
      <c r="L4543">
        <v>0.80033968517779297</v>
      </c>
      <c r="M4543">
        <v>0.39805825242718401</v>
      </c>
      <c r="N4543">
        <v>1</v>
      </c>
      <c r="O4543">
        <v>0.56812297734627804</v>
      </c>
      <c r="T4543" t="s">
        <v>5011</v>
      </c>
      <c r="U4543" t="s">
        <v>5012</v>
      </c>
      <c r="AD4543" t="s">
        <v>5013</v>
      </c>
      <c r="AE4543" t="s">
        <v>5014</v>
      </c>
      <c r="AF4543" t="s">
        <v>5016</v>
      </c>
    </row>
    <row r="4544" spans="1:32" hidden="1" x14ac:dyDescent="0.35">
      <c r="A4544">
        <v>2418</v>
      </c>
      <c r="B4544" t="s">
        <v>5010</v>
      </c>
      <c r="C4544" t="s">
        <v>72</v>
      </c>
      <c r="D4544" t="s">
        <v>45</v>
      </c>
      <c r="E4544">
        <v>1102</v>
      </c>
      <c r="F4544">
        <v>5</v>
      </c>
      <c r="G4544">
        <v>5</v>
      </c>
      <c r="H4544">
        <v>1</v>
      </c>
      <c r="I4544">
        <v>1</v>
      </c>
      <c r="J4544">
        <v>0.76136437748646701</v>
      </c>
      <c r="K4544">
        <v>0.84352068942004899</v>
      </c>
      <c r="L4544">
        <v>0.80033968517779297</v>
      </c>
      <c r="M4544">
        <v>0.39805825242718401</v>
      </c>
      <c r="N4544">
        <v>1</v>
      </c>
      <c r="O4544">
        <v>0.56812297734627804</v>
      </c>
      <c r="T4544" t="s">
        <v>5011</v>
      </c>
      <c r="U4544" t="s">
        <v>5012</v>
      </c>
      <c r="AD4544" t="s">
        <v>5013</v>
      </c>
      <c r="AE4544" t="s">
        <v>5014</v>
      </c>
      <c r="AF4544" t="s">
        <v>5017</v>
      </c>
    </row>
    <row r="4545" spans="1:32" hidden="1" x14ac:dyDescent="0.35">
      <c r="A4545">
        <v>2609</v>
      </c>
      <c r="B4545" t="s">
        <v>5405</v>
      </c>
      <c r="C4545" t="s">
        <v>72</v>
      </c>
      <c r="D4545" t="s">
        <v>58</v>
      </c>
      <c r="E4545">
        <v>337</v>
      </c>
      <c r="F4545">
        <v>5</v>
      </c>
      <c r="G4545">
        <v>5</v>
      </c>
      <c r="H4545">
        <v>1</v>
      </c>
      <c r="I4545">
        <v>1</v>
      </c>
      <c r="J4545">
        <v>0.85082508250825095</v>
      </c>
      <c r="K4545">
        <v>0.87580312407898497</v>
      </c>
      <c r="L4545">
        <v>0.86313343250464103</v>
      </c>
      <c r="M4545">
        <v>0.64957264957265004</v>
      </c>
      <c r="N4545">
        <v>1</v>
      </c>
      <c r="O4545">
        <v>0.75726495726495702</v>
      </c>
      <c r="P4545" t="s">
        <v>801</v>
      </c>
      <c r="Q4545" t="s">
        <v>802</v>
      </c>
      <c r="T4545" t="s">
        <v>803</v>
      </c>
      <c r="U4545" t="s">
        <v>804</v>
      </c>
      <c r="AD4545" t="s">
        <v>312</v>
      </c>
      <c r="AE4545" t="s">
        <v>805</v>
      </c>
      <c r="AF4545" t="s">
        <v>5406</v>
      </c>
    </row>
    <row r="4546" spans="1:32" hidden="1" x14ac:dyDescent="0.35">
      <c r="A4546">
        <v>2610</v>
      </c>
      <c r="B4546" t="s">
        <v>5405</v>
      </c>
      <c r="C4546" t="s">
        <v>72</v>
      </c>
      <c r="D4546" t="s">
        <v>60</v>
      </c>
      <c r="E4546">
        <v>573</v>
      </c>
      <c r="F4546">
        <v>5</v>
      </c>
      <c r="G4546">
        <v>5</v>
      </c>
      <c r="H4546">
        <v>1</v>
      </c>
      <c r="I4546">
        <v>1</v>
      </c>
      <c r="J4546">
        <v>0.85082508250825095</v>
      </c>
      <c r="K4546">
        <v>0.87580312407898497</v>
      </c>
      <c r="L4546">
        <v>0.86313343250464103</v>
      </c>
      <c r="M4546">
        <v>0.64957264957265004</v>
      </c>
      <c r="N4546">
        <v>1</v>
      </c>
      <c r="O4546">
        <v>0.75726495726495702</v>
      </c>
      <c r="P4546" t="s">
        <v>801</v>
      </c>
      <c r="Q4546" t="s">
        <v>802</v>
      </c>
      <c r="T4546" t="s">
        <v>803</v>
      </c>
      <c r="U4546" t="s">
        <v>804</v>
      </c>
      <c r="AD4546" t="s">
        <v>312</v>
      </c>
      <c r="AE4546" t="s">
        <v>805</v>
      </c>
      <c r="AF4546" t="s">
        <v>5407</v>
      </c>
    </row>
    <row r="4547" spans="1:32" hidden="1" x14ac:dyDescent="0.35">
      <c r="A4547">
        <v>2611</v>
      </c>
      <c r="B4547" t="s">
        <v>5405</v>
      </c>
      <c r="C4547" t="s">
        <v>72</v>
      </c>
      <c r="D4547" t="s">
        <v>62</v>
      </c>
      <c r="E4547">
        <v>657</v>
      </c>
      <c r="F4547">
        <v>5</v>
      </c>
      <c r="G4547">
        <v>5</v>
      </c>
      <c r="H4547">
        <v>1</v>
      </c>
      <c r="I4547">
        <v>1</v>
      </c>
      <c r="J4547">
        <v>0.85082508250825095</v>
      </c>
      <c r="K4547">
        <v>0.87580312407898497</v>
      </c>
      <c r="L4547">
        <v>0.86313343250464103</v>
      </c>
      <c r="M4547">
        <v>0.64957264957265004</v>
      </c>
      <c r="N4547">
        <v>1</v>
      </c>
      <c r="O4547">
        <v>0.75726495726495702</v>
      </c>
      <c r="P4547" t="s">
        <v>801</v>
      </c>
      <c r="Q4547" t="s">
        <v>802</v>
      </c>
      <c r="T4547" t="s">
        <v>803</v>
      </c>
      <c r="U4547" t="s">
        <v>804</v>
      </c>
      <c r="AD4547" t="s">
        <v>312</v>
      </c>
      <c r="AE4547" t="s">
        <v>805</v>
      </c>
      <c r="AF4547" t="s">
        <v>5407</v>
      </c>
    </row>
    <row r="4548" spans="1:32" hidden="1" x14ac:dyDescent="0.35">
      <c r="A4548">
        <v>2612</v>
      </c>
      <c r="B4548" t="s">
        <v>5405</v>
      </c>
      <c r="C4548" t="s">
        <v>72</v>
      </c>
      <c r="D4548" t="s">
        <v>34</v>
      </c>
      <c r="E4548">
        <v>519</v>
      </c>
      <c r="F4548">
        <v>5</v>
      </c>
      <c r="G4548">
        <v>5</v>
      </c>
      <c r="H4548">
        <v>1</v>
      </c>
      <c r="I4548">
        <v>1</v>
      </c>
      <c r="J4548">
        <v>0.85082508250825095</v>
      </c>
      <c r="K4548">
        <v>0.87580312407898497</v>
      </c>
      <c r="L4548">
        <v>0.86313343250464103</v>
      </c>
      <c r="M4548">
        <v>0.64957264957265004</v>
      </c>
      <c r="N4548">
        <v>1</v>
      </c>
      <c r="O4548">
        <v>0.75726495726495702</v>
      </c>
      <c r="P4548" t="s">
        <v>801</v>
      </c>
      <c r="Q4548" t="s">
        <v>802</v>
      </c>
      <c r="T4548" t="s">
        <v>803</v>
      </c>
      <c r="U4548" t="s">
        <v>804</v>
      </c>
      <c r="AD4548" t="s">
        <v>312</v>
      </c>
      <c r="AE4548" t="s">
        <v>805</v>
      </c>
      <c r="AF4548" t="s">
        <v>5408</v>
      </c>
    </row>
    <row r="4549" spans="1:32" hidden="1" x14ac:dyDescent="0.35">
      <c r="A4549">
        <v>2613</v>
      </c>
      <c r="B4549" t="s">
        <v>5405</v>
      </c>
      <c r="C4549" t="s">
        <v>72</v>
      </c>
      <c r="D4549" t="s">
        <v>45</v>
      </c>
      <c r="E4549">
        <v>1784</v>
      </c>
      <c r="F4549">
        <v>5</v>
      </c>
      <c r="G4549">
        <v>5</v>
      </c>
      <c r="H4549">
        <v>1</v>
      </c>
      <c r="I4549">
        <v>1</v>
      </c>
      <c r="J4549">
        <v>0.85082508250825095</v>
      </c>
      <c r="K4549">
        <v>0.87580312407898497</v>
      </c>
      <c r="L4549">
        <v>0.86313343250464103</v>
      </c>
      <c r="M4549">
        <v>0.64957264957265004</v>
      </c>
      <c r="N4549">
        <v>1</v>
      </c>
      <c r="O4549">
        <v>0.75726495726495702</v>
      </c>
      <c r="P4549" t="s">
        <v>801</v>
      </c>
      <c r="Q4549" t="s">
        <v>802</v>
      </c>
      <c r="T4549" t="s">
        <v>803</v>
      </c>
      <c r="U4549" t="s">
        <v>804</v>
      </c>
      <c r="AD4549" t="s">
        <v>312</v>
      </c>
      <c r="AE4549" t="s">
        <v>805</v>
      </c>
      <c r="AF4549" t="s">
        <v>5408</v>
      </c>
    </row>
    <row r="4550" spans="1:32" hidden="1" x14ac:dyDescent="0.35">
      <c r="A4550">
        <v>2834</v>
      </c>
      <c r="B4550" t="s">
        <v>5867</v>
      </c>
      <c r="C4550" t="s">
        <v>72</v>
      </c>
      <c r="D4550" t="s">
        <v>58</v>
      </c>
      <c r="E4550">
        <v>1311</v>
      </c>
      <c r="F4550">
        <v>5</v>
      </c>
      <c r="G4550">
        <v>5</v>
      </c>
      <c r="H4550">
        <v>1</v>
      </c>
      <c r="I4550">
        <v>1</v>
      </c>
      <c r="J4550">
        <v>0.78355812459858698</v>
      </c>
      <c r="K4550">
        <v>0.85697613427747299</v>
      </c>
      <c r="L4550">
        <v>0.81862430969316802</v>
      </c>
      <c r="M4550">
        <v>0.47580645161290303</v>
      </c>
      <c r="N4550">
        <v>1</v>
      </c>
      <c r="O4550">
        <v>0.62096774193548399</v>
      </c>
      <c r="P4550" t="s">
        <v>5868</v>
      </c>
      <c r="Q4550" t="s">
        <v>5869</v>
      </c>
      <c r="AF4550" t="s">
        <v>5870</v>
      </c>
    </row>
    <row r="4551" spans="1:32" hidden="1" x14ac:dyDescent="0.35">
      <c r="A4551">
        <v>2835</v>
      </c>
      <c r="B4551" t="s">
        <v>5867</v>
      </c>
      <c r="C4551" t="s">
        <v>72</v>
      </c>
      <c r="D4551" t="s">
        <v>60</v>
      </c>
      <c r="E4551">
        <v>1766</v>
      </c>
      <c r="F4551">
        <v>5</v>
      </c>
      <c r="G4551">
        <v>5</v>
      </c>
      <c r="H4551">
        <v>1</v>
      </c>
      <c r="I4551">
        <v>1</v>
      </c>
      <c r="J4551">
        <v>0.78355812459858698</v>
      </c>
      <c r="K4551">
        <v>0.85697613427747299</v>
      </c>
      <c r="L4551">
        <v>0.81862430969316802</v>
      </c>
      <c r="M4551">
        <v>0.47580645161290303</v>
      </c>
      <c r="N4551">
        <v>1</v>
      </c>
      <c r="O4551">
        <v>0.62096774193548399</v>
      </c>
      <c r="P4551" t="s">
        <v>5868</v>
      </c>
      <c r="Q4551" t="s">
        <v>5869</v>
      </c>
      <c r="AF4551" t="s">
        <v>5871</v>
      </c>
    </row>
    <row r="4552" spans="1:32" hidden="1" x14ac:dyDescent="0.35">
      <c r="A4552">
        <v>2836</v>
      </c>
      <c r="B4552" t="s">
        <v>5867</v>
      </c>
      <c r="C4552" t="s">
        <v>72</v>
      </c>
      <c r="D4552" t="s">
        <v>62</v>
      </c>
      <c r="E4552">
        <v>1802</v>
      </c>
      <c r="F4552">
        <v>5</v>
      </c>
      <c r="G4552">
        <v>5</v>
      </c>
      <c r="H4552">
        <v>1</v>
      </c>
      <c r="I4552">
        <v>1</v>
      </c>
      <c r="J4552">
        <v>0.78355812459858698</v>
      </c>
      <c r="K4552">
        <v>0.85697613427747299</v>
      </c>
      <c r="L4552">
        <v>0.81862430969316802</v>
      </c>
      <c r="M4552">
        <v>0.47580645161290303</v>
      </c>
      <c r="N4552">
        <v>1</v>
      </c>
      <c r="O4552">
        <v>0.62096774193548399</v>
      </c>
      <c r="P4552" t="s">
        <v>5868</v>
      </c>
      <c r="Q4552" t="s">
        <v>5869</v>
      </c>
      <c r="AF4552" t="s">
        <v>5871</v>
      </c>
    </row>
    <row r="4553" spans="1:32" hidden="1" x14ac:dyDescent="0.35">
      <c r="A4553">
        <v>2837</v>
      </c>
      <c r="B4553" t="s">
        <v>5867</v>
      </c>
      <c r="C4553" t="s">
        <v>72</v>
      </c>
      <c r="D4553" t="s">
        <v>34</v>
      </c>
      <c r="E4553">
        <v>2133</v>
      </c>
      <c r="F4553">
        <v>5</v>
      </c>
      <c r="G4553">
        <v>5</v>
      </c>
      <c r="H4553">
        <v>1</v>
      </c>
      <c r="I4553">
        <v>1</v>
      </c>
      <c r="J4553">
        <v>0.78355812459858698</v>
      </c>
      <c r="K4553">
        <v>0.85697613427747299</v>
      </c>
      <c r="L4553">
        <v>0.81862430969316802</v>
      </c>
      <c r="M4553">
        <v>0.47580645161290303</v>
      </c>
      <c r="N4553">
        <v>1</v>
      </c>
      <c r="O4553">
        <v>0.62096774193548399</v>
      </c>
      <c r="P4553" t="s">
        <v>5868</v>
      </c>
      <c r="Q4553" t="s">
        <v>5869</v>
      </c>
      <c r="AF4553" t="e">
        <f>----------------------------MGVKTTHVRDLIGERKLICVYKNGVRHLPAAFLTDKGTLNKFVPGVIALLIDGGYSDAEIFRYLFTDDPSLPGQPIAALHGHLAREVMRRAQAMAL</f>
        <v>#NAME?</v>
      </c>
    </row>
    <row r="4554" spans="1:32" hidden="1" x14ac:dyDescent="0.35">
      <c r="A4554">
        <v>2838</v>
      </c>
      <c r="B4554" t="s">
        <v>5867</v>
      </c>
      <c r="C4554" t="s">
        <v>72</v>
      </c>
      <c r="D4554" t="s">
        <v>45</v>
      </c>
      <c r="E4554">
        <v>739</v>
      </c>
      <c r="F4554">
        <v>5</v>
      </c>
      <c r="G4554">
        <v>5</v>
      </c>
      <c r="H4554">
        <v>1</v>
      </c>
      <c r="I4554">
        <v>1</v>
      </c>
      <c r="J4554">
        <v>0.78355812459858698</v>
      </c>
      <c r="K4554">
        <v>0.85697613427747299</v>
      </c>
      <c r="L4554">
        <v>0.81862430969316802</v>
      </c>
      <c r="M4554">
        <v>0.47580645161290303</v>
      </c>
      <c r="N4554">
        <v>1</v>
      </c>
      <c r="O4554">
        <v>0.62096774193548399</v>
      </c>
      <c r="P4554" t="s">
        <v>5868</v>
      </c>
      <c r="Q4554" t="s">
        <v>5869</v>
      </c>
      <c r="AF4554" t="e">
        <f>----------------------------MGVKTTHVRDLIGERKLICVYKNGVRHLPAAFLTDKGTLNKFVPGVIALLIDGGYSDAEIFRYLFTDDPSLPGQPIAALHGHLAREVMRRAQAMAL</f>
        <v>#NAME?</v>
      </c>
    </row>
    <row r="4555" spans="1:32" hidden="1" x14ac:dyDescent="0.35">
      <c r="A4555">
        <v>2844</v>
      </c>
      <c r="B4555" t="s">
        <v>5885</v>
      </c>
      <c r="C4555" t="s">
        <v>72</v>
      </c>
      <c r="D4555" t="s">
        <v>58</v>
      </c>
      <c r="E4555">
        <v>1073</v>
      </c>
      <c r="F4555">
        <v>5</v>
      </c>
      <c r="G4555">
        <v>5</v>
      </c>
      <c r="H4555">
        <v>1</v>
      </c>
      <c r="I4555">
        <v>1</v>
      </c>
      <c r="J4555">
        <v>0.89072164948453603</v>
      </c>
      <c r="K4555">
        <v>1</v>
      </c>
      <c r="L4555">
        <v>0.94220283533260596</v>
      </c>
      <c r="M4555">
        <v>0.77319587628866004</v>
      </c>
      <c r="N4555">
        <v>1</v>
      </c>
      <c r="O4555">
        <v>0.86185567010309305</v>
      </c>
      <c r="P4555" t="s">
        <v>5886</v>
      </c>
      <c r="Q4555" t="s">
        <v>5887</v>
      </c>
      <c r="AF4555" t="s">
        <v>5888</v>
      </c>
    </row>
    <row r="4556" spans="1:32" hidden="1" x14ac:dyDescent="0.35">
      <c r="A4556">
        <v>2845</v>
      </c>
      <c r="B4556" t="s">
        <v>5885</v>
      </c>
      <c r="C4556" t="s">
        <v>72</v>
      </c>
      <c r="D4556" t="s">
        <v>60</v>
      </c>
      <c r="E4556">
        <v>1448</v>
      </c>
      <c r="F4556">
        <v>5</v>
      </c>
      <c r="G4556">
        <v>5</v>
      </c>
      <c r="H4556">
        <v>1</v>
      </c>
      <c r="I4556">
        <v>1</v>
      </c>
      <c r="J4556">
        <v>0.89072164948453603</v>
      </c>
      <c r="K4556">
        <v>1</v>
      </c>
      <c r="L4556">
        <v>0.94220283533260596</v>
      </c>
      <c r="M4556">
        <v>0.77319587628866004</v>
      </c>
      <c r="N4556">
        <v>1</v>
      </c>
      <c r="O4556">
        <v>0.86185567010309305</v>
      </c>
      <c r="P4556" t="s">
        <v>5886</v>
      </c>
      <c r="Q4556" t="s">
        <v>5887</v>
      </c>
      <c r="AF4556" t="s">
        <v>5889</v>
      </c>
    </row>
    <row r="4557" spans="1:32" hidden="1" x14ac:dyDescent="0.35">
      <c r="A4557">
        <v>2846</v>
      </c>
      <c r="B4557" t="s">
        <v>5885</v>
      </c>
      <c r="C4557" t="s">
        <v>72</v>
      </c>
      <c r="D4557" t="s">
        <v>62</v>
      </c>
      <c r="E4557">
        <v>1483</v>
      </c>
      <c r="F4557">
        <v>5</v>
      </c>
      <c r="G4557">
        <v>5</v>
      </c>
      <c r="H4557">
        <v>1</v>
      </c>
      <c r="I4557">
        <v>1</v>
      </c>
      <c r="J4557">
        <v>0.89072164948453603</v>
      </c>
      <c r="K4557">
        <v>1</v>
      </c>
      <c r="L4557">
        <v>0.94220283533260596</v>
      </c>
      <c r="M4557">
        <v>0.77319587628866004</v>
      </c>
      <c r="N4557">
        <v>1</v>
      </c>
      <c r="O4557">
        <v>0.86185567010309305</v>
      </c>
      <c r="P4557" t="s">
        <v>5886</v>
      </c>
      <c r="Q4557" t="s">
        <v>5887</v>
      </c>
      <c r="AF4557" t="s">
        <v>5889</v>
      </c>
    </row>
    <row r="4558" spans="1:32" hidden="1" x14ac:dyDescent="0.35">
      <c r="A4558">
        <v>2847</v>
      </c>
      <c r="B4558" t="s">
        <v>5885</v>
      </c>
      <c r="C4558" t="s">
        <v>72</v>
      </c>
      <c r="D4558" t="s">
        <v>34</v>
      </c>
      <c r="E4558">
        <v>1878</v>
      </c>
      <c r="F4558">
        <v>5</v>
      </c>
      <c r="G4558">
        <v>5</v>
      </c>
      <c r="H4558">
        <v>1</v>
      </c>
      <c r="I4558">
        <v>1</v>
      </c>
      <c r="J4558">
        <v>0.89072164948453603</v>
      </c>
      <c r="K4558">
        <v>1</v>
      </c>
      <c r="L4558">
        <v>0.94220283533260596</v>
      </c>
      <c r="M4558">
        <v>0.77319587628866004</v>
      </c>
      <c r="N4558">
        <v>1</v>
      </c>
      <c r="O4558">
        <v>0.86185567010309305</v>
      </c>
      <c r="P4558" t="s">
        <v>5886</v>
      </c>
      <c r="Q4558" t="s">
        <v>5887</v>
      </c>
      <c r="AF4558" t="s">
        <v>5890</v>
      </c>
    </row>
    <row r="4559" spans="1:32" hidden="1" x14ac:dyDescent="0.35">
      <c r="A4559">
        <v>2848</v>
      </c>
      <c r="B4559" t="s">
        <v>5885</v>
      </c>
      <c r="C4559" t="s">
        <v>72</v>
      </c>
      <c r="D4559" t="s">
        <v>45</v>
      </c>
      <c r="E4559">
        <v>995</v>
      </c>
      <c r="F4559">
        <v>5</v>
      </c>
      <c r="G4559">
        <v>5</v>
      </c>
      <c r="H4559">
        <v>1</v>
      </c>
      <c r="I4559">
        <v>1</v>
      </c>
      <c r="J4559">
        <v>0.89072164948453603</v>
      </c>
      <c r="K4559">
        <v>1</v>
      </c>
      <c r="L4559">
        <v>0.94220283533260596</v>
      </c>
      <c r="M4559">
        <v>0.77319587628866004</v>
      </c>
      <c r="N4559">
        <v>1</v>
      </c>
      <c r="O4559">
        <v>0.86185567010309305</v>
      </c>
      <c r="P4559" t="s">
        <v>5886</v>
      </c>
      <c r="Q4559" t="s">
        <v>5887</v>
      </c>
      <c r="AF4559" t="s">
        <v>5890</v>
      </c>
    </row>
    <row r="4560" spans="1:32" hidden="1" x14ac:dyDescent="0.35">
      <c r="A4560">
        <v>2849</v>
      </c>
      <c r="B4560" t="s">
        <v>5891</v>
      </c>
      <c r="C4560" t="s">
        <v>72</v>
      </c>
      <c r="D4560" t="s">
        <v>58</v>
      </c>
      <c r="E4560">
        <v>315</v>
      </c>
      <c r="F4560">
        <v>5</v>
      </c>
      <c r="G4560">
        <v>5</v>
      </c>
      <c r="H4560">
        <v>1</v>
      </c>
      <c r="I4560">
        <v>1</v>
      </c>
      <c r="J4560">
        <v>0.74691358024691401</v>
      </c>
      <c r="K4560">
        <v>0.829135220125785</v>
      </c>
      <c r="L4560">
        <v>0.78587967025705596</v>
      </c>
      <c r="M4560">
        <v>0.46250000000000002</v>
      </c>
      <c r="N4560">
        <v>1</v>
      </c>
      <c r="O4560">
        <v>0.63500000000000001</v>
      </c>
      <c r="P4560" t="s">
        <v>5892</v>
      </c>
      <c r="Q4560" t="s">
        <v>5893</v>
      </c>
      <c r="AF4560" t="s">
        <v>5894</v>
      </c>
    </row>
    <row r="4561" spans="1:32" hidden="1" x14ac:dyDescent="0.35">
      <c r="A4561">
        <v>2850</v>
      </c>
      <c r="B4561" t="s">
        <v>5891</v>
      </c>
      <c r="C4561" t="s">
        <v>72</v>
      </c>
      <c r="D4561" t="s">
        <v>60</v>
      </c>
      <c r="E4561">
        <v>81</v>
      </c>
      <c r="F4561">
        <v>5</v>
      </c>
      <c r="G4561">
        <v>5</v>
      </c>
      <c r="H4561">
        <v>1</v>
      </c>
      <c r="I4561">
        <v>1</v>
      </c>
      <c r="J4561">
        <v>0.74691358024691401</v>
      </c>
      <c r="K4561">
        <v>0.829135220125785</v>
      </c>
      <c r="L4561">
        <v>0.78587967025705596</v>
      </c>
      <c r="M4561">
        <v>0.46250000000000002</v>
      </c>
      <c r="N4561">
        <v>1</v>
      </c>
      <c r="O4561">
        <v>0.63500000000000001</v>
      </c>
      <c r="P4561" t="s">
        <v>5892</v>
      </c>
      <c r="Q4561" t="s">
        <v>5893</v>
      </c>
      <c r="AF4561" t="s">
        <v>5895</v>
      </c>
    </row>
    <row r="4562" spans="1:32" hidden="1" x14ac:dyDescent="0.35">
      <c r="A4562">
        <v>2851</v>
      </c>
      <c r="B4562" t="s">
        <v>5891</v>
      </c>
      <c r="C4562" t="s">
        <v>72</v>
      </c>
      <c r="D4562" t="s">
        <v>62</v>
      </c>
      <c r="E4562">
        <v>154</v>
      </c>
      <c r="F4562">
        <v>5</v>
      </c>
      <c r="G4562">
        <v>5</v>
      </c>
      <c r="H4562">
        <v>1</v>
      </c>
      <c r="I4562">
        <v>1</v>
      </c>
      <c r="J4562">
        <v>0.74691358024691401</v>
      </c>
      <c r="K4562">
        <v>0.829135220125785</v>
      </c>
      <c r="L4562">
        <v>0.78587967025705596</v>
      </c>
      <c r="M4562">
        <v>0.46250000000000002</v>
      </c>
      <c r="N4562">
        <v>1</v>
      </c>
      <c r="O4562">
        <v>0.63500000000000001</v>
      </c>
      <c r="P4562" t="s">
        <v>5892</v>
      </c>
      <c r="Q4562" t="s">
        <v>5893</v>
      </c>
      <c r="AF4562" t="s">
        <v>5896</v>
      </c>
    </row>
    <row r="4563" spans="1:32" hidden="1" x14ac:dyDescent="0.35">
      <c r="A4563">
        <v>2852</v>
      </c>
      <c r="B4563" t="s">
        <v>5891</v>
      </c>
      <c r="C4563" t="s">
        <v>72</v>
      </c>
      <c r="D4563" t="s">
        <v>34</v>
      </c>
      <c r="E4563">
        <v>551</v>
      </c>
      <c r="F4563">
        <v>5</v>
      </c>
      <c r="G4563">
        <v>5</v>
      </c>
      <c r="H4563">
        <v>1</v>
      </c>
      <c r="I4563">
        <v>1</v>
      </c>
      <c r="J4563">
        <v>0.74691358024691401</v>
      </c>
      <c r="K4563">
        <v>0.829135220125785</v>
      </c>
      <c r="L4563">
        <v>0.78587967025705596</v>
      </c>
      <c r="M4563">
        <v>0.46250000000000002</v>
      </c>
      <c r="N4563">
        <v>1</v>
      </c>
      <c r="O4563">
        <v>0.63500000000000001</v>
      </c>
      <c r="P4563" t="s">
        <v>5892</v>
      </c>
      <c r="Q4563" t="s">
        <v>5893</v>
      </c>
      <c r="AF4563" t="e">
        <f>-------------MTQFNDMLAPPPIKLPKDLVPTPITE----SVVLAHPASPLAWATLAEEKIAAAAATPDDPATQAVAYAYARTGYHRSLDRLRANGWKGWGPVPYSHLPNQGVLRAIAALARASVMIGDQAEYDRCRQMLSDADPDCVGPLLDEPLK</f>
        <v>#NAME?</v>
      </c>
    </row>
    <row r="4564" spans="1:32" hidden="1" x14ac:dyDescent="0.35">
      <c r="A4564">
        <v>2853</v>
      </c>
      <c r="B4564" t="s">
        <v>5891</v>
      </c>
      <c r="C4564" t="s">
        <v>72</v>
      </c>
      <c r="D4564" t="s">
        <v>45</v>
      </c>
      <c r="E4564">
        <v>1818</v>
      </c>
      <c r="F4564">
        <v>5</v>
      </c>
      <c r="G4564">
        <v>5</v>
      </c>
      <c r="H4564">
        <v>1</v>
      </c>
      <c r="I4564">
        <v>1</v>
      </c>
      <c r="J4564">
        <v>0.74691358024691401</v>
      </c>
      <c r="K4564">
        <v>0.829135220125785</v>
      </c>
      <c r="L4564">
        <v>0.78587967025705596</v>
      </c>
      <c r="M4564">
        <v>0.46250000000000002</v>
      </c>
      <c r="N4564">
        <v>1</v>
      </c>
      <c r="O4564">
        <v>0.63500000000000001</v>
      </c>
      <c r="P4564" t="s">
        <v>5892</v>
      </c>
      <c r="Q4564" t="s">
        <v>5893</v>
      </c>
      <c r="AF4564" t="e">
        <f>-------------MTQFNDMLAPPPIKLPKDLVPTPITE----SVVLAHPASPLAWATLAEEKIAAAAATPDDPATQAVAYAYARTGYHRSLDRLRANGWKGWGPVPYSHLPNQGVLRAIAALARASVMIGDQAEYDRCRQMLSDADPDCVGPLLDEPLK</f>
        <v>#NAME?</v>
      </c>
    </row>
    <row r="4565" spans="1:32" hidden="1" x14ac:dyDescent="0.35">
      <c r="A4565">
        <v>2869</v>
      </c>
      <c r="B4565" t="s">
        <v>5932</v>
      </c>
      <c r="C4565" t="s">
        <v>72</v>
      </c>
      <c r="D4565" t="s">
        <v>58</v>
      </c>
      <c r="E4565">
        <v>1380</v>
      </c>
      <c r="F4565">
        <v>5</v>
      </c>
      <c r="G4565">
        <v>5</v>
      </c>
      <c r="H4565">
        <v>1</v>
      </c>
      <c r="I4565">
        <v>1</v>
      </c>
      <c r="J4565">
        <v>0.85134575569358195</v>
      </c>
      <c r="K4565">
        <v>0.94873949579831895</v>
      </c>
      <c r="L4565">
        <v>0.89740787814059997</v>
      </c>
      <c r="M4565">
        <v>0.65882352941176503</v>
      </c>
      <c r="N4565">
        <v>1</v>
      </c>
      <c r="O4565">
        <v>0.75882352941176501</v>
      </c>
      <c r="AF4565" t="s">
        <v>5933</v>
      </c>
    </row>
    <row r="4566" spans="1:32" hidden="1" x14ac:dyDescent="0.35">
      <c r="A4566">
        <v>2870</v>
      </c>
      <c r="B4566" t="s">
        <v>5932</v>
      </c>
      <c r="C4566" t="s">
        <v>72</v>
      </c>
      <c r="D4566" t="s">
        <v>60</v>
      </c>
      <c r="E4566">
        <v>1874</v>
      </c>
      <c r="F4566">
        <v>5</v>
      </c>
      <c r="G4566">
        <v>5</v>
      </c>
      <c r="H4566">
        <v>1</v>
      </c>
      <c r="I4566">
        <v>1</v>
      </c>
      <c r="J4566">
        <v>0.85134575569358195</v>
      </c>
      <c r="K4566">
        <v>0.94873949579831895</v>
      </c>
      <c r="L4566">
        <v>0.89740787814059997</v>
      </c>
      <c r="M4566">
        <v>0.65882352941176503</v>
      </c>
      <c r="N4566">
        <v>1</v>
      </c>
      <c r="O4566">
        <v>0.75882352941176501</v>
      </c>
      <c r="AF4566" t="s">
        <v>5934</v>
      </c>
    </row>
    <row r="4567" spans="1:32" hidden="1" x14ac:dyDescent="0.35">
      <c r="A4567">
        <v>2871</v>
      </c>
      <c r="B4567" t="s">
        <v>5932</v>
      </c>
      <c r="C4567" t="s">
        <v>72</v>
      </c>
      <c r="D4567" t="s">
        <v>62</v>
      </c>
      <c r="E4567">
        <v>1913</v>
      </c>
      <c r="F4567">
        <v>5</v>
      </c>
      <c r="G4567">
        <v>5</v>
      </c>
      <c r="H4567">
        <v>1</v>
      </c>
      <c r="I4567">
        <v>1</v>
      </c>
      <c r="J4567">
        <v>0.85134575569358195</v>
      </c>
      <c r="K4567">
        <v>0.94873949579831895</v>
      </c>
      <c r="L4567">
        <v>0.89740787814059997</v>
      </c>
      <c r="M4567">
        <v>0.65882352941176503</v>
      </c>
      <c r="N4567">
        <v>1</v>
      </c>
      <c r="O4567">
        <v>0.75882352941176501</v>
      </c>
      <c r="AF4567" t="s">
        <v>5935</v>
      </c>
    </row>
    <row r="4568" spans="1:32" hidden="1" x14ac:dyDescent="0.35">
      <c r="A4568">
        <v>2872</v>
      </c>
      <c r="B4568" t="s">
        <v>5932</v>
      </c>
      <c r="C4568" t="s">
        <v>72</v>
      </c>
      <c r="D4568" t="s">
        <v>34</v>
      </c>
      <c r="E4568">
        <v>2222</v>
      </c>
      <c r="F4568">
        <v>5</v>
      </c>
      <c r="G4568">
        <v>5</v>
      </c>
      <c r="H4568">
        <v>1</v>
      </c>
      <c r="I4568">
        <v>1</v>
      </c>
      <c r="J4568">
        <v>0.85134575569358195</v>
      </c>
      <c r="K4568">
        <v>0.94873949579831895</v>
      </c>
      <c r="L4568">
        <v>0.89740787814059997</v>
      </c>
      <c r="M4568">
        <v>0.65882352941176503</v>
      </c>
      <c r="N4568">
        <v>1</v>
      </c>
      <c r="O4568">
        <v>0.75882352941176501</v>
      </c>
      <c r="AF4568" t="s">
        <v>5936</v>
      </c>
    </row>
    <row r="4569" spans="1:32" hidden="1" x14ac:dyDescent="0.35">
      <c r="A4569">
        <v>2873</v>
      </c>
      <c r="B4569" t="s">
        <v>5932</v>
      </c>
      <c r="C4569" t="s">
        <v>72</v>
      </c>
      <c r="D4569" t="s">
        <v>45</v>
      </c>
      <c r="E4569">
        <v>654</v>
      </c>
      <c r="F4569">
        <v>5</v>
      </c>
      <c r="G4569">
        <v>5</v>
      </c>
      <c r="H4569">
        <v>1</v>
      </c>
      <c r="I4569">
        <v>1</v>
      </c>
      <c r="J4569">
        <v>0.85134575569358195</v>
      </c>
      <c r="K4569">
        <v>0.94873949579831895</v>
      </c>
      <c r="L4569">
        <v>0.89740787814059997</v>
      </c>
      <c r="M4569">
        <v>0.65882352941176503</v>
      </c>
      <c r="N4569">
        <v>1</v>
      </c>
      <c r="O4569">
        <v>0.75882352941176501</v>
      </c>
      <c r="AF4569" t="s">
        <v>5936</v>
      </c>
    </row>
    <row r="4570" spans="1:32" hidden="1" x14ac:dyDescent="0.35">
      <c r="A4570">
        <v>2874</v>
      </c>
      <c r="B4570" t="s">
        <v>5937</v>
      </c>
      <c r="C4570" t="s">
        <v>72</v>
      </c>
      <c r="D4570" t="s">
        <v>58</v>
      </c>
      <c r="E4570">
        <v>109</v>
      </c>
      <c r="F4570">
        <v>5</v>
      </c>
      <c r="G4570">
        <v>5</v>
      </c>
      <c r="H4570">
        <v>1</v>
      </c>
      <c r="I4570">
        <v>1</v>
      </c>
      <c r="J4570">
        <v>0.79641070903206801</v>
      </c>
      <c r="K4570">
        <v>0.90652063492063495</v>
      </c>
      <c r="L4570">
        <v>0.84790587027846198</v>
      </c>
      <c r="M4570">
        <v>0.59523809523809501</v>
      </c>
      <c r="N4570">
        <v>1</v>
      </c>
      <c r="O4570">
        <v>0.73174603174603203</v>
      </c>
      <c r="P4570" t="s">
        <v>801</v>
      </c>
      <c r="Q4570" t="s">
        <v>802</v>
      </c>
      <c r="T4570" t="s">
        <v>803</v>
      </c>
      <c r="U4570" t="s">
        <v>804</v>
      </c>
      <c r="AD4570" t="s">
        <v>312</v>
      </c>
      <c r="AE4570" t="s">
        <v>805</v>
      </c>
      <c r="AF4570" t="s">
        <v>5938</v>
      </c>
    </row>
    <row r="4571" spans="1:32" hidden="1" x14ac:dyDescent="0.35">
      <c r="A4571">
        <v>2875</v>
      </c>
      <c r="B4571" t="s">
        <v>5937</v>
      </c>
      <c r="C4571" t="s">
        <v>72</v>
      </c>
      <c r="D4571" t="s">
        <v>60</v>
      </c>
      <c r="E4571">
        <v>204</v>
      </c>
      <c r="F4571">
        <v>5</v>
      </c>
      <c r="G4571">
        <v>5</v>
      </c>
      <c r="H4571">
        <v>1</v>
      </c>
      <c r="I4571">
        <v>1</v>
      </c>
      <c r="J4571">
        <v>0.79641070903206801</v>
      </c>
      <c r="K4571">
        <v>0.90652063492063495</v>
      </c>
      <c r="L4571">
        <v>0.84790587027846198</v>
      </c>
      <c r="M4571">
        <v>0.59523809523809501</v>
      </c>
      <c r="N4571">
        <v>1</v>
      </c>
      <c r="O4571">
        <v>0.73174603174603203</v>
      </c>
      <c r="P4571" t="s">
        <v>801</v>
      </c>
      <c r="Q4571" t="s">
        <v>802</v>
      </c>
      <c r="T4571" t="s">
        <v>803</v>
      </c>
      <c r="U4571" t="s">
        <v>804</v>
      </c>
      <c r="AD4571" t="s">
        <v>312</v>
      </c>
      <c r="AE4571" t="s">
        <v>805</v>
      </c>
      <c r="AF4571" t="s">
        <v>5939</v>
      </c>
    </row>
    <row r="4572" spans="1:32" hidden="1" x14ac:dyDescent="0.35">
      <c r="A4572">
        <v>2876</v>
      </c>
      <c r="B4572" t="s">
        <v>5937</v>
      </c>
      <c r="C4572" t="s">
        <v>72</v>
      </c>
      <c r="D4572" t="s">
        <v>62</v>
      </c>
      <c r="E4572">
        <v>281</v>
      </c>
      <c r="F4572">
        <v>5</v>
      </c>
      <c r="G4572">
        <v>5</v>
      </c>
      <c r="H4572">
        <v>1</v>
      </c>
      <c r="I4572">
        <v>1</v>
      </c>
      <c r="J4572">
        <v>0.79641070903206801</v>
      </c>
      <c r="K4572">
        <v>0.90652063492063495</v>
      </c>
      <c r="L4572">
        <v>0.84790587027846198</v>
      </c>
      <c r="M4572">
        <v>0.59523809523809501</v>
      </c>
      <c r="N4572">
        <v>1</v>
      </c>
      <c r="O4572">
        <v>0.73174603174603203</v>
      </c>
      <c r="P4572" t="s">
        <v>801</v>
      </c>
      <c r="Q4572" t="s">
        <v>802</v>
      </c>
      <c r="T4572" t="s">
        <v>803</v>
      </c>
      <c r="U4572" t="s">
        <v>804</v>
      </c>
      <c r="AD4572" t="s">
        <v>312</v>
      </c>
      <c r="AE4572" t="s">
        <v>805</v>
      </c>
      <c r="AF4572" t="s">
        <v>5939</v>
      </c>
    </row>
    <row r="4573" spans="1:32" hidden="1" x14ac:dyDescent="0.35">
      <c r="A4573">
        <v>2877</v>
      </c>
      <c r="B4573" t="s">
        <v>5937</v>
      </c>
      <c r="C4573" t="s">
        <v>72</v>
      </c>
      <c r="D4573" t="s">
        <v>34</v>
      </c>
      <c r="E4573">
        <v>1228</v>
      </c>
      <c r="F4573">
        <v>5</v>
      </c>
      <c r="G4573">
        <v>5</v>
      </c>
      <c r="H4573">
        <v>1</v>
      </c>
      <c r="I4573">
        <v>1</v>
      </c>
      <c r="J4573">
        <v>0.79641070903206801</v>
      </c>
      <c r="K4573">
        <v>0.90652063492063495</v>
      </c>
      <c r="L4573">
        <v>0.84790587027846198</v>
      </c>
      <c r="M4573">
        <v>0.59523809523809501</v>
      </c>
      <c r="N4573">
        <v>1</v>
      </c>
      <c r="O4573">
        <v>0.73174603174603203</v>
      </c>
      <c r="P4573" t="s">
        <v>801</v>
      </c>
      <c r="Q4573" t="s">
        <v>802</v>
      </c>
      <c r="T4573" t="s">
        <v>803</v>
      </c>
      <c r="U4573" t="s">
        <v>804</v>
      </c>
      <c r="AD4573" t="s">
        <v>312</v>
      </c>
      <c r="AE4573" t="s">
        <v>805</v>
      </c>
      <c r="AF4573" t="s">
        <v>5940</v>
      </c>
    </row>
    <row r="4574" spans="1:32" hidden="1" x14ac:dyDescent="0.35">
      <c r="A4574">
        <v>2878</v>
      </c>
      <c r="B4574" t="s">
        <v>5937</v>
      </c>
      <c r="C4574" t="s">
        <v>72</v>
      </c>
      <c r="D4574" t="s">
        <v>45</v>
      </c>
      <c r="E4574">
        <v>2471</v>
      </c>
      <c r="F4574">
        <v>5</v>
      </c>
      <c r="G4574">
        <v>5</v>
      </c>
      <c r="H4574">
        <v>1</v>
      </c>
      <c r="I4574">
        <v>1</v>
      </c>
      <c r="J4574">
        <v>0.79641070903206801</v>
      </c>
      <c r="K4574">
        <v>0.90652063492063495</v>
      </c>
      <c r="L4574">
        <v>0.84790587027846198</v>
      </c>
      <c r="M4574">
        <v>0.59523809523809501</v>
      </c>
      <c r="N4574">
        <v>1</v>
      </c>
      <c r="O4574">
        <v>0.73174603174603203</v>
      </c>
      <c r="P4574" t="s">
        <v>801</v>
      </c>
      <c r="Q4574" t="s">
        <v>802</v>
      </c>
      <c r="T4574" t="s">
        <v>803</v>
      </c>
      <c r="U4574" t="s">
        <v>804</v>
      </c>
      <c r="AD4574" t="s">
        <v>312</v>
      </c>
      <c r="AE4574" t="s">
        <v>805</v>
      </c>
      <c r="AF4574" t="s">
        <v>5940</v>
      </c>
    </row>
    <row r="4575" spans="1:32" hidden="1" x14ac:dyDescent="0.35">
      <c r="A4575">
        <v>3044</v>
      </c>
      <c r="B4575" t="s">
        <v>6297</v>
      </c>
      <c r="C4575" t="s">
        <v>72</v>
      </c>
      <c r="D4575" t="s">
        <v>58</v>
      </c>
      <c r="E4575">
        <v>1691</v>
      </c>
      <c r="F4575">
        <v>5</v>
      </c>
      <c r="G4575">
        <v>5</v>
      </c>
      <c r="H4575">
        <v>1</v>
      </c>
      <c r="I4575">
        <v>1</v>
      </c>
      <c r="J4575">
        <v>0.712583928958198</v>
      </c>
      <c r="K4575">
        <v>0.99290322580645096</v>
      </c>
      <c r="L4575">
        <v>0.829706491478168</v>
      </c>
      <c r="M4575">
        <v>0.43870967741935502</v>
      </c>
      <c r="N4575">
        <v>1</v>
      </c>
      <c r="O4575">
        <v>0.58645161290322601</v>
      </c>
      <c r="P4575" t="s">
        <v>6298</v>
      </c>
      <c r="Q4575" t="s">
        <v>6299</v>
      </c>
      <c r="AF4575" t="s">
        <v>6300</v>
      </c>
    </row>
    <row r="4576" spans="1:32" hidden="1" x14ac:dyDescent="0.35">
      <c r="A4576">
        <v>3045</v>
      </c>
      <c r="B4576" t="s">
        <v>6297</v>
      </c>
      <c r="C4576" t="s">
        <v>72</v>
      </c>
      <c r="D4576" t="s">
        <v>60</v>
      </c>
      <c r="E4576">
        <v>2290</v>
      </c>
      <c r="F4576">
        <v>5</v>
      </c>
      <c r="G4576">
        <v>5</v>
      </c>
      <c r="H4576">
        <v>1</v>
      </c>
      <c r="I4576">
        <v>1</v>
      </c>
      <c r="J4576">
        <v>0.712583928958198</v>
      </c>
      <c r="K4576">
        <v>0.99290322580645096</v>
      </c>
      <c r="L4576">
        <v>0.829706491478168</v>
      </c>
      <c r="M4576">
        <v>0.43870967741935502</v>
      </c>
      <c r="N4576">
        <v>1</v>
      </c>
      <c r="O4576">
        <v>0.58645161290322601</v>
      </c>
      <c r="P4576" t="s">
        <v>6298</v>
      </c>
      <c r="Q4576" t="s">
        <v>6299</v>
      </c>
      <c r="AF4576" t="s">
        <v>6301</v>
      </c>
    </row>
    <row r="4577" spans="1:32" hidden="1" x14ac:dyDescent="0.35">
      <c r="A4577">
        <v>3046</v>
      </c>
      <c r="B4577" t="s">
        <v>6297</v>
      </c>
      <c r="C4577" t="s">
        <v>72</v>
      </c>
      <c r="D4577" t="s">
        <v>62</v>
      </c>
      <c r="E4577">
        <v>2319</v>
      </c>
      <c r="F4577">
        <v>5</v>
      </c>
      <c r="G4577">
        <v>5</v>
      </c>
      <c r="H4577">
        <v>1</v>
      </c>
      <c r="I4577">
        <v>1</v>
      </c>
      <c r="J4577">
        <v>0.712583928958198</v>
      </c>
      <c r="K4577">
        <v>0.99290322580645096</v>
      </c>
      <c r="L4577">
        <v>0.829706491478168</v>
      </c>
      <c r="M4577">
        <v>0.43870967741935502</v>
      </c>
      <c r="N4577">
        <v>1</v>
      </c>
      <c r="O4577">
        <v>0.58645161290322601</v>
      </c>
      <c r="P4577" t="s">
        <v>6298</v>
      </c>
      <c r="Q4577" t="s">
        <v>6299</v>
      </c>
      <c r="AF4577" t="s">
        <v>6302</v>
      </c>
    </row>
    <row r="4578" spans="1:32" hidden="1" x14ac:dyDescent="0.35">
      <c r="A4578">
        <v>3047</v>
      </c>
      <c r="B4578" t="s">
        <v>6297</v>
      </c>
      <c r="C4578" t="s">
        <v>72</v>
      </c>
      <c r="D4578" t="s">
        <v>34</v>
      </c>
      <c r="E4578">
        <v>1503</v>
      </c>
      <c r="F4578">
        <v>5</v>
      </c>
      <c r="G4578">
        <v>5</v>
      </c>
      <c r="H4578">
        <v>1</v>
      </c>
      <c r="I4578">
        <v>1</v>
      </c>
      <c r="J4578">
        <v>0.712583928958198</v>
      </c>
      <c r="K4578">
        <v>0.99290322580645096</v>
      </c>
      <c r="L4578">
        <v>0.829706491478168</v>
      </c>
      <c r="M4578">
        <v>0.43870967741935502</v>
      </c>
      <c r="N4578">
        <v>1</v>
      </c>
      <c r="O4578">
        <v>0.58645161290322601</v>
      </c>
      <c r="P4578" t="s">
        <v>6298</v>
      </c>
      <c r="Q4578" t="s">
        <v>6299</v>
      </c>
      <c r="AF4578" t="s">
        <v>6303</v>
      </c>
    </row>
    <row r="4579" spans="1:32" hidden="1" x14ac:dyDescent="0.35">
      <c r="A4579">
        <v>3048</v>
      </c>
      <c r="B4579" t="s">
        <v>6297</v>
      </c>
      <c r="C4579" t="s">
        <v>72</v>
      </c>
      <c r="D4579" t="s">
        <v>45</v>
      </c>
      <c r="E4579">
        <v>253</v>
      </c>
      <c r="F4579">
        <v>5</v>
      </c>
      <c r="G4579">
        <v>5</v>
      </c>
      <c r="H4579">
        <v>1</v>
      </c>
      <c r="I4579">
        <v>1</v>
      </c>
      <c r="J4579">
        <v>0.712583928958198</v>
      </c>
      <c r="K4579">
        <v>0.99290322580645096</v>
      </c>
      <c r="L4579">
        <v>0.829706491478168</v>
      </c>
      <c r="M4579">
        <v>0.43870967741935502</v>
      </c>
      <c r="N4579">
        <v>1</v>
      </c>
      <c r="O4579">
        <v>0.58645161290322601</v>
      </c>
      <c r="P4579" t="s">
        <v>6298</v>
      </c>
      <c r="Q4579" t="s">
        <v>6299</v>
      </c>
      <c r="AF4579" t="s">
        <v>6303</v>
      </c>
    </row>
    <row r="4580" spans="1:32" hidden="1" x14ac:dyDescent="0.35">
      <c r="A4580">
        <v>3059</v>
      </c>
      <c r="B4580" t="s">
        <v>6327</v>
      </c>
      <c r="C4580" t="s">
        <v>72</v>
      </c>
      <c r="D4580" t="s">
        <v>58</v>
      </c>
      <c r="E4580">
        <v>383</v>
      </c>
      <c r="F4580">
        <v>5</v>
      </c>
      <c r="G4580">
        <v>5</v>
      </c>
      <c r="H4580">
        <v>1</v>
      </c>
      <c r="I4580">
        <v>1</v>
      </c>
      <c r="J4580">
        <v>0.70177447052089303</v>
      </c>
      <c r="K4580">
        <v>0.71086735648779298</v>
      </c>
      <c r="L4580">
        <v>0.70629164898249996</v>
      </c>
      <c r="M4580">
        <v>0.306569343065693</v>
      </c>
      <c r="N4580">
        <v>1</v>
      </c>
      <c r="O4580">
        <v>0.50401459854014596</v>
      </c>
      <c r="AF4580" t="s">
        <v>6328</v>
      </c>
    </row>
    <row r="4581" spans="1:32" hidden="1" x14ac:dyDescent="0.35">
      <c r="A4581">
        <v>3060</v>
      </c>
      <c r="B4581" t="s">
        <v>6327</v>
      </c>
      <c r="C4581" t="s">
        <v>72</v>
      </c>
      <c r="D4581" t="s">
        <v>60</v>
      </c>
      <c r="E4581">
        <v>617</v>
      </c>
      <c r="F4581">
        <v>5</v>
      </c>
      <c r="G4581">
        <v>5</v>
      </c>
      <c r="H4581">
        <v>1</v>
      </c>
      <c r="I4581">
        <v>1</v>
      </c>
      <c r="J4581">
        <v>0.70177447052089303</v>
      </c>
      <c r="K4581">
        <v>0.71086735648779298</v>
      </c>
      <c r="L4581">
        <v>0.70629164898249996</v>
      </c>
      <c r="M4581">
        <v>0.306569343065693</v>
      </c>
      <c r="N4581">
        <v>1</v>
      </c>
      <c r="O4581">
        <v>0.50401459854014596</v>
      </c>
      <c r="AF4581" t="e">
        <f>----------------MLSSRFSSRHLVLGAVLSASVVVLAACGGQSSPNDSGGSSVSGTETST---------VESTASSRASASGTTSKDAKS----------------------------VAEAQKTFGSLAPESLFQQFESCMPNGVADSVACSGLKVGQFQFFANESKAASTTQLLTELRGSRIVEDKGDRIVGWSTLGNTAIVTVVDNNKGLVMQQMISTDKQDPRKRIHELGLTESKESESTSESGTSTSAEPEASEESKASAEPTSK</f>
        <v>#NAME?</v>
      </c>
    </row>
    <row r="4582" spans="1:32" hidden="1" x14ac:dyDescent="0.35">
      <c r="A4582">
        <v>3061</v>
      </c>
      <c r="B4582" t="s">
        <v>6327</v>
      </c>
      <c r="C4582" t="s">
        <v>72</v>
      </c>
      <c r="D4582" t="s">
        <v>62</v>
      </c>
      <c r="E4582">
        <v>701</v>
      </c>
      <c r="F4582">
        <v>5</v>
      </c>
      <c r="G4582">
        <v>5</v>
      </c>
      <c r="H4582">
        <v>1</v>
      </c>
      <c r="I4582">
        <v>1</v>
      </c>
      <c r="J4582">
        <v>0.70177447052089303</v>
      </c>
      <c r="K4582">
        <v>0.71086735648779298</v>
      </c>
      <c r="L4582">
        <v>0.70629164898249996</v>
      </c>
      <c r="M4582">
        <v>0.306569343065693</v>
      </c>
      <c r="N4582">
        <v>1</v>
      </c>
      <c r="O4582">
        <v>0.50401459854014596</v>
      </c>
      <c r="AF4582" t="e">
        <f>----------------MLSSRFSSRHLVLGAVLSASVVVLAACGGQSSPNDSGGSSVSGTETST---------VESTASSRASASGTTSKDAKS----------------------------VAEAQKTFGSLAPESLFQQFESCMPNGVADSVACSGLKVGQFQFFANESKAASTTQLLTELRGSRIVEDKGDRIVGWSTLGNTAIVTVVDNNKGLVMQQMISTDKQDPRKRIHELGLTESKESESTSESGTSTSAEPEASEESKASAEPTSK</f>
        <v>#NAME?</v>
      </c>
    </row>
    <row r="4583" spans="1:32" hidden="1" x14ac:dyDescent="0.35">
      <c r="A4583">
        <v>3062</v>
      </c>
      <c r="B4583" t="s">
        <v>6327</v>
      </c>
      <c r="C4583" t="s">
        <v>72</v>
      </c>
      <c r="D4583" t="s">
        <v>34</v>
      </c>
      <c r="E4583">
        <v>472</v>
      </c>
      <c r="F4583">
        <v>5</v>
      </c>
      <c r="G4583">
        <v>5</v>
      </c>
      <c r="H4583">
        <v>1</v>
      </c>
      <c r="I4583">
        <v>1</v>
      </c>
      <c r="J4583">
        <v>0.70177447052089303</v>
      </c>
      <c r="K4583">
        <v>0.71086735648779298</v>
      </c>
      <c r="L4583">
        <v>0.70629164898249996</v>
      </c>
      <c r="M4583">
        <v>0.306569343065693</v>
      </c>
      <c r="N4583">
        <v>1</v>
      </c>
      <c r="O4583">
        <v>0.50401459854014596</v>
      </c>
      <c r="AF4583" t="s">
        <v>6329</v>
      </c>
    </row>
    <row r="4584" spans="1:32" hidden="1" x14ac:dyDescent="0.35">
      <c r="A4584">
        <v>3063</v>
      </c>
      <c r="B4584" t="s">
        <v>6327</v>
      </c>
      <c r="C4584" t="s">
        <v>72</v>
      </c>
      <c r="D4584" t="s">
        <v>45</v>
      </c>
      <c r="E4584">
        <v>1737</v>
      </c>
      <c r="F4584">
        <v>5</v>
      </c>
      <c r="G4584">
        <v>5</v>
      </c>
      <c r="H4584">
        <v>1</v>
      </c>
      <c r="I4584">
        <v>1</v>
      </c>
      <c r="J4584">
        <v>0.70177447052089303</v>
      </c>
      <c r="K4584">
        <v>0.71086735648779298</v>
      </c>
      <c r="L4584">
        <v>0.70629164898249996</v>
      </c>
      <c r="M4584">
        <v>0.306569343065693</v>
      </c>
      <c r="N4584">
        <v>1</v>
      </c>
      <c r="O4584">
        <v>0.50401459854014596</v>
      </c>
      <c r="AF4584" t="s">
        <v>6330</v>
      </c>
    </row>
    <row r="4585" spans="1:32" hidden="1" x14ac:dyDescent="0.35">
      <c r="A4585">
        <v>3074</v>
      </c>
      <c r="B4585" t="s">
        <v>6352</v>
      </c>
      <c r="C4585" t="s">
        <v>72</v>
      </c>
      <c r="D4585" t="s">
        <v>58</v>
      </c>
      <c r="E4585">
        <v>1664</v>
      </c>
      <c r="F4585">
        <v>5</v>
      </c>
      <c r="G4585">
        <v>5</v>
      </c>
      <c r="H4585">
        <v>1</v>
      </c>
      <c r="I4585">
        <v>1</v>
      </c>
      <c r="J4585">
        <v>0.79852507374631299</v>
      </c>
      <c r="K4585">
        <v>0.91616837136113405</v>
      </c>
      <c r="L4585">
        <v>0.85331103165131195</v>
      </c>
      <c r="M4585">
        <v>0.62096774193548399</v>
      </c>
      <c r="N4585">
        <v>1</v>
      </c>
      <c r="O4585">
        <v>0.72661290322580596</v>
      </c>
      <c r="AF4585" t="s">
        <v>6353</v>
      </c>
    </row>
    <row r="4586" spans="1:32" hidden="1" x14ac:dyDescent="0.35">
      <c r="A4586">
        <v>3075</v>
      </c>
      <c r="B4586" t="s">
        <v>6352</v>
      </c>
      <c r="C4586" t="s">
        <v>72</v>
      </c>
      <c r="D4586" t="s">
        <v>60</v>
      </c>
      <c r="E4586">
        <v>2256</v>
      </c>
      <c r="F4586">
        <v>5</v>
      </c>
      <c r="G4586">
        <v>5</v>
      </c>
      <c r="H4586">
        <v>1</v>
      </c>
      <c r="I4586">
        <v>1</v>
      </c>
      <c r="J4586">
        <v>0.79852507374631299</v>
      </c>
      <c r="K4586">
        <v>0.91616837136113405</v>
      </c>
      <c r="L4586">
        <v>0.85331103165131195</v>
      </c>
      <c r="M4586">
        <v>0.62096774193548399</v>
      </c>
      <c r="N4586">
        <v>1</v>
      </c>
      <c r="O4586">
        <v>0.72661290322580596</v>
      </c>
      <c r="AF4586" t="s">
        <v>6354</v>
      </c>
    </row>
    <row r="4587" spans="1:32" hidden="1" x14ac:dyDescent="0.35">
      <c r="A4587">
        <v>3076</v>
      </c>
      <c r="B4587" t="s">
        <v>6352</v>
      </c>
      <c r="C4587" t="s">
        <v>72</v>
      </c>
      <c r="D4587" t="s">
        <v>62</v>
      </c>
      <c r="E4587">
        <v>2285</v>
      </c>
      <c r="F4587">
        <v>5</v>
      </c>
      <c r="G4587">
        <v>5</v>
      </c>
      <c r="H4587">
        <v>1</v>
      </c>
      <c r="I4587">
        <v>1</v>
      </c>
      <c r="J4587">
        <v>0.79852507374631299</v>
      </c>
      <c r="K4587">
        <v>0.91616837136113405</v>
      </c>
      <c r="L4587">
        <v>0.85331103165131195</v>
      </c>
      <c r="M4587">
        <v>0.62096774193548399</v>
      </c>
      <c r="N4587">
        <v>1</v>
      </c>
      <c r="O4587">
        <v>0.72661290322580596</v>
      </c>
      <c r="AF4587" t="s">
        <v>6355</v>
      </c>
    </row>
    <row r="4588" spans="1:32" hidden="1" x14ac:dyDescent="0.35">
      <c r="A4588">
        <v>3077</v>
      </c>
      <c r="B4588" t="s">
        <v>6352</v>
      </c>
      <c r="C4588" t="s">
        <v>72</v>
      </c>
      <c r="D4588" t="s">
        <v>34</v>
      </c>
      <c r="E4588">
        <v>1541</v>
      </c>
      <c r="F4588">
        <v>5</v>
      </c>
      <c r="G4588">
        <v>5</v>
      </c>
      <c r="H4588">
        <v>1</v>
      </c>
      <c r="I4588">
        <v>1</v>
      </c>
      <c r="J4588">
        <v>0.79852507374631299</v>
      </c>
      <c r="K4588">
        <v>0.91616837136113405</v>
      </c>
      <c r="L4588">
        <v>0.85331103165131195</v>
      </c>
      <c r="M4588">
        <v>0.62096774193548399</v>
      </c>
      <c r="N4588">
        <v>1</v>
      </c>
      <c r="O4588">
        <v>0.72661290322580596</v>
      </c>
      <c r="AF4588" t="s">
        <v>6356</v>
      </c>
    </row>
    <row r="4589" spans="1:32" hidden="1" x14ac:dyDescent="0.35">
      <c r="A4589">
        <v>3078</v>
      </c>
      <c r="B4589" t="s">
        <v>6352</v>
      </c>
      <c r="C4589" t="s">
        <v>72</v>
      </c>
      <c r="D4589" t="s">
        <v>45</v>
      </c>
      <c r="E4589">
        <v>291</v>
      </c>
      <c r="F4589">
        <v>5</v>
      </c>
      <c r="G4589">
        <v>5</v>
      </c>
      <c r="H4589">
        <v>1</v>
      </c>
      <c r="I4589">
        <v>1</v>
      </c>
      <c r="J4589">
        <v>0.79852507374631299</v>
      </c>
      <c r="K4589">
        <v>0.91616837136113405</v>
      </c>
      <c r="L4589">
        <v>0.85331103165131195</v>
      </c>
      <c r="M4589">
        <v>0.62096774193548399</v>
      </c>
      <c r="N4589">
        <v>1</v>
      </c>
      <c r="O4589">
        <v>0.72661290322580596</v>
      </c>
      <c r="AF4589" t="s">
        <v>6356</v>
      </c>
    </row>
    <row r="4590" spans="1:32" hidden="1" x14ac:dyDescent="0.35">
      <c r="A4590">
        <v>3169</v>
      </c>
      <c r="B4590" t="s">
        <v>6520</v>
      </c>
      <c r="C4590" t="s">
        <v>72</v>
      </c>
      <c r="D4590" t="s">
        <v>58</v>
      </c>
      <c r="E4590">
        <v>1162</v>
      </c>
      <c r="F4590">
        <v>5</v>
      </c>
      <c r="G4590">
        <v>5</v>
      </c>
      <c r="H4590">
        <v>1</v>
      </c>
      <c r="I4590">
        <v>1</v>
      </c>
      <c r="J4590">
        <v>0.83491138625880101</v>
      </c>
      <c r="K4590">
        <v>0.97432624113475097</v>
      </c>
      <c r="L4590">
        <v>0.89924735185400995</v>
      </c>
      <c r="M4590">
        <v>0.63829787234042601</v>
      </c>
      <c r="N4590">
        <v>1</v>
      </c>
      <c r="O4590">
        <v>0.76028368794326195</v>
      </c>
      <c r="P4590" t="s">
        <v>6521</v>
      </c>
      <c r="Q4590" t="s">
        <v>6522</v>
      </c>
      <c r="AF4590" t="e">
        <f>-----MSNAPEVYNGVSTLDEPSAGWGWHDIGRGPIQIAGWVSVLFLLAMNFGNHPGHVETIYLFAFAGLIALGLLIQLFQPKLNQVRTLTCHNKPQGHQEPDWALMQHTLQGPYADLTDDQLRSLNIDPATV---KSIEA</f>
        <v>#NAME?</v>
      </c>
    </row>
    <row r="4591" spans="1:32" hidden="1" x14ac:dyDescent="0.35">
      <c r="A4591">
        <v>3170</v>
      </c>
      <c r="B4591" t="s">
        <v>6520</v>
      </c>
      <c r="C4591" t="s">
        <v>72</v>
      </c>
      <c r="D4591" t="s">
        <v>60</v>
      </c>
      <c r="E4591">
        <v>1596</v>
      </c>
      <c r="F4591">
        <v>5</v>
      </c>
      <c r="G4591">
        <v>5</v>
      </c>
      <c r="H4591">
        <v>1</v>
      </c>
      <c r="I4591">
        <v>1</v>
      </c>
      <c r="J4591">
        <v>0.83491138625880101</v>
      </c>
      <c r="K4591">
        <v>0.97432624113475097</v>
      </c>
      <c r="L4591">
        <v>0.89924735185400995</v>
      </c>
      <c r="M4591">
        <v>0.63829787234042601</v>
      </c>
      <c r="N4591">
        <v>1</v>
      </c>
      <c r="O4591">
        <v>0.76028368794326195</v>
      </c>
      <c r="P4591" t="s">
        <v>6521</v>
      </c>
      <c r="Q4591" t="s">
        <v>6522</v>
      </c>
      <c r="AF4591" t="s">
        <v>6523</v>
      </c>
    </row>
    <row r="4592" spans="1:32" hidden="1" x14ac:dyDescent="0.35">
      <c r="A4592">
        <v>3171</v>
      </c>
      <c r="B4592" t="s">
        <v>6520</v>
      </c>
      <c r="C4592" t="s">
        <v>72</v>
      </c>
      <c r="D4592" t="s">
        <v>62</v>
      </c>
      <c r="E4592">
        <v>1632</v>
      </c>
      <c r="F4592">
        <v>5</v>
      </c>
      <c r="G4592">
        <v>5</v>
      </c>
      <c r="H4592">
        <v>1</v>
      </c>
      <c r="I4592">
        <v>1</v>
      </c>
      <c r="J4592">
        <v>0.83491138625880101</v>
      </c>
      <c r="K4592">
        <v>0.97432624113475097</v>
      </c>
      <c r="L4592">
        <v>0.89924735185400995</v>
      </c>
      <c r="M4592">
        <v>0.63829787234042601</v>
      </c>
      <c r="N4592">
        <v>1</v>
      </c>
      <c r="O4592">
        <v>0.76028368794326195</v>
      </c>
      <c r="P4592" t="s">
        <v>6521</v>
      </c>
      <c r="Q4592" t="s">
        <v>6522</v>
      </c>
      <c r="AF4592" t="s">
        <v>6523</v>
      </c>
    </row>
    <row r="4593" spans="1:32" hidden="1" x14ac:dyDescent="0.35">
      <c r="A4593">
        <v>3172</v>
      </c>
      <c r="B4593" t="s">
        <v>6520</v>
      </c>
      <c r="C4593" t="s">
        <v>72</v>
      </c>
      <c r="D4593" t="s">
        <v>34</v>
      </c>
      <c r="E4593">
        <v>1992</v>
      </c>
      <c r="F4593">
        <v>5</v>
      </c>
      <c r="G4593">
        <v>5</v>
      </c>
      <c r="H4593">
        <v>1</v>
      </c>
      <c r="I4593">
        <v>1</v>
      </c>
      <c r="J4593">
        <v>0.83491138625880101</v>
      </c>
      <c r="K4593">
        <v>0.97432624113475097</v>
      </c>
      <c r="L4593">
        <v>0.89924735185400995</v>
      </c>
      <c r="M4593">
        <v>0.63829787234042601</v>
      </c>
      <c r="N4593">
        <v>1</v>
      </c>
      <c r="O4593">
        <v>0.76028368794326195</v>
      </c>
      <c r="P4593" t="s">
        <v>6521</v>
      </c>
      <c r="Q4593" t="s">
        <v>6522</v>
      </c>
      <c r="AF4593" t="s">
        <v>6524</v>
      </c>
    </row>
    <row r="4594" spans="1:32" hidden="1" x14ac:dyDescent="0.35">
      <c r="A4594">
        <v>3173</v>
      </c>
      <c r="B4594" t="s">
        <v>6520</v>
      </c>
      <c r="C4594" t="s">
        <v>72</v>
      </c>
      <c r="D4594" t="s">
        <v>45</v>
      </c>
      <c r="E4594">
        <v>881</v>
      </c>
      <c r="F4594">
        <v>5</v>
      </c>
      <c r="G4594">
        <v>5</v>
      </c>
      <c r="H4594">
        <v>1</v>
      </c>
      <c r="I4594">
        <v>1</v>
      </c>
      <c r="J4594">
        <v>0.83491138625880101</v>
      </c>
      <c r="K4594">
        <v>0.97432624113475097</v>
      </c>
      <c r="L4594">
        <v>0.89924735185400995</v>
      </c>
      <c r="M4594">
        <v>0.63829787234042601</v>
      </c>
      <c r="N4594">
        <v>1</v>
      </c>
      <c r="O4594">
        <v>0.76028368794326195</v>
      </c>
      <c r="P4594" t="s">
        <v>6521</v>
      </c>
      <c r="Q4594" t="s">
        <v>6522</v>
      </c>
      <c r="AF4594" t="s">
        <v>6524</v>
      </c>
    </row>
    <row r="4595" spans="1:32" hidden="1" x14ac:dyDescent="0.35">
      <c r="A4595">
        <v>3174</v>
      </c>
      <c r="B4595" t="s">
        <v>6525</v>
      </c>
      <c r="C4595" t="s">
        <v>72</v>
      </c>
      <c r="D4595" t="s">
        <v>58</v>
      </c>
      <c r="E4595">
        <v>1108</v>
      </c>
      <c r="F4595">
        <v>5</v>
      </c>
      <c r="G4595">
        <v>5</v>
      </c>
      <c r="H4595">
        <v>1</v>
      </c>
      <c r="I4595">
        <v>1</v>
      </c>
      <c r="J4595">
        <v>0.76461689736025995</v>
      </c>
      <c r="K4595">
        <v>0.96912329960788501</v>
      </c>
      <c r="L4595">
        <v>0.85480864065048101</v>
      </c>
      <c r="M4595">
        <v>0.575824175824176</v>
      </c>
      <c r="N4595">
        <v>1</v>
      </c>
      <c r="O4595">
        <v>0.69362637362637403</v>
      </c>
      <c r="P4595" t="s">
        <v>6526</v>
      </c>
      <c r="Q4595" t="s">
        <v>6527</v>
      </c>
      <c r="AF4595" t="s">
        <v>6528</v>
      </c>
    </row>
    <row r="4596" spans="1:32" hidden="1" x14ac:dyDescent="0.35">
      <c r="A4596">
        <v>3175</v>
      </c>
      <c r="B4596" t="s">
        <v>6525</v>
      </c>
      <c r="C4596" t="s">
        <v>72</v>
      </c>
      <c r="D4596" t="s">
        <v>60</v>
      </c>
      <c r="E4596">
        <v>1495</v>
      </c>
      <c r="F4596">
        <v>5</v>
      </c>
      <c r="G4596">
        <v>5</v>
      </c>
      <c r="H4596">
        <v>1</v>
      </c>
      <c r="I4596">
        <v>1</v>
      </c>
      <c r="J4596">
        <v>0.76461689736025995</v>
      </c>
      <c r="K4596">
        <v>0.96912329960788501</v>
      </c>
      <c r="L4596">
        <v>0.85480864065048101</v>
      </c>
      <c r="M4596">
        <v>0.575824175824176</v>
      </c>
      <c r="N4596">
        <v>1</v>
      </c>
      <c r="O4596">
        <v>0.69362637362637403</v>
      </c>
      <c r="P4596" t="s">
        <v>6526</v>
      </c>
      <c r="Q4596" t="s">
        <v>6527</v>
      </c>
      <c r="AF4596" t="s">
        <v>6529</v>
      </c>
    </row>
    <row r="4597" spans="1:32" hidden="1" x14ac:dyDescent="0.35">
      <c r="A4597">
        <v>3176</v>
      </c>
      <c r="B4597" t="s">
        <v>6525</v>
      </c>
      <c r="C4597" t="s">
        <v>72</v>
      </c>
      <c r="D4597" t="s">
        <v>62</v>
      </c>
      <c r="E4597">
        <v>1530</v>
      </c>
      <c r="F4597">
        <v>5</v>
      </c>
      <c r="G4597">
        <v>5</v>
      </c>
      <c r="H4597">
        <v>1</v>
      </c>
      <c r="I4597">
        <v>1</v>
      </c>
      <c r="J4597">
        <v>0.76461689736025995</v>
      </c>
      <c r="K4597">
        <v>0.96912329960788501</v>
      </c>
      <c r="L4597">
        <v>0.85480864065048101</v>
      </c>
      <c r="M4597">
        <v>0.575824175824176</v>
      </c>
      <c r="N4597">
        <v>1</v>
      </c>
      <c r="O4597">
        <v>0.69362637362637403</v>
      </c>
      <c r="P4597" t="s">
        <v>6526</v>
      </c>
      <c r="Q4597" t="s">
        <v>6527</v>
      </c>
      <c r="AF4597" t="s">
        <v>6530</v>
      </c>
    </row>
    <row r="4598" spans="1:32" hidden="1" x14ac:dyDescent="0.35">
      <c r="A4598">
        <v>3177</v>
      </c>
      <c r="B4598" t="s">
        <v>6525</v>
      </c>
      <c r="C4598" t="s">
        <v>72</v>
      </c>
      <c r="D4598" t="s">
        <v>34</v>
      </c>
      <c r="E4598">
        <v>1926</v>
      </c>
      <c r="F4598">
        <v>5</v>
      </c>
      <c r="G4598">
        <v>5</v>
      </c>
      <c r="H4598">
        <v>1</v>
      </c>
      <c r="I4598">
        <v>1</v>
      </c>
      <c r="J4598">
        <v>0.76461689736025995</v>
      </c>
      <c r="K4598">
        <v>0.96912329960788501</v>
      </c>
      <c r="L4598">
        <v>0.85480864065048101</v>
      </c>
      <c r="M4598">
        <v>0.575824175824176</v>
      </c>
      <c r="N4598">
        <v>1</v>
      </c>
      <c r="O4598">
        <v>0.69362637362637403</v>
      </c>
      <c r="P4598" t="s">
        <v>6526</v>
      </c>
      <c r="Q4598" t="s">
        <v>6527</v>
      </c>
      <c r="AF4598" t="s">
        <v>6531</v>
      </c>
    </row>
    <row r="4599" spans="1:32" hidden="1" x14ac:dyDescent="0.35">
      <c r="A4599">
        <v>3178</v>
      </c>
      <c r="B4599" t="s">
        <v>6525</v>
      </c>
      <c r="C4599" t="s">
        <v>72</v>
      </c>
      <c r="D4599" t="s">
        <v>45</v>
      </c>
      <c r="E4599">
        <v>947</v>
      </c>
      <c r="F4599">
        <v>5</v>
      </c>
      <c r="G4599">
        <v>5</v>
      </c>
      <c r="H4599">
        <v>1</v>
      </c>
      <c r="I4599">
        <v>1</v>
      </c>
      <c r="J4599">
        <v>0.76461689736025995</v>
      </c>
      <c r="K4599">
        <v>0.96912329960788501</v>
      </c>
      <c r="L4599">
        <v>0.85480864065048101</v>
      </c>
      <c r="M4599">
        <v>0.575824175824176</v>
      </c>
      <c r="N4599">
        <v>1</v>
      </c>
      <c r="O4599">
        <v>0.69362637362637403</v>
      </c>
      <c r="P4599" t="s">
        <v>6526</v>
      </c>
      <c r="Q4599" t="s">
        <v>6527</v>
      </c>
      <c r="AF4599" t="s">
        <v>6531</v>
      </c>
    </row>
    <row r="4600" spans="1:32" hidden="1" x14ac:dyDescent="0.35">
      <c r="A4600">
        <v>3244</v>
      </c>
      <c r="B4600" t="s">
        <v>6672</v>
      </c>
      <c r="C4600" t="s">
        <v>72</v>
      </c>
      <c r="D4600" t="s">
        <v>58</v>
      </c>
      <c r="E4600">
        <v>296</v>
      </c>
      <c r="F4600">
        <v>5</v>
      </c>
      <c r="G4600">
        <v>5</v>
      </c>
      <c r="H4600">
        <v>1</v>
      </c>
      <c r="I4600">
        <v>1</v>
      </c>
      <c r="J4600">
        <v>0.74702544389529602</v>
      </c>
      <c r="K4600">
        <v>0.96916315849357104</v>
      </c>
      <c r="L4600">
        <v>0.84371791966554499</v>
      </c>
      <c r="M4600">
        <v>0.54255319148936199</v>
      </c>
      <c r="N4600">
        <v>1</v>
      </c>
      <c r="O4600">
        <v>0.65319148936170202</v>
      </c>
      <c r="P4600" t="s">
        <v>6673</v>
      </c>
      <c r="Q4600" t="s">
        <v>6674</v>
      </c>
      <c r="AF4600" t="s">
        <v>6675</v>
      </c>
    </row>
    <row r="4601" spans="1:32" hidden="1" x14ac:dyDescent="0.35">
      <c r="A4601">
        <v>3245</v>
      </c>
      <c r="B4601" t="s">
        <v>6672</v>
      </c>
      <c r="C4601" t="s">
        <v>72</v>
      </c>
      <c r="D4601" t="s">
        <v>60</v>
      </c>
      <c r="E4601">
        <v>2094</v>
      </c>
      <c r="F4601">
        <v>5</v>
      </c>
      <c r="G4601">
        <v>5</v>
      </c>
      <c r="H4601">
        <v>1</v>
      </c>
      <c r="I4601">
        <v>1</v>
      </c>
      <c r="J4601">
        <v>0.74702544389529602</v>
      </c>
      <c r="K4601">
        <v>0.96916315849357104</v>
      </c>
      <c r="L4601">
        <v>0.84371791966554499</v>
      </c>
      <c r="M4601">
        <v>0.54255319148936199</v>
      </c>
      <c r="N4601">
        <v>1</v>
      </c>
      <c r="O4601">
        <v>0.65319148936170202</v>
      </c>
      <c r="P4601" t="s">
        <v>6673</v>
      </c>
      <c r="Q4601" t="s">
        <v>6674</v>
      </c>
      <c r="AF4601" t="s">
        <v>6676</v>
      </c>
    </row>
    <row r="4602" spans="1:32" hidden="1" x14ac:dyDescent="0.35">
      <c r="A4602">
        <v>3246</v>
      </c>
      <c r="B4602" t="s">
        <v>6672</v>
      </c>
      <c r="C4602" t="s">
        <v>72</v>
      </c>
      <c r="D4602" t="s">
        <v>62</v>
      </c>
      <c r="E4602">
        <v>2129</v>
      </c>
      <c r="F4602">
        <v>5</v>
      </c>
      <c r="G4602">
        <v>5</v>
      </c>
      <c r="H4602">
        <v>1</v>
      </c>
      <c r="I4602">
        <v>1</v>
      </c>
      <c r="J4602">
        <v>0.74702544389529602</v>
      </c>
      <c r="K4602">
        <v>0.96916315849357104</v>
      </c>
      <c r="L4602">
        <v>0.84371791966554499</v>
      </c>
      <c r="M4602">
        <v>0.54255319148936199</v>
      </c>
      <c r="N4602">
        <v>1</v>
      </c>
      <c r="O4602">
        <v>0.65319148936170202</v>
      </c>
      <c r="P4602" t="s">
        <v>6673</v>
      </c>
      <c r="Q4602" t="s">
        <v>6674</v>
      </c>
      <c r="AF4602" t="s">
        <v>6676</v>
      </c>
    </row>
    <row r="4603" spans="1:32" hidden="1" x14ac:dyDescent="0.35">
      <c r="A4603">
        <v>3247</v>
      </c>
      <c r="B4603" t="s">
        <v>6672</v>
      </c>
      <c r="C4603" t="s">
        <v>72</v>
      </c>
      <c r="D4603" t="s">
        <v>34</v>
      </c>
      <c r="E4603">
        <v>2446</v>
      </c>
      <c r="F4603">
        <v>5</v>
      </c>
      <c r="G4603">
        <v>5</v>
      </c>
      <c r="H4603">
        <v>1</v>
      </c>
      <c r="I4603">
        <v>1</v>
      </c>
      <c r="J4603">
        <v>0.74702544389529602</v>
      </c>
      <c r="K4603">
        <v>0.96916315849357104</v>
      </c>
      <c r="L4603">
        <v>0.84371791966554499</v>
      </c>
      <c r="M4603">
        <v>0.54255319148936199</v>
      </c>
      <c r="N4603">
        <v>1</v>
      </c>
      <c r="O4603">
        <v>0.65319148936170202</v>
      </c>
      <c r="P4603" t="s">
        <v>6673</v>
      </c>
      <c r="Q4603" t="s">
        <v>6674</v>
      </c>
      <c r="AF4603" t="s">
        <v>6677</v>
      </c>
    </row>
    <row r="4604" spans="1:32" hidden="1" x14ac:dyDescent="0.35">
      <c r="A4604">
        <v>3248</v>
      </c>
      <c r="B4604" t="s">
        <v>6672</v>
      </c>
      <c r="C4604" t="s">
        <v>72</v>
      </c>
      <c r="D4604" t="s">
        <v>45</v>
      </c>
      <c r="E4604">
        <v>456</v>
      </c>
      <c r="F4604">
        <v>5</v>
      </c>
      <c r="G4604">
        <v>5</v>
      </c>
      <c r="H4604">
        <v>1</v>
      </c>
      <c r="I4604">
        <v>1</v>
      </c>
      <c r="J4604">
        <v>0.74702544389529602</v>
      </c>
      <c r="K4604">
        <v>0.96916315849357104</v>
      </c>
      <c r="L4604">
        <v>0.84371791966554499</v>
      </c>
      <c r="M4604">
        <v>0.54255319148936199</v>
      </c>
      <c r="N4604">
        <v>1</v>
      </c>
      <c r="O4604">
        <v>0.65319148936170202</v>
      </c>
      <c r="P4604" t="s">
        <v>6673</v>
      </c>
      <c r="Q4604" t="s">
        <v>6674</v>
      </c>
      <c r="AF4604" t="s">
        <v>6678</v>
      </c>
    </row>
    <row r="4605" spans="1:32" hidden="1" x14ac:dyDescent="0.35">
      <c r="A4605">
        <v>3379</v>
      </c>
      <c r="B4605" t="s">
        <v>6948</v>
      </c>
      <c r="C4605" t="s">
        <v>72</v>
      </c>
      <c r="D4605" t="s">
        <v>58</v>
      </c>
      <c r="E4605">
        <v>373</v>
      </c>
      <c r="F4605">
        <v>5</v>
      </c>
      <c r="G4605">
        <v>5</v>
      </c>
      <c r="H4605">
        <v>1</v>
      </c>
      <c r="I4605">
        <v>1</v>
      </c>
      <c r="J4605">
        <v>0.73621574407686396</v>
      </c>
      <c r="K4605">
        <v>0.75134067476053901</v>
      </c>
      <c r="L4605">
        <v>0.74370131703153297</v>
      </c>
      <c r="M4605">
        <v>0.36486486486486502</v>
      </c>
      <c r="N4605">
        <v>1</v>
      </c>
      <c r="O4605">
        <v>0.572522522522523</v>
      </c>
      <c r="P4605" t="s">
        <v>6949</v>
      </c>
      <c r="Q4605" t="s">
        <v>6950</v>
      </c>
      <c r="AF4605" t="s">
        <v>6951</v>
      </c>
    </row>
    <row r="4606" spans="1:32" hidden="1" x14ac:dyDescent="0.35">
      <c r="A4606">
        <v>3380</v>
      </c>
      <c r="B4606" t="s">
        <v>6948</v>
      </c>
      <c r="C4606" t="s">
        <v>72</v>
      </c>
      <c r="D4606" t="s">
        <v>60</v>
      </c>
      <c r="E4606">
        <v>605</v>
      </c>
      <c r="F4606">
        <v>5</v>
      </c>
      <c r="G4606">
        <v>5</v>
      </c>
      <c r="H4606">
        <v>1</v>
      </c>
      <c r="I4606">
        <v>1</v>
      </c>
      <c r="J4606">
        <v>0.73621574407686396</v>
      </c>
      <c r="K4606">
        <v>0.75134067476053901</v>
      </c>
      <c r="L4606">
        <v>0.74370131703153297</v>
      </c>
      <c r="M4606">
        <v>0.36486486486486502</v>
      </c>
      <c r="N4606">
        <v>1</v>
      </c>
      <c r="O4606">
        <v>0.572522522522523</v>
      </c>
      <c r="P4606" t="s">
        <v>6949</v>
      </c>
      <c r="Q4606" t="s">
        <v>6950</v>
      </c>
      <c r="AF4606" t="e">
        <f>------------------------------------------------------------------------------------------------------------------------MSSSEP-----------------LLVRFARDYGWRAYAIPALVVITLWVLVDVFIMPDNGAISSQMQAASTANDGGENATSQPEGPDPAK-ADRGAQLPVGDLPPGGSFTETGQGTYHLVPGTMPKVGAGDERTFKYVIEVEDGVDTSVYGGDDSFAKMVDATLSNPKSWTHDRKFAFERVD-----------PAVVSNPDLRIQLSSPAATHAACGSDIAMETSCFTSEGNRVVLNESRWVRGATTFQGDLGLYRQYLINHEVGHSIGYAKHEPCGGQGQLAPVMMQQTLNLNNSELYKIDPGEVYPDNNLTCSLNPWPYPFA</f>
        <v>#NAME?</v>
      </c>
    </row>
    <row r="4607" spans="1:32" hidden="1" x14ac:dyDescent="0.35">
      <c r="A4607">
        <v>3381</v>
      </c>
      <c r="B4607" t="s">
        <v>6948</v>
      </c>
      <c r="C4607" t="s">
        <v>72</v>
      </c>
      <c r="D4607" t="s">
        <v>62</v>
      </c>
      <c r="E4607">
        <v>689</v>
      </c>
      <c r="F4607">
        <v>5</v>
      </c>
      <c r="G4607">
        <v>5</v>
      </c>
      <c r="H4607">
        <v>1</v>
      </c>
      <c r="I4607">
        <v>1</v>
      </c>
      <c r="J4607">
        <v>0.73621574407686396</v>
      </c>
      <c r="K4607">
        <v>0.75134067476053901</v>
      </c>
      <c r="L4607">
        <v>0.74370131703153297</v>
      </c>
      <c r="M4607">
        <v>0.36486486486486502</v>
      </c>
      <c r="N4607">
        <v>1</v>
      </c>
      <c r="O4607">
        <v>0.572522522522523</v>
      </c>
      <c r="P4607" t="s">
        <v>6949</v>
      </c>
      <c r="Q4607" t="s">
        <v>6950</v>
      </c>
      <c r="AF4607" t="e">
        <f>------------------------------------------------------------------------------------------------------------------------MSSSEP-----------------LLVRFARDYGWRAYAIPALVVITLWVLVDVFIMPDNGAISSQMQAASTANDGGENATSQPEGPDPAK-ADRGAQLPVGDLPPGGSFTETGQGTYHLVPGTMPKVGAGDERTFKYVIEVEDGVDTSVYGGDDSFAKMVDATLSNPKSWTHDRKFAFERVD-----------PAVVSNPDLRIQLSSPAATHAACGSDIAMETSCFTSEGNRVVLNESRWVRGATTFQGDLGLYRQYLINHEVGHSIGYAKHEPCGGQGQLAPVMMQQTLNLNNSELYKIDPGEVYPDNNLTCSLNPWPYPFA</f>
        <v>#NAME?</v>
      </c>
    </row>
    <row r="4608" spans="1:32" hidden="1" x14ac:dyDescent="0.35">
      <c r="A4608">
        <v>3382</v>
      </c>
      <c r="B4608" t="s">
        <v>6948</v>
      </c>
      <c r="C4608" t="s">
        <v>72</v>
      </c>
      <c r="D4608" t="s">
        <v>34</v>
      </c>
      <c r="E4608">
        <v>484</v>
      </c>
      <c r="F4608">
        <v>5</v>
      </c>
      <c r="G4608">
        <v>5</v>
      </c>
      <c r="H4608">
        <v>1</v>
      </c>
      <c r="I4608">
        <v>1</v>
      </c>
      <c r="J4608">
        <v>0.73621574407686396</v>
      </c>
      <c r="K4608">
        <v>0.75134067476053901</v>
      </c>
      <c r="L4608">
        <v>0.74370131703153297</v>
      </c>
      <c r="M4608">
        <v>0.36486486486486502</v>
      </c>
      <c r="N4608">
        <v>1</v>
      </c>
      <c r="O4608">
        <v>0.572522522522523</v>
      </c>
      <c r="P4608" t="s">
        <v>6949</v>
      </c>
      <c r="Q4608" t="s">
        <v>6950</v>
      </c>
      <c r="AF4608" t="s">
        <v>6952</v>
      </c>
    </row>
    <row r="4609" spans="1:32" hidden="1" x14ac:dyDescent="0.35">
      <c r="A4609">
        <v>3383</v>
      </c>
      <c r="B4609" t="s">
        <v>6948</v>
      </c>
      <c r="C4609" t="s">
        <v>72</v>
      </c>
      <c r="D4609" t="s">
        <v>45</v>
      </c>
      <c r="E4609">
        <v>1749</v>
      </c>
      <c r="F4609">
        <v>5</v>
      </c>
      <c r="G4609">
        <v>5</v>
      </c>
      <c r="H4609">
        <v>1</v>
      </c>
      <c r="I4609">
        <v>1</v>
      </c>
      <c r="J4609">
        <v>0.73621574407686396</v>
      </c>
      <c r="K4609">
        <v>0.75134067476053901</v>
      </c>
      <c r="L4609">
        <v>0.74370131703153297</v>
      </c>
      <c r="M4609">
        <v>0.36486486486486502</v>
      </c>
      <c r="N4609">
        <v>1</v>
      </c>
      <c r="O4609">
        <v>0.572522522522523</v>
      </c>
      <c r="P4609" t="s">
        <v>6949</v>
      </c>
      <c r="Q4609" t="s">
        <v>6950</v>
      </c>
      <c r="AF4609" t="s">
        <v>6953</v>
      </c>
    </row>
    <row r="4610" spans="1:32" hidden="1" x14ac:dyDescent="0.35">
      <c r="A4610">
        <v>3404</v>
      </c>
      <c r="B4610" t="s">
        <v>6996</v>
      </c>
      <c r="C4610" t="s">
        <v>72</v>
      </c>
      <c r="D4610" t="s">
        <v>58</v>
      </c>
      <c r="E4610">
        <v>1314</v>
      </c>
      <c r="F4610">
        <v>5</v>
      </c>
      <c r="G4610">
        <v>5</v>
      </c>
      <c r="H4610">
        <v>1</v>
      </c>
      <c r="I4610">
        <v>1</v>
      </c>
      <c r="J4610">
        <v>0.76456599286563598</v>
      </c>
      <c r="K4610">
        <v>0.967224769118331</v>
      </c>
      <c r="L4610">
        <v>0.85403754559586798</v>
      </c>
      <c r="M4610">
        <v>0.59770114942528696</v>
      </c>
      <c r="N4610">
        <v>1</v>
      </c>
      <c r="O4610">
        <v>0.685057471264368</v>
      </c>
      <c r="P4610" t="s">
        <v>6997</v>
      </c>
      <c r="Q4610" t="s">
        <v>6998</v>
      </c>
      <c r="AF4610" t="s">
        <v>6999</v>
      </c>
    </row>
    <row r="4611" spans="1:32" hidden="1" x14ac:dyDescent="0.35">
      <c r="A4611">
        <v>3405</v>
      </c>
      <c r="B4611" t="s">
        <v>6996</v>
      </c>
      <c r="C4611" t="s">
        <v>72</v>
      </c>
      <c r="D4611" t="s">
        <v>60</v>
      </c>
      <c r="E4611">
        <v>1769</v>
      </c>
      <c r="F4611">
        <v>5</v>
      </c>
      <c r="G4611">
        <v>5</v>
      </c>
      <c r="H4611">
        <v>1</v>
      </c>
      <c r="I4611">
        <v>1</v>
      </c>
      <c r="J4611">
        <v>0.76456599286563598</v>
      </c>
      <c r="K4611">
        <v>0.967224769118331</v>
      </c>
      <c r="L4611">
        <v>0.85403754559586798</v>
      </c>
      <c r="M4611">
        <v>0.59770114942528696</v>
      </c>
      <c r="N4611">
        <v>1</v>
      </c>
      <c r="O4611">
        <v>0.685057471264368</v>
      </c>
      <c r="P4611" t="s">
        <v>6997</v>
      </c>
      <c r="Q4611" t="s">
        <v>6998</v>
      </c>
      <c r="AF4611" t="s">
        <v>7000</v>
      </c>
    </row>
    <row r="4612" spans="1:32" hidden="1" x14ac:dyDescent="0.35">
      <c r="A4612">
        <v>3406</v>
      </c>
      <c r="B4612" t="s">
        <v>6996</v>
      </c>
      <c r="C4612" t="s">
        <v>72</v>
      </c>
      <c r="D4612" t="s">
        <v>62</v>
      </c>
      <c r="E4612">
        <v>1805</v>
      </c>
      <c r="F4612">
        <v>5</v>
      </c>
      <c r="G4612">
        <v>5</v>
      </c>
      <c r="H4612">
        <v>1</v>
      </c>
      <c r="I4612">
        <v>1</v>
      </c>
      <c r="J4612">
        <v>0.76456599286563598</v>
      </c>
      <c r="K4612">
        <v>0.967224769118331</v>
      </c>
      <c r="L4612">
        <v>0.85403754559586798</v>
      </c>
      <c r="M4612">
        <v>0.59770114942528696</v>
      </c>
      <c r="N4612">
        <v>1</v>
      </c>
      <c r="O4612">
        <v>0.685057471264368</v>
      </c>
      <c r="P4612" t="s">
        <v>6997</v>
      </c>
      <c r="Q4612" t="s">
        <v>6998</v>
      </c>
      <c r="AF4612" t="s">
        <v>7000</v>
      </c>
    </row>
    <row r="4613" spans="1:32" hidden="1" x14ac:dyDescent="0.35">
      <c r="A4613">
        <v>3407</v>
      </c>
      <c r="B4613" t="s">
        <v>6996</v>
      </c>
      <c r="C4613" t="s">
        <v>72</v>
      </c>
      <c r="D4613" t="s">
        <v>34</v>
      </c>
      <c r="E4613">
        <v>2139</v>
      </c>
      <c r="F4613">
        <v>5</v>
      </c>
      <c r="G4613">
        <v>5</v>
      </c>
      <c r="H4613">
        <v>1</v>
      </c>
      <c r="I4613">
        <v>1</v>
      </c>
      <c r="J4613">
        <v>0.76456599286563598</v>
      </c>
      <c r="K4613">
        <v>0.967224769118331</v>
      </c>
      <c r="L4613">
        <v>0.85403754559586798</v>
      </c>
      <c r="M4613">
        <v>0.59770114942528696</v>
      </c>
      <c r="N4613">
        <v>1</v>
      </c>
      <c r="O4613">
        <v>0.685057471264368</v>
      </c>
      <c r="P4613" t="s">
        <v>6997</v>
      </c>
      <c r="Q4613" t="s">
        <v>6998</v>
      </c>
      <c r="AF4613" t="s">
        <v>7001</v>
      </c>
    </row>
    <row r="4614" spans="1:32" hidden="1" x14ac:dyDescent="0.35">
      <c r="A4614">
        <v>3408</v>
      </c>
      <c r="B4614" t="s">
        <v>6996</v>
      </c>
      <c r="C4614" t="s">
        <v>72</v>
      </c>
      <c r="D4614" t="s">
        <v>45</v>
      </c>
      <c r="E4614">
        <v>734</v>
      </c>
      <c r="F4614">
        <v>5</v>
      </c>
      <c r="G4614">
        <v>5</v>
      </c>
      <c r="H4614">
        <v>1</v>
      </c>
      <c r="I4614">
        <v>1</v>
      </c>
      <c r="J4614">
        <v>0.76456599286563598</v>
      </c>
      <c r="K4614">
        <v>0.967224769118331</v>
      </c>
      <c r="L4614">
        <v>0.85403754559586798</v>
      </c>
      <c r="M4614">
        <v>0.59770114942528696</v>
      </c>
      <c r="N4614">
        <v>1</v>
      </c>
      <c r="O4614">
        <v>0.685057471264368</v>
      </c>
      <c r="P4614" t="s">
        <v>6997</v>
      </c>
      <c r="Q4614" t="s">
        <v>6998</v>
      </c>
      <c r="AF4614" t="s">
        <v>7002</v>
      </c>
    </row>
    <row r="4615" spans="1:32" hidden="1" x14ac:dyDescent="0.35">
      <c r="A4615">
        <v>3492</v>
      </c>
      <c r="B4615" t="s">
        <v>7172</v>
      </c>
      <c r="C4615" t="s">
        <v>72</v>
      </c>
      <c r="D4615" t="s">
        <v>34</v>
      </c>
      <c r="E4615">
        <v>640</v>
      </c>
      <c r="F4615">
        <v>5</v>
      </c>
      <c r="G4615">
        <v>5</v>
      </c>
      <c r="H4615">
        <v>1</v>
      </c>
      <c r="I4615">
        <v>1</v>
      </c>
      <c r="J4615">
        <v>0.75473684210526304</v>
      </c>
      <c r="K4615">
        <v>0.98958333333333404</v>
      </c>
      <c r="L4615">
        <v>0.85635081278837399</v>
      </c>
      <c r="M4615">
        <v>0.59375</v>
      </c>
      <c r="N4615">
        <v>1</v>
      </c>
      <c r="O4615">
        <v>0.70104166666666701</v>
      </c>
      <c r="P4615" t="s">
        <v>4783</v>
      </c>
      <c r="Q4615" t="s">
        <v>4784</v>
      </c>
      <c r="T4615" t="s">
        <v>4785</v>
      </c>
      <c r="U4615" t="s">
        <v>4786</v>
      </c>
      <c r="AD4615" t="s">
        <v>4789</v>
      </c>
      <c r="AE4615" t="s">
        <v>4790</v>
      </c>
      <c r="AF4615" t="e">
        <f>-MDIIKYGFSEIDAAAADIQTTASRIGSLLHTLKSQIQPMVTAWEGSSSTAYQEAQAKWDHSADELNTILDTIARTVRNGNDDMSDVNRAATSSWG</f>
        <v>#NAME?</v>
      </c>
    </row>
    <row r="4616" spans="1:32" hidden="1" x14ac:dyDescent="0.35">
      <c r="A4616">
        <v>3493</v>
      </c>
      <c r="B4616" t="s">
        <v>7172</v>
      </c>
      <c r="C4616" t="s">
        <v>72</v>
      </c>
      <c r="D4616" t="s">
        <v>45</v>
      </c>
      <c r="E4616">
        <v>1906</v>
      </c>
      <c r="F4616">
        <v>5</v>
      </c>
      <c r="G4616">
        <v>5</v>
      </c>
      <c r="H4616">
        <v>1</v>
      </c>
      <c r="I4616">
        <v>1</v>
      </c>
      <c r="J4616">
        <v>0.75473684210526304</v>
      </c>
      <c r="K4616">
        <v>0.98958333333333404</v>
      </c>
      <c r="L4616">
        <v>0.85635081278837399</v>
      </c>
      <c r="M4616">
        <v>0.59375</v>
      </c>
      <c r="N4616">
        <v>1</v>
      </c>
      <c r="O4616">
        <v>0.70104166666666701</v>
      </c>
      <c r="P4616" t="s">
        <v>4783</v>
      </c>
      <c r="Q4616" t="s">
        <v>4784</v>
      </c>
      <c r="T4616" t="s">
        <v>4785</v>
      </c>
      <c r="U4616" t="s">
        <v>4786</v>
      </c>
      <c r="AD4616" t="s">
        <v>4789</v>
      </c>
      <c r="AE4616" t="s">
        <v>4790</v>
      </c>
      <c r="AF4616" t="e">
        <f>-MDIIKYGFSEIDAAAADIQTTASRIGSLLHTLKSQIQPMVTAWEGSSSTAYQEAQAKWDHSADELNTILDTIARTVRNGNDDMSDVNRAATSSWG</f>
        <v>#NAME?</v>
      </c>
    </row>
    <row r="4617" spans="1:32" hidden="1" x14ac:dyDescent="0.35">
      <c r="A4617">
        <v>3529</v>
      </c>
      <c r="B4617" t="s">
        <v>7254</v>
      </c>
      <c r="C4617" t="s">
        <v>72</v>
      </c>
      <c r="D4617" t="s">
        <v>58</v>
      </c>
      <c r="E4617">
        <v>1521</v>
      </c>
      <c r="F4617">
        <v>5</v>
      </c>
      <c r="G4617">
        <v>5</v>
      </c>
      <c r="H4617">
        <v>1</v>
      </c>
      <c r="I4617">
        <v>1</v>
      </c>
      <c r="J4617">
        <v>0.74465811965812001</v>
      </c>
      <c r="K4617">
        <v>0.97758454106280002</v>
      </c>
      <c r="L4617">
        <v>0.84537014760736295</v>
      </c>
      <c r="M4617">
        <v>0.52289156626505995</v>
      </c>
      <c r="N4617">
        <v>1</v>
      </c>
      <c r="O4617">
        <v>0.665783132530121</v>
      </c>
      <c r="AF4617" t="s">
        <v>7255</v>
      </c>
    </row>
    <row r="4618" spans="1:32" hidden="1" x14ac:dyDescent="0.35">
      <c r="A4618">
        <v>3530</v>
      </c>
      <c r="B4618" t="s">
        <v>7254</v>
      </c>
      <c r="C4618" t="s">
        <v>72</v>
      </c>
      <c r="D4618" t="s">
        <v>60</v>
      </c>
      <c r="E4618">
        <v>520</v>
      </c>
      <c r="F4618">
        <v>5</v>
      </c>
      <c r="G4618">
        <v>5</v>
      </c>
      <c r="H4618">
        <v>1</v>
      </c>
      <c r="I4618">
        <v>1</v>
      </c>
      <c r="J4618">
        <v>0.74465811965812001</v>
      </c>
      <c r="K4618">
        <v>0.97758454106280002</v>
      </c>
      <c r="L4618">
        <v>0.84537014760736295</v>
      </c>
      <c r="M4618">
        <v>0.52289156626505995</v>
      </c>
      <c r="N4618">
        <v>1</v>
      </c>
      <c r="O4618">
        <v>0.665783132530121</v>
      </c>
      <c r="AF4618" t="e">
        <f>----MAQQGIIPVKLSLTDGDFYTLWAPSWKEHGQEWQAFLGGDDNVYFFHSPAELLAFLSSDQEHDLQTHPKWGAFNSRDAARVVPTSKETMDLVGVPGFLAGRPSHENVSGVARSFAVARSLAGVCALTDVESFFNSHSMLMNVQRGSEHYAGEGGMSEWTSVGHAVLNNWDKILDSLDDIVFVPD--TDADAVNTAQSDIDAANIAAEKRRAEEAEAAKKAEEEADPYDASVWGEAGIDPIKIAIDGRLLYSLRTYINGQPVFLGRYGEIYTFNNRRSLVRWLVEHSDHDLASVSTWSDIMEAANGGTLEVQVHSDNAYSFTGIADDIAKGPQAVDTDQMRQAYELLADAADWAADDAVNSILVADPALQEYIAYMLGAT--SGYVPSAPYTNEVEGWKQLEESLTKRFSKF</f>
        <v>#NAME?</v>
      </c>
    </row>
    <row r="4619" spans="1:32" hidden="1" x14ac:dyDescent="0.35">
      <c r="A4619">
        <v>3531</v>
      </c>
      <c r="B4619" t="s">
        <v>7254</v>
      </c>
      <c r="C4619" t="s">
        <v>72</v>
      </c>
      <c r="D4619" t="s">
        <v>62</v>
      </c>
      <c r="E4619">
        <v>604</v>
      </c>
      <c r="F4619">
        <v>5</v>
      </c>
      <c r="G4619">
        <v>5</v>
      </c>
      <c r="H4619">
        <v>1</v>
      </c>
      <c r="I4619">
        <v>1</v>
      </c>
      <c r="J4619">
        <v>0.74465811965812001</v>
      </c>
      <c r="K4619">
        <v>0.97758454106280002</v>
      </c>
      <c r="L4619">
        <v>0.84537014760736295</v>
      </c>
      <c r="M4619">
        <v>0.52289156626505995</v>
      </c>
      <c r="N4619">
        <v>1</v>
      </c>
      <c r="O4619">
        <v>0.665783132530121</v>
      </c>
      <c r="AF4619" t="e">
        <f>----MAQQGIIPVKLSLTDGDFYTLWAPSWKEHGQEWQAFLGGDDNVYFFHSPAELLAFLSSDQEHDLQTHPKWGAFNSRDAARVVPTSKETMDLVGVPGFLAGRPSHENVSGVARSFAVARSLAGVCALTDVESFFNSHSMLMNVQRGSEHYAGEGGMSEWTSVGHAVLNNWDKILDSLDDIVFVPD--TDADAVNTAQSDIDAANIAAEKRRAEEAEAAKKAEEEADPYDASVWGEAGIDPIKIAIDGRLLYSLRTYINGQPVFLGRYGEIYTFNNRRSLVRWLVEHSDHDLASVSTWSDIMEAANGGTLEVQVHSDNAYSFTGIADDIAKGPQAVDTDQMRQAYELLADAADWAADDAVNSILVADPALQEYIAYMLGAT--SGYVPSAPYTNEVEGWKQLEESLTKRFSKF</f>
        <v>#NAME?</v>
      </c>
    </row>
    <row r="4620" spans="1:32" hidden="1" x14ac:dyDescent="0.35">
      <c r="A4620">
        <v>4619</v>
      </c>
      <c r="B4620" t="s">
        <v>9663</v>
      </c>
      <c r="C4620" t="s">
        <v>2</v>
      </c>
      <c r="D4620" t="s">
        <v>58</v>
      </c>
      <c r="E4620">
        <v>340</v>
      </c>
      <c r="F4620">
        <v>5</v>
      </c>
      <c r="G4620">
        <v>5</v>
      </c>
      <c r="H4620">
        <v>1</v>
      </c>
      <c r="I4620">
        <v>1</v>
      </c>
      <c r="J4620">
        <v>0.84097054739457699</v>
      </c>
      <c r="K4620">
        <v>0.98940677166839197</v>
      </c>
      <c r="L4620">
        <v>0.90916986973137204</v>
      </c>
      <c r="M4620">
        <v>0.71583514099783097</v>
      </c>
      <c r="N4620">
        <v>0.99566160520607405</v>
      </c>
      <c r="O4620">
        <v>0.79305856832971799</v>
      </c>
      <c r="P4620" t="s">
        <v>1057</v>
      </c>
      <c r="Q4620" t="s">
        <v>1058</v>
      </c>
      <c r="R4620" t="s">
        <v>319</v>
      </c>
      <c r="S4620" t="s">
        <v>320</v>
      </c>
      <c r="T4620" t="s">
        <v>4824</v>
      </c>
      <c r="U4620" t="s">
        <v>4825</v>
      </c>
      <c r="V4620" t="s">
        <v>4797</v>
      </c>
      <c r="W4620" t="s">
        <v>4798</v>
      </c>
      <c r="AD4620" t="s">
        <v>951</v>
      </c>
      <c r="AE4620" t="s">
        <v>4826</v>
      </c>
      <c r="AF4620" t="s">
        <v>9664</v>
      </c>
    </row>
    <row r="4621" spans="1:32" hidden="1" x14ac:dyDescent="0.35">
      <c r="A4621">
        <v>6377</v>
      </c>
      <c r="B4621" t="s">
        <v>13138</v>
      </c>
      <c r="C4621" t="s">
        <v>68</v>
      </c>
      <c r="D4621" t="s">
        <v>58</v>
      </c>
      <c r="E4621">
        <v>146</v>
      </c>
      <c r="F4621">
        <v>3</v>
      </c>
      <c r="G4621">
        <v>3</v>
      </c>
      <c r="H4621">
        <v>1</v>
      </c>
      <c r="I4621">
        <v>0</v>
      </c>
      <c r="J4621">
        <v>0.86652314316469303</v>
      </c>
      <c r="K4621">
        <v>0.98325750682438595</v>
      </c>
      <c r="L4621">
        <v>0.92120693916738405</v>
      </c>
      <c r="M4621">
        <v>0.73333333333333295</v>
      </c>
      <c r="N4621">
        <v>0.97777777777777797</v>
      </c>
      <c r="O4621">
        <v>0.81798941798941804</v>
      </c>
      <c r="P4621" t="s">
        <v>6059</v>
      </c>
      <c r="Q4621" t="s">
        <v>6060</v>
      </c>
      <c r="R4621" t="s">
        <v>157</v>
      </c>
      <c r="S4621" t="s">
        <v>158</v>
      </c>
      <c r="T4621" t="s">
        <v>10495</v>
      </c>
      <c r="U4621" t="s">
        <v>10496</v>
      </c>
      <c r="V4621" t="s">
        <v>10388</v>
      </c>
      <c r="W4621" t="s">
        <v>10389</v>
      </c>
      <c r="Z4621" t="s">
        <v>10499</v>
      </c>
      <c r="AA4621" t="s">
        <v>10500</v>
      </c>
      <c r="AB4621" t="s">
        <v>10499</v>
      </c>
      <c r="AC4621" t="s">
        <v>4023</v>
      </c>
      <c r="AD4621" t="s">
        <v>951</v>
      </c>
      <c r="AE4621" t="s">
        <v>10501</v>
      </c>
      <c r="AF4621" t="s">
        <v>13139</v>
      </c>
    </row>
    <row r="4622" spans="1:32" hidden="1" x14ac:dyDescent="0.35">
      <c r="A4622">
        <v>4625</v>
      </c>
      <c r="B4622" t="s">
        <v>9669</v>
      </c>
      <c r="C4622" t="s">
        <v>10127</v>
      </c>
      <c r="D4622" t="s">
        <v>60</v>
      </c>
      <c r="E4622">
        <v>2225</v>
      </c>
      <c r="F4622">
        <v>5</v>
      </c>
      <c r="G4622">
        <v>5</v>
      </c>
      <c r="H4622">
        <v>1</v>
      </c>
      <c r="I4622">
        <v>1</v>
      </c>
      <c r="J4622">
        <v>0.77722584918156901</v>
      </c>
      <c r="K4622">
        <v>0.95603100535754304</v>
      </c>
      <c r="L4622">
        <v>0.85740553460036295</v>
      </c>
      <c r="M4622">
        <v>0.57588075880758804</v>
      </c>
      <c r="N4622">
        <v>0.99186991869918695</v>
      </c>
      <c r="O4622">
        <v>0.70040650406504101</v>
      </c>
      <c r="P4622" t="s">
        <v>9670</v>
      </c>
      <c r="Q4622" t="s">
        <v>9671</v>
      </c>
      <c r="R4622" t="s">
        <v>235</v>
      </c>
      <c r="S4622" t="s">
        <v>236</v>
      </c>
      <c r="T4622" t="s">
        <v>9672</v>
      </c>
      <c r="U4622" t="s">
        <v>9673</v>
      </c>
      <c r="V4622" t="s">
        <v>9674</v>
      </c>
      <c r="W4622" t="s">
        <v>9675</v>
      </c>
      <c r="AD4622" t="s">
        <v>5476</v>
      </c>
      <c r="AE4622" t="s">
        <v>9676</v>
      </c>
      <c r="AF4622" t="s">
        <v>9678</v>
      </c>
    </row>
    <row r="4623" spans="1:32" hidden="1" x14ac:dyDescent="0.35">
      <c r="A4623">
        <v>4626</v>
      </c>
      <c r="B4623" t="s">
        <v>9669</v>
      </c>
      <c r="C4623" t="s">
        <v>10127</v>
      </c>
      <c r="D4623" t="s">
        <v>62</v>
      </c>
      <c r="E4623">
        <v>2255</v>
      </c>
      <c r="F4623">
        <v>5</v>
      </c>
      <c r="G4623">
        <v>5</v>
      </c>
      <c r="H4623">
        <v>1</v>
      </c>
      <c r="I4623">
        <v>1</v>
      </c>
      <c r="J4623">
        <v>0.77722584918156901</v>
      </c>
      <c r="K4623">
        <v>0.95603100535754304</v>
      </c>
      <c r="L4623">
        <v>0.85740553460036295</v>
      </c>
      <c r="M4623">
        <v>0.57588075880758804</v>
      </c>
      <c r="N4623">
        <v>0.99186991869918695</v>
      </c>
      <c r="O4623">
        <v>0.70040650406504101</v>
      </c>
      <c r="P4623" t="s">
        <v>9670</v>
      </c>
      <c r="Q4623" t="s">
        <v>9671</v>
      </c>
      <c r="R4623" t="s">
        <v>235</v>
      </c>
      <c r="S4623" t="s">
        <v>236</v>
      </c>
      <c r="T4623" t="s">
        <v>9672</v>
      </c>
      <c r="U4623" t="s">
        <v>9673</v>
      </c>
      <c r="V4623" t="s">
        <v>9674</v>
      </c>
      <c r="W4623" t="s">
        <v>9675</v>
      </c>
      <c r="AD4623" t="s">
        <v>5476</v>
      </c>
      <c r="AE4623" t="s">
        <v>9676</v>
      </c>
      <c r="AF4623" t="s">
        <v>9679</v>
      </c>
    </row>
    <row r="4624" spans="1:32" hidden="1" x14ac:dyDescent="0.35">
      <c r="A4624">
        <v>4627</v>
      </c>
      <c r="B4624" t="s">
        <v>9669</v>
      </c>
      <c r="C4624" t="s">
        <v>10127</v>
      </c>
      <c r="D4624" t="s">
        <v>34</v>
      </c>
      <c r="E4624">
        <v>1562</v>
      </c>
      <c r="F4624">
        <v>5</v>
      </c>
      <c r="G4624">
        <v>5</v>
      </c>
      <c r="H4624">
        <v>1</v>
      </c>
      <c r="I4624">
        <v>1</v>
      </c>
      <c r="J4624">
        <v>0.77722584918156901</v>
      </c>
      <c r="K4624">
        <v>0.95603100535754304</v>
      </c>
      <c r="L4624">
        <v>0.85740553460036295</v>
      </c>
      <c r="M4624">
        <v>0.57588075880758804</v>
      </c>
      <c r="N4624">
        <v>0.99186991869918695</v>
      </c>
      <c r="O4624">
        <v>0.70040650406504101</v>
      </c>
      <c r="P4624" t="s">
        <v>9670</v>
      </c>
      <c r="Q4624" t="s">
        <v>9671</v>
      </c>
      <c r="R4624" t="s">
        <v>235</v>
      </c>
      <c r="S4624" t="s">
        <v>236</v>
      </c>
      <c r="T4624" t="s">
        <v>9672</v>
      </c>
      <c r="U4624" t="s">
        <v>9673</v>
      </c>
      <c r="V4624" t="s">
        <v>9674</v>
      </c>
      <c r="W4624" t="s">
        <v>9675</v>
      </c>
      <c r="AD4624" t="s">
        <v>5476</v>
      </c>
      <c r="AE4624" t="s">
        <v>9676</v>
      </c>
      <c r="AF4624" t="s">
        <v>9680</v>
      </c>
    </row>
    <row r="4625" spans="1:32" hidden="1" x14ac:dyDescent="0.35">
      <c r="A4625">
        <v>4628</v>
      </c>
      <c r="B4625" t="s">
        <v>9669</v>
      </c>
      <c r="C4625" t="s">
        <v>10127</v>
      </c>
      <c r="D4625" t="s">
        <v>45</v>
      </c>
      <c r="E4625">
        <v>312</v>
      </c>
      <c r="F4625">
        <v>5</v>
      </c>
      <c r="G4625">
        <v>5</v>
      </c>
      <c r="H4625">
        <v>1</v>
      </c>
      <c r="I4625">
        <v>1</v>
      </c>
      <c r="J4625">
        <v>0.77722584918156901</v>
      </c>
      <c r="K4625">
        <v>0.95603100535754304</v>
      </c>
      <c r="L4625">
        <v>0.85740553460036295</v>
      </c>
      <c r="M4625">
        <v>0.57588075880758804</v>
      </c>
      <c r="N4625">
        <v>0.99186991869918695</v>
      </c>
      <c r="O4625">
        <v>0.70040650406504101</v>
      </c>
      <c r="P4625" t="s">
        <v>9670</v>
      </c>
      <c r="Q4625" t="s">
        <v>9671</v>
      </c>
      <c r="R4625" t="s">
        <v>235</v>
      </c>
      <c r="S4625" t="s">
        <v>236</v>
      </c>
      <c r="T4625" t="s">
        <v>9672</v>
      </c>
      <c r="U4625" t="s">
        <v>9673</v>
      </c>
      <c r="V4625" t="s">
        <v>9674</v>
      </c>
      <c r="W4625" t="s">
        <v>9675</v>
      </c>
      <c r="AD4625" t="s">
        <v>5476</v>
      </c>
      <c r="AE4625" t="s">
        <v>9676</v>
      </c>
      <c r="AF4625" t="s">
        <v>9681</v>
      </c>
    </row>
    <row r="4626" spans="1:32" hidden="1" x14ac:dyDescent="0.35">
      <c r="A4626">
        <v>1889</v>
      </c>
      <c r="B4626" t="s">
        <v>3911</v>
      </c>
      <c r="C4626" t="s">
        <v>72</v>
      </c>
      <c r="D4626" t="s">
        <v>58</v>
      </c>
      <c r="E4626">
        <v>1833</v>
      </c>
      <c r="F4626">
        <v>5</v>
      </c>
      <c r="G4626">
        <v>5</v>
      </c>
      <c r="H4626">
        <v>1</v>
      </c>
      <c r="I4626">
        <v>1</v>
      </c>
      <c r="J4626">
        <v>0.81592039800994998</v>
      </c>
      <c r="K4626">
        <v>0.92521159874608305</v>
      </c>
      <c r="L4626">
        <v>0.86713588320564605</v>
      </c>
      <c r="M4626">
        <v>0.55000000000000004</v>
      </c>
      <c r="N4626">
        <v>1</v>
      </c>
      <c r="O4626">
        <v>0.72</v>
      </c>
      <c r="P4626" t="s">
        <v>3912</v>
      </c>
      <c r="Q4626" t="s">
        <v>3913</v>
      </c>
      <c r="R4626" t="s">
        <v>1191</v>
      </c>
      <c r="S4626" t="s">
        <v>1192</v>
      </c>
      <c r="V4626" t="s">
        <v>3914</v>
      </c>
      <c r="W4626" t="s">
        <v>3915</v>
      </c>
      <c r="AF4626" t="s">
        <v>3916</v>
      </c>
    </row>
    <row r="4627" spans="1:32" hidden="1" x14ac:dyDescent="0.35">
      <c r="A4627">
        <v>4635</v>
      </c>
      <c r="B4627" t="s">
        <v>9688</v>
      </c>
      <c r="C4627" t="s">
        <v>10127</v>
      </c>
      <c r="D4627" t="s">
        <v>60</v>
      </c>
      <c r="E4627">
        <v>1167</v>
      </c>
      <c r="F4627">
        <v>5</v>
      </c>
      <c r="G4627">
        <v>5</v>
      </c>
      <c r="H4627">
        <v>1</v>
      </c>
      <c r="I4627">
        <v>1</v>
      </c>
      <c r="J4627">
        <v>0.89469633361320999</v>
      </c>
      <c r="K4627">
        <v>0.98049128165967003</v>
      </c>
      <c r="L4627">
        <v>0.93563113119533503</v>
      </c>
      <c r="M4627">
        <v>0.79629629629629595</v>
      </c>
      <c r="N4627">
        <v>0.99794238683127601</v>
      </c>
      <c r="O4627">
        <v>0.86028806584362105</v>
      </c>
      <c r="P4627" t="s">
        <v>2503</v>
      </c>
      <c r="Q4627" t="s">
        <v>2504</v>
      </c>
      <c r="R4627" t="s">
        <v>235</v>
      </c>
      <c r="S4627" t="s">
        <v>236</v>
      </c>
      <c r="T4627" t="s">
        <v>9689</v>
      </c>
      <c r="U4627" t="s">
        <v>9690</v>
      </c>
      <c r="V4627" t="s">
        <v>9691</v>
      </c>
      <c r="W4627" t="s">
        <v>9692</v>
      </c>
      <c r="X4627" t="s">
        <v>9691</v>
      </c>
      <c r="Y4627" t="s">
        <v>2932</v>
      </c>
      <c r="Z4627" t="s">
        <v>6049</v>
      </c>
      <c r="AA4627" t="s">
        <v>6050</v>
      </c>
      <c r="AB4627" t="s">
        <v>6049</v>
      </c>
      <c r="AC4627" t="s">
        <v>6051</v>
      </c>
      <c r="AD4627" t="s">
        <v>6052</v>
      </c>
      <c r="AE4627" t="s">
        <v>9693</v>
      </c>
      <c r="AF4627" t="s">
        <v>9695</v>
      </c>
    </row>
    <row r="4628" spans="1:32" hidden="1" x14ac:dyDescent="0.35">
      <c r="A4628">
        <v>4636</v>
      </c>
      <c r="B4628" t="s">
        <v>9688</v>
      </c>
      <c r="C4628" t="s">
        <v>10127</v>
      </c>
      <c r="D4628" t="s">
        <v>62</v>
      </c>
      <c r="E4628">
        <v>1204</v>
      </c>
      <c r="F4628">
        <v>5</v>
      </c>
      <c r="G4628">
        <v>5</v>
      </c>
      <c r="H4628">
        <v>1</v>
      </c>
      <c r="I4628">
        <v>1</v>
      </c>
      <c r="J4628">
        <v>0.89469633361320999</v>
      </c>
      <c r="K4628">
        <v>0.98049128165967003</v>
      </c>
      <c r="L4628">
        <v>0.93563113119533503</v>
      </c>
      <c r="M4628">
        <v>0.79629629629629595</v>
      </c>
      <c r="N4628">
        <v>0.99794238683127601</v>
      </c>
      <c r="O4628">
        <v>0.86028806584362105</v>
      </c>
      <c r="P4628" t="s">
        <v>2503</v>
      </c>
      <c r="Q4628" t="s">
        <v>2504</v>
      </c>
      <c r="R4628" t="s">
        <v>235</v>
      </c>
      <c r="S4628" t="s">
        <v>236</v>
      </c>
      <c r="T4628" t="s">
        <v>9689</v>
      </c>
      <c r="U4628" t="s">
        <v>9690</v>
      </c>
      <c r="V4628" t="s">
        <v>9691</v>
      </c>
      <c r="W4628" t="s">
        <v>9692</v>
      </c>
      <c r="X4628" t="s">
        <v>9691</v>
      </c>
      <c r="Y4628" t="s">
        <v>2932</v>
      </c>
      <c r="Z4628" t="s">
        <v>6049</v>
      </c>
      <c r="AA4628" t="s">
        <v>6050</v>
      </c>
      <c r="AB4628" t="s">
        <v>6049</v>
      </c>
      <c r="AC4628" t="s">
        <v>6051</v>
      </c>
      <c r="AD4628" t="s">
        <v>6052</v>
      </c>
      <c r="AE4628" t="s">
        <v>9693</v>
      </c>
      <c r="AF4628" t="s">
        <v>9695</v>
      </c>
    </row>
    <row r="4629" spans="1:32" hidden="1" x14ac:dyDescent="0.35">
      <c r="A4629">
        <v>4637</v>
      </c>
      <c r="B4629" t="s">
        <v>9688</v>
      </c>
      <c r="C4629" t="s">
        <v>10127</v>
      </c>
      <c r="D4629" t="s">
        <v>34</v>
      </c>
      <c r="E4629">
        <v>2508</v>
      </c>
      <c r="F4629">
        <v>5</v>
      </c>
      <c r="G4629">
        <v>5</v>
      </c>
      <c r="H4629">
        <v>1</v>
      </c>
      <c r="I4629">
        <v>1</v>
      </c>
      <c r="J4629">
        <v>0.89469633361320999</v>
      </c>
      <c r="K4629">
        <v>0.98049128165967003</v>
      </c>
      <c r="L4629">
        <v>0.93563113119533503</v>
      </c>
      <c r="M4629">
        <v>0.79629629629629595</v>
      </c>
      <c r="N4629">
        <v>0.99794238683127601</v>
      </c>
      <c r="O4629">
        <v>0.86028806584362105</v>
      </c>
      <c r="P4629" t="s">
        <v>2503</v>
      </c>
      <c r="Q4629" t="s">
        <v>2504</v>
      </c>
      <c r="R4629" t="s">
        <v>235</v>
      </c>
      <c r="S4629" t="s">
        <v>236</v>
      </c>
      <c r="T4629" t="s">
        <v>9689</v>
      </c>
      <c r="U4629" t="s">
        <v>9690</v>
      </c>
      <c r="V4629" t="s">
        <v>9691</v>
      </c>
      <c r="W4629" t="s">
        <v>9692</v>
      </c>
      <c r="X4629" t="s">
        <v>9691</v>
      </c>
      <c r="Y4629" t="s">
        <v>2932</v>
      </c>
      <c r="Z4629" t="s">
        <v>6049</v>
      </c>
      <c r="AA4629" t="s">
        <v>6050</v>
      </c>
      <c r="AB4629" t="s">
        <v>6049</v>
      </c>
      <c r="AC4629" t="s">
        <v>6051</v>
      </c>
      <c r="AD4629" t="s">
        <v>6052</v>
      </c>
      <c r="AE4629" t="s">
        <v>9693</v>
      </c>
      <c r="AF4629" t="s">
        <v>9696</v>
      </c>
    </row>
    <row r="4630" spans="1:32" hidden="1" x14ac:dyDescent="0.35">
      <c r="A4630">
        <v>4638</v>
      </c>
      <c r="B4630" t="s">
        <v>9688</v>
      </c>
      <c r="C4630" t="s">
        <v>10127</v>
      </c>
      <c r="D4630" t="s">
        <v>45</v>
      </c>
      <c r="E4630">
        <v>1234</v>
      </c>
      <c r="F4630">
        <v>5</v>
      </c>
      <c r="G4630">
        <v>5</v>
      </c>
      <c r="H4630">
        <v>1</v>
      </c>
      <c r="I4630">
        <v>1</v>
      </c>
      <c r="J4630">
        <v>0.89469633361320999</v>
      </c>
      <c r="K4630">
        <v>0.98049128165967003</v>
      </c>
      <c r="L4630">
        <v>0.93563113119533503</v>
      </c>
      <c r="M4630">
        <v>0.79629629629629595</v>
      </c>
      <c r="N4630">
        <v>0.99794238683127601</v>
      </c>
      <c r="O4630">
        <v>0.86028806584362105</v>
      </c>
      <c r="P4630" t="s">
        <v>2503</v>
      </c>
      <c r="Q4630" t="s">
        <v>2504</v>
      </c>
      <c r="R4630" t="s">
        <v>235</v>
      </c>
      <c r="S4630" t="s">
        <v>236</v>
      </c>
      <c r="T4630" t="s">
        <v>9689</v>
      </c>
      <c r="U4630" t="s">
        <v>9690</v>
      </c>
      <c r="V4630" t="s">
        <v>9691</v>
      </c>
      <c r="W4630" t="s">
        <v>9692</v>
      </c>
      <c r="X4630" t="s">
        <v>9691</v>
      </c>
      <c r="Y4630" t="s">
        <v>2932</v>
      </c>
      <c r="Z4630" t="s">
        <v>6049</v>
      </c>
      <c r="AA4630" t="s">
        <v>6050</v>
      </c>
      <c r="AB4630" t="s">
        <v>6049</v>
      </c>
      <c r="AC4630" t="s">
        <v>6051</v>
      </c>
      <c r="AD4630" t="s">
        <v>6052</v>
      </c>
      <c r="AE4630" t="s">
        <v>9693</v>
      </c>
      <c r="AF4630" t="s">
        <v>9696</v>
      </c>
    </row>
    <row r="4631" spans="1:32" hidden="1" x14ac:dyDescent="0.35">
      <c r="A4631">
        <v>3109</v>
      </c>
      <c r="B4631" t="s">
        <v>6407</v>
      </c>
      <c r="C4631" t="s">
        <v>72</v>
      </c>
      <c r="D4631" t="s">
        <v>58</v>
      </c>
      <c r="E4631">
        <v>827</v>
      </c>
      <c r="F4631">
        <v>5</v>
      </c>
      <c r="G4631">
        <v>5</v>
      </c>
      <c r="H4631">
        <v>1</v>
      </c>
      <c r="I4631">
        <v>1</v>
      </c>
      <c r="J4631">
        <v>0.89246575342465795</v>
      </c>
      <c r="K4631">
        <v>1</v>
      </c>
      <c r="L4631">
        <v>0.94317770539268897</v>
      </c>
      <c r="M4631">
        <v>0.80821917808219201</v>
      </c>
      <c r="N4631">
        <v>1</v>
      </c>
      <c r="O4631">
        <v>0.85547945205479503</v>
      </c>
      <c r="P4631" t="s">
        <v>3912</v>
      </c>
      <c r="Q4631" t="s">
        <v>3913</v>
      </c>
      <c r="R4631" t="s">
        <v>1191</v>
      </c>
      <c r="S4631" t="s">
        <v>1192</v>
      </c>
      <c r="V4631" t="s">
        <v>3914</v>
      </c>
      <c r="W4631" t="s">
        <v>3915</v>
      </c>
      <c r="AF4631" t="s">
        <v>6408</v>
      </c>
    </row>
    <row r="4632" spans="1:32" hidden="1" x14ac:dyDescent="0.35">
      <c r="A4632">
        <v>4675</v>
      </c>
      <c r="B4632" t="s">
        <v>9771</v>
      </c>
      <c r="C4632" t="s">
        <v>10127</v>
      </c>
      <c r="D4632" t="s">
        <v>60</v>
      </c>
      <c r="E4632">
        <v>2016</v>
      </c>
      <c r="F4632">
        <v>5</v>
      </c>
      <c r="G4632">
        <v>5</v>
      </c>
      <c r="H4632">
        <v>1</v>
      </c>
      <c r="I4632">
        <v>1</v>
      </c>
      <c r="J4632">
        <v>0.83302477298774602</v>
      </c>
      <c r="K4632">
        <v>0.97718734519553596</v>
      </c>
      <c r="L4632">
        <v>0.89936561380989599</v>
      </c>
      <c r="M4632">
        <v>0.68475452196382403</v>
      </c>
      <c r="N4632">
        <v>0.98966408268733896</v>
      </c>
      <c r="O4632">
        <v>0.76330749354005201</v>
      </c>
      <c r="P4632" t="s">
        <v>7882</v>
      </c>
      <c r="Q4632" t="s">
        <v>7883</v>
      </c>
      <c r="R4632" t="s">
        <v>235</v>
      </c>
      <c r="S4632" t="s">
        <v>236</v>
      </c>
      <c r="T4632" t="s">
        <v>9778</v>
      </c>
      <c r="U4632" t="s">
        <v>9779</v>
      </c>
      <c r="V4632" t="s">
        <v>9774</v>
      </c>
      <c r="W4632" t="s">
        <v>9775</v>
      </c>
      <c r="X4632" t="s">
        <v>9774</v>
      </c>
      <c r="Y4632" t="s">
        <v>2431</v>
      </c>
      <c r="Z4632" t="s">
        <v>4557</v>
      </c>
      <c r="AA4632" t="s">
        <v>4558</v>
      </c>
      <c r="AB4632" t="s">
        <v>4557</v>
      </c>
      <c r="AC4632" t="s">
        <v>1800</v>
      </c>
      <c r="AD4632" t="s">
        <v>951</v>
      </c>
      <c r="AE4632" t="s">
        <v>9776</v>
      </c>
      <c r="AF4632" t="s">
        <v>9780</v>
      </c>
    </row>
    <row r="4633" spans="1:32" hidden="1" x14ac:dyDescent="0.35">
      <c r="A4633">
        <v>4676</v>
      </c>
      <c r="B4633" t="s">
        <v>9771</v>
      </c>
      <c r="C4633" t="s">
        <v>10127</v>
      </c>
      <c r="D4633" t="s">
        <v>62</v>
      </c>
      <c r="E4633">
        <v>2056</v>
      </c>
      <c r="F4633">
        <v>5</v>
      </c>
      <c r="G4633">
        <v>5</v>
      </c>
      <c r="H4633">
        <v>1</v>
      </c>
      <c r="I4633">
        <v>1</v>
      </c>
      <c r="J4633">
        <v>0.83302477298774602</v>
      </c>
      <c r="K4633">
        <v>0.97718734519553596</v>
      </c>
      <c r="L4633">
        <v>0.89936561380989599</v>
      </c>
      <c r="M4633">
        <v>0.68475452196382403</v>
      </c>
      <c r="N4633">
        <v>0.98966408268733896</v>
      </c>
      <c r="O4633">
        <v>0.76330749354005201</v>
      </c>
      <c r="P4633" t="s">
        <v>7882</v>
      </c>
      <c r="Q4633" t="s">
        <v>7883</v>
      </c>
      <c r="R4633" t="s">
        <v>235</v>
      </c>
      <c r="S4633" t="s">
        <v>236</v>
      </c>
      <c r="T4633" t="s">
        <v>9778</v>
      </c>
      <c r="U4633" t="s">
        <v>9779</v>
      </c>
      <c r="V4633" t="s">
        <v>9774</v>
      </c>
      <c r="W4633" t="s">
        <v>9775</v>
      </c>
      <c r="X4633" t="s">
        <v>9774</v>
      </c>
      <c r="Y4633" t="s">
        <v>2431</v>
      </c>
      <c r="Z4633" t="s">
        <v>4557</v>
      </c>
      <c r="AA4633" t="s">
        <v>4558</v>
      </c>
      <c r="AB4633" t="s">
        <v>4557</v>
      </c>
      <c r="AC4633" t="s">
        <v>1800</v>
      </c>
      <c r="AD4633" t="s">
        <v>951</v>
      </c>
      <c r="AE4633" t="s">
        <v>9776</v>
      </c>
      <c r="AF4633" t="s">
        <v>9781</v>
      </c>
    </row>
    <row r="4634" spans="1:32" hidden="1" x14ac:dyDescent="0.35">
      <c r="A4634">
        <v>4677</v>
      </c>
      <c r="B4634" t="s">
        <v>9771</v>
      </c>
      <c r="C4634" t="s">
        <v>10127</v>
      </c>
      <c r="D4634" t="s">
        <v>34</v>
      </c>
      <c r="E4634">
        <v>2360</v>
      </c>
      <c r="F4634">
        <v>5</v>
      </c>
      <c r="G4634">
        <v>5</v>
      </c>
      <c r="H4634">
        <v>1</v>
      </c>
      <c r="I4634">
        <v>1</v>
      </c>
      <c r="J4634">
        <v>0.83302477298774602</v>
      </c>
      <c r="K4634">
        <v>0.97718734519553596</v>
      </c>
      <c r="L4634">
        <v>0.89936561380989599</v>
      </c>
      <c r="M4634">
        <v>0.68475452196382403</v>
      </c>
      <c r="N4634">
        <v>0.98966408268733896</v>
      </c>
      <c r="O4634">
        <v>0.76330749354005201</v>
      </c>
      <c r="P4634" t="s">
        <v>7882</v>
      </c>
      <c r="Q4634" t="s">
        <v>7883</v>
      </c>
      <c r="R4634" t="s">
        <v>235</v>
      </c>
      <c r="S4634" t="s">
        <v>236</v>
      </c>
      <c r="T4634" t="s">
        <v>9772</v>
      </c>
      <c r="U4634" t="s">
        <v>9773</v>
      </c>
      <c r="V4634" t="s">
        <v>9774</v>
      </c>
      <c r="W4634" t="s">
        <v>9775</v>
      </c>
      <c r="X4634" t="s">
        <v>9774</v>
      </c>
      <c r="Y4634" t="s">
        <v>2431</v>
      </c>
      <c r="Z4634" t="s">
        <v>4557</v>
      </c>
      <c r="AA4634" t="s">
        <v>4558</v>
      </c>
      <c r="AB4634" t="s">
        <v>4557</v>
      </c>
      <c r="AC4634" t="s">
        <v>1800</v>
      </c>
      <c r="AD4634" t="s">
        <v>951</v>
      </c>
      <c r="AE4634" t="s">
        <v>9776</v>
      </c>
      <c r="AF4634" t="s">
        <v>9782</v>
      </c>
    </row>
    <row r="4635" spans="1:32" hidden="1" x14ac:dyDescent="0.35">
      <c r="A4635">
        <v>4678</v>
      </c>
      <c r="B4635" t="s">
        <v>9771</v>
      </c>
      <c r="C4635" t="s">
        <v>10127</v>
      </c>
      <c r="D4635" t="s">
        <v>45</v>
      </c>
      <c r="E4635">
        <v>520</v>
      </c>
      <c r="F4635">
        <v>5</v>
      </c>
      <c r="G4635">
        <v>5</v>
      </c>
      <c r="H4635">
        <v>1</v>
      </c>
      <c r="I4635">
        <v>1</v>
      </c>
      <c r="J4635">
        <v>0.83302477298774602</v>
      </c>
      <c r="K4635">
        <v>0.97718734519553596</v>
      </c>
      <c r="L4635">
        <v>0.89936561380989599</v>
      </c>
      <c r="M4635">
        <v>0.68475452196382403</v>
      </c>
      <c r="N4635">
        <v>0.98966408268733896</v>
      </c>
      <c r="O4635">
        <v>0.76330749354005201</v>
      </c>
      <c r="P4635" t="s">
        <v>7882</v>
      </c>
      <c r="Q4635" t="s">
        <v>7883</v>
      </c>
      <c r="R4635" t="s">
        <v>235</v>
      </c>
      <c r="S4635" t="s">
        <v>236</v>
      </c>
      <c r="T4635" t="s">
        <v>9772</v>
      </c>
      <c r="U4635" t="s">
        <v>9773</v>
      </c>
      <c r="V4635" t="s">
        <v>9774</v>
      </c>
      <c r="W4635" t="s">
        <v>9775</v>
      </c>
      <c r="X4635" t="s">
        <v>9774</v>
      </c>
      <c r="Y4635" t="s">
        <v>2431</v>
      </c>
      <c r="Z4635" t="s">
        <v>4557</v>
      </c>
      <c r="AA4635" t="s">
        <v>4558</v>
      </c>
      <c r="AB4635" t="s">
        <v>4557</v>
      </c>
      <c r="AC4635" t="s">
        <v>1800</v>
      </c>
      <c r="AD4635" t="s">
        <v>951</v>
      </c>
      <c r="AE4635" t="s">
        <v>9776</v>
      </c>
      <c r="AF4635" t="s">
        <v>9783</v>
      </c>
    </row>
    <row r="4636" spans="1:32" hidden="1" x14ac:dyDescent="0.35">
      <c r="A4636">
        <v>10994</v>
      </c>
      <c r="B4636" t="s">
        <v>22194</v>
      </c>
      <c r="C4636" t="s">
        <v>33</v>
      </c>
      <c r="D4636" t="s">
        <v>58</v>
      </c>
      <c r="E4636">
        <v>1774</v>
      </c>
      <c r="F4636">
        <v>1</v>
      </c>
      <c r="G4636">
        <v>1</v>
      </c>
      <c r="H4636">
        <v>1</v>
      </c>
      <c r="I4636">
        <v>0</v>
      </c>
      <c r="J4636">
        <v>1</v>
      </c>
      <c r="K4636">
        <v>1</v>
      </c>
      <c r="L4636">
        <v>1</v>
      </c>
      <c r="M4636">
        <v>0</v>
      </c>
      <c r="N4636">
        <v>0</v>
      </c>
      <c r="O4636">
        <v>0</v>
      </c>
      <c r="P4636" t="s">
        <v>3912</v>
      </c>
      <c r="Q4636" t="s">
        <v>3913</v>
      </c>
      <c r="R4636" t="s">
        <v>1191</v>
      </c>
      <c r="S4636" t="s">
        <v>1192</v>
      </c>
      <c r="V4636" t="s">
        <v>3914</v>
      </c>
      <c r="W4636" t="s">
        <v>3915</v>
      </c>
      <c r="AF4636" t="s">
        <v>22195</v>
      </c>
    </row>
    <row r="4637" spans="1:32" hidden="1" x14ac:dyDescent="0.35">
      <c r="A4637">
        <v>4685</v>
      </c>
      <c r="B4637" t="s">
        <v>9799</v>
      </c>
      <c r="C4637" t="s">
        <v>10127</v>
      </c>
      <c r="D4637" t="s">
        <v>60</v>
      </c>
      <c r="E4637">
        <v>1006</v>
      </c>
      <c r="F4637">
        <v>5</v>
      </c>
      <c r="G4637">
        <v>5</v>
      </c>
      <c r="H4637">
        <v>1</v>
      </c>
      <c r="I4637">
        <v>1</v>
      </c>
      <c r="J4637">
        <v>0.75934872070137804</v>
      </c>
      <c r="K4637">
        <v>0.91584447960113302</v>
      </c>
      <c r="L4637">
        <v>0.83028672014780602</v>
      </c>
      <c r="M4637">
        <v>0.52322738386308099</v>
      </c>
      <c r="N4637">
        <v>0.99511002444987795</v>
      </c>
      <c r="O4637">
        <v>0.67383863080684603</v>
      </c>
      <c r="P4637" t="s">
        <v>4806</v>
      </c>
      <c r="Q4637" t="s">
        <v>4807</v>
      </c>
      <c r="R4637" t="s">
        <v>235</v>
      </c>
      <c r="S4637" t="s">
        <v>236</v>
      </c>
      <c r="T4637" t="s">
        <v>9800</v>
      </c>
      <c r="U4637" t="s">
        <v>9801</v>
      </c>
      <c r="V4637" t="s">
        <v>9802</v>
      </c>
      <c r="W4637" t="s">
        <v>9803</v>
      </c>
      <c r="AD4637" t="s">
        <v>9804</v>
      </c>
      <c r="AE4637" t="s">
        <v>9805</v>
      </c>
      <c r="AF4637" t="s">
        <v>9807</v>
      </c>
    </row>
    <row r="4638" spans="1:32" hidden="1" x14ac:dyDescent="0.35">
      <c r="A4638">
        <v>4686</v>
      </c>
      <c r="B4638" t="s">
        <v>9799</v>
      </c>
      <c r="C4638" t="s">
        <v>10127</v>
      </c>
      <c r="D4638" t="s">
        <v>62</v>
      </c>
      <c r="E4638">
        <v>1042</v>
      </c>
      <c r="F4638">
        <v>5</v>
      </c>
      <c r="G4638">
        <v>5</v>
      </c>
      <c r="H4638">
        <v>1</v>
      </c>
      <c r="I4638">
        <v>1</v>
      </c>
      <c r="J4638">
        <v>0.75934872070137804</v>
      </c>
      <c r="K4638">
        <v>0.91584447960113302</v>
      </c>
      <c r="L4638">
        <v>0.83028672014780602</v>
      </c>
      <c r="M4638">
        <v>0.52322738386308099</v>
      </c>
      <c r="N4638">
        <v>0.99511002444987795</v>
      </c>
      <c r="O4638">
        <v>0.67383863080684603</v>
      </c>
      <c r="P4638" t="s">
        <v>4806</v>
      </c>
      <c r="Q4638" t="s">
        <v>4807</v>
      </c>
      <c r="R4638" t="s">
        <v>235</v>
      </c>
      <c r="S4638" t="s">
        <v>236</v>
      </c>
      <c r="T4638" t="s">
        <v>9800</v>
      </c>
      <c r="U4638" t="s">
        <v>9801</v>
      </c>
      <c r="V4638" t="s">
        <v>9802</v>
      </c>
      <c r="W4638" t="s">
        <v>9803</v>
      </c>
      <c r="AD4638" t="s">
        <v>9804</v>
      </c>
      <c r="AE4638" t="s">
        <v>9805</v>
      </c>
      <c r="AF4638" t="s">
        <v>9808</v>
      </c>
    </row>
    <row r="4639" spans="1:32" hidden="1" x14ac:dyDescent="0.35">
      <c r="A4639">
        <v>4687</v>
      </c>
      <c r="B4639" t="s">
        <v>9799</v>
      </c>
      <c r="C4639" t="s">
        <v>10127</v>
      </c>
      <c r="D4639" t="s">
        <v>34</v>
      </c>
      <c r="E4639">
        <v>117</v>
      </c>
      <c r="F4639">
        <v>5</v>
      </c>
      <c r="G4639">
        <v>5</v>
      </c>
      <c r="H4639">
        <v>1</v>
      </c>
      <c r="I4639">
        <v>1</v>
      </c>
      <c r="J4639">
        <v>0.75934872070137804</v>
      </c>
      <c r="K4639">
        <v>0.91584447960113302</v>
      </c>
      <c r="L4639">
        <v>0.83028672014780602</v>
      </c>
      <c r="M4639">
        <v>0.52322738386308099</v>
      </c>
      <c r="N4639">
        <v>0.99511002444987795</v>
      </c>
      <c r="O4639">
        <v>0.67383863080684603</v>
      </c>
      <c r="P4639" t="s">
        <v>4806</v>
      </c>
      <c r="Q4639" t="s">
        <v>4807</v>
      </c>
      <c r="R4639" t="s">
        <v>235</v>
      </c>
      <c r="S4639" t="s">
        <v>236</v>
      </c>
      <c r="T4639" t="s">
        <v>9800</v>
      </c>
      <c r="U4639" t="s">
        <v>9801</v>
      </c>
      <c r="V4639" t="s">
        <v>9802</v>
      </c>
      <c r="W4639" t="s">
        <v>9803</v>
      </c>
      <c r="AD4639" t="s">
        <v>9804</v>
      </c>
      <c r="AE4639" t="s">
        <v>9805</v>
      </c>
      <c r="AF4639" t="e">
        <f>--MRYFDHAATTMMRPVAREAWLNASRLLNPAGQYQVGRKSRRVLEDARELVASLLGCEPIEVIFTASGTESDNIALVGQWQARKEQHNRVVSTAIEHAAIYETARYL-ADQGAQLDVMPVTPEGFV-----------------HDPDNFLETPAAVVACMWANNETGAIQPLPDV---------IARADATGTPV--HVDAVQVVGKLPVNFHELGATTLAASGHKFGGPRGVGLLLAKRSPAPHPLIHGGRQERGIRSGTVNVAGAVGLAAALEEACADMAAEAQRVAKLKQQLIDAVT-TIPGACINTPAEFALPTHLNVSFPNAEGDSLIMMLDAAGIAASTGSACANGVNRASRVLLAQGVDEKLARGTLRLTLGYTTTEEDVEYLINHLAKAVTMAQRAGMAS</f>
        <v>#NAME?</v>
      </c>
    </row>
    <row r="4640" spans="1:32" hidden="1" x14ac:dyDescent="0.35">
      <c r="A4640">
        <v>4639</v>
      </c>
      <c r="B4640" t="s">
        <v>9697</v>
      </c>
      <c r="C4640" t="s">
        <v>10127</v>
      </c>
      <c r="D4640" t="s">
        <v>58</v>
      </c>
      <c r="E4640">
        <v>887</v>
      </c>
      <c r="F4640">
        <v>5</v>
      </c>
      <c r="G4640">
        <v>5</v>
      </c>
      <c r="H4640">
        <v>1</v>
      </c>
      <c r="I4640">
        <v>1</v>
      </c>
      <c r="J4640">
        <v>0.77814448111477796</v>
      </c>
      <c r="K4640">
        <v>0.97973067327027796</v>
      </c>
      <c r="L4640">
        <v>0.86737902231837105</v>
      </c>
      <c r="M4640">
        <v>0.57758620689655205</v>
      </c>
      <c r="N4640">
        <v>0.99137931034482796</v>
      </c>
      <c r="O4640">
        <v>0.70280172413793096</v>
      </c>
      <c r="P4640" t="s">
        <v>5370</v>
      </c>
      <c r="Q4640" t="s">
        <v>5371</v>
      </c>
      <c r="R4640" t="s">
        <v>288</v>
      </c>
      <c r="S4640" t="s">
        <v>289</v>
      </c>
      <c r="T4640" t="s">
        <v>5372</v>
      </c>
      <c r="U4640" t="s">
        <v>5373</v>
      </c>
      <c r="V4640" t="s">
        <v>5374</v>
      </c>
      <c r="W4640" t="s">
        <v>5375</v>
      </c>
      <c r="AD4640" t="s">
        <v>5376</v>
      </c>
      <c r="AE4640" t="s">
        <v>5377</v>
      </c>
      <c r="AF4640" t="s">
        <v>9698</v>
      </c>
    </row>
    <row r="4641" spans="1:32" hidden="1" x14ac:dyDescent="0.35">
      <c r="A4641">
        <v>4640</v>
      </c>
      <c r="B4641" t="s">
        <v>9697</v>
      </c>
      <c r="C4641" t="s">
        <v>10127</v>
      </c>
      <c r="D4641" t="s">
        <v>60</v>
      </c>
      <c r="E4641">
        <v>1350</v>
      </c>
      <c r="F4641">
        <v>5</v>
      </c>
      <c r="G4641">
        <v>5</v>
      </c>
      <c r="H4641">
        <v>1</v>
      </c>
      <c r="I4641">
        <v>1</v>
      </c>
      <c r="J4641">
        <v>0.77814448111477796</v>
      </c>
      <c r="K4641">
        <v>0.97973067327027796</v>
      </c>
      <c r="L4641">
        <v>0.86737902231837105</v>
      </c>
      <c r="M4641">
        <v>0.57758620689655205</v>
      </c>
      <c r="N4641">
        <v>0.99137931034482796</v>
      </c>
      <c r="O4641">
        <v>0.70280172413793096</v>
      </c>
      <c r="P4641" t="s">
        <v>5370</v>
      </c>
      <c r="Q4641" t="s">
        <v>5371</v>
      </c>
      <c r="R4641" t="s">
        <v>288</v>
      </c>
      <c r="S4641" t="s">
        <v>289</v>
      </c>
      <c r="T4641" t="s">
        <v>5372</v>
      </c>
      <c r="U4641" t="s">
        <v>5373</v>
      </c>
      <c r="V4641" t="s">
        <v>5374</v>
      </c>
      <c r="W4641" t="s">
        <v>5375</v>
      </c>
      <c r="AD4641" t="s">
        <v>5376</v>
      </c>
      <c r="AE4641" t="s">
        <v>5377</v>
      </c>
      <c r="AF4641" t="s">
        <v>9699</v>
      </c>
    </row>
    <row r="4642" spans="1:32" hidden="1" x14ac:dyDescent="0.35">
      <c r="A4642">
        <v>4641</v>
      </c>
      <c r="B4642" t="s">
        <v>9697</v>
      </c>
      <c r="C4642" t="s">
        <v>10127</v>
      </c>
      <c r="D4642" t="s">
        <v>62</v>
      </c>
      <c r="E4642">
        <v>1386</v>
      </c>
      <c r="F4642">
        <v>5</v>
      </c>
      <c r="G4642">
        <v>5</v>
      </c>
      <c r="H4642">
        <v>1</v>
      </c>
      <c r="I4642">
        <v>1</v>
      </c>
      <c r="J4642">
        <v>0.77814448111477796</v>
      </c>
      <c r="K4642">
        <v>0.97973067327027796</v>
      </c>
      <c r="L4642">
        <v>0.86737902231837105</v>
      </c>
      <c r="M4642">
        <v>0.57758620689655205</v>
      </c>
      <c r="N4642">
        <v>0.99137931034482796</v>
      </c>
      <c r="O4642">
        <v>0.70280172413793096</v>
      </c>
      <c r="P4642" t="s">
        <v>5370</v>
      </c>
      <c r="Q4642" t="s">
        <v>5371</v>
      </c>
      <c r="R4642" t="s">
        <v>288</v>
      </c>
      <c r="S4642" t="s">
        <v>289</v>
      </c>
      <c r="T4642" t="s">
        <v>5372</v>
      </c>
      <c r="U4642" t="s">
        <v>5373</v>
      </c>
      <c r="V4642" t="s">
        <v>5374</v>
      </c>
      <c r="W4642" t="s">
        <v>5375</v>
      </c>
      <c r="AD4642" t="s">
        <v>5376</v>
      </c>
      <c r="AE4642" t="s">
        <v>5377</v>
      </c>
      <c r="AF4642" t="s">
        <v>9700</v>
      </c>
    </row>
    <row r="4643" spans="1:32" hidden="1" x14ac:dyDescent="0.35">
      <c r="A4643">
        <v>4642</v>
      </c>
      <c r="B4643" t="s">
        <v>9697</v>
      </c>
      <c r="C4643" t="s">
        <v>10127</v>
      </c>
      <c r="D4643" t="s">
        <v>34</v>
      </c>
      <c r="E4643">
        <v>1680</v>
      </c>
      <c r="F4643">
        <v>5</v>
      </c>
      <c r="G4643">
        <v>5</v>
      </c>
      <c r="H4643">
        <v>1</v>
      </c>
      <c r="I4643">
        <v>1</v>
      </c>
      <c r="J4643">
        <v>0.77814448111477796</v>
      </c>
      <c r="K4643">
        <v>0.97973067327027796</v>
      </c>
      <c r="L4643">
        <v>0.86737902231837105</v>
      </c>
      <c r="M4643">
        <v>0.57758620689655205</v>
      </c>
      <c r="N4643">
        <v>0.99137931034482796</v>
      </c>
      <c r="O4643">
        <v>0.70280172413793096</v>
      </c>
      <c r="P4643" t="s">
        <v>5370</v>
      </c>
      <c r="Q4643" t="s">
        <v>5371</v>
      </c>
      <c r="R4643" t="s">
        <v>288</v>
      </c>
      <c r="S4643" t="s">
        <v>289</v>
      </c>
      <c r="T4643" t="s">
        <v>5372</v>
      </c>
      <c r="U4643" t="s">
        <v>5373</v>
      </c>
      <c r="V4643" t="s">
        <v>5374</v>
      </c>
      <c r="W4643" t="s">
        <v>5375</v>
      </c>
      <c r="AD4643" t="s">
        <v>5376</v>
      </c>
      <c r="AE4643" t="s">
        <v>5377</v>
      </c>
      <c r="AF4643" t="s">
        <v>9701</v>
      </c>
    </row>
    <row r="4644" spans="1:32" hidden="1" x14ac:dyDescent="0.35">
      <c r="A4644">
        <v>4643</v>
      </c>
      <c r="B4644" t="s">
        <v>9697</v>
      </c>
      <c r="C4644" t="s">
        <v>10127</v>
      </c>
      <c r="D4644" t="s">
        <v>45</v>
      </c>
      <c r="E4644">
        <v>1196</v>
      </c>
      <c r="F4644">
        <v>5</v>
      </c>
      <c r="G4644">
        <v>5</v>
      </c>
      <c r="H4644">
        <v>1</v>
      </c>
      <c r="I4644">
        <v>1</v>
      </c>
      <c r="J4644">
        <v>0.77814448111477796</v>
      </c>
      <c r="K4644">
        <v>0.97973067327027796</v>
      </c>
      <c r="L4644">
        <v>0.86737902231837105</v>
      </c>
      <c r="M4644">
        <v>0.57758620689655205</v>
      </c>
      <c r="N4644">
        <v>0.99137931034482796</v>
      </c>
      <c r="O4644">
        <v>0.70280172413793096</v>
      </c>
      <c r="P4644" t="s">
        <v>5370</v>
      </c>
      <c r="Q4644" t="s">
        <v>5371</v>
      </c>
      <c r="R4644" t="s">
        <v>288</v>
      </c>
      <c r="S4644" t="s">
        <v>289</v>
      </c>
      <c r="T4644" t="s">
        <v>5372</v>
      </c>
      <c r="U4644" t="s">
        <v>5373</v>
      </c>
      <c r="V4644" t="s">
        <v>5374</v>
      </c>
      <c r="W4644" t="s">
        <v>5375</v>
      </c>
      <c r="AD4644" t="s">
        <v>5376</v>
      </c>
      <c r="AE4644" t="s">
        <v>5377</v>
      </c>
      <c r="AF4644" t="s">
        <v>9702</v>
      </c>
    </row>
    <row r="4645" spans="1:32" hidden="1" x14ac:dyDescent="0.35">
      <c r="A4645">
        <v>4688</v>
      </c>
      <c r="B4645" t="s">
        <v>9799</v>
      </c>
      <c r="C4645" t="s">
        <v>10127</v>
      </c>
      <c r="D4645" t="s">
        <v>45</v>
      </c>
      <c r="E4645">
        <v>1379</v>
      </c>
      <c r="F4645">
        <v>5</v>
      </c>
      <c r="G4645">
        <v>5</v>
      </c>
      <c r="H4645">
        <v>1</v>
      </c>
      <c r="I4645">
        <v>1</v>
      </c>
      <c r="J4645">
        <v>0.75934872070137804</v>
      </c>
      <c r="K4645">
        <v>0.91584447960113302</v>
      </c>
      <c r="L4645">
        <v>0.83028672014780602</v>
      </c>
      <c r="M4645">
        <v>0.52322738386308099</v>
      </c>
      <c r="N4645">
        <v>0.99511002444987795</v>
      </c>
      <c r="O4645">
        <v>0.67383863080684603</v>
      </c>
      <c r="P4645" t="s">
        <v>4806</v>
      </c>
      <c r="Q4645" t="s">
        <v>4807</v>
      </c>
      <c r="R4645" t="s">
        <v>235</v>
      </c>
      <c r="S4645" t="s">
        <v>236</v>
      </c>
      <c r="T4645" t="s">
        <v>9800</v>
      </c>
      <c r="U4645" t="s">
        <v>9801</v>
      </c>
      <c r="V4645" t="s">
        <v>9802</v>
      </c>
      <c r="W4645" t="s">
        <v>9803</v>
      </c>
      <c r="AD4645" t="s">
        <v>9804</v>
      </c>
      <c r="AE4645" t="s">
        <v>9805</v>
      </c>
      <c r="AF4645" t="e">
        <f>--MRYFDHAATTMMRPVAREAWLNASRLLNPAGQYQVGRKSRRVLEDARELVASLLGCEPIEVIFTASGTESDNIALVGQWQARKEQHNRVVSTAIEHAAIYETARYL-ADQGAQLDVMPVTPEGFV-----------------HDPDNFLETPAAVVACMWANNETGAIQPLPDV---------IARADATGTPV--HVDAVQVVGKLPVNFHELGATTLAASGHKFGGPRGVGLLLAKRSPAPHPLIHGGGQERGIRSGTVNVAGAVGLAAALEEACADMAAEAQRVAKLKQQLIDAVT-TIPGARINTPAEFALPTHLNVSFPNAEGDSLIMMLDAAGIAASTGSACANGVNRASRVLLAQGVDEKLARGTLRLTLGYTTTEEDVEYLINHLAKAVTMAQRAGMAS</f>
        <v>#NAME?</v>
      </c>
    </row>
    <row r="4646" spans="1:32" hidden="1" x14ac:dyDescent="0.35">
      <c r="A4646">
        <v>4864</v>
      </c>
      <c r="B4646" t="s">
        <v>10187</v>
      </c>
      <c r="C4646" t="s">
        <v>10127</v>
      </c>
      <c r="D4646" t="s">
        <v>60</v>
      </c>
      <c r="E4646">
        <v>1664</v>
      </c>
      <c r="F4646">
        <v>4</v>
      </c>
      <c r="G4646">
        <v>4</v>
      </c>
      <c r="H4646">
        <v>1</v>
      </c>
      <c r="I4646">
        <v>0</v>
      </c>
      <c r="J4646">
        <v>0.89340560072267405</v>
      </c>
      <c r="K4646">
        <v>0.98031872509960105</v>
      </c>
      <c r="L4646">
        <v>0.93484642049779099</v>
      </c>
      <c r="M4646">
        <v>0.75298804780876505</v>
      </c>
      <c r="N4646">
        <v>1</v>
      </c>
      <c r="O4646">
        <v>0.835325365205843</v>
      </c>
      <c r="P4646" t="s">
        <v>1247</v>
      </c>
      <c r="Q4646" t="s">
        <v>1248</v>
      </c>
      <c r="R4646" t="s">
        <v>235</v>
      </c>
      <c r="S4646" t="s">
        <v>236</v>
      </c>
      <c r="T4646" t="s">
        <v>10188</v>
      </c>
      <c r="U4646" t="s">
        <v>10189</v>
      </c>
      <c r="V4646" t="s">
        <v>10190</v>
      </c>
      <c r="W4646" t="s">
        <v>10191</v>
      </c>
      <c r="AD4646" t="s">
        <v>439</v>
      </c>
      <c r="AE4646" t="s">
        <v>10192</v>
      </c>
      <c r="AF4646" t="s">
        <v>10193</v>
      </c>
    </row>
    <row r="4647" spans="1:32" hidden="1" x14ac:dyDescent="0.35">
      <c r="A4647">
        <v>4865</v>
      </c>
      <c r="B4647" t="s">
        <v>10187</v>
      </c>
      <c r="C4647" t="s">
        <v>10127</v>
      </c>
      <c r="D4647" t="s">
        <v>62</v>
      </c>
      <c r="E4647">
        <v>1699</v>
      </c>
      <c r="F4647">
        <v>4</v>
      </c>
      <c r="G4647">
        <v>4</v>
      </c>
      <c r="H4647">
        <v>1</v>
      </c>
      <c r="I4647">
        <v>0</v>
      </c>
      <c r="J4647">
        <v>0.89340560072267405</v>
      </c>
      <c r="K4647">
        <v>0.98031872509960105</v>
      </c>
      <c r="L4647">
        <v>0.93484642049779099</v>
      </c>
      <c r="M4647">
        <v>0.75298804780876505</v>
      </c>
      <c r="N4647">
        <v>1</v>
      </c>
      <c r="O4647">
        <v>0.835325365205843</v>
      </c>
      <c r="P4647" t="s">
        <v>1247</v>
      </c>
      <c r="Q4647" t="s">
        <v>1248</v>
      </c>
      <c r="R4647" t="s">
        <v>235</v>
      </c>
      <c r="S4647" t="s">
        <v>236</v>
      </c>
      <c r="T4647" t="s">
        <v>10188</v>
      </c>
      <c r="U4647" t="s">
        <v>10189</v>
      </c>
      <c r="V4647" t="s">
        <v>10190</v>
      </c>
      <c r="W4647" t="s">
        <v>10191</v>
      </c>
      <c r="AD4647" t="s">
        <v>439</v>
      </c>
      <c r="AE4647" t="s">
        <v>10192</v>
      </c>
      <c r="AF4647" t="s">
        <v>10193</v>
      </c>
    </row>
    <row r="4648" spans="1:32" hidden="1" x14ac:dyDescent="0.35">
      <c r="A4648">
        <v>4866</v>
      </c>
      <c r="B4648" t="s">
        <v>10187</v>
      </c>
      <c r="C4648" t="s">
        <v>10127</v>
      </c>
      <c r="D4648" t="s">
        <v>34</v>
      </c>
      <c r="E4648">
        <v>1589</v>
      </c>
      <c r="F4648">
        <v>4</v>
      </c>
      <c r="G4648">
        <v>4</v>
      </c>
      <c r="H4648">
        <v>1</v>
      </c>
      <c r="I4648">
        <v>0</v>
      </c>
      <c r="J4648">
        <v>0.89340560072267405</v>
      </c>
      <c r="K4648">
        <v>0.98031872509960105</v>
      </c>
      <c r="L4648">
        <v>0.93484642049779099</v>
      </c>
      <c r="M4648">
        <v>0.75298804780876505</v>
      </c>
      <c r="N4648">
        <v>1</v>
      </c>
      <c r="O4648">
        <v>0.835325365205843</v>
      </c>
      <c r="P4648" t="s">
        <v>1247</v>
      </c>
      <c r="Q4648" t="s">
        <v>1248</v>
      </c>
      <c r="R4648" t="s">
        <v>235</v>
      </c>
      <c r="S4648" t="s">
        <v>236</v>
      </c>
      <c r="T4648" t="s">
        <v>10188</v>
      </c>
      <c r="U4648" t="s">
        <v>10189</v>
      </c>
      <c r="V4648" t="s">
        <v>10190</v>
      </c>
      <c r="W4648" t="s">
        <v>10191</v>
      </c>
      <c r="AD4648" t="s">
        <v>439</v>
      </c>
      <c r="AE4648" t="s">
        <v>10192</v>
      </c>
      <c r="AF4648" t="s">
        <v>10194</v>
      </c>
    </row>
    <row r="4649" spans="1:32" hidden="1" x14ac:dyDescent="0.35">
      <c r="A4649">
        <v>4867</v>
      </c>
      <c r="B4649" t="s">
        <v>10187</v>
      </c>
      <c r="C4649" t="s">
        <v>10127</v>
      </c>
      <c r="D4649" t="s">
        <v>45</v>
      </c>
      <c r="E4649">
        <v>339</v>
      </c>
      <c r="F4649">
        <v>4</v>
      </c>
      <c r="G4649">
        <v>4</v>
      </c>
      <c r="H4649">
        <v>1</v>
      </c>
      <c r="I4649">
        <v>0</v>
      </c>
      <c r="J4649">
        <v>0.89340560072267405</v>
      </c>
      <c r="K4649">
        <v>0.98031872509960105</v>
      </c>
      <c r="L4649">
        <v>0.93484642049779099</v>
      </c>
      <c r="M4649">
        <v>0.75298804780876505</v>
      </c>
      <c r="N4649">
        <v>1</v>
      </c>
      <c r="O4649">
        <v>0.835325365205843</v>
      </c>
      <c r="P4649" t="s">
        <v>1247</v>
      </c>
      <c r="Q4649" t="s">
        <v>1248</v>
      </c>
      <c r="R4649" t="s">
        <v>235</v>
      </c>
      <c r="S4649" t="s">
        <v>236</v>
      </c>
      <c r="T4649" t="s">
        <v>10188</v>
      </c>
      <c r="U4649" t="s">
        <v>10189</v>
      </c>
      <c r="V4649" t="s">
        <v>10190</v>
      </c>
      <c r="W4649" t="s">
        <v>10191</v>
      </c>
      <c r="AD4649" t="s">
        <v>439</v>
      </c>
      <c r="AE4649" t="s">
        <v>10192</v>
      </c>
      <c r="AF4649" t="s">
        <v>10194</v>
      </c>
    </row>
    <row r="4650" spans="1:32" hidden="1" x14ac:dyDescent="0.35">
      <c r="A4650">
        <v>4884</v>
      </c>
      <c r="B4650" t="s">
        <v>10234</v>
      </c>
      <c r="C4650" t="s">
        <v>10127</v>
      </c>
      <c r="D4650" t="s">
        <v>60</v>
      </c>
      <c r="E4650">
        <v>1941</v>
      </c>
      <c r="F4650">
        <v>4</v>
      </c>
      <c r="G4650">
        <v>4</v>
      </c>
      <c r="H4650">
        <v>1</v>
      </c>
      <c r="I4650">
        <v>0</v>
      </c>
      <c r="J4650">
        <v>0.93176206509539805</v>
      </c>
      <c r="K4650">
        <v>0.99004819277108302</v>
      </c>
      <c r="L4650">
        <v>0.96002125585952802</v>
      </c>
      <c r="M4650">
        <v>0.86799999999999999</v>
      </c>
      <c r="N4650">
        <v>1</v>
      </c>
      <c r="O4650">
        <v>0.91200000000000003</v>
      </c>
      <c r="P4650" t="s">
        <v>10235</v>
      </c>
      <c r="Q4650" t="s">
        <v>10236</v>
      </c>
      <c r="R4650" t="s">
        <v>235</v>
      </c>
      <c r="S4650" t="s">
        <v>236</v>
      </c>
      <c r="V4650" t="s">
        <v>10237</v>
      </c>
      <c r="W4650" t="s">
        <v>10238</v>
      </c>
      <c r="AF4650" t="s">
        <v>10239</v>
      </c>
    </row>
    <row r="4651" spans="1:32" hidden="1" x14ac:dyDescent="0.35">
      <c r="A4651">
        <v>4885</v>
      </c>
      <c r="B4651" t="s">
        <v>10234</v>
      </c>
      <c r="C4651" t="s">
        <v>10127</v>
      </c>
      <c r="D4651" t="s">
        <v>62</v>
      </c>
      <c r="E4651">
        <v>1981</v>
      </c>
      <c r="F4651">
        <v>4</v>
      </c>
      <c r="G4651">
        <v>4</v>
      </c>
      <c r="H4651">
        <v>1</v>
      </c>
      <c r="I4651">
        <v>0</v>
      </c>
      <c r="J4651">
        <v>0.93176206509539805</v>
      </c>
      <c r="K4651">
        <v>0.99004819277108302</v>
      </c>
      <c r="L4651">
        <v>0.96002125585952802</v>
      </c>
      <c r="M4651">
        <v>0.86799999999999999</v>
      </c>
      <c r="N4651">
        <v>1</v>
      </c>
      <c r="O4651">
        <v>0.91200000000000003</v>
      </c>
      <c r="P4651" t="s">
        <v>10235</v>
      </c>
      <c r="Q4651" t="s">
        <v>10236</v>
      </c>
      <c r="R4651" t="s">
        <v>235</v>
      </c>
      <c r="S4651" t="s">
        <v>236</v>
      </c>
      <c r="V4651" t="s">
        <v>10237</v>
      </c>
      <c r="W4651" t="s">
        <v>10238</v>
      </c>
      <c r="AF4651" t="s">
        <v>10239</v>
      </c>
    </row>
    <row r="4652" spans="1:32" hidden="1" x14ac:dyDescent="0.35">
      <c r="A4652">
        <v>4886</v>
      </c>
      <c r="B4652" t="s">
        <v>10234</v>
      </c>
      <c r="C4652" t="s">
        <v>10127</v>
      </c>
      <c r="D4652" t="s">
        <v>34</v>
      </c>
      <c r="E4652">
        <v>1017</v>
      </c>
      <c r="F4652">
        <v>4</v>
      </c>
      <c r="G4652">
        <v>4</v>
      </c>
      <c r="H4652">
        <v>1</v>
      </c>
      <c r="I4652">
        <v>0</v>
      </c>
      <c r="J4652">
        <v>0.93176206509539805</v>
      </c>
      <c r="K4652">
        <v>0.99004819277108302</v>
      </c>
      <c r="L4652">
        <v>0.96002125585952802</v>
      </c>
      <c r="M4652">
        <v>0.86799999999999999</v>
      </c>
      <c r="N4652">
        <v>1</v>
      </c>
      <c r="O4652">
        <v>0.91200000000000003</v>
      </c>
      <c r="P4652" t="s">
        <v>10235</v>
      </c>
      <c r="Q4652" t="s">
        <v>10236</v>
      </c>
      <c r="R4652" t="s">
        <v>235</v>
      </c>
      <c r="S4652" t="s">
        <v>236</v>
      </c>
      <c r="V4652" t="s">
        <v>10237</v>
      </c>
      <c r="W4652" t="s">
        <v>10238</v>
      </c>
      <c r="AF4652" t="s">
        <v>10240</v>
      </c>
    </row>
    <row r="4653" spans="1:32" hidden="1" x14ac:dyDescent="0.35">
      <c r="A4653">
        <v>4887</v>
      </c>
      <c r="B4653" t="s">
        <v>10234</v>
      </c>
      <c r="C4653" t="s">
        <v>10127</v>
      </c>
      <c r="D4653" t="s">
        <v>45</v>
      </c>
      <c r="E4653">
        <v>2275</v>
      </c>
      <c r="F4653">
        <v>4</v>
      </c>
      <c r="G4653">
        <v>4</v>
      </c>
      <c r="H4653">
        <v>1</v>
      </c>
      <c r="I4653">
        <v>0</v>
      </c>
      <c r="J4653">
        <v>0.93176206509539805</v>
      </c>
      <c r="K4653">
        <v>0.99004819277108302</v>
      </c>
      <c r="L4653">
        <v>0.96002125585952802</v>
      </c>
      <c r="M4653">
        <v>0.86799999999999999</v>
      </c>
      <c r="N4653">
        <v>1</v>
      </c>
      <c r="O4653">
        <v>0.91200000000000003</v>
      </c>
      <c r="P4653" t="s">
        <v>10235</v>
      </c>
      <c r="Q4653" t="s">
        <v>10236</v>
      </c>
      <c r="R4653" t="s">
        <v>235</v>
      </c>
      <c r="S4653" t="s">
        <v>236</v>
      </c>
      <c r="V4653" t="s">
        <v>10237</v>
      </c>
      <c r="W4653" t="s">
        <v>10238</v>
      </c>
      <c r="AF4653" t="s">
        <v>10240</v>
      </c>
    </row>
    <row r="4654" spans="1:32" hidden="1" x14ac:dyDescent="0.35">
      <c r="A4654">
        <v>5156</v>
      </c>
      <c r="B4654" t="s">
        <v>10750</v>
      </c>
      <c r="C4654" t="s">
        <v>10127</v>
      </c>
      <c r="D4654" t="s">
        <v>60</v>
      </c>
      <c r="E4654">
        <v>1546</v>
      </c>
      <c r="F4654">
        <v>4</v>
      </c>
      <c r="G4654">
        <v>4</v>
      </c>
      <c r="H4654">
        <v>1</v>
      </c>
      <c r="I4654">
        <v>0</v>
      </c>
      <c r="J4654">
        <v>0.74041390902405702</v>
      </c>
      <c r="K4654">
        <v>0.98308965545886395</v>
      </c>
      <c r="L4654">
        <v>0.84466695598368602</v>
      </c>
      <c r="M4654">
        <v>0.50743494423791802</v>
      </c>
      <c r="N4654">
        <v>1</v>
      </c>
      <c r="O4654">
        <v>0.67131350681536595</v>
      </c>
      <c r="P4654" t="s">
        <v>433</v>
      </c>
      <c r="Q4654" t="s">
        <v>434</v>
      </c>
      <c r="R4654" t="s">
        <v>235</v>
      </c>
      <c r="S4654" t="s">
        <v>236</v>
      </c>
      <c r="T4654" t="s">
        <v>469</v>
      </c>
      <c r="U4654" t="s">
        <v>470</v>
      </c>
      <c r="V4654" t="s">
        <v>437</v>
      </c>
      <c r="W4654" t="s">
        <v>438</v>
      </c>
      <c r="AD4654" t="s">
        <v>439</v>
      </c>
      <c r="AE4654" t="s">
        <v>471</v>
      </c>
      <c r="AF4654" t="s">
        <v>10751</v>
      </c>
    </row>
    <row r="4655" spans="1:32" hidden="1" x14ac:dyDescent="0.35">
      <c r="A4655">
        <v>5157</v>
      </c>
      <c r="B4655" t="s">
        <v>10750</v>
      </c>
      <c r="C4655" t="s">
        <v>10127</v>
      </c>
      <c r="D4655" t="s">
        <v>62</v>
      </c>
      <c r="E4655">
        <v>1581</v>
      </c>
      <c r="F4655">
        <v>4</v>
      </c>
      <c r="G4655">
        <v>4</v>
      </c>
      <c r="H4655">
        <v>1</v>
      </c>
      <c r="I4655">
        <v>0</v>
      </c>
      <c r="J4655">
        <v>0.74041390902405702</v>
      </c>
      <c r="K4655">
        <v>0.98308965545886395</v>
      </c>
      <c r="L4655">
        <v>0.84466695598368602</v>
      </c>
      <c r="M4655">
        <v>0.50743494423791802</v>
      </c>
      <c r="N4655">
        <v>1</v>
      </c>
      <c r="O4655">
        <v>0.67131350681536595</v>
      </c>
      <c r="P4655" t="s">
        <v>433</v>
      </c>
      <c r="Q4655" t="s">
        <v>434</v>
      </c>
      <c r="R4655" t="s">
        <v>235</v>
      </c>
      <c r="S4655" t="s">
        <v>236</v>
      </c>
      <c r="T4655" t="s">
        <v>469</v>
      </c>
      <c r="U4655" t="s">
        <v>470</v>
      </c>
      <c r="V4655" t="s">
        <v>437</v>
      </c>
      <c r="W4655" t="s">
        <v>438</v>
      </c>
      <c r="AD4655" t="s">
        <v>439</v>
      </c>
      <c r="AE4655" t="s">
        <v>471</v>
      </c>
      <c r="AF4655" t="s">
        <v>10751</v>
      </c>
    </row>
    <row r="4656" spans="1:32" hidden="1" x14ac:dyDescent="0.35">
      <c r="A4656">
        <v>5158</v>
      </c>
      <c r="B4656" t="s">
        <v>10750</v>
      </c>
      <c r="C4656" t="s">
        <v>10127</v>
      </c>
      <c r="D4656" t="s">
        <v>34</v>
      </c>
      <c r="E4656">
        <v>342</v>
      </c>
      <c r="F4656">
        <v>4</v>
      </c>
      <c r="G4656">
        <v>4</v>
      </c>
      <c r="H4656">
        <v>1</v>
      </c>
      <c r="I4656">
        <v>0</v>
      </c>
      <c r="J4656">
        <v>0.74041390902405702</v>
      </c>
      <c r="K4656">
        <v>0.98308965545886395</v>
      </c>
      <c r="L4656">
        <v>0.84466695598368602</v>
      </c>
      <c r="M4656">
        <v>0.50743494423791802</v>
      </c>
      <c r="N4656">
        <v>1</v>
      </c>
      <c r="O4656">
        <v>0.67131350681536595</v>
      </c>
      <c r="P4656" t="s">
        <v>433</v>
      </c>
      <c r="Q4656" t="s">
        <v>434</v>
      </c>
      <c r="R4656" t="s">
        <v>235</v>
      </c>
      <c r="S4656" t="s">
        <v>236</v>
      </c>
      <c r="T4656" t="s">
        <v>469</v>
      </c>
      <c r="U4656" t="s">
        <v>470</v>
      </c>
      <c r="V4656" t="s">
        <v>437</v>
      </c>
      <c r="W4656" t="s">
        <v>438</v>
      </c>
      <c r="AD4656" t="s">
        <v>439</v>
      </c>
      <c r="AE4656" t="s">
        <v>471</v>
      </c>
      <c r="AF4656" t="s">
        <v>10752</v>
      </c>
    </row>
    <row r="4657" spans="1:32" hidden="1" x14ac:dyDescent="0.35">
      <c r="A4657">
        <v>5159</v>
      </c>
      <c r="B4657" t="s">
        <v>10750</v>
      </c>
      <c r="C4657" t="s">
        <v>10127</v>
      </c>
      <c r="D4657" t="s">
        <v>45</v>
      </c>
      <c r="E4657">
        <v>1604</v>
      </c>
      <c r="F4657">
        <v>4</v>
      </c>
      <c r="G4657">
        <v>4</v>
      </c>
      <c r="H4657">
        <v>1</v>
      </c>
      <c r="I4657">
        <v>0</v>
      </c>
      <c r="J4657">
        <v>0.74041390902405702</v>
      </c>
      <c r="K4657">
        <v>0.98308965545886395</v>
      </c>
      <c r="L4657">
        <v>0.84466695598368602</v>
      </c>
      <c r="M4657">
        <v>0.50743494423791802</v>
      </c>
      <c r="N4657">
        <v>1</v>
      </c>
      <c r="O4657">
        <v>0.67131350681536595</v>
      </c>
      <c r="P4657" t="s">
        <v>433</v>
      </c>
      <c r="Q4657" t="s">
        <v>434</v>
      </c>
      <c r="R4657" t="s">
        <v>235</v>
      </c>
      <c r="S4657" t="s">
        <v>236</v>
      </c>
      <c r="T4657" t="s">
        <v>469</v>
      </c>
      <c r="U4657" t="s">
        <v>470</v>
      </c>
      <c r="V4657" t="s">
        <v>437</v>
      </c>
      <c r="W4657" t="s">
        <v>438</v>
      </c>
      <c r="AD4657" t="s">
        <v>439</v>
      </c>
      <c r="AE4657" t="s">
        <v>471</v>
      </c>
      <c r="AF4657" t="s">
        <v>10753</v>
      </c>
    </row>
    <row r="4658" spans="1:32" hidden="1" x14ac:dyDescent="0.35">
      <c r="A4658">
        <v>5176</v>
      </c>
      <c r="B4658" t="s">
        <v>10773</v>
      </c>
      <c r="C4658" t="s">
        <v>10127</v>
      </c>
      <c r="D4658" t="s">
        <v>60</v>
      </c>
      <c r="E4658">
        <v>955</v>
      </c>
      <c r="F4658">
        <v>4</v>
      </c>
      <c r="G4658">
        <v>4</v>
      </c>
      <c r="H4658">
        <v>1</v>
      </c>
      <c r="I4658">
        <v>0</v>
      </c>
      <c r="J4658">
        <v>0.83869636963696403</v>
      </c>
      <c r="K4658">
        <v>0.99384993849938397</v>
      </c>
      <c r="L4658">
        <v>0.90970507177091697</v>
      </c>
      <c r="M4658">
        <v>0.70848708487084899</v>
      </c>
      <c r="N4658">
        <v>1</v>
      </c>
      <c r="O4658">
        <v>0.805658056580566</v>
      </c>
      <c r="P4658" t="s">
        <v>10774</v>
      </c>
      <c r="Q4658" t="s">
        <v>10775</v>
      </c>
      <c r="R4658" t="s">
        <v>235</v>
      </c>
      <c r="S4658" t="s">
        <v>236</v>
      </c>
      <c r="V4658" t="s">
        <v>10776</v>
      </c>
      <c r="W4658" t="s">
        <v>10777</v>
      </c>
      <c r="X4658" t="s">
        <v>10776</v>
      </c>
      <c r="Y4658" t="s">
        <v>241</v>
      </c>
      <c r="AF4658" t="s">
        <v>10778</v>
      </c>
    </row>
    <row r="4659" spans="1:32" hidden="1" x14ac:dyDescent="0.35">
      <c r="A4659">
        <v>5177</v>
      </c>
      <c r="B4659" t="s">
        <v>10773</v>
      </c>
      <c r="C4659" t="s">
        <v>10127</v>
      </c>
      <c r="D4659" t="s">
        <v>62</v>
      </c>
      <c r="E4659">
        <v>991</v>
      </c>
      <c r="F4659">
        <v>4</v>
      </c>
      <c r="G4659">
        <v>4</v>
      </c>
      <c r="H4659">
        <v>1</v>
      </c>
      <c r="I4659">
        <v>0</v>
      </c>
      <c r="J4659">
        <v>0.83869636963696403</v>
      </c>
      <c r="K4659">
        <v>0.99384993849938397</v>
      </c>
      <c r="L4659">
        <v>0.90970507177091697</v>
      </c>
      <c r="M4659">
        <v>0.70848708487084899</v>
      </c>
      <c r="N4659">
        <v>1</v>
      </c>
      <c r="O4659">
        <v>0.805658056580566</v>
      </c>
      <c r="P4659" t="s">
        <v>10774</v>
      </c>
      <c r="Q4659" t="s">
        <v>10775</v>
      </c>
      <c r="R4659" t="s">
        <v>235</v>
      </c>
      <c r="S4659" t="s">
        <v>236</v>
      </c>
      <c r="V4659" t="s">
        <v>10776</v>
      </c>
      <c r="W4659" t="s">
        <v>10777</v>
      </c>
      <c r="X4659" t="s">
        <v>10776</v>
      </c>
      <c r="Y4659" t="s">
        <v>241</v>
      </c>
      <c r="AF4659" t="s">
        <v>10778</v>
      </c>
    </row>
    <row r="4660" spans="1:32" hidden="1" x14ac:dyDescent="0.35">
      <c r="A4660">
        <v>5178</v>
      </c>
      <c r="B4660" t="s">
        <v>10773</v>
      </c>
      <c r="C4660" t="s">
        <v>10127</v>
      </c>
      <c r="D4660" t="s">
        <v>34</v>
      </c>
      <c r="E4660">
        <v>204</v>
      </c>
      <c r="F4660">
        <v>4</v>
      </c>
      <c r="G4660">
        <v>4</v>
      </c>
      <c r="H4660">
        <v>1</v>
      </c>
      <c r="I4660">
        <v>0</v>
      </c>
      <c r="J4660">
        <v>0.83869636963696403</v>
      </c>
      <c r="K4660">
        <v>0.99384993849938397</v>
      </c>
      <c r="L4660">
        <v>0.90970507177091697</v>
      </c>
      <c r="M4660">
        <v>0.70848708487084899</v>
      </c>
      <c r="N4660">
        <v>1</v>
      </c>
      <c r="O4660">
        <v>0.805658056580566</v>
      </c>
      <c r="P4660" t="s">
        <v>10774</v>
      </c>
      <c r="Q4660" t="s">
        <v>10775</v>
      </c>
      <c r="R4660" t="s">
        <v>235</v>
      </c>
      <c r="S4660" t="s">
        <v>236</v>
      </c>
      <c r="V4660" t="s">
        <v>10776</v>
      </c>
      <c r="W4660" t="s">
        <v>10777</v>
      </c>
      <c r="X4660" t="s">
        <v>10776</v>
      </c>
      <c r="Y4660" t="s">
        <v>241</v>
      </c>
      <c r="AF4660" t="s">
        <v>10779</v>
      </c>
    </row>
    <row r="4661" spans="1:32" hidden="1" x14ac:dyDescent="0.35">
      <c r="A4661">
        <v>5179</v>
      </c>
      <c r="B4661" t="s">
        <v>10773</v>
      </c>
      <c r="C4661" t="s">
        <v>10127</v>
      </c>
      <c r="D4661" t="s">
        <v>45</v>
      </c>
      <c r="E4661">
        <v>1467</v>
      </c>
      <c r="F4661">
        <v>4</v>
      </c>
      <c r="G4661">
        <v>4</v>
      </c>
      <c r="H4661">
        <v>1</v>
      </c>
      <c r="I4661">
        <v>0</v>
      </c>
      <c r="J4661">
        <v>0.83869636963696403</v>
      </c>
      <c r="K4661">
        <v>0.99384993849938397</v>
      </c>
      <c r="L4661">
        <v>0.90970507177091697</v>
      </c>
      <c r="M4661">
        <v>0.70848708487084899</v>
      </c>
      <c r="N4661">
        <v>1</v>
      </c>
      <c r="O4661">
        <v>0.805658056580566</v>
      </c>
      <c r="P4661" t="s">
        <v>10774</v>
      </c>
      <c r="Q4661" t="s">
        <v>10775</v>
      </c>
      <c r="R4661" t="s">
        <v>235</v>
      </c>
      <c r="S4661" t="s">
        <v>236</v>
      </c>
      <c r="V4661" t="s">
        <v>10776</v>
      </c>
      <c r="W4661" t="s">
        <v>10777</v>
      </c>
      <c r="X4661" t="s">
        <v>10776</v>
      </c>
      <c r="Y4661" t="s">
        <v>241</v>
      </c>
      <c r="AF4661" t="s">
        <v>10780</v>
      </c>
    </row>
    <row r="4662" spans="1:32" hidden="1" x14ac:dyDescent="0.35">
      <c r="A4662">
        <v>5232</v>
      </c>
      <c r="B4662" t="s">
        <v>10874</v>
      </c>
      <c r="C4662" t="s">
        <v>10127</v>
      </c>
      <c r="D4662" t="s">
        <v>60</v>
      </c>
      <c r="E4662">
        <v>1666</v>
      </c>
      <c r="F4662">
        <v>4</v>
      </c>
      <c r="G4662">
        <v>4</v>
      </c>
      <c r="H4662">
        <v>1</v>
      </c>
      <c r="I4662">
        <v>0</v>
      </c>
      <c r="J4662">
        <v>0.90427751695357295</v>
      </c>
      <c r="K4662">
        <v>1</v>
      </c>
      <c r="L4662">
        <v>0.94973291329954801</v>
      </c>
      <c r="M4662">
        <v>0.784037558685446</v>
      </c>
      <c r="N4662">
        <v>1</v>
      </c>
      <c r="O4662">
        <v>0.85524256651017205</v>
      </c>
      <c r="P4662" t="s">
        <v>1247</v>
      </c>
      <c r="Q4662" t="s">
        <v>1248</v>
      </c>
      <c r="R4662" t="s">
        <v>235</v>
      </c>
      <c r="S4662" t="s">
        <v>236</v>
      </c>
      <c r="T4662" t="s">
        <v>10188</v>
      </c>
      <c r="U4662" t="s">
        <v>10189</v>
      </c>
      <c r="V4662" t="s">
        <v>10190</v>
      </c>
      <c r="W4662" t="s">
        <v>10191</v>
      </c>
      <c r="AD4662" t="s">
        <v>439</v>
      </c>
      <c r="AE4662" t="s">
        <v>10192</v>
      </c>
      <c r="AF4662" t="s">
        <v>10875</v>
      </c>
    </row>
    <row r="4663" spans="1:32" hidden="1" x14ac:dyDescent="0.35">
      <c r="A4663">
        <v>5233</v>
      </c>
      <c r="B4663" t="s">
        <v>10874</v>
      </c>
      <c r="C4663" t="s">
        <v>10127</v>
      </c>
      <c r="D4663" t="s">
        <v>62</v>
      </c>
      <c r="E4663">
        <v>1701</v>
      </c>
      <c r="F4663">
        <v>4</v>
      </c>
      <c r="G4663">
        <v>4</v>
      </c>
      <c r="H4663">
        <v>1</v>
      </c>
      <c r="I4663">
        <v>0</v>
      </c>
      <c r="J4663">
        <v>0.90427751695357295</v>
      </c>
      <c r="K4663">
        <v>1</v>
      </c>
      <c r="L4663">
        <v>0.94973291329954801</v>
      </c>
      <c r="M4663">
        <v>0.784037558685446</v>
      </c>
      <c r="N4663">
        <v>1</v>
      </c>
      <c r="O4663">
        <v>0.85524256651017205</v>
      </c>
      <c r="P4663" t="s">
        <v>1247</v>
      </c>
      <c r="Q4663" t="s">
        <v>1248</v>
      </c>
      <c r="R4663" t="s">
        <v>235</v>
      </c>
      <c r="S4663" t="s">
        <v>236</v>
      </c>
      <c r="T4663" t="s">
        <v>10188</v>
      </c>
      <c r="U4663" t="s">
        <v>10189</v>
      </c>
      <c r="V4663" t="s">
        <v>10190</v>
      </c>
      <c r="W4663" t="s">
        <v>10191</v>
      </c>
      <c r="AD4663" t="s">
        <v>439</v>
      </c>
      <c r="AE4663" t="s">
        <v>10192</v>
      </c>
      <c r="AF4663" t="s">
        <v>10876</v>
      </c>
    </row>
    <row r="4664" spans="1:32" hidden="1" x14ac:dyDescent="0.35">
      <c r="A4664">
        <v>5234</v>
      </c>
      <c r="B4664" t="s">
        <v>10874</v>
      </c>
      <c r="C4664" t="s">
        <v>10127</v>
      </c>
      <c r="D4664" t="s">
        <v>34</v>
      </c>
      <c r="E4664">
        <v>1587</v>
      </c>
      <c r="F4664">
        <v>4</v>
      </c>
      <c r="G4664">
        <v>4</v>
      </c>
      <c r="H4664">
        <v>1</v>
      </c>
      <c r="I4664">
        <v>0</v>
      </c>
      <c r="J4664">
        <v>0.90427751695357295</v>
      </c>
      <c r="K4664">
        <v>1</v>
      </c>
      <c r="L4664">
        <v>0.94973291329954801</v>
      </c>
      <c r="M4664">
        <v>0.784037558685446</v>
      </c>
      <c r="N4664">
        <v>1</v>
      </c>
      <c r="O4664">
        <v>0.85524256651017205</v>
      </c>
      <c r="P4664" t="s">
        <v>1247</v>
      </c>
      <c r="Q4664" t="s">
        <v>1248</v>
      </c>
      <c r="R4664" t="s">
        <v>235</v>
      </c>
      <c r="S4664" t="s">
        <v>236</v>
      </c>
      <c r="T4664" t="s">
        <v>10188</v>
      </c>
      <c r="U4664" t="s">
        <v>10189</v>
      </c>
      <c r="V4664" t="s">
        <v>10190</v>
      </c>
      <c r="W4664" t="s">
        <v>10191</v>
      </c>
      <c r="AD4664" t="s">
        <v>439</v>
      </c>
      <c r="AE4664" t="s">
        <v>10192</v>
      </c>
      <c r="AF4664" t="s">
        <v>10877</v>
      </c>
    </row>
    <row r="4665" spans="1:32" hidden="1" x14ac:dyDescent="0.35">
      <c r="A4665">
        <v>5235</v>
      </c>
      <c r="B4665" t="s">
        <v>10874</v>
      </c>
      <c r="C4665" t="s">
        <v>10127</v>
      </c>
      <c r="D4665" t="s">
        <v>45</v>
      </c>
      <c r="E4665">
        <v>337</v>
      </c>
      <c r="F4665">
        <v>4</v>
      </c>
      <c r="G4665">
        <v>4</v>
      </c>
      <c r="H4665">
        <v>1</v>
      </c>
      <c r="I4665">
        <v>0</v>
      </c>
      <c r="J4665">
        <v>0.90427751695357295</v>
      </c>
      <c r="K4665">
        <v>1</v>
      </c>
      <c r="L4665">
        <v>0.94973291329954801</v>
      </c>
      <c r="M4665">
        <v>0.784037558685446</v>
      </c>
      <c r="N4665">
        <v>1</v>
      </c>
      <c r="O4665">
        <v>0.85524256651017205</v>
      </c>
      <c r="P4665" t="s">
        <v>1247</v>
      </c>
      <c r="Q4665" t="s">
        <v>1248</v>
      </c>
      <c r="R4665" t="s">
        <v>235</v>
      </c>
      <c r="S4665" t="s">
        <v>236</v>
      </c>
      <c r="T4665" t="s">
        <v>10188</v>
      </c>
      <c r="U4665" t="s">
        <v>10189</v>
      </c>
      <c r="V4665" t="s">
        <v>10190</v>
      </c>
      <c r="W4665" t="s">
        <v>10191</v>
      </c>
      <c r="AD4665" t="s">
        <v>439</v>
      </c>
      <c r="AE4665" t="s">
        <v>10192</v>
      </c>
      <c r="AF4665" t="s">
        <v>10877</v>
      </c>
    </row>
    <row r="4666" spans="1:32" hidden="1" x14ac:dyDescent="0.35">
      <c r="A4666">
        <v>5240</v>
      </c>
      <c r="B4666" t="s">
        <v>10882</v>
      </c>
      <c r="C4666" t="s">
        <v>10127</v>
      </c>
      <c r="D4666" t="s">
        <v>60</v>
      </c>
      <c r="E4666">
        <v>1793</v>
      </c>
      <c r="F4666">
        <v>4</v>
      </c>
      <c r="G4666">
        <v>4</v>
      </c>
      <c r="H4666">
        <v>1</v>
      </c>
      <c r="I4666">
        <v>0</v>
      </c>
      <c r="J4666">
        <v>0.77071886446886495</v>
      </c>
      <c r="K4666">
        <v>0.95788863681839997</v>
      </c>
      <c r="L4666">
        <v>0.85417058748910202</v>
      </c>
      <c r="M4666">
        <v>0.52662721893491105</v>
      </c>
      <c r="N4666">
        <v>1</v>
      </c>
      <c r="O4666">
        <v>0.68277449046679795</v>
      </c>
      <c r="P4666" t="s">
        <v>10883</v>
      </c>
      <c r="Q4666" t="s">
        <v>10884</v>
      </c>
      <c r="R4666" t="s">
        <v>235</v>
      </c>
      <c r="S4666" t="s">
        <v>236</v>
      </c>
      <c r="T4666" t="s">
        <v>10885</v>
      </c>
      <c r="U4666" t="s">
        <v>10886</v>
      </c>
      <c r="V4666" t="s">
        <v>10887</v>
      </c>
      <c r="W4666" t="s">
        <v>10888</v>
      </c>
      <c r="AD4666" t="s">
        <v>546</v>
      </c>
      <c r="AE4666" t="s">
        <v>10889</v>
      </c>
      <c r="AF4666" t="s">
        <v>10890</v>
      </c>
    </row>
    <row r="4667" spans="1:32" hidden="1" x14ac:dyDescent="0.35">
      <c r="A4667">
        <v>5241</v>
      </c>
      <c r="B4667" t="s">
        <v>10882</v>
      </c>
      <c r="C4667" t="s">
        <v>10127</v>
      </c>
      <c r="D4667" t="s">
        <v>62</v>
      </c>
      <c r="E4667">
        <v>1829</v>
      </c>
      <c r="F4667">
        <v>4</v>
      </c>
      <c r="G4667">
        <v>4</v>
      </c>
      <c r="H4667">
        <v>1</v>
      </c>
      <c r="I4667">
        <v>0</v>
      </c>
      <c r="J4667">
        <v>0.77071886446886495</v>
      </c>
      <c r="K4667">
        <v>0.95788863681839997</v>
      </c>
      <c r="L4667">
        <v>0.85417058748910202</v>
      </c>
      <c r="M4667">
        <v>0.52662721893491105</v>
      </c>
      <c r="N4667">
        <v>1</v>
      </c>
      <c r="O4667">
        <v>0.68277449046679795</v>
      </c>
      <c r="P4667" t="s">
        <v>10883</v>
      </c>
      <c r="Q4667" t="s">
        <v>10884</v>
      </c>
      <c r="R4667" t="s">
        <v>235</v>
      </c>
      <c r="S4667" t="s">
        <v>236</v>
      </c>
      <c r="T4667" t="s">
        <v>10885</v>
      </c>
      <c r="U4667" t="s">
        <v>10886</v>
      </c>
      <c r="V4667" t="s">
        <v>10887</v>
      </c>
      <c r="W4667" t="s">
        <v>10888</v>
      </c>
      <c r="AD4667" t="s">
        <v>546</v>
      </c>
      <c r="AE4667" t="s">
        <v>10889</v>
      </c>
      <c r="AF4667" t="s">
        <v>10890</v>
      </c>
    </row>
    <row r="4668" spans="1:32" hidden="1" x14ac:dyDescent="0.35">
      <c r="A4668">
        <v>5242</v>
      </c>
      <c r="B4668" t="s">
        <v>10882</v>
      </c>
      <c r="C4668" t="s">
        <v>10127</v>
      </c>
      <c r="D4668" t="s">
        <v>34</v>
      </c>
      <c r="E4668">
        <v>2160</v>
      </c>
      <c r="F4668">
        <v>4</v>
      </c>
      <c r="G4668">
        <v>4</v>
      </c>
      <c r="H4668">
        <v>1</v>
      </c>
      <c r="I4668">
        <v>0</v>
      </c>
      <c r="J4668">
        <v>0.77071886446886495</v>
      </c>
      <c r="K4668">
        <v>0.95788863681839997</v>
      </c>
      <c r="L4668">
        <v>0.85417058748910202</v>
      </c>
      <c r="M4668">
        <v>0.52662721893491105</v>
      </c>
      <c r="N4668">
        <v>1</v>
      </c>
      <c r="O4668">
        <v>0.68277449046679795</v>
      </c>
      <c r="P4668" t="s">
        <v>10883</v>
      </c>
      <c r="Q4668" t="s">
        <v>10884</v>
      </c>
      <c r="R4668" t="s">
        <v>235</v>
      </c>
      <c r="S4668" t="s">
        <v>236</v>
      </c>
      <c r="T4668" t="s">
        <v>10885</v>
      </c>
      <c r="U4668" t="s">
        <v>10886</v>
      </c>
      <c r="V4668" t="s">
        <v>10887</v>
      </c>
      <c r="W4668" t="s">
        <v>10888</v>
      </c>
      <c r="AD4668" t="s">
        <v>546</v>
      </c>
      <c r="AE4668" t="s">
        <v>10889</v>
      </c>
      <c r="AF4668" t="s">
        <v>10891</v>
      </c>
    </row>
    <row r="4669" spans="1:32" hidden="1" x14ac:dyDescent="0.35">
      <c r="A4669">
        <v>5243</v>
      </c>
      <c r="B4669" t="s">
        <v>10882</v>
      </c>
      <c r="C4669" t="s">
        <v>10127</v>
      </c>
      <c r="D4669" t="s">
        <v>45</v>
      </c>
      <c r="E4669">
        <v>713</v>
      </c>
      <c r="F4669">
        <v>4</v>
      </c>
      <c r="G4669">
        <v>4</v>
      </c>
      <c r="H4669">
        <v>1</v>
      </c>
      <c r="I4669">
        <v>0</v>
      </c>
      <c r="J4669">
        <v>0.77071886446886495</v>
      </c>
      <c r="K4669">
        <v>0.95788863681839997</v>
      </c>
      <c r="L4669">
        <v>0.85417058748910202</v>
      </c>
      <c r="M4669">
        <v>0.52662721893491105</v>
      </c>
      <c r="N4669">
        <v>1</v>
      </c>
      <c r="O4669">
        <v>0.68277449046679795</v>
      </c>
      <c r="P4669" t="s">
        <v>10883</v>
      </c>
      <c r="Q4669" t="s">
        <v>10884</v>
      </c>
      <c r="R4669" t="s">
        <v>235</v>
      </c>
      <c r="S4669" t="s">
        <v>236</v>
      </c>
      <c r="T4669" t="s">
        <v>10885</v>
      </c>
      <c r="U4669" t="s">
        <v>10886</v>
      </c>
      <c r="V4669" t="s">
        <v>10887</v>
      </c>
      <c r="W4669" t="s">
        <v>10888</v>
      </c>
      <c r="AD4669" t="s">
        <v>546</v>
      </c>
      <c r="AE4669" t="s">
        <v>10889</v>
      </c>
      <c r="AF4669" t="s">
        <v>10892</v>
      </c>
    </row>
    <row r="4670" spans="1:32" hidden="1" x14ac:dyDescent="0.35">
      <c r="A4670">
        <v>5328</v>
      </c>
      <c r="B4670" t="s">
        <v>11044</v>
      </c>
      <c r="C4670" t="s">
        <v>10127</v>
      </c>
      <c r="D4670" t="s">
        <v>60</v>
      </c>
      <c r="E4670">
        <v>1665</v>
      </c>
      <c r="F4670">
        <v>4</v>
      </c>
      <c r="G4670">
        <v>4</v>
      </c>
      <c r="H4670">
        <v>1</v>
      </c>
      <c r="I4670">
        <v>0</v>
      </c>
      <c r="J4670">
        <v>0.84937293729372898</v>
      </c>
      <c r="K4670">
        <v>0.96777195119797699</v>
      </c>
      <c r="L4670">
        <v>0.90471520463268895</v>
      </c>
      <c r="M4670">
        <v>0.66896551724137898</v>
      </c>
      <c r="N4670">
        <v>1</v>
      </c>
      <c r="O4670">
        <v>0.77892720306513397</v>
      </c>
      <c r="P4670" t="s">
        <v>169</v>
      </c>
      <c r="Q4670" t="s">
        <v>170</v>
      </c>
      <c r="R4670" t="s">
        <v>235</v>
      </c>
      <c r="S4670" t="s">
        <v>236</v>
      </c>
      <c r="T4670" t="s">
        <v>6413</v>
      </c>
      <c r="U4670" t="s">
        <v>6414</v>
      </c>
      <c r="V4670" t="s">
        <v>6415</v>
      </c>
      <c r="W4670" t="s">
        <v>6416</v>
      </c>
      <c r="AD4670" t="s">
        <v>1667</v>
      </c>
      <c r="AE4670" t="s">
        <v>6417</v>
      </c>
      <c r="AF4670" t="s">
        <v>11045</v>
      </c>
    </row>
    <row r="4671" spans="1:32" hidden="1" x14ac:dyDescent="0.35">
      <c r="A4671">
        <v>5329</v>
      </c>
      <c r="B4671" t="s">
        <v>11044</v>
      </c>
      <c r="C4671" t="s">
        <v>10127</v>
      </c>
      <c r="D4671" t="s">
        <v>62</v>
      </c>
      <c r="E4671">
        <v>1700</v>
      </c>
      <c r="F4671">
        <v>4</v>
      </c>
      <c r="G4671">
        <v>4</v>
      </c>
      <c r="H4671">
        <v>1</v>
      </c>
      <c r="I4671">
        <v>0</v>
      </c>
      <c r="J4671">
        <v>0.84937293729372898</v>
      </c>
      <c r="K4671">
        <v>0.96777195119797699</v>
      </c>
      <c r="L4671">
        <v>0.90471520463268895</v>
      </c>
      <c r="M4671">
        <v>0.66896551724137898</v>
      </c>
      <c r="N4671">
        <v>1</v>
      </c>
      <c r="O4671">
        <v>0.77892720306513397</v>
      </c>
      <c r="P4671" t="s">
        <v>169</v>
      </c>
      <c r="Q4671" t="s">
        <v>170</v>
      </c>
      <c r="R4671" t="s">
        <v>235</v>
      </c>
      <c r="S4671" t="s">
        <v>236</v>
      </c>
      <c r="T4671" t="s">
        <v>6413</v>
      </c>
      <c r="U4671" t="s">
        <v>6414</v>
      </c>
      <c r="V4671" t="s">
        <v>6415</v>
      </c>
      <c r="W4671" t="s">
        <v>6416</v>
      </c>
      <c r="AD4671" t="s">
        <v>1667</v>
      </c>
      <c r="AE4671" t="s">
        <v>6417</v>
      </c>
      <c r="AF4671" t="s">
        <v>11046</v>
      </c>
    </row>
    <row r="4672" spans="1:32" hidden="1" x14ac:dyDescent="0.35">
      <c r="A4672">
        <v>5330</v>
      </c>
      <c r="B4672" t="s">
        <v>11044</v>
      </c>
      <c r="C4672" t="s">
        <v>10127</v>
      </c>
      <c r="D4672" t="s">
        <v>34</v>
      </c>
      <c r="E4672">
        <v>1588</v>
      </c>
      <c r="F4672">
        <v>4</v>
      </c>
      <c r="G4672">
        <v>4</v>
      </c>
      <c r="H4672">
        <v>1</v>
      </c>
      <c r="I4672">
        <v>0</v>
      </c>
      <c r="J4672">
        <v>0.84937293729372898</v>
      </c>
      <c r="K4672">
        <v>0.96777195119797699</v>
      </c>
      <c r="L4672">
        <v>0.90471520463268895</v>
      </c>
      <c r="M4672">
        <v>0.66896551724137898</v>
      </c>
      <c r="N4672">
        <v>1</v>
      </c>
      <c r="O4672">
        <v>0.77892720306513397</v>
      </c>
      <c r="P4672" t="s">
        <v>169</v>
      </c>
      <c r="Q4672" t="s">
        <v>170</v>
      </c>
      <c r="R4672" t="s">
        <v>235</v>
      </c>
      <c r="S4672" t="s">
        <v>236</v>
      </c>
      <c r="T4672" t="s">
        <v>6413</v>
      </c>
      <c r="U4672" t="s">
        <v>6414</v>
      </c>
      <c r="V4672" t="s">
        <v>6415</v>
      </c>
      <c r="W4672" t="s">
        <v>6416</v>
      </c>
      <c r="AD4672" t="s">
        <v>1667</v>
      </c>
      <c r="AE4672" t="s">
        <v>6417</v>
      </c>
      <c r="AF4672" t="s">
        <v>11047</v>
      </c>
    </row>
    <row r="4673" spans="1:32" hidden="1" x14ac:dyDescent="0.35">
      <c r="A4673">
        <v>5331</v>
      </c>
      <c r="B4673" t="s">
        <v>11044</v>
      </c>
      <c r="C4673" t="s">
        <v>10127</v>
      </c>
      <c r="D4673" t="s">
        <v>45</v>
      </c>
      <c r="E4673">
        <v>338</v>
      </c>
      <c r="F4673">
        <v>4</v>
      </c>
      <c r="G4673">
        <v>4</v>
      </c>
      <c r="H4673">
        <v>1</v>
      </c>
      <c r="I4673">
        <v>0</v>
      </c>
      <c r="J4673">
        <v>0.84937293729372898</v>
      </c>
      <c r="K4673">
        <v>0.96777195119797699</v>
      </c>
      <c r="L4673">
        <v>0.90471520463268895</v>
      </c>
      <c r="M4673">
        <v>0.66896551724137898</v>
      </c>
      <c r="N4673">
        <v>1</v>
      </c>
      <c r="O4673">
        <v>0.77892720306513397</v>
      </c>
      <c r="P4673" t="s">
        <v>169</v>
      </c>
      <c r="Q4673" t="s">
        <v>170</v>
      </c>
      <c r="R4673" t="s">
        <v>235</v>
      </c>
      <c r="S4673" t="s">
        <v>236</v>
      </c>
      <c r="T4673" t="s">
        <v>6413</v>
      </c>
      <c r="U4673" t="s">
        <v>6414</v>
      </c>
      <c r="V4673" t="s">
        <v>6415</v>
      </c>
      <c r="W4673" t="s">
        <v>6416</v>
      </c>
      <c r="AD4673" t="s">
        <v>1667</v>
      </c>
      <c r="AE4673" t="s">
        <v>6417</v>
      </c>
      <c r="AF4673" t="s">
        <v>11047</v>
      </c>
    </row>
    <row r="4674" spans="1:32" hidden="1" x14ac:dyDescent="0.35">
      <c r="A4674">
        <v>4620</v>
      </c>
      <c r="B4674" t="s">
        <v>9663</v>
      </c>
      <c r="C4674" t="s">
        <v>10127</v>
      </c>
      <c r="D4674" t="s">
        <v>60</v>
      </c>
      <c r="E4674">
        <v>576</v>
      </c>
      <c r="F4674">
        <v>5</v>
      </c>
      <c r="G4674">
        <v>5</v>
      </c>
      <c r="H4674">
        <v>1</v>
      </c>
      <c r="I4674">
        <v>1</v>
      </c>
      <c r="J4674">
        <v>0.84097054739457699</v>
      </c>
      <c r="K4674">
        <v>0.98940677166839197</v>
      </c>
      <c r="L4674">
        <v>0.90916986973137204</v>
      </c>
      <c r="M4674">
        <v>0.71583514099783097</v>
      </c>
      <c r="N4674">
        <v>0.99566160520607405</v>
      </c>
      <c r="O4674">
        <v>0.79305856832971799</v>
      </c>
      <c r="P4674" t="s">
        <v>1057</v>
      </c>
      <c r="Q4674" t="s">
        <v>1058</v>
      </c>
      <c r="R4674" t="s">
        <v>319</v>
      </c>
      <c r="S4674" t="s">
        <v>320</v>
      </c>
      <c r="T4674" t="s">
        <v>4824</v>
      </c>
      <c r="U4674" t="s">
        <v>4825</v>
      </c>
      <c r="V4674" t="s">
        <v>4797</v>
      </c>
      <c r="W4674" t="s">
        <v>4798</v>
      </c>
      <c r="AD4674" t="s">
        <v>951</v>
      </c>
      <c r="AE4674" t="s">
        <v>4826</v>
      </c>
      <c r="AF4674" t="s">
        <v>9665</v>
      </c>
    </row>
    <row r="4675" spans="1:32" hidden="1" x14ac:dyDescent="0.35">
      <c r="A4675">
        <v>4621</v>
      </c>
      <c r="B4675" t="s">
        <v>9663</v>
      </c>
      <c r="C4675" t="s">
        <v>10127</v>
      </c>
      <c r="D4675" t="s">
        <v>62</v>
      </c>
      <c r="E4675">
        <v>660</v>
      </c>
      <c r="F4675">
        <v>5</v>
      </c>
      <c r="G4675">
        <v>5</v>
      </c>
      <c r="H4675">
        <v>1</v>
      </c>
      <c r="I4675">
        <v>1</v>
      </c>
      <c r="J4675">
        <v>0.84097054739457699</v>
      </c>
      <c r="K4675">
        <v>0.98940677166839197</v>
      </c>
      <c r="L4675">
        <v>0.90916986973137204</v>
      </c>
      <c r="M4675">
        <v>0.71583514099783097</v>
      </c>
      <c r="N4675">
        <v>0.99566160520607405</v>
      </c>
      <c r="O4675">
        <v>0.79305856832971799</v>
      </c>
      <c r="P4675" t="s">
        <v>1057</v>
      </c>
      <c r="Q4675" t="s">
        <v>1058</v>
      </c>
      <c r="R4675" t="s">
        <v>319</v>
      </c>
      <c r="S4675" t="s">
        <v>320</v>
      </c>
      <c r="T4675" t="s">
        <v>4824</v>
      </c>
      <c r="U4675" t="s">
        <v>4825</v>
      </c>
      <c r="V4675" t="s">
        <v>4797</v>
      </c>
      <c r="W4675" t="s">
        <v>4798</v>
      </c>
      <c r="AD4675" t="s">
        <v>951</v>
      </c>
      <c r="AE4675" t="s">
        <v>4826</v>
      </c>
      <c r="AF4675" t="s">
        <v>9666</v>
      </c>
    </row>
    <row r="4676" spans="1:32" hidden="1" x14ac:dyDescent="0.35">
      <c r="A4676">
        <v>4622</v>
      </c>
      <c r="B4676" t="s">
        <v>9663</v>
      </c>
      <c r="C4676" t="s">
        <v>10127</v>
      </c>
      <c r="D4676" t="s">
        <v>34</v>
      </c>
      <c r="E4676">
        <v>516</v>
      </c>
      <c r="F4676">
        <v>5</v>
      </c>
      <c r="G4676">
        <v>5</v>
      </c>
      <c r="H4676">
        <v>1</v>
      </c>
      <c r="I4676">
        <v>1</v>
      </c>
      <c r="J4676">
        <v>0.84097054739457699</v>
      </c>
      <c r="K4676">
        <v>0.98940677166839197</v>
      </c>
      <c r="L4676">
        <v>0.90916986973137204</v>
      </c>
      <c r="M4676">
        <v>0.71583514099783097</v>
      </c>
      <c r="N4676">
        <v>0.99566160520607405</v>
      </c>
      <c r="O4676">
        <v>0.79305856832971799</v>
      </c>
      <c r="P4676" t="s">
        <v>1057</v>
      </c>
      <c r="Q4676" t="s">
        <v>1058</v>
      </c>
      <c r="R4676" t="s">
        <v>319</v>
      </c>
      <c r="S4676" t="s">
        <v>320</v>
      </c>
      <c r="T4676" t="s">
        <v>4824</v>
      </c>
      <c r="U4676" t="s">
        <v>4825</v>
      </c>
      <c r="V4676" t="s">
        <v>4797</v>
      </c>
      <c r="W4676" t="s">
        <v>4798</v>
      </c>
      <c r="AD4676" t="s">
        <v>951</v>
      </c>
      <c r="AE4676" t="s">
        <v>4826</v>
      </c>
      <c r="AF4676" t="s">
        <v>9667</v>
      </c>
    </row>
    <row r="4677" spans="1:32" hidden="1" x14ac:dyDescent="0.35">
      <c r="A4677">
        <v>4623</v>
      </c>
      <c r="B4677" t="s">
        <v>9663</v>
      </c>
      <c r="C4677" t="s">
        <v>10127</v>
      </c>
      <c r="D4677" t="s">
        <v>45</v>
      </c>
      <c r="E4677">
        <v>1781</v>
      </c>
      <c r="F4677">
        <v>5</v>
      </c>
      <c r="G4677">
        <v>5</v>
      </c>
      <c r="H4677">
        <v>1</v>
      </c>
      <c r="I4677">
        <v>1</v>
      </c>
      <c r="J4677">
        <v>0.84097054739457699</v>
      </c>
      <c r="K4677">
        <v>0.98940677166839197</v>
      </c>
      <c r="L4677">
        <v>0.90916986973137204</v>
      </c>
      <c r="M4677">
        <v>0.71583514099783097</v>
      </c>
      <c r="N4677">
        <v>0.99566160520607405</v>
      </c>
      <c r="O4677">
        <v>0.79305856832971799</v>
      </c>
      <c r="P4677" t="s">
        <v>1057</v>
      </c>
      <c r="Q4677" t="s">
        <v>1058</v>
      </c>
      <c r="R4677" t="s">
        <v>319</v>
      </c>
      <c r="S4677" t="s">
        <v>320</v>
      </c>
      <c r="T4677" t="s">
        <v>4824</v>
      </c>
      <c r="U4677" t="s">
        <v>4825</v>
      </c>
      <c r="V4677" t="s">
        <v>4797</v>
      </c>
      <c r="W4677" t="s">
        <v>4798</v>
      </c>
      <c r="AD4677" t="s">
        <v>951</v>
      </c>
      <c r="AE4677" t="s">
        <v>4826</v>
      </c>
      <c r="AF4677" t="s">
        <v>9668</v>
      </c>
    </row>
    <row r="4678" spans="1:32" hidden="1" x14ac:dyDescent="0.35">
      <c r="A4678">
        <v>4724</v>
      </c>
      <c r="B4678" t="s">
        <v>9881</v>
      </c>
      <c r="C4678" t="s">
        <v>10127</v>
      </c>
      <c r="D4678" t="s">
        <v>58</v>
      </c>
      <c r="E4678">
        <v>540</v>
      </c>
      <c r="F4678">
        <v>5</v>
      </c>
      <c r="G4678">
        <v>5</v>
      </c>
      <c r="H4678">
        <v>1</v>
      </c>
      <c r="I4678">
        <v>1</v>
      </c>
      <c r="J4678">
        <v>0.80028943560057897</v>
      </c>
      <c r="K4678">
        <v>0.97370228437764605</v>
      </c>
      <c r="L4678">
        <v>0.87852005489309204</v>
      </c>
      <c r="M4678">
        <v>0.61619718309859195</v>
      </c>
      <c r="N4678">
        <v>0.99647887323943696</v>
      </c>
      <c r="O4678">
        <v>0.72957746478873198</v>
      </c>
      <c r="P4678" t="s">
        <v>9882</v>
      </c>
      <c r="Q4678" t="s">
        <v>9883</v>
      </c>
      <c r="R4678" t="s">
        <v>319</v>
      </c>
      <c r="S4678" t="s">
        <v>320</v>
      </c>
      <c r="T4678" t="s">
        <v>9884</v>
      </c>
      <c r="U4678" t="s">
        <v>9885</v>
      </c>
      <c r="V4678" t="s">
        <v>9886</v>
      </c>
      <c r="W4678" t="s">
        <v>9887</v>
      </c>
      <c r="AD4678" t="s">
        <v>219</v>
      </c>
      <c r="AE4678" t="s">
        <v>9888</v>
      </c>
      <c r="AF4678" t="s">
        <v>9889</v>
      </c>
    </row>
    <row r="4679" spans="1:32" hidden="1" x14ac:dyDescent="0.35">
      <c r="A4679">
        <v>4725</v>
      </c>
      <c r="B4679" t="s">
        <v>9881</v>
      </c>
      <c r="C4679" t="s">
        <v>10127</v>
      </c>
      <c r="D4679" t="s">
        <v>60</v>
      </c>
      <c r="E4679">
        <v>754</v>
      </c>
      <c r="F4679">
        <v>5</v>
      </c>
      <c r="G4679">
        <v>5</v>
      </c>
      <c r="H4679">
        <v>1</v>
      </c>
      <c r="I4679">
        <v>1</v>
      </c>
      <c r="J4679">
        <v>0.80028943560057897</v>
      </c>
      <c r="K4679">
        <v>0.97370228437764605</v>
      </c>
      <c r="L4679">
        <v>0.87852005489309204</v>
      </c>
      <c r="M4679">
        <v>0.61619718309859195</v>
      </c>
      <c r="N4679">
        <v>0.99647887323943696</v>
      </c>
      <c r="O4679">
        <v>0.72957746478873198</v>
      </c>
      <c r="P4679" t="s">
        <v>9882</v>
      </c>
      <c r="Q4679" t="s">
        <v>9883</v>
      </c>
      <c r="R4679" t="s">
        <v>319</v>
      </c>
      <c r="S4679" t="s">
        <v>320</v>
      </c>
      <c r="T4679" t="s">
        <v>9884</v>
      </c>
      <c r="U4679" t="s">
        <v>9885</v>
      </c>
      <c r="V4679" t="s">
        <v>9886</v>
      </c>
      <c r="W4679" t="s">
        <v>9887</v>
      </c>
      <c r="AD4679" t="s">
        <v>219</v>
      </c>
      <c r="AE4679" t="s">
        <v>9888</v>
      </c>
      <c r="AF4679" t="s">
        <v>9890</v>
      </c>
    </row>
    <row r="4680" spans="1:32" hidden="1" x14ac:dyDescent="0.35">
      <c r="A4680">
        <v>4679</v>
      </c>
      <c r="B4680" t="s">
        <v>9784</v>
      </c>
      <c r="C4680" t="s">
        <v>10127</v>
      </c>
      <c r="D4680" t="s">
        <v>58</v>
      </c>
      <c r="E4680">
        <v>1282</v>
      </c>
      <c r="F4680">
        <v>5</v>
      </c>
      <c r="G4680">
        <v>5</v>
      </c>
      <c r="H4680">
        <v>1</v>
      </c>
      <c r="I4680">
        <v>1</v>
      </c>
      <c r="J4680">
        <v>0.81687109963417304</v>
      </c>
      <c r="K4680">
        <v>0.96868926332288197</v>
      </c>
      <c r="L4680">
        <v>0.88632597379561195</v>
      </c>
      <c r="M4680">
        <v>0.63437500000000002</v>
      </c>
      <c r="N4680">
        <v>0.99375000000000002</v>
      </c>
      <c r="O4680">
        <v>0.74124999999999996</v>
      </c>
      <c r="P4680" t="s">
        <v>9785</v>
      </c>
      <c r="Q4680" t="s">
        <v>9786</v>
      </c>
      <c r="R4680" t="s">
        <v>9787</v>
      </c>
      <c r="S4680" t="s">
        <v>9788</v>
      </c>
      <c r="T4680" t="s">
        <v>9789</v>
      </c>
      <c r="U4680" t="s">
        <v>9790</v>
      </c>
      <c r="V4680" t="s">
        <v>9791</v>
      </c>
      <c r="W4680" t="s">
        <v>9792</v>
      </c>
      <c r="AD4680" t="s">
        <v>245</v>
      </c>
      <c r="AE4680" t="s">
        <v>9793</v>
      </c>
      <c r="AF4680" t="s">
        <v>9794</v>
      </c>
    </row>
    <row r="4681" spans="1:32" hidden="1" x14ac:dyDescent="0.35">
      <c r="A4681">
        <v>4680</v>
      </c>
      <c r="B4681" t="s">
        <v>9784</v>
      </c>
      <c r="C4681" t="s">
        <v>10127</v>
      </c>
      <c r="D4681" t="s">
        <v>60</v>
      </c>
      <c r="E4681">
        <v>1726</v>
      </c>
      <c r="F4681">
        <v>5</v>
      </c>
      <c r="G4681">
        <v>5</v>
      </c>
      <c r="H4681">
        <v>1</v>
      </c>
      <c r="I4681">
        <v>1</v>
      </c>
      <c r="J4681">
        <v>0.81687109963417304</v>
      </c>
      <c r="K4681">
        <v>0.96868926332288197</v>
      </c>
      <c r="L4681">
        <v>0.88632597379561195</v>
      </c>
      <c r="M4681">
        <v>0.63437500000000002</v>
      </c>
      <c r="N4681">
        <v>0.99375000000000002</v>
      </c>
      <c r="O4681">
        <v>0.74124999999999996</v>
      </c>
      <c r="P4681" t="s">
        <v>9785</v>
      </c>
      <c r="Q4681" t="s">
        <v>9786</v>
      </c>
      <c r="R4681" t="s">
        <v>9787</v>
      </c>
      <c r="S4681" t="s">
        <v>9788</v>
      </c>
      <c r="T4681" t="s">
        <v>9789</v>
      </c>
      <c r="U4681" t="s">
        <v>9790</v>
      </c>
      <c r="V4681" t="s">
        <v>9791</v>
      </c>
      <c r="W4681" t="s">
        <v>9792</v>
      </c>
      <c r="AD4681" t="s">
        <v>245</v>
      </c>
      <c r="AE4681" t="s">
        <v>9793</v>
      </c>
      <c r="AF4681" t="s">
        <v>9795</v>
      </c>
    </row>
    <row r="4682" spans="1:32" hidden="1" x14ac:dyDescent="0.35">
      <c r="A4682">
        <v>4681</v>
      </c>
      <c r="B4682" t="s">
        <v>9784</v>
      </c>
      <c r="C4682" t="s">
        <v>10127</v>
      </c>
      <c r="D4682" t="s">
        <v>62</v>
      </c>
      <c r="E4682">
        <v>1763</v>
      </c>
      <c r="F4682">
        <v>5</v>
      </c>
      <c r="G4682">
        <v>5</v>
      </c>
      <c r="H4682">
        <v>1</v>
      </c>
      <c r="I4682">
        <v>1</v>
      </c>
      <c r="J4682">
        <v>0.81687109963417304</v>
      </c>
      <c r="K4682">
        <v>0.96868926332288197</v>
      </c>
      <c r="L4682">
        <v>0.88632597379561195</v>
      </c>
      <c r="M4682">
        <v>0.63437500000000002</v>
      </c>
      <c r="N4682">
        <v>0.99375000000000002</v>
      </c>
      <c r="O4682">
        <v>0.74124999999999996</v>
      </c>
      <c r="P4682" t="s">
        <v>9785</v>
      </c>
      <c r="Q4682" t="s">
        <v>9786</v>
      </c>
      <c r="R4682" t="s">
        <v>9787</v>
      </c>
      <c r="S4682" t="s">
        <v>9788</v>
      </c>
      <c r="T4682" t="s">
        <v>9789</v>
      </c>
      <c r="U4682" t="s">
        <v>9790</v>
      </c>
      <c r="V4682" t="s">
        <v>9791</v>
      </c>
      <c r="W4682" t="s">
        <v>9792</v>
      </c>
      <c r="AD4682" t="s">
        <v>245</v>
      </c>
      <c r="AE4682" t="s">
        <v>9793</v>
      </c>
      <c r="AF4682" t="s">
        <v>9796</v>
      </c>
    </row>
    <row r="4683" spans="1:32" hidden="1" x14ac:dyDescent="0.35">
      <c r="A4683">
        <v>4682</v>
      </c>
      <c r="B4683" t="s">
        <v>9784</v>
      </c>
      <c r="C4683" t="s">
        <v>10127</v>
      </c>
      <c r="D4683" t="s">
        <v>34</v>
      </c>
      <c r="E4683">
        <v>2103</v>
      </c>
      <c r="F4683">
        <v>5</v>
      </c>
      <c r="G4683">
        <v>5</v>
      </c>
      <c r="H4683">
        <v>1</v>
      </c>
      <c r="I4683">
        <v>1</v>
      </c>
      <c r="J4683">
        <v>0.81687109963417304</v>
      </c>
      <c r="K4683">
        <v>0.96868926332288197</v>
      </c>
      <c r="L4683">
        <v>0.88632597379561195</v>
      </c>
      <c r="M4683">
        <v>0.63437500000000002</v>
      </c>
      <c r="N4683">
        <v>0.99375000000000002</v>
      </c>
      <c r="O4683">
        <v>0.74124999999999996</v>
      </c>
      <c r="P4683" t="s">
        <v>9785</v>
      </c>
      <c r="Q4683" t="s">
        <v>9786</v>
      </c>
      <c r="R4683" t="s">
        <v>9787</v>
      </c>
      <c r="S4683" t="s">
        <v>9788</v>
      </c>
      <c r="T4683" t="s">
        <v>9789</v>
      </c>
      <c r="U4683" t="s">
        <v>9790</v>
      </c>
      <c r="V4683" t="s">
        <v>9791</v>
      </c>
      <c r="W4683" t="s">
        <v>9792</v>
      </c>
      <c r="AD4683" t="s">
        <v>245</v>
      </c>
      <c r="AE4683" t="s">
        <v>9793</v>
      </c>
      <c r="AF4683" t="s">
        <v>9797</v>
      </c>
    </row>
    <row r="4684" spans="1:32" hidden="1" x14ac:dyDescent="0.35">
      <c r="A4684">
        <v>4683</v>
      </c>
      <c r="B4684" t="s">
        <v>9784</v>
      </c>
      <c r="C4684" t="s">
        <v>10127</v>
      </c>
      <c r="D4684" t="s">
        <v>45</v>
      </c>
      <c r="E4684">
        <v>769</v>
      </c>
      <c r="F4684">
        <v>5</v>
      </c>
      <c r="G4684">
        <v>5</v>
      </c>
      <c r="H4684">
        <v>1</v>
      </c>
      <c r="I4684">
        <v>1</v>
      </c>
      <c r="J4684">
        <v>0.81687109963417304</v>
      </c>
      <c r="K4684">
        <v>0.96868926332288197</v>
      </c>
      <c r="L4684">
        <v>0.88632597379561195</v>
      </c>
      <c r="M4684">
        <v>0.63437500000000002</v>
      </c>
      <c r="N4684">
        <v>0.99375000000000002</v>
      </c>
      <c r="O4684">
        <v>0.74124999999999996</v>
      </c>
      <c r="P4684" t="s">
        <v>9785</v>
      </c>
      <c r="Q4684" t="s">
        <v>9786</v>
      </c>
      <c r="R4684" t="s">
        <v>9787</v>
      </c>
      <c r="S4684" t="s">
        <v>9788</v>
      </c>
      <c r="T4684" t="s">
        <v>9789</v>
      </c>
      <c r="U4684" t="s">
        <v>9790</v>
      </c>
      <c r="V4684" t="s">
        <v>9791</v>
      </c>
      <c r="W4684" t="s">
        <v>9792</v>
      </c>
      <c r="AD4684" t="s">
        <v>245</v>
      </c>
      <c r="AE4684" t="s">
        <v>9793</v>
      </c>
      <c r="AF4684" t="s">
        <v>9798</v>
      </c>
    </row>
    <row r="4685" spans="1:32" hidden="1" x14ac:dyDescent="0.35">
      <c r="A4685">
        <v>4726</v>
      </c>
      <c r="B4685" t="s">
        <v>9881</v>
      </c>
      <c r="C4685" t="s">
        <v>10127</v>
      </c>
      <c r="D4685" t="s">
        <v>62</v>
      </c>
      <c r="E4685">
        <v>786</v>
      </c>
      <c r="F4685">
        <v>5</v>
      </c>
      <c r="G4685">
        <v>5</v>
      </c>
      <c r="H4685">
        <v>1</v>
      </c>
      <c r="I4685">
        <v>1</v>
      </c>
      <c r="J4685">
        <v>0.80028943560057897</v>
      </c>
      <c r="K4685">
        <v>0.97370228437764605</v>
      </c>
      <c r="L4685">
        <v>0.87852005489309204</v>
      </c>
      <c r="M4685">
        <v>0.61619718309859195</v>
      </c>
      <c r="N4685">
        <v>0.99647887323943696</v>
      </c>
      <c r="O4685">
        <v>0.72957746478873198</v>
      </c>
      <c r="P4685" t="s">
        <v>9882</v>
      </c>
      <c r="Q4685" t="s">
        <v>9883</v>
      </c>
      <c r="R4685" t="s">
        <v>319</v>
      </c>
      <c r="S4685" t="s">
        <v>320</v>
      </c>
      <c r="T4685" t="s">
        <v>9884</v>
      </c>
      <c r="U4685" t="s">
        <v>9885</v>
      </c>
      <c r="V4685" t="s">
        <v>9886</v>
      </c>
      <c r="W4685" t="s">
        <v>9887</v>
      </c>
      <c r="AD4685" t="s">
        <v>219</v>
      </c>
      <c r="AE4685" t="s">
        <v>9888</v>
      </c>
      <c r="AF4685" t="s">
        <v>9891</v>
      </c>
    </row>
    <row r="4686" spans="1:32" hidden="1" x14ac:dyDescent="0.35">
      <c r="A4686">
        <v>4727</v>
      </c>
      <c r="B4686" t="s">
        <v>9881</v>
      </c>
      <c r="C4686" t="s">
        <v>10127</v>
      </c>
      <c r="D4686" t="s">
        <v>34</v>
      </c>
      <c r="E4686">
        <v>373</v>
      </c>
      <c r="F4686">
        <v>5</v>
      </c>
      <c r="G4686">
        <v>5</v>
      </c>
      <c r="H4686">
        <v>1</v>
      </c>
      <c r="I4686">
        <v>1</v>
      </c>
      <c r="J4686">
        <v>0.80028943560057897</v>
      </c>
      <c r="K4686">
        <v>0.97370228437764605</v>
      </c>
      <c r="L4686">
        <v>0.87852005489309204</v>
      </c>
      <c r="M4686">
        <v>0.61619718309859195</v>
      </c>
      <c r="N4686">
        <v>0.99647887323943696</v>
      </c>
      <c r="O4686">
        <v>0.72957746478873198</v>
      </c>
      <c r="P4686" t="s">
        <v>9882</v>
      </c>
      <c r="Q4686" t="s">
        <v>9883</v>
      </c>
      <c r="R4686" t="s">
        <v>319</v>
      </c>
      <c r="S4686" t="s">
        <v>320</v>
      </c>
      <c r="T4686" t="s">
        <v>9884</v>
      </c>
      <c r="U4686" t="s">
        <v>9885</v>
      </c>
      <c r="V4686" t="s">
        <v>9886</v>
      </c>
      <c r="W4686" t="s">
        <v>9887</v>
      </c>
      <c r="AD4686" t="s">
        <v>219</v>
      </c>
      <c r="AE4686" t="s">
        <v>9888</v>
      </c>
      <c r="AF4686" t="s">
        <v>9892</v>
      </c>
    </row>
    <row r="4687" spans="1:32" hidden="1" x14ac:dyDescent="0.35">
      <c r="A4687">
        <v>4728</v>
      </c>
      <c r="B4687" t="s">
        <v>9881</v>
      </c>
      <c r="C4687" t="s">
        <v>10127</v>
      </c>
      <c r="D4687" t="s">
        <v>45</v>
      </c>
      <c r="E4687">
        <v>1635</v>
      </c>
      <c r="F4687">
        <v>5</v>
      </c>
      <c r="G4687">
        <v>5</v>
      </c>
      <c r="H4687">
        <v>1</v>
      </c>
      <c r="I4687">
        <v>1</v>
      </c>
      <c r="J4687">
        <v>0.80028943560057897</v>
      </c>
      <c r="K4687">
        <v>0.97370228437764605</v>
      </c>
      <c r="L4687">
        <v>0.87852005489309204</v>
      </c>
      <c r="M4687">
        <v>0.61619718309859195</v>
      </c>
      <c r="N4687">
        <v>0.99647887323943696</v>
      </c>
      <c r="O4687">
        <v>0.72957746478873198</v>
      </c>
      <c r="P4687" t="s">
        <v>9882</v>
      </c>
      <c r="Q4687" t="s">
        <v>9883</v>
      </c>
      <c r="R4687" t="s">
        <v>319</v>
      </c>
      <c r="S4687" t="s">
        <v>320</v>
      </c>
      <c r="T4687" t="s">
        <v>9884</v>
      </c>
      <c r="U4687" t="s">
        <v>9885</v>
      </c>
      <c r="V4687" t="s">
        <v>9886</v>
      </c>
      <c r="W4687" t="s">
        <v>9887</v>
      </c>
      <c r="AD4687" t="s">
        <v>219</v>
      </c>
      <c r="AE4687" t="s">
        <v>9888</v>
      </c>
      <c r="AF4687" t="s">
        <v>9893</v>
      </c>
    </row>
    <row r="4688" spans="1:32" hidden="1" x14ac:dyDescent="0.35">
      <c r="A4688">
        <v>4964</v>
      </c>
      <c r="B4688" t="s">
        <v>10393</v>
      </c>
      <c r="C4688" t="s">
        <v>10127</v>
      </c>
      <c r="D4688" t="s">
        <v>60</v>
      </c>
      <c r="E4688">
        <v>925</v>
      </c>
      <c r="F4688">
        <v>4</v>
      </c>
      <c r="G4688">
        <v>4</v>
      </c>
      <c r="H4688">
        <v>1</v>
      </c>
      <c r="I4688">
        <v>0</v>
      </c>
      <c r="J4688">
        <v>0.79409607627429402</v>
      </c>
      <c r="K4688">
        <v>0.913980245305547</v>
      </c>
      <c r="L4688">
        <v>0.84983102618980499</v>
      </c>
      <c r="M4688">
        <v>0.54054054054054101</v>
      </c>
      <c r="N4688">
        <v>1</v>
      </c>
      <c r="O4688">
        <v>0.69319319319319295</v>
      </c>
      <c r="P4688" t="s">
        <v>3862</v>
      </c>
      <c r="Q4688" t="s">
        <v>3863</v>
      </c>
      <c r="R4688" t="s">
        <v>319</v>
      </c>
      <c r="S4688" t="s">
        <v>320</v>
      </c>
      <c r="T4688" t="s">
        <v>10394</v>
      </c>
      <c r="U4688" t="s">
        <v>10395</v>
      </c>
      <c r="V4688" t="s">
        <v>3866</v>
      </c>
      <c r="W4688" t="s">
        <v>3867</v>
      </c>
      <c r="AD4688" t="s">
        <v>219</v>
      </c>
      <c r="AE4688" t="s">
        <v>10396</v>
      </c>
      <c r="AF4688" t="s">
        <v>10397</v>
      </c>
    </row>
    <row r="4689" spans="1:32" hidden="1" x14ac:dyDescent="0.35">
      <c r="A4689">
        <v>4965</v>
      </c>
      <c r="B4689" t="s">
        <v>10393</v>
      </c>
      <c r="C4689" t="s">
        <v>10127</v>
      </c>
      <c r="D4689" t="s">
        <v>62</v>
      </c>
      <c r="E4689">
        <v>961</v>
      </c>
      <c r="F4689">
        <v>4</v>
      </c>
      <c r="G4689">
        <v>4</v>
      </c>
      <c r="H4689">
        <v>1</v>
      </c>
      <c r="I4689">
        <v>0</v>
      </c>
      <c r="J4689">
        <v>0.79409607627429402</v>
      </c>
      <c r="K4689">
        <v>0.913980245305547</v>
      </c>
      <c r="L4689">
        <v>0.84983102618980499</v>
      </c>
      <c r="M4689">
        <v>0.54054054054054101</v>
      </c>
      <c r="N4689">
        <v>1</v>
      </c>
      <c r="O4689">
        <v>0.69319319319319295</v>
      </c>
      <c r="P4689" t="s">
        <v>3862</v>
      </c>
      <c r="Q4689" t="s">
        <v>3863</v>
      </c>
      <c r="R4689" t="s">
        <v>319</v>
      </c>
      <c r="S4689" t="s">
        <v>320</v>
      </c>
      <c r="T4689" t="s">
        <v>10394</v>
      </c>
      <c r="U4689" t="s">
        <v>10395</v>
      </c>
      <c r="V4689" t="s">
        <v>3866</v>
      </c>
      <c r="W4689" t="s">
        <v>3867</v>
      </c>
      <c r="AD4689" t="s">
        <v>219</v>
      </c>
      <c r="AE4689" t="s">
        <v>10396</v>
      </c>
      <c r="AF4689" t="s">
        <v>10397</v>
      </c>
    </row>
    <row r="4690" spans="1:32" hidden="1" x14ac:dyDescent="0.35">
      <c r="A4690">
        <v>4966</v>
      </c>
      <c r="B4690" t="s">
        <v>10393</v>
      </c>
      <c r="C4690" t="s">
        <v>10127</v>
      </c>
      <c r="D4690" t="s">
        <v>34</v>
      </c>
      <c r="E4690">
        <v>237</v>
      </c>
      <c r="F4690">
        <v>4</v>
      </c>
      <c r="G4690">
        <v>4</v>
      </c>
      <c r="H4690">
        <v>1</v>
      </c>
      <c r="I4690">
        <v>0</v>
      </c>
      <c r="J4690">
        <v>0.79409607627429402</v>
      </c>
      <c r="K4690">
        <v>0.913980245305547</v>
      </c>
      <c r="L4690">
        <v>0.84983102618980499</v>
      </c>
      <c r="M4690">
        <v>0.54054054054054101</v>
      </c>
      <c r="N4690">
        <v>1</v>
      </c>
      <c r="O4690">
        <v>0.69319319319319295</v>
      </c>
      <c r="P4690" t="s">
        <v>3862</v>
      </c>
      <c r="Q4690" t="s">
        <v>3863</v>
      </c>
      <c r="R4690" t="s">
        <v>319</v>
      </c>
      <c r="S4690" t="s">
        <v>320</v>
      </c>
      <c r="T4690" t="s">
        <v>10394</v>
      </c>
      <c r="U4690" t="s">
        <v>10395</v>
      </c>
      <c r="V4690" t="s">
        <v>3866</v>
      </c>
      <c r="W4690" t="s">
        <v>3867</v>
      </c>
      <c r="AD4690" t="s">
        <v>219</v>
      </c>
      <c r="AE4690" t="s">
        <v>10396</v>
      </c>
      <c r="AF4690" t="e">
        <f>---MKNLNGVNVIAVHAHPDDEAIWTGGMLSDLAMRGANVLVVTCTLGEQGEVIGEPYANLVADKADQLGGFRIRELQKSLKTLGVRGTFLGGAGCWRDSGMAGDPANQHPRAFMNAGDEAVEQLKSIFLTHPPHLIITYGPDGGYGHPDHIKAHEITHRAV---EQRNLVTPILWAVTDRRRFDEGVAVITAPTTAGWRMPQPNEIACVTSSDIEVRLSDAALAAKVQAMKAHATQLWIADGSINDTNPVAAFAPIIDPEKAPFVFALSNLITQPLLRFEHYQIGTVVNVSTRNTIEALVAGELEAGRSSNGAGDTTDGEAGADDHRGGAGS</f>
        <v>#NAME?</v>
      </c>
    </row>
    <row r="4691" spans="1:32" hidden="1" x14ac:dyDescent="0.35">
      <c r="A4691">
        <v>4967</v>
      </c>
      <c r="B4691" t="s">
        <v>10393</v>
      </c>
      <c r="C4691" t="s">
        <v>10127</v>
      </c>
      <c r="D4691" t="s">
        <v>45</v>
      </c>
      <c r="E4691">
        <v>1500</v>
      </c>
      <c r="F4691">
        <v>4</v>
      </c>
      <c r="G4691">
        <v>4</v>
      </c>
      <c r="H4691">
        <v>1</v>
      </c>
      <c r="I4691">
        <v>0</v>
      </c>
      <c r="J4691">
        <v>0.79409607627429402</v>
      </c>
      <c r="K4691">
        <v>0.913980245305547</v>
      </c>
      <c r="L4691">
        <v>0.84983102618980499</v>
      </c>
      <c r="M4691">
        <v>0.54054054054054101</v>
      </c>
      <c r="N4691">
        <v>1</v>
      </c>
      <c r="O4691">
        <v>0.69319319319319295</v>
      </c>
      <c r="P4691" t="s">
        <v>3862</v>
      </c>
      <c r="Q4691" t="s">
        <v>3863</v>
      </c>
      <c r="R4691" t="s">
        <v>319</v>
      </c>
      <c r="S4691" t="s">
        <v>320</v>
      </c>
      <c r="T4691" t="s">
        <v>10394</v>
      </c>
      <c r="U4691" t="s">
        <v>10395</v>
      </c>
      <c r="V4691" t="s">
        <v>3866</v>
      </c>
      <c r="W4691" t="s">
        <v>3867</v>
      </c>
      <c r="AD4691" t="s">
        <v>219</v>
      </c>
      <c r="AE4691" t="s">
        <v>10396</v>
      </c>
      <c r="AF4691" t="e">
        <f>---MKNLNGVNVIAVHAHPDDEAIWTGGMLSDLAMRGANVLVVTCTLGEQGEVIGEPYANLVADKADQLGGFRIRELQKSLKTLGVRGTFLGGAGCWRDSGMAGDPANQHPRAFTNAGDEAVEQLKSIFLTHPPHLIITYGPDGGYGHPDHIKAHEITHRAV---EQRNLVTPILWAVTDRRRFDEGVAVITAPTTAGWRMPQPNEIACVTSSDIEVRLSDAALAAKVQAMKAHATQLWIADGSINDTNPVAAFAPIIDPEKAPFVFALSNLITQPLLRFEHYQIGTVVNVSTRNTIEALVAGELEAGRSSNGAGDTTDGEAGADDHRGGAGS</f>
        <v>#NAME?</v>
      </c>
    </row>
    <row r="4692" spans="1:32" hidden="1" x14ac:dyDescent="0.35">
      <c r="A4692">
        <v>5092</v>
      </c>
      <c r="B4692" t="s">
        <v>10631</v>
      </c>
      <c r="C4692" t="s">
        <v>10127</v>
      </c>
      <c r="D4692" t="s">
        <v>60</v>
      </c>
      <c r="E4692">
        <v>1967</v>
      </c>
      <c r="F4692">
        <v>4</v>
      </c>
      <c r="G4692">
        <v>4</v>
      </c>
      <c r="H4692">
        <v>1</v>
      </c>
      <c r="I4692">
        <v>0</v>
      </c>
      <c r="J4692">
        <v>0.88227098571926199</v>
      </c>
      <c r="K4692">
        <v>0.95577313840786704</v>
      </c>
      <c r="L4692">
        <v>0.91755241115068897</v>
      </c>
      <c r="M4692">
        <v>0.71556886227544902</v>
      </c>
      <c r="N4692">
        <v>1</v>
      </c>
      <c r="O4692">
        <v>0.81037924151696605</v>
      </c>
      <c r="P4692" t="s">
        <v>4247</v>
      </c>
      <c r="Q4692" t="s">
        <v>4248</v>
      </c>
      <c r="R4692" t="s">
        <v>319</v>
      </c>
      <c r="S4692" t="s">
        <v>320</v>
      </c>
      <c r="T4692" t="s">
        <v>10632</v>
      </c>
      <c r="U4692" t="s">
        <v>10633</v>
      </c>
      <c r="V4692" t="s">
        <v>4251</v>
      </c>
      <c r="W4692" t="s">
        <v>4252</v>
      </c>
      <c r="AD4692" t="s">
        <v>439</v>
      </c>
      <c r="AE4692" t="s">
        <v>10634</v>
      </c>
      <c r="AF4692" t="s">
        <v>10635</v>
      </c>
    </row>
    <row r="4693" spans="1:32" hidden="1" x14ac:dyDescent="0.35">
      <c r="A4693">
        <v>5093</v>
      </c>
      <c r="B4693" t="s">
        <v>10631</v>
      </c>
      <c r="C4693" t="s">
        <v>10127</v>
      </c>
      <c r="D4693" t="s">
        <v>62</v>
      </c>
      <c r="E4693">
        <v>2008</v>
      </c>
      <c r="F4693">
        <v>4</v>
      </c>
      <c r="G4693">
        <v>4</v>
      </c>
      <c r="H4693">
        <v>1</v>
      </c>
      <c r="I4693">
        <v>0</v>
      </c>
      <c r="J4693">
        <v>0.88227098571926199</v>
      </c>
      <c r="K4693">
        <v>0.95577313840786704</v>
      </c>
      <c r="L4693">
        <v>0.91755241115068897</v>
      </c>
      <c r="M4693">
        <v>0.71556886227544902</v>
      </c>
      <c r="N4693">
        <v>1</v>
      </c>
      <c r="O4693">
        <v>0.81037924151696605</v>
      </c>
      <c r="P4693" t="s">
        <v>4247</v>
      </c>
      <c r="Q4693" t="s">
        <v>4248</v>
      </c>
      <c r="R4693" t="s">
        <v>319</v>
      </c>
      <c r="S4693" t="s">
        <v>320</v>
      </c>
      <c r="T4693" t="s">
        <v>10632</v>
      </c>
      <c r="U4693" t="s">
        <v>10633</v>
      </c>
      <c r="V4693" t="s">
        <v>4251</v>
      </c>
      <c r="W4693" t="s">
        <v>4252</v>
      </c>
      <c r="AD4693" t="s">
        <v>439</v>
      </c>
      <c r="AE4693" t="s">
        <v>10634</v>
      </c>
      <c r="AF4693" t="s">
        <v>10635</v>
      </c>
    </row>
    <row r="4694" spans="1:32" hidden="1" x14ac:dyDescent="0.35">
      <c r="A4694">
        <v>5094</v>
      </c>
      <c r="B4694" t="s">
        <v>10631</v>
      </c>
      <c r="C4694" t="s">
        <v>10127</v>
      </c>
      <c r="D4694" t="s">
        <v>34</v>
      </c>
      <c r="E4694">
        <v>545</v>
      </c>
      <c r="F4694">
        <v>4</v>
      </c>
      <c r="G4694">
        <v>4</v>
      </c>
      <c r="H4694">
        <v>1</v>
      </c>
      <c r="I4694">
        <v>0</v>
      </c>
      <c r="J4694">
        <v>0.88227098571926199</v>
      </c>
      <c r="K4694">
        <v>0.95577313840786704</v>
      </c>
      <c r="L4694">
        <v>0.91755241115068897</v>
      </c>
      <c r="M4694">
        <v>0.71556886227544902</v>
      </c>
      <c r="N4694">
        <v>1</v>
      </c>
      <c r="O4694">
        <v>0.81037924151696605</v>
      </c>
      <c r="P4694" t="s">
        <v>4247</v>
      </c>
      <c r="Q4694" t="s">
        <v>4248</v>
      </c>
      <c r="R4694" t="s">
        <v>319</v>
      </c>
      <c r="S4694" t="s">
        <v>320</v>
      </c>
      <c r="T4694" t="s">
        <v>10632</v>
      </c>
      <c r="U4694" t="s">
        <v>10633</v>
      </c>
      <c r="V4694" t="s">
        <v>4251</v>
      </c>
      <c r="W4694" t="s">
        <v>4252</v>
      </c>
      <c r="AD4694" t="s">
        <v>439</v>
      </c>
      <c r="AE4694" t="s">
        <v>10634</v>
      </c>
      <c r="AF4694" t="s">
        <v>10636</v>
      </c>
    </row>
    <row r="4695" spans="1:32" hidden="1" x14ac:dyDescent="0.35">
      <c r="A4695">
        <v>4694</v>
      </c>
      <c r="B4695" t="s">
        <v>9825</v>
      </c>
      <c r="C4695" t="s">
        <v>10127</v>
      </c>
      <c r="D4695" t="s">
        <v>58</v>
      </c>
      <c r="E4695">
        <v>1634</v>
      </c>
      <c r="F4695">
        <v>5</v>
      </c>
      <c r="G4695">
        <v>5</v>
      </c>
      <c r="H4695">
        <v>1</v>
      </c>
      <c r="I4695">
        <v>1</v>
      </c>
      <c r="J4695">
        <v>0.77333931777378795</v>
      </c>
      <c r="K4695">
        <v>0.92010339081046</v>
      </c>
      <c r="L4695">
        <v>0.84036161946757804</v>
      </c>
      <c r="M4695">
        <v>0.592592592592593</v>
      </c>
      <c r="N4695">
        <v>0.99588477366255101</v>
      </c>
      <c r="O4695">
        <v>0.68930041152263399</v>
      </c>
      <c r="P4695" t="s">
        <v>9826</v>
      </c>
      <c r="Q4695" t="s">
        <v>9827</v>
      </c>
      <c r="AF4695" t="e">
        <f>-------MTDSSENTTTPGSPLSGAA-------NAAIDLAAEIAKETAGRNIP------GLGELPVPDDTANLRLGPNLHDGLLALLPLVGVWRGEGQADSPIHGA---FNFGQELIFAHNGHNYLSYESRQWKLDEEGNHDPSMEEIREKGFWRISEKDEIEFTCVNSLGAVEIFYGEPFNERAWQLESSSTMVTATGPEKLGPGKRLYGLMPTADLGWVDERLIDGEMKPYMSAELRRVIG</f>
        <v>#NAME?</v>
      </c>
    </row>
    <row r="4696" spans="1:32" hidden="1" x14ac:dyDescent="0.35">
      <c r="A4696">
        <v>4695</v>
      </c>
      <c r="B4696" t="s">
        <v>9825</v>
      </c>
      <c r="C4696" t="s">
        <v>10127</v>
      </c>
      <c r="D4696" t="s">
        <v>60</v>
      </c>
      <c r="E4696">
        <v>2194</v>
      </c>
      <c r="F4696">
        <v>5</v>
      </c>
      <c r="G4696">
        <v>5</v>
      </c>
      <c r="H4696">
        <v>1</v>
      </c>
      <c r="I4696">
        <v>1</v>
      </c>
      <c r="J4696">
        <v>0.77333931777378795</v>
      </c>
      <c r="K4696">
        <v>0.92010339081046</v>
      </c>
      <c r="L4696">
        <v>0.84036161946757804</v>
      </c>
      <c r="M4696">
        <v>0.592592592592593</v>
      </c>
      <c r="N4696">
        <v>0.99588477366255101</v>
      </c>
      <c r="O4696">
        <v>0.68930041152263399</v>
      </c>
      <c r="P4696" t="s">
        <v>9826</v>
      </c>
      <c r="Q4696" t="s">
        <v>9827</v>
      </c>
      <c r="AF4696" t="e">
        <f>-------MTESPDNTATTQDAANSTADEIRLDGNAAVNLAAEQSKLTGGRNIPTLSGIDGLDDLPVAEDTANLRLGPNLHDGLLALLPLIGVWRGAGQADSASDGQ---YAFGQQLIFAHDGENYISYESRIWKLDKEGN--ATDQDQRETGFWRINDKDEIEFICCNSSGVVEIFYGNPLNERAWEVESASTMVTATGPAELGPGKRLYGLMPTNELGWVDERMVGKELRPRMSAQLARVVG</f>
        <v>#NAME?</v>
      </c>
    </row>
    <row r="4697" spans="1:32" hidden="1" x14ac:dyDescent="0.35">
      <c r="A4697">
        <v>4696</v>
      </c>
      <c r="B4697" t="s">
        <v>9825</v>
      </c>
      <c r="C4697" t="s">
        <v>10127</v>
      </c>
      <c r="D4697" t="s">
        <v>62</v>
      </c>
      <c r="E4697">
        <v>2228</v>
      </c>
      <c r="F4697">
        <v>5</v>
      </c>
      <c r="G4697">
        <v>5</v>
      </c>
      <c r="H4697">
        <v>1</v>
      </c>
      <c r="I4697">
        <v>1</v>
      </c>
      <c r="J4697">
        <v>0.77333931777378795</v>
      </c>
      <c r="K4697">
        <v>0.92010339081046</v>
      </c>
      <c r="L4697">
        <v>0.84036161946757804</v>
      </c>
      <c r="M4697">
        <v>0.592592592592593</v>
      </c>
      <c r="N4697">
        <v>0.99588477366255101</v>
      </c>
      <c r="O4697">
        <v>0.68930041152263399</v>
      </c>
      <c r="P4697" t="s">
        <v>9826</v>
      </c>
      <c r="Q4697" t="s">
        <v>9827</v>
      </c>
      <c r="AF4697" t="e">
        <f>-------MTESPDNTATTQDAANSTADEIRLDGNAAVNLAAEQSKLTGGRNIPTLSGIDGLDDLPVAEDTANLRLGPNLHDGLLALLPLIGVWRGAGQADSASDGQ---YAFGQQLIFAHDGENYISYESRIWKLDKESN--ATDQDQRETGFWRINDKDEIEFICCNSSGVVEIFYGNPLNERAWEVESASTMVTATGPAELGPGKRLYGLMPTNELGWVDERMVGKELRPRMSAQLARVVG</f>
        <v>#NAME?</v>
      </c>
    </row>
    <row r="4698" spans="1:32" hidden="1" x14ac:dyDescent="0.35">
      <c r="A4698">
        <v>4697</v>
      </c>
      <c r="B4698" t="s">
        <v>9825</v>
      </c>
      <c r="C4698" t="s">
        <v>10127</v>
      </c>
      <c r="D4698" t="s">
        <v>34</v>
      </c>
      <c r="E4698">
        <v>1574</v>
      </c>
      <c r="F4698">
        <v>5</v>
      </c>
      <c r="G4698">
        <v>5</v>
      </c>
      <c r="H4698">
        <v>1</v>
      </c>
      <c r="I4698">
        <v>1</v>
      </c>
      <c r="J4698">
        <v>0.77333931777378795</v>
      </c>
      <c r="K4698">
        <v>0.92010339081046</v>
      </c>
      <c r="L4698">
        <v>0.84036161946757804</v>
      </c>
      <c r="M4698">
        <v>0.592592592592593</v>
      </c>
      <c r="N4698">
        <v>0.99588477366255101</v>
      </c>
      <c r="O4698">
        <v>0.68930041152263399</v>
      </c>
      <c r="P4698" t="s">
        <v>9826</v>
      </c>
      <c r="Q4698" t="s">
        <v>9827</v>
      </c>
      <c r="AF4698" t="s">
        <v>9828</v>
      </c>
    </row>
    <row r="4699" spans="1:32" hidden="1" x14ac:dyDescent="0.35">
      <c r="A4699">
        <v>4698</v>
      </c>
      <c r="B4699" t="s">
        <v>9825</v>
      </c>
      <c r="C4699" t="s">
        <v>10127</v>
      </c>
      <c r="D4699" t="s">
        <v>45</v>
      </c>
      <c r="E4699">
        <v>324</v>
      </c>
      <c r="F4699">
        <v>5</v>
      </c>
      <c r="G4699">
        <v>5</v>
      </c>
      <c r="H4699">
        <v>1</v>
      </c>
      <c r="I4699">
        <v>1</v>
      </c>
      <c r="J4699">
        <v>0.77333931777378795</v>
      </c>
      <c r="K4699">
        <v>0.92010339081046</v>
      </c>
      <c r="L4699">
        <v>0.84036161946757804</v>
      </c>
      <c r="M4699">
        <v>0.592592592592593</v>
      </c>
      <c r="N4699">
        <v>0.99588477366255101</v>
      </c>
      <c r="O4699">
        <v>0.68930041152263399</v>
      </c>
      <c r="P4699" t="s">
        <v>9826</v>
      </c>
      <c r="Q4699" t="s">
        <v>9827</v>
      </c>
      <c r="AF4699" t="s">
        <v>9829</v>
      </c>
    </row>
    <row r="4700" spans="1:32" hidden="1" x14ac:dyDescent="0.35">
      <c r="A4700">
        <v>5095</v>
      </c>
      <c r="B4700" t="s">
        <v>10631</v>
      </c>
      <c r="C4700" t="s">
        <v>10127</v>
      </c>
      <c r="D4700" t="s">
        <v>45</v>
      </c>
      <c r="E4700">
        <v>1812</v>
      </c>
      <c r="F4700">
        <v>4</v>
      </c>
      <c r="G4700">
        <v>4</v>
      </c>
      <c r="H4700">
        <v>1</v>
      </c>
      <c r="I4700">
        <v>0</v>
      </c>
      <c r="J4700">
        <v>0.88227098571926199</v>
      </c>
      <c r="K4700">
        <v>0.95577313840786704</v>
      </c>
      <c r="L4700">
        <v>0.91755241115068897</v>
      </c>
      <c r="M4700">
        <v>0.71556886227544902</v>
      </c>
      <c r="N4700">
        <v>1</v>
      </c>
      <c r="O4700">
        <v>0.81037924151696605</v>
      </c>
      <c r="P4700" t="s">
        <v>4247</v>
      </c>
      <c r="Q4700" t="s">
        <v>4248</v>
      </c>
      <c r="R4700" t="s">
        <v>319</v>
      </c>
      <c r="S4700" t="s">
        <v>320</v>
      </c>
      <c r="T4700" t="s">
        <v>10632</v>
      </c>
      <c r="U4700" t="s">
        <v>10633</v>
      </c>
      <c r="V4700" t="s">
        <v>4251</v>
      </c>
      <c r="W4700" t="s">
        <v>4252</v>
      </c>
      <c r="AD4700" t="s">
        <v>439</v>
      </c>
      <c r="AE4700" t="s">
        <v>10634</v>
      </c>
      <c r="AF4700" t="s">
        <v>10636</v>
      </c>
    </row>
    <row r="4701" spans="1:32" hidden="1" x14ac:dyDescent="0.35">
      <c r="A4701">
        <v>5276</v>
      </c>
      <c r="B4701" t="s">
        <v>10945</v>
      </c>
      <c r="C4701" t="s">
        <v>10127</v>
      </c>
      <c r="D4701" t="s">
        <v>60</v>
      </c>
      <c r="E4701">
        <v>1652</v>
      </c>
      <c r="F4701">
        <v>4</v>
      </c>
      <c r="G4701">
        <v>4</v>
      </c>
      <c r="H4701">
        <v>1</v>
      </c>
      <c r="I4701">
        <v>0</v>
      </c>
      <c r="J4701">
        <v>0.75611265861962196</v>
      </c>
      <c r="K4701">
        <v>0.98364820111395801</v>
      </c>
      <c r="L4701">
        <v>0.85500125184397802</v>
      </c>
      <c r="M4701">
        <v>0.52328767123287701</v>
      </c>
      <c r="N4701">
        <v>1</v>
      </c>
      <c r="O4701">
        <v>0.67853881278538797</v>
      </c>
      <c r="P4701" t="s">
        <v>10946</v>
      </c>
      <c r="Q4701" t="s">
        <v>10947</v>
      </c>
      <c r="R4701" t="s">
        <v>319</v>
      </c>
      <c r="S4701" t="s">
        <v>320</v>
      </c>
      <c r="T4701" t="s">
        <v>10948</v>
      </c>
      <c r="U4701" t="s">
        <v>10949</v>
      </c>
      <c r="V4701" t="s">
        <v>10950</v>
      </c>
      <c r="W4701" t="s">
        <v>10951</v>
      </c>
      <c r="X4701" t="s">
        <v>10950</v>
      </c>
      <c r="Y4701" t="s">
        <v>10466</v>
      </c>
      <c r="AD4701" t="s">
        <v>951</v>
      </c>
      <c r="AE4701" t="s">
        <v>10952</v>
      </c>
      <c r="AF4701" t="s">
        <v>10953</v>
      </c>
    </row>
    <row r="4702" spans="1:32" hidden="1" x14ac:dyDescent="0.35">
      <c r="A4702">
        <v>5277</v>
      </c>
      <c r="B4702" t="s">
        <v>10945</v>
      </c>
      <c r="C4702" t="s">
        <v>10127</v>
      </c>
      <c r="D4702" t="s">
        <v>62</v>
      </c>
      <c r="E4702">
        <v>1687</v>
      </c>
      <c r="F4702">
        <v>4</v>
      </c>
      <c r="G4702">
        <v>4</v>
      </c>
      <c r="H4702">
        <v>1</v>
      </c>
      <c r="I4702">
        <v>0</v>
      </c>
      <c r="J4702">
        <v>0.75611265861962196</v>
      </c>
      <c r="K4702">
        <v>0.98364820111395801</v>
      </c>
      <c r="L4702">
        <v>0.85500125184397802</v>
      </c>
      <c r="M4702">
        <v>0.52328767123287701</v>
      </c>
      <c r="N4702">
        <v>1</v>
      </c>
      <c r="O4702">
        <v>0.67853881278538797</v>
      </c>
      <c r="P4702" t="s">
        <v>10946</v>
      </c>
      <c r="Q4702" t="s">
        <v>10947</v>
      </c>
      <c r="R4702" t="s">
        <v>319</v>
      </c>
      <c r="S4702" t="s">
        <v>320</v>
      </c>
      <c r="T4702" t="s">
        <v>10948</v>
      </c>
      <c r="U4702" t="s">
        <v>10949</v>
      </c>
      <c r="V4702" t="s">
        <v>10950</v>
      </c>
      <c r="W4702" t="s">
        <v>10951</v>
      </c>
      <c r="X4702" t="s">
        <v>10950</v>
      </c>
      <c r="Y4702" t="s">
        <v>10466</v>
      </c>
      <c r="AD4702" t="s">
        <v>951</v>
      </c>
      <c r="AE4702" t="s">
        <v>10952</v>
      </c>
      <c r="AF4702" t="s">
        <v>10954</v>
      </c>
    </row>
    <row r="4703" spans="1:32" hidden="1" x14ac:dyDescent="0.35">
      <c r="A4703">
        <v>5278</v>
      </c>
      <c r="B4703" t="s">
        <v>10945</v>
      </c>
      <c r="C4703" t="s">
        <v>10127</v>
      </c>
      <c r="D4703" t="s">
        <v>34</v>
      </c>
      <c r="E4703">
        <v>2056</v>
      </c>
      <c r="F4703">
        <v>4</v>
      </c>
      <c r="G4703">
        <v>4</v>
      </c>
      <c r="H4703">
        <v>1</v>
      </c>
      <c r="I4703">
        <v>0</v>
      </c>
      <c r="J4703">
        <v>0.75611265861962196</v>
      </c>
      <c r="K4703">
        <v>0.98364820111395801</v>
      </c>
      <c r="L4703">
        <v>0.85500125184397802</v>
      </c>
      <c r="M4703">
        <v>0.52328767123287701</v>
      </c>
      <c r="N4703">
        <v>1</v>
      </c>
      <c r="O4703">
        <v>0.67853881278538797</v>
      </c>
      <c r="P4703" t="s">
        <v>10946</v>
      </c>
      <c r="Q4703" t="s">
        <v>10947</v>
      </c>
      <c r="R4703" t="s">
        <v>319</v>
      </c>
      <c r="S4703" t="s">
        <v>320</v>
      </c>
      <c r="T4703" t="s">
        <v>10948</v>
      </c>
      <c r="U4703" t="s">
        <v>10949</v>
      </c>
      <c r="V4703" t="s">
        <v>10950</v>
      </c>
      <c r="W4703" t="s">
        <v>10951</v>
      </c>
      <c r="X4703" t="s">
        <v>10950</v>
      </c>
      <c r="Y4703" t="s">
        <v>10466</v>
      </c>
      <c r="AD4703" t="s">
        <v>951</v>
      </c>
      <c r="AE4703" t="s">
        <v>10952</v>
      </c>
      <c r="AF4703" t="e">
        <f>-MRIVIAPDSFKTSASAHDVAHHIATGIREVLSNDTEIILHPMSDGGEGTSALFAGERITLPTTDALGRITEATYTY-DARNEIAYIDVAAASGLKEVGDHLSPLTADTFGTGALIADAASRGAKRLILGLGGSATTDGGTGILTALGANFLDANGHSLPPGGAALKRLASVDISRLNLQAAAMDMLMLADVVTPATGPDGTSAVYAPRKGASAEDVNELEAGISQLCKVLNVNPEIPGMGAAGGVPICLTWISTTLHGGTDNIRLVPGARVIVDVTGLKDEIADADVVITGEGCYDSDTDMGKVVSVVLGLNPQAK--QFVVAGRIDGPLP-EGVRGITLINSNDVKKQLVRAGNKIAEQLIRD</f>
        <v>#NAME?</v>
      </c>
    </row>
    <row r="4704" spans="1:32" hidden="1" x14ac:dyDescent="0.35">
      <c r="A4704">
        <v>5279</v>
      </c>
      <c r="B4704" t="s">
        <v>10945</v>
      </c>
      <c r="C4704" t="s">
        <v>10127</v>
      </c>
      <c r="D4704" t="s">
        <v>45</v>
      </c>
      <c r="E4704">
        <v>816</v>
      </c>
      <c r="F4704">
        <v>4</v>
      </c>
      <c r="G4704">
        <v>4</v>
      </c>
      <c r="H4704">
        <v>1</v>
      </c>
      <c r="I4704">
        <v>0</v>
      </c>
      <c r="J4704">
        <v>0.75611265861962196</v>
      </c>
      <c r="K4704">
        <v>0.98364820111395801</v>
      </c>
      <c r="L4704">
        <v>0.85500125184397802</v>
      </c>
      <c r="M4704">
        <v>0.52328767123287701</v>
      </c>
      <c r="N4704">
        <v>1</v>
      </c>
      <c r="O4704">
        <v>0.67853881278538797</v>
      </c>
      <c r="P4704" t="s">
        <v>10946</v>
      </c>
      <c r="Q4704" t="s">
        <v>10947</v>
      </c>
      <c r="R4704" t="s">
        <v>319</v>
      </c>
      <c r="S4704" t="s">
        <v>320</v>
      </c>
      <c r="T4704" t="s">
        <v>10948</v>
      </c>
      <c r="U4704" t="s">
        <v>10949</v>
      </c>
      <c r="V4704" t="s">
        <v>10950</v>
      </c>
      <c r="W4704" t="s">
        <v>10951</v>
      </c>
      <c r="X4704" t="s">
        <v>10950</v>
      </c>
      <c r="Y4704" t="s">
        <v>10466</v>
      </c>
      <c r="AD4704" t="s">
        <v>951</v>
      </c>
      <c r="AE4704" t="s">
        <v>10952</v>
      </c>
      <c r="AF4704" t="e">
        <f>-MRIVIAPDSFKTSASAHDVAHHIATGIREVLSNDTEIILHPMSDGGEGTSALFAGERITLPTTDALGRITEATYTY-DARNEIAYIDVAAASGLKEVGDHLSPLTADTFGTGALIADAASRGAKRLILGLGGSATTDGGTGILTALGANFLDANGHSLPPGGAALKRLASVDISRLNLQAAAMDMLMLADVVTPATGPDGTSAVYAPRKGASAEDVNELEAGISQLCKVLNVNPEIPGMGAAGGVPICLTWISTTLHGGTDNIRLVPGARVIVDVTGLKDEIADADVVITGEGCYDSDTDMGKVVSVVLGLNPQAK--QFVVAGRIDGPLP-EGVRGITLINSNDVKKQLVRAGNKIAEQLIRD</f>
        <v>#NAME?</v>
      </c>
    </row>
    <row r="4705" spans="1:32" hidden="1" x14ac:dyDescent="0.35">
      <c r="A4705">
        <v>4704</v>
      </c>
      <c r="B4705" t="s">
        <v>9840</v>
      </c>
      <c r="C4705" t="s">
        <v>10127</v>
      </c>
      <c r="D4705" t="s">
        <v>58</v>
      </c>
      <c r="E4705">
        <v>1158</v>
      </c>
      <c r="F4705">
        <v>5</v>
      </c>
      <c r="G4705">
        <v>5</v>
      </c>
      <c r="H4705">
        <v>1</v>
      </c>
      <c r="I4705">
        <v>1</v>
      </c>
      <c r="J4705">
        <v>0.71415845442904102</v>
      </c>
      <c r="K4705">
        <v>0.91707991994041704</v>
      </c>
      <c r="L4705">
        <v>0.80299775741325197</v>
      </c>
      <c r="M4705">
        <v>0.49390243902439002</v>
      </c>
      <c r="N4705">
        <v>0.99847560975609795</v>
      </c>
      <c r="O4705">
        <v>0.613719512195122</v>
      </c>
      <c r="P4705" t="s">
        <v>1606</v>
      </c>
      <c r="Q4705" t="s">
        <v>1607</v>
      </c>
      <c r="R4705" t="s">
        <v>1608</v>
      </c>
      <c r="S4705" t="s">
        <v>1609</v>
      </c>
      <c r="V4705" t="s">
        <v>1612</v>
      </c>
      <c r="W4705" t="s">
        <v>1613</v>
      </c>
      <c r="AF4705" t="s">
        <v>9841</v>
      </c>
    </row>
    <row r="4706" spans="1:32" hidden="1" x14ac:dyDescent="0.35">
      <c r="A4706">
        <v>4705</v>
      </c>
      <c r="B4706" t="s">
        <v>9840</v>
      </c>
      <c r="C4706" t="s">
        <v>10127</v>
      </c>
      <c r="D4706" t="s">
        <v>60</v>
      </c>
      <c r="E4706">
        <v>1585</v>
      </c>
      <c r="F4706">
        <v>5</v>
      </c>
      <c r="G4706">
        <v>5</v>
      </c>
      <c r="H4706">
        <v>1</v>
      </c>
      <c r="I4706">
        <v>1</v>
      </c>
      <c r="J4706">
        <v>0.71415845442904102</v>
      </c>
      <c r="K4706">
        <v>0.91707991994041704</v>
      </c>
      <c r="L4706">
        <v>0.80299775741325197</v>
      </c>
      <c r="M4706">
        <v>0.49390243902439002</v>
      </c>
      <c r="N4706">
        <v>0.99847560975609795</v>
      </c>
      <c r="O4706">
        <v>0.613719512195122</v>
      </c>
      <c r="P4706" t="s">
        <v>1606</v>
      </c>
      <c r="Q4706" t="s">
        <v>1607</v>
      </c>
      <c r="R4706" t="s">
        <v>1608</v>
      </c>
      <c r="S4706" t="s">
        <v>1609</v>
      </c>
      <c r="V4706" t="s">
        <v>1612</v>
      </c>
      <c r="W4706" t="s">
        <v>1613</v>
      </c>
      <c r="AF4706" t="s">
        <v>9842</v>
      </c>
    </row>
    <row r="4707" spans="1:32" hidden="1" x14ac:dyDescent="0.35">
      <c r="A4707">
        <v>4706</v>
      </c>
      <c r="B4707" t="s">
        <v>9840</v>
      </c>
      <c r="C4707" t="s">
        <v>10127</v>
      </c>
      <c r="D4707" t="s">
        <v>62</v>
      </c>
      <c r="E4707">
        <v>1621</v>
      </c>
      <c r="F4707">
        <v>5</v>
      </c>
      <c r="G4707">
        <v>5</v>
      </c>
      <c r="H4707">
        <v>1</v>
      </c>
      <c r="I4707">
        <v>1</v>
      </c>
      <c r="J4707">
        <v>0.71415845442904102</v>
      </c>
      <c r="K4707">
        <v>0.91707991994041704</v>
      </c>
      <c r="L4707">
        <v>0.80299775741325197</v>
      </c>
      <c r="M4707">
        <v>0.49390243902439002</v>
      </c>
      <c r="N4707">
        <v>0.99847560975609795</v>
      </c>
      <c r="O4707">
        <v>0.613719512195122</v>
      </c>
      <c r="P4707" t="s">
        <v>1606</v>
      </c>
      <c r="Q4707" t="s">
        <v>1607</v>
      </c>
      <c r="R4707" t="s">
        <v>1608</v>
      </c>
      <c r="S4707" t="s">
        <v>1609</v>
      </c>
      <c r="V4707" t="s">
        <v>1612</v>
      </c>
      <c r="W4707" t="s">
        <v>1613</v>
      </c>
      <c r="AF4707" t="s">
        <v>9843</v>
      </c>
    </row>
    <row r="4708" spans="1:32" hidden="1" x14ac:dyDescent="0.35">
      <c r="A4708">
        <v>4707</v>
      </c>
      <c r="B4708" t="s">
        <v>9840</v>
      </c>
      <c r="C4708" t="s">
        <v>10127</v>
      </c>
      <c r="D4708" t="s">
        <v>34</v>
      </c>
      <c r="E4708">
        <v>1981</v>
      </c>
      <c r="F4708">
        <v>5</v>
      </c>
      <c r="G4708">
        <v>5</v>
      </c>
      <c r="H4708">
        <v>1</v>
      </c>
      <c r="I4708">
        <v>1</v>
      </c>
      <c r="J4708">
        <v>0.71415845442904102</v>
      </c>
      <c r="K4708">
        <v>0.91707991994041704</v>
      </c>
      <c r="L4708">
        <v>0.80299775741325197</v>
      </c>
      <c r="M4708">
        <v>0.49390243902439002</v>
      </c>
      <c r="N4708">
        <v>0.99847560975609795</v>
      </c>
      <c r="O4708">
        <v>0.613719512195122</v>
      </c>
      <c r="P4708" t="s">
        <v>1606</v>
      </c>
      <c r="Q4708" t="s">
        <v>1607</v>
      </c>
      <c r="R4708" t="s">
        <v>1608</v>
      </c>
      <c r="S4708" t="s">
        <v>1609</v>
      </c>
      <c r="V4708" t="s">
        <v>1612</v>
      </c>
      <c r="W4708" t="s">
        <v>1613</v>
      </c>
      <c r="AF4708" t="s">
        <v>9844</v>
      </c>
    </row>
    <row r="4709" spans="1:32" hidden="1" x14ac:dyDescent="0.35">
      <c r="A4709">
        <v>4708</v>
      </c>
      <c r="B4709" t="s">
        <v>9840</v>
      </c>
      <c r="C4709" t="s">
        <v>10127</v>
      </c>
      <c r="D4709" t="s">
        <v>45</v>
      </c>
      <c r="E4709">
        <v>892</v>
      </c>
      <c r="F4709">
        <v>5</v>
      </c>
      <c r="G4709">
        <v>5</v>
      </c>
      <c r="H4709">
        <v>1</v>
      </c>
      <c r="I4709">
        <v>1</v>
      </c>
      <c r="J4709">
        <v>0.71415845442904102</v>
      </c>
      <c r="K4709">
        <v>0.91707991994041704</v>
      </c>
      <c r="L4709">
        <v>0.80299775741325197</v>
      </c>
      <c r="M4709">
        <v>0.49390243902439002</v>
      </c>
      <c r="N4709">
        <v>0.99847560975609795</v>
      </c>
      <c r="O4709">
        <v>0.613719512195122</v>
      </c>
      <c r="P4709" t="s">
        <v>1606</v>
      </c>
      <c r="Q4709" t="s">
        <v>1607</v>
      </c>
      <c r="R4709" t="s">
        <v>1608</v>
      </c>
      <c r="S4709" t="s">
        <v>1609</v>
      </c>
      <c r="V4709" t="s">
        <v>1612</v>
      </c>
      <c r="W4709" t="s">
        <v>1613</v>
      </c>
      <c r="AF4709" t="s">
        <v>9845</v>
      </c>
    </row>
    <row r="4710" spans="1:32" hidden="1" x14ac:dyDescent="0.35">
      <c r="A4710">
        <v>4709</v>
      </c>
      <c r="B4710" t="s">
        <v>9846</v>
      </c>
      <c r="C4710" t="s">
        <v>10127</v>
      </c>
      <c r="D4710" t="s">
        <v>58</v>
      </c>
      <c r="E4710">
        <v>1014</v>
      </c>
      <c r="F4710">
        <v>5</v>
      </c>
      <c r="G4710">
        <v>5</v>
      </c>
      <c r="H4710">
        <v>1</v>
      </c>
      <c r="I4710">
        <v>1</v>
      </c>
      <c r="J4710">
        <v>0.84732150736916401</v>
      </c>
      <c r="K4710">
        <v>0.96428767159037398</v>
      </c>
      <c r="L4710">
        <v>0.90202864162867702</v>
      </c>
      <c r="M4710">
        <v>0.70663265306122403</v>
      </c>
      <c r="N4710">
        <v>0.98979591836734704</v>
      </c>
      <c r="O4710">
        <v>0.79591836734693899</v>
      </c>
      <c r="P4710" t="s">
        <v>9847</v>
      </c>
      <c r="Q4710" t="s">
        <v>9848</v>
      </c>
      <c r="R4710" t="s">
        <v>9280</v>
      </c>
      <c r="S4710" t="s">
        <v>9281</v>
      </c>
      <c r="T4710" t="s">
        <v>9849</v>
      </c>
      <c r="U4710" t="s">
        <v>9850</v>
      </c>
      <c r="V4710" t="s">
        <v>9851</v>
      </c>
      <c r="W4710" t="s">
        <v>9852</v>
      </c>
      <c r="X4710" t="s">
        <v>9851</v>
      </c>
      <c r="Y4710" t="s">
        <v>2932</v>
      </c>
      <c r="Z4710" t="s">
        <v>9286</v>
      </c>
      <c r="AA4710" t="s">
        <v>9287</v>
      </c>
      <c r="AB4710" t="s">
        <v>9286</v>
      </c>
      <c r="AC4710" t="s">
        <v>9288</v>
      </c>
      <c r="AD4710" t="s">
        <v>951</v>
      </c>
      <c r="AE4710" t="s">
        <v>9289</v>
      </c>
      <c r="AF4710" t="s">
        <v>9853</v>
      </c>
    </row>
    <row r="4711" spans="1:32" hidden="1" x14ac:dyDescent="0.35">
      <c r="A4711">
        <v>4710</v>
      </c>
      <c r="B4711" t="s">
        <v>9846</v>
      </c>
      <c r="C4711" t="s">
        <v>10127</v>
      </c>
      <c r="D4711" t="s">
        <v>60</v>
      </c>
      <c r="E4711">
        <v>1379</v>
      </c>
      <c r="F4711">
        <v>5</v>
      </c>
      <c r="G4711">
        <v>5</v>
      </c>
      <c r="H4711">
        <v>1</v>
      </c>
      <c r="I4711">
        <v>1</v>
      </c>
      <c r="J4711">
        <v>0.84732150736916401</v>
      </c>
      <c r="K4711">
        <v>0.96428767159037398</v>
      </c>
      <c r="L4711">
        <v>0.90202864162867702</v>
      </c>
      <c r="M4711">
        <v>0.70663265306122403</v>
      </c>
      <c r="N4711">
        <v>0.98979591836734704</v>
      </c>
      <c r="O4711">
        <v>0.79591836734693899</v>
      </c>
      <c r="P4711" t="s">
        <v>9847</v>
      </c>
      <c r="Q4711" t="s">
        <v>9848</v>
      </c>
      <c r="R4711" t="s">
        <v>9280</v>
      </c>
      <c r="S4711" t="s">
        <v>9281</v>
      </c>
      <c r="T4711" t="s">
        <v>9849</v>
      </c>
      <c r="U4711" t="s">
        <v>9850</v>
      </c>
      <c r="V4711" t="s">
        <v>9851</v>
      </c>
      <c r="W4711" t="s">
        <v>9852</v>
      </c>
      <c r="X4711" t="s">
        <v>9851</v>
      </c>
      <c r="Y4711" t="s">
        <v>2932</v>
      </c>
      <c r="Z4711" t="s">
        <v>9286</v>
      </c>
      <c r="AA4711" t="s">
        <v>9287</v>
      </c>
      <c r="AB4711" t="s">
        <v>9286</v>
      </c>
      <c r="AC4711" t="s">
        <v>9288</v>
      </c>
      <c r="AD4711" t="s">
        <v>951</v>
      </c>
      <c r="AE4711" t="s">
        <v>9289</v>
      </c>
      <c r="AF4711" t="s">
        <v>9854</v>
      </c>
    </row>
    <row r="4712" spans="1:32" hidden="1" x14ac:dyDescent="0.35">
      <c r="A4712">
        <v>4711</v>
      </c>
      <c r="B4712" t="s">
        <v>9846</v>
      </c>
      <c r="C4712" t="s">
        <v>10127</v>
      </c>
      <c r="D4712" t="s">
        <v>62</v>
      </c>
      <c r="E4712">
        <v>1414</v>
      </c>
      <c r="F4712">
        <v>5</v>
      </c>
      <c r="G4712">
        <v>5</v>
      </c>
      <c r="H4712">
        <v>1</v>
      </c>
      <c r="I4712">
        <v>1</v>
      </c>
      <c r="J4712">
        <v>0.84732150736916401</v>
      </c>
      <c r="K4712">
        <v>0.96428767159037398</v>
      </c>
      <c r="L4712">
        <v>0.90202864162867702</v>
      </c>
      <c r="M4712">
        <v>0.70663265306122403</v>
      </c>
      <c r="N4712">
        <v>0.98979591836734704</v>
      </c>
      <c r="O4712">
        <v>0.79591836734693899</v>
      </c>
      <c r="P4712" t="s">
        <v>9847</v>
      </c>
      <c r="Q4712" t="s">
        <v>9848</v>
      </c>
      <c r="R4712" t="s">
        <v>9280</v>
      </c>
      <c r="S4712" t="s">
        <v>9281</v>
      </c>
      <c r="T4712" t="s">
        <v>9849</v>
      </c>
      <c r="U4712" t="s">
        <v>9850</v>
      </c>
      <c r="V4712" t="s">
        <v>9851</v>
      </c>
      <c r="W4712" t="s">
        <v>9852</v>
      </c>
      <c r="X4712" t="s">
        <v>9851</v>
      </c>
      <c r="Y4712" t="s">
        <v>2932</v>
      </c>
      <c r="Z4712" t="s">
        <v>9286</v>
      </c>
      <c r="AA4712" t="s">
        <v>9287</v>
      </c>
      <c r="AB4712" t="s">
        <v>9286</v>
      </c>
      <c r="AC4712" t="s">
        <v>9288</v>
      </c>
      <c r="AD4712" t="s">
        <v>951</v>
      </c>
      <c r="AE4712" t="s">
        <v>9289</v>
      </c>
      <c r="AF4712" t="s">
        <v>9855</v>
      </c>
    </row>
    <row r="4713" spans="1:32" hidden="1" x14ac:dyDescent="0.35">
      <c r="A4713">
        <v>4712</v>
      </c>
      <c r="B4713" t="s">
        <v>9846</v>
      </c>
      <c r="C4713" t="s">
        <v>10127</v>
      </c>
      <c r="D4713" t="s">
        <v>34</v>
      </c>
      <c r="E4713">
        <v>1806</v>
      </c>
      <c r="F4713">
        <v>5</v>
      </c>
      <c r="G4713">
        <v>5</v>
      </c>
      <c r="H4713">
        <v>1</v>
      </c>
      <c r="I4713">
        <v>1</v>
      </c>
      <c r="J4713">
        <v>0.84732150736916401</v>
      </c>
      <c r="K4713">
        <v>0.96428767159037398</v>
      </c>
      <c r="L4713">
        <v>0.90202864162867702</v>
      </c>
      <c r="M4713">
        <v>0.70663265306122403</v>
      </c>
      <c r="N4713">
        <v>0.98979591836734704</v>
      </c>
      <c r="O4713">
        <v>0.79591836734693899</v>
      </c>
      <c r="P4713" t="s">
        <v>9847</v>
      </c>
      <c r="Q4713" t="s">
        <v>9848</v>
      </c>
      <c r="R4713" t="s">
        <v>9280</v>
      </c>
      <c r="S4713" t="s">
        <v>9281</v>
      </c>
      <c r="T4713" t="s">
        <v>9849</v>
      </c>
      <c r="U4713" t="s">
        <v>9850</v>
      </c>
      <c r="V4713" t="s">
        <v>9851</v>
      </c>
      <c r="W4713" t="s">
        <v>9852</v>
      </c>
      <c r="X4713" t="s">
        <v>9851</v>
      </c>
      <c r="Y4713" t="s">
        <v>2932</v>
      </c>
      <c r="Z4713" t="s">
        <v>9286</v>
      </c>
      <c r="AA4713" t="s">
        <v>9287</v>
      </c>
      <c r="AB4713" t="s">
        <v>9286</v>
      </c>
      <c r="AC4713" t="s">
        <v>9288</v>
      </c>
      <c r="AD4713" t="s">
        <v>951</v>
      </c>
      <c r="AE4713" t="s">
        <v>9289</v>
      </c>
      <c r="AF4713" t="s">
        <v>9856</v>
      </c>
    </row>
    <row r="4714" spans="1:32" hidden="1" x14ac:dyDescent="0.35">
      <c r="A4714">
        <v>4713</v>
      </c>
      <c r="B4714" t="s">
        <v>9846</v>
      </c>
      <c r="C4714" t="s">
        <v>10127</v>
      </c>
      <c r="D4714" t="s">
        <v>45</v>
      </c>
      <c r="E4714">
        <v>1067</v>
      </c>
      <c r="F4714">
        <v>5</v>
      </c>
      <c r="G4714">
        <v>5</v>
      </c>
      <c r="H4714">
        <v>1</v>
      </c>
      <c r="I4714">
        <v>1</v>
      </c>
      <c r="J4714">
        <v>0.84732150736916401</v>
      </c>
      <c r="K4714">
        <v>0.96428767159037398</v>
      </c>
      <c r="L4714">
        <v>0.90202864162867702</v>
      </c>
      <c r="M4714">
        <v>0.70663265306122403</v>
      </c>
      <c r="N4714">
        <v>0.98979591836734704</v>
      </c>
      <c r="O4714">
        <v>0.79591836734693899</v>
      </c>
      <c r="P4714" t="s">
        <v>9847</v>
      </c>
      <c r="Q4714" t="s">
        <v>9848</v>
      </c>
      <c r="R4714" t="s">
        <v>9280</v>
      </c>
      <c r="S4714" t="s">
        <v>9281</v>
      </c>
      <c r="T4714" t="s">
        <v>9849</v>
      </c>
      <c r="U4714" t="s">
        <v>9850</v>
      </c>
      <c r="V4714" t="s">
        <v>9851</v>
      </c>
      <c r="W4714" t="s">
        <v>9852</v>
      </c>
      <c r="X4714" t="s">
        <v>9851</v>
      </c>
      <c r="Y4714" t="s">
        <v>2932</v>
      </c>
      <c r="Z4714" t="s">
        <v>9286</v>
      </c>
      <c r="AA4714" t="s">
        <v>9287</v>
      </c>
      <c r="AB4714" t="s">
        <v>9286</v>
      </c>
      <c r="AC4714" t="s">
        <v>9288</v>
      </c>
      <c r="AD4714" t="s">
        <v>951</v>
      </c>
      <c r="AE4714" t="s">
        <v>9289</v>
      </c>
      <c r="AF4714" t="s">
        <v>9857</v>
      </c>
    </row>
    <row r="4715" spans="1:32" hidden="1" x14ac:dyDescent="0.35">
      <c r="A4715">
        <v>5288</v>
      </c>
      <c r="B4715" t="s">
        <v>10974</v>
      </c>
      <c r="C4715" t="s">
        <v>10127</v>
      </c>
      <c r="D4715" t="s">
        <v>60</v>
      </c>
      <c r="E4715">
        <v>1482</v>
      </c>
      <c r="F4715">
        <v>4</v>
      </c>
      <c r="G4715">
        <v>4</v>
      </c>
      <c r="H4715">
        <v>1</v>
      </c>
      <c r="I4715">
        <v>0</v>
      </c>
      <c r="J4715">
        <v>0.75025960539979197</v>
      </c>
      <c r="K4715">
        <v>1</v>
      </c>
      <c r="L4715">
        <v>0.85731237021655304</v>
      </c>
      <c r="M4715">
        <v>0.52647975077881604</v>
      </c>
      <c r="N4715">
        <v>1</v>
      </c>
      <c r="O4715">
        <v>0.68380062305295997</v>
      </c>
      <c r="P4715" t="s">
        <v>1016</v>
      </c>
      <c r="Q4715" t="s">
        <v>1017</v>
      </c>
      <c r="R4715" t="s">
        <v>319</v>
      </c>
      <c r="S4715" t="s">
        <v>320</v>
      </c>
      <c r="T4715" t="s">
        <v>10975</v>
      </c>
      <c r="U4715" t="s">
        <v>10976</v>
      </c>
      <c r="V4715" t="s">
        <v>10977</v>
      </c>
      <c r="W4715" t="s">
        <v>10978</v>
      </c>
      <c r="AD4715" t="s">
        <v>245</v>
      </c>
      <c r="AE4715" t="s">
        <v>10979</v>
      </c>
      <c r="AF4715" t="s">
        <v>10980</v>
      </c>
    </row>
    <row r="4716" spans="1:32" hidden="1" x14ac:dyDescent="0.35">
      <c r="A4716">
        <v>5289</v>
      </c>
      <c r="B4716" t="s">
        <v>10974</v>
      </c>
      <c r="C4716" t="s">
        <v>10127</v>
      </c>
      <c r="D4716" t="s">
        <v>62</v>
      </c>
      <c r="E4716">
        <v>1517</v>
      </c>
      <c r="F4716">
        <v>4</v>
      </c>
      <c r="G4716">
        <v>4</v>
      </c>
      <c r="H4716">
        <v>1</v>
      </c>
      <c r="I4716">
        <v>0</v>
      </c>
      <c r="J4716">
        <v>0.75025960539979197</v>
      </c>
      <c r="K4716">
        <v>1</v>
      </c>
      <c r="L4716">
        <v>0.85731237021655304</v>
      </c>
      <c r="M4716">
        <v>0.52647975077881604</v>
      </c>
      <c r="N4716">
        <v>1</v>
      </c>
      <c r="O4716">
        <v>0.68380062305295997</v>
      </c>
      <c r="P4716" t="s">
        <v>1016</v>
      </c>
      <c r="Q4716" t="s">
        <v>1017</v>
      </c>
      <c r="R4716" t="s">
        <v>319</v>
      </c>
      <c r="S4716" t="s">
        <v>320</v>
      </c>
      <c r="T4716" t="s">
        <v>10975</v>
      </c>
      <c r="U4716" t="s">
        <v>10976</v>
      </c>
      <c r="V4716" t="s">
        <v>10977</v>
      </c>
      <c r="W4716" t="s">
        <v>10978</v>
      </c>
      <c r="AD4716" t="s">
        <v>245</v>
      </c>
      <c r="AE4716" t="s">
        <v>10979</v>
      </c>
      <c r="AF4716" t="s">
        <v>10980</v>
      </c>
    </row>
    <row r="4717" spans="1:32" hidden="1" x14ac:dyDescent="0.35">
      <c r="A4717">
        <v>5290</v>
      </c>
      <c r="B4717" t="s">
        <v>10974</v>
      </c>
      <c r="C4717" t="s">
        <v>10127</v>
      </c>
      <c r="D4717" t="s">
        <v>34</v>
      </c>
      <c r="E4717">
        <v>1908</v>
      </c>
      <c r="F4717">
        <v>4</v>
      </c>
      <c r="G4717">
        <v>4</v>
      </c>
      <c r="H4717">
        <v>1</v>
      </c>
      <c r="I4717">
        <v>0</v>
      </c>
      <c r="J4717">
        <v>0.75025960539979197</v>
      </c>
      <c r="K4717">
        <v>1</v>
      </c>
      <c r="L4717">
        <v>0.85731237021655304</v>
      </c>
      <c r="M4717">
        <v>0.52647975077881604</v>
      </c>
      <c r="N4717">
        <v>1</v>
      </c>
      <c r="O4717">
        <v>0.68380062305295997</v>
      </c>
      <c r="P4717" t="s">
        <v>1016</v>
      </c>
      <c r="Q4717" t="s">
        <v>1017</v>
      </c>
      <c r="R4717" t="s">
        <v>319</v>
      </c>
      <c r="S4717" t="s">
        <v>320</v>
      </c>
      <c r="T4717" t="s">
        <v>10975</v>
      </c>
      <c r="U4717" t="s">
        <v>10976</v>
      </c>
      <c r="V4717" t="s">
        <v>10977</v>
      </c>
      <c r="W4717" t="s">
        <v>10978</v>
      </c>
      <c r="AD4717" t="s">
        <v>245</v>
      </c>
      <c r="AE4717" t="s">
        <v>10979</v>
      </c>
      <c r="AF4717" t="s">
        <v>10981</v>
      </c>
    </row>
    <row r="4718" spans="1:32" hidden="1" x14ac:dyDescent="0.35">
      <c r="A4718">
        <v>5291</v>
      </c>
      <c r="B4718" t="s">
        <v>10974</v>
      </c>
      <c r="C4718" t="s">
        <v>10127</v>
      </c>
      <c r="D4718" t="s">
        <v>45</v>
      </c>
      <c r="E4718">
        <v>966</v>
      </c>
      <c r="F4718">
        <v>4</v>
      </c>
      <c r="G4718">
        <v>4</v>
      </c>
      <c r="H4718">
        <v>1</v>
      </c>
      <c r="I4718">
        <v>0</v>
      </c>
      <c r="J4718">
        <v>0.75025960539979197</v>
      </c>
      <c r="K4718">
        <v>1</v>
      </c>
      <c r="L4718">
        <v>0.85731237021655304</v>
      </c>
      <c r="M4718">
        <v>0.52647975077881604</v>
      </c>
      <c r="N4718">
        <v>1</v>
      </c>
      <c r="O4718">
        <v>0.68380062305295997</v>
      </c>
      <c r="P4718" t="s">
        <v>1016</v>
      </c>
      <c r="Q4718" t="s">
        <v>1017</v>
      </c>
      <c r="R4718" t="s">
        <v>319</v>
      </c>
      <c r="S4718" t="s">
        <v>320</v>
      </c>
      <c r="T4718" t="s">
        <v>10975</v>
      </c>
      <c r="U4718" t="s">
        <v>10976</v>
      </c>
      <c r="V4718" t="s">
        <v>10977</v>
      </c>
      <c r="W4718" t="s">
        <v>10978</v>
      </c>
      <c r="AD4718" t="s">
        <v>245</v>
      </c>
      <c r="AE4718" t="s">
        <v>10979</v>
      </c>
      <c r="AF4718" t="s">
        <v>10982</v>
      </c>
    </row>
    <row r="4719" spans="1:32" hidden="1" x14ac:dyDescent="0.35">
      <c r="A4719">
        <v>5316</v>
      </c>
      <c r="B4719" t="s">
        <v>11030</v>
      </c>
      <c r="C4719" t="s">
        <v>10127</v>
      </c>
      <c r="D4719" t="s">
        <v>60</v>
      </c>
      <c r="E4719">
        <v>2286</v>
      </c>
      <c r="F4719">
        <v>4</v>
      </c>
      <c r="G4719">
        <v>4</v>
      </c>
      <c r="H4719">
        <v>1</v>
      </c>
      <c r="I4719">
        <v>0</v>
      </c>
      <c r="J4719">
        <v>0.803538175046555</v>
      </c>
      <c r="K4719">
        <v>0.994455592716463</v>
      </c>
      <c r="L4719">
        <v>0.88886073629766804</v>
      </c>
      <c r="M4719">
        <v>0.61</v>
      </c>
      <c r="N4719">
        <v>1</v>
      </c>
      <c r="O4719">
        <v>0.73944444444444402</v>
      </c>
      <c r="P4719" t="s">
        <v>1016</v>
      </c>
      <c r="Q4719" t="s">
        <v>1017</v>
      </c>
      <c r="R4719" t="s">
        <v>319</v>
      </c>
      <c r="S4719" t="s">
        <v>320</v>
      </c>
      <c r="T4719" t="s">
        <v>11031</v>
      </c>
      <c r="U4719" t="s">
        <v>11032</v>
      </c>
      <c r="V4719" t="s">
        <v>1020</v>
      </c>
      <c r="W4719" t="s">
        <v>1021</v>
      </c>
      <c r="X4719" t="s">
        <v>1020</v>
      </c>
      <c r="Y4719" t="s">
        <v>1022</v>
      </c>
      <c r="AD4719" t="s">
        <v>951</v>
      </c>
      <c r="AE4719" t="s">
        <v>11033</v>
      </c>
      <c r="AF4719" t="s">
        <v>11034</v>
      </c>
    </row>
    <row r="4720" spans="1:32" hidden="1" x14ac:dyDescent="0.35">
      <c r="A4720">
        <v>5317</v>
      </c>
      <c r="B4720" t="s">
        <v>11030</v>
      </c>
      <c r="C4720" t="s">
        <v>10127</v>
      </c>
      <c r="D4720" t="s">
        <v>62</v>
      </c>
      <c r="E4720">
        <v>2315</v>
      </c>
      <c r="F4720">
        <v>4</v>
      </c>
      <c r="G4720">
        <v>4</v>
      </c>
      <c r="H4720">
        <v>1</v>
      </c>
      <c r="I4720">
        <v>0</v>
      </c>
      <c r="J4720">
        <v>0.803538175046555</v>
      </c>
      <c r="K4720">
        <v>0.994455592716463</v>
      </c>
      <c r="L4720">
        <v>0.88886073629766804</v>
      </c>
      <c r="M4720">
        <v>0.61</v>
      </c>
      <c r="N4720">
        <v>1</v>
      </c>
      <c r="O4720">
        <v>0.73944444444444402</v>
      </c>
      <c r="P4720" t="s">
        <v>1016</v>
      </c>
      <c r="Q4720" t="s">
        <v>1017</v>
      </c>
      <c r="R4720" t="s">
        <v>319</v>
      </c>
      <c r="S4720" t="s">
        <v>320</v>
      </c>
      <c r="T4720" t="s">
        <v>11031</v>
      </c>
      <c r="U4720" t="s">
        <v>11032</v>
      </c>
      <c r="V4720" t="s">
        <v>1020</v>
      </c>
      <c r="W4720" t="s">
        <v>1021</v>
      </c>
      <c r="X4720" t="s">
        <v>1020</v>
      </c>
      <c r="Y4720" t="s">
        <v>1022</v>
      </c>
      <c r="AD4720" t="s">
        <v>951</v>
      </c>
      <c r="AE4720" t="s">
        <v>11033</v>
      </c>
      <c r="AF4720" t="s">
        <v>11034</v>
      </c>
    </row>
    <row r="4721" spans="1:32" hidden="1" x14ac:dyDescent="0.35">
      <c r="A4721">
        <v>5318</v>
      </c>
      <c r="B4721" t="s">
        <v>11030</v>
      </c>
      <c r="C4721" t="s">
        <v>10127</v>
      </c>
      <c r="D4721" t="s">
        <v>34</v>
      </c>
      <c r="E4721">
        <v>1507</v>
      </c>
      <c r="F4721">
        <v>4</v>
      </c>
      <c r="G4721">
        <v>4</v>
      </c>
      <c r="H4721">
        <v>1</v>
      </c>
      <c r="I4721">
        <v>0</v>
      </c>
      <c r="J4721">
        <v>0.803538175046555</v>
      </c>
      <c r="K4721">
        <v>0.994455592716463</v>
      </c>
      <c r="L4721">
        <v>0.88886073629766804</v>
      </c>
      <c r="M4721">
        <v>0.61</v>
      </c>
      <c r="N4721">
        <v>1</v>
      </c>
      <c r="O4721">
        <v>0.73944444444444402</v>
      </c>
      <c r="P4721" t="s">
        <v>1016</v>
      </c>
      <c r="Q4721" t="s">
        <v>1017</v>
      </c>
      <c r="R4721" t="s">
        <v>319</v>
      </c>
      <c r="S4721" t="s">
        <v>320</v>
      </c>
      <c r="T4721" t="s">
        <v>11031</v>
      </c>
      <c r="U4721" t="s">
        <v>11032</v>
      </c>
      <c r="V4721" t="s">
        <v>1020</v>
      </c>
      <c r="W4721" t="s">
        <v>1021</v>
      </c>
      <c r="X4721" t="s">
        <v>1020</v>
      </c>
      <c r="Y4721" t="s">
        <v>1022</v>
      </c>
      <c r="AD4721" t="s">
        <v>951</v>
      </c>
      <c r="AE4721" t="s">
        <v>11033</v>
      </c>
      <c r="AF4721" t="s">
        <v>11035</v>
      </c>
    </row>
    <row r="4722" spans="1:32" hidden="1" x14ac:dyDescent="0.35">
      <c r="A4722">
        <v>5319</v>
      </c>
      <c r="B4722" t="s">
        <v>11030</v>
      </c>
      <c r="C4722" t="s">
        <v>10127</v>
      </c>
      <c r="D4722" t="s">
        <v>45</v>
      </c>
      <c r="E4722">
        <v>257</v>
      </c>
      <c r="F4722">
        <v>4</v>
      </c>
      <c r="G4722">
        <v>4</v>
      </c>
      <c r="H4722">
        <v>1</v>
      </c>
      <c r="I4722">
        <v>0</v>
      </c>
      <c r="J4722">
        <v>0.803538175046555</v>
      </c>
      <c r="K4722">
        <v>0.994455592716463</v>
      </c>
      <c r="L4722">
        <v>0.88886073629766804</v>
      </c>
      <c r="M4722">
        <v>0.61</v>
      </c>
      <c r="N4722">
        <v>1</v>
      </c>
      <c r="O4722">
        <v>0.73944444444444402</v>
      </c>
      <c r="P4722" t="s">
        <v>1016</v>
      </c>
      <c r="Q4722" t="s">
        <v>1017</v>
      </c>
      <c r="R4722" t="s">
        <v>319</v>
      </c>
      <c r="S4722" t="s">
        <v>320</v>
      </c>
      <c r="T4722" t="s">
        <v>11031</v>
      </c>
      <c r="U4722" t="s">
        <v>11032</v>
      </c>
      <c r="V4722" t="s">
        <v>1020</v>
      </c>
      <c r="W4722" t="s">
        <v>1021</v>
      </c>
      <c r="X4722" t="s">
        <v>1020</v>
      </c>
      <c r="Y4722" t="s">
        <v>1022</v>
      </c>
      <c r="AD4722" t="s">
        <v>951</v>
      </c>
      <c r="AE4722" t="s">
        <v>11033</v>
      </c>
      <c r="AF4722" t="s">
        <v>11036</v>
      </c>
    </row>
    <row r="4723" spans="1:32" hidden="1" x14ac:dyDescent="0.35">
      <c r="A4723">
        <v>5324</v>
      </c>
      <c r="B4723" t="s">
        <v>11041</v>
      </c>
      <c r="C4723" t="s">
        <v>10127</v>
      </c>
      <c r="D4723" t="s">
        <v>60</v>
      </c>
      <c r="E4723">
        <v>1741</v>
      </c>
      <c r="F4723">
        <v>4</v>
      </c>
      <c r="G4723">
        <v>4</v>
      </c>
      <c r="H4723">
        <v>1</v>
      </c>
      <c r="I4723">
        <v>0</v>
      </c>
      <c r="J4723">
        <v>0.79450362822294296</v>
      </c>
      <c r="K4723">
        <v>0.90438175394846199</v>
      </c>
      <c r="L4723">
        <v>0.84588941944076002</v>
      </c>
      <c r="M4723">
        <v>0.50872817955112204</v>
      </c>
      <c r="N4723">
        <v>1</v>
      </c>
      <c r="O4723">
        <v>0.66957605985037405</v>
      </c>
      <c r="P4723" t="s">
        <v>4358</v>
      </c>
      <c r="Q4723" t="s">
        <v>4359</v>
      </c>
      <c r="R4723" t="s">
        <v>319</v>
      </c>
      <c r="S4723" t="s">
        <v>320</v>
      </c>
      <c r="V4723" t="s">
        <v>4360</v>
      </c>
      <c r="W4723" t="s">
        <v>4361</v>
      </c>
      <c r="AF4723" t="e">
        <f>-----------------------------MTFAVGTDTFILAGLLKEIGSDLHVSTTTAAQLVTIFSITFACCAPILSTL---IRPSHALRAGLVIFILGNAFTALAPTFGVALGARVLTAVGASMLTPSASAITAAITPPEQRGRALAFVMNGLMTATALGVPAGLILGNANWRHTVWILAILGLIALIANLLVVPAVDMPPTT-RARRVPLHALIV---IATTILVVGANMQVFTYAQVITGLTGKWLIACLTAFGVFTVIGNIAAGRLTDSRGPLFTVVTSIVGLMI----ILLAAPLLPPLLLLSINGFFGGMFTVPQQARIVAINPT----LLGLLSSAVYIGFATSSALGKVVIDNIGPYAITWTAAALLIIPLTLCY----PRWNFGYNRKHQR</f>
        <v>#NAME?</v>
      </c>
    </row>
    <row r="4724" spans="1:32" hidden="1" x14ac:dyDescent="0.35">
      <c r="A4724">
        <v>5325</v>
      </c>
      <c r="B4724" t="s">
        <v>11041</v>
      </c>
      <c r="C4724" t="s">
        <v>10127</v>
      </c>
      <c r="D4724" t="s">
        <v>62</v>
      </c>
      <c r="E4724">
        <v>1777</v>
      </c>
      <c r="F4724">
        <v>4</v>
      </c>
      <c r="G4724">
        <v>4</v>
      </c>
      <c r="H4724">
        <v>1</v>
      </c>
      <c r="I4724">
        <v>0</v>
      </c>
      <c r="J4724">
        <v>0.79450362822294296</v>
      </c>
      <c r="K4724">
        <v>0.90438175394846199</v>
      </c>
      <c r="L4724">
        <v>0.84588941944076002</v>
      </c>
      <c r="M4724">
        <v>0.50872817955112204</v>
      </c>
      <c r="N4724">
        <v>1</v>
      </c>
      <c r="O4724">
        <v>0.66957605985037405</v>
      </c>
      <c r="P4724" t="s">
        <v>4358</v>
      </c>
      <c r="Q4724" t="s">
        <v>4359</v>
      </c>
      <c r="R4724" t="s">
        <v>319</v>
      </c>
      <c r="S4724" t="s">
        <v>320</v>
      </c>
      <c r="V4724" t="s">
        <v>4360</v>
      </c>
      <c r="W4724" t="s">
        <v>4361</v>
      </c>
      <c r="AF4724" t="e">
        <f>-----------------------------MTFAVGTDTFILAGLLKEIGSDLHVSTTTAAQLVTIFSITFACCAPILSTL---IRPSHALRAGLVIFILGNAFTALAPTFGVALGARVLTAVGASMLTPSASAITAAITPPEQRGRALAFVMNGLMTATALGVPAGLILGNANWRHTVWILAILGLIALIANLLVVPAVDMPPTT-RARRVPLHALIV---IATTILVVGANMQVFTYAQVITGLTGKWLIACLTAFGVFTVIGNIAAGRLTDSRGPLFTVVTSIVGLMI----ILLAAPLLPPLLLLSINGFFGGMFTVPQQARIVAINPT----LLGLLSSAVYIGFATSSALGKVVIDNIGPYAITWTAAALLIIPLTLCY----PRWNFGYNRKHQR</f>
        <v>#NAME?</v>
      </c>
    </row>
    <row r="4725" spans="1:32" hidden="1" x14ac:dyDescent="0.35">
      <c r="A4725">
        <v>5326</v>
      </c>
      <c r="B4725" t="s">
        <v>11041</v>
      </c>
      <c r="C4725" t="s">
        <v>10127</v>
      </c>
      <c r="D4725" t="s">
        <v>34</v>
      </c>
      <c r="E4725">
        <v>992</v>
      </c>
      <c r="F4725">
        <v>4</v>
      </c>
      <c r="G4725">
        <v>4</v>
      </c>
      <c r="H4725">
        <v>1</v>
      </c>
      <c r="I4725">
        <v>0</v>
      </c>
      <c r="J4725">
        <v>0.79450362822294296</v>
      </c>
      <c r="K4725">
        <v>0.90438175394846199</v>
      </c>
      <c r="L4725">
        <v>0.84588941944076002</v>
      </c>
      <c r="M4725">
        <v>0.50872817955112204</v>
      </c>
      <c r="N4725">
        <v>1</v>
      </c>
      <c r="O4725">
        <v>0.66957605985037405</v>
      </c>
      <c r="P4725" t="s">
        <v>4358</v>
      </c>
      <c r="Q4725" t="s">
        <v>4359</v>
      </c>
      <c r="R4725" t="s">
        <v>319</v>
      </c>
      <c r="S4725" t="s">
        <v>320</v>
      </c>
      <c r="V4725" t="s">
        <v>4360</v>
      </c>
      <c r="W4725" t="s">
        <v>4361</v>
      </c>
      <c r="AF4725" t="s">
        <v>11042</v>
      </c>
    </row>
    <row r="4726" spans="1:32" hidden="1" x14ac:dyDescent="0.35">
      <c r="A4726">
        <v>5327</v>
      </c>
      <c r="B4726" t="s">
        <v>11041</v>
      </c>
      <c r="C4726" t="s">
        <v>10127</v>
      </c>
      <c r="D4726" t="s">
        <v>45</v>
      </c>
      <c r="E4726">
        <v>2246</v>
      </c>
      <c r="F4726">
        <v>4</v>
      </c>
      <c r="G4726">
        <v>4</v>
      </c>
      <c r="H4726">
        <v>1</v>
      </c>
      <c r="I4726">
        <v>0</v>
      </c>
      <c r="J4726">
        <v>0.79450362822294296</v>
      </c>
      <c r="K4726">
        <v>0.90438175394846199</v>
      </c>
      <c r="L4726">
        <v>0.84588941944076002</v>
      </c>
      <c r="M4726">
        <v>0.50872817955112204</v>
      </c>
      <c r="N4726">
        <v>1</v>
      </c>
      <c r="O4726">
        <v>0.66957605985037405</v>
      </c>
      <c r="P4726" t="s">
        <v>4358</v>
      </c>
      <c r="Q4726" t="s">
        <v>4359</v>
      </c>
      <c r="R4726" t="s">
        <v>319</v>
      </c>
      <c r="S4726" t="s">
        <v>320</v>
      </c>
      <c r="V4726" t="s">
        <v>4360</v>
      </c>
      <c r="W4726" t="s">
        <v>4361</v>
      </c>
      <c r="AF4726" t="s">
        <v>11043</v>
      </c>
    </row>
    <row r="4727" spans="1:32" hidden="1" x14ac:dyDescent="0.35">
      <c r="A4727">
        <v>5356</v>
      </c>
      <c r="B4727" t="s">
        <v>11094</v>
      </c>
      <c r="C4727" t="s">
        <v>10127</v>
      </c>
      <c r="D4727" t="s">
        <v>60</v>
      </c>
      <c r="E4727">
        <v>1221</v>
      </c>
      <c r="F4727">
        <v>4</v>
      </c>
      <c r="G4727">
        <v>4</v>
      </c>
      <c r="H4727">
        <v>1</v>
      </c>
      <c r="I4727">
        <v>0</v>
      </c>
      <c r="J4727">
        <v>0.80514619883040905</v>
      </c>
      <c r="K4727">
        <v>0.933379651073029</v>
      </c>
      <c r="L4727">
        <v>0.86453368314177603</v>
      </c>
      <c r="M4727">
        <v>0.57254901960784299</v>
      </c>
      <c r="N4727">
        <v>1</v>
      </c>
      <c r="O4727">
        <v>0.71437908496732005</v>
      </c>
      <c r="P4727" t="s">
        <v>155</v>
      </c>
      <c r="Q4727" t="s">
        <v>156</v>
      </c>
      <c r="R4727" t="s">
        <v>319</v>
      </c>
      <c r="S4727" t="s">
        <v>320</v>
      </c>
      <c r="T4727" t="s">
        <v>11095</v>
      </c>
      <c r="U4727" t="s">
        <v>11096</v>
      </c>
      <c r="V4727" t="s">
        <v>11097</v>
      </c>
      <c r="W4727" t="s">
        <v>11098</v>
      </c>
      <c r="X4727" t="s">
        <v>11097</v>
      </c>
      <c r="Y4727" t="s">
        <v>5998</v>
      </c>
      <c r="Z4727" t="s">
        <v>163</v>
      </c>
      <c r="AA4727" t="s">
        <v>164</v>
      </c>
      <c r="AB4727" t="s">
        <v>163</v>
      </c>
      <c r="AC4727" t="s">
        <v>165</v>
      </c>
      <c r="AD4727" t="s">
        <v>219</v>
      </c>
      <c r="AE4727" t="s">
        <v>11099</v>
      </c>
      <c r="AF4727" t="s">
        <v>11100</v>
      </c>
    </row>
    <row r="4728" spans="1:32" hidden="1" x14ac:dyDescent="0.35">
      <c r="A4728">
        <v>5357</v>
      </c>
      <c r="B4728" t="s">
        <v>11094</v>
      </c>
      <c r="C4728" t="s">
        <v>10127</v>
      </c>
      <c r="D4728" t="s">
        <v>62</v>
      </c>
      <c r="E4728">
        <v>1258</v>
      </c>
      <c r="F4728">
        <v>4</v>
      </c>
      <c r="G4728">
        <v>4</v>
      </c>
      <c r="H4728">
        <v>1</v>
      </c>
      <c r="I4728">
        <v>0</v>
      </c>
      <c r="J4728">
        <v>0.80514619883040905</v>
      </c>
      <c r="K4728">
        <v>0.933379651073029</v>
      </c>
      <c r="L4728">
        <v>0.86453368314177603</v>
      </c>
      <c r="M4728">
        <v>0.57254901960784299</v>
      </c>
      <c r="N4728">
        <v>1</v>
      </c>
      <c r="O4728">
        <v>0.71437908496732005</v>
      </c>
      <c r="P4728" t="s">
        <v>155</v>
      </c>
      <c r="Q4728" t="s">
        <v>156</v>
      </c>
      <c r="R4728" t="s">
        <v>319</v>
      </c>
      <c r="S4728" t="s">
        <v>320</v>
      </c>
      <c r="T4728" t="s">
        <v>11095</v>
      </c>
      <c r="U4728" t="s">
        <v>11096</v>
      </c>
      <c r="V4728" t="s">
        <v>11097</v>
      </c>
      <c r="W4728" t="s">
        <v>11098</v>
      </c>
      <c r="X4728" t="s">
        <v>11097</v>
      </c>
      <c r="Y4728" t="s">
        <v>5998</v>
      </c>
      <c r="Z4728" t="s">
        <v>163</v>
      </c>
      <c r="AA4728" t="s">
        <v>164</v>
      </c>
      <c r="AB4728" t="s">
        <v>163</v>
      </c>
      <c r="AC4728" t="s">
        <v>165</v>
      </c>
      <c r="AD4728" t="s">
        <v>219</v>
      </c>
      <c r="AE4728" t="s">
        <v>11099</v>
      </c>
      <c r="AF4728" t="s">
        <v>11100</v>
      </c>
    </row>
    <row r="4729" spans="1:32" hidden="1" x14ac:dyDescent="0.35">
      <c r="A4729">
        <v>5358</v>
      </c>
      <c r="B4729" t="s">
        <v>11094</v>
      </c>
      <c r="C4729" t="s">
        <v>10127</v>
      </c>
      <c r="D4729" t="s">
        <v>34</v>
      </c>
      <c r="E4729">
        <v>1782</v>
      </c>
      <c r="F4729">
        <v>4</v>
      </c>
      <c r="G4729">
        <v>4</v>
      </c>
      <c r="H4729">
        <v>1</v>
      </c>
      <c r="I4729">
        <v>0</v>
      </c>
      <c r="J4729">
        <v>0.80514619883040905</v>
      </c>
      <c r="K4729">
        <v>0.933379651073029</v>
      </c>
      <c r="L4729">
        <v>0.86453368314177603</v>
      </c>
      <c r="M4729">
        <v>0.57254901960784299</v>
      </c>
      <c r="N4729">
        <v>1</v>
      </c>
      <c r="O4729">
        <v>0.71437908496732005</v>
      </c>
      <c r="P4729" t="s">
        <v>155</v>
      </c>
      <c r="Q4729" t="s">
        <v>156</v>
      </c>
      <c r="R4729" t="s">
        <v>319</v>
      </c>
      <c r="S4729" t="s">
        <v>320</v>
      </c>
      <c r="T4729" t="s">
        <v>11095</v>
      </c>
      <c r="U4729" t="s">
        <v>11096</v>
      </c>
      <c r="V4729" t="s">
        <v>11097</v>
      </c>
      <c r="W4729" t="s">
        <v>11098</v>
      </c>
      <c r="X4729" t="s">
        <v>11097</v>
      </c>
      <c r="Y4729" t="s">
        <v>5998</v>
      </c>
      <c r="Z4729" t="s">
        <v>163</v>
      </c>
      <c r="AA4729" t="s">
        <v>164</v>
      </c>
      <c r="AB4729" t="s">
        <v>163</v>
      </c>
      <c r="AC4729" t="s">
        <v>165</v>
      </c>
      <c r="AD4729" t="s">
        <v>219</v>
      </c>
      <c r="AE4729" t="s">
        <v>11099</v>
      </c>
      <c r="AF4729" t="s">
        <v>11101</v>
      </c>
    </row>
    <row r="4730" spans="1:32" hidden="1" x14ac:dyDescent="0.35">
      <c r="A4730">
        <v>4729</v>
      </c>
      <c r="B4730" t="s">
        <v>9894</v>
      </c>
      <c r="C4730" t="s">
        <v>10127</v>
      </c>
      <c r="D4730" t="s">
        <v>58</v>
      </c>
      <c r="E4730">
        <v>1122</v>
      </c>
      <c r="F4730">
        <v>5</v>
      </c>
      <c r="G4730">
        <v>5</v>
      </c>
      <c r="H4730">
        <v>1</v>
      </c>
      <c r="I4730">
        <v>1</v>
      </c>
      <c r="J4730">
        <v>0.79426737494466604</v>
      </c>
      <c r="K4730">
        <v>0.98760569456428005</v>
      </c>
      <c r="L4730">
        <v>0.88044765468973396</v>
      </c>
      <c r="M4730">
        <v>0.61311475409836103</v>
      </c>
      <c r="N4730">
        <v>0.99672131147540999</v>
      </c>
      <c r="O4730">
        <v>0.72622950819672105</v>
      </c>
      <c r="P4730" t="s">
        <v>9895</v>
      </c>
      <c r="Q4730" t="s">
        <v>9896</v>
      </c>
      <c r="R4730" t="s">
        <v>9897</v>
      </c>
      <c r="S4730" t="s">
        <v>9898</v>
      </c>
      <c r="T4730" t="s">
        <v>9899</v>
      </c>
      <c r="U4730" t="s">
        <v>9900</v>
      </c>
      <c r="V4730" t="s">
        <v>9901</v>
      </c>
      <c r="W4730" t="s">
        <v>9902</v>
      </c>
      <c r="X4730" t="s">
        <v>9901</v>
      </c>
      <c r="Y4730" t="s">
        <v>1136</v>
      </c>
      <c r="Z4730" t="s">
        <v>5274</v>
      </c>
      <c r="AA4730" t="s">
        <v>5275</v>
      </c>
      <c r="AB4730" t="s">
        <v>5274</v>
      </c>
      <c r="AC4730" t="s">
        <v>5276</v>
      </c>
      <c r="AD4730" t="s">
        <v>245</v>
      </c>
      <c r="AE4730" t="s">
        <v>9903</v>
      </c>
      <c r="AF4730" t="s">
        <v>9904</v>
      </c>
    </row>
    <row r="4731" spans="1:32" hidden="1" x14ac:dyDescent="0.35">
      <c r="A4731">
        <v>4730</v>
      </c>
      <c r="B4731" t="s">
        <v>9894</v>
      </c>
      <c r="C4731" t="s">
        <v>10127</v>
      </c>
      <c r="D4731" t="s">
        <v>60</v>
      </c>
      <c r="E4731">
        <v>1515</v>
      </c>
      <c r="F4731">
        <v>5</v>
      </c>
      <c r="G4731">
        <v>5</v>
      </c>
      <c r="H4731">
        <v>1</v>
      </c>
      <c r="I4731">
        <v>1</v>
      </c>
      <c r="J4731">
        <v>0.79426737494466604</v>
      </c>
      <c r="K4731">
        <v>0.98760569456428005</v>
      </c>
      <c r="L4731">
        <v>0.88044765468973396</v>
      </c>
      <c r="M4731">
        <v>0.61311475409836103</v>
      </c>
      <c r="N4731">
        <v>0.99672131147540999</v>
      </c>
      <c r="O4731">
        <v>0.72622950819672105</v>
      </c>
      <c r="P4731" t="s">
        <v>9895</v>
      </c>
      <c r="Q4731" t="s">
        <v>9896</v>
      </c>
      <c r="R4731" t="s">
        <v>9897</v>
      </c>
      <c r="S4731" t="s">
        <v>9898</v>
      </c>
      <c r="T4731" t="s">
        <v>9899</v>
      </c>
      <c r="U4731" t="s">
        <v>9900</v>
      </c>
      <c r="V4731" t="s">
        <v>9901</v>
      </c>
      <c r="W4731" t="s">
        <v>9902</v>
      </c>
      <c r="X4731" t="s">
        <v>9901</v>
      </c>
      <c r="Y4731" t="s">
        <v>1136</v>
      </c>
      <c r="Z4731" t="s">
        <v>5274</v>
      </c>
      <c r="AA4731" t="s">
        <v>5275</v>
      </c>
      <c r="AB4731" t="s">
        <v>5274</v>
      </c>
      <c r="AC4731" t="s">
        <v>5276</v>
      </c>
      <c r="AD4731" t="s">
        <v>245</v>
      </c>
      <c r="AE4731" t="s">
        <v>9903</v>
      </c>
      <c r="AF4731" t="s">
        <v>9905</v>
      </c>
    </row>
    <row r="4732" spans="1:32" hidden="1" x14ac:dyDescent="0.35">
      <c r="A4732">
        <v>4731</v>
      </c>
      <c r="B4732" t="s">
        <v>9894</v>
      </c>
      <c r="C4732" t="s">
        <v>10127</v>
      </c>
      <c r="D4732" t="s">
        <v>62</v>
      </c>
      <c r="E4732">
        <v>1550</v>
      </c>
      <c r="F4732">
        <v>5</v>
      </c>
      <c r="G4732">
        <v>5</v>
      </c>
      <c r="H4732">
        <v>1</v>
      </c>
      <c r="I4732">
        <v>1</v>
      </c>
      <c r="J4732">
        <v>0.79426737494466604</v>
      </c>
      <c r="K4732">
        <v>0.98760569456428005</v>
      </c>
      <c r="L4732">
        <v>0.88044765468973396</v>
      </c>
      <c r="M4732">
        <v>0.61311475409836103</v>
      </c>
      <c r="N4732">
        <v>0.99672131147540999</v>
      </c>
      <c r="O4732">
        <v>0.72622950819672105</v>
      </c>
      <c r="P4732" t="s">
        <v>9895</v>
      </c>
      <c r="Q4732" t="s">
        <v>9896</v>
      </c>
      <c r="R4732" t="s">
        <v>9897</v>
      </c>
      <c r="S4732" t="s">
        <v>9898</v>
      </c>
      <c r="T4732" t="s">
        <v>9899</v>
      </c>
      <c r="U4732" t="s">
        <v>9900</v>
      </c>
      <c r="V4732" t="s">
        <v>9901</v>
      </c>
      <c r="W4732" t="s">
        <v>9902</v>
      </c>
      <c r="X4732" t="s">
        <v>9901</v>
      </c>
      <c r="Y4732" t="s">
        <v>1136</v>
      </c>
      <c r="Z4732" t="s">
        <v>5274</v>
      </c>
      <c r="AA4732" t="s">
        <v>5275</v>
      </c>
      <c r="AB4732" t="s">
        <v>5274</v>
      </c>
      <c r="AC4732" t="s">
        <v>5276</v>
      </c>
      <c r="AD4732" t="s">
        <v>245</v>
      </c>
      <c r="AE4732" t="s">
        <v>9903</v>
      </c>
      <c r="AF4732" t="s">
        <v>9906</v>
      </c>
    </row>
    <row r="4733" spans="1:32" hidden="1" x14ac:dyDescent="0.35">
      <c r="A4733">
        <v>4732</v>
      </c>
      <c r="B4733" t="s">
        <v>9894</v>
      </c>
      <c r="C4733" t="s">
        <v>10127</v>
      </c>
      <c r="D4733" t="s">
        <v>34</v>
      </c>
      <c r="E4733">
        <v>1946</v>
      </c>
      <c r="F4733">
        <v>5</v>
      </c>
      <c r="G4733">
        <v>5</v>
      </c>
      <c r="H4733">
        <v>1</v>
      </c>
      <c r="I4733">
        <v>1</v>
      </c>
      <c r="J4733">
        <v>0.79426737494466604</v>
      </c>
      <c r="K4733">
        <v>0.98760569456428005</v>
      </c>
      <c r="L4733">
        <v>0.88044765468973396</v>
      </c>
      <c r="M4733">
        <v>0.61311475409836103</v>
      </c>
      <c r="N4733">
        <v>0.99672131147540999</v>
      </c>
      <c r="O4733">
        <v>0.72622950819672105</v>
      </c>
      <c r="P4733" t="s">
        <v>9895</v>
      </c>
      <c r="Q4733" t="s">
        <v>9896</v>
      </c>
      <c r="R4733" t="s">
        <v>9897</v>
      </c>
      <c r="S4733" t="s">
        <v>9898</v>
      </c>
      <c r="T4733" t="s">
        <v>9899</v>
      </c>
      <c r="U4733" t="s">
        <v>9900</v>
      </c>
      <c r="V4733" t="s">
        <v>9901</v>
      </c>
      <c r="W4733" t="s">
        <v>9902</v>
      </c>
      <c r="X4733" t="s">
        <v>9901</v>
      </c>
      <c r="Y4733" t="s">
        <v>1136</v>
      </c>
      <c r="Z4733" t="s">
        <v>5274</v>
      </c>
      <c r="AA4733" t="s">
        <v>5275</v>
      </c>
      <c r="AB4733" t="s">
        <v>5274</v>
      </c>
      <c r="AC4733" t="s">
        <v>5276</v>
      </c>
      <c r="AD4733" t="s">
        <v>245</v>
      </c>
      <c r="AE4733" t="s">
        <v>9903</v>
      </c>
      <c r="AF4733" t="s">
        <v>9907</v>
      </c>
    </row>
    <row r="4734" spans="1:32" hidden="1" x14ac:dyDescent="0.35">
      <c r="A4734">
        <v>4733</v>
      </c>
      <c r="B4734" t="s">
        <v>9894</v>
      </c>
      <c r="C4734" t="s">
        <v>10127</v>
      </c>
      <c r="D4734" t="s">
        <v>45</v>
      </c>
      <c r="E4734">
        <v>927</v>
      </c>
      <c r="F4734">
        <v>5</v>
      </c>
      <c r="G4734">
        <v>5</v>
      </c>
      <c r="H4734">
        <v>1</v>
      </c>
      <c r="I4734">
        <v>1</v>
      </c>
      <c r="J4734">
        <v>0.79426737494466604</v>
      </c>
      <c r="K4734">
        <v>0.98760569456428005</v>
      </c>
      <c r="L4734">
        <v>0.88044765468973396</v>
      </c>
      <c r="M4734">
        <v>0.61311475409836103</v>
      </c>
      <c r="N4734">
        <v>0.99672131147540999</v>
      </c>
      <c r="O4734">
        <v>0.72622950819672105</v>
      </c>
      <c r="P4734" t="s">
        <v>9895</v>
      </c>
      <c r="Q4734" t="s">
        <v>9896</v>
      </c>
      <c r="R4734" t="s">
        <v>9897</v>
      </c>
      <c r="S4734" t="s">
        <v>9898</v>
      </c>
      <c r="T4734" t="s">
        <v>9899</v>
      </c>
      <c r="U4734" t="s">
        <v>9900</v>
      </c>
      <c r="V4734" t="s">
        <v>9901</v>
      </c>
      <c r="W4734" t="s">
        <v>9902</v>
      </c>
      <c r="X4734" t="s">
        <v>9901</v>
      </c>
      <c r="Y4734" t="s">
        <v>1136</v>
      </c>
      <c r="Z4734" t="s">
        <v>5274</v>
      </c>
      <c r="AA4734" t="s">
        <v>5275</v>
      </c>
      <c r="AB4734" t="s">
        <v>5274</v>
      </c>
      <c r="AC4734" t="s">
        <v>5276</v>
      </c>
      <c r="AD4734" t="s">
        <v>245</v>
      </c>
      <c r="AE4734" t="s">
        <v>9903</v>
      </c>
      <c r="AF4734" t="s">
        <v>9908</v>
      </c>
    </row>
    <row r="4735" spans="1:32" hidden="1" x14ac:dyDescent="0.35">
      <c r="A4735">
        <v>5359</v>
      </c>
      <c r="B4735" t="s">
        <v>11094</v>
      </c>
      <c r="C4735" t="s">
        <v>10127</v>
      </c>
      <c r="D4735" t="s">
        <v>45</v>
      </c>
      <c r="E4735">
        <v>1091</v>
      </c>
      <c r="F4735">
        <v>4</v>
      </c>
      <c r="G4735">
        <v>4</v>
      </c>
      <c r="H4735">
        <v>1</v>
      </c>
      <c r="I4735">
        <v>0</v>
      </c>
      <c r="J4735">
        <v>0.80514619883040905</v>
      </c>
      <c r="K4735">
        <v>0.933379651073029</v>
      </c>
      <c r="L4735">
        <v>0.86453368314177603</v>
      </c>
      <c r="M4735">
        <v>0.57254901960784299</v>
      </c>
      <c r="N4735">
        <v>1</v>
      </c>
      <c r="O4735">
        <v>0.71437908496732005</v>
      </c>
      <c r="P4735" t="s">
        <v>155</v>
      </c>
      <c r="Q4735" t="s">
        <v>156</v>
      </c>
      <c r="R4735" t="s">
        <v>319</v>
      </c>
      <c r="S4735" t="s">
        <v>320</v>
      </c>
      <c r="T4735" t="s">
        <v>11095</v>
      </c>
      <c r="U4735" t="s">
        <v>11096</v>
      </c>
      <c r="V4735" t="s">
        <v>11097</v>
      </c>
      <c r="W4735" t="s">
        <v>11098</v>
      </c>
      <c r="X4735" t="s">
        <v>11097</v>
      </c>
      <c r="Y4735" t="s">
        <v>5998</v>
      </c>
      <c r="Z4735" t="s">
        <v>163</v>
      </c>
      <c r="AA4735" t="s">
        <v>164</v>
      </c>
      <c r="AB4735" t="s">
        <v>163</v>
      </c>
      <c r="AC4735" t="s">
        <v>165</v>
      </c>
      <c r="AD4735" t="s">
        <v>219</v>
      </c>
      <c r="AE4735" t="s">
        <v>11099</v>
      </c>
      <c r="AF4735" t="s">
        <v>11102</v>
      </c>
    </row>
    <row r="4736" spans="1:32" hidden="1" x14ac:dyDescent="0.35">
      <c r="A4736">
        <v>5400</v>
      </c>
      <c r="B4736" t="s">
        <v>11171</v>
      </c>
      <c r="C4736" t="s">
        <v>10127</v>
      </c>
      <c r="D4736" t="s">
        <v>60</v>
      </c>
      <c r="E4736">
        <v>1966</v>
      </c>
      <c r="F4736">
        <v>4</v>
      </c>
      <c r="G4736">
        <v>4</v>
      </c>
      <c r="H4736">
        <v>1</v>
      </c>
      <c r="I4736">
        <v>0</v>
      </c>
      <c r="J4736">
        <v>0.83365633074935397</v>
      </c>
      <c r="K4736">
        <v>0.94611351950802003</v>
      </c>
      <c r="L4736">
        <v>0.88633204459706305</v>
      </c>
      <c r="M4736">
        <v>0.633699633699634</v>
      </c>
      <c r="N4736">
        <v>1</v>
      </c>
      <c r="O4736">
        <v>0.75549450549450503</v>
      </c>
      <c r="P4736" t="s">
        <v>169</v>
      </c>
      <c r="Q4736" t="s">
        <v>170</v>
      </c>
      <c r="R4736" t="s">
        <v>319</v>
      </c>
      <c r="S4736" t="s">
        <v>320</v>
      </c>
      <c r="T4736" t="s">
        <v>11172</v>
      </c>
      <c r="U4736" t="s">
        <v>11173</v>
      </c>
      <c r="V4736" t="s">
        <v>3642</v>
      </c>
      <c r="W4736" t="s">
        <v>3643</v>
      </c>
      <c r="AD4736" t="s">
        <v>1667</v>
      </c>
      <c r="AE4736" t="s">
        <v>11174</v>
      </c>
      <c r="AF4736" t="s">
        <v>11175</v>
      </c>
    </row>
    <row r="4737" spans="1:32" hidden="1" x14ac:dyDescent="0.35">
      <c r="A4737">
        <v>5401</v>
      </c>
      <c r="B4737" t="s">
        <v>11171</v>
      </c>
      <c r="C4737" t="s">
        <v>10127</v>
      </c>
      <c r="D4737" t="s">
        <v>62</v>
      </c>
      <c r="E4737">
        <v>2007</v>
      </c>
      <c r="F4737">
        <v>4</v>
      </c>
      <c r="G4737">
        <v>4</v>
      </c>
      <c r="H4737">
        <v>1</v>
      </c>
      <c r="I4737">
        <v>0</v>
      </c>
      <c r="J4737">
        <v>0.83365633074935397</v>
      </c>
      <c r="K4737">
        <v>0.94611351950802003</v>
      </c>
      <c r="L4737">
        <v>0.88633204459706305</v>
      </c>
      <c r="M4737">
        <v>0.633699633699634</v>
      </c>
      <c r="N4737">
        <v>1</v>
      </c>
      <c r="O4737">
        <v>0.75549450549450503</v>
      </c>
      <c r="P4737" t="s">
        <v>169</v>
      </c>
      <c r="Q4737" t="s">
        <v>170</v>
      </c>
      <c r="R4737" t="s">
        <v>319</v>
      </c>
      <c r="S4737" t="s">
        <v>320</v>
      </c>
      <c r="T4737" t="s">
        <v>11172</v>
      </c>
      <c r="U4737" t="s">
        <v>11173</v>
      </c>
      <c r="V4737" t="s">
        <v>3642</v>
      </c>
      <c r="W4737" t="s">
        <v>3643</v>
      </c>
      <c r="AD4737" t="s">
        <v>1667</v>
      </c>
      <c r="AE4737" t="s">
        <v>11174</v>
      </c>
      <c r="AF4737" t="s">
        <v>11175</v>
      </c>
    </row>
    <row r="4738" spans="1:32" hidden="1" x14ac:dyDescent="0.35">
      <c r="A4738">
        <v>5402</v>
      </c>
      <c r="B4738" t="s">
        <v>11171</v>
      </c>
      <c r="C4738" t="s">
        <v>10127</v>
      </c>
      <c r="D4738" t="s">
        <v>34</v>
      </c>
      <c r="E4738">
        <v>544</v>
      </c>
      <c r="F4738">
        <v>4</v>
      </c>
      <c r="G4738">
        <v>4</v>
      </c>
      <c r="H4738">
        <v>1</v>
      </c>
      <c r="I4738">
        <v>0</v>
      </c>
      <c r="J4738">
        <v>0.83365633074935397</v>
      </c>
      <c r="K4738">
        <v>0.94611351950802003</v>
      </c>
      <c r="L4738">
        <v>0.88633204459706305</v>
      </c>
      <c r="M4738">
        <v>0.633699633699634</v>
      </c>
      <c r="N4738">
        <v>1</v>
      </c>
      <c r="O4738">
        <v>0.75549450549450503</v>
      </c>
      <c r="P4738" t="s">
        <v>169</v>
      </c>
      <c r="Q4738" t="s">
        <v>170</v>
      </c>
      <c r="R4738" t="s">
        <v>319</v>
      </c>
      <c r="S4738" t="s">
        <v>320</v>
      </c>
      <c r="T4738" t="s">
        <v>11172</v>
      </c>
      <c r="U4738" t="s">
        <v>11173</v>
      </c>
      <c r="V4738" t="s">
        <v>3642</v>
      </c>
      <c r="W4738" t="s">
        <v>3643</v>
      </c>
      <c r="AD4738" t="s">
        <v>1667</v>
      </c>
      <c r="AE4738" t="s">
        <v>11174</v>
      </c>
      <c r="AF4738" t="s">
        <v>11176</v>
      </c>
    </row>
    <row r="4739" spans="1:32" hidden="1" x14ac:dyDescent="0.35">
      <c r="A4739">
        <v>5403</v>
      </c>
      <c r="B4739" t="s">
        <v>11171</v>
      </c>
      <c r="C4739" t="s">
        <v>10127</v>
      </c>
      <c r="D4739" t="s">
        <v>45</v>
      </c>
      <c r="E4739">
        <v>1811</v>
      </c>
      <c r="F4739">
        <v>4</v>
      </c>
      <c r="G4739">
        <v>4</v>
      </c>
      <c r="H4739">
        <v>1</v>
      </c>
      <c r="I4739">
        <v>0</v>
      </c>
      <c r="J4739">
        <v>0.83365633074935397</v>
      </c>
      <c r="K4739">
        <v>0.94611351950802003</v>
      </c>
      <c r="L4739">
        <v>0.88633204459706305</v>
      </c>
      <c r="M4739">
        <v>0.633699633699634</v>
      </c>
      <c r="N4739">
        <v>1</v>
      </c>
      <c r="O4739">
        <v>0.75549450549450503</v>
      </c>
      <c r="P4739" t="s">
        <v>169</v>
      </c>
      <c r="Q4739" t="s">
        <v>170</v>
      </c>
      <c r="R4739" t="s">
        <v>319</v>
      </c>
      <c r="S4739" t="s">
        <v>320</v>
      </c>
      <c r="T4739" t="s">
        <v>11172</v>
      </c>
      <c r="U4739" t="s">
        <v>11173</v>
      </c>
      <c r="V4739" t="s">
        <v>3642</v>
      </c>
      <c r="W4739" t="s">
        <v>3643</v>
      </c>
      <c r="AD4739" t="s">
        <v>1667</v>
      </c>
      <c r="AE4739" t="s">
        <v>11174</v>
      </c>
      <c r="AF4739" t="s">
        <v>11177</v>
      </c>
    </row>
    <row r="4740" spans="1:32" hidden="1" x14ac:dyDescent="0.35">
      <c r="A4740">
        <v>4920</v>
      </c>
      <c r="B4740" t="s">
        <v>10321</v>
      </c>
      <c r="C4740" t="s">
        <v>10127</v>
      </c>
      <c r="D4740" t="s">
        <v>60</v>
      </c>
      <c r="E4740">
        <v>396</v>
      </c>
      <c r="F4740">
        <v>4</v>
      </c>
      <c r="G4740">
        <v>4</v>
      </c>
      <c r="H4740">
        <v>1</v>
      </c>
      <c r="I4740">
        <v>0</v>
      </c>
      <c r="J4740">
        <v>0.790349671705604</v>
      </c>
      <c r="K4740">
        <v>0.95107058721674897</v>
      </c>
      <c r="L4740">
        <v>0.86329342101575901</v>
      </c>
      <c r="M4740">
        <v>0.55352480417754601</v>
      </c>
      <c r="N4740">
        <v>1</v>
      </c>
      <c r="O4740">
        <v>0.70278503046127105</v>
      </c>
      <c r="P4740" t="s">
        <v>1711</v>
      </c>
      <c r="Q4740" t="s">
        <v>1712</v>
      </c>
      <c r="R4740" t="s">
        <v>157</v>
      </c>
      <c r="S4740" t="s">
        <v>158</v>
      </c>
      <c r="T4740" t="s">
        <v>1713</v>
      </c>
      <c r="U4740" t="s">
        <v>1714</v>
      </c>
      <c r="V4740" t="s">
        <v>1715</v>
      </c>
      <c r="W4740" t="s">
        <v>1716</v>
      </c>
      <c r="X4740" t="s">
        <v>1715</v>
      </c>
      <c r="Y4740" t="s">
        <v>1357</v>
      </c>
      <c r="AD4740" t="s">
        <v>1358</v>
      </c>
      <c r="AE4740" t="s">
        <v>10322</v>
      </c>
      <c r="AF4740" t="e">
        <f>---MDLLTTTIDLDAIAHNTRVLKKLAGTAQLMCVVKADGYNHGAVETAHVMARNGADQFGVATLVEAQQLLDGGIDKPILAWMWRPEQTLIKGIE----LGIPSPEHARAAINSGLD-----LRVTPKIDTGLNRSGIDEADWADTFRLLHDA----PNIAVTGLFSHLACADEPGDPSVDEQADVFRRAIAVARDCELDVPTNHLSNSPAALTRPDLNFEMIRPGLACYGLSPIP-GVDVGLRPAMTWAARVSVVKKITAGEGVSYGHTWRAPSNGYTAVITVGYADGLPRTAQDALSVTIGGARYSQVGRVCMDQIVVWLGAEA-SVRAGDEALIFGSGEQGEMTADELAEGLGTINYEVICRPSGRTVRKFKGGDVHES</f>
        <v>#NAME?</v>
      </c>
    </row>
    <row r="4741" spans="1:32" hidden="1" x14ac:dyDescent="0.35">
      <c r="A4741">
        <v>4921</v>
      </c>
      <c r="B4741" t="s">
        <v>10321</v>
      </c>
      <c r="C4741" t="s">
        <v>10127</v>
      </c>
      <c r="D4741" t="s">
        <v>62</v>
      </c>
      <c r="E4741">
        <v>477</v>
      </c>
      <c r="F4741">
        <v>4</v>
      </c>
      <c r="G4741">
        <v>4</v>
      </c>
      <c r="H4741">
        <v>1</v>
      </c>
      <c r="I4741">
        <v>0</v>
      </c>
      <c r="J4741">
        <v>0.790349671705604</v>
      </c>
      <c r="K4741">
        <v>0.95107058721674897</v>
      </c>
      <c r="L4741">
        <v>0.86329342101575901</v>
      </c>
      <c r="M4741">
        <v>0.55352480417754601</v>
      </c>
      <c r="N4741">
        <v>1</v>
      </c>
      <c r="O4741">
        <v>0.70278503046127105</v>
      </c>
      <c r="P4741" t="s">
        <v>1711</v>
      </c>
      <c r="Q4741" t="s">
        <v>1712</v>
      </c>
      <c r="R4741" t="s">
        <v>157</v>
      </c>
      <c r="S4741" t="s">
        <v>158</v>
      </c>
      <c r="T4741" t="s">
        <v>1713</v>
      </c>
      <c r="U4741" t="s">
        <v>1714</v>
      </c>
      <c r="V4741" t="s">
        <v>1715</v>
      </c>
      <c r="W4741" t="s">
        <v>1716</v>
      </c>
      <c r="X4741" t="s">
        <v>1715</v>
      </c>
      <c r="Y4741" t="s">
        <v>1357</v>
      </c>
      <c r="AD4741" t="s">
        <v>1358</v>
      </c>
      <c r="AE4741" t="s">
        <v>10322</v>
      </c>
      <c r="AF4741" t="e">
        <f>---MDLLTTTIDLDAIAHNTRVLKKLAGTAQLMCVVKADGYNHGAVETAHVMARNGADQFGVATLVEAQQLLDGGIDKPILAWMWRPEQTLIKGIE----LGIPSPEHARAAINSGLD-----LRVTPKIDTGLNRSGIDEADWADTFRLLHDA----PNIAVTGLFSHLACADEPGDPSVDEQADVFRRAIAVARDCELDVPTNHLSNSPAALTRPDLNFEMIRPGLACYGLSPIP-GVDVGLRPAMTWAARVSVVKKITAGEGVSYGHTWRAPSNGYTAVITVGYADGLPRTAQDALSVTIGGARYSQVGRVCMDQIVVWLGAEA-SVRAGDEALIFGSGEQGEMTADELAEGLGTINYEVICRPSGRTVRKFKGGDVHES</f>
        <v>#NAME?</v>
      </c>
    </row>
    <row r="4742" spans="1:32" hidden="1" x14ac:dyDescent="0.35">
      <c r="A4742">
        <v>4922</v>
      </c>
      <c r="B4742" t="s">
        <v>10321</v>
      </c>
      <c r="C4742" t="s">
        <v>10127</v>
      </c>
      <c r="D4742" t="s">
        <v>34</v>
      </c>
      <c r="E4742">
        <v>627</v>
      </c>
      <c r="F4742">
        <v>4</v>
      </c>
      <c r="G4742">
        <v>4</v>
      </c>
      <c r="H4742">
        <v>1</v>
      </c>
      <c r="I4742">
        <v>0</v>
      </c>
      <c r="J4742">
        <v>0.790349671705604</v>
      </c>
      <c r="K4742">
        <v>0.95107058721674897</v>
      </c>
      <c r="L4742">
        <v>0.86329342101575901</v>
      </c>
      <c r="M4742">
        <v>0.55352480417754601</v>
      </c>
      <c r="N4742">
        <v>1</v>
      </c>
      <c r="O4742">
        <v>0.70278503046127105</v>
      </c>
      <c r="P4742" t="s">
        <v>1711</v>
      </c>
      <c r="Q4742" t="s">
        <v>1712</v>
      </c>
      <c r="R4742" t="s">
        <v>157</v>
      </c>
      <c r="S4742" t="s">
        <v>158</v>
      </c>
      <c r="T4742" t="s">
        <v>1713</v>
      </c>
      <c r="U4742" t="s">
        <v>1714</v>
      </c>
      <c r="V4742" t="s">
        <v>1715</v>
      </c>
      <c r="W4742" t="s">
        <v>1716</v>
      </c>
      <c r="X4742" t="s">
        <v>1715</v>
      </c>
      <c r="Y4742" t="s">
        <v>1357</v>
      </c>
      <c r="AD4742" t="s">
        <v>1358</v>
      </c>
      <c r="AE4742" t="s">
        <v>10322</v>
      </c>
      <c r="AF4742" t="s">
        <v>10323</v>
      </c>
    </row>
    <row r="4743" spans="1:32" hidden="1" x14ac:dyDescent="0.35">
      <c r="A4743">
        <v>4923</v>
      </c>
      <c r="B4743" t="s">
        <v>10321</v>
      </c>
      <c r="C4743" t="s">
        <v>10127</v>
      </c>
      <c r="D4743" t="s">
        <v>45</v>
      </c>
      <c r="E4743">
        <v>1894</v>
      </c>
      <c r="F4743">
        <v>4</v>
      </c>
      <c r="G4743">
        <v>4</v>
      </c>
      <c r="H4743">
        <v>1</v>
      </c>
      <c r="I4743">
        <v>0</v>
      </c>
      <c r="J4743">
        <v>0.790349671705604</v>
      </c>
      <c r="K4743">
        <v>0.95107058721674897</v>
      </c>
      <c r="L4743">
        <v>0.86329342101575901</v>
      </c>
      <c r="M4743">
        <v>0.55352480417754601</v>
      </c>
      <c r="N4743">
        <v>1</v>
      </c>
      <c r="O4743">
        <v>0.70278503046127105</v>
      </c>
      <c r="P4743" t="s">
        <v>1711</v>
      </c>
      <c r="Q4743" t="s">
        <v>1712</v>
      </c>
      <c r="R4743" t="s">
        <v>157</v>
      </c>
      <c r="S4743" t="s">
        <v>158</v>
      </c>
      <c r="T4743" t="s">
        <v>1713</v>
      </c>
      <c r="U4743" t="s">
        <v>1714</v>
      </c>
      <c r="V4743" t="s">
        <v>1715</v>
      </c>
      <c r="W4743" t="s">
        <v>1716</v>
      </c>
      <c r="X4743" t="s">
        <v>1715</v>
      </c>
      <c r="Y4743" t="s">
        <v>1357</v>
      </c>
      <c r="AD4743" t="s">
        <v>1358</v>
      </c>
      <c r="AE4743" t="s">
        <v>10322</v>
      </c>
      <c r="AF4743" t="s">
        <v>10324</v>
      </c>
    </row>
    <row r="4744" spans="1:32" hidden="1" x14ac:dyDescent="0.35">
      <c r="A4744">
        <v>4960</v>
      </c>
      <c r="B4744" t="s">
        <v>10387</v>
      </c>
      <c r="C4744" t="s">
        <v>10127</v>
      </c>
      <c r="D4744" t="s">
        <v>60</v>
      </c>
      <c r="E4744">
        <v>539</v>
      </c>
      <c r="F4744">
        <v>4</v>
      </c>
      <c r="G4744">
        <v>4</v>
      </c>
      <c r="H4744">
        <v>1</v>
      </c>
      <c r="I4744">
        <v>0</v>
      </c>
      <c r="J4744">
        <v>0.75638841567291304</v>
      </c>
      <c r="K4744">
        <v>0.97528239202658196</v>
      </c>
      <c r="L4744">
        <v>0.85200062281894196</v>
      </c>
      <c r="M4744">
        <v>0.52823920265780699</v>
      </c>
      <c r="N4744">
        <v>1</v>
      </c>
      <c r="O4744">
        <v>0.68493909191583602</v>
      </c>
      <c r="P4744" t="s">
        <v>416</v>
      </c>
      <c r="Q4744" t="s">
        <v>417</v>
      </c>
      <c r="R4744" t="s">
        <v>157</v>
      </c>
      <c r="S4744" t="s">
        <v>158</v>
      </c>
      <c r="V4744" t="s">
        <v>10388</v>
      </c>
      <c r="W4744" t="s">
        <v>10389</v>
      </c>
      <c r="AF4744" t="s">
        <v>10390</v>
      </c>
    </row>
    <row r="4745" spans="1:32" hidden="1" x14ac:dyDescent="0.35">
      <c r="A4745">
        <v>4744</v>
      </c>
      <c r="B4745" t="s">
        <v>9931</v>
      </c>
      <c r="C4745" t="s">
        <v>10127</v>
      </c>
      <c r="D4745" t="s">
        <v>58</v>
      </c>
      <c r="E4745">
        <v>304</v>
      </c>
      <c r="F4745">
        <v>5</v>
      </c>
      <c r="G4745">
        <v>5</v>
      </c>
      <c r="H4745">
        <v>1</v>
      </c>
      <c r="I4745">
        <v>1</v>
      </c>
      <c r="J4745">
        <v>0.81592188677572397</v>
      </c>
      <c r="K4745">
        <v>0.97062756976757603</v>
      </c>
      <c r="L4745">
        <v>0.88657638352045398</v>
      </c>
      <c r="M4745">
        <v>0.65741935483870995</v>
      </c>
      <c r="N4745">
        <v>0.99387096774193595</v>
      </c>
      <c r="O4745">
        <v>0.75319354838709696</v>
      </c>
      <c r="P4745" t="s">
        <v>9932</v>
      </c>
      <c r="Q4745" t="s">
        <v>9933</v>
      </c>
      <c r="R4745" t="s">
        <v>9934</v>
      </c>
      <c r="S4745" t="s">
        <v>9935</v>
      </c>
      <c r="T4745" t="s">
        <v>9936</v>
      </c>
      <c r="U4745" t="s">
        <v>9937</v>
      </c>
      <c r="V4745" t="s">
        <v>9938</v>
      </c>
      <c r="W4745" t="s">
        <v>9939</v>
      </c>
      <c r="X4745" t="s">
        <v>9938</v>
      </c>
      <c r="Y4745" t="s">
        <v>7642</v>
      </c>
      <c r="Z4745" t="s">
        <v>9940</v>
      </c>
      <c r="AA4745" t="s">
        <v>9941</v>
      </c>
      <c r="AB4745" t="s">
        <v>9940</v>
      </c>
      <c r="AC4745" t="s">
        <v>9942</v>
      </c>
      <c r="AD4745" t="s">
        <v>9943</v>
      </c>
      <c r="AE4745" t="s">
        <v>9944</v>
      </c>
      <c r="AF4745" t="s">
        <v>9945</v>
      </c>
    </row>
    <row r="4746" spans="1:32" hidden="1" x14ac:dyDescent="0.35">
      <c r="A4746">
        <v>4745</v>
      </c>
      <c r="B4746" t="s">
        <v>9931</v>
      </c>
      <c r="C4746" t="s">
        <v>10127</v>
      </c>
      <c r="D4746" t="s">
        <v>60</v>
      </c>
      <c r="E4746">
        <v>2051</v>
      </c>
      <c r="F4746">
        <v>5</v>
      </c>
      <c r="G4746">
        <v>5</v>
      </c>
      <c r="H4746">
        <v>1</v>
      </c>
      <c r="I4746">
        <v>1</v>
      </c>
      <c r="J4746">
        <v>0.81592188677572397</v>
      </c>
      <c r="K4746">
        <v>0.97062756976757603</v>
      </c>
      <c r="L4746">
        <v>0.88657638352045398</v>
      </c>
      <c r="M4746">
        <v>0.65741935483870995</v>
      </c>
      <c r="N4746">
        <v>0.99387096774193595</v>
      </c>
      <c r="O4746">
        <v>0.75319354838709696</v>
      </c>
      <c r="P4746" t="s">
        <v>9932</v>
      </c>
      <c r="Q4746" t="s">
        <v>9933</v>
      </c>
      <c r="R4746" t="s">
        <v>9934</v>
      </c>
      <c r="S4746" t="s">
        <v>9935</v>
      </c>
      <c r="T4746" t="s">
        <v>9936</v>
      </c>
      <c r="U4746" t="s">
        <v>9937</v>
      </c>
      <c r="V4746" t="s">
        <v>9938</v>
      </c>
      <c r="W4746" t="s">
        <v>9939</v>
      </c>
      <c r="X4746" t="s">
        <v>9938</v>
      </c>
      <c r="Y4746" t="s">
        <v>7642</v>
      </c>
      <c r="Z4746" t="s">
        <v>9940</v>
      </c>
      <c r="AA4746" t="s">
        <v>9941</v>
      </c>
      <c r="AB4746" t="s">
        <v>9940</v>
      </c>
      <c r="AC4746" t="s">
        <v>9942</v>
      </c>
      <c r="AD4746" t="s">
        <v>9943</v>
      </c>
      <c r="AE4746" t="s">
        <v>9944</v>
      </c>
      <c r="AF4746" t="s">
        <v>9946</v>
      </c>
    </row>
    <row r="4747" spans="1:32" hidden="1" x14ac:dyDescent="0.35">
      <c r="A4747">
        <v>4746</v>
      </c>
      <c r="B4747" t="s">
        <v>9931</v>
      </c>
      <c r="C4747" t="s">
        <v>10127</v>
      </c>
      <c r="D4747" t="s">
        <v>62</v>
      </c>
      <c r="E4747">
        <v>2088</v>
      </c>
      <c r="F4747">
        <v>5</v>
      </c>
      <c r="G4747">
        <v>5</v>
      </c>
      <c r="H4747">
        <v>1</v>
      </c>
      <c r="I4747">
        <v>1</v>
      </c>
      <c r="J4747">
        <v>0.81592188677572397</v>
      </c>
      <c r="K4747">
        <v>0.97062756976757603</v>
      </c>
      <c r="L4747">
        <v>0.88657638352045398</v>
      </c>
      <c r="M4747">
        <v>0.65741935483870995</v>
      </c>
      <c r="N4747">
        <v>0.99387096774193595</v>
      </c>
      <c r="O4747">
        <v>0.75319354838709696</v>
      </c>
      <c r="P4747" t="s">
        <v>9932</v>
      </c>
      <c r="Q4747" t="s">
        <v>9933</v>
      </c>
      <c r="R4747" t="s">
        <v>9934</v>
      </c>
      <c r="S4747" t="s">
        <v>9935</v>
      </c>
      <c r="T4747" t="s">
        <v>9936</v>
      </c>
      <c r="U4747" t="s">
        <v>9937</v>
      </c>
      <c r="V4747" t="s">
        <v>9938</v>
      </c>
      <c r="W4747" t="s">
        <v>9939</v>
      </c>
      <c r="X4747" t="s">
        <v>9938</v>
      </c>
      <c r="Y4747" t="s">
        <v>7642</v>
      </c>
      <c r="Z4747" t="s">
        <v>9940</v>
      </c>
      <c r="AA4747" t="s">
        <v>9941</v>
      </c>
      <c r="AB4747" t="s">
        <v>9940</v>
      </c>
      <c r="AC4747" t="s">
        <v>9942</v>
      </c>
      <c r="AD4747" t="s">
        <v>9943</v>
      </c>
      <c r="AE4747" t="s">
        <v>9944</v>
      </c>
      <c r="AF4747" t="s">
        <v>9947</v>
      </c>
    </row>
    <row r="4748" spans="1:32" hidden="1" x14ac:dyDescent="0.35">
      <c r="A4748">
        <v>4747</v>
      </c>
      <c r="B4748" t="s">
        <v>9931</v>
      </c>
      <c r="C4748" t="s">
        <v>10127</v>
      </c>
      <c r="D4748" t="s">
        <v>34</v>
      </c>
      <c r="E4748">
        <v>2408</v>
      </c>
      <c r="F4748">
        <v>5</v>
      </c>
      <c r="G4748">
        <v>5</v>
      </c>
      <c r="H4748">
        <v>1</v>
      </c>
      <c r="I4748">
        <v>1</v>
      </c>
      <c r="J4748">
        <v>0.81592188677572397</v>
      </c>
      <c r="K4748">
        <v>0.97062756976757603</v>
      </c>
      <c r="L4748">
        <v>0.88657638352045398</v>
      </c>
      <c r="M4748">
        <v>0.65741935483870995</v>
      </c>
      <c r="N4748">
        <v>0.99387096774193595</v>
      </c>
      <c r="O4748">
        <v>0.75319354838709696</v>
      </c>
      <c r="P4748" t="s">
        <v>9932</v>
      </c>
      <c r="Q4748" t="s">
        <v>9933</v>
      </c>
      <c r="R4748" t="s">
        <v>9934</v>
      </c>
      <c r="S4748" t="s">
        <v>9935</v>
      </c>
      <c r="T4748" t="s">
        <v>9936</v>
      </c>
      <c r="U4748" t="s">
        <v>9937</v>
      </c>
      <c r="V4748" t="s">
        <v>9938</v>
      </c>
      <c r="W4748" t="s">
        <v>9939</v>
      </c>
      <c r="X4748" t="s">
        <v>9938</v>
      </c>
      <c r="Y4748" t="s">
        <v>7642</v>
      </c>
      <c r="Z4748" t="s">
        <v>9940</v>
      </c>
      <c r="AA4748" t="s">
        <v>9941</v>
      </c>
      <c r="AB4748" t="s">
        <v>9940</v>
      </c>
      <c r="AC4748" t="s">
        <v>9942</v>
      </c>
      <c r="AD4748" t="s">
        <v>9943</v>
      </c>
      <c r="AE4748" t="s">
        <v>9944</v>
      </c>
      <c r="AF4748" t="s">
        <v>9948</v>
      </c>
    </row>
    <row r="4749" spans="1:32" hidden="1" x14ac:dyDescent="0.35">
      <c r="A4749">
        <v>4748</v>
      </c>
      <c r="B4749" t="s">
        <v>9931</v>
      </c>
      <c r="C4749" t="s">
        <v>10127</v>
      </c>
      <c r="D4749" t="s">
        <v>45</v>
      </c>
      <c r="E4749">
        <v>490</v>
      </c>
      <c r="F4749">
        <v>5</v>
      </c>
      <c r="G4749">
        <v>5</v>
      </c>
      <c r="H4749">
        <v>1</v>
      </c>
      <c r="I4749">
        <v>1</v>
      </c>
      <c r="J4749">
        <v>0.81592188677572397</v>
      </c>
      <c r="K4749">
        <v>0.97062756976757603</v>
      </c>
      <c r="L4749">
        <v>0.88657638352045398</v>
      </c>
      <c r="M4749">
        <v>0.65741935483870995</v>
      </c>
      <c r="N4749">
        <v>0.99387096774193595</v>
      </c>
      <c r="O4749">
        <v>0.75319354838709696</v>
      </c>
      <c r="P4749" t="s">
        <v>9932</v>
      </c>
      <c r="Q4749" t="s">
        <v>9933</v>
      </c>
      <c r="R4749" t="s">
        <v>9934</v>
      </c>
      <c r="S4749" t="s">
        <v>9935</v>
      </c>
      <c r="T4749" t="s">
        <v>9936</v>
      </c>
      <c r="U4749" t="s">
        <v>9937</v>
      </c>
      <c r="V4749" t="s">
        <v>9938</v>
      </c>
      <c r="W4749" t="s">
        <v>9939</v>
      </c>
      <c r="X4749" t="s">
        <v>9938</v>
      </c>
      <c r="Y4749" t="s">
        <v>7642</v>
      </c>
      <c r="Z4749" t="s">
        <v>9940</v>
      </c>
      <c r="AA4749" t="s">
        <v>9941</v>
      </c>
      <c r="AB4749" t="s">
        <v>9940</v>
      </c>
      <c r="AC4749" t="s">
        <v>9942</v>
      </c>
      <c r="AD4749" t="s">
        <v>9943</v>
      </c>
      <c r="AE4749" t="s">
        <v>9944</v>
      </c>
      <c r="AF4749" t="s">
        <v>9949</v>
      </c>
    </row>
    <row r="4750" spans="1:32" hidden="1" x14ac:dyDescent="0.35">
      <c r="A4750">
        <v>4961</v>
      </c>
      <c r="B4750" t="s">
        <v>10387</v>
      </c>
      <c r="C4750" t="s">
        <v>10127</v>
      </c>
      <c r="D4750" t="s">
        <v>62</v>
      </c>
      <c r="E4750">
        <v>623</v>
      </c>
      <c r="F4750">
        <v>4</v>
      </c>
      <c r="G4750">
        <v>4</v>
      </c>
      <c r="H4750">
        <v>1</v>
      </c>
      <c r="I4750">
        <v>0</v>
      </c>
      <c r="J4750">
        <v>0.75638841567291304</v>
      </c>
      <c r="K4750">
        <v>0.97528239202658196</v>
      </c>
      <c r="L4750">
        <v>0.85200062281894196</v>
      </c>
      <c r="M4750">
        <v>0.52823920265780699</v>
      </c>
      <c r="N4750">
        <v>1</v>
      </c>
      <c r="O4750">
        <v>0.68493909191583602</v>
      </c>
      <c r="P4750" t="s">
        <v>416</v>
      </c>
      <c r="Q4750" t="s">
        <v>417</v>
      </c>
      <c r="R4750" t="s">
        <v>157</v>
      </c>
      <c r="S4750" t="s">
        <v>158</v>
      </c>
      <c r="V4750" t="s">
        <v>10388</v>
      </c>
      <c r="W4750" t="s">
        <v>10389</v>
      </c>
      <c r="AF4750" t="s">
        <v>10391</v>
      </c>
    </row>
    <row r="4751" spans="1:32" hidden="1" x14ac:dyDescent="0.35">
      <c r="A4751">
        <v>4962</v>
      </c>
      <c r="B4751" t="s">
        <v>10387</v>
      </c>
      <c r="C4751" t="s">
        <v>10127</v>
      </c>
      <c r="D4751" t="s">
        <v>34</v>
      </c>
      <c r="E4751">
        <v>2295</v>
      </c>
      <c r="F4751">
        <v>4</v>
      </c>
      <c r="G4751">
        <v>4</v>
      </c>
      <c r="H4751">
        <v>1</v>
      </c>
      <c r="I4751">
        <v>0</v>
      </c>
      <c r="J4751">
        <v>0.75638841567291304</v>
      </c>
      <c r="K4751">
        <v>0.97528239202658196</v>
      </c>
      <c r="L4751">
        <v>0.85200062281894196</v>
      </c>
      <c r="M4751">
        <v>0.52823920265780699</v>
      </c>
      <c r="N4751">
        <v>1</v>
      </c>
      <c r="O4751">
        <v>0.68493909191583602</v>
      </c>
      <c r="P4751" t="s">
        <v>416</v>
      </c>
      <c r="Q4751" t="s">
        <v>417</v>
      </c>
      <c r="R4751" t="s">
        <v>157</v>
      </c>
      <c r="S4751" t="s">
        <v>158</v>
      </c>
      <c r="V4751" t="s">
        <v>10388</v>
      </c>
      <c r="W4751" t="s">
        <v>10389</v>
      </c>
      <c r="AF4751" t="s">
        <v>10392</v>
      </c>
    </row>
    <row r="4752" spans="1:32" hidden="1" x14ac:dyDescent="0.35">
      <c r="A4752">
        <v>4963</v>
      </c>
      <c r="B4752" t="s">
        <v>10387</v>
      </c>
      <c r="C4752" t="s">
        <v>10127</v>
      </c>
      <c r="D4752" t="s">
        <v>45</v>
      </c>
      <c r="E4752">
        <v>582</v>
      </c>
      <c r="F4752">
        <v>4</v>
      </c>
      <c r="G4752">
        <v>4</v>
      </c>
      <c r="H4752">
        <v>1</v>
      </c>
      <c r="I4752">
        <v>0</v>
      </c>
      <c r="J4752">
        <v>0.75638841567291304</v>
      </c>
      <c r="K4752">
        <v>0.97528239202658196</v>
      </c>
      <c r="L4752">
        <v>0.85200062281894196</v>
      </c>
      <c r="M4752">
        <v>0.52823920265780699</v>
      </c>
      <c r="N4752">
        <v>1</v>
      </c>
      <c r="O4752">
        <v>0.68493909191583602</v>
      </c>
      <c r="P4752" t="s">
        <v>416</v>
      </c>
      <c r="Q4752" t="s">
        <v>417</v>
      </c>
      <c r="R4752" t="s">
        <v>157</v>
      </c>
      <c r="S4752" t="s">
        <v>158</v>
      </c>
      <c r="V4752" t="s">
        <v>10388</v>
      </c>
      <c r="W4752" t="s">
        <v>10389</v>
      </c>
      <c r="AF4752" t="s">
        <v>10392</v>
      </c>
    </row>
    <row r="4753" spans="1:32" hidden="1" x14ac:dyDescent="0.35">
      <c r="A4753">
        <v>5016</v>
      </c>
      <c r="B4753" t="s">
        <v>10484</v>
      </c>
      <c r="C4753" t="s">
        <v>10127</v>
      </c>
      <c r="D4753" t="s">
        <v>60</v>
      </c>
      <c r="E4753">
        <v>1063</v>
      </c>
      <c r="F4753">
        <v>4</v>
      </c>
      <c r="G4753">
        <v>4</v>
      </c>
      <c r="H4753">
        <v>1</v>
      </c>
      <c r="I4753">
        <v>0</v>
      </c>
      <c r="J4753">
        <v>0.74781313977293895</v>
      </c>
      <c r="K4753">
        <v>0.92004247286456098</v>
      </c>
      <c r="L4753">
        <v>0.82503526701485996</v>
      </c>
      <c r="M4753">
        <v>0.47546012269938598</v>
      </c>
      <c r="N4753">
        <v>1</v>
      </c>
      <c r="O4753">
        <v>0.64877300613496902</v>
      </c>
      <c r="P4753" t="s">
        <v>10485</v>
      </c>
      <c r="Q4753" t="s">
        <v>10486</v>
      </c>
      <c r="R4753" t="s">
        <v>157</v>
      </c>
      <c r="S4753" t="s">
        <v>158</v>
      </c>
      <c r="T4753" t="s">
        <v>10487</v>
      </c>
      <c r="U4753" t="s">
        <v>10488</v>
      </c>
      <c r="V4753" t="s">
        <v>10489</v>
      </c>
      <c r="W4753" t="s">
        <v>10490</v>
      </c>
      <c r="AD4753" t="s">
        <v>439</v>
      </c>
      <c r="AE4753" t="s">
        <v>10192</v>
      </c>
      <c r="AF4753" t="s">
        <v>10491</v>
      </c>
    </row>
    <row r="4754" spans="1:32" hidden="1" x14ac:dyDescent="0.35">
      <c r="A4754">
        <v>5017</v>
      </c>
      <c r="B4754" t="s">
        <v>10484</v>
      </c>
      <c r="C4754" t="s">
        <v>10127</v>
      </c>
      <c r="D4754" t="s">
        <v>62</v>
      </c>
      <c r="E4754">
        <v>1099</v>
      </c>
      <c r="F4754">
        <v>4</v>
      </c>
      <c r="G4754">
        <v>4</v>
      </c>
      <c r="H4754">
        <v>1</v>
      </c>
      <c r="I4754">
        <v>0</v>
      </c>
      <c r="J4754">
        <v>0.74781313977293895</v>
      </c>
      <c r="K4754">
        <v>0.92004247286456098</v>
      </c>
      <c r="L4754">
        <v>0.82503526701485996</v>
      </c>
      <c r="M4754">
        <v>0.47546012269938598</v>
      </c>
      <c r="N4754">
        <v>1</v>
      </c>
      <c r="O4754">
        <v>0.64877300613496902</v>
      </c>
      <c r="P4754" t="s">
        <v>10485</v>
      </c>
      <c r="Q4754" t="s">
        <v>10486</v>
      </c>
      <c r="R4754" t="s">
        <v>157</v>
      </c>
      <c r="S4754" t="s">
        <v>158</v>
      </c>
      <c r="T4754" t="s">
        <v>10487</v>
      </c>
      <c r="U4754" t="s">
        <v>10488</v>
      </c>
      <c r="V4754" t="s">
        <v>10489</v>
      </c>
      <c r="W4754" t="s">
        <v>10490</v>
      </c>
      <c r="AD4754" t="s">
        <v>439</v>
      </c>
      <c r="AE4754" t="s">
        <v>10192</v>
      </c>
      <c r="AF4754" t="s">
        <v>10492</v>
      </c>
    </row>
    <row r="4755" spans="1:32" hidden="1" x14ac:dyDescent="0.35">
      <c r="A4755">
        <v>5018</v>
      </c>
      <c r="B4755" t="s">
        <v>10484</v>
      </c>
      <c r="C4755" t="s">
        <v>10127</v>
      </c>
      <c r="D4755" t="s">
        <v>34</v>
      </c>
      <c r="E4755">
        <v>1343</v>
      </c>
      <c r="F4755">
        <v>4</v>
      </c>
      <c r="G4755">
        <v>4</v>
      </c>
      <c r="H4755">
        <v>1</v>
      </c>
      <c r="I4755">
        <v>0</v>
      </c>
      <c r="J4755">
        <v>0.74781313977293895</v>
      </c>
      <c r="K4755">
        <v>0.92004247286456098</v>
      </c>
      <c r="L4755">
        <v>0.82503526701485996</v>
      </c>
      <c r="M4755">
        <v>0.47546012269938598</v>
      </c>
      <c r="N4755">
        <v>1</v>
      </c>
      <c r="O4755">
        <v>0.64877300613496902</v>
      </c>
      <c r="P4755" t="s">
        <v>10485</v>
      </c>
      <c r="Q4755" t="s">
        <v>10486</v>
      </c>
      <c r="R4755" t="s">
        <v>157</v>
      </c>
      <c r="S4755" t="s">
        <v>158</v>
      </c>
      <c r="T4755" t="s">
        <v>10487</v>
      </c>
      <c r="U4755" t="s">
        <v>10488</v>
      </c>
      <c r="V4755" t="s">
        <v>10489</v>
      </c>
      <c r="W4755" t="s">
        <v>10490</v>
      </c>
      <c r="AD4755" t="s">
        <v>439</v>
      </c>
      <c r="AE4755" t="s">
        <v>10192</v>
      </c>
      <c r="AF4755" t="s">
        <v>10493</v>
      </c>
    </row>
    <row r="4756" spans="1:32" hidden="1" x14ac:dyDescent="0.35">
      <c r="A4756">
        <v>5019</v>
      </c>
      <c r="B4756" t="s">
        <v>10484</v>
      </c>
      <c r="C4756" t="s">
        <v>10127</v>
      </c>
      <c r="D4756" t="s">
        <v>45</v>
      </c>
      <c r="E4756">
        <v>94</v>
      </c>
      <c r="F4756">
        <v>4</v>
      </c>
      <c r="G4756">
        <v>4</v>
      </c>
      <c r="H4756">
        <v>1</v>
      </c>
      <c r="I4756">
        <v>0</v>
      </c>
      <c r="J4756">
        <v>0.74781313977293895</v>
      </c>
      <c r="K4756">
        <v>0.92004247286456098</v>
      </c>
      <c r="L4756">
        <v>0.82503526701485996</v>
      </c>
      <c r="M4756">
        <v>0.47546012269938598</v>
      </c>
      <c r="N4756">
        <v>1</v>
      </c>
      <c r="O4756">
        <v>0.64877300613496902</v>
      </c>
      <c r="P4756" t="s">
        <v>10485</v>
      </c>
      <c r="Q4756" t="s">
        <v>10486</v>
      </c>
      <c r="R4756" t="s">
        <v>157</v>
      </c>
      <c r="S4756" t="s">
        <v>158</v>
      </c>
      <c r="T4756" t="s">
        <v>10487</v>
      </c>
      <c r="U4756" t="s">
        <v>10488</v>
      </c>
      <c r="V4756" t="s">
        <v>10489</v>
      </c>
      <c r="W4756" t="s">
        <v>10490</v>
      </c>
      <c r="AD4756" t="s">
        <v>439</v>
      </c>
      <c r="AE4756" t="s">
        <v>10192</v>
      </c>
      <c r="AF4756" t="s">
        <v>10493</v>
      </c>
    </row>
    <row r="4757" spans="1:32" hidden="1" x14ac:dyDescent="0.35">
      <c r="A4757">
        <v>5020</v>
      </c>
      <c r="B4757" t="s">
        <v>10494</v>
      </c>
      <c r="C4757" t="s">
        <v>10127</v>
      </c>
      <c r="D4757" t="s">
        <v>60</v>
      </c>
      <c r="E4757">
        <v>1023</v>
      </c>
      <c r="F4757">
        <v>4</v>
      </c>
      <c r="G4757">
        <v>4</v>
      </c>
      <c r="H4757">
        <v>1</v>
      </c>
      <c r="I4757">
        <v>0</v>
      </c>
      <c r="J4757">
        <v>0.77210543877210502</v>
      </c>
      <c r="K4757">
        <v>0.97140811211703004</v>
      </c>
      <c r="L4757">
        <v>0.86036553745213096</v>
      </c>
      <c r="M4757">
        <v>0.54227405247813398</v>
      </c>
      <c r="N4757">
        <v>1</v>
      </c>
      <c r="O4757">
        <v>0.69582118561710404</v>
      </c>
      <c r="P4757" t="s">
        <v>416</v>
      </c>
      <c r="Q4757" t="s">
        <v>417</v>
      </c>
      <c r="R4757" t="s">
        <v>157</v>
      </c>
      <c r="S4757" t="s">
        <v>158</v>
      </c>
      <c r="T4757" t="s">
        <v>10495</v>
      </c>
      <c r="U4757" t="s">
        <v>10496</v>
      </c>
      <c r="V4757" t="s">
        <v>10497</v>
      </c>
      <c r="W4757" t="s">
        <v>10498</v>
      </c>
      <c r="Z4757" t="s">
        <v>10499</v>
      </c>
      <c r="AA4757" t="s">
        <v>10500</v>
      </c>
      <c r="AB4757" t="s">
        <v>10499</v>
      </c>
      <c r="AC4757" t="s">
        <v>4023</v>
      </c>
      <c r="AD4757" t="s">
        <v>951</v>
      </c>
      <c r="AE4757" t="s">
        <v>10501</v>
      </c>
      <c r="AF4757" t="s">
        <v>10502</v>
      </c>
    </row>
    <row r="4758" spans="1:32" hidden="1" x14ac:dyDescent="0.35">
      <c r="A4758">
        <v>5021</v>
      </c>
      <c r="B4758" t="s">
        <v>10494</v>
      </c>
      <c r="C4758" t="s">
        <v>10127</v>
      </c>
      <c r="D4758" t="s">
        <v>62</v>
      </c>
      <c r="E4758">
        <v>1059</v>
      </c>
      <c r="F4758">
        <v>4</v>
      </c>
      <c r="G4758">
        <v>4</v>
      </c>
      <c r="H4758">
        <v>1</v>
      </c>
      <c r="I4758">
        <v>0</v>
      </c>
      <c r="J4758">
        <v>0.77210543877210502</v>
      </c>
      <c r="K4758">
        <v>0.97140811211703004</v>
      </c>
      <c r="L4758">
        <v>0.86036553745213096</v>
      </c>
      <c r="M4758">
        <v>0.54227405247813398</v>
      </c>
      <c r="N4758">
        <v>1</v>
      </c>
      <c r="O4758">
        <v>0.69582118561710404</v>
      </c>
      <c r="P4758" t="s">
        <v>416</v>
      </c>
      <c r="Q4758" t="s">
        <v>417</v>
      </c>
      <c r="R4758" t="s">
        <v>157</v>
      </c>
      <c r="S4758" t="s">
        <v>158</v>
      </c>
      <c r="T4758" t="s">
        <v>10495</v>
      </c>
      <c r="U4758" t="s">
        <v>10496</v>
      </c>
      <c r="V4758" t="s">
        <v>10497</v>
      </c>
      <c r="W4758" t="s">
        <v>10498</v>
      </c>
      <c r="Z4758" t="s">
        <v>10499</v>
      </c>
      <c r="AA4758" t="s">
        <v>10500</v>
      </c>
      <c r="AB4758" t="s">
        <v>10499</v>
      </c>
      <c r="AC4758" t="s">
        <v>4023</v>
      </c>
      <c r="AD4758" t="s">
        <v>951</v>
      </c>
      <c r="AE4758" t="s">
        <v>10501</v>
      </c>
      <c r="AF4758" t="s">
        <v>10502</v>
      </c>
    </row>
    <row r="4759" spans="1:32" hidden="1" x14ac:dyDescent="0.35">
      <c r="A4759">
        <v>5022</v>
      </c>
      <c r="B4759" t="s">
        <v>10494</v>
      </c>
      <c r="C4759" t="s">
        <v>10127</v>
      </c>
      <c r="D4759" t="s">
        <v>34</v>
      </c>
      <c r="E4759">
        <v>786</v>
      </c>
      <c r="F4759">
        <v>4</v>
      </c>
      <c r="G4759">
        <v>4</v>
      </c>
      <c r="H4759">
        <v>1</v>
      </c>
      <c r="I4759">
        <v>0</v>
      </c>
      <c r="J4759">
        <v>0.77210543877210502</v>
      </c>
      <c r="K4759">
        <v>0.97140811211703004</v>
      </c>
      <c r="L4759">
        <v>0.86036553745213096</v>
      </c>
      <c r="M4759">
        <v>0.54227405247813398</v>
      </c>
      <c r="N4759">
        <v>1</v>
      </c>
      <c r="O4759">
        <v>0.69582118561710404</v>
      </c>
      <c r="P4759" t="s">
        <v>416</v>
      </c>
      <c r="Q4759" t="s">
        <v>417</v>
      </c>
      <c r="R4759" t="s">
        <v>157</v>
      </c>
      <c r="S4759" t="s">
        <v>158</v>
      </c>
      <c r="T4759" t="s">
        <v>10495</v>
      </c>
      <c r="U4759" t="s">
        <v>10496</v>
      </c>
      <c r="V4759" t="s">
        <v>10497</v>
      </c>
      <c r="W4759" t="s">
        <v>10498</v>
      </c>
      <c r="Z4759" t="s">
        <v>10499</v>
      </c>
      <c r="AA4759" t="s">
        <v>10500</v>
      </c>
      <c r="AB4759" t="s">
        <v>10499</v>
      </c>
      <c r="AC4759" t="s">
        <v>4023</v>
      </c>
      <c r="AD4759" t="s">
        <v>951</v>
      </c>
      <c r="AE4759" t="s">
        <v>10501</v>
      </c>
      <c r="AF4759" t="s">
        <v>10503</v>
      </c>
    </row>
    <row r="4760" spans="1:32" hidden="1" x14ac:dyDescent="0.35">
      <c r="A4760">
        <v>5023</v>
      </c>
      <c r="B4760" t="s">
        <v>10494</v>
      </c>
      <c r="C4760" t="s">
        <v>10127</v>
      </c>
      <c r="D4760" t="s">
        <v>45</v>
      </c>
      <c r="E4760">
        <v>2047</v>
      </c>
      <c r="F4760">
        <v>4</v>
      </c>
      <c r="G4760">
        <v>4</v>
      </c>
      <c r="H4760">
        <v>1</v>
      </c>
      <c r="I4760">
        <v>0</v>
      </c>
      <c r="J4760">
        <v>0.77210543877210502</v>
      </c>
      <c r="K4760">
        <v>0.97140811211703004</v>
      </c>
      <c r="L4760">
        <v>0.86036553745213096</v>
      </c>
      <c r="M4760">
        <v>0.54227405247813398</v>
      </c>
      <c r="N4760">
        <v>1</v>
      </c>
      <c r="O4760">
        <v>0.69582118561710404</v>
      </c>
      <c r="P4760" t="s">
        <v>416</v>
      </c>
      <c r="Q4760" t="s">
        <v>417</v>
      </c>
      <c r="R4760" t="s">
        <v>157</v>
      </c>
      <c r="S4760" t="s">
        <v>158</v>
      </c>
      <c r="T4760" t="s">
        <v>10495</v>
      </c>
      <c r="U4760" t="s">
        <v>10496</v>
      </c>
      <c r="V4760" t="s">
        <v>10497</v>
      </c>
      <c r="W4760" t="s">
        <v>10498</v>
      </c>
      <c r="Z4760" t="s">
        <v>10499</v>
      </c>
      <c r="AA4760" t="s">
        <v>10500</v>
      </c>
      <c r="AB4760" t="s">
        <v>10499</v>
      </c>
      <c r="AC4760" t="s">
        <v>4023</v>
      </c>
      <c r="AD4760" t="s">
        <v>951</v>
      </c>
      <c r="AE4760" t="s">
        <v>10501</v>
      </c>
      <c r="AF4760" t="s">
        <v>10504</v>
      </c>
    </row>
    <row r="4761" spans="1:32" hidden="1" x14ac:dyDescent="0.35">
      <c r="A4761">
        <v>5068</v>
      </c>
      <c r="B4761" t="s">
        <v>10581</v>
      </c>
      <c r="C4761" t="s">
        <v>10127</v>
      </c>
      <c r="D4761" t="s">
        <v>60</v>
      </c>
      <c r="E4761">
        <v>2233</v>
      </c>
      <c r="F4761">
        <v>4</v>
      </c>
      <c r="G4761">
        <v>4</v>
      </c>
      <c r="H4761">
        <v>1</v>
      </c>
      <c r="I4761">
        <v>0</v>
      </c>
      <c r="J4761">
        <v>0.91130074993535004</v>
      </c>
      <c r="K4761">
        <v>0.96017843796711599</v>
      </c>
      <c r="L4761">
        <v>0.93510132118742895</v>
      </c>
      <c r="M4761">
        <v>0.75446428571428603</v>
      </c>
      <c r="N4761">
        <v>1</v>
      </c>
      <c r="O4761">
        <v>0.83407738095238104</v>
      </c>
      <c r="P4761" t="s">
        <v>10582</v>
      </c>
      <c r="Q4761" t="s">
        <v>10583</v>
      </c>
      <c r="R4761" t="s">
        <v>157</v>
      </c>
      <c r="S4761" t="s">
        <v>158</v>
      </c>
      <c r="T4761" t="s">
        <v>10584</v>
      </c>
      <c r="U4761" t="s">
        <v>10585</v>
      </c>
      <c r="V4761" t="s">
        <v>10586</v>
      </c>
      <c r="W4761" t="s">
        <v>10587</v>
      </c>
      <c r="AD4761" t="s">
        <v>410</v>
      </c>
      <c r="AE4761" t="s">
        <v>603</v>
      </c>
      <c r="AF4761" t="s">
        <v>10588</v>
      </c>
    </row>
    <row r="4762" spans="1:32" hidden="1" x14ac:dyDescent="0.35">
      <c r="A4762">
        <v>5069</v>
      </c>
      <c r="B4762" t="s">
        <v>10581</v>
      </c>
      <c r="C4762" t="s">
        <v>10127</v>
      </c>
      <c r="D4762" t="s">
        <v>62</v>
      </c>
      <c r="E4762">
        <v>2263</v>
      </c>
      <c r="F4762">
        <v>4</v>
      </c>
      <c r="G4762">
        <v>4</v>
      </c>
      <c r="H4762">
        <v>1</v>
      </c>
      <c r="I4762">
        <v>0</v>
      </c>
      <c r="J4762">
        <v>0.91130074993535004</v>
      </c>
      <c r="K4762">
        <v>0.96017843796711599</v>
      </c>
      <c r="L4762">
        <v>0.93510132118742895</v>
      </c>
      <c r="M4762">
        <v>0.75446428571428603</v>
      </c>
      <c r="N4762">
        <v>1</v>
      </c>
      <c r="O4762">
        <v>0.83407738095238104</v>
      </c>
      <c r="P4762" t="s">
        <v>10582</v>
      </c>
      <c r="Q4762" t="s">
        <v>10583</v>
      </c>
      <c r="R4762" t="s">
        <v>157</v>
      </c>
      <c r="S4762" t="s">
        <v>158</v>
      </c>
      <c r="T4762" t="s">
        <v>10584</v>
      </c>
      <c r="U4762" t="s">
        <v>10585</v>
      </c>
      <c r="V4762" t="s">
        <v>10586</v>
      </c>
      <c r="W4762" t="s">
        <v>10587</v>
      </c>
      <c r="AD4762" t="s">
        <v>410</v>
      </c>
      <c r="AE4762" t="s">
        <v>603</v>
      </c>
      <c r="AF4762" t="s">
        <v>10588</v>
      </c>
    </row>
    <row r="4763" spans="1:32" hidden="1" x14ac:dyDescent="0.35">
      <c r="A4763">
        <v>5070</v>
      </c>
      <c r="B4763" t="s">
        <v>10581</v>
      </c>
      <c r="C4763" t="s">
        <v>10127</v>
      </c>
      <c r="D4763" t="s">
        <v>34</v>
      </c>
      <c r="E4763">
        <v>1007</v>
      </c>
      <c r="F4763">
        <v>4</v>
      </c>
      <c r="G4763">
        <v>4</v>
      </c>
      <c r="H4763">
        <v>1</v>
      </c>
      <c r="I4763">
        <v>0</v>
      </c>
      <c r="J4763">
        <v>0.91130074993535004</v>
      </c>
      <c r="K4763">
        <v>0.96017843796711599</v>
      </c>
      <c r="L4763">
        <v>0.93510132118742895</v>
      </c>
      <c r="M4763">
        <v>0.75446428571428603</v>
      </c>
      <c r="N4763">
        <v>1</v>
      </c>
      <c r="O4763">
        <v>0.83407738095238104</v>
      </c>
      <c r="P4763" t="s">
        <v>10582</v>
      </c>
      <c r="Q4763" t="s">
        <v>10583</v>
      </c>
      <c r="R4763" t="s">
        <v>157</v>
      </c>
      <c r="S4763" t="s">
        <v>158</v>
      </c>
      <c r="T4763" t="s">
        <v>10584</v>
      </c>
      <c r="U4763" t="s">
        <v>10585</v>
      </c>
      <c r="V4763" t="s">
        <v>10586</v>
      </c>
      <c r="W4763" t="s">
        <v>10587</v>
      </c>
      <c r="AD4763" t="s">
        <v>410</v>
      </c>
      <c r="AE4763" t="s">
        <v>603</v>
      </c>
      <c r="AF4763" t="s">
        <v>10589</v>
      </c>
    </row>
    <row r="4764" spans="1:32" hidden="1" x14ac:dyDescent="0.35">
      <c r="A4764">
        <v>5071</v>
      </c>
      <c r="B4764" t="s">
        <v>10581</v>
      </c>
      <c r="C4764" t="s">
        <v>10127</v>
      </c>
      <c r="D4764" t="s">
        <v>45</v>
      </c>
      <c r="E4764">
        <v>2261</v>
      </c>
      <c r="F4764">
        <v>4</v>
      </c>
      <c r="G4764">
        <v>4</v>
      </c>
      <c r="H4764">
        <v>1</v>
      </c>
      <c r="I4764">
        <v>0</v>
      </c>
      <c r="J4764">
        <v>0.91130074993535004</v>
      </c>
      <c r="K4764">
        <v>0.96017843796711599</v>
      </c>
      <c r="L4764">
        <v>0.93510132118742895</v>
      </c>
      <c r="M4764">
        <v>0.75446428571428603</v>
      </c>
      <c r="N4764">
        <v>1</v>
      </c>
      <c r="O4764">
        <v>0.83407738095238104</v>
      </c>
      <c r="P4764" t="s">
        <v>10582</v>
      </c>
      <c r="Q4764" t="s">
        <v>10583</v>
      </c>
      <c r="R4764" t="s">
        <v>157</v>
      </c>
      <c r="S4764" t="s">
        <v>158</v>
      </c>
      <c r="T4764" t="s">
        <v>10584</v>
      </c>
      <c r="U4764" t="s">
        <v>10585</v>
      </c>
      <c r="V4764" t="s">
        <v>10586</v>
      </c>
      <c r="W4764" t="s">
        <v>10587</v>
      </c>
      <c r="AD4764" t="s">
        <v>410</v>
      </c>
      <c r="AE4764" t="s">
        <v>603</v>
      </c>
      <c r="AF4764" t="s">
        <v>10590</v>
      </c>
    </row>
    <row r="4765" spans="1:32" hidden="1" x14ac:dyDescent="0.35">
      <c r="A4765">
        <v>5192</v>
      </c>
      <c r="B4765" t="s">
        <v>10802</v>
      </c>
      <c r="C4765" t="s">
        <v>10127</v>
      </c>
      <c r="D4765" t="s">
        <v>60</v>
      </c>
      <c r="E4765">
        <v>1554</v>
      </c>
      <c r="F4765">
        <v>4</v>
      </c>
      <c r="G4765">
        <v>4</v>
      </c>
      <c r="H4765">
        <v>1</v>
      </c>
      <c r="I4765">
        <v>0</v>
      </c>
      <c r="J4765">
        <v>0.79714576962283401</v>
      </c>
      <c r="K4765">
        <v>0.88068092691622102</v>
      </c>
      <c r="L4765">
        <v>0.83683383596994798</v>
      </c>
      <c r="M4765">
        <v>0.51200000000000001</v>
      </c>
      <c r="N4765">
        <v>1</v>
      </c>
      <c r="O4765">
        <v>0.67244444444444396</v>
      </c>
      <c r="P4765" t="s">
        <v>416</v>
      </c>
      <c r="Q4765" t="s">
        <v>417</v>
      </c>
      <c r="R4765" t="s">
        <v>157</v>
      </c>
      <c r="S4765" t="s">
        <v>158</v>
      </c>
      <c r="T4765" t="s">
        <v>10803</v>
      </c>
      <c r="U4765" t="s">
        <v>10804</v>
      </c>
      <c r="V4765" t="s">
        <v>10388</v>
      </c>
      <c r="W4765" t="s">
        <v>10389</v>
      </c>
      <c r="AD4765" t="s">
        <v>219</v>
      </c>
      <c r="AE4765" t="s">
        <v>10805</v>
      </c>
      <c r="AF4765" t="s">
        <v>10806</v>
      </c>
    </row>
    <row r="4766" spans="1:32" hidden="1" x14ac:dyDescent="0.35">
      <c r="A4766">
        <v>5193</v>
      </c>
      <c r="B4766" t="s">
        <v>10802</v>
      </c>
      <c r="C4766" t="s">
        <v>10127</v>
      </c>
      <c r="D4766" t="s">
        <v>62</v>
      </c>
      <c r="E4766">
        <v>1589</v>
      </c>
      <c r="F4766">
        <v>4</v>
      </c>
      <c r="G4766">
        <v>4</v>
      </c>
      <c r="H4766">
        <v>1</v>
      </c>
      <c r="I4766">
        <v>0</v>
      </c>
      <c r="J4766">
        <v>0.79714576962283401</v>
      </c>
      <c r="K4766">
        <v>0.88068092691622102</v>
      </c>
      <c r="L4766">
        <v>0.83683383596994798</v>
      </c>
      <c r="M4766">
        <v>0.51200000000000001</v>
      </c>
      <c r="N4766">
        <v>1</v>
      </c>
      <c r="O4766">
        <v>0.67244444444444396</v>
      </c>
      <c r="P4766" t="s">
        <v>416</v>
      </c>
      <c r="Q4766" t="s">
        <v>417</v>
      </c>
      <c r="R4766" t="s">
        <v>157</v>
      </c>
      <c r="S4766" t="s">
        <v>158</v>
      </c>
      <c r="T4766" t="s">
        <v>10803</v>
      </c>
      <c r="U4766" t="s">
        <v>10804</v>
      </c>
      <c r="V4766" t="s">
        <v>10388</v>
      </c>
      <c r="W4766" t="s">
        <v>10389</v>
      </c>
      <c r="AD4766" t="s">
        <v>219</v>
      </c>
      <c r="AE4766" t="s">
        <v>10805</v>
      </c>
      <c r="AF4766" t="s">
        <v>10806</v>
      </c>
    </row>
    <row r="4767" spans="1:32" hidden="1" x14ac:dyDescent="0.35">
      <c r="A4767">
        <v>5194</v>
      </c>
      <c r="B4767" t="s">
        <v>10802</v>
      </c>
      <c r="C4767" t="s">
        <v>10127</v>
      </c>
      <c r="D4767" t="s">
        <v>34</v>
      </c>
      <c r="E4767">
        <v>2412</v>
      </c>
      <c r="F4767">
        <v>4</v>
      </c>
      <c r="G4767">
        <v>4</v>
      </c>
      <c r="H4767">
        <v>1</v>
      </c>
      <c r="I4767">
        <v>0</v>
      </c>
      <c r="J4767">
        <v>0.79714576962283401</v>
      </c>
      <c r="K4767">
        <v>0.88068092691622102</v>
      </c>
      <c r="L4767">
        <v>0.83683383596994798</v>
      </c>
      <c r="M4767">
        <v>0.51200000000000001</v>
      </c>
      <c r="N4767">
        <v>1</v>
      </c>
      <c r="O4767">
        <v>0.67244444444444396</v>
      </c>
      <c r="P4767" t="s">
        <v>416</v>
      </c>
      <c r="Q4767" t="s">
        <v>417</v>
      </c>
      <c r="R4767" t="s">
        <v>157</v>
      </c>
      <c r="S4767" t="s">
        <v>158</v>
      </c>
      <c r="T4767" t="s">
        <v>10803</v>
      </c>
      <c r="U4767" t="s">
        <v>10804</v>
      </c>
      <c r="V4767" t="s">
        <v>10388</v>
      </c>
      <c r="W4767" t="s">
        <v>10389</v>
      </c>
      <c r="AD4767" t="s">
        <v>219</v>
      </c>
      <c r="AE4767" t="s">
        <v>10805</v>
      </c>
      <c r="AF4767" t="s">
        <v>10807</v>
      </c>
    </row>
    <row r="4768" spans="1:32" hidden="1" x14ac:dyDescent="0.35">
      <c r="A4768">
        <v>5195</v>
      </c>
      <c r="B4768" t="s">
        <v>10802</v>
      </c>
      <c r="C4768" t="s">
        <v>10127</v>
      </c>
      <c r="D4768" t="s">
        <v>45</v>
      </c>
      <c r="E4768">
        <v>485</v>
      </c>
      <c r="F4768">
        <v>4</v>
      </c>
      <c r="G4768">
        <v>4</v>
      </c>
      <c r="H4768">
        <v>1</v>
      </c>
      <c r="I4768">
        <v>0</v>
      </c>
      <c r="J4768">
        <v>0.79714576962283401</v>
      </c>
      <c r="K4768">
        <v>0.88068092691622102</v>
      </c>
      <c r="L4768">
        <v>0.83683383596994798</v>
      </c>
      <c r="M4768">
        <v>0.51200000000000001</v>
      </c>
      <c r="N4768">
        <v>1</v>
      </c>
      <c r="O4768">
        <v>0.67244444444444396</v>
      </c>
      <c r="P4768" t="s">
        <v>416</v>
      </c>
      <c r="Q4768" t="s">
        <v>417</v>
      </c>
      <c r="R4768" t="s">
        <v>157</v>
      </c>
      <c r="S4768" t="s">
        <v>158</v>
      </c>
      <c r="T4768" t="s">
        <v>10803</v>
      </c>
      <c r="U4768" t="s">
        <v>10804</v>
      </c>
      <c r="V4768" t="s">
        <v>10388</v>
      </c>
      <c r="W4768" t="s">
        <v>10389</v>
      </c>
      <c r="AD4768" t="s">
        <v>219</v>
      </c>
      <c r="AE4768" t="s">
        <v>10805</v>
      </c>
      <c r="AF4768" t="s">
        <v>10808</v>
      </c>
    </row>
    <row r="4769" spans="1:32" hidden="1" x14ac:dyDescent="0.35">
      <c r="A4769">
        <v>5200</v>
      </c>
      <c r="B4769" t="s">
        <v>10821</v>
      </c>
      <c r="C4769" t="s">
        <v>10127</v>
      </c>
      <c r="D4769" t="s">
        <v>60</v>
      </c>
      <c r="E4769">
        <v>727</v>
      </c>
      <c r="F4769">
        <v>4</v>
      </c>
      <c r="G4769">
        <v>4</v>
      </c>
      <c r="H4769">
        <v>1</v>
      </c>
      <c r="I4769">
        <v>0</v>
      </c>
      <c r="J4769">
        <v>0.78592788038698302</v>
      </c>
      <c r="K4769">
        <v>0.918820918997864</v>
      </c>
      <c r="L4769">
        <v>0.84719458677288795</v>
      </c>
      <c r="M4769">
        <v>0.54202898550724599</v>
      </c>
      <c r="N4769">
        <v>1</v>
      </c>
      <c r="O4769">
        <v>0.69420289855072503</v>
      </c>
      <c r="P4769" t="s">
        <v>10822</v>
      </c>
      <c r="Q4769" t="s">
        <v>10823</v>
      </c>
      <c r="R4769" t="s">
        <v>157</v>
      </c>
      <c r="S4769" t="s">
        <v>158</v>
      </c>
      <c r="V4769" t="s">
        <v>10824</v>
      </c>
      <c r="W4769" t="s">
        <v>10825</v>
      </c>
      <c r="AF4769" t="s">
        <v>10826</v>
      </c>
    </row>
    <row r="4770" spans="1:32" hidden="1" x14ac:dyDescent="0.35">
      <c r="A4770">
        <v>5201</v>
      </c>
      <c r="B4770" t="s">
        <v>10821</v>
      </c>
      <c r="C4770" t="s">
        <v>10127</v>
      </c>
      <c r="D4770" t="s">
        <v>62</v>
      </c>
      <c r="E4770">
        <v>758</v>
      </c>
      <c r="F4770">
        <v>4</v>
      </c>
      <c r="G4770">
        <v>4</v>
      </c>
      <c r="H4770">
        <v>1</v>
      </c>
      <c r="I4770">
        <v>0</v>
      </c>
      <c r="J4770">
        <v>0.78592788038698302</v>
      </c>
      <c r="K4770">
        <v>0.918820918997864</v>
      </c>
      <c r="L4770">
        <v>0.84719458677288795</v>
      </c>
      <c r="M4770">
        <v>0.54202898550724599</v>
      </c>
      <c r="N4770">
        <v>1</v>
      </c>
      <c r="O4770">
        <v>0.69420289855072503</v>
      </c>
      <c r="P4770" t="s">
        <v>10822</v>
      </c>
      <c r="Q4770" t="s">
        <v>10823</v>
      </c>
      <c r="R4770" t="s">
        <v>157</v>
      </c>
      <c r="S4770" t="s">
        <v>158</v>
      </c>
      <c r="V4770" t="s">
        <v>10824</v>
      </c>
      <c r="W4770" t="s">
        <v>10825</v>
      </c>
      <c r="AF4770" t="s">
        <v>10827</v>
      </c>
    </row>
    <row r="4771" spans="1:32" hidden="1" x14ac:dyDescent="0.35">
      <c r="A4771">
        <v>5202</v>
      </c>
      <c r="B4771" t="s">
        <v>10821</v>
      </c>
      <c r="C4771" t="s">
        <v>10127</v>
      </c>
      <c r="D4771" t="s">
        <v>34</v>
      </c>
      <c r="E4771">
        <v>409</v>
      </c>
      <c r="F4771">
        <v>4</v>
      </c>
      <c r="G4771">
        <v>4</v>
      </c>
      <c r="H4771">
        <v>1</v>
      </c>
      <c r="I4771">
        <v>0</v>
      </c>
      <c r="J4771">
        <v>0.78592788038698302</v>
      </c>
      <c r="K4771">
        <v>0.918820918997864</v>
      </c>
      <c r="L4771">
        <v>0.84719458677288795</v>
      </c>
      <c r="M4771">
        <v>0.54202898550724599</v>
      </c>
      <c r="N4771">
        <v>1</v>
      </c>
      <c r="O4771">
        <v>0.69420289855072503</v>
      </c>
      <c r="P4771" t="s">
        <v>10822</v>
      </c>
      <c r="Q4771" t="s">
        <v>10823</v>
      </c>
      <c r="R4771" t="s">
        <v>157</v>
      </c>
      <c r="S4771" t="s">
        <v>158</v>
      </c>
      <c r="V4771" t="s">
        <v>10824</v>
      </c>
      <c r="W4771" t="s">
        <v>10825</v>
      </c>
      <c r="AF4771" t="s">
        <v>10828</v>
      </c>
    </row>
    <row r="4772" spans="1:32" hidden="1" x14ac:dyDescent="0.35">
      <c r="A4772">
        <v>5203</v>
      </c>
      <c r="B4772" t="s">
        <v>10821</v>
      </c>
      <c r="C4772" t="s">
        <v>10127</v>
      </c>
      <c r="D4772" t="s">
        <v>45</v>
      </c>
      <c r="E4772">
        <v>1671</v>
      </c>
      <c r="F4772">
        <v>4</v>
      </c>
      <c r="G4772">
        <v>4</v>
      </c>
      <c r="H4772">
        <v>1</v>
      </c>
      <c r="I4772">
        <v>0</v>
      </c>
      <c r="J4772">
        <v>0.78592788038698302</v>
      </c>
      <c r="K4772">
        <v>0.918820918997864</v>
      </c>
      <c r="L4772">
        <v>0.84719458677288795</v>
      </c>
      <c r="M4772">
        <v>0.54202898550724599</v>
      </c>
      <c r="N4772">
        <v>1</v>
      </c>
      <c r="O4772">
        <v>0.69420289855072503</v>
      </c>
      <c r="P4772" t="s">
        <v>10822</v>
      </c>
      <c r="Q4772" t="s">
        <v>10823</v>
      </c>
      <c r="R4772" t="s">
        <v>157</v>
      </c>
      <c r="S4772" t="s">
        <v>158</v>
      </c>
      <c r="V4772" t="s">
        <v>10824</v>
      </c>
      <c r="W4772" t="s">
        <v>10825</v>
      </c>
      <c r="AF4772" t="s">
        <v>10828</v>
      </c>
    </row>
    <row r="4773" spans="1:32" hidden="1" x14ac:dyDescent="0.35">
      <c r="A4773">
        <v>5370</v>
      </c>
      <c r="B4773" t="s">
        <v>11120</v>
      </c>
      <c r="C4773" t="s">
        <v>10127</v>
      </c>
      <c r="D4773" t="s">
        <v>34</v>
      </c>
      <c r="E4773">
        <v>1853</v>
      </c>
      <c r="F4773">
        <v>4</v>
      </c>
      <c r="G4773">
        <v>4</v>
      </c>
      <c r="H4773">
        <v>1</v>
      </c>
      <c r="I4773">
        <v>0</v>
      </c>
      <c r="J4773">
        <v>0.75974981604120695</v>
      </c>
      <c r="K4773">
        <v>0.93940217391304504</v>
      </c>
      <c r="L4773">
        <v>0.84007861926273197</v>
      </c>
      <c r="M4773">
        <v>0.50931677018633503</v>
      </c>
      <c r="N4773">
        <v>1</v>
      </c>
      <c r="O4773">
        <v>0.67184265010351996</v>
      </c>
      <c r="R4773" t="s">
        <v>157</v>
      </c>
      <c r="S4773" t="s">
        <v>158</v>
      </c>
      <c r="T4773" t="s">
        <v>11123</v>
      </c>
      <c r="U4773" t="s">
        <v>11124</v>
      </c>
      <c r="V4773" t="s">
        <v>11127</v>
      </c>
      <c r="W4773" t="s">
        <v>11128</v>
      </c>
      <c r="AD4773" t="s">
        <v>410</v>
      </c>
      <c r="AE4773" t="s">
        <v>603</v>
      </c>
      <c r="AF4773" t="s">
        <v>11129</v>
      </c>
    </row>
    <row r="4774" spans="1:32" hidden="1" x14ac:dyDescent="0.35">
      <c r="A4774">
        <v>5371</v>
      </c>
      <c r="B4774" t="s">
        <v>11120</v>
      </c>
      <c r="C4774" t="s">
        <v>10127</v>
      </c>
      <c r="D4774" t="s">
        <v>45</v>
      </c>
      <c r="E4774">
        <v>1020</v>
      </c>
      <c r="F4774">
        <v>4</v>
      </c>
      <c r="G4774">
        <v>4</v>
      </c>
      <c r="H4774">
        <v>1</v>
      </c>
      <c r="I4774">
        <v>0</v>
      </c>
      <c r="J4774">
        <v>0.75974981604120695</v>
      </c>
      <c r="K4774">
        <v>0.93940217391304504</v>
      </c>
      <c r="L4774">
        <v>0.84007861926273197</v>
      </c>
      <c r="M4774">
        <v>0.50931677018633503</v>
      </c>
      <c r="N4774">
        <v>1</v>
      </c>
      <c r="O4774">
        <v>0.67184265010351996</v>
      </c>
      <c r="R4774" t="s">
        <v>157</v>
      </c>
      <c r="S4774" t="s">
        <v>158</v>
      </c>
      <c r="T4774" t="s">
        <v>11123</v>
      </c>
      <c r="U4774" t="s">
        <v>11124</v>
      </c>
      <c r="V4774" t="s">
        <v>11127</v>
      </c>
      <c r="W4774" t="s">
        <v>11128</v>
      </c>
      <c r="AD4774" t="s">
        <v>410</v>
      </c>
      <c r="AE4774" t="s">
        <v>603</v>
      </c>
      <c r="AF4774" t="s">
        <v>11130</v>
      </c>
    </row>
    <row r="4775" spans="1:32" hidden="1" x14ac:dyDescent="0.35">
      <c r="A4775">
        <v>11871</v>
      </c>
      <c r="B4775" t="s">
        <v>24425</v>
      </c>
      <c r="C4775" t="s">
        <v>33</v>
      </c>
      <c r="D4775" t="s">
        <v>58</v>
      </c>
      <c r="E4775">
        <v>254</v>
      </c>
      <c r="F4775">
        <v>1</v>
      </c>
      <c r="G4775">
        <v>1</v>
      </c>
      <c r="H4775">
        <v>1</v>
      </c>
      <c r="I4775">
        <v>0</v>
      </c>
      <c r="J4775">
        <v>1</v>
      </c>
      <c r="K4775">
        <v>1</v>
      </c>
      <c r="L4775">
        <v>1</v>
      </c>
      <c r="M4775">
        <v>0</v>
      </c>
      <c r="N4775">
        <v>0</v>
      </c>
      <c r="O4775">
        <v>0</v>
      </c>
      <c r="P4775" t="s">
        <v>3912</v>
      </c>
      <c r="Q4775" t="s">
        <v>3913</v>
      </c>
      <c r="R4775" t="s">
        <v>1191</v>
      </c>
      <c r="S4775" t="s">
        <v>1192</v>
      </c>
      <c r="V4775" t="s">
        <v>3914</v>
      </c>
      <c r="W4775" t="s">
        <v>3915</v>
      </c>
      <c r="AF4775" t="s">
        <v>24426</v>
      </c>
    </row>
    <row r="4776" spans="1:32" hidden="1" x14ac:dyDescent="0.35">
      <c r="A4776">
        <v>4665</v>
      </c>
      <c r="B4776" t="s">
        <v>9748</v>
      </c>
      <c r="C4776" t="s">
        <v>10127</v>
      </c>
      <c r="D4776" t="s">
        <v>60</v>
      </c>
      <c r="E4776">
        <v>544</v>
      </c>
      <c r="F4776">
        <v>5</v>
      </c>
      <c r="G4776">
        <v>5</v>
      </c>
      <c r="H4776">
        <v>1</v>
      </c>
      <c r="I4776">
        <v>1</v>
      </c>
      <c r="J4776">
        <v>0.76666666666666705</v>
      </c>
      <c r="K4776">
        <v>0.84212062065022297</v>
      </c>
      <c r="L4776">
        <v>0.80262420551810298</v>
      </c>
      <c r="M4776">
        <v>0.50783699059561105</v>
      </c>
      <c r="N4776">
        <v>0.99686520376175503</v>
      </c>
      <c r="O4776">
        <v>0.67021943573667697</v>
      </c>
      <c r="P4776" t="s">
        <v>9749</v>
      </c>
      <c r="Q4776" t="s">
        <v>9750</v>
      </c>
      <c r="R4776" t="s">
        <v>869</v>
      </c>
      <c r="S4776" t="s">
        <v>870</v>
      </c>
      <c r="T4776" t="s">
        <v>9751</v>
      </c>
      <c r="U4776" t="s">
        <v>9752</v>
      </c>
      <c r="V4776" t="s">
        <v>9753</v>
      </c>
      <c r="W4776" t="s">
        <v>9754</v>
      </c>
      <c r="X4776" t="s">
        <v>9753</v>
      </c>
      <c r="Y4776" t="s">
        <v>2038</v>
      </c>
      <c r="AD4776" t="s">
        <v>5644</v>
      </c>
      <c r="AE4776" t="s">
        <v>9755</v>
      </c>
      <c r="AF4776" t="s">
        <v>9757</v>
      </c>
    </row>
    <row r="4777" spans="1:32" hidden="1" x14ac:dyDescent="0.35">
      <c r="A4777">
        <v>4666</v>
      </c>
      <c r="B4777" t="s">
        <v>9748</v>
      </c>
      <c r="C4777" t="s">
        <v>10127</v>
      </c>
      <c r="D4777" t="s">
        <v>62</v>
      </c>
      <c r="E4777">
        <v>628</v>
      </c>
      <c r="F4777">
        <v>5</v>
      </c>
      <c r="G4777">
        <v>5</v>
      </c>
      <c r="H4777">
        <v>1</v>
      </c>
      <c r="I4777">
        <v>1</v>
      </c>
      <c r="J4777">
        <v>0.76666666666666705</v>
      </c>
      <c r="K4777">
        <v>0.84212062065022297</v>
      </c>
      <c r="L4777">
        <v>0.80262420551810298</v>
      </c>
      <c r="M4777">
        <v>0.50783699059561105</v>
      </c>
      <c r="N4777">
        <v>0.99686520376175503</v>
      </c>
      <c r="O4777">
        <v>0.67021943573667697</v>
      </c>
      <c r="P4777" t="s">
        <v>9749</v>
      </c>
      <c r="Q4777" t="s">
        <v>9750</v>
      </c>
      <c r="R4777" t="s">
        <v>869</v>
      </c>
      <c r="S4777" t="s">
        <v>870</v>
      </c>
      <c r="T4777" t="s">
        <v>9751</v>
      </c>
      <c r="U4777" t="s">
        <v>9752</v>
      </c>
      <c r="V4777" t="s">
        <v>9753</v>
      </c>
      <c r="W4777" t="s">
        <v>9754</v>
      </c>
      <c r="X4777" t="s">
        <v>9753</v>
      </c>
      <c r="Y4777" t="s">
        <v>2038</v>
      </c>
      <c r="AD4777" t="s">
        <v>5644</v>
      </c>
      <c r="AE4777" t="s">
        <v>9755</v>
      </c>
      <c r="AF4777" t="s">
        <v>9758</v>
      </c>
    </row>
    <row r="4778" spans="1:32" hidden="1" x14ac:dyDescent="0.35">
      <c r="A4778">
        <v>4667</v>
      </c>
      <c r="B4778" t="s">
        <v>9748</v>
      </c>
      <c r="C4778" t="s">
        <v>10127</v>
      </c>
      <c r="D4778" t="s">
        <v>34</v>
      </c>
      <c r="E4778">
        <v>539</v>
      </c>
      <c r="F4778">
        <v>5</v>
      </c>
      <c r="G4778">
        <v>5</v>
      </c>
      <c r="H4778">
        <v>1</v>
      </c>
      <c r="I4778">
        <v>1</v>
      </c>
      <c r="J4778">
        <v>0.76666666666666705</v>
      </c>
      <c r="K4778">
        <v>0.84212062065022297</v>
      </c>
      <c r="L4778">
        <v>0.80262420551810298</v>
      </c>
      <c r="M4778">
        <v>0.50783699059561105</v>
      </c>
      <c r="N4778">
        <v>0.99686520376175503</v>
      </c>
      <c r="O4778">
        <v>0.67021943573667697</v>
      </c>
      <c r="P4778" t="s">
        <v>9749</v>
      </c>
      <c r="Q4778" t="s">
        <v>9750</v>
      </c>
      <c r="R4778" t="s">
        <v>869</v>
      </c>
      <c r="S4778" t="s">
        <v>870</v>
      </c>
      <c r="T4778" t="s">
        <v>9751</v>
      </c>
      <c r="U4778" t="s">
        <v>9752</v>
      </c>
      <c r="V4778" t="s">
        <v>9753</v>
      </c>
      <c r="W4778" t="s">
        <v>9754</v>
      </c>
      <c r="X4778" t="s">
        <v>9753</v>
      </c>
      <c r="Y4778" t="s">
        <v>2038</v>
      </c>
      <c r="AD4778" t="s">
        <v>5644</v>
      </c>
      <c r="AE4778" t="s">
        <v>9755</v>
      </c>
      <c r="AF4778" t="s">
        <v>9759</v>
      </c>
    </row>
    <row r="4779" spans="1:32" hidden="1" x14ac:dyDescent="0.35">
      <c r="A4779">
        <v>4668</v>
      </c>
      <c r="B4779" t="s">
        <v>9748</v>
      </c>
      <c r="C4779" t="s">
        <v>10127</v>
      </c>
      <c r="D4779" t="s">
        <v>45</v>
      </c>
      <c r="E4779">
        <v>1806</v>
      </c>
      <c r="F4779">
        <v>5</v>
      </c>
      <c r="G4779">
        <v>5</v>
      </c>
      <c r="H4779">
        <v>1</v>
      </c>
      <c r="I4779">
        <v>1</v>
      </c>
      <c r="J4779">
        <v>0.76666666666666705</v>
      </c>
      <c r="K4779">
        <v>0.84212062065022297</v>
      </c>
      <c r="L4779">
        <v>0.80262420551810298</v>
      </c>
      <c r="M4779">
        <v>0.50783699059561105</v>
      </c>
      <c r="N4779">
        <v>0.99686520376175503</v>
      </c>
      <c r="O4779">
        <v>0.67021943573667697</v>
      </c>
      <c r="P4779" t="s">
        <v>9749</v>
      </c>
      <c r="Q4779" t="s">
        <v>9750</v>
      </c>
      <c r="R4779" t="s">
        <v>869</v>
      </c>
      <c r="S4779" t="s">
        <v>870</v>
      </c>
      <c r="T4779" t="s">
        <v>9751</v>
      </c>
      <c r="U4779" t="s">
        <v>9752</v>
      </c>
      <c r="V4779" t="s">
        <v>9753</v>
      </c>
      <c r="W4779" t="s">
        <v>9754</v>
      </c>
      <c r="X4779" t="s">
        <v>9753</v>
      </c>
      <c r="Y4779" t="s">
        <v>2038</v>
      </c>
      <c r="AD4779" t="s">
        <v>5644</v>
      </c>
      <c r="AE4779" t="s">
        <v>9755</v>
      </c>
      <c r="AF4779" t="s">
        <v>9760</v>
      </c>
    </row>
    <row r="4780" spans="1:32" hidden="1" x14ac:dyDescent="0.35">
      <c r="A4780">
        <v>4779</v>
      </c>
      <c r="B4780" t="s">
        <v>10025</v>
      </c>
      <c r="C4780" t="s">
        <v>10127</v>
      </c>
      <c r="D4780" t="s">
        <v>58</v>
      </c>
      <c r="E4780">
        <v>1276</v>
      </c>
      <c r="F4780">
        <v>5</v>
      </c>
      <c r="G4780">
        <v>5</v>
      </c>
      <c r="H4780">
        <v>1</v>
      </c>
      <c r="I4780">
        <v>1</v>
      </c>
      <c r="J4780">
        <v>0.78144764581869297</v>
      </c>
      <c r="K4780">
        <v>0.930127099699813</v>
      </c>
      <c r="L4780">
        <v>0.84932969977001704</v>
      </c>
      <c r="M4780">
        <v>0.54071661237784996</v>
      </c>
      <c r="N4780">
        <v>0.99674267100977199</v>
      </c>
      <c r="O4780">
        <v>0.67231270358306205</v>
      </c>
      <c r="P4780" t="s">
        <v>10026</v>
      </c>
      <c r="Q4780" t="s">
        <v>10027</v>
      </c>
      <c r="R4780" t="s">
        <v>288</v>
      </c>
      <c r="S4780" t="s">
        <v>289</v>
      </c>
      <c r="T4780" t="s">
        <v>10028</v>
      </c>
      <c r="U4780" t="s">
        <v>10029</v>
      </c>
      <c r="V4780" t="s">
        <v>10030</v>
      </c>
      <c r="W4780" t="s">
        <v>10031</v>
      </c>
      <c r="AD4780" t="s">
        <v>166</v>
      </c>
      <c r="AE4780" t="s">
        <v>818</v>
      </c>
      <c r="AF4780" t="s">
        <v>10032</v>
      </c>
    </row>
    <row r="4781" spans="1:32" hidden="1" x14ac:dyDescent="0.35">
      <c r="A4781">
        <v>4780</v>
      </c>
      <c r="B4781" t="s">
        <v>10025</v>
      </c>
      <c r="C4781" t="s">
        <v>10127</v>
      </c>
      <c r="D4781" t="s">
        <v>60</v>
      </c>
      <c r="E4781">
        <v>1719</v>
      </c>
      <c r="F4781">
        <v>5</v>
      </c>
      <c r="G4781">
        <v>5</v>
      </c>
      <c r="H4781">
        <v>1</v>
      </c>
      <c r="I4781">
        <v>1</v>
      </c>
      <c r="J4781">
        <v>0.78144764581869297</v>
      </c>
      <c r="K4781">
        <v>0.930127099699813</v>
      </c>
      <c r="L4781">
        <v>0.84932969977001704</v>
      </c>
      <c r="M4781">
        <v>0.54071661237784996</v>
      </c>
      <c r="N4781">
        <v>0.99674267100977199</v>
      </c>
      <c r="O4781">
        <v>0.67231270358306205</v>
      </c>
      <c r="P4781" t="s">
        <v>10026</v>
      </c>
      <c r="Q4781" t="s">
        <v>10027</v>
      </c>
      <c r="R4781" t="s">
        <v>288</v>
      </c>
      <c r="S4781" t="s">
        <v>289</v>
      </c>
      <c r="T4781" t="s">
        <v>10028</v>
      </c>
      <c r="U4781" t="s">
        <v>10029</v>
      </c>
      <c r="V4781" t="s">
        <v>10030</v>
      </c>
      <c r="W4781" t="s">
        <v>10031</v>
      </c>
      <c r="AD4781" t="s">
        <v>166</v>
      </c>
      <c r="AE4781" t="s">
        <v>818</v>
      </c>
      <c r="AF4781" t="s">
        <v>10033</v>
      </c>
    </row>
    <row r="4782" spans="1:32" hidden="1" x14ac:dyDescent="0.35">
      <c r="A4782">
        <v>4781</v>
      </c>
      <c r="B4782" t="s">
        <v>10025</v>
      </c>
      <c r="C4782" t="s">
        <v>10127</v>
      </c>
      <c r="D4782" t="s">
        <v>62</v>
      </c>
      <c r="E4782">
        <v>1754</v>
      </c>
      <c r="F4782">
        <v>5</v>
      </c>
      <c r="G4782">
        <v>5</v>
      </c>
      <c r="H4782">
        <v>1</v>
      </c>
      <c r="I4782">
        <v>1</v>
      </c>
      <c r="J4782">
        <v>0.78144764581869297</v>
      </c>
      <c r="K4782">
        <v>0.930127099699813</v>
      </c>
      <c r="L4782">
        <v>0.84932969977001704</v>
      </c>
      <c r="M4782">
        <v>0.54071661237784996</v>
      </c>
      <c r="N4782">
        <v>0.99674267100977199</v>
      </c>
      <c r="O4782">
        <v>0.67231270358306205</v>
      </c>
      <c r="P4782" t="s">
        <v>10026</v>
      </c>
      <c r="Q4782" t="s">
        <v>10027</v>
      </c>
      <c r="R4782" t="s">
        <v>288</v>
      </c>
      <c r="S4782" t="s">
        <v>289</v>
      </c>
      <c r="T4782" t="s">
        <v>10028</v>
      </c>
      <c r="U4782" t="s">
        <v>10029</v>
      </c>
      <c r="V4782" t="s">
        <v>10030</v>
      </c>
      <c r="W4782" t="s">
        <v>10031</v>
      </c>
      <c r="AD4782" t="s">
        <v>166</v>
      </c>
      <c r="AE4782" t="s">
        <v>818</v>
      </c>
      <c r="AF4782" t="s">
        <v>10034</v>
      </c>
    </row>
    <row r="4783" spans="1:32" hidden="1" x14ac:dyDescent="0.35">
      <c r="A4783">
        <v>4782</v>
      </c>
      <c r="B4783" t="s">
        <v>10025</v>
      </c>
      <c r="C4783" t="s">
        <v>10127</v>
      </c>
      <c r="D4783" t="s">
        <v>34</v>
      </c>
      <c r="E4783">
        <v>2095</v>
      </c>
      <c r="F4783">
        <v>5</v>
      </c>
      <c r="G4783">
        <v>5</v>
      </c>
      <c r="H4783">
        <v>1</v>
      </c>
      <c r="I4783">
        <v>1</v>
      </c>
      <c r="J4783">
        <v>0.78144764581869297</v>
      </c>
      <c r="K4783">
        <v>0.930127099699813</v>
      </c>
      <c r="L4783">
        <v>0.84932969977001704</v>
      </c>
      <c r="M4783">
        <v>0.54071661237784996</v>
      </c>
      <c r="N4783">
        <v>0.99674267100977199</v>
      </c>
      <c r="O4783">
        <v>0.67231270358306205</v>
      </c>
      <c r="P4783" t="s">
        <v>10026</v>
      </c>
      <c r="Q4783" t="s">
        <v>10027</v>
      </c>
      <c r="R4783" t="s">
        <v>288</v>
      </c>
      <c r="S4783" t="s">
        <v>289</v>
      </c>
      <c r="T4783" t="s">
        <v>10028</v>
      </c>
      <c r="U4783" t="s">
        <v>10029</v>
      </c>
      <c r="V4783" t="s">
        <v>10030</v>
      </c>
      <c r="W4783" t="s">
        <v>10031</v>
      </c>
      <c r="AD4783" t="s">
        <v>166</v>
      </c>
      <c r="AE4783" t="s">
        <v>818</v>
      </c>
      <c r="AF4783" t="s">
        <v>10035</v>
      </c>
    </row>
    <row r="4784" spans="1:32" hidden="1" x14ac:dyDescent="0.35">
      <c r="A4784">
        <v>4783</v>
      </c>
      <c r="B4784" t="s">
        <v>10025</v>
      </c>
      <c r="C4784" t="s">
        <v>10127</v>
      </c>
      <c r="D4784" t="s">
        <v>45</v>
      </c>
      <c r="E4784">
        <v>777</v>
      </c>
      <c r="F4784">
        <v>5</v>
      </c>
      <c r="G4784">
        <v>5</v>
      </c>
      <c r="H4784">
        <v>1</v>
      </c>
      <c r="I4784">
        <v>1</v>
      </c>
      <c r="J4784">
        <v>0.78144764581869297</v>
      </c>
      <c r="K4784">
        <v>0.930127099699813</v>
      </c>
      <c r="L4784">
        <v>0.84932969977001704</v>
      </c>
      <c r="M4784">
        <v>0.54071661237784996</v>
      </c>
      <c r="N4784">
        <v>0.99674267100977199</v>
      </c>
      <c r="O4784">
        <v>0.67231270358306205</v>
      </c>
      <c r="P4784" t="s">
        <v>10026</v>
      </c>
      <c r="Q4784" t="s">
        <v>10027</v>
      </c>
      <c r="R4784" t="s">
        <v>288</v>
      </c>
      <c r="S4784" t="s">
        <v>289</v>
      </c>
      <c r="T4784" t="s">
        <v>10028</v>
      </c>
      <c r="U4784" t="s">
        <v>10029</v>
      </c>
      <c r="V4784" t="s">
        <v>10030</v>
      </c>
      <c r="W4784" t="s">
        <v>10031</v>
      </c>
      <c r="AD4784" t="s">
        <v>166</v>
      </c>
      <c r="AE4784" t="s">
        <v>818</v>
      </c>
      <c r="AF4784" t="s">
        <v>10036</v>
      </c>
    </row>
    <row r="4785" spans="1:32" hidden="1" x14ac:dyDescent="0.35">
      <c r="A4785">
        <v>4784</v>
      </c>
      <c r="B4785" t="s">
        <v>10037</v>
      </c>
      <c r="C4785" t="s">
        <v>10127</v>
      </c>
      <c r="D4785" t="s">
        <v>58</v>
      </c>
      <c r="E4785">
        <v>1301</v>
      </c>
      <c r="F4785">
        <v>5</v>
      </c>
      <c r="G4785">
        <v>5</v>
      </c>
      <c r="H4785">
        <v>1</v>
      </c>
      <c r="I4785">
        <v>1</v>
      </c>
      <c r="J4785">
        <v>0.78991818421747195</v>
      </c>
      <c r="K4785">
        <v>0.90620338292235803</v>
      </c>
      <c r="L4785">
        <v>0.84407455767083694</v>
      </c>
      <c r="M4785">
        <v>0.57203994293865901</v>
      </c>
      <c r="N4785">
        <v>0.997146932952924</v>
      </c>
      <c r="O4785">
        <v>0.68815977175463605</v>
      </c>
      <c r="P4785" t="s">
        <v>1606</v>
      </c>
      <c r="Q4785" t="s">
        <v>1607</v>
      </c>
      <c r="R4785" t="s">
        <v>1608</v>
      </c>
      <c r="S4785" t="s">
        <v>1609</v>
      </c>
      <c r="T4785" t="s">
        <v>10038</v>
      </c>
      <c r="U4785" t="s">
        <v>10039</v>
      </c>
      <c r="V4785" t="s">
        <v>1612</v>
      </c>
      <c r="W4785" t="s">
        <v>1613</v>
      </c>
      <c r="AD4785" t="s">
        <v>10040</v>
      </c>
      <c r="AE4785" t="s">
        <v>10041</v>
      </c>
      <c r="AF4785" t="s">
        <v>10042</v>
      </c>
    </row>
    <row r="4786" spans="1:32" hidden="1" x14ac:dyDescent="0.35">
      <c r="A4786">
        <v>4785</v>
      </c>
      <c r="B4786" t="s">
        <v>10037</v>
      </c>
      <c r="C4786" t="s">
        <v>10127</v>
      </c>
      <c r="D4786" t="s">
        <v>60</v>
      </c>
      <c r="E4786">
        <v>1756</v>
      </c>
      <c r="F4786">
        <v>5</v>
      </c>
      <c r="G4786">
        <v>5</v>
      </c>
      <c r="H4786">
        <v>1</v>
      </c>
      <c r="I4786">
        <v>1</v>
      </c>
      <c r="J4786">
        <v>0.78991818421747195</v>
      </c>
      <c r="K4786">
        <v>0.90620338292235803</v>
      </c>
      <c r="L4786">
        <v>0.84407455767083694</v>
      </c>
      <c r="M4786">
        <v>0.57203994293865901</v>
      </c>
      <c r="N4786">
        <v>0.997146932952924</v>
      </c>
      <c r="O4786">
        <v>0.68815977175463605</v>
      </c>
      <c r="P4786" t="s">
        <v>1606</v>
      </c>
      <c r="Q4786" t="s">
        <v>1607</v>
      </c>
      <c r="R4786" t="s">
        <v>1608</v>
      </c>
      <c r="S4786" t="s">
        <v>1609</v>
      </c>
      <c r="T4786" t="s">
        <v>10038</v>
      </c>
      <c r="U4786" t="s">
        <v>10039</v>
      </c>
      <c r="V4786" t="s">
        <v>1612</v>
      </c>
      <c r="W4786" t="s">
        <v>1613</v>
      </c>
      <c r="AD4786" t="s">
        <v>10040</v>
      </c>
      <c r="AE4786" t="s">
        <v>10041</v>
      </c>
      <c r="AF4786" t="s">
        <v>10043</v>
      </c>
    </row>
    <row r="4787" spans="1:32" hidden="1" x14ac:dyDescent="0.35">
      <c r="A4787">
        <v>4786</v>
      </c>
      <c r="B4787" t="s">
        <v>10037</v>
      </c>
      <c r="C4787" t="s">
        <v>10127</v>
      </c>
      <c r="D4787" t="s">
        <v>62</v>
      </c>
      <c r="E4787">
        <v>1792</v>
      </c>
      <c r="F4787">
        <v>5</v>
      </c>
      <c r="G4787">
        <v>5</v>
      </c>
      <c r="H4787">
        <v>1</v>
      </c>
      <c r="I4787">
        <v>1</v>
      </c>
      <c r="J4787">
        <v>0.78991818421747195</v>
      </c>
      <c r="K4787">
        <v>0.90620338292235803</v>
      </c>
      <c r="L4787">
        <v>0.84407455767083694</v>
      </c>
      <c r="M4787">
        <v>0.57203994293865901</v>
      </c>
      <c r="N4787">
        <v>0.997146932952924</v>
      </c>
      <c r="O4787">
        <v>0.68815977175463605</v>
      </c>
      <c r="P4787" t="s">
        <v>1606</v>
      </c>
      <c r="Q4787" t="s">
        <v>1607</v>
      </c>
      <c r="R4787" t="s">
        <v>1608</v>
      </c>
      <c r="S4787" t="s">
        <v>1609</v>
      </c>
      <c r="T4787" t="s">
        <v>10038</v>
      </c>
      <c r="U4787" t="s">
        <v>10039</v>
      </c>
      <c r="V4787" t="s">
        <v>1612</v>
      </c>
      <c r="W4787" t="s">
        <v>1613</v>
      </c>
      <c r="AD4787" t="s">
        <v>10040</v>
      </c>
      <c r="AE4787" t="s">
        <v>10041</v>
      </c>
      <c r="AF4787" t="s">
        <v>10043</v>
      </c>
    </row>
    <row r="4788" spans="1:32" hidden="1" x14ac:dyDescent="0.35">
      <c r="A4788">
        <v>4787</v>
      </c>
      <c r="B4788" t="s">
        <v>10037</v>
      </c>
      <c r="C4788" t="s">
        <v>10127</v>
      </c>
      <c r="D4788" t="s">
        <v>34</v>
      </c>
      <c r="E4788">
        <v>2123</v>
      </c>
      <c r="F4788">
        <v>5</v>
      </c>
      <c r="G4788">
        <v>5</v>
      </c>
      <c r="H4788">
        <v>1</v>
      </c>
      <c r="I4788">
        <v>1</v>
      </c>
      <c r="J4788">
        <v>0.78991818421747195</v>
      </c>
      <c r="K4788">
        <v>0.90620338292235803</v>
      </c>
      <c r="L4788">
        <v>0.84407455767083694</v>
      </c>
      <c r="M4788">
        <v>0.57203994293865901</v>
      </c>
      <c r="N4788">
        <v>0.997146932952924</v>
      </c>
      <c r="O4788">
        <v>0.68815977175463605</v>
      </c>
      <c r="P4788" t="s">
        <v>1606</v>
      </c>
      <c r="Q4788" t="s">
        <v>1607</v>
      </c>
      <c r="R4788" t="s">
        <v>1608</v>
      </c>
      <c r="S4788" t="s">
        <v>1609</v>
      </c>
      <c r="T4788" t="s">
        <v>10038</v>
      </c>
      <c r="U4788" t="s">
        <v>10039</v>
      </c>
      <c r="V4788" t="s">
        <v>1612</v>
      </c>
      <c r="W4788" t="s">
        <v>1613</v>
      </c>
      <c r="AD4788" t="s">
        <v>10040</v>
      </c>
      <c r="AE4788" t="s">
        <v>10041</v>
      </c>
      <c r="AF4788" t="s">
        <v>10044</v>
      </c>
    </row>
    <row r="4789" spans="1:32" hidden="1" x14ac:dyDescent="0.35">
      <c r="A4789">
        <v>4788</v>
      </c>
      <c r="B4789" t="s">
        <v>10037</v>
      </c>
      <c r="C4789" t="s">
        <v>10127</v>
      </c>
      <c r="D4789" t="s">
        <v>45</v>
      </c>
      <c r="E4789">
        <v>749</v>
      </c>
      <c r="F4789">
        <v>5</v>
      </c>
      <c r="G4789">
        <v>5</v>
      </c>
      <c r="H4789">
        <v>1</v>
      </c>
      <c r="I4789">
        <v>1</v>
      </c>
      <c r="J4789">
        <v>0.78991818421747195</v>
      </c>
      <c r="K4789">
        <v>0.90620338292235803</v>
      </c>
      <c r="L4789">
        <v>0.84407455767083694</v>
      </c>
      <c r="M4789">
        <v>0.57203994293865901</v>
      </c>
      <c r="N4789">
        <v>0.997146932952924</v>
      </c>
      <c r="O4789">
        <v>0.68815977175463605</v>
      </c>
      <c r="P4789" t="s">
        <v>1606</v>
      </c>
      <c r="Q4789" t="s">
        <v>1607</v>
      </c>
      <c r="R4789" t="s">
        <v>1608</v>
      </c>
      <c r="S4789" t="s">
        <v>1609</v>
      </c>
      <c r="T4789" t="s">
        <v>10038</v>
      </c>
      <c r="U4789" t="s">
        <v>10039</v>
      </c>
      <c r="V4789" t="s">
        <v>1612</v>
      </c>
      <c r="W4789" t="s">
        <v>1613</v>
      </c>
      <c r="AD4789" t="s">
        <v>10040</v>
      </c>
      <c r="AE4789" t="s">
        <v>10041</v>
      </c>
      <c r="AF4789" t="s">
        <v>10045</v>
      </c>
    </row>
    <row r="4790" spans="1:32" hidden="1" x14ac:dyDescent="0.35">
      <c r="A4790">
        <v>4789</v>
      </c>
      <c r="B4790" t="s">
        <v>10046</v>
      </c>
      <c r="C4790" t="s">
        <v>10127</v>
      </c>
      <c r="D4790" t="s">
        <v>58</v>
      </c>
      <c r="E4790">
        <v>1864</v>
      </c>
      <c r="F4790">
        <v>5</v>
      </c>
      <c r="G4790">
        <v>5</v>
      </c>
      <c r="H4790">
        <v>1</v>
      </c>
      <c r="I4790">
        <v>1</v>
      </c>
      <c r="J4790">
        <v>0.75757575757575801</v>
      </c>
      <c r="K4790">
        <v>0.93983466452039699</v>
      </c>
      <c r="L4790">
        <v>0.83892021481845802</v>
      </c>
      <c r="M4790">
        <v>0.59409594095940998</v>
      </c>
      <c r="N4790">
        <v>0.99077490774907795</v>
      </c>
      <c r="O4790">
        <v>0.68487084870848702</v>
      </c>
      <c r="P4790" t="s">
        <v>10047</v>
      </c>
      <c r="Q4790" t="s">
        <v>10048</v>
      </c>
      <c r="R4790" t="s">
        <v>1102</v>
      </c>
      <c r="S4790" t="s">
        <v>1103</v>
      </c>
      <c r="T4790" t="s">
        <v>10049</v>
      </c>
      <c r="U4790" t="s">
        <v>10050</v>
      </c>
      <c r="V4790" t="s">
        <v>10051</v>
      </c>
      <c r="W4790" t="s">
        <v>10052</v>
      </c>
      <c r="X4790" t="s">
        <v>10051</v>
      </c>
      <c r="Y4790" t="s">
        <v>241</v>
      </c>
      <c r="Z4790" t="s">
        <v>242</v>
      </c>
      <c r="AA4790" t="s">
        <v>243</v>
      </c>
      <c r="AB4790" t="s">
        <v>242</v>
      </c>
      <c r="AC4790" t="s">
        <v>244</v>
      </c>
      <c r="AD4790" t="s">
        <v>1140</v>
      </c>
      <c r="AE4790" t="s">
        <v>3490</v>
      </c>
      <c r="AF4790" t="e">
        <f>----MIVVERPVRYHQSAAELFASLGAASTGDAVLLESADIQSKEGLKSIAILRGSVRITCQGNRVVAEALTPSGVDIVRRLAQQLPDYVDSSGTSEISGGDDAAVVAVFVFPDVSASVAVDEFERLRQTNTLEPLRLLQQDSGY--EDPELPFLGGGFAFDFLESFEALPRVEQGTNFYPDYQFLNAEILLTVDHQSRTAFLRGVCIPEQR-DVLAGDLDALVAQIEEELTGGDAAGVTAPVDAAGSSVQARASMSDAEFRDVVEQMQKYIYEGDIYQVVPARAFTMQCEDAFAAYKSLRALNPSPYMFYVRGEVDGKPYELFGASPESNLKFNATSRQVELYPIAGTRPRG------ADHELDIRAELELRTDAKEIAEHTMLVDLARNDLARVAVPATRQVADLLQVDRYSRVMHLVSRVVATLRPELDALDAYRACMNMGTLTGAPKLRATELLRQTEGKRRGSYGGAVGYLQGGGDMDTCIVIRSAFVADGVATVQAGAGVVRGSQPQSEADETLHKAFAVLNAIAQAQGSDVEVLR</f>
        <v>#NAME?</v>
      </c>
    </row>
    <row r="4791" spans="1:32" hidden="1" x14ac:dyDescent="0.35">
      <c r="A4791">
        <v>4790</v>
      </c>
      <c r="B4791" t="s">
        <v>10046</v>
      </c>
      <c r="C4791" t="s">
        <v>10127</v>
      </c>
      <c r="D4791" t="s">
        <v>60</v>
      </c>
      <c r="E4791">
        <v>2527</v>
      </c>
      <c r="F4791">
        <v>5</v>
      </c>
      <c r="G4791">
        <v>5</v>
      </c>
      <c r="H4791">
        <v>1</v>
      </c>
      <c r="I4791">
        <v>1</v>
      </c>
      <c r="J4791">
        <v>0.75757575757575801</v>
      </c>
      <c r="K4791">
        <v>0.93983466452039699</v>
      </c>
      <c r="L4791">
        <v>0.83892021481845802</v>
      </c>
      <c r="M4791">
        <v>0.59409594095940998</v>
      </c>
      <c r="N4791">
        <v>0.99077490774907795</v>
      </c>
      <c r="O4791">
        <v>0.68487084870848702</v>
      </c>
      <c r="P4791" t="s">
        <v>10047</v>
      </c>
      <c r="Q4791" t="s">
        <v>10048</v>
      </c>
      <c r="R4791" t="s">
        <v>1102</v>
      </c>
      <c r="S4791" t="s">
        <v>1103</v>
      </c>
      <c r="T4791" t="s">
        <v>10049</v>
      </c>
      <c r="U4791" t="s">
        <v>10050</v>
      </c>
      <c r="V4791" t="s">
        <v>10051</v>
      </c>
      <c r="W4791" t="s">
        <v>10052</v>
      </c>
      <c r="X4791" t="s">
        <v>10051</v>
      </c>
      <c r="Y4791" t="s">
        <v>241</v>
      </c>
      <c r="Z4791" t="s">
        <v>242</v>
      </c>
      <c r="AA4791" t="s">
        <v>243</v>
      </c>
      <c r="AB4791" t="s">
        <v>242</v>
      </c>
      <c r="AC4791" t="s">
        <v>244</v>
      </c>
      <c r="AD4791" t="s">
        <v>1140</v>
      </c>
      <c r="AE4791" t="s">
        <v>3490</v>
      </c>
      <c r="AF4791" t="s">
        <v>10053</v>
      </c>
    </row>
    <row r="4792" spans="1:32" hidden="1" x14ac:dyDescent="0.35">
      <c r="A4792">
        <v>4791</v>
      </c>
      <c r="B4792" t="s">
        <v>10046</v>
      </c>
      <c r="C4792" t="s">
        <v>10127</v>
      </c>
      <c r="D4792" t="s">
        <v>62</v>
      </c>
      <c r="E4792">
        <v>52</v>
      </c>
      <c r="F4792">
        <v>5</v>
      </c>
      <c r="G4792">
        <v>5</v>
      </c>
      <c r="H4792">
        <v>1</v>
      </c>
      <c r="I4792">
        <v>1</v>
      </c>
      <c r="J4792">
        <v>0.75757575757575801</v>
      </c>
      <c r="K4792">
        <v>0.93983466452039699</v>
      </c>
      <c r="L4792">
        <v>0.83892021481845802</v>
      </c>
      <c r="M4792">
        <v>0.59409594095940998</v>
      </c>
      <c r="N4792">
        <v>0.99077490774907795</v>
      </c>
      <c r="O4792">
        <v>0.68487084870848702</v>
      </c>
      <c r="P4792" t="s">
        <v>10047</v>
      </c>
      <c r="Q4792" t="s">
        <v>10048</v>
      </c>
      <c r="R4792" t="s">
        <v>1102</v>
      </c>
      <c r="S4792" t="s">
        <v>1103</v>
      </c>
      <c r="T4792" t="s">
        <v>10049</v>
      </c>
      <c r="U4792" t="s">
        <v>10050</v>
      </c>
      <c r="V4792" t="s">
        <v>10051</v>
      </c>
      <c r="W4792" t="s">
        <v>10052</v>
      </c>
      <c r="X4792" t="s">
        <v>10051</v>
      </c>
      <c r="Y4792" t="s">
        <v>241</v>
      </c>
      <c r="Z4792" t="s">
        <v>242</v>
      </c>
      <c r="AA4792" t="s">
        <v>243</v>
      </c>
      <c r="AB4792" t="s">
        <v>242</v>
      </c>
      <c r="AC4792" t="s">
        <v>244</v>
      </c>
      <c r="AD4792" t="s">
        <v>1140</v>
      </c>
      <c r="AE4792" t="s">
        <v>3490</v>
      </c>
      <c r="AF4792" t="s">
        <v>10054</v>
      </c>
    </row>
    <row r="4793" spans="1:32" hidden="1" x14ac:dyDescent="0.35">
      <c r="A4793">
        <v>4792</v>
      </c>
      <c r="B4793" t="s">
        <v>10046</v>
      </c>
      <c r="C4793" t="s">
        <v>10127</v>
      </c>
      <c r="D4793" t="s">
        <v>34</v>
      </c>
      <c r="E4793">
        <v>1118</v>
      </c>
      <c r="F4793">
        <v>5</v>
      </c>
      <c r="G4793">
        <v>5</v>
      </c>
      <c r="H4793">
        <v>1</v>
      </c>
      <c r="I4793">
        <v>1</v>
      </c>
      <c r="J4793">
        <v>0.75757575757575801</v>
      </c>
      <c r="K4793">
        <v>0.93983466452039699</v>
      </c>
      <c r="L4793">
        <v>0.83892021481845802</v>
      </c>
      <c r="M4793">
        <v>0.59409594095940998</v>
      </c>
      <c r="N4793">
        <v>0.99077490774907795</v>
      </c>
      <c r="O4793">
        <v>0.68487084870848702</v>
      </c>
      <c r="P4793" t="s">
        <v>10047</v>
      </c>
      <c r="Q4793" t="s">
        <v>10048</v>
      </c>
      <c r="R4793" t="s">
        <v>1102</v>
      </c>
      <c r="S4793" t="s">
        <v>1103</v>
      </c>
      <c r="T4793" t="s">
        <v>10049</v>
      </c>
      <c r="U4793" t="s">
        <v>10050</v>
      </c>
      <c r="V4793" t="s">
        <v>10051</v>
      </c>
      <c r="W4793" t="s">
        <v>10052</v>
      </c>
      <c r="X4793" t="s">
        <v>10051</v>
      </c>
      <c r="Y4793" t="s">
        <v>241</v>
      </c>
      <c r="Z4793" t="s">
        <v>242</v>
      </c>
      <c r="AA4793" t="s">
        <v>243</v>
      </c>
      <c r="AB4793" t="s">
        <v>242</v>
      </c>
      <c r="AC4793" t="s">
        <v>244</v>
      </c>
      <c r="AD4793" t="s">
        <v>1140</v>
      </c>
      <c r="AE4793" t="s">
        <v>3490</v>
      </c>
      <c r="AF4793" t="e">
        <f>---MVQVIRIPVRYHEDASLLFAHLGGVARPDTLLLESADIDSKKNTGCIAVLEAAARVTCHGQTVTVAALTTAGTHITERLCDQLGEFV--------SGRDEQPLVATFEFP---PVTVTDERERLRAISNVEVLRQLQQHADY--QGEVLPLLGGGFAFDYLGTYEQLPPVADGPNTFPDYQFLLAETVLTIDHLTKEAFVESLNPASAG-EWAARIADTPPSFATDAPAGAASQST--------EPLTVQASMDDAEFRGHVRDMQEYIHNGDIYQGMPARMFTADCPDAFAAYRALRDTNPSPYMFYLHGP----NYELFGASPESNLKFDAASRLVQVYPVAGTRPRG------TNPELDIRAELEMRTDSKEVAEHTMLVDLARNDLARVAVPTTRKVADLLQVDRYSRVMHLVSRVTATLHPDFDCLDAYRACMNMGTLTGAPKLRATELLRQVEGRRRGSYGGAIGYLKGDGSMDTAIVIRSAFVCNGTAIVQAGAGVVRDSQPQSEANETLHKAYAVLTAIASAQGKKVEVLR</f>
        <v>#NAME?</v>
      </c>
    </row>
    <row r="4794" spans="1:32" hidden="1" x14ac:dyDescent="0.35">
      <c r="A4794">
        <v>4793</v>
      </c>
      <c r="B4794" t="s">
        <v>10046</v>
      </c>
      <c r="C4794" t="s">
        <v>10127</v>
      </c>
      <c r="D4794" t="s">
        <v>45</v>
      </c>
      <c r="E4794">
        <v>2371</v>
      </c>
      <c r="F4794">
        <v>5</v>
      </c>
      <c r="G4794">
        <v>5</v>
      </c>
      <c r="H4794">
        <v>1</v>
      </c>
      <c r="I4794">
        <v>1</v>
      </c>
      <c r="J4794">
        <v>0.75757575757575801</v>
      </c>
      <c r="K4794">
        <v>0.93983466452039699</v>
      </c>
      <c r="L4794">
        <v>0.83892021481845802</v>
      </c>
      <c r="M4794">
        <v>0.59409594095940998</v>
      </c>
      <c r="N4794">
        <v>0.99077490774907795</v>
      </c>
      <c r="O4794">
        <v>0.68487084870848702</v>
      </c>
      <c r="P4794" t="s">
        <v>10047</v>
      </c>
      <c r="Q4794" t="s">
        <v>10048</v>
      </c>
      <c r="R4794" t="s">
        <v>1102</v>
      </c>
      <c r="S4794" t="s">
        <v>1103</v>
      </c>
      <c r="T4794" t="s">
        <v>10049</v>
      </c>
      <c r="U4794" t="s">
        <v>10050</v>
      </c>
      <c r="V4794" t="s">
        <v>10051</v>
      </c>
      <c r="W4794" t="s">
        <v>10052</v>
      </c>
      <c r="X4794" t="s">
        <v>10051</v>
      </c>
      <c r="Y4794" t="s">
        <v>241</v>
      </c>
      <c r="Z4794" t="s">
        <v>242</v>
      </c>
      <c r="AA4794" t="s">
        <v>243</v>
      </c>
      <c r="AB4794" t="s">
        <v>242</v>
      </c>
      <c r="AC4794" t="s">
        <v>244</v>
      </c>
      <c r="AD4794" t="s">
        <v>1140</v>
      </c>
      <c r="AE4794" t="s">
        <v>3490</v>
      </c>
      <c r="AF4794" t="e">
        <f>---MVQVIRIPVRYHEDASLLFAHLGGVARPDTLLLESADIDSKKNTGCIAVLETAARVTCHGQTVTVAALTTAGTQITERLCDQLGEFV--------SGRDEQPLVATFEFP---PVVITDERERLRAISNVEVLRQLQQHADY--QGEVLPLLGGGFAFDYLGTYEQLPPVADGPNTFPDYQFLLAETVLTIDHLTKEAFVESLNPASAG-EWAARIADTPPSFATDAPAGAASQST--------EPLTVRASMDDAEFRGHVRDMQEYIHNGDIYQGMPARMFTADCPDAFAAYRALRDTNPSPYMFYLHGP----DYELFGASPESNLKFDATSRLVQVYPVAGTRPRG------TNPELDIRAELEMRTDSKEVAEHTMLVDLARNDLARVAVPTTRKVADLLQVDRYSRVMHLVSRVTATLHPDFDCLDAYRACMNMGTLTGAPKLRATELLRQVEGRRRGSYGGAIGYLKGDGSMDTAIVIRSAFVRNGTAIVQAGAGVVRDSQPQSEANETLHKAYAVLTAIASAQGKKVEVLR</f>
        <v>#NAME?</v>
      </c>
    </row>
    <row r="4795" spans="1:32" hidden="1" x14ac:dyDescent="0.35">
      <c r="A4795">
        <v>4529</v>
      </c>
      <c r="B4795" t="s">
        <v>9449</v>
      </c>
      <c r="C4795" t="s">
        <v>72</v>
      </c>
      <c r="D4795" t="s">
        <v>58</v>
      </c>
      <c r="E4795">
        <v>1286</v>
      </c>
      <c r="F4795">
        <v>5</v>
      </c>
      <c r="G4795">
        <v>5</v>
      </c>
      <c r="H4795">
        <v>1</v>
      </c>
      <c r="I4795">
        <v>1</v>
      </c>
      <c r="J4795">
        <v>0.75200759234924797</v>
      </c>
      <c r="K4795">
        <v>0.98420998733894605</v>
      </c>
      <c r="L4795">
        <v>0.85258137183216898</v>
      </c>
      <c r="M4795">
        <v>0.59267241379310298</v>
      </c>
      <c r="N4795">
        <v>0.98922413793103403</v>
      </c>
      <c r="O4795">
        <v>0.68125000000000002</v>
      </c>
      <c r="P4795" t="s">
        <v>9450</v>
      </c>
      <c r="Q4795" t="s">
        <v>9451</v>
      </c>
      <c r="R4795" t="s">
        <v>371</v>
      </c>
      <c r="S4795" t="s">
        <v>372</v>
      </c>
      <c r="T4795" t="s">
        <v>9452</v>
      </c>
      <c r="U4795" t="s">
        <v>9453</v>
      </c>
      <c r="V4795" t="s">
        <v>9454</v>
      </c>
      <c r="W4795" t="s">
        <v>9455</v>
      </c>
      <c r="AD4795" t="s">
        <v>8300</v>
      </c>
      <c r="AE4795" t="s">
        <v>9456</v>
      </c>
      <c r="AF4795" t="s">
        <v>9457</v>
      </c>
    </row>
    <row r="4796" spans="1:32" hidden="1" x14ac:dyDescent="0.35">
      <c r="A4796">
        <v>4770</v>
      </c>
      <c r="B4796" t="s">
        <v>9996</v>
      </c>
      <c r="C4796" t="s">
        <v>10127</v>
      </c>
      <c r="D4796" t="s">
        <v>60</v>
      </c>
      <c r="E4796">
        <v>1124</v>
      </c>
      <c r="F4796">
        <v>5</v>
      </c>
      <c r="G4796">
        <v>5</v>
      </c>
      <c r="H4796">
        <v>1</v>
      </c>
      <c r="I4796">
        <v>1</v>
      </c>
      <c r="J4796">
        <v>0.73584129920855201</v>
      </c>
      <c r="K4796">
        <v>0.90286879600863201</v>
      </c>
      <c r="L4796">
        <v>0.81084280838802203</v>
      </c>
      <c r="M4796">
        <v>0.49723756906077299</v>
      </c>
      <c r="N4796">
        <v>0.98895027624309395</v>
      </c>
      <c r="O4796">
        <v>0.64751381215469594</v>
      </c>
      <c r="P4796" t="s">
        <v>3075</v>
      </c>
      <c r="Q4796" t="s">
        <v>3076</v>
      </c>
      <c r="R4796" t="s">
        <v>869</v>
      </c>
      <c r="S4796" t="s">
        <v>870</v>
      </c>
      <c r="T4796" t="s">
        <v>9997</v>
      </c>
      <c r="U4796" t="s">
        <v>9998</v>
      </c>
      <c r="V4796" t="s">
        <v>9999</v>
      </c>
      <c r="W4796" t="s">
        <v>10000</v>
      </c>
      <c r="X4796" t="s">
        <v>9999</v>
      </c>
      <c r="Y4796" t="s">
        <v>10001</v>
      </c>
      <c r="Z4796" t="s">
        <v>10002</v>
      </c>
      <c r="AA4796" t="s">
        <v>10003</v>
      </c>
      <c r="AB4796" t="s">
        <v>10002</v>
      </c>
      <c r="AC4796" t="s">
        <v>1742</v>
      </c>
      <c r="AD4796" t="s">
        <v>219</v>
      </c>
      <c r="AE4796" t="s">
        <v>10004</v>
      </c>
      <c r="AF4796" t="s">
        <v>10006</v>
      </c>
    </row>
    <row r="4797" spans="1:32" hidden="1" x14ac:dyDescent="0.35">
      <c r="A4797">
        <v>4771</v>
      </c>
      <c r="B4797" t="s">
        <v>9996</v>
      </c>
      <c r="C4797" t="s">
        <v>10127</v>
      </c>
      <c r="D4797" t="s">
        <v>62</v>
      </c>
      <c r="E4797">
        <v>1160</v>
      </c>
      <c r="F4797">
        <v>5</v>
      </c>
      <c r="G4797">
        <v>5</v>
      </c>
      <c r="H4797">
        <v>1</v>
      </c>
      <c r="I4797">
        <v>1</v>
      </c>
      <c r="J4797">
        <v>0.73584129920855201</v>
      </c>
      <c r="K4797">
        <v>0.90286879600863201</v>
      </c>
      <c r="L4797">
        <v>0.81084280838802203</v>
      </c>
      <c r="M4797">
        <v>0.49723756906077299</v>
      </c>
      <c r="N4797">
        <v>0.98895027624309395</v>
      </c>
      <c r="O4797">
        <v>0.64751381215469594</v>
      </c>
      <c r="P4797" t="s">
        <v>3075</v>
      </c>
      <c r="Q4797" t="s">
        <v>3076</v>
      </c>
      <c r="R4797" t="s">
        <v>869</v>
      </c>
      <c r="S4797" t="s">
        <v>870</v>
      </c>
      <c r="T4797" t="s">
        <v>9997</v>
      </c>
      <c r="U4797" t="s">
        <v>9998</v>
      </c>
      <c r="V4797" t="s">
        <v>9999</v>
      </c>
      <c r="W4797" t="s">
        <v>10000</v>
      </c>
      <c r="X4797" t="s">
        <v>9999</v>
      </c>
      <c r="Y4797" t="s">
        <v>10001</v>
      </c>
      <c r="Z4797" t="s">
        <v>10002</v>
      </c>
      <c r="AA4797" t="s">
        <v>10003</v>
      </c>
      <c r="AB4797" t="s">
        <v>10002</v>
      </c>
      <c r="AC4797" t="s">
        <v>1742</v>
      </c>
      <c r="AD4797" t="s">
        <v>219</v>
      </c>
      <c r="AE4797" t="s">
        <v>10004</v>
      </c>
      <c r="AF4797" t="s">
        <v>10007</v>
      </c>
    </row>
    <row r="4798" spans="1:32" hidden="1" x14ac:dyDescent="0.35">
      <c r="A4798">
        <v>4772</v>
      </c>
      <c r="B4798" t="s">
        <v>9996</v>
      </c>
      <c r="C4798" t="s">
        <v>10127</v>
      </c>
      <c r="D4798" t="s">
        <v>34</v>
      </c>
      <c r="E4798">
        <v>24</v>
      </c>
      <c r="F4798">
        <v>5</v>
      </c>
      <c r="G4798">
        <v>5</v>
      </c>
      <c r="H4798">
        <v>1</v>
      </c>
      <c r="I4798">
        <v>1</v>
      </c>
      <c r="J4798">
        <v>0.73584129920855201</v>
      </c>
      <c r="K4798">
        <v>0.90286879600863201</v>
      </c>
      <c r="L4798">
        <v>0.81084280838802203</v>
      </c>
      <c r="M4798">
        <v>0.49723756906077299</v>
      </c>
      <c r="N4798">
        <v>0.98895027624309395</v>
      </c>
      <c r="O4798">
        <v>0.64751381215469594</v>
      </c>
      <c r="P4798" t="s">
        <v>3075</v>
      </c>
      <c r="Q4798" t="s">
        <v>3076</v>
      </c>
      <c r="R4798" t="s">
        <v>869</v>
      </c>
      <c r="S4798" t="s">
        <v>870</v>
      </c>
      <c r="T4798" t="s">
        <v>9997</v>
      </c>
      <c r="U4798" t="s">
        <v>9998</v>
      </c>
      <c r="V4798" t="s">
        <v>9999</v>
      </c>
      <c r="W4798" t="s">
        <v>10000</v>
      </c>
      <c r="X4798" t="s">
        <v>9999</v>
      </c>
      <c r="Y4798" t="s">
        <v>10001</v>
      </c>
      <c r="Z4798" t="s">
        <v>10002</v>
      </c>
      <c r="AA4798" t="s">
        <v>10003</v>
      </c>
      <c r="AB4798" t="s">
        <v>10002</v>
      </c>
      <c r="AC4798" t="s">
        <v>1742</v>
      </c>
      <c r="AD4798" t="s">
        <v>219</v>
      </c>
      <c r="AE4798" t="s">
        <v>10004</v>
      </c>
      <c r="AF4798" t="s">
        <v>10008</v>
      </c>
    </row>
    <row r="4799" spans="1:32" hidden="1" x14ac:dyDescent="0.35">
      <c r="A4799">
        <v>4773</v>
      </c>
      <c r="B4799" t="s">
        <v>9996</v>
      </c>
      <c r="C4799" t="s">
        <v>10127</v>
      </c>
      <c r="D4799" t="s">
        <v>45</v>
      </c>
      <c r="E4799">
        <v>1281</v>
      </c>
      <c r="F4799">
        <v>5</v>
      </c>
      <c r="G4799">
        <v>5</v>
      </c>
      <c r="H4799">
        <v>1</v>
      </c>
      <c r="I4799">
        <v>1</v>
      </c>
      <c r="J4799">
        <v>0.73584129920855201</v>
      </c>
      <c r="K4799">
        <v>0.90286879600863201</v>
      </c>
      <c r="L4799">
        <v>0.81084280838802203</v>
      </c>
      <c r="M4799">
        <v>0.49723756906077299</v>
      </c>
      <c r="N4799">
        <v>0.98895027624309395</v>
      </c>
      <c r="O4799">
        <v>0.64751381215469594</v>
      </c>
      <c r="P4799" t="s">
        <v>3075</v>
      </c>
      <c r="Q4799" t="s">
        <v>3076</v>
      </c>
      <c r="R4799" t="s">
        <v>869</v>
      </c>
      <c r="S4799" t="s">
        <v>870</v>
      </c>
      <c r="T4799" t="s">
        <v>9997</v>
      </c>
      <c r="U4799" t="s">
        <v>9998</v>
      </c>
      <c r="V4799" t="s">
        <v>9999</v>
      </c>
      <c r="W4799" t="s">
        <v>10000</v>
      </c>
      <c r="X4799" t="s">
        <v>9999</v>
      </c>
      <c r="Y4799" t="s">
        <v>10001</v>
      </c>
      <c r="Z4799" t="s">
        <v>10002</v>
      </c>
      <c r="AA4799" t="s">
        <v>10003</v>
      </c>
      <c r="AB4799" t="s">
        <v>10002</v>
      </c>
      <c r="AC4799" t="s">
        <v>1742</v>
      </c>
      <c r="AD4799" t="s">
        <v>219</v>
      </c>
      <c r="AE4799" t="s">
        <v>10004</v>
      </c>
      <c r="AF4799" t="s">
        <v>10009</v>
      </c>
    </row>
    <row r="4800" spans="1:32" hidden="1" x14ac:dyDescent="0.35">
      <c r="A4800">
        <v>11749</v>
      </c>
      <c r="B4800" t="s">
        <v>24133</v>
      </c>
      <c r="C4800" t="s">
        <v>33</v>
      </c>
      <c r="D4800" t="s">
        <v>58</v>
      </c>
      <c r="E4800">
        <v>1557</v>
      </c>
      <c r="F4800">
        <v>1</v>
      </c>
      <c r="G4800">
        <v>1</v>
      </c>
      <c r="H4800">
        <v>1</v>
      </c>
      <c r="I4800">
        <v>0</v>
      </c>
      <c r="J4800">
        <v>1</v>
      </c>
      <c r="K4800">
        <v>1</v>
      </c>
      <c r="L4800">
        <v>1</v>
      </c>
      <c r="M4800">
        <v>0</v>
      </c>
      <c r="N4800">
        <v>0</v>
      </c>
      <c r="O4800">
        <v>0</v>
      </c>
      <c r="P4800" t="s">
        <v>9450</v>
      </c>
      <c r="Q4800" t="s">
        <v>9451</v>
      </c>
      <c r="R4800" t="s">
        <v>371</v>
      </c>
      <c r="S4800" t="s">
        <v>372</v>
      </c>
      <c r="T4800" t="s">
        <v>21196</v>
      </c>
      <c r="U4800" t="s">
        <v>21197</v>
      </c>
      <c r="V4800" t="s">
        <v>9454</v>
      </c>
      <c r="W4800" t="s">
        <v>9455</v>
      </c>
      <c r="AD4800" t="s">
        <v>8082</v>
      </c>
      <c r="AE4800" t="s">
        <v>11023</v>
      </c>
      <c r="AF4800" t="s">
        <v>24134</v>
      </c>
    </row>
    <row r="4801" spans="1:32" hidden="1" x14ac:dyDescent="0.35">
      <c r="A4801">
        <v>4775</v>
      </c>
      <c r="B4801" t="s">
        <v>10010</v>
      </c>
      <c r="C4801" t="s">
        <v>10127</v>
      </c>
      <c r="D4801" t="s">
        <v>60</v>
      </c>
      <c r="E4801">
        <v>2293</v>
      </c>
      <c r="F4801">
        <v>5</v>
      </c>
      <c r="G4801">
        <v>5</v>
      </c>
      <c r="H4801">
        <v>1</v>
      </c>
      <c r="I4801">
        <v>1</v>
      </c>
      <c r="J4801">
        <v>0.72894446487679299</v>
      </c>
      <c r="K4801">
        <v>0.90052653291645102</v>
      </c>
      <c r="L4801">
        <v>0.80570176766954404</v>
      </c>
      <c r="M4801">
        <v>0.50328947368421095</v>
      </c>
      <c r="N4801">
        <v>0.99671052631578905</v>
      </c>
      <c r="O4801">
        <v>0.62730263157894695</v>
      </c>
      <c r="P4801" t="s">
        <v>10011</v>
      </c>
      <c r="Q4801" t="s">
        <v>10012</v>
      </c>
      <c r="R4801" t="s">
        <v>869</v>
      </c>
      <c r="S4801" t="s">
        <v>870</v>
      </c>
      <c r="T4801" t="s">
        <v>10013</v>
      </c>
      <c r="U4801" t="s">
        <v>10014</v>
      </c>
      <c r="V4801" t="s">
        <v>10015</v>
      </c>
      <c r="W4801" t="s">
        <v>10016</v>
      </c>
      <c r="X4801" t="s">
        <v>10015</v>
      </c>
      <c r="Y4801" t="s">
        <v>6133</v>
      </c>
      <c r="Z4801" t="s">
        <v>10017</v>
      </c>
      <c r="AA4801" t="s">
        <v>10018</v>
      </c>
      <c r="AB4801" t="s">
        <v>10017</v>
      </c>
      <c r="AC4801" t="s">
        <v>1094</v>
      </c>
      <c r="AD4801" t="s">
        <v>219</v>
      </c>
      <c r="AE4801" t="s">
        <v>10019</v>
      </c>
      <c r="AF4801" t="s">
        <v>10021</v>
      </c>
    </row>
    <row r="4802" spans="1:32" hidden="1" x14ac:dyDescent="0.35">
      <c r="A4802">
        <v>4776</v>
      </c>
      <c r="B4802" t="s">
        <v>10010</v>
      </c>
      <c r="C4802" t="s">
        <v>10127</v>
      </c>
      <c r="D4802" t="s">
        <v>62</v>
      </c>
      <c r="E4802">
        <v>2322</v>
      </c>
      <c r="F4802">
        <v>5</v>
      </c>
      <c r="G4802">
        <v>5</v>
      </c>
      <c r="H4802">
        <v>1</v>
      </c>
      <c r="I4802">
        <v>1</v>
      </c>
      <c r="J4802">
        <v>0.72894446487679299</v>
      </c>
      <c r="K4802">
        <v>0.90052653291645102</v>
      </c>
      <c r="L4802">
        <v>0.80570176766954404</v>
      </c>
      <c r="M4802">
        <v>0.50328947368421095</v>
      </c>
      <c r="N4802">
        <v>0.99671052631578905</v>
      </c>
      <c r="O4802">
        <v>0.62730263157894695</v>
      </c>
      <c r="P4802" t="s">
        <v>10011</v>
      </c>
      <c r="Q4802" t="s">
        <v>10012</v>
      </c>
      <c r="R4802" t="s">
        <v>869</v>
      </c>
      <c r="S4802" t="s">
        <v>870</v>
      </c>
      <c r="T4802" t="s">
        <v>10013</v>
      </c>
      <c r="U4802" t="s">
        <v>10014</v>
      </c>
      <c r="V4802" t="s">
        <v>10015</v>
      </c>
      <c r="W4802" t="s">
        <v>10016</v>
      </c>
      <c r="X4802" t="s">
        <v>10015</v>
      </c>
      <c r="Y4802" t="s">
        <v>6133</v>
      </c>
      <c r="Z4802" t="s">
        <v>10017</v>
      </c>
      <c r="AA4802" t="s">
        <v>10018</v>
      </c>
      <c r="AB4802" t="s">
        <v>10017</v>
      </c>
      <c r="AC4802" t="s">
        <v>1094</v>
      </c>
      <c r="AD4802" t="s">
        <v>219</v>
      </c>
      <c r="AE4802" t="s">
        <v>10019</v>
      </c>
      <c r="AF4802" t="s">
        <v>10022</v>
      </c>
    </row>
    <row r="4803" spans="1:32" hidden="1" x14ac:dyDescent="0.35">
      <c r="A4803">
        <v>4777</v>
      </c>
      <c r="B4803" t="s">
        <v>10010</v>
      </c>
      <c r="C4803" t="s">
        <v>10127</v>
      </c>
      <c r="D4803" t="s">
        <v>34</v>
      </c>
      <c r="E4803">
        <v>1500</v>
      </c>
      <c r="F4803">
        <v>5</v>
      </c>
      <c r="G4803">
        <v>5</v>
      </c>
      <c r="H4803">
        <v>1</v>
      </c>
      <c r="I4803">
        <v>1</v>
      </c>
      <c r="J4803">
        <v>0.72894446487679299</v>
      </c>
      <c r="K4803">
        <v>0.90052653291645102</v>
      </c>
      <c r="L4803">
        <v>0.80570176766954404</v>
      </c>
      <c r="M4803">
        <v>0.50328947368421095</v>
      </c>
      <c r="N4803">
        <v>0.99671052631578905</v>
      </c>
      <c r="O4803">
        <v>0.62730263157894695</v>
      </c>
      <c r="P4803" t="s">
        <v>10011</v>
      </c>
      <c r="Q4803" t="s">
        <v>10012</v>
      </c>
      <c r="R4803" t="s">
        <v>869</v>
      </c>
      <c r="S4803" t="s">
        <v>870</v>
      </c>
      <c r="T4803" t="s">
        <v>10013</v>
      </c>
      <c r="U4803" t="s">
        <v>10014</v>
      </c>
      <c r="V4803" t="s">
        <v>10015</v>
      </c>
      <c r="W4803" t="s">
        <v>10016</v>
      </c>
      <c r="X4803" t="s">
        <v>10015</v>
      </c>
      <c r="Y4803" t="s">
        <v>6133</v>
      </c>
      <c r="Z4803" t="s">
        <v>10017</v>
      </c>
      <c r="AA4803" t="s">
        <v>10018</v>
      </c>
      <c r="AB4803" t="s">
        <v>10017</v>
      </c>
      <c r="AC4803" t="s">
        <v>1094</v>
      </c>
      <c r="AD4803" t="s">
        <v>219</v>
      </c>
      <c r="AE4803" t="s">
        <v>10019</v>
      </c>
      <c r="AF4803" t="s">
        <v>10023</v>
      </c>
    </row>
    <row r="4804" spans="1:32" hidden="1" x14ac:dyDescent="0.35">
      <c r="A4804">
        <v>4778</v>
      </c>
      <c r="B4804" t="s">
        <v>10010</v>
      </c>
      <c r="C4804" t="s">
        <v>10127</v>
      </c>
      <c r="D4804" t="s">
        <v>45</v>
      </c>
      <c r="E4804">
        <v>250</v>
      </c>
      <c r="F4804">
        <v>5</v>
      </c>
      <c r="G4804">
        <v>5</v>
      </c>
      <c r="H4804">
        <v>1</v>
      </c>
      <c r="I4804">
        <v>1</v>
      </c>
      <c r="J4804">
        <v>0.72894446487679299</v>
      </c>
      <c r="K4804">
        <v>0.90052653291645102</v>
      </c>
      <c r="L4804">
        <v>0.80570176766954404</v>
      </c>
      <c r="M4804">
        <v>0.50328947368421095</v>
      </c>
      <c r="N4804">
        <v>0.99671052631578905</v>
      </c>
      <c r="O4804">
        <v>0.62730263157894695</v>
      </c>
      <c r="P4804" t="s">
        <v>10011</v>
      </c>
      <c r="Q4804" t="s">
        <v>10012</v>
      </c>
      <c r="R4804" t="s">
        <v>869</v>
      </c>
      <c r="S4804" t="s">
        <v>870</v>
      </c>
      <c r="T4804" t="s">
        <v>10013</v>
      </c>
      <c r="U4804" t="s">
        <v>10014</v>
      </c>
      <c r="V4804" t="s">
        <v>10015</v>
      </c>
      <c r="W4804" t="s">
        <v>10016</v>
      </c>
      <c r="X4804" t="s">
        <v>10015</v>
      </c>
      <c r="Y4804" t="s">
        <v>6133</v>
      </c>
      <c r="Z4804" t="s">
        <v>10017</v>
      </c>
      <c r="AA4804" t="s">
        <v>10018</v>
      </c>
      <c r="AB4804" t="s">
        <v>10017</v>
      </c>
      <c r="AC4804" t="s">
        <v>1094</v>
      </c>
      <c r="AD4804" t="s">
        <v>219</v>
      </c>
      <c r="AE4804" t="s">
        <v>10019</v>
      </c>
      <c r="AF4804" t="s">
        <v>10024</v>
      </c>
    </row>
    <row r="4805" spans="1:32" hidden="1" x14ac:dyDescent="0.35">
      <c r="A4805">
        <v>4892</v>
      </c>
      <c r="B4805" t="s">
        <v>10255</v>
      </c>
      <c r="C4805" t="s">
        <v>10127</v>
      </c>
      <c r="D4805" t="s">
        <v>60</v>
      </c>
      <c r="E4805">
        <v>1096</v>
      </c>
      <c r="F4805">
        <v>4</v>
      </c>
      <c r="G4805">
        <v>4</v>
      </c>
      <c r="H4805">
        <v>1</v>
      </c>
      <c r="I4805">
        <v>0</v>
      </c>
      <c r="J4805">
        <v>0.76645207439198904</v>
      </c>
      <c r="K4805">
        <v>0.98942511840601</v>
      </c>
      <c r="L4805">
        <v>0.86378129127515502</v>
      </c>
      <c r="M4805">
        <v>0.53503184713375795</v>
      </c>
      <c r="N4805">
        <v>1</v>
      </c>
      <c r="O4805">
        <v>0.68683651804670898</v>
      </c>
      <c r="P4805" t="s">
        <v>10256</v>
      </c>
      <c r="Q4805" t="s">
        <v>10257</v>
      </c>
      <c r="R4805" t="s">
        <v>869</v>
      </c>
      <c r="S4805" t="s">
        <v>870</v>
      </c>
      <c r="T4805" t="s">
        <v>10258</v>
      </c>
      <c r="U4805" t="s">
        <v>10259</v>
      </c>
      <c r="V4805" t="s">
        <v>10260</v>
      </c>
      <c r="W4805" t="s">
        <v>10261</v>
      </c>
      <c r="X4805" t="s">
        <v>10260</v>
      </c>
      <c r="Y4805" t="s">
        <v>2116</v>
      </c>
      <c r="Z4805" t="s">
        <v>5388</v>
      </c>
      <c r="AA4805" t="s">
        <v>5389</v>
      </c>
      <c r="AB4805" t="s">
        <v>5388</v>
      </c>
      <c r="AC4805" t="s">
        <v>1094</v>
      </c>
      <c r="AD4805" t="s">
        <v>245</v>
      </c>
      <c r="AE4805" t="s">
        <v>10262</v>
      </c>
      <c r="AF4805" t="e">
        <f>--MTNTNDPAYVSDDTGVVLGTLITDQPLESLAAAAYDDVMVASMGACVTFNGVVRNHDGGQRVRSLSYTSHPTAEAIMATVADKVLDRHPDVRIWAAHRIGGIAIGEAAFVVHVASAHRDAAFRACSDMADTVKAEVPIWKEQLLESGDTQWVGLT</f>
        <v>#NAME?</v>
      </c>
    </row>
    <row r="4806" spans="1:32" hidden="1" x14ac:dyDescent="0.35">
      <c r="A4806">
        <v>4893</v>
      </c>
      <c r="B4806" t="s">
        <v>10255</v>
      </c>
      <c r="C4806" t="s">
        <v>10127</v>
      </c>
      <c r="D4806" t="s">
        <v>62</v>
      </c>
      <c r="E4806">
        <v>1132</v>
      </c>
      <c r="F4806">
        <v>4</v>
      </c>
      <c r="G4806">
        <v>4</v>
      </c>
      <c r="H4806">
        <v>1</v>
      </c>
      <c r="I4806">
        <v>0</v>
      </c>
      <c r="J4806">
        <v>0.76645207439198904</v>
      </c>
      <c r="K4806">
        <v>0.98942511840601</v>
      </c>
      <c r="L4806">
        <v>0.86378129127515502</v>
      </c>
      <c r="M4806">
        <v>0.53503184713375795</v>
      </c>
      <c r="N4806">
        <v>1</v>
      </c>
      <c r="O4806">
        <v>0.68683651804670898</v>
      </c>
      <c r="P4806" t="s">
        <v>10256</v>
      </c>
      <c r="Q4806" t="s">
        <v>10257</v>
      </c>
      <c r="R4806" t="s">
        <v>869</v>
      </c>
      <c r="S4806" t="s">
        <v>870</v>
      </c>
      <c r="T4806" t="s">
        <v>10258</v>
      </c>
      <c r="U4806" t="s">
        <v>10259</v>
      </c>
      <c r="V4806" t="s">
        <v>10260</v>
      </c>
      <c r="W4806" t="s">
        <v>10261</v>
      </c>
      <c r="X4806" t="s">
        <v>10260</v>
      </c>
      <c r="Y4806" t="s">
        <v>2116</v>
      </c>
      <c r="Z4806" t="s">
        <v>5388</v>
      </c>
      <c r="AA4806" t="s">
        <v>5389</v>
      </c>
      <c r="AB4806" t="s">
        <v>5388</v>
      </c>
      <c r="AC4806" t="s">
        <v>1094</v>
      </c>
      <c r="AD4806" t="s">
        <v>245</v>
      </c>
      <c r="AE4806" t="s">
        <v>10262</v>
      </c>
      <c r="AF4806" t="e">
        <f>--MTNTNDPAYVSDDTGVVLGTLITDQPLESLAAAAYDDVMVASMGACVTFNGVVRNHDGGQRVRSLSYTSHPTAEAIMATVADKVLDRHPDVRIWAAHRIGGIAIGEAAFVVHVASAHRDAAFRACSDMADTVKAEVPIWKEQLLESGDTQWVGLT</f>
        <v>#NAME?</v>
      </c>
    </row>
    <row r="4807" spans="1:32" hidden="1" x14ac:dyDescent="0.35">
      <c r="A4807">
        <v>4900</v>
      </c>
      <c r="B4807" t="s">
        <v>10271</v>
      </c>
      <c r="C4807" t="s">
        <v>10127</v>
      </c>
      <c r="D4807" t="s">
        <v>60</v>
      </c>
      <c r="E4807">
        <v>341</v>
      </c>
      <c r="F4807">
        <v>4</v>
      </c>
      <c r="G4807">
        <v>4</v>
      </c>
      <c r="H4807">
        <v>1</v>
      </c>
      <c r="I4807">
        <v>0</v>
      </c>
      <c r="J4807">
        <v>0.93094856736074005</v>
      </c>
      <c r="K4807">
        <v>0.98186450541964998</v>
      </c>
      <c r="L4807">
        <v>0.955728887124486</v>
      </c>
      <c r="M4807">
        <v>0.84905660377358505</v>
      </c>
      <c r="N4807">
        <v>1</v>
      </c>
      <c r="O4807">
        <v>0.89937106918238996</v>
      </c>
      <c r="P4807" t="s">
        <v>10272</v>
      </c>
      <c r="Q4807" t="s">
        <v>10273</v>
      </c>
      <c r="R4807" t="s">
        <v>869</v>
      </c>
      <c r="S4807" t="s">
        <v>870</v>
      </c>
      <c r="T4807" t="s">
        <v>10274</v>
      </c>
      <c r="U4807" t="s">
        <v>10275</v>
      </c>
      <c r="V4807" t="s">
        <v>10276</v>
      </c>
      <c r="W4807" t="s">
        <v>10277</v>
      </c>
      <c r="X4807" t="s">
        <v>10276</v>
      </c>
      <c r="Y4807" t="s">
        <v>875</v>
      </c>
      <c r="Z4807" t="s">
        <v>876</v>
      </c>
      <c r="AA4807" t="s">
        <v>877</v>
      </c>
      <c r="AB4807" t="s">
        <v>876</v>
      </c>
      <c r="AC4807" t="s">
        <v>878</v>
      </c>
      <c r="AD4807" t="s">
        <v>219</v>
      </c>
      <c r="AE4807" t="s">
        <v>10278</v>
      </c>
      <c r="AF4807" t="s">
        <v>10279</v>
      </c>
    </row>
    <row r="4808" spans="1:32" hidden="1" x14ac:dyDescent="0.35">
      <c r="A4808">
        <v>4901</v>
      </c>
      <c r="B4808" t="s">
        <v>10271</v>
      </c>
      <c r="C4808" t="s">
        <v>10127</v>
      </c>
      <c r="D4808" t="s">
        <v>62</v>
      </c>
      <c r="E4808">
        <v>421</v>
      </c>
      <c r="F4808">
        <v>4</v>
      </c>
      <c r="G4808">
        <v>4</v>
      </c>
      <c r="H4808">
        <v>1</v>
      </c>
      <c r="I4808">
        <v>0</v>
      </c>
      <c r="J4808">
        <v>0.93094856736074005</v>
      </c>
      <c r="K4808">
        <v>0.98186450541964998</v>
      </c>
      <c r="L4808">
        <v>0.955728887124486</v>
      </c>
      <c r="M4808">
        <v>0.84905660377358505</v>
      </c>
      <c r="N4808">
        <v>1</v>
      </c>
      <c r="O4808">
        <v>0.89937106918238996</v>
      </c>
      <c r="P4808" t="s">
        <v>10272</v>
      </c>
      <c r="Q4808" t="s">
        <v>10273</v>
      </c>
      <c r="R4808" t="s">
        <v>869</v>
      </c>
      <c r="S4808" t="s">
        <v>870</v>
      </c>
      <c r="T4808" t="s">
        <v>10274</v>
      </c>
      <c r="U4808" t="s">
        <v>10275</v>
      </c>
      <c r="V4808" t="s">
        <v>10276</v>
      </c>
      <c r="W4808" t="s">
        <v>10277</v>
      </c>
      <c r="X4808" t="s">
        <v>10276</v>
      </c>
      <c r="Y4808" t="s">
        <v>875</v>
      </c>
      <c r="Z4808" t="s">
        <v>876</v>
      </c>
      <c r="AA4808" t="s">
        <v>877</v>
      </c>
      <c r="AB4808" t="s">
        <v>876</v>
      </c>
      <c r="AC4808" t="s">
        <v>878</v>
      </c>
      <c r="AD4808" t="s">
        <v>219</v>
      </c>
      <c r="AE4808" t="s">
        <v>10278</v>
      </c>
      <c r="AF4808" t="s">
        <v>10279</v>
      </c>
    </row>
    <row r="4809" spans="1:32" hidden="1" x14ac:dyDescent="0.35">
      <c r="A4809">
        <v>4902</v>
      </c>
      <c r="B4809" t="s">
        <v>10271</v>
      </c>
      <c r="C4809" t="s">
        <v>10127</v>
      </c>
      <c r="D4809" t="s">
        <v>34</v>
      </c>
      <c r="E4809">
        <v>827</v>
      </c>
      <c r="F4809">
        <v>4</v>
      </c>
      <c r="G4809">
        <v>4</v>
      </c>
      <c r="H4809">
        <v>1</v>
      </c>
      <c r="I4809">
        <v>0</v>
      </c>
      <c r="J4809">
        <v>0.93094856736074005</v>
      </c>
      <c r="K4809">
        <v>0.98186450541964998</v>
      </c>
      <c r="L4809">
        <v>0.955728887124486</v>
      </c>
      <c r="M4809">
        <v>0.84905660377358505</v>
      </c>
      <c r="N4809">
        <v>1</v>
      </c>
      <c r="O4809">
        <v>0.89937106918238996</v>
      </c>
      <c r="P4809" t="s">
        <v>10272</v>
      </c>
      <c r="Q4809" t="s">
        <v>10273</v>
      </c>
      <c r="R4809" t="s">
        <v>869</v>
      </c>
      <c r="S4809" t="s">
        <v>870</v>
      </c>
      <c r="T4809" t="s">
        <v>10274</v>
      </c>
      <c r="U4809" t="s">
        <v>10275</v>
      </c>
      <c r="V4809" t="s">
        <v>10276</v>
      </c>
      <c r="W4809" t="s">
        <v>10277</v>
      </c>
      <c r="X4809" t="s">
        <v>10276</v>
      </c>
      <c r="Y4809" t="s">
        <v>875</v>
      </c>
      <c r="Z4809" t="s">
        <v>876</v>
      </c>
      <c r="AA4809" t="s">
        <v>877</v>
      </c>
      <c r="AB4809" t="s">
        <v>876</v>
      </c>
      <c r="AC4809" t="s">
        <v>878</v>
      </c>
      <c r="AD4809" t="s">
        <v>219</v>
      </c>
      <c r="AE4809" t="s">
        <v>10278</v>
      </c>
      <c r="AF4809" t="s">
        <v>10280</v>
      </c>
    </row>
    <row r="4810" spans="1:32" hidden="1" x14ac:dyDescent="0.35">
      <c r="A4810">
        <v>4809</v>
      </c>
      <c r="B4810" t="s">
        <v>10088</v>
      </c>
      <c r="C4810" t="s">
        <v>10127</v>
      </c>
      <c r="D4810" t="s">
        <v>58</v>
      </c>
      <c r="E4810">
        <v>736</v>
      </c>
      <c r="F4810">
        <v>5</v>
      </c>
      <c r="G4810">
        <v>5</v>
      </c>
      <c r="H4810">
        <v>1</v>
      </c>
      <c r="I4810">
        <v>1</v>
      </c>
      <c r="J4810">
        <v>0.86397776174057195</v>
      </c>
      <c r="K4810">
        <v>0.98982393433941995</v>
      </c>
      <c r="L4810">
        <v>0.92262928566326796</v>
      </c>
      <c r="M4810">
        <v>0.75396825396825395</v>
      </c>
      <c r="N4810">
        <v>0.99841269841269797</v>
      </c>
      <c r="O4810">
        <v>0.81801587301587297</v>
      </c>
      <c r="P4810" t="s">
        <v>10089</v>
      </c>
      <c r="Q4810" t="s">
        <v>10090</v>
      </c>
      <c r="R4810" t="s">
        <v>6699</v>
      </c>
      <c r="S4810" t="s">
        <v>6700</v>
      </c>
      <c r="T4810" t="s">
        <v>10091</v>
      </c>
      <c r="U4810" t="s">
        <v>10092</v>
      </c>
      <c r="V4810" t="s">
        <v>10093</v>
      </c>
      <c r="W4810" t="s">
        <v>10094</v>
      </c>
      <c r="X4810" t="s">
        <v>10093</v>
      </c>
      <c r="Y4810" t="s">
        <v>10095</v>
      </c>
      <c r="Z4810" t="s">
        <v>6632</v>
      </c>
      <c r="AA4810" t="s">
        <v>6633</v>
      </c>
      <c r="AB4810" t="s">
        <v>6632</v>
      </c>
      <c r="AC4810" t="s">
        <v>6027</v>
      </c>
      <c r="AD4810" t="s">
        <v>10096</v>
      </c>
      <c r="AE4810" t="s">
        <v>10097</v>
      </c>
      <c r="AF4810" t="s">
        <v>10098</v>
      </c>
    </row>
    <row r="4811" spans="1:32" hidden="1" x14ac:dyDescent="0.35">
      <c r="A4811">
        <v>4810</v>
      </c>
      <c r="B4811" t="s">
        <v>10088</v>
      </c>
      <c r="C4811" t="s">
        <v>10127</v>
      </c>
      <c r="D4811" t="s">
        <v>60</v>
      </c>
      <c r="E4811">
        <v>952</v>
      </c>
      <c r="F4811">
        <v>5</v>
      </c>
      <c r="G4811">
        <v>5</v>
      </c>
      <c r="H4811">
        <v>1</v>
      </c>
      <c r="I4811">
        <v>1</v>
      </c>
      <c r="J4811">
        <v>0.86397776174057195</v>
      </c>
      <c r="K4811">
        <v>0.98982393433941995</v>
      </c>
      <c r="L4811">
        <v>0.92262928566326796</v>
      </c>
      <c r="M4811">
        <v>0.75396825396825395</v>
      </c>
      <c r="N4811">
        <v>0.99841269841269797</v>
      </c>
      <c r="O4811">
        <v>0.81801587301587297</v>
      </c>
      <c r="P4811" t="s">
        <v>10089</v>
      </c>
      <c r="Q4811" t="s">
        <v>10090</v>
      </c>
      <c r="R4811" t="s">
        <v>6699</v>
      </c>
      <c r="S4811" t="s">
        <v>6700</v>
      </c>
      <c r="T4811" t="s">
        <v>10091</v>
      </c>
      <c r="U4811" t="s">
        <v>10092</v>
      </c>
      <c r="V4811" t="s">
        <v>10093</v>
      </c>
      <c r="W4811" t="s">
        <v>10094</v>
      </c>
      <c r="X4811" t="s">
        <v>10093</v>
      </c>
      <c r="Y4811" t="s">
        <v>10095</v>
      </c>
      <c r="Z4811" t="s">
        <v>6632</v>
      </c>
      <c r="AA4811" t="s">
        <v>6633</v>
      </c>
      <c r="AB4811" t="s">
        <v>6632</v>
      </c>
      <c r="AC4811" t="s">
        <v>6027</v>
      </c>
      <c r="AD4811" t="s">
        <v>10096</v>
      </c>
      <c r="AE4811" t="s">
        <v>10097</v>
      </c>
      <c r="AF4811" t="s">
        <v>10099</v>
      </c>
    </row>
    <row r="4812" spans="1:32" hidden="1" x14ac:dyDescent="0.35">
      <c r="A4812">
        <v>4811</v>
      </c>
      <c r="B4812" t="s">
        <v>10088</v>
      </c>
      <c r="C4812" t="s">
        <v>10127</v>
      </c>
      <c r="D4812" t="s">
        <v>62</v>
      </c>
      <c r="E4812">
        <v>988</v>
      </c>
      <c r="F4812">
        <v>5</v>
      </c>
      <c r="G4812">
        <v>5</v>
      </c>
      <c r="H4812">
        <v>1</v>
      </c>
      <c r="I4812">
        <v>1</v>
      </c>
      <c r="J4812">
        <v>0.86397776174057195</v>
      </c>
      <c r="K4812">
        <v>0.98982393433941995</v>
      </c>
      <c r="L4812">
        <v>0.92262928566326796</v>
      </c>
      <c r="M4812">
        <v>0.75396825396825395</v>
      </c>
      <c r="N4812">
        <v>0.99841269841269797</v>
      </c>
      <c r="O4812">
        <v>0.81801587301587297</v>
      </c>
      <c r="P4812" t="s">
        <v>10089</v>
      </c>
      <c r="Q4812" t="s">
        <v>10090</v>
      </c>
      <c r="R4812" t="s">
        <v>6699</v>
      </c>
      <c r="S4812" t="s">
        <v>6700</v>
      </c>
      <c r="T4812" t="s">
        <v>10091</v>
      </c>
      <c r="U4812" t="s">
        <v>10092</v>
      </c>
      <c r="V4812" t="s">
        <v>10093</v>
      </c>
      <c r="W4812" t="s">
        <v>10094</v>
      </c>
      <c r="X4812" t="s">
        <v>10093</v>
      </c>
      <c r="Y4812" t="s">
        <v>10095</v>
      </c>
      <c r="Z4812" t="s">
        <v>6632</v>
      </c>
      <c r="AA4812" t="s">
        <v>6633</v>
      </c>
      <c r="AB4812" t="s">
        <v>6632</v>
      </c>
      <c r="AC4812" t="s">
        <v>6027</v>
      </c>
      <c r="AD4812" t="s">
        <v>10096</v>
      </c>
      <c r="AE4812" t="s">
        <v>10097</v>
      </c>
      <c r="AF4812" t="s">
        <v>10100</v>
      </c>
    </row>
    <row r="4813" spans="1:32" hidden="1" x14ac:dyDescent="0.35">
      <c r="A4813">
        <v>4812</v>
      </c>
      <c r="B4813" t="s">
        <v>10088</v>
      </c>
      <c r="C4813" t="s">
        <v>10127</v>
      </c>
      <c r="D4813" t="s">
        <v>34</v>
      </c>
      <c r="E4813">
        <v>207</v>
      </c>
      <c r="F4813">
        <v>5</v>
      </c>
      <c r="G4813">
        <v>5</v>
      </c>
      <c r="H4813">
        <v>1</v>
      </c>
      <c r="I4813">
        <v>1</v>
      </c>
      <c r="J4813">
        <v>0.86397776174057195</v>
      </c>
      <c r="K4813">
        <v>0.98982393433941995</v>
      </c>
      <c r="L4813">
        <v>0.92262928566326796</v>
      </c>
      <c r="M4813">
        <v>0.75396825396825395</v>
      </c>
      <c r="N4813">
        <v>0.99841269841269797</v>
      </c>
      <c r="O4813">
        <v>0.81801587301587297</v>
      </c>
      <c r="P4813" t="s">
        <v>10089</v>
      </c>
      <c r="Q4813" t="s">
        <v>10090</v>
      </c>
      <c r="R4813" t="s">
        <v>6699</v>
      </c>
      <c r="S4813" t="s">
        <v>6700</v>
      </c>
      <c r="T4813" t="s">
        <v>10091</v>
      </c>
      <c r="U4813" t="s">
        <v>10092</v>
      </c>
      <c r="V4813" t="s">
        <v>10093</v>
      </c>
      <c r="W4813" t="s">
        <v>10094</v>
      </c>
      <c r="X4813" t="s">
        <v>10093</v>
      </c>
      <c r="Y4813" t="s">
        <v>10095</v>
      </c>
      <c r="Z4813" t="s">
        <v>6632</v>
      </c>
      <c r="AA4813" t="s">
        <v>6633</v>
      </c>
      <c r="AB4813" t="s">
        <v>6632</v>
      </c>
      <c r="AC4813" t="s">
        <v>6027</v>
      </c>
      <c r="AD4813" t="s">
        <v>10096</v>
      </c>
      <c r="AE4813" t="s">
        <v>10097</v>
      </c>
      <c r="AF4813" t="s">
        <v>10101</v>
      </c>
    </row>
    <row r="4814" spans="1:32" hidden="1" x14ac:dyDescent="0.35">
      <c r="A4814">
        <v>4813</v>
      </c>
      <c r="B4814" t="s">
        <v>10088</v>
      </c>
      <c r="C4814" t="s">
        <v>10127</v>
      </c>
      <c r="D4814" t="s">
        <v>45</v>
      </c>
      <c r="E4814">
        <v>1470</v>
      </c>
      <c r="F4814">
        <v>5</v>
      </c>
      <c r="G4814">
        <v>5</v>
      </c>
      <c r="H4814">
        <v>1</v>
      </c>
      <c r="I4814">
        <v>1</v>
      </c>
      <c r="J4814">
        <v>0.86397776174057195</v>
      </c>
      <c r="K4814">
        <v>0.98982393433941995</v>
      </c>
      <c r="L4814">
        <v>0.92262928566326796</v>
      </c>
      <c r="M4814">
        <v>0.75396825396825395</v>
      </c>
      <c r="N4814">
        <v>0.99841269841269797</v>
      </c>
      <c r="O4814">
        <v>0.81801587301587297</v>
      </c>
      <c r="P4814" t="s">
        <v>10089</v>
      </c>
      <c r="Q4814" t="s">
        <v>10090</v>
      </c>
      <c r="R4814" t="s">
        <v>6699</v>
      </c>
      <c r="S4814" t="s">
        <v>6700</v>
      </c>
      <c r="T4814" t="s">
        <v>10091</v>
      </c>
      <c r="U4814" t="s">
        <v>10092</v>
      </c>
      <c r="V4814" t="s">
        <v>10093</v>
      </c>
      <c r="W4814" t="s">
        <v>10094</v>
      </c>
      <c r="X4814" t="s">
        <v>10093</v>
      </c>
      <c r="Y4814" t="s">
        <v>10095</v>
      </c>
      <c r="Z4814" t="s">
        <v>6632</v>
      </c>
      <c r="AA4814" t="s">
        <v>6633</v>
      </c>
      <c r="AB4814" t="s">
        <v>6632</v>
      </c>
      <c r="AC4814" t="s">
        <v>6027</v>
      </c>
      <c r="AD4814" t="s">
        <v>10096</v>
      </c>
      <c r="AE4814" t="s">
        <v>10097</v>
      </c>
      <c r="AF4814" t="s">
        <v>10102</v>
      </c>
    </row>
    <row r="4815" spans="1:32" hidden="1" x14ac:dyDescent="0.35">
      <c r="A4815">
        <v>4814</v>
      </c>
      <c r="B4815" t="s">
        <v>10103</v>
      </c>
      <c r="C4815" t="s">
        <v>10127</v>
      </c>
      <c r="D4815" t="s">
        <v>58</v>
      </c>
      <c r="E4815">
        <v>80</v>
      </c>
      <c r="F4815">
        <v>5</v>
      </c>
      <c r="G4815">
        <v>5</v>
      </c>
      <c r="H4815">
        <v>1</v>
      </c>
      <c r="I4815">
        <v>1</v>
      </c>
      <c r="J4815">
        <v>0.86078941148664601</v>
      </c>
      <c r="K4815">
        <v>0.99321016293841302</v>
      </c>
      <c r="L4815">
        <v>0.92227075284355198</v>
      </c>
      <c r="M4815">
        <v>0.73474178403755896</v>
      </c>
      <c r="N4815">
        <v>0.99295774647887303</v>
      </c>
      <c r="O4815">
        <v>0.80774647887323903</v>
      </c>
      <c r="P4815" t="s">
        <v>10104</v>
      </c>
      <c r="Q4815" t="s">
        <v>10105</v>
      </c>
      <c r="R4815" t="s">
        <v>10106</v>
      </c>
      <c r="S4815" t="s">
        <v>10107</v>
      </c>
      <c r="V4815" t="s">
        <v>10108</v>
      </c>
      <c r="W4815" t="s">
        <v>10109</v>
      </c>
      <c r="X4815" t="s">
        <v>10108</v>
      </c>
      <c r="Y4815" t="s">
        <v>1136</v>
      </c>
      <c r="AF4815" t="s">
        <v>10110</v>
      </c>
    </row>
    <row r="4816" spans="1:32" hidden="1" x14ac:dyDescent="0.35">
      <c r="A4816">
        <v>4815</v>
      </c>
      <c r="B4816" t="s">
        <v>10103</v>
      </c>
      <c r="C4816" t="s">
        <v>10127</v>
      </c>
      <c r="D4816" t="s">
        <v>60</v>
      </c>
      <c r="E4816">
        <v>144</v>
      </c>
      <c r="F4816">
        <v>5</v>
      </c>
      <c r="G4816">
        <v>5</v>
      </c>
      <c r="H4816">
        <v>1</v>
      </c>
      <c r="I4816">
        <v>1</v>
      </c>
      <c r="J4816">
        <v>0.86078941148664601</v>
      </c>
      <c r="K4816">
        <v>0.99321016293841302</v>
      </c>
      <c r="L4816">
        <v>0.92227075284355198</v>
      </c>
      <c r="M4816">
        <v>0.73474178403755896</v>
      </c>
      <c r="N4816">
        <v>0.99295774647887303</v>
      </c>
      <c r="O4816">
        <v>0.80774647887323903</v>
      </c>
      <c r="P4816" t="s">
        <v>10104</v>
      </c>
      <c r="Q4816" t="s">
        <v>10105</v>
      </c>
      <c r="R4816" t="s">
        <v>10106</v>
      </c>
      <c r="S4816" t="s">
        <v>10107</v>
      </c>
      <c r="V4816" t="s">
        <v>10108</v>
      </c>
      <c r="W4816" t="s">
        <v>10109</v>
      </c>
      <c r="X4816" t="s">
        <v>10108</v>
      </c>
      <c r="Y4816" t="s">
        <v>1136</v>
      </c>
      <c r="AF4816" t="s">
        <v>10111</v>
      </c>
    </row>
    <row r="4817" spans="1:32" hidden="1" x14ac:dyDescent="0.35">
      <c r="A4817">
        <v>4816</v>
      </c>
      <c r="B4817" t="s">
        <v>10103</v>
      </c>
      <c r="C4817" t="s">
        <v>10127</v>
      </c>
      <c r="D4817" t="s">
        <v>62</v>
      </c>
      <c r="E4817">
        <v>220</v>
      </c>
      <c r="F4817">
        <v>5</v>
      </c>
      <c r="G4817">
        <v>5</v>
      </c>
      <c r="H4817">
        <v>1</v>
      </c>
      <c r="I4817">
        <v>1</v>
      </c>
      <c r="J4817">
        <v>0.86078941148664601</v>
      </c>
      <c r="K4817">
        <v>0.99321016293841302</v>
      </c>
      <c r="L4817">
        <v>0.92227075284355198</v>
      </c>
      <c r="M4817">
        <v>0.73474178403755896</v>
      </c>
      <c r="N4817">
        <v>0.99295774647887303</v>
      </c>
      <c r="O4817">
        <v>0.80774647887323903</v>
      </c>
      <c r="P4817" t="s">
        <v>10104</v>
      </c>
      <c r="Q4817" t="s">
        <v>10105</v>
      </c>
      <c r="R4817" t="s">
        <v>10106</v>
      </c>
      <c r="S4817" t="s">
        <v>10107</v>
      </c>
      <c r="V4817" t="s">
        <v>10108</v>
      </c>
      <c r="W4817" t="s">
        <v>10109</v>
      </c>
      <c r="X4817" t="s">
        <v>10108</v>
      </c>
      <c r="Y4817" t="s">
        <v>1136</v>
      </c>
      <c r="AF4817" t="s">
        <v>10112</v>
      </c>
    </row>
    <row r="4818" spans="1:32" hidden="1" x14ac:dyDescent="0.35">
      <c r="A4818">
        <v>4817</v>
      </c>
      <c r="B4818" t="s">
        <v>10103</v>
      </c>
      <c r="C4818" t="s">
        <v>10127</v>
      </c>
      <c r="D4818" t="s">
        <v>34</v>
      </c>
      <c r="E4818">
        <v>924</v>
      </c>
      <c r="F4818">
        <v>5</v>
      </c>
      <c r="G4818">
        <v>5</v>
      </c>
      <c r="H4818">
        <v>1</v>
      </c>
      <c r="I4818">
        <v>1</v>
      </c>
      <c r="J4818">
        <v>0.86078941148664601</v>
      </c>
      <c r="K4818">
        <v>0.99321016293841302</v>
      </c>
      <c r="L4818">
        <v>0.92227075284355198</v>
      </c>
      <c r="M4818">
        <v>0.73474178403755896</v>
      </c>
      <c r="N4818">
        <v>0.99295774647887303</v>
      </c>
      <c r="O4818">
        <v>0.80774647887323903</v>
      </c>
      <c r="P4818" t="s">
        <v>10104</v>
      </c>
      <c r="Q4818" t="s">
        <v>10105</v>
      </c>
      <c r="R4818" t="s">
        <v>10106</v>
      </c>
      <c r="S4818" t="s">
        <v>10107</v>
      </c>
      <c r="V4818" t="s">
        <v>10108</v>
      </c>
      <c r="W4818" t="s">
        <v>10109</v>
      </c>
      <c r="X4818" t="s">
        <v>10108</v>
      </c>
      <c r="Y4818" t="s">
        <v>1136</v>
      </c>
      <c r="AF4818" t="s">
        <v>10113</v>
      </c>
    </row>
    <row r="4819" spans="1:32" hidden="1" x14ac:dyDescent="0.35">
      <c r="A4819">
        <v>4818</v>
      </c>
      <c r="B4819" t="s">
        <v>10103</v>
      </c>
      <c r="C4819" t="s">
        <v>10127</v>
      </c>
      <c r="D4819" t="s">
        <v>45</v>
      </c>
      <c r="E4819">
        <v>2180</v>
      </c>
      <c r="F4819">
        <v>5</v>
      </c>
      <c r="G4819">
        <v>5</v>
      </c>
      <c r="H4819">
        <v>1</v>
      </c>
      <c r="I4819">
        <v>1</v>
      </c>
      <c r="J4819">
        <v>0.86078941148664601</v>
      </c>
      <c r="K4819">
        <v>0.99321016293841302</v>
      </c>
      <c r="L4819">
        <v>0.92227075284355198</v>
      </c>
      <c r="M4819">
        <v>0.73474178403755896</v>
      </c>
      <c r="N4819">
        <v>0.99295774647887303</v>
      </c>
      <c r="O4819">
        <v>0.80774647887323903</v>
      </c>
      <c r="P4819" t="s">
        <v>10104</v>
      </c>
      <c r="Q4819" t="s">
        <v>10105</v>
      </c>
      <c r="R4819" t="s">
        <v>10106</v>
      </c>
      <c r="S4819" t="s">
        <v>10107</v>
      </c>
      <c r="V4819" t="s">
        <v>10108</v>
      </c>
      <c r="W4819" t="s">
        <v>10109</v>
      </c>
      <c r="X4819" t="s">
        <v>10108</v>
      </c>
      <c r="Y4819" t="s">
        <v>1136</v>
      </c>
      <c r="AF4819" t="s">
        <v>10114</v>
      </c>
    </row>
    <row r="4820" spans="1:32" hidden="1" x14ac:dyDescent="0.35">
      <c r="A4820">
        <v>4903</v>
      </c>
      <c r="B4820" t="s">
        <v>10271</v>
      </c>
      <c r="C4820" t="s">
        <v>10127</v>
      </c>
      <c r="D4820" t="s">
        <v>45</v>
      </c>
      <c r="E4820">
        <v>2084</v>
      </c>
      <c r="F4820">
        <v>4</v>
      </c>
      <c r="G4820">
        <v>4</v>
      </c>
      <c r="H4820">
        <v>1</v>
      </c>
      <c r="I4820">
        <v>0</v>
      </c>
      <c r="J4820">
        <v>0.93094856736074005</v>
      </c>
      <c r="K4820">
        <v>0.98186450541964998</v>
      </c>
      <c r="L4820">
        <v>0.955728887124486</v>
      </c>
      <c r="M4820">
        <v>0.84905660377358505</v>
      </c>
      <c r="N4820">
        <v>1</v>
      </c>
      <c r="O4820">
        <v>0.89937106918238996</v>
      </c>
      <c r="P4820" t="s">
        <v>10272</v>
      </c>
      <c r="Q4820" t="s">
        <v>10273</v>
      </c>
      <c r="R4820" t="s">
        <v>869</v>
      </c>
      <c r="S4820" t="s">
        <v>870</v>
      </c>
      <c r="T4820" t="s">
        <v>10274</v>
      </c>
      <c r="U4820" t="s">
        <v>10275</v>
      </c>
      <c r="V4820" t="s">
        <v>10276</v>
      </c>
      <c r="W4820" t="s">
        <v>10277</v>
      </c>
      <c r="X4820" t="s">
        <v>10276</v>
      </c>
      <c r="Y4820" t="s">
        <v>875</v>
      </c>
      <c r="Z4820" t="s">
        <v>876</v>
      </c>
      <c r="AA4820" t="s">
        <v>877</v>
      </c>
      <c r="AB4820" t="s">
        <v>876</v>
      </c>
      <c r="AC4820" t="s">
        <v>878</v>
      </c>
      <c r="AD4820" t="s">
        <v>219</v>
      </c>
      <c r="AE4820" t="s">
        <v>10278</v>
      </c>
      <c r="AF4820" t="s">
        <v>10280</v>
      </c>
    </row>
    <row r="4821" spans="1:32" hidden="1" x14ac:dyDescent="0.35">
      <c r="A4821">
        <v>4924</v>
      </c>
      <c r="B4821" t="s">
        <v>10325</v>
      </c>
      <c r="C4821" t="s">
        <v>10127</v>
      </c>
      <c r="D4821" t="s">
        <v>60</v>
      </c>
      <c r="E4821">
        <v>998</v>
      </c>
      <c r="F4821">
        <v>4</v>
      </c>
      <c r="G4821">
        <v>4</v>
      </c>
      <c r="H4821">
        <v>1</v>
      </c>
      <c r="I4821">
        <v>0</v>
      </c>
      <c r="J4821">
        <v>0.92426755113322301</v>
      </c>
      <c r="K4821">
        <v>0.97601370645345498</v>
      </c>
      <c r="L4821">
        <v>0.94943608451081896</v>
      </c>
      <c r="M4821">
        <v>0.82524271844660202</v>
      </c>
      <c r="N4821">
        <v>1</v>
      </c>
      <c r="O4821">
        <v>0.88511326860841399</v>
      </c>
      <c r="P4821" t="s">
        <v>10326</v>
      </c>
      <c r="Q4821" t="s">
        <v>10327</v>
      </c>
      <c r="R4821" t="s">
        <v>869</v>
      </c>
      <c r="S4821" t="s">
        <v>870</v>
      </c>
      <c r="V4821" t="s">
        <v>10328</v>
      </c>
      <c r="W4821" t="s">
        <v>10329</v>
      </c>
      <c r="AF4821" t="s">
        <v>10330</v>
      </c>
    </row>
    <row r="4822" spans="1:32" hidden="1" x14ac:dyDescent="0.35">
      <c r="A4822">
        <v>4925</v>
      </c>
      <c r="B4822" t="s">
        <v>10325</v>
      </c>
      <c r="C4822" t="s">
        <v>10127</v>
      </c>
      <c r="D4822" t="s">
        <v>62</v>
      </c>
      <c r="E4822">
        <v>1034</v>
      </c>
      <c r="F4822">
        <v>4</v>
      </c>
      <c r="G4822">
        <v>4</v>
      </c>
      <c r="H4822">
        <v>1</v>
      </c>
      <c r="I4822">
        <v>0</v>
      </c>
      <c r="J4822">
        <v>0.92426755113322301</v>
      </c>
      <c r="K4822">
        <v>0.97601370645345498</v>
      </c>
      <c r="L4822">
        <v>0.94943608451081896</v>
      </c>
      <c r="M4822">
        <v>0.82524271844660202</v>
      </c>
      <c r="N4822">
        <v>1</v>
      </c>
      <c r="O4822">
        <v>0.88511326860841399</v>
      </c>
      <c r="P4822" t="s">
        <v>10326</v>
      </c>
      <c r="Q4822" t="s">
        <v>10327</v>
      </c>
      <c r="R4822" t="s">
        <v>869</v>
      </c>
      <c r="S4822" t="s">
        <v>870</v>
      </c>
      <c r="V4822" t="s">
        <v>10328</v>
      </c>
      <c r="W4822" t="s">
        <v>10329</v>
      </c>
      <c r="AF4822" t="s">
        <v>10330</v>
      </c>
    </row>
    <row r="4823" spans="1:32" hidden="1" x14ac:dyDescent="0.35">
      <c r="A4823">
        <v>4926</v>
      </c>
      <c r="B4823" t="s">
        <v>10325</v>
      </c>
      <c r="C4823" t="s">
        <v>10127</v>
      </c>
      <c r="D4823" t="s">
        <v>34</v>
      </c>
      <c r="E4823">
        <v>128</v>
      </c>
      <c r="F4823">
        <v>4</v>
      </c>
      <c r="G4823">
        <v>4</v>
      </c>
      <c r="H4823">
        <v>1</v>
      </c>
      <c r="I4823">
        <v>0</v>
      </c>
      <c r="J4823">
        <v>0.92426755113322301</v>
      </c>
      <c r="K4823">
        <v>0.97601370645345498</v>
      </c>
      <c r="L4823">
        <v>0.94943608451081896</v>
      </c>
      <c r="M4823">
        <v>0.82524271844660202</v>
      </c>
      <c r="N4823">
        <v>1</v>
      </c>
      <c r="O4823">
        <v>0.88511326860841399</v>
      </c>
      <c r="P4823" t="s">
        <v>10326</v>
      </c>
      <c r="Q4823" t="s">
        <v>10327</v>
      </c>
      <c r="R4823" t="s">
        <v>869</v>
      </c>
      <c r="S4823" t="s">
        <v>870</v>
      </c>
      <c r="V4823" t="s">
        <v>10328</v>
      </c>
      <c r="W4823" t="s">
        <v>10329</v>
      </c>
      <c r="AF4823" t="s">
        <v>10331</v>
      </c>
    </row>
    <row r="4824" spans="1:32" hidden="1" x14ac:dyDescent="0.35">
      <c r="A4824">
        <v>4927</v>
      </c>
      <c r="B4824" t="s">
        <v>10325</v>
      </c>
      <c r="C4824" t="s">
        <v>10127</v>
      </c>
      <c r="D4824" t="s">
        <v>45</v>
      </c>
      <c r="E4824">
        <v>1390</v>
      </c>
      <c r="F4824">
        <v>4</v>
      </c>
      <c r="G4824">
        <v>4</v>
      </c>
      <c r="H4824">
        <v>1</v>
      </c>
      <c r="I4824">
        <v>0</v>
      </c>
      <c r="J4824">
        <v>0.92426755113322301</v>
      </c>
      <c r="K4824">
        <v>0.97601370645345498</v>
      </c>
      <c r="L4824">
        <v>0.94943608451081896</v>
      </c>
      <c r="M4824">
        <v>0.82524271844660202</v>
      </c>
      <c r="N4824">
        <v>1</v>
      </c>
      <c r="O4824">
        <v>0.88511326860841399</v>
      </c>
      <c r="P4824" t="s">
        <v>10326</v>
      </c>
      <c r="Q4824" t="s">
        <v>10327</v>
      </c>
      <c r="R4824" t="s">
        <v>869</v>
      </c>
      <c r="S4824" t="s">
        <v>870</v>
      </c>
      <c r="V4824" t="s">
        <v>10328</v>
      </c>
      <c r="W4824" t="s">
        <v>10329</v>
      </c>
      <c r="AF4824" t="s">
        <v>10332</v>
      </c>
    </row>
    <row r="4825" spans="1:32" hidden="1" x14ac:dyDescent="0.35">
      <c r="A4825">
        <v>4824</v>
      </c>
      <c r="B4825" t="s">
        <v>10126</v>
      </c>
      <c r="C4825" t="s">
        <v>10127</v>
      </c>
      <c r="D4825" t="s">
        <v>58</v>
      </c>
      <c r="E4825">
        <v>432</v>
      </c>
      <c r="F4825">
        <v>1</v>
      </c>
      <c r="G4825">
        <v>4</v>
      </c>
      <c r="H4825">
        <v>4</v>
      </c>
      <c r="I4825">
        <v>0</v>
      </c>
      <c r="J4825">
        <v>1</v>
      </c>
      <c r="K4825">
        <v>1</v>
      </c>
      <c r="L4825">
        <v>1</v>
      </c>
      <c r="M4825">
        <v>1</v>
      </c>
      <c r="N4825">
        <v>1</v>
      </c>
      <c r="O4825">
        <v>1</v>
      </c>
      <c r="AF4825" t="s">
        <v>10128</v>
      </c>
    </row>
    <row r="4826" spans="1:32" hidden="1" x14ac:dyDescent="0.35">
      <c r="A4826">
        <v>4825</v>
      </c>
      <c r="B4826" t="s">
        <v>10126</v>
      </c>
      <c r="C4826" t="s">
        <v>10127</v>
      </c>
      <c r="D4826" t="s">
        <v>58</v>
      </c>
      <c r="E4826">
        <v>858</v>
      </c>
      <c r="F4826">
        <v>1</v>
      </c>
      <c r="G4826">
        <v>4</v>
      </c>
      <c r="H4826">
        <v>4</v>
      </c>
      <c r="I4826">
        <v>0</v>
      </c>
      <c r="J4826">
        <v>1</v>
      </c>
      <c r="K4826">
        <v>1</v>
      </c>
      <c r="L4826">
        <v>1</v>
      </c>
      <c r="M4826">
        <v>1</v>
      </c>
      <c r="N4826">
        <v>1</v>
      </c>
      <c r="O4826">
        <v>1</v>
      </c>
      <c r="AF4826" t="s">
        <v>10128</v>
      </c>
    </row>
    <row r="4827" spans="1:32" hidden="1" x14ac:dyDescent="0.35">
      <c r="A4827">
        <v>4826</v>
      </c>
      <c r="B4827" t="s">
        <v>10126</v>
      </c>
      <c r="C4827" t="s">
        <v>10127</v>
      </c>
      <c r="D4827" t="s">
        <v>58</v>
      </c>
      <c r="E4827">
        <v>1612</v>
      </c>
      <c r="F4827">
        <v>1</v>
      </c>
      <c r="G4827">
        <v>4</v>
      </c>
      <c r="H4827">
        <v>4</v>
      </c>
      <c r="I4827">
        <v>0</v>
      </c>
      <c r="J4827">
        <v>1</v>
      </c>
      <c r="K4827">
        <v>1</v>
      </c>
      <c r="L4827">
        <v>1</v>
      </c>
      <c r="M4827">
        <v>1</v>
      </c>
      <c r="N4827">
        <v>1</v>
      </c>
      <c r="O4827">
        <v>1</v>
      </c>
      <c r="AF4827" t="s">
        <v>10128</v>
      </c>
    </row>
    <row r="4828" spans="1:32" hidden="1" x14ac:dyDescent="0.35">
      <c r="A4828">
        <v>4827</v>
      </c>
      <c r="B4828" t="s">
        <v>10126</v>
      </c>
      <c r="C4828" t="s">
        <v>10127</v>
      </c>
      <c r="D4828" t="s">
        <v>58</v>
      </c>
      <c r="E4828">
        <v>1836</v>
      </c>
      <c r="F4828">
        <v>1</v>
      </c>
      <c r="G4828">
        <v>4</v>
      </c>
      <c r="H4828">
        <v>4</v>
      </c>
      <c r="I4828">
        <v>0</v>
      </c>
      <c r="J4828">
        <v>1</v>
      </c>
      <c r="K4828">
        <v>1</v>
      </c>
      <c r="L4828">
        <v>1</v>
      </c>
      <c r="M4828">
        <v>1</v>
      </c>
      <c r="N4828">
        <v>1</v>
      </c>
      <c r="O4828">
        <v>1</v>
      </c>
      <c r="AF4828" t="s">
        <v>10128</v>
      </c>
    </row>
    <row r="4829" spans="1:32" hidden="1" x14ac:dyDescent="0.35">
      <c r="A4829">
        <v>4828</v>
      </c>
      <c r="B4829" t="s">
        <v>10129</v>
      </c>
      <c r="C4829" t="s">
        <v>10127</v>
      </c>
      <c r="D4829" t="s">
        <v>45</v>
      </c>
      <c r="E4829">
        <v>395</v>
      </c>
      <c r="F4829">
        <v>1</v>
      </c>
      <c r="G4829">
        <v>4</v>
      </c>
      <c r="H4829">
        <v>4</v>
      </c>
      <c r="I4829">
        <v>0</v>
      </c>
      <c r="J4829">
        <v>1</v>
      </c>
      <c r="K4829">
        <v>1</v>
      </c>
      <c r="L4829">
        <v>1</v>
      </c>
      <c r="M4829">
        <v>1</v>
      </c>
      <c r="N4829">
        <v>1</v>
      </c>
      <c r="O4829">
        <v>1</v>
      </c>
      <c r="AF4829" t="s">
        <v>10131</v>
      </c>
    </row>
    <row r="4830" spans="1:32" hidden="1" x14ac:dyDescent="0.35">
      <c r="A4830">
        <v>4829</v>
      </c>
      <c r="B4830" t="s">
        <v>10129</v>
      </c>
      <c r="C4830" t="s">
        <v>10127</v>
      </c>
      <c r="D4830" t="s">
        <v>45</v>
      </c>
      <c r="E4830">
        <v>1231</v>
      </c>
      <c r="F4830">
        <v>1</v>
      </c>
      <c r="G4830">
        <v>4</v>
      </c>
      <c r="H4830">
        <v>4</v>
      </c>
      <c r="I4830">
        <v>0</v>
      </c>
      <c r="J4830">
        <v>1</v>
      </c>
      <c r="K4830">
        <v>1</v>
      </c>
      <c r="L4830">
        <v>1</v>
      </c>
      <c r="M4830">
        <v>1</v>
      </c>
      <c r="N4830">
        <v>1</v>
      </c>
      <c r="O4830">
        <v>1</v>
      </c>
      <c r="AF4830" t="s">
        <v>10131</v>
      </c>
    </row>
    <row r="4831" spans="1:32" hidden="1" x14ac:dyDescent="0.35">
      <c r="A4831">
        <v>4830</v>
      </c>
      <c r="B4831" t="s">
        <v>10129</v>
      </c>
      <c r="C4831" t="s">
        <v>10127</v>
      </c>
      <c r="D4831" t="s">
        <v>45</v>
      </c>
      <c r="E4831">
        <v>1699</v>
      </c>
      <c r="F4831">
        <v>1</v>
      </c>
      <c r="G4831">
        <v>4</v>
      </c>
      <c r="H4831">
        <v>4</v>
      </c>
      <c r="I4831">
        <v>0</v>
      </c>
      <c r="J4831">
        <v>1</v>
      </c>
      <c r="K4831">
        <v>1</v>
      </c>
      <c r="L4831">
        <v>1</v>
      </c>
      <c r="M4831">
        <v>1</v>
      </c>
      <c r="N4831">
        <v>1</v>
      </c>
      <c r="O4831">
        <v>1</v>
      </c>
      <c r="AF4831" t="s">
        <v>10131</v>
      </c>
    </row>
    <row r="4832" spans="1:32" hidden="1" x14ac:dyDescent="0.35">
      <c r="A4832">
        <v>4831</v>
      </c>
      <c r="B4832" t="s">
        <v>10129</v>
      </c>
      <c r="C4832" t="s">
        <v>10127</v>
      </c>
      <c r="D4832" t="s">
        <v>45</v>
      </c>
      <c r="E4832">
        <v>2443</v>
      </c>
      <c r="F4832">
        <v>1</v>
      </c>
      <c r="G4832">
        <v>4</v>
      </c>
      <c r="H4832">
        <v>4</v>
      </c>
      <c r="I4832">
        <v>0</v>
      </c>
      <c r="J4832">
        <v>1</v>
      </c>
      <c r="K4832">
        <v>1</v>
      </c>
      <c r="L4832">
        <v>1</v>
      </c>
      <c r="M4832">
        <v>1</v>
      </c>
      <c r="N4832">
        <v>1</v>
      </c>
      <c r="O4832">
        <v>1</v>
      </c>
      <c r="AF4832" t="s">
        <v>10131</v>
      </c>
    </row>
    <row r="4833" spans="1:32" hidden="1" x14ac:dyDescent="0.35">
      <c r="A4833">
        <v>4832</v>
      </c>
      <c r="B4833" t="s">
        <v>10132</v>
      </c>
      <c r="C4833" t="s">
        <v>10127</v>
      </c>
      <c r="D4833" t="s">
        <v>58</v>
      </c>
      <c r="E4833">
        <v>433</v>
      </c>
      <c r="F4833">
        <v>1</v>
      </c>
      <c r="G4833">
        <v>4</v>
      </c>
      <c r="H4833">
        <v>4</v>
      </c>
      <c r="I4833">
        <v>0</v>
      </c>
      <c r="J4833">
        <v>0.94339622641509402</v>
      </c>
      <c r="K4833">
        <v>1</v>
      </c>
      <c r="L4833">
        <v>0.970873786407767</v>
      </c>
      <c r="M4833">
        <v>1</v>
      </c>
      <c r="N4833">
        <v>1</v>
      </c>
      <c r="O4833">
        <v>1</v>
      </c>
      <c r="AF4833" t="s">
        <v>10133</v>
      </c>
    </row>
    <row r="4834" spans="1:32" hidden="1" x14ac:dyDescent="0.35">
      <c r="A4834">
        <v>4833</v>
      </c>
      <c r="B4834" t="s">
        <v>10132</v>
      </c>
      <c r="C4834" t="s">
        <v>10127</v>
      </c>
      <c r="D4834" t="s">
        <v>58</v>
      </c>
      <c r="E4834">
        <v>859</v>
      </c>
      <c r="F4834">
        <v>1</v>
      </c>
      <c r="G4834">
        <v>4</v>
      </c>
      <c r="H4834">
        <v>4</v>
      </c>
      <c r="I4834">
        <v>0</v>
      </c>
      <c r="J4834">
        <v>0.94339622641509402</v>
      </c>
      <c r="K4834">
        <v>1</v>
      </c>
      <c r="L4834">
        <v>0.970873786407767</v>
      </c>
      <c r="M4834">
        <v>1</v>
      </c>
      <c r="N4834">
        <v>1</v>
      </c>
      <c r="O4834">
        <v>1</v>
      </c>
      <c r="AF4834" t="s">
        <v>10133</v>
      </c>
    </row>
    <row r="4835" spans="1:32" hidden="1" x14ac:dyDescent="0.35">
      <c r="A4835">
        <v>4834</v>
      </c>
      <c r="B4835" t="s">
        <v>10132</v>
      </c>
      <c r="C4835" t="s">
        <v>10127</v>
      </c>
      <c r="D4835" t="s">
        <v>58</v>
      </c>
      <c r="E4835">
        <v>1611</v>
      </c>
      <c r="F4835">
        <v>1</v>
      </c>
      <c r="G4835">
        <v>4</v>
      </c>
      <c r="H4835">
        <v>4</v>
      </c>
      <c r="I4835">
        <v>0</v>
      </c>
      <c r="J4835">
        <v>0.94339622641509402</v>
      </c>
      <c r="K4835">
        <v>1</v>
      </c>
      <c r="L4835">
        <v>0.970873786407767</v>
      </c>
      <c r="M4835">
        <v>1</v>
      </c>
      <c r="N4835">
        <v>1</v>
      </c>
      <c r="O4835">
        <v>1</v>
      </c>
      <c r="AF4835" t="s">
        <v>10133</v>
      </c>
    </row>
    <row r="4836" spans="1:32" hidden="1" x14ac:dyDescent="0.35">
      <c r="A4836">
        <v>4835</v>
      </c>
      <c r="B4836" t="s">
        <v>10132</v>
      </c>
      <c r="C4836" t="s">
        <v>10127</v>
      </c>
      <c r="D4836" t="s">
        <v>58</v>
      </c>
      <c r="E4836">
        <v>1835</v>
      </c>
      <c r="F4836">
        <v>1</v>
      </c>
      <c r="G4836">
        <v>4</v>
      </c>
      <c r="H4836">
        <v>4</v>
      </c>
      <c r="I4836">
        <v>0</v>
      </c>
      <c r="J4836">
        <v>0.94339622641509402</v>
      </c>
      <c r="K4836">
        <v>1</v>
      </c>
      <c r="L4836">
        <v>0.970873786407767</v>
      </c>
      <c r="M4836">
        <v>1</v>
      </c>
      <c r="N4836">
        <v>1</v>
      </c>
      <c r="O4836">
        <v>1</v>
      </c>
      <c r="AF4836" t="s">
        <v>10133</v>
      </c>
    </row>
    <row r="4837" spans="1:32" hidden="1" x14ac:dyDescent="0.35">
      <c r="A4837">
        <v>4836</v>
      </c>
      <c r="B4837" t="s">
        <v>10134</v>
      </c>
      <c r="C4837" t="s">
        <v>10127</v>
      </c>
      <c r="D4837" t="s">
        <v>34</v>
      </c>
      <c r="E4837">
        <v>1235</v>
      </c>
      <c r="F4837">
        <v>2</v>
      </c>
      <c r="G4837">
        <v>4</v>
      </c>
      <c r="H4837">
        <v>2</v>
      </c>
      <c r="I4837">
        <v>0</v>
      </c>
      <c r="J4837">
        <v>0.73439686537923299</v>
      </c>
      <c r="K4837">
        <v>0.90432583289726198</v>
      </c>
      <c r="L4837">
        <v>0.81055087314004703</v>
      </c>
      <c r="M4837">
        <v>0.45475113122171901</v>
      </c>
      <c r="N4837">
        <v>1</v>
      </c>
      <c r="O4837">
        <v>0.644419306184012</v>
      </c>
      <c r="P4837" t="s">
        <v>10135</v>
      </c>
      <c r="Q4837" t="s">
        <v>10136</v>
      </c>
      <c r="AF4837" t="s">
        <v>10137</v>
      </c>
    </row>
    <row r="4838" spans="1:32" hidden="1" x14ac:dyDescent="0.35">
      <c r="A4838">
        <v>4837</v>
      </c>
      <c r="B4838" t="s">
        <v>10134</v>
      </c>
      <c r="C4838" t="s">
        <v>10127</v>
      </c>
      <c r="D4838" t="s">
        <v>34</v>
      </c>
      <c r="E4838">
        <v>1465</v>
      </c>
      <c r="F4838">
        <v>2</v>
      </c>
      <c r="G4838">
        <v>4</v>
      </c>
      <c r="H4838">
        <v>2</v>
      </c>
      <c r="I4838">
        <v>0</v>
      </c>
      <c r="J4838">
        <v>0.73439686537923299</v>
      </c>
      <c r="K4838">
        <v>0.90432583289726198</v>
      </c>
      <c r="L4838">
        <v>0.81055087314004703</v>
      </c>
      <c r="M4838">
        <v>0.45475113122171901</v>
      </c>
      <c r="N4838">
        <v>1</v>
      </c>
      <c r="O4838">
        <v>0.644419306184012</v>
      </c>
      <c r="P4838" t="s">
        <v>10138</v>
      </c>
      <c r="Q4838" t="s">
        <v>10139</v>
      </c>
      <c r="AF4838" t="s">
        <v>10140</v>
      </c>
    </row>
    <row r="4839" spans="1:32" hidden="1" x14ac:dyDescent="0.35">
      <c r="A4839">
        <v>4838</v>
      </c>
      <c r="B4839" t="s">
        <v>10134</v>
      </c>
      <c r="C4839" t="s">
        <v>10127</v>
      </c>
      <c r="D4839" t="s">
        <v>45</v>
      </c>
      <c r="E4839">
        <v>2479</v>
      </c>
      <c r="F4839">
        <v>2</v>
      </c>
      <c r="G4839">
        <v>4</v>
      </c>
      <c r="H4839">
        <v>2</v>
      </c>
      <c r="I4839">
        <v>0</v>
      </c>
      <c r="J4839">
        <v>0.73439686537923299</v>
      </c>
      <c r="K4839">
        <v>0.90432583289726198</v>
      </c>
      <c r="L4839">
        <v>0.81055087314004703</v>
      </c>
      <c r="M4839">
        <v>0.45475113122171901</v>
      </c>
      <c r="N4839">
        <v>1</v>
      </c>
      <c r="O4839">
        <v>0.644419306184012</v>
      </c>
      <c r="P4839" t="s">
        <v>10135</v>
      </c>
      <c r="Q4839" t="s">
        <v>10136</v>
      </c>
      <c r="AF4839" t="s">
        <v>10137</v>
      </c>
    </row>
    <row r="4840" spans="1:32" hidden="1" x14ac:dyDescent="0.35">
      <c r="A4840">
        <v>4839</v>
      </c>
      <c r="B4840" t="s">
        <v>10134</v>
      </c>
      <c r="C4840" t="s">
        <v>10127</v>
      </c>
      <c r="D4840" t="s">
        <v>45</v>
      </c>
      <c r="E4840">
        <v>216</v>
      </c>
      <c r="F4840">
        <v>2</v>
      </c>
      <c r="G4840">
        <v>4</v>
      </c>
      <c r="H4840">
        <v>2</v>
      </c>
      <c r="I4840">
        <v>0</v>
      </c>
      <c r="J4840">
        <v>0.73439686537923299</v>
      </c>
      <c r="K4840">
        <v>0.90432583289726198</v>
      </c>
      <c r="L4840">
        <v>0.81055087314004703</v>
      </c>
      <c r="M4840">
        <v>0.45475113122171901</v>
      </c>
      <c r="N4840">
        <v>1</v>
      </c>
      <c r="O4840">
        <v>0.644419306184012</v>
      </c>
      <c r="P4840" t="s">
        <v>10138</v>
      </c>
      <c r="Q4840" t="s">
        <v>10139</v>
      </c>
      <c r="AF4840" t="s">
        <v>10141</v>
      </c>
    </row>
    <row r="4841" spans="1:32" hidden="1" x14ac:dyDescent="0.35">
      <c r="A4841">
        <v>4840</v>
      </c>
      <c r="B4841" t="s">
        <v>10142</v>
      </c>
      <c r="C4841" t="s">
        <v>10127</v>
      </c>
      <c r="D4841" t="s">
        <v>60</v>
      </c>
      <c r="E4841">
        <v>2204</v>
      </c>
      <c r="F4841">
        <v>4</v>
      </c>
      <c r="G4841">
        <v>4</v>
      </c>
      <c r="H4841">
        <v>1</v>
      </c>
      <c r="I4841">
        <v>0</v>
      </c>
      <c r="J4841">
        <v>0.78584474885844702</v>
      </c>
      <c r="K4841">
        <v>0.93804412641621804</v>
      </c>
      <c r="L4841">
        <v>0.85522571844921802</v>
      </c>
      <c r="M4841">
        <v>0.54615384615384599</v>
      </c>
      <c r="N4841">
        <v>1</v>
      </c>
      <c r="O4841">
        <v>0.69615384615384601</v>
      </c>
      <c r="P4841" t="s">
        <v>10143</v>
      </c>
      <c r="Q4841" t="s">
        <v>10144</v>
      </c>
      <c r="AF4841" t="e">
        <f>------MKTSADPAATRAAVLAVEAWIRDPDAASRPSRAALADAVRLTARTLEHLAPGHSVEVRVPPFVAVQCIDGPRHTRGTPPNVVEVDPHTWLQIATGLRDLRPE---DTSGTRAAEVAHWLPIVPL</f>
        <v>#NAME?</v>
      </c>
    </row>
    <row r="4842" spans="1:32" hidden="1" x14ac:dyDescent="0.35">
      <c r="A4842">
        <v>4841</v>
      </c>
      <c r="B4842" t="s">
        <v>10142</v>
      </c>
      <c r="C4842" t="s">
        <v>10127</v>
      </c>
      <c r="D4842" t="s">
        <v>62</v>
      </c>
      <c r="E4842">
        <v>2236</v>
      </c>
      <c r="F4842">
        <v>4</v>
      </c>
      <c r="G4842">
        <v>4</v>
      </c>
      <c r="H4842">
        <v>1</v>
      </c>
      <c r="I4842">
        <v>0</v>
      </c>
      <c r="J4842">
        <v>0.78584474885844702</v>
      </c>
      <c r="K4842">
        <v>0.93804412641621804</v>
      </c>
      <c r="L4842">
        <v>0.85522571844921802</v>
      </c>
      <c r="M4842">
        <v>0.54615384615384599</v>
      </c>
      <c r="N4842">
        <v>1</v>
      </c>
      <c r="O4842">
        <v>0.69615384615384601</v>
      </c>
      <c r="P4842" t="s">
        <v>10143</v>
      </c>
      <c r="Q4842" t="s">
        <v>10144</v>
      </c>
      <c r="AF4842" t="e">
        <f>------MKTSADPAATRAAVLAVEAWIRDPDAASRPSRAALADAVRLTARTLEHLAPGHSVEVRVPPFVAVQCIDGPRHTRGTPPNVVEVDPHTWLQIATGLRDLRPE---DTSGTRAAEVAHWLPIVPL</f>
        <v>#NAME?</v>
      </c>
    </row>
    <row r="4843" spans="1:32" hidden="1" x14ac:dyDescent="0.35">
      <c r="A4843">
        <v>4842</v>
      </c>
      <c r="B4843" t="s">
        <v>10142</v>
      </c>
      <c r="C4843" t="s">
        <v>10127</v>
      </c>
      <c r="D4843" t="s">
        <v>34</v>
      </c>
      <c r="E4843">
        <v>1568</v>
      </c>
      <c r="F4843">
        <v>4</v>
      </c>
      <c r="G4843">
        <v>4</v>
      </c>
      <c r="H4843">
        <v>1</v>
      </c>
      <c r="I4843">
        <v>0</v>
      </c>
      <c r="J4843">
        <v>0.78584474885844702</v>
      </c>
      <c r="K4843">
        <v>0.93804412641621804</v>
      </c>
      <c r="L4843">
        <v>0.85522571844921802</v>
      </c>
      <c r="M4843">
        <v>0.54615384615384599</v>
      </c>
      <c r="N4843">
        <v>1</v>
      </c>
      <c r="O4843">
        <v>0.69615384615384601</v>
      </c>
      <c r="P4843" t="s">
        <v>10143</v>
      </c>
      <c r="Q4843" t="s">
        <v>10144</v>
      </c>
      <c r="AF4843" t="s">
        <v>10145</v>
      </c>
    </row>
    <row r="4844" spans="1:32" hidden="1" x14ac:dyDescent="0.35">
      <c r="A4844">
        <v>4843</v>
      </c>
      <c r="B4844" t="s">
        <v>10142</v>
      </c>
      <c r="C4844" t="s">
        <v>10127</v>
      </c>
      <c r="D4844" t="s">
        <v>45</v>
      </c>
      <c r="E4844">
        <v>318</v>
      </c>
      <c r="F4844">
        <v>4</v>
      </c>
      <c r="G4844">
        <v>4</v>
      </c>
      <c r="H4844">
        <v>1</v>
      </c>
      <c r="I4844">
        <v>0</v>
      </c>
      <c r="J4844">
        <v>0.78584474885844702</v>
      </c>
      <c r="K4844">
        <v>0.93804412641621804</v>
      </c>
      <c r="L4844">
        <v>0.85522571844921802</v>
      </c>
      <c r="M4844">
        <v>0.54615384615384599</v>
      </c>
      <c r="N4844">
        <v>1</v>
      </c>
      <c r="O4844">
        <v>0.69615384615384601</v>
      </c>
      <c r="P4844" t="s">
        <v>10143</v>
      </c>
      <c r="Q4844" t="s">
        <v>10144</v>
      </c>
      <c r="AF4844" t="s">
        <v>10146</v>
      </c>
    </row>
    <row r="4845" spans="1:32" hidden="1" x14ac:dyDescent="0.35">
      <c r="A4845">
        <v>4844</v>
      </c>
      <c r="B4845" t="s">
        <v>10147</v>
      </c>
      <c r="C4845" t="s">
        <v>10127</v>
      </c>
      <c r="D4845" t="s">
        <v>60</v>
      </c>
      <c r="E4845">
        <v>1087</v>
      </c>
      <c r="F4845">
        <v>4</v>
      </c>
      <c r="G4845">
        <v>4</v>
      </c>
      <c r="H4845">
        <v>1</v>
      </c>
      <c r="I4845">
        <v>0</v>
      </c>
      <c r="J4845">
        <v>0.88502788502788499</v>
      </c>
      <c r="K4845">
        <v>1</v>
      </c>
      <c r="L4845">
        <v>0.93900773782430602</v>
      </c>
      <c r="M4845">
        <v>0.76833976833976803</v>
      </c>
      <c r="N4845">
        <v>1</v>
      </c>
      <c r="O4845">
        <v>0.84555984555984598</v>
      </c>
      <c r="P4845" t="s">
        <v>10148</v>
      </c>
      <c r="Q4845" t="s">
        <v>10149</v>
      </c>
      <c r="R4845" t="s">
        <v>4579</v>
      </c>
      <c r="S4845" t="s">
        <v>4580</v>
      </c>
      <c r="T4845" t="s">
        <v>10150</v>
      </c>
      <c r="U4845" t="s">
        <v>10151</v>
      </c>
      <c r="V4845" t="s">
        <v>10152</v>
      </c>
      <c r="W4845" t="s">
        <v>10153</v>
      </c>
      <c r="Z4845" t="s">
        <v>10154</v>
      </c>
      <c r="AA4845" t="s">
        <v>10155</v>
      </c>
      <c r="AB4845" t="s">
        <v>10154</v>
      </c>
      <c r="AC4845" t="s">
        <v>10156</v>
      </c>
      <c r="AD4845" t="s">
        <v>10157</v>
      </c>
      <c r="AE4845" t="s">
        <v>10158</v>
      </c>
      <c r="AF4845" t="s">
        <v>10159</v>
      </c>
    </row>
    <row r="4846" spans="1:32" hidden="1" x14ac:dyDescent="0.35">
      <c r="A4846">
        <v>4845</v>
      </c>
      <c r="B4846" t="s">
        <v>10147</v>
      </c>
      <c r="C4846" t="s">
        <v>10127</v>
      </c>
      <c r="D4846" t="s">
        <v>62</v>
      </c>
      <c r="E4846">
        <v>1123</v>
      </c>
      <c r="F4846">
        <v>4</v>
      </c>
      <c r="G4846">
        <v>4</v>
      </c>
      <c r="H4846">
        <v>1</v>
      </c>
      <c r="I4846">
        <v>0</v>
      </c>
      <c r="J4846">
        <v>0.88502788502788499</v>
      </c>
      <c r="K4846">
        <v>1</v>
      </c>
      <c r="L4846">
        <v>0.93900773782430602</v>
      </c>
      <c r="M4846">
        <v>0.76833976833976803</v>
      </c>
      <c r="N4846">
        <v>1</v>
      </c>
      <c r="O4846">
        <v>0.84555984555984598</v>
      </c>
      <c r="P4846" t="s">
        <v>10148</v>
      </c>
      <c r="Q4846" t="s">
        <v>10149</v>
      </c>
      <c r="R4846" t="s">
        <v>4579</v>
      </c>
      <c r="S4846" t="s">
        <v>4580</v>
      </c>
      <c r="T4846" t="s">
        <v>10150</v>
      </c>
      <c r="U4846" t="s">
        <v>10151</v>
      </c>
      <c r="V4846" t="s">
        <v>10152</v>
      </c>
      <c r="W4846" t="s">
        <v>10153</v>
      </c>
      <c r="Z4846" t="s">
        <v>10154</v>
      </c>
      <c r="AA4846" t="s">
        <v>10155</v>
      </c>
      <c r="AB4846" t="s">
        <v>10154</v>
      </c>
      <c r="AC4846" t="s">
        <v>10156</v>
      </c>
      <c r="AD4846" t="s">
        <v>10157</v>
      </c>
      <c r="AE4846" t="s">
        <v>10158</v>
      </c>
      <c r="AF4846" t="s">
        <v>10159</v>
      </c>
    </row>
    <row r="4847" spans="1:32" hidden="1" x14ac:dyDescent="0.35">
      <c r="A4847">
        <v>4846</v>
      </c>
      <c r="B4847" t="s">
        <v>10147</v>
      </c>
      <c r="C4847" t="s">
        <v>10127</v>
      </c>
      <c r="D4847" t="s">
        <v>34</v>
      </c>
      <c r="E4847">
        <v>161</v>
      </c>
      <c r="F4847">
        <v>4</v>
      </c>
      <c r="G4847">
        <v>4</v>
      </c>
      <c r="H4847">
        <v>1</v>
      </c>
      <c r="I4847">
        <v>0</v>
      </c>
      <c r="J4847">
        <v>0.88502788502788499</v>
      </c>
      <c r="K4847">
        <v>1</v>
      </c>
      <c r="L4847">
        <v>0.93900773782430602</v>
      </c>
      <c r="M4847">
        <v>0.76833976833976803</v>
      </c>
      <c r="N4847">
        <v>1</v>
      </c>
      <c r="O4847">
        <v>0.84555984555984598</v>
      </c>
      <c r="P4847" t="s">
        <v>10148</v>
      </c>
      <c r="Q4847" t="s">
        <v>10149</v>
      </c>
      <c r="R4847" t="s">
        <v>4579</v>
      </c>
      <c r="S4847" t="s">
        <v>4580</v>
      </c>
      <c r="T4847" t="s">
        <v>10150</v>
      </c>
      <c r="U4847" t="s">
        <v>10151</v>
      </c>
      <c r="V4847" t="s">
        <v>10152</v>
      </c>
      <c r="W4847" t="s">
        <v>10153</v>
      </c>
      <c r="Z4847" t="s">
        <v>10154</v>
      </c>
      <c r="AA4847" t="s">
        <v>10155</v>
      </c>
      <c r="AB4847" t="s">
        <v>10154</v>
      </c>
      <c r="AC4847" t="s">
        <v>10156</v>
      </c>
      <c r="AD4847" t="s">
        <v>10157</v>
      </c>
      <c r="AE4847" t="s">
        <v>10158</v>
      </c>
      <c r="AF4847" t="s">
        <v>10160</v>
      </c>
    </row>
    <row r="4848" spans="1:32" hidden="1" x14ac:dyDescent="0.35">
      <c r="A4848">
        <v>4847</v>
      </c>
      <c r="B4848" t="s">
        <v>10147</v>
      </c>
      <c r="C4848" t="s">
        <v>10127</v>
      </c>
      <c r="D4848" t="s">
        <v>45</v>
      </c>
      <c r="E4848">
        <v>1422</v>
      </c>
      <c r="F4848">
        <v>4</v>
      </c>
      <c r="G4848">
        <v>4</v>
      </c>
      <c r="H4848">
        <v>1</v>
      </c>
      <c r="I4848">
        <v>0</v>
      </c>
      <c r="J4848">
        <v>0.88502788502788499</v>
      </c>
      <c r="K4848">
        <v>1</v>
      </c>
      <c r="L4848">
        <v>0.93900773782430602</v>
      </c>
      <c r="M4848">
        <v>0.76833976833976803</v>
      </c>
      <c r="N4848">
        <v>1</v>
      </c>
      <c r="O4848">
        <v>0.84555984555984598</v>
      </c>
      <c r="P4848" t="s">
        <v>10148</v>
      </c>
      <c r="Q4848" t="s">
        <v>10149</v>
      </c>
      <c r="R4848" t="s">
        <v>4579</v>
      </c>
      <c r="S4848" t="s">
        <v>4580</v>
      </c>
      <c r="T4848" t="s">
        <v>10150</v>
      </c>
      <c r="U4848" t="s">
        <v>10151</v>
      </c>
      <c r="V4848" t="s">
        <v>10152</v>
      </c>
      <c r="W4848" t="s">
        <v>10153</v>
      </c>
      <c r="Z4848" t="s">
        <v>10154</v>
      </c>
      <c r="AA4848" t="s">
        <v>10155</v>
      </c>
      <c r="AB4848" t="s">
        <v>10154</v>
      </c>
      <c r="AC4848" t="s">
        <v>10156</v>
      </c>
      <c r="AD4848" t="s">
        <v>10157</v>
      </c>
      <c r="AE4848" t="s">
        <v>10158</v>
      </c>
      <c r="AF4848" t="s">
        <v>10160</v>
      </c>
    </row>
    <row r="4849" spans="1:32" hidden="1" x14ac:dyDescent="0.35">
      <c r="A4849">
        <v>4948</v>
      </c>
      <c r="B4849" t="s">
        <v>10356</v>
      </c>
      <c r="C4849" t="s">
        <v>10127</v>
      </c>
      <c r="D4849" t="s">
        <v>60</v>
      </c>
      <c r="E4849">
        <v>1208</v>
      </c>
      <c r="F4849">
        <v>4</v>
      </c>
      <c r="G4849">
        <v>4</v>
      </c>
      <c r="H4849">
        <v>1</v>
      </c>
      <c r="I4849">
        <v>0</v>
      </c>
      <c r="J4849">
        <v>0.82558806655192196</v>
      </c>
      <c r="K4849">
        <v>0.98323491833281595</v>
      </c>
      <c r="L4849">
        <v>0.89754168536779499</v>
      </c>
      <c r="M4849">
        <v>0.64467005076142103</v>
      </c>
      <c r="N4849">
        <v>1</v>
      </c>
      <c r="O4849">
        <v>0.76311336717428102</v>
      </c>
      <c r="P4849" t="s">
        <v>10357</v>
      </c>
      <c r="Q4849" t="s">
        <v>10358</v>
      </c>
      <c r="R4849" t="s">
        <v>869</v>
      </c>
      <c r="S4849" t="s">
        <v>870</v>
      </c>
      <c r="T4849" t="s">
        <v>10359</v>
      </c>
      <c r="U4849" t="s">
        <v>10360</v>
      </c>
      <c r="V4849" t="s">
        <v>10361</v>
      </c>
      <c r="W4849" t="s">
        <v>10362</v>
      </c>
      <c r="X4849" t="s">
        <v>10361</v>
      </c>
      <c r="Y4849" t="s">
        <v>3028</v>
      </c>
      <c r="Z4849" t="s">
        <v>10363</v>
      </c>
      <c r="AA4849" t="s">
        <v>10364</v>
      </c>
      <c r="AB4849" t="s">
        <v>10363</v>
      </c>
      <c r="AC4849" t="s">
        <v>878</v>
      </c>
      <c r="AD4849" t="s">
        <v>219</v>
      </c>
      <c r="AE4849" t="s">
        <v>10365</v>
      </c>
      <c r="AF4849" t="s">
        <v>10366</v>
      </c>
    </row>
    <row r="4850" spans="1:32" hidden="1" x14ac:dyDescent="0.35">
      <c r="A4850">
        <v>4949</v>
      </c>
      <c r="B4850" t="s">
        <v>10356</v>
      </c>
      <c r="C4850" t="s">
        <v>10127</v>
      </c>
      <c r="D4850" t="s">
        <v>62</v>
      </c>
      <c r="E4850">
        <v>1245</v>
      </c>
      <c r="F4850">
        <v>4</v>
      </c>
      <c r="G4850">
        <v>4</v>
      </c>
      <c r="H4850">
        <v>1</v>
      </c>
      <c r="I4850">
        <v>0</v>
      </c>
      <c r="J4850">
        <v>0.82558806655192196</v>
      </c>
      <c r="K4850">
        <v>0.98323491833281595</v>
      </c>
      <c r="L4850">
        <v>0.89754168536779499</v>
      </c>
      <c r="M4850">
        <v>0.64467005076142103</v>
      </c>
      <c r="N4850">
        <v>1</v>
      </c>
      <c r="O4850">
        <v>0.76311336717428102</v>
      </c>
      <c r="P4850" t="s">
        <v>10357</v>
      </c>
      <c r="Q4850" t="s">
        <v>10358</v>
      </c>
      <c r="R4850" t="s">
        <v>869</v>
      </c>
      <c r="S4850" t="s">
        <v>870</v>
      </c>
      <c r="T4850" t="s">
        <v>10359</v>
      </c>
      <c r="U4850" t="s">
        <v>10360</v>
      </c>
      <c r="V4850" t="s">
        <v>10361</v>
      </c>
      <c r="W4850" t="s">
        <v>10362</v>
      </c>
      <c r="X4850" t="s">
        <v>10361</v>
      </c>
      <c r="Y4850" t="s">
        <v>3028</v>
      </c>
      <c r="Z4850" t="s">
        <v>10363</v>
      </c>
      <c r="AA4850" t="s">
        <v>10364</v>
      </c>
      <c r="AB4850" t="s">
        <v>10363</v>
      </c>
      <c r="AC4850" t="s">
        <v>878</v>
      </c>
      <c r="AD4850" t="s">
        <v>219</v>
      </c>
      <c r="AE4850" t="s">
        <v>10365</v>
      </c>
      <c r="AF4850" t="s">
        <v>10366</v>
      </c>
    </row>
    <row r="4851" spans="1:32" hidden="1" x14ac:dyDescent="0.35">
      <c r="A4851">
        <v>4950</v>
      </c>
      <c r="B4851" t="s">
        <v>10356</v>
      </c>
      <c r="C4851" t="s">
        <v>10127</v>
      </c>
      <c r="D4851" t="s">
        <v>34</v>
      </c>
      <c r="E4851">
        <v>1793</v>
      </c>
      <c r="F4851">
        <v>4</v>
      </c>
      <c r="G4851">
        <v>4</v>
      </c>
      <c r="H4851">
        <v>1</v>
      </c>
      <c r="I4851">
        <v>0</v>
      </c>
      <c r="J4851">
        <v>0.82558806655192196</v>
      </c>
      <c r="K4851">
        <v>0.98323491833281595</v>
      </c>
      <c r="L4851">
        <v>0.89754168536779499</v>
      </c>
      <c r="M4851">
        <v>0.64467005076142103</v>
      </c>
      <c r="N4851">
        <v>1</v>
      </c>
      <c r="O4851">
        <v>0.76311336717428102</v>
      </c>
      <c r="P4851" t="s">
        <v>10357</v>
      </c>
      <c r="Q4851" t="s">
        <v>10358</v>
      </c>
      <c r="R4851" t="s">
        <v>869</v>
      </c>
      <c r="S4851" t="s">
        <v>870</v>
      </c>
      <c r="T4851" t="s">
        <v>10359</v>
      </c>
      <c r="U4851" t="s">
        <v>10360</v>
      </c>
      <c r="V4851" t="s">
        <v>10361</v>
      </c>
      <c r="W4851" t="s">
        <v>10362</v>
      </c>
      <c r="X4851" t="s">
        <v>10361</v>
      </c>
      <c r="Y4851" t="s">
        <v>3028</v>
      </c>
      <c r="Z4851" t="s">
        <v>10363</v>
      </c>
      <c r="AA4851" t="s">
        <v>10364</v>
      </c>
      <c r="AB4851" t="s">
        <v>10363</v>
      </c>
      <c r="AC4851" t="s">
        <v>878</v>
      </c>
      <c r="AD4851" t="s">
        <v>219</v>
      </c>
      <c r="AE4851" t="s">
        <v>10365</v>
      </c>
      <c r="AF4851" t="s">
        <v>10367</v>
      </c>
    </row>
    <row r="4852" spans="1:32" hidden="1" x14ac:dyDescent="0.35">
      <c r="A4852">
        <v>4951</v>
      </c>
      <c r="B4852" t="s">
        <v>10356</v>
      </c>
      <c r="C4852" t="s">
        <v>10127</v>
      </c>
      <c r="D4852" t="s">
        <v>45</v>
      </c>
      <c r="E4852">
        <v>1080</v>
      </c>
      <c r="F4852">
        <v>4</v>
      </c>
      <c r="G4852">
        <v>4</v>
      </c>
      <c r="H4852">
        <v>1</v>
      </c>
      <c r="I4852">
        <v>0</v>
      </c>
      <c r="J4852">
        <v>0.82558806655192196</v>
      </c>
      <c r="K4852">
        <v>0.98323491833281595</v>
      </c>
      <c r="L4852">
        <v>0.89754168536779499</v>
      </c>
      <c r="M4852">
        <v>0.64467005076142103</v>
      </c>
      <c r="N4852">
        <v>1</v>
      </c>
      <c r="O4852">
        <v>0.76311336717428102</v>
      </c>
      <c r="P4852" t="s">
        <v>10357</v>
      </c>
      <c r="Q4852" t="s">
        <v>10358</v>
      </c>
      <c r="R4852" t="s">
        <v>869</v>
      </c>
      <c r="S4852" t="s">
        <v>870</v>
      </c>
      <c r="T4852" t="s">
        <v>10359</v>
      </c>
      <c r="U4852" t="s">
        <v>10360</v>
      </c>
      <c r="V4852" t="s">
        <v>10361</v>
      </c>
      <c r="W4852" t="s">
        <v>10362</v>
      </c>
      <c r="X4852" t="s">
        <v>10361</v>
      </c>
      <c r="Y4852" t="s">
        <v>3028</v>
      </c>
      <c r="Z4852" t="s">
        <v>10363</v>
      </c>
      <c r="AA4852" t="s">
        <v>10364</v>
      </c>
      <c r="AB4852" t="s">
        <v>10363</v>
      </c>
      <c r="AC4852" t="s">
        <v>878</v>
      </c>
      <c r="AD4852" t="s">
        <v>219</v>
      </c>
      <c r="AE4852" t="s">
        <v>10365</v>
      </c>
      <c r="AF4852" t="s">
        <v>10367</v>
      </c>
    </row>
    <row r="4853" spans="1:32" hidden="1" x14ac:dyDescent="0.35">
      <c r="A4853">
        <v>5036</v>
      </c>
      <c r="B4853" t="s">
        <v>10521</v>
      </c>
      <c r="C4853" t="s">
        <v>10127</v>
      </c>
      <c r="D4853" t="s">
        <v>60</v>
      </c>
      <c r="E4853">
        <v>1093</v>
      </c>
      <c r="F4853">
        <v>4</v>
      </c>
      <c r="G4853">
        <v>4</v>
      </c>
      <c r="H4853">
        <v>1</v>
      </c>
      <c r="I4853">
        <v>0</v>
      </c>
      <c r="J4853">
        <v>0.74254215304798998</v>
      </c>
      <c r="K4853">
        <v>0.96292986040177098</v>
      </c>
      <c r="L4853">
        <v>0.83849632962387399</v>
      </c>
      <c r="M4853">
        <v>0.48314606741573002</v>
      </c>
      <c r="N4853">
        <v>1</v>
      </c>
      <c r="O4853">
        <v>0.64981273408239704</v>
      </c>
      <c r="P4853" t="s">
        <v>10522</v>
      </c>
      <c r="Q4853" t="s">
        <v>10523</v>
      </c>
      <c r="R4853" t="s">
        <v>869</v>
      </c>
      <c r="S4853" t="s">
        <v>870</v>
      </c>
      <c r="T4853" t="s">
        <v>10524</v>
      </c>
      <c r="U4853" t="s">
        <v>10525</v>
      </c>
      <c r="V4853" t="s">
        <v>10526</v>
      </c>
      <c r="W4853" t="s">
        <v>10527</v>
      </c>
      <c r="X4853" t="s">
        <v>10526</v>
      </c>
      <c r="Y4853" t="s">
        <v>2116</v>
      </c>
      <c r="AD4853" t="s">
        <v>410</v>
      </c>
      <c r="AE4853" t="s">
        <v>10528</v>
      </c>
      <c r="AF4853" t="s">
        <v>10529</v>
      </c>
    </row>
    <row r="4854" spans="1:32" hidden="1" x14ac:dyDescent="0.35">
      <c r="A4854">
        <v>5037</v>
      </c>
      <c r="B4854" t="s">
        <v>10521</v>
      </c>
      <c r="C4854" t="s">
        <v>10127</v>
      </c>
      <c r="D4854" t="s">
        <v>62</v>
      </c>
      <c r="E4854">
        <v>1129</v>
      </c>
      <c r="F4854">
        <v>4</v>
      </c>
      <c r="G4854">
        <v>4</v>
      </c>
      <c r="H4854">
        <v>1</v>
      </c>
      <c r="I4854">
        <v>0</v>
      </c>
      <c r="J4854">
        <v>0.74254215304798998</v>
      </c>
      <c r="K4854">
        <v>0.96292986040177098</v>
      </c>
      <c r="L4854">
        <v>0.83849632962387399</v>
      </c>
      <c r="M4854">
        <v>0.48314606741573002</v>
      </c>
      <c r="N4854">
        <v>1</v>
      </c>
      <c r="O4854">
        <v>0.64981273408239704</v>
      </c>
      <c r="P4854" t="s">
        <v>10522</v>
      </c>
      <c r="Q4854" t="s">
        <v>10523</v>
      </c>
      <c r="R4854" t="s">
        <v>869</v>
      </c>
      <c r="S4854" t="s">
        <v>870</v>
      </c>
      <c r="T4854" t="s">
        <v>10524</v>
      </c>
      <c r="U4854" t="s">
        <v>10525</v>
      </c>
      <c r="V4854" t="s">
        <v>10526</v>
      </c>
      <c r="W4854" t="s">
        <v>10527</v>
      </c>
      <c r="X4854" t="s">
        <v>10526</v>
      </c>
      <c r="Y4854" t="s">
        <v>2116</v>
      </c>
      <c r="AD4854" t="s">
        <v>410</v>
      </c>
      <c r="AE4854" t="s">
        <v>10528</v>
      </c>
      <c r="AF4854" t="s">
        <v>10529</v>
      </c>
    </row>
    <row r="4855" spans="1:32" hidden="1" x14ac:dyDescent="0.35">
      <c r="A4855">
        <v>5038</v>
      </c>
      <c r="B4855" t="s">
        <v>10521</v>
      </c>
      <c r="C4855" t="s">
        <v>10127</v>
      </c>
      <c r="D4855" t="s">
        <v>34</v>
      </c>
      <c r="E4855">
        <v>155</v>
      </c>
      <c r="F4855">
        <v>4</v>
      </c>
      <c r="G4855">
        <v>4</v>
      </c>
      <c r="H4855">
        <v>1</v>
      </c>
      <c r="I4855">
        <v>0</v>
      </c>
      <c r="J4855">
        <v>0.74254215304798998</v>
      </c>
      <c r="K4855">
        <v>0.96292986040177098</v>
      </c>
      <c r="L4855">
        <v>0.83849632962387399</v>
      </c>
      <c r="M4855">
        <v>0.48314606741573002</v>
      </c>
      <c r="N4855">
        <v>1</v>
      </c>
      <c r="O4855">
        <v>0.64981273408239704</v>
      </c>
      <c r="P4855" t="s">
        <v>10522</v>
      </c>
      <c r="Q4855" t="s">
        <v>10523</v>
      </c>
      <c r="R4855" t="s">
        <v>869</v>
      </c>
      <c r="S4855" t="s">
        <v>870</v>
      </c>
      <c r="T4855" t="s">
        <v>10524</v>
      </c>
      <c r="U4855" t="s">
        <v>10525</v>
      </c>
      <c r="V4855" t="s">
        <v>10526</v>
      </c>
      <c r="W4855" t="s">
        <v>10527</v>
      </c>
      <c r="X4855" t="s">
        <v>10526</v>
      </c>
      <c r="Y4855" t="s">
        <v>2116</v>
      </c>
      <c r="AD4855" t="s">
        <v>410</v>
      </c>
      <c r="AE4855" t="s">
        <v>10528</v>
      </c>
      <c r="AF4855" t="e">
        <f>---MDIHYFAAARAARGLAHERITTTAATLAELVDELGRLPGTGTTDSGLSLAQVLSRCSFLVDGRHTDMDTAISAAERVDVLPPFAGG</f>
        <v>#NAME?</v>
      </c>
    </row>
    <row r="4856" spans="1:32" hidden="1" x14ac:dyDescent="0.35">
      <c r="A4856">
        <v>5039</v>
      </c>
      <c r="B4856" t="s">
        <v>10521</v>
      </c>
      <c r="C4856" t="s">
        <v>10127</v>
      </c>
      <c r="D4856" t="s">
        <v>45</v>
      </c>
      <c r="E4856">
        <v>1416</v>
      </c>
      <c r="F4856">
        <v>4</v>
      </c>
      <c r="G4856">
        <v>4</v>
      </c>
      <c r="H4856">
        <v>1</v>
      </c>
      <c r="I4856">
        <v>0</v>
      </c>
      <c r="J4856">
        <v>0.74254215304798998</v>
      </c>
      <c r="K4856">
        <v>0.96292986040177098</v>
      </c>
      <c r="L4856">
        <v>0.83849632962387399</v>
      </c>
      <c r="M4856">
        <v>0.48314606741573002</v>
      </c>
      <c r="N4856">
        <v>1</v>
      </c>
      <c r="O4856">
        <v>0.64981273408239704</v>
      </c>
      <c r="P4856" t="s">
        <v>10522</v>
      </c>
      <c r="Q4856" t="s">
        <v>10523</v>
      </c>
      <c r="R4856" t="s">
        <v>869</v>
      </c>
      <c r="S4856" t="s">
        <v>870</v>
      </c>
      <c r="T4856" t="s">
        <v>10524</v>
      </c>
      <c r="U4856" t="s">
        <v>10525</v>
      </c>
      <c r="V4856" t="s">
        <v>10526</v>
      </c>
      <c r="W4856" t="s">
        <v>10527</v>
      </c>
      <c r="X4856" t="s">
        <v>10526</v>
      </c>
      <c r="Y4856" t="s">
        <v>2116</v>
      </c>
      <c r="AD4856" t="s">
        <v>410</v>
      </c>
      <c r="AE4856" t="s">
        <v>10528</v>
      </c>
      <c r="AF4856" t="e">
        <f>---MDIHYFAAARAARGLAHERITTTAATLAELVDELGRLPGAGTTDSGLSLAQVLSRCSFLVDGRHANMDTAISAAERVDVLPPFAGG</f>
        <v>#NAME?</v>
      </c>
    </row>
    <row r="4857" spans="1:32" hidden="1" x14ac:dyDescent="0.35">
      <c r="A4857">
        <v>4856</v>
      </c>
      <c r="B4857" t="s">
        <v>10174</v>
      </c>
      <c r="C4857" t="s">
        <v>10127</v>
      </c>
      <c r="D4857" t="s">
        <v>60</v>
      </c>
      <c r="E4857">
        <v>267</v>
      </c>
      <c r="F4857">
        <v>4</v>
      </c>
      <c r="G4857">
        <v>4</v>
      </c>
      <c r="H4857">
        <v>1</v>
      </c>
      <c r="I4857">
        <v>0</v>
      </c>
      <c r="J4857">
        <v>0.80832346472678096</v>
      </c>
      <c r="K4857">
        <v>0.96707259047790695</v>
      </c>
      <c r="L4857">
        <v>0.88060065773580998</v>
      </c>
      <c r="M4857">
        <v>0.613472858077175</v>
      </c>
      <c r="N4857">
        <v>1</v>
      </c>
      <c r="O4857">
        <v>0.74182472204054895</v>
      </c>
      <c r="P4857" t="s">
        <v>9932</v>
      </c>
      <c r="Q4857" t="s">
        <v>9933</v>
      </c>
      <c r="R4857" t="s">
        <v>9934</v>
      </c>
      <c r="S4857" t="s">
        <v>9935</v>
      </c>
      <c r="T4857" t="s">
        <v>9936</v>
      </c>
      <c r="U4857" t="s">
        <v>9937</v>
      </c>
      <c r="V4857" t="s">
        <v>9938</v>
      </c>
      <c r="W4857" t="s">
        <v>9939</v>
      </c>
      <c r="X4857" t="s">
        <v>9938</v>
      </c>
      <c r="Y4857" t="s">
        <v>7642</v>
      </c>
      <c r="Z4857" t="s">
        <v>9940</v>
      </c>
      <c r="AA4857" t="s">
        <v>9941</v>
      </c>
      <c r="AB4857" t="s">
        <v>9940</v>
      </c>
      <c r="AC4857" t="s">
        <v>9942</v>
      </c>
      <c r="AD4857" t="s">
        <v>9943</v>
      </c>
      <c r="AE4857" t="s">
        <v>9944</v>
      </c>
      <c r="AF4857" t="s">
        <v>10175</v>
      </c>
    </row>
    <row r="4858" spans="1:32" hidden="1" x14ac:dyDescent="0.35">
      <c r="A4858">
        <v>4857</v>
      </c>
      <c r="B4858" t="s">
        <v>10174</v>
      </c>
      <c r="C4858" t="s">
        <v>10127</v>
      </c>
      <c r="D4858" t="s">
        <v>62</v>
      </c>
      <c r="E4858">
        <v>345</v>
      </c>
      <c r="F4858">
        <v>4</v>
      </c>
      <c r="G4858">
        <v>4</v>
      </c>
      <c r="H4858">
        <v>1</v>
      </c>
      <c r="I4858">
        <v>0</v>
      </c>
      <c r="J4858">
        <v>0.80832346472678096</v>
      </c>
      <c r="K4858">
        <v>0.96707259047790695</v>
      </c>
      <c r="L4858">
        <v>0.88060065773580998</v>
      </c>
      <c r="M4858">
        <v>0.613472858077175</v>
      </c>
      <c r="N4858">
        <v>1</v>
      </c>
      <c r="O4858">
        <v>0.74182472204054895</v>
      </c>
      <c r="P4858" t="s">
        <v>9932</v>
      </c>
      <c r="Q4858" t="s">
        <v>9933</v>
      </c>
      <c r="R4858" t="s">
        <v>9934</v>
      </c>
      <c r="S4858" t="s">
        <v>9935</v>
      </c>
      <c r="T4858" t="s">
        <v>9936</v>
      </c>
      <c r="U4858" t="s">
        <v>9937</v>
      </c>
      <c r="V4858" t="s">
        <v>9938</v>
      </c>
      <c r="W4858" t="s">
        <v>9939</v>
      </c>
      <c r="X4858" t="s">
        <v>9938</v>
      </c>
      <c r="Y4858" t="s">
        <v>7642</v>
      </c>
      <c r="Z4858" t="s">
        <v>9940</v>
      </c>
      <c r="AA4858" t="s">
        <v>9941</v>
      </c>
      <c r="AB4858" t="s">
        <v>9940</v>
      </c>
      <c r="AC4858" t="s">
        <v>9942</v>
      </c>
      <c r="AD4858" t="s">
        <v>9943</v>
      </c>
      <c r="AE4858" t="s">
        <v>9944</v>
      </c>
      <c r="AF4858" t="s">
        <v>10175</v>
      </c>
    </row>
    <row r="4859" spans="1:32" hidden="1" x14ac:dyDescent="0.35">
      <c r="A4859">
        <v>4858</v>
      </c>
      <c r="B4859" t="s">
        <v>10174</v>
      </c>
      <c r="C4859" t="s">
        <v>10127</v>
      </c>
      <c r="D4859" t="s">
        <v>34</v>
      </c>
      <c r="E4859">
        <v>490</v>
      </c>
      <c r="F4859">
        <v>4</v>
      </c>
      <c r="G4859">
        <v>4</v>
      </c>
      <c r="H4859">
        <v>1</v>
      </c>
      <c r="I4859">
        <v>0</v>
      </c>
      <c r="J4859">
        <v>0.80832346472678096</v>
      </c>
      <c r="K4859">
        <v>0.96707259047790695</v>
      </c>
      <c r="L4859">
        <v>0.88060065773580998</v>
      </c>
      <c r="M4859">
        <v>0.613472858077175</v>
      </c>
      <c r="N4859">
        <v>1</v>
      </c>
      <c r="O4859">
        <v>0.74182472204054895</v>
      </c>
      <c r="P4859" t="s">
        <v>9932</v>
      </c>
      <c r="Q4859" t="s">
        <v>9933</v>
      </c>
      <c r="R4859" t="s">
        <v>9934</v>
      </c>
      <c r="S4859" t="s">
        <v>9935</v>
      </c>
      <c r="T4859" t="s">
        <v>9936</v>
      </c>
      <c r="U4859" t="s">
        <v>9937</v>
      </c>
      <c r="V4859" t="s">
        <v>9938</v>
      </c>
      <c r="W4859" t="s">
        <v>9939</v>
      </c>
      <c r="X4859" t="s">
        <v>9938</v>
      </c>
      <c r="Y4859" t="s">
        <v>7642</v>
      </c>
      <c r="Z4859" t="s">
        <v>9940</v>
      </c>
      <c r="AA4859" t="s">
        <v>9941</v>
      </c>
      <c r="AB4859" t="s">
        <v>9940</v>
      </c>
      <c r="AC4859" t="s">
        <v>9942</v>
      </c>
      <c r="AD4859" t="s">
        <v>9943</v>
      </c>
      <c r="AE4859" t="s">
        <v>9944</v>
      </c>
      <c r="AF4859" t="s">
        <v>10176</v>
      </c>
    </row>
    <row r="4860" spans="1:32" hidden="1" x14ac:dyDescent="0.35">
      <c r="A4860">
        <v>4859</v>
      </c>
      <c r="B4860" t="s">
        <v>10174</v>
      </c>
      <c r="C4860" t="s">
        <v>10127</v>
      </c>
      <c r="D4860" t="s">
        <v>45</v>
      </c>
      <c r="E4860">
        <v>1755</v>
      </c>
      <c r="F4860">
        <v>4</v>
      </c>
      <c r="G4860">
        <v>4</v>
      </c>
      <c r="H4860">
        <v>1</v>
      </c>
      <c r="I4860">
        <v>0</v>
      </c>
      <c r="J4860">
        <v>0.80832346472678096</v>
      </c>
      <c r="K4860">
        <v>0.96707259047790695</v>
      </c>
      <c r="L4860">
        <v>0.88060065773580998</v>
      </c>
      <c r="M4860">
        <v>0.613472858077175</v>
      </c>
      <c r="N4860">
        <v>1</v>
      </c>
      <c r="O4860">
        <v>0.74182472204054895</v>
      </c>
      <c r="P4860" t="s">
        <v>9932</v>
      </c>
      <c r="Q4860" t="s">
        <v>9933</v>
      </c>
      <c r="R4860" t="s">
        <v>9934</v>
      </c>
      <c r="S4860" t="s">
        <v>9935</v>
      </c>
      <c r="T4860" t="s">
        <v>9936</v>
      </c>
      <c r="U4860" t="s">
        <v>9937</v>
      </c>
      <c r="V4860" t="s">
        <v>9938</v>
      </c>
      <c r="W4860" t="s">
        <v>9939</v>
      </c>
      <c r="X4860" t="s">
        <v>9938</v>
      </c>
      <c r="Y4860" t="s">
        <v>7642</v>
      </c>
      <c r="Z4860" t="s">
        <v>9940</v>
      </c>
      <c r="AA4860" t="s">
        <v>9941</v>
      </c>
      <c r="AB4860" t="s">
        <v>9940</v>
      </c>
      <c r="AC4860" t="s">
        <v>9942</v>
      </c>
      <c r="AD4860" t="s">
        <v>9943</v>
      </c>
      <c r="AE4860" t="s">
        <v>9944</v>
      </c>
      <c r="AF4860" t="s">
        <v>10177</v>
      </c>
    </row>
    <row r="4861" spans="1:32" hidden="1" x14ac:dyDescent="0.35">
      <c r="A4861">
        <v>5184</v>
      </c>
      <c r="B4861" t="s">
        <v>10785</v>
      </c>
      <c r="C4861" t="s">
        <v>10127</v>
      </c>
      <c r="D4861" t="s">
        <v>60</v>
      </c>
      <c r="E4861">
        <v>317</v>
      </c>
      <c r="F4861">
        <v>4</v>
      </c>
      <c r="G4861">
        <v>4</v>
      </c>
      <c r="H4861">
        <v>1</v>
      </c>
      <c r="I4861">
        <v>0</v>
      </c>
      <c r="J4861">
        <v>0.76528452247540801</v>
      </c>
      <c r="K4861">
        <v>0.95676754494796701</v>
      </c>
      <c r="L4861">
        <v>0.85038008734663695</v>
      </c>
      <c r="M4861">
        <v>0.52248394004282706</v>
      </c>
      <c r="N4861">
        <v>1</v>
      </c>
      <c r="O4861">
        <v>0.67844396859386202</v>
      </c>
      <c r="P4861" t="s">
        <v>10786</v>
      </c>
      <c r="Q4861" t="s">
        <v>10787</v>
      </c>
      <c r="R4861" t="s">
        <v>869</v>
      </c>
      <c r="S4861" t="s">
        <v>870</v>
      </c>
      <c r="T4861" t="s">
        <v>10788</v>
      </c>
      <c r="U4861" t="s">
        <v>10789</v>
      </c>
      <c r="V4861" t="s">
        <v>10790</v>
      </c>
      <c r="W4861" t="s">
        <v>10791</v>
      </c>
      <c r="X4861" t="s">
        <v>10790</v>
      </c>
      <c r="Y4861" t="s">
        <v>1153</v>
      </c>
      <c r="Z4861" t="s">
        <v>7283</v>
      </c>
      <c r="AA4861" t="s">
        <v>7284</v>
      </c>
      <c r="AB4861" t="s">
        <v>7283</v>
      </c>
      <c r="AC4861" t="s">
        <v>1742</v>
      </c>
      <c r="AD4861" t="s">
        <v>191</v>
      </c>
      <c r="AE4861" t="s">
        <v>10792</v>
      </c>
      <c r="AF4861" t="s">
        <v>10793</v>
      </c>
    </row>
    <row r="4862" spans="1:32" hidden="1" x14ac:dyDescent="0.35">
      <c r="A4862">
        <v>5185</v>
      </c>
      <c r="B4862" t="s">
        <v>10785</v>
      </c>
      <c r="C4862" t="s">
        <v>10127</v>
      </c>
      <c r="D4862" t="s">
        <v>62</v>
      </c>
      <c r="E4862">
        <v>397</v>
      </c>
      <c r="F4862">
        <v>4</v>
      </c>
      <c r="G4862">
        <v>4</v>
      </c>
      <c r="H4862">
        <v>1</v>
      </c>
      <c r="I4862">
        <v>0</v>
      </c>
      <c r="J4862">
        <v>0.76528452247540801</v>
      </c>
      <c r="K4862">
        <v>0.95676754494796701</v>
      </c>
      <c r="L4862">
        <v>0.85038008734663695</v>
      </c>
      <c r="M4862">
        <v>0.52248394004282706</v>
      </c>
      <c r="N4862">
        <v>1</v>
      </c>
      <c r="O4862">
        <v>0.67844396859386202</v>
      </c>
      <c r="P4862" t="s">
        <v>10786</v>
      </c>
      <c r="Q4862" t="s">
        <v>10787</v>
      </c>
      <c r="R4862" t="s">
        <v>869</v>
      </c>
      <c r="S4862" t="s">
        <v>870</v>
      </c>
      <c r="T4862" t="s">
        <v>10788</v>
      </c>
      <c r="U4862" t="s">
        <v>10789</v>
      </c>
      <c r="V4862" t="s">
        <v>10790</v>
      </c>
      <c r="W4862" t="s">
        <v>10791</v>
      </c>
      <c r="X4862" t="s">
        <v>10790</v>
      </c>
      <c r="Y4862" t="s">
        <v>1153</v>
      </c>
      <c r="Z4862" t="s">
        <v>7283</v>
      </c>
      <c r="AA4862" t="s">
        <v>7284</v>
      </c>
      <c r="AB4862" t="s">
        <v>7283</v>
      </c>
      <c r="AC4862" t="s">
        <v>1742</v>
      </c>
      <c r="AD4862" t="s">
        <v>191</v>
      </c>
      <c r="AE4862" t="s">
        <v>10792</v>
      </c>
      <c r="AF4862" t="s">
        <v>10793</v>
      </c>
    </row>
    <row r="4863" spans="1:32" hidden="1" x14ac:dyDescent="0.35">
      <c r="A4863">
        <v>5186</v>
      </c>
      <c r="B4863" t="s">
        <v>10785</v>
      </c>
      <c r="C4863" t="s">
        <v>10127</v>
      </c>
      <c r="D4863" t="s">
        <v>34</v>
      </c>
      <c r="E4863">
        <v>841</v>
      </c>
      <c r="F4863">
        <v>4</v>
      </c>
      <c r="G4863">
        <v>4</v>
      </c>
      <c r="H4863">
        <v>1</v>
      </c>
      <c r="I4863">
        <v>0</v>
      </c>
      <c r="J4863">
        <v>0.76528452247540801</v>
      </c>
      <c r="K4863">
        <v>0.95676754494796701</v>
      </c>
      <c r="L4863">
        <v>0.85038008734663695</v>
      </c>
      <c r="M4863">
        <v>0.52248394004282706</v>
      </c>
      <c r="N4863">
        <v>1</v>
      </c>
      <c r="O4863">
        <v>0.67844396859386202</v>
      </c>
      <c r="P4863" t="s">
        <v>10786</v>
      </c>
      <c r="Q4863" t="s">
        <v>10787</v>
      </c>
      <c r="R4863" t="s">
        <v>869</v>
      </c>
      <c r="S4863" t="s">
        <v>870</v>
      </c>
      <c r="T4863" t="s">
        <v>10788</v>
      </c>
      <c r="U4863" t="s">
        <v>10789</v>
      </c>
      <c r="V4863" t="s">
        <v>10790</v>
      </c>
      <c r="W4863" t="s">
        <v>10791</v>
      </c>
      <c r="X4863" t="s">
        <v>10790</v>
      </c>
      <c r="Y4863" t="s">
        <v>1153</v>
      </c>
      <c r="Z4863" t="s">
        <v>7283</v>
      </c>
      <c r="AA4863" t="s">
        <v>7284</v>
      </c>
      <c r="AB4863" t="s">
        <v>7283</v>
      </c>
      <c r="AC4863" t="s">
        <v>1742</v>
      </c>
      <c r="AD4863" t="s">
        <v>191</v>
      </c>
      <c r="AE4863" t="s">
        <v>10792</v>
      </c>
      <c r="AF4863" t="s">
        <v>10794</v>
      </c>
    </row>
    <row r="4864" spans="1:32" hidden="1" x14ac:dyDescent="0.35">
      <c r="A4864">
        <v>5187</v>
      </c>
      <c r="B4864" t="s">
        <v>10785</v>
      </c>
      <c r="C4864" t="s">
        <v>10127</v>
      </c>
      <c r="D4864" t="s">
        <v>45</v>
      </c>
      <c r="E4864">
        <v>2098</v>
      </c>
      <c r="F4864">
        <v>4</v>
      </c>
      <c r="G4864">
        <v>4</v>
      </c>
      <c r="H4864">
        <v>1</v>
      </c>
      <c r="I4864">
        <v>0</v>
      </c>
      <c r="J4864">
        <v>0.76528452247540801</v>
      </c>
      <c r="K4864">
        <v>0.95676754494796701</v>
      </c>
      <c r="L4864">
        <v>0.85038008734663695</v>
      </c>
      <c r="M4864">
        <v>0.52248394004282706</v>
      </c>
      <c r="N4864">
        <v>1</v>
      </c>
      <c r="O4864">
        <v>0.67844396859386202</v>
      </c>
      <c r="P4864" t="s">
        <v>10786</v>
      </c>
      <c r="Q4864" t="s">
        <v>10787</v>
      </c>
      <c r="R4864" t="s">
        <v>869</v>
      </c>
      <c r="S4864" t="s">
        <v>870</v>
      </c>
      <c r="T4864" t="s">
        <v>10788</v>
      </c>
      <c r="U4864" t="s">
        <v>10789</v>
      </c>
      <c r="V4864" t="s">
        <v>10790</v>
      </c>
      <c r="W4864" t="s">
        <v>10791</v>
      </c>
      <c r="X4864" t="s">
        <v>10790</v>
      </c>
      <c r="Y4864" t="s">
        <v>1153</v>
      </c>
      <c r="Z4864" t="s">
        <v>7283</v>
      </c>
      <c r="AA4864" t="s">
        <v>7284</v>
      </c>
      <c r="AB4864" t="s">
        <v>7283</v>
      </c>
      <c r="AC4864" t="s">
        <v>1742</v>
      </c>
      <c r="AD4864" t="s">
        <v>191</v>
      </c>
      <c r="AE4864" t="s">
        <v>10792</v>
      </c>
      <c r="AF4864" t="s">
        <v>10795</v>
      </c>
    </row>
    <row r="4865" spans="1:32" hidden="1" x14ac:dyDescent="0.35">
      <c r="A4865">
        <v>5258</v>
      </c>
      <c r="B4865" t="s">
        <v>10911</v>
      </c>
      <c r="C4865" t="s">
        <v>10127</v>
      </c>
      <c r="D4865" t="s">
        <v>34</v>
      </c>
      <c r="E4865">
        <v>154</v>
      </c>
      <c r="F4865">
        <v>4</v>
      </c>
      <c r="G4865">
        <v>4</v>
      </c>
      <c r="H4865">
        <v>1</v>
      </c>
      <c r="I4865">
        <v>0</v>
      </c>
      <c r="J4865">
        <v>0.76264726264726301</v>
      </c>
      <c r="K4865">
        <v>0.89005929613664403</v>
      </c>
      <c r="L4865">
        <v>0.82144199426646702</v>
      </c>
      <c r="M4865">
        <v>0.46703296703296698</v>
      </c>
      <c r="N4865">
        <v>1</v>
      </c>
      <c r="O4865">
        <v>0.64377289377289404</v>
      </c>
      <c r="P4865" t="s">
        <v>2112</v>
      </c>
      <c r="Q4865" t="s">
        <v>2113</v>
      </c>
      <c r="R4865" t="s">
        <v>869</v>
      </c>
      <c r="S4865" t="s">
        <v>870</v>
      </c>
      <c r="V4865" t="s">
        <v>2114</v>
      </c>
      <c r="W4865" t="s">
        <v>2115</v>
      </c>
      <c r="X4865" t="s">
        <v>2114</v>
      </c>
      <c r="Y4865" t="s">
        <v>2116</v>
      </c>
      <c r="AF4865" t="s">
        <v>10912</v>
      </c>
    </row>
    <row r="4866" spans="1:32" hidden="1" x14ac:dyDescent="0.35">
      <c r="A4866">
        <v>5259</v>
      </c>
      <c r="B4866" t="s">
        <v>10911</v>
      </c>
      <c r="C4866" t="s">
        <v>10127</v>
      </c>
      <c r="D4866" t="s">
        <v>45</v>
      </c>
      <c r="E4866">
        <v>1415</v>
      </c>
      <c r="F4866">
        <v>4</v>
      </c>
      <c r="G4866">
        <v>4</v>
      </c>
      <c r="H4866">
        <v>1</v>
      </c>
      <c r="I4866">
        <v>0</v>
      </c>
      <c r="J4866">
        <v>0.76264726264726301</v>
      </c>
      <c r="K4866">
        <v>0.89005929613664403</v>
      </c>
      <c r="L4866">
        <v>0.82144199426646702</v>
      </c>
      <c r="M4866">
        <v>0.46703296703296698</v>
      </c>
      <c r="N4866">
        <v>1</v>
      </c>
      <c r="O4866">
        <v>0.64377289377289404</v>
      </c>
      <c r="P4866" t="s">
        <v>2112</v>
      </c>
      <c r="Q4866" t="s">
        <v>2113</v>
      </c>
      <c r="R4866" t="s">
        <v>869</v>
      </c>
      <c r="S4866" t="s">
        <v>870</v>
      </c>
      <c r="V4866" t="s">
        <v>2114</v>
      </c>
      <c r="W4866" t="s">
        <v>2115</v>
      </c>
      <c r="X4866" t="s">
        <v>2114</v>
      </c>
      <c r="Y4866" t="s">
        <v>2116</v>
      </c>
      <c r="AF4866" t="s">
        <v>10913</v>
      </c>
    </row>
    <row r="4867" spans="1:32" hidden="1" x14ac:dyDescent="0.35">
      <c r="A4867">
        <v>5280</v>
      </c>
      <c r="B4867" t="s">
        <v>10955</v>
      </c>
      <c r="C4867" t="s">
        <v>10127</v>
      </c>
      <c r="D4867" t="s">
        <v>60</v>
      </c>
      <c r="E4867">
        <v>391</v>
      </c>
      <c r="F4867">
        <v>4</v>
      </c>
      <c r="G4867">
        <v>4</v>
      </c>
      <c r="H4867">
        <v>1</v>
      </c>
      <c r="I4867">
        <v>0</v>
      </c>
      <c r="J4867">
        <v>0.80739673390970201</v>
      </c>
      <c r="K4867">
        <v>0.97227245328511303</v>
      </c>
      <c r="L4867">
        <v>0.88219721833824305</v>
      </c>
      <c r="M4867">
        <v>0.60084033613445398</v>
      </c>
      <c r="N4867">
        <v>1</v>
      </c>
      <c r="O4867">
        <v>0.73389355742296902</v>
      </c>
      <c r="P4867" t="s">
        <v>10956</v>
      </c>
      <c r="Q4867" t="s">
        <v>10957</v>
      </c>
      <c r="R4867" t="s">
        <v>869</v>
      </c>
      <c r="S4867" t="s">
        <v>870</v>
      </c>
      <c r="T4867" t="s">
        <v>10958</v>
      </c>
      <c r="U4867" t="s">
        <v>10959</v>
      </c>
      <c r="V4867" t="s">
        <v>10960</v>
      </c>
      <c r="W4867" t="s">
        <v>10961</v>
      </c>
      <c r="AD4867" t="s">
        <v>166</v>
      </c>
      <c r="AE4867" t="s">
        <v>10202</v>
      </c>
      <c r="AF4867" t="s">
        <v>10962</v>
      </c>
    </row>
    <row r="4868" spans="1:32" hidden="1" x14ac:dyDescent="0.35">
      <c r="A4868">
        <v>5281</v>
      </c>
      <c r="B4868" t="s">
        <v>10955</v>
      </c>
      <c r="C4868" t="s">
        <v>10127</v>
      </c>
      <c r="D4868" t="s">
        <v>62</v>
      </c>
      <c r="E4868">
        <v>472</v>
      </c>
      <c r="F4868">
        <v>4</v>
      </c>
      <c r="G4868">
        <v>4</v>
      </c>
      <c r="H4868">
        <v>1</v>
      </c>
      <c r="I4868">
        <v>0</v>
      </c>
      <c r="J4868">
        <v>0.80739673390970201</v>
      </c>
      <c r="K4868">
        <v>0.97227245328511303</v>
      </c>
      <c r="L4868">
        <v>0.88219721833824305</v>
      </c>
      <c r="M4868">
        <v>0.60084033613445398</v>
      </c>
      <c r="N4868">
        <v>1</v>
      </c>
      <c r="O4868">
        <v>0.73389355742296902</v>
      </c>
      <c r="P4868" t="s">
        <v>10956</v>
      </c>
      <c r="Q4868" t="s">
        <v>10957</v>
      </c>
      <c r="R4868" t="s">
        <v>869</v>
      </c>
      <c r="S4868" t="s">
        <v>870</v>
      </c>
      <c r="T4868" t="s">
        <v>10958</v>
      </c>
      <c r="U4868" t="s">
        <v>10959</v>
      </c>
      <c r="V4868" t="s">
        <v>10960</v>
      </c>
      <c r="W4868" t="s">
        <v>10961</v>
      </c>
      <c r="AD4868" t="s">
        <v>166</v>
      </c>
      <c r="AE4868" t="s">
        <v>10202</v>
      </c>
      <c r="AF4868" t="s">
        <v>10962</v>
      </c>
    </row>
    <row r="4869" spans="1:32" hidden="1" x14ac:dyDescent="0.35">
      <c r="A4869">
        <v>5282</v>
      </c>
      <c r="B4869" t="s">
        <v>10955</v>
      </c>
      <c r="C4869" t="s">
        <v>10127</v>
      </c>
      <c r="D4869" t="s">
        <v>34</v>
      </c>
      <c r="E4869">
        <v>629</v>
      </c>
      <c r="F4869">
        <v>4</v>
      </c>
      <c r="G4869">
        <v>4</v>
      </c>
      <c r="H4869">
        <v>1</v>
      </c>
      <c r="I4869">
        <v>0</v>
      </c>
      <c r="J4869">
        <v>0.80739673390970201</v>
      </c>
      <c r="K4869">
        <v>0.97227245328511303</v>
      </c>
      <c r="L4869">
        <v>0.88219721833824305</v>
      </c>
      <c r="M4869">
        <v>0.60084033613445398</v>
      </c>
      <c r="N4869">
        <v>1</v>
      </c>
      <c r="O4869">
        <v>0.73389355742296902</v>
      </c>
      <c r="P4869" t="s">
        <v>10956</v>
      </c>
      <c r="Q4869" t="s">
        <v>10957</v>
      </c>
      <c r="R4869" t="s">
        <v>869</v>
      </c>
      <c r="S4869" t="s">
        <v>870</v>
      </c>
      <c r="T4869" t="s">
        <v>10958</v>
      </c>
      <c r="U4869" t="s">
        <v>10959</v>
      </c>
      <c r="V4869" t="s">
        <v>10960</v>
      </c>
      <c r="W4869" t="s">
        <v>10961</v>
      </c>
      <c r="AD4869" t="s">
        <v>166</v>
      </c>
      <c r="AE4869" t="s">
        <v>10202</v>
      </c>
      <c r="AF4869" t="s">
        <v>10963</v>
      </c>
    </row>
    <row r="4870" spans="1:32" hidden="1" x14ac:dyDescent="0.35">
      <c r="A4870">
        <v>5283</v>
      </c>
      <c r="B4870" t="s">
        <v>10955</v>
      </c>
      <c r="C4870" t="s">
        <v>10127</v>
      </c>
      <c r="D4870" t="s">
        <v>45</v>
      </c>
      <c r="E4870">
        <v>1896</v>
      </c>
      <c r="F4870">
        <v>4</v>
      </c>
      <c r="G4870">
        <v>4</v>
      </c>
      <c r="H4870">
        <v>1</v>
      </c>
      <c r="I4870">
        <v>0</v>
      </c>
      <c r="J4870">
        <v>0.80739673390970201</v>
      </c>
      <c r="K4870">
        <v>0.97227245328511303</v>
      </c>
      <c r="L4870">
        <v>0.88219721833824305</v>
      </c>
      <c r="M4870">
        <v>0.60084033613445398</v>
      </c>
      <c r="N4870">
        <v>1</v>
      </c>
      <c r="O4870">
        <v>0.73389355742296902</v>
      </c>
      <c r="P4870" t="s">
        <v>10956</v>
      </c>
      <c r="Q4870" t="s">
        <v>10957</v>
      </c>
      <c r="R4870" t="s">
        <v>869</v>
      </c>
      <c r="S4870" t="s">
        <v>870</v>
      </c>
      <c r="T4870" t="s">
        <v>10958</v>
      </c>
      <c r="U4870" t="s">
        <v>10959</v>
      </c>
      <c r="V4870" t="s">
        <v>10960</v>
      </c>
      <c r="W4870" t="s">
        <v>10961</v>
      </c>
      <c r="AD4870" t="s">
        <v>166</v>
      </c>
      <c r="AE4870" t="s">
        <v>10202</v>
      </c>
      <c r="AF4870" t="s">
        <v>10964</v>
      </c>
    </row>
    <row r="4871" spans="1:32" hidden="1" x14ac:dyDescent="0.35">
      <c r="A4871">
        <v>5300</v>
      </c>
      <c r="B4871" t="s">
        <v>10994</v>
      </c>
      <c r="C4871" t="s">
        <v>10127</v>
      </c>
      <c r="D4871" t="s">
        <v>60</v>
      </c>
      <c r="E4871">
        <v>1328</v>
      </c>
      <c r="F4871">
        <v>4</v>
      </c>
      <c r="G4871">
        <v>4</v>
      </c>
      <c r="H4871">
        <v>1</v>
      </c>
      <c r="I4871">
        <v>0</v>
      </c>
      <c r="J4871">
        <v>0.83374587458745897</v>
      </c>
      <c r="K4871">
        <v>0.95921877647856102</v>
      </c>
      <c r="L4871">
        <v>0.89209198546143798</v>
      </c>
      <c r="M4871">
        <v>0.63701067615658402</v>
      </c>
      <c r="N4871">
        <v>1</v>
      </c>
      <c r="O4871">
        <v>0.75563463819691601</v>
      </c>
      <c r="P4871" t="s">
        <v>10995</v>
      </c>
      <c r="Q4871" t="s">
        <v>10996</v>
      </c>
      <c r="R4871" t="s">
        <v>869</v>
      </c>
      <c r="S4871" t="s">
        <v>870</v>
      </c>
      <c r="T4871" t="s">
        <v>10997</v>
      </c>
      <c r="U4871" t="s">
        <v>10998</v>
      </c>
      <c r="V4871" t="s">
        <v>10999</v>
      </c>
      <c r="W4871" t="s">
        <v>11000</v>
      </c>
      <c r="X4871" t="s">
        <v>10999</v>
      </c>
      <c r="Y4871" t="s">
        <v>10001</v>
      </c>
      <c r="Z4871" t="s">
        <v>11001</v>
      </c>
      <c r="AA4871" t="s">
        <v>11002</v>
      </c>
      <c r="AB4871" t="s">
        <v>11001</v>
      </c>
      <c r="AC4871" t="s">
        <v>1094</v>
      </c>
      <c r="AD4871" t="s">
        <v>245</v>
      </c>
      <c r="AE4871" t="s">
        <v>11003</v>
      </c>
      <c r="AF4871" t="e">
        <f>------MNQLCCAVSAVREINPLVQCLTNSVVMEITANVLLAVGASPAMCDTPSESADFAAIASAVLINAGTPTRDQYEGMRQAIQGATVAGTPWVLDPVAVGALQERTDFAREILQFAPHAIRGNASEIVALAGLGSGGRGVDATDDVAAALPAAKQLAAQTKGVVAISGESDFIVSAHQVTKVDSGHPLMPIVIGTGCALGALTAAYLGAAHIR-----GIAAHDAVVAAHAHTGAAGMVAGESARGPGSFAPAWVDALYNLTPEHIAELVTVQEVSSS</f>
        <v>#NAME?</v>
      </c>
    </row>
    <row r="4872" spans="1:32" hidden="1" x14ac:dyDescent="0.35">
      <c r="A4872">
        <v>5301</v>
      </c>
      <c r="B4872" t="s">
        <v>10994</v>
      </c>
      <c r="C4872" t="s">
        <v>10127</v>
      </c>
      <c r="D4872" t="s">
        <v>62</v>
      </c>
      <c r="E4872">
        <v>1364</v>
      </c>
      <c r="F4872">
        <v>4</v>
      </c>
      <c r="G4872">
        <v>4</v>
      </c>
      <c r="H4872">
        <v>1</v>
      </c>
      <c r="I4872">
        <v>0</v>
      </c>
      <c r="J4872">
        <v>0.83374587458745897</v>
      </c>
      <c r="K4872">
        <v>0.95921877647856102</v>
      </c>
      <c r="L4872">
        <v>0.89209198546143798</v>
      </c>
      <c r="M4872">
        <v>0.63701067615658402</v>
      </c>
      <c r="N4872">
        <v>1</v>
      </c>
      <c r="O4872">
        <v>0.75563463819691601</v>
      </c>
      <c r="P4872" t="s">
        <v>10995</v>
      </c>
      <c r="Q4872" t="s">
        <v>10996</v>
      </c>
      <c r="R4872" t="s">
        <v>869</v>
      </c>
      <c r="S4872" t="s">
        <v>870</v>
      </c>
      <c r="T4872" t="s">
        <v>10997</v>
      </c>
      <c r="U4872" t="s">
        <v>10998</v>
      </c>
      <c r="V4872" t="s">
        <v>10999</v>
      </c>
      <c r="W4872" t="s">
        <v>11000</v>
      </c>
      <c r="X4872" t="s">
        <v>10999</v>
      </c>
      <c r="Y4872" t="s">
        <v>10001</v>
      </c>
      <c r="Z4872" t="s">
        <v>11001</v>
      </c>
      <c r="AA4872" t="s">
        <v>11002</v>
      </c>
      <c r="AB4872" t="s">
        <v>11001</v>
      </c>
      <c r="AC4872" t="s">
        <v>1094</v>
      </c>
      <c r="AD4872" t="s">
        <v>245</v>
      </c>
      <c r="AE4872" t="s">
        <v>11003</v>
      </c>
      <c r="AF4872" t="e">
        <f>------MNQLCCAVSAVREINPLVQCLTNSVVMEITANVLLAVGASPAMCDTPSESADFAAIASAVLINAGTPTRDQYEGMRQAIQGATVAGTPWVLDPVAVGALQERTDFAREILQFAPHAIRGNASEIVALAGLGSGGRGVDATDDVAAALPAAKQLAAQTKGVVAISGESDFIVSAHQVTKVDSGHPLMPIVIGTGCALGALTAAYLGAAHIR-----GIAAHDAVVAAHAHTGAAGMVAGESARGPGSFAPAWVDALYNLTPEHIAELVTVQEVSSS</f>
        <v>#NAME?</v>
      </c>
    </row>
    <row r="4873" spans="1:32" hidden="1" x14ac:dyDescent="0.35">
      <c r="A4873">
        <v>4872</v>
      </c>
      <c r="B4873" t="s">
        <v>10205</v>
      </c>
      <c r="C4873" t="s">
        <v>10127</v>
      </c>
      <c r="D4873" t="s">
        <v>60</v>
      </c>
      <c r="E4873">
        <v>695</v>
      </c>
      <c r="F4873">
        <v>4</v>
      </c>
      <c r="G4873">
        <v>4</v>
      </c>
      <c r="H4873">
        <v>1</v>
      </c>
      <c r="I4873">
        <v>0</v>
      </c>
      <c r="J4873">
        <v>0.78019981834695695</v>
      </c>
      <c r="K4873">
        <v>0.98662470495672505</v>
      </c>
      <c r="L4873">
        <v>0.87135355597682096</v>
      </c>
      <c r="M4873">
        <v>0.58870967741935498</v>
      </c>
      <c r="N4873">
        <v>1</v>
      </c>
      <c r="O4873">
        <v>0.72580645161290303</v>
      </c>
      <c r="R4873" t="s">
        <v>1498</v>
      </c>
      <c r="S4873" t="s">
        <v>1499</v>
      </c>
      <c r="V4873" t="s">
        <v>10206</v>
      </c>
      <c r="W4873" t="s">
        <v>10207</v>
      </c>
      <c r="AF4873" t="s">
        <v>10208</v>
      </c>
    </row>
    <row r="4874" spans="1:32" hidden="1" x14ac:dyDescent="0.35">
      <c r="A4874">
        <v>4873</v>
      </c>
      <c r="B4874" t="s">
        <v>10205</v>
      </c>
      <c r="C4874" t="s">
        <v>10127</v>
      </c>
      <c r="D4874" t="s">
        <v>62</v>
      </c>
      <c r="E4874">
        <v>726</v>
      </c>
      <c r="F4874">
        <v>4</v>
      </c>
      <c r="G4874">
        <v>4</v>
      </c>
      <c r="H4874">
        <v>1</v>
      </c>
      <c r="I4874">
        <v>0</v>
      </c>
      <c r="J4874">
        <v>0.78019981834695695</v>
      </c>
      <c r="K4874">
        <v>0.98662470495672505</v>
      </c>
      <c r="L4874">
        <v>0.87135355597682096</v>
      </c>
      <c r="M4874">
        <v>0.58870967741935498</v>
      </c>
      <c r="N4874">
        <v>1</v>
      </c>
      <c r="O4874">
        <v>0.72580645161290303</v>
      </c>
      <c r="R4874" t="s">
        <v>1498</v>
      </c>
      <c r="S4874" t="s">
        <v>1499</v>
      </c>
      <c r="V4874" t="s">
        <v>10206</v>
      </c>
      <c r="W4874" t="s">
        <v>10207</v>
      </c>
      <c r="AF4874" t="s">
        <v>10208</v>
      </c>
    </row>
    <row r="4875" spans="1:32" hidden="1" x14ac:dyDescent="0.35">
      <c r="A4875">
        <v>4874</v>
      </c>
      <c r="B4875" t="s">
        <v>10205</v>
      </c>
      <c r="C4875" t="s">
        <v>10127</v>
      </c>
      <c r="D4875" t="s">
        <v>34</v>
      </c>
      <c r="E4875">
        <v>2302</v>
      </c>
      <c r="F4875">
        <v>4</v>
      </c>
      <c r="G4875">
        <v>4</v>
      </c>
      <c r="H4875">
        <v>1</v>
      </c>
      <c r="I4875">
        <v>0</v>
      </c>
      <c r="J4875">
        <v>0.78019981834695695</v>
      </c>
      <c r="K4875">
        <v>0.98662470495672505</v>
      </c>
      <c r="L4875">
        <v>0.87135355597682096</v>
      </c>
      <c r="M4875">
        <v>0.58870967741935498</v>
      </c>
      <c r="N4875">
        <v>1</v>
      </c>
      <c r="O4875">
        <v>0.72580645161290303</v>
      </c>
      <c r="R4875" t="s">
        <v>1498</v>
      </c>
      <c r="S4875" t="s">
        <v>1499</v>
      </c>
      <c r="V4875" t="s">
        <v>10206</v>
      </c>
      <c r="W4875" t="s">
        <v>10207</v>
      </c>
      <c r="AF4875" t="s">
        <v>10209</v>
      </c>
    </row>
    <row r="4876" spans="1:32" hidden="1" x14ac:dyDescent="0.35">
      <c r="A4876">
        <v>4875</v>
      </c>
      <c r="B4876" t="s">
        <v>10205</v>
      </c>
      <c r="C4876" t="s">
        <v>10127</v>
      </c>
      <c r="D4876" t="s">
        <v>45</v>
      </c>
      <c r="E4876">
        <v>575</v>
      </c>
      <c r="F4876">
        <v>4</v>
      </c>
      <c r="G4876">
        <v>4</v>
      </c>
      <c r="H4876">
        <v>1</v>
      </c>
      <c r="I4876">
        <v>0</v>
      </c>
      <c r="J4876">
        <v>0.78019981834695695</v>
      </c>
      <c r="K4876">
        <v>0.98662470495672505</v>
      </c>
      <c r="L4876">
        <v>0.87135355597682096</v>
      </c>
      <c r="M4876">
        <v>0.58870967741935498</v>
      </c>
      <c r="N4876">
        <v>1</v>
      </c>
      <c r="O4876">
        <v>0.72580645161290303</v>
      </c>
      <c r="R4876" t="s">
        <v>1498</v>
      </c>
      <c r="S4876" t="s">
        <v>1499</v>
      </c>
      <c r="V4876" t="s">
        <v>10206</v>
      </c>
      <c r="W4876" t="s">
        <v>10207</v>
      </c>
      <c r="AF4876" t="s">
        <v>10209</v>
      </c>
    </row>
    <row r="4877" spans="1:32" hidden="1" x14ac:dyDescent="0.35">
      <c r="A4877">
        <v>5302</v>
      </c>
      <c r="B4877" t="s">
        <v>10994</v>
      </c>
      <c r="C4877" t="s">
        <v>10127</v>
      </c>
      <c r="D4877" t="s">
        <v>34</v>
      </c>
      <c r="E4877">
        <v>679</v>
      </c>
      <c r="F4877">
        <v>4</v>
      </c>
      <c r="G4877">
        <v>4</v>
      </c>
      <c r="H4877">
        <v>1</v>
      </c>
      <c r="I4877">
        <v>0</v>
      </c>
      <c r="J4877">
        <v>0.83374587458745897</v>
      </c>
      <c r="K4877">
        <v>0.95921877647856102</v>
      </c>
      <c r="L4877">
        <v>0.89209198546143798</v>
      </c>
      <c r="M4877">
        <v>0.63701067615658402</v>
      </c>
      <c r="N4877">
        <v>1</v>
      </c>
      <c r="O4877">
        <v>0.75563463819691601</v>
      </c>
      <c r="P4877" t="s">
        <v>10995</v>
      </c>
      <c r="Q4877" t="s">
        <v>10996</v>
      </c>
      <c r="R4877" t="s">
        <v>869</v>
      </c>
      <c r="S4877" t="s">
        <v>870</v>
      </c>
      <c r="T4877" t="s">
        <v>10997</v>
      </c>
      <c r="U4877" t="s">
        <v>10998</v>
      </c>
      <c r="V4877" t="s">
        <v>10999</v>
      </c>
      <c r="W4877" t="s">
        <v>11000</v>
      </c>
      <c r="X4877" t="s">
        <v>10999</v>
      </c>
      <c r="Y4877" t="s">
        <v>10001</v>
      </c>
      <c r="Z4877" t="s">
        <v>11001</v>
      </c>
      <c r="AA4877" t="s">
        <v>11002</v>
      </c>
      <c r="AB4877" t="s">
        <v>11001</v>
      </c>
      <c r="AC4877" t="s">
        <v>1094</v>
      </c>
      <c r="AD4877" t="s">
        <v>245</v>
      </c>
      <c r="AE4877" t="s">
        <v>11003</v>
      </c>
      <c r="AF4877" t="s">
        <v>11004</v>
      </c>
    </row>
    <row r="4878" spans="1:32" hidden="1" x14ac:dyDescent="0.35">
      <c r="A4878">
        <v>5303</v>
      </c>
      <c r="B4878" t="s">
        <v>10994</v>
      </c>
      <c r="C4878" t="s">
        <v>10127</v>
      </c>
      <c r="D4878" t="s">
        <v>45</v>
      </c>
      <c r="E4878">
        <v>1945</v>
      </c>
      <c r="F4878">
        <v>4</v>
      </c>
      <c r="G4878">
        <v>4</v>
      </c>
      <c r="H4878">
        <v>1</v>
      </c>
      <c r="I4878">
        <v>0</v>
      </c>
      <c r="J4878">
        <v>0.83374587458745897</v>
      </c>
      <c r="K4878">
        <v>0.95921877647856102</v>
      </c>
      <c r="L4878">
        <v>0.89209198546143798</v>
      </c>
      <c r="M4878">
        <v>0.63701067615658402</v>
      </c>
      <c r="N4878">
        <v>1</v>
      </c>
      <c r="O4878">
        <v>0.75563463819691601</v>
      </c>
      <c r="P4878" t="s">
        <v>10995</v>
      </c>
      <c r="Q4878" t="s">
        <v>10996</v>
      </c>
      <c r="R4878" t="s">
        <v>869</v>
      </c>
      <c r="S4878" t="s">
        <v>870</v>
      </c>
      <c r="T4878" t="s">
        <v>10997</v>
      </c>
      <c r="U4878" t="s">
        <v>10998</v>
      </c>
      <c r="V4878" t="s">
        <v>10999</v>
      </c>
      <c r="W4878" t="s">
        <v>11000</v>
      </c>
      <c r="X4878" t="s">
        <v>10999</v>
      </c>
      <c r="Y4878" t="s">
        <v>10001</v>
      </c>
      <c r="Z4878" t="s">
        <v>11001</v>
      </c>
      <c r="AA4878" t="s">
        <v>11002</v>
      </c>
      <c r="AB4878" t="s">
        <v>11001</v>
      </c>
      <c r="AC4878" t="s">
        <v>1094</v>
      </c>
      <c r="AD4878" t="s">
        <v>245</v>
      </c>
      <c r="AE4878" t="s">
        <v>11003</v>
      </c>
      <c r="AF4878" t="s">
        <v>11005</v>
      </c>
    </row>
    <row r="4879" spans="1:32" hidden="1" x14ac:dyDescent="0.35">
      <c r="A4879">
        <v>5364</v>
      </c>
      <c r="B4879" t="s">
        <v>11114</v>
      </c>
      <c r="C4879" t="s">
        <v>10127</v>
      </c>
      <c r="D4879" t="s">
        <v>60</v>
      </c>
      <c r="E4879">
        <v>1552</v>
      </c>
      <c r="F4879">
        <v>4</v>
      </c>
      <c r="G4879">
        <v>4</v>
      </c>
      <c r="H4879">
        <v>1</v>
      </c>
      <c r="I4879">
        <v>0</v>
      </c>
      <c r="J4879">
        <v>0.80854634650141999</v>
      </c>
      <c r="K4879">
        <v>0.97394855378048795</v>
      </c>
      <c r="L4879">
        <v>0.88357340569671405</v>
      </c>
      <c r="M4879">
        <v>0.59728506787330304</v>
      </c>
      <c r="N4879">
        <v>1</v>
      </c>
      <c r="O4879">
        <v>0.73190045248868796</v>
      </c>
      <c r="R4879" t="s">
        <v>869</v>
      </c>
      <c r="S4879" t="s">
        <v>870</v>
      </c>
      <c r="V4879" t="s">
        <v>11115</v>
      </c>
      <c r="W4879" t="s">
        <v>11116</v>
      </c>
      <c r="AF4879" t="s">
        <v>11117</v>
      </c>
    </row>
    <row r="4880" spans="1:32" hidden="1" x14ac:dyDescent="0.35">
      <c r="A4880">
        <v>5365</v>
      </c>
      <c r="B4880" t="s">
        <v>11114</v>
      </c>
      <c r="C4880" t="s">
        <v>10127</v>
      </c>
      <c r="D4880" t="s">
        <v>62</v>
      </c>
      <c r="E4880">
        <v>1587</v>
      </c>
      <c r="F4880">
        <v>4</v>
      </c>
      <c r="G4880">
        <v>4</v>
      </c>
      <c r="H4880">
        <v>1</v>
      </c>
      <c r="I4880">
        <v>0</v>
      </c>
      <c r="J4880">
        <v>0.80854634650141999</v>
      </c>
      <c r="K4880">
        <v>0.97394855378048795</v>
      </c>
      <c r="L4880">
        <v>0.88357340569671405</v>
      </c>
      <c r="M4880">
        <v>0.59728506787330304</v>
      </c>
      <c r="N4880">
        <v>1</v>
      </c>
      <c r="O4880">
        <v>0.73190045248868796</v>
      </c>
      <c r="R4880" t="s">
        <v>869</v>
      </c>
      <c r="S4880" t="s">
        <v>870</v>
      </c>
      <c r="V4880" t="s">
        <v>11115</v>
      </c>
      <c r="W4880" t="s">
        <v>11116</v>
      </c>
      <c r="AF4880" t="s">
        <v>11117</v>
      </c>
    </row>
    <row r="4881" spans="1:32" hidden="1" x14ac:dyDescent="0.35">
      <c r="A4881">
        <v>4880</v>
      </c>
      <c r="B4881" t="s">
        <v>10221</v>
      </c>
      <c r="C4881" t="s">
        <v>10127</v>
      </c>
      <c r="D4881" t="s">
        <v>60</v>
      </c>
      <c r="E4881">
        <v>779</v>
      </c>
      <c r="F4881">
        <v>4</v>
      </c>
      <c r="G4881">
        <v>4</v>
      </c>
      <c r="H4881">
        <v>1</v>
      </c>
      <c r="I4881">
        <v>0</v>
      </c>
      <c r="J4881">
        <v>0.77100171442566701</v>
      </c>
      <c r="K4881">
        <v>0.94304979253112098</v>
      </c>
      <c r="L4881">
        <v>0.84839108262409302</v>
      </c>
      <c r="M4881">
        <v>0.53112033195020703</v>
      </c>
      <c r="N4881">
        <v>1</v>
      </c>
      <c r="O4881">
        <v>0.68672199170124504</v>
      </c>
      <c r="P4881" t="s">
        <v>10222</v>
      </c>
      <c r="Q4881" t="s">
        <v>10223</v>
      </c>
      <c r="R4881" t="s">
        <v>10224</v>
      </c>
      <c r="S4881" t="s">
        <v>10225</v>
      </c>
      <c r="T4881" t="s">
        <v>10226</v>
      </c>
      <c r="U4881" t="s">
        <v>10227</v>
      </c>
      <c r="V4881" t="s">
        <v>10228</v>
      </c>
      <c r="W4881" t="s">
        <v>10229</v>
      </c>
      <c r="AD4881" t="s">
        <v>1170</v>
      </c>
      <c r="AE4881" t="s">
        <v>10230</v>
      </c>
      <c r="AF4881" t="s">
        <v>10231</v>
      </c>
    </row>
    <row r="4882" spans="1:32" hidden="1" x14ac:dyDescent="0.35">
      <c r="A4882">
        <v>4881</v>
      </c>
      <c r="B4882" t="s">
        <v>10221</v>
      </c>
      <c r="C4882" t="s">
        <v>10127</v>
      </c>
      <c r="D4882" t="s">
        <v>62</v>
      </c>
      <c r="E4882">
        <v>812</v>
      </c>
      <c r="F4882">
        <v>4</v>
      </c>
      <c r="G4882">
        <v>4</v>
      </c>
      <c r="H4882">
        <v>1</v>
      </c>
      <c r="I4882">
        <v>0</v>
      </c>
      <c r="J4882">
        <v>0.77100171442566701</v>
      </c>
      <c r="K4882">
        <v>0.94304979253112098</v>
      </c>
      <c r="L4882">
        <v>0.84839108262409302</v>
      </c>
      <c r="M4882">
        <v>0.53112033195020703</v>
      </c>
      <c r="N4882">
        <v>1</v>
      </c>
      <c r="O4882">
        <v>0.68672199170124504</v>
      </c>
      <c r="P4882" t="s">
        <v>10222</v>
      </c>
      <c r="Q4882" t="s">
        <v>10223</v>
      </c>
      <c r="R4882" t="s">
        <v>10224</v>
      </c>
      <c r="S4882" t="s">
        <v>10225</v>
      </c>
      <c r="T4882" t="s">
        <v>10226</v>
      </c>
      <c r="U4882" t="s">
        <v>10227</v>
      </c>
      <c r="V4882" t="s">
        <v>10228</v>
      </c>
      <c r="W4882" t="s">
        <v>10229</v>
      </c>
      <c r="AD4882" t="s">
        <v>1170</v>
      </c>
      <c r="AE4882" t="s">
        <v>10230</v>
      </c>
      <c r="AF4882" t="s">
        <v>10231</v>
      </c>
    </row>
    <row r="4883" spans="1:32" hidden="1" x14ac:dyDescent="0.35">
      <c r="A4883">
        <v>4882</v>
      </c>
      <c r="B4883" t="s">
        <v>10221</v>
      </c>
      <c r="C4883" t="s">
        <v>10127</v>
      </c>
      <c r="D4883" t="s">
        <v>34</v>
      </c>
      <c r="E4883">
        <v>353</v>
      </c>
      <c r="F4883">
        <v>4</v>
      </c>
      <c r="G4883">
        <v>4</v>
      </c>
      <c r="H4883">
        <v>1</v>
      </c>
      <c r="I4883">
        <v>0</v>
      </c>
      <c r="J4883">
        <v>0.77100171442566701</v>
      </c>
      <c r="K4883">
        <v>0.94304979253112098</v>
      </c>
      <c r="L4883">
        <v>0.84839108262409302</v>
      </c>
      <c r="M4883">
        <v>0.53112033195020703</v>
      </c>
      <c r="N4883">
        <v>1</v>
      </c>
      <c r="O4883">
        <v>0.68672199170124504</v>
      </c>
      <c r="P4883" t="s">
        <v>10222</v>
      </c>
      <c r="Q4883" t="s">
        <v>10223</v>
      </c>
      <c r="R4883" t="s">
        <v>10224</v>
      </c>
      <c r="S4883" t="s">
        <v>10225</v>
      </c>
      <c r="T4883" t="s">
        <v>10226</v>
      </c>
      <c r="U4883" t="s">
        <v>10227</v>
      </c>
      <c r="V4883" t="s">
        <v>10228</v>
      </c>
      <c r="W4883" t="s">
        <v>10229</v>
      </c>
      <c r="AD4883" t="s">
        <v>1170</v>
      </c>
      <c r="AE4883" t="s">
        <v>10230</v>
      </c>
      <c r="AF4883" t="s">
        <v>10232</v>
      </c>
    </row>
    <row r="4884" spans="1:32" hidden="1" x14ac:dyDescent="0.35">
      <c r="A4884">
        <v>4883</v>
      </c>
      <c r="B4884" t="s">
        <v>10221</v>
      </c>
      <c r="C4884" t="s">
        <v>10127</v>
      </c>
      <c r="D4884" t="s">
        <v>45</v>
      </c>
      <c r="E4884">
        <v>1615</v>
      </c>
      <c r="F4884">
        <v>4</v>
      </c>
      <c r="G4884">
        <v>4</v>
      </c>
      <c r="H4884">
        <v>1</v>
      </c>
      <c r="I4884">
        <v>0</v>
      </c>
      <c r="J4884">
        <v>0.77100171442566701</v>
      </c>
      <c r="K4884">
        <v>0.94304979253112098</v>
      </c>
      <c r="L4884">
        <v>0.84839108262409302</v>
      </c>
      <c r="M4884">
        <v>0.53112033195020703</v>
      </c>
      <c r="N4884">
        <v>1</v>
      </c>
      <c r="O4884">
        <v>0.68672199170124504</v>
      </c>
      <c r="P4884" t="s">
        <v>10222</v>
      </c>
      <c r="Q4884" t="s">
        <v>10223</v>
      </c>
      <c r="R4884" t="s">
        <v>10224</v>
      </c>
      <c r="S4884" t="s">
        <v>10225</v>
      </c>
      <c r="T4884" t="s">
        <v>10226</v>
      </c>
      <c r="U4884" t="s">
        <v>10227</v>
      </c>
      <c r="V4884" t="s">
        <v>10228</v>
      </c>
      <c r="W4884" t="s">
        <v>10229</v>
      </c>
      <c r="AD4884" t="s">
        <v>1170</v>
      </c>
      <c r="AE4884" t="s">
        <v>10230</v>
      </c>
      <c r="AF4884" t="s">
        <v>10233</v>
      </c>
    </row>
    <row r="4885" spans="1:32" hidden="1" x14ac:dyDescent="0.35">
      <c r="A4885">
        <v>5366</v>
      </c>
      <c r="B4885" t="s">
        <v>11114</v>
      </c>
      <c r="C4885" t="s">
        <v>10127</v>
      </c>
      <c r="D4885" t="s">
        <v>34</v>
      </c>
      <c r="E4885">
        <v>2414</v>
      </c>
      <c r="F4885">
        <v>4</v>
      </c>
      <c r="G4885">
        <v>4</v>
      </c>
      <c r="H4885">
        <v>1</v>
      </c>
      <c r="I4885">
        <v>0</v>
      </c>
      <c r="J4885">
        <v>0.80854634650141999</v>
      </c>
      <c r="K4885">
        <v>0.97394855378048795</v>
      </c>
      <c r="L4885">
        <v>0.88357340569671405</v>
      </c>
      <c r="M4885">
        <v>0.59728506787330304</v>
      </c>
      <c r="N4885">
        <v>1</v>
      </c>
      <c r="O4885">
        <v>0.73190045248868796</v>
      </c>
      <c r="R4885" t="s">
        <v>869</v>
      </c>
      <c r="S4885" t="s">
        <v>870</v>
      </c>
      <c r="V4885" t="s">
        <v>11115</v>
      </c>
      <c r="W4885" t="s">
        <v>11116</v>
      </c>
      <c r="AF4885" t="s">
        <v>11118</v>
      </c>
    </row>
    <row r="4886" spans="1:32" hidden="1" x14ac:dyDescent="0.35">
      <c r="A4886">
        <v>5367</v>
      </c>
      <c r="B4886" t="s">
        <v>11114</v>
      </c>
      <c r="C4886" t="s">
        <v>10127</v>
      </c>
      <c r="D4886" t="s">
        <v>45</v>
      </c>
      <c r="E4886">
        <v>483</v>
      </c>
      <c r="F4886">
        <v>4</v>
      </c>
      <c r="G4886">
        <v>4</v>
      </c>
      <c r="H4886">
        <v>1</v>
      </c>
      <c r="I4886">
        <v>0</v>
      </c>
      <c r="J4886">
        <v>0.80854634650141999</v>
      </c>
      <c r="K4886">
        <v>0.97394855378048795</v>
      </c>
      <c r="L4886">
        <v>0.88357340569671405</v>
      </c>
      <c r="M4886">
        <v>0.59728506787330304</v>
      </c>
      <c r="N4886">
        <v>1</v>
      </c>
      <c r="O4886">
        <v>0.73190045248868796</v>
      </c>
      <c r="R4886" t="s">
        <v>869</v>
      </c>
      <c r="S4886" t="s">
        <v>870</v>
      </c>
      <c r="V4886" t="s">
        <v>11115</v>
      </c>
      <c r="W4886" t="s">
        <v>11116</v>
      </c>
      <c r="AF4886" t="s">
        <v>11119</v>
      </c>
    </row>
    <row r="4887" spans="1:32" hidden="1" x14ac:dyDescent="0.35">
      <c r="A4887">
        <v>5388</v>
      </c>
      <c r="B4887" t="s">
        <v>11152</v>
      </c>
      <c r="C4887" t="s">
        <v>10127</v>
      </c>
      <c r="D4887" t="s">
        <v>60</v>
      </c>
      <c r="E4887">
        <v>1101</v>
      </c>
      <c r="F4887">
        <v>4</v>
      </c>
      <c r="G4887">
        <v>4</v>
      </c>
      <c r="H4887">
        <v>1</v>
      </c>
      <c r="I4887">
        <v>0</v>
      </c>
      <c r="J4887">
        <v>0.796121097445601</v>
      </c>
      <c r="K4887">
        <v>0.95585650602882699</v>
      </c>
      <c r="L4887">
        <v>0.86870691619693996</v>
      </c>
      <c r="M4887">
        <v>0.57452574525745304</v>
      </c>
      <c r="N4887">
        <v>1</v>
      </c>
      <c r="O4887">
        <v>0.71409214092140905</v>
      </c>
      <c r="P4887" t="s">
        <v>11153</v>
      </c>
      <c r="Q4887" t="s">
        <v>11154</v>
      </c>
      <c r="R4887" t="s">
        <v>869</v>
      </c>
      <c r="S4887" t="s">
        <v>870</v>
      </c>
      <c r="T4887" t="s">
        <v>11155</v>
      </c>
      <c r="U4887" t="s">
        <v>11156</v>
      </c>
      <c r="V4887" t="s">
        <v>11157</v>
      </c>
      <c r="W4887" t="s">
        <v>11158</v>
      </c>
      <c r="X4887" t="s">
        <v>11157</v>
      </c>
      <c r="Y4887" t="s">
        <v>2116</v>
      </c>
      <c r="Z4887" t="s">
        <v>5388</v>
      </c>
      <c r="AA4887" t="s">
        <v>5389</v>
      </c>
      <c r="AB4887" t="s">
        <v>5388</v>
      </c>
      <c r="AC4887" t="s">
        <v>1094</v>
      </c>
      <c r="AD4887" t="s">
        <v>245</v>
      </c>
      <c r="AE4887" t="s">
        <v>11159</v>
      </c>
      <c r="AF4887" t="e">
        <f>-MSATTHSLPHATP------------LLLLKDRYGRIARDLRVSLTDRCNLRCTYCMPAQGLEWTPSEQLLTDEEIIRLVTIGVQLLGIRQVRFTGGEPLLKKSLDQLIHTVKQLHTDEGKPVSTALTTNGIGLHRKATQLKDAGLDRVNISLDTLNPEHFSLLTRRDRFKDVIAGIEAAINADLSPVKINSVIMPGVNEDDILPLAEFGLYENVELRFIEQMPLGPRDQWDRSAMVTAQDIIDVISTKFDLTPDTTEETAHSAAPATMWRIS----DGDMHGKIGIIASVTRPFCGACDRTRLTSDGAVRSCLFSQTETSLRDLLRQGRSDNEIAEAWAAAMWLKPAGHGIDDPSFVQPHRPMSAIGG</f>
        <v>#NAME?</v>
      </c>
    </row>
    <row r="4888" spans="1:32" hidden="1" x14ac:dyDescent="0.35">
      <c r="A4888">
        <v>5389</v>
      </c>
      <c r="B4888" t="s">
        <v>11152</v>
      </c>
      <c r="C4888" t="s">
        <v>10127</v>
      </c>
      <c r="D4888" t="s">
        <v>62</v>
      </c>
      <c r="E4888">
        <v>1137</v>
      </c>
      <c r="F4888">
        <v>4</v>
      </c>
      <c r="G4888">
        <v>4</v>
      </c>
      <c r="H4888">
        <v>1</v>
      </c>
      <c r="I4888">
        <v>0</v>
      </c>
      <c r="J4888">
        <v>0.796121097445601</v>
      </c>
      <c r="K4888">
        <v>0.95585650602882699</v>
      </c>
      <c r="L4888">
        <v>0.86870691619693996</v>
      </c>
      <c r="M4888">
        <v>0.57452574525745304</v>
      </c>
      <c r="N4888">
        <v>1</v>
      </c>
      <c r="O4888">
        <v>0.71409214092140905</v>
      </c>
      <c r="P4888" t="s">
        <v>11153</v>
      </c>
      <c r="Q4888" t="s">
        <v>11154</v>
      </c>
      <c r="R4888" t="s">
        <v>869</v>
      </c>
      <c r="S4888" t="s">
        <v>870</v>
      </c>
      <c r="T4888" t="s">
        <v>11155</v>
      </c>
      <c r="U4888" t="s">
        <v>11156</v>
      </c>
      <c r="V4888" t="s">
        <v>11157</v>
      </c>
      <c r="W4888" t="s">
        <v>11158</v>
      </c>
      <c r="X4888" t="s">
        <v>11157</v>
      </c>
      <c r="Y4888" t="s">
        <v>2116</v>
      </c>
      <c r="Z4888" t="s">
        <v>5388</v>
      </c>
      <c r="AA4888" t="s">
        <v>5389</v>
      </c>
      <c r="AB4888" t="s">
        <v>5388</v>
      </c>
      <c r="AC4888" t="s">
        <v>1094</v>
      </c>
      <c r="AD4888" t="s">
        <v>245</v>
      </c>
      <c r="AE4888" t="s">
        <v>11159</v>
      </c>
      <c r="AF4888" t="e">
        <f>-MSATTHSLPHATP------------LLLLKDRYGRIARDLRVSLTDRCNLRCTYCMPAQGLEWTPSEQLLTDEEIIRLVTIGVQLLGIRQVRFTGGEPLLKKSLDQLIHTVKQLHTDEGKPVSTALTTNGIGLHRKATQLKDAGLDRVNISLDTLNPEHFSLLTRRDRFKDVIAGIEAAINADLSPVKINSVIMPGVNEDDILPLAEFGLYENVELRFIEQMPLGPRDQWDRSAMVTAQDIIDVISTKFDLTPDTTEETAHSAAPATMWRIS----DGDMHGKIGIIASVTRPFCGACDRTRLTSDGAVRSCLFSQTETSLRDLLRQGRSDNEIAEAWAAAMWLKPAGHGIDDPSFVQPHRPMSAIGG</f>
        <v>#NAME?</v>
      </c>
    </row>
    <row r="4889" spans="1:32" hidden="1" x14ac:dyDescent="0.35">
      <c r="A4889">
        <v>5390</v>
      </c>
      <c r="B4889" t="s">
        <v>11152</v>
      </c>
      <c r="C4889" t="s">
        <v>10127</v>
      </c>
      <c r="D4889" t="s">
        <v>34</v>
      </c>
      <c r="E4889">
        <v>148</v>
      </c>
      <c r="F4889">
        <v>4</v>
      </c>
      <c r="G4889">
        <v>4</v>
      </c>
      <c r="H4889">
        <v>1</v>
      </c>
      <c r="I4889">
        <v>0</v>
      </c>
      <c r="J4889">
        <v>0.796121097445601</v>
      </c>
      <c r="K4889">
        <v>0.95585650602882699</v>
      </c>
      <c r="L4889">
        <v>0.86870691619693996</v>
      </c>
      <c r="M4889">
        <v>0.57452574525745304</v>
      </c>
      <c r="N4889">
        <v>1</v>
      </c>
      <c r="O4889">
        <v>0.71409214092140905</v>
      </c>
      <c r="P4889" t="s">
        <v>11153</v>
      </c>
      <c r="Q4889" t="s">
        <v>11154</v>
      </c>
      <c r="R4889" t="s">
        <v>869</v>
      </c>
      <c r="S4889" t="s">
        <v>870</v>
      </c>
      <c r="T4889" t="s">
        <v>11155</v>
      </c>
      <c r="U4889" t="s">
        <v>11156</v>
      </c>
      <c r="V4889" t="s">
        <v>11157</v>
      </c>
      <c r="W4889" t="s">
        <v>11158</v>
      </c>
      <c r="X4889" t="s">
        <v>11157</v>
      </c>
      <c r="Y4889" t="s">
        <v>2116</v>
      </c>
      <c r="Z4889" t="s">
        <v>5388</v>
      </c>
      <c r="AA4889" t="s">
        <v>5389</v>
      </c>
      <c r="AB4889" t="s">
        <v>5388</v>
      </c>
      <c r="AC4889" t="s">
        <v>1094</v>
      </c>
      <c r="AD4889" t="s">
        <v>245</v>
      </c>
      <c r="AE4889" t="s">
        <v>11159</v>
      </c>
      <c r="AF4889" t="s">
        <v>11160</v>
      </c>
    </row>
    <row r="4890" spans="1:32" hidden="1" x14ac:dyDescent="0.35">
      <c r="A4890">
        <v>5391</v>
      </c>
      <c r="B4890" t="s">
        <v>11152</v>
      </c>
      <c r="C4890" t="s">
        <v>10127</v>
      </c>
      <c r="D4890" t="s">
        <v>45</v>
      </c>
      <c r="E4890">
        <v>1409</v>
      </c>
      <c r="F4890">
        <v>4</v>
      </c>
      <c r="G4890">
        <v>4</v>
      </c>
      <c r="H4890">
        <v>1</v>
      </c>
      <c r="I4890">
        <v>0</v>
      </c>
      <c r="J4890">
        <v>0.796121097445601</v>
      </c>
      <c r="K4890">
        <v>0.95585650602882699</v>
      </c>
      <c r="L4890">
        <v>0.86870691619693996</v>
      </c>
      <c r="M4890">
        <v>0.57452574525745304</v>
      </c>
      <c r="N4890">
        <v>1</v>
      </c>
      <c r="O4890">
        <v>0.71409214092140905</v>
      </c>
      <c r="P4890" t="s">
        <v>11153</v>
      </c>
      <c r="Q4890" t="s">
        <v>11154</v>
      </c>
      <c r="R4890" t="s">
        <v>869</v>
      </c>
      <c r="S4890" t="s">
        <v>870</v>
      </c>
      <c r="T4890" t="s">
        <v>11155</v>
      </c>
      <c r="U4890" t="s">
        <v>11156</v>
      </c>
      <c r="V4890" t="s">
        <v>11157</v>
      </c>
      <c r="W4890" t="s">
        <v>11158</v>
      </c>
      <c r="X4890" t="s">
        <v>11157</v>
      </c>
      <c r="Y4890" t="s">
        <v>2116</v>
      </c>
      <c r="Z4890" t="s">
        <v>5388</v>
      </c>
      <c r="AA4890" t="s">
        <v>5389</v>
      </c>
      <c r="AB4890" t="s">
        <v>5388</v>
      </c>
      <c r="AC4890" t="s">
        <v>1094</v>
      </c>
      <c r="AD4890" t="s">
        <v>245</v>
      </c>
      <c r="AE4890" t="s">
        <v>11159</v>
      </c>
      <c r="AF4890" t="s">
        <v>11161</v>
      </c>
    </row>
    <row r="4891" spans="1:32" hidden="1" x14ac:dyDescent="0.35">
      <c r="A4891">
        <v>5080</v>
      </c>
      <c r="B4891" t="s">
        <v>10608</v>
      </c>
      <c r="C4891" t="s">
        <v>10127</v>
      </c>
      <c r="D4891" t="s">
        <v>60</v>
      </c>
      <c r="E4891">
        <v>210</v>
      </c>
      <c r="F4891">
        <v>4</v>
      </c>
      <c r="G4891">
        <v>4</v>
      </c>
      <c r="H4891">
        <v>1</v>
      </c>
      <c r="I4891">
        <v>0</v>
      </c>
      <c r="J4891">
        <v>0.79713367926859402</v>
      </c>
      <c r="K4891">
        <v>0.92348883491870903</v>
      </c>
      <c r="L4891">
        <v>0.85567176608742501</v>
      </c>
      <c r="M4891">
        <v>0.55327868852458995</v>
      </c>
      <c r="N4891">
        <v>1</v>
      </c>
      <c r="O4891">
        <v>0.70286885245901598</v>
      </c>
      <c r="P4891" t="s">
        <v>8002</v>
      </c>
      <c r="Q4891" t="s">
        <v>8003</v>
      </c>
      <c r="R4891" t="s">
        <v>138</v>
      </c>
      <c r="S4891" t="s">
        <v>139</v>
      </c>
      <c r="V4891" t="s">
        <v>10609</v>
      </c>
      <c r="W4891" t="s">
        <v>10610</v>
      </c>
      <c r="AF4891" t="s">
        <v>10611</v>
      </c>
    </row>
    <row r="4892" spans="1:32" hidden="1" x14ac:dyDescent="0.35">
      <c r="A4892">
        <v>5081</v>
      </c>
      <c r="B4892" t="s">
        <v>10608</v>
      </c>
      <c r="C4892" t="s">
        <v>10127</v>
      </c>
      <c r="D4892" t="s">
        <v>62</v>
      </c>
      <c r="E4892">
        <v>287</v>
      </c>
      <c r="F4892">
        <v>4</v>
      </c>
      <c r="G4892">
        <v>4</v>
      </c>
      <c r="H4892">
        <v>1</v>
      </c>
      <c r="I4892">
        <v>0</v>
      </c>
      <c r="J4892">
        <v>0.79713367926859402</v>
      </c>
      <c r="K4892">
        <v>0.92348883491870903</v>
      </c>
      <c r="L4892">
        <v>0.85567176608742501</v>
      </c>
      <c r="M4892">
        <v>0.55327868852458995</v>
      </c>
      <c r="N4892">
        <v>1</v>
      </c>
      <c r="O4892">
        <v>0.70286885245901598</v>
      </c>
      <c r="P4892" t="s">
        <v>8002</v>
      </c>
      <c r="Q4892" t="s">
        <v>8003</v>
      </c>
      <c r="R4892" t="s">
        <v>138</v>
      </c>
      <c r="S4892" t="s">
        <v>139</v>
      </c>
      <c r="V4892" t="s">
        <v>10609</v>
      </c>
      <c r="W4892" t="s">
        <v>10610</v>
      </c>
      <c r="AF4892" t="s">
        <v>10611</v>
      </c>
    </row>
    <row r="4893" spans="1:32" hidden="1" x14ac:dyDescent="0.35">
      <c r="A4893">
        <v>5082</v>
      </c>
      <c r="B4893" t="s">
        <v>10608</v>
      </c>
      <c r="C4893" t="s">
        <v>10127</v>
      </c>
      <c r="D4893" t="s">
        <v>34</v>
      </c>
      <c r="E4893">
        <v>1233</v>
      </c>
      <c r="F4893">
        <v>4</v>
      </c>
      <c r="G4893">
        <v>4</v>
      </c>
      <c r="H4893">
        <v>1</v>
      </c>
      <c r="I4893">
        <v>0</v>
      </c>
      <c r="J4893">
        <v>0.79713367926859402</v>
      </c>
      <c r="K4893">
        <v>0.92348883491870903</v>
      </c>
      <c r="L4893">
        <v>0.85567176608742501</v>
      </c>
      <c r="M4893">
        <v>0.55327868852458995</v>
      </c>
      <c r="N4893">
        <v>1</v>
      </c>
      <c r="O4893">
        <v>0.70286885245901598</v>
      </c>
      <c r="P4893" t="s">
        <v>8002</v>
      </c>
      <c r="Q4893" t="s">
        <v>8003</v>
      </c>
      <c r="R4893" t="s">
        <v>138</v>
      </c>
      <c r="S4893" t="s">
        <v>139</v>
      </c>
      <c r="V4893" t="s">
        <v>10609</v>
      </c>
      <c r="W4893" t="s">
        <v>10610</v>
      </c>
      <c r="AF4893" t="e">
        <f>----------MLRPEDSPQWLTPLIGEIRSGEVDGTLRRKAGLSADSGPKKAAVLMLFDG-QTTPTLPDDATILLTHRSPTMRYHSGQIAFPGGRVDATDINPVDTALREAWEETGLDRTKVTPLAQLGKIFIQASGYPVYPILAYWGKPGLHDNVRVVSPNEADEVFAAPIGELRDPMNRFTVSRGAWNGPAFRFNDYVIWGFTSNILDALIAHAGWELEWDREKHYDLAQTLAASRNNERHF</f>
        <v>#NAME?</v>
      </c>
    </row>
    <row r="4894" spans="1:32" hidden="1" x14ac:dyDescent="0.35">
      <c r="A4894">
        <v>5083</v>
      </c>
      <c r="B4894" t="s">
        <v>10608</v>
      </c>
      <c r="C4894" t="s">
        <v>10127</v>
      </c>
      <c r="D4894" t="s">
        <v>45</v>
      </c>
      <c r="E4894">
        <v>2476</v>
      </c>
      <c r="F4894">
        <v>4</v>
      </c>
      <c r="G4894">
        <v>4</v>
      </c>
      <c r="H4894">
        <v>1</v>
      </c>
      <c r="I4894">
        <v>0</v>
      </c>
      <c r="J4894">
        <v>0.79713367926859402</v>
      </c>
      <c r="K4894">
        <v>0.92348883491870903</v>
      </c>
      <c r="L4894">
        <v>0.85567176608742501</v>
      </c>
      <c r="M4894">
        <v>0.55327868852458995</v>
      </c>
      <c r="N4894">
        <v>1</v>
      </c>
      <c r="O4894">
        <v>0.70286885245901598</v>
      </c>
      <c r="P4894" t="s">
        <v>8002</v>
      </c>
      <c r="Q4894" t="s">
        <v>8003</v>
      </c>
      <c r="R4894" t="s">
        <v>138</v>
      </c>
      <c r="S4894" t="s">
        <v>139</v>
      </c>
      <c r="V4894" t="s">
        <v>10609</v>
      </c>
      <c r="W4894" t="s">
        <v>10610</v>
      </c>
      <c r="AF4894" t="e">
        <f>----------MLRPEDSPQWLTPLIGEIRSGEVDGTLRRKAGLSADSGPKKAAVLMLFDG-QTTPTLPDDATILLTHRSPTMRSHSGQIAFPGGRVDATDINPVDTALREAWEETGLDRTKVTPLAQLGKIFIQASGYPVYPILAYWGKPGLHDNVRVVSPNEADEVFAAPIGELRDPMNRFTVSRGAWNGPAFRFNDYVIWGFTSNILDALIAHAGWELEWDREKHYDLAQTLAASRNNERHF</f>
        <v>#NAME?</v>
      </c>
    </row>
    <row r="4895" spans="1:32" hidden="1" x14ac:dyDescent="0.35">
      <c r="A4895">
        <v>4894</v>
      </c>
      <c r="B4895" t="s">
        <v>10255</v>
      </c>
      <c r="C4895" t="s">
        <v>10127</v>
      </c>
      <c r="D4895" t="s">
        <v>34</v>
      </c>
      <c r="E4895">
        <v>153</v>
      </c>
      <c r="F4895">
        <v>4</v>
      </c>
      <c r="G4895">
        <v>4</v>
      </c>
      <c r="H4895">
        <v>1</v>
      </c>
      <c r="I4895">
        <v>0</v>
      </c>
      <c r="J4895">
        <v>0.76645207439198904</v>
      </c>
      <c r="K4895">
        <v>0.98942511840601</v>
      </c>
      <c r="L4895">
        <v>0.86378129127515502</v>
      </c>
      <c r="M4895">
        <v>0.53503184713375795</v>
      </c>
      <c r="N4895">
        <v>1</v>
      </c>
      <c r="O4895">
        <v>0.68683651804670898</v>
      </c>
      <c r="P4895" t="s">
        <v>10256</v>
      </c>
      <c r="Q4895" t="s">
        <v>10257</v>
      </c>
      <c r="R4895" t="s">
        <v>7230</v>
      </c>
      <c r="S4895" t="s">
        <v>7231</v>
      </c>
      <c r="T4895" t="s">
        <v>10258</v>
      </c>
      <c r="U4895" t="s">
        <v>10259</v>
      </c>
      <c r="V4895" t="s">
        <v>10263</v>
      </c>
      <c r="W4895" t="s">
        <v>10264</v>
      </c>
      <c r="X4895" t="s">
        <v>10263</v>
      </c>
      <c r="Y4895" t="s">
        <v>10265</v>
      </c>
      <c r="Z4895" t="s">
        <v>5388</v>
      </c>
      <c r="AA4895" t="s">
        <v>5389</v>
      </c>
      <c r="AB4895" t="s">
        <v>5388</v>
      </c>
      <c r="AC4895" t="s">
        <v>1094</v>
      </c>
      <c r="AD4895" t="s">
        <v>245</v>
      </c>
      <c r="AE4895" t="s">
        <v>10262</v>
      </c>
      <c r="AF4895" t="s">
        <v>10266</v>
      </c>
    </row>
    <row r="4896" spans="1:32" hidden="1" x14ac:dyDescent="0.35">
      <c r="A4896">
        <v>4895</v>
      </c>
      <c r="B4896" t="s">
        <v>10255</v>
      </c>
      <c r="C4896" t="s">
        <v>10127</v>
      </c>
      <c r="D4896" t="s">
        <v>45</v>
      </c>
      <c r="E4896">
        <v>1414</v>
      </c>
      <c r="F4896">
        <v>4</v>
      </c>
      <c r="G4896">
        <v>4</v>
      </c>
      <c r="H4896">
        <v>1</v>
      </c>
      <c r="I4896">
        <v>0</v>
      </c>
      <c r="J4896">
        <v>0.76645207439198904</v>
      </c>
      <c r="K4896">
        <v>0.98942511840601</v>
      </c>
      <c r="L4896">
        <v>0.86378129127515502</v>
      </c>
      <c r="M4896">
        <v>0.53503184713375795</v>
      </c>
      <c r="N4896">
        <v>1</v>
      </c>
      <c r="O4896">
        <v>0.68683651804670898</v>
      </c>
      <c r="P4896" t="s">
        <v>10256</v>
      </c>
      <c r="Q4896" t="s">
        <v>10257</v>
      </c>
      <c r="R4896" t="s">
        <v>7230</v>
      </c>
      <c r="S4896" t="s">
        <v>7231</v>
      </c>
      <c r="T4896" t="s">
        <v>10258</v>
      </c>
      <c r="U4896" t="s">
        <v>10259</v>
      </c>
      <c r="V4896" t="s">
        <v>10263</v>
      </c>
      <c r="W4896" t="s">
        <v>10264</v>
      </c>
      <c r="X4896" t="s">
        <v>10263</v>
      </c>
      <c r="Y4896" t="s">
        <v>10265</v>
      </c>
      <c r="Z4896" t="s">
        <v>5388</v>
      </c>
      <c r="AA4896" t="s">
        <v>5389</v>
      </c>
      <c r="AB4896" t="s">
        <v>5388</v>
      </c>
      <c r="AC4896" t="s">
        <v>1094</v>
      </c>
      <c r="AD4896" t="s">
        <v>245</v>
      </c>
      <c r="AE4896" t="s">
        <v>10262</v>
      </c>
      <c r="AF4896" t="s">
        <v>10267</v>
      </c>
    </row>
    <row r="4897" spans="1:32" hidden="1" x14ac:dyDescent="0.35">
      <c r="A4897">
        <v>4896</v>
      </c>
      <c r="B4897" t="s">
        <v>10268</v>
      </c>
      <c r="C4897" t="s">
        <v>10127</v>
      </c>
      <c r="D4897" t="s">
        <v>60</v>
      </c>
      <c r="E4897">
        <v>1283</v>
      </c>
      <c r="F4897">
        <v>4</v>
      </c>
      <c r="G4897">
        <v>4</v>
      </c>
      <c r="H4897">
        <v>1</v>
      </c>
      <c r="I4897">
        <v>0</v>
      </c>
      <c r="J4897">
        <v>0.88015564202334595</v>
      </c>
      <c r="K4897">
        <v>0.99612403100775304</v>
      </c>
      <c r="L4897">
        <v>0.93455597121099399</v>
      </c>
      <c r="M4897">
        <v>0.76279069767441898</v>
      </c>
      <c r="N4897">
        <v>1</v>
      </c>
      <c r="O4897">
        <v>0.84186046511627899</v>
      </c>
      <c r="P4897" t="s">
        <v>2574</v>
      </c>
      <c r="Q4897" t="s">
        <v>2575</v>
      </c>
      <c r="R4897" t="s">
        <v>1498</v>
      </c>
      <c r="S4897" t="s">
        <v>1499</v>
      </c>
      <c r="V4897" t="s">
        <v>1500</v>
      </c>
      <c r="W4897" t="s">
        <v>1501</v>
      </c>
      <c r="AF4897" t="e">
        <f>-MDMIRVLLADDEPLIRAGLATILQASGSITIVGEVSTGKQAVAEAQRLQPDVICMDIRMPDGDGLEATRLIQQLDPTPAVIVITTFDLDEYVFGALEAGACGILLKDSPMDALVEGVQRAALGEGLVDAALTRRVITEFTRRKMTITPDTSTLTPRELDCVVQLCRGLSNNDIASELYLEPSTVKTHLSSAMSKTGAENRVQLVIWAFKNNIVS</f>
        <v>#NAME?</v>
      </c>
    </row>
    <row r="4898" spans="1:32" hidden="1" x14ac:dyDescent="0.35">
      <c r="A4898">
        <v>4897</v>
      </c>
      <c r="B4898" t="s">
        <v>10268</v>
      </c>
      <c r="C4898" t="s">
        <v>10127</v>
      </c>
      <c r="D4898" t="s">
        <v>62</v>
      </c>
      <c r="E4898">
        <v>1319</v>
      </c>
      <c r="F4898">
        <v>4</v>
      </c>
      <c r="G4898">
        <v>4</v>
      </c>
      <c r="H4898">
        <v>1</v>
      </c>
      <c r="I4898">
        <v>0</v>
      </c>
      <c r="J4898">
        <v>0.88015564202334595</v>
      </c>
      <c r="K4898">
        <v>0.99612403100775304</v>
      </c>
      <c r="L4898">
        <v>0.93455597121099399</v>
      </c>
      <c r="M4898">
        <v>0.76279069767441898</v>
      </c>
      <c r="N4898">
        <v>1</v>
      </c>
      <c r="O4898">
        <v>0.84186046511627899</v>
      </c>
      <c r="P4898" t="s">
        <v>2574</v>
      </c>
      <c r="Q4898" t="s">
        <v>2575</v>
      </c>
      <c r="R4898" t="s">
        <v>1498</v>
      </c>
      <c r="S4898" t="s">
        <v>1499</v>
      </c>
      <c r="V4898" t="s">
        <v>1500</v>
      </c>
      <c r="W4898" t="s">
        <v>1501</v>
      </c>
      <c r="AF4898" t="e">
        <f>-MDMIRVLLADDEPLIRAGLATILQASGSITIVGEVSTGKQAVAEAQRLQPDVICMDIRMPDGDGLEATRLIQQLDPTPAVIVITTFDLDEYVFGALEAGACGILLKDSPMDALVEGVQRAALGEGLVDAALTRRVITEFTRRKMTITPDTSTLTPRELDCVVQLCRGLSNNDIASELYLEPSTVKTHLSSAMSKTGAENRVQLVIWAFKNNIVS</f>
        <v>#NAME?</v>
      </c>
    </row>
    <row r="4899" spans="1:32" hidden="1" x14ac:dyDescent="0.35">
      <c r="A4899">
        <v>4898</v>
      </c>
      <c r="B4899" t="s">
        <v>10268</v>
      </c>
      <c r="C4899" t="s">
        <v>10127</v>
      </c>
      <c r="D4899" t="s">
        <v>34</v>
      </c>
      <c r="E4899">
        <v>2435</v>
      </c>
      <c r="F4899">
        <v>4</v>
      </c>
      <c r="G4899">
        <v>4</v>
      </c>
      <c r="H4899">
        <v>1</v>
      </c>
      <c r="I4899">
        <v>0</v>
      </c>
      <c r="J4899">
        <v>0.88015564202334595</v>
      </c>
      <c r="K4899">
        <v>0.99612403100775304</v>
      </c>
      <c r="L4899">
        <v>0.93455597121099399</v>
      </c>
      <c r="M4899">
        <v>0.76279069767441898</v>
      </c>
      <c r="N4899">
        <v>1</v>
      </c>
      <c r="O4899">
        <v>0.84186046511627899</v>
      </c>
      <c r="P4899" t="s">
        <v>2574</v>
      </c>
      <c r="Q4899" t="s">
        <v>2575</v>
      </c>
      <c r="R4899" t="s">
        <v>1498</v>
      </c>
      <c r="S4899" t="s">
        <v>1499</v>
      </c>
      <c r="V4899" t="s">
        <v>1500</v>
      </c>
      <c r="W4899" t="s">
        <v>1501</v>
      </c>
      <c r="AF4899" t="s">
        <v>10269</v>
      </c>
    </row>
    <row r="4900" spans="1:32" hidden="1" x14ac:dyDescent="0.35">
      <c r="A4900">
        <v>4899</v>
      </c>
      <c r="B4900" t="s">
        <v>10268</v>
      </c>
      <c r="C4900" t="s">
        <v>10127</v>
      </c>
      <c r="D4900" t="s">
        <v>45</v>
      </c>
      <c r="E4900">
        <v>467</v>
      </c>
      <c r="F4900">
        <v>4</v>
      </c>
      <c r="G4900">
        <v>4</v>
      </c>
      <c r="H4900">
        <v>1</v>
      </c>
      <c r="I4900">
        <v>0</v>
      </c>
      <c r="J4900">
        <v>0.88015564202334595</v>
      </c>
      <c r="K4900">
        <v>0.99612403100775304</v>
      </c>
      <c r="L4900">
        <v>0.93455597121099399</v>
      </c>
      <c r="M4900">
        <v>0.76279069767441898</v>
      </c>
      <c r="N4900">
        <v>1</v>
      </c>
      <c r="O4900">
        <v>0.84186046511627899</v>
      </c>
      <c r="P4900" t="s">
        <v>2574</v>
      </c>
      <c r="Q4900" t="s">
        <v>2575</v>
      </c>
      <c r="R4900" t="s">
        <v>1498</v>
      </c>
      <c r="S4900" t="s">
        <v>1499</v>
      </c>
      <c r="V4900" t="s">
        <v>1500</v>
      </c>
      <c r="W4900" t="s">
        <v>1501</v>
      </c>
      <c r="AF4900" t="s">
        <v>10270</v>
      </c>
    </row>
    <row r="4901" spans="1:32" hidden="1" x14ac:dyDescent="0.35">
      <c r="A4901">
        <v>5224</v>
      </c>
      <c r="B4901" t="s">
        <v>10859</v>
      </c>
      <c r="C4901" t="s">
        <v>10127</v>
      </c>
      <c r="D4901" t="s">
        <v>60</v>
      </c>
      <c r="E4901">
        <v>277</v>
      </c>
      <c r="F4901">
        <v>4</v>
      </c>
      <c r="G4901">
        <v>4</v>
      </c>
      <c r="H4901">
        <v>1</v>
      </c>
      <c r="I4901">
        <v>0</v>
      </c>
      <c r="J4901">
        <v>0.83426235600148602</v>
      </c>
      <c r="K4901">
        <v>0.96812087588786799</v>
      </c>
      <c r="L4901">
        <v>0.89622094626989601</v>
      </c>
      <c r="M4901">
        <v>0.634304207119741</v>
      </c>
      <c r="N4901">
        <v>1</v>
      </c>
      <c r="O4901">
        <v>0.75620280474649404</v>
      </c>
      <c r="P4901" t="s">
        <v>169</v>
      </c>
      <c r="Q4901" t="s">
        <v>170</v>
      </c>
      <c r="R4901" t="s">
        <v>138</v>
      </c>
      <c r="S4901" t="s">
        <v>139</v>
      </c>
      <c r="T4901" t="s">
        <v>10860</v>
      </c>
      <c r="U4901" t="s">
        <v>10861</v>
      </c>
      <c r="V4901" t="s">
        <v>3693</v>
      </c>
      <c r="W4901" t="s">
        <v>3694</v>
      </c>
      <c r="AD4901" t="s">
        <v>439</v>
      </c>
      <c r="AE4901" t="s">
        <v>10862</v>
      </c>
      <c r="AF4901" t="s">
        <v>10863</v>
      </c>
    </row>
    <row r="4902" spans="1:32" hidden="1" x14ac:dyDescent="0.35">
      <c r="A4902">
        <v>5225</v>
      </c>
      <c r="B4902" t="s">
        <v>10859</v>
      </c>
      <c r="C4902" t="s">
        <v>10127</v>
      </c>
      <c r="D4902" t="s">
        <v>62</v>
      </c>
      <c r="E4902">
        <v>355</v>
      </c>
      <c r="F4902">
        <v>4</v>
      </c>
      <c r="G4902">
        <v>4</v>
      </c>
      <c r="H4902">
        <v>1</v>
      </c>
      <c r="I4902">
        <v>0</v>
      </c>
      <c r="J4902">
        <v>0.83426235600148602</v>
      </c>
      <c r="K4902">
        <v>0.96812087588786799</v>
      </c>
      <c r="L4902">
        <v>0.89622094626989601</v>
      </c>
      <c r="M4902">
        <v>0.634304207119741</v>
      </c>
      <c r="N4902">
        <v>1</v>
      </c>
      <c r="O4902">
        <v>0.75620280474649404</v>
      </c>
      <c r="P4902" t="s">
        <v>169</v>
      </c>
      <c r="Q4902" t="s">
        <v>170</v>
      </c>
      <c r="R4902" t="s">
        <v>138</v>
      </c>
      <c r="S4902" t="s">
        <v>139</v>
      </c>
      <c r="T4902" t="s">
        <v>10860</v>
      </c>
      <c r="U4902" t="s">
        <v>10861</v>
      </c>
      <c r="V4902" t="s">
        <v>3693</v>
      </c>
      <c r="W4902" t="s">
        <v>3694</v>
      </c>
      <c r="AD4902" t="s">
        <v>439</v>
      </c>
      <c r="AE4902" t="s">
        <v>10862</v>
      </c>
      <c r="AF4902" t="s">
        <v>10863</v>
      </c>
    </row>
    <row r="4903" spans="1:32" hidden="1" x14ac:dyDescent="0.35">
      <c r="A4903">
        <v>5226</v>
      </c>
      <c r="B4903" t="s">
        <v>10859</v>
      </c>
      <c r="C4903" t="s">
        <v>10127</v>
      </c>
      <c r="D4903" t="s">
        <v>34</v>
      </c>
      <c r="E4903">
        <v>72</v>
      </c>
      <c r="F4903">
        <v>4</v>
      </c>
      <c r="G4903">
        <v>4</v>
      </c>
      <c r="H4903">
        <v>1</v>
      </c>
      <c r="I4903">
        <v>0</v>
      </c>
      <c r="J4903">
        <v>0.83426235600148602</v>
      </c>
      <c r="K4903">
        <v>0.96812087588786799</v>
      </c>
      <c r="L4903">
        <v>0.89622094626989601</v>
      </c>
      <c r="M4903">
        <v>0.634304207119741</v>
      </c>
      <c r="N4903">
        <v>1</v>
      </c>
      <c r="O4903">
        <v>0.75620280474649404</v>
      </c>
      <c r="P4903" t="s">
        <v>169</v>
      </c>
      <c r="Q4903" t="s">
        <v>170</v>
      </c>
      <c r="R4903" t="s">
        <v>138</v>
      </c>
      <c r="S4903" t="s">
        <v>139</v>
      </c>
      <c r="T4903" t="s">
        <v>10860</v>
      </c>
      <c r="U4903" t="s">
        <v>10861</v>
      </c>
      <c r="V4903" t="s">
        <v>3693</v>
      </c>
      <c r="W4903" t="s">
        <v>3694</v>
      </c>
      <c r="AD4903" t="s">
        <v>439</v>
      </c>
      <c r="AE4903" t="s">
        <v>10862</v>
      </c>
      <c r="AF4903" t="s">
        <v>10864</v>
      </c>
    </row>
    <row r="4904" spans="1:32" hidden="1" x14ac:dyDescent="0.35">
      <c r="A4904">
        <v>5227</v>
      </c>
      <c r="B4904" t="s">
        <v>10859</v>
      </c>
      <c r="C4904" t="s">
        <v>10127</v>
      </c>
      <c r="D4904" t="s">
        <v>45</v>
      </c>
      <c r="E4904">
        <v>1330</v>
      </c>
      <c r="F4904">
        <v>4</v>
      </c>
      <c r="G4904">
        <v>4</v>
      </c>
      <c r="H4904">
        <v>1</v>
      </c>
      <c r="I4904">
        <v>0</v>
      </c>
      <c r="J4904">
        <v>0.83426235600148602</v>
      </c>
      <c r="K4904">
        <v>0.96812087588786799</v>
      </c>
      <c r="L4904">
        <v>0.89622094626989601</v>
      </c>
      <c r="M4904">
        <v>0.634304207119741</v>
      </c>
      <c r="N4904">
        <v>1</v>
      </c>
      <c r="O4904">
        <v>0.75620280474649404</v>
      </c>
      <c r="P4904" t="s">
        <v>169</v>
      </c>
      <c r="Q4904" t="s">
        <v>170</v>
      </c>
      <c r="R4904" t="s">
        <v>138</v>
      </c>
      <c r="S4904" t="s">
        <v>139</v>
      </c>
      <c r="T4904" t="s">
        <v>10860</v>
      </c>
      <c r="U4904" t="s">
        <v>10861</v>
      </c>
      <c r="V4904" t="s">
        <v>3693</v>
      </c>
      <c r="W4904" t="s">
        <v>3694</v>
      </c>
      <c r="AD4904" t="s">
        <v>439</v>
      </c>
      <c r="AE4904" t="s">
        <v>10862</v>
      </c>
      <c r="AF4904" t="s">
        <v>10864</v>
      </c>
    </row>
    <row r="4905" spans="1:32" hidden="1" x14ac:dyDescent="0.35">
      <c r="A4905">
        <v>3819</v>
      </c>
      <c r="B4905" t="s">
        <v>7881</v>
      </c>
      <c r="C4905" t="s">
        <v>72</v>
      </c>
      <c r="D4905" t="s">
        <v>58</v>
      </c>
      <c r="E4905">
        <v>1532</v>
      </c>
      <c r="F4905">
        <v>5</v>
      </c>
      <c r="G4905">
        <v>5</v>
      </c>
      <c r="H4905">
        <v>1</v>
      </c>
      <c r="I4905">
        <v>1</v>
      </c>
      <c r="J4905">
        <v>0.86826484018264805</v>
      </c>
      <c r="K4905">
        <v>0.98657393284932404</v>
      </c>
      <c r="L4905">
        <v>0.92364627113498399</v>
      </c>
      <c r="M4905">
        <v>0.75900900900900903</v>
      </c>
      <c r="N4905">
        <v>0.99774774774774799</v>
      </c>
      <c r="O4905">
        <v>0.82860360360360397</v>
      </c>
      <c r="P4905" t="s">
        <v>7882</v>
      </c>
      <c r="Q4905" t="s">
        <v>7883</v>
      </c>
      <c r="R4905" t="s">
        <v>235</v>
      </c>
      <c r="S4905" t="s">
        <v>236</v>
      </c>
      <c r="T4905" t="s">
        <v>7884</v>
      </c>
      <c r="U4905" t="s">
        <v>7885</v>
      </c>
      <c r="V4905" t="s">
        <v>7886</v>
      </c>
      <c r="W4905" t="s">
        <v>7887</v>
      </c>
      <c r="X4905" t="s">
        <v>7886</v>
      </c>
      <c r="Y4905" t="s">
        <v>2431</v>
      </c>
      <c r="AD4905" t="s">
        <v>219</v>
      </c>
      <c r="AE4905" t="s">
        <v>7888</v>
      </c>
      <c r="AF4905" t="s">
        <v>7889</v>
      </c>
    </row>
    <row r="4906" spans="1:32" hidden="1" x14ac:dyDescent="0.35">
      <c r="A4906">
        <v>4690</v>
      </c>
      <c r="B4906" t="s">
        <v>9809</v>
      </c>
      <c r="C4906" t="s">
        <v>10127</v>
      </c>
      <c r="D4906" t="s">
        <v>60</v>
      </c>
      <c r="E4906">
        <v>501</v>
      </c>
      <c r="F4906">
        <v>5</v>
      </c>
      <c r="G4906">
        <v>5</v>
      </c>
      <c r="H4906">
        <v>1</v>
      </c>
      <c r="I4906">
        <v>1</v>
      </c>
      <c r="J4906">
        <v>0.886296848862968</v>
      </c>
      <c r="K4906">
        <v>0.99905149051490005</v>
      </c>
      <c r="L4906">
        <v>0.93930248262492699</v>
      </c>
      <c r="M4906">
        <v>0.79539295392953901</v>
      </c>
      <c r="N4906">
        <v>0.99864498644986499</v>
      </c>
      <c r="O4906">
        <v>0.85704607046070502</v>
      </c>
      <c r="P4906" t="s">
        <v>9810</v>
      </c>
      <c r="Q4906" t="s">
        <v>9811</v>
      </c>
      <c r="R4906" t="s">
        <v>652</v>
      </c>
      <c r="S4906" t="s">
        <v>653</v>
      </c>
      <c r="T4906" t="s">
        <v>9812</v>
      </c>
      <c r="U4906" t="s">
        <v>9813</v>
      </c>
      <c r="V4906" t="s">
        <v>9814</v>
      </c>
      <c r="W4906" t="s">
        <v>9815</v>
      </c>
      <c r="X4906" t="s">
        <v>9814</v>
      </c>
      <c r="Y4906" t="s">
        <v>1782</v>
      </c>
      <c r="Z4906" t="s">
        <v>9816</v>
      </c>
      <c r="AA4906" t="s">
        <v>9817</v>
      </c>
      <c r="AB4906" t="s">
        <v>9816</v>
      </c>
      <c r="AC4906" t="s">
        <v>9818</v>
      </c>
      <c r="AD4906" t="s">
        <v>1140</v>
      </c>
      <c r="AE4906" t="s">
        <v>9819</v>
      </c>
      <c r="AF4906" t="s">
        <v>9821</v>
      </c>
    </row>
    <row r="4907" spans="1:32" hidden="1" x14ac:dyDescent="0.35">
      <c r="A4907">
        <v>4691</v>
      </c>
      <c r="B4907" t="s">
        <v>9809</v>
      </c>
      <c r="C4907" t="s">
        <v>10127</v>
      </c>
      <c r="D4907" t="s">
        <v>62</v>
      </c>
      <c r="E4907">
        <v>585</v>
      </c>
      <c r="F4907">
        <v>5</v>
      </c>
      <c r="G4907">
        <v>5</v>
      </c>
      <c r="H4907">
        <v>1</v>
      </c>
      <c r="I4907">
        <v>1</v>
      </c>
      <c r="J4907">
        <v>0.886296848862968</v>
      </c>
      <c r="K4907">
        <v>0.99905149051490005</v>
      </c>
      <c r="L4907">
        <v>0.93930248262492699</v>
      </c>
      <c r="M4907">
        <v>0.79539295392953901</v>
      </c>
      <c r="N4907">
        <v>0.99864498644986499</v>
      </c>
      <c r="O4907">
        <v>0.85704607046070502</v>
      </c>
      <c r="P4907" t="s">
        <v>9810</v>
      </c>
      <c r="Q4907" t="s">
        <v>9811</v>
      </c>
      <c r="R4907" t="s">
        <v>652</v>
      </c>
      <c r="S4907" t="s">
        <v>653</v>
      </c>
      <c r="T4907" t="s">
        <v>9812</v>
      </c>
      <c r="U4907" t="s">
        <v>9813</v>
      </c>
      <c r="V4907" t="s">
        <v>9814</v>
      </c>
      <c r="W4907" t="s">
        <v>9815</v>
      </c>
      <c r="X4907" t="s">
        <v>9814</v>
      </c>
      <c r="Y4907" t="s">
        <v>1782</v>
      </c>
      <c r="Z4907" t="s">
        <v>9816</v>
      </c>
      <c r="AA4907" t="s">
        <v>9817</v>
      </c>
      <c r="AB4907" t="s">
        <v>9816</v>
      </c>
      <c r="AC4907" t="s">
        <v>9818</v>
      </c>
      <c r="AD4907" t="s">
        <v>1140</v>
      </c>
      <c r="AE4907" t="s">
        <v>9819</v>
      </c>
      <c r="AF4907" t="s">
        <v>9822</v>
      </c>
    </row>
    <row r="4908" spans="1:32" hidden="1" x14ac:dyDescent="0.35">
      <c r="A4908">
        <v>4692</v>
      </c>
      <c r="B4908" t="s">
        <v>9809</v>
      </c>
      <c r="C4908" t="s">
        <v>10127</v>
      </c>
      <c r="D4908" t="s">
        <v>34</v>
      </c>
      <c r="E4908">
        <v>583</v>
      </c>
      <c r="F4908">
        <v>5</v>
      </c>
      <c r="G4908">
        <v>5</v>
      </c>
      <c r="H4908">
        <v>1</v>
      </c>
      <c r="I4908">
        <v>1</v>
      </c>
      <c r="J4908">
        <v>0.886296848862968</v>
      </c>
      <c r="K4908">
        <v>0.99905149051490005</v>
      </c>
      <c r="L4908">
        <v>0.93930248262492699</v>
      </c>
      <c r="M4908">
        <v>0.79539295392953901</v>
      </c>
      <c r="N4908">
        <v>0.99864498644986499</v>
      </c>
      <c r="O4908">
        <v>0.85704607046070502</v>
      </c>
      <c r="P4908" t="s">
        <v>9810</v>
      </c>
      <c r="Q4908" t="s">
        <v>9811</v>
      </c>
      <c r="R4908" t="s">
        <v>652</v>
      </c>
      <c r="S4908" t="s">
        <v>653</v>
      </c>
      <c r="T4908" t="s">
        <v>9812</v>
      </c>
      <c r="U4908" t="s">
        <v>9813</v>
      </c>
      <c r="V4908" t="s">
        <v>9814</v>
      </c>
      <c r="W4908" t="s">
        <v>9815</v>
      </c>
      <c r="X4908" t="s">
        <v>9814</v>
      </c>
      <c r="Y4908" t="s">
        <v>1782</v>
      </c>
      <c r="Z4908" t="s">
        <v>9816</v>
      </c>
      <c r="AA4908" t="s">
        <v>9817</v>
      </c>
      <c r="AB4908" t="s">
        <v>9816</v>
      </c>
      <c r="AC4908" t="s">
        <v>9818</v>
      </c>
      <c r="AD4908" t="s">
        <v>1140</v>
      </c>
      <c r="AE4908" t="s">
        <v>9819</v>
      </c>
      <c r="AF4908" t="s">
        <v>9823</v>
      </c>
    </row>
    <row r="4909" spans="1:32" hidden="1" x14ac:dyDescent="0.35">
      <c r="A4909">
        <v>4693</v>
      </c>
      <c r="B4909" t="s">
        <v>9809</v>
      </c>
      <c r="C4909" t="s">
        <v>10127</v>
      </c>
      <c r="D4909" t="s">
        <v>45</v>
      </c>
      <c r="E4909">
        <v>1849</v>
      </c>
      <c r="F4909">
        <v>5</v>
      </c>
      <c r="G4909">
        <v>5</v>
      </c>
      <c r="H4909">
        <v>1</v>
      </c>
      <c r="I4909">
        <v>1</v>
      </c>
      <c r="J4909">
        <v>0.886296848862968</v>
      </c>
      <c r="K4909">
        <v>0.99905149051490005</v>
      </c>
      <c r="L4909">
        <v>0.93930248262492699</v>
      </c>
      <c r="M4909">
        <v>0.79539295392953901</v>
      </c>
      <c r="N4909">
        <v>0.99864498644986499</v>
      </c>
      <c r="O4909">
        <v>0.85704607046070502</v>
      </c>
      <c r="P4909" t="s">
        <v>9810</v>
      </c>
      <c r="Q4909" t="s">
        <v>9811</v>
      </c>
      <c r="R4909" t="s">
        <v>652</v>
      </c>
      <c r="S4909" t="s">
        <v>653</v>
      </c>
      <c r="T4909" t="s">
        <v>9812</v>
      </c>
      <c r="U4909" t="s">
        <v>9813</v>
      </c>
      <c r="V4909" t="s">
        <v>9814</v>
      </c>
      <c r="W4909" t="s">
        <v>9815</v>
      </c>
      <c r="X4909" t="s">
        <v>9814</v>
      </c>
      <c r="Y4909" t="s">
        <v>1782</v>
      </c>
      <c r="Z4909" t="s">
        <v>9816</v>
      </c>
      <c r="AA4909" t="s">
        <v>9817</v>
      </c>
      <c r="AB4909" t="s">
        <v>9816</v>
      </c>
      <c r="AC4909" t="s">
        <v>9818</v>
      </c>
      <c r="AD4909" t="s">
        <v>1140</v>
      </c>
      <c r="AE4909" t="s">
        <v>9819</v>
      </c>
      <c r="AF4909" t="s">
        <v>9824</v>
      </c>
    </row>
    <row r="4910" spans="1:32" hidden="1" x14ac:dyDescent="0.35">
      <c r="A4910">
        <v>4888</v>
      </c>
      <c r="B4910" t="s">
        <v>10241</v>
      </c>
      <c r="C4910" t="s">
        <v>10127</v>
      </c>
      <c r="D4910" t="s">
        <v>60</v>
      </c>
      <c r="E4910">
        <v>1219</v>
      </c>
      <c r="F4910">
        <v>4</v>
      </c>
      <c r="G4910">
        <v>4</v>
      </c>
      <c r="H4910">
        <v>1</v>
      </c>
      <c r="I4910">
        <v>0</v>
      </c>
      <c r="J4910">
        <v>0.82187556684201002</v>
      </c>
      <c r="K4910">
        <v>0.99549278540143604</v>
      </c>
      <c r="L4910">
        <v>0.90039115766371403</v>
      </c>
      <c r="M4910">
        <v>0.67172264355362898</v>
      </c>
      <c r="N4910">
        <v>1</v>
      </c>
      <c r="O4910">
        <v>0.78078728782954099</v>
      </c>
      <c r="P4910" t="s">
        <v>10242</v>
      </c>
      <c r="Q4910" t="s">
        <v>10243</v>
      </c>
      <c r="R4910" t="s">
        <v>652</v>
      </c>
      <c r="S4910" t="s">
        <v>653</v>
      </c>
      <c r="T4910" t="s">
        <v>10244</v>
      </c>
      <c r="U4910" t="s">
        <v>10245</v>
      </c>
      <c r="V4910" t="s">
        <v>10246</v>
      </c>
      <c r="W4910" t="s">
        <v>10247</v>
      </c>
      <c r="X4910" t="s">
        <v>10246</v>
      </c>
      <c r="Y4910" t="s">
        <v>4474</v>
      </c>
      <c r="Z4910" t="s">
        <v>10248</v>
      </c>
      <c r="AA4910" t="s">
        <v>10249</v>
      </c>
      <c r="AB4910" t="s">
        <v>10248</v>
      </c>
      <c r="AC4910" t="s">
        <v>10250</v>
      </c>
      <c r="AD4910" t="s">
        <v>1140</v>
      </c>
      <c r="AE4910" t="s">
        <v>10251</v>
      </c>
      <c r="AF4910" t="s">
        <v>10252</v>
      </c>
    </row>
    <row r="4911" spans="1:32" hidden="1" x14ac:dyDescent="0.35">
      <c r="A4911">
        <v>4889</v>
      </c>
      <c r="B4911" t="s">
        <v>10241</v>
      </c>
      <c r="C4911" t="s">
        <v>10127</v>
      </c>
      <c r="D4911" t="s">
        <v>62</v>
      </c>
      <c r="E4911">
        <v>1256</v>
      </c>
      <c r="F4911">
        <v>4</v>
      </c>
      <c r="G4911">
        <v>4</v>
      </c>
      <c r="H4911">
        <v>1</v>
      </c>
      <c r="I4911">
        <v>0</v>
      </c>
      <c r="J4911">
        <v>0.82187556684201002</v>
      </c>
      <c r="K4911">
        <v>0.99549278540143604</v>
      </c>
      <c r="L4911">
        <v>0.90039115766371403</v>
      </c>
      <c r="M4911">
        <v>0.67172264355362898</v>
      </c>
      <c r="N4911">
        <v>1</v>
      </c>
      <c r="O4911">
        <v>0.78078728782954099</v>
      </c>
      <c r="P4911" t="s">
        <v>10242</v>
      </c>
      <c r="Q4911" t="s">
        <v>10243</v>
      </c>
      <c r="R4911" t="s">
        <v>652</v>
      </c>
      <c r="S4911" t="s">
        <v>653</v>
      </c>
      <c r="T4911" t="s">
        <v>10244</v>
      </c>
      <c r="U4911" t="s">
        <v>10245</v>
      </c>
      <c r="V4911" t="s">
        <v>10246</v>
      </c>
      <c r="W4911" t="s">
        <v>10247</v>
      </c>
      <c r="X4911" t="s">
        <v>10246</v>
      </c>
      <c r="Y4911" t="s">
        <v>4474</v>
      </c>
      <c r="Z4911" t="s">
        <v>10248</v>
      </c>
      <c r="AA4911" t="s">
        <v>10249</v>
      </c>
      <c r="AB4911" t="s">
        <v>10248</v>
      </c>
      <c r="AC4911" t="s">
        <v>10250</v>
      </c>
      <c r="AD4911" t="s">
        <v>1140</v>
      </c>
      <c r="AE4911" t="s">
        <v>10251</v>
      </c>
      <c r="AF4911" t="s">
        <v>10252</v>
      </c>
    </row>
    <row r="4912" spans="1:32" hidden="1" x14ac:dyDescent="0.35">
      <c r="A4912">
        <v>4890</v>
      </c>
      <c r="B4912" t="s">
        <v>10241</v>
      </c>
      <c r="C4912" t="s">
        <v>10127</v>
      </c>
      <c r="D4912" t="s">
        <v>34</v>
      </c>
      <c r="E4912">
        <v>1784</v>
      </c>
      <c r="F4912">
        <v>4</v>
      </c>
      <c r="G4912">
        <v>4</v>
      </c>
      <c r="H4912">
        <v>1</v>
      </c>
      <c r="I4912">
        <v>0</v>
      </c>
      <c r="J4912">
        <v>0.82187556684201002</v>
      </c>
      <c r="K4912">
        <v>0.99549278540143604</v>
      </c>
      <c r="L4912">
        <v>0.90039115766371403</v>
      </c>
      <c r="M4912">
        <v>0.67172264355362898</v>
      </c>
      <c r="N4912">
        <v>1</v>
      </c>
      <c r="O4912">
        <v>0.78078728782954099</v>
      </c>
      <c r="P4912" t="s">
        <v>10242</v>
      </c>
      <c r="Q4912" t="s">
        <v>10243</v>
      </c>
      <c r="R4912" t="s">
        <v>652</v>
      </c>
      <c r="S4912" t="s">
        <v>653</v>
      </c>
      <c r="T4912" t="s">
        <v>10244</v>
      </c>
      <c r="U4912" t="s">
        <v>10245</v>
      </c>
      <c r="V4912" t="s">
        <v>10246</v>
      </c>
      <c r="W4912" t="s">
        <v>10247</v>
      </c>
      <c r="X4912" t="s">
        <v>10246</v>
      </c>
      <c r="Y4912" t="s">
        <v>4474</v>
      </c>
      <c r="Z4912" t="s">
        <v>10248</v>
      </c>
      <c r="AA4912" t="s">
        <v>10249</v>
      </c>
      <c r="AB4912" t="s">
        <v>10248</v>
      </c>
      <c r="AC4912" t="s">
        <v>10250</v>
      </c>
      <c r="AD4912" t="s">
        <v>1140</v>
      </c>
      <c r="AE4912" t="s">
        <v>10251</v>
      </c>
      <c r="AF4912" t="s">
        <v>10253</v>
      </c>
    </row>
    <row r="4913" spans="1:32" hidden="1" x14ac:dyDescent="0.35">
      <c r="A4913">
        <v>4912</v>
      </c>
      <c r="B4913" t="s">
        <v>10298</v>
      </c>
      <c r="C4913" t="s">
        <v>10127</v>
      </c>
      <c r="D4913" t="s">
        <v>60</v>
      </c>
      <c r="E4913">
        <v>2161</v>
      </c>
      <c r="F4913">
        <v>4</v>
      </c>
      <c r="G4913">
        <v>4</v>
      </c>
      <c r="H4913">
        <v>1</v>
      </c>
      <c r="I4913">
        <v>0</v>
      </c>
      <c r="J4913">
        <v>0.78232618583495805</v>
      </c>
      <c r="K4913">
        <v>0.92161109821820097</v>
      </c>
      <c r="L4913">
        <v>0.84627586007997502</v>
      </c>
      <c r="M4913">
        <v>0.51971326164874598</v>
      </c>
      <c r="N4913">
        <v>1</v>
      </c>
      <c r="O4913">
        <v>0.67921146953404998</v>
      </c>
      <c r="P4913" t="s">
        <v>10299</v>
      </c>
      <c r="Q4913" t="s">
        <v>10300</v>
      </c>
      <c r="R4913" t="s">
        <v>288</v>
      </c>
      <c r="S4913" t="s">
        <v>289</v>
      </c>
      <c r="T4913" t="s">
        <v>10301</v>
      </c>
      <c r="U4913" t="s">
        <v>10302</v>
      </c>
      <c r="V4913" t="s">
        <v>10303</v>
      </c>
      <c r="W4913" t="s">
        <v>10304</v>
      </c>
      <c r="Z4913" t="s">
        <v>10305</v>
      </c>
      <c r="AA4913" t="s">
        <v>10306</v>
      </c>
      <c r="AB4913" t="s">
        <v>10305</v>
      </c>
      <c r="AC4913" t="s">
        <v>10307</v>
      </c>
      <c r="AD4913" t="s">
        <v>245</v>
      </c>
      <c r="AE4913" t="s">
        <v>10308</v>
      </c>
      <c r="AF4913" t="e">
        <f>---------------MGNPVAVILDSDGLTGEQMQRIARWTNLSETTFITPATSPESDYALRIFTPNSEIPFAGHPTLGSAHAWHEQHPEHTADRIIQQCGAGLVEIRTINGQYFFKAPDTIRSGPLSDAELDHLTAGLGITRKDVVAHQWVDNGPGWAGIQLASAAQVTALEPNFNLLNDALVGIVGPHPTGSPHTFEVRAFAPGIGVPEDPITGSLNASLAQWLIREGTAPSTYTATQGGNLHRAGVVTITTDDE-GAVWVGGATTTIVSGEIVPLM</f>
        <v>#NAME?</v>
      </c>
    </row>
    <row r="4914" spans="1:32" hidden="1" x14ac:dyDescent="0.35">
      <c r="A4914">
        <v>4913</v>
      </c>
      <c r="B4914" t="s">
        <v>10298</v>
      </c>
      <c r="C4914" t="s">
        <v>10127</v>
      </c>
      <c r="D4914" t="s">
        <v>62</v>
      </c>
      <c r="E4914">
        <v>2195</v>
      </c>
      <c r="F4914">
        <v>4</v>
      </c>
      <c r="G4914">
        <v>4</v>
      </c>
      <c r="H4914">
        <v>1</v>
      </c>
      <c r="I4914">
        <v>0</v>
      </c>
      <c r="J4914">
        <v>0.78232618583495805</v>
      </c>
      <c r="K4914">
        <v>0.92161109821820097</v>
      </c>
      <c r="L4914">
        <v>0.84627586007997502</v>
      </c>
      <c r="M4914">
        <v>0.51971326164874598</v>
      </c>
      <c r="N4914">
        <v>1</v>
      </c>
      <c r="O4914">
        <v>0.67921146953404998</v>
      </c>
      <c r="P4914" t="s">
        <v>10299</v>
      </c>
      <c r="Q4914" t="s">
        <v>10300</v>
      </c>
      <c r="R4914" t="s">
        <v>288</v>
      </c>
      <c r="S4914" t="s">
        <v>289</v>
      </c>
      <c r="T4914" t="s">
        <v>10301</v>
      </c>
      <c r="U4914" t="s">
        <v>10302</v>
      </c>
      <c r="V4914" t="s">
        <v>10303</v>
      </c>
      <c r="W4914" t="s">
        <v>10304</v>
      </c>
      <c r="Z4914" t="s">
        <v>10305</v>
      </c>
      <c r="AA4914" t="s">
        <v>10306</v>
      </c>
      <c r="AB4914" t="s">
        <v>10305</v>
      </c>
      <c r="AC4914" t="s">
        <v>10307</v>
      </c>
      <c r="AD4914" t="s">
        <v>245</v>
      </c>
      <c r="AE4914" t="s">
        <v>10308</v>
      </c>
      <c r="AF4914" t="e">
        <f>---------------MGNPVAVILDSDGLTGEQMQRIARWTNLSETTFITPATSPESDYALRIFTPNSEIPFAGHPTLGSAHAWHEQHPEHTADRIIQQCGAGLVEIRTINGQYFFKAPDTIRSGPLSDAELDHLTAGLGITRKDVVAHQWVDNGPGWAGIQLASAAQVTALEPNFNLLNDALVGIVGPHPTGSPHTFEVRAFAPGIGVPEDPITGSLNASLAQWLIREGTAPSTYTATQGGNLHRAGVVTITTDDE-GAVWVGGATTTIVSGEIVPLM</f>
        <v>#NAME?</v>
      </c>
    </row>
    <row r="4915" spans="1:32" hidden="1" x14ac:dyDescent="0.35">
      <c r="A4915">
        <v>4914</v>
      </c>
      <c r="B4915" t="s">
        <v>10298</v>
      </c>
      <c r="C4915" t="s">
        <v>10127</v>
      </c>
      <c r="D4915" t="s">
        <v>34</v>
      </c>
      <c r="E4915">
        <v>1631</v>
      </c>
      <c r="F4915">
        <v>4</v>
      </c>
      <c r="G4915">
        <v>4</v>
      </c>
      <c r="H4915">
        <v>1</v>
      </c>
      <c r="I4915">
        <v>0</v>
      </c>
      <c r="J4915">
        <v>0.78232618583495805</v>
      </c>
      <c r="K4915">
        <v>0.92161109821820097</v>
      </c>
      <c r="L4915">
        <v>0.84627586007997502</v>
      </c>
      <c r="M4915">
        <v>0.51971326164874598</v>
      </c>
      <c r="N4915">
        <v>1</v>
      </c>
      <c r="O4915">
        <v>0.67921146953404998</v>
      </c>
      <c r="P4915" t="s">
        <v>10299</v>
      </c>
      <c r="Q4915" t="s">
        <v>10300</v>
      </c>
      <c r="R4915" t="s">
        <v>288</v>
      </c>
      <c r="S4915" t="s">
        <v>289</v>
      </c>
      <c r="T4915" t="s">
        <v>10301</v>
      </c>
      <c r="U4915" t="s">
        <v>10302</v>
      </c>
      <c r="V4915" t="s">
        <v>10303</v>
      </c>
      <c r="W4915" t="s">
        <v>10304</v>
      </c>
      <c r="Z4915" t="s">
        <v>10305</v>
      </c>
      <c r="AA4915" t="s">
        <v>10306</v>
      </c>
      <c r="AB4915" t="s">
        <v>10305</v>
      </c>
      <c r="AC4915" t="s">
        <v>10307</v>
      </c>
      <c r="AD4915" t="s">
        <v>245</v>
      </c>
      <c r="AE4915" t="s">
        <v>10308</v>
      </c>
      <c r="AF4915" t="s">
        <v>10309</v>
      </c>
    </row>
    <row r="4916" spans="1:32" hidden="1" x14ac:dyDescent="0.35">
      <c r="A4916">
        <v>4915</v>
      </c>
      <c r="B4916" t="s">
        <v>10298</v>
      </c>
      <c r="C4916" t="s">
        <v>10127</v>
      </c>
      <c r="D4916" t="s">
        <v>45</v>
      </c>
      <c r="E4916">
        <v>378</v>
      </c>
      <c r="F4916">
        <v>4</v>
      </c>
      <c r="G4916">
        <v>4</v>
      </c>
      <c r="H4916">
        <v>1</v>
      </c>
      <c r="I4916">
        <v>0</v>
      </c>
      <c r="J4916">
        <v>0.78232618583495805</v>
      </c>
      <c r="K4916">
        <v>0.92161109821820097</v>
      </c>
      <c r="L4916">
        <v>0.84627586007997502</v>
      </c>
      <c r="M4916">
        <v>0.51971326164874598</v>
      </c>
      <c r="N4916">
        <v>1</v>
      </c>
      <c r="O4916">
        <v>0.67921146953404998</v>
      </c>
      <c r="P4916" t="s">
        <v>10299</v>
      </c>
      <c r="Q4916" t="s">
        <v>10300</v>
      </c>
      <c r="R4916" t="s">
        <v>288</v>
      </c>
      <c r="S4916" t="s">
        <v>289</v>
      </c>
      <c r="T4916" t="s">
        <v>10301</v>
      </c>
      <c r="U4916" t="s">
        <v>10302</v>
      </c>
      <c r="V4916" t="s">
        <v>10303</v>
      </c>
      <c r="W4916" t="s">
        <v>10304</v>
      </c>
      <c r="Z4916" t="s">
        <v>10305</v>
      </c>
      <c r="AA4916" t="s">
        <v>10306</v>
      </c>
      <c r="AB4916" t="s">
        <v>10305</v>
      </c>
      <c r="AC4916" t="s">
        <v>10307</v>
      </c>
      <c r="AD4916" t="s">
        <v>245</v>
      </c>
      <c r="AE4916" t="s">
        <v>10308</v>
      </c>
      <c r="AF4916" t="s">
        <v>10310</v>
      </c>
    </row>
    <row r="4917" spans="1:32" hidden="1" x14ac:dyDescent="0.35">
      <c r="A4917">
        <v>4891</v>
      </c>
      <c r="B4917" t="s">
        <v>10241</v>
      </c>
      <c r="C4917" t="s">
        <v>10127</v>
      </c>
      <c r="D4917" t="s">
        <v>45</v>
      </c>
      <c r="E4917">
        <v>1089</v>
      </c>
      <c r="F4917">
        <v>4</v>
      </c>
      <c r="G4917">
        <v>4</v>
      </c>
      <c r="H4917">
        <v>1</v>
      </c>
      <c r="I4917">
        <v>0</v>
      </c>
      <c r="J4917">
        <v>0.82187556684201002</v>
      </c>
      <c r="K4917">
        <v>0.99549278540143604</v>
      </c>
      <c r="L4917">
        <v>0.90039115766371403</v>
      </c>
      <c r="M4917">
        <v>0.67172264355362898</v>
      </c>
      <c r="N4917">
        <v>1</v>
      </c>
      <c r="O4917">
        <v>0.78078728782954099</v>
      </c>
      <c r="P4917" t="s">
        <v>10242</v>
      </c>
      <c r="Q4917" t="s">
        <v>10243</v>
      </c>
      <c r="R4917" t="s">
        <v>652</v>
      </c>
      <c r="S4917" t="s">
        <v>653</v>
      </c>
      <c r="T4917" t="s">
        <v>10244</v>
      </c>
      <c r="U4917" t="s">
        <v>10245</v>
      </c>
      <c r="V4917" t="s">
        <v>10246</v>
      </c>
      <c r="W4917" t="s">
        <v>10247</v>
      </c>
      <c r="X4917" t="s">
        <v>10246</v>
      </c>
      <c r="Y4917" t="s">
        <v>4474</v>
      </c>
      <c r="Z4917" t="s">
        <v>10248</v>
      </c>
      <c r="AA4917" t="s">
        <v>10249</v>
      </c>
      <c r="AB4917" t="s">
        <v>10248</v>
      </c>
      <c r="AC4917" t="s">
        <v>10250</v>
      </c>
      <c r="AD4917" t="s">
        <v>1140</v>
      </c>
      <c r="AE4917" t="s">
        <v>10251</v>
      </c>
      <c r="AF4917" t="s">
        <v>10254</v>
      </c>
    </row>
    <row r="4918" spans="1:32" hidden="1" x14ac:dyDescent="0.35">
      <c r="A4918">
        <v>5284</v>
      </c>
      <c r="B4918" t="s">
        <v>10965</v>
      </c>
      <c r="C4918" t="s">
        <v>10127</v>
      </c>
      <c r="D4918" t="s">
        <v>60</v>
      </c>
      <c r="E4918">
        <v>1643</v>
      </c>
      <c r="F4918">
        <v>4</v>
      </c>
      <c r="G4918">
        <v>4</v>
      </c>
      <c r="H4918">
        <v>1</v>
      </c>
      <c r="I4918">
        <v>0</v>
      </c>
      <c r="J4918">
        <v>0.76918354818907297</v>
      </c>
      <c r="K4918">
        <v>0.927256469598148</v>
      </c>
      <c r="L4918">
        <v>0.84085545482131496</v>
      </c>
      <c r="M4918">
        <v>0.54081632653061196</v>
      </c>
      <c r="N4918">
        <v>1</v>
      </c>
      <c r="O4918">
        <v>0.69387755102040805</v>
      </c>
      <c r="P4918" t="s">
        <v>10966</v>
      </c>
      <c r="Q4918" t="s">
        <v>10967</v>
      </c>
      <c r="R4918" t="s">
        <v>652</v>
      </c>
      <c r="S4918" t="s">
        <v>653</v>
      </c>
      <c r="T4918" t="s">
        <v>10968</v>
      </c>
      <c r="U4918" t="s">
        <v>10969</v>
      </c>
      <c r="V4918" t="s">
        <v>10970</v>
      </c>
      <c r="W4918" t="s">
        <v>10971</v>
      </c>
      <c r="AD4918" t="s">
        <v>245</v>
      </c>
      <c r="AE4918" t="s">
        <v>10972</v>
      </c>
      <c r="AF4918" t="e">
        <f>-------MTAWVHGTVQHVGFRWWVRSEALELGLSGSATNYPDGRVCVVVEGDRPQCVAMLGLLM--ENPSSTGRPGHVTSVIDQWSTARGVSGFEVR</f>
        <v>#NAME?</v>
      </c>
    </row>
    <row r="4919" spans="1:32" hidden="1" x14ac:dyDescent="0.35">
      <c r="A4919">
        <v>5285</v>
      </c>
      <c r="B4919" t="s">
        <v>10965</v>
      </c>
      <c r="C4919" t="s">
        <v>10127</v>
      </c>
      <c r="D4919" t="s">
        <v>62</v>
      </c>
      <c r="E4919">
        <v>1678</v>
      </c>
      <c r="F4919">
        <v>4</v>
      </c>
      <c r="G4919">
        <v>4</v>
      </c>
      <c r="H4919">
        <v>1</v>
      </c>
      <c r="I4919">
        <v>0</v>
      </c>
      <c r="J4919">
        <v>0.76918354818907297</v>
      </c>
      <c r="K4919">
        <v>0.927256469598148</v>
      </c>
      <c r="L4919">
        <v>0.84085545482131496</v>
      </c>
      <c r="M4919">
        <v>0.54081632653061196</v>
      </c>
      <c r="N4919">
        <v>1</v>
      </c>
      <c r="O4919">
        <v>0.69387755102040805</v>
      </c>
      <c r="P4919" t="s">
        <v>10966</v>
      </c>
      <c r="Q4919" t="s">
        <v>10967</v>
      </c>
      <c r="R4919" t="s">
        <v>652</v>
      </c>
      <c r="S4919" t="s">
        <v>653</v>
      </c>
      <c r="T4919" t="s">
        <v>10968</v>
      </c>
      <c r="U4919" t="s">
        <v>10969</v>
      </c>
      <c r="V4919" t="s">
        <v>10970</v>
      </c>
      <c r="W4919" t="s">
        <v>10971</v>
      </c>
      <c r="AD4919" t="s">
        <v>245</v>
      </c>
      <c r="AE4919" t="s">
        <v>10972</v>
      </c>
      <c r="AF4919" t="e">
        <f>-------MTAWVHGTVQHVGFRWWVRSEALELGLSGSATNYPDGRVCVVVEGDRPQCVAMLGLLM--ENPSSTGRPGHVTSVIDQWSTARGVSGFEVR</f>
        <v>#NAME?</v>
      </c>
    </row>
    <row r="4920" spans="1:32" hidden="1" x14ac:dyDescent="0.35">
      <c r="A4920">
        <v>5286</v>
      </c>
      <c r="B4920" t="s">
        <v>10965</v>
      </c>
      <c r="C4920" t="s">
        <v>10127</v>
      </c>
      <c r="D4920" t="s">
        <v>34</v>
      </c>
      <c r="E4920">
        <v>2049</v>
      </c>
      <c r="F4920">
        <v>4</v>
      </c>
      <c r="G4920">
        <v>4</v>
      </c>
      <c r="H4920">
        <v>1</v>
      </c>
      <c r="I4920">
        <v>0</v>
      </c>
      <c r="J4920">
        <v>0.76918354818907297</v>
      </c>
      <c r="K4920">
        <v>0.927256469598148</v>
      </c>
      <c r="L4920">
        <v>0.84085545482131496</v>
      </c>
      <c r="M4920">
        <v>0.54081632653061196</v>
      </c>
      <c r="N4920">
        <v>1</v>
      </c>
      <c r="O4920">
        <v>0.69387755102040805</v>
      </c>
      <c r="P4920" t="s">
        <v>10966</v>
      </c>
      <c r="Q4920" t="s">
        <v>10967</v>
      </c>
      <c r="R4920" t="s">
        <v>652</v>
      </c>
      <c r="S4920" t="s">
        <v>653</v>
      </c>
      <c r="T4920" t="s">
        <v>10968</v>
      </c>
      <c r="U4920" t="s">
        <v>10969</v>
      </c>
      <c r="V4920" t="s">
        <v>10970</v>
      </c>
      <c r="W4920" t="s">
        <v>10971</v>
      </c>
      <c r="AD4920" t="s">
        <v>245</v>
      </c>
      <c r="AE4920" t="s">
        <v>10972</v>
      </c>
      <c r="AF4920" t="s">
        <v>10973</v>
      </c>
    </row>
    <row r="4921" spans="1:32" hidden="1" x14ac:dyDescent="0.35">
      <c r="A4921">
        <v>5287</v>
      </c>
      <c r="B4921" t="s">
        <v>10965</v>
      </c>
      <c r="C4921" t="s">
        <v>10127</v>
      </c>
      <c r="D4921" t="s">
        <v>45</v>
      </c>
      <c r="E4921">
        <v>823</v>
      </c>
      <c r="F4921">
        <v>4</v>
      </c>
      <c r="G4921">
        <v>4</v>
      </c>
      <c r="H4921">
        <v>1</v>
      </c>
      <c r="I4921">
        <v>0</v>
      </c>
      <c r="J4921">
        <v>0.76918354818907297</v>
      </c>
      <c r="K4921">
        <v>0.927256469598148</v>
      </c>
      <c r="L4921">
        <v>0.84085545482131496</v>
      </c>
      <c r="M4921">
        <v>0.54081632653061196</v>
      </c>
      <c r="N4921">
        <v>1</v>
      </c>
      <c r="O4921">
        <v>0.69387755102040805</v>
      </c>
      <c r="P4921" t="s">
        <v>10966</v>
      </c>
      <c r="Q4921" t="s">
        <v>10967</v>
      </c>
      <c r="R4921" t="s">
        <v>652</v>
      </c>
      <c r="S4921" t="s">
        <v>653</v>
      </c>
      <c r="T4921" t="s">
        <v>10968</v>
      </c>
      <c r="U4921" t="s">
        <v>10969</v>
      </c>
      <c r="V4921" t="s">
        <v>10970</v>
      </c>
      <c r="W4921" t="s">
        <v>10971</v>
      </c>
      <c r="AD4921" t="s">
        <v>245</v>
      </c>
      <c r="AE4921" t="s">
        <v>10972</v>
      </c>
      <c r="AF4921" t="s">
        <v>10973</v>
      </c>
    </row>
    <row r="4922" spans="1:32" hidden="1" x14ac:dyDescent="0.35">
      <c r="A4922">
        <v>5296</v>
      </c>
      <c r="B4922" t="s">
        <v>10987</v>
      </c>
      <c r="C4922" t="s">
        <v>10127</v>
      </c>
      <c r="D4922" t="s">
        <v>60</v>
      </c>
      <c r="E4922">
        <v>1819</v>
      </c>
      <c r="F4922">
        <v>4</v>
      </c>
      <c r="G4922">
        <v>4</v>
      </c>
      <c r="H4922">
        <v>1</v>
      </c>
      <c r="I4922">
        <v>0</v>
      </c>
      <c r="J4922">
        <v>0.82781678368438605</v>
      </c>
      <c r="K4922">
        <v>0.91819460465869196</v>
      </c>
      <c r="L4922">
        <v>0.87066660561272502</v>
      </c>
      <c r="M4922">
        <v>0.59890109890109899</v>
      </c>
      <c r="N4922">
        <v>1</v>
      </c>
      <c r="O4922">
        <v>0.73168498168498197</v>
      </c>
      <c r="P4922" t="s">
        <v>10988</v>
      </c>
      <c r="Q4922" t="s">
        <v>10989</v>
      </c>
      <c r="R4922" t="s">
        <v>652</v>
      </c>
      <c r="S4922" t="s">
        <v>653</v>
      </c>
      <c r="V4922" t="s">
        <v>10990</v>
      </c>
      <c r="W4922" t="s">
        <v>10991</v>
      </c>
      <c r="X4922" t="s">
        <v>10990</v>
      </c>
      <c r="Y4922" t="s">
        <v>5826</v>
      </c>
      <c r="AF4922" t="e">
        <f>----MSQPTSTHYRETVANFPSGVTVVTTRD--GGEDFGLTVSAFTSLSLDPPMVLVSIDRKSKSHQHLVEGAPIGISVLAAGHTDVAVQFARHVDDRFAGINIVRRGEQ-------------DIPFVGDAAAWFLGDVRDRYVGGDHIIITVAVRECGWHDGGRPLLYRGGRLHNWPDVLG</f>
        <v>#NAME?</v>
      </c>
    </row>
    <row r="4923" spans="1:32" hidden="1" x14ac:dyDescent="0.35">
      <c r="A4923">
        <v>5297</v>
      </c>
      <c r="B4923" t="s">
        <v>10987</v>
      </c>
      <c r="C4923" t="s">
        <v>10127</v>
      </c>
      <c r="D4923" t="s">
        <v>62</v>
      </c>
      <c r="E4923">
        <v>1857</v>
      </c>
      <c r="F4923">
        <v>4</v>
      </c>
      <c r="G4923">
        <v>4</v>
      </c>
      <c r="H4923">
        <v>1</v>
      </c>
      <c r="I4923">
        <v>0</v>
      </c>
      <c r="J4923">
        <v>0.82781678368438605</v>
      </c>
      <c r="K4923">
        <v>0.91819460465869196</v>
      </c>
      <c r="L4923">
        <v>0.87066660561272502</v>
      </c>
      <c r="M4923">
        <v>0.59890109890109899</v>
      </c>
      <c r="N4923">
        <v>1</v>
      </c>
      <c r="O4923">
        <v>0.73168498168498197</v>
      </c>
      <c r="P4923" t="s">
        <v>10988</v>
      </c>
      <c r="Q4923" t="s">
        <v>10989</v>
      </c>
      <c r="R4923" t="s">
        <v>652</v>
      </c>
      <c r="S4923" t="s">
        <v>653</v>
      </c>
      <c r="V4923" t="s">
        <v>10990</v>
      </c>
      <c r="W4923" t="s">
        <v>10991</v>
      </c>
      <c r="X4923" t="s">
        <v>10990</v>
      </c>
      <c r="Y4923" t="s">
        <v>5826</v>
      </c>
      <c r="AF4923" t="e">
        <f>----MSQPTSTHYRETVANFPSGVTVVTTRD--GGEDFGLTVSAFTSLSLDPPMVLVSIDRKSKSHQHLVEGAPIGISVLAAGHTDVAVQFARHVDDRFAGINIVRRGEQ-------------DIPFVGDAAAWFLGDVRDRYVGGDHIIITVAVRECGWHDGGRPLLYRGGRLHNWPDVLG</f>
        <v>#NAME?</v>
      </c>
    </row>
    <row r="4924" spans="1:32" hidden="1" x14ac:dyDescent="0.35">
      <c r="A4924">
        <v>5298</v>
      </c>
      <c r="B4924" t="s">
        <v>10987</v>
      </c>
      <c r="C4924" t="s">
        <v>10127</v>
      </c>
      <c r="D4924" t="s">
        <v>34</v>
      </c>
      <c r="E4924">
        <v>680</v>
      </c>
      <c r="F4924">
        <v>4</v>
      </c>
      <c r="G4924">
        <v>4</v>
      </c>
      <c r="H4924">
        <v>1</v>
      </c>
      <c r="I4924">
        <v>0</v>
      </c>
      <c r="J4924">
        <v>0.82781678368438605</v>
      </c>
      <c r="K4924">
        <v>0.91819460465869196</v>
      </c>
      <c r="L4924">
        <v>0.87066660561272502</v>
      </c>
      <c r="M4924">
        <v>0.59890109890109899</v>
      </c>
      <c r="N4924">
        <v>1</v>
      </c>
      <c r="O4924">
        <v>0.73168498168498197</v>
      </c>
      <c r="P4924" t="s">
        <v>10988</v>
      </c>
      <c r="Q4924" t="s">
        <v>10989</v>
      </c>
      <c r="R4924" t="s">
        <v>652</v>
      </c>
      <c r="S4924" t="s">
        <v>653</v>
      </c>
      <c r="V4924" t="s">
        <v>10990</v>
      </c>
      <c r="W4924" t="s">
        <v>10991</v>
      </c>
      <c r="X4924" t="s">
        <v>10990</v>
      </c>
      <c r="Y4924" t="s">
        <v>5826</v>
      </c>
      <c r="AF4924" t="s">
        <v>10992</v>
      </c>
    </row>
    <row r="4925" spans="1:32" hidden="1" x14ac:dyDescent="0.35">
      <c r="A4925">
        <v>5299</v>
      </c>
      <c r="B4925" t="s">
        <v>10987</v>
      </c>
      <c r="C4925" t="s">
        <v>10127</v>
      </c>
      <c r="D4925" t="s">
        <v>45</v>
      </c>
      <c r="E4925">
        <v>1946</v>
      </c>
      <c r="F4925">
        <v>4</v>
      </c>
      <c r="G4925">
        <v>4</v>
      </c>
      <c r="H4925">
        <v>1</v>
      </c>
      <c r="I4925">
        <v>0</v>
      </c>
      <c r="J4925">
        <v>0.82781678368438605</v>
      </c>
      <c r="K4925">
        <v>0.91819460465869196</v>
      </c>
      <c r="L4925">
        <v>0.87066660561272502</v>
      </c>
      <c r="M4925">
        <v>0.59890109890109899</v>
      </c>
      <c r="N4925">
        <v>1</v>
      </c>
      <c r="O4925">
        <v>0.73168498168498197</v>
      </c>
      <c r="P4925" t="s">
        <v>10988</v>
      </c>
      <c r="Q4925" t="s">
        <v>10989</v>
      </c>
      <c r="R4925" t="s">
        <v>652</v>
      </c>
      <c r="S4925" t="s">
        <v>653</v>
      </c>
      <c r="V4925" t="s">
        <v>10990</v>
      </c>
      <c r="W4925" t="s">
        <v>10991</v>
      </c>
      <c r="X4925" t="s">
        <v>10990</v>
      </c>
      <c r="Y4925" t="s">
        <v>5826</v>
      </c>
      <c r="AF4925" t="s">
        <v>10993</v>
      </c>
    </row>
    <row r="4926" spans="1:32" hidden="1" x14ac:dyDescent="0.35">
      <c r="A4926">
        <v>11580</v>
      </c>
      <c r="B4926" t="s">
        <v>23697</v>
      </c>
      <c r="C4926" t="s">
        <v>33</v>
      </c>
      <c r="D4926" t="s">
        <v>58</v>
      </c>
      <c r="E4926">
        <v>1744</v>
      </c>
      <c r="F4926">
        <v>1</v>
      </c>
      <c r="G4926">
        <v>1</v>
      </c>
      <c r="H4926">
        <v>1</v>
      </c>
      <c r="I4926">
        <v>0</v>
      </c>
      <c r="J4926">
        <v>1</v>
      </c>
      <c r="K4926">
        <v>1</v>
      </c>
      <c r="L4926">
        <v>1</v>
      </c>
      <c r="M4926">
        <v>0</v>
      </c>
      <c r="N4926">
        <v>0</v>
      </c>
      <c r="O4926">
        <v>0</v>
      </c>
      <c r="P4926" t="s">
        <v>2331</v>
      </c>
      <c r="Q4926" t="s">
        <v>2332</v>
      </c>
      <c r="R4926" t="s">
        <v>652</v>
      </c>
      <c r="S4926" t="s">
        <v>653</v>
      </c>
      <c r="V4926" t="s">
        <v>17516</v>
      </c>
      <c r="W4926" t="s">
        <v>17517</v>
      </c>
      <c r="AF4926" t="s">
        <v>23698</v>
      </c>
    </row>
    <row r="4927" spans="1:32" hidden="1" x14ac:dyDescent="0.35">
      <c r="A4927">
        <v>4650</v>
      </c>
      <c r="B4927" t="s">
        <v>9712</v>
      </c>
      <c r="C4927" t="s">
        <v>10127</v>
      </c>
      <c r="D4927" t="s">
        <v>60</v>
      </c>
      <c r="E4927">
        <v>1467</v>
      </c>
      <c r="F4927">
        <v>5</v>
      </c>
      <c r="G4927">
        <v>5</v>
      </c>
      <c r="H4927">
        <v>1</v>
      </c>
      <c r="I4927">
        <v>1</v>
      </c>
      <c r="J4927">
        <v>0.76650286650286603</v>
      </c>
      <c r="K4927">
        <v>0.93828274802691003</v>
      </c>
      <c r="L4927">
        <v>0.84373825051449203</v>
      </c>
      <c r="M4927">
        <v>0.54482758620689697</v>
      </c>
      <c r="N4927">
        <v>0.99770114942528698</v>
      </c>
      <c r="O4927">
        <v>0.65448275862069005</v>
      </c>
      <c r="P4927" t="s">
        <v>4358</v>
      </c>
      <c r="Q4927" t="s">
        <v>4359</v>
      </c>
      <c r="R4927" t="s">
        <v>342</v>
      </c>
      <c r="S4927" t="s">
        <v>343</v>
      </c>
      <c r="T4927" t="s">
        <v>9713</v>
      </c>
      <c r="U4927" t="s">
        <v>9714</v>
      </c>
      <c r="V4927" t="s">
        <v>9715</v>
      </c>
      <c r="W4927" t="s">
        <v>9716</v>
      </c>
      <c r="AD4927" t="s">
        <v>166</v>
      </c>
      <c r="AE4927" t="s">
        <v>9717</v>
      </c>
      <c r="AF4927" t="s">
        <v>9719</v>
      </c>
    </row>
    <row r="4928" spans="1:32" hidden="1" x14ac:dyDescent="0.35">
      <c r="A4928">
        <v>4651</v>
      </c>
      <c r="B4928" t="s">
        <v>9712</v>
      </c>
      <c r="C4928" t="s">
        <v>10127</v>
      </c>
      <c r="D4928" t="s">
        <v>62</v>
      </c>
      <c r="E4928">
        <v>1502</v>
      </c>
      <c r="F4928">
        <v>5</v>
      </c>
      <c r="G4928">
        <v>5</v>
      </c>
      <c r="H4928">
        <v>1</v>
      </c>
      <c r="I4928">
        <v>1</v>
      </c>
      <c r="J4928">
        <v>0.76650286650286603</v>
      </c>
      <c r="K4928">
        <v>0.93828274802691003</v>
      </c>
      <c r="L4928">
        <v>0.84373825051449203</v>
      </c>
      <c r="M4928">
        <v>0.54482758620689697</v>
      </c>
      <c r="N4928">
        <v>0.99770114942528698</v>
      </c>
      <c r="O4928">
        <v>0.65448275862069005</v>
      </c>
      <c r="P4928" t="s">
        <v>4358</v>
      </c>
      <c r="Q4928" t="s">
        <v>4359</v>
      </c>
      <c r="R4928" t="s">
        <v>342</v>
      </c>
      <c r="S4928" t="s">
        <v>343</v>
      </c>
      <c r="T4928" t="s">
        <v>9713</v>
      </c>
      <c r="U4928" t="s">
        <v>9714</v>
      </c>
      <c r="V4928" t="s">
        <v>9715</v>
      </c>
      <c r="W4928" t="s">
        <v>9716</v>
      </c>
      <c r="AD4928" t="s">
        <v>166</v>
      </c>
      <c r="AE4928" t="s">
        <v>9717</v>
      </c>
      <c r="AF4928" t="s">
        <v>9720</v>
      </c>
    </row>
    <row r="4929" spans="1:32" hidden="1" x14ac:dyDescent="0.35">
      <c r="A4929">
        <v>4928</v>
      </c>
      <c r="B4929" t="s">
        <v>10333</v>
      </c>
      <c r="C4929" t="s">
        <v>10127</v>
      </c>
      <c r="D4929" t="s">
        <v>60</v>
      </c>
      <c r="E4929">
        <v>971</v>
      </c>
      <c r="F4929">
        <v>4</v>
      </c>
      <c r="G4929">
        <v>4</v>
      </c>
      <c r="H4929">
        <v>1</v>
      </c>
      <c r="I4929">
        <v>0</v>
      </c>
      <c r="J4929">
        <v>0.78825475599669104</v>
      </c>
      <c r="K4929">
        <v>0.92218417047184098</v>
      </c>
      <c r="L4929">
        <v>0.84997604653458603</v>
      </c>
      <c r="M4929">
        <v>0.49315068493150699</v>
      </c>
      <c r="N4929">
        <v>1</v>
      </c>
      <c r="O4929">
        <v>0.66210045662100503</v>
      </c>
      <c r="P4929" t="s">
        <v>10334</v>
      </c>
      <c r="Q4929" t="s">
        <v>10335</v>
      </c>
      <c r="R4929" t="s">
        <v>2071</v>
      </c>
      <c r="S4929" t="s">
        <v>2072</v>
      </c>
      <c r="V4929" t="s">
        <v>10336</v>
      </c>
      <c r="W4929" t="s">
        <v>10337</v>
      </c>
      <c r="AF4929" t="e">
        <f>-MSNLPKLSRRLHRSRTNRMIAGVLGGIAETYGWDANVLRLLFVLS-WLLPGPQFILYFVAWVLMPDDNSLGF</f>
        <v>#NAME?</v>
      </c>
    </row>
    <row r="4930" spans="1:32" hidden="1" x14ac:dyDescent="0.35">
      <c r="A4930">
        <v>4929</v>
      </c>
      <c r="B4930" t="s">
        <v>10333</v>
      </c>
      <c r="C4930" t="s">
        <v>10127</v>
      </c>
      <c r="D4930" t="s">
        <v>62</v>
      </c>
      <c r="E4930">
        <v>1007</v>
      </c>
      <c r="F4930">
        <v>4</v>
      </c>
      <c r="G4930">
        <v>4</v>
      </c>
      <c r="H4930">
        <v>1</v>
      </c>
      <c r="I4930">
        <v>0</v>
      </c>
      <c r="J4930">
        <v>0.78825475599669104</v>
      </c>
      <c r="K4930">
        <v>0.92218417047184098</v>
      </c>
      <c r="L4930">
        <v>0.84997604653458603</v>
      </c>
      <c r="M4930">
        <v>0.49315068493150699</v>
      </c>
      <c r="N4930">
        <v>1</v>
      </c>
      <c r="O4930">
        <v>0.66210045662100503</v>
      </c>
      <c r="P4930" t="s">
        <v>10334</v>
      </c>
      <c r="Q4930" t="s">
        <v>10335</v>
      </c>
      <c r="R4930" t="s">
        <v>2071</v>
      </c>
      <c r="S4930" t="s">
        <v>2072</v>
      </c>
      <c r="V4930" t="s">
        <v>10336</v>
      </c>
      <c r="W4930" t="s">
        <v>10337</v>
      </c>
      <c r="AF4930" t="e">
        <f>-MSNLPKLSRRLHRSRTNRMIAGVLGGIAETYGWDANVLRLLFVLS-WLLPGPQFILYFVAWVLMPDDNSLGF</f>
        <v>#NAME?</v>
      </c>
    </row>
    <row r="4931" spans="1:32" hidden="1" x14ac:dyDescent="0.35">
      <c r="A4931">
        <v>4930</v>
      </c>
      <c r="B4931" t="s">
        <v>10333</v>
      </c>
      <c r="C4931" t="s">
        <v>10127</v>
      </c>
      <c r="D4931" t="s">
        <v>34</v>
      </c>
      <c r="E4931">
        <v>180</v>
      </c>
      <c r="F4931">
        <v>4</v>
      </c>
      <c r="G4931">
        <v>4</v>
      </c>
      <c r="H4931">
        <v>1</v>
      </c>
      <c r="I4931">
        <v>0</v>
      </c>
      <c r="J4931">
        <v>0.78825475599669104</v>
      </c>
      <c r="K4931">
        <v>0.92218417047184098</v>
      </c>
      <c r="L4931">
        <v>0.84997604653458603</v>
      </c>
      <c r="M4931">
        <v>0.49315068493150699</v>
      </c>
      <c r="N4931">
        <v>1</v>
      </c>
      <c r="O4931">
        <v>0.66210045662100503</v>
      </c>
      <c r="P4931" t="s">
        <v>10334</v>
      </c>
      <c r="Q4931" t="s">
        <v>10335</v>
      </c>
      <c r="R4931" t="s">
        <v>2071</v>
      </c>
      <c r="S4931" t="s">
        <v>2072</v>
      </c>
      <c r="V4931" t="s">
        <v>10336</v>
      </c>
      <c r="W4931" t="s">
        <v>10337</v>
      </c>
      <c r="AF4931" t="s">
        <v>10338</v>
      </c>
    </row>
    <row r="4932" spans="1:32" hidden="1" x14ac:dyDescent="0.35">
      <c r="A4932">
        <v>4931</v>
      </c>
      <c r="B4932" t="s">
        <v>10333</v>
      </c>
      <c r="C4932" t="s">
        <v>10127</v>
      </c>
      <c r="D4932" t="s">
        <v>45</v>
      </c>
      <c r="E4932">
        <v>1443</v>
      </c>
      <c r="F4932">
        <v>4</v>
      </c>
      <c r="G4932">
        <v>4</v>
      </c>
      <c r="H4932">
        <v>1</v>
      </c>
      <c r="I4932">
        <v>0</v>
      </c>
      <c r="J4932">
        <v>0.78825475599669104</v>
      </c>
      <c r="K4932">
        <v>0.92218417047184098</v>
      </c>
      <c r="L4932">
        <v>0.84997604653458603</v>
      </c>
      <c r="M4932">
        <v>0.49315068493150699</v>
      </c>
      <c r="N4932">
        <v>1</v>
      </c>
      <c r="O4932">
        <v>0.66210045662100503</v>
      </c>
      <c r="P4932" t="s">
        <v>10334</v>
      </c>
      <c r="Q4932" t="s">
        <v>10335</v>
      </c>
      <c r="R4932" t="s">
        <v>2071</v>
      </c>
      <c r="S4932" t="s">
        <v>2072</v>
      </c>
      <c r="V4932" t="s">
        <v>10336</v>
      </c>
      <c r="W4932" t="s">
        <v>10337</v>
      </c>
      <c r="AF4932" t="s">
        <v>10338</v>
      </c>
    </row>
    <row r="4933" spans="1:32" hidden="1" x14ac:dyDescent="0.35">
      <c r="A4933">
        <v>4932</v>
      </c>
      <c r="B4933" t="s">
        <v>10339</v>
      </c>
      <c r="C4933" t="s">
        <v>10127</v>
      </c>
      <c r="D4933" t="s">
        <v>60</v>
      </c>
      <c r="E4933">
        <v>2184</v>
      </c>
      <c r="F4933">
        <v>4</v>
      </c>
      <c r="G4933">
        <v>4</v>
      </c>
      <c r="H4933">
        <v>1</v>
      </c>
      <c r="I4933">
        <v>0</v>
      </c>
      <c r="J4933">
        <v>0.76520994001713805</v>
      </c>
      <c r="K4933">
        <v>0.940882964843611</v>
      </c>
      <c r="L4933">
        <v>0.84400209981518004</v>
      </c>
      <c r="M4933">
        <v>0.53623188405797095</v>
      </c>
      <c r="N4933">
        <v>1</v>
      </c>
      <c r="O4933">
        <v>0.688405797101449</v>
      </c>
      <c r="P4933" t="s">
        <v>10340</v>
      </c>
      <c r="Q4933" t="s">
        <v>10341</v>
      </c>
      <c r="AF4933" t="s">
        <v>10342</v>
      </c>
    </row>
    <row r="4934" spans="1:32" hidden="1" x14ac:dyDescent="0.35">
      <c r="A4934">
        <v>4933</v>
      </c>
      <c r="B4934" t="s">
        <v>10339</v>
      </c>
      <c r="C4934" t="s">
        <v>10127</v>
      </c>
      <c r="D4934" t="s">
        <v>62</v>
      </c>
      <c r="E4934">
        <v>2218</v>
      </c>
      <c r="F4934">
        <v>4</v>
      </c>
      <c r="G4934">
        <v>4</v>
      </c>
      <c r="H4934">
        <v>1</v>
      </c>
      <c r="I4934">
        <v>0</v>
      </c>
      <c r="J4934">
        <v>0.76520994001713805</v>
      </c>
      <c r="K4934">
        <v>0.940882964843611</v>
      </c>
      <c r="L4934">
        <v>0.84400209981518004</v>
      </c>
      <c r="M4934">
        <v>0.53623188405797095</v>
      </c>
      <c r="N4934">
        <v>1</v>
      </c>
      <c r="O4934">
        <v>0.688405797101449</v>
      </c>
      <c r="P4934" t="s">
        <v>10340</v>
      </c>
      <c r="Q4934" t="s">
        <v>10341</v>
      </c>
      <c r="AF4934" t="s">
        <v>10342</v>
      </c>
    </row>
    <row r="4935" spans="1:32" hidden="1" x14ac:dyDescent="0.35">
      <c r="A4935">
        <v>4934</v>
      </c>
      <c r="B4935" t="s">
        <v>10339</v>
      </c>
      <c r="C4935" t="s">
        <v>10127</v>
      </c>
      <c r="D4935" t="s">
        <v>34</v>
      </c>
      <c r="E4935">
        <v>1010</v>
      </c>
      <c r="F4935">
        <v>4</v>
      </c>
      <c r="G4935">
        <v>4</v>
      </c>
      <c r="H4935">
        <v>1</v>
      </c>
      <c r="I4935">
        <v>0</v>
      </c>
      <c r="J4935">
        <v>0.76520994001713805</v>
      </c>
      <c r="K4935">
        <v>0.940882964843611</v>
      </c>
      <c r="L4935">
        <v>0.84400209981518004</v>
      </c>
      <c r="M4935">
        <v>0.53623188405797095</v>
      </c>
      <c r="N4935">
        <v>1</v>
      </c>
      <c r="O4935">
        <v>0.688405797101449</v>
      </c>
      <c r="P4935" t="s">
        <v>10340</v>
      </c>
      <c r="Q4935" t="s">
        <v>10341</v>
      </c>
      <c r="AF4935" t="e">
        <f>--MSNDIIHVITRLFWAVDHHDWDALPKVLGKEVLLDYGEPATLTPTDIVSMWRPLFTALDAHQHLVGNHLVTASGNAATVTASFIATHQYAGETWTLGGDYEFRLLDD-AGWRITAMTMTPVWQTGPADLIQRATSN</f>
        <v>#NAME?</v>
      </c>
    </row>
    <row r="4936" spans="1:32" hidden="1" x14ac:dyDescent="0.35">
      <c r="A4936">
        <v>4935</v>
      </c>
      <c r="B4936" t="s">
        <v>10339</v>
      </c>
      <c r="C4936" t="s">
        <v>10127</v>
      </c>
      <c r="D4936" t="s">
        <v>45</v>
      </c>
      <c r="E4936">
        <v>2264</v>
      </c>
      <c r="F4936">
        <v>4</v>
      </c>
      <c r="G4936">
        <v>4</v>
      </c>
      <c r="H4936">
        <v>1</v>
      </c>
      <c r="I4936">
        <v>0</v>
      </c>
      <c r="J4936">
        <v>0.76520994001713805</v>
      </c>
      <c r="K4936">
        <v>0.940882964843611</v>
      </c>
      <c r="L4936">
        <v>0.84400209981518004</v>
      </c>
      <c r="M4936">
        <v>0.53623188405797095</v>
      </c>
      <c r="N4936">
        <v>1</v>
      </c>
      <c r="O4936">
        <v>0.688405797101449</v>
      </c>
      <c r="P4936" t="s">
        <v>10340</v>
      </c>
      <c r="Q4936" t="s">
        <v>10341</v>
      </c>
      <c r="AF4936" t="e">
        <f>--MSNDIIHAITRLFWAVDHHDWDALPKVLGKEVLLDYGEPATLTPTDIVSMWQPLFTALDAHQHLVGNHLVTASGNAATVTASFIATHQYAGETWTLGGDYEFRLLND-AGWRITAMTMTPVWQTGPADLIQRATGN</f>
        <v>#NAME?</v>
      </c>
    </row>
    <row r="4937" spans="1:32" hidden="1" x14ac:dyDescent="0.35">
      <c r="A4937">
        <v>4652</v>
      </c>
      <c r="B4937" t="s">
        <v>9712</v>
      </c>
      <c r="C4937" t="s">
        <v>10127</v>
      </c>
      <c r="D4937" t="s">
        <v>34</v>
      </c>
      <c r="E4937">
        <v>1987</v>
      </c>
      <c r="F4937">
        <v>5</v>
      </c>
      <c r="G4937">
        <v>5</v>
      </c>
      <c r="H4937">
        <v>1</v>
      </c>
      <c r="I4937">
        <v>1</v>
      </c>
      <c r="J4937">
        <v>0.76650286650286603</v>
      </c>
      <c r="K4937">
        <v>0.93828274802691003</v>
      </c>
      <c r="L4937">
        <v>0.84373825051449203</v>
      </c>
      <c r="M4937">
        <v>0.54482758620689697</v>
      </c>
      <c r="N4937">
        <v>0.99770114942528698</v>
      </c>
      <c r="O4937">
        <v>0.65448275862069005</v>
      </c>
      <c r="P4937" t="s">
        <v>4358</v>
      </c>
      <c r="Q4937" t="s">
        <v>4359</v>
      </c>
      <c r="R4937" t="s">
        <v>342</v>
      </c>
      <c r="S4937" t="s">
        <v>343</v>
      </c>
      <c r="T4937" t="s">
        <v>9713</v>
      </c>
      <c r="U4937" t="s">
        <v>9714</v>
      </c>
      <c r="V4937" t="s">
        <v>9715</v>
      </c>
      <c r="W4937" t="s">
        <v>9716</v>
      </c>
      <c r="AD4937" t="s">
        <v>166</v>
      </c>
      <c r="AE4937" t="s">
        <v>9717</v>
      </c>
      <c r="AF4937" t="s">
        <v>9721</v>
      </c>
    </row>
    <row r="4938" spans="1:32" hidden="1" x14ac:dyDescent="0.35">
      <c r="A4938">
        <v>4653</v>
      </c>
      <c r="B4938" t="s">
        <v>9712</v>
      </c>
      <c r="C4938" t="s">
        <v>10127</v>
      </c>
      <c r="D4938" t="s">
        <v>45</v>
      </c>
      <c r="E4938">
        <v>886</v>
      </c>
      <c r="F4938">
        <v>5</v>
      </c>
      <c r="G4938">
        <v>5</v>
      </c>
      <c r="H4938">
        <v>1</v>
      </c>
      <c r="I4938">
        <v>1</v>
      </c>
      <c r="J4938">
        <v>0.76650286650286603</v>
      </c>
      <c r="K4938">
        <v>0.93828274802691003</v>
      </c>
      <c r="L4938">
        <v>0.84373825051449203</v>
      </c>
      <c r="M4938">
        <v>0.54482758620689697</v>
      </c>
      <c r="N4938">
        <v>0.99770114942528698</v>
      </c>
      <c r="O4938">
        <v>0.65448275862069005</v>
      </c>
      <c r="P4938" t="s">
        <v>4358</v>
      </c>
      <c r="Q4938" t="s">
        <v>4359</v>
      </c>
      <c r="R4938" t="s">
        <v>342</v>
      </c>
      <c r="S4938" t="s">
        <v>343</v>
      </c>
      <c r="T4938" t="s">
        <v>9713</v>
      </c>
      <c r="U4938" t="s">
        <v>9714</v>
      </c>
      <c r="V4938" t="s">
        <v>9715</v>
      </c>
      <c r="W4938" t="s">
        <v>9716</v>
      </c>
      <c r="AD4938" t="s">
        <v>166</v>
      </c>
      <c r="AE4938" t="s">
        <v>9717</v>
      </c>
      <c r="AF4938" t="s">
        <v>9722</v>
      </c>
    </row>
    <row r="4939" spans="1:32" hidden="1" x14ac:dyDescent="0.35">
      <c r="A4939">
        <v>4868</v>
      </c>
      <c r="B4939" t="s">
        <v>10195</v>
      </c>
      <c r="C4939" t="s">
        <v>10127</v>
      </c>
      <c r="D4939" t="s">
        <v>60</v>
      </c>
      <c r="E4939">
        <v>1489</v>
      </c>
      <c r="F4939">
        <v>4</v>
      </c>
      <c r="G4939">
        <v>4</v>
      </c>
      <c r="H4939">
        <v>1</v>
      </c>
      <c r="I4939">
        <v>0</v>
      </c>
      <c r="J4939">
        <v>0.86053815465580197</v>
      </c>
      <c r="K4939">
        <v>0.98871183001129304</v>
      </c>
      <c r="L4939">
        <v>0.92018305879553197</v>
      </c>
      <c r="M4939">
        <v>0.71903323262839902</v>
      </c>
      <c r="N4939">
        <v>1</v>
      </c>
      <c r="O4939">
        <v>0.81294058408862002</v>
      </c>
      <c r="P4939" t="s">
        <v>10196</v>
      </c>
      <c r="Q4939" t="s">
        <v>10197</v>
      </c>
      <c r="R4939" t="s">
        <v>342</v>
      </c>
      <c r="S4939" t="s">
        <v>343</v>
      </c>
      <c r="T4939" t="s">
        <v>10198</v>
      </c>
      <c r="U4939" t="s">
        <v>10199</v>
      </c>
      <c r="V4939" t="s">
        <v>10200</v>
      </c>
      <c r="W4939" t="s">
        <v>10201</v>
      </c>
      <c r="AD4939" t="s">
        <v>166</v>
      </c>
      <c r="AE4939" t="s">
        <v>10202</v>
      </c>
      <c r="AF4939" t="s">
        <v>10203</v>
      </c>
    </row>
    <row r="4940" spans="1:32" hidden="1" x14ac:dyDescent="0.35">
      <c r="A4940">
        <v>4869</v>
      </c>
      <c r="B4940" t="s">
        <v>10195</v>
      </c>
      <c r="C4940" t="s">
        <v>10127</v>
      </c>
      <c r="D4940" t="s">
        <v>62</v>
      </c>
      <c r="E4940">
        <v>1524</v>
      </c>
      <c r="F4940">
        <v>4</v>
      </c>
      <c r="G4940">
        <v>4</v>
      </c>
      <c r="H4940">
        <v>1</v>
      </c>
      <c r="I4940">
        <v>0</v>
      </c>
      <c r="J4940">
        <v>0.86053815465580197</v>
      </c>
      <c r="K4940">
        <v>0.98871183001129304</v>
      </c>
      <c r="L4940">
        <v>0.92018305879553197</v>
      </c>
      <c r="M4940">
        <v>0.71903323262839902</v>
      </c>
      <c r="N4940">
        <v>1</v>
      </c>
      <c r="O4940">
        <v>0.81294058408862002</v>
      </c>
      <c r="P4940" t="s">
        <v>10196</v>
      </c>
      <c r="Q4940" t="s">
        <v>10197</v>
      </c>
      <c r="R4940" t="s">
        <v>342</v>
      </c>
      <c r="S4940" t="s">
        <v>343</v>
      </c>
      <c r="T4940" t="s">
        <v>10198</v>
      </c>
      <c r="U4940" t="s">
        <v>10199</v>
      </c>
      <c r="V4940" t="s">
        <v>10200</v>
      </c>
      <c r="W4940" t="s">
        <v>10201</v>
      </c>
      <c r="AD4940" t="s">
        <v>166</v>
      </c>
      <c r="AE4940" t="s">
        <v>10202</v>
      </c>
      <c r="AF4940" t="s">
        <v>10203</v>
      </c>
    </row>
    <row r="4941" spans="1:32" hidden="1" x14ac:dyDescent="0.35">
      <c r="A4941">
        <v>4940</v>
      </c>
      <c r="B4941" t="s">
        <v>10348</v>
      </c>
      <c r="C4941" t="s">
        <v>10127</v>
      </c>
      <c r="D4941" t="s">
        <v>60</v>
      </c>
      <c r="E4941">
        <v>2155</v>
      </c>
      <c r="F4941">
        <v>4</v>
      </c>
      <c r="G4941">
        <v>4</v>
      </c>
      <c r="H4941">
        <v>1</v>
      </c>
      <c r="I4941">
        <v>0</v>
      </c>
      <c r="J4941">
        <v>0.78056251740462301</v>
      </c>
      <c r="K4941">
        <v>0.98764839170484398</v>
      </c>
      <c r="L4941">
        <v>0.87197891492256796</v>
      </c>
      <c r="M4941">
        <v>0.56435643564356397</v>
      </c>
      <c r="N4941">
        <v>1</v>
      </c>
      <c r="O4941">
        <v>0.70957095709571005</v>
      </c>
      <c r="P4941" t="s">
        <v>2574</v>
      </c>
      <c r="Q4941" t="s">
        <v>2575</v>
      </c>
      <c r="R4941" t="s">
        <v>1498</v>
      </c>
      <c r="S4941" t="s">
        <v>1499</v>
      </c>
      <c r="T4941" t="s">
        <v>10349</v>
      </c>
      <c r="U4941" t="s">
        <v>10350</v>
      </c>
      <c r="V4941" t="s">
        <v>1500</v>
      </c>
      <c r="W4941" t="s">
        <v>1501</v>
      </c>
      <c r="AD4941" t="s">
        <v>1829</v>
      </c>
      <c r="AE4941" t="s">
        <v>10351</v>
      </c>
      <c r="AF4941" t="e">
        <f>-MITLLIADDQALVRGALAALLNLEKDLQVVAEVGSGTEIVAAALKAHVDVALIDIEMPGMDGITATQALTDALPTCATIIVTTFGRPGYLKRAVAAGAKGFLVKDTPPHLLADAIRRVHSGLRAIDPDLAEQSLFMPDNPLTAREMDICRAALKASSITDIAAQVGLSAGTVRNHLSAIIAKTQARNHHDAVYLAQENGWL</f>
        <v>#NAME?</v>
      </c>
    </row>
    <row r="4942" spans="1:32" hidden="1" x14ac:dyDescent="0.35">
      <c r="A4942">
        <v>4941</v>
      </c>
      <c r="B4942" t="s">
        <v>10348</v>
      </c>
      <c r="C4942" t="s">
        <v>10127</v>
      </c>
      <c r="D4942" t="s">
        <v>62</v>
      </c>
      <c r="E4942">
        <v>2189</v>
      </c>
      <c r="F4942">
        <v>4</v>
      </c>
      <c r="G4942">
        <v>4</v>
      </c>
      <c r="H4942">
        <v>1</v>
      </c>
      <c r="I4942">
        <v>0</v>
      </c>
      <c r="J4942">
        <v>0.78056251740462301</v>
      </c>
      <c r="K4942">
        <v>0.98764839170484398</v>
      </c>
      <c r="L4942">
        <v>0.87197891492256796</v>
      </c>
      <c r="M4942">
        <v>0.56435643564356397</v>
      </c>
      <c r="N4942">
        <v>1</v>
      </c>
      <c r="O4942">
        <v>0.70957095709571005</v>
      </c>
      <c r="P4942" t="s">
        <v>2574</v>
      </c>
      <c r="Q4942" t="s">
        <v>2575</v>
      </c>
      <c r="R4942" t="s">
        <v>1498</v>
      </c>
      <c r="S4942" t="s">
        <v>1499</v>
      </c>
      <c r="T4942" t="s">
        <v>10349</v>
      </c>
      <c r="U4942" t="s">
        <v>10350</v>
      </c>
      <c r="V4942" t="s">
        <v>1500</v>
      </c>
      <c r="W4942" t="s">
        <v>1501</v>
      </c>
      <c r="AD4942" t="s">
        <v>1829</v>
      </c>
      <c r="AE4942" t="s">
        <v>10351</v>
      </c>
      <c r="AF4942" t="e">
        <f>-MITLLIADDQALVRGALAALLNLEKDLQVVAEVGSGTEIVAAALKAHVDVALIDIEMPGMDGITATQALTDALPTCATIIVTTFGRPGYLKRAVAAGAKGFLVKDTPPHLLADAIRRVHSGLRAIDPDLAEQSLFMPDNPLTAREMDICRAALKASSITDIAAQVGLSAGTVRNHLSAIIAKTQARNHHDAVYLAQENGWL</f>
        <v>#NAME?</v>
      </c>
    </row>
    <row r="4943" spans="1:32" hidden="1" x14ac:dyDescent="0.35">
      <c r="A4943">
        <v>4942</v>
      </c>
      <c r="B4943" t="s">
        <v>10348</v>
      </c>
      <c r="C4943" t="s">
        <v>10127</v>
      </c>
      <c r="D4943" t="s">
        <v>34</v>
      </c>
      <c r="E4943">
        <v>2335</v>
      </c>
      <c r="F4943">
        <v>4</v>
      </c>
      <c r="G4943">
        <v>4</v>
      </c>
      <c r="H4943">
        <v>1</v>
      </c>
      <c r="I4943">
        <v>0</v>
      </c>
      <c r="J4943">
        <v>0.78056251740462301</v>
      </c>
      <c r="K4943">
        <v>0.98764839170484398</v>
      </c>
      <c r="L4943">
        <v>0.87197891492256796</v>
      </c>
      <c r="M4943">
        <v>0.56435643564356397</v>
      </c>
      <c r="N4943">
        <v>1</v>
      </c>
      <c r="O4943">
        <v>0.70957095709571005</v>
      </c>
      <c r="P4943" t="s">
        <v>2574</v>
      </c>
      <c r="Q4943" t="s">
        <v>2575</v>
      </c>
      <c r="R4943" t="s">
        <v>1498</v>
      </c>
      <c r="S4943" t="s">
        <v>1499</v>
      </c>
      <c r="T4943" t="s">
        <v>10349</v>
      </c>
      <c r="U4943" t="s">
        <v>10350</v>
      </c>
      <c r="V4943" t="s">
        <v>1500</v>
      </c>
      <c r="W4943" t="s">
        <v>1501</v>
      </c>
      <c r="AD4943" t="s">
        <v>1829</v>
      </c>
      <c r="AE4943" t="s">
        <v>10351</v>
      </c>
      <c r="AF4943" t="s">
        <v>10352</v>
      </c>
    </row>
    <row r="4944" spans="1:32" hidden="1" x14ac:dyDescent="0.35">
      <c r="A4944">
        <v>4943</v>
      </c>
      <c r="B4944" t="s">
        <v>10348</v>
      </c>
      <c r="C4944" t="s">
        <v>10127</v>
      </c>
      <c r="D4944" t="s">
        <v>45</v>
      </c>
      <c r="E4944">
        <v>544</v>
      </c>
      <c r="F4944">
        <v>4</v>
      </c>
      <c r="G4944">
        <v>4</v>
      </c>
      <c r="H4944">
        <v>1</v>
      </c>
      <c r="I4944">
        <v>0</v>
      </c>
      <c r="J4944">
        <v>0.78056251740462301</v>
      </c>
      <c r="K4944">
        <v>0.98764839170484398</v>
      </c>
      <c r="L4944">
        <v>0.87197891492256796</v>
      </c>
      <c r="M4944">
        <v>0.56435643564356397</v>
      </c>
      <c r="N4944">
        <v>1</v>
      </c>
      <c r="O4944">
        <v>0.70957095709571005</v>
      </c>
      <c r="P4944" t="s">
        <v>2574</v>
      </c>
      <c r="Q4944" t="s">
        <v>2575</v>
      </c>
      <c r="R4944" t="s">
        <v>1498</v>
      </c>
      <c r="S4944" t="s">
        <v>1499</v>
      </c>
      <c r="T4944" t="s">
        <v>10349</v>
      </c>
      <c r="U4944" t="s">
        <v>10350</v>
      </c>
      <c r="V4944" t="s">
        <v>1500</v>
      </c>
      <c r="W4944" t="s">
        <v>1501</v>
      </c>
      <c r="AD4944" t="s">
        <v>1829</v>
      </c>
      <c r="AE4944" t="s">
        <v>10351</v>
      </c>
      <c r="AF4944" t="s">
        <v>10352</v>
      </c>
    </row>
    <row r="4945" spans="1:32" hidden="1" x14ac:dyDescent="0.35">
      <c r="A4945">
        <v>4944</v>
      </c>
      <c r="B4945" t="s">
        <v>10353</v>
      </c>
      <c r="C4945" t="s">
        <v>10127</v>
      </c>
      <c r="D4945" t="s">
        <v>60</v>
      </c>
      <c r="E4945">
        <v>331</v>
      </c>
      <c r="F4945">
        <v>4</v>
      </c>
      <c r="G4945">
        <v>4</v>
      </c>
      <c r="H4945">
        <v>1</v>
      </c>
      <c r="I4945">
        <v>0</v>
      </c>
      <c r="J4945">
        <v>0.79737335834896805</v>
      </c>
      <c r="K4945">
        <v>0.79592206287121603</v>
      </c>
      <c r="L4945">
        <v>0.79664704963456401</v>
      </c>
      <c r="M4945">
        <v>0.42372881355932202</v>
      </c>
      <c r="N4945">
        <v>1</v>
      </c>
      <c r="O4945">
        <v>0.61581920903954801</v>
      </c>
      <c r="AF4945" t="s">
        <v>10354</v>
      </c>
    </row>
    <row r="4946" spans="1:32" hidden="1" x14ac:dyDescent="0.35">
      <c r="A4946">
        <v>4945</v>
      </c>
      <c r="B4946" t="s">
        <v>10353</v>
      </c>
      <c r="C4946" t="s">
        <v>10127</v>
      </c>
      <c r="D4946" t="s">
        <v>62</v>
      </c>
      <c r="E4946">
        <v>411</v>
      </c>
      <c r="F4946">
        <v>4</v>
      </c>
      <c r="G4946">
        <v>4</v>
      </c>
      <c r="H4946">
        <v>1</v>
      </c>
      <c r="I4946">
        <v>0</v>
      </c>
      <c r="J4946">
        <v>0.79737335834896805</v>
      </c>
      <c r="K4946">
        <v>0.79592206287121603</v>
      </c>
      <c r="L4946">
        <v>0.79664704963456401</v>
      </c>
      <c r="M4946">
        <v>0.42372881355932202</v>
      </c>
      <c r="N4946">
        <v>1</v>
      </c>
      <c r="O4946">
        <v>0.61581920903954801</v>
      </c>
      <c r="AF4946" t="s">
        <v>10354</v>
      </c>
    </row>
    <row r="4947" spans="1:32" hidden="1" x14ac:dyDescent="0.35">
      <c r="A4947">
        <v>4946</v>
      </c>
      <c r="B4947" t="s">
        <v>10353</v>
      </c>
      <c r="C4947" t="s">
        <v>10127</v>
      </c>
      <c r="D4947" t="s">
        <v>34</v>
      </c>
      <c r="E4947">
        <v>831</v>
      </c>
      <c r="F4947">
        <v>4</v>
      </c>
      <c r="G4947">
        <v>4</v>
      </c>
      <c r="H4947">
        <v>1</v>
      </c>
      <c r="I4947">
        <v>0</v>
      </c>
      <c r="J4947">
        <v>0.79737335834896805</v>
      </c>
      <c r="K4947">
        <v>0.79592206287121603</v>
      </c>
      <c r="L4947">
        <v>0.79664704963456401</v>
      </c>
      <c r="M4947">
        <v>0.42372881355932202</v>
      </c>
      <c r="N4947">
        <v>1</v>
      </c>
      <c r="O4947">
        <v>0.61581920903954801</v>
      </c>
      <c r="AF4947" t="s">
        <v>10355</v>
      </c>
    </row>
    <row r="4948" spans="1:32" hidden="1" x14ac:dyDescent="0.35">
      <c r="A4948">
        <v>4947</v>
      </c>
      <c r="B4948" t="s">
        <v>10353</v>
      </c>
      <c r="C4948" t="s">
        <v>10127</v>
      </c>
      <c r="D4948" t="s">
        <v>45</v>
      </c>
      <c r="E4948">
        <v>2088</v>
      </c>
      <c r="F4948">
        <v>4</v>
      </c>
      <c r="G4948">
        <v>4</v>
      </c>
      <c r="H4948">
        <v>1</v>
      </c>
      <c r="I4948">
        <v>0</v>
      </c>
      <c r="J4948">
        <v>0.79737335834896805</v>
      </c>
      <c r="K4948">
        <v>0.79592206287121603</v>
      </c>
      <c r="L4948">
        <v>0.79664704963456401</v>
      </c>
      <c r="M4948">
        <v>0.42372881355932202</v>
      </c>
      <c r="N4948">
        <v>1</v>
      </c>
      <c r="O4948">
        <v>0.61581920903954801</v>
      </c>
      <c r="AF4948" t="s">
        <v>10355</v>
      </c>
    </row>
    <row r="4949" spans="1:32" hidden="1" x14ac:dyDescent="0.35">
      <c r="A4949">
        <v>4870</v>
      </c>
      <c r="B4949" t="s">
        <v>10195</v>
      </c>
      <c r="C4949" t="s">
        <v>10127</v>
      </c>
      <c r="D4949" t="s">
        <v>34</v>
      </c>
      <c r="E4949">
        <v>565</v>
      </c>
      <c r="F4949">
        <v>4</v>
      </c>
      <c r="G4949">
        <v>4</v>
      </c>
      <c r="H4949">
        <v>1</v>
      </c>
      <c r="I4949">
        <v>0</v>
      </c>
      <c r="J4949">
        <v>0.86053815465580197</v>
      </c>
      <c r="K4949">
        <v>0.98871183001129304</v>
      </c>
      <c r="L4949">
        <v>0.92018305879553197</v>
      </c>
      <c r="M4949">
        <v>0.71903323262839902</v>
      </c>
      <c r="N4949">
        <v>1</v>
      </c>
      <c r="O4949">
        <v>0.81294058408862002</v>
      </c>
      <c r="P4949" t="s">
        <v>10196</v>
      </c>
      <c r="Q4949" t="s">
        <v>10197</v>
      </c>
      <c r="R4949" t="s">
        <v>342</v>
      </c>
      <c r="S4949" t="s">
        <v>343</v>
      </c>
      <c r="T4949" t="s">
        <v>10198</v>
      </c>
      <c r="U4949" t="s">
        <v>10199</v>
      </c>
      <c r="V4949" t="s">
        <v>10200</v>
      </c>
      <c r="W4949" t="s">
        <v>10201</v>
      </c>
      <c r="AD4949" t="s">
        <v>166</v>
      </c>
      <c r="AE4949" t="s">
        <v>10202</v>
      </c>
      <c r="AF4949" t="s">
        <v>10204</v>
      </c>
    </row>
    <row r="4950" spans="1:32" hidden="1" x14ac:dyDescent="0.35">
      <c r="A4950">
        <v>4871</v>
      </c>
      <c r="B4950" t="s">
        <v>10195</v>
      </c>
      <c r="C4950" t="s">
        <v>10127</v>
      </c>
      <c r="D4950" t="s">
        <v>45</v>
      </c>
      <c r="E4950">
        <v>1831</v>
      </c>
      <c r="F4950">
        <v>4</v>
      </c>
      <c r="G4950">
        <v>4</v>
      </c>
      <c r="H4950">
        <v>1</v>
      </c>
      <c r="I4950">
        <v>0</v>
      </c>
      <c r="J4950">
        <v>0.86053815465580197</v>
      </c>
      <c r="K4950">
        <v>0.98871183001129304</v>
      </c>
      <c r="L4950">
        <v>0.92018305879553197</v>
      </c>
      <c r="M4950">
        <v>0.71903323262839902</v>
      </c>
      <c r="N4950">
        <v>1</v>
      </c>
      <c r="O4950">
        <v>0.81294058408862002</v>
      </c>
      <c r="P4950" t="s">
        <v>10196</v>
      </c>
      <c r="Q4950" t="s">
        <v>10197</v>
      </c>
      <c r="R4950" t="s">
        <v>342</v>
      </c>
      <c r="S4950" t="s">
        <v>343</v>
      </c>
      <c r="T4950" t="s">
        <v>10198</v>
      </c>
      <c r="U4950" t="s">
        <v>10199</v>
      </c>
      <c r="V4950" t="s">
        <v>10200</v>
      </c>
      <c r="W4950" t="s">
        <v>10201</v>
      </c>
      <c r="AD4950" t="s">
        <v>166</v>
      </c>
      <c r="AE4950" t="s">
        <v>10202</v>
      </c>
      <c r="AF4950" t="s">
        <v>10204</v>
      </c>
    </row>
    <row r="4951" spans="1:32" hidden="1" x14ac:dyDescent="0.35">
      <c r="A4951">
        <v>5304</v>
      </c>
      <c r="B4951" t="s">
        <v>11006</v>
      </c>
      <c r="C4951" t="s">
        <v>10127</v>
      </c>
      <c r="D4951" t="s">
        <v>60</v>
      </c>
      <c r="E4951">
        <v>1091</v>
      </c>
      <c r="F4951">
        <v>4</v>
      </c>
      <c r="G4951">
        <v>4</v>
      </c>
      <c r="H4951">
        <v>1</v>
      </c>
      <c r="I4951">
        <v>0</v>
      </c>
      <c r="J4951">
        <v>0.84639537804571696</v>
      </c>
      <c r="K4951">
        <v>0.98529138827023199</v>
      </c>
      <c r="L4951">
        <v>0.91057717115844905</v>
      </c>
      <c r="M4951">
        <v>0.68151447661469899</v>
      </c>
      <c r="N4951">
        <v>1</v>
      </c>
      <c r="O4951">
        <v>0.78062360801781705</v>
      </c>
      <c r="P4951" t="s">
        <v>4358</v>
      </c>
      <c r="Q4951" t="s">
        <v>4359</v>
      </c>
      <c r="R4951" t="s">
        <v>342</v>
      </c>
      <c r="S4951" t="s">
        <v>343</v>
      </c>
      <c r="T4951" t="s">
        <v>11007</v>
      </c>
      <c r="U4951" t="s">
        <v>11008</v>
      </c>
      <c r="V4951" t="s">
        <v>9715</v>
      </c>
      <c r="W4951" t="s">
        <v>9716</v>
      </c>
      <c r="Z4951" t="s">
        <v>11009</v>
      </c>
      <c r="AA4951" t="s">
        <v>11010</v>
      </c>
      <c r="AB4951" t="s">
        <v>11009</v>
      </c>
      <c r="AC4951" t="s">
        <v>11011</v>
      </c>
      <c r="AD4951" t="s">
        <v>439</v>
      </c>
      <c r="AE4951" t="s">
        <v>11012</v>
      </c>
      <c r="AF4951" t="s">
        <v>11013</v>
      </c>
    </row>
    <row r="4952" spans="1:32" hidden="1" x14ac:dyDescent="0.35">
      <c r="A4952">
        <v>5305</v>
      </c>
      <c r="B4952" t="s">
        <v>11006</v>
      </c>
      <c r="C4952" t="s">
        <v>10127</v>
      </c>
      <c r="D4952" t="s">
        <v>62</v>
      </c>
      <c r="E4952">
        <v>1127</v>
      </c>
      <c r="F4952">
        <v>4</v>
      </c>
      <c r="G4952">
        <v>4</v>
      </c>
      <c r="H4952">
        <v>1</v>
      </c>
      <c r="I4952">
        <v>0</v>
      </c>
      <c r="J4952">
        <v>0.84639537804571696</v>
      </c>
      <c r="K4952">
        <v>0.98529138827023199</v>
      </c>
      <c r="L4952">
        <v>0.91057717115844905</v>
      </c>
      <c r="M4952">
        <v>0.68151447661469899</v>
      </c>
      <c r="N4952">
        <v>1</v>
      </c>
      <c r="O4952">
        <v>0.78062360801781705</v>
      </c>
      <c r="P4952" t="s">
        <v>4358</v>
      </c>
      <c r="Q4952" t="s">
        <v>4359</v>
      </c>
      <c r="R4952" t="s">
        <v>342</v>
      </c>
      <c r="S4952" t="s">
        <v>343</v>
      </c>
      <c r="T4952" t="s">
        <v>11007</v>
      </c>
      <c r="U4952" t="s">
        <v>11008</v>
      </c>
      <c r="V4952" t="s">
        <v>9715</v>
      </c>
      <c r="W4952" t="s">
        <v>9716</v>
      </c>
      <c r="Z4952" t="s">
        <v>11009</v>
      </c>
      <c r="AA4952" t="s">
        <v>11010</v>
      </c>
      <c r="AB4952" t="s">
        <v>11009</v>
      </c>
      <c r="AC4952" t="s">
        <v>11011</v>
      </c>
      <c r="AD4952" t="s">
        <v>439</v>
      </c>
      <c r="AE4952" t="s">
        <v>11012</v>
      </c>
      <c r="AF4952" t="s">
        <v>11014</v>
      </c>
    </row>
    <row r="4953" spans="1:32" hidden="1" x14ac:dyDescent="0.35">
      <c r="A4953">
        <v>4952</v>
      </c>
      <c r="B4953" t="s">
        <v>10368</v>
      </c>
      <c r="C4953" t="s">
        <v>10127</v>
      </c>
      <c r="D4953" t="s">
        <v>60</v>
      </c>
      <c r="E4953">
        <v>1088</v>
      </c>
      <c r="F4953">
        <v>4</v>
      </c>
      <c r="G4953">
        <v>4</v>
      </c>
      <c r="H4953">
        <v>1</v>
      </c>
      <c r="I4953">
        <v>0</v>
      </c>
      <c r="J4953">
        <v>0.779809802487198</v>
      </c>
      <c r="K4953">
        <v>0.98211486789072799</v>
      </c>
      <c r="L4953">
        <v>0.86934795116449004</v>
      </c>
      <c r="M4953">
        <v>0.56034482758620696</v>
      </c>
      <c r="N4953">
        <v>1</v>
      </c>
      <c r="O4953">
        <v>0.70617816091954</v>
      </c>
      <c r="P4953" t="s">
        <v>10369</v>
      </c>
      <c r="Q4953" t="s">
        <v>10370</v>
      </c>
      <c r="R4953" t="s">
        <v>10371</v>
      </c>
      <c r="S4953" t="s">
        <v>10372</v>
      </c>
      <c r="T4953" t="s">
        <v>10373</v>
      </c>
      <c r="U4953" t="s">
        <v>10374</v>
      </c>
      <c r="V4953" t="s">
        <v>10375</v>
      </c>
      <c r="W4953" t="s">
        <v>10376</v>
      </c>
      <c r="AD4953" t="s">
        <v>410</v>
      </c>
      <c r="AE4953" t="s">
        <v>4657</v>
      </c>
      <c r="AF4953" t="e">
        <f>---MKRTHTGVVPDDSIPAVQMTEQQRQVLYMAASVLLDYPDEHLAEKIAAVESQLDMLSLPVQAELAAFLDAVRVLGPRGIEEHYVETFDQRRRCSLFLSYYAVGDTRQRGAAIVAFRQQLEALGFEQVRDELPDHLCVVLEAAALSSGAAHVTATEILSAHRDGLEVLRAALEGLHSPFAHLIRAVCMSLPPIDQETADRYLDLITSGPPTELVGLGSPLPFPTTNPDQS</f>
        <v>#NAME?</v>
      </c>
    </row>
    <row r="4954" spans="1:32" hidden="1" x14ac:dyDescent="0.35">
      <c r="A4954">
        <v>4953</v>
      </c>
      <c r="B4954" t="s">
        <v>10368</v>
      </c>
      <c r="C4954" t="s">
        <v>10127</v>
      </c>
      <c r="D4954" t="s">
        <v>62</v>
      </c>
      <c r="E4954">
        <v>1124</v>
      </c>
      <c r="F4954">
        <v>4</v>
      </c>
      <c r="G4954">
        <v>4</v>
      </c>
      <c r="H4954">
        <v>1</v>
      </c>
      <c r="I4954">
        <v>0</v>
      </c>
      <c r="J4954">
        <v>0.779809802487198</v>
      </c>
      <c r="K4954">
        <v>0.98211486789072799</v>
      </c>
      <c r="L4954">
        <v>0.86934795116449004</v>
      </c>
      <c r="M4954">
        <v>0.56034482758620696</v>
      </c>
      <c r="N4954">
        <v>1</v>
      </c>
      <c r="O4954">
        <v>0.70617816091954</v>
      </c>
      <c r="P4954" t="s">
        <v>10369</v>
      </c>
      <c r="Q4954" t="s">
        <v>10370</v>
      </c>
      <c r="R4954" t="s">
        <v>10371</v>
      </c>
      <c r="S4954" t="s">
        <v>10372</v>
      </c>
      <c r="T4954" t="s">
        <v>10373</v>
      </c>
      <c r="U4954" t="s">
        <v>10374</v>
      </c>
      <c r="V4954" t="s">
        <v>10375</v>
      </c>
      <c r="W4954" t="s">
        <v>10376</v>
      </c>
      <c r="AD4954" t="s">
        <v>410</v>
      </c>
      <c r="AE4954" t="s">
        <v>4657</v>
      </c>
      <c r="AF4954" t="e">
        <f>---MKRTHTGVVPDDSIPAVQMTEQQRQVLYMAASVLLDYPDEHLAEKIAAVESQLDMLSLPVQAELAAFLDAVRVLGPRGIEEHYVETFDQRRRCSLFLSYYAVGDTRQRGAAIVAFRQQLEALGFEQVRDELPDHLCVVLEAAALSSGAAHVTATEILSAHRDGLEVLRAALEGLHSPFAHLIRAVCMSLPPIDQETADRYLDLITSGPPTELVGLGSPLPFPTTNPDQS</f>
        <v>#NAME?</v>
      </c>
    </row>
    <row r="4955" spans="1:32" hidden="1" x14ac:dyDescent="0.35">
      <c r="A4955">
        <v>4954</v>
      </c>
      <c r="B4955" t="s">
        <v>10368</v>
      </c>
      <c r="C4955" t="s">
        <v>10127</v>
      </c>
      <c r="D4955" t="s">
        <v>34</v>
      </c>
      <c r="E4955">
        <v>160</v>
      </c>
      <c r="F4955">
        <v>4</v>
      </c>
      <c r="G4955">
        <v>4</v>
      </c>
      <c r="H4955">
        <v>1</v>
      </c>
      <c r="I4955">
        <v>0</v>
      </c>
      <c r="J4955">
        <v>0.779809802487198</v>
      </c>
      <c r="K4955">
        <v>0.98211486789072799</v>
      </c>
      <c r="L4955">
        <v>0.86934795116449004</v>
      </c>
      <c r="M4955">
        <v>0.56034482758620696</v>
      </c>
      <c r="N4955">
        <v>1</v>
      </c>
      <c r="O4955">
        <v>0.70617816091954</v>
      </c>
      <c r="P4955" t="s">
        <v>10369</v>
      </c>
      <c r="Q4955" t="s">
        <v>10370</v>
      </c>
      <c r="R4955" t="s">
        <v>10371</v>
      </c>
      <c r="S4955" t="s">
        <v>10372</v>
      </c>
      <c r="T4955" t="s">
        <v>10373</v>
      </c>
      <c r="U4955" t="s">
        <v>10374</v>
      </c>
      <c r="V4955" t="s">
        <v>10375</v>
      </c>
      <c r="W4955" t="s">
        <v>10376</v>
      </c>
      <c r="AD4955" t="s">
        <v>410</v>
      </c>
      <c r="AE4955" t="s">
        <v>4657</v>
      </c>
      <c r="AF4955" t="s">
        <v>10377</v>
      </c>
    </row>
    <row r="4956" spans="1:32" hidden="1" x14ac:dyDescent="0.35">
      <c r="A4956">
        <v>4955</v>
      </c>
      <c r="B4956" t="s">
        <v>10368</v>
      </c>
      <c r="C4956" t="s">
        <v>10127</v>
      </c>
      <c r="D4956" t="s">
        <v>45</v>
      </c>
      <c r="E4956">
        <v>1421</v>
      </c>
      <c r="F4956">
        <v>4</v>
      </c>
      <c r="G4956">
        <v>4</v>
      </c>
      <c r="H4956">
        <v>1</v>
      </c>
      <c r="I4956">
        <v>0</v>
      </c>
      <c r="J4956">
        <v>0.779809802487198</v>
      </c>
      <c r="K4956">
        <v>0.98211486789072799</v>
      </c>
      <c r="L4956">
        <v>0.86934795116449004</v>
      </c>
      <c r="M4956">
        <v>0.56034482758620696</v>
      </c>
      <c r="N4956">
        <v>1</v>
      </c>
      <c r="O4956">
        <v>0.70617816091954</v>
      </c>
      <c r="P4956" t="s">
        <v>10369</v>
      </c>
      <c r="Q4956" t="s">
        <v>10370</v>
      </c>
      <c r="R4956" t="s">
        <v>10371</v>
      </c>
      <c r="S4956" t="s">
        <v>10372</v>
      </c>
      <c r="T4956" t="s">
        <v>10373</v>
      </c>
      <c r="U4956" t="s">
        <v>10374</v>
      </c>
      <c r="V4956" t="s">
        <v>10375</v>
      </c>
      <c r="W4956" t="s">
        <v>10376</v>
      </c>
      <c r="AD4956" t="s">
        <v>410</v>
      </c>
      <c r="AE4956" t="s">
        <v>4657</v>
      </c>
      <c r="AF4956" t="s">
        <v>10378</v>
      </c>
    </row>
    <row r="4957" spans="1:32" hidden="1" x14ac:dyDescent="0.35">
      <c r="A4957">
        <v>4956</v>
      </c>
      <c r="B4957" t="s">
        <v>10379</v>
      </c>
      <c r="C4957" t="s">
        <v>10127</v>
      </c>
      <c r="D4957" t="s">
        <v>60</v>
      </c>
      <c r="E4957">
        <v>586</v>
      </c>
      <c r="F4957">
        <v>4</v>
      </c>
      <c r="G4957">
        <v>4</v>
      </c>
      <c r="H4957">
        <v>1</v>
      </c>
      <c r="I4957">
        <v>0</v>
      </c>
      <c r="J4957">
        <v>0.75320775320775302</v>
      </c>
      <c r="K4957">
        <v>0.94383074935400602</v>
      </c>
      <c r="L4957">
        <v>0.83781321055024105</v>
      </c>
      <c r="M4957">
        <v>0.46296296296296302</v>
      </c>
      <c r="N4957">
        <v>1</v>
      </c>
      <c r="O4957">
        <v>0.64197530864197505</v>
      </c>
      <c r="R4957" t="s">
        <v>288</v>
      </c>
      <c r="S4957" t="s">
        <v>289</v>
      </c>
      <c r="T4957" t="s">
        <v>10380</v>
      </c>
      <c r="U4957" t="s">
        <v>10381</v>
      </c>
      <c r="V4957" t="s">
        <v>10382</v>
      </c>
      <c r="W4957" t="s">
        <v>10383</v>
      </c>
      <c r="AD4957" t="s">
        <v>4789</v>
      </c>
      <c r="AE4957" t="s">
        <v>10384</v>
      </c>
      <c r="AF4957" t="e">
        <f>---------MLELLFPKSCAGCGAAGVSLCASCQEELRRVPHRVSCTVDPRVPVWALSPYAGAHRQLVISMKERGRRDACAYVGAAVRAAVDFLAARGELPFAVDLTLVPAPTRARSARLRGGDTVTAVCASSGLSTVPCVQHRSSVRDSVGLDAAARRRNLAEGVDLLQVP----PSPALLVDDVVTTGATVEATCAVLFSAGVEVSGVLAVCAA</f>
        <v>#NAME?</v>
      </c>
    </row>
    <row r="4958" spans="1:32" hidden="1" x14ac:dyDescent="0.35">
      <c r="A4958">
        <v>4957</v>
      </c>
      <c r="B4958" t="s">
        <v>10379</v>
      </c>
      <c r="C4958" t="s">
        <v>10127</v>
      </c>
      <c r="D4958" t="s">
        <v>62</v>
      </c>
      <c r="E4958">
        <v>670</v>
      </c>
      <c r="F4958">
        <v>4</v>
      </c>
      <c r="G4958">
        <v>4</v>
      </c>
      <c r="H4958">
        <v>1</v>
      </c>
      <c r="I4958">
        <v>0</v>
      </c>
      <c r="J4958">
        <v>0.75320775320775302</v>
      </c>
      <c r="K4958">
        <v>0.94383074935400602</v>
      </c>
      <c r="L4958">
        <v>0.83781321055024105</v>
      </c>
      <c r="M4958">
        <v>0.46296296296296302</v>
      </c>
      <c r="N4958">
        <v>1</v>
      </c>
      <c r="O4958">
        <v>0.64197530864197505</v>
      </c>
      <c r="R4958" t="s">
        <v>288</v>
      </c>
      <c r="S4958" t="s">
        <v>289</v>
      </c>
      <c r="T4958" t="s">
        <v>10380</v>
      </c>
      <c r="U4958" t="s">
        <v>10381</v>
      </c>
      <c r="V4958" t="s">
        <v>10382</v>
      </c>
      <c r="W4958" t="s">
        <v>10383</v>
      </c>
      <c r="AD4958" t="s">
        <v>4789</v>
      </c>
      <c r="AE4958" t="s">
        <v>10384</v>
      </c>
      <c r="AF4958" t="e">
        <f>---------MLELLFPKSCAGCGAAGVSLCASCQEELRRVPHRVSCTVDPRVPVWALSPYAGAHRQLVISMKERGRRDACAYVGAAVRAAVDFLAARGELPFAVDLTLVPAPTRARSARLRGGDTVTAVCASSGLSTVPCVQHRSSVRDSVGLDAAARRRNLAEGVDLLQVP----PSPALLVDDVVTTGATVEATCAVLFSAGVEVSGVLAVCAA</f>
        <v>#NAME?</v>
      </c>
    </row>
    <row r="4959" spans="1:32" hidden="1" x14ac:dyDescent="0.35">
      <c r="A4959">
        <v>4958</v>
      </c>
      <c r="B4959" t="s">
        <v>10379</v>
      </c>
      <c r="C4959" t="s">
        <v>10127</v>
      </c>
      <c r="D4959" t="s">
        <v>34</v>
      </c>
      <c r="E4959">
        <v>506</v>
      </c>
      <c r="F4959">
        <v>4</v>
      </c>
      <c r="G4959">
        <v>4</v>
      </c>
      <c r="H4959">
        <v>1</v>
      </c>
      <c r="I4959">
        <v>0</v>
      </c>
      <c r="J4959">
        <v>0.75320775320775302</v>
      </c>
      <c r="K4959">
        <v>0.94383074935400602</v>
      </c>
      <c r="L4959">
        <v>0.83781321055024105</v>
      </c>
      <c r="M4959">
        <v>0.46296296296296302</v>
      </c>
      <c r="N4959">
        <v>1</v>
      </c>
      <c r="O4959">
        <v>0.64197530864197505</v>
      </c>
      <c r="R4959" t="s">
        <v>288</v>
      </c>
      <c r="S4959" t="s">
        <v>289</v>
      </c>
      <c r="T4959" t="s">
        <v>10380</v>
      </c>
      <c r="U4959" t="s">
        <v>10381</v>
      </c>
      <c r="V4959" t="s">
        <v>10382</v>
      </c>
      <c r="W4959" t="s">
        <v>10383</v>
      </c>
      <c r="AD4959" t="s">
        <v>4789</v>
      </c>
      <c r="AE4959" t="s">
        <v>10384</v>
      </c>
      <c r="AF4959" t="s">
        <v>10385</v>
      </c>
    </row>
    <row r="4960" spans="1:32" hidden="1" x14ac:dyDescent="0.35">
      <c r="A4960">
        <v>4959</v>
      </c>
      <c r="B4960" t="s">
        <v>10379</v>
      </c>
      <c r="C4960" t="s">
        <v>10127</v>
      </c>
      <c r="D4960" t="s">
        <v>45</v>
      </c>
      <c r="E4960">
        <v>1771</v>
      </c>
      <c r="F4960">
        <v>4</v>
      </c>
      <c r="G4960">
        <v>4</v>
      </c>
      <c r="H4960">
        <v>1</v>
      </c>
      <c r="I4960">
        <v>0</v>
      </c>
      <c r="J4960">
        <v>0.75320775320775302</v>
      </c>
      <c r="K4960">
        <v>0.94383074935400602</v>
      </c>
      <c r="L4960">
        <v>0.83781321055024105</v>
      </c>
      <c r="M4960">
        <v>0.46296296296296302</v>
      </c>
      <c r="N4960">
        <v>1</v>
      </c>
      <c r="O4960">
        <v>0.64197530864197505</v>
      </c>
      <c r="R4960" t="s">
        <v>288</v>
      </c>
      <c r="S4960" t="s">
        <v>289</v>
      </c>
      <c r="T4960" t="s">
        <v>10380</v>
      </c>
      <c r="U4960" t="s">
        <v>10381</v>
      </c>
      <c r="V4960" t="s">
        <v>10382</v>
      </c>
      <c r="W4960" t="s">
        <v>10383</v>
      </c>
      <c r="AD4960" t="s">
        <v>4789</v>
      </c>
      <c r="AE4960" t="s">
        <v>10384</v>
      </c>
      <c r="AF4960" t="s">
        <v>10386</v>
      </c>
    </row>
    <row r="4961" spans="1:32" hidden="1" x14ac:dyDescent="0.35">
      <c r="A4961">
        <v>5306</v>
      </c>
      <c r="B4961" t="s">
        <v>11006</v>
      </c>
      <c r="C4961" t="s">
        <v>10127</v>
      </c>
      <c r="D4961" t="s">
        <v>34</v>
      </c>
      <c r="E4961">
        <v>157</v>
      </c>
      <c r="F4961">
        <v>4</v>
      </c>
      <c r="G4961">
        <v>4</v>
      </c>
      <c r="H4961">
        <v>1</v>
      </c>
      <c r="I4961">
        <v>0</v>
      </c>
      <c r="J4961">
        <v>0.84639537804571696</v>
      </c>
      <c r="K4961">
        <v>0.98529138827023199</v>
      </c>
      <c r="L4961">
        <v>0.91057717115844905</v>
      </c>
      <c r="M4961">
        <v>0.68151447661469899</v>
      </c>
      <c r="N4961">
        <v>1</v>
      </c>
      <c r="O4961">
        <v>0.78062360801781705</v>
      </c>
      <c r="P4961" t="s">
        <v>4358</v>
      </c>
      <c r="Q4961" t="s">
        <v>4359</v>
      </c>
      <c r="R4961" t="s">
        <v>342</v>
      </c>
      <c r="S4961" t="s">
        <v>343</v>
      </c>
      <c r="T4961" t="s">
        <v>11007</v>
      </c>
      <c r="U4961" t="s">
        <v>11008</v>
      </c>
      <c r="V4961" t="s">
        <v>9715</v>
      </c>
      <c r="W4961" t="s">
        <v>9716</v>
      </c>
      <c r="Z4961" t="s">
        <v>11009</v>
      </c>
      <c r="AA4961" t="s">
        <v>11010</v>
      </c>
      <c r="AB4961" t="s">
        <v>11009</v>
      </c>
      <c r="AC4961" t="s">
        <v>11011</v>
      </c>
      <c r="AD4961" t="s">
        <v>439</v>
      </c>
      <c r="AE4961" t="s">
        <v>11012</v>
      </c>
      <c r="AF4961" t="s">
        <v>11015</v>
      </c>
    </row>
    <row r="4962" spans="1:32" hidden="1" x14ac:dyDescent="0.35">
      <c r="A4962">
        <v>5307</v>
      </c>
      <c r="B4962" t="s">
        <v>11006</v>
      </c>
      <c r="C4962" t="s">
        <v>10127</v>
      </c>
      <c r="D4962" t="s">
        <v>45</v>
      </c>
      <c r="E4962">
        <v>1418</v>
      </c>
      <c r="F4962">
        <v>4</v>
      </c>
      <c r="G4962">
        <v>4</v>
      </c>
      <c r="H4962">
        <v>1</v>
      </c>
      <c r="I4962">
        <v>0</v>
      </c>
      <c r="J4962">
        <v>0.84639537804571696</v>
      </c>
      <c r="K4962">
        <v>0.98529138827023199</v>
      </c>
      <c r="L4962">
        <v>0.91057717115844905</v>
      </c>
      <c r="M4962">
        <v>0.68151447661469899</v>
      </c>
      <c r="N4962">
        <v>1</v>
      </c>
      <c r="O4962">
        <v>0.78062360801781705</v>
      </c>
      <c r="P4962" t="s">
        <v>4358</v>
      </c>
      <c r="Q4962" t="s">
        <v>4359</v>
      </c>
      <c r="R4962" t="s">
        <v>342</v>
      </c>
      <c r="S4962" t="s">
        <v>343</v>
      </c>
      <c r="T4962" t="s">
        <v>11007</v>
      </c>
      <c r="U4962" t="s">
        <v>11008</v>
      </c>
      <c r="V4962" t="s">
        <v>9715</v>
      </c>
      <c r="W4962" t="s">
        <v>9716</v>
      </c>
      <c r="Z4962" t="s">
        <v>11009</v>
      </c>
      <c r="AA4962" t="s">
        <v>11010</v>
      </c>
      <c r="AB4962" t="s">
        <v>11009</v>
      </c>
      <c r="AC4962" t="s">
        <v>11011</v>
      </c>
      <c r="AD4962" t="s">
        <v>439</v>
      </c>
      <c r="AE4962" t="s">
        <v>11012</v>
      </c>
      <c r="AF4962" t="s">
        <v>11015</v>
      </c>
    </row>
    <row r="4963" spans="1:32" hidden="1" x14ac:dyDescent="0.35">
      <c r="A4963">
        <v>5348</v>
      </c>
      <c r="B4963" t="s">
        <v>11082</v>
      </c>
      <c r="C4963" t="s">
        <v>10127</v>
      </c>
      <c r="D4963" t="s">
        <v>60</v>
      </c>
      <c r="E4963">
        <v>1942</v>
      </c>
      <c r="F4963">
        <v>4</v>
      </c>
      <c r="G4963">
        <v>4</v>
      </c>
      <c r="H4963">
        <v>1</v>
      </c>
      <c r="I4963">
        <v>0</v>
      </c>
      <c r="J4963">
        <v>0.92610837438423599</v>
      </c>
      <c r="K4963">
        <v>0.98788822098182505</v>
      </c>
      <c r="L4963">
        <v>0.95600123492574496</v>
      </c>
      <c r="M4963">
        <v>0.84671532846715303</v>
      </c>
      <c r="N4963">
        <v>1</v>
      </c>
      <c r="O4963">
        <v>0.89781021897810198</v>
      </c>
      <c r="P4963" t="s">
        <v>3260</v>
      </c>
      <c r="Q4963" t="s">
        <v>3261</v>
      </c>
      <c r="R4963" t="s">
        <v>342</v>
      </c>
      <c r="S4963" t="s">
        <v>343</v>
      </c>
      <c r="T4963" t="s">
        <v>11083</v>
      </c>
      <c r="U4963" t="s">
        <v>11084</v>
      </c>
      <c r="V4963" t="s">
        <v>3264</v>
      </c>
      <c r="W4963" t="s">
        <v>3265</v>
      </c>
      <c r="AD4963" t="s">
        <v>219</v>
      </c>
      <c r="AE4963" t="s">
        <v>11085</v>
      </c>
      <c r="AF4963" t="e">
        <f>--MTQPDPILPVLADDELSERAAAVFDDIRATRNTDFVNNIWRVLANDPNLLEQTWSEVKNTLTEDSELDVLTKQLIYIAVSVAQNCNYCIRSHTAAARALGLTDAQLAELHTVIGLAAKTNRLAQGLQVPIDEAFL</f>
        <v>#NAME?</v>
      </c>
    </row>
    <row r="4964" spans="1:32" hidden="1" x14ac:dyDescent="0.35">
      <c r="A4964">
        <v>5349</v>
      </c>
      <c r="B4964" t="s">
        <v>11082</v>
      </c>
      <c r="C4964" t="s">
        <v>10127</v>
      </c>
      <c r="D4964" t="s">
        <v>62</v>
      </c>
      <c r="E4964">
        <v>1982</v>
      </c>
      <c r="F4964">
        <v>4</v>
      </c>
      <c r="G4964">
        <v>4</v>
      </c>
      <c r="H4964">
        <v>1</v>
      </c>
      <c r="I4964">
        <v>0</v>
      </c>
      <c r="J4964">
        <v>0.92610837438423599</v>
      </c>
      <c r="K4964">
        <v>0.98788822098182505</v>
      </c>
      <c r="L4964">
        <v>0.95600123492574496</v>
      </c>
      <c r="M4964">
        <v>0.84671532846715303</v>
      </c>
      <c r="N4964">
        <v>1</v>
      </c>
      <c r="O4964">
        <v>0.89781021897810198</v>
      </c>
      <c r="P4964" t="s">
        <v>3260</v>
      </c>
      <c r="Q4964" t="s">
        <v>3261</v>
      </c>
      <c r="R4964" t="s">
        <v>342</v>
      </c>
      <c r="S4964" t="s">
        <v>343</v>
      </c>
      <c r="T4964" t="s">
        <v>11083</v>
      </c>
      <c r="U4964" t="s">
        <v>11084</v>
      </c>
      <c r="V4964" t="s">
        <v>3264</v>
      </c>
      <c r="W4964" t="s">
        <v>3265</v>
      </c>
      <c r="AD4964" t="s">
        <v>219</v>
      </c>
      <c r="AE4964" t="s">
        <v>11085</v>
      </c>
      <c r="AF4964" t="e">
        <f>--MTQPDPILPVLADDELSERAAAVFDDIRATRNTDFVNNIWRVLANDPNLLEQTWSEVKNTLTEDSELDVLTKQLIYIAVSVAQNCNYCIRSHTAAARALGLTDAQLAELHTVIGLAAKTNRLAQGLQVPIDEAFL</f>
        <v>#NAME?</v>
      </c>
    </row>
    <row r="4965" spans="1:32" hidden="1" x14ac:dyDescent="0.35">
      <c r="A4965">
        <v>5350</v>
      </c>
      <c r="B4965" t="s">
        <v>11082</v>
      </c>
      <c r="C4965" t="s">
        <v>10127</v>
      </c>
      <c r="D4965" t="s">
        <v>34</v>
      </c>
      <c r="E4965">
        <v>1018</v>
      </c>
      <c r="F4965">
        <v>4</v>
      </c>
      <c r="G4965">
        <v>4</v>
      </c>
      <c r="H4965">
        <v>1</v>
      </c>
      <c r="I4965">
        <v>0</v>
      </c>
      <c r="J4965">
        <v>0.92610837438423599</v>
      </c>
      <c r="K4965">
        <v>0.98788822098182505</v>
      </c>
      <c r="L4965">
        <v>0.95600123492574496</v>
      </c>
      <c r="M4965">
        <v>0.84671532846715303</v>
      </c>
      <c r="N4965">
        <v>1</v>
      </c>
      <c r="O4965">
        <v>0.89781021897810198</v>
      </c>
      <c r="P4965" t="s">
        <v>3260</v>
      </c>
      <c r="Q4965" t="s">
        <v>3261</v>
      </c>
      <c r="R4965" t="s">
        <v>342</v>
      </c>
      <c r="S4965" t="s">
        <v>343</v>
      </c>
      <c r="T4965" t="s">
        <v>11083</v>
      </c>
      <c r="U4965" t="s">
        <v>11084</v>
      </c>
      <c r="V4965" t="s">
        <v>3264</v>
      </c>
      <c r="W4965" t="s">
        <v>3265</v>
      </c>
      <c r="AD4965" t="s">
        <v>219</v>
      </c>
      <c r="AE4965" t="s">
        <v>11085</v>
      </c>
      <c r="AF4965" t="s">
        <v>11086</v>
      </c>
    </row>
    <row r="4966" spans="1:32" hidden="1" x14ac:dyDescent="0.35">
      <c r="A4966">
        <v>5351</v>
      </c>
      <c r="B4966" t="s">
        <v>11082</v>
      </c>
      <c r="C4966" t="s">
        <v>10127</v>
      </c>
      <c r="D4966" t="s">
        <v>45</v>
      </c>
      <c r="E4966">
        <v>2276</v>
      </c>
      <c r="F4966">
        <v>4</v>
      </c>
      <c r="G4966">
        <v>4</v>
      </c>
      <c r="H4966">
        <v>1</v>
      </c>
      <c r="I4966">
        <v>0</v>
      </c>
      <c r="J4966">
        <v>0.92610837438423599</v>
      </c>
      <c r="K4966">
        <v>0.98788822098182505</v>
      </c>
      <c r="L4966">
        <v>0.95600123492574496</v>
      </c>
      <c r="M4966">
        <v>0.84671532846715303</v>
      </c>
      <c r="N4966">
        <v>1</v>
      </c>
      <c r="O4966">
        <v>0.89781021897810198</v>
      </c>
      <c r="P4966" t="s">
        <v>3260</v>
      </c>
      <c r="Q4966" t="s">
        <v>3261</v>
      </c>
      <c r="R4966" t="s">
        <v>342</v>
      </c>
      <c r="S4966" t="s">
        <v>343</v>
      </c>
      <c r="T4966" t="s">
        <v>11083</v>
      </c>
      <c r="U4966" t="s">
        <v>11084</v>
      </c>
      <c r="V4966" t="s">
        <v>3264</v>
      </c>
      <c r="W4966" t="s">
        <v>3265</v>
      </c>
      <c r="AD4966" t="s">
        <v>219</v>
      </c>
      <c r="AE4966" t="s">
        <v>11085</v>
      </c>
      <c r="AF4966" t="s">
        <v>11087</v>
      </c>
    </row>
    <row r="4967" spans="1:32" hidden="1" x14ac:dyDescent="0.35">
      <c r="A4967">
        <v>4244</v>
      </c>
      <c r="B4967" t="s">
        <v>8810</v>
      </c>
      <c r="C4967" t="s">
        <v>72</v>
      </c>
      <c r="D4967" t="s">
        <v>58</v>
      </c>
      <c r="E4967">
        <v>846</v>
      </c>
      <c r="F4967">
        <v>5</v>
      </c>
      <c r="G4967">
        <v>5</v>
      </c>
      <c r="H4967">
        <v>1</v>
      </c>
      <c r="I4967">
        <v>1</v>
      </c>
      <c r="J4967">
        <v>0.827133479212254</v>
      </c>
      <c r="K4967">
        <v>0.96431860372001599</v>
      </c>
      <c r="L4967">
        <v>0.890473386771792</v>
      </c>
      <c r="M4967">
        <v>0.67771084337349397</v>
      </c>
      <c r="N4967">
        <v>0.99096385542168697</v>
      </c>
      <c r="O4967">
        <v>0.75813253012048198</v>
      </c>
      <c r="P4967" t="s">
        <v>8811</v>
      </c>
      <c r="Q4967" t="s">
        <v>8812</v>
      </c>
      <c r="R4967" t="s">
        <v>235</v>
      </c>
      <c r="S4967" t="s">
        <v>236</v>
      </c>
      <c r="T4967" t="s">
        <v>8813</v>
      </c>
      <c r="U4967" t="s">
        <v>8814</v>
      </c>
      <c r="V4967" t="s">
        <v>8815</v>
      </c>
      <c r="W4967" t="s">
        <v>8816</v>
      </c>
      <c r="X4967" t="s">
        <v>8815</v>
      </c>
      <c r="Y4967" t="s">
        <v>2932</v>
      </c>
      <c r="Z4967" t="s">
        <v>8817</v>
      </c>
      <c r="AA4967" t="s">
        <v>8818</v>
      </c>
      <c r="AB4967" t="s">
        <v>8817</v>
      </c>
      <c r="AC4967" t="s">
        <v>8819</v>
      </c>
      <c r="AD4967" t="s">
        <v>219</v>
      </c>
      <c r="AE4967" t="s">
        <v>8820</v>
      </c>
      <c r="AF4967" t="s">
        <v>8821</v>
      </c>
    </row>
    <row r="4968" spans="1:32" hidden="1" x14ac:dyDescent="0.35">
      <c r="A4968">
        <v>4630</v>
      </c>
      <c r="B4968" t="s">
        <v>9682</v>
      </c>
      <c r="C4968" t="s">
        <v>10127</v>
      </c>
      <c r="D4968" t="s">
        <v>60</v>
      </c>
      <c r="E4968">
        <v>1358</v>
      </c>
      <c r="F4968">
        <v>5</v>
      </c>
      <c r="G4968">
        <v>5</v>
      </c>
      <c r="H4968">
        <v>1</v>
      </c>
      <c r="I4968">
        <v>1</v>
      </c>
      <c r="J4968">
        <v>0.83687757066596702</v>
      </c>
      <c r="K4968">
        <v>0.99582178421105805</v>
      </c>
      <c r="L4968">
        <v>0.90945731319114198</v>
      </c>
      <c r="M4968">
        <v>0.70065359477124201</v>
      </c>
      <c r="N4968">
        <v>0.99738562091503302</v>
      </c>
      <c r="O4968">
        <v>0.79503267973856195</v>
      </c>
      <c r="P4968" t="s">
        <v>6433</v>
      </c>
      <c r="Q4968" t="s">
        <v>6434</v>
      </c>
      <c r="R4968" t="s">
        <v>540</v>
      </c>
      <c r="S4968" t="s">
        <v>541</v>
      </c>
      <c r="T4968" t="s">
        <v>6435</v>
      </c>
      <c r="U4968" t="s">
        <v>6436</v>
      </c>
      <c r="V4968" t="s">
        <v>6437</v>
      </c>
      <c r="W4968" t="s">
        <v>6438</v>
      </c>
      <c r="AD4968" t="s">
        <v>6439</v>
      </c>
      <c r="AE4968" t="s">
        <v>6440</v>
      </c>
      <c r="AF4968" t="s">
        <v>9684</v>
      </c>
    </row>
    <row r="4969" spans="1:32" hidden="1" x14ac:dyDescent="0.35">
      <c r="A4969">
        <v>4968</v>
      </c>
      <c r="B4969" t="s">
        <v>10398</v>
      </c>
      <c r="C4969" t="s">
        <v>10127</v>
      </c>
      <c r="D4969" t="s">
        <v>60</v>
      </c>
      <c r="E4969">
        <v>392</v>
      </c>
      <c r="F4969">
        <v>4</v>
      </c>
      <c r="G4969">
        <v>4</v>
      </c>
      <c r="H4969">
        <v>1</v>
      </c>
      <c r="I4969">
        <v>0</v>
      </c>
      <c r="J4969">
        <v>0.79515828677839895</v>
      </c>
      <c r="K4969">
        <v>0.99746707193515805</v>
      </c>
      <c r="L4969">
        <v>0.88489678468791799</v>
      </c>
      <c r="M4969">
        <v>0.59270516717325195</v>
      </c>
      <c r="N4969">
        <v>1</v>
      </c>
      <c r="O4969">
        <v>0.72745694022289797</v>
      </c>
      <c r="P4969" t="s">
        <v>10399</v>
      </c>
      <c r="Q4969" t="s">
        <v>370</v>
      </c>
      <c r="R4969" t="s">
        <v>7230</v>
      </c>
      <c r="S4969" t="s">
        <v>7231</v>
      </c>
      <c r="T4969" t="s">
        <v>10400</v>
      </c>
      <c r="U4969" t="s">
        <v>10401</v>
      </c>
      <c r="V4969" t="s">
        <v>10402</v>
      </c>
      <c r="W4969" t="s">
        <v>10403</v>
      </c>
      <c r="X4969" t="s">
        <v>10402</v>
      </c>
      <c r="Y4969" t="s">
        <v>10404</v>
      </c>
      <c r="AD4969" t="s">
        <v>10405</v>
      </c>
      <c r="AE4969" t="s">
        <v>10406</v>
      </c>
      <c r="AF4969" t="s">
        <v>10407</v>
      </c>
    </row>
    <row r="4970" spans="1:32" hidden="1" x14ac:dyDescent="0.35">
      <c r="A4970">
        <v>4969</v>
      </c>
      <c r="B4970" t="s">
        <v>10398</v>
      </c>
      <c r="C4970" t="s">
        <v>10127</v>
      </c>
      <c r="D4970" t="s">
        <v>62</v>
      </c>
      <c r="E4970">
        <v>473</v>
      </c>
      <c r="F4970">
        <v>4</v>
      </c>
      <c r="G4970">
        <v>4</v>
      </c>
      <c r="H4970">
        <v>1</v>
      </c>
      <c r="I4970">
        <v>0</v>
      </c>
      <c r="J4970">
        <v>0.79515828677839895</v>
      </c>
      <c r="K4970">
        <v>0.99746707193515805</v>
      </c>
      <c r="L4970">
        <v>0.88489678468791799</v>
      </c>
      <c r="M4970">
        <v>0.59270516717325195</v>
      </c>
      <c r="N4970">
        <v>1</v>
      </c>
      <c r="O4970">
        <v>0.72745694022289797</v>
      </c>
      <c r="P4970" t="s">
        <v>10399</v>
      </c>
      <c r="Q4970" t="s">
        <v>370</v>
      </c>
      <c r="R4970" t="s">
        <v>7230</v>
      </c>
      <c r="S4970" t="s">
        <v>7231</v>
      </c>
      <c r="T4970" t="s">
        <v>10400</v>
      </c>
      <c r="U4970" t="s">
        <v>10401</v>
      </c>
      <c r="V4970" t="s">
        <v>10402</v>
      </c>
      <c r="W4970" t="s">
        <v>10403</v>
      </c>
      <c r="X4970" t="s">
        <v>10402</v>
      </c>
      <c r="Y4970" t="s">
        <v>10404</v>
      </c>
      <c r="AD4970" t="s">
        <v>10405</v>
      </c>
      <c r="AE4970" t="s">
        <v>10406</v>
      </c>
      <c r="AF4970" t="s">
        <v>10407</v>
      </c>
    </row>
    <row r="4971" spans="1:32" hidden="1" x14ac:dyDescent="0.35">
      <c r="A4971">
        <v>4970</v>
      </c>
      <c r="B4971" t="s">
        <v>10398</v>
      </c>
      <c r="C4971" t="s">
        <v>10127</v>
      </c>
      <c r="D4971" t="s">
        <v>34</v>
      </c>
      <c r="E4971">
        <v>628</v>
      </c>
      <c r="F4971">
        <v>4</v>
      </c>
      <c r="G4971">
        <v>4</v>
      </c>
      <c r="H4971">
        <v>1</v>
      </c>
      <c r="I4971">
        <v>0</v>
      </c>
      <c r="J4971">
        <v>0.79515828677839895</v>
      </c>
      <c r="K4971">
        <v>0.99746707193515805</v>
      </c>
      <c r="L4971">
        <v>0.88489678468791799</v>
      </c>
      <c r="M4971">
        <v>0.59270516717325195</v>
      </c>
      <c r="N4971">
        <v>1</v>
      </c>
      <c r="O4971">
        <v>0.72745694022289797</v>
      </c>
      <c r="P4971" t="s">
        <v>10399</v>
      </c>
      <c r="Q4971" t="s">
        <v>370</v>
      </c>
      <c r="R4971" t="s">
        <v>7230</v>
      </c>
      <c r="S4971" t="s">
        <v>7231</v>
      </c>
      <c r="T4971" t="s">
        <v>10400</v>
      </c>
      <c r="U4971" t="s">
        <v>10401</v>
      </c>
      <c r="V4971" t="s">
        <v>10402</v>
      </c>
      <c r="W4971" t="s">
        <v>10403</v>
      </c>
      <c r="X4971" t="s">
        <v>10402</v>
      </c>
      <c r="Y4971" t="s">
        <v>10404</v>
      </c>
      <c r="AD4971" t="s">
        <v>10405</v>
      </c>
      <c r="AE4971" t="s">
        <v>10406</v>
      </c>
      <c r="AF4971" t="s">
        <v>10408</v>
      </c>
    </row>
    <row r="4972" spans="1:32" hidden="1" x14ac:dyDescent="0.35">
      <c r="A4972">
        <v>4971</v>
      </c>
      <c r="B4972" t="s">
        <v>10398</v>
      </c>
      <c r="C4972" t="s">
        <v>10127</v>
      </c>
      <c r="D4972" t="s">
        <v>45</v>
      </c>
      <c r="E4972">
        <v>1895</v>
      </c>
      <c r="F4972">
        <v>4</v>
      </c>
      <c r="G4972">
        <v>4</v>
      </c>
      <c r="H4972">
        <v>1</v>
      </c>
      <c r="I4972">
        <v>0</v>
      </c>
      <c r="J4972">
        <v>0.79515828677839895</v>
      </c>
      <c r="K4972">
        <v>0.99746707193515805</v>
      </c>
      <c r="L4972">
        <v>0.88489678468791799</v>
      </c>
      <c r="M4972">
        <v>0.59270516717325195</v>
      </c>
      <c r="N4972">
        <v>1</v>
      </c>
      <c r="O4972">
        <v>0.72745694022289797</v>
      </c>
      <c r="P4972" t="s">
        <v>10399</v>
      </c>
      <c r="Q4972" t="s">
        <v>370</v>
      </c>
      <c r="R4972" t="s">
        <v>7230</v>
      </c>
      <c r="S4972" t="s">
        <v>7231</v>
      </c>
      <c r="T4972" t="s">
        <v>10400</v>
      </c>
      <c r="U4972" t="s">
        <v>10401</v>
      </c>
      <c r="V4972" t="s">
        <v>10402</v>
      </c>
      <c r="W4972" t="s">
        <v>10403</v>
      </c>
      <c r="X4972" t="s">
        <v>10402</v>
      </c>
      <c r="Y4972" t="s">
        <v>10404</v>
      </c>
      <c r="AD4972" t="s">
        <v>10405</v>
      </c>
      <c r="AE4972" t="s">
        <v>10406</v>
      </c>
      <c r="AF4972" t="s">
        <v>10409</v>
      </c>
    </row>
    <row r="4973" spans="1:32" hidden="1" x14ac:dyDescent="0.35">
      <c r="A4973">
        <v>4972</v>
      </c>
      <c r="B4973" t="s">
        <v>10410</v>
      </c>
      <c r="C4973" t="s">
        <v>10127</v>
      </c>
      <c r="D4973" t="s">
        <v>60</v>
      </c>
      <c r="E4973">
        <v>2149</v>
      </c>
      <c r="F4973">
        <v>4</v>
      </c>
      <c r="G4973">
        <v>4</v>
      </c>
      <c r="H4973">
        <v>1</v>
      </c>
      <c r="I4973">
        <v>0</v>
      </c>
      <c r="J4973">
        <v>0.72732958098811795</v>
      </c>
      <c r="K4973">
        <v>0.95589839488857697</v>
      </c>
      <c r="L4973">
        <v>0.82609508514068797</v>
      </c>
      <c r="M4973">
        <v>0.50537634408602194</v>
      </c>
      <c r="N4973">
        <v>1</v>
      </c>
      <c r="O4973">
        <v>0.66666666666666696</v>
      </c>
      <c r="P4973" t="s">
        <v>10411</v>
      </c>
      <c r="Q4973" t="s">
        <v>10412</v>
      </c>
      <c r="R4973" t="s">
        <v>288</v>
      </c>
      <c r="S4973" t="s">
        <v>289</v>
      </c>
      <c r="T4973" t="s">
        <v>10413</v>
      </c>
      <c r="U4973" t="s">
        <v>407</v>
      </c>
      <c r="V4973" t="s">
        <v>10414</v>
      </c>
      <c r="W4973" t="s">
        <v>10415</v>
      </c>
      <c r="AD4973" t="s">
        <v>410</v>
      </c>
      <c r="AE4973" t="s">
        <v>411</v>
      </c>
      <c r="AF4973" t="s">
        <v>10416</v>
      </c>
    </row>
    <row r="4974" spans="1:32" hidden="1" x14ac:dyDescent="0.35">
      <c r="A4974">
        <v>4973</v>
      </c>
      <c r="B4974" t="s">
        <v>10410</v>
      </c>
      <c r="C4974" t="s">
        <v>10127</v>
      </c>
      <c r="D4974" t="s">
        <v>62</v>
      </c>
      <c r="E4974">
        <v>2183</v>
      </c>
      <c r="F4974">
        <v>4</v>
      </c>
      <c r="G4974">
        <v>4</v>
      </c>
      <c r="H4974">
        <v>1</v>
      </c>
      <c r="I4974">
        <v>0</v>
      </c>
      <c r="J4974">
        <v>0.72732958098811795</v>
      </c>
      <c r="K4974">
        <v>0.95589839488857697</v>
      </c>
      <c r="L4974">
        <v>0.82609508514068797</v>
      </c>
      <c r="M4974">
        <v>0.50537634408602194</v>
      </c>
      <c r="N4974">
        <v>1</v>
      </c>
      <c r="O4974">
        <v>0.66666666666666696</v>
      </c>
      <c r="P4974" t="s">
        <v>10411</v>
      </c>
      <c r="Q4974" t="s">
        <v>10412</v>
      </c>
      <c r="R4974" t="s">
        <v>288</v>
      </c>
      <c r="S4974" t="s">
        <v>289</v>
      </c>
      <c r="T4974" t="s">
        <v>10413</v>
      </c>
      <c r="U4974" t="s">
        <v>407</v>
      </c>
      <c r="V4974" t="s">
        <v>10414</v>
      </c>
      <c r="W4974" t="s">
        <v>10415</v>
      </c>
      <c r="AD4974" t="s">
        <v>410</v>
      </c>
      <c r="AE4974" t="s">
        <v>411</v>
      </c>
      <c r="AF4974" t="s">
        <v>10417</v>
      </c>
    </row>
    <row r="4975" spans="1:32" hidden="1" x14ac:dyDescent="0.35">
      <c r="A4975">
        <v>4974</v>
      </c>
      <c r="B4975" t="s">
        <v>10410</v>
      </c>
      <c r="C4975" t="s">
        <v>10127</v>
      </c>
      <c r="D4975" t="s">
        <v>34</v>
      </c>
      <c r="E4975">
        <v>1638</v>
      </c>
      <c r="F4975">
        <v>4</v>
      </c>
      <c r="G4975">
        <v>4</v>
      </c>
      <c r="H4975">
        <v>1</v>
      </c>
      <c r="I4975">
        <v>0</v>
      </c>
      <c r="J4975">
        <v>0.72732958098811795</v>
      </c>
      <c r="K4975">
        <v>0.95589839488857697</v>
      </c>
      <c r="L4975">
        <v>0.82609508514068797</v>
      </c>
      <c r="M4975">
        <v>0.50537634408602194</v>
      </c>
      <c r="N4975">
        <v>1</v>
      </c>
      <c r="O4975">
        <v>0.66666666666666696</v>
      </c>
      <c r="P4975" t="s">
        <v>10411</v>
      </c>
      <c r="Q4975" t="s">
        <v>10412</v>
      </c>
      <c r="R4975" t="s">
        <v>288</v>
      </c>
      <c r="S4975" t="s">
        <v>289</v>
      </c>
      <c r="T4975" t="s">
        <v>10413</v>
      </c>
      <c r="U4975" t="s">
        <v>407</v>
      </c>
      <c r="V4975" t="s">
        <v>10414</v>
      </c>
      <c r="W4975" t="s">
        <v>10415</v>
      </c>
      <c r="AD4975" t="s">
        <v>410</v>
      </c>
      <c r="AE4975" t="s">
        <v>411</v>
      </c>
      <c r="AF4975" t="s">
        <v>10418</v>
      </c>
    </row>
    <row r="4976" spans="1:32" hidden="1" x14ac:dyDescent="0.35">
      <c r="A4976">
        <v>4975</v>
      </c>
      <c r="B4976" t="s">
        <v>10410</v>
      </c>
      <c r="C4976" t="s">
        <v>10127</v>
      </c>
      <c r="D4976" t="s">
        <v>45</v>
      </c>
      <c r="E4976">
        <v>385</v>
      </c>
      <c r="F4976">
        <v>4</v>
      </c>
      <c r="G4976">
        <v>4</v>
      </c>
      <c r="H4976">
        <v>1</v>
      </c>
      <c r="I4976">
        <v>0</v>
      </c>
      <c r="J4976">
        <v>0.72732958098811795</v>
      </c>
      <c r="K4976">
        <v>0.95589839488857697</v>
      </c>
      <c r="L4976">
        <v>0.82609508514068797</v>
      </c>
      <c r="M4976">
        <v>0.50537634408602194</v>
      </c>
      <c r="N4976">
        <v>1</v>
      </c>
      <c r="O4976">
        <v>0.66666666666666696</v>
      </c>
      <c r="P4976" t="s">
        <v>10411</v>
      </c>
      <c r="Q4976" t="s">
        <v>10412</v>
      </c>
      <c r="R4976" t="s">
        <v>288</v>
      </c>
      <c r="S4976" t="s">
        <v>289</v>
      </c>
      <c r="T4976" t="s">
        <v>10413</v>
      </c>
      <c r="U4976" t="s">
        <v>407</v>
      </c>
      <c r="V4976" t="s">
        <v>10414</v>
      </c>
      <c r="W4976" t="s">
        <v>10415</v>
      </c>
      <c r="AD4976" t="s">
        <v>410</v>
      </c>
      <c r="AE4976" t="s">
        <v>411</v>
      </c>
      <c r="AF4976" t="s">
        <v>10418</v>
      </c>
    </row>
    <row r="4977" spans="1:32" hidden="1" x14ac:dyDescent="0.35">
      <c r="A4977">
        <v>4976</v>
      </c>
      <c r="B4977" t="s">
        <v>10419</v>
      </c>
      <c r="C4977" t="s">
        <v>10127</v>
      </c>
      <c r="D4977" t="s">
        <v>60</v>
      </c>
      <c r="E4977">
        <v>986</v>
      </c>
      <c r="F4977">
        <v>4</v>
      </c>
      <c r="G4977">
        <v>4</v>
      </c>
      <c r="H4977">
        <v>1</v>
      </c>
      <c r="I4977">
        <v>0</v>
      </c>
      <c r="J4977">
        <v>0.80458474257797796</v>
      </c>
      <c r="K4977">
        <v>0.891109347569919</v>
      </c>
      <c r="L4977">
        <v>0.84563953980737105</v>
      </c>
      <c r="M4977">
        <v>0.49101796407185599</v>
      </c>
      <c r="N4977">
        <v>1</v>
      </c>
      <c r="O4977">
        <v>0.660678642714571</v>
      </c>
      <c r="AF4977" t="s">
        <v>10420</v>
      </c>
    </row>
    <row r="4978" spans="1:32" hidden="1" x14ac:dyDescent="0.35">
      <c r="A4978">
        <v>4977</v>
      </c>
      <c r="B4978" t="s">
        <v>10419</v>
      </c>
      <c r="C4978" t="s">
        <v>10127</v>
      </c>
      <c r="D4978" t="s">
        <v>62</v>
      </c>
      <c r="E4978">
        <v>1022</v>
      </c>
      <c r="F4978">
        <v>4</v>
      </c>
      <c r="G4978">
        <v>4</v>
      </c>
      <c r="H4978">
        <v>1</v>
      </c>
      <c r="I4978">
        <v>0</v>
      </c>
      <c r="J4978">
        <v>0.80458474257797796</v>
      </c>
      <c r="K4978">
        <v>0.891109347569919</v>
      </c>
      <c r="L4978">
        <v>0.84563953980737105</v>
      </c>
      <c r="M4978">
        <v>0.49101796407185599</v>
      </c>
      <c r="N4978">
        <v>1</v>
      </c>
      <c r="O4978">
        <v>0.660678642714571</v>
      </c>
      <c r="AF4978" t="s">
        <v>10420</v>
      </c>
    </row>
    <row r="4979" spans="1:32" hidden="1" x14ac:dyDescent="0.35">
      <c r="A4979">
        <v>4978</v>
      </c>
      <c r="B4979" t="s">
        <v>10419</v>
      </c>
      <c r="C4979" t="s">
        <v>10127</v>
      </c>
      <c r="D4979" t="s">
        <v>34</v>
      </c>
      <c r="E4979">
        <v>140</v>
      </c>
      <c r="F4979">
        <v>4</v>
      </c>
      <c r="G4979">
        <v>4</v>
      </c>
      <c r="H4979">
        <v>1</v>
      </c>
      <c r="I4979">
        <v>0</v>
      </c>
      <c r="J4979">
        <v>0.80458474257797796</v>
      </c>
      <c r="K4979">
        <v>0.891109347569919</v>
      </c>
      <c r="L4979">
        <v>0.84563953980737105</v>
      </c>
      <c r="M4979">
        <v>0.49101796407185599</v>
      </c>
      <c r="N4979">
        <v>1</v>
      </c>
      <c r="O4979">
        <v>0.660678642714571</v>
      </c>
      <c r="AF4979" t="s">
        <v>10421</v>
      </c>
    </row>
    <row r="4980" spans="1:32" hidden="1" x14ac:dyDescent="0.35">
      <c r="A4980">
        <v>4979</v>
      </c>
      <c r="B4980" t="s">
        <v>10419</v>
      </c>
      <c r="C4980" t="s">
        <v>10127</v>
      </c>
      <c r="D4980" t="s">
        <v>45</v>
      </c>
      <c r="E4980">
        <v>1402</v>
      </c>
      <c r="F4980">
        <v>4</v>
      </c>
      <c r="G4980">
        <v>4</v>
      </c>
      <c r="H4980">
        <v>1</v>
      </c>
      <c r="I4980">
        <v>0</v>
      </c>
      <c r="J4980">
        <v>0.80458474257797796</v>
      </c>
      <c r="K4980">
        <v>0.891109347569919</v>
      </c>
      <c r="L4980">
        <v>0.84563953980737105</v>
      </c>
      <c r="M4980">
        <v>0.49101796407185599</v>
      </c>
      <c r="N4980">
        <v>1</v>
      </c>
      <c r="O4980">
        <v>0.660678642714571</v>
      </c>
      <c r="AF4980" t="s">
        <v>10421</v>
      </c>
    </row>
    <row r="4981" spans="1:32" hidden="1" x14ac:dyDescent="0.35">
      <c r="A4981">
        <v>4631</v>
      </c>
      <c r="B4981" t="s">
        <v>9682</v>
      </c>
      <c r="C4981" t="s">
        <v>10127</v>
      </c>
      <c r="D4981" t="s">
        <v>62</v>
      </c>
      <c r="E4981">
        <v>1394</v>
      </c>
      <c r="F4981">
        <v>5</v>
      </c>
      <c r="G4981">
        <v>5</v>
      </c>
      <c r="H4981">
        <v>1</v>
      </c>
      <c r="I4981">
        <v>1</v>
      </c>
      <c r="J4981">
        <v>0.83687757066596702</v>
      </c>
      <c r="K4981">
        <v>0.99582178421105805</v>
      </c>
      <c r="L4981">
        <v>0.90945731319114198</v>
      </c>
      <c r="M4981">
        <v>0.70065359477124201</v>
      </c>
      <c r="N4981">
        <v>0.99738562091503302</v>
      </c>
      <c r="O4981">
        <v>0.79503267973856195</v>
      </c>
      <c r="P4981" t="s">
        <v>6433</v>
      </c>
      <c r="Q4981" t="s">
        <v>6434</v>
      </c>
      <c r="R4981" t="s">
        <v>540</v>
      </c>
      <c r="S4981" t="s">
        <v>541</v>
      </c>
      <c r="T4981" t="s">
        <v>6435</v>
      </c>
      <c r="U4981" t="s">
        <v>6436</v>
      </c>
      <c r="V4981" t="s">
        <v>6437</v>
      </c>
      <c r="W4981" t="s">
        <v>6438</v>
      </c>
      <c r="AD4981" t="s">
        <v>6439</v>
      </c>
      <c r="AE4981" t="s">
        <v>6440</v>
      </c>
      <c r="AF4981" t="s">
        <v>9685</v>
      </c>
    </row>
    <row r="4982" spans="1:32" hidden="1" x14ac:dyDescent="0.35">
      <c r="A4982">
        <v>4632</v>
      </c>
      <c r="B4982" t="s">
        <v>9682</v>
      </c>
      <c r="C4982" t="s">
        <v>10127</v>
      </c>
      <c r="D4982" t="s">
        <v>34</v>
      </c>
      <c r="E4982">
        <v>1672</v>
      </c>
      <c r="F4982">
        <v>5</v>
      </c>
      <c r="G4982">
        <v>5</v>
      </c>
      <c r="H4982">
        <v>1</v>
      </c>
      <c r="I4982">
        <v>1</v>
      </c>
      <c r="J4982">
        <v>0.83687757066596702</v>
      </c>
      <c r="K4982">
        <v>0.99582178421105805</v>
      </c>
      <c r="L4982">
        <v>0.90945731319114198</v>
      </c>
      <c r="M4982">
        <v>0.70065359477124201</v>
      </c>
      <c r="N4982">
        <v>0.99738562091503302</v>
      </c>
      <c r="O4982">
        <v>0.79503267973856195</v>
      </c>
      <c r="P4982" t="s">
        <v>6433</v>
      </c>
      <c r="Q4982" t="s">
        <v>6434</v>
      </c>
      <c r="R4982" t="s">
        <v>540</v>
      </c>
      <c r="S4982" t="s">
        <v>541</v>
      </c>
      <c r="T4982" t="s">
        <v>6435</v>
      </c>
      <c r="U4982" t="s">
        <v>6436</v>
      </c>
      <c r="V4982" t="s">
        <v>6437</v>
      </c>
      <c r="W4982" t="s">
        <v>6438</v>
      </c>
      <c r="AD4982" t="s">
        <v>6439</v>
      </c>
      <c r="AE4982" t="s">
        <v>6440</v>
      </c>
      <c r="AF4982" t="s">
        <v>9686</v>
      </c>
    </row>
    <row r="4983" spans="1:32" hidden="1" x14ac:dyDescent="0.35">
      <c r="A4983">
        <v>4633</v>
      </c>
      <c r="B4983" t="s">
        <v>9682</v>
      </c>
      <c r="C4983" t="s">
        <v>10127</v>
      </c>
      <c r="D4983" t="s">
        <v>45</v>
      </c>
      <c r="E4983">
        <v>1204</v>
      </c>
      <c r="F4983">
        <v>5</v>
      </c>
      <c r="G4983">
        <v>5</v>
      </c>
      <c r="H4983">
        <v>1</v>
      </c>
      <c r="I4983">
        <v>1</v>
      </c>
      <c r="J4983">
        <v>0.83687757066596702</v>
      </c>
      <c r="K4983">
        <v>0.99582178421105805</v>
      </c>
      <c r="L4983">
        <v>0.90945731319114198</v>
      </c>
      <c r="M4983">
        <v>0.70065359477124201</v>
      </c>
      <c r="N4983">
        <v>0.99738562091503302</v>
      </c>
      <c r="O4983">
        <v>0.79503267973856195</v>
      </c>
      <c r="P4983" t="s">
        <v>6433</v>
      </c>
      <c r="Q4983" t="s">
        <v>6434</v>
      </c>
      <c r="R4983" t="s">
        <v>540</v>
      </c>
      <c r="S4983" t="s">
        <v>541</v>
      </c>
      <c r="T4983" t="s">
        <v>6435</v>
      </c>
      <c r="U4983" t="s">
        <v>6436</v>
      </c>
      <c r="V4983" t="s">
        <v>6437</v>
      </c>
      <c r="W4983" t="s">
        <v>6438</v>
      </c>
      <c r="AD4983" t="s">
        <v>6439</v>
      </c>
      <c r="AE4983" t="s">
        <v>6440</v>
      </c>
      <c r="AF4983" t="s">
        <v>9687</v>
      </c>
    </row>
    <row r="4984" spans="1:32" hidden="1" x14ac:dyDescent="0.35">
      <c r="A4984">
        <v>1519</v>
      </c>
      <c r="B4984" t="s">
        <v>3178</v>
      </c>
      <c r="C4984" t="s">
        <v>72</v>
      </c>
      <c r="D4984" t="s">
        <v>58</v>
      </c>
      <c r="E4984">
        <v>1255</v>
      </c>
      <c r="F4984">
        <v>5</v>
      </c>
      <c r="G4984">
        <v>5</v>
      </c>
      <c r="H4984">
        <v>1</v>
      </c>
      <c r="I4984">
        <v>1</v>
      </c>
      <c r="J4984">
        <v>0.82413012902831295</v>
      </c>
      <c r="K4984">
        <v>0.94334283545786302</v>
      </c>
      <c r="L4984">
        <v>0.87971614652655505</v>
      </c>
      <c r="M4984">
        <v>0.66148531951640799</v>
      </c>
      <c r="N4984">
        <v>1</v>
      </c>
      <c r="O4984">
        <v>0.74818652849740896</v>
      </c>
      <c r="P4984" t="s">
        <v>3179</v>
      </c>
      <c r="Q4984" t="s">
        <v>3180</v>
      </c>
      <c r="R4984" t="s">
        <v>75</v>
      </c>
      <c r="S4984" t="s">
        <v>76</v>
      </c>
      <c r="V4984" t="s">
        <v>3181</v>
      </c>
      <c r="W4984" t="s">
        <v>3182</v>
      </c>
      <c r="X4984" t="s">
        <v>3181</v>
      </c>
      <c r="Y4984" t="s">
        <v>875</v>
      </c>
      <c r="AF4984" t="s">
        <v>3183</v>
      </c>
    </row>
    <row r="4985" spans="1:32" hidden="1" x14ac:dyDescent="0.35">
      <c r="A4985">
        <v>4670</v>
      </c>
      <c r="B4985" t="s">
        <v>9761</v>
      </c>
      <c r="C4985" t="s">
        <v>10127</v>
      </c>
      <c r="D4985" t="s">
        <v>60</v>
      </c>
      <c r="E4985">
        <v>1632</v>
      </c>
      <c r="F4985">
        <v>5</v>
      </c>
      <c r="G4985">
        <v>5</v>
      </c>
      <c r="H4985">
        <v>1</v>
      </c>
      <c r="I4985">
        <v>1</v>
      </c>
      <c r="J4985">
        <v>0.78878676470588205</v>
      </c>
      <c r="K4985">
        <v>0.77006291644737301</v>
      </c>
      <c r="L4985">
        <v>0.77931239147462406</v>
      </c>
      <c r="M4985">
        <v>0.38663171690694598</v>
      </c>
      <c r="N4985">
        <v>0.98951507208387901</v>
      </c>
      <c r="O4985">
        <v>0.58938401048492794</v>
      </c>
      <c r="P4985" t="s">
        <v>9538</v>
      </c>
      <c r="Q4985" t="s">
        <v>9539</v>
      </c>
      <c r="R4985" t="s">
        <v>540</v>
      </c>
      <c r="S4985" t="s">
        <v>541</v>
      </c>
      <c r="T4985" t="s">
        <v>9762</v>
      </c>
      <c r="U4985" t="s">
        <v>9763</v>
      </c>
      <c r="V4985" t="s">
        <v>9764</v>
      </c>
      <c r="W4985" t="s">
        <v>9765</v>
      </c>
      <c r="AD4985" t="s">
        <v>1079</v>
      </c>
      <c r="AE4985" t="s">
        <v>1080</v>
      </c>
      <c r="AF4985" t="s">
        <v>9767</v>
      </c>
    </row>
    <row r="4986" spans="1:32" hidden="1" x14ac:dyDescent="0.35">
      <c r="A4986">
        <v>4671</v>
      </c>
      <c r="B4986" t="s">
        <v>9761</v>
      </c>
      <c r="C4986" t="s">
        <v>10127</v>
      </c>
      <c r="D4986" t="s">
        <v>62</v>
      </c>
      <c r="E4986">
        <v>1668</v>
      </c>
      <c r="F4986">
        <v>5</v>
      </c>
      <c r="G4986">
        <v>5</v>
      </c>
      <c r="H4986">
        <v>1</v>
      </c>
      <c r="I4986">
        <v>1</v>
      </c>
      <c r="J4986">
        <v>0.78878676470588205</v>
      </c>
      <c r="K4986">
        <v>0.77006291644737301</v>
      </c>
      <c r="L4986">
        <v>0.77931239147462406</v>
      </c>
      <c r="M4986">
        <v>0.38663171690694598</v>
      </c>
      <c r="N4986">
        <v>0.98951507208387901</v>
      </c>
      <c r="O4986">
        <v>0.58938401048492794</v>
      </c>
      <c r="P4986" t="s">
        <v>9538</v>
      </c>
      <c r="Q4986" t="s">
        <v>9539</v>
      </c>
      <c r="R4986" t="s">
        <v>540</v>
      </c>
      <c r="S4986" t="s">
        <v>541</v>
      </c>
      <c r="T4986" t="s">
        <v>9762</v>
      </c>
      <c r="U4986" t="s">
        <v>9763</v>
      </c>
      <c r="V4986" t="s">
        <v>9764</v>
      </c>
      <c r="W4986" t="s">
        <v>9765</v>
      </c>
      <c r="AD4986" t="s">
        <v>1079</v>
      </c>
      <c r="AE4986" t="s">
        <v>1080</v>
      </c>
      <c r="AF4986" t="s">
        <v>9768</v>
      </c>
    </row>
    <row r="4987" spans="1:32" hidden="1" x14ac:dyDescent="0.35">
      <c r="A4987">
        <v>4672</v>
      </c>
      <c r="B4987" t="s">
        <v>9761</v>
      </c>
      <c r="C4987" t="s">
        <v>10127</v>
      </c>
      <c r="D4987" t="s">
        <v>34</v>
      </c>
      <c r="E4987">
        <v>2033</v>
      </c>
      <c r="F4987">
        <v>5</v>
      </c>
      <c r="G4987">
        <v>5</v>
      </c>
      <c r="H4987">
        <v>1</v>
      </c>
      <c r="I4987">
        <v>1</v>
      </c>
      <c r="J4987">
        <v>0.78878676470588205</v>
      </c>
      <c r="K4987">
        <v>0.77006291644737301</v>
      </c>
      <c r="L4987">
        <v>0.77931239147462406</v>
      </c>
      <c r="M4987">
        <v>0.38663171690694598</v>
      </c>
      <c r="N4987">
        <v>0.98951507208387901</v>
      </c>
      <c r="O4987">
        <v>0.58938401048492794</v>
      </c>
      <c r="P4987" t="s">
        <v>9538</v>
      </c>
      <c r="Q4987" t="s">
        <v>9539</v>
      </c>
      <c r="R4987" t="s">
        <v>540</v>
      </c>
      <c r="S4987" t="s">
        <v>541</v>
      </c>
      <c r="T4987" t="s">
        <v>9762</v>
      </c>
      <c r="U4987" t="s">
        <v>9763</v>
      </c>
      <c r="V4987" t="s">
        <v>9764</v>
      </c>
      <c r="W4987" t="s">
        <v>9765</v>
      </c>
      <c r="AD4987" t="s">
        <v>1079</v>
      </c>
      <c r="AE4987" t="s">
        <v>1080</v>
      </c>
      <c r="AF4987" t="s">
        <v>9769</v>
      </c>
    </row>
    <row r="4988" spans="1:32" hidden="1" x14ac:dyDescent="0.35">
      <c r="A4988">
        <v>4673</v>
      </c>
      <c r="B4988" t="s">
        <v>9761</v>
      </c>
      <c r="C4988" t="s">
        <v>10127</v>
      </c>
      <c r="D4988" t="s">
        <v>45</v>
      </c>
      <c r="E4988">
        <v>839</v>
      </c>
      <c r="F4988">
        <v>5</v>
      </c>
      <c r="G4988">
        <v>5</v>
      </c>
      <c r="H4988">
        <v>1</v>
      </c>
      <c r="I4988">
        <v>1</v>
      </c>
      <c r="J4988">
        <v>0.78878676470588205</v>
      </c>
      <c r="K4988">
        <v>0.77006291644737301</v>
      </c>
      <c r="L4988">
        <v>0.77931239147462406</v>
      </c>
      <c r="M4988">
        <v>0.38663171690694598</v>
      </c>
      <c r="N4988">
        <v>0.98951507208387901</v>
      </c>
      <c r="O4988">
        <v>0.58938401048492794</v>
      </c>
      <c r="P4988" t="s">
        <v>9538</v>
      </c>
      <c r="Q4988" t="s">
        <v>9539</v>
      </c>
      <c r="R4988" t="s">
        <v>540</v>
      </c>
      <c r="S4988" t="s">
        <v>541</v>
      </c>
      <c r="T4988" t="s">
        <v>9762</v>
      </c>
      <c r="U4988" t="s">
        <v>9763</v>
      </c>
      <c r="V4988" t="s">
        <v>9764</v>
      </c>
      <c r="W4988" t="s">
        <v>9765</v>
      </c>
      <c r="AD4988" t="s">
        <v>1079</v>
      </c>
      <c r="AE4988" t="s">
        <v>1080</v>
      </c>
      <c r="AF4988" t="s">
        <v>9770</v>
      </c>
    </row>
    <row r="4989" spans="1:32" hidden="1" x14ac:dyDescent="0.35">
      <c r="A4989">
        <v>4988</v>
      </c>
      <c r="B4989" t="s">
        <v>10431</v>
      </c>
      <c r="C4989" t="s">
        <v>10127</v>
      </c>
      <c r="D4989" t="s">
        <v>60</v>
      </c>
      <c r="E4989">
        <v>1106</v>
      </c>
      <c r="F4989">
        <v>4</v>
      </c>
      <c r="G4989">
        <v>4</v>
      </c>
      <c r="H4989">
        <v>1</v>
      </c>
      <c r="I4989">
        <v>0</v>
      </c>
      <c r="J4989">
        <v>0.87712418300653605</v>
      </c>
      <c r="K4989">
        <v>1</v>
      </c>
      <c r="L4989">
        <v>0.93454038997214495</v>
      </c>
      <c r="M4989">
        <v>0.752941176470588</v>
      </c>
      <c r="N4989">
        <v>1</v>
      </c>
      <c r="O4989">
        <v>0.83529411764705896</v>
      </c>
      <c r="P4989" t="s">
        <v>10432</v>
      </c>
      <c r="Q4989" t="s">
        <v>10433</v>
      </c>
      <c r="R4989" t="s">
        <v>288</v>
      </c>
      <c r="S4989" t="s">
        <v>289</v>
      </c>
      <c r="V4989" t="s">
        <v>10434</v>
      </c>
      <c r="W4989" t="s">
        <v>10435</v>
      </c>
      <c r="AF4989" t="s">
        <v>10436</v>
      </c>
    </row>
    <row r="4990" spans="1:32" hidden="1" x14ac:dyDescent="0.35">
      <c r="A4990">
        <v>4989</v>
      </c>
      <c r="B4990" t="s">
        <v>10431</v>
      </c>
      <c r="C4990" t="s">
        <v>10127</v>
      </c>
      <c r="D4990" t="s">
        <v>62</v>
      </c>
      <c r="E4990">
        <v>1142</v>
      </c>
      <c r="F4990">
        <v>4</v>
      </c>
      <c r="G4990">
        <v>4</v>
      </c>
      <c r="H4990">
        <v>1</v>
      </c>
      <c r="I4990">
        <v>0</v>
      </c>
      <c r="J4990">
        <v>0.87712418300653605</v>
      </c>
      <c r="K4990">
        <v>1</v>
      </c>
      <c r="L4990">
        <v>0.93454038997214495</v>
      </c>
      <c r="M4990">
        <v>0.752941176470588</v>
      </c>
      <c r="N4990">
        <v>1</v>
      </c>
      <c r="O4990">
        <v>0.83529411764705896</v>
      </c>
      <c r="P4990" t="s">
        <v>10432</v>
      </c>
      <c r="Q4990" t="s">
        <v>10433</v>
      </c>
      <c r="R4990" t="s">
        <v>288</v>
      </c>
      <c r="S4990" t="s">
        <v>289</v>
      </c>
      <c r="V4990" t="s">
        <v>10434</v>
      </c>
      <c r="W4990" t="s">
        <v>10435</v>
      </c>
      <c r="AF4990" t="s">
        <v>10436</v>
      </c>
    </row>
    <row r="4991" spans="1:32" hidden="1" x14ac:dyDescent="0.35">
      <c r="A4991">
        <v>4990</v>
      </c>
      <c r="B4991" t="s">
        <v>10431</v>
      </c>
      <c r="C4991" t="s">
        <v>10127</v>
      </c>
      <c r="D4991" t="s">
        <v>34</v>
      </c>
      <c r="E4991">
        <v>1935</v>
      </c>
      <c r="F4991">
        <v>4</v>
      </c>
      <c r="G4991">
        <v>4</v>
      </c>
      <c r="H4991">
        <v>1</v>
      </c>
      <c r="I4991">
        <v>0</v>
      </c>
      <c r="J4991">
        <v>0.87712418300653605</v>
      </c>
      <c r="K4991">
        <v>1</v>
      </c>
      <c r="L4991">
        <v>0.93454038997214495</v>
      </c>
      <c r="M4991">
        <v>0.752941176470588</v>
      </c>
      <c r="N4991">
        <v>1</v>
      </c>
      <c r="O4991">
        <v>0.83529411764705896</v>
      </c>
      <c r="P4991" t="s">
        <v>10432</v>
      </c>
      <c r="Q4991" t="s">
        <v>10433</v>
      </c>
      <c r="R4991" t="s">
        <v>288</v>
      </c>
      <c r="S4991" t="s">
        <v>289</v>
      </c>
      <c r="V4991" t="s">
        <v>10434</v>
      </c>
      <c r="W4991" t="s">
        <v>10435</v>
      </c>
      <c r="AF4991" t="s">
        <v>10437</v>
      </c>
    </row>
    <row r="4992" spans="1:32" hidden="1" x14ac:dyDescent="0.35">
      <c r="A4992">
        <v>4991</v>
      </c>
      <c r="B4992" t="s">
        <v>10431</v>
      </c>
      <c r="C4992" t="s">
        <v>10127</v>
      </c>
      <c r="D4992" t="s">
        <v>45</v>
      </c>
      <c r="E4992">
        <v>938</v>
      </c>
      <c r="F4992">
        <v>4</v>
      </c>
      <c r="G4992">
        <v>4</v>
      </c>
      <c r="H4992">
        <v>1</v>
      </c>
      <c r="I4992">
        <v>0</v>
      </c>
      <c r="J4992">
        <v>0.87712418300653605</v>
      </c>
      <c r="K4992">
        <v>1</v>
      </c>
      <c r="L4992">
        <v>0.93454038997214495</v>
      </c>
      <c r="M4992">
        <v>0.752941176470588</v>
      </c>
      <c r="N4992">
        <v>1</v>
      </c>
      <c r="O4992">
        <v>0.83529411764705896</v>
      </c>
      <c r="P4992" t="s">
        <v>10432</v>
      </c>
      <c r="Q4992" t="s">
        <v>10433</v>
      </c>
      <c r="R4992" t="s">
        <v>288</v>
      </c>
      <c r="S4992" t="s">
        <v>289</v>
      </c>
      <c r="V4992" t="s">
        <v>10434</v>
      </c>
      <c r="W4992" t="s">
        <v>10435</v>
      </c>
      <c r="AF4992" t="s">
        <v>10437</v>
      </c>
    </row>
    <row r="4993" spans="1:32" hidden="1" x14ac:dyDescent="0.35">
      <c r="A4993">
        <v>4992</v>
      </c>
      <c r="B4993" t="s">
        <v>10438</v>
      </c>
      <c r="C4993" t="s">
        <v>10127</v>
      </c>
      <c r="D4993" t="s">
        <v>60</v>
      </c>
      <c r="E4993">
        <v>2313</v>
      </c>
      <c r="F4993">
        <v>4</v>
      </c>
      <c r="G4993">
        <v>4</v>
      </c>
      <c r="H4993">
        <v>1</v>
      </c>
      <c r="I4993">
        <v>0</v>
      </c>
      <c r="J4993">
        <v>0.73856209150326801</v>
      </c>
      <c r="K4993">
        <v>0.94531835205992598</v>
      </c>
      <c r="L4993">
        <v>0.829246876644541</v>
      </c>
      <c r="M4993">
        <v>0.48888888888888898</v>
      </c>
      <c r="N4993">
        <v>1</v>
      </c>
      <c r="O4993">
        <v>0.65925925925925899</v>
      </c>
      <c r="P4993" t="s">
        <v>10439</v>
      </c>
      <c r="Q4993" t="s">
        <v>10440</v>
      </c>
      <c r="AF4993" t="e">
        <f>----MAELSDFDSRILLFEENAPRSLGRKEEAIRAELGLSPTRYYQRLNTLIDVPEANAAHPLLMARLRRRRDMRAEARDAANIYNRAEQ</f>
        <v>#NAME?</v>
      </c>
    </row>
    <row r="4994" spans="1:32" hidden="1" x14ac:dyDescent="0.35">
      <c r="A4994">
        <v>4993</v>
      </c>
      <c r="B4994" t="s">
        <v>10438</v>
      </c>
      <c r="C4994" t="s">
        <v>10127</v>
      </c>
      <c r="D4994" t="s">
        <v>62</v>
      </c>
      <c r="E4994">
        <v>2341</v>
      </c>
      <c r="F4994">
        <v>4</v>
      </c>
      <c r="G4994">
        <v>4</v>
      </c>
      <c r="H4994">
        <v>1</v>
      </c>
      <c r="I4994">
        <v>0</v>
      </c>
      <c r="J4994">
        <v>0.73856209150326801</v>
      </c>
      <c r="K4994">
        <v>0.94531835205992598</v>
      </c>
      <c r="L4994">
        <v>0.829246876644541</v>
      </c>
      <c r="M4994">
        <v>0.48888888888888898</v>
      </c>
      <c r="N4994">
        <v>1</v>
      </c>
      <c r="O4994">
        <v>0.65925925925925899</v>
      </c>
      <c r="P4994" t="s">
        <v>10439</v>
      </c>
      <c r="Q4994" t="s">
        <v>10440</v>
      </c>
      <c r="AF4994" t="e">
        <f>----MAELSDFDSRILLFEENAPRSLGRKEEAIRAELGLSPTRYYQRLNTLIDVPEANAAHPLLMARLRRRRDMRAEARDAANIYNRAEQ</f>
        <v>#NAME?</v>
      </c>
    </row>
    <row r="4995" spans="1:32" hidden="1" x14ac:dyDescent="0.35">
      <c r="A4995">
        <v>4994</v>
      </c>
      <c r="B4995" t="s">
        <v>10438</v>
      </c>
      <c r="C4995" t="s">
        <v>10127</v>
      </c>
      <c r="D4995" t="s">
        <v>34</v>
      </c>
      <c r="E4995">
        <v>1479</v>
      </c>
      <c r="F4995">
        <v>4</v>
      </c>
      <c r="G4995">
        <v>4</v>
      </c>
      <c r="H4995">
        <v>1</v>
      </c>
      <c r="I4995">
        <v>0</v>
      </c>
      <c r="J4995">
        <v>0.73856209150326801</v>
      </c>
      <c r="K4995">
        <v>0.94531835205992598</v>
      </c>
      <c r="L4995">
        <v>0.829246876644541</v>
      </c>
      <c r="M4995">
        <v>0.48888888888888898</v>
      </c>
      <c r="N4995">
        <v>1</v>
      </c>
      <c r="O4995">
        <v>0.65925925925925899</v>
      </c>
      <c r="P4995" t="s">
        <v>10439</v>
      </c>
      <c r="Q4995" t="s">
        <v>10440</v>
      </c>
      <c r="AF4995" t="s">
        <v>10441</v>
      </c>
    </row>
    <row r="4996" spans="1:32" hidden="1" x14ac:dyDescent="0.35">
      <c r="A4996">
        <v>4995</v>
      </c>
      <c r="B4996" t="s">
        <v>10438</v>
      </c>
      <c r="C4996" t="s">
        <v>10127</v>
      </c>
      <c r="D4996" t="s">
        <v>45</v>
      </c>
      <c r="E4996">
        <v>229</v>
      </c>
      <c r="F4996">
        <v>4</v>
      </c>
      <c r="G4996">
        <v>4</v>
      </c>
      <c r="H4996">
        <v>1</v>
      </c>
      <c r="I4996">
        <v>0</v>
      </c>
      <c r="J4996">
        <v>0.73856209150326801</v>
      </c>
      <c r="K4996">
        <v>0.94531835205992598</v>
      </c>
      <c r="L4996">
        <v>0.829246876644541</v>
      </c>
      <c r="M4996">
        <v>0.48888888888888898</v>
      </c>
      <c r="N4996">
        <v>1</v>
      </c>
      <c r="O4996">
        <v>0.65925925925925899</v>
      </c>
      <c r="P4996" t="s">
        <v>10439</v>
      </c>
      <c r="Q4996" t="s">
        <v>10440</v>
      </c>
      <c r="AF4996" t="s">
        <v>10441</v>
      </c>
    </row>
    <row r="4997" spans="1:32" hidden="1" x14ac:dyDescent="0.35">
      <c r="A4997">
        <v>4996</v>
      </c>
      <c r="B4997" t="s">
        <v>10442</v>
      </c>
      <c r="C4997" t="s">
        <v>10127</v>
      </c>
      <c r="D4997" t="s">
        <v>60</v>
      </c>
      <c r="E4997">
        <v>966</v>
      </c>
      <c r="F4997">
        <v>4</v>
      </c>
      <c r="G4997">
        <v>4</v>
      </c>
      <c r="H4997">
        <v>1</v>
      </c>
      <c r="I4997">
        <v>0</v>
      </c>
      <c r="J4997">
        <v>0.765816353815712</v>
      </c>
      <c r="K4997">
        <v>0.96152182478500703</v>
      </c>
      <c r="L4997">
        <v>0.85258248453419305</v>
      </c>
      <c r="M4997">
        <v>0.51618871415356105</v>
      </c>
      <c r="N4997">
        <v>1</v>
      </c>
      <c r="O4997">
        <v>0.67406722170829503</v>
      </c>
      <c r="P4997" t="s">
        <v>10443</v>
      </c>
      <c r="Q4997" t="s">
        <v>10444</v>
      </c>
      <c r="R4997" t="s">
        <v>5180</v>
      </c>
      <c r="S4997" t="s">
        <v>5181</v>
      </c>
      <c r="V4997" t="s">
        <v>10445</v>
      </c>
      <c r="W4997" t="s">
        <v>10446</v>
      </c>
      <c r="AF4997" t="s">
        <v>10447</v>
      </c>
    </row>
    <row r="4998" spans="1:32" hidden="1" x14ac:dyDescent="0.35">
      <c r="A4998">
        <v>4997</v>
      </c>
      <c r="B4998" t="s">
        <v>10442</v>
      </c>
      <c r="C4998" t="s">
        <v>10127</v>
      </c>
      <c r="D4998" t="s">
        <v>62</v>
      </c>
      <c r="E4998">
        <v>1002</v>
      </c>
      <c r="F4998">
        <v>4</v>
      </c>
      <c r="G4998">
        <v>4</v>
      </c>
      <c r="H4998">
        <v>1</v>
      </c>
      <c r="I4998">
        <v>0</v>
      </c>
      <c r="J4998">
        <v>0.765816353815712</v>
      </c>
      <c r="K4998">
        <v>0.96152182478500703</v>
      </c>
      <c r="L4998">
        <v>0.85258248453419305</v>
      </c>
      <c r="M4998">
        <v>0.51618871415356105</v>
      </c>
      <c r="N4998">
        <v>1</v>
      </c>
      <c r="O4998">
        <v>0.67406722170829503</v>
      </c>
      <c r="P4998" t="s">
        <v>10443</v>
      </c>
      <c r="Q4998" t="s">
        <v>10444</v>
      </c>
      <c r="R4998" t="s">
        <v>5180</v>
      </c>
      <c r="S4998" t="s">
        <v>5181</v>
      </c>
      <c r="V4998" t="s">
        <v>10445</v>
      </c>
      <c r="W4998" t="s">
        <v>10446</v>
      </c>
      <c r="AF4998" t="s">
        <v>10447</v>
      </c>
    </row>
    <row r="4999" spans="1:32" hidden="1" x14ac:dyDescent="0.35">
      <c r="A4999">
        <v>4998</v>
      </c>
      <c r="B4999" t="s">
        <v>10442</v>
      </c>
      <c r="C4999" t="s">
        <v>10127</v>
      </c>
      <c r="D4999" t="s">
        <v>34</v>
      </c>
      <c r="E4999">
        <v>186</v>
      </c>
      <c r="F4999">
        <v>4</v>
      </c>
      <c r="G4999">
        <v>4</v>
      </c>
      <c r="H4999">
        <v>1</v>
      </c>
      <c r="I4999">
        <v>0</v>
      </c>
      <c r="J4999">
        <v>0.765816353815712</v>
      </c>
      <c r="K4999">
        <v>0.96152182478500703</v>
      </c>
      <c r="L4999">
        <v>0.85258248453419305</v>
      </c>
      <c r="M4999">
        <v>0.51618871415356105</v>
      </c>
      <c r="N4999">
        <v>1</v>
      </c>
      <c r="O4999">
        <v>0.67406722170829503</v>
      </c>
      <c r="P4999" t="s">
        <v>10443</v>
      </c>
      <c r="Q4999" t="s">
        <v>10444</v>
      </c>
      <c r="R4999" t="s">
        <v>5180</v>
      </c>
      <c r="S4999" t="s">
        <v>5181</v>
      </c>
      <c r="V4999" t="s">
        <v>10445</v>
      </c>
      <c r="W4999" t="s">
        <v>10446</v>
      </c>
      <c r="AF4999" t="s">
        <v>10448</v>
      </c>
    </row>
    <row r="5000" spans="1:32" hidden="1" x14ac:dyDescent="0.35">
      <c r="A5000">
        <v>4999</v>
      </c>
      <c r="B5000" t="s">
        <v>10442</v>
      </c>
      <c r="C5000" t="s">
        <v>10127</v>
      </c>
      <c r="D5000" t="s">
        <v>45</v>
      </c>
      <c r="E5000">
        <v>1449</v>
      </c>
      <c r="F5000">
        <v>4</v>
      </c>
      <c r="G5000">
        <v>4</v>
      </c>
      <c r="H5000">
        <v>1</v>
      </c>
      <c r="I5000">
        <v>0</v>
      </c>
      <c r="J5000">
        <v>0.765816353815712</v>
      </c>
      <c r="K5000">
        <v>0.96152182478500703</v>
      </c>
      <c r="L5000">
        <v>0.85258248453419305</v>
      </c>
      <c r="M5000">
        <v>0.51618871415356105</v>
      </c>
      <c r="N5000">
        <v>1</v>
      </c>
      <c r="O5000">
        <v>0.67406722170829503</v>
      </c>
      <c r="P5000" t="s">
        <v>10443</v>
      </c>
      <c r="Q5000" t="s">
        <v>10444</v>
      </c>
      <c r="R5000" t="s">
        <v>5180</v>
      </c>
      <c r="S5000" t="s">
        <v>5181</v>
      </c>
      <c r="V5000" t="s">
        <v>10445</v>
      </c>
      <c r="W5000" t="s">
        <v>10446</v>
      </c>
      <c r="AF5000" t="s">
        <v>10449</v>
      </c>
    </row>
    <row r="5001" spans="1:32" hidden="1" x14ac:dyDescent="0.35">
      <c r="A5001">
        <v>5000</v>
      </c>
      <c r="B5001" t="s">
        <v>10450</v>
      </c>
      <c r="C5001" t="s">
        <v>10127</v>
      </c>
      <c r="D5001" t="s">
        <v>60</v>
      </c>
      <c r="E5001">
        <v>1510</v>
      </c>
      <c r="F5001">
        <v>4</v>
      </c>
      <c r="G5001">
        <v>4</v>
      </c>
      <c r="H5001">
        <v>1</v>
      </c>
      <c r="I5001">
        <v>0</v>
      </c>
      <c r="J5001">
        <v>0.79851598173516003</v>
      </c>
      <c r="K5001">
        <v>0.98326805469662704</v>
      </c>
      <c r="L5001">
        <v>0.88131360473658205</v>
      </c>
      <c r="M5001">
        <v>0.59595959595959602</v>
      </c>
      <c r="N5001">
        <v>1</v>
      </c>
      <c r="O5001">
        <v>0.72895622895622902</v>
      </c>
      <c r="P5001" t="s">
        <v>10451</v>
      </c>
      <c r="Q5001" t="s">
        <v>10452</v>
      </c>
      <c r="R5001" t="s">
        <v>10453</v>
      </c>
      <c r="S5001" t="s">
        <v>10454</v>
      </c>
      <c r="T5001" t="s">
        <v>10455</v>
      </c>
      <c r="U5001" t="s">
        <v>407</v>
      </c>
      <c r="V5001" t="s">
        <v>10456</v>
      </c>
      <c r="W5001" t="s">
        <v>10457</v>
      </c>
      <c r="AD5001" t="s">
        <v>410</v>
      </c>
      <c r="AE5001" t="s">
        <v>411</v>
      </c>
      <c r="AF5001" t="s">
        <v>10458</v>
      </c>
    </row>
    <row r="5002" spans="1:32" hidden="1" x14ac:dyDescent="0.35">
      <c r="A5002">
        <v>5001</v>
      </c>
      <c r="B5002" t="s">
        <v>10450</v>
      </c>
      <c r="C5002" t="s">
        <v>10127</v>
      </c>
      <c r="D5002" t="s">
        <v>62</v>
      </c>
      <c r="E5002">
        <v>1545</v>
      </c>
      <c r="F5002">
        <v>4</v>
      </c>
      <c r="G5002">
        <v>4</v>
      </c>
      <c r="H5002">
        <v>1</v>
      </c>
      <c r="I5002">
        <v>0</v>
      </c>
      <c r="J5002">
        <v>0.79851598173516003</v>
      </c>
      <c r="K5002">
        <v>0.98326805469662704</v>
      </c>
      <c r="L5002">
        <v>0.88131360473658205</v>
      </c>
      <c r="M5002">
        <v>0.59595959595959602</v>
      </c>
      <c r="N5002">
        <v>1</v>
      </c>
      <c r="O5002">
        <v>0.72895622895622902</v>
      </c>
      <c r="P5002" t="s">
        <v>10451</v>
      </c>
      <c r="Q5002" t="s">
        <v>10452</v>
      </c>
      <c r="R5002" t="s">
        <v>10453</v>
      </c>
      <c r="S5002" t="s">
        <v>10454</v>
      </c>
      <c r="T5002" t="s">
        <v>10455</v>
      </c>
      <c r="U5002" t="s">
        <v>407</v>
      </c>
      <c r="V5002" t="s">
        <v>10456</v>
      </c>
      <c r="W5002" t="s">
        <v>10457</v>
      </c>
      <c r="AD5002" t="s">
        <v>410</v>
      </c>
      <c r="AE5002" t="s">
        <v>411</v>
      </c>
      <c r="AF5002" t="s">
        <v>10458</v>
      </c>
    </row>
    <row r="5003" spans="1:32" hidden="1" x14ac:dyDescent="0.35">
      <c r="A5003">
        <v>5002</v>
      </c>
      <c r="B5003" t="s">
        <v>10450</v>
      </c>
      <c r="C5003" t="s">
        <v>10127</v>
      </c>
      <c r="D5003" t="s">
        <v>34</v>
      </c>
      <c r="E5003">
        <v>1941</v>
      </c>
      <c r="F5003">
        <v>4</v>
      </c>
      <c r="G5003">
        <v>4</v>
      </c>
      <c r="H5003">
        <v>1</v>
      </c>
      <c r="I5003">
        <v>0</v>
      </c>
      <c r="J5003">
        <v>0.79851598173516003</v>
      </c>
      <c r="K5003">
        <v>0.98326805469662704</v>
      </c>
      <c r="L5003">
        <v>0.88131360473658205</v>
      </c>
      <c r="M5003">
        <v>0.59595959595959602</v>
      </c>
      <c r="N5003">
        <v>1</v>
      </c>
      <c r="O5003">
        <v>0.72895622895622902</v>
      </c>
      <c r="P5003" t="s">
        <v>10451</v>
      </c>
      <c r="Q5003" t="s">
        <v>10452</v>
      </c>
      <c r="R5003" t="s">
        <v>10453</v>
      </c>
      <c r="S5003" t="s">
        <v>10454</v>
      </c>
      <c r="T5003" t="s">
        <v>10455</v>
      </c>
      <c r="U5003" t="s">
        <v>407</v>
      </c>
      <c r="V5003" t="s">
        <v>10456</v>
      </c>
      <c r="W5003" t="s">
        <v>10457</v>
      </c>
      <c r="AD5003" t="s">
        <v>410</v>
      </c>
      <c r="AE5003" t="s">
        <v>411</v>
      </c>
      <c r="AF5003" t="e">
        <f>--MTVFAIEYHYPADSPQIIELRPAHREFLGKLKEEGKLIGSGPYTDGDGDALIVIQLDDSATIADAEALMADDPFHTNNALTGRVFHTWNPVLNVFGV</f>
        <v>#NAME?</v>
      </c>
    </row>
    <row r="5004" spans="1:32" hidden="1" x14ac:dyDescent="0.35">
      <c r="A5004">
        <v>5003</v>
      </c>
      <c r="B5004" t="s">
        <v>10450</v>
      </c>
      <c r="C5004" t="s">
        <v>10127</v>
      </c>
      <c r="D5004" t="s">
        <v>45</v>
      </c>
      <c r="E5004">
        <v>932</v>
      </c>
      <c r="F5004">
        <v>4</v>
      </c>
      <c r="G5004">
        <v>4</v>
      </c>
      <c r="H5004">
        <v>1</v>
      </c>
      <c r="I5004">
        <v>0</v>
      </c>
      <c r="J5004">
        <v>0.79851598173516003</v>
      </c>
      <c r="K5004">
        <v>0.98326805469662704</v>
      </c>
      <c r="L5004">
        <v>0.88131360473658205</v>
      </c>
      <c r="M5004">
        <v>0.59595959595959602</v>
      </c>
      <c r="N5004">
        <v>1</v>
      </c>
      <c r="O5004">
        <v>0.72895622895622902</v>
      </c>
      <c r="P5004" t="s">
        <v>10451</v>
      </c>
      <c r="Q5004" t="s">
        <v>10452</v>
      </c>
      <c r="R5004" t="s">
        <v>10453</v>
      </c>
      <c r="S5004" t="s">
        <v>10454</v>
      </c>
      <c r="T5004" t="s">
        <v>10455</v>
      </c>
      <c r="U5004" t="s">
        <v>407</v>
      </c>
      <c r="V5004" t="s">
        <v>10456</v>
      </c>
      <c r="W5004" t="s">
        <v>10457</v>
      </c>
      <c r="AD5004" t="s">
        <v>410</v>
      </c>
      <c r="AE5004" t="s">
        <v>411</v>
      </c>
      <c r="AF5004" t="e">
        <f>--MTVFAIEYHYPADSPQIIELRPAHREFLGKLKEEGKLIGSGPYTDGDGDALIVIQLDDSATIADAEALMADDPFHTNNALTGRVFHTWNPVLNIFGV</f>
        <v>#NAME?</v>
      </c>
    </row>
    <row r="5005" spans="1:32" hidden="1" x14ac:dyDescent="0.35">
      <c r="A5005">
        <v>5004</v>
      </c>
      <c r="B5005" t="s">
        <v>10459</v>
      </c>
      <c r="C5005" t="s">
        <v>10127</v>
      </c>
      <c r="D5005" t="s">
        <v>60</v>
      </c>
      <c r="E5005">
        <v>342</v>
      </c>
      <c r="F5005">
        <v>4</v>
      </c>
      <c r="G5005">
        <v>4</v>
      </c>
      <c r="H5005">
        <v>1</v>
      </c>
      <c r="I5005">
        <v>0</v>
      </c>
      <c r="J5005">
        <v>0.79944674965421902</v>
      </c>
      <c r="K5005">
        <v>0.93960240737899303</v>
      </c>
      <c r="L5005">
        <v>0.86387677715549405</v>
      </c>
      <c r="M5005">
        <v>0.574344023323615</v>
      </c>
      <c r="N5005">
        <v>1</v>
      </c>
      <c r="O5005">
        <v>0.71622934888240997</v>
      </c>
      <c r="P5005" t="s">
        <v>10460</v>
      </c>
      <c r="Q5005" t="s">
        <v>10461</v>
      </c>
      <c r="R5005" t="s">
        <v>2219</v>
      </c>
      <c r="S5005" t="s">
        <v>2220</v>
      </c>
      <c r="T5005" t="s">
        <v>10462</v>
      </c>
      <c r="U5005" t="s">
        <v>10463</v>
      </c>
      <c r="V5005" t="s">
        <v>10464</v>
      </c>
      <c r="W5005" t="s">
        <v>10465</v>
      </c>
      <c r="X5005" t="s">
        <v>10464</v>
      </c>
      <c r="Y5005" t="s">
        <v>10466</v>
      </c>
      <c r="Z5005" t="s">
        <v>876</v>
      </c>
      <c r="AA5005" t="s">
        <v>877</v>
      </c>
      <c r="AB5005" t="s">
        <v>876</v>
      </c>
      <c r="AC5005" t="s">
        <v>878</v>
      </c>
      <c r="AD5005" t="s">
        <v>219</v>
      </c>
      <c r="AE5005" t="s">
        <v>10467</v>
      </c>
      <c r="AF5005" t="s">
        <v>10468</v>
      </c>
    </row>
    <row r="5006" spans="1:32" hidden="1" x14ac:dyDescent="0.35">
      <c r="A5006">
        <v>5005</v>
      </c>
      <c r="B5006" t="s">
        <v>10459</v>
      </c>
      <c r="C5006" t="s">
        <v>10127</v>
      </c>
      <c r="D5006" t="s">
        <v>62</v>
      </c>
      <c r="E5006">
        <v>422</v>
      </c>
      <c r="F5006">
        <v>4</v>
      </c>
      <c r="G5006">
        <v>4</v>
      </c>
      <c r="H5006">
        <v>1</v>
      </c>
      <c r="I5006">
        <v>0</v>
      </c>
      <c r="J5006">
        <v>0.79944674965421902</v>
      </c>
      <c r="K5006">
        <v>0.93960240737899303</v>
      </c>
      <c r="L5006">
        <v>0.86387677715549405</v>
      </c>
      <c r="M5006">
        <v>0.574344023323615</v>
      </c>
      <c r="N5006">
        <v>1</v>
      </c>
      <c r="O5006">
        <v>0.71622934888240997</v>
      </c>
      <c r="P5006" t="s">
        <v>10460</v>
      </c>
      <c r="Q5006" t="s">
        <v>10461</v>
      </c>
      <c r="R5006" t="s">
        <v>2219</v>
      </c>
      <c r="S5006" t="s">
        <v>2220</v>
      </c>
      <c r="T5006" t="s">
        <v>10462</v>
      </c>
      <c r="U5006" t="s">
        <v>10463</v>
      </c>
      <c r="V5006" t="s">
        <v>10464</v>
      </c>
      <c r="W5006" t="s">
        <v>10465</v>
      </c>
      <c r="X5006" t="s">
        <v>10464</v>
      </c>
      <c r="Y5006" t="s">
        <v>10466</v>
      </c>
      <c r="Z5006" t="s">
        <v>876</v>
      </c>
      <c r="AA5006" t="s">
        <v>877</v>
      </c>
      <c r="AB5006" t="s">
        <v>876</v>
      </c>
      <c r="AC5006" t="s">
        <v>878</v>
      </c>
      <c r="AD5006" t="s">
        <v>219</v>
      </c>
      <c r="AE5006" t="s">
        <v>10467</v>
      </c>
      <c r="AF5006" t="s">
        <v>10468</v>
      </c>
    </row>
    <row r="5007" spans="1:32" hidden="1" x14ac:dyDescent="0.35">
      <c r="A5007">
        <v>5006</v>
      </c>
      <c r="B5007" t="s">
        <v>10459</v>
      </c>
      <c r="C5007" t="s">
        <v>10127</v>
      </c>
      <c r="D5007" t="s">
        <v>34</v>
      </c>
      <c r="E5007">
        <v>826</v>
      </c>
      <c r="F5007">
        <v>4</v>
      </c>
      <c r="G5007">
        <v>4</v>
      </c>
      <c r="H5007">
        <v>1</v>
      </c>
      <c r="I5007">
        <v>0</v>
      </c>
      <c r="J5007">
        <v>0.79944674965421902</v>
      </c>
      <c r="K5007">
        <v>0.93960240737899303</v>
      </c>
      <c r="L5007">
        <v>0.86387677715549405</v>
      </c>
      <c r="M5007">
        <v>0.574344023323615</v>
      </c>
      <c r="N5007">
        <v>1</v>
      </c>
      <c r="O5007">
        <v>0.71622934888240997</v>
      </c>
      <c r="P5007" t="s">
        <v>10460</v>
      </c>
      <c r="Q5007" t="s">
        <v>10461</v>
      </c>
      <c r="R5007" t="s">
        <v>2219</v>
      </c>
      <c r="S5007" t="s">
        <v>2220</v>
      </c>
      <c r="T5007" t="s">
        <v>10462</v>
      </c>
      <c r="U5007" t="s">
        <v>10463</v>
      </c>
      <c r="V5007" t="s">
        <v>10464</v>
      </c>
      <c r="W5007" t="s">
        <v>10465</v>
      </c>
      <c r="X5007" t="s">
        <v>10464</v>
      </c>
      <c r="Y5007" t="s">
        <v>10466</v>
      </c>
      <c r="Z5007" t="s">
        <v>876</v>
      </c>
      <c r="AA5007" t="s">
        <v>877</v>
      </c>
      <c r="AB5007" t="s">
        <v>876</v>
      </c>
      <c r="AC5007" t="s">
        <v>878</v>
      </c>
      <c r="AD5007" t="s">
        <v>219</v>
      </c>
      <c r="AE5007" t="s">
        <v>10467</v>
      </c>
      <c r="AF5007" t="s">
        <v>10469</v>
      </c>
    </row>
    <row r="5008" spans="1:32" hidden="1" x14ac:dyDescent="0.35">
      <c r="A5008">
        <v>5007</v>
      </c>
      <c r="B5008" t="s">
        <v>10459</v>
      </c>
      <c r="C5008" t="s">
        <v>10127</v>
      </c>
      <c r="D5008" t="s">
        <v>45</v>
      </c>
      <c r="E5008">
        <v>2083</v>
      </c>
      <c r="F5008">
        <v>4</v>
      </c>
      <c r="G5008">
        <v>4</v>
      </c>
      <c r="H5008">
        <v>1</v>
      </c>
      <c r="I5008">
        <v>0</v>
      </c>
      <c r="J5008">
        <v>0.79944674965421902</v>
      </c>
      <c r="K5008">
        <v>0.93960240737899303</v>
      </c>
      <c r="L5008">
        <v>0.86387677715549405</v>
      </c>
      <c r="M5008">
        <v>0.574344023323615</v>
      </c>
      <c r="N5008">
        <v>1</v>
      </c>
      <c r="O5008">
        <v>0.71622934888240997</v>
      </c>
      <c r="P5008" t="s">
        <v>10460</v>
      </c>
      <c r="Q5008" t="s">
        <v>10461</v>
      </c>
      <c r="R5008" t="s">
        <v>2219</v>
      </c>
      <c r="S5008" t="s">
        <v>2220</v>
      </c>
      <c r="T5008" t="s">
        <v>10462</v>
      </c>
      <c r="U5008" t="s">
        <v>10463</v>
      </c>
      <c r="V5008" t="s">
        <v>10464</v>
      </c>
      <c r="W5008" t="s">
        <v>10465</v>
      </c>
      <c r="X5008" t="s">
        <v>10464</v>
      </c>
      <c r="Y5008" t="s">
        <v>10466</v>
      </c>
      <c r="Z5008" t="s">
        <v>876</v>
      </c>
      <c r="AA5008" t="s">
        <v>877</v>
      </c>
      <c r="AB5008" t="s">
        <v>876</v>
      </c>
      <c r="AC5008" t="s">
        <v>878</v>
      </c>
      <c r="AD5008" t="s">
        <v>219</v>
      </c>
      <c r="AE5008" t="s">
        <v>10467</v>
      </c>
      <c r="AF5008" t="s">
        <v>10469</v>
      </c>
    </row>
    <row r="5009" spans="1:32" hidden="1" x14ac:dyDescent="0.35">
      <c r="A5009">
        <v>5008</v>
      </c>
      <c r="B5009" t="s">
        <v>10470</v>
      </c>
      <c r="C5009" t="s">
        <v>10127</v>
      </c>
      <c r="D5009" t="s">
        <v>60</v>
      </c>
      <c r="E5009">
        <v>820</v>
      </c>
      <c r="F5009">
        <v>4</v>
      </c>
      <c r="G5009">
        <v>4</v>
      </c>
      <c r="H5009">
        <v>1</v>
      </c>
      <c r="I5009">
        <v>0</v>
      </c>
      <c r="J5009">
        <v>0.95063346439493202</v>
      </c>
      <c r="K5009">
        <v>0.993504901960786</v>
      </c>
      <c r="L5009">
        <v>0.97159649044395402</v>
      </c>
      <c r="M5009">
        <v>0.890625</v>
      </c>
      <c r="N5009">
        <v>1</v>
      </c>
      <c r="O5009">
        <v>0.92447916666666696</v>
      </c>
      <c r="P5009" t="s">
        <v>10471</v>
      </c>
      <c r="Q5009" t="s">
        <v>1037</v>
      </c>
      <c r="AF5009" t="s">
        <v>10472</v>
      </c>
    </row>
    <row r="5010" spans="1:32" hidden="1" x14ac:dyDescent="0.35">
      <c r="A5010">
        <v>5009</v>
      </c>
      <c r="B5010" t="s">
        <v>10470</v>
      </c>
      <c r="C5010" t="s">
        <v>10127</v>
      </c>
      <c r="D5010" t="s">
        <v>62</v>
      </c>
      <c r="E5010">
        <v>853</v>
      </c>
      <c r="F5010">
        <v>4</v>
      </c>
      <c r="G5010">
        <v>4</v>
      </c>
      <c r="H5010">
        <v>1</v>
      </c>
      <c r="I5010">
        <v>0</v>
      </c>
      <c r="J5010">
        <v>0.95063346439493202</v>
      </c>
      <c r="K5010">
        <v>0.993504901960786</v>
      </c>
      <c r="L5010">
        <v>0.97159649044395402</v>
      </c>
      <c r="M5010">
        <v>0.890625</v>
      </c>
      <c r="N5010">
        <v>1</v>
      </c>
      <c r="O5010">
        <v>0.92447916666666696</v>
      </c>
      <c r="P5010" t="s">
        <v>10471</v>
      </c>
      <c r="Q5010" t="s">
        <v>1037</v>
      </c>
      <c r="AF5010" t="s">
        <v>10472</v>
      </c>
    </row>
    <row r="5011" spans="1:32" hidden="1" x14ac:dyDescent="0.35">
      <c r="A5011">
        <v>5010</v>
      </c>
      <c r="B5011" t="s">
        <v>10470</v>
      </c>
      <c r="C5011" t="s">
        <v>10127</v>
      </c>
      <c r="D5011" t="s">
        <v>34</v>
      </c>
      <c r="E5011">
        <v>1644</v>
      </c>
      <c r="F5011">
        <v>4</v>
      </c>
      <c r="G5011">
        <v>4</v>
      </c>
      <c r="H5011">
        <v>1</v>
      </c>
      <c r="I5011">
        <v>0</v>
      </c>
      <c r="J5011">
        <v>0.95063346439493202</v>
      </c>
      <c r="K5011">
        <v>0.993504901960786</v>
      </c>
      <c r="L5011">
        <v>0.97159649044395402</v>
      </c>
      <c r="M5011">
        <v>0.890625</v>
      </c>
      <c r="N5011">
        <v>1</v>
      </c>
      <c r="O5011">
        <v>0.92447916666666696</v>
      </c>
      <c r="P5011" t="s">
        <v>10471</v>
      </c>
      <c r="Q5011" t="s">
        <v>1037</v>
      </c>
      <c r="AF5011" t="e">
        <f>--MSSFRHSTLIITAKVETLKVAKSGTARGVTGAMLTGIPLIVSAMMIAIAHNNPVILAKGGAAATHDGNGFFFVATQITAAAEILGFGTMIAWIYAREFMDNTAIGLAMLPMSRHITMTAKFLVYAAWTLVTHLLLAIVMLLLTVGFRFGFPTGAHILRFLVLGVLTLLATPIIAWVSVCTRSLIAGCGTALALIILGQFGTLLGANSGWMPPAVPALWALQIIPTTTPQLLVFLALSAGFAGLTYARWSRMQLA</f>
        <v>#NAME?</v>
      </c>
    </row>
    <row r="5012" spans="1:32" hidden="1" x14ac:dyDescent="0.35">
      <c r="A5012">
        <v>5011</v>
      </c>
      <c r="B5012" t="s">
        <v>10470</v>
      </c>
      <c r="C5012" t="s">
        <v>10127</v>
      </c>
      <c r="D5012" t="s">
        <v>45</v>
      </c>
      <c r="E5012">
        <v>391</v>
      </c>
      <c r="F5012">
        <v>4</v>
      </c>
      <c r="G5012">
        <v>4</v>
      </c>
      <c r="H5012">
        <v>1</v>
      </c>
      <c r="I5012">
        <v>0</v>
      </c>
      <c r="J5012">
        <v>0.95063346439493202</v>
      </c>
      <c r="K5012">
        <v>0.993504901960786</v>
      </c>
      <c r="L5012">
        <v>0.97159649044395402</v>
      </c>
      <c r="M5012">
        <v>0.890625</v>
      </c>
      <c r="N5012">
        <v>1</v>
      </c>
      <c r="O5012">
        <v>0.92447916666666696</v>
      </c>
      <c r="P5012" t="s">
        <v>10471</v>
      </c>
      <c r="Q5012" t="s">
        <v>1037</v>
      </c>
      <c r="AF5012" t="e">
        <f>--MSSFRHSTLIITMKVETLKVTKSATARGITGAMLTGIPLIVSAMMIAIAHNNPVILAKGGAAATHDENGFFFVATQITAAAEVLGFGTMIAWIYAREFMDNTAIGLAMLPMSRHITMTAKFLVYAAWTLVTHLLLAIVMLLLAVGFRFGFPTEAHILRFLVLGVLTLLATPIIAWVSVCTRSLIAGCGTALALIILGQFGTLLGANSGWMPPAVPALWALQIIPTTTPQLLVFLALSAGFAGLTYARWSRMQLA</f>
        <v>#NAME?</v>
      </c>
    </row>
    <row r="5013" spans="1:32" hidden="1" x14ac:dyDescent="0.35">
      <c r="A5013">
        <v>2124</v>
      </c>
      <c r="B5013" t="s">
        <v>4426</v>
      </c>
      <c r="C5013" t="s">
        <v>72</v>
      </c>
      <c r="D5013" t="s">
        <v>58</v>
      </c>
      <c r="E5013">
        <v>1790</v>
      </c>
      <c r="F5013">
        <v>5</v>
      </c>
      <c r="G5013">
        <v>5</v>
      </c>
      <c r="H5013">
        <v>1</v>
      </c>
      <c r="I5013">
        <v>1</v>
      </c>
      <c r="J5013">
        <v>0.80883468834688299</v>
      </c>
      <c r="K5013">
        <v>0.99515612133037501</v>
      </c>
      <c r="L5013">
        <v>0.89237349429374302</v>
      </c>
      <c r="M5013">
        <v>0.66504854368931998</v>
      </c>
      <c r="N5013">
        <v>1</v>
      </c>
      <c r="O5013">
        <v>0.74773462783171496</v>
      </c>
      <c r="P5013" t="s">
        <v>3179</v>
      </c>
      <c r="Q5013" t="s">
        <v>3180</v>
      </c>
      <c r="R5013" t="s">
        <v>75</v>
      </c>
      <c r="S5013" t="s">
        <v>76</v>
      </c>
      <c r="T5013" t="s">
        <v>4427</v>
      </c>
      <c r="U5013" t="s">
        <v>4428</v>
      </c>
      <c r="V5013" t="s">
        <v>3181</v>
      </c>
      <c r="W5013" t="s">
        <v>3182</v>
      </c>
      <c r="X5013" t="s">
        <v>3181</v>
      </c>
      <c r="Y5013" t="s">
        <v>875</v>
      </c>
      <c r="Z5013" t="s">
        <v>144</v>
      </c>
      <c r="AA5013" t="s">
        <v>145</v>
      </c>
      <c r="AB5013" t="s">
        <v>144</v>
      </c>
      <c r="AC5013" t="s">
        <v>146</v>
      </c>
      <c r="AD5013" t="s">
        <v>2751</v>
      </c>
      <c r="AE5013" t="s">
        <v>4429</v>
      </c>
      <c r="AF5013" t="s">
        <v>4430</v>
      </c>
    </row>
    <row r="5014" spans="1:32" hidden="1" x14ac:dyDescent="0.35">
      <c r="A5014">
        <v>4795</v>
      </c>
      <c r="B5014" t="s">
        <v>10055</v>
      </c>
      <c r="C5014" t="s">
        <v>10127</v>
      </c>
      <c r="D5014" t="s">
        <v>60</v>
      </c>
      <c r="E5014">
        <v>2045</v>
      </c>
      <c r="F5014">
        <v>5</v>
      </c>
      <c r="G5014">
        <v>5</v>
      </c>
      <c r="H5014">
        <v>1</v>
      </c>
      <c r="I5014">
        <v>1</v>
      </c>
      <c r="J5014">
        <v>0.70776601109430204</v>
      </c>
      <c r="K5014">
        <v>0.854091131798137</v>
      </c>
      <c r="L5014">
        <v>0.77407421826596001</v>
      </c>
      <c r="M5014">
        <v>0.47770700636942698</v>
      </c>
      <c r="N5014">
        <v>0.98089171974522305</v>
      </c>
      <c r="O5014">
        <v>0.61337579617834403</v>
      </c>
      <c r="P5014" t="s">
        <v>10056</v>
      </c>
      <c r="Q5014" t="s">
        <v>10057</v>
      </c>
      <c r="R5014" t="s">
        <v>75</v>
      </c>
      <c r="S5014" t="s">
        <v>76</v>
      </c>
      <c r="T5014" t="s">
        <v>10058</v>
      </c>
      <c r="U5014" t="s">
        <v>10059</v>
      </c>
      <c r="V5014" t="s">
        <v>10060</v>
      </c>
      <c r="W5014" t="s">
        <v>10061</v>
      </c>
      <c r="AD5014" t="s">
        <v>245</v>
      </c>
      <c r="AE5014" t="s">
        <v>10062</v>
      </c>
      <c r="AF5014" t="s">
        <v>10064</v>
      </c>
    </row>
    <row r="5015" spans="1:32" hidden="1" x14ac:dyDescent="0.35">
      <c r="A5015">
        <v>4796</v>
      </c>
      <c r="B5015" t="s">
        <v>10055</v>
      </c>
      <c r="C5015" t="s">
        <v>10127</v>
      </c>
      <c r="D5015" t="s">
        <v>62</v>
      </c>
      <c r="E5015">
        <v>2082</v>
      </c>
      <c r="F5015">
        <v>5</v>
      </c>
      <c r="G5015">
        <v>5</v>
      </c>
      <c r="H5015">
        <v>1</v>
      </c>
      <c r="I5015">
        <v>1</v>
      </c>
      <c r="J5015">
        <v>0.70776601109430204</v>
      </c>
      <c r="K5015">
        <v>0.854091131798137</v>
      </c>
      <c r="L5015">
        <v>0.77407421826596001</v>
      </c>
      <c r="M5015">
        <v>0.47770700636942698</v>
      </c>
      <c r="N5015">
        <v>0.98089171974522305</v>
      </c>
      <c r="O5015">
        <v>0.61337579617834403</v>
      </c>
      <c r="P5015" t="s">
        <v>10056</v>
      </c>
      <c r="Q5015" t="s">
        <v>10057</v>
      </c>
      <c r="R5015" t="s">
        <v>75</v>
      </c>
      <c r="S5015" t="s">
        <v>76</v>
      </c>
      <c r="T5015" t="s">
        <v>10058</v>
      </c>
      <c r="U5015" t="s">
        <v>10059</v>
      </c>
      <c r="V5015" t="s">
        <v>10060</v>
      </c>
      <c r="W5015" t="s">
        <v>10061</v>
      </c>
      <c r="AD5015" t="s">
        <v>245</v>
      </c>
      <c r="AE5015" t="s">
        <v>10062</v>
      </c>
      <c r="AF5015" t="s">
        <v>10065</v>
      </c>
    </row>
    <row r="5016" spans="1:32" hidden="1" x14ac:dyDescent="0.35">
      <c r="A5016">
        <v>4797</v>
      </c>
      <c r="B5016" t="s">
        <v>10055</v>
      </c>
      <c r="C5016" t="s">
        <v>10127</v>
      </c>
      <c r="D5016" t="s">
        <v>34</v>
      </c>
      <c r="E5016">
        <v>2407</v>
      </c>
      <c r="F5016">
        <v>5</v>
      </c>
      <c r="G5016">
        <v>5</v>
      </c>
      <c r="H5016">
        <v>1</v>
      </c>
      <c r="I5016">
        <v>1</v>
      </c>
      <c r="J5016">
        <v>0.70776601109430204</v>
      </c>
      <c r="K5016">
        <v>0.854091131798137</v>
      </c>
      <c r="L5016">
        <v>0.77407421826596001</v>
      </c>
      <c r="M5016">
        <v>0.47770700636942698</v>
      </c>
      <c r="N5016">
        <v>0.98089171974522305</v>
      </c>
      <c r="O5016">
        <v>0.61337579617834403</v>
      </c>
      <c r="P5016" t="s">
        <v>10056</v>
      </c>
      <c r="Q5016" t="s">
        <v>10057</v>
      </c>
      <c r="R5016" t="s">
        <v>75</v>
      </c>
      <c r="S5016" t="s">
        <v>76</v>
      </c>
      <c r="T5016" t="s">
        <v>10058</v>
      </c>
      <c r="U5016" t="s">
        <v>10059</v>
      </c>
      <c r="V5016" t="s">
        <v>10060</v>
      </c>
      <c r="W5016" t="s">
        <v>10061</v>
      </c>
      <c r="AD5016" t="s">
        <v>245</v>
      </c>
      <c r="AE5016" t="s">
        <v>10062</v>
      </c>
      <c r="AF5016" t="e">
        <f>---------------MSIGIDIVHIPKFAEQLDIPGSRFEQVFTPLELRVAATKPTRSRRMEHLAGRWAAKEAFIKAWGQESYGKPPFINENQVDWSEIQVTPDRWGRTIITLSGAIAQQCGHT-------NIQVSISHDGDYATAICTLPTGNQPG</f>
        <v>#NAME?</v>
      </c>
    </row>
    <row r="5017" spans="1:32" hidden="1" x14ac:dyDescent="0.35">
      <c r="A5017">
        <v>4798</v>
      </c>
      <c r="B5017" t="s">
        <v>10055</v>
      </c>
      <c r="C5017" t="s">
        <v>10127</v>
      </c>
      <c r="D5017" t="s">
        <v>45</v>
      </c>
      <c r="E5017">
        <v>491</v>
      </c>
      <c r="F5017">
        <v>5</v>
      </c>
      <c r="G5017">
        <v>5</v>
      </c>
      <c r="H5017">
        <v>1</v>
      </c>
      <c r="I5017">
        <v>1</v>
      </c>
      <c r="J5017">
        <v>0.70776601109430204</v>
      </c>
      <c r="K5017">
        <v>0.854091131798137</v>
      </c>
      <c r="L5017">
        <v>0.77407421826596001</v>
      </c>
      <c r="M5017">
        <v>0.47770700636942698</v>
      </c>
      <c r="N5017">
        <v>0.98089171974522305</v>
      </c>
      <c r="O5017">
        <v>0.61337579617834403</v>
      </c>
      <c r="P5017" t="s">
        <v>10056</v>
      </c>
      <c r="Q5017" t="s">
        <v>10057</v>
      </c>
      <c r="R5017" t="s">
        <v>75</v>
      </c>
      <c r="S5017" t="s">
        <v>76</v>
      </c>
      <c r="T5017" t="s">
        <v>10058</v>
      </c>
      <c r="U5017" t="s">
        <v>10059</v>
      </c>
      <c r="V5017" t="s">
        <v>10060</v>
      </c>
      <c r="W5017" t="s">
        <v>10061</v>
      </c>
      <c r="AD5017" t="s">
        <v>245</v>
      </c>
      <c r="AE5017" t="s">
        <v>10062</v>
      </c>
      <c r="AF5017" t="e">
        <f>---------------MSIGIDIVHIPKFAEQLDIPGSRFEQVFTPLELRVAATKPTRSRRMEHLAGRWAAKEAFIKAWGQESYGKPPLIGEDQVDWSEIQVTPDRWGRTIITLSGAIAQQCGHT-------NIQVSISHDGDYATAICTLPTGNQPG</f>
        <v>#NAME?</v>
      </c>
    </row>
    <row r="5018" spans="1:32" hidden="1" x14ac:dyDescent="0.35">
      <c r="A5018">
        <v>4904</v>
      </c>
      <c r="B5018" t="s">
        <v>10281</v>
      </c>
      <c r="C5018" t="s">
        <v>10127</v>
      </c>
      <c r="D5018" t="s">
        <v>60</v>
      </c>
      <c r="E5018">
        <v>1424</v>
      </c>
      <c r="F5018">
        <v>4</v>
      </c>
      <c r="G5018">
        <v>4</v>
      </c>
      <c r="H5018">
        <v>1</v>
      </c>
      <c r="I5018">
        <v>0</v>
      </c>
      <c r="J5018">
        <v>0.78813719916619296</v>
      </c>
      <c r="K5018">
        <v>0.96521083029355603</v>
      </c>
      <c r="L5018">
        <v>0.86773252955014901</v>
      </c>
      <c r="M5018">
        <v>0.55921052631578905</v>
      </c>
      <c r="N5018">
        <v>1</v>
      </c>
      <c r="O5018">
        <v>0.70504385964912297</v>
      </c>
      <c r="P5018" t="s">
        <v>10282</v>
      </c>
      <c r="Q5018" t="s">
        <v>10283</v>
      </c>
      <c r="R5018" t="s">
        <v>75</v>
      </c>
      <c r="S5018" t="s">
        <v>76</v>
      </c>
      <c r="T5018" t="s">
        <v>10284</v>
      </c>
      <c r="U5018" t="s">
        <v>10285</v>
      </c>
      <c r="V5018" t="s">
        <v>10286</v>
      </c>
      <c r="W5018" t="s">
        <v>10287</v>
      </c>
      <c r="AD5018" t="s">
        <v>2751</v>
      </c>
      <c r="AE5018" t="s">
        <v>10288</v>
      </c>
      <c r="AF5018" t="s">
        <v>10289</v>
      </c>
    </row>
    <row r="5019" spans="1:32" hidden="1" x14ac:dyDescent="0.35">
      <c r="A5019">
        <v>4905</v>
      </c>
      <c r="B5019" t="s">
        <v>10281</v>
      </c>
      <c r="C5019" t="s">
        <v>10127</v>
      </c>
      <c r="D5019" t="s">
        <v>62</v>
      </c>
      <c r="E5019">
        <v>1459</v>
      </c>
      <c r="F5019">
        <v>4</v>
      </c>
      <c r="G5019">
        <v>4</v>
      </c>
      <c r="H5019">
        <v>1</v>
      </c>
      <c r="I5019">
        <v>0</v>
      </c>
      <c r="J5019">
        <v>0.78813719916619296</v>
      </c>
      <c r="K5019">
        <v>0.96521083029355603</v>
      </c>
      <c r="L5019">
        <v>0.86773252955014901</v>
      </c>
      <c r="M5019">
        <v>0.55921052631578905</v>
      </c>
      <c r="N5019">
        <v>1</v>
      </c>
      <c r="O5019">
        <v>0.70504385964912297</v>
      </c>
      <c r="P5019" t="s">
        <v>10282</v>
      </c>
      <c r="Q5019" t="s">
        <v>10283</v>
      </c>
      <c r="R5019" t="s">
        <v>75</v>
      </c>
      <c r="S5019" t="s">
        <v>76</v>
      </c>
      <c r="T5019" t="s">
        <v>10284</v>
      </c>
      <c r="U5019" t="s">
        <v>10285</v>
      </c>
      <c r="V5019" t="s">
        <v>10286</v>
      </c>
      <c r="W5019" t="s">
        <v>10287</v>
      </c>
      <c r="AD5019" t="s">
        <v>2751</v>
      </c>
      <c r="AE5019" t="s">
        <v>10288</v>
      </c>
      <c r="AF5019" t="s">
        <v>10289</v>
      </c>
    </row>
    <row r="5020" spans="1:32" hidden="1" x14ac:dyDescent="0.35">
      <c r="A5020">
        <v>4906</v>
      </c>
      <c r="B5020" t="s">
        <v>10281</v>
      </c>
      <c r="C5020" t="s">
        <v>10127</v>
      </c>
      <c r="D5020" t="s">
        <v>34</v>
      </c>
      <c r="E5020">
        <v>1851</v>
      </c>
      <c r="F5020">
        <v>4</v>
      </c>
      <c r="G5020">
        <v>4</v>
      </c>
      <c r="H5020">
        <v>1</v>
      </c>
      <c r="I5020">
        <v>0</v>
      </c>
      <c r="J5020">
        <v>0.78813719916619296</v>
      </c>
      <c r="K5020">
        <v>0.96521083029355603</v>
      </c>
      <c r="L5020">
        <v>0.86773252955014901</v>
      </c>
      <c r="M5020">
        <v>0.55921052631578905</v>
      </c>
      <c r="N5020">
        <v>1</v>
      </c>
      <c r="O5020">
        <v>0.70504385964912297</v>
      </c>
      <c r="P5020" t="s">
        <v>10282</v>
      </c>
      <c r="Q5020" t="s">
        <v>10283</v>
      </c>
      <c r="R5020" t="s">
        <v>75</v>
      </c>
      <c r="S5020" t="s">
        <v>76</v>
      </c>
      <c r="T5020" t="s">
        <v>10284</v>
      </c>
      <c r="U5020" t="s">
        <v>10285</v>
      </c>
      <c r="V5020" t="s">
        <v>10286</v>
      </c>
      <c r="W5020" t="s">
        <v>10287</v>
      </c>
      <c r="AD5020" t="s">
        <v>2751</v>
      </c>
      <c r="AE5020" t="s">
        <v>10288</v>
      </c>
      <c r="AF5020" t="s">
        <v>10290</v>
      </c>
    </row>
    <row r="5021" spans="1:32" hidden="1" x14ac:dyDescent="0.35">
      <c r="A5021">
        <v>4907</v>
      </c>
      <c r="B5021" t="s">
        <v>10281</v>
      </c>
      <c r="C5021" t="s">
        <v>10127</v>
      </c>
      <c r="D5021" t="s">
        <v>45</v>
      </c>
      <c r="E5021">
        <v>1022</v>
      </c>
      <c r="F5021">
        <v>4</v>
      </c>
      <c r="G5021">
        <v>4</v>
      </c>
      <c r="H5021">
        <v>1</v>
      </c>
      <c r="I5021">
        <v>0</v>
      </c>
      <c r="J5021">
        <v>0.78813719916619296</v>
      </c>
      <c r="K5021">
        <v>0.96521083029355603</v>
      </c>
      <c r="L5021">
        <v>0.86773252955014901</v>
      </c>
      <c r="M5021">
        <v>0.55921052631578905</v>
      </c>
      <c r="N5021">
        <v>1</v>
      </c>
      <c r="O5021">
        <v>0.70504385964912297</v>
      </c>
      <c r="P5021" t="s">
        <v>10282</v>
      </c>
      <c r="Q5021" t="s">
        <v>10283</v>
      </c>
      <c r="R5021" t="s">
        <v>75</v>
      </c>
      <c r="S5021" t="s">
        <v>76</v>
      </c>
      <c r="T5021" t="s">
        <v>10284</v>
      </c>
      <c r="U5021" t="s">
        <v>10285</v>
      </c>
      <c r="V5021" t="s">
        <v>10286</v>
      </c>
      <c r="W5021" t="s">
        <v>10287</v>
      </c>
      <c r="AD5021" t="s">
        <v>2751</v>
      </c>
      <c r="AE5021" t="s">
        <v>10288</v>
      </c>
      <c r="AF5021" t="s">
        <v>10291</v>
      </c>
    </row>
    <row r="5022" spans="1:32" hidden="1" x14ac:dyDescent="0.35">
      <c r="A5022">
        <v>5212</v>
      </c>
      <c r="B5022" t="s">
        <v>10845</v>
      </c>
      <c r="C5022" t="s">
        <v>10127</v>
      </c>
      <c r="D5022" t="s">
        <v>60</v>
      </c>
      <c r="E5022">
        <v>956</v>
      </c>
      <c r="F5022">
        <v>4</v>
      </c>
      <c r="G5022">
        <v>4</v>
      </c>
      <c r="H5022">
        <v>1</v>
      </c>
      <c r="I5022">
        <v>0</v>
      </c>
      <c r="J5022">
        <v>0.76993931512787195</v>
      </c>
      <c r="K5022">
        <v>0.90484222816234805</v>
      </c>
      <c r="L5022">
        <v>0.83195758663716102</v>
      </c>
      <c r="M5022">
        <v>0.48861646234675998</v>
      </c>
      <c r="N5022">
        <v>1</v>
      </c>
      <c r="O5022">
        <v>0.65645067133683599</v>
      </c>
      <c r="P5022" t="s">
        <v>10846</v>
      </c>
      <c r="Q5022" t="s">
        <v>10847</v>
      </c>
      <c r="R5022" t="s">
        <v>75</v>
      </c>
      <c r="S5022" t="s">
        <v>76</v>
      </c>
      <c r="T5022" t="s">
        <v>10848</v>
      </c>
      <c r="U5022" t="s">
        <v>10849</v>
      </c>
      <c r="V5022" t="s">
        <v>10850</v>
      </c>
      <c r="W5022" t="s">
        <v>10851</v>
      </c>
      <c r="AD5022" t="s">
        <v>410</v>
      </c>
      <c r="AE5022" t="s">
        <v>563</v>
      </c>
      <c r="AF5022" t="s">
        <v>10852</v>
      </c>
    </row>
    <row r="5023" spans="1:32" hidden="1" x14ac:dyDescent="0.35">
      <c r="A5023">
        <v>5213</v>
      </c>
      <c r="B5023" t="s">
        <v>10845</v>
      </c>
      <c r="C5023" t="s">
        <v>10127</v>
      </c>
      <c r="D5023" t="s">
        <v>62</v>
      </c>
      <c r="E5023">
        <v>992</v>
      </c>
      <c r="F5023">
        <v>4</v>
      </c>
      <c r="G5023">
        <v>4</v>
      </c>
      <c r="H5023">
        <v>1</v>
      </c>
      <c r="I5023">
        <v>0</v>
      </c>
      <c r="J5023">
        <v>0.76993931512787195</v>
      </c>
      <c r="K5023">
        <v>0.90484222816234805</v>
      </c>
      <c r="L5023">
        <v>0.83195758663716102</v>
      </c>
      <c r="M5023">
        <v>0.48861646234675998</v>
      </c>
      <c r="N5023">
        <v>1</v>
      </c>
      <c r="O5023">
        <v>0.65645067133683599</v>
      </c>
      <c r="P5023" t="s">
        <v>10846</v>
      </c>
      <c r="Q5023" t="s">
        <v>10847</v>
      </c>
      <c r="R5023" t="s">
        <v>75</v>
      </c>
      <c r="S5023" t="s">
        <v>76</v>
      </c>
      <c r="T5023" t="s">
        <v>10848</v>
      </c>
      <c r="U5023" t="s">
        <v>10849</v>
      </c>
      <c r="V5023" t="s">
        <v>10850</v>
      </c>
      <c r="W5023" t="s">
        <v>10851</v>
      </c>
      <c r="AD5023" t="s">
        <v>410</v>
      </c>
      <c r="AE5023" t="s">
        <v>563</v>
      </c>
      <c r="AF5023" t="s">
        <v>10852</v>
      </c>
    </row>
    <row r="5024" spans="1:32" hidden="1" x14ac:dyDescent="0.35">
      <c r="A5024">
        <v>5214</v>
      </c>
      <c r="B5024" t="s">
        <v>10845</v>
      </c>
      <c r="C5024" t="s">
        <v>10127</v>
      </c>
      <c r="D5024" t="s">
        <v>34</v>
      </c>
      <c r="E5024">
        <v>203</v>
      </c>
      <c r="F5024">
        <v>4</v>
      </c>
      <c r="G5024">
        <v>4</v>
      </c>
      <c r="H5024">
        <v>1</v>
      </c>
      <c r="I5024">
        <v>0</v>
      </c>
      <c r="J5024">
        <v>0.76993931512787195</v>
      </c>
      <c r="K5024">
        <v>0.90484222816234805</v>
      </c>
      <c r="L5024">
        <v>0.83195758663716102</v>
      </c>
      <c r="M5024">
        <v>0.48861646234675998</v>
      </c>
      <c r="N5024">
        <v>1</v>
      </c>
      <c r="O5024">
        <v>0.65645067133683599</v>
      </c>
      <c r="P5024" t="s">
        <v>10846</v>
      </c>
      <c r="Q5024" t="s">
        <v>10847</v>
      </c>
      <c r="R5024" t="s">
        <v>75</v>
      </c>
      <c r="S5024" t="s">
        <v>76</v>
      </c>
      <c r="T5024" t="s">
        <v>10848</v>
      </c>
      <c r="U5024" t="s">
        <v>10849</v>
      </c>
      <c r="V5024" t="s">
        <v>10850</v>
      </c>
      <c r="W5024" t="s">
        <v>10851</v>
      </c>
      <c r="AD5024" t="s">
        <v>410</v>
      </c>
      <c r="AE5024" t="s">
        <v>563</v>
      </c>
      <c r="AF5024" t="s">
        <v>10853</v>
      </c>
    </row>
    <row r="5025" spans="1:32" hidden="1" x14ac:dyDescent="0.35">
      <c r="A5025">
        <v>5215</v>
      </c>
      <c r="B5025" t="s">
        <v>10845</v>
      </c>
      <c r="C5025" t="s">
        <v>10127</v>
      </c>
      <c r="D5025" t="s">
        <v>45</v>
      </c>
      <c r="E5025">
        <v>1466</v>
      </c>
      <c r="F5025">
        <v>4</v>
      </c>
      <c r="G5025">
        <v>4</v>
      </c>
      <c r="H5025">
        <v>1</v>
      </c>
      <c r="I5025">
        <v>0</v>
      </c>
      <c r="J5025">
        <v>0.76993931512787195</v>
      </c>
      <c r="K5025">
        <v>0.90484222816234805</v>
      </c>
      <c r="L5025">
        <v>0.83195758663716102</v>
      </c>
      <c r="M5025">
        <v>0.48861646234675998</v>
      </c>
      <c r="N5025">
        <v>1</v>
      </c>
      <c r="O5025">
        <v>0.65645067133683599</v>
      </c>
      <c r="P5025" t="s">
        <v>10846</v>
      </c>
      <c r="Q5025" t="s">
        <v>10847</v>
      </c>
      <c r="R5025" t="s">
        <v>75</v>
      </c>
      <c r="S5025" t="s">
        <v>76</v>
      </c>
      <c r="T5025" t="s">
        <v>10848</v>
      </c>
      <c r="U5025" t="s">
        <v>10849</v>
      </c>
      <c r="V5025" t="s">
        <v>10850</v>
      </c>
      <c r="W5025" t="s">
        <v>10851</v>
      </c>
      <c r="AD5025" t="s">
        <v>410</v>
      </c>
      <c r="AE5025" t="s">
        <v>563</v>
      </c>
      <c r="AF5025" t="s">
        <v>10854</v>
      </c>
    </row>
    <row r="5026" spans="1:32" hidden="1" x14ac:dyDescent="0.35">
      <c r="A5026">
        <v>5428</v>
      </c>
      <c r="B5026" t="s">
        <v>11206</v>
      </c>
      <c r="C5026" t="s">
        <v>10127</v>
      </c>
      <c r="D5026" t="s">
        <v>60</v>
      </c>
      <c r="E5026">
        <v>1430</v>
      </c>
      <c r="F5026">
        <v>4</v>
      </c>
      <c r="G5026">
        <v>4</v>
      </c>
      <c r="H5026">
        <v>1</v>
      </c>
      <c r="I5026">
        <v>0</v>
      </c>
      <c r="J5026">
        <v>0.84941296579887704</v>
      </c>
      <c r="K5026">
        <v>0.98504044974633298</v>
      </c>
      <c r="L5026">
        <v>0.91221300335088495</v>
      </c>
      <c r="M5026">
        <v>0.67873303167420795</v>
      </c>
      <c r="N5026">
        <v>1</v>
      </c>
      <c r="O5026">
        <v>0.78431372549019596</v>
      </c>
      <c r="P5026" t="s">
        <v>5189</v>
      </c>
      <c r="Q5026" t="s">
        <v>5190</v>
      </c>
      <c r="R5026" t="s">
        <v>75</v>
      </c>
      <c r="S5026" t="s">
        <v>76</v>
      </c>
      <c r="T5026" t="s">
        <v>11207</v>
      </c>
      <c r="U5026" t="s">
        <v>11208</v>
      </c>
      <c r="V5026" t="s">
        <v>5193</v>
      </c>
      <c r="W5026" t="s">
        <v>5194</v>
      </c>
      <c r="X5026" t="s">
        <v>5193</v>
      </c>
      <c r="Y5026" t="s">
        <v>2392</v>
      </c>
      <c r="AD5026" t="s">
        <v>410</v>
      </c>
      <c r="AE5026" t="s">
        <v>11209</v>
      </c>
      <c r="AF5026" t="s">
        <v>11210</v>
      </c>
    </row>
    <row r="5027" spans="1:32" hidden="1" x14ac:dyDescent="0.35">
      <c r="A5027">
        <v>5429</v>
      </c>
      <c r="B5027" t="s">
        <v>11206</v>
      </c>
      <c r="C5027" t="s">
        <v>10127</v>
      </c>
      <c r="D5027" t="s">
        <v>62</v>
      </c>
      <c r="E5027">
        <v>1465</v>
      </c>
      <c r="F5027">
        <v>4</v>
      </c>
      <c r="G5027">
        <v>4</v>
      </c>
      <c r="H5027">
        <v>1</v>
      </c>
      <c r="I5027">
        <v>0</v>
      </c>
      <c r="J5027">
        <v>0.84941296579887704</v>
      </c>
      <c r="K5027">
        <v>0.98504044974633298</v>
      </c>
      <c r="L5027">
        <v>0.91221300335088495</v>
      </c>
      <c r="M5027">
        <v>0.67873303167420795</v>
      </c>
      <c r="N5027">
        <v>1</v>
      </c>
      <c r="O5027">
        <v>0.78431372549019596</v>
      </c>
      <c r="P5027" t="s">
        <v>5189</v>
      </c>
      <c r="Q5027" t="s">
        <v>5190</v>
      </c>
      <c r="R5027" t="s">
        <v>75</v>
      </c>
      <c r="S5027" t="s">
        <v>76</v>
      </c>
      <c r="T5027" t="s">
        <v>11207</v>
      </c>
      <c r="U5027" t="s">
        <v>11208</v>
      </c>
      <c r="V5027" t="s">
        <v>5193</v>
      </c>
      <c r="W5027" t="s">
        <v>5194</v>
      </c>
      <c r="X5027" t="s">
        <v>5193</v>
      </c>
      <c r="Y5027" t="s">
        <v>2392</v>
      </c>
      <c r="AD5027" t="s">
        <v>410</v>
      </c>
      <c r="AE5027" t="s">
        <v>11209</v>
      </c>
      <c r="AF5027" t="s">
        <v>11211</v>
      </c>
    </row>
    <row r="5028" spans="1:32" hidden="1" x14ac:dyDescent="0.35">
      <c r="A5028">
        <v>5430</v>
      </c>
      <c r="B5028" t="s">
        <v>11206</v>
      </c>
      <c r="C5028" t="s">
        <v>10127</v>
      </c>
      <c r="D5028" t="s">
        <v>34</v>
      </c>
      <c r="E5028">
        <v>1856</v>
      </c>
      <c r="F5028">
        <v>4</v>
      </c>
      <c r="G5028">
        <v>4</v>
      </c>
      <c r="H5028">
        <v>1</v>
      </c>
      <c r="I5028">
        <v>0</v>
      </c>
      <c r="J5028">
        <v>0.84941296579887704</v>
      </c>
      <c r="K5028">
        <v>0.98504044974633298</v>
      </c>
      <c r="L5028">
        <v>0.91221300335088495</v>
      </c>
      <c r="M5028">
        <v>0.67873303167420795</v>
      </c>
      <c r="N5028">
        <v>1</v>
      </c>
      <c r="O5028">
        <v>0.78431372549019596</v>
      </c>
      <c r="P5028" t="s">
        <v>5189</v>
      </c>
      <c r="Q5028" t="s">
        <v>5190</v>
      </c>
      <c r="R5028" t="s">
        <v>75</v>
      </c>
      <c r="S5028" t="s">
        <v>76</v>
      </c>
      <c r="T5028" t="s">
        <v>11207</v>
      </c>
      <c r="U5028" t="s">
        <v>11208</v>
      </c>
      <c r="V5028" t="s">
        <v>5193</v>
      </c>
      <c r="W5028" t="s">
        <v>5194</v>
      </c>
      <c r="X5028" t="s">
        <v>5193</v>
      </c>
      <c r="Y5028" t="s">
        <v>2392</v>
      </c>
      <c r="AD5028" t="s">
        <v>410</v>
      </c>
      <c r="AE5028" t="s">
        <v>11209</v>
      </c>
      <c r="AF5028" t="s">
        <v>11212</v>
      </c>
    </row>
    <row r="5029" spans="1:32" hidden="1" x14ac:dyDescent="0.35">
      <c r="A5029">
        <v>5431</v>
      </c>
      <c r="B5029" t="s">
        <v>11206</v>
      </c>
      <c r="C5029" t="s">
        <v>10127</v>
      </c>
      <c r="D5029" t="s">
        <v>45</v>
      </c>
      <c r="E5029">
        <v>1017</v>
      </c>
      <c r="F5029">
        <v>4</v>
      </c>
      <c r="G5029">
        <v>4</v>
      </c>
      <c r="H5029">
        <v>1</v>
      </c>
      <c r="I5029">
        <v>0</v>
      </c>
      <c r="J5029">
        <v>0.84941296579887704</v>
      </c>
      <c r="K5029">
        <v>0.98504044974633298</v>
      </c>
      <c r="L5029">
        <v>0.91221300335088495</v>
      </c>
      <c r="M5029">
        <v>0.67873303167420795</v>
      </c>
      <c r="N5029">
        <v>1</v>
      </c>
      <c r="O5029">
        <v>0.78431372549019596</v>
      </c>
      <c r="P5029" t="s">
        <v>5189</v>
      </c>
      <c r="Q5029" t="s">
        <v>5190</v>
      </c>
      <c r="R5029" t="s">
        <v>75</v>
      </c>
      <c r="S5029" t="s">
        <v>76</v>
      </c>
      <c r="T5029" t="s">
        <v>11207</v>
      </c>
      <c r="U5029" t="s">
        <v>11208</v>
      </c>
      <c r="V5029" t="s">
        <v>5193</v>
      </c>
      <c r="W5029" t="s">
        <v>5194</v>
      </c>
      <c r="X5029" t="s">
        <v>5193</v>
      </c>
      <c r="Y5029" t="s">
        <v>2392</v>
      </c>
      <c r="AD5029" t="s">
        <v>410</v>
      </c>
      <c r="AE5029" t="s">
        <v>11209</v>
      </c>
      <c r="AF5029" t="s">
        <v>11212</v>
      </c>
    </row>
    <row r="5030" spans="1:32" hidden="1" x14ac:dyDescent="0.35">
      <c r="A5030">
        <v>4644</v>
      </c>
      <c r="B5030" t="s">
        <v>9703</v>
      </c>
      <c r="C5030" t="s">
        <v>10127</v>
      </c>
      <c r="D5030" t="s">
        <v>58</v>
      </c>
      <c r="E5030">
        <v>1739</v>
      </c>
      <c r="F5030">
        <v>5</v>
      </c>
      <c r="G5030">
        <v>5</v>
      </c>
      <c r="H5030">
        <v>1</v>
      </c>
      <c r="I5030">
        <v>1</v>
      </c>
      <c r="J5030">
        <v>0.90174267704857203</v>
      </c>
      <c r="K5030">
        <v>0.96216433787591205</v>
      </c>
      <c r="L5030">
        <v>0.93097417290641304</v>
      </c>
      <c r="M5030">
        <v>0.77005347593582896</v>
      </c>
      <c r="N5030">
        <v>0.99465240641711195</v>
      </c>
      <c r="O5030">
        <v>0.85133689839572202</v>
      </c>
      <c r="P5030" t="s">
        <v>4997</v>
      </c>
      <c r="Q5030" t="s">
        <v>4998</v>
      </c>
      <c r="R5030" t="s">
        <v>213</v>
      </c>
      <c r="S5030" t="s">
        <v>214</v>
      </c>
      <c r="T5030" t="s">
        <v>9704</v>
      </c>
      <c r="U5030" t="s">
        <v>9705</v>
      </c>
      <c r="V5030" t="s">
        <v>9706</v>
      </c>
      <c r="W5030" t="s">
        <v>9707</v>
      </c>
      <c r="X5030" t="s">
        <v>9706</v>
      </c>
      <c r="Y5030" t="s">
        <v>2301</v>
      </c>
      <c r="Z5030" t="s">
        <v>2302</v>
      </c>
      <c r="AA5030" t="s">
        <v>2303</v>
      </c>
      <c r="AB5030" t="s">
        <v>2302</v>
      </c>
      <c r="AC5030" t="s">
        <v>2304</v>
      </c>
      <c r="AD5030" t="s">
        <v>219</v>
      </c>
      <c r="AE5030" t="s">
        <v>9708</v>
      </c>
      <c r="AF5030" t="s">
        <v>9709</v>
      </c>
    </row>
    <row r="5031" spans="1:32" hidden="1" x14ac:dyDescent="0.35">
      <c r="A5031">
        <v>4645</v>
      </c>
      <c r="B5031" t="s">
        <v>9703</v>
      </c>
      <c r="C5031" t="s">
        <v>10127</v>
      </c>
      <c r="D5031" t="s">
        <v>60</v>
      </c>
      <c r="E5031">
        <v>2347</v>
      </c>
      <c r="F5031">
        <v>5</v>
      </c>
      <c r="G5031">
        <v>5</v>
      </c>
      <c r="H5031">
        <v>1</v>
      </c>
      <c r="I5031">
        <v>1</v>
      </c>
      <c r="J5031">
        <v>0.90174267704857203</v>
      </c>
      <c r="K5031">
        <v>0.96216433787591205</v>
      </c>
      <c r="L5031">
        <v>0.93097417290641304</v>
      </c>
      <c r="M5031">
        <v>0.77005347593582896</v>
      </c>
      <c r="N5031">
        <v>0.99465240641711195</v>
      </c>
      <c r="O5031">
        <v>0.85133689839572202</v>
      </c>
      <c r="P5031" t="s">
        <v>4997</v>
      </c>
      <c r="Q5031" t="s">
        <v>4998</v>
      </c>
      <c r="R5031" t="s">
        <v>213</v>
      </c>
      <c r="S5031" t="s">
        <v>214</v>
      </c>
      <c r="T5031" t="s">
        <v>9704</v>
      </c>
      <c r="U5031" t="s">
        <v>9705</v>
      </c>
      <c r="V5031" t="s">
        <v>9706</v>
      </c>
      <c r="W5031" t="s">
        <v>9707</v>
      </c>
      <c r="X5031" t="s">
        <v>9706</v>
      </c>
      <c r="Y5031" t="s">
        <v>2301</v>
      </c>
      <c r="Z5031" t="s">
        <v>2302</v>
      </c>
      <c r="AA5031" t="s">
        <v>2303</v>
      </c>
      <c r="AB5031" t="s">
        <v>2302</v>
      </c>
      <c r="AC5031" t="s">
        <v>2304</v>
      </c>
      <c r="AD5031" t="s">
        <v>219</v>
      </c>
      <c r="AE5031" t="s">
        <v>9708</v>
      </c>
      <c r="AF5031" t="e">
        <f>--MVNN-----AQLAELAELVKELAVVHGRVTLSSGKEADYYVDLRRATLHHRASRLIGQLLRELTADWDYVAVGGLTLGADPVATAIMHADGRDINAFVVRKEAKKHGMQRRIEGPDIVGKKVLVVEDTTTTGNSPLTAVAALREAGAEVVGVATVVDRATGADKVIADEGLDYRFLLGLEDLGLA</f>
        <v>#NAME?</v>
      </c>
    </row>
    <row r="5032" spans="1:32" hidden="1" x14ac:dyDescent="0.35">
      <c r="A5032">
        <v>4646</v>
      </c>
      <c r="B5032" t="s">
        <v>9703</v>
      </c>
      <c r="C5032" t="s">
        <v>10127</v>
      </c>
      <c r="D5032" t="s">
        <v>62</v>
      </c>
      <c r="E5032">
        <v>2375</v>
      </c>
      <c r="F5032">
        <v>5</v>
      </c>
      <c r="G5032">
        <v>5</v>
      </c>
      <c r="H5032">
        <v>1</v>
      </c>
      <c r="I5032">
        <v>1</v>
      </c>
      <c r="J5032">
        <v>0.90174267704857203</v>
      </c>
      <c r="K5032">
        <v>0.96216433787591205</v>
      </c>
      <c r="L5032">
        <v>0.93097417290641304</v>
      </c>
      <c r="M5032">
        <v>0.77005347593582896</v>
      </c>
      <c r="N5032">
        <v>0.99465240641711195</v>
      </c>
      <c r="O5032">
        <v>0.85133689839572202</v>
      </c>
      <c r="P5032" t="s">
        <v>4997</v>
      </c>
      <c r="Q5032" t="s">
        <v>4998</v>
      </c>
      <c r="R5032" t="s">
        <v>213</v>
      </c>
      <c r="S5032" t="s">
        <v>214</v>
      </c>
      <c r="T5032" t="s">
        <v>9704</v>
      </c>
      <c r="U5032" t="s">
        <v>9705</v>
      </c>
      <c r="V5032" t="s">
        <v>9706</v>
      </c>
      <c r="W5032" t="s">
        <v>9707</v>
      </c>
      <c r="X5032" t="s">
        <v>9706</v>
      </c>
      <c r="Y5032" t="s">
        <v>2301</v>
      </c>
      <c r="Z5032" t="s">
        <v>2302</v>
      </c>
      <c r="AA5032" t="s">
        <v>2303</v>
      </c>
      <c r="AB5032" t="s">
        <v>2302</v>
      </c>
      <c r="AC5032" t="s">
        <v>2304</v>
      </c>
      <c r="AD5032" t="s">
        <v>219</v>
      </c>
      <c r="AE5032" t="s">
        <v>9708</v>
      </c>
      <c r="AF5032" t="e">
        <f>--MVNN-----AQLAELAELVKELAVVHGRVTLSSGKEADYYVDLRRATLHHRASRLIGQLLRELTADWDYVAVGGLTLGADPVATAIMHADGRDINAFVVRKEAKKHGMQRRIEGPDIVGKKVLVVEDTTTTGNSPLTAVAALREAGAEVVGVATVVDRATGADKVIADEGLDYRFLLGLEDLGLD</f>
        <v>#NAME?</v>
      </c>
    </row>
    <row r="5033" spans="1:32" hidden="1" x14ac:dyDescent="0.35">
      <c r="A5033">
        <v>5032</v>
      </c>
      <c r="B5033" t="s">
        <v>10518</v>
      </c>
      <c r="C5033" t="s">
        <v>10127</v>
      </c>
      <c r="D5033" t="s">
        <v>60</v>
      </c>
      <c r="E5033">
        <v>266</v>
      </c>
      <c r="F5033">
        <v>2</v>
      </c>
      <c r="G5033">
        <v>4</v>
      </c>
      <c r="H5033">
        <v>2</v>
      </c>
      <c r="I5033">
        <v>0</v>
      </c>
      <c r="J5033">
        <v>0.74809644670050801</v>
      </c>
      <c r="K5033">
        <v>0.89256112172778701</v>
      </c>
      <c r="L5033">
        <v>0.81396851662012104</v>
      </c>
      <c r="M5033">
        <v>0.407407407407407</v>
      </c>
      <c r="N5033">
        <v>1</v>
      </c>
      <c r="O5033">
        <v>0.60942760942760899</v>
      </c>
      <c r="AF5033" t="e">
        <f>------MKLVFSRDCDDAGRRALSRGVLSGTHLRLALGVYVERDGFNELPPWEQHRLRALALGASGTRVIAGVSAALLWGMWVRVGRDDPVEYAMNRGSKDVGG-GRRLRALLGESSYVDGKIAKVATIPRVLLDLARYHSFEDCFMAASWVMAHDAYPLAELREAALSDETLTRVLDLVDPYVESAAEAYFLAQVRKDGVIDVQPQVTVADSRLATRRPDFQIRRTRIVIEISGLGKYGETAEEQQFNVERATNRYDRLVTAGYTIWAYSAKDVFSGFAYRDVLRRYKEMRERESM</f>
        <v>#NAME?</v>
      </c>
    </row>
    <row r="5034" spans="1:32" hidden="1" x14ac:dyDescent="0.35">
      <c r="A5034">
        <v>5033</v>
      </c>
      <c r="B5034" t="s">
        <v>10518</v>
      </c>
      <c r="C5034" t="s">
        <v>10127</v>
      </c>
      <c r="D5034" t="s">
        <v>60</v>
      </c>
      <c r="E5034">
        <v>2277</v>
      </c>
      <c r="F5034">
        <v>2</v>
      </c>
      <c r="G5034">
        <v>4</v>
      </c>
      <c r="H5034">
        <v>2</v>
      </c>
      <c r="I5034">
        <v>0</v>
      </c>
      <c r="J5034">
        <v>0.74809644670050801</v>
      </c>
      <c r="K5034">
        <v>0.89256112172778701</v>
      </c>
      <c r="L5034">
        <v>0.81396851662012104</v>
      </c>
      <c r="M5034">
        <v>0.407407407407407</v>
      </c>
      <c r="N5034">
        <v>1</v>
      </c>
      <c r="O5034">
        <v>0.60942760942760899</v>
      </c>
      <c r="AF5034" t="s">
        <v>10519</v>
      </c>
    </row>
    <row r="5035" spans="1:32" hidden="1" x14ac:dyDescent="0.35">
      <c r="A5035">
        <v>5034</v>
      </c>
      <c r="B5035" t="s">
        <v>10518</v>
      </c>
      <c r="C5035" t="s">
        <v>10127</v>
      </c>
      <c r="D5035" t="s">
        <v>62</v>
      </c>
      <c r="E5035">
        <v>344</v>
      </c>
      <c r="F5035">
        <v>2</v>
      </c>
      <c r="G5035">
        <v>4</v>
      </c>
      <c r="H5035">
        <v>2</v>
      </c>
      <c r="I5035">
        <v>0</v>
      </c>
      <c r="J5035">
        <v>0.74809644670050801</v>
      </c>
      <c r="K5035">
        <v>0.89256112172778701</v>
      </c>
      <c r="L5035">
        <v>0.81396851662012104</v>
      </c>
      <c r="M5035">
        <v>0.407407407407407</v>
      </c>
      <c r="N5035">
        <v>1</v>
      </c>
      <c r="O5035">
        <v>0.60942760942760899</v>
      </c>
      <c r="AF5035" t="e">
        <f>------MKLVFSRDCDDAGRRALSRGVLSGTHLRLALGVYVERDGFNELPPWEQHRLRALALGASGTRVIAGVSAALLWGMWVRVGRDDPVEYAMNRGSKDVGG-GRRLRALLGESSYVDGKIAKVATIPRVLLDLARYHSFEDCFMAASWVMAHDAYPLAELREAALSDETLTRVLDLVDPYVESAAEAYFLAQVRKDGVIDVQPQVTVADSRLATRRPDFQIRRTRIVIEISGLGKYGETAEEQQFNVERATNRYDRLVTAGYTIWAYSAKDVFSGFAYRDVLRRYKEMRERESM</f>
        <v>#NAME?</v>
      </c>
    </row>
    <row r="5036" spans="1:32" hidden="1" x14ac:dyDescent="0.35">
      <c r="A5036">
        <v>5035</v>
      </c>
      <c r="B5036" t="s">
        <v>10518</v>
      </c>
      <c r="C5036" t="s">
        <v>10127</v>
      </c>
      <c r="D5036" t="s">
        <v>62</v>
      </c>
      <c r="E5036">
        <v>2306</v>
      </c>
      <c r="F5036">
        <v>2</v>
      </c>
      <c r="G5036">
        <v>4</v>
      </c>
      <c r="H5036">
        <v>2</v>
      </c>
      <c r="I5036">
        <v>0</v>
      </c>
      <c r="J5036">
        <v>0.74809644670050801</v>
      </c>
      <c r="K5036">
        <v>0.89256112172778701</v>
      </c>
      <c r="L5036">
        <v>0.81396851662012104</v>
      </c>
      <c r="M5036">
        <v>0.407407407407407</v>
      </c>
      <c r="N5036">
        <v>1</v>
      </c>
      <c r="O5036">
        <v>0.60942760942760899</v>
      </c>
      <c r="AF5036" t="s">
        <v>10520</v>
      </c>
    </row>
    <row r="5037" spans="1:32" hidden="1" x14ac:dyDescent="0.35">
      <c r="A5037">
        <v>4647</v>
      </c>
      <c r="B5037" t="s">
        <v>9703</v>
      </c>
      <c r="C5037" t="s">
        <v>10127</v>
      </c>
      <c r="D5037" t="s">
        <v>34</v>
      </c>
      <c r="E5037">
        <v>1424</v>
      </c>
      <c r="F5037">
        <v>5</v>
      </c>
      <c r="G5037">
        <v>5</v>
      </c>
      <c r="H5037">
        <v>1</v>
      </c>
      <c r="I5037">
        <v>1</v>
      </c>
      <c r="J5037">
        <v>0.90174267704857203</v>
      </c>
      <c r="K5037">
        <v>0.96216433787591205</v>
      </c>
      <c r="L5037">
        <v>0.93097417290641304</v>
      </c>
      <c r="M5037">
        <v>0.77005347593582896</v>
      </c>
      <c r="N5037">
        <v>0.99465240641711195</v>
      </c>
      <c r="O5037">
        <v>0.85133689839572202</v>
      </c>
      <c r="P5037" t="s">
        <v>4997</v>
      </c>
      <c r="Q5037" t="s">
        <v>4998</v>
      </c>
      <c r="R5037" t="s">
        <v>213</v>
      </c>
      <c r="S5037" t="s">
        <v>214</v>
      </c>
      <c r="T5037" t="s">
        <v>9704</v>
      </c>
      <c r="U5037" t="s">
        <v>9705</v>
      </c>
      <c r="V5037" t="s">
        <v>9706</v>
      </c>
      <c r="W5037" t="s">
        <v>9707</v>
      </c>
      <c r="X5037" t="s">
        <v>9706</v>
      </c>
      <c r="Y5037" t="s">
        <v>2301</v>
      </c>
      <c r="Z5037" t="s">
        <v>2302</v>
      </c>
      <c r="AA5037" t="s">
        <v>2303</v>
      </c>
      <c r="AB5037" t="s">
        <v>2302</v>
      </c>
      <c r="AC5037" t="s">
        <v>2304</v>
      </c>
      <c r="AD5037" t="s">
        <v>219</v>
      </c>
      <c r="AE5037" t="s">
        <v>9708</v>
      </c>
      <c r="AF5037" t="s">
        <v>9710</v>
      </c>
    </row>
    <row r="5038" spans="1:32" hidden="1" x14ac:dyDescent="0.35">
      <c r="A5038">
        <v>4648</v>
      </c>
      <c r="B5038" t="s">
        <v>9703</v>
      </c>
      <c r="C5038" t="s">
        <v>10127</v>
      </c>
      <c r="D5038" t="s">
        <v>45</v>
      </c>
      <c r="E5038">
        <v>175</v>
      </c>
      <c r="F5038">
        <v>5</v>
      </c>
      <c r="G5038">
        <v>5</v>
      </c>
      <c r="H5038">
        <v>1</v>
      </c>
      <c r="I5038">
        <v>1</v>
      </c>
      <c r="J5038">
        <v>0.90174267704857203</v>
      </c>
      <c r="K5038">
        <v>0.96216433787591205</v>
      </c>
      <c r="L5038">
        <v>0.93097417290641304</v>
      </c>
      <c r="M5038">
        <v>0.77005347593582896</v>
      </c>
      <c r="N5038">
        <v>0.99465240641711195</v>
      </c>
      <c r="O5038">
        <v>0.85133689839572202</v>
      </c>
      <c r="P5038" t="s">
        <v>4997</v>
      </c>
      <c r="Q5038" t="s">
        <v>4998</v>
      </c>
      <c r="R5038" t="s">
        <v>213</v>
      </c>
      <c r="S5038" t="s">
        <v>214</v>
      </c>
      <c r="T5038" t="s">
        <v>9704</v>
      </c>
      <c r="U5038" t="s">
        <v>9705</v>
      </c>
      <c r="V5038" t="s">
        <v>9706</v>
      </c>
      <c r="W5038" t="s">
        <v>9707</v>
      </c>
      <c r="X5038" t="s">
        <v>9706</v>
      </c>
      <c r="Y5038" t="s">
        <v>2301</v>
      </c>
      <c r="Z5038" t="s">
        <v>2302</v>
      </c>
      <c r="AA5038" t="s">
        <v>2303</v>
      </c>
      <c r="AB5038" t="s">
        <v>2302</v>
      </c>
      <c r="AC5038" t="s">
        <v>2304</v>
      </c>
      <c r="AD5038" t="s">
        <v>219</v>
      </c>
      <c r="AE5038" t="s">
        <v>9708</v>
      </c>
      <c r="AF5038" t="s">
        <v>9711</v>
      </c>
    </row>
    <row r="5039" spans="1:32" hidden="1" x14ac:dyDescent="0.35">
      <c r="A5039">
        <v>4659</v>
      </c>
      <c r="B5039" t="s">
        <v>9735</v>
      </c>
      <c r="C5039" t="s">
        <v>10127</v>
      </c>
      <c r="D5039" t="s">
        <v>58</v>
      </c>
      <c r="E5039">
        <v>528</v>
      </c>
      <c r="F5039">
        <v>5</v>
      </c>
      <c r="G5039">
        <v>5</v>
      </c>
      <c r="H5039">
        <v>1</v>
      </c>
      <c r="I5039">
        <v>1</v>
      </c>
      <c r="J5039">
        <v>0.85532710280373803</v>
      </c>
      <c r="K5039">
        <v>0.98361867809854697</v>
      </c>
      <c r="L5039">
        <v>0.91499784598203704</v>
      </c>
      <c r="M5039">
        <v>0.74264705882352899</v>
      </c>
      <c r="N5039">
        <v>0.98529411764705899</v>
      </c>
      <c r="O5039">
        <v>0.81580882352941197</v>
      </c>
      <c r="P5039" t="s">
        <v>9736</v>
      </c>
      <c r="Q5039" t="s">
        <v>9737</v>
      </c>
      <c r="R5039" t="s">
        <v>213</v>
      </c>
      <c r="S5039" t="s">
        <v>214</v>
      </c>
      <c r="T5039" t="s">
        <v>9738</v>
      </c>
      <c r="U5039" t="s">
        <v>9739</v>
      </c>
      <c r="V5039" t="s">
        <v>9740</v>
      </c>
      <c r="W5039" t="s">
        <v>9741</v>
      </c>
      <c r="X5039" t="s">
        <v>9740</v>
      </c>
      <c r="Y5039" t="s">
        <v>3014</v>
      </c>
      <c r="Z5039" t="s">
        <v>3015</v>
      </c>
      <c r="AA5039" t="s">
        <v>3016</v>
      </c>
      <c r="AB5039" t="s">
        <v>3015</v>
      </c>
      <c r="AC5039" t="s">
        <v>2304</v>
      </c>
      <c r="AD5039" t="s">
        <v>245</v>
      </c>
      <c r="AE5039" t="s">
        <v>9742</v>
      </c>
      <c r="AF5039" t="s">
        <v>9743</v>
      </c>
    </row>
    <row r="5040" spans="1:32" hidden="1" x14ac:dyDescent="0.35">
      <c r="A5040">
        <v>4660</v>
      </c>
      <c r="B5040" t="s">
        <v>9735</v>
      </c>
      <c r="C5040" t="s">
        <v>10127</v>
      </c>
      <c r="D5040" t="s">
        <v>60</v>
      </c>
      <c r="E5040">
        <v>738</v>
      </c>
      <c r="F5040">
        <v>5</v>
      </c>
      <c r="G5040">
        <v>5</v>
      </c>
      <c r="H5040">
        <v>1</v>
      </c>
      <c r="I5040">
        <v>1</v>
      </c>
      <c r="J5040">
        <v>0.85532710280373803</v>
      </c>
      <c r="K5040">
        <v>0.98361867809854697</v>
      </c>
      <c r="L5040">
        <v>0.91499784598203704</v>
      </c>
      <c r="M5040">
        <v>0.74264705882352899</v>
      </c>
      <c r="N5040">
        <v>0.98529411764705899</v>
      </c>
      <c r="O5040">
        <v>0.81580882352941197</v>
      </c>
      <c r="P5040" t="s">
        <v>9736</v>
      </c>
      <c r="Q5040" t="s">
        <v>9737</v>
      </c>
      <c r="R5040" t="s">
        <v>213</v>
      </c>
      <c r="S5040" t="s">
        <v>214</v>
      </c>
      <c r="T5040" t="s">
        <v>9738</v>
      </c>
      <c r="U5040" t="s">
        <v>9739</v>
      </c>
      <c r="V5040" t="s">
        <v>9740</v>
      </c>
      <c r="W5040" t="s">
        <v>9741</v>
      </c>
      <c r="X5040" t="s">
        <v>9740</v>
      </c>
      <c r="Y5040" t="s">
        <v>3014</v>
      </c>
      <c r="Z5040" t="s">
        <v>3015</v>
      </c>
      <c r="AA5040" t="s">
        <v>3016</v>
      </c>
      <c r="AB5040" t="s">
        <v>3015</v>
      </c>
      <c r="AC5040" t="s">
        <v>2304</v>
      </c>
      <c r="AD5040" t="s">
        <v>245</v>
      </c>
      <c r="AE5040" t="s">
        <v>9742</v>
      </c>
      <c r="AF5040" t="s">
        <v>9744</v>
      </c>
    </row>
    <row r="5041" spans="1:32" hidden="1" x14ac:dyDescent="0.35">
      <c r="A5041">
        <v>5040</v>
      </c>
      <c r="B5041" t="s">
        <v>10530</v>
      </c>
      <c r="C5041" t="s">
        <v>10127</v>
      </c>
      <c r="D5041" t="s">
        <v>60</v>
      </c>
      <c r="E5041">
        <v>1410</v>
      </c>
      <c r="F5041">
        <v>4</v>
      </c>
      <c r="G5041">
        <v>4</v>
      </c>
      <c r="H5041">
        <v>1</v>
      </c>
      <c r="I5041">
        <v>0</v>
      </c>
      <c r="J5041">
        <v>0.76108502869066297</v>
      </c>
      <c r="K5041">
        <v>0.97738130469707896</v>
      </c>
      <c r="L5041">
        <v>0.85577760585966201</v>
      </c>
      <c r="M5041">
        <v>0.53669724770642202</v>
      </c>
      <c r="N5041">
        <v>1</v>
      </c>
      <c r="O5041">
        <v>0.69113149847094801</v>
      </c>
      <c r="P5041" t="s">
        <v>2440</v>
      </c>
      <c r="Q5041" t="s">
        <v>2441</v>
      </c>
      <c r="R5041" t="s">
        <v>288</v>
      </c>
      <c r="S5041" t="s">
        <v>289</v>
      </c>
      <c r="T5041" t="s">
        <v>8027</v>
      </c>
      <c r="U5041" t="s">
        <v>8028</v>
      </c>
      <c r="V5041" t="s">
        <v>2442</v>
      </c>
      <c r="W5041" t="s">
        <v>2443</v>
      </c>
      <c r="AD5041" t="s">
        <v>219</v>
      </c>
      <c r="AE5041" t="s">
        <v>8029</v>
      </c>
      <c r="AF5041" t="s">
        <v>10531</v>
      </c>
    </row>
    <row r="5042" spans="1:32" hidden="1" x14ac:dyDescent="0.35">
      <c r="A5042">
        <v>5041</v>
      </c>
      <c r="B5042" t="s">
        <v>10530</v>
      </c>
      <c r="C5042" t="s">
        <v>10127</v>
      </c>
      <c r="D5042" t="s">
        <v>62</v>
      </c>
      <c r="E5042">
        <v>1445</v>
      </c>
      <c r="F5042">
        <v>4</v>
      </c>
      <c r="G5042">
        <v>4</v>
      </c>
      <c r="H5042">
        <v>1</v>
      </c>
      <c r="I5042">
        <v>0</v>
      </c>
      <c r="J5042">
        <v>0.76108502869066297</v>
      </c>
      <c r="K5042">
        <v>0.97738130469707896</v>
      </c>
      <c r="L5042">
        <v>0.85577760585966201</v>
      </c>
      <c r="M5042">
        <v>0.53669724770642202</v>
      </c>
      <c r="N5042">
        <v>1</v>
      </c>
      <c r="O5042">
        <v>0.69113149847094801</v>
      </c>
      <c r="P5042" t="s">
        <v>2440</v>
      </c>
      <c r="Q5042" t="s">
        <v>2441</v>
      </c>
      <c r="R5042" t="s">
        <v>288</v>
      </c>
      <c r="S5042" t="s">
        <v>289</v>
      </c>
      <c r="T5042" t="s">
        <v>8027</v>
      </c>
      <c r="U5042" t="s">
        <v>8028</v>
      </c>
      <c r="V5042" t="s">
        <v>2442</v>
      </c>
      <c r="W5042" t="s">
        <v>2443</v>
      </c>
      <c r="AD5042" t="s">
        <v>219</v>
      </c>
      <c r="AE5042" t="s">
        <v>8029</v>
      </c>
      <c r="AF5042" t="s">
        <v>10531</v>
      </c>
    </row>
    <row r="5043" spans="1:32" hidden="1" x14ac:dyDescent="0.35">
      <c r="A5043">
        <v>5042</v>
      </c>
      <c r="B5043" t="s">
        <v>10530</v>
      </c>
      <c r="C5043" t="s">
        <v>10127</v>
      </c>
      <c r="D5043" t="s">
        <v>34</v>
      </c>
      <c r="E5043">
        <v>1836</v>
      </c>
      <c r="F5043">
        <v>4</v>
      </c>
      <c r="G5043">
        <v>4</v>
      </c>
      <c r="H5043">
        <v>1</v>
      </c>
      <c r="I5043">
        <v>0</v>
      </c>
      <c r="J5043">
        <v>0.76108502869066297</v>
      </c>
      <c r="K5043">
        <v>0.97738130469707896</v>
      </c>
      <c r="L5043">
        <v>0.85577760585966201</v>
      </c>
      <c r="M5043">
        <v>0.53669724770642202</v>
      </c>
      <c r="N5043">
        <v>1</v>
      </c>
      <c r="O5043">
        <v>0.69113149847094801</v>
      </c>
      <c r="P5043" t="s">
        <v>2440</v>
      </c>
      <c r="Q5043" t="s">
        <v>2441</v>
      </c>
      <c r="R5043" t="s">
        <v>288</v>
      </c>
      <c r="S5043" t="s">
        <v>289</v>
      </c>
      <c r="T5043" t="s">
        <v>8027</v>
      </c>
      <c r="U5043" t="s">
        <v>8028</v>
      </c>
      <c r="V5043" t="s">
        <v>2442</v>
      </c>
      <c r="W5043" t="s">
        <v>2443</v>
      </c>
      <c r="AD5043" t="s">
        <v>219</v>
      </c>
      <c r="AE5043" t="s">
        <v>8029</v>
      </c>
      <c r="AF5043" t="s">
        <v>10532</v>
      </c>
    </row>
    <row r="5044" spans="1:32" hidden="1" x14ac:dyDescent="0.35">
      <c r="A5044">
        <v>5043</v>
      </c>
      <c r="B5044" t="s">
        <v>10530</v>
      </c>
      <c r="C5044" t="s">
        <v>10127</v>
      </c>
      <c r="D5044" t="s">
        <v>45</v>
      </c>
      <c r="E5044">
        <v>1037</v>
      </c>
      <c r="F5044">
        <v>4</v>
      </c>
      <c r="G5044">
        <v>4</v>
      </c>
      <c r="H5044">
        <v>1</v>
      </c>
      <c r="I5044">
        <v>0</v>
      </c>
      <c r="J5044">
        <v>0.76108502869066297</v>
      </c>
      <c r="K5044">
        <v>0.97738130469707896</v>
      </c>
      <c r="L5044">
        <v>0.85577760585966201</v>
      </c>
      <c r="M5044">
        <v>0.53669724770642202</v>
      </c>
      <c r="N5044">
        <v>1</v>
      </c>
      <c r="O5044">
        <v>0.69113149847094801</v>
      </c>
      <c r="P5044" t="s">
        <v>2440</v>
      </c>
      <c r="Q5044" t="s">
        <v>2441</v>
      </c>
      <c r="R5044" t="s">
        <v>288</v>
      </c>
      <c r="S5044" t="s">
        <v>289</v>
      </c>
      <c r="T5044" t="s">
        <v>8027</v>
      </c>
      <c r="U5044" t="s">
        <v>8028</v>
      </c>
      <c r="V5044" t="s">
        <v>2442</v>
      </c>
      <c r="W5044" t="s">
        <v>2443</v>
      </c>
      <c r="AD5044" t="s">
        <v>219</v>
      </c>
      <c r="AE5044" t="s">
        <v>8029</v>
      </c>
      <c r="AF5044" t="s">
        <v>10532</v>
      </c>
    </row>
    <row r="5045" spans="1:32" hidden="1" x14ac:dyDescent="0.35">
      <c r="A5045">
        <v>5044</v>
      </c>
      <c r="B5045" t="s">
        <v>10533</v>
      </c>
      <c r="C5045" t="s">
        <v>10127</v>
      </c>
      <c r="D5045" t="s">
        <v>60</v>
      </c>
      <c r="E5045">
        <v>1342</v>
      </c>
      <c r="F5045">
        <v>4</v>
      </c>
      <c r="G5045">
        <v>4</v>
      </c>
      <c r="H5045">
        <v>1</v>
      </c>
      <c r="I5045">
        <v>0</v>
      </c>
      <c r="J5045">
        <v>0.88946910356831999</v>
      </c>
      <c r="K5045">
        <v>0.93824308451986904</v>
      </c>
      <c r="L5045">
        <v>0.91320530743957196</v>
      </c>
      <c r="M5045">
        <v>0.73105134474327604</v>
      </c>
      <c r="N5045">
        <v>1</v>
      </c>
      <c r="O5045">
        <v>0.82151589242053802</v>
      </c>
      <c r="P5045" t="s">
        <v>10534</v>
      </c>
      <c r="Q5045" t="s">
        <v>10535</v>
      </c>
      <c r="R5045" t="s">
        <v>288</v>
      </c>
      <c r="S5045" t="s">
        <v>289</v>
      </c>
      <c r="V5045" t="s">
        <v>10536</v>
      </c>
      <c r="W5045" t="s">
        <v>10537</v>
      </c>
      <c r="X5045" t="s">
        <v>10536</v>
      </c>
      <c r="Y5045" t="s">
        <v>1091</v>
      </c>
      <c r="AF5045" t="s">
        <v>10538</v>
      </c>
    </row>
    <row r="5046" spans="1:32" hidden="1" x14ac:dyDescent="0.35">
      <c r="A5046">
        <v>5045</v>
      </c>
      <c r="B5046" t="s">
        <v>10533</v>
      </c>
      <c r="C5046" t="s">
        <v>10127</v>
      </c>
      <c r="D5046" t="s">
        <v>62</v>
      </c>
      <c r="E5046">
        <v>1378</v>
      </c>
      <c r="F5046">
        <v>4</v>
      </c>
      <c r="G5046">
        <v>4</v>
      </c>
      <c r="H5046">
        <v>1</v>
      </c>
      <c r="I5046">
        <v>0</v>
      </c>
      <c r="J5046">
        <v>0.88946910356831999</v>
      </c>
      <c r="K5046">
        <v>0.93824308451986904</v>
      </c>
      <c r="L5046">
        <v>0.91320530743957196</v>
      </c>
      <c r="M5046">
        <v>0.73105134474327604</v>
      </c>
      <c r="N5046">
        <v>1</v>
      </c>
      <c r="O5046">
        <v>0.82151589242053802</v>
      </c>
      <c r="P5046" t="s">
        <v>10534</v>
      </c>
      <c r="Q5046" t="s">
        <v>10535</v>
      </c>
      <c r="R5046" t="s">
        <v>288</v>
      </c>
      <c r="S5046" t="s">
        <v>289</v>
      </c>
      <c r="V5046" t="s">
        <v>10536</v>
      </c>
      <c r="W5046" t="s">
        <v>10537</v>
      </c>
      <c r="X5046" t="s">
        <v>10536</v>
      </c>
      <c r="Y5046" t="s">
        <v>1091</v>
      </c>
      <c r="AF5046" t="s">
        <v>10538</v>
      </c>
    </row>
    <row r="5047" spans="1:32" hidden="1" x14ac:dyDescent="0.35">
      <c r="A5047">
        <v>5046</v>
      </c>
      <c r="B5047" t="s">
        <v>10533</v>
      </c>
      <c r="C5047" t="s">
        <v>10127</v>
      </c>
      <c r="D5047" t="s">
        <v>34</v>
      </c>
      <c r="E5047">
        <v>104</v>
      </c>
      <c r="F5047">
        <v>4</v>
      </c>
      <c r="G5047">
        <v>4</v>
      </c>
      <c r="H5047">
        <v>1</v>
      </c>
      <c r="I5047">
        <v>0</v>
      </c>
      <c r="J5047">
        <v>0.88946910356831999</v>
      </c>
      <c r="K5047">
        <v>0.93824308451986904</v>
      </c>
      <c r="L5047">
        <v>0.91320530743957196</v>
      </c>
      <c r="M5047">
        <v>0.73105134474327604</v>
      </c>
      <c r="N5047">
        <v>1</v>
      </c>
      <c r="O5047">
        <v>0.82151589242053802</v>
      </c>
      <c r="P5047" t="s">
        <v>10534</v>
      </c>
      <c r="Q5047" t="s">
        <v>10535</v>
      </c>
      <c r="R5047" t="s">
        <v>288</v>
      </c>
      <c r="S5047" t="s">
        <v>289</v>
      </c>
      <c r="V5047" t="s">
        <v>10536</v>
      </c>
      <c r="W5047" t="s">
        <v>10537</v>
      </c>
      <c r="X5047" t="s">
        <v>10536</v>
      </c>
      <c r="Y5047" t="s">
        <v>1091</v>
      </c>
      <c r="AF5047" t="s">
        <v>10539</v>
      </c>
    </row>
    <row r="5048" spans="1:32" hidden="1" x14ac:dyDescent="0.35">
      <c r="A5048">
        <v>5047</v>
      </c>
      <c r="B5048" t="s">
        <v>10533</v>
      </c>
      <c r="C5048" t="s">
        <v>10127</v>
      </c>
      <c r="D5048" t="s">
        <v>45</v>
      </c>
      <c r="E5048">
        <v>1365</v>
      </c>
      <c r="F5048">
        <v>4</v>
      </c>
      <c r="G5048">
        <v>4</v>
      </c>
      <c r="H5048">
        <v>1</v>
      </c>
      <c r="I5048">
        <v>0</v>
      </c>
      <c r="J5048">
        <v>0.88946910356831999</v>
      </c>
      <c r="K5048">
        <v>0.93824308451986904</v>
      </c>
      <c r="L5048">
        <v>0.91320530743957196</v>
      </c>
      <c r="M5048">
        <v>0.73105134474327604</v>
      </c>
      <c r="N5048">
        <v>1</v>
      </c>
      <c r="O5048">
        <v>0.82151589242053802</v>
      </c>
      <c r="P5048" t="s">
        <v>10534</v>
      </c>
      <c r="Q5048" t="s">
        <v>10535</v>
      </c>
      <c r="R5048" t="s">
        <v>288</v>
      </c>
      <c r="S5048" t="s">
        <v>289</v>
      </c>
      <c r="V5048" t="s">
        <v>10536</v>
      </c>
      <c r="W5048" t="s">
        <v>10537</v>
      </c>
      <c r="X5048" t="s">
        <v>10536</v>
      </c>
      <c r="Y5048" t="s">
        <v>1091</v>
      </c>
      <c r="AF5048" t="s">
        <v>10540</v>
      </c>
    </row>
    <row r="5049" spans="1:32" hidden="1" x14ac:dyDescent="0.35">
      <c r="A5049">
        <v>5048</v>
      </c>
      <c r="B5049" t="s">
        <v>10541</v>
      </c>
      <c r="C5049" t="s">
        <v>10127</v>
      </c>
      <c r="D5049" t="s">
        <v>60</v>
      </c>
      <c r="E5049">
        <v>1553</v>
      </c>
      <c r="F5049">
        <v>4</v>
      </c>
      <c r="G5049">
        <v>4</v>
      </c>
      <c r="H5049">
        <v>1</v>
      </c>
      <c r="I5049">
        <v>0</v>
      </c>
      <c r="J5049">
        <v>0.75187032418952604</v>
      </c>
      <c r="K5049">
        <v>0.95893177930773799</v>
      </c>
      <c r="L5049">
        <v>0.84287054161305697</v>
      </c>
      <c r="M5049">
        <v>0.50179211469534002</v>
      </c>
      <c r="N5049">
        <v>1</v>
      </c>
      <c r="O5049">
        <v>0.66427718040621297</v>
      </c>
      <c r="P5049" t="s">
        <v>2440</v>
      </c>
      <c r="Q5049" t="s">
        <v>2441</v>
      </c>
      <c r="R5049" t="s">
        <v>288</v>
      </c>
      <c r="S5049" t="s">
        <v>289</v>
      </c>
      <c r="T5049" t="s">
        <v>10542</v>
      </c>
      <c r="U5049" t="s">
        <v>10543</v>
      </c>
      <c r="V5049" t="s">
        <v>2442</v>
      </c>
      <c r="W5049" t="s">
        <v>2443</v>
      </c>
      <c r="AD5049" t="s">
        <v>219</v>
      </c>
      <c r="AE5049" t="s">
        <v>10544</v>
      </c>
      <c r="AF5049" t="s">
        <v>10545</v>
      </c>
    </row>
    <row r="5050" spans="1:32" hidden="1" x14ac:dyDescent="0.35">
      <c r="A5050">
        <v>5049</v>
      </c>
      <c r="B5050" t="s">
        <v>10541</v>
      </c>
      <c r="C5050" t="s">
        <v>10127</v>
      </c>
      <c r="D5050" t="s">
        <v>62</v>
      </c>
      <c r="E5050">
        <v>1588</v>
      </c>
      <c r="F5050">
        <v>4</v>
      </c>
      <c r="G5050">
        <v>4</v>
      </c>
      <c r="H5050">
        <v>1</v>
      </c>
      <c r="I5050">
        <v>0</v>
      </c>
      <c r="J5050">
        <v>0.75187032418952604</v>
      </c>
      <c r="K5050">
        <v>0.95893177930773799</v>
      </c>
      <c r="L5050">
        <v>0.84287054161305697</v>
      </c>
      <c r="M5050">
        <v>0.50179211469534002</v>
      </c>
      <c r="N5050">
        <v>1</v>
      </c>
      <c r="O5050">
        <v>0.66427718040621297</v>
      </c>
      <c r="P5050" t="s">
        <v>2440</v>
      </c>
      <c r="Q5050" t="s">
        <v>2441</v>
      </c>
      <c r="R5050" t="s">
        <v>288</v>
      </c>
      <c r="S5050" t="s">
        <v>289</v>
      </c>
      <c r="T5050" t="s">
        <v>10542</v>
      </c>
      <c r="U5050" t="s">
        <v>10543</v>
      </c>
      <c r="V5050" t="s">
        <v>2442</v>
      </c>
      <c r="W5050" t="s">
        <v>2443</v>
      </c>
      <c r="AD5050" t="s">
        <v>219</v>
      </c>
      <c r="AE5050" t="s">
        <v>10544</v>
      </c>
      <c r="AF5050" t="s">
        <v>10545</v>
      </c>
    </row>
    <row r="5051" spans="1:32" hidden="1" x14ac:dyDescent="0.35">
      <c r="A5051">
        <v>5050</v>
      </c>
      <c r="B5051" t="s">
        <v>10541</v>
      </c>
      <c r="C5051" t="s">
        <v>10127</v>
      </c>
      <c r="D5051" t="s">
        <v>34</v>
      </c>
      <c r="E5051">
        <v>2413</v>
      </c>
      <c r="F5051">
        <v>4</v>
      </c>
      <c r="G5051">
        <v>4</v>
      </c>
      <c r="H5051">
        <v>1</v>
      </c>
      <c r="I5051">
        <v>0</v>
      </c>
      <c r="J5051">
        <v>0.75187032418952604</v>
      </c>
      <c r="K5051">
        <v>0.95893177930773799</v>
      </c>
      <c r="L5051">
        <v>0.84287054161305697</v>
      </c>
      <c r="M5051">
        <v>0.50179211469534002</v>
      </c>
      <c r="N5051">
        <v>1</v>
      </c>
      <c r="O5051">
        <v>0.66427718040621297</v>
      </c>
      <c r="P5051" t="s">
        <v>2440</v>
      </c>
      <c r="Q5051" t="s">
        <v>2441</v>
      </c>
      <c r="R5051" t="s">
        <v>288</v>
      </c>
      <c r="S5051" t="s">
        <v>289</v>
      </c>
      <c r="T5051" t="s">
        <v>10542</v>
      </c>
      <c r="U5051" t="s">
        <v>10543</v>
      </c>
      <c r="V5051" t="s">
        <v>2442</v>
      </c>
      <c r="W5051" t="s">
        <v>2443</v>
      </c>
      <c r="AD5051" t="s">
        <v>219</v>
      </c>
      <c r="AE5051" t="s">
        <v>10544</v>
      </c>
      <c r="AF5051" t="s">
        <v>10546</v>
      </c>
    </row>
    <row r="5052" spans="1:32" hidden="1" x14ac:dyDescent="0.35">
      <c r="A5052">
        <v>5051</v>
      </c>
      <c r="B5052" t="s">
        <v>10541</v>
      </c>
      <c r="C5052" t="s">
        <v>10127</v>
      </c>
      <c r="D5052" t="s">
        <v>45</v>
      </c>
      <c r="E5052">
        <v>484</v>
      </c>
      <c r="F5052">
        <v>4</v>
      </c>
      <c r="G5052">
        <v>4</v>
      </c>
      <c r="H5052">
        <v>1</v>
      </c>
      <c r="I5052">
        <v>0</v>
      </c>
      <c r="J5052">
        <v>0.75187032418952604</v>
      </c>
      <c r="K5052">
        <v>0.95893177930773799</v>
      </c>
      <c r="L5052">
        <v>0.84287054161305697</v>
      </c>
      <c r="M5052">
        <v>0.50179211469534002</v>
      </c>
      <c r="N5052">
        <v>1</v>
      </c>
      <c r="O5052">
        <v>0.66427718040621297</v>
      </c>
      <c r="P5052" t="s">
        <v>2440</v>
      </c>
      <c r="Q5052" t="s">
        <v>2441</v>
      </c>
      <c r="R5052" t="s">
        <v>288</v>
      </c>
      <c r="S5052" t="s">
        <v>289</v>
      </c>
      <c r="T5052" t="s">
        <v>10542</v>
      </c>
      <c r="U5052" t="s">
        <v>10543</v>
      </c>
      <c r="V5052" t="s">
        <v>2442</v>
      </c>
      <c r="W5052" t="s">
        <v>2443</v>
      </c>
      <c r="AD5052" t="s">
        <v>219</v>
      </c>
      <c r="AE5052" t="s">
        <v>10544</v>
      </c>
      <c r="AF5052" t="s">
        <v>10547</v>
      </c>
    </row>
    <row r="5053" spans="1:32" hidden="1" x14ac:dyDescent="0.35">
      <c r="A5053">
        <v>4661</v>
      </c>
      <c r="B5053" t="s">
        <v>9735</v>
      </c>
      <c r="C5053" t="s">
        <v>10127</v>
      </c>
      <c r="D5053" t="s">
        <v>62</v>
      </c>
      <c r="E5053">
        <v>770</v>
      </c>
      <c r="F5053">
        <v>5</v>
      </c>
      <c r="G5053">
        <v>5</v>
      </c>
      <c r="H5053">
        <v>1</v>
      </c>
      <c r="I5053">
        <v>1</v>
      </c>
      <c r="J5053">
        <v>0.85532710280373803</v>
      </c>
      <c r="K5053">
        <v>0.98361867809854697</v>
      </c>
      <c r="L5053">
        <v>0.91499784598203704</v>
      </c>
      <c r="M5053">
        <v>0.74264705882352899</v>
      </c>
      <c r="N5053">
        <v>0.98529411764705899</v>
      </c>
      <c r="O5053">
        <v>0.81580882352941197</v>
      </c>
      <c r="P5053" t="s">
        <v>9736</v>
      </c>
      <c r="Q5053" t="s">
        <v>9737</v>
      </c>
      <c r="R5053" t="s">
        <v>213</v>
      </c>
      <c r="S5053" t="s">
        <v>214</v>
      </c>
      <c r="T5053" t="s">
        <v>9738</v>
      </c>
      <c r="U5053" t="s">
        <v>9739</v>
      </c>
      <c r="V5053" t="s">
        <v>9740</v>
      </c>
      <c r="W5053" t="s">
        <v>9741</v>
      </c>
      <c r="X5053" t="s">
        <v>9740</v>
      </c>
      <c r="Y5053" t="s">
        <v>3014</v>
      </c>
      <c r="Z5053" t="s">
        <v>3015</v>
      </c>
      <c r="AA5053" t="s">
        <v>3016</v>
      </c>
      <c r="AB5053" t="s">
        <v>3015</v>
      </c>
      <c r="AC5053" t="s">
        <v>2304</v>
      </c>
      <c r="AD5053" t="s">
        <v>245</v>
      </c>
      <c r="AE5053" t="s">
        <v>9742</v>
      </c>
      <c r="AF5053" t="s">
        <v>9745</v>
      </c>
    </row>
    <row r="5054" spans="1:32" hidden="1" x14ac:dyDescent="0.35">
      <c r="A5054">
        <v>4662</v>
      </c>
      <c r="B5054" t="s">
        <v>9735</v>
      </c>
      <c r="C5054" t="s">
        <v>10127</v>
      </c>
      <c r="D5054" t="s">
        <v>34</v>
      </c>
      <c r="E5054">
        <v>400</v>
      </c>
      <c r="F5054">
        <v>5</v>
      </c>
      <c r="G5054">
        <v>5</v>
      </c>
      <c r="H5054">
        <v>1</v>
      </c>
      <c r="I5054">
        <v>1</v>
      </c>
      <c r="J5054">
        <v>0.85532710280373803</v>
      </c>
      <c r="K5054">
        <v>0.98361867809854697</v>
      </c>
      <c r="L5054">
        <v>0.91499784598203704</v>
      </c>
      <c r="M5054">
        <v>0.74264705882352899</v>
      </c>
      <c r="N5054">
        <v>0.98529411764705899</v>
      </c>
      <c r="O5054">
        <v>0.81580882352941197</v>
      </c>
      <c r="P5054" t="s">
        <v>9736</v>
      </c>
      <c r="Q5054" t="s">
        <v>9737</v>
      </c>
      <c r="R5054" t="s">
        <v>213</v>
      </c>
      <c r="S5054" t="s">
        <v>214</v>
      </c>
      <c r="T5054" t="s">
        <v>9738</v>
      </c>
      <c r="U5054" t="s">
        <v>9739</v>
      </c>
      <c r="V5054" t="s">
        <v>9740</v>
      </c>
      <c r="W5054" t="s">
        <v>9741</v>
      </c>
      <c r="X5054" t="s">
        <v>9740</v>
      </c>
      <c r="Y5054" t="s">
        <v>3014</v>
      </c>
      <c r="Z5054" t="s">
        <v>3015</v>
      </c>
      <c r="AA5054" t="s">
        <v>3016</v>
      </c>
      <c r="AB5054" t="s">
        <v>3015</v>
      </c>
      <c r="AC5054" t="s">
        <v>2304</v>
      </c>
      <c r="AD5054" t="s">
        <v>245</v>
      </c>
      <c r="AE5054" t="s">
        <v>9742</v>
      </c>
      <c r="AF5054" t="s">
        <v>9746</v>
      </c>
    </row>
    <row r="5055" spans="1:32" hidden="1" x14ac:dyDescent="0.35">
      <c r="A5055">
        <v>4663</v>
      </c>
      <c r="B5055" t="s">
        <v>9735</v>
      </c>
      <c r="C5055" t="s">
        <v>10127</v>
      </c>
      <c r="D5055" t="s">
        <v>45</v>
      </c>
      <c r="E5055">
        <v>1661</v>
      </c>
      <c r="F5055">
        <v>5</v>
      </c>
      <c r="G5055">
        <v>5</v>
      </c>
      <c r="H5055">
        <v>1</v>
      </c>
      <c r="I5055">
        <v>1</v>
      </c>
      <c r="J5055">
        <v>0.85532710280373803</v>
      </c>
      <c r="K5055">
        <v>0.98361867809854697</v>
      </c>
      <c r="L5055">
        <v>0.91499784598203704</v>
      </c>
      <c r="M5055">
        <v>0.74264705882352899</v>
      </c>
      <c r="N5055">
        <v>0.98529411764705899</v>
      </c>
      <c r="O5055">
        <v>0.81580882352941197</v>
      </c>
      <c r="P5055" t="s">
        <v>9736</v>
      </c>
      <c r="Q5055" t="s">
        <v>9737</v>
      </c>
      <c r="R5055" t="s">
        <v>213</v>
      </c>
      <c r="S5055" t="s">
        <v>214</v>
      </c>
      <c r="T5055" t="s">
        <v>9738</v>
      </c>
      <c r="U5055" t="s">
        <v>9739</v>
      </c>
      <c r="V5055" t="s">
        <v>9740</v>
      </c>
      <c r="W5055" t="s">
        <v>9741</v>
      </c>
      <c r="X5055" t="s">
        <v>9740</v>
      </c>
      <c r="Y5055" t="s">
        <v>3014</v>
      </c>
      <c r="Z5055" t="s">
        <v>3015</v>
      </c>
      <c r="AA5055" t="s">
        <v>3016</v>
      </c>
      <c r="AB5055" t="s">
        <v>3015</v>
      </c>
      <c r="AC5055" t="s">
        <v>2304</v>
      </c>
      <c r="AD5055" t="s">
        <v>245</v>
      </c>
      <c r="AE5055" t="s">
        <v>9742</v>
      </c>
      <c r="AF5055" t="s">
        <v>9747</v>
      </c>
    </row>
    <row r="5056" spans="1:32" hidden="1" x14ac:dyDescent="0.35">
      <c r="A5056">
        <v>4848</v>
      </c>
      <c r="B5056" t="s">
        <v>10161</v>
      </c>
      <c r="C5056" t="s">
        <v>10127</v>
      </c>
      <c r="D5056" t="s">
        <v>60</v>
      </c>
      <c r="E5056">
        <v>2177</v>
      </c>
      <c r="F5056">
        <v>4</v>
      </c>
      <c r="G5056">
        <v>4</v>
      </c>
      <c r="H5056">
        <v>1</v>
      </c>
      <c r="I5056">
        <v>0</v>
      </c>
      <c r="J5056">
        <v>0.80454585654903998</v>
      </c>
      <c r="K5056">
        <v>0.961237088135525</v>
      </c>
      <c r="L5056">
        <v>0.875939275264494</v>
      </c>
      <c r="M5056">
        <v>0.605504587155963</v>
      </c>
      <c r="N5056">
        <v>1</v>
      </c>
      <c r="O5056">
        <v>0.73649337410805304</v>
      </c>
      <c r="P5056" t="s">
        <v>6914</v>
      </c>
      <c r="Q5056" t="s">
        <v>6915</v>
      </c>
      <c r="R5056" t="s">
        <v>96</v>
      </c>
      <c r="S5056" t="s">
        <v>97</v>
      </c>
      <c r="V5056" t="s">
        <v>6918</v>
      </c>
      <c r="W5056" t="s">
        <v>6919</v>
      </c>
      <c r="AF5056" t="s">
        <v>10162</v>
      </c>
    </row>
    <row r="5057" spans="1:32" hidden="1" x14ac:dyDescent="0.35">
      <c r="A5057">
        <v>5056</v>
      </c>
      <c r="B5057" t="s">
        <v>10552</v>
      </c>
      <c r="C5057" t="s">
        <v>10127</v>
      </c>
      <c r="D5057" t="s">
        <v>60</v>
      </c>
      <c r="E5057">
        <v>1329</v>
      </c>
      <c r="F5057">
        <v>4</v>
      </c>
      <c r="G5057">
        <v>4</v>
      </c>
      <c r="H5057">
        <v>1</v>
      </c>
      <c r="I5057">
        <v>0</v>
      </c>
      <c r="J5057">
        <v>0.84401024983984596</v>
      </c>
      <c r="K5057">
        <v>0.76797561894875999</v>
      </c>
      <c r="L5057">
        <v>0.80419972230520198</v>
      </c>
      <c r="M5057">
        <v>0.42721088435374099</v>
      </c>
      <c r="N5057">
        <v>1</v>
      </c>
      <c r="O5057">
        <v>0.61859410430839001</v>
      </c>
      <c r="P5057" t="s">
        <v>10553</v>
      </c>
      <c r="Q5057" t="s">
        <v>10554</v>
      </c>
      <c r="R5057" t="s">
        <v>10555</v>
      </c>
      <c r="S5057" t="s">
        <v>10556</v>
      </c>
      <c r="T5057" t="s">
        <v>10557</v>
      </c>
      <c r="U5057" t="s">
        <v>10558</v>
      </c>
      <c r="V5057" t="s">
        <v>10559</v>
      </c>
      <c r="W5057" t="s">
        <v>10560</v>
      </c>
      <c r="X5057" t="s">
        <v>10559</v>
      </c>
      <c r="Y5057" t="s">
        <v>10561</v>
      </c>
      <c r="Z5057" t="s">
        <v>10562</v>
      </c>
      <c r="AA5057" t="s">
        <v>10563</v>
      </c>
      <c r="AB5057" t="s">
        <v>10562</v>
      </c>
      <c r="AC5057" t="s">
        <v>1156</v>
      </c>
      <c r="AD5057" t="s">
        <v>219</v>
      </c>
      <c r="AE5057" t="s">
        <v>10564</v>
      </c>
      <c r="AF5057" t="s">
        <v>10565</v>
      </c>
    </row>
    <row r="5058" spans="1:32" hidden="1" x14ac:dyDescent="0.35">
      <c r="A5058">
        <v>5057</v>
      </c>
      <c r="B5058" t="s">
        <v>10552</v>
      </c>
      <c r="C5058" t="s">
        <v>10127</v>
      </c>
      <c r="D5058" t="s">
        <v>62</v>
      </c>
      <c r="E5058">
        <v>1365</v>
      </c>
      <c r="F5058">
        <v>4</v>
      </c>
      <c r="G5058">
        <v>4</v>
      </c>
      <c r="H5058">
        <v>1</v>
      </c>
      <c r="I5058">
        <v>0</v>
      </c>
      <c r="J5058">
        <v>0.84401024983984596</v>
      </c>
      <c r="K5058">
        <v>0.76797561894875999</v>
      </c>
      <c r="L5058">
        <v>0.80419972230520198</v>
      </c>
      <c r="M5058">
        <v>0.42721088435374099</v>
      </c>
      <c r="N5058">
        <v>1</v>
      </c>
      <c r="O5058">
        <v>0.61859410430839001</v>
      </c>
      <c r="P5058" t="s">
        <v>10553</v>
      </c>
      <c r="Q5058" t="s">
        <v>10554</v>
      </c>
      <c r="R5058" t="s">
        <v>10555</v>
      </c>
      <c r="S5058" t="s">
        <v>10556</v>
      </c>
      <c r="T5058" t="s">
        <v>10557</v>
      </c>
      <c r="U5058" t="s">
        <v>10558</v>
      </c>
      <c r="V5058" t="s">
        <v>10559</v>
      </c>
      <c r="W5058" t="s">
        <v>10560</v>
      </c>
      <c r="X5058" t="s">
        <v>10559</v>
      </c>
      <c r="Y5058" t="s">
        <v>10561</v>
      </c>
      <c r="Z5058" t="s">
        <v>10562</v>
      </c>
      <c r="AA5058" t="s">
        <v>10563</v>
      </c>
      <c r="AB5058" t="s">
        <v>10562</v>
      </c>
      <c r="AC5058" t="s">
        <v>1156</v>
      </c>
      <c r="AD5058" t="s">
        <v>219</v>
      </c>
      <c r="AE5058" t="s">
        <v>10564</v>
      </c>
      <c r="AF5058" t="s">
        <v>10565</v>
      </c>
    </row>
    <row r="5059" spans="1:32" hidden="1" x14ac:dyDescent="0.35">
      <c r="A5059">
        <v>5058</v>
      </c>
      <c r="B5059" t="s">
        <v>10552</v>
      </c>
      <c r="C5059" t="s">
        <v>10127</v>
      </c>
      <c r="D5059" t="s">
        <v>34</v>
      </c>
      <c r="E5059">
        <v>678</v>
      </c>
      <c r="F5059">
        <v>4</v>
      </c>
      <c r="G5059">
        <v>4</v>
      </c>
      <c r="H5059">
        <v>1</v>
      </c>
      <c r="I5059">
        <v>0</v>
      </c>
      <c r="J5059">
        <v>0.84401024983984596</v>
      </c>
      <c r="K5059">
        <v>0.76797561894875999</v>
      </c>
      <c r="L5059">
        <v>0.80419972230520198</v>
      </c>
      <c r="M5059">
        <v>0.42721088435374099</v>
      </c>
      <c r="N5059">
        <v>1</v>
      </c>
      <c r="O5059">
        <v>0.61859410430839001</v>
      </c>
      <c r="P5059" t="s">
        <v>10553</v>
      </c>
      <c r="Q5059" t="s">
        <v>10554</v>
      </c>
      <c r="R5059" t="s">
        <v>10555</v>
      </c>
      <c r="S5059" t="s">
        <v>10556</v>
      </c>
      <c r="T5059" t="s">
        <v>10557</v>
      </c>
      <c r="U5059" t="s">
        <v>10558</v>
      </c>
      <c r="V5059" t="s">
        <v>10559</v>
      </c>
      <c r="W5059" t="s">
        <v>10560</v>
      </c>
      <c r="X5059" t="s">
        <v>10559</v>
      </c>
      <c r="Y5059" t="s">
        <v>10561</v>
      </c>
      <c r="Z5059" t="s">
        <v>10562</v>
      </c>
      <c r="AA5059" t="s">
        <v>10563</v>
      </c>
      <c r="AB5059" t="s">
        <v>10562</v>
      </c>
      <c r="AC5059" t="s">
        <v>1156</v>
      </c>
      <c r="AD5059" t="s">
        <v>191</v>
      </c>
      <c r="AE5059" t="s">
        <v>10566</v>
      </c>
      <c r="AF5059" t="s">
        <v>10567</v>
      </c>
    </row>
    <row r="5060" spans="1:32" hidden="1" x14ac:dyDescent="0.35">
      <c r="A5060">
        <v>5059</v>
      </c>
      <c r="B5060" t="s">
        <v>10552</v>
      </c>
      <c r="C5060" t="s">
        <v>10127</v>
      </c>
      <c r="D5060" t="s">
        <v>45</v>
      </c>
      <c r="E5060">
        <v>1944</v>
      </c>
      <c r="F5060">
        <v>4</v>
      </c>
      <c r="G5060">
        <v>4</v>
      </c>
      <c r="H5060">
        <v>1</v>
      </c>
      <c r="I5060">
        <v>0</v>
      </c>
      <c r="J5060">
        <v>0.84401024983984596</v>
      </c>
      <c r="K5060">
        <v>0.76797561894875999</v>
      </c>
      <c r="L5060">
        <v>0.80419972230520198</v>
      </c>
      <c r="M5060">
        <v>0.42721088435374099</v>
      </c>
      <c r="N5060">
        <v>1</v>
      </c>
      <c r="O5060">
        <v>0.61859410430839001</v>
      </c>
      <c r="P5060" t="s">
        <v>10553</v>
      </c>
      <c r="Q5060" t="s">
        <v>10554</v>
      </c>
      <c r="R5060" t="s">
        <v>10555</v>
      </c>
      <c r="S5060" t="s">
        <v>10556</v>
      </c>
      <c r="T5060" t="s">
        <v>10557</v>
      </c>
      <c r="U5060" t="s">
        <v>10558</v>
      </c>
      <c r="V5060" t="s">
        <v>10559</v>
      </c>
      <c r="W5060" t="s">
        <v>10560</v>
      </c>
      <c r="X5060" t="s">
        <v>10559</v>
      </c>
      <c r="Y5060" t="s">
        <v>10561</v>
      </c>
      <c r="Z5060" t="s">
        <v>10562</v>
      </c>
      <c r="AA5060" t="s">
        <v>10563</v>
      </c>
      <c r="AB5060" t="s">
        <v>10562</v>
      </c>
      <c r="AC5060" t="s">
        <v>1156</v>
      </c>
      <c r="AD5060" t="s">
        <v>191</v>
      </c>
      <c r="AE5060" t="s">
        <v>10566</v>
      </c>
      <c r="AF5060" t="s">
        <v>10568</v>
      </c>
    </row>
    <row r="5061" spans="1:32" hidden="1" x14ac:dyDescent="0.35">
      <c r="A5061">
        <v>4849</v>
      </c>
      <c r="B5061" t="s">
        <v>10161</v>
      </c>
      <c r="C5061" t="s">
        <v>10127</v>
      </c>
      <c r="D5061" t="s">
        <v>62</v>
      </c>
      <c r="E5061">
        <v>2211</v>
      </c>
      <c r="F5061">
        <v>4</v>
      </c>
      <c r="G5061">
        <v>4</v>
      </c>
      <c r="H5061">
        <v>1</v>
      </c>
      <c r="I5061">
        <v>0</v>
      </c>
      <c r="J5061">
        <v>0.80454585654903998</v>
      </c>
      <c r="K5061">
        <v>0.961237088135525</v>
      </c>
      <c r="L5061">
        <v>0.875939275264494</v>
      </c>
      <c r="M5061">
        <v>0.605504587155963</v>
      </c>
      <c r="N5061">
        <v>1</v>
      </c>
      <c r="O5061">
        <v>0.73649337410805304</v>
      </c>
      <c r="P5061" t="s">
        <v>6914</v>
      </c>
      <c r="Q5061" t="s">
        <v>6915</v>
      </c>
      <c r="R5061" t="s">
        <v>96</v>
      </c>
      <c r="S5061" t="s">
        <v>97</v>
      </c>
      <c r="V5061" t="s">
        <v>6918</v>
      </c>
      <c r="W5061" t="s">
        <v>6919</v>
      </c>
      <c r="AF5061" t="s">
        <v>10162</v>
      </c>
    </row>
    <row r="5062" spans="1:32" hidden="1" x14ac:dyDescent="0.35">
      <c r="A5062">
        <v>4850</v>
      </c>
      <c r="B5062" t="s">
        <v>10161</v>
      </c>
      <c r="C5062" t="s">
        <v>10127</v>
      </c>
      <c r="D5062" t="s">
        <v>34</v>
      </c>
      <c r="E5062">
        <v>997</v>
      </c>
      <c r="F5062">
        <v>4</v>
      </c>
      <c r="G5062">
        <v>4</v>
      </c>
      <c r="H5062">
        <v>1</v>
      </c>
      <c r="I5062">
        <v>0</v>
      </c>
      <c r="J5062">
        <v>0.80454585654903998</v>
      </c>
      <c r="K5062">
        <v>0.961237088135525</v>
      </c>
      <c r="L5062">
        <v>0.875939275264494</v>
      </c>
      <c r="M5062">
        <v>0.605504587155963</v>
      </c>
      <c r="N5062">
        <v>1</v>
      </c>
      <c r="O5062">
        <v>0.73649337410805304</v>
      </c>
      <c r="P5062" t="s">
        <v>6914</v>
      </c>
      <c r="Q5062" t="s">
        <v>6915</v>
      </c>
      <c r="R5062" t="s">
        <v>96</v>
      </c>
      <c r="S5062" t="s">
        <v>97</v>
      </c>
      <c r="V5062" t="s">
        <v>6918</v>
      </c>
      <c r="W5062" t="s">
        <v>6919</v>
      </c>
      <c r="AF5062" t="s">
        <v>10163</v>
      </c>
    </row>
    <row r="5063" spans="1:32" hidden="1" x14ac:dyDescent="0.35">
      <c r="A5063">
        <v>4851</v>
      </c>
      <c r="B5063" t="s">
        <v>10161</v>
      </c>
      <c r="C5063" t="s">
        <v>10127</v>
      </c>
      <c r="D5063" t="s">
        <v>45</v>
      </c>
      <c r="E5063">
        <v>2251</v>
      </c>
      <c r="F5063">
        <v>4</v>
      </c>
      <c r="G5063">
        <v>4</v>
      </c>
      <c r="H5063">
        <v>1</v>
      </c>
      <c r="I5063">
        <v>0</v>
      </c>
      <c r="J5063">
        <v>0.80454585654903998</v>
      </c>
      <c r="K5063">
        <v>0.961237088135525</v>
      </c>
      <c r="L5063">
        <v>0.875939275264494</v>
      </c>
      <c r="M5063">
        <v>0.605504587155963</v>
      </c>
      <c r="N5063">
        <v>1</v>
      </c>
      <c r="O5063">
        <v>0.73649337410805304</v>
      </c>
      <c r="P5063" t="s">
        <v>6914</v>
      </c>
      <c r="Q5063" t="s">
        <v>6915</v>
      </c>
      <c r="R5063" t="s">
        <v>96</v>
      </c>
      <c r="S5063" t="s">
        <v>97</v>
      </c>
      <c r="V5063" t="s">
        <v>6918</v>
      </c>
      <c r="W5063" t="s">
        <v>6919</v>
      </c>
      <c r="AF5063" t="s">
        <v>10164</v>
      </c>
    </row>
    <row r="5064" spans="1:32" hidden="1" x14ac:dyDescent="0.35">
      <c r="A5064">
        <v>5028</v>
      </c>
      <c r="B5064" t="s">
        <v>10510</v>
      </c>
      <c r="C5064" t="s">
        <v>10127</v>
      </c>
      <c r="D5064" t="s">
        <v>60</v>
      </c>
      <c r="E5064">
        <v>1924</v>
      </c>
      <c r="F5064">
        <v>4</v>
      </c>
      <c r="G5064">
        <v>4</v>
      </c>
      <c r="H5064">
        <v>1</v>
      </c>
      <c r="I5064">
        <v>0</v>
      </c>
      <c r="J5064">
        <v>0.75886524822695001</v>
      </c>
      <c r="K5064">
        <v>0.95441961959353605</v>
      </c>
      <c r="L5064">
        <v>0.84548214385024001</v>
      </c>
      <c r="M5064">
        <v>0.51315789473684204</v>
      </c>
      <c r="N5064">
        <v>1</v>
      </c>
      <c r="O5064">
        <v>0.67105263157894701</v>
      </c>
      <c r="P5064" t="s">
        <v>10511</v>
      </c>
      <c r="Q5064" t="s">
        <v>10512</v>
      </c>
      <c r="R5064" t="s">
        <v>96</v>
      </c>
      <c r="S5064" t="s">
        <v>97</v>
      </c>
      <c r="V5064" t="s">
        <v>10513</v>
      </c>
      <c r="W5064" t="s">
        <v>10514</v>
      </c>
      <c r="AF5064" t="s">
        <v>10515</v>
      </c>
    </row>
    <row r="5065" spans="1:32" hidden="1" x14ac:dyDescent="0.35">
      <c r="A5065">
        <v>5029</v>
      </c>
      <c r="B5065" t="s">
        <v>10510</v>
      </c>
      <c r="C5065" t="s">
        <v>10127</v>
      </c>
      <c r="D5065" t="s">
        <v>62</v>
      </c>
      <c r="E5065">
        <v>1964</v>
      </c>
      <c r="F5065">
        <v>4</v>
      </c>
      <c r="G5065">
        <v>4</v>
      </c>
      <c r="H5065">
        <v>1</v>
      </c>
      <c r="I5065">
        <v>0</v>
      </c>
      <c r="J5065">
        <v>0.75886524822695001</v>
      </c>
      <c r="K5065">
        <v>0.95441961959353605</v>
      </c>
      <c r="L5065">
        <v>0.84548214385024001</v>
      </c>
      <c r="M5065">
        <v>0.51315789473684204</v>
      </c>
      <c r="N5065">
        <v>1</v>
      </c>
      <c r="O5065">
        <v>0.67105263157894701</v>
      </c>
      <c r="P5065" t="s">
        <v>10511</v>
      </c>
      <c r="Q5065" t="s">
        <v>10512</v>
      </c>
      <c r="R5065" t="s">
        <v>96</v>
      </c>
      <c r="S5065" t="s">
        <v>97</v>
      </c>
      <c r="V5065" t="s">
        <v>10513</v>
      </c>
      <c r="W5065" t="s">
        <v>10514</v>
      </c>
      <c r="AF5065" t="s">
        <v>10515</v>
      </c>
    </row>
    <row r="5066" spans="1:32" hidden="1" x14ac:dyDescent="0.35">
      <c r="A5066">
        <v>5030</v>
      </c>
      <c r="B5066" t="s">
        <v>10510</v>
      </c>
      <c r="C5066" t="s">
        <v>10127</v>
      </c>
      <c r="D5066" t="s">
        <v>34</v>
      </c>
      <c r="E5066">
        <v>2292</v>
      </c>
      <c r="F5066">
        <v>4</v>
      </c>
      <c r="G5066">
        <v>4</v>
      </c>
      <c r="H5066">
        <v>1</v>
      </c>
      <c r="I5066">
        <v>0</v>
      </c>
      <c r="J5066">
        <v>0.75886524822695001</v>
      </c>
      <c r="K5066">
        <v>0.95441961959353605</v>
      </c>
      <c r="L5066">
        <v>0.84548214385024001</v>
      </c>
      <c r="M5066">
        <v>0.51315789473684204</v>
      </c>
      <c r="N5066">
        <v>1</v>
      </c>
      <c r="O5066">
        <v>0.67105263157894701</v>
      </c>
      <c r="P5066" t="s">
        <v>10511</v>
      </c>
      <c r="Q5066" t="s">
        <v>10512</v>
      </c>
      <c r="R5066" t="s">
        <v>96</v>
      </c>
      <c r="S5066" t="s">
        <v>97</v>
      </c>
      <c r="V5066" t="s">
        <v>10513</v>
      </c>
      <c r="W5066" t="s">
        <v>10514</v>
      </c>
      <c r="AF5066" t="s">
        <v>10516</v>
      </c>
    </row>
    <row r="5067" spans="1:32" hidden="1" x14ac:dyDescent="0.35">
      <c r="A5067">
        <v>5031</v>
      </c>
      <c r="B5067" t="s">
        <v>10510</v>
      </c>
      <c r="C5067" t="s">
        <v>10127</v>
      </c>
      <c r="D5067" t="s">
        <v>45</v>
      </c>
      <c r="E5067">
        <v>585</v>
      </c>
      <c r="F5067">
        <v>4</v>
      </c>
      <c r="G5067">
        <v>4</v>
      </c>
      <c r="H5067">
        <v>1</v>
      </c>
      <c r="I5067">
        <v>0</v>
      </c>
      <c r="J5067">
        <v>0.75886524822695001</v>
      </c>
      <c r="K5067">
        <v>0.95441961959353605</v>
      </c>
      <c r="L5067">
        <v>0.84548214385024001</v>
      </c>
      <c r="M5067">
        <v>0.51315789473684204</v>
      </c>
      <c r="N5067">
        <v>1</v>
      </c>
      <c r="O5067">
        <v>0.67105263157894701</v>
      </c>
      <c r="P5067" t="s">
        <v>10511</v>
      </c>
      <c r="Q5067" t="s">
        <v>10512</v>
      </c>
      <c r="R5067" t="s">
        <v>96</v>
      </c>
      <c r="S5067" t="s">
        <v>97</v>
      </c>
      <c r="V5067" t="s">
        <v>10513</v>
      </c>
      <c r="W5067" t="s">
        <v>10514</v>
      </c>
      <c r="AF5067" t="s">
        <v>10517</v>
      </c>
    </row>
    <row r="5068" spans="1:32" hidden="1" x14ac:dyDescent="0.35">
      <c r="A5068">
        <v>5104</v>
      </c>
      <c r="B5068" t="s">
        <v>10642</v>
      </c>
      <c r="C5068" t="s">
        <v>10127</v>
      </c>
      <c r="D5068" t="s">
        <v>60</v>
      </c>
      <c r="E5068">
        <v>712</v>
      </c>
      <c r="F5068">
        <v>4</v>
      </c>
      <c r="G5068">
        <v>4</v>
      </c>
      <c r="H5068">
        <v>1</v>
      </c>
      <c r="I5068">
        <v>0</v>
      </c>
      <c r="J5068">
        <v>0.77227319062181399</v>
      </c>
      <c r="K5068">
        <v>0.92284699954191596</v>
      </c>
      <c r="L5068">
        <v>0.84087252447056904</v>
      </c>
      <c r="M5068">
        <v>0.52027027027026995</v>
      </c>
      <c r="N5068">
        <v>1</v>
      </c>
      <c r="O5068">
        <v>0.67454954954955004</v>
      </c>
      <c r="P5068" t="s">
        <v>10643</v>
      </c>
      <c r="Q5068" t="s">
        <v>10644</v>
      </c>
      <c r="R5068" t="s">
        <v>96</v>
      </c>
      <c r="S5068" t="s">
        <v>97</v>
      </c>
      <c r="T5068" t="s">
        <v>10645</v>
      </c>
      <c r="U5068" t="s">
        <v>10646</v>
      </c>
      <c r="V5068" t="s">
        <v>10647</v>
      </c>
      <c r="W5068" t="s">
        <v>10648</v>
      </c>
      <c r="AD5068" t="s">
        <v>219</v>
      </c>
      <c r="AE5068" t="s">
        <v>10649</v>
      </c>
      <c r="AF5068" t="s">
        <v>10650</v>
      </c>
    </row>
    <row r="5069" spans="1:32" hidden="1" x14ac:dyDescent="0.35">
      <c r="A5069">
        <v>5105</v>
      </c>
      <c r="B5069" t="s">
        <v>10642</v>
      </c>
      <c r="C5069" t="s">
        <v>10127</v>
      </c>
      <c r="D5069" t="s">
        <v>62</v>
      </c>
      <c r="E5069">
        <v>743</v>
      </c>
      <c r="F5069">
        <v>4</v>
      </c>
      <c r="G5069">
        <v>4</v>
      </c>
      <c r="H5069">
        <v>1</v>
      </c>
      <c r="I5069">
        <v>0</v>
      </c>
      <c r="J5069">
        <v>0.77227319062181399</v>
      </c>
      <c r="K5069">
        <v>0.92284699954191596</v>
      </c>
      <c r="L5069">
        <v>0.84087252447056904</v>
      </c>
      <c r="M5069">
        <v>0.52027027027026995</v>
      </c>
      <c r="N5069">
        <v>1</v>
      </c>
      <c r="O5069">
        <v>0.67454954954955004</v>
      </c>
      <c r="P5069" t="s">
        <v>10643</v>
      </c>
      <c r="Q5069" t="s">
        <v>10644</v>
      </c>
      <c r="R5069" t="s">
        <v>96</v>
      </c>
      <c r="S5069" t="s">
        <v>97</v>
      </c>
      <c r="T5069" t="s">
        <v>10645</v>
      </c>
      <c r="U5069" t="s">
        <v>10646</v>
      </c>
      <c r="V5069" t="s">
        <v>10647</v>
      </c>
      <c r="W5069" t="s">
        <v>10648</v>
      </c>
      <c r="AD5069" t="s">
        <v>219</v>
      </c>
      <c r="AE5069" t="s">
        <v>10649</v>
      </c>
      <c r="AF5069" t="s">
        <v>10650</v>
      </c>
    </row>
    <row r="5070" spans="1:32" hidden="1" x14ac:dyDescent="0.35">
      <c r="A5070">
        <v>5106</v>
      </c>
      <c r="B5070" t="s">
        <v>10642</v>
      </c>
      <c r="C5070" t="s">
        <v>10127</v>
      </c>
      <c r="D5070" t="s">
        <v>34</v>
      </c>
      <c r="E5070">
        <v>423</v>
      </c>
      <c r="F5070">
        <v>4</v>
      </c>
      <c r="G5070">
        <v>4</v>
      </c>
      <c r="H5070">
        <v>1</v>
      </c>
      <c r="I5070">
        <v>0</v>
      </c>
      <c r="J5070">
        <v>0.77227319062181399</v>
      </c>
      <c r="K5070">
        <v>0.92284699954191596</v>
      </c>
      <c r="L5070">
        <v>0.84087252447056904</v>
      </c>
      <c r="M5070">
        <v>0.52027027027026995</v>
      </c>
      <c r="N5070">
        <v>1</v>
      </c>
      <c r="O5070">
        <v>0.67454954954955004</v>
      </c>
      <c r="P5070" t="s">
        <v>10643</v>
      </c>
      <c r="Q5070" t="s">
        <v>10644</v>
      </c>
      <c r="R5070" t="s">
        <v>96</v>
      </c>
      <c r="S5070" t="s">
        <v>97</v>
      </c>
      <c r="T5070" t="s">
        <v>10645</v>
      </c>
      <c r="U5070" t="s">
        <v>10646</v>
      </c>
      <c r="V5070" t="s">
        <v>10647</v>
      </c>
      <c r="W5070" t="s">
        <v>10648</v>
      </c>
      <c r="AD5070" t="s">
        <v>219</v>
      </c>
      <c r="AE5070" t="s">
        <v>10649</v>
      </c>
      <c r="AF5070" t="s">
        <v>10651</v>
      </c>
    </row>
    <row r="5071" spans="1:32" hidden="1" x14ac:dyDescent="0.35">
      <c r="A5071">
        <v>5107</v>
      </c>
      <c r="B5071" t="s">
        <v>10642</v>
      </c>
      <c r="C5071" t="s">
        <v>10127</v>
      </c>
      <c r="D5071" t="s">
        <v>45</v>
      </c>
      <c r="E5071">
        <v>1685</v>
      </c>
      <c r="F5071">
        <v>4</v>
      </c>
      <c r="G5071">
        <v>4</v>
      </c>
      <c r="H5071">
        <v>1</v>
      </c>
      <c r="I5071">
        <v>0</v>
      </c>
      <c r="J5071">
        <v>0.77227319062181399</v>
      </c>
      <c r="K5071">
        <v>0.92284699954191596</v>
      </c>
      <c r="L5071">
        <v>0.84087252447056904</v>
      </c>
      <c r="M5071">
        <v>0.52027027027026995</v>
      </c>
      <c r="N5071">
        <v>1</v>
      </c>
      <c r="O5071">
        <v>0.67454954954955004</v>
      </c>
      <c r="P5071" t="s">
        <v>10643</v>
      </c>
      <c r="Q5071" t="s">
        <v>10644</v>
      </c>
      <c r="R5071" t="s">
        <v>96</v>
      </c>
      <c r="S5071" t="s">
        <v>97</v>
      </c>
      <c r="T5071" t="s">
        <v>10645</v>
      </c>
      <c r="U5071" t="s">
        <v>10646</v>
      </c>
      <c r="V5071" t="s">
        <v>10647</v>
      </c>
      <c r="W5071" t="s">
        <v>10648</v>
      </c>
      <c r="AD5071" t="s">
        <v>219</v>
      </c>
      <c r="AE5071" t="s">
        <v>10649</v>
      </c>
      <c r="AF5071" t="s">
        <v>10652</v>
      </c>
    </row>
    <row r="5072" spans="1:32" hidden="1" x14ac:dyDescent="0.35">
      <c r="A5072">
        <v>5132</v>
      </c>
      <c r="B5072" t="s">
        <v>10702</v>
      </c>
      <c r="C5072" t="s">
        <v>10127</v>
      </c>
      <c r="D5072" t="s">
        <v>60</v>
      </c>
      <c r="E5072">
        <v>1253</v>
      </c>
      <c r="F5072">
        <v>4</v>
      </c>
      <c r="G5072">
        <v>4</v>
      </c>
      <c r="H5072">
        <v>1</v>
      </c>
      <c r="I5072">
        <v>0</v>
      </c>
      <c r="J5072">
        <v>0.77849462365591404</v>
      </c>
      <c r="K5072">
        <v>0.89457565737679101</v>
      </c>
      <c r="L5072">
        <v>0.83250817089574902</v>
      </c>
      <c r="M5072">
        <v>0.47260273972602701</v>
      </c>
      <c r="N5072">
        <v>1</v>
      </c>
      <c r="O5072">
        <v>0.63470319634703198</v>
      </c>
      <c r="P5072" t="s">
        <v>10703</v>
      </c>
      <c r="Q5072" t="s">
        <v>10704</v>
      </c>
      <c r="R5072" t="s">
        <v>96</v>
      </c>
      <c r="S5072" t="s">
        <v>97</v>
      </c>
      <c r="T5072" t="s">
        <v>10705</v>
      </c>
      <c r="U5072" t="s">
        <v>10706</v>
      </c>
      <c r="V5072" t="s">
        <v>10707</v>
      </c>
      <c r="W5072" t="s">
        <v>10708</v>
      </c>
      <c r="AD5072" t="s">
        <v>410</v>
      </c>
      <c r="AE5072" t="s">
        <v>5489</v>
      </c>
      <c r="AF5072" t="s">
        <v>10709</v>
      </c>
    </row>
    <row r="5073" spans="1:32" hidden="1" x14ac:dyDescent="0.35">
      <c r="A5073">
        <v>5072</v>
      </c>
      <c r="B5073" t="s">
        <v>10591</v>
      </c>
      <c r="C5073" t="s">
        <v>10127</v>
      </c>
      <c r="D5073" t="s">
        <v>60</v>
      </c>
      <c r="E5073">
        <v>963</v>
      </c>
      <c r="F5073">
        <v>4</v>
      </c>
      <c r="G5073">
        <v>4</v>
      </c>
      <c r="H5073">
        <v>1</v>
      </c>
      <c r="I5073">
        <v>0</v>
      </c>
      <c r="J5073">
        <v>0.78068264342774196</v>
      </c>
      <c r="K5073">
        <v>0.91342315369261495</v>
      </c>
      <c r="L5073">
        <v>0.841852502252188</v>
      </c>
      <c r="M5073">
        <v>0.476190476190476</v>
      </c>
      <c r="N5073">
        <v>1</v>
      </c>
      <c r="O5073">
        <v>0.64484126984126999</v>
      </c>
      <c r="AF5073" t="s">
        <v>10592</v>
      </c>
    </row>
    <row r="5074" spans="1:32" hidden="1" x14ac:dyDescent="0.35">
      <c r="A5074">
        <v>5073</v>
      </c>
      <c r="B5074" t="s">
        <v>10591</v>
      </c>
      <c r="C5074" t="s">
        <v>10127</v>
      </c>
      <c r="D5074" t="s">
        <v>62</v>
      </c>
      <c r="E5074">
        <v>999</v>
      </c>
      <c r="F5074">
        <v>4</v>
      </c>
      <c r="G5074">
        <v>4</v>
      </c>
      <c r="H5074">
        <v>1</v>
      </c>
      <c r="I5074">
        <v>0</v>
      </c>
      <c r="J5074">
        <v>0.78068264342774196</v>
      </c>
      <c r="K5074">
        <v>0.91342315369261495</v>
      </c>
      <c r="L5074">
        <v>0.841852502252188</v>
      </c>
      <c r="M5074">
        <v>0.476190476190476</v>
      </c>
      <c r="N5074">
        <v>1</v>
      </c>
      <c r="O5074">
        <v>0.64484126984126999</v>
      </c>
      <c r="AF5074" t="s">
        <v>10592</v>
      </c>
    </row>
    <row r="5075" spans="1:32" hidden="1" x14ac:dyDescent="0.35">
      <c r="A5075">
        <v>5074</v>
      </c>
      <c r="B5075" t="s">
        <v>10591</v>
      </c>
      <c r="C5075" t="s">
        <v>10127</v>
      </c>
      <c r="D5075" t="s">
        <v>34</v>
      </c>
      <c r="E5075">
        <v>191</v>
      </c>
      <c r="F5075">
        <v>4</v>
      </c>
      <c r="G5075">
        <v>4</v>
      </c>
      <c r="H5075">
        <v>1</v>
      </c>
      <c r="I5075">
        <v>0</v>
      </c>
      <c r="J5075">
        <v>0.78068264342774196</v>
      </c>
      <c r="K5075">
        <v>0.91342315369261495</v>
      </c>
      <c r="L5075">
        <v>0.841852502252188</v>
      </c>
      <c r="M5075">
        <v>0.476190476190476</v>
      </c>
      <c r="N5075">
        <v>1</v>
      </c>
      <c r="O5075">
        <v>0.64484126984126999</v>
      </c>
      <c r="AF5075" t="s">
        <v>10593</v>
      </c>
    </row>
    <row r="5076" spans="1:32" hidden="1" x14ac:dyDescent="0.35">
      <c r="A5076">
        <v>5075</v>
      </c>
      <c r="B5076" t="s">
        <v>10591</v>
      </c>
      <c r="C5076" t="s">
        <v>10127</v>
      </c>
      <c r="D5076" t="s">
        <v>45</v>
      </c>
      <c r="E5076">
        <v>1454</v>
      </c>
      <c r="F5076">
        <v>4</v>
      </c>
      <c r="G5076">
        <v>4</v>
      </c>
      <c r="H5076">
        <v>1</v>
      </c>
      <c r="I5076">
        <v>0</v>
      </c>
      <c r="J5076">
        <v>0.78068264342774196</v>
      </c>
      <c r="K5076">
        <v>0.91342315369261495</v>
      </c>
      <c r="L5076">
        <v>0.841852502252188</v>
      </c>
      <c r="M5076">
        <v>0.476190476190476</v>
      </c>
      <c r="N5076">
        <v>1</v>
      </c>
      <c r="O5076">
        <v>0.64484126984126999</v>
      </c>
      <c r="AF5076" t="s">
        <v>10594</v>
      </c>
    </row>
    <row r="5077" spans="1:32" x14ac:dyDescent="0.35">
      <c r="A5077">
        <v>5076</v>
      </c>
      <c r="B5077" t="s">
        <v>10595</v>
      </c>
      <c r="C5077" t="s">
        <v>10127</v>
      </c>
      <c r="D5077" t="s">
        <v>60</v>
      </c>
      <c r="E5077">
        <v>1090</v>
      </c>
      <c r="F5077">
        <v>4</v>
      </c>
      <c r="G5077">
        <v>4</v>
      </c>
      <c r="H5077">
        <v>1</v>
      </c>
      <c r="I5077">
        <v>0</v>
      </c>
      <c r="J5077">
        <v>0.895016997674003</v>
      </c>
      <c r="K5077">
        <v>0.99599488209907505</v>
      </c>
      <c r="L5077">
        <v>0.942809887774961</v>
      </c>
      <c r="M5077">
        <v>0.78909382518043303</v>
      </c>
      <c r="N5077">
        <v>1</v>
      </c>
      <c r="O5077">
        <v>0.85952953755680295</v>
      </c>
      <c r="P5077" t="s">
        <v>10596</v>
      </c>
      <c r="Q5077" t="s">
        <v>10597</v>
      </c>
      <c r="R5077" t="s">
        <v>4579</v>
      </c>
      <c r="S5077" t="s">
        <v>4580</v>
      </c>
      <c r="T5077" t="s">
        <v>10598</v>
      </c>
      <c r="U5077" t="s">
        <v>10599</v>
      </c>
      <c r="V5077" t="s">
        <v>10600</v>
      </c>
      <c r="W5077" t="s">
        <v>10601</v>
      </c>
      <c r="Z5077" t="s">
        <v>10602</v>
      </c>
      <c r="AA5077" t="s">
        <v>10603</v>
      </c>
      <c r="AB5077" t="s">
        <v>10602</v>
      </c>
      <c r="AC5077" t="s">
        <v>10604</v>
      </c>
      <c r="AD5077" t="s">
        <v>10157</v>
      </c>
      <c r="AE5077" t="s">
        <v>10158</v>
      </c>
      <c r="AF5077" t="s">
        <v>10605</v>
      </c>
    </row>
    <row r="5078" spans="1:32" x14ac:dyDescent="0.35">
      <c r="A5078">
        <v>5077</v>
      </c>
      <c r="B5078" t="s">
        <v>10595</v>
      </c>
      <c r="C5078" t="s">
        <v>10127</v>
      </c>
      <c r="D5078" t="s">
        <v>62</v>
      </c>
      <c r="E5078">
        <v>1126</v>
      </c>
      <c r="F5078">
        <v>4</v>
      </c>
      <c r="G5078">
        <v>4</v>
      </c>
      <c r="H5078">
        <v>1</v>
      </c>
      <c r="I5078">
        <v>0</v>
      </c>
      <c r="J5078">
        <v>0.895016997674003</v>
      </c>
      <c r="K5078">
        <v>0.99599488209907505</v>
      </c>
      <c r="L5078">
        <v>0.942809887774961</v>
      </c>
      <c r="M5078">
        <v>0.78909382518043303</v>
      </c>
      <c r="N5078">
        <v>1</v>
      </c>
      <c r="O5078">
        <v>0.85952953755680295</v>
      </c>
      <c r="P5078" t="s">
        <v>10596</v>
      </c>
      <c r="Q5078" t="s">
        <v>10597</v>
      </c>
      <c r="R5078" t="s">
        <v>4579</v>
      </c>
      <c r="S5078" t="s">
        <v>4580</v>
      </c>
      <c r="T5078" t="s">
        <v>10598</v>
      </c>
      <c r="U5078" t="s">
        <v>10599</v>
      </c>
      <c r="V5078" t="s">
        <v>10600</v>
      </c>
      <c r="W5078" t="s">
        <v>10601</v>
      </c>
      <c r="Z5078" t="s">
        <v>10602</v>
      </c>
      <c r="AA5078" t="s">
        <v>10603</v>
      </c>
      <c r="AB5078" t="s">
        <v>10602</v>
      </c>
      <c r="AC5078" t="s">
        <v>10604</v>
      </c>
      <c r="AD5078" t="s">
        <v>10157</v>
      </c>
      <c r="AE5078" t="s">
        <v>10158</v>
      </c>
      <c r="AF5078" t="s">
        <v>10605</v>
      </c>
    </row>
    <row r="5079" spans="1:32" x14ac:dyDescent="0.35">
      <c r="A5079">
        <v>5078</v>
      </c>
      <c r="B5079" t="s">
        <v>10595</v>
      </c>
      <c r="C5079" t="s">
        <v>10127</v>
      </c>
      <c r="D5079" t="s">
        <v>34</v>
      </c>
      <c r="E5079">
        <v>158</v>
      </c>
      <c r="F5079">
        <v>4</v>
      </c>
      <c r="G5079">
        <v>4</v>
      </c>
      <c r="H5079">
        <v>1</v>
      </c>
      <c r="I5079">
        <v>0</v>
      </c>
      <c r="J5079">
        <v>0.895016997674003</v>
      </c>
      <c r="K5079">
        <v>0.99599488209907505</v>
      </c>
      <c r="L5079">
        <v>0.942809887774961</v>
      </c>
      <c r="M5079">
        <v>0.78909382518043303</v>
      </c>
      <c r="N5079">
        <v>1</v>
      </c>
      <c r="O5079">
        <v>0.85952953755680295</v>
      </c>
      <c r="P5079" t="s">
        <v>10596</v>
      </c>
      <c r="Q5079" t="s">
        <v>10597</v>
      </c>
      <c r="R5079" t="s">
        <v>4579</v>
      </c>
      <c r="S5079" t="s">
        <v>4580</v>
      </c>
      <c r="T5079" t="s">
        <v>10598</v>
      </c>
      <c r="U5079" t="s">
        <v>10599</v>
      </c>
      <c r="V5079" t="s">
        <v>10600</v>
      </c>
      <c r="W5079" t="s">
        <v>10601</v>
      </c>
      <c r="Z5079" t="s">
        <v>10602</v>
      </c>
      <c r="AA5079" t="s">
        <v>10603</v>
      </c>
      <c r="AB5079" t="s">
        <v>10602</v>
      </c>
      <c r="AC5079" t="s">
        <v>10604</v>
      </c>
      <c r="AD5079" t="s">
        <v>10157</v>
      </c>
      <c r="AE5079" t="s">
        <v>10158</v>
      </c>
      <c r="AF5079" t="s">
        <v>10606</v>
      </c>
    </row>
    <row r="5080" spans="1:32" x14ac:dyDescent="0.35">
      <c r="A5080">
        <v>5079</v>
      </c>
      <c r="B5080" t="s">
        <v>10595</v>
      </c>
      <c r="C5080" t="s">
        <v>10127</v>
      </c>
      <c r="D5080" t="s">
        <v>45</v>
      </c>
      <c r="E5080">
        <v>1419</v>
      </c>
      <c r="F5080">
        <v>4</v>
      </c>
      <c r="G5080">
        <v>4</v>
      </c>
      <c r="H5080">
        <v>1</v>
      </c>
      <c r="I5080">
        <v>0</v>
      </c>
      <c r="J5080">
        <v>0.895016997674003</v>
      </c>
      <c r="K5080">
        <v>0.99599488209907505</v>
      </c>
      <c r="L5080">
        <v>0.942809887774961</v>
      </c>
      <c r="M5080">
        <v>0.78909382518043303</v>
      </c>
      <c r="N5080">
        <v>1</v>
      </c>
      <c r="O5080">
        <v>0.85952953755680295</v>
      </c>
      <c r="P5080" t="s">
        <v>10596</v>
      </c>
      <c r="Q5080" t="s">
        <v>10597</v>
      </c>
      <c r="R5080" t="s">
        <v>4579</v>
      </c>
      <c r="S5080" t="s">
        <v>4580</v>
      </c>
      <c r="T5080" t="s">
        <v>10598</v>
      </c>
      <c r="U5080" t="s">
        <v>10599</v>
      </c>
      <c r="V5080" t="s">
        <v>10600</v>
      </c>
      <c r="W5080" t="s">
        <v>10601</v>
      </c>
      <c r="Z5080" t="s">
        <v>10602</v>
      </c>
      <c r="AA5080" t="s">
        <v>10603</v>
      </c>
      <c r="AB5080" t="s">
        <v>10602</v>
      </c>
      <c r="AC5080" t="s">
        <v>10604</v>
      </c>
      <c r="AD5080" t="s">
        <v>10157</v>
      </c>
      <c r="AE5080" t="s">
        <v>10158</v>
      </c>
      <c r="AF5080" t="s">
        <v>10607</v>
      </c>
    </row>
    <row r="5081" spans="1:32" hidden="1" x14ac:dyDescent="0.35">
      <c r="A5081">
        <v>5133</v>
      </c>
      <c r="B5081" t="s">
        <v>10702</v>
      </c>
      <c r="C5081" t="s">
        <v>10127</v>
      </c>
      <c r="D5081" t="s">
        <v>62</v>
      </c>
      <c r="E5081">
        <v>1290</v>
      </c>
      <c r="F5081">
        <v>4</v>
      </c>
      <c r="G5081">
        <v>4</v>
      </c>
      <c r="H5081">
        <v>1</v>
      </c>
      <c r="I5081">
        <v>0</v>
      </c>
      <c r="J5081">
        <v>0.77849462365591404</v>
      </c>
      <c r="K5081">
        <v>0.89457565737679101</v>
      </c>
      <c r="L5081">
        <v>0.83250817089574902</v>
      </c>
      <c r="M5081">
        <v>0.47260273972602701</v>
      </c>
      <c r="N5081">
        <v>1</v>
      </c>
      <c r="O5081">
        <v>0.63470319634703198</v>
      </c>
      <c r="P5081" t="s">
        <v>10703</v>
      </c>
      <c r="Q5081" t="s">
        <v>10704</v>
      </c>
      <c r="R5081" t="s">
        <v>96</v>
      </c>
      <c r="S5081" t="s">
        <v>97</v>
      </c>
      <c r="T5081" t="s">
        <v>10705</v>
      </c>
      <c r="U5081" t="s">
        <v>10706</v>
      </c>
      <c r="V5081" t="s">
        <v>10707</v>
      </c>
      <c r="W5081" t="s">
        <v>10708</v>
      </c>
      <c r="AD5081" t="s">
        <v>410</v>
      </c>
      <c r="AE5081" t="s">
        <v>5489</v>
      </c>
      <c r="AF5081" t="s">
        <v>10709</v>
      </c>
    </row>
    <row r="5082" spans="1:32" hidden="1" x14ac:dyDescent="0.35">
      <c r="A5082">
        <v>5134</v>
      </c>
      <c r="B5082" t="s">
        <v>10702</v>
      </c>
      <c r="C5082" t="s">
        <v>10127</v>
      </c>
      <c r="D5082" t="s">
        <v>34</v>
      </c>
      <c r="E5082">
        <v>1751</v>
      </c>
      <c r="F5082">
        <v>4</v>
      </c>
      <c r="G5082">
        <v>4</v>
      </c>
      <c r="H5082">
        <v>1</v>
      </c>
      <c r="I5082">
        <v>0</v>
      </c>
      <c r="J5082">
        <v>0.77849462365591404</v>
      </c>
      <c r="K5082">
        <v>0.89457565737679101</v>
      </c>
      <c r="L5082">
        <v>0.83250817089574902</v>
      </c>
      <c r="M5082">
        <v>0.47260273972602701</v>
      </c>
      <c r="N5082">
        <v>1</v>
      </c>
      <c r="O5082">
        <v>0.63470319634703198</v>
      </c>
      <c r="P5082" t="s">
        <v>10703</v>
      </c>
      <c r="Q5082" t="s">
        <v>10704</v>
      </c>
      <c r="R5082" t="s">
        <v>96</v>
      </c>
      <c r="S5082" t="s">
        <v>97</v>
      </c>
      <c r="T5082" t="s">
        <v>10705</v>
      </c>
      <c r="U5082" t="s">
        <v>10706</v>
      </c>
      <c r="V5082" t="s">
        <v>10707</v>
      </c>
      <c r="W5082" t="s">
        <v>10708</v>
      </c>
      <c r="AD5082" t="s">
        <v>410</v>
      </c>
      <c r="AE5082" t="s">
        <v>5489</v>
      </c>
      <c r="AF5082" t="s">
        <v>10710</v>
      </c>
    </row>
    <row r="5083" spans="1:32" hidden="1" x14ac:dyDescent="0.35">
      <c r="A5083">
        <v>5135</v>
      </c>
      <c r="B5083" t="s">
        <v>10702</v>
      </c>
      <c r="C5083" t="s">
        <v>10127</v>
      </c>
      <c r="D5083" t="s">
        <v>45</v>
      </c>
      <c r="E5083">
        <v>1122</v>
      </c>
      <c r="F5083">
        <v>4</v>
      </c>
      <c r="G5083">
        <v>4</v>
      </c>
      <c r="H5083">
        <v>1</v>
      </c>
      <c r="I5083">
        <v>0</v>
      </c>
      <c r="J5083">
        <v>0.77849462365591404</v>
      </c>
      <c r="K5083">
        <v>0.89457565737679101</v>
      </c>
      <c r="L5083">
        <v>0.83250817089574902</v>
      </c>
      <c r="M5083">
        <v>0.47260273972602701</v>
      </c>
      <c r="N5083">
        <v>1</v>
      </c>
      <c r="O5083">
        <v>0.63470319634703198</v>
      </c>
      <c r="P5083" t="s">
        <v>10703</v>
      </c>
      <c r="Q5083" t="s">
        <v>10704</v>
      </c>
      <c r="R5083" t="s">
        <v>96</v>
      </c>
      <c r="S5083" t="s">
        <v>97</v>
      </c>
      <c r="T5083" t="s">
        <v>10705</v>
      </c>
      <c r="U5083" t="s">
        <v>10706</v>
      </c>
      <c r="V5083" t="s">
        <v>10707</v>
      </c>
      <c r="W5083" t="s">
        <v>10708</v>
      </c>
      <c r="AD5083" t="s">
        <v>410</v>
      </c>
      <c r="AE5083" t="s">
        <v>5489</v>
      </c>
      <c r="AF5083" t="e">
        <f>-----------------------------MLGLAALATAGVAMFHVPLSIELIIFALMSLGLLLFLKPLLRRHLTRAPALDTSPAALTGATAEVLEPVGAHAGQVRLDGSIWSARSLDPAHNFSVGERVSVVTIDGTTAVVWKETK</f>
        <v>#NAME?</v>
      </c>
    </row>
    <row r="5084" spans="1:32" hidden="1" x14ac:dyDescent="0.35">
      <c r="A5084">
        <v>5204</v>
      </c>
      <c r="B5084" t="s">
        <v>10829</v>
      </c>
      <c r="C5084" t="s">
        <v>10127</v>
      </c>
      <c r="D5084" t="s">
        <v>60</v>
      </c>
      <c r="E5084">
        <v>1029</v>
      </c>
      <c r="F5084">
        <v>2</v>
      </c>
      <c r="G5084">
        <v>4</v>
      </c>
      <c r="H5084">
        <v>2</v>
      </c>
      <c r="I5084">
        <v>0</v>
      </c>
      <c r="J5084">
        <v>0.81030551755586</v>
      </c>
      <c r="K5084">
        <v>0.96738970045743</v>
      </c>
      <c r="L5084">
        <v>0.88190731905485198</v>
      </c>
      <c r="M5084">
        <v>0.57142857142857095</v>
      </c>
      <c r="N5084">
        <v>1</v>
      </c>
      <c r="O5084">
        <v>0.71428571428571397</v>
      </c>
      <c r="P5084" t="s">
        <v>10830</v>
      </c>
      <c r="Q5084" t="s">
        <v>10831</v>
      </c>
      <c r="R5084" t="s">
        <v>96</v>
      </c>
      <c r="S5084" t="s">
        <v>97</v>
      </c>
      <c r="T5084" t="s">
        <v>10832</v>
      </c>
      <c r="U5084" t="s">
        <v>10833</v>
      </c>
      <c r="V5084" t="s">
        <v>10834</v>
      </c>
      <c r="W5084" t="s">
        <v>10835</v>
      </c>
      <c r="AD5084" t="s">
        <v>7708</v>
      </c>
      <c r="AE5084" t="s">
        <v>10836</v>
      </c>
      <c r="AF5084" t="s">
        <v>10837</v>
      </c>
    </row>
    <row r="5085" spans="1:32" hidden="1" x14ac:dyDescent="0.35">
      <c r="A5085">
        <v>5084</v>
      </c>
      <c r="B5085" t="s">
        <v>10612</v>
      </c>
      <c r="C5085" t="s">
        <v>10127</v>
      </c>
      <c r="D5085" t="s">
        <v>60</v>
      </c>
      <c r="E5085">
        <v>1600</v>
      </c>
      <c r="F5085">
        <v>4</v>
      </c>
      <c r="G5085">
        <v>4</v>
      </c>
      <c r="H5085">
        <v>1</v>
      </c>
      <c r="I5085">
        <v>0</v>
      </c>
      <c r="J5085">
        <v>0.84565108094519903</v>
      </c>
      <c r="K5085">
        <v>0.69220148543134696</v>
      </c>
      <c r="L5085">
        <v>0.76127054983704301</v>
      </c>
      <c r="M5085">
        <v>0.35393258426966301</v>
      </c>
      <c r="N5085">
        <v>1</v>
      </c>
      <c r="O5085">
        <v>0.56273408239700395</v>
      </c>
      <c r="P5085" t="s">
        <v>10613</v>
      </c>
      <c r="Q5085" t="s">
        <v>10614</v>
      </c>
      <c r="R5085" t="s">
        <v>1259</v>
      </c>
      <c r="S5085" t="s">
        <v>1260</v>
      </c>
      <c r="T5085" t="s">
        <v>10615</v>
      </c>
      <c r="U5085" t="s">
        <v>10616</v>
      </c>
      <c r="V5085" t="s">
        <v>10617</v>
      </c>
      <c r="W5085" t="s">
        <v>10618</v>
      </c>
      <c r="AD5085" t="s">
        <v>410</v>
      </c>
      <c r="AE5085" t="s">
        <v>501</v>
      </c>
      <c r="AF5085" t="s">
        <v>10619</v>
      </c>
    </row>
    <row r="5086" spans="1:32" hidden="1" x14ac:dyDescent="0.35">
      <c r="A5086">
        <v>5085</v>
      </c>
      <c r="B5086" t="s">
        <v>10612</v>
      </c>
      <c r="C5086" t="s">
        <v>10127</v>
      </c>
      <c r="D5086" t="s">
        <v>62</v>
      </c>
      <c r="E5086">
        <v>1636</v>
      </c>
      <c r="F5086">
        <v>4</v>
      </c>
      <c r="G5086">
        <v>4</v>
      </c>
      <c r="H5086">
        <v>1</v>
      </c>
      <c r="I5086">
        <v>0</v>
      </c>
      <c r="J5086">
        <v>0.84565108094519903</v>
      </c>
      <c r="K5086">
        <v>0.69220148543134696</v>
      </c>
      <c r="L5086">
        <v>0.76127054983704301</v>
      </c>
      <c r="M5086">
        <v>0.35393258426966301</v>
      </c>
      <c r="N5086">
        <v>1</v>
      </c>
      <c r="O5086">
        <v>0.56273408239700395</v>
      </c>
      <c r="P5086" t="s">
        <v>10613</v>
      </c>
      <c r="Q5086" t="s">
        <v>10614</v>
      </c>
      <c r="R5086" t="s">
        <v>1259</v>
      </c>
      <c r="S5086" t="s">
        <v>1260</v>
      </c>
      <c r="T5086" t="s">
        <v>10615</v>
      </c>
      <c r="U5086" t="s">
        <v>10616</v>
      </c>
      <c r="V5086" t="s">
        <v>10617</v>
      </c>
      <c r="W5086" t="s">
        <v>10618</v>
      </c>
      <c r="AD5086" t="s">
        <v>410</v>
      </c>
      <c r="AE5086" t="s">
        <v>501</v>
      </c>
      <c r="AF5086" t="s">
        <v>10620</v>
      </c>
    </row>
    <row r="5087" spans="1:32" hidden="1" x14ac:dyDescent="0.35">
      <c r="A5087">
        <v>5086</v>
      </c>
      <c r="B5087" t="s">
        <v>10612</v>
      </c>
      <c r="C5087" t="s">
        <v>10127</v>
      </c>
      <c r="D5087" t="s">
        <v>34</v>
      </c>
      <c r="E5087">
        <v>1995</v>
      </c>
      <c r="F5087">
        <v>4</v>
      </c>
      <c r="G5087">
        <v>4</v>
      </c>
      <c r="H5087">
        <v>1</v>
      </c>
      <c r="I5087">
        <v>0</v>
      </c>
      <c r="J5087">
        <v>0.84565108094519903</v>
      </c>
      <c r="K5087">
        <v>0.69220148543134696</v>
      </c>
      <c r="L5087">
        <v>0.76127054983704301</v>
      </c>
      <c r="M5087">
        <v>0.35393258426966301</v>
      </c>
      <c r="N5087">
        <v>1</v>
      </c>
      <c r="O5087">
        <v>0.56273408239700395</v>
      </c>
      <c r="P5087" t="s">
        <v>10613</v>
      </c>
      <c r="Q5087" t="s">
        <v>10614</v>
      </c>
      <c r="R5087" t="s">
        <v>1259</v>
      </c>
      <c r="S5087" t="s">
        <v>1260</v>
      </c>
      <c r="T5087" t="s">
        <v>10615</v>
      </c>
      <c r="U5087" t="s">
        <v>10616</v>
      </c>
      <c r="V5087" t="s">
        <v>10617</v>
      </c>
      <c r="W5087" t="s">
        <v>10618</v>
      </c>
      <c r="AD5087" t="s">
        <v>410</v>
      </c>
      <c r="AE5087" t="s">
        <v>501</v>
      </c>
      <c r="AF5087" t="e">
        <f>-------------------------MEAKQPSG-----------------------------------------VQGSFAGGTWIALIAGALLLIMLLVFIMQNQDQVDLVLFAWNFRFPAGIGFLLAAISGALIMALVGGVRMFQLRRQIIKTDKHLVETVNSIRATGGEPGKETTR</f>
        <v>#NAME?</v>
      </c>
    </row>
    <row r="5088" spans="1:32" hidden="1" x14ac:dyDescent="0.35">
      <c r="A5088">
        <v>5087</v>
      </c>
      <c r="B5088" t="s">
        <v>10612</v>
      </c>
      <c r="C5088" t="s">
        <v>10127</v>
      </c>
      <c r="D5088" t="s">
        <v>45</v>
      </c>
      <c r="E5088">
        <v>878</v>
      </c>
      <c r="F5088">
        <v>4</v>
      </c>
      <c r="G5088">
        <v>4</v>
      </c>
      <c r="H5088">
        <v>1</v>
      </c>
      <c r="I5088">
        <v>0</v>
      </c>
      <c r="J5088">
        <v>0.84565108094519903</v>
      </c>
      <c r="K5088">
        <v>0.69220148543134696</v>
      </c>
      <c r="L5088">
        <v>0.76127054983704301</v>
      </c>
      <c r="M5088">
        <v>0.35393258426966301</v>
      </c>
      <c r="N5088">
        <v>1</v>
      </c>
      <c r="O5088">
        <v>0.56273408239700395</v>
      </c>
      <c r="P5088" t="s">
        <v>10613</v>
      </c>
      <c r="Q5088" t="s">
        <v>10614</v>
      </c>
      <c r="R5088" t="s">
        <v>1259</v>
      </c>
      <c r="S5088" t="s">
        <v>1260</v>
      </c>
      <c r="T5088" t="s">
        <v>10615</v>
      </c>
      <c r="U5088" t="s">
        <v>10616</v>
      </c>
      <c r="V5088" t="s">
        <v>10617</v>
      </c>
      <c r="W5088" t="s">
        <v>10618</v>
      </c>
      <c r="AD5088" t="s">
        <v>410</v>
      </c>
      <c r="AE5088" t="s">
        <v>501</v>
      </c>
      <c r="AF5088" t="e">
        <f>-------------------------MEAKQPSG-----------------------------------------VQGSFAGGTWIALIAGALLLIMLLVFIMQNQDQVDLVLFAWNFRFPAGIGFLLAAISGALIMALVGGVRMFQLRRQIIKTDKHLVETVNSIRATGGEPGKETTR</f>
        <v>#NAME?</v>
      </c>
    </row>
    <row r="5089" spans="1:32" hidden="1" x14ac:dyDescent="0.35">
      <c r="A5089">
        <v>5088</v>
      </c>
      <c r="B5089" t="s">
        <v>10621</v>
      </c>
      <c r="C5089" t="s">
        <v>10127</v>
      </c>
      <c r="D5089" t="s">
        <v>60</v>
      </c>
      <c r="E5089">
        <v>1089</v>
      </c>
      <c r="F5089">
        <v>4</v>
      </c>
      <c r="G5089">
        <v>4</v>
      </c>
      <c r="H5089">
        <v>1</v>
      </c>
      <c r="I5089">
        <v>0</v>
      </c>
      <c r="J5089">
        <v>0.89009736896623204</v>
      </c>
      <c r="K5089">
        <v>0.98779388346369901</v>
      </c>
      <c r="L5089">
        <v>0.93640431586682804</v>
      </c>
      <c r="M5089">
        <v>0.77348066298342499</v>
      </c>
      <c r="N5089">
        <v>1</v>
      </c>
      <c r="O5089">
        <v>0.84806629834254099</v>
      </c>
      <c r="P5089" t="s">
        <v>10622</v>
      </c>
      <c r="Q5089" t="s">
        <v>10623</v>
      </c>
      <c r="R5089" t="s">
        <v>4579</v>
      </c>
      <c r="S5089" t="s">
        <v>4580</v>
      </c>
      <c r="T5089" t="s">
        <v>10624</v>
      </c>
      <c r="U5089" t="s">
        <v>10625</v>
      </c>
      <c r="V5089" t="s">
        <v>10626</v>
      </c>
      <c r="W5089" t="s">
        <v>10627</v>
      </c>
      <c r="Z5089" t="s">
        <v>10602</v>
      </c>
      <c r="AA5089" t="s">
        <v>10603</v>
      </c>
      <c r="AB5089" t="s">
        <v>10602</v>
      </c>
      <c r="AC5089" t="s">
        <v>10604</v>
      </c>
      <c r="AD5089" t="s">
        <v>10157</v>
      </c>
      <c r="AE5089" t="s">
        <v>10158</v>
      </c>
      <c r="AF5089" t="s">
        <v>10628</v>
      </c>
    </row>
    <row r="5090" spans="1:32" hidden="1" x14ac:dyDescent="0.35">
      <c r="A5090">
        <v>5089</v>
      </c>
      <c r="B5090" t="s">
        <v>10621</v>
      </c>
      <c r="C5090" t="s">
        <v>10127</v>
      </c>
      <c r="D5090" t="s">
        <v>62</v>
      </c>
      <c r="E5090">
        <v>1125</v>
      </c>
      <c r="F5090">
        <v>4</v>
      </c>
      <c r="G5090">
        <v>4</v>
      </c>
      <c r="H5090">
        <v>1</v>
      </c>
      <c r="I5090">
        <v>0</v>
      </c>
      <c r="J5090">
        <v>0.89009736896623204</v>
      </c>
      <c r="K5090">
        <v>0.98779388346369901</v>
      </c>
      <c r="L5090">
        <v>0.93640431586682804</v>
      </c>
      <c r="M5090">
        <v>0.77348066298342499</v>
      </c>
      <c r="N5090">
        <v>1</v>
      </c>
      <c r="O5090">
        <v>0.84806629834254099</v>
      </c>
      <c r="P5090" t="s">
        <v>10622</v>
      </c>
      <c r="Q5090" t="s">
        <v>10623</v>
      </c>
      <c r="R5090" t="s">
        <v>4579</v>
      </c>
      <c r="S5090" t="s">
        <v>4580</v>
      </c>
      <c r="T5090" t="s">
        <v>10624</v>
      </c>
      <c r="U5090" t="s">
        <v>10625</v>
      </c>
      <c r="V5090" t="s">
        <v>10626</v>
      </c>
      <c r="W5090" t="s">
        <v>10627</v>
      </c>
      <c r="Z5090" t="s">
        <v>10602</v>
      </c>
      <c r="AA5090" t="s">
        <v>10603</v>
      </c>
      <c r="AB5090" t="s">
        <v>10602</v>
      </c>
      <c r="AC5090" t="s">
        <v>10604</v>
      </c>
      <c r="AD5090" t="s">
        <v>10157</v>
      </c>
      <c r="AE5090" t="s">
        <v>10158</v>
      </c>
      <c r="AF5090" t="s">
        <v>10628</v>
      </c>
    </row>
    <row r="5091" spans="1:32" hidden="1" x14ac:dyDescent="0.35">
      <c r="A5091">
        <v>5090</v>
      </c>
      <c r="B5091" t="s">
        <v>10621</v>
      </c>
      <c r="C5091" t="s">
        <v>10127</v>
      </c>
      <c r="D5091" t="s">
        <v>34</v>
      </c>
      <c r="E5091">
        <v>159</v>
      </c>
      <c r="F5091">
        <v>4</v>
      </c>
      <c r="G5091">
        <v>4</v>
      </c>
      <c r="H5091">
        <v>1</v>
      </c>
      <c r="I5091">
        <v>0</v>
      </c>
      <c r="J5091">
        <v>0.89009736896623204</v>
      </c>
      <c r="K5091">
        <v>0.98779388346369901</v>
      </c>
      <c r="L5091">
        <v>0.93640431586682804</v>
      </c>
      <c r="M5091">
        <v>0.77348066298342499</v>
      </c>
      <c r="N5091">
        <v>1</v>
      </c>
      <c r="O5091">
        <v>0.84806629834254099</v>
      </c>
      <c r="P5091" t="s">
        <v>10622</v>
      </c>
      <c r="Q5091" t="s">
        <v>10623</v>
      </c>
      <c r="R5091" t="s">
        <v>4579</v>
      </c>
      <c r="S5091" t="s">
        <v>4580</v>
      </c>
      <c r="T5091" t="s">
        <v>10624</v>
      </c>
      <c r="U5091" t="s">
        <v>10625</v>
      </c>
      <c r="V5091" t="s">
        <v>10626</v>
      </c>
      <c r="W5091" t="s">
        <v>10627</v>
      </c>
      <c r="Z5091" t="s">
        <v>10602</v>
      </c>
      <c r="AA5091" t="s">
        <v>10603</v>
      </c>
      <c r="AB5091" t="s">
        <v>10602</v>
      </c>
      <c r="AC5091" t="s">
        <v>10604</v>
      </c>
      <c r="AD5091" t="s">
        <v>10157</v>
      </c>
      <c r="AE5091" t="s">
        <v>10158</v>
      </c>
      <c r="AF5091" t="s">
        <v>10629</v>
      </c>
    </row>
    <row r="5092" spans="1:32" hidden="1" x14ac:dyDescent="0.35">
      <c r="A5092">
        <v>5091</v>
      </c>
      <c r="B5092" t="s">
        <v>10621</v>
      </c>
      <c r="C5092" t="s">
        <v>10127</v>
      </c>
      <c r="D5092" t="s">
        <v>45</v>
      </c>
      <c r="E5092">
        <v>1420</v>
      </c>
      <c r="F5092">
        <v>4</v>
      </c>
      <c r="G5092">
        <v>4</v>
      </c>
      <c r="H5092">
        <v>1</v>
      </c>
      <c r="I5092">
        <v>0</v>
      </c>
      <c r="J5092">
        <v>0.89009736896623204</v>
      </c>
      <c r="K5092">
        <v>0.98779388346369901</v>
      </c>
      <c r="L5092">
        <v>0.93640431586682804</v>
      </c>
      <c r="M5092">
        <v>0.77348066298342499</v>
      </c>
      <c r="N5092">
        <v>1</v>
      </c>
      <c r="O5092">
        <v>0.84806629834254099</v>
      </c>
      <c r="P5092" t="s">
        <v>10622</v>
      </c>
      <c r="Q5092" t="s">
        <v>10623</v>
      </c>
      <c r="R5092" t="s">
        <v>4579</v>
      </c>
      <c r="S5092" t="s">
        <v>4580</v>
      </c>
      <c r="T5092" t="s">
        <v>10624</v>
      </c>
      <c r="U5092" t="s">
        <v>10625</v>
      </c>
      <c r="V5092" t="s">
        <v>10626</v>
      </c>
      <c r="W5092" t="s">
        <v>10627</v>
      </c>
      <c r="Z5092" t="s">
        <v>10602</v>
      </c>
      <c r="AA5092" t="s">
        <v>10603</v>
      </c>
      <c r="AB5092" t="s">
        <v>10602</v>
      </c>
      <c r="AC5092" t="s">
        <v>10604</v>
      </c>
      <c r="AD5092" t="s">
        <v>10157</v>
      </c>
      <c r="AE5092" t="s">
        <v>10158</v>
      </c>
      <c r="AF5092" t="s">
        <v>10630</v>
      </c>
    </row>
    <row r="5093" spans="1:32" hidden="1" x14ac:dyDescent="0.35">
      <c r="A5093">
        <v>5205</v>
      </c>
      <c r="B5093" t="s">
        <v>10829</v>
      </c>
      <c r="C5093" t="s">
        <v>10127</v>
      </c>
      <c r="D5093" t="s">
        <v>60</v>
      </c>
      <c r="E5093">
        <v>1030</v>
      </c>
      <c r="F5093">
        <v>2</v>
      </c>
      <c r="G5093">
        <v>4</v>
      </c>
      <c r="H5093">
        <v>2</v>
      </c>
      <c r="I5093">
        <v>0</v>
      </c>
      <c r="J5093">
        <v>0.81030551755586</v>
      </c>
      <c r="K5093">
        <v>0.96738970045743</v>
      </c>
      <c r="L5093">
        <v>0.88190731905485198</v>
      </c>
      <c r="M5093">
        <v>0.57142857142857095</v>
      </c>
      <c r="N5093">
        <v>1</v>
      </c>
      <c r="O5093">
        <v>0.71428571428571397</v>
      </c>
      <c r="P5093" t="s">
        <v>10830</v>
      </c>
      <c r="Q5093" t="s">
        <v>10831</v>
      </c>
      <c r="R5093" t="s">
        <v>96</v>
      </c>
      <c r="S5093" t="s">
        <v>97</v>
      </c>
      <c r="T5093" t="s">
        <v>10832</v>
      </c>
      <c r="U5093" t="s">
        <v>10833</v>
      </c>
      <c r="V5093" t="s">
        <v>10834</v>
      </c>
      <c r="W5093" t="s">
        <v>10835</v>
      </c>
      <c r="AD5093" t="s">
        <v>7708</v>
      </c>
      <c r="AE5093" t="s">
        <v>10836</v>
      </c>
      <c r="AF5093" t="s">
        <v>10838</v>
      </c>
    </row>
    <row r="5094" spans="1:32" hidden="1" x14ac:dyDescent="0.35">
      <c r="A5094">
        <v>5206</v>
      </c>
      <c r="B5094" t="s">
        <v>10829</v>
      </c>
      <c r="C5094" t="s">
        <v>10127</v>
      </c>
      <c r="D5094" t="s">
        <v>62</v>
      </c>
      <c r="E5094">
        <v>1065</v>
      </c>
      <c r="F5094">
        <v>2</v>
      </c>
      <c r="G5094">
        <v>4</v>
      </c>
      <c r="H5094">
        <v>2</v>
      </c>
      <c r="I5094">
        <v>0</v>
      </c>
      <c r="J5094">
        <v>0.81030551755586</v>
      </c>
      <c r="K5094">
        <v>0.96738970045743</v>
      </c>
      <c r="L5094">
        <v>0.88190731905485198</v>
      </c>
      <c r="M5094">
        <v>0.57142857142857095</v>
      </c>
      <c r="N5094">
        <v>1</v>
      </c>
      <c r="O5094">
        <v>0.71428571428571397</v>
      </c>
      <c r="P5094" t="s">
        <v>10830</v>
      </c>
      <c r="Q5094" t="s">
        <v>10831</v>
      </c>
      <c r="R5094" t="s">
        <v>96</v>
      </c>
      <c r="S5094" t="s">
        <v>97</v>
      </c>
      <c r="T5094" t="s">
        <v>10832</v>
      </c>
      <c r="U5094" t="s">
        <v>10833</v>
      </c>
      <c r="V5094" t="s">
        <v>10834</v>
      </c>
      <c r="W5094" t="s">
        <v>10835</v>
      </c>
      <c r="AD5094" t="s">
        <v>7708</v>
      </c>
      <c r="AE5094" t="s">
        <v>10836</v>
      </c>
      <c r="AF5094" t="s">
        <v>10837</v>
      </c>
    </row>
    <row r="5095" spans="1:32" hidden="1" x14ac:dyDescent="0.35">
      <c r="A5095">
        <v>5207</v>
      </c>
      <c r="B5095" t="s">
        <v>10829</v>
      </c>
      <c r="C5095" t="s">
        <v>10127</v>
      </c>
      <c r="D5095" t="s">
        <v>62</v>
      </c>
      <c r="E5095">
        <v>1066</v>
      </c>
      <c r="F5095">
        <v>2</v>
      </c>
      <c r="G5095">
        <v>4</v>
      </c>
      <c r="H5095">
        <v>2</v>
      </c>
      <c r="I5095">
        <v>0</v>
      </c>
      <c r="J5095">
        <v>0.81030551755586</v>
      </c>
      <c r="K5095">
        <v>0.96738970045743</v>
      </c>
      <c r="L5095">
        <v>0.88190731905485198</v>
      </c>
      <c r="M5095">
        <v>0.57142857142857095</v>
      </c>
      <c r="N5095">
        <v>1</v>
      </c>
      <c r="O5095">
        <v>0.71428571428571397</v>
      </c>
      <c r="P5095" t="s">
        <v>10830</v>
      </c>
      <c r="Q5095" t="s">
        <v>10831</v>
      </c>
      <c r="R5095" t="s">
        <v>96</v>
      </c>
      <c r="S5095" t="s">
        <v>97</v>
      </c>
      <c r="T5095" t="s">
        <v>10832</v>
      </c>
      <c r="U5095" t="s">
        <v>10833</v>
      </c>
      <c r="V5095" t="s">
        <v>10834</v>
      </c>
      <c r="W5095" t="s">
        <v>10835</v>
      </c>
      <c r="AD5095" t="s">
        <v>7708</v>
      </c>
      <c r="AE5095" t="s">
        <v>10836</v>
      </c>
      <c r="AF5095" t="s">
        <v>10838</v>
      </c>
    </row>
    <row r="5096" spans="1:32" hidden="1" x14ac:dyDescent="0.35">
      <c r="A5096">
        <v>5244</v>
      </c>
      <c r="B5096" t="s">
        <v>10893</v>
      </c>
      <c r="C5096" t="s">
        <v>10127</v>
      </c>
      <c r="D5096" t="s">
        <v>58</v>
      </c>
      <c r="E5096">
        <v>920</v>
      </c>
      <c r="F5096">
        <v>4</v>
      </c>
      <c r="G5096">
        <v>4</v>
      </c>
      <c r="H5096">
        <v>1</v>
      </c>
      <c r="I5096">
        <v>0</v>
      </c>
      <c r="J5096">
        <v>0.72346840328026996</v>
      </c>
      <c r="K5096">
        <v>0.925376858133935</v>
      </c>
      <c r="L5096">
        <v>0.81206033537975697</v>
      </c>
      <c r="M5096">
        <v>0.52304609218436904</v>
      </c>
      <c r="N5096">
        <v>1</v>
      </c>
      <c r="O5096">
        <v>0.62658650634602497</v>
      </c>
      <c r="P5096" t="s">
        <v>570</v>
      </c>
      <c r="Q5096" t="s">
        <v>571</v>
      </c>
      <c r="R5096" t="s">
        <v>96</v>
      </c>
      <c r="S5096" t="s">
        <v>97</v>
      </c>
      <c r="T5096" t="s">
        <v>10894</v>
      </c>
      <c r="U5096" t="s">
        <v>10895</v>
      </c>
      <c r="V5096" t="s">
        <v>574</v>
      </c>
      <c r="W5096" t="s">
        <v>575</v>
      </c>
      <c r="AD5096" t="s">
        <v>576</v>
      </c>
      <c r="AE5096" t="s">
        <v>10896</v>
      </c>
      <c r="AF5096" t="s">
        <v>10897</v>
      </c>
    </row>
    <row r="5097" spans="1:32" hidden="1" x14ac:dyDescent="0.35">
      <c r="A5097">
        <v>5245</v>
      </c>
      <c r="B5097" t="s">
        <v>10893</v>
      </c>
      <c r="C5097" t="s">
        <v>10127</v>
      </c>
      <c r="D5097" t="s">
        <v>60</v>
      </c>
      <c r="E5097">
        <v>1317</v>
      </c>
      <c r="F5097">
        <v>4</v>
      </c>
      <c r="G5097">
        <v>4</v>
      </c>
      <c r="H5097">
        <v>1</v>
      </c>
      <c r="I5097">
        <v>0</v>
      </c>
      <c r="J5097">
        <v>0.72346840328026996</v>
      </c>
      <c r="K5097">
        <v>0.925376858133935</v>
      </c>
      <c r="L5097">
        <v>0.81206033537975697</v>
      </c>
      <c r="M5097">
        <v>0.52304609218436904</v>
      </c>
      <c r="N5097">
        <v>1</v>
      </c>
      <c r="O5097">
        <v>0.62658650634602497</v>
      </c>
      <c r="P5097" t="s">
        <v>570</v>
      </c>
      <c r="Q5097" t="s">
        <v>571</v>
      </c>
      <c r="R5097" t="s">
        <v>96</v>
      </c>
      <c r="S5097" t="s">
        <v>97</v>
      </c>
      <c r="T5097" t="s">
        <v>10894</v>
      </c>
      <c r="U5097" t="s">
        <v>10895</v>
      </c>
      <c r="V5097" t="s">
        <v>574</v>
      </c>
      <c r="W5097" t="s">
        <v>575</v>
      </c>
      <c r="AD5097" t="s">
        <v>576</v>
      </c>
      <c r="AE5097" t="s">
        <v>10896</v>
      </c>
      <c r="AF5097" t="s">
        <v>10898</v>
      </c>
    </row>
    <row r="5098" spans="1:32" hidden="1" x14ac:dyDescent="0.35">
      <c r="A5098">
        <v>5246</v>
      </c>
      <c r="B5098" t="s">
        <v>10893</v>
      </c>
      <c r="C5098" t="s">
        <v>10127</v>
      </c>
      <c r="D5098" t="s">
        <v>62</v>
      </c>
      <c r="E5098">
        <v>1353</v>
      </c>
      <c r="F5098">
        <v>4</v>
      </c>
      <c r="G5098">
        <v>4</v>
      </c>
      <c r="H5098">
        <v>1</v>
      </c>
      <c r="I5098">
        <v>0</v>
      </c>
      <c r="J5098">
        <v>0.72346840328026996</v>
      </c>
      <c r="K5098">
        <v>0.925376858133935</v>
      </c>
      <c r="L5098">
        <v>0.81206033537975697</v>
      </c>
      <c r="M5098">
        <v>0.52304609218436904</v>
      </c>
      <c r="N5098">
        <v>1</v>
      </c>
      <c r="O5098">
        <v>0.62658650634602497</v>
      </c>
      <c r="P5098" t="s">
        <v>570</v>
      </c>
      <c r="Q5098" t="s">
        <v>571</v>
      </c>
      <c r="R5098" t="s">
        <v>96</v>
      </c>
      <c r="S5098" t="s">
        <v>97</v>
      </c>
      <c r="T5098" t="s">
        <v>10894</v>
      </c>
      <c r="U5098" t="s">
        <v>10895</v>
      </c>
      <c r="V5098" t="s">
        <v>574</v>
      </c>
      <c r="W5098" t="s">
        <v>575</v>
      </c>
      <c r="AD5098" t="s">
        <v>576</v>
      </c>
      <c r="AE5098" t="s">
        <v>10896</v>
      </c>
      <c r="AF5098" t="s">
        <v>10898</v>
      </c>
    </row>
    <row r="5099" spans="1:32" hidden="1" x14ac:dyDescent="0.35">
      <c r="A5099">
        <v>5247</v>
      </c>
      <c r="B5099" t="s">
        <v>10893</v>
      </c>
      <c r="C5099" t="s">
        <v>10127</v>
      </c>
      <c r="D5099" t="s">
        <v>34</v>
      </c>
      <c r="E5099">
        <v>1713</v>
      </c>
      <c r="F5099">
        <v>4</v>
      </c>
      <c r="G5099">
        <v>4</v>
      </c>
      <c r="H5099">
        <v>1</v>
      </c>
      <c r="I5099">
        <v>0</v>
      </c>
      <c r="J5099">
        <v>0.72346840328026996</v>
      </c>
      <c r="K5099">
        <v>0.925376858133935</v>
      </c>
      <c r="L5099">
        <v>0.81206033537975697</v>
      </c>
      <c r="M5099">
        <v>0.52304609218436904</v>
      </c>
      <c r="N5099">
        <v>1</v>
      </c>
      <c r="O5099">
        <v>0.62658650634602497</v>
      </c>
      <c r="P5099" t="s">
        <v>570</v>
      </c>
      <c r="Q5099" t="s">
        <v>571</v>
      </c>
      <c r="R5099" t="s">
        <v>96</v>
      </c>
      <c r="S5099" t="s">
        <v>97</v>
      </c>
      <c r="T5099" t="s">
        <v>10894</v>
      </c>
      <c r="U5099" t="s">
        <v>10895</v>
      </c>
      <c r="V5099" t="s">
        <v>574</v>
      </c>
      <c r="W5099" t="s">
        <v>575</v>
      </c>
      <c r="AD5099" t="s">
        <v>576</v>
      </c>
      <c r="AE5099" t="s">
        <v>10896</v>
      </c>
      <c r="AF5099" t="e">
        <f>----MTHTRRIMGIETEYGITATTPGTANHPLSPDEIARVLFRPINHQWGSSNIFTHNASRLYLDVGSHPEIATAECDNLTQLITYDRAGDEIINNLATQAEQTLKTEGI----NTNVYLFKNNLDSAGNSYGCHENYLIDRKIVLKTLGHTLLPFLITRQLICGAGNI------SPDGT----YQFSQRADHVWEGVSSATTRSRPIINTRDEAHADTHRYRRLHIIVGDSNLAEPTLALKIGSTTLILEMIEAGFPNLPHLEFANNMAAIRTISRDLTGQTPIPTTTGTTTTALELQQRYLDAATEWLTH---------REETGGTTNTELTHTLNLWHTTLNAIKTGDITTIDHDIDWAIKLNLLTTYHTTLGLKPHNYNHPKLHQLNLAYHDIRPGRGLHRLLETKNRINRITTPETVTHATTNPPPTTRAALRGTFLHHATYHHAPFAVDWLRLKINQPEPQIVELTDPFANTDPRVDDLIKYLETHSHYYQEP</f>
        <v>#NAME?</v>
      </c>
    </row>
    <row r="5100" spans="1:32" hidden="1" x14ac:dyDescent="0.35">
      <c r="A5100">
        <v>5252</v>
      </c>
      <c r="B5100" t="s">
        <v>10903</v>
      </c>
      <c r="C5100" t="s">
        <v>10127</v>
      </c>
      <c r="D5100" t="s">
        <v>60</v>
      </c>
      <c r="E5100">
        <v>2093</v>
      </c>
      <c r="F5100">
        <v>4</v>
      </c>
      <c r="G5100">
        <v>4</v>
      </c>
      <c r="H5100">
        <v>1</v>
      </c>
      <c r="I5100">
        <v>0</v>
      </c>
      <c r="J5100">
        <v>0.769212635549269</v>
      </c>
      <c r="K5100">
        <v>0.89776087874947097</v>
      </c>
      <c r="L5100">
        <v>0.82853027443140403</v>
      </c>
      <c r="M5100">
        <v>0.46212121212121199</v>
      </c>
      <c r="N5100">
        <v>1</v>
      </c>
      <c r="O5100">
        <v>0.64204545454545503</v>
      </c>
      <c r="P5100" t="s">
        <v>10904</v>
      </c>
      <c r="Q5100" t="s">
        <v>10905</v>
      </c>
      <c r="R5100" t="s">
        <v>96</v>
      </c>
      <c r="S5100" t="s">
        <v>97</v>
      </c>
      <c r="V5100" t="s">
        <v>10906</v>
      </c>
      <c r="W5100" t="s">
        <v>10907</v>
      </c>
      <c r="AF5100" t="s">
        <v>10908</v>
      </c>
    </row>
    <row r="5101" spans="1:32" hidden="1" x14ac:dyDescent="0.35">
      <c r="A5101">
        <v>5253</v>
      </c>
      <c r="B5101" t="s">
        <v>10903</v>
      </c>
      <c r="C5101" t="s">
        <v>10127</v>
      </c>
      <c r="D5101" t="s">
        <v>62</v>
      </c>
      <c r="E5101">
        <v>2128</v>
      </c>
      <c r="F5101">
        <v>4</v>
      </c>
      <c r="G5101">
        <v>4</v>
      </c>
      <c r="H5101">
        <v>1</v>
      </c>
      <c r="I5101">
        <v>0</v>
      </c>
      <c r="J5101">
        <v>0.769212635549269</v>
      </c>
      <c r="K5101">
        <v>0.89776087874947097</v>
      </c>
      <c r="L5101">
        <v>0.82853027443140403</v>
      </c>
      <c r="M5101">
        <v>0.46212121212121199</v>
      </c>
      <c r="N5101">
        <v>1</v>
      </c>
      <c r="O5101">
        <v>0.64204545454545503</v>
      </c>
      <c r="P5101" t="s">
        <v>10904</v>
      </c>
      <c r="Q5101" t="s">
        <v>10905</v>
      </c>
      <c r="R5101" t="s">
        <v>96</v>
      </c>
      <c r="S5101" t="s">
        <v>97</v>
      </c>
      <c r="V5101" t="s">
        <v>10906</v>
      </c>
      <c r="W5101" t="s">
        <v>10907</v>
      </c>
      <c r="AF5101" t="s">
        <v>10909</v>
      </c>
    </row>
    <row r="5102" spans="1:32" hidden="1" x14ac:dyDescent="0.35">
      <c r="A5102">
        <v>5254</v>
      </c>
      <c r="B5102" t="s">
        <v>10903</v>
      </c>
      <c r="C5102" t="s">
        <v>10127</v>
      </c>
      <c r="D5102" t="s">
        <v>34</v>
      </c>
      <c r="E5102">
        <v>2444</v>
      </c>
      <c r="F5102">
        <v>4</v>
      </c>
      <c r="G5102">
        <v>4</v>
      </c>
      <c r="H5102">
        <v>1</v>
      </c>
      <c r="I5102">
        <v>0</v>
      </c>
      <c r="J5102">
        <v>0.769212635549269</v>
      </c>
      <c r="K5102">
        <v>0.89776087874947097</v>
      </c>
      <c r="L5102">
        <v>0.82853027443140403</v>
      </c>
      <c r="M5102">
        <v>0.46212121212121199</v>
      </c>
      <c r="N5102">
        <v>1</v>
      </c>
      <c r="O5102">
        <v>0.64204545454545503</v>
      </c>
      <c r="P5102" t="s">
        <v>10904</v>
      </c>
      <c r="Q5102" t="s">
        <v>10905</v>
      </c>
      <c r="R5102" t="s">
        <v>96</v>
      </c>
      <c r="S5102" t="s">
        <v>97</v>
      </c>
      <c r="V5102" t="s">
        <v>10906</v>
      </c>
      <c r="W5102" t="s">
        <v>10907</v>
      </c>
      <c r="AF5102" t="s">
        <v>10910</v>
      </c>
    </row>
    <row r="5103" spans="1:32" hidden="1" x14ac:dyDescent="0.35">
      <c r="A5103">
        <v>5255</v>
      </c>
      <c r="B5103" t="s">
        <v>10903</v>
      </c>
      <c r="C5103" t="s">
        <v>10127</v>
      </c>
      <c r="D5103" t="s">
        <v>45</v>
      </c>
      <c r="E5103">
        <v>458</v>
      </c>
      <c r="F5103">
        <v>4</v>
      </c>
      <c r="G5103">
        <v>4</v>
      </c>
      <c r="H5103">
        <v>1</v>
      </c>
      <c r="I5103">
        <v>0</v>
      </c>
      <c r="J5103">
        <v>0.769212635549269</v>
      </c>
      <c r="K5103">
        <v>0.89776087874947097</v>
      </c>
      <c r="L5103">
        <v>0.82853027443140403</v>
      </c>
      <c r="M5103">
        <v>0.46212121212121199</v>
      </c>
      <c r="N5103">
        <v>1</v>
      </c>
      <c r="O5103">
        <v>0.64204545454545503</v>
      </c>
      <c r="P5103" t="s">
        <v>10904</v>
      </c>
      <c r="Q5103" t="s">
        <v>10905</v>
      </c>
      <c r="R5103" t="s">
        <v>96</v>
      </c>
      <c r="S5103" t="s">
        <v>97</v>
      </c>
      <c r="V5103" t="s">
        <v>10906</v>
      </c>
      <c r="W5103" t="s">
        <v>10907</v>
      </c>
      <c r="AF5103" t="s">
        <v>10910</v>
      </c>
    </row>
    <row r="5104" spans="1:32" hidden="1" x14ac:dyDescent="0.35">
      <c r="A5104">
        <v>5308</v>
      </c>
      <c r="B5104" t="s">
        <v>11016</v>
      </c>
      <c r="C5104" t="s">
        <v>10127</v>
      </c>
      <c r="D5104" t="s">
        <v>60</v>
      </c>
      <c r="E5104">
        <v>1498</v>
      </c>
      <c r="F5104">
        <v>4</v>
      </c>
      <c r="G5104">
        <v>4</v>
      </c>
      <c r="H5104">
        <v>1</v>
      </c>
      <c r="I5104">
        <v>0</v>
      </c>
      <c r="J5104">
        <v>0.77712691771269204</v>
      </c>
      <c r="K5104">
        <v>0.97175992348158602</v>
      </c>
      <c r="L5104">
        <v>0.86361310097829902</v>
      </c>
      <c r="M5104">
        <v>0.55609756097561003</v>
      </c>
      <c r="N5104">
        <v>1</v>
      </c>
      <c r="O5104">
        <v>0.70325203252032498</v>
      </c>
      <c r="P5104" t="s">
        <v>11017</v>
      </c>
      <c r="Q5104" t="s">
        <v>11018</v>
      </c>
      <c r="R5104" t="s">
        <v>96</v>
      </c>
      <c r="S5104" t="s">
        <v>97</v>
      </c>
      <c r="T5104" t="s">
        <v>11019</v>
      </c>
      <c r="U5104" t="s">
        <v>11020</v>
      </c>
      <c r="V5104" t="s">
        <v>11021</v>
      </c>
      <c r="W5104" t="s">
        <v>11022</v>
      </c>
      <c r="AD5104" t="s">
        <v>8082</v>
      </c>
      <c r="AE5104" t="s">
        <v>11023</v>
      </c>
      <c r="AF5104" t="e">
        <f>-MTSSQPVDPA--KLERLRQALEQYESGTSSEPPLFDRAAEEAKAKVRHRALLLLDHRARSRQEMQDRLIALDFAPDVVADVIADLERDRLIDDALFAQEWVRQRHQRRGKSKAVLDRELKEKGIAASIRGEALDIIDEDDEREKARELAVKKARSVKHDCSANRDDYAKALRRIVGVLARRGFPQGMSMMVARQALDQRLAELS</f>
        <v>#NAME?</v>
      </c>
    </row>
    <row r="5105" spans="1:32" hidden="1" x14ac:dyDescent="0.35">
      <c r="A5105">
        <v>5309</v>
      </c>
      <c r="B5105" t="s">
        <v>11016</v>
      </c>
      <c r="C5105" t="s">
        <v>10127</v>
      </c>
      <c r="D5105" t="s">
        <v>62</v>
      </c>
      <c r="E5105">
        <v>1533</v>
      </c>
      <c r="F5105">
        <v>4</v>
      </c>
      <c r="G5105">
        <v>4</v>
      </c>
      <c r="H5105">
        <v>1</v>
      </c>
      <c r="I5105">
        <v>0</v>
      </c>
      <c r="J5105">
        <v>0.77712691771269204</v>
      </c>
      <c r="K5105">
        <v>0.97175992348158602</v>
      </c>
      <c r="L5105">
        <v>0.86361310097829902</v>
      </c>
      <c r="M5105">
        <v>0.55609756097561003</v>
      </c>
      <c r="N5105">
        <v>1</v>
      </c>
      <c r="O5105">
        <v>0.70325203252032498</v>
      </c>
      <c r="P5105" t="s">
        <v>11017</v>
      </c>
      <c r="Q5105" t="s">
        <v>11018</v>
      </c>
      <c r="R5105" t="s">
        <v>96</v>
      </c>
      <c r="S5105" t="s">
        <v>97</v>
      </c>
      <c r="T5105" t="s">
        <v>11019</v>
      </c>
      <c r="U5105" t="s">
        <v>11020</v>
      </c>
      <c r="V5105" t="s">
        <v>11021</v>
      </c>
      <c r="W5105" t="s">
        <v>11022</v>
      </c>
      <c r="AD5105" t="s">
        <v>8082</v>
      </c>
      <c r="AE5105" t="s">
        <v>11023</v>
      </c>
      <c r="AF5105" t="e">
        <f>-MTSSQPVDPA--KLERLRQALEQYESGTSSEPPLFDRAAEEAKAKVRHRALLLLDHRARSRQEMQDRLIALDFAPDVVADVIADLERDRLIDDALFAQEWVRQRHQRRGKSKAVLDRELKEKGIAASIRGEALDIIDEDDEREKARELAVKKARSVKHDCSANRDDYAKALRRIVGVLARRGFPQGMSMMVARQALDQRLAELS</f>
        <v>#NAME?</v>
      </c>
    </row>
    <row r="5106" spans="1:32" hidden="1" x14ac:dyDescent="0.35">
      <c r="A5106">
        <v>5310</v>
      </c>
      <c r="B5106" t="s">
        <v>11016</v>
      </c>
      <c r="C5106" t="s">
        <v>10127</v>
      </c>
      <c r="D5106" t="s">
        <v>34</v>
      </c>
      <c r="E5106">
        <v>1930</v>
      </c>
      <c r="F5106">
        <v>4</v>
      </c>
      <c r="G5106">
        <v>4</v>
      </c>
      <c r="H5106">
        <v>1</v>
      </c>
      <c r="I5106">
        <v>0</v>
      </c>
      <c r="J5106">
        <v>0.77712691771269204</v>
      </c>
      <c r="K5106">
        <v>0.97175992348158602</v>
      </c>
      <c r="L5106">
        <v>0.86361310097829902</v>
      </c>
      <c r="M5106">
        <v>0.55609756097561003</v>
      </c>
      <c r="N5106">
        <v>1</v>
      </c>
      <c r="O5106">
        <v>0.70325203252032498</v>
      </c>
      <c r="P5106" t="s">
        <v>11017</v>
      </c>
      <c r="Q5106" t="s">
        <v>11018</v>
      </c>
      <c r="R5106" t="s">
        <v>96</v>
      </c>
      <c r="S5106" t="s">
        <v>97</v>
      </c>
      <c r="T5106" t="s">
        <v>11019</v>
      </c>
      <c r="U5106" t="s">
        <v>11020</v>
      </c>
      <c r="V5106" t="s">
        <v>11021</v>
      </c>
      <c r="W5106" t="s">
        <v>11022</v>
      </c>
      <c r="AD5106" t="s">
        <v>8082</v>
      </c>
      <c r="AE5106" t="s">
        <v>11023</v>
      </c>
      <c r="AF5106" t="s">
        <v>11024</v>
      </c>
    </row>
    <row r="5107" spans="1:32" hidden="1" x14ac:dyDescent="0.35">
      <c r="A5107">
        <v>5311</v>
      </c>
      <c r="B5107" t="s">
        <v>11016</v>
      </c>
      <c r="C5107" t="s">
        <v>10127</v>
      </c>
      <c r="D5107" t="s">
        <v>45</v>
      </c>
      <c r="E5107">
        <v>943</v>
      </c>
      <c r="F5107">
        <v>4</v>
      </c>
      <c r="G5107">
        <v>4</v>
      </c>
      <c r="H5107">
        <v>1</v>
      </c>
      <c r="I5107">
        <v>0</v>
      </c>
      <c r="J5107">
        <v>0.77712691771269204</v>
      </c>
      <c r="K5107">
        <v>0.97175992348158602</v>
      </c>
      <c r="L5107">
        <v>0.86361310097829902</v>
      </c>
      <c r="M5107">
        <v>0.55609756097561003</v>
      </c>
      <c r="N5107">
        <v>1</v>
      </c>
      <c r="O5107">
        <v>0.70325203252032498</v>
      </c>
      <c r="P5107" t="s">
        <v>11017</v>
      </c>
      <c r="Q5107" t="s">
        <v>11018</v>
      </c>
      <c r="R5107" t="s">
        <v>96</v>
      </c>
      <c r="S5107" t="s">
        <v>97</v>
      </c>
      <c r="T5107" t="s">
        <v>11019</v>
      </c>
      <c r="U5107" t="s">
        <v>11020</v>
      </c>
      <c r="V5107" t="s">
        <v>11021</v>
      </c>
      <c r="W5107" t="s">
        <v>11022</v>
      </c>
      <c r="AD5107" t="s">
        <v>8082</v>
      </c>
      <c r="AE5107" t="s">
        <v>11023</v>
      </c>
      <c r="AF5107" t="s">
        <v>11025</v>
      </c>
    </row>
    <row r="5108" spans="1:32" hidden="1" x14ac:dyDescent="0.35">
      <c r="A5108">
        <v>5332</v>
      </c>
      <c r="B5108" t="s">
        <v>11048</v>
      </c>
      <c r="C5108" t="s">
        <v>10127</v>
      </c>
      <c r="D5108" t="s">
        <v>60</v>
      </c>
      <c r="E5108">
        <v>1829</v>
      </c>
      <c r="F5108">
        <v>4</v>
      </c>
      <c r="G5108">
        <v>4</v>
      </c>
      <c r="H5108">
        <v>1</v>
      </c>
      <c r="I5108">
        <v>0</v>
      </c>
      <c r="J5108">
        <v>0.76341647770219201</v>
      </c>
      <c r="K5108">
        <v>0.94725839869764905</v>
      </c>
      <c r="L5108">
        <v>0.84545892405863998</v>
      </c>
      <c r="M5108">
        <v>0.51931330472102999</v>
      </c>
      <c r="N5108">
        <v>1</v>
      </c>
      <c r="O5108">
        <v>0.67739628040057198</v>
      </c>
      <c r="P5108" t="s">
        <v>2848</v>
      </c>
      <c r="Q5108" t="s">
        <v>2849</v>
      </c>
      <c r="R5108" t="s">
        <v>96</v>
      </c>
      <c r="S5108" t="s">
        <v>97</v>
      </c>
      <c r="T5108" t="s">
        <v>11049</v>
      </c>
      <c r="U5108" t="s">
        <v>11050</v>
      </c>
      <c r="V5108" t="s">
        <v>11051</v>
      </c>
      <c r="W5108" t="s">
        <v>11052</v>
      </c>
      <c r="AD5108" t="s">
        <v>219</v>
      </c>
      <c r="AE5108" t="s">
        <v>11053</v>
      </c>
      <c r="AF5108" t="s">
        <v>11054</v>
      </c>
    </row>
    <row r="5109" spans="1:32" hidden="1" x14ac:dyDescent="0.35">
      <c r="A5109">
        <v>5108</v>
      </c>
      <c r="B5109" t="s">
        <v>10653</v>
      </c>
      <c r="C5109" t="s">
        <v>10127</v>
      </c>
      <c r="D5109" t="s">
        <v>60</v>
      </c>
      <c r="E5109">
        <v>2171</v>
      </c>
      <c r="F5109">
        <v>4</v>
      </c>
      <c r="G5109">
        <v>4</v>
      </c>
      <c r="H5109">
        <v>1</v>
      </c>
      <c r="I5109">
        <v>0</v>
      </c>
      <c r="J5109">
        <v>0.84898816342115302</v>
      </c>
      <c r="K5109">
        <v>1</v>
      </c>
      <c r="L5109">
        <v>0.91832731027361902</v>
      </c>
      <c r="M5109">
        <v>0.72852233676975897</v>
      </c>
      <c r="N5109">
        <v>1</v>
      </c>
      <c r="O5109">
        <v>0.80698739977090495</v>
      </c>
      <c r="P5109" t="s">
        <v>10654</v>
      </c>
      <c r="Q5109" t="s">
        <v>10655</v>
      </c>
      <c r="R5109" t="s">
        <v>4891</v>
      </c>
      <c r="S5109" t="s">
        <v>4892</v>
      </c>
      <c r="V5109" t="s">
        <v>4895</v>
      </c>
      <c r="W5109" t="s">
        <v>4896</v>
      </c>
      <c r="AF5109" t="s">
        <v>10656</v>
      </c>
    </row>
    <row r="5110" spans="1:32" hidden="1" x14ac:dyDescent="0.35">
      <c r="A5110">
        <v>5109</v>
      </c>
      <c r="B5110" t="s">
        <v>10653</v>
      </c>
      <c r="C5110" t="s">
        <v>10127</v>
      </c>
      <c r="D5110" t="s">
        <v>62</v>
      </c>
      <c r="E5110">
        <v>2205</v>
      </c>
      <c r="F5110">
        <v>4</v>
      </c>
      <c r="G5110">
        <v>4</v>
      </c>
      <c r="H5110">
        <v>1</v>
      </c>
      <c r="I5110">
        <v>0</v>
      </c>
      <c r="J5110">
        <v>0.84898816342115302</v>
      </c>
      <c r="K5110">
        <v>1</v>
      </c>
      <c r="L5110">
        <v>0.91832731027361902</v>
      </c>
      <c r="M5110">
        <v>0.72852233676975897</v>
      </c>
      <c r="N5110">
        <v>1</v>
      </c>
      <c r="O5110">
        <v>0.80698739977090495</v>
      </c>
      <c r="P5110" t="s">
        <v>10654</v>
      </c>
      <c r="Q5110" t="s">
        <v>10655</v>
      </c>
      <c r="R5110" t="s">
        <v>4891</v>
      </c>
      <c r="S5110" t="s">
        <v>4892</v>
      </c>
      <c r="V5110" t="s">
        <v>4895</v>
      </c>
      <c r="W5110" t="s">
        <v>4896</v>
      </c>
      <c r="AF5110" t="s">
        <v>10656</v>
      </c>
    </row>
    <row r="5111" spans="1:32" hidden="1" x14ac:dyDescent="0.35">
      <c r="A5111">
        <v>5110</v>
      </c>
      <c r="B5111" t="s">
        <v>10653</v>
      </c>
      <c r="C5111" t="s">
        <v>10127</v>
      </c>
      <c r="D5111" t="s">
        <v>34</v>
      </c>
      <c r="E5111">
        <v>2487</v>
      </c>
      <c r="F5111">
        <v>4</v>
      </c>
      <c r="G5111">
        <v>4</v>
      </c>
      <c r="H5111">
        <v>1</v>
      </c>
      <c r="I5111">
        <v>0</v>
      </c>
      <c r="J5111">
        <v>0.84898816342115302</v>
      </c>
      <c r="K5111">
        <v>1</v>
      </c>
      <c r="L5111">
        <v>0.91832731027361902</v>
      </c>
      <c r="M5111">
        <v>0.72852233676975897</v>
      </c>
      <c r="N5111">
        <v>1</v>
      </c>
      <c r="O5111">
        <v>0.80698739977090495</v>
      </c>
      <c r="P5111" t="s">
        <v>10654</v>
      </c>
      <c r="Q5111" t="s">
        <v>10655</v>
      </c>
      <c r="R5111" t="s">
        <v>4891</v>
      </c>
      <c r="S5111" t="s">
        <v>4892</v>
      </c>
      <c r="V5111" t="s">
        <v>4895</v>
      </c>
      <c r="W5111" t="s">
        <v>4896</v>
      </c>
      <c r="AF5111" t="s">
        <v>10657</v>
      </c>
    </row>
    <row r="5112" spans="1:32" hidden="1" x14ac:dyDescent="0.35">
      <c r="A5112">
        <v>5111</v>
      </c>
      <c r="B5112" t="s">
        <v>10653</v>
      </c>
      <c r="C5112" t="s">
        <v>10127</v>
      </c>
      <c r="D5112" t="s">
        <v>45</v>
      </c>
      <c r="E5112">
        <v>413</v>
      </c>
      <c r="F5112">
        <v>4</v>
      </c>
      <c r="G5112">
        <v>4</v>
      </c>
      <c r="H5112">
        <v>1</v>
      </c>
      <c r="I5112">
        <v>0</v>
      </c>
      <c r="J5112">
        <v>0.84898816342115302</v>
      </c>
      <c r="K5112">
        <v>1</v>
      </c>
      <c r="L5112">
        <v>0.91832731027361902</v>
      </c>
      <c r="M5112">
        <v>0.72852233676975897</v>
      </c>
      <c r="N5112">
        <v>1</v>
      </c>
      <c r="O5112">
        <v>0.80698739977090495</v>
      </c>
      <c r="P5112" t="s">
        <v>10654</v>
      </c>
      <c r="Q5112" t="s">
        <v>10655</v>
      </c>
      <c r="R5112" t="s">
        <v>4891</v>
      </c>
      <c r="S5112" t="s">
        <v>4892</v>
      </c>
      <c r="V5112" t="s">
        <v>4895</v>
      </c>
      <c r="W5112" t="s">
        <v>4896</v>
      </c>
      <c r="AF5112" t="s">
        <v>10658</v>
      </c>
    </row>
    <row r="5113" spans="1:32" hidden="1" x14ac:dyDescent="0.35">
      <c r="A5113">
        <v>5112</v>
      </c>
      <c r="B5113" t="s">
        <v>10659</v>
      </c>
      <c r="C5113" t="s">
        <v>10127</v>
      </c>
      <c r="D5113" t="s">
        <v>58</v>
      </c>
      <c r="E5113">
        <v>63</v>
      </c>
      <c r="F5113">
        <v>4</v>
      </c>
      <c r="G5113">
        <v>4</v>
      </c>
      <c r="H5113">
        <v>1</v>
      </c>
      <c r="I5113">
        <v>0</v>
      </c>
      <c r="J5113">
        <v>0.76801801801801795</v>
      </c>
      <c r="K5113">
        <v>1</v>
      </c>
      <c r="L5113">
        <v>0.86878980891719704</v>
      </c>
      <c r="M5113">
        <v>0.63513513513513498</v>
      </c>
      <c r="N5113">
        <v>1</v>
      </c>
      <c r="O5113">
        <v>0.713963963963964</v>
      </c>
      <c r="AF5113" t="s">
        <v>10661</v>
      </c>
    </row>
    <row r="5114" spans="1:32" hidden="1" x14ac:dyDescent="0.35">
      <c r="A5114">
        <v>5113</v>
      </c>
      <c r="B5114" t="s">
        <v>10659</v>
      </c>
      <c r="C5114" t="s">
        <v>10127</v>
      </c>
      <c r="D5114" t="s">
        <v>60</v>
      </c>
      <c r="E5114">
        <v>104</v>
      </c>
      <c r="F5114">
        <v>4</v>
      </c>
      <c r="G5114">
        <v>4</v>
      </c>
      <c r="H5114">
        <v>1</v>
      </c>
      <c r="I5114">
        <v>0</v>
      </c>
      <c r="J5114">
        <v>0.76801801801801795</v>
      </c>
      <c r="K5114">
        <v>1</v>
      </c>
      <c r="L5114">
        <v>0.86878980891719704</v>
      </c>
      <c r="M5114">
        <v>0.63513513513513498</v>
      </c>
      <c r="N5114">
        <v>1</v>
      </c>
      <c r="O5114">
        <v>0.713963963963964</v>
      </c>
      <c r="AF5114" t="s">
        <v>10662</v>
      </c>
    </row>
    <row r="5115" spans="1:32" hidden="1" x14ac:dyDescent="0.35">
      <c r="A5115">
        <v>5114</v>
      </c>
      <c r="B5115" t="s">
        <v>10659</v>
      </c>
      <c r="C5115" t="s">
        <v>10127</v>
      </c>
      <c r="D5115" t="s">
        <v>62</v>
      </c>
      <c r="E5115">
        <v>176</v>
      </c>
      <c r="F5115">
        <v>4</v>
      </c>
      <c r="G5115">
        <v>4</v>
      </c>
      <c r="H5115">
        <v>1</v>
      </c>
      <c r="I5115">
        <v>0</v>
      </c>
      <c r="J5115">
        <v>0.76801801801801795</v>
      </c>
      <c r="K5115">
        <v>1</v>
      </c>
      <c r="L5115">
        <v>0.86878980891719704</v>
      </c>
      <c r="M5115">
        <v>0.63513513513513498</v>
      </c>
      <c r="N5115">
        <v>1</v>
      </c>
      <c r="O5115">
        <v>0.713963963963964</v>
      </c>
      <c r="AF5115" t="s">
        <v>10662</v>
      </c>
    </row>
    <row r="5116" spans="1:32" hidden="1" x14ac:dyDescent="0.35">
      <c r="A5116">
        <v>5115</v>
      </c>
      <c r="B5116" t="s">
        <v>10659</v>
      </c>
      <c r="C5116" t="s">
        <v>10127</v>
      </c>
      <c r="D5116" t="s">
        <v>34</v>
      </c>
      <c r="E5116">
        <v>964</v>
      </c>
      <c r="F5116">
        <v>4</v>
      </c>
      <c r="G5116">
        <v>4</v>
      </c>
      <c r="H5116">
        <v>1</v>
      </c>
      <c r="I5116">
        <v>0</v>
      </c>
      <c r="J5116">
        <v>0.76801801801801795</v>
      </c>
      <c r="K5116">
        <v>1</v>
      </c>
      <c r="L5116">
        <v>0.86878980891719704</v>
      </c>
      <c r="M5116">
        <v>0.63513513513513498</v>
      </c>
      <c r="N5116">
        <v>1</v>
      </c>
      <c r="O5116">
        <v>0.713963963963964</v>
      </c>
      <c r="AF5116" t="s">
        <v>10663</v>
      </c>
    </row>
    <row r="5117" spans="1:32" hidden="1" x14ac:dyDescent="0.35">
      <c r="A5117">
        <v>5116</v>
      </c>
      <c r="B5117" t="s">
        <v>10664</v>
      </c>
      <c r="C5117" t="s">
        <v>10127</v>
      </c>
      <c r="D5117" t="s">
        <v>60</v>
      </c>
      <c r="E5117">
        <v>273</v>
      </c>
      <c r="F5117">
        <v>4</v>
      </c>
      <c r="G5117">
        <v>4</v>
      </c>
      <c r="H5117">
        <v>1</v>
      </c>
      <c r="I5117">
        <v>0</v>
      </c>
      <c r="J5117">
        <v>0.792711467736543</v>
      </c>
      <c r="K5117">
        <v>0.99500998003992003</v>
      </c>
      <c r="L5117">
        <v>0.88241467670592</v>
      </c>
      <c r="M5117">
        <v>0.62874251497005995</v>
      </c>
      <c r="N5117">
        <v>1</v>
      </c>
      <c r="O5117">
        <v>0.75249500998004004</v>
      </c>
      <c r="P5117" t="s">
        <v>10665</v>
      </c>
      <c r="Q5117" t="s">
        <v>10666</v>
      </c>
      <c r="AF5117" t="s">
        <v>10667</v>
      </c>
    </row>
    <row r="5118" spans="1:32" hidden="1" x14ac:dyDescent="0.35">
      <c r="A5118">
        <v>5117</v>
      </c>
      <c r="B5118" t="s">
        <v>10664</v>
      </c>
      <c r="C5118" t="s">
        <v>10127</v>
      </c>
      <c r="D5118" t="s">
        <v>62</v>
      </c>
      <c r="E5118">
        <v>351</v>
      </c>
      <c r="F5118">
        <v>4</v>
      </c>
      <c r="G5118">
        <v>4</v>
      </c>
      <c r="H5118">
        <v>1</v>
      </c>
      <c r="I5118">
        <v>0</v>
      </c>
      <c r="J5118">
        <v>0.792711467736543</v>
      </c>
      <c r="K5118">
        <v>0.99500998003992003</v>
      </c>
      <c r="L5118">
        <v>0.88241467670592</v>
      </c>
      <c r="M5118">
        <v>0.62874251497005995</v>
      </c>
      <c r="N5118">
        <v>1</v>
      </c>
      <c r="O5118">
        <v>0.75249500998004004</v>
      </c>
      <c r="P5118" t="s">
        <v>10665</v>
      </c>
      <c r="Q5118" t="s">
        <v>10666</v>
      </c>
      <c r="AF5118" t="s">
        <v>10667</v>
      </c>
    </row>
    <row r="5119" spans="1:32" hidden="1" x14ac:dyDescent="0.35">
      <c r="A5119">
        <v>5118</v>
      </c>
      <c r="B5119" t="s">
        <v>10664</v>
      </c>
      <c r="C5119" t="s">
        <v>10127</v>
      </c>
      <c r="D5119" t="s">
        <v>34</v>
      </c>
      <c r="E5119">
        <v>865</v>
      </c>
      <c r="F5119">
        <v>4</v>
      </c>
      <c r="G5119">
        <v>4</v>
      </c>
      <c r="H5119">
        <v>1</v>
      </c>
      <c r="I5119">
        <v>0</v>
      </c>
      <c r="J5119">
        <v>0.792711467736543</v>
      </c>
      <c r="K5119">
        <v>0.99500998003992003</v>
      </c>
      <c r="L5119">
        <v>0.88241467670592</v>
      </c>
      <c r="M5119">
        <v>0.62874251497005995</v>
      </c>
      <c r="N5119">
        <v>1</v>
      </c>
      <c r="O5119">
        <v>0.75249500998004004</v>
      </c>
      <c r="P5119" t="s">
        <v>10665</v>
      </c>
      <c r="Q5119" t="s">
        <v>10666</v>
      </c>
      <c r="AF5119" t="s">
        <v>10668</v>
      </c>
    </row>
    <row r="5120" spans="1:32" hidden="1" x14ac:dyDescent="0.35">
      <c r="A5120">
        <v>5119</v>
      </c>
      <c r="B5120" t="s">
        <v>10664</v>
      </c>
      <c r="C5120" t="s">
        <v>10127</v>
      </c>
      <c r="D5120" t="s">
        <v>45</v>
      </c>
      <c r="E5120">
        <v>2122</v>
      </c>
      <c r="F5120">
        <v>4</v>
      </c>
      <c r="G5120">
        <v>4</v>
      </c>
      <c r="H5120">
        <v>1</v>
      </c>
      <c r="I5120">
        <v>0</v>
      </c>
      <c r="J5120">
        <v>0.792711467736543</v>
      </c>
      <c r="K5120">
        <v>0.99500998003992003</v>
      </c>
      <c r="L5120">
        <v>0.88241467670592</v>
      </c>
      <c r="M5120">
        <v>0.62874251497005995</v>
      </c>
      <c r="N5120">
        <v>1</v>
      </c>
      <c r="O5120">
        <v>0.75249500998004004</v>
      </c>
      <c r="P5120" t="s">
        <v>10665</v>
      </c>
      <c r="Q5120" t="s">
        <v>10666</v>
      </c>
      <c r="AF5120" t="s">
        <v>10668</v>
      </c>
    </row>
    <row r="5121" spans="1:32" hidden="1" x14ac:dyDescent="0.35">
      <c r="A5121">
        <v>5120</v>
      </c>
      <c r="B5121" t="s">
        <v>10669</v>
      </c>
      <c r="C5121" t="s">
        <v>10127</v>
      </c>
      <c r="D5121" t="s">
        <v>60</v>
      </c>
      <c r="E5121">
        <v>514</v>
      </c>
      <c r="F5121">
        <v>4</v>
      </c>
      <c r="G5121">
        <v>4</v>
      </c>
      <c r="H5121">
        <v>1</v>
      </c>
      <c r="I5121">
        <v>0</v>
      </c>
      <c r="J5121">
        <v>0.80578958738388395</v>
      </c>
      <c r="K5121">
        <v>0.98725207933461201</v>
      </c>
      <c r="L5121">
        <v>0.88733849348500804</v>
      </c>
      <c r="M5121">
        <v>0.575815738963532</v>
      </c>
      <c r="N5121">
        <v>1</v>
      </c>
      <c r="O5121">
        <v>0.71657069737683898</v>
      </c>
      <c r="P5121" t="s">
        <v>10670</v>
      </c>
      <c r="Q5121" t="s">
        <v>10671</v>
      </c>
      <c r="R5121" t="s">
        <v>288</v>
      </c>
      <c r="S5121" t="s">
        <v>289</v>
      </c>
      <c r="T5121" t="s">
        <v>10672</v>
      </c>
      <c r="U5121" t="s">
        <v>10673</v>
      </c>
      <c r="V5121" t="s">
        <v>10674</v>
      </c>
      <c r="W5121" t="s">
        <v>10675</v>
      </c>
      <c r="Z5121" t="s">
        <v>10676</v>
      </c>
      <c r="AA5121" t="s">
        <v>10677</v>
      </c>
      <c r="AB5121" t="s">
        <v>10676</v>
      </c>
      <c r="AC5121" t="s">
        <v>10678</v>
      </c>
      <c r="AD5121" t="s">
        <v>951</v>
      </c>
      <c r="AE5121" t="s">
        <v>10679</v>
      </c>
      <c r="AF5121" t="s">
        <v>10680</v>
      </c>
    </row>
    <row r="5122" spans="1:32" hidden="1" x14ac:dyDescent="0.35">
      <c r="A5122">
        <v>5121</v>
      </c>
      <c r="B5122" t="s">
        <v>10669</v>
      </c>
      <c r="C5122" t="s">
        <v>10127</v>
      </c>
      <c r="D5122" t="s">
        <v>62</v>
      </c>
      <c r="E5122">
        <v>598</v>
      </c>
      <c r="F5122">
        <v>4</v>
      </c>
      <c r="G5122">
        <v>4</v>
      </c>
      <c r="H5122">
        <v>1</v>
      </c>
      <c r="I5122">
        <v>0</v>
      </c>
      <c r="J5122">
        <v>0.80578958738388395</v>
      </c>
      <c r="K5122">
        <v>0.98725207933461201</v>
      </c>
      <c r="L5122">
        <v>0.88733849348500804</v>
      </c>
      <c r="M5122">
        <v>0.575815738963532</v>
      </c>
      <c r="N5122">
        <v>1</v>
      </c>
      <c r="O5122">
        <v>0.71657069737683898</v>
      </c>
      <c r="P5122" t="s">
        <v>10670</v>
      </c>
      <c r="Q5122" t="s">
        <v>10671</v>
      </c>
      <c r="R5122" t="s">
        <v>288</v>
      </c>
      <c r="S5122" t="s">
        <v>289</v>
      </c>
      <c r="T5122" t="s">
        <v>10672</v>
      </c>
      <c r="U5122" t="s">
        <v>10673</v>
      </c>
      <c r="V5122" t="s">
        <v>10674</v>
      </c>
      <c r="W5122" t="s">
        <v>10675</v>
      </c>
      <c r="Z5122" t="s">
        <v>10676</v>
      </c>
      <c r="AA5122" t="s">
        <v>10677</v>
      </c>
      <c r="AB5122" t="s">
        <v>10676</v>
      </c>
      <c r="AC5122" t="s">
        <v>10678</v>
      </c>
      <c r="AD5122" t="s">
        <v>951</v>
      </c>
      <c r="AE5122" t="s">
        <v>10679</v>
      </c>
      <c r="AF5122" t="s">
        <v>10680</v>
      </c>
    </row>
    <row r="5123" spans="1:32" hidden="1" x14ac:dyDescent="0.35">
      <c r="A5123">
        <v>5122</v>
      </c>
      <c r="B5123" t="s">
        <v>10669</v>
      </c>
      <c r="C5123" t="s">
        <v>10127</v>
      </c>
      <c r="D5123" t="s">
        <v>34</v>
      </c>
      <c r="E5123">
        <v>563</v>
      </c>
      <c r="F5123">
        <v>4</v>
      </c>
      <c r="G5123">
        <v>4</v>
      </c>
      <c r="H5123">
        <v>1</v>
      </c>
      <c r="I5123">
        <v>0</v>
      </c>
      <c r="J5123">
        <v>0.80578958738388395</v>
      </c>
      <c r="K5123">
        <v>0.98725207933461201</v>
      </c>
      <c r="L5123">
        <v>0.88733849348500804</v>
      </c>
      <c r="M5123">
        <v>0.575815738963532</v>
      </c>
      <c r="N5123">
        <v>1</v>
      </c>
      <c r="O5123">
        <v>0.71657069737683898</v>
      </c>
      <c r="P5123" t="s">
        <v>10670</v>
      </c>
      <c r="Q5123" t="s">
        <v>10671</v>
      </c>
      <c r="R5123" t="s">
        <v>288</v>
      </c>
      <c r="S5123" t="s">
        <v>289</v>
      </c>
      <c r="T5123" t="s">
        <v>10672</v>
      </c>
      <c r="U5123" t="s">
        <v>10673</v>
      </c>
      <c r="V5123" t="s">
        <v>10674</v>
      </c>
      <c r="W5123" t="s">
        <v>10675</v>
      </c>
      <c r="Z5123" t="s">
        <v>10676</v>
      </c>
      <c r="AA5123" t="s">
        <v>10677</v>
      </c>
      <c r="AB5123" t="s">
        <v>10676</v>
      </c>
      <c r="AC5123" t="s">
        <v>10678</v>
      </c>
      <c r="AD5123" t="s">
        <v>951</v>
      </c>
      <c r="AE5123" t="s">
        <v>10679</v>
      </c>
      <c r="AF5123" t="s">
        <v>10681</v>
      </c>
    </row>
    <row r="5124" spans="1:32" hidden="1" x14ac:dyDescent="0.35">
      <c r="A5124">
        <v>5123</v>
      </c>
      <c r="B5124" t="s">
        <v>10669</v>
      </c>
      <c r="C5124" t="s">
        <v>10127</v>
      </c>
      <c r="D5124" t="s">
        <v>45</v>
      </c>
      <c r="E5124">
        <v>1829</v>
      </c>
      <c r="F5124">
        <v>4</v>
      </c>
      <c r="G5124">
        <v>4</v>
      </c>
      <c r="H5124">
        <v>1</v>
      </c>
      <c r="I5124">
        <v>0</v>
      </c>
      <c r="J5124">
        <v>0.80578958738388395</v>
      </c>
      <c r="K5124">
        <v>0.98725207933461201</v>
      </c>
      <c r="L5124">
        <v>0.88733849348500804</v>
      </c>
      <c r="M5124">
        <v>0.575815738963532</v>
      </c>
      <c r="N5124">
        <v>1</v>
      </c>
      <c r="O5124">
        <v>0.71657069737683898</v>
      </c>
      <c r="P5124" t="s">
        <v>10670</v>
      </c>
      <c r="Q5124" t="s">
        <v>10671</v>
      </c>
      <c r="R5124" t="s">
        <v>288</v>
      </c>
      <c r="S5124" t="s">
        <v>289</v>
      </c>
      <c r="T5124" t="s">
        <v>10672</v>
      </c>
      <c r="U5124" t="s">
        <v>10673</v>
      </c>
      <c r="V5124" t="s">
        <v>10674</v>
      </c>
      <c r="W5124" t="s">
        <v>10675</v>
      </c>
      <c r="Z5124" t="s">
        <v>10676</v>
      </c>
      <c r="AA5124" t="s">
        <v>10677</v>
      </c>
      <c r="AB5124" t="s">
        <v>10676</v>
      </c>
      <c r="AC5124" t="s">
        <v>10678</v>
      </c>
      <c r="AD5124" t="s">
        <v>951</v>
      </c>
      <c r="AE5124" t="s">
        <v>10679</v>
      </c>
      <c r="AF5124" t="s">
        <v>10682</v>
      </c>
    </row>
    <row r="5125" spans="1:32" hidden="1" x14ac:dyDescent="0.35">
      <c r="A5125">
        <v>5124</v>
      </c>
      <c r="B5125" t="s">
        <v>10683</v>
      </c>
      <c r="C5125" t="s">
        <v>10127</v>
      </c>
      <c r="D5125" t="s">
        <v>60</v>
      </c>
      <c r="E5125">
        <v>958</v>
      </c>
      <c r="F5125">
        <v>4</v>
      </c>
      <c r="G5125">
        <v>4</v>
      </c>
      <c r="H5125">
        <v>1</v>
      </c>
      <c r="I5125">
        <v>0</v>
      </c>
      <c r="J5125">
        <v>0.78039215686274499</v>
      </c>
      <c r="K5125">
        <v>0.91115524660708302</v>
      </c>
      <c r="L5125">
        <v>0.84071945802752202</v>
      </c>
      <c r="M5125">
        <v>0.511278195488722</v>
      </c>
      <c r="N5125">
        <v>1</v>
      </c>
      <c r="O5125">
        <v>0.67230576441102796</v>
      </c>
      <c r="AF5125" t="s">
        <v>10684</v>
      </c>
    </row>
    <row r="5126" spans="1:32" hidden="1" x14ac:dyDescent="0.35">
      <c r="A5126">
        <v>5125</v>
      </c>
      <c r="B5126" t="s">
        <v>10683</v>
      </c>
      <c r="C5126" t="s">
        <v>10127</v>
      </c>
      <c r="D5126" t="s">
        <v>62</v>
      </c>
      <c r="E5126">
        <v>994</v>
      </c>
      <c r="F5126">
        <v>4</v>
      </c>
      <c r="G5126">
        <v>4</v>
      </c>
      <c r="H5126">
        <v>1</v>
      </c>
      <c r="I5126">
        <v>0</v>
      </c>
      <c r="J5126">
        <v>0.78039215686274499</v>
      </c>
      <c r="K5126">
        <v>0.91115524660708302</v>
      </c>
      <c r="L5126">
        <v>0.84071945802752202</v>
      </c>
      <c r="M5126">
        <v>0.511278195488722</v>
      </c>
      <c r="N5126">
        <v>1</v>
      </c>
      <c r="O5126">
        <v>0.67230576441102796</v>
      </c>
      <c r="AF5126" t="s">
        <v>10684</v>
      </c>
    </row>
    <row r="5127" spans="1:32" hidden="1" x14ac:dyDescent="0.35">
      <c r="A5127">
        <v>5126</v>
      </c>
      <c r="B5127" t="s">
        <v>10683</v>
      </c>
      <c r="C5127" t="s">
        <v>10127</v>
      </c>
      <c r="D5127" t="s">
        <v>34</v>
      </c>
      <c r="E5127">
        <v>201</v>
      </c>
      <c r="F5127">
        <v>4</v>
      </c>
      <c r="G5127">
        <v>4</v>
      </c>
      <c r="H5127">
        <v>1</v>
      </c>
      <c r="I5127">
        <v>0</v>
      </c>
      <c r="J5127">
        <v>0.78039215686274499</v>
      </c>
      <c r="K5127">
        <v>0.91115524660708302</v>
      </c>
      <c r="L5127">
        <v>0.84071945802752202</v>
      </c>
      <c r="M5127">
        <v>0.511278195488722</v>
      </c>
      <c r="N5127">
        <v>1</v>
      </c>
      <c r="O5127">
        <v>0.67230576441102796</v>
      </c>
      <c r="AF5127" t="s">
        <v>10685</v>
      </c>
    </row>
    <row r="5128" spans="1:32" hidden="1" x14ac:dyDescent="0.35">
      <c r="A5128">
        <v>5127</v>
      </c>
      <c r="B5128" t="s">
        <v>10683</v>
      </c>
      <c r="C5128" t="s">
        <v>10127</v>
      </c>
      <c r="D5128" t="s">
        <v>45</v>
      </c>
      <c r="E5128">
        <v>1464</v>
      </c>
      <c r="F5128">
        <v>4</v>
      </c>
      <c r="G5128">
        <v>4</v>
      </c>
      <c r="H5128">
        <v>1</v>
      </c>
      <c r="I5128">
        <v>0</v>
      </c>
      <c r="J5128">
        <v>0.78039215686274499</v>
      </c>
      <c r="K5128">
        <v>0.91115524660708302</v>
      </c>
      <c r="L5128">
        <v>0.84071945802752202</v>
      </c>
      <c r="M5128">
        <v>0.511278195488722</v>
      </c>
      <c r="N5128">
        <v>1</v>
      </c>
      <c r="O5128">
        <v>0.67230576441102796</v>
      </c>
      <c r="AF5128" t="s">
        <v>10686</v>
      </c>
    </row>
    <row r="5129" spans="1:32" hidden="1" x14ac:dyDescent="0.35">
      <c r="A5129">
        <v>5128</v>
      </c>
      <c r="B5129" t="s">
        <v>10687</v>
      </c>
      <c r="C5129" t="s">
        <v>10127</v>
      </c>
      <c r="D5129" t="s">
        <v>60</v>
      </c>
      <c r="E5129">
        <v>2378</v>
      </c>
      <c r="F5129">
        <v>4</v>
      </c>
      <c r="G5129">
        <v>4</v>
      </c>
      <c r="H5129">
        <v>1</v>
      </c>
      <c r="I5129">
        <v>0</v>
      </c>
      <c r="J5129">
        <v>0.86310994815137898</v>
      </c>
      <c r="K5129">
        <v>0.98507053094704</v>
      </c>
      <c r="L5129">
        <v>0.92006617806709801</v>
      </c>
      <c r="M5129">
        <v>0.713917525773196</v>
      </c>
      <c r="N5129">
        <v>1</v>
      </c>
      <c r="O5129">
        <v>0.80913516609392899</v>
      </c>
      <c r="P5129" t="s">
        <v>6505</v>
      </c>
      <c r="Q5129" t="s">
        <v>6506</v>
      </c>
      <c r="R5129" t="s">
        <v>10688</v>
      </c>
      <c r="S5129" t="s">
        <v>10689</v>
      </c>
      <c r="T5129" t="s">
        <v>10690</v>
      </c>
      <c r="U5129" t="s">
        <v>10691</v>
      </c>
      <c r="V5129" t="s">
        <v>10692</v>
      </c>
      <c r="W5129" t="s">
        <v>10693</v>
      </c>
      <c r="X5129" t="s">
        <v>10692</v>
      </c>
      <c r="Y5129" t="s">
        <v>10694</v>
      </c>
      <c r="Z5129" t="s">
        <v>10695</v>
      </c>
      <c r="AA5129" t="s">
        <v>10696</v>
      </c>
      <c r="AB5129" t="s">
        <v>10695</v>
      </c>
      <c r="AC5129" t="s">
        <v>1682</v>
      </c>
      <c r="AD5129" t="s">
        <v>10697</v>
      </c>
      <c r="AE5129" t="s">
        <v>10698</v>
      </c>
      <c r="AF5129" t="s">
        <v>10699</v>
      </c>
    </row>
    <row r="5130" spans="1:32" hidden="1" x14ac:dyDescent="0.35">
      <c r="A5130">
        <v>5129</v>
      </c>
      <c r="B5130" t="s">
        <v>10687</v>
      </c>
      <c r="C5130" t="s">
        <v>10127</v>
      </c>
      <c r="D5130" t="s">
        <v>62</v>
      </c>
      <c r="E5130">
        <v>2406</v>
      </c>
      <c r="F5130">
        <v>4</v>
      </c>
      <c r="G5130">
        <v>4</v>
      </c>
      <c r="H5130">
        <v>1</v>
      </c>
      <c r="I5130">
        <v>0</v>
      </c>
      <c r="J5130">
        <v>0.86310994815137898</v>
      </c>
      <c r="K5130">
        <v>0.98507053094704</v>
      </c>
      <c r="L5130">
        <v>0.92006617806709801</v>
      </c>
      <c r="M5130">
        <v>0.713917525773196</v>
      </c>
      <c r="N5130">
        <v>1</v>
      </c>
      <c r="O5130">
        <v>0.80913516609392899</v>
      </c>
      <c r="P5130" t="s">
        <v>6505</v>
      </c>
      <c r="Q5130" t="s">
        <v>6506</v>
      </c>
      <c r="R5130" t="s">
        <v>10688</v>
      </c>
      <c r="S5130" t="s">
        <v>10689</v>
      </c>
      <c r="T5130" t="s">
        <v>10690</v>
      </c>
      <c r="U5130" t="s">
        <v>10691</v>
      </c>
      <c r="V5130" t="s">
        <v>10692</v>
      </c>
      <c r="W5130" t="s">
        <v>10693</v>
      </c>
      <c r="X5130" t="s">
        <v>10692</v>
      </c>
      <c r="Y5130" t="s">
        <v>10694</v>
      </c>
      <c r="Z5130" t="s">
        <v>10695</v>
      </c>
      <c r="AA5130" t="s">
        <v>10696</v>
      </c>
      <c r="AB5130" t="s">
        <v>10695</v>
      </c>
      <c r="AC5130" t="s">
        <v>1682</v>
      </c>
      <c r="AD5130" t="s">
        <v>10697</v>
      </c>
      <c r="AE5130" t="s">
        <v>10698</v>
      </c>
      <c r="AF5130" t="s">
        <v>10699</v>
      </c>
    </row>
    <row r="5131" spans="1:32" hidden="1" x14ac:dyDescent="0.35">
      <c r="A5131">
        <v>5130</v>
      </c>
      <c r="B5131" t="s">
        <v>10687</v>
      </c>
      <c r="C5131" t="s">
        <v>10127</v>
      </c>
      <c r="D5131" t="s">
        <v>34</v>
      </c>
      <c r="E5131">
        <v>330</v>
      </c>
      <c r="F5131">
        <v>4</v>
      </c>
      <c r="G5131">
        <v>4</v>
      </c>
      <c r="H5131">
        <v>1</v>
      </c>
      <c r="I5131">
        <v>0</v>
      </c>
      <c r="J5131">
        <v>0.86310994815137898</v>
      </c>
      <c r="K5131">
        <v>0.98507053094704</v>
      </c>
      <c r="L5131">
        <v>0.92006617806709801</v>
      </c>
      <c r="M5131">
        <v>0.713917525773196</v>
      </c>
      <c r="N5131">
        <v>1</v>
      </c>
      <c r="O5131">
        <v>0.80913516609392899</v>
      </c>
      <c r="P5131" t="s">
        <v>6505</v>
      </c>
      <c r="Q5131" t="s">
        <v>6506</v>
      </c>
      <c r="R5131" t="s">
        <v>10688</v>
      </c>
      <c r="S5131" t="s">
        <v>10689</v>
      </c>
      <c r="T5131" t="s">
        <v>10690</v>
      </c>
      <c r="U5131" t="s">
        <v>10691</v>
      </c>
      <c r="V5131" t="s">
        <v>10692</v>
      </c>
      <c r="W5131" t="s">
        <v>10693</v>
      </c>
      <c r="X5131" t="s">
        <v>10692</v>
      </c>
      <c r="Y5131" t="s">
        <v>10694</v>
      </c>
      <c r="Z5131" t="s">
        <v>10695</v>
      </c>
      <c r="AA5131" t="s">
        <v>10696</v>
      </c>
      <c r="AB5131" t="s">
        <v>10695</v>
      </c>
      <c r="AC5131" t="s">
        <v>1682</v>
      </c>
      <c r="AD5131" t="s">
        <v>10697</v>
      </c>
      <c r="AE5131" t="s">
        <v>10698</v>
      </c>
      <c r="AF5131" t="s">
        <v>10700</v>
      </c>
    </row>
    <row r="5132" spans="1:32" hidden="1" x14ac:dyDescent="0.35">
      <c r="A5132">
        <v>5131</v>
      </c>
      <c r="B5132" t="s">
        <v>10687</v>
      </c>
      <c r="C5132" t="s">
        <v>10127</v>
      </c>
      <c r="D5132" t="s">
        <v>45</v>
      </c>
      <c r="E5132">
        <v>1592</v>
      </c>
      <c r="F5132">
        <v>4</v>
      </c>
      <c r="G5132">
        <v>4</v>
      </c>
      <c r="H5132">
        <v>1</v>
      </c>
      <c r="I5132">
        <v>0</v>
      </c>
      <c r="J5132">
        <v>0.86310994815137898</v>
      </c>
      <c r="K5132">
        <v>0.98507053094704</v>
      </c>
      <c r="L5132">
        <v>0.92006617806709801</v>
      </c>
      <c r="M5132">
        <v>0.713917525773196</v>
      </c>
      <c r="N5132">
        <v>1</v>
      </c>
      <c r="O5132">
        <v>0.80913516609392899</v>
      </c>
      <c r="P5132" t="s">
        <v>6505</v>
      </c>
      <c r="Q5132" t="s">
        <v>6506</v>
      </c>
      <c r="R5132" t="s">
        <v>10688</v>
      </c>
      <c r="S5132" t="s">
        <v>10689</v>
      </c>
      <c r="T5132" t="s">
        <v>10690</v>
      </c>
      <c r="U5132" t="s">
        <v>10691</v>
      </c>
      <c r="V5132" t="s">
        <v>10692</v>
      </c>
      <c r="W5132" t="s">
        <v>10693</v>
      </c>
      <c r="X5132" t="s">
        <v>10692</v>
      </c>
      <c r="Y5132" t="s">
        <v>10694</v>
      </c>
      <c r="Z5132" t="s">
        <v>10695</v>
      </c>
      <c r="AA5132" t="s">
        <v>10696</v>
      </c>
      <c r="AB5132" t="s">
        <v>10695</v>
      </c>
      <c r="AC5132" t="s">
        <v>1682</v>
      </c>
      <c r="AD5132" t="s">
        <v>10697</v>
      </c>
      <c r="AE5132" t="s">
        <v>10698</v>
      </c>
      <c r="AF5132" t="s">
        <v>10701</v>
      </c>
    </row>
    <row r="5133" spans="1:32" hidden="1" x14ac:dyDescent="0.35">
      <c r="A5133">
        <v>5333</v>
      </c>
      <c r="B5133" t="s">
        <v>11048</v>
      </c>
      <c r="C5133" t="s">
        <v>10127</v>
      </c>
      <c r="D5133" t="s">
        <v>62</v>
      </c>
      <c r="E5133">
        <v>1867</v>
      </c>
      <c r="F5133">
        <v>4</v>
      </c>
      <c r="G5133">
        <v>4</v>
      </c>
      <c r="H5133">
        <v>1</v>
      </c>
      <c r="I5133">
        <v>0</v>
      </c>
      <c r="J5133">
        <v>0.76341647770219201</v>
      </c>
      <c r="K5133">
        <v>0.94725839869764905</v>
      </c>
      <c r="L5133">
        <v>0.84545892405863998</v>
      </c>
      <c r="M5133">
        <v>0.51931330472102999</v>
      </c>
      <c r="N5133">
        <v>1</v>
      </c>
      <c r="O5133">
        <v>0.67739628040057198</v>
      </c>
      <c r="P5133" t="s">
        <v>2848</v>
      </c>
      <c r="Q5133" t="s">
        <v>2849</v>
      </c>
      <c r="R5133" t="s">
        <v>96</v>
      </c>
      <c r="S5133" t="s">
        <v>97</v>
      </c>
      <c r="T5133" t="s">
        <v>11049</v>
      </c>
      <c r="U5133" t="s">
        <v>11050</v>
      </c>
      <c r="V5133" t="s">
        <v>11051</v>
      </c>
      <c r="W5133" t="s">
        <v>11052</v>
      </c>
      <c r="AD5133" t="s">
        <v>219</v>
      </c>
      <c r="AE5133" t="s">
        <v>11053</v>
      </c>
      <c r="AF5133" t="s">
        <v>11054</v>
      </c>
    </row>
    <row r="5134" spans="1:32" hidden="1" x14ac:dyDescent="0.35">
      <c r="A5134">
        <v>5334</v>
      </c>
      <c r="B5134" t="s">
        <v>11048</v>
      </c>
      <c r="C5134" t="s">
        <v>10127</v>
      </c>
      <c r="D5134" t="s">
        <v>34</v>
      </c>
      <c r="E5134">
        <v>779</v>
      </c>
      <c r="F5134">
        <v>4</v>
      </c>
      <c r="G5134">
        <v>4</v>
      </c>
      <c r="H5134">
        <v>1</v>
      </c>
      <c r="I5134">
        <v>0</v>
      </c>
      <c r="J5134">
        <v>0.76341647770219201</v>
      </c>
      <c r="K5134">
        <v>0.94725839869764905</v>
      </c>
      <c r="L5134">
        <v>0.84545892405863998</v>
      </c>
      <c r="M5134">
        <v>0.51931330472102999</v>
      </c>
      <c r="N5134">
        <v>1</v>
      </c>
      <c r="O5134">
        <v>0.67739628040057198</v>
      </c>
      <c r="P5134" t="s">
        <v>2848</v>
      </c>
      <c r="Q5134" t="s">
        <v>2849</v>
      </c>
      <c r="R5134" t="s">
        <v>96</v>
      </c>
      <c r="S5134" t="s">
        <v>97</v>
      </c>
      <c r="T5134" t="s">
        <v>11049</v>
      </c>
      <c r="U5134" t="s">
        <v>11050</v>
      </c>
      <c r="V5134" t="s">
        <v>11051</v>
      </c>
      <c r="W5134" t="s">
        <v>11052</v>
      </c>
      <c r="AD5134" t="s">
        <v>219</v>
      </c>
      <c r="AE5134" t="s">
        <v>11053</v>
      </c>
      <c r="AF5134" t="s">
        <v>11055</v>
      </c>
    </row>
    <row r="5135" spans="1:32" hidden="1" x14ac:dyDescent="0.35">
      <c r="A5135">
        <v>5335</v>
      </c>
      <c r="B5135" t="s">
        <v>11048</v>
      </c>
      <c r="C5135" t="s">
        <v>10127</v>
      </c>
      <c r="D5135" t="s">
        <v>45</v>
      </c>
      <c r="E5135">
        <v>2045</v>
      </c>
      <c r="F5135">
        <v>4</v>
      </c>
      <c r="G5135">
        <v>4</v>
      </c>
      <c r="H5135">
        <v>1</v>
      </c>
      <c r="I5135">
        <v>0</v>
      </c>
      <c r="J5135">
        <v>0.76341647770219201</v>
      </c>
      <c r="K5135">
        <v>0.94725839869764905</v>
      </c>
      <c r="L5135">
        <v>0.84545892405863998</v>
      </c>
      <c r="M5135">
        <v>0.51931330472102999</v>
      </c>
      <c r="N5135">
        <v>1</v>
      </c>
      <c r="O5135">
        <v>0.67739628040057198</v>
      </c>
      <c r="P5135" t="s">
        <v>2848</v>
      </c>
      <c r="Q5135" t="s">
        <v>2849</v>
      </c>
      <c r="R5135" t="s">
        <v>96</v>
      </c>
      <c r="S5135" t="s">
        <v>97</v>
      </c>
      <c r="T5135" t="s">
        <v>11049</v>
      </c>
      <c r="U5135" t="s">
        <v>11050</v>
      </c>
      <c r="V5135" t="s">
        <v>11051</v>
      </c>
      <c r="W5135" t="s">
        <v>11052</v>
      </c>
      <c r="AD5135" t="s">
        <v>219</v>
      </c>
      <c r="AE5135" t="s">
        <v>11053</v>
      </c>
      <c r="AF5135" t="s">
        <v>11056</v>
      </c>
    </row>
    <row r="5136" spans="1:32" hidden="1" x14ac:dyDescent="0.35">
      <c r="A5136">
        <v>5344</v>
      </c>
      <c r="B5136" t="s">
        <v>11073</v>
      </c>
      <c r="C5136" t="s">
        <v>10127</v>
      </c>
      <c r="D5136" t="s">
        <v>60</v>
      </c>
      <c r="E5136">
        <v>2166</v>
      </c>
      <c r="F5136">
        <v>4</v>
      </c>
      <c r="G5136">
        <v>4</v>
      </c>
      <c r="H5136">
        <v>1</v>
      </c>
      <c r="I5136">
        <v>0</v>
      </c>
      <c r="J5136">
        <v>0.83388049901510197</v>
      </c>
      <c r="K5136">
        <v>0.850807089444925</v>
      </c>
      <c r="L5136">
        <v>0.84225876081920703</v>
      </c>
      <c r="M5136">
        <v>0.56065573770491794</v>
      </c>
      <c r="N5136">
        <v>1</v>
      </c>
      <c r="O5136">
        <v>0.72950819672131095</v>
      </c>
      <c r="P5136" t="s">
        <v>11074</v>
      </c>
      <c r="Q5136" t="s">
        <v>11075</v>
      </c>
      <c r="R5136" t="s">
        <v>96</v>
      </c>
      <c r="S5136" t="s">
        <v>97</v>
      </c>
      <c r="T5136" t="s">
        <v>11076</v>
      </c>
      <c r="U5136" t="s">
        <v>11077</v>
      </c>
      <c r="V5136" t="s">
        <v>11078</v>
      </c>
      <c r="W5136" t="s">
        <v>11079</v>
      </c>
      <c r="AD5136" t="s">
        <v>191</v>
      </c>
      <c r="AE5136" t="s">
        <v>11080</v>
      </c>
      <c r="AF5136" t="e">
        <f>----------------------------------------------MTPNADFNRSLDQALNLARNARHVEVFTGAGMSAESGLETYRDDTTGLWENVDPQAMASISAWVKDPDPMWAWYLWRARLAHNAQPNAGHEALARWASISD-VHVTTQNIDNLHERAGSPEVTHLHGSLFEWRCTICARPYRNVDLPDEPVERLTPPDCPLCGNPIRPGVVWFGEALPPREWATAEEKMTNADLVVIVGTSGIVQPAASLPIIAAELGTPILEISPAATELTRLTSVSLRSTAATALPPLIDALE---G</f>
        <v>#NAME?</v>
      </c>
    </row>
    <row r="5137" spans="1:32" hidden="1" x14ac:dyDescent="0.35">
      <c r="A5137">
        <v>5136</v>
      </c>
      <c r="B5137" t="s">
        <v>10711</v>
      </c>
      <c r="C5137" t="s">
        <v>10127</v>
      </c>
      <c r="D5137" t="s">
        <v>60</v>
      </c>
      <c r="E5137">
        <v>591</v>
      </c>
      <c r="F5137">
        <v>4</v>
      </c>
      <c r="G5137">
        <v>4</v>
      </c>
      <c r="H5137">
        <v>1</v>
      </c>
      <c r="I5137">
        <v>0</v>
      </c>
      <c r="J5137">
        <v>0.79894179894179895</v>
      </c>
      <c r="K5137">
        <v>1</v>
      </c>
      <c r="L5137">
        <v>0.88823529411764701</v>
      </c>
      <c r="M5137">
        <v>0.60714285714285698</v>
      </c>
      <c r="N5137">
        <v>1</v>
      </c>
      <c r="O5137">
        <v>0.73809523809523803</v>
      </c>
      <c r="P5137" t="s">
        <v>10712</v>
      </c>
      <c r="Q5137" t="s">
        <v>10713</v>
      </c>
      <c r="AF5137" t="s">
        <v>10714</v>
      </c>
    </row>
    <row r="5138" spans="1:32" hidden="1" x14ac:dyDescent="0.35">
      <c r="A5138">
        <v>5137</v>
      </c>
      <c r="B5138" t="s">
        <v>10711</v>
      </c>
      <c r="C5138" t="s">
        <v>10127</v>
      </c>
      <c r="D5138" t="s">
        <v>62</v>
      </c>
      <c r="E5138">
        <v>675</v>
      </c>
      <c r="F5138">
        <v>4</v>
      </c>
      <c r="G5138">
        <v>4</v>
      </c>
      <c r="H5138">
        <v>1</v>
      </c>
      <c r="I5138">
        <v>0</v>
      </c>
      <c r="J5138">
        <v>0.79894179894179895</v>
      </c>
      <c r="K5138">
        <v>1</v>
      </c>
      <c r="L5138">
        <v>0.88823529411764701</v>
      </c>
      <c r="M5138">
        <v>0.60714285714285698</v>
      </c>
      <c r="N5138">
        <v>1</v>
      </c>
      <c r="O5138">
        <v>0.73809523809523803</v>
      </c>
      <c r="P5138" t="s">
        <v>10712</v>
      </c>
      <c r="Q5138" t="s">
        <v>10713</v>
      </c>
      <c r="AF5138" t="s">
        <v>10714</v>
      </c>
    </row>
    <row r="5139" spans="1:32" hidden="1" x14ac:dyDescent="0.35">
      <c r="A5139">
        <v>5138</v>
      </c>
      <c r="B5139" t="s">
        <v>10711</v>
      </c>
      <c r="C5139" t="s">
        <v>10127</v>
      </c>
      <c r="D5139" t="s">
        <v>34</v>
      </c>
      <c r="E5139">
        <v>501</v>
      </c>
      <c r="F5139">
        <v>4</v>
      </c>
      <c r="G5139">
        <v>4</v>
      </c>
      <c r="H5139">
        <v>1</v>
      </c>
      <c r="I5139">
        <v>0</v>
      </c>
      <c r="J5139">
        <v>0.79894179894179895</v>
      </c>
      <c r="K5139">
        <v>1</v>
      </c>
      <c r="L5139">
        <v>0.88823529411764701</v>
      </c>
      <c r="M5139">
        <v>0.60714285714285698</v>
      </c>
      <c r="N5139">
        <v>1</v>
      </c>
      <c r="O5139">
        <v>0.73809523809523803</v>
      </c>
      <c r="P5139" t="s">
        <v>10712</v>
      </c>
      <c r="Q5139" t="s">
        <v>10713</v>
      </c>
      <c r="AF5139" t="s">
        <v>10715</v>
      </c>
    </row>
    <row r="5140" spans="1:32" hidden="1" x14ac:dyDescent="0.35">
      <c r="A5140">
        <v>5139</v>
      </c>
      <c r="B5140" t="s">
        <v>10711</v>
      </c>
      <c r="C5140" t="s">
        <v>10127</v>
      </c>
      <c r="D5140" t="s">
        <v>45</v>
      </c>
      <c r="E5140">
        <v>1766</v>
      </c>
      <c r="F5140">
        <v>4</v>
      </c>
      <c r="G5140">
        <v>4</v>
      </c>
      <c r="H5140">
        <v>1</v>
      </c>
      <c r="I5140">
        <v>0</v>
      </c>
      <c r="J5140">
        <v>0.79894179894179895</v>
      </c>
      <c r="K5140">
        <v>1</v>
      </c>
      <c r="L5140">
        <v>0.88823529411764701</v>
      </c>
      <c r="M5140">
        <v>0.60714285714285698</v>
      </c>
      <c r="N5140">
        <v>1</v>
      </c>
      <c r="O5140">
        <v>0.73809523809523803</v>
      </c>
      <c r="P5140" t="s">
        <v>10712</v>
      </c>
      <c r="Q5140" t="s">
        <v>10713</v>
      </c>
      <c r="AF5140" t="s">
        <v>10715</v>
      </c>
    </row>
    <row r="5141" spans="1:32" hidden="1" x14ac:dyDescent="0.35">
      <c r="A5141">
        <v>5140</v>
      </c>
      <c r="B5141" t="s">
        <v>10716</v>
      </c>
      <c r="C5141" t="s">
        <v>10127</v>
      </c>
      <c r="D5141" t="s">
        <v>60</v>
      </c>
      <c r="E5141">
        <v>387</v>
      </c>
      <c r="F5141">
        <v>4</v>
      </c>
      <c r="G5141">
        <v>4</v>
      </c>
      <c r="H5141">
        <v>1</v>
      </c>
      <c r="I5141">
        <v>0</v>
      </c>
      <c r="J5141">
        <v>0.88140759213078401</v>
      </c>
      <c r="K5141">
        <v>0.96445327015979299</v>
      </c>
      <c r="L5141">
        <v>0.92106230966869496</v>
      </c>
      <c r="M5141">
        <v>0.70192307692307698</v>
      </c>
      <c r="N5141">
        <v>1</v>
      </c>
      <c r="O5141">
        <v>0.79807692307692302</v>
      </c>
      <c r="P5141" t="s">
        <v>10717</v>
      </c>
      <c r="Q5141" t="s">
        <v>10718</v>
      </c>
      <c r="R5141" t="s">
        <v>1259</v>
      </c>
      <c r="S5141" t="s">
        <v>1260</v>
      </c>
      <c r="V5141" t="s">
        <v>10719</v>
      </c>
      <c r="W5141" t="s">
        <v>2923</v>
      </c>
      <c r="AF5141" t="s">
        <v>10720</v>
      </c>
    </row>
    <row r="5142" spans="1:32" hidden="1" x14ac:dyDescent="0.35">
      <c r="A5142">
        <v>5141</v>
      </c>
      <c r="B5142" t="s">
        <v>10716</v>
      </c>
      <c r="C5142" t="s">
        <v>10127</v>
      </c>
      <c r="D5142" t="s">
        <v>62</v>
      </c>
      <c r="E5142">
        <v>468</v>
      </c>
      <c r="F5142">
        <v>4</v>
      </c>
      <c r="G5142">
        <v>4</v>
      </c>
      <c r="H5142">
        <v>1</v>
      </c>
      <c r="I5142">
        <v>0</v>
      </c>
      <c r="J5142">
        <v>0.88140759213078401</v>
      </c>
      <c r="K5142">
        <v>0.96445327015979299</v>
      </c>
      <c r="L5142">
        <v>0.92106230966869496</v>
      </c>
      <c r="M5142">
        <v>0.70192307692307698</v>
      </c>
      <c r="N5142">
        <v>1</v>
      </c>
      <c r="O5142">
        <v>0.79807692307692302</v>
      </c>
      <c r="P5142" t="s">
        <v>10717</v>
      </c>
      <c r="Q5142" t="s">
        <v>10718</v>
      </c>
      <c r="R5142" t="s">
        <v>1259</v>
      </c>
      <c r="S5142" t="s">
        <v>1260</v>
      </c>
      <c r="V5142" t="s">
        <v>10719</v>
      </c>
      <c r="W5142" t="s">
        <v>2923</v>
      </c>
      <c r="AF5142" t="s">
        <v>10720</v>
      </c>
    </row>
    <row r="5143" spans="1:32" hidden="1" x14ac:dyDescent="0.35">
      <c r="A5143">
        <v>5142</v>
      </c>
      <c r="B5143" t="s">
        <v>10716</v>
      </c>
      <c r="C5143" t="s">
        <v>10127</v>
      </c>
      <c r="D5143" t="s">
        <v>34</v>
      </c>
      <c r="E5143">
        <v>2048</v>
      </c>
      <c r="F5143">
        <v>4</v>
      </c>
      <c r="G5143">
        <v>4</v>
      </c>
      <c r="H5143">
        <v>1</v>
      </c>
      <c r="I5143">
        <v>0</v>
      </c>
      <c r="J5143">
        <v>0.88140759213078401</v>
      </c>
      <c r="K5143">
        <v>0.96445327015979299</v>
      </c>
      <c r="L5143">
        <v>0.92106230966869496</v>
      </c>
      <c r="M5143">
        <v>0.70192307692307698</v>
      </c>
      <c r="N5143">
        <v>1</v>
      </c>
      <c r="O5143">
        <v>0.79807692307692302</v>
      </c>
      <c r="P5143" t="s">
        <v>10717</v>
      </c>
      <c r="Q5143" t="s">
        <v>10718</v>
      </c>
      <c r="R5143" t="s">
        <v>1259</v>
      </c>
      <c r="S5143" t="s">
        <v>1260</v>
      </c>
      <c r="V5143" t="s">
        <v>10719</v>
      </c>
      <c r="W5143" t="s">
        <v>2923</v>
      </c>
      <c r="AF5143" t="s">
        <v>10721</v>
      </c>
    </row>
    <row r="5144" spans="1:32" hidden="1" x14ac:dyDescent="0.35">
      <c r="A5144">
        <v>5143</v>
      </c>
      <c r="B5144" t="s">
        <v>10716</v>
      </c>
      <c r="C5144" t="s">
        <v>10127</v>
      </c>
      <c r="D5144" t="s">
        <v>45</v>
      </c>
      <c r="E5144">
        <v>824</v>
      </c>
      <c r="F5144">
        <v>4</v>
      </c>
      <c r="G5144">
        <v>4</v>
      </c>
      <c r="H5144">
        <v>1</v>
      </c>
      <c r="I5144">
        <v>0</v>
      </c>
      <c r="J5144">
        <v>0.88140759213078401</v>
      </c>
      <c r="K5144">
        <v>0.96445327015979299</v>
      </c>
      <c r="L5144">
        <v>0.92106230966869496</v>
      </c>
      <c r="M5144">
        <v>0.70192307692307698</v>
      </c>
      <c r="N5144">
        <v>1</v>
      </c>
      <c r="O5144">
        <v>0.79807692307692302</v>
      </c>
      <c r="R5144" t="s">
        <v>1259</v>
      </c>
      <c r="S5144" t="s">
        <v>1260</v>
      </c>
      <c r="V5144" t="s">
        <v>10719</v>
      </c>
      <c r="W5144" t="s">
        <v>2923</v>
      </c>
      <c r="AF5144" t="s">
        <v>10722</v>
      </c>
    </row>
    <row r="5145" spans="1:32" hidden="1" x14ac:dyDescent="0.35">
      <c r="A5145">
        <v>5345</v>
      </c>
      <c r="B5145" t="s">
        <v>11073</v>
      </c>
      <c r="C5145" t="s">
        <v>10127</v>
      </c>
      <c r="D5145" t="s">
        <v>62</v>
      </c>
      <c r="E5145">
        <v>2200</v>
      </c>
      <c r="F5145">
        <v>4</v>
      </c>
      <c r="G5145">
        <v>4</v>
      </c>
      <c r="H5145">
        <v>1</v>
      </c>
      <c r="I5145">
        <v>0</v>
      </c>
      <c r="J5145">
        <v>0.83388049901510197</v>
      </c>
      <c r="K5145">
        <v>0.850807089444925</v>
      </c>
      <c r="L5145">
        <v>0.84225876081920703</v>
      </c>
      <c r="M5145">
        <v>0.56065573770491794</v>
      </c>
      <c r="N5145">
        <v>1</v>
      </c>
      <c r="O5145">
        <v>0.72950819672131095</v>
      </c>
      <c r="P5145" t="s">
        <v>11074</v>
      </c>
      <c r="Q5145" t="s">
        <v>11075</v>
      </c>
      <c r="R5145" t="s">
        <v>96</v>
      </c>
      <c r="S5145" t="s">
        <v>97</v>
      </c>
      <c r="T5145" t="s">
        <v>11076</v>
      </c>
      <c r="U5145" t="s">
        <v>11077</v>
      </c>
      <c r="V5145" t="s">
        <v>11078</v>
      </c>
      <c r="W5145" t="s">
        <v>11079</v>
      </c>
      <c r="AD5145" t="s">
        <v>191</v>
      </c>
      <c r="AE5145" t="s">
        <v>11080</v>
      </c>
      <c r="AF5145" t="e">
        <f>----------------------------------------------MTPNADFNRSLDQALNLARNARHVEVFTGAGMSAESGLETYRDDTTGLWENVDPQAMASISAWVKDPDPMWAWYLWRARLAHNAQPNAGHEALARWASISD-VHVTTQNIDNLHERAGSPEVTHLHGSLFEWRCTICARPYRNVDLPDEPVERLTPPDCPLCGNPIRPGVVWFGEALPPREWATAEEKMTNADLVVIVGTSGIVQPAASLPIIAAELGTPILEISPAATELTRLTSVSLRSTAATALPPLIDALE---G</f>
        <v>#NAME?</v>
      </c>
    </row>
    <row r="5146" spans="1:32" hidden="1" x14ac:dyDescent="0.35">
      <c r="A5146">
        <v>5346</v>
      </c>
      <c r="B5146" t="s">
        <v>11073</v>
      </c>
      <c r="C5146" t="s">
        <v>10127</v>
      </c>
      <c r="D5146" t="s">
        <v>34</v>
      </c>
      <c r="E5146">
        <v>1002</v>
      </c>
      <c r="F5146">
        <v>4</v>
      </c>
      <c r="G5146">
        <v>4</v>
      </c>
      <c r="H5146">
        <v>1</v>
      </c>
      <c r="I5146">
        <v>0</v>
      </c>
      <c r="J5146">
        <v>0.83388049901510197</v>
      </c>
      <c r="K5146">
        <v>0.850807089444925</v>
      </c>
      <c r="L5146">
        <v>0.84225876081920703</v>
      </c>
      <c r="M5146">
        <v>0.56065573770491794</v>
      </c>
      <c r="N5146">
        <v>1</v>
      </c>
      <c r="O5146">
        <v>0.72950819672131095</v>
      </c>
      <c r="P5146" t="s">
        <v>11074</v>
      </c>
      <c r="Q5146" t="s">
        <v>11075</v>
      </c>
      <c r="R5146" t="s">
        <v>96</v>
      </c>
      <c r="S5146" t="s">
        <v>97</v>
      </c>
      <c r="T5146" t="s">
        <v>11076</v>
      </c>
      <c r="U5146" t="s">
        <v>11077</v>
      </c>
      <c r="V5146" t="s">
        <v>11078</v>
      </c>
      <c r="W5146" t="s">
        <v>11079</v>
      </c>
      <c r="AD5146" t="s">
        <v>191</v>
      </c>
      <c r="AE5146" t="s">
        <v>11080</v>
      </c>
      <c r="AF5146" t="e">
        <f>------------------------------------------MTARPTTIADFPPAIIENLS---EARRVHVFTGAGMSAESGLETYRNDKTGLWENVDPQAMASIDAWARDPEPMWAWYLWRAHVAEEAQPNAGHIALAEWEQLCDSMLVTTQNIDNLHERAGSQHIAHLHGSLFAWRCSICGRPYRIMELPTQPAARLTPPECPLCHNPVRPGVVWFGESLPQREWELAEQWMMIADVVVVVGTSGVVYPAAALPRIAYECGTPIIEISPAATDLTPLATVSWATTAAQGLPELVAKVQESRG</f>
        <v>#NAME?</v>
      </c>
    </row>
    <row r="5147" spans="1:32" hidden="1" x14ac:dyDescent="0.35">
      <c r="A5147">
        <v>5347</v>
      </c>
      <c r="B5147" t="s">
        <v>11073</v>
      </c>
      <c r="C5147" t="s">
        <v>10127</v>
      </c>
      <c r="D5147" t="s">
        <v>45</v>
      </c>
      <c r="E5147">
        <v>2256</v>
      </c>
      <c r="F5147">
        <v>4</v>
      </c>
      <c r="G5147">
        <v>4</v>
      </c>
      <c r="H5147">
        <v>1</v>
      </c>
      <c r="I5147">
        <v>0</v>
      </c>
      <c r="J5147">
        <v>0.83388049901510197</v>
      </c>
      <c r="K5147">
        <v>0.850807089444925</v>
      </c>
      <c r="L5147">
        <v>0.84225876081920703</v>
      </c>
      <c r="M5147">
        <v>0.56065573770491794</v>
      </c>
      <c r="N5147">
        <v>1</v>
      </c>
      <c r="O5147">
        <v>0.72950819672131095</v>
      </c>
      <c r="P5147" t="s">
        <v>11074</v>
      </c>
      <c r="Q5147" t="s">
        <v>11075</v>
      </c>
      <c r="R5147" t="s">
        <v>96</v>
      </c>
      <c r="S5147" t="s">
        <v>97</v>
      </c>
      <c r="T5147" t="s">
        <v>11076</v>
      </c>
      <c r="U5147" t="s">
        <v>11077</v>
      </c>
      <c r="V5147" t="s">
        <v>11078</v>
      </c>
      <c r="W5147" t="s">
        <v>11079</v>
      </c>
      <c r="AD5147" t="s">
        <v>191</v>
      </c>
      <c r="AE5147" t="s">
        <v>11080</v>
      </c>
      <c r="AF5147" t="s">
        <v>11081</v>
      </c>
    </row>
    <row r="5148" spans="1:32" hidden="1" x14ac:dyDescent="0.35">
      <c r="A5148">
        <v>5404</v>
      </c>
      <c r="B5148" t="s">
        <v>11178</v>
      </c>
      <c r="C5148" t="s">
        <v>10127</v>
      </c>
      <c r="D5148" t="s">
        <v>60</v>
      </c>
      <c r="E5148">
        <v>1254</v>
      </c>
      <c r="F5148">
        <v>4</v>
      </c>
      <c r="G5148">
        <v>4</v>
      </c>
      <c r="H5148">
        <v>1</v>
      </c>
      <c r="I5148">
        <v>0</v>
      </c>
      <c r="J5148">
        <v>0.87107718405428303</v>
      </c>
      <c r="K5148">
        <v>0.94209034686126603</v>
      </c>
      <c r="L5148">
        <v>0.90519314125844696</v>
      </c>
      <c r="M5148">
        <v>0.68899521531100505</v>
      </c>
      <c r="N5148">
        <v>1</v>
      </c>
      <c r="O5148">
        <v>0.79027113237639501</v>
      </c>
      <c r="P5148" t="s">
        <v>7993</v>
      </c>
      <c r="Q5148" t="s">
        <v>7994</v>
      </c>
      <c r="R5148" t="s">
        <v>96</v>
      </c>
      <c r="S5148" t="s">
        <v>97</v>
      </c>
      <c r="V5148" t="s">
        <v>7995</v>
      </c>
      <c r="W5148" t="s">
        <v>7996</v>
      </c>
      <c r="AF5148" t="s">
        <v>11179</v>
      </c>
    </row>
    <row r="5149" spans="1:32" hidden="1" x14ac:dyDescent="0.35">
      <c r="A5149">
        <v>5148</v>
      </c>
      <c r="B5149" t="s">
        <v>10733</v>
      </c>
      <c r="C5149" t="s">
        <v>10127</v>
      </c>
      <c r="D5149" t="s">
        <v>60</v>
      </c>
      <c r="E5149">
        <v>340</v>
      </c>
      <c r="F5149">
        <v>4</v>
      </c>
      <c r="G5149">
        <v>4</v>
      </c>
      <c r="H5149">
        <v>1</v>
      </c>
      <c r="I5149">
        <v>0</v>
      </c>
      <c r="J5149">
        <v>0.77734721885848101</v>
      </c>
      <c r="K5149">
        <v>0.95795705631597095</v>
      </c>
      <c r="L5149">
        <v>0.85825323450922197</v>
      </c>
      <c r="M5149">
        <v>0.54520166898470102</v>
      </c>
      <c r="N5149">
        <v>1</v>
      </c>
      <c r="O5149">
        <v>0.69680111265646705</v>
      </c>
      <c r="P5149" t="s">
        <v>10734</v>
      </c>
      <c r="Q5149" t="s">
        <v>10735</v>
      </c>
      <c r="R5149" t="s">
        <v>1259</v>
      </c>
      <c r="S5149" t="s">
        <v>1260</v>
      </c>
      <c r="T5149" t="s">
        <v>10736</v>
      </c>
      <c r="U5149" t="s">
        <v>10737</v>
      </c>
      <c r="V5149" t="s">
        <v>10738</v>
      </c>
      <c r="W5149" t="s">
        <v>10739</v>
      </c>
      <c r="AD5149" t="s">
        <v>410</v>
      </c>
      <c r="AE5149" t="s">
        <v>1840</v>
      </c>
      <c r="AF5149" t="s">
        <v>10740</v>
      </c>
    </row>
    <row r="5150" spans="1:32" hidden="1" x14ac:dyDescent="0.35">
      <c r="A5150">
        <v>5149</v>
      </c>
      <c r="B5150" t="s">
        <v>10733</v>
      </c>
      <c r="C5150" t="s">
        <v>10127</v>
      </c>
      <c r="D5150" t="s">
        <v>62</v>
      </c>
      <c r="E5150">
        <v>420</v>
      </c>
      <c r="F5150">
        <v>4</v>
      </c>
      <c r="G5150">
        <v>4</v>
      </c>
      <c r="H5150">
        <v>1</v>
      </c>
      <c r="I5150">
        <v>0</v>
      </c>
      <c r="J5150">
        <v>0.77734721885848101</v>
      </c>
      <c r="K5150">
        <v>0.95795705631597095</v>
      </c>
      <c r="L5150">
        <v>0.85825323450922197</v>
      </c>
      <c r="M5150">
        <v>0.54520166898470102</v>
      </c>
      <c r="N5150">
        <v>1</v>
      </c>
      <c r="O5150">
        <v>0.69680111265646705</v>
      </c>
      <c r="P5150" t="s">
        <v>10734</v>
      </c>
      <c r="Q5150" t="s">
        <v>10735</v>
      </c>
      <c r="R5150" t="s">
        <v>1259</v>
      </c>
      <c r="S5150" t="s">
        <v>1260</v>
      </c>
      <c r="T5150" t="s">
        <v>10736</v>
      </c>
      <c r="U5150" t="s">
        <v>10737</v>
      </c>
      <c r="V5150" t="s">
        <v>10738</v>
      </c>
      <c r="W5150" t="s">
        <v>10739</v>
      </c>
      <c r="AD5150" t="s">
        <v>410</v>
      </c>
      <c r="AE5150" t="s">
        <v>1840</v>
      </c>
      <c r="AF5150" t="s">
        <v>10740</v>
      </c>
    </row>
    <row r="5151" spans="1:32" hidden="1" x14ac:dyDescent="0.35">
      <c r="A5151">
        <v>5150</v>
      </c>
      <c r="B5151" t="s">
        <v>10733</v>
      </c>
      <c r="C5151" t="s">
        <v>10127</v>
      </c>
      <c r="D5151" t="s">
        <v>34</v>
      </c>
      <c r="E5151">
        <v>325</v>
      </c>
      <c r="F5151">
        <v>4</v>
      </c>
      <c r="G5151">
        <v>4</v>
      </c>
      <c r="H5151">
        <v>1</v>
      </c>
      <c r="I5151">
        <v>0</v>
      </c>
      <c r="J5151">
        <v>0.77734721885848101</v>
      </c>
      <c r="K5151">
        <v>0.95795705631597095</v>
      </c>
      <c r="L5151">
        <v>0.85825323450922197</v>
      </c>
      <c r="M5151">
        <v>0.54520166898470102</v>
      </c>
      <c r="N5151">
        <v>1</v>
      </c>
      <c r="O5151">
        <v>0.69680111265646705</v>
      </c>
      <c r="P5151" t="s">
        <v>10734</v>
      </c>
      <c r="Q5151" t="s">
        <v>10735</v>
      </c>
      <c r="R5151" t="s">
        <v>1259</v>
      </c>
      <c r="S5151" t="s">
        <v>1260</v>
      </c>
      <c r="T5151" t="s">
        <v>10736</v>
      </c>
      <c r="U5151" t="s">
        <v>10737</v>
      </c>
      <c r="V5151" t="s">
        <v>10738</v>
      </c>
      <c r="W5151" t="s">
        <v>10739</v>
      </c>
      <c r="AD5151" t="s">
        <v>410</v>
      </c>
      <c r="AE5151" t="s">
        <v>1840</v>
      </c>
      <c r="AF5151" t="s">
        <v>10741</v>
      </c>
    </row>
    <row r="5152" spans="1:32" hidden="1" x14ac:dyDescent="0.35">
      <c r="A5152">
        <v>5151</v>
      </c>
      <c r="B5152" t="s">
        <v>10733</v>
      </c>
      <c r="C5152" t="s">
        <v>10127</v>
      </c>
      <c r="D5152" t="s">
        <v>45</v>
      </c>
      <c r="E5152">
        <v>1587</v>
      </c>
      <c r="F5152">
        <v>4</v>
      </c>
      <c r="G5152">
        <v>4</v>
      </c>
      <c r="H5152">
        <v>1</v>
      </c>
      <c r="I5152">
        <v>0</v>
      </c>
      <c r="J5152">
        <v>0.77734721885848101</v>
      </c>
      <c r="K5152">
        <v>0.95795705631597095</v>
      </c>
      <c r="L5152">
        <v>0.85825323450922197</v>
      </c>
      <c r="M5152">
        <v>0.54520166898470102</v>
      </c>
      <c r="N5152">
        <v>1</v>
      </c>
      <c r="O5152">
        <v>0.69680111265646705</v>
      </c>
      <c r="P5152" t="s">
        <v>10734</v>
      </c>
      <c r="Q5152" t="s">
        <v>10735</v>
      </c>
      <c r="R5152" t="s">
        <v>1259</v>
      </c>
      <c r="S5152" t="s">
        <v>1260</v>
      </c>
      <c r="T5152" t="s">
        <v>10736</v>
      </c>
      <c r="U5152" t="s">
        <v>10737</v>
      </c>
      <c r="V5152" t="s">
        <v>10738</v>
      </c>
      <c r="W5152" t="s">
        <v>10739</v>
      </c>
      <c r="AD5152" t="s">
        <v>410</v>
      </c>
      <c r="AE5152" t="s">
        <v>1840</v>
      </c>
      <c r="AF5152" t="s">
        <v>10742</v>
      </c>
    </row>
    <row r="5153" spans="1:32" hidden="1" x14ac:dyDescent="0.35">
      <c r="A5153">
        <v>5405</v>
      </c>
      <c r="B5153" t="s">
        <v>11178</v>
      </c>
      <c r="C5153" t="s">
        <v>10127</v>
      </c>
      <c r="D5153" t="s">
        <v>62</v>
      </c>
      <c r="E5153">
        <v>1291</v>
      </c>
      <c r="F5153">
        <v>4</v>
      </c>
      <c r="G5153">
        <v>4</v>
      </c>
      <c r="H5153">
        <v>1</v>
      </c>
      <c r="I5153">
        <v>0</v>
      </c>
      <c r="J5153">
        <v>0.87107718405428303</v>
      </c>
      <c r="K5153">
        <v>0.94209034686126603</v>
      </c>
      <c r="L5153">
        <v>0.90519314125844696</v>
      </c>
      <c r="M5153">
        <v>0.68899521531100505</v>
      </c>
      <c r="N5153">
        <v>1</v>
      </c>
      <c r="O5153">
        <v>0.79027113237639501</v>
      </c>
      <c r="P5153" t="s">
        <v>7993</v>
      </c>
      <c r="Q5153" t="s">
        <v>7994</v>
      </c>
      <c r="R5153" t="s">
        <v>96</v>
      </c>
      <c r="S5153" t="s">
        <v>97</v>
      </c>
      <c r="V5153" t="s">
        <v>7995</v>
      </c>
      <c r="W5153" t="s">
        <v>7996</v>
      </c>
      <c r="AF5153" t="s">
        <v>11179</v>
      </c>
    </row>
    <row r="5154" spans="1:32" hidden="1" x14ac:dyDescent="0.35">
      <c r="A5154">
        <v>5406</v>
      </c>
      <c r="B5154" t="s">
        <v>11178</v>
      </c>
      <c r="C5154" t="s">
        <v>10127</v>
      </c>
      <c r="D5154" t="s">
        <v>34</v>
      </c>
      <c r="E5154">
        <v>1750</v>
      </c>
      <c r="F5154">
        <v>4</v>
      </c>
      <c r="G5154">
        <v>4</v>
      </c>
      <c r="H5154">
        <v>1</v>
      </c>
      <c r="I5154">
        <v>0</v>
      </c>
      <c r="J5154">
        <v>0.87107718405428303</v>
      </c>
      <c r="K5154">
        <v>0.94209034686126603</v>
      </c>
      <c r="L5154">
        <v>0.90519314125844696</v>
      </c>
      <c r="M5154">
        <v>0.68899521531100505</v>
      </c>
      <c r="N5154">
        <v>1</v>
      </c>
      <c r="O5154">
        <v>0.79027113237639501</v>
      </c>
      <c r="P5154" t="s">
        <v>7993</v>
      </c>
      <c r="Q5154" t="s">
        <v>7994</v>
      </c>
      <c r="R5154" t="s">
        <v>96</v>
      </c>
      <c r="S5154" t="s">
        <v>97</v>
      </c>
      <c r="V5154" t="s">
        <v>7995</v>
      </c>
      <c r="W5154" t="s">
        <v>7996</v>
      </c>
      <c r="AF5154" t="s">
        <v>11180</v>
      </c>
    </row>
    <row r="5155" spans="1:32" hidden="1" x14ac:dyDescent="0.35">
      <c r="A5155">
        <v>5407</v>
      </c>
      <c r="B5155" t="s">
        <v>11178</v>
      </c>
      <c r="C5155" t="s">
        <v>10127</v>
      </c>
      <c r="D5155" t="s">
        <v>45</v>
      </c>
      <c r="E5155">
        <v>1123</v>
      </c>
      <c r="F5155">
        <v>4</v>
      </c>
      <c r="G5155">
        <v>4</v>
      </c>
      <c r="H5155">
        <v>1</v>
      </c>
      <c r="I5155">
        <v>0</v>
      </c>
      <c r="J5155">
        <v>0.87107718405428303</v>
      </c>
      <c r="K5155">
        <v>0.94209034686126603</v>
      </c>
      <c r="L5155">
        <v>0.90519314125844696</v>
      </c>
      <c r="M5155">
        <v>0.68899521531100505</v>
      </c>
      <c r="N5155">
        <v>1</v>
      </c>
      <c r="O5155">
        <v>0.79027113237639501</v>
      </c>
      <c r="P5155" t="s">
        <v>7993</v>
      </c>
      <c r="Q5155" t="s">
        <v>7994</v>
      </c>
      <c r="R5155" t="s">
        <v>96</v>
      </c>
      <c r="S5155" t="s">
        <v>97</v>
      </c>
      <c r="V5155" t="s">
        <v>7995</v>
      </c>
      <c r="W5155" t="s">
        <v>7996</v>
      </c>
      <c r="AF5155" t="s">
        <v>11181</v>
      </c>
    </row>
    <row r="5156" spans="1:32" hidden="1" x14ac:dyDescent="0.35">
      <c r="A5156">
        <v>2694</v>
      </c>
      <c r="B5156" t="s">
        <v>5571</v>
      </c>
      <c r="C5156" t="s">
        <v>72</v>
      </c>
      <c r="D5156" t="s">
        <v>58</v>
      </c>
      <c r="E5156">
        <v>193</v>
      </c>
      <c r="F5156">
        <v>5</v>
      </c>
      <c r="G5156">
        <v>5</v>
      </c>
      <c r="H5156">
        <v>1</v>
      </c>
      <c r="I5156">
        <v>1</v>
      </c>
      <c r="J5156">
        <v>0.74778799824791897</v>
      </c>
      <c r="K5156">
        <v>0.84908077169311702</v>
      </c>
      <c r="L5156">
        <v>0.79522177722674003</v>
      </c>
      <c r="M5156">
        <v>0.458515283842795</v>
      </c>
      <c r="N5156">
        <v>1</v>
      </c>
      <c r="O5156">
        <v>0.62816593886462901</v>
      </c>
      <c r="P5156" t="s">
        <v>3179</v>
      </c>
      <c r="Q5156" t="s">
        <v>3180</v>
      </c>
      <c r="R5156" t="s">
        <v>75</v>
      </c>
      <c r="S5156" t="s">
        <v>76</v>
      </c>
      <c r="T5156" t="s">
        <v>5572</v>
      </c>
      <c r="U5156" t="s">
        <v>5573</v>
      </c>
      <c r="V5156" t="s">
        <v>3181</v>
      </c>
      <c r="W5156" t="s">
        <v>3182</v>
      </c>
      <c r="X5156" t="s">
        <v>3181</v>
      </c>
      <c r="Y5156" t="s">
        <v>875</v>
      </c>
      <c r="Z5156" t="s">
        <v>876</v>
      </c>
      <c r="AA5156" t="s">
        <v>877</v>
      </c>
      <c r="AB5156" t="s">
        <v>876</v>
      </c>
      <c r="AC5156" t="s">
        <v>878</v>
      </c>
      <c r="AD5156" t="s">
        <v>219</v>
      </c>
      <c r="AE5156" t="s">
        <v>5574</v>
      </c>
      <c r="AF5156" t="s">
        <v>5575</v>
      </c>
    </row>
    <row r="5157" spans="1:32" hidden="1" x14ac:dyDescent="0.35">
      <c r="A5157">
        <v>4700</v>
      </c>
      <c r="B5157" t="s">
        <v>9830</v>
      </c>
      <c r="C5157" t="s">
        <v>10127</v>
      </c>
      <c r="D5157" t="s">
        <v>60</v>
      </c>
      <c r="E5157">
        <v>1402</v>
      </c>
      <c r="F5157">
        <v>5</v>
      </c>
      <c r="G5157">
        <v>5</v>
      </c>
      <c r="H5157">
        <v>1</v>
      </c>
      <c r="I5157">
        <v>1</v>
      </c>
      <c r="J5157">
        <v>0.80822222222222195</v>
      </c>
      <c r="K5157">
        <v>0.94371200757875096</v>
      </c>
      <c r="L5157">
        <v>0.87072791081859502</v>
      </c>
      <c r="M5157">
        <v>0.63389121338912102</v>
      </c>
      <c r="N5157">
        <v>0.997907949790795</v>
      </c>
      <c r="O5157">
        <v>0.73995815899581596</v>
      </c>
      <c r="P5157" t="s">
        <v>9831</v>
      </c>
      <c r="Q5157" t="s">
        <v>9832</v>
      </c>
      <c r="R5157" t="s">
        <v>371</v>
      </c>
      <c r="S5157" t="s">
        <v>372</v>
      </c>
      <c r="T5157" t="s">
        <v>9833</v>
      </c>
      <c r="U5157" t="s">
        <v>9834</v>
      </c>
      <c r="V5157" t="s">
        <v>9835</v>
      </c>
      <c r="W5157" t="s">
        <v>9836</v>
      </c>
      <c r="AD5157" t="s">
        <v>410</v>
      </c>
      <c r="AE5157" t="s">
        <v>1217</v>
      </c>
      <c r="AF5157" t="s">
        <v>9838</v>
      </c>
    </row>
    <row r="5158" spans="1:32" hidden="1" x14ac:dyDescent="0.35">
      <c r="A5158">
        <v>4701</v>
      </c>
      <c r="B5158" t="s">
        <v>9830</v>
      </c>
      <c r="C5158" t="s">
        <v>10127</v>
      </c>
      <c r="D5158" t="s">
        <v>62</v>
      </c>
      <c r="E5158">
        <v>1437</v>
      </c>
      <c r="F5158">
        <v>5</v>
      </c>
      <c r="G5158">
        <v>5</v>
      </c>
      <c r="H5158">
        <v>1</v>
      </c>
      <c r="I5158">
        <v>1</v>
      </c>
      <c r="J5158">
        <v>0.80822222222222195</v>
      </c>
      <c r="K5158">
        <v>0.94371200757875096</v>
      </c>
      <c r="L5158">
        <v>0.87072791081859502</v>
      </c>
      <c r="M5158">
        <v>0.63389121338912102</v>
      </c>
      <c r="N5158">
        <v>0.997907949790795</v>
      </c>
      <c r="O5158">
        <v>0.73995815899581596</v>
      </c>
      <c r="P5158" t="s">
        <v>9831</v>
      </c>
      <c r="Q5158" t="s">
        <v>9832</v>
      </c>
      <c r="R5158" t="s">
        <v>371</v>
      </c>
      <c r="S5158" t="s">
        <v>372</v>
      </c>
      <c r="T5158" t="s">
        <v>9833</v>
      </c>
      <c r="U5158" t="s">
        <v>9834</v>
      </c>
      <c r="V5158" t="s">
        <v>9835</v>
      </c>
      <c r="W5158" t="s">
        <v>9836</v>
      </c>
      <c r="AD5158" t="s">
        <v>410</v>
      </c>
      <c r="AE5158" t="s">
        <v>1217</v>
      </c>
      <c r="AF5158" t="s">
        <v>9839</v>
      </c>
    </row>
    <row r="5159" spans="1:32" hidden="1" x14ac:dyDescent="0.35">
      <c r="A5159">
        <v>4702</v>
      </c>
      <c r="B5159" t="s">
        <v>9830</v>
      </c>
      <c r="C5159" t="s">
        <v>10127</v>
      </c>
      <c r="D5159" t="s">
        <v>34</v>
      </c>
      <c r="E5159">
        <v>1825</v>
      </c>
      <c r="F5159">
        <v>5</v>
      </c>
      <c r="G5159">
        <v>5</v>
      </c>
      <c r="H5159">
        <v>1</v>
      </c>
      <c r="I5159">
        <v>1</v>
      </c>
      <c r="J5159">
        <v>0.80822222222222195</v>
      </c>
      <c r="K5159">
        <v>0.94371200757875096</v>
      </c>
      <c r="L5159">
        <v>0.87072791081859502</v>
      </c>
      <c r="M5159">
        <v>0.63389121338912102</v>
      </c>
      <c r="N5159">
        <v>0.997907949790795</v>
      </c>
      <c r="O5159">
        <v>0.73995815899581596</v>
      </c>
      <c r="P5159" t="s">
        <v>9831</v>
      </c>
      <c r="Q5159" t="s">
        <v>9832</v>
      </c>
      <c r="R5159" t="s">
        <v>371</v>
      </c>
      <c r="S5159" t="s">
        <v>372</v>
      </c>
      <c r="T5159" t="s">
        <v>9833</v>
      </c>
      <c r="U5159" t="s">
        <v>9834</v>
      </c>
      <c r="V5159" t="s">
        <v>9835</v>
      </c>
      <c r="W5159" t="s">
        <v>9836</v>
      </c>
      <c r="AD5159" t="s">
        <v>410</v>
      </c>
      <c r="AE5159" t="s">
        <v>1217</v>
      </c>
      <c r="AF5159" t="e">
        <f>--------MTDGALFDAPTGGTGSSGG--------DYFAVSPTAPLAARMRPRSLDEVAGQDHVLAAGKPLRRLIEGSGDASVILYGPPGTGKTTIASLISQATARKFVGLSALNSGVKEVRAVIDQARRDLIQGMSTVLFIDEVHRFSKTQQDALLAAVENRVVLLVAATTENPSFSVVAPLLSRSLIVKLESLDDASVRAVLRRALVDERGLGGRITASDAAIDQLVALSGGDARRSLTYLEAAAESVPDGGE--------LSMDVVAANIDRAVVRYDRDGDQHYDVASAFIKSIRGSDVDAAVHYLARMLVAGEDPRFVARRLVIAAAEDVGLADPQALSVAVAAAEAVQLIGMPEARIPLAEATIYLATAPKSNAAYVAIDQAMGDVRAAKSGVVPPHLRDGHYAGAQDLGNAVGYVYPHDDPHGVVAQQYLPD---SLAGVTYYQPTMRGNEGRLAGVVEKLRALIRGEVLK</f>
        <v>#NAME?</v>
      </c>
    </row>
    <row r="5160" spans="1:32" hidden="1" x14ac:dyDescent="0.35">
      <c r="A5160">
        <v>4703</v>
      </c>
      <c r="B5160" t="s">
        <v>9830</v>
      </c>
      <c r="C5160" t="s">
        <v>10127</v>
      </c>
      <c r="D5160" t="s">
        <v>45</v>
      </c>
      <c r="E5160">
        <v>1048</v>
      </c>
      <c r="F5160">
        <v>5</v>
      </c>
      <c r="G5160">
        <v>5</v>
      </c>
      <c r="H5160">
        <v>1</v>
      </c>
      <c r="I5160">
        <v>1</v>
      </c>
      <c r="J5160">
        <v>0.80822222222222195</v>
      </c>
      <c r="K5160">
        <v>0.94371200757875096</v>
      </c>
      <c r="L5160">
        <v>0.87072791081859502</v>
      </c>
      <c r="M5160">
        <v>0.63389121338912102</v>
      </c>
      <c r="N5160">
        <v>0.997907949790795</v>
      </c>
      <c r="O5160">
        <v>0.73995815899581596</v>
      </c>
      <c r="P5160" t="s">
        <v>9831</v>
      </c>
      <c r="Q5160" t="s">
        <v>9832</v>
      </c>
      <c r="R5160" t="s">
        <v>371</v>
      </c>
      <c r="S5160" t="s">
        <v>372</v>
      </c>
      <c r="T5160" t="s">
        <v>9833</v>
      </c>
      <c r="U5160" t="s">
        <v>9834</v>
      </c>
      <c r="V5160" t="s">
        <v>9835</v>
      </c>
      <c r="W5160" t="s">
        <v>9836</v>
      </c>
      <c r="AD5160" t="s">
        <v>410</v>
      </c>
      <c r="AE5160" t="s">
        <v>1217</v>
      </c>
      <c r="AF5160" t="e">
        <f>--------MTDGALFDAPTGGTGSSGG--------DYFAVSPTAPLAARMRPRSLDEVAGQDHVLAAGKPLRRLIEGSGDASVILYGPPGTGKTTIASLISQATARKFVGLSALNSGVKEVRAVIDQARRDLIQGMSTVLFIDEVHRFSKTQQDALLAAVENRVVLLVAATTENPSFSVVAPLLSRSLIVKLESLDDASVRAVLRRALVDERGLGGRITASDAAIDQLVALSGGDARRSLTYLEAAAESVPDGGE--------LSVDVVAANIDRAVVRYDQDGDQHYDVASAFIKSIRGSDVDAAVHYLARMLVAGEDPRFVARRLVIAAAEDVGLADPQALSVAVAAAEAVQLIGMPEARIPLAEATIYLATAPKSNAAYVAIDQAMGDVRAAKSGVVPPHLRDGHYAGAQDLGNAVGYVYPHDDPHGVVAQQYLPD---SLAGVTYYQPTMRGNEGRLAGVVEKLRALIRGEVLK</f>
        <v>#NAME?</v>
      </c>
    </row>
    <row r="5161" spans="1:32" hidden="1" x14ac:dyDescent="0.35">
      <c r="A5161">
        <v>4054</v>
      </c>
      <c r="B5161" t="s">
        <v>8373</v>
      </c>
      <c r="C5161" t="s">
        <v>72</v>
      </c>
      <c r="D5161" t="s">
        <v>58</v>
      </c>
      <c r="E5161">
        <v>163</v>
      </c>
      <c r="F5161">
        <v>5</v>
      </c>
      <c r="G5161">
        <v>5</v>
      </c>
      <c r="H5161">
        <v>1</v>
      </c>
      <c r="I5161">
        <v>1</v>
      </c>
      <c r="J5161">
        <v>0.833220108695652</v>
      </c>
      <c r="K5161">
        <v>0.95104486945645705</v>
      </c>
      <c r="L5161">
        <v>0.888242182866402</v>
      </c>
      <c r="M5161">
        <v>0.66935483870967705</v>
      </c>
      <c r="N5161">
        <v>0.99516129032258105</v>
      </c>
      <c r="O5161">
        <v>0.75645161290322604</v>
      </c>
      <c r="P5161" t="s">
        <v>3179</v>
      </c>
      <c r="Q5161" t="s">
        <v>3180</v>
      </c>
      <c r="R5161" t="s">
        <v>75</v>
      </c>
      <c r="S5161" t="s">
        <v>76</v>
      </c>
      <c r="T5161" t="s">
        <v>8374</v>
      </c>
      <c r="U5161" t="s">
        <v>8375</v>
      </c>
      <c r="V5161" t="s">
        <v>3181</v>
      </c>
      <c r="W5161" t="s">
        <v>3182</v>
      </c>
      <c r="X5161" t="s">
        <v>3181</v>
      </c>
      <c r="Y5161" t="s">
        <v>875</v>
      </c>
      <c r="Z5161" t="s">
        <v>8376</v>
      </c>
      <c r="AA5161" t="s">
        <v>8377</v>
      </c>
      <c r="AB5161" t="s">
        <v>8376</v>
      </c>
      <c r="AC5161" t="s">
        <v>146</v>
      </c>
      <c r="AD5161" t="s">
        <v>8378</v>
      </c>
      <c r="AE5161" t="s">
        <v>8379</v>
      </c>
      <c r="AF5161" t="s">
        <v>8380</v>
      </c>
    </row>
    <row r="5162" spans="1:32" hidden="1" x14ac:dyDescent="0.35">
      <c r="A5162">
        <v>4715</v>
      </c>
      <c r="B5162" t="s">
        <v>9858</v>
      </c>
      <c r="C5162" t="s">
        <v>10127</v>
      </c>
      <c r="D5162" t="s">
        <v>60</v>
      </c>
      <c r="E5162">
        <v>1127</v>
      </c>
      <c r="F5162">
        <v>5</v>
      </c>
      <c r="G5162">
        <v>5</v>
      </c>
      <c r="H5162">
        <v>1</v>
      </c>
      <c r="I5162">
        <v>1</v>
      </c>
      <c r="J5162">
        <v>0.71666903644722502</v>
      </c>
      <c r="K5162">
        <v>0.97043703562582795</v>
      </c>
      <c r="L5162">
        <v>0.824467633383692</v>
      </c>
      <c r="M5162">
        <v>0.49379310344827598</v>
      </c>
      <c r="N5162">
        <v>0.99448275862069002</v>
      </c>
      <c r="O5162">
        <v>0.62841379310344803</v>
      </c>
      <c r="P5162" t="s">
        <v>6973</v>
      </c>
      <c r="Q5162" t="s">
        <v>6974</v>
      </c>
      <c r="R5162" t="s">
        <v>371</v>
      </c>
      <c r="S5162" t="s">
        <v>372</v>
      </c>
      <c r="T5162" t="s">
        <v>9859</v>
      </c>
      <c r="U5162" t="s">
        <v>9860</v>
      </c>
      <c r="V5162" t="s">
        <v>9861</v>
      </c>
      <c r="W5162" t="s">
        <v>9862</v>
      </c>
      <c r="AD5162" t="s">
        <v>1437</v>
      </c>
      <c r="AE5162" t="s">
        <v>9863</v>
      </c>
      <c r="AF5162" t="s">
        <v>9865</v>
      </c>
    </row>
    <row r="5163" spans="1:32" hidden="1" x14ac:dyDescent="0.35">
      <c r="A5163">
        <v>4716</v>
      </c>
      <c r="B5163" t="s">
        <v>9858</v>
      </c>
      <c r="C5163" t="s">
        <v>10127</v>
      </c>
      <c r="D5163" t="s">
        <v>62</v>
      </c>
      <c r="E5163">
        <v>1163</v>
      </c>
      <c r="F5163">
        <v>5</v>
      </c>
      <c r="G5163">
        <v>5</v>
      </c>
      <c r="H5163">
        <v>1</v>
      </c>
      <c r="I5163">
        <v>1</v>
      </c>
      <c r="J5163">
        <v>0.71666903644722502</v>
      </c>
      <c r="K5163">
        <v>0.97043703562582795</v>
      </c>
      <c r="L5163">
        <v>0.824467633383692</v>
      </c>
      <c r="M5163">
        <v>0.49379310344827598</v>
      </c>
      <c r="N5163">
        <v>0.99448275862069002</v>
      </c>
      <c r="O5163">
        <v>0.62841379310344803</v>
      </c>
      <c r="P5163" t="s">
        <v>6973</v>
      </c>
      <c r="Q5163" t="s">
        <v>6974</v>
      </c>
      <c r="R5163" t="s">
        <v>371</v>
      </c>
      <c r="S5163" t="s">
        <v>372</v>
      </c>
      <c r="T5163" t="s">
        <v>9859</v>
      </c>
      <c r="U5163" t="s">
        <v>9860</v>
      </c>
      <c r="V5163" t="s">
        <v>9861</v>
      </c>
      <c r="W5163" t="s">
        <v>9862</v>
      </c>
      <c r="AD5163" t="s">
        <v>1437</v>
      </c>
      <c r="AE5163" t="s">
        <v>9863</v>
      </c>
      <c r="AF5163" t="s">
        <v>9866</v>
      </c>
    </row>
    <row r="5164" spans="1:32" hidden="1" x14ac:dyDescent="0.35">
      <c r="A5164">
        <v>4717</v>
      </c>
      <c r="B5164" t="s">
        <v>9858</v>
      </c>
      <c r="C5164" t="s">
        <v>10127</v>
      </c>
      <c r="D5164" t="s">
        <v>34</v>
      </c>
      <c r="E5164">
        <v>21</v>
      </c>
      <c r="F5164">
        <v>5</v>
      </c>
      <c r="G5164">
        <v>5</v>
      </c>
      <c r="H5164">
        <v>1</v>
      </c>
      <c r="I5164">
        <v>1</v>
      </c>
      <c r="J5164">
        <v>0.71666903644722502</v>
      </c>
      <c r="K5164">
        <v>0.97043703562582795</v>
      </c>
      <c r="L5164">
        <v>0.824467633383692</v>
      </c>
      <c r="M5164">
        <v>0.49379310344827598</v>
      </c>
      <c r="N5164">
        <v>0.99448275862069002</v>
      </c>
      <c r="O5164">
        <v>0.62841379310344803</v>
      </c>
      <c r="P5164" t="s">
        <v>6973</v>
      </c>
      <c r="Q5164" t="s">
        <v>6974</v>
      </c>
      <c r="R5164" t="s">
        <v>371</v>
      </c>
      <c r="S5164" t="s">
        <v>372</v>
      </c>
      <c r="T5164" t="s">
        <v>9859</v>
      </c>
      <c r="U5164" t="s">
        <v>9860</v>
      </c>
      <c r="V5164" t="s">
        <v>9861</v>
      </c>
      <c r="W5164" t="s">
        <v>9862</v>
      </c>
      <c r="AD5164" t="s">
        <v>1437</v>
      </c>
      <c r="AE5164" t="s">
        <v>9863</v>
      </c>
      <c r="AF5164" t="s">
        <v>9867</v>
      </c>
    </row>
    <row r="5165" spans="1:32" hidden="1" x14ac:dyDescent="0.35">
      <c r="A5165">
        <v>4718</v>
      </c>
      <c r="B5165" t="s">
        <v>9858</v>
      </c>
      <c r="C5165" t="s">
        <v>10127</v>
      </c>
      <c r="D5165" t="s">
        <v>45</v>
      </c>
      <c r="E5165">
        <v>1277</v>
      </c>
      <c r="F5165">
        <v>5</v>
      </c>
      <c r="G5165">
        <v>5</v>
      </c>
      <c r="H5165">
        <v>1</v>
      </c>
      <c r="I5165">
        <v>1</v>
      </c>
      <c r="J5165">
        <v>0.71666903644722502</v>
      </c>
      <c r="K5165">
        <v>0.97043703562582795</v>
      </c>
      <c r="L5165">
        <v>0.824467633383692</v>
      </c>
      <c r="M5165">
        <v>0.49379310344827598</v>
      </c>
      <c r="N5165">
        <v>0.99448275862069002</v>
      </c>
      <c r="O5165">
        <v>0.62841379310344803</v>
      </c>
      <c r="P5165" t="s">
        <v>6973</v>
      </c>
      <c r="Q5165" t="s">
        <v>6974</v>
      </c>
      <c r="R5165" t="s">
        <v>371</v>
      </c>
      <c r="S5165" t="s">
        <v>372</v>
      </c>
      <c r="T5165" t="s">
        <v>9859</v>
      </c>
      <c r="U5165" t="s">
        <v>9860</v>
      </c>
      <c r="V5165" t="s">
        <v>9861</v>
      </c>
      <c r="W5165" t="s">
        <v>9862</v>
      </c>
      <c r="AD5165" t="s">
        <v>1437</v>
      </c>
      <c r="AE5165" t="s">
        <v>9863</v>
      </c>
      <c r="AF5165" t="s">
        <v>9868</v>
      </c>
    </row>
    <row r="5166" spans="1:32" hidden="1" x14ac:dyDescent="0.35">
      <c r="A5166">
        <v>11460</v>
      </c>
      <c r="B5166" t="s">
        <v>23385</v>
      </c>
      <c r="C5166" t="s">
        <v>33</v>
      </c>
      <c r="D5166" t="s">
        <v>58</v>
      </c>
      <c r="E5166">
        <v>631</v>
      </c>
      <c r="F5166">
        <v>1</v>
      </c>
      <c r="G5166">
        <v>1</v>
      </c>
      <c r="H5166">
        <v>1</v>
      </c>
      <c r="I5166">
        <v>0</v>
      </c>
      <c r="J5166">
        <v>1</v>
      </c>
      <c r="K5166">
        <v>1</v>
      </c>
      <c r="L5166">
        <v>1</v>
      </c>
      <c r="M5166">
        <v>0</v>
      </c>
      <c r="N5166">
        <v>0</v>
      </c>
      <c r="O5166">
        <v>0</v>
      </c>
      <c r="P5166" t="s">
        <v>3179</v>
      </c>
      <c r="Q5166" t="s">
        <v>3180</v>
      </c>
      <c r="R5166" t="s">
        <v>75</v>
      </c>
      <c r="S5166" t="s">
        <v>76</v>
      </c>
      <c r="V5166" t="s">
        <v>3181</v>
      </c>
      <c r="W5166" t="s">
        <v>3182</v>
      </c>
      <c r="X5166" t="s">
        <v>3181</v>
      </c>
      <c r="Y5166" t="s">
        <v>875</v>
      </c>
      <c r="AF5166" t="s">
        <v>23386</v>
      </c>
    </row>
    <row r="5167" spans="1:32" hidden="1" x14ac:dyDescent="0.35">
      <c r="A5167">
        <v>4720</v>
      </c>
      <c r="B5167" t="s">
        <v>9869</v>
      </c>
      <c r="C5167" t="s">
        <v>10127</v>
      </c>
      <c r="D5167" t="s">
        <v>60</v>
      </c>
      <c r="E5167">
        <v>1716</v>
      </c>
      <c r="F5167">
        <v>5</v>
      </c>
      <c r="G5167">
        <v>5</v>
      </c>
      <c r="H5167">
        <v>1</v>
      </c>
      <c r="I5167">
        <v>1</v>
      </c>
      <c r="J5167">
        <v>0.88824250720050202</v>
      </c>
      <c r="K5167">
        <v>0.99735844629746295</v>
      </c>
      <c r="L5167">
        <v>0.939643316655558</v>
      </c>
      <c r="M5167">
        <v>0.79778156996587002</v>
      </c>
      <c r="N5167">
        <v>0.99914675767918104</v>
      </c>
      <c r="O5167">
        <v>0.85383959044368596</v>
      </c>
      <c r="P5167" t="s">
        <v>9870</v>
      </c>
      <c r="Q5167" t="s">
        <v>9871</v>
      </c>
      <c r="R5167" t="s">
        <v>371</v>
      </c>
      <c r="S5167" t="s">
        <v>372</v>
      </c>
      <c r="T5167" t="s">
        <v>9872</v>
      </c>
      <c r="U5167" t="s">
        <v>9873</v>
      </c>
      <c r="V5167" t="s">
        <v>9874</v>
      </c>
      <c r="W5167" t="s">
        <v>9875</v>
      </c>
      <c r="AD5167" t="s">
        <v>3961</v>
      </c>
      <c r="AE5167" t="s">
        <v>3962</v>
      </c>
      <c r="AF5167" t="s">
        <v>9877</v>
      </c>
    </row>
    <row r="5168" spans="1:32" hidden="1" x14ac:dyDescent="0.35">
      <c r="A5168">
        <v>4721</v>
      </c>
      <c r="B5168" t="s">
        <v>9869</v>
      </c>
      <c r="C5168" t="s">
        <v>10127</v>
      </c>
      <c r="D5168" t="s">
        <v>62</v>
      </c>
      <c r="E5168">
        <v>1751</v>
      </c>
      <c r="F5168">
        <v>5</v>
      </c>
      <c r="G5168">
        <v>5</v>
      </c>
      <c r="H5168">
        <v>1</v>
      </c>
      <c r="I5168">
        <v>1</v>
      </c>
      <c r="J5168">
        <v>0.88824250720050202</v>
      </c>
      <c r="K5168">
        <v>0.99735844629746295</v>
      </c>
      <c r="L5168">
        <v>0.939643316655558</v>
      </c>
      <c r="M5168">
        <v>0.79778156996587002</v>
      </c>
      <c r="N5168">
        <v>0.99914675767918104</v>
      </c>
      <c r="O5168">
        <v>0.85383959044368596</v>
      </c>
      <c r="P5168" t="s">
        <v>9870</v>
      </c>
      <c r="Q5168" t="s">
        <v>9871</v>
      </c>
      <c r="R5168" t="s">
        <v>371</v>
      </c>
      <c r="S5168" t="s">
        <v>372</v>
      </c>
      <c r="T5168" t="s">
        <v>9872</v>
      </c>
      <c r="U5168" t="s">
        <v>9873</v>
      </c>
      <c r="V5168" t="s">
        <v>9874</v>
      </c>
      <c r="W5168" t="s">
        <v>9875</v>
      </c>
      <c r="AD5168" t="s">
        <v>3961</v>
      </c>
      <c r="AE5168" t="s">
        <v>3962</v>
      </c>
      <c r="AF5168" t="s">
        <v>9878</v>
      </c>
    </row>
    <row r="5169" spans="1:32" hidden="1" x14ac:dyDescent="0.35">
      <c r="A5169">
        <v>5168</v>
      </c>
      <c r="B5169" t="s">
        <v>10766</v>
      </c>
      <c r="C5169" t="s">
        <v>10127</v>
      </c>
      <c r="D5169" t="s">
        <v>60</v>
      </c>
      <c r="E5169">
        <v>222</v>
      </c>
      <c r="F5169">
        <v>4</v>
      </c>
      <c r="G5169">
        <v>4</v>
      </c>
      <c r="H5169">
        <v>1</v>
      </c>
      <c r="I5169">
        <v>0</v>
      </c>
      <c r="J5169">
        <v>0.74016203703703698</v>
      </c>
      <c r="K5169">
        <v>0.95198019801980205</v>
      </c>
      <c r="L5169">
        <v>0.83281368195574901</v>
      </c>
      <c r="M5169">
        <v>0.45544554455445502</v>
      </c>
      <c r="N5169">
        <v>1</v>
      </c>
      <c r="O5169">
        <v>0.64191419141914197</v>
      </c>
      <c r="AF5169" t="e">
        <f>--MNDTGSVTIEAALALSSLVLVGALMVSGLVTLADYIAAVDAAGAAARAHAIGTEYTPPRGTVDIAHDGELVRAVAKVPSPLGTMEAEAVYPAEK----P</f>
        <v>#NAME?</v>
      </c>
    </row>
    <row r="5170" spans="1:32" hidden="1" x14ac:dyDescent="0.35">
      <c r="A5170">
        <v>5169</v>
      </c>
      <c r="B5170" t="s">
        <v>10766</v>
      </c>
      <c r="C5170" t="s">
        <v>10127</v>
      </c>
      <c r="D5170" t="s">
        <v>62</v>
      </c>
      <c r="E5170">
        <v>299</v>
      </c>
      <c r="F5170">
        <v>4</v>
      </c>
      <c r="G5170">
        <v>4</v>
      </c>
      <c r="H5170">
        <v>1</v>
      </c>
      <c r="I5170">
        <v>0</v>
      </c>
      <c r="J5170">
        <v>0.74016203703703698</v>
      </c>
      <c r="K5170">
        <v>0.95198019801980205</v>
      </c>
      <c r="L5170">
        <v>0.83281368195574901</v>
      </c>
      <c r="M5170">
        <v>0.45544554455445502</v>
      </c>
      <c r="N5170">
        <v>1</v>
      </c>
      <c r="O5170">
        <v>0.64191419141914197</v>
      </c>
      <c r="AF5170" t="e">
        <f>--MNDTGSVTIEAALALSSLVLVGALMVSGLVTLADYIAAVDAAGAAARAHAIGTEYTPPRGTVDIAHDGELVRAVAKVPSPLGTMEAEAVYPAEK----P</f>
        <v>#NAME?</v>
      </c>
    </row>
    <row r="5171" spans="1:32" hidden="1" x14ac:dyDescent="0.35">
      <c r="A5171">
        <v>5170</v>
      </c>
      <c r="B5171" t="s">
        <v>10766</v>
      </c>
      <c r="C5171" t="s">
        <v>10127</v>
      </c>
      <c r="D5171" t="s">
        <v>34</v>
      </c>
      <c r="E5171">
        <v>1245</v>
      </c>
      <c r="F5171">
        <v>4</v>
      </c>
      <c r="G5171">
        <v>4</v>
      </c>
      <c r="H5171">
        <v>1</v>
      </c>
      <c r="I5171">
        <v>0</v>
      </c>
      <c r="J5171">
        <v>0.74016203703703698</v>
      </c>
      <c r="K5171">
        <v>0.95198019801980205</v>
      </c>
      <c r="L5171">
        <v>0.83281368195574901</v>
      </c>
      <c r="M5171">
        <v>0.45544554455445502</v>
      </c>
      <c r="N5171">
        <v>1</v>
      </c>
      <c r="O5171">
        <v>0.64191419141914197</v>
      </c>
      <c r="AF5171" t="s">
        <v>10767</v>
      </c>
    </row>
    <row r="5172" spans="1:32" hidden="1" x14ac:dyDescent="0.35">
      <c r="A5172">
        <v>5171</v>
      </c>
      <c r="B5172" t="s">
        <v>10766</v>
      </c>
      <c r="C5172" t="s">
        <v>10127</v>
      </c>
      <c r="D5172" t="s">
        <v>45</v>
      </c>
      <c r="E5172">
        <v>2489</v>
      </c>
      <c r="F5172">
        <v>4</v>
      </c>
      <c r="G5172">
        <v>4</v>
      </c>
      <c r="H5172">
        <v>1</v>
      </c>
      <c r="I5172">
        <v>0</v>
      </c>
      <c r="J5172">
        <v>0.74016203703703698</v>
      </c>
      <c r="K5172">
        <v>0.95198019801980205</v>
      </c>
      <c r="L5172">
        <v>0.83281368195574901</v>
      </c>
      <c r="M5172">
        <v>0.45544554455445502</v>
      </c>
      <c r="N5172">
        <v>1</v>
      </c>
      <c r="O5172">
        <v>0.64191419141914197</v>
      </c>
      <c r="AF5172" t="s">
        <v>10768</v>
      </c>
    </row>
    <row r="5173" spans="1:32" hidden="1" x14ac:dyDescent="0.35">
      <c r="A5173">
        <v>4722</v>
      </c>
      <c r="B5173" t="s">
        <v>9869</v>
      </c>
      <c r="C5173" t="s">
        <v>10127</v>
      </c>
      <c r="D5173" t="s">
        <v>34</v>
      </c>
      <c r="E5173">
        <v>2094</v>
      </c>
      <c r="F5173">
        <v>5</v>
      </c>
      <c r="G5173">
        <v>5</v>
      </c>
      <c r="H5173">
        <v>1</v>
      </c>
      <c r="I5173">
        <v>1</v>
      </c>
      <c r="J5173">
        <v>0.88824250720050202</v>
      </c>
      <c r="K5173">
        <v>0.99735844629746295</v>
      </c>
      <c r="L5173">
        <v>0.939643316655558</v>
      </c>
      <c r="M5173">
        <v>0.79778156996587002</v>
      </c>
      <c r="N5173">
        <v>0.99914675767918104</v>
      </c>
      <c r="O5173">
        <v>0.85383959044368596</v>
      </c>
      <c r="P5173" t="s">
        <v>9870</v>
      </c>
      <c r="Q5173" t="s">
        <v>9871</v>
      </c>
      <c r="R5173" t="s">
        <v>371</v>
      </c>
      <c r="S5173" t="s">
        <v>372</v>
      </c>
      <c r="T5173" t="s">
        <v>9872</v>
      </c>
      <c r="U5173" t="s">
        <v>9873</v>
      </c>
      <c r="V5173" t="s">
        <v>9874</v>
      </c>
      <c r="W5173" t="s">
        <v>9875</v>
      </c>
      <c r="AD5173" t="s">
        <v>3961</v>
      </c>
      <c r="AE5173" t="s">
        <v>3962</v>
      </c>
      <c r="AF5173" t="s">
        <v>9879</v>
      </c>
    </row>
    <row r="5174" spans="1:32" hidden="1" x14ac:dyDescent="0.35">
      <c r="A5174">
        <v>4723</v>
      </c>
      <c r="B5174" t="s">
        <v>9869</v>
      </c>
      <c r="C5174" t="s">
        <v>10127</v>
      </c>
      <c r="D5174" t="s">
        <v>45</v>
      </c>
      <c r="E5174">
        <v>778</v>
      </c>
      <c r="F5174">
        <v>5</v>
      </c>
      <c r="G5174">
        <v>5</v>
      </c>
      <c r="H5174">
        <v>1</v>
      </c>
      <c r="I5174">
        <v>1</v>
      </c>
      <c r="J5174">
        <v>0.88824250720050202</v>
      </c>
      <c r="K5174">
        <v>0.99735844629746295</v>
      </c>
      <c r="L5174">
        <v>0.939643316655558</v>
      </c>
      <c r="M5174">
        <v>0.79778156996587002</v>
      </c>
      <c r="N5174">
        <v>0.99914675767918104</v>
      </c>
      <c r="O5174">
        <v>0.85383959044368596</v>
      </c>
      <c r="P5174" t="s">
        <v>9870</v>
      </c>
      <c r="Q5174" t="s">
        <v>9871</v>
      </c>
      <c r="R5174" t="s">
        <v>371</v>
      </c>
      <c r="S5174" t="s">
        <v>372</v>
      </c>
      <c r="T5174" t="s">
        <v>9872</v>
      </c>
      <c r="U5174" t="s">
        <v>9873</v>
      </c>
      <c r="V5174" t="s">
        <v>9874</v>
      </c>
      <c r="W5174" t="s">
        <v>9875</v>
      </c>
      <c r="AD5174" t="s">
        <v>3961</v>
      </c>
      <c r="AE5174" t="s">
        <v>3962</v>
      </c>
      <c r="AF5174" t="s">
        <v>9880</v>
      </c>
    </row>
    <row r="5175" spans="1:32" hidden="1" x14ac:dyDescent="0.35">
      <c r="A5175">
        <v>11616</v>
      </c>
      <c r="B5175" t="s">
        <v>23789</v>
      </c>
      <c r="C5175" t="s">
        <v>33</v>
      </c>
      <c r="D5175" t="s">
        <v>58</v>
      </c>
      <c r="E5175">
        <v>292</v>
      </c>
      <c r="F5175">
        <v>1</v>
      </c>
      <c r="G5175">
        <v>1</v>
      </c>
      <c r="H5175">
        <v>1</v>
      </c>
      <c r="I5175">
        <v>0</v>
      </c>
      <c r="J5175">
        <v>1</v>
      </c>
      <c r="K5175">
        <v>1</v>
      </c>
      <c r="L5175">
        <v>1</v>
      </c>
      <c r="M5175">
        <v>0</v>
      </c>
      <c r="N5175">
        <v>0</v>
      </c>
      <c r="O5175">
        <v>0</v>
      </c>
      <c r="P5175" t="s">
        <v>3179</v>
      </c>
      <c r="Q5175" t="s">
        <v>3180</v>
      </c>
      <c r="R5175" t="s">
        <v>75</v>
      </c>
      <c r="S5175" t="s">
        <v>76</v>
      </c>
      <c r="V5175" t="s">
        <v>3181</v>
      </c>
      <c r="W5175" t="s">
        <v>3182</v>
      </c>
      <c r="X5175" t="s">
        <v>3181</v>
      </c>
      <c r="Y5175" t="s">
        <v>875</v>
      </c>
      <c r="AF5175" t="s">
        <v>23790</v>
      </c>
    </row>
    <row r="5176" spans="1:32" hidden="1" x14ac:dyDescent="0.35">
      <c r="A5176">
        <v>4740</v>
      </c>
      <c r="B5176" t="s">
        <v>9922</v>
      </c>
      <c r="C5176" t="s">
        <v>10127</v>
      </c>
      <c r="D5176" t="s">
        <v>60</v>
      </c>
      <c r="E5176">
        <v>1312</v>
      </c>
      <c r="F5176">
        <v>5</v>
      </c>
      <c r="G5176">
        <v>5</v>
      </c>
      <c r="H5176">
        <v>1</v>
      </c>
      <c r="I5176">
        <v>1</v>
      </c>
      <c r="J5176">
        <v>0.74343945140405299</v>
      </c>
      <c r="K5176">
        <v>0.89969463582572795</v>
      </c>
      <c r="L5176">
        <v>0.81413743612016198</v>
      </c>
      <c r="M5176">
        <v>0.44809866392600201</v>
      </c>
      <c r="N5176">
        <v>0.99691675231243604</v>
      </c>
      <c r="O5176">
        <v>0.63278520041109998</v>
      </c>
      <c r="P5176" t="s">
        <v>9923</v>
      </c>
      <c r="Q5176" t="s">
        <v>9924</v>
      </c>
      <c r="R5176" t="s">
        <v>371</v>
      </c>
      <c r="S5176" t="s">
        <v>372</v>
      </c>
      <c r="T5176" t="s">
        <v>9925</v>
      </c>
      <c r="U5176" t="s">
        <v>9926</v>
      </c>
      <c r="V5176" t="s">
        <v>6102</v>
      </c>
      <c r="W5176" t="s">
        <v>6103</v>
      </c>
      <c r="AD5176" t="s">
        <v>6721</v>
      </c>
      <c r="AE5176" t="s">
        <v>6722</v>
      </c>
      <c r="AF5176" t="s">
        <v>9928</v>
      </c>
    </row>
    <row r="5177" spans="1:32" hidden="1" x14ac:dyDescent="0.35">
      <c r="A5177">
        <v>4741</v>
      </c>
      <c r="B5177" t="s">
        <v>9922</v>
      </c>
      <c r="C5177" t="s">
        <v>10127</v>
      </c>
      <c r="D5177" t="s">
        <v>62</v>
      </c>
      <c r="E5177">
        <v>1348</v>
      </c>
      <c r="F5177">
        <v>5</v>
      </c>
      <c r="G5177">
        <v>5</v>
      </c>
      <c r="H5177">
        <v>1</v>
      </c>
      <c r="I5177">
        <v>1</v>
      </c>
      <c r="J5177">
        <v>0.74343945140405299</v>
      </c>
      <c r="K5177">
        <v>0.89969463582572795</v>
      </c>
      <c r="L5177">
        <v>0.81413743612016198</v>
      </c>
      <c r="M5177">
        <v>0.44809866392600201</v>
      </c>
      <c r="N5177">
        <v>0.99691675231243604</v>
      </c>
      <c r="O5177">
        <v>0.63278520041109998</v>
      </c>
      <c r="P5177" t="s">
        <v>9923</v>
      </c>
      <c r="Q5177" t="s">
        <v>9924</v>
      </c>
      <c r="R5177" t="s">
        <v>371</v>
      </c>
      <c r="S5177" t="s">
        <v>372</v>
      </c>
      <c r="T5177" t="s">
        <v>9925</v>
      </c>
      <c r="U5177" t="s">
        <v>9926</v>
      </c>
      <c r="V5177" t="s">
        <v>6102</v>
      </c>
      <c r="W5177" t="s">
        <v>6103</v>
      </c>
      <c r="AD5177" t="s">
        <v>6721</v>
      </c>
      <c r="AE5177" t="s">
        <v>6722</v>
      </c>
      <c r="AF5177" t="s">
        <v>9928</v>
      </c>
    </row>
    <row r="5178" spans="1:32" hidden="1" x14ac:dyDescent="0.35">
      <c r="A5178">
        <v>4742</v>
      </c>
      <c r="B5178" t="s">
        <v>9922</v>
      </c>
      <c r="C5178" t="s">
        <v>10127</v>
      </c>
      <c r="D5178" t="s">
        <v>34</v>
      </c>
      <c r="E5178">
        <v>1708</v>
      </c>
      <c r="F5178">
        <v>5</v>
      </c>
      <c r="G5178">
        <v>5</v>
      </c>
      <c r="H5178">
        <v>1</v>
      </c>
      <c r="I5178">
        <v>1</v>
      </c>
      <c r="J5178">
        <v>0.74343945140405299</v>
      </c>
      <c r="K5178">
        <v>0.89969463582572795</v>
      </c>
      <c r="L5178">
        <v>0.81413743612016198</v>
      </c>
      <c r="M5178">
        <v>0.44809866392600201</v>
      </c>
      <c r="N5178">
        <v>0.99691675231243604</v>
      </c>
      <c r="O5178">
        <v>0.63278520041109998</v>
      </c>
      <c r="P5178" t="s">
        <v>9923</v>
      </c>
      <c r="Q5178" t="s">
        <v>9924</v>
      </c>
      <c r="R5178" t="s">
        <v>371</v>
      </c>
      <c r="S5178" t="s">
        <v>372</v>
      </c>
      <c r="T5178" t="s">
        <v>9925</v>
      </c>
      <c r="U5178" t="s">
        <v>9926</v>
      </c>
      <c r="V5178" t="s">
        <v>6102</v>
      </c>
      <c r="W5178" t="s">
        <v>6103</v>
      </c>
      <c r="AD5178" t="s">
        <v>6721</v>
      </c>
      <c r="AE5178" t="s">
        <v>6722</v>
      </c>
      <c r="AF5178" t="s">
        <v>9929</v>
      </c>
    </row>
    <row r="5179" spans="1:32" hidden="1" x14ac:dyDescent="0.35">
      <c r="A5179">
        <v>4743</v>
      </c>
      <c r="B5179" t="s">
        <v>9922</v>
      </c>
      <c r="C5179" t="s">
        <v>10127</v>
      </c>
      <c r="D5179" t="s">
        <v>45</v>
      </c>
      <c r="E5179">
        <v>1167</v>
      </c>
      <c r="F5179">
        <v>5</v>
      </c>
      <c r="G5179">
        <v>5</v>
      </c>
      <c r="H5179">
        <v>1</v>
      </c>
      <c r="I5179">
        <v>1</v>
      </c>
      <c r="J5179">
        <v>0.74343945140405299</v>
      </c>
      <c r="K5179">
        <v>0.89969463582572795</v>
      </c>
      <c r="L5179">
        <v>0.81413743612016198</v>
      </c>
      <c r="M5179">
        <v>0.44809866392600201</v>
      </c>
      <c r="N5179">
        <v>0.99691675231243604</v>
      </c>
      <c r="O5179">
        <v>0.63278520041109998</v>
      </c>
      <c r="P5179" t="s">
        <v>6973</v>
      </c>
      <c r="Q5179" t="s">
        <v>6974</v>
      </c>
      <c r="R5179" t="s">
        <v>371</v>
      </c>
      <c r="S5179" t="s">
        <v>372</v>
      </c>
      <c r="T5179" t="s">
        <v>9925</v>
      </c>
      <c r="U5179" t="s">
        <v>9926</v>
      </c>
      <c r="V5179" t="s">
        <v>6102</v>
      </c>
      <c r="W5179" t="s">
        <v>6103</v>
      </c>
      <c r="AD5179" t="s">
        <v>6721</v>
      </c>
      <c r="AE5179" t="s">
        <v>6722</v>
      </c>
      <c r="AF5179" t="s">
        <v>9930</v>
      </c>
    </row>
    <row r="5180" spans="1:32" hidden="1" x14ac:dyDescent="0.35">
      <c r="A5180">
        <v>4852</v>
      </c>
      <c r="B5180" t="s">
        <v>10165</v>
      </c>
      <c r="C5180" t="s">
        <v>10127</v>
      </c>
      <c r="D5180" t="s">
        <v>60</v>
      </c>
      <c r="E5180">
        <v>1125</v>
      </c>
      <c r="F5180">
        <v>4</v>
      </c>
      <c r="G5180">
        <v>4</v>
      </c>
      <c r="H5180">
        <v>1</v>
      </c>
      <c r="I5180">
        <v>0</v>
      </c>
      <c r="J5180">
        <v>0.77132352941176496</v>
      </c>
      <c r="K5180">
        <v>0.91273895582329401</v>
      </c>
      <c r="L5180">
        <v>0.83609371862347104</v>
      </c>
      <c r="M5180">
        <v>0.52</v>
      </c>
      <c r="N5180">
        <v>1</v>
      </c>
      <c r="O5180">
        <v>0.67933333333333301</v>
      </c>
      <c r="P5180" t="s">
        <v>10166</v>
      </c>
      <c r="Q5180" t="s">
        <v>10167</v>
      </c>
      <c r="R5180" t="s">
        <v>371</v>
      </c>
      <c r="S5180" t="s">
        <v>372</v>
      </c>
      <c r="T5180" t="s">
        <v>10168</v>
      </c>
      <c r="U5180" t="s">
        <v>10169</v>
      </c>
      <c r="V5180" t="s">
        <v>10170</v>
      </c>
      <c r="W5180" t="s">
        <v>10171</v>
      </c>
      <c r="AD5180" t="s">
        <v>3253</v>
      </c>
      <c r="AE5180" t="s">
        <v>10172</v>
      </c>
      <c r="AF5180" t="e">
        <f>-------------MNSRPLP----------VEEGWATVLEPVADRIHSMGDFLREENASGRGYLPAGNDVLRAFTYPFDEVKVIIVGQDPYPTPGHAMGLSFSTAPGVRPLPRSLVNIFKEYSSDLGLPMPEDGDLTPWSEQGVALFNRVLSV--QPGKAGSHRGKGWEEVTEHALRALAERGKPLVAILWGRDAQNTQKFLG---DTACICSPHPSPLSAARGFFGSKPFSHANELLVQQGAEPVNWQL</f>
        <v>#NAME?</v>
      </c>
    </row>
    <row r="5181" spans="1:32" hidden="1" x14ac:dyDescent="0.35">
      <c r="A5181">
        <v>4853</v>
      </c>
      <c r="B5181" t="s">
        <v>10165</v>
      </c>
      <c r="C5181" t="s">
        <v>10127</v>
      </c>
      <c r="D5181" t="s">
        <v>62</v>
      </c>
      <c r="E5181">
        <v>1161</v>
      </c>
      <c r="F5181">
        <v>4</v>
      </c>
      <c r="G5181">
        <v>4</v>
      </c>
      <c r="H5181">
        <v>1</v>
      </c>
      <c r="I5181">
        <v>0</v>
      </c>
      <c r="J5181">
        <v>0.77132352941176496</v>
      </c>
      <c r="K5181">
        <v>0.91273895582329401</v>
      </c>
      <c r="L5181">
        <v>0.83609371862347104</v>
      </c>
      <c r="M5181">
        <v>0.52</v>
      </c>
      <c r="N5181">
        <v>1</v>
      </c>
      <c r="O5181">
        <v>0.67933333333333301</v>
      </c>
      <c r="P5181" t="s">
        <v>10166</v>
      </c>
      <c r="Q5181" t="s">
        <v>10167</v>
      </c>
      <c r="R5181" t="s">
        <v>371</v>
      </c>
      <c r="S5181" t="s">
        <v>372</v>
      </c>
      <c r="T5181" t="s">
        <v>10168</v>
      </c>
      <c r="U5181" t="s">
        <v>10169</v>
      </c>
      <c r="V5181" t="s">
        <v>10170</v>
      </c>
      <c r="W5181" t="s">
        <v>10171</v>
      </c>
      <c r="AD5181" t="s">
        <v>3253</v>
      </c>
      <c r="AE5181" t="s">
        <v>10172</v>
      </c>
      <c r="AF5181" t="e">
        <f>-------------MNSRPLP----------VEEGWATVLEPVADRIHSMGDFLREENASGRGYLPAGNDVLRAFTYPFDEVKVIIVGQDPYPTPGHAMGLSFSTAPGVRPLPRSLVNIFKEYSSDLGLPMPEDGDLTPWSEQGVALFNRVLSV--QPGKAGSHRGRGWEEVTEHALRGLAGRGKPLVAILWGRDAQNTQKFLG---DTACICSPHPSPLSAARGFFGSKPFSHANELLVQQGAEPVNWQL</f>
        <v>#NAME?</v>
      </c>
    </row>
    <row r="5182" spans="1:32" hidden="1" x14ac:dyDescent="0.35">
      <c r="A5182">
        <v>4854</v>
      </c>
      <c r="B5182" t="s">
        <v>10165</v>
      </c>
      <c r="C5182" t="s">
        <v>10127</v>
      </c>
      <c r="D5182" t="s">
        <v>34</v>
      </c>
      <c r="E5182">
        <v>23</v>
      </c>
      <c r="F5182">
        <v>4</v>
      </c>
      <c r="G5182">
        <v>4</v>
      </c>
      <c r="H5182">
        <v>1</v>
      </c>
      <c r="I5182">
        <v>0</v>
      </c>
      <c r="J5182">
        <v>0.77132352941176496</v>
      </c>
      <c r="K5182">
        <v>0.91273895582329401</v>
      </c>
      <c r="L5182">
        <v>0.83609371862347104</v>
      </c>
      <c r="M5182">
        <v>0.52</v>
      </c>
      <c r="N5182">
        <v>1</v>
      </c>
      <c r="O5182">
        <v>0.67933333333333301</v>
      </c>
      <c r="P5182" t="s">
        <v>10166</v>
      </c>
      <c r="Q5182" t="s">
        <v>10167</v>
      </c>
      <c r="R5182" t="s">
        <v>371</v>
      </c>
      <c r="S5182" t="s">
        <v>372</v>
      </c>
      <c r="T5182" t="s">
        <v>10168</v>
      </c>
      <c r="U5182" t="s">
        <v>10169</v>
      </c>
      <c r="V5182" t="s">
        <v>10170</v>
      </c>
      <c r="W5182" t="s">
        <v>10171</v>
      </c>
      <c r="AD5182" t="s">
        <v>3253</v>
      </c>
      <c r="AE5182" t="s">
        <v>10172</v>
      </c>
      <c r="AF5182" t="s">
        <v>10173</v>
      </c>
    </row>
    <row r="5183" spans="1:32" hidden="1" x14ac:dyDescent="0.35">
      <c r="A5183">
        <v>4855</v>
      </c>
      <c r="B5183" t="s">
        <v>10165</v>
      </c>
      <c r="C5183" t="s">
        <v>10127</v>
      </c>
      <c r="D5183" t="s">
        <v>45</v>
      </c>
      <c r="E5183">
        <v>1280</v>
      </c>
      <c r="F5183">
        <v>4</v>
      </c>
      <c r="G5183">
        <v>4</v>
      </c>
      <c r="H5183">
        <v>1</v>
      </c>
      <c r="I5183">
        <v>0</v>
      </c>
      <c r="J5183">
        <v>0.77132352941176496</v>
      </c>
      <c r="K5183">
        <v>0.91273895582329401</v>
      </c>
      <c r="L5183">
        <v>0.83609371862347104</v>
      </c>
      <c r="M5183">
        <v>0.52</v>
      </c>
      <c r="N5183">
        <v>1</v>
      </c>
      <c r="O5183">
        <v>0.67933333333333301</v>
      </c>
      <c r="P5183" t="s">
        <v>10166</v>
      </c>
      <c r="Q5183" t="s">
        <v>10167</v>
      </c>
      <c r="R5183" t="s">
        <v>371</v>
      </c>
      <c r="S5183" t="s">
        <v>372</v>
      </c>
      <c r="T5183" t="s">
        <v>10168</v>
      </c>
      <c r="U5183" t="s">
        <v>10169</v>
      </c>
      <c r="V5183" t="s">
        <v>10170</v>
      </c>
      <c r="W5183" t="s">
        <v>10171</v>
      </c>
      <c r="AD5183" t="s">
        <v>3253</v>
      </c>
      <c r="AE5183" t="s">
        <v>10172</v>
      </c>
      <c r="AF5183" t="s">
        <v>10173</v>
      </c>
    </row>
    <row r="5184" spans="1:32" hidden="1" x14ac:dyDescent="0.35">
      <c r="A5184">
        <v>4916</v>
      </c>
      <c r="B5184" t="s">
        <v>10311</v>
      </c>
      <c r="C5184" t="s">
        <v>10127</v>
      </c>
      <c r="D5184" t="s">
        <v>60</v>
      </c>
      <c r="E5184">
        <v>875</v>
      </c>
      <c r="F5184">
        <v>4</v>
      </c>
      <c r="G5184">
        <v>4</v>
      </c>
      <c r="H5184">
        <v>1</v>
      </c>
      <c r="I5184">
        <v>0</v>
      </c>
      <c r="J5184">
        <v>0.85358255451713405</v>
      </c>
      <c r="K5184">
        <v>0.71202833706189395</v>
      </c>
      <c r="L5184">
        <v>0.77640615571458504</v>
      </c>
      <c r="M5184">
        <v>0.36</v>
      </c>
      <c r="N5184">
        <v>1</v>
      </c>
      <c r="O5184">
        <v>0.57444444444444398</v>
      </c>
      <c r="P5184" t="s">
        <v>10312</v>
      </c>
      <c r="Q5184" t="s">
        <v>10313</v>
      </c>
      <c r="R5184" t="s">
        <v>371</v>
      </c>
      <c r="S5184" t="s">
        <v>372</v>
      </c>
      <c r="T5184" t="s">
        <v>10314</v>
      </c>
      <c r="U5184" t="s">
        <v>10315</v>
      </c>
      <c r="V5184" t="s">
        <v>10316</v>
      </c>
      <c r="W5184" t="s">
        <v>10317</v>
      </c>
      <c r="AD5184" t="s">
        <v>1437</v>
      </c>
      <c r="AE5184" t="s">
        <v>1438</v>
      </c>
      <c r="AF5184" t="s">
        <v>10318</v>
      </c>
    </row>
    <row r="5185" spans="1:32" hidden="1" x14ac:dyDescent="0.35">
      <c r="A5185">
        <v>4917</v>
      </c>
      <c r="B5185" t="s">
        <v>10311</v>
      </c>
      <c r="C5185" t="s">
        <v>10127</v>
      </c>
      <c r="D5185" t="s">
        <v>62</v>
      </c>
      <c r="E5185">
        <v>909</v>
      </c>
      <c r="F5185">
        <v>4</v>
      </c>
      <c r="G5185">
        <v>4</v>
      </c>
      <c r="H5185">
        <v>1</v>
      </c>
      <c r="I5185">
        <v>0</v>
      </c>
      <c r="J5185">
        <v>0.85358255451713405</v>
      </c>
      <c r="K5185">
        <v>0.71202833706189395</v>
      </c>
      <c r="L5185">
        <v>0.77640615571458504</v>
      </c>
      <c r="M5185">
        <v>0.36</v>
      </c>
      <c r="N5185">
        <v>1</v>
      </c>
      <c r="O5185">
        <v>0.57444444444444398</v>
      </c>
      <c r="P5185" t="s">
        <v>10312</v>
      </c>
      <c r="Q5185" t="s">
        <v>10313</v>
      </c>
      <c r="R5185" t="s">
        <v>371</v>
      </c>
      <c r="S5185" t="s">
        <v>372</v>
      </c>
      <c r="T5185" t="s">
        <v>10314</v>
      </c>
      <c r="U5185" t="s">
        <v>10315</v>
      </c>
      <c r="V5185" t="s">
        <v>10316</v>
      </c>
      <c r="W5185" t="s">
        <v>10317</v>
      </c>
      <c r="AD5185" t="s">
        <v>1437</v>
      </c>
      <c r="AE5185" t="s">
        <v>1438</v>
      </c>
      <c r="AF5185" t="s">
        <v>10318</v>
      </c>
    </row>
    <row r="5186" spans="1:32" hidden="1" x14ac:dyDescent="0.35">
      <c r="A5186">
        <v>4918</v>
      </c>
      <c r="B5186" t="s">
        <v>10311</v>
      </c>
      <c r="C5186" t="s">
        <v>10127</v>
      </c>
      <c r="D5186" t="s">
        <v>34</v>
      </c>
      <c r="E5186">
        <v>281</v>
      </c>
      <c r="F5186">
        <v>4</v>
      </c>
      <c r="G5186">
        <v>4</v>
      </c>
      <c r="H5186">
        <v>1</v>
      </c>
      <c r="I5186">
        <v>0</v>
      </c>
      <c r="J5186">
        <v>0.85358255451713405</v>
      </c>
      <c r="K5186">
        <v>0.71202833706189395</v>
      </c>
      <c r="L5186">
        <v>0.77640615571458504</v>
      </c>
      <c r="M5186">
        <v>0.36</v>
      </c>
      <c r="N5186">
        <v>1</v>
      </c>
      <c r="O5186">
        <v>0.57444444444444398</v>
      </c>
      <c r="P5186" t="s">
        <v>10312</v>
      </c>
      <c r="Q5186" t="s">
        <v>10313</v>
      </c>
      <c r="R5186" t="s">
        <v>371</v>
      </c>
      <c r="S5186" t="s">
        <v>372</v>
      </c>
      <c r="T5186" t="s">
        <v>10314</v>
      </c>
      <c r="U5186" t="s">
        <v>10315</v>
      </c>
      <c r="V5186" t="s">
        <v>10316</v>
      </c>
      <c r="W5186" t="s">
        <v>10317</v>
      </c>
      <c r="AD5186" t="s">
        <v>1437</v>
      </c>
      <c r="AE5186" t="s">
        <v>1438</v>
      </c>
      <c r="AF5186" t="s">
        <v>10319</v>
      </c>
    </row>
    <row r="5187" spans="1:32" hidden="1" x14ac:dyDescent="0.35">
      <c r="A5187">
        <v>4919</v>
      </c>
      <c r="B5187" t="s">
        <v>10311</v>
      </c>
      <c r="C5187" t="s">
        <v>10127</v>
      </c>
      <c r="D5187" t="s">
        <v>45</v>
      </c>
      <c r="E5187">
        <v>1543</v>
      </c>
      <c r="F5187">
        <v>4</v>
      </c>
      <c r="G5187">
        <v>4</v>
      </c>
      <c r="H5187">
        <v>1</v>
      </c>
      <c r="I5187">
        <v>0</v>
      </c>
      <c r="J5187">
        <v>0.85358255451713405</v>
      </c>
      <c r="K5187">
        <v>0.71202833706189395</v>
      </c>
      <c r="L5187">
        <v>0.77640615571458504</v>
      </c>
      <c r="M5187">
        <v>0.36</v>
      </c>
      <c r="N5187">
        <v>1</v>
      </c>
      <c r="O5187">
        <v>0.57444444444444398</v>
      </c>
      <c r="P5187" t="s">
        <v>10312</v>
      </c>
      <c r="Q5187" t="s">
        <v>10313</v>
      </c>
      <c r="R5187" t="s">
        <v>371</v>
      </c>
      <c r="S5187" t="s">
        <v>372</v>
      </c>
      <c r="T5187" t="s">
        <v>10314</v>
      </c>
      <c r="U5187" t="s">
        <v>10315</v>
      </c>
      <c r="V5187" t="s">
        <v>10316</v>
      </c>
      <c r="W5187" t="s">
        <v>10317</v>
      </c>
      <c r="AD5187" t="s">
        <v>1437</v>
      </c>
      <c r="AE5187" t="s">
        <v>1438</v>
      </c>
      <c r="AF5187" t="s">
        <v>10320</v>
      </c>
    </row>
    <row r="5188" spans="1:32" hidden="1" x14ac:dyDescent="0.35">
      <c r="A5188">
        <v>5228</v>
      </c>
      <c r="B5188" t="s">
        <v>10865</v>
      </c>
      <c r="C5188" t="s">
        <v>10127</v>
      </c>
      <c r="D5188" t="s">
        <v>60</v>
      </c>
      <c r="E5188">
        <v>1558</v>
      </c>
      <c r="F5188">
        <v>4</v>
      </c>
      <c r="G5188">
        <v>4</v>
      </c>
      <c r="H5188">
        <v>1</v>
      </c>
      <c r="I5188">
        <v>0</v>
      </c>
      <c r="J5188">
        <v>0.77802579365079405</v>
      </c>
      <c r="K5188">
        <v>0.89114873486664203</v>
      </c>
      <c r="L5188">
        <v>0.83075399229982605</v>
      </c>
      <c r="M5188">
        <v>0.48031496062992102</v>
      </c>
      <c r="N5188">
        <v>1</v>
      </c>
      <c r="O5188">
        <v>0.65288713910761198</v>
      </c>
      <c r="P5188" t="s">
        <v>10866</v>
      </c>
      <c r="Q5188" t="s">
        <v>10867</v>
      </c>
      <c r="R5188" t="s">
        <v>371</v>
      </c>
      <c r="S5188" t="s">
        <v>372</v>
      </c>
      <c r="T5188" t="s">
        <v>10868</v>
      </c>
      <c r="U5188" t="s">
        <v>407</v>
      </c>
      <c r="V5188" t="s">
        <v>10869</v>
      </c>
      <c r="W5188" t="s">
        <v>10870</v>
      </c>
      <c r="AD5188" t="s">
        <v>410</v>
      </c>
      <c r="AE5188" t="s">
        <v>411</v>
      </c>
      <c r="AF5188" t="s">
        <v>10871</v>
      </c>
    </row>
    <row r="5189" spans="1:32" hidden="1" x14ac:dyDescent="0.35">
      <c r="A5189">
        <v>5188</v>
      </c>
      <c r="B5189" t="s">
        <v>10796</v>
      </c>
      <c r="C5189" t="s">
        <v>10127</v>
      </c>
      <c r="D5189" t="s">
        <v>60</v>
      </c>
      <c r="E5189">
        <v>1444</v>
      </c>
      <c r="F5189">
        <v>4</v>
      </c>
      <c r="G5189">
        <v>4</v>
      </c>
      <c r="H5189">
        <v>1</v>
      </c>
      <c r="I5189">
        <v>0</v>
      </c>
      <c r="J5189">
        <v>0.78239727692681704</v>
      </c>
      <c r="K5189">
        <v>0.90066636029411795</v>
      </c>
      <c r="L5189">
        <v>0.83737642728383999</v>
      </c>
      <c r="M5189">
        <v>0.47265625</v>
      </c>
      <c r="N5189">
        <v>1</v>
      </c>
      <c r="O5189">
        <v>0.64778645833333304</v>
      </c>
      <c r="P5189" t="s">
        <v>10797</v>
      </c>
      <c r="Q5189" t="s">
        <v>10798</v>
      </c>
      <c r="AF5189" t="s">
        <v>10799</v>
      </c>
    </row>
    <row r="5190" spans="1:32" hidden="1" x14ac:dyDescent="0.35">
      <c r="A5190">
        <v>5189</v>
      </c>
      <c r="B5190" t="s">
        <v>10796</v>
      </c>
      <c r="C5190" t="s">
        <v>10127</v>
      </c>
      <c r="D5190" t="s">
        <v>62</v>
      </c>
      <c r="E5190">
        <v>1479</v>
      </c>
      <c r="F5190">
        <v>4</v>
      </c>
      <c r="G5190">
        <v>4</v>
      </c>
      <c r="H5190">
        <v>1</v>
      </c>
      <c r="I5190">
        <v>0</v>
      </c>
      <c r="J5190">
        <v>0.78239727692681704</v>
      </c>
      <c r="K5190">
        <v>0.90066636029411795</v>
      </c>
      <c r="L5190">
        <v>0.83737642728383999</v>
      </c>
      <c r="M5190">
        <v>0.47265625</v>
      </c>
      <c r="N5190">
        <v>1</v>
      </c>
      <c r="O5190">
        <v>0.64778645833333304</v>
      </c>
      <c r="P5190" t="s">
        <v>10797</v>
      </c>
      <c r="Q5190" t="s">
        <v>10798</v>
      </c>
      <c r="AF5190" t="s">
        <v>10799</v>
      </c>
    </row>
    <row r="5191" spans="1:32" hidden="1" x14ac:dyDescent="0.35">
      <c r="A5191">
        <v>5190</v>
      </c>
      <c r="B5191" t="s">
        <v>10796</v>
      </c>
      <c r="C5191" t="s">
        <v>10127</v>
      </c>
      <c r="D5191" t="s">
        <v>34</v>
      </c>
      <c r="E5191">
        <v>1874</v>
      </c>
      <c r="F5191">
        <v>4</v>
      </c>
      <c r="G5191">
        <v>4</v>
      </c>
      <c r="H5191">
        <v>1</v>
      </c>
      <c r="I5191">
        <v>0</v>
      </c>
      <c r="J5191">
        <v>0.78239727692681704</v>
      </c>
      <c r="K5191">
        <v>0.90066636029411795</v>
      </c>
      <c r="L5191">
        <v>0.83737642728383999</v>
      </c>
      <c r="M5191">
        <v>0.47265625</v>
      </c>
      <c r="N5191">
        <v>1</v>
      </c>
      <c r="O5191">
        <v>0.64778645833333304</v>
      </c>
      <c r="P5191" t="s">
        <v>10797</v>
      </c>
      <c r="Q5191" t="s">
        <v>10798</v>
      </c>
      <c r="AF5191" t="s">
        <v>10800</v>
      </c>
    </row>
    <row r="5192" spans="1:32" hidden="1" x14ac:dyDescent="0.35">
      <c r="A5192">
        <v>5191</v>
      </c>
      <c r="B5192" t="s">
        <v>10796</v>
      </c>
      <c r="C5192" t="s">
        <v>10127</v>
      </c>
      <c r="D5192" t="s">
        <v>45</v>
      </c>
      <c r="E5192">
        <v>999</v>
      </c>
      <c r="F5192">
        <v>4</v>
      </c>
      <c r="G5192">
        <v>4</v>
      </c>
      <c r="H5192">
        <v>1</v>
      </c>
      <c r="I5192">
        <v>0</v>
      </c>
      <c r="J5192">
        <v>0.78239727692681704</v>
      </c>
      <c r="K5192">
        <v>0.90066636029411795</v>
      </c>
      <c r="L5192">
        <v>0.83737642728383999</v>
      </c>
      <c r="M5192">
        <v>0.47265625</v>
      </c>
      <c r="N5192">
        <v>1</v>
      </c>
      <c r="O5192">
        <v>0.64778645833333304</v>
      </c>
      <c r="P5192" t="s">
        <v>10797</v>
      </c>
      <c r="Q5192" t="s">
        <v>10798</v>
      </c>
      <c r="AF5192" t="s">
        <v>10801</v>
      </c>
    </row>
    <row r="5193" spans="1:32" hidden="1" x14ac:dyDescent="0.35">
      <c r="A5193">
        <v>5229</v>
      </c>
      <c r="B5193" t="s">
        <v>10865</v>
      </c>
      <c r="C5193" t="s">
        <v>10127</v>
      </c>
      <c r="D5193" t="s">
        <v>62</v>
      </c>
      <c r="E5193">
        <v>1594</v>
      </c>
      <c r="F5193">
        <v>4</v>
      </c>
      <c r="G5193">
        <v>4</v>
      </c>
      <c r="H5193">
        <v>1</v>
      </c>
      <c r="I5193">
        <v>0</v>
      </c>
      <c r="J5193">
        <v>0.77802579365079405</v>
      </c>
      <c r="K5193">
        <v>0.89114873486664203</v>
      </c>
      <c r="L5193">
        <v>0.83075399229982605</v>
      </c>
      <c r="M5193">
        <v>0.48031496062992102</v>
      </c>
      <c r="N5193">
        <v>1</v>
      </c>
      <c r="O5193">
        <v>0.65288713910761198</v>
      </c>
      <c r="P5193" t="s">
        <v>10866</v>
      </c>
      <c r="Q5193" t="s">
        <v>10867</v>
      </c>
      <c r="R5193" t="s">
        <v>371</v>
      </c>
      <c r="S5193" t="s">
        <v>372</v>
      </c>
      <c r="T5193" t="s">
        <v>10868</v>
      </c>
      <c r="U5193" t="s">
        <v>407</v>
      </c>
      <c r="V5193" t="s">
        <v>10869</v>
      </c>
      <c r="W5193" t="s">
        <v>10870</v>
      </c>
      <c r="AD5193" t="s">
        <v>410</v>
      </c>
      <c r="AE5193" t="s">
        <v>411</v>
      </c>
      <c r="AF5193" t="s">
        <v>10871</v>
      </c>
    </row>
    <row r="5194" spans="1:32" hidden="1" x14ac:dyDescent="0.35">
      <c r="A5194">
        <v>5230</v>
      </c>
      <c r="B5194" t="s">
        <v>10865</v>
      </c>
      <c r="C5194" t="s">
        <v>10127</v>
      </c>
      <c r="D5194" t="s">
        <v>34</v>
      </c>
      <c r="E5194">
        <v>1968</v>
      </c>
      <c r="F5194">
        <v>4</v>
      </c>
      <c r="G5194">
        <v>4</v>
      </c>
      <c r="H5194">
        <v>1</v>
      </c>
      <c r="I5194">
        <v>0</v>
      </c>
      <c r="J5194">
        <v>0.77802579365079405</v>
      </c>
      <c r="K5194">
        <v>0.89114873486664203</v>
      </c>
      <c r="L5194">
        <v>0.83075399229982605</v>
      </c>
      <c r="M5194">
        <v>0.48031496062992102</v>
      </c>
      <c r="N5194">
        <v>1</v>
      </c>
      <c r="O5194">
        <v>0.65288713910761198</v>
      </c>
      <c r="P5194" t="s">
        <v>10866</v>
      </c>
      <c r="Q5194" t="s">
        <v>10867</v>
      </c>
      <c r="R5194" t="s">
        <v>371</v>
      </c>
      <c r="S5194" t="s">
        <v>372</v>
      </c>
      <c r="T5194" t="s">
        <v>10868</v>
      </c>
      <c r="U5194" t="s">
        <v>407</v>
      </c>
      <c r="V5194" t="s">
        <v>10869</v>
      </c>
      <c r="W5194" t="s">
        <v>10870</v>
      </c>
      <c r="AD5194" t="s">
        <v>410</v>
      </c>
      <c r="AE5194" t="s">
        <v>411</v>
      </c>
      <c r="AF5194" t="s">
        <v>10872</v>
      </c>
    </row>
    <row r="5195" spans="1:32" hidden="1" x14ac:dyDescent="0.35">
      <c r="A5195">
        <v>5231</v>
      </c>
      <c r="B5195" t="s">
        <v>10865</v>
      </c>
      <c r="C5195" t="s">
        <v>10127</v>
      </c>
      <c r="D5195" t="s">
        <v>45</v>
      </c>
      <c r="E5195">
        <v>905</v>
      </c>
      <c r="F5195">
        <v>4</v>
      </c>
      <c r="G5195">
        <v>4</v>
      </c>
      <c r="H5195">
        <v>1</v>
      </c>
      <c r="I5195">
        <v>0</v>
      </c>
      <c r="J5195">
        <v>0.77802579365079405</v>
      </c>
      <c r="K5195">
        <v>0.89114873486664203</v>
      </c>
      <c r="L5195">
        <v>0.83075399229982605</v>
      </c>
      <c r="M5195">
        <v>0.48031496062992102</v>
      </c>
      <c r="N5195">
        <v>1</v>
      </c>
      <c r="O5195">
        <v>0.65288713910761198</v>
      </c>
      <c r="P5195" t="s">
        <v>10866</v>
      </c>
      <c r="Q5195" t="s">
        <v>10867</v>
      </c>
      <c r="R5195" t="s">
        <v>371</v>
      </c>
      <c r="S5195" t="s">
        <v>372</v>
      </c>
      <c r="T5195" t="s">
        <v>10868</v>
      </c>
      <c r="U5195" t="s">
        <v>407</v>
      </c>
      <c r="V5195" t="s">
        <v>10869</v>
      </c>
      <c r="W5195" t="s">
        <v>10870</v>
      </c>
      <c r="AD5195" t="s">
        <v>410</v>
      </c>
      <c r="AE5195" t="s">
        <v>411</v>
      </c>
      <c r="AF5195" t="s">
        <v>10873</v>
      </c>
    </row>
    <row r="5196" spans="1:32" hidden="1" x14ac:dyDescent="0.35">
      <c r="A5196">
        <v>11080</v>
      </c>
      <c r="B5196" t="s">
        <v>22425</v>
      </c>
      <c r="C5196" t="s">
        <v>33</v>
      </c>
      <c r="D5196" t="s">
        <v>58</v>
      </c>
      <c r="E5196">
        <v>1057</v>
      </c>
      <c r="F5196">
        <v>1</v>
      </c>
      <c r="G5196">
        <v>1</v>
      </c>
      <c r="H5196">
        <v>1</v>
      </c>
      <c r="I5196">
        <v>0</v>
      </c>
      <c r="J5196">
        <v>1</v>
      </c>
      <c r="K5196">
        <v>1</v>
      </c>
      <c r="L5196">
        <v>1</v>
      </c>
      <c r="M5196">
        <v>0</v>
      </c>
      <c r="N5196">
        <v>0</v>
      </c>
      <c r="O5196">
        <v>0</v>
      </c>
      <c r="P5196" t="s">
        <v>14209</v>
      </c>
      <c r="Q5196" t="s">
        <v>14210</v>
      </c>
      <c r="R5196" t="s">
        <v>75</v>
      </c>
      <c r="S5196" t="s">
        <v>76</v>
      </c>
      <c r="T5196" t="s">
        <v>14211</v>
      </c>
      <c r="U5196" t="s">
        <v>14212</v>
      </c>
      <c r="V5196" t="s">
        <v>14213</v>
      </c>
      <c r="W5196" t="s">
        <v>14214</v>
      </c>
      <c r="X5196" t="s">
        <v>14213</v>
      </c>
      <c r="Y5196" t="s">
        <v>14215</v>
      </c>
      <c r="AD5196" t="s">
        <v>219</v>
      </c>
      <c r="AE5196" t="s">
        <v>14216</v>
      </c>
      <c r="AF5196" t="s">
        <v>22426</v>
      </c>
    </row>
    <row r="5197" spans="1:32" hidden="1" x14ac:dyDescent="0.35">
      <c r="A5197">
        <v>5196</v>
      </c>
      <c r="B5197" t="s">
        <v>10809</v>
      </c>
      <c r="C5197" t="s">
        <v>10127</v>
      </c>
      <c r="D5197" t="s">
        <v>60</v>
      </c>
      <c r="E5197">
        <v>1400</v>
      </c>
      <c r="F5197">
        <v>4</v>
      </c>
      <c r="G5197">
        <v>4</v>
      </c>
      <c r="H5197">
        <v>1</v>
      </c>
      <c r="I5197">
        <v>0</v>
      </c>
      <c r="J5197">
        <v>0.80678182981445901</v>
      </c>
      <c r="K5197">
        <v>0.98126391028933502</v>
      </c>
      <c r="L5197">
        <v>0.88550966602025005</v>
      </c>
      <c r="M5197">
        <v>0.644067796610169</v>
      </c>
      <c r="N5197">
        <v>1</v>
      </c>
      <c r="O5197">
        <v>0.76271186440677996</v>
      </c>
      <c r="P5197" t="s">
        <v>10810</v>
      </c>
      <c r="Q5197" t="s">
        <v>10811</v>
      </c>
      <c r="R5197" t="s">
        <v>10812</v>
      </c>
      <c r="S5197" t="s">
        <v>10813</v>
      </c>
      <c r="T5197" t="s">
        <v>10814</v>
      </c>
      <c r="U5197" t="s">
        <v>10815</v>
      </c>
      <c r="V5197" t="s">
        <v>10816</v>
      </c>
      <c r="W5197" t="s">
        <v>10817</v>
      </c>
      <c r="AD5197" t="s">
        <v>210</v>
      </c>
      <c r="AE5197" t="s">
        <v>10818</v>
      </c>
      <c r="AF5197" t="s">
        <v>10819</v>
      </c>
    </row>
    <row r="5198" spans="1:32" hidden="1" x14ac:dyDescent="0.35">
      <c r="A5198">
        <v>5197</v>
      </c>
      <c r="B5198" t="s">
        <v>10809</v>
      </c>
      <c r="C5198" t="s">
        <v>10127</v>
      </c>
      <c r="D5198" t="s">
        <v>62</v>
      </c>
      <c r="E5198">
        <v>1435</v>
      </c>
      <c r="F5198">
        <v>4</v>
      </c>
      <c r="G5198">
        <v>4</v>
      </c>
      <c r="H5198">
        <v>1</v>
      </c>
      <c r="I5198">
        <v>0</v>
      </c>
      <c r="J5198">
        <v>0.80678182981445901</v>
      </c>
      <c r="K5198">
        <v>0.98126391028933502</v>
      </c>
      <c r="L5198">
        <v>0.88550966602025005</v>
      </c>
      <c r="M5198">
        <v>0.644067796610169</v>
      </c>
      <c r="N5198">
        <v>1</v>
      </c>
      <c r="O5198">
        <v>0.76271186440677996</v>
      </c>
      <c r="P5198" t="s">
        <v>10810</v>
      </c>
      <c r="Q5198" t="s">
        <v>10811</v>
      </c>
      <c r="R5198" t="s">
        <v>10812</v>
      </c>
      <c r="S5198" t="s">
        <v>10813</v>
      </c>
      <c r="T5198" t="s">
        <v>10814</v>
      </c>
      <c r="U5198" t="s">
        <v>10815</v>
      </c>
      <c r="V5198" t="s">
        <v>10816</v>
      </c>
      <c r="W5198" t="s">
        <v>10817</v>
      </c>
      <c r="AD5198" t="s">
        <v>210</v>
      </c>
      <c r="AE5198" t="s">
        <v>10818</v>
      </c>
      <c r="AF5198" t="s">
        <v>10819</v>
      </c>
    </row>
    <row r="5199" spans="1:32" hidden="1" x14ac:dyDescent="0.35">
      <c r="A5199">
        <v>5198</v>
      </c>
      <c r="B5199" t="s">
        <v>10809</v>
      </c>
      <c r="C5199" t="s">
        <v>10127</v>
      </c>
      <c r="D5199" t="s">
        <v>34</v>
      </c>
      <c r="E5199">
        <v>1823</v>
      </c>
      <c r="F5199">
        <v>4</v>
      </c>
      <c r="G5199">
        <v>4</v>
      </c>
      <c r="H5199">
        <v>1</v>
      </c>
      <c r="I5199">
        <v>0</v>
      </c>
      <c r="J5199">
        <v>0.80678182981445901</v>
      </c>
      <c r="K5199">
        <v>0.98126391028933502</v>
      </c>
      <c r="L5199">
        <v>0.88550966602025005</v>
      </c>
      <c r="M5199">
        <v>0.644067796610169</v>
      </c>
      <c r="N5199">
        <v>1</v>
      </c>
      <c r="O5199">
        <v>0.76271186440677996</v>
      </c>
      <c r="P5199" t="s">
        <v>10810</v>
      </c>
      <c r="Q5199" t="s">
        <v>10811</v>
      </c>
      <c r="R5199" t="s">
        <v>10812</v>
      </c>
      <c r="S5199" t="s">
        <v>10813</v>
      </c>
      <c r="T5199" t="s">
        <v>10814</v>
      </c>
      <c r="U5199" t="s">
        <v>10815</v>
      </c>
      <c r="V5199" t="s">
        <v>10816</v>
      </c>
      <c r="W5199" t="s">
        <v>10817</v>
      </c>
      <c r="AD5199" t="s">
        <v>210</v>
      </c>
      <c r="AE5199" t="s">
        <v>10818</v>
      </c>
      <c r="AF5199" t="s">
        <v>10820</v>
      </c>
    </row>
    <row r="5200" spans="1:32" hidden="1" x14ac:dyDescent="0.35">
      <c r="A5200">
        <v>5199</v>
      </c>
      <c r="B5200" t="s">
        <v>10809</v>
      </c>
      <c r="C5200" t="s">
        <v>10127</v>
      </c>
      <c r="D5200" t="s">
        <v>45</v>
      </c>
      <c r="E5200">
        <v>1050</v>
      </c>
      <c r="F5200">
        <v>4</v>
      </c>
      <c r="G5200">
        <v>4</v>
      </c>
      <c r="H5200">
        <v>1</v>
      </c>
      <c r="I5200">
        <v>0</v>
      </c>
      <c r="J5200">
        <v>0.80678182981445901</v>
      </c>
      <c r="K5200">
        <v>0.98126391028933502</v>
      </c>
      <c r="L5200">
        <v>0.88550966602025005</v>
      </c>
      <c r="M5200">
        <v>0.644067796610169</v>
      </c>
      <c r="N5200">
        <v>1</v>
      </c>
      <c r="O5200">
        <v>0.76271186440677996</v>
      </c>
      <c r="P5200" t="s">
        <v>10810</v>
      </c>
      <c r="Q5200" t="s">
        <v>10811</v>
      </c>
      <c r="R5200" t="s">
        <v>10812</v>
      </c>
      <c r="S5200" t="s">
        <v>10813</v>
      </c>
      <c r="T5200" t="s">
        <v>10814</v>
      </c>
      <c r="U5200" t="s">
        <v>10815</v>
      </c>
      <c r="V5200" t="s">
        <v>10816</v>
      </c>
      <c r="W5200" t="s">
        <v>10817</v>
      </c>
      <c r="AD5200" t="s">
        <v>210</v>
      </c>
      <c r="AE5200" t="s">
        <v>10818</v>
      </c>
      <c r="AF5200" t="s">
        <v>10820</v>
      </c>
    </row>
    <row r="5201" spans="1:32" hidden="1" x14ac:dyDescent="0.35">
      <c r="A5201">
        <v>4735</v>
      </c>
      <c r="B5201" t="s">
        <v>9909</v>
      </c>
      <c r="C5201" t="s">
        <v>10127</v>
      </c>
      <c r="D5201" t="s">
        <v>60</v>
      </c>
      <c r="E5201">
        <v>1661</v>
      </c>
      <c r="F5201">
        <v>5</v>
      </c>
      <c r="G5201">
        <v>5</v>
      </c>
      <c r="H5201">
        <v>1</v>
      </c>
      <c r="I5201">
        <v>1</v>
      </c>
      <c r="J5201">
        <v>0.73404129793510298</v>
      </c>
      <c r="K5201">
        <v>0.99124289597232595</v>
      </c>
      <c r="L5201">
        <v>0.84347057081717702</v>
      </c>
      <c r="M5201">
        <v>0.55438596491228098</v>
      </c>
      <c r="N5201">
        <v>0.98245614035087703</v>
      </c>
      <c r="O5201">
        <v>0.66596491228070198</v>
      </c>
      <c r="P5201" t="s">
        <v>9910</v>
      </c>
      <c r="Q5201" t="s">
        <v>9911</v>
      </c>
      <c r="R5201" t="s">
        <v>516</v>
      </c>
      <c r="S5201" t="s">
        <v>517</v>
      </c>
      <c r="T5201" t="s">
        <v>9912</v>
      </c>
      <c r="U5201" t="s">
        <v>9913</v>
      </c>
      <c r="V5201" t="s">
        <v>9914</v>
      </c>
      <c r="W5201" t="s">
        <v>9915</v>
      </c>
      <c r="AD5201" t="s">
        <v>219</v>
      </c>
      <c r="AE5201" t="s">
        <v>9916</v>
      </c>
      <c r="AF5201" t="s">
        <v>9918</v>
      </c>
    </row>
    <row r="5202" spans="1:32" hidden="1" x14ac:dyDescent="0.35">
      <c r="A5202">
        <v>4736</v>
      </c>
      <c r="B5202" t="s">
        <v>9909</v>
      </c>
      <c r="C5202" t="s">
        <v>10127</v>
      </c>
      <c r="D5202" t="s">
        <v>62</v>
      </c>
      <c r="E5202">
        <v>1696</v>
      </c>
      <c r="F5202">
        <v>5</v>
      </c>
      <c r="G5202">
        <v>5</v>
      </c>
      <c r="H5202">
        <v>1</v>
      </c>
      <c r="I5202">
        <v>1</v>
      </c>
      <c r="J5202">
        <v>0.73404129793510298</v>
      </c>
      <c r="K5202">
        <v>0.99124289597232595</v>
      </c>
      <c r="L5202">
        <v>0.84347057081717702</v>
      </c>
      <c r="M5202">
        <v>0.55438596491228098</v>
      </c>
      <c r="N5202">
        <v>0.98245614035087703</v>
      </c>
      <c r="O5202">
        <v>0.66596491228070198</v>
      </c>
      <c r="P5202" t="s">
        <v>9910</v>
      </c>
      <c r="Q5202" t="s">
        <v>9911</v>
      </c>
      <c r="R5202" t="s">
        <v>516</v>
      </c>
      <c r="S5202" t="s">
        <v>517</v>
      </c>
      <c r="T5202" t="s">
        <v>9912</v>
      </c>
      <c r="U5202" t="s">
        <v>9913</v>
      </c>
      <c r="V5202" t="s">
        <v>9914</v>
      </c>
      <c r="W5202" t="s">
        <v>9915</v>
      </c>
      <c r="AD5202" t="s">
        <v>219</v>
      </c>
      <c r="AE5202" t="s">
        <v>9916</v>
      </c>
      <c r="AF5202" t="s">
        <v>9919</v>
      </c>
    </row>
    <row r="5203" spans="1:32" hidden="1" x14ac:dyDescent="0.35">
      <c r="A5203">
        <v>4737</v>
      </c>
      <c r="B5203" t="s">
        <v>9909</v>
      </c>
      <c r="C5203" t="s">
        <v>10127</v>
      </c>
      <c r="D5203" t="s">
        <v>34</v>
      </c>
      <c r="E5203">
        <v>108</v>
      </c>
      <c r="F5203">
        <v>5</v>
      </c>
      <c r="G5203">
        <v>5</v>
      </c>
      <c r="H5203">
        <v>1</v>
      </c>
      <c r="I5203">
        <v>1</v>
      </c>
      <c r="J5203">
        <v>0.73404129793510298</v>
      </c>
      <c r="K5203">
        <v>0.99124289597232595</v>
      </c>
      <c r="L5203">
        <v>0.84347057081717702</v>
      </c>
      <c r="M5203">
        <v>0.55438596491228098</v>
      </c>
      <c r="N5203">
        <v>0.98245614035087703</v>
      </c>
      <c r="O5203">
        <v>0.66596491228070198</v>
      </c>
      <c r="P5203" t="s">
        <v>9910</v>
      </c>
      <c r="Q5203" t="s">
        <v>9911</v>
      </c>
      <c r="R5203" t="s">
        <v>516</v>
      </c>
      <c r="S5203" t="s">
        <v>517</v>
      </c>
      <c r="T5203" t="s">
        <v>9912</v>
      </c>
      <c r="U5203" t="s">
        <v>9913</v>
      </c>
      <c r="V5203" t="s">
        <v>9914</v>
      </c>
      <c r="W5203" t="s">
        <v>9915</v>
      </c>
      <c r="AD5203" t="s">
        <v>219</v>
      </c>
      <c r="AE5203" t="s">
        <v>9916</v>
      </c>
      <c r="AF5203" t="s">
        <v>9920</v>
      </c>
    </row>
    <row r="5204" spans="1:32" hidden="1" x14ac:dyDescent="0.35">
      <c r="A5204">
        <v>4738</v>
      </c>
      <c r="B5204" t="s">
        <v>9909</v>
      </c>
      <c r="C5204" t="s">
        <v>10127</v>
      </c>
      <c r="D5204" t="s">
        <v>45</v>
      </c>
      <c r="E5204">
        <v>1370</v>
      </c>
      <c r="F5204">
        <v>5</v>
      </c>
      <c r="G5204">
        <v>5</v>
      </c>
      <c r="H5204">
        <v>1</v>
      </c>
      <c r="I5204">
        <v>1</v>
      </c>
      <c r="J5204">
        <v>0.73404129793510298</v>
      </c>
      <c r="K5204">
        <v>0.99124289597232595</v>
      </c>
      <c r="L5204">
        <v>0.84347057081717702</v>
      </c>
      <c r="M5204">
        <v>0.55438596491228098</v>
      </c>
      <c r="N5204">
        <v>0.98245614035087703</v>
      </c>
      <c r="O5204">
        <v>0.66596491228070198</v>
      </c>
      <c r="P5204" t="s">
        <v>9910</v>
      </c>
      <c r="Q5204" t="s">
        <v>9911</v>
      </c>
      <c r="R5204" t="s">
        <v>516</v>
      </c>
      <c r="S5204" t="s">
        <v>517</v>
      </c>
      <c r="T5204" t="s">
        <v>9912</v>
      </c>
      <c r="U5204" t="s">
        <v>9913</v>
      </c>
      <c r="V5204" t="s">
        <v>9914</v>
      </c>
      <c r="W5204" t="s">
        <v>9915</v>
      </c>
      <c r="AD5204" t="s">
        <v>219</v>
      </c>
      <c r="AE5204" t="s">
        <v>9916</v>
      </c>
      <c r="AF5204" t="s">
        <v>9921</v>
      </c>
    </row>
    <row r="5205" spans="1:32" hidden="1" x14ac:dyDescent="0.35">
      <c r="A5205">
        <v>11813</v>
      </c>
      <c r="B5205" t="s">
        <v>24280</v>
      </c>
      <c r="C5205" t="s">
        <v>33</v>
      </c>
      <c r="D5205" t="s">
        <v>58</v>
      </c>
      <c r="E5205">
        <v>410</v>
      </c>
      <c r="F5205">
        <v>1</v>
      </c>
      <c r="G5205">
        <v>1</v>
      </c>
      <c r="H5205">
        <v>1</v>
      </c>
      <c r="I5205">
        <v>0</v>
      </c>
      <c r="J5205">
        <v>1</v>
      </c>
      <c r="K5205">
        <v>1</v>
      </c>
      <c r="L5205">
        <v>1</v>
      </c>
      <c r="M5205">
        <v>0</v>
      </c>
      <c r="N5205">
        <v>0</v>
      </c>
      <c r="O5205">
        <v>0</v>
      </c>
      <c r="P5205" t="s">
        <v>24281</v>
      </c>
      <c r="Q5205" t="s">
        <v>24282</v>
      </c>
      <c r="R5205" t="s">
        <v>869</v>
      </c>
      <c r="S5205" t="s">
        <v>870</v>
      </c>
      <c r="V5205" t="s">
        <v>24283</v>
      </c>
      <c r="W5205" t="s">
        <v>24284</v>
      </c>
      <c r="AF5205" t="s">
        <v>24285</v>
      </c>
    </row>
    <row r="5206" spans="1:32" hidden="1" x14ac:dyDescent="0.35">
      <c r="A5206">
        <v>4765</v>
      </c>
      <c r="B5206" t="s">
        <v>9985</v>
      </c>
      <c r="C5206" t="s">
        <v>10127</v>
      </c>
      <c r="D5206" t="s">
        <v>60</v>
      </c>
      <c r="E5206">
        <v>2009</v>
      </c>
      <c r="F5206">
        <v>5</v>
      </c>
      <c r="G5206">
        <v>5</v>
      </c>
      <c r="H5206">
        <v>1</v>
      </c>
      <c r="I5206">
        <v>1</v>
      </c>
      <c r="J5206">
        <v>0.82358426585283195</v>
      </c>
      <c r="K5206">
        <v>0.995450748570331</v>
      </c>
      <c r="L5206">
        <v>0.90139834302631905</v>
      </c>
      <c r="M5206">
        <v>0.68607594936708904</v>
      </c>
      <c r="N5206">
        <v>0.99746835443037996</v>
      </c>
      <c r="O5206">
        <v>0.78101265822784804</v>
      </c>
      <c r="P5206" t="s">
        <v>9986</v>
      </c>
      <c r="Q5206" t="s">
        <v>8485</v>
      </c>
      <c r="R5206" t="s">
        <v>516</v>
      </c>
      <c r="S5206" t="s">
        <v>517</v>
      </c>
      <c r="T5206" t="s">
        <v>9987</v>
      </c>
      <c r="U5206" t="s">
        <v>9988</v>
      </c>
      <c r="V5206" t="s">
        <v>9989</v>
      </c>
      <c r="W5206" t="s">
        <v>9990</v>
      </c>
      <c r="Z5206" t="s">
        <v>5431</v>
      </c>
      <c r="AA5206" t="s">
        <v>5432</v>
      </c>
      <c r="AB5206" t="s">
        <v>5431</v>
      </c>
      <c r="AC5206" t="s">
        <v>860</v>
      </c>
      <c r="AD5206" t="s">
        <v>219</v>
      </c>
      <c r="AE5206" t="s">
        <v>9991</v>
      </c>
      <c r="AF5206" t="s">
        <v>9993</v>
      </c>
    </row>
    <row r="5207" spans="1:32" hidden="1" x14ac:dyDescent="0.35">
      <c r="A5207">
        <v>4766</v>
      </c>
      <c r="B5207" t="s">
        <v>9985</v>
      </c>
      <c r="C5207" t="s">
        <v>10127</v>
      </c>
      <c r="D5207" t="s">
        <v>62</v>
      </c>
      <c r="E5207">
        <v>2049</v>
      </c>
      <c r="F5207">
        <v>5</v>
      </c>
      <c r="G5207">
        <v>5</v>
      </c>
      <c r="H5207">
        <v>1</v>
      </c>
      <c r="I5207">
        <v>1</v>
      </c>
      <c r="J5207">
        <v>0.82358426585283195</v>
      </c>
      <c r="K5207">
        <v>0.995450748570331</v>
      </c>
      <c r="L5207">
        <v>0.90139834302631905</v>
      </c>
      <c r="M5207">
        <v>0.68607594936708904</v>
      </c>
      <c r="N5207">
        <v>0.99746835443037996</v>
      </c>
      <c r="O5207">
        <v>0.78101265822784804</v>
      </c>
      <c r="P5207" t="s">
        <v>9986</v>
      </c>
      <c r="Q5207" t="s">
        <v>8485</v>
      </c>
      <c r="R5207" t="s">
        <v>516</v>
      </c>
      <c r="S5207" t="s">
        <v>517</v>
      </c>
      <c r="T5207" t="s">
        <v>9987</v>
      </c>
      <c r="U5207" t="s">
        <v>9988</v>
      </c>
      <c r="V5207" t="s">
        <v>9989</v>
      </c>
      <c r="W5207" t="s">
        <v>9990</v>
      </c>
      <c r="Z5207" t="s">
        <v>5431</v>
      </c>
      <c r="AA5207" t="s">
        <v>5432</v>
      </c>
      <c r="AB5207" t="s">
        <v>5431</v>
      </c>
      <c r="AC5207" t="s">
        <v>860</v>
      </c>
      <c r="AD5207" t="s">
        <v>219</v>
      </c>
      <c r="AE5207" t="s">
        <v>9991</v>
      </c>
      <c r="AF5207" t="s">
        <v>9994</v>
      </c>
    </row>
    <row r="5208" spans="1:32" hidden="1" x14ac:dyDescent="0.35">
      <c r="A5208">
        <v>4767</v>
      </c>
      <c r="B5208" t="s">
        <v>9985</v>
      </c>
      <c r="C5208" t="s">
        <v>10127</v>
      </c>
      <c r="D5208" t="s">
        <v>34</v>
      </c>
      <c r="E5208">
        <v>1911</v>
      </c>
      <c r="F5208">
        <v>5</v>
      </c>
      <c r="G5208">
        <v>5</v>
      </c>
      <c r="H5208">
        <v>1</v>
      </c>
      <c r="I5208">
        <v>1</v>
      </c>
      <c r="J5208">
        <v>0.82358426585283195</v>
      </c>
      <c r="K5208">
        <v>0.995450748570331</v>
      </c>
      <c r="L5208">
        <v>0.90139834302631905</v>
      </c>
      <c r="M5208">
        <v>0.68607594936708904</v>
      </c>
      <c r="N5208">
        <v>0.99746835443037996</v>
      </c>
      <c r="O5208">
        <v>0.78101265822784804</v>
      </c>
      <c r="P5208" t="s">
        <v>9986</v>
      </c>
      <c r="Q5208" t="s">
        <v>8485</v>
      </c>
      <c r="R5208" t="s">
        <v>516</v>
      </c>
      <c r="S5208" t="s">
        <v>517</v>
      </c>
      <c r="T5208" t="s">
        <v>9987</v>
      </c>
      <c r="U5208" t="s">
        <v>9988</v>
      </c>
      <c r="V5208" t="s">
        <v>9989</v>
      </c>
      <c r="W5208" t="s">
        <v>9990</v>
      </c>
      <c r="Z5208" t="s">
        <v>5431</v>
      </c>
      <c r="AA5208" t="s">
        <v>5432</v>
      </c>
      <c r="AB5208" t="s">
        <v>5431</v>
      </c>
      <c r="AC5208" t="s">
        <v>860</v>
      </c>
      <c r="AD5208" t="s">
        <v>219</v>
      </c>
      <c r="AE5208" t="s">
        <v>9991</v>
      </c>
      <c r="AF5208" t="s">
        <v>9995</v>
      </c>
    </row>
    <row r="5209" spans="1:32" hidden="1" x14ac:dyDescent="0.35">
      <c r="A5209">
        <v>5208</v>
      </c>
      <c r="B5209" t="s">
        <v>10839</v>
      </c>
      <c r="C5209" t="s">
        <v>10127</v>
      </c>
      <c r="D5209" t="s">
        <v>60</v>
      </c>
      <c r="E5209">
        <v>2333</v>
      </c>
      <c r="F5209">
        <v>4</v>
      </c>
      <c r="G5209">
        <v>4</v>
      </c>
      <c r="H5209">
        <v>1</v>
      </c>
      <c r="I5209">
        <v>0</v>
      </c>
      <c r="J5209">
        <v>0.84724122207022301</v>
      </c>
      <c r="K5209">
        <v>0.98660346927356002</v>
      </c>
      <c r="L5209">
        <v>0.91162695832604901</v>
      </c>
      <c r="M5209">
        <v>0.63967611336032404</v>
      </c>
      <c r="N5209">
        <v>1</v>
      </c>
      <c r="O5209">
        <v>0.75978407557354899</v>
      </c>
      <c r="T5209" t="s">
        <v>10840</v>
      </c>
      <c r="U5209" t="s">
        <v>10841</v>
      </c>
      <c r="AD5209" t="s">
        <v>166</v>
      </c>
      <c r="AE5209" t="s">
        <v>8638</v>
      </c>
      <c r="AF5209" t="s">
        <v>10842</v>
      </c>
    </row>
    <row r="5210" spans="1:32" hidden="1" x14ac:dyDescent="0.35">
      <c r="A5210">
        <v>5209</v>
      </c>
      <c r="B5210" t="s">
        <v>10839</v>
      </c>
      <c r="C5210" t="s">
        <v>10127</v>
      </c>
      <c r="D5210" t="s">
        <v>62</v>
      </c>
      <c r="E5210">
        <v>2361</v>
      </c>
      <c r="F5210">
        <v>4</v>
      </c>
      <c r="G5210">
        <v>4</v>
      </c>
      <c r="H5210">
        <v>1</v>
      </c>
      <c r="I5210">
        <v>0</v>
      </c>
      <c r="J5210">
        <v>0.84724122207022301</v>
      </c>
      <c r="K5210">
        <v>0.98660346927356002</v>
      </c>
      <c r="L5210">
        <v>0.91162695832604901</v>
      </c>
      <c r="M5210">
        <v>0.63967611336032404</v>
      </c>
      <c r="N5210">
        <v>1</v>
      </c>
      <c r="O5210">
        <v>0.75978407557354899</v>
      </c>
      <c r="T5210" t="s">
        <v>10840</v>
      </c>
      <c r="U5210" t="s">
        <v>10841</v>
      </c>
      <c r="AD5210" t="s">
        <v>166</v>
      </c>
      <c r="AE5210" t="s">
        <v>8638</v>
      </c>
      <c r="AF5210" t="s">
        <v>10842</v>
      </c>
    </row>
    <row r="5211" spans="1:32" hidden="1" x14ac:dyDescent="0.35">
      <c r="A5211">
        <v>5210</v>
      </c>
      <c r="B5211" t="s">
        <v>10839</v>
      </c>
      <c r="C5211" t="s">
        <v>10127</v>
      </c>
      <c r="D5211" t="s">
        <v>34</v>
      </c>
      <c r="E5211">
        <v>199</v>
      </c>
      <c r="F5211">
        <v>4</v>
      </c>
      <c r="G5211">
        <v>4</v>
      </c>
      <c r="H5211">
        <v>1</v>
      </c>
      <c r="I5211">
        <v>0</v>
      </c>
      <c r="J5211">
        <v>0.84724122207022301</v>
      </c>
      <c r="K5211">
        <v>0.98660346927356002</v>
      </c>
      <c r="L5211">
        <v>0.91162695832604901</v>
      </c>
      <c r="M5211">
        <v>0.63967611336032404</v>
      </c>
      <c r="N5211">
        <v>1</v>
      </c>
      <c r="O5211">
        <v>0.75978407557354899</v>
      </c>
      <c r="T5211" t="s">
        <v>10840</v>
      </c>
      <c r="U5211" t="s">
        <v>10841</v>
      </c>
      <c r="AD5211" t="s">
        <v>166</v>
      </c>
      <c r="AE5211" t="s">
        <v>8638</v>
      </c>
      <c r="AF5211" t="s">
        <v>10843</v>
      </c>
    </row>
    <row r="5212" spans="1:32" hidden="1" x14ac:dyDescent="0.35">
      <c r="A5212">
        <v>5211</v>
      </c>
      <c r="B5212" t="s">
        <v>10839</v>
      </c>
      <c r="C5212" t="s">
        <v>10127</v>
      </c>
      <c r="D5212" t="s">
        <v>45</v>
      </c>
      <c r="E5212">
        <v>1462</v>
      </c>
      <c r="F5212">
        <v>4</v>
      </c>
      <c r="G5212">
        <v>4</v>
      </c>
      <c r="H5212">
        <v>1</v>
      </c>
      <c r="I5212">
        <v>0</v>
      </c>
      <c r="J5212">
        <v>0.84724122207022301</v>
      </c>
      <c r="K5212">
        <v>0.98660346927356002</v>
      </c>
      <c r="L5212">
        <v>0.91162695832604901</v>
      </c>
      <c r="M5212">
        <v>0.63967611336032404</v>
      </c>
      <c r="N5212">
        <v>1</v>
      </c>
      <c r="O5212">
        <v>0.75978407557354899</v>
      </c>
      <c r="T5212" t="s">
        <v>10840</v>
      </c>
      <c r="U5212" t="s">
        <v>10841</v>
      </c>
      <c r="AD5212" t="s">
        <v>166</v>
      </c>
      <c r="AE5212" t="s">
        <v>8638</v>
      </c>
      <c r="AF5212" t="s">
        <v>10844</v>
      </c>
    </row>
    <row r="5213" spans="1:32" hidden="1" x14ac:dyDescent="0.35">
      <c r="A5213">
        <v>4768</v>
      </c>
      <c r="B5213" t="s">
        <v>9985</v>
      </c>
      <c r="C5213" t="s">
        <v>10127</v>
      </c>
      <c r="D5213" t="s">
        <v>45</v>
      </c>
      <c r="E5213">
        <v>963</v>
      </c>
      <c r="F5213">
        <v>5</v>
      </c>
      <c r="G5213">
        <v>5</v>
      </c>
      <c r="H5213">
        <v>1</v>
      </c>
      <c r="I5213">
        <v>1</v>
      </c>
      <c r="J5213">
        <v>0.82358426585283195</v>
      </c>
      <c r="K5213">
        <v>0.995450748570331</v>
      </c>
      <c r="L5213">
        <v>0.90139834302631905</v>
      </c>
      <c r="M5213">
        <v>0.68607594936708904</v>
      </c>
      <c r="N5213">
        <v>0.99746835443037996</v>
      </c>
      <c r="O5213">
        <v>0.78101265822784804</v>
      </c>
      <c r="P5213" t="s">
        <v>9986</v>
      </c>
      <c r="Q5213" t="s">
        <v>8485</v>
      </c>
      <c r="R5213" t="s">
        <v>516</v>
      </c>
      <c r="S5213" t="s">
        <v>517</v>
      </c>
      <c r="T5213" t="s">
        <v>9987</v>
      </c>
      <c r="U5213" t="s">
        <v>9988</v>
      </c>
      <c r="V5213" t="s">
        <v>9989</v>
      </c>
      <c r="W5213" t="s">
        <v>9990</v>
      </c>
      <c r="Z5213" t="s">
        <v>5431</v>
      </c>
      <c r="AA5213" t="s">
        <v>5432</v>
      </c>
      <c r="AB5213" t="s">
        <v>5431</v>
      </c>
      <c r="AC5213" t="s">
        <v>860</v>
      </c>
      <c r="AD5213" t="s">
        <v>219</v>
      </c>
      <c r="AE5213" t="s">
        <v>9991</v>
      </c>
      <c r="AF5213" t="s">
        <v>9995</v>
      </c>
    </row>
    <row r="5214" spans="1:32" hidden="1" x14ac:dyDescent="0.35">
      <c r="A5214">
        <v>5060</v>
      </c>
      <c r="B5214" t="s">
        <v>10569</v>
      </c>
      <c r="C5214" t="s">
        <v>10127</v>
      </c>
      <c r="D5214" t="s">
        <v>60</v>
      </c>
      <c r="E5214">
        <v>616</v>
      </c>
      <c r="F5214">
        <v>4</v>
      </c>
      <c r="G5214">
        <v>4</v>
      </c>
      <c r="H5214">
        <v>1</v>
      </c>
      <c r="I5214">
        <v>0</v>
      </c>
      <c r="J5214">
        <v>0.76765536723163796</v>
      </c>
      <c r="K5214">
        <v>0.879429655672749</v>
      </c>
      <c r="L5214">
        <v>0.81974990470063502</v>
      </c>
      <c r="M5214">
        <v>0.46280991735537202</v>
      </c>
      <c r="N5214">
        <v>1</v>
      </c>
      <c r="O5214">
        <v>0.64187327823691498</v>
      </c>
      <c r="P5214" t="s">
        <v>10570</v>
      </c>
      <c r="Q5214" t="s">
        <v>10571</v>
      </c>
      <c r="R5214" t="s">
        <v>1191</v>
      </c>
      <c r="S5214" t="s">
        <v>1192</v>
      </c>
      <c r="T5214" t="s">
        <v>10572</v>
      </c>
      <c r="U5214" t="s">
        <v>10573</v>
      </c>
      <c r="V5214" t="s">
        <v>10574</v>
      </c>
      <c r="W5214" t="s">
        <v>10575</v>
      </c>
      <c r="AD5214" t="s">
        <v>7708</v>
      </c>
      <c r="AE5214" t="s">
        <v>10576</v>
      </c>
      <c r="AF5214" t="s">
        <v>10577</v>
      </c>
    </row>
    <row r="5215" spans="1:32" hidden="1" x14ac:dyDescent="0.35">
      <c r="A5215">
        <v>5061</v>
      </c>
      <c r="B5215" t="s">
        <v>10569</v>
      </c>
      <c r="C5215" t="s">
        <v>10127</v>
      </c>
      <c r="D5215" t="s">
        <v>62</v>
      </c>
      <c r="E5215">
        <v>700</v>
      </c>
      <c r="F5215">
        <v>4</v>
      </c>
      <c r="G5215">
        <v>4</v>
      </c>
      <c r="H5215">
        <v>1</v>
      </c>
      <c r="I5215">
        <v>0</v>
      </c>
      <c r="J5215">
        <v>0.76765536723163796</v>
      </c>
      <c r="K5215">
        <v>0.879429655672749</v>
      </c>
      <c r="L5215">
        <v>0.81974990470063502</v>
      </c>
      <c r="M5215">
        <v>0.46280991735537202</v>
      </c>
      <c r="N5215">
        <v>1</v>
      </c>
      <c r="O5215">
        <v>0.64187327823691498</v>
      </c>
      <c r="P5215" t="s">
        <v>10570</v>
      </c>
      <c r="Q5215" t="s">
        <v>10571</v>
      </c>
      <c r="R5215" t="s">
        <v>1191</v>
      </c>
      <c r="S5215" t="s">
        <v>1192</v>
      </c>
      <c r="T5215" t="s">
        <v>10572</v>
      </c>
      <c r="U5215" t="s">
        <v>10573</v>
      </c>
      <c r="V5215" t="s">
        <v>10574</v>
      </c>
      <c r="W5215" t="s">
        <v>10575</v>
      </c>
      <c r="AD5215" t="s">
        <v>7708</v>
      </c>
      <c r="AE5215" t="s">
        <v>10576</v>
      </c>
      <c r="AF5215" t="s">
        <v>10577</v>
      </c>
    </row>
    <row r="5216" spans="1:32" hidden="1" x14ac:dyDescent="0.35">
      <c r="A5216">
        <v>5062</v>
      </c>
      <c r="B5216" t="s">
        <v>10569</v>
      </c>
      <c r="C5216" t="s">
        <v>10127</v>
      </c>
      <c r="D5216" t="s">
        <v>34</v>
      </c>
      <c r="E5216">
        <v>473</v>
      </c>
      <c r="F5216">
        <v>4</v>
      </c>
      <c r="G5216">
        <v>4</v>
      </c>
      <c r="H5216">
        <v>1</v>
      </c>
      <c r="I5216">
        <v>0</v>
      </c>
      <c r="J5216">
        <v>0.76765536723163796</v>
      </c>
      <c r="K5216">
        <v>0.879429655672749</v>
      </c>
      <c r="L5216">
        <v>0.81974990470063502</v>
      </c>
      <c r="M5216">
        <v>0.46280991735537202</v>
      </c>
      <c r="N5216">
        <v>1</v>
      </c>
      <c r="O5216">
        <v>0.64187327823691498</v>
      </c>
      <c r="P5216" t="s">
        <v>10570</v>
      </c>
      <c r="Q5216" t="s">
        <v>10571</v>
      </c>
      <c r="R5216" t="s">
        <v>1191</v>
      </c>
      <c r="S5216" t="s">
        <v>1192</v>
      </c>
      <c r="T5216" t="s">
        <v>10572</v>
      </c>
      <c r="U5216" t="s">
        <v>10573</v>
      </c>
      <c r="V5216" t="s">
        <v>10574</v>
      </c>
      <c r="W5216" t="s">
        <v>10575</v>
      </c>
      <c r="AD5216" t="s">
        <v>7708</v>
      </c>
      <c r="AE5216" t="s">
        <v>10576</v>
      </c>
      <c r="AF5216" t="s">
        <v>10578</v>
      </c>
    </row>
    <row r="5217" spans="1:32" hidden="1" x14ac:dyDescent="0.35">
      <c r="A5217">
        <v>5216</v>
      </c>
      <c r="B5217" t="s">
        <v>10855</v>
      </c>
      <c r="C5217" t="s">
        <v>10127</v>
      </c>
      <c r="D5217" t="s">
        <v>60</v>
      </c>
      <c r="E5217">
        <v>1559</v>
      </c>
      <c r="F5217">
        <v>4</v>
      </c>
      <c r="G5217">
        <v>4</v>
      </c>
      <c r="H5217">
        <v>1</v>
      </c>
      <c r="I5217">
        <v>0</v>
      </c>
      <c r="J5217">
        <v>0.82786885245901598</v>
      </c>
      <c r="K5217">
        <v>0.98543266669265595</v>
      </c>
      <c r="L5217">
        <v>0.89980513702116405</v>
      </c>
      <c r="M5217">
        <v>0.66079295154185003</v>
      </c>
      <c r="N5217">
        <v>1</v>
      </c>
      <c r="O5217">
        <v>0.77312775330396499</v>
      </c>
      <c r="P5217" t="s">
        <v>2574</v>
      </c>
      <c r="Q5217" t="s">
        <v>2575</v>
      </c>
      <c r="R5217" t="s">
        <v>1498</v>
      </c>
      <c r="S5217" t="s">
        <v>1499</v>
      </c>
      <c r="V5217" t="s">
        <v>1500</v>
      </c>
      <c r="W5217" t="s">
        <v>1501</v>
      </c>
      <c r="AF5217" t="s">
        <v>10856</v>
      </c>
    </row>
    <row r="5218" spans="1:32" hidden="1" x14ac:dyDescent="0.35">
      <c r="A5218">
        <v>5217</v>
      </c>
      <c r="B5218" t="s">
        <v>10855</v>
      </c>
      <c r="C5218" t="s">
        <v>10127</v>
      </c>
      <c r="D5218" t="s">
        <v>62</v>
      </c>
      <c r="E5218">
        <v>1595</v>
      </c>
      <c r="F5218">
        <v>4</v>
      </c>
      <c r="G5218">
        <v>4</v>
      </c>
      <c r="H5218">
        <v>1</v>
      </c>
      <c r="I5218">
        <v>0</v>
      </c>
      <c r="J5218">
        <v>0.82786885245901598</v>
      </c>
      <c r="K5218">
        <v>0.98543266669265595</v>
      </c>
      <c r="L5218">
        <v>0.89980513702116405</v>
      </c>
      <c r="M5218">
        <v>0.66079295154185003</v>
      </c>
      <c r="N5218">
        <v>1</v>
      </c>
      <c r="O5218">
        <v>0.77312775330396499</v>
      </c>
      <c r="P5218" t="s">
        <v>2574</v>
      </c>
      <c r="Q5218" t="s">
        <v>2575</v>
      </c>
      <c r="R5218" t="s">
        <v>1498</v>
      </c>
      <c r="S5218" t="s">
        <v>1499</v>
      </c>
      <c r="V5218" t="s">
        <v>1500</v>
      </c>
      <c r="W5218" t="s">
        <v>1501</v>
      </c>
      <c r="AF5218" t="s">
        <v>10856</v>
      </c>
    </row>
    <row r="5219" spans="1:32" hidden="1" x14ac:dyDescent="0.35">
      <c r="A5219">
        <v>5218</v>
      </c>
      <c r="B5219" t="s">
        <v>10855</v>
      </c>
      <c r="C5219" t="s">
        <v>10127</v>
      </c>
      <c r="D5219" t="s">
        <v>34</v>
      </c>
      <c r="E5219">
        <v>68</v>
      </c>
      <c r="F5219">
        <v>4</v>
      </c>
      <c r="G5219">
        <v>4</v>
      </c>
      <c r="H5219">
        <v>1</v>
      </c>
      <c r="I5219">
        <v>0</v>
      </c>
      <c r="J5219">
        <v>0.82786885245901598</v>
      </c>
      <c r="K5219">
        <v>0.98543266669265595</v>
      </c>
      <c r="L5219">
        <v>0.89980513702116405</v>
      </c>
      <c r="M5219">
        <v>0.66079295154185003</v>
      </c>
      <c r="N5219">
        <v>1</v>
      </c>
      <c r="O5219">
        <v>0.77312775330396499</v>
      </c>
      <c r="P5219" t="s">
        <v>2574</v>
      </c>
      <c r="Q5219" t="s">
        <v>2575</v>
      </c>
      <c r="R5219" t="s">
        <v>1498</v>
      </c>
      <c r="S5219" t="s">
        <v>1499</v>
      </c>
      <c r="V5219" t="s">
        <v>1500</v>
      </c>
      <c r="W5219" t="s">
        <v>1501</v>
      </c>
      <c r="AF5219" t="e">
        <f>--MITIGLADDQPLVRTGFSLLINSQADMEASWQVADGTQVAHQKPVDIVLMDIQMPELNGIEATKQLIAVNPDTKVIMLTTFDDEEFVAGAIAAGASGFLLKDVEPEELFDAIRLVYDGQAVLAPTATAHVLELLKHP--NQPAAPTPSPAVAELTPRETVILRLIALGLTNQEIADHEYVSMATVKTHVRHILMKTNSRDRVHAVLFAYRTGVVSTDELLSGGQV</f>
        <v>#NAME?</v>
      </c>
    </row>
    <row r="5220" spans="1:32" hidden="1" x14ac:dyDescent="0.35">
      <c r="A5220">
        <v>5219</v>
      </c>
      <c r="B5220" t="s">
        <v>10855</v>
      </c>
      <c r="C5220" t="s">
        <v>10127</v>
      </c>
      <c r="D5220" t="s">
        <v>45</v>
      </c>
      <c r="E5220">
        <v>1326</v>
      </c>
      <c r="F5220">
        <v>4</v>
      </c>
      <c r="G5220">
        <v>4</v>
      </c>
      <c r="H5220">
        <v>1</v>
      </c>
      <c r="I5220">
        <v>0</v>
      </c>
      <c r="J5220">
        <v>0.82786885245901598</v>
      </c>
      <c r="K5220">
        <v>0.98543266669265595</v>
      </c>
      <c r="L5220">
        <v>0.89980513702116405</v>
      </c>
      <c r="M5220">
        <v>0.66079295154185003</v>
      </c>
      <c r="N5220">
        <v>1</v>
      </c>
      <c r="O5220">
        <v>0.77312775330396499</v>
      </c>
      <c r="P5220" t="s">
        <v>2574</v>
      </c>
      <c r="Q5220" t="s">
        <v>2575</v>
      </c>
      <c r="R5220" t="s">
        <v>1498</v>
      </c>
      <c r="S5220" t="s">
        <v>1499</v>
      </c>
      <c r="V5220" t="s">
        <v>1500</v>
      </c>
      <c r="W5220" t="s">
        <v>1501</v>
      </c>
      <c r="AF5220" t="e">
        <f>--MITIGLADDQPLVRTGFSLLINSQADMEASWQVADGTQVAHQKPVDIVLMDIQMPELNGIEATKQLIAANPDTKVIMLTTFDDEEFVAGAIAAGASGFLLKDVEPEELFDAIRLVYDGQAVLAPTATAHVLELLKHP--NQPAAPTPSPAVAELTPRETVILRLIALGLTNQEIADHEYVSMATVKTHVRHILMKTNSRDRVHAVLFAYRTGVVSTDELLSGGQV</f>
        <v>#NAME?</v>
      </c>
    </row>
    <row r="5221" spans="1:32" hidden="1" x14ac:dyDescent="0.35">
      <c r="A5221">
        <v>5220</v>
      </c>
      <c r="B5221" t="s">
        <v>10857</v>
      </c>
      <c r="C5221" t="s">
        <v>10127</v>
      </c>
      <c r="D5221" t="s">
        <v>60</v>
      </c>
      <c r="E5221">
        <v>242</v>
      </c>
      <c r="F5221">
        <v>4</v>
      </c>
      <c r="G5221">
        <v>4</v>
      </c>
      <c r="H5221">
        <v>1</v>
      </c>
      <c r="I5221">
        <v>0</v>
      </c>
      <c r="J5221">
        <v>0.79022306597057401</v>
      </c>
      <c r="K5221">
        <v>0.88148927019102297</v>
      </c>
      <c r="L5221">
        <v>0.83336485427858797</v>
      </c>
      <c r="M5221">
        <v>0.47263681592039802</v>
      </c>
      <c r="N5221">
        <v>1</v>
      </c>
      <c r="O5221">
        <v>0.642620232172471</v>
      </c>
      <c r="AF5221" t="s">
        <v>10858</v>
      </c>
    </row>
    <row r="5222" spans="1:32" hidden="1" x14ac:dyDescent="0.35">
      <c r="A5222">
        <v>5221</v>
      </c>
      <c r="B5222" t="s">
        <v>10857</v>
      </c>
      <c r="C5222" t="s">
        <v>10127</v>
      </c>
      <c r="D5222" t="s">
        <v>62</v>
      </c>
      <c r="E5222">
        <v>320</v>
      </c>
      <c r="F5222">
        <v>4</v>
      </c>
      <c r="G5222">
        <v>4</v>
      </c>
      <c r="H5222">
        <v>1</v>
      </c>
      <c r="I5222">
        <v>0</v>
      </c>
      <c r="J5222">
        <v>0.79022306597057401</v>
      </c>
      <c r="K5222">
        <v>0.88148927019102297</v>
      </c>
      <c r="L5222">
        <v>0.83336485427858797</v>
      </c>
      <c r="M5222">
        <v>0.47263681592039802</v>
      </c>
      <c r="N5222">
        <v>1</v>
      </c>
      <c r="O5222">
        <v>0.642620232172471</v>
      </c>
      <c r="AF5222" t="s">
        <v>10858</v>
      </c>
    </row>
    <row r="5223" spans="1:32" hidden="1" x14ac:dyDescent="0.35">
      <c r="A5223">
        <v>5222</v>
      </c>
      <c r="B5223" t="s">
        <v>10857</v>
      </c>
      <c r="C5223" t="s">
        <v>10127</v>
      </c>
      <c r="D5223" t="s">
        <v>34</v>
      </c>
      <c r="E5223">
        <v>1144</v>
      </c>
      <c r="F5223">
        <v>4</v>
      </c>
      <c r="G5223">
        <v>4</v>
      </c>
      <c r="H5223">
        <v>1</v>
      </c>
      <c r="I5223">
        <v>0</v>
      </c>
      <c r="J5223">
        <v>0.79022306597057401</v>
      </c>
      <c r="K5223">
        <v>0.88148927019102297</v>
      </c>
      <c r="L5223">
        <v>0.83336485427858797</v>
      </c>
      <c r="M5223">
        <v>0.47263681592039802</v>
      </c>
      <c r="N5223">
        <v>1</v>
      </c>
      <c r="O5223">
        <v>0.642620232172471</v>
      </c>
      <c r="AF5223" t="e">
        <f>-----------------------------------------------MTSGLAVSVAWDAARLHEVARIMGRRGQVLKLVGWVLAPCWVWILVAFLLLWGYQIIAMDAVIYPHPLTLLLAVIMGTTWSILGIVFVWVLPRIVGLLMAIIMPFMVTSFAWTLPDSRWRHMFGVPSFCCGLSSTLNTNMVLASTLCLTSMSTVGVALILFVRG---IPAMQVTRVISGAIMVIGVGGFGGSVMIAQSLENFAATQPRDIRESVCRNGMCFWPEHTEEQIAANSAAYDQIRATMPAQWLPPTSPTTPAISPDPNFKIGVINESSWMLGEPNSPLPFTDSVDKNEIYGHFANILVSRQLGFLIPLIDADNWQKWASHQSKPASPEEVYSWVESELKQRGLSDIKPQ</f>
        <v>#NAME?</v>
      </c>
    </row>
    <row r="5224" spans="1:32" hidden="1" x14ac:dyDescent="0.35">
      <c r="A5224">
        <v>5223</v>
      </c>
      <c r="B5224" t="s">
        <v>10857</v>
      </c>
      <c r="C5224" t="s">
        <v>10127</v>
      </c>
      <c r="D5224" t="s">
        <v>45</v>
      </c>
      <c r="E5224">
        <v>2389</v>
      </c>
      <c r="F5224">
        <v>4</v>
      </c>
      <c r="G5224">
        <v>4</v>
      </c>
      <c r="H5224">
        <v>1</v>
      </c>
      <c r="I5224">
        <v>0</v>
      </c>
      <c r="J5224">
        <v>0.79022306597057401</v>
      </c>
      <c r="K5224">
        <v>0.88148927019102297</v>
      </c>
      <c r="L5224">
        <v>0.83336485427858797</v>
      </c>
      <c r="M5224">
        <v>0.47263681592039802</v>
      </c>
      <c r="N5224">
        <v>1</v>
      </c>
      <c r="O5224">
        <v>0.642620232172471</v>
      </c>
      <c r="AF5224" t="e">
        <f>-----------------------------------------------MTSGLAVSVAWDAARLHEVARIMGRRSQLLKLVGWILIPCWAWILVAFLLLWGYQIMAMGAVIYPHPLTLLLAVIMGTTWSILGIVFVWVLPHIVGLLMAIIMPFMVTSFAWTLPDFRWRHMFGVPSFCCGLSSTLNTNMVLASTLCLTSIATVGIAFILFVRG---VPAMQVTRVISGAIMVIGVGGFGGSAMIAQSLENFAATQPRDIRESVCRNGMCFWPEHTEEQIAANSAAYDQIRATMPAQWLPPMSPTTPAISPDPNFKIGVINESSWMLGEPNSPLPFTDSVDKNEIYGHFANILVSRQLGFLIPLIDADNWQKWASHQSKPASPEEIYSWVDSELKQRGLSDIKPQ</f>
        <v>#NAME?</v>
      </c>
    </row>
    <row r="5225" spans="1:32" hidden="1" x14ac:dyDescent="0.35">
      <c r="A5225">
        <v>5063</v>
      </c>
      <c r="B5225" t="s">
        <v>10569</v>
      </c>
      <c r="C5225" t="s">
        <v>10127</v>
      </c>
      <c r="D5225" t="s">
        <v>45</v>
      </c>
      <c r="E5225">
        <v>1738</v>
      </c>
      <c r="F5225">
        <v>4</v>
      </c>
      <c r="G5225">
        <v>4</v>
      </c>
      <c r="H5225">
        <v>1</v>
      </c>
      <c r="I5225">
        <v>0</v>
      </c>
      <c r="J5225">
        <v>0.76765536723163796</v>
      </c>
      <c r="K5225">
        <v>0.879429655672749</v>
      </c>
      <c r="L5225">
        <v>0.81974990470063502</v>
      </c>
      <c r="M5225">
        <v>0.46280991735537202</v>
      </c>
      <c r="N5225">
        <v>1</v>
      </c>
      <c r="O5225">
        <v>0.64187327823691498</v>
      </c>
      <c r="P5225" t="s">
        <v>10570</v>
      </c>
      <c r="Q5225" t="s">
        <v>10571</v>
      </c>
      <c r="R5225" t="s">
        <v>1191</v>
      </c>
      <c r="S5225" t="s">
        <v>1192</v>
      </c>
      <c r="T5225" t="s">
        <v>10572</v>
      </c>
      <c r="U5225" t="s">
        <v>10573</v>
      </c>
      <c r="V5225" t="s">
        <v>10574</v>
      </c>
      <c r="W5225" t="s">
        <v>10575</v>
      </c>
      <c r="AD5225" t="s">
        <v>7708</v>
      </c>
      <c r="AE5225" t="s">
        <v>10576</v>
      </c>
      <c r="AF5225" t="s">
        <v>10578</v>
      </c>
    </row>
    <row r="5226" spans="1:32" hidden="1" x14ac:dyDescent="0.35">
      <c r="A5226">
        <v>5100</v>
      </c>
      <c r="B5226" t="s">
        <v>10639</v>
      </c>
      <c r="C5226" t="s">
        <v>10127</v>
      </c>
      <c r="D5226" t="s">
        <v>60</v>
      </c>
      <c r="E5226">
        <v>31</v>
      </c>
      <c r="F5226">
        <v>4</v>
      </c>
      <c r="G5226">
        <v>4</v>
      </c>
      <c r="H5226">
        <v>1</v>
      </c>
      <c r="I5226">
        <v>0</v>
      </c>
      <c r="J5226">
        <v>0.76762309599716605</v>
      </c>
      <c r="K5226">
        <v>0.97435300207039299</v>
      </c>
      <c r="L5226">
        <v>0.85872116026519796</v>
      </c>
      <c r="M5226">
        <v>0.53416149068323004</v>
      </c>
      <c r="N5226">
        <v>1</v>
      </c>
      <c r="O5226">
        <v>0.68944099378881996</v>
      </c>
      <c r="P5226" t="s">
        <v>3823</v>
      </c>
      <c r="Q5226" t="s">
        <v>3824</v>
      </c>
      <c r="R5226" t="s">
        <v>1191</v>
      </c>
      <c r="S5226" t="s">
        <v>1192</v>
      </c>
      <c r="V5226" t="s">
        <v>3825</v>
      </c>
      <c r="W5226" t="s">
        <v>3826</v>
      </c>
      <c r="AF5226" t="s">
        <v>10640</v>
      </c>
    </row>
    <row r="5227" spans="1:32" hidden="1" x14ac:dyDescent="0.35">
      <c r="A5227">
        <v>5101</v>
      </c>
      <c r="B5227" t="s">
        <v>10639</v>
      </c>
      <c r="C5227" t="s">
        <v>10127</v>
      </c>
      <c r="D5227" t="s">
        <v>62</v>
      </c>
      <c r="E5227">
        <v>104</v>
      </c>
      <c r="F5227">
        <v>4</v>
      </c>
      <c r="G5227">
        <v>4</v>
      </c>
      <c r="H5227">
        <v>1</v>
      </c>
      <c r="I5227">
        <v>0</v>
      </c>
      <c r="J5227">
        <v>0.76762309599716605</v>
      </c>
      <c r="K5227">
        <v>0.97435300207039299</v>
      </c>
      <c r="L5227">
        <v>0.85872116026519796</v>
      </c>
      <c r="M5227">
        <v>0.53416149068323004</v>
      </c>
      <c r="N5227">
        <v>1</v>
      </c>
      <c r="O5227">
        <v>0.68944099378881996</v>
      </c>
      <c r="P5227" t="s">
        <v>3823</v>
      </c>
      <c r="Q5227" t="s">
        <v>3824</v>
      </c>
      <c r="R5227" t="s">
        <v>1191</v>
      </c>
      <c r="S5227" t="s">
        <v>1192</v>
      </c>
      <c r="V5227" t="s">
        <v>3825</v>
      </c>
      <c r="W5227" t="s">
        <v>3826</v>
      </c>
      <c r="AF5227" t="s">
        <v>10640</v>
      </c>
    </row>
    <row r="5228" spans="1:32" hidden="1" x14ac:dyDescent="0.35">
      <c r="A5228">
        <v>5102</v>
      </c>
      <c r="B5228" t="s">
        <v>10639</v>
      </c>
      <c r="C5228" t="s">
        <v>10127</v>
      </c>
      <c r="D5228" t="s">
        <v>34</v>
      </c>
      <c r="E5228">
        <v>1043</v>
      </c>
      <c r="F5228">
        <v>4</v>
      </c>
      <c r="G5228">
        <v>4</v>
      </c>
      <c r="H5228">
        <v>1</v>
      </c>
      <c r="I5228">
        <v>0</v>
      </c>
      <c r="J5228">
        <v>0.76762309599716605</v>
      </c>
      <c r="K5228">
        <v>0.97435300207039299</v>
      </c>
      <c r="L5228">
        <v>0.85872116026519796</v>
      </c>
      <c r="M5228">
        <v>0.53416149068323004</v>
      </c>
      <c r="N5228">
        <v>1</v>
      </c>
      <c r="O5228">
        <v>0.68944099378881996</v>
      </c>
      <c r="P5228" t="s">
        <v>3823</v>
      </c>
      <c r="Q5228" t="s">
        <v>3824</v>
      </c>
      <c r="R5228" t="s">
        <v>1191</v>
      </c>
      <c r="S5228" t="s">
        <v>1192</v>
      </c>
      <c r="V5228" t="s">
        <v>3825</v>
      </c>
      <c r="W5228" t="s">
        <v>3826</v>
      </c>
      <c r="AF5228" t="s">
        <v>10641</v>
      </c>
    </row>
    <row r="5229" spans="1:32" hidden="1" x14ac:dyDescent="0.35">
      <c r="A5229">
        <v>5103</v>
      </c>
      <c r="B5229" t="s">
        <v>10639</v>
      </c>
      <c r="C5229" t="s">
        <v>10127</v>
      </c>
      <c r="D5229" t="s">
        <v>45</v>
      </c>
      <c r="E5229">
        <v>2298</v>
      </c>
      <c r="F5229">
        <v>4</v>
      </c>
      <c r="G5229">
        <v>4</v>
      </c>
      <c r="H5229">
        <v>1</v>
      </c>
      <c r="I5229">
        <v>0</v>
      </c>
      <c r="J5229">
        <v>0.76762309599716605</v>
      </c>
      <c r="K5229">
        <v>0.97435300207039299</v>
      </c>
      <c r="L5229">
        <v>0.85872116026519796</v>
      </c>
      <c r="M5229">
        <v>0.53416149068323004</v>
      </c>
      <c r="N5229">
        <v>1</v>
      </c>
      <c r="O5229">
        <v>0.68944099378881996</v>
      </c>
      <c r="P5229" t="s">
        <v>3823</v>
      </c>
      <c r="Q5229" t="s">
        <v>3824</v>
      </c>
      <c r="R5229" t="s">
        <v>1191</v>
      </c>
      <c r="S5229" t="s">
        <v>1192</v>
      </c>
      <c r="V5229" t="s">
        <v>3825</v>
      </c>
      <c r="W5229" t="s">
        <v>3826</v>
      </c>
      <c r="AF5229" t="s">
        <v>10641</v>
      </c>
    </row>
    <row r="5230" spans="1:32" hidden="1" x14ac:dyDescent="0.35">
      <c r="A5230" s="1">
        <v>5264</v>
      </c>
      <c r="B5230" s="1" t="s">
        <v>10922</v>
      </c>
      <c r="C5230" s="1" t="s">
        <v>10127</v>
      </c>
      <c r="D5230" s="1" t="s">
        <v>60</v>
      </c>
      <c r="E5230" s="1">
        <v>2183</v>
      </c>
      <c r="F5230" s="1">
        <v>4</v>
      </c>
      <c r="G5230" s="1">
        <v>4</v>
      </c>
      <c r="H5230" s="1">
        <v>1</v>
      </c>
      <c r="I5230" s="1">
        <v>0</v>
      </c>
      <c r="J5230" s="1">
        <v>0.85494880546075103</v>
      </c>
      <c r="K5230" s="1">
        <v>0.98328926852416998</v>
      </c>
      <c r="L5230" s="1">
        <v>0.91463885711466397</v>
      </c>
      <c r="M5230" s="1">
        <v>0.70134228187919501</v>
      </c>
      <c r="N5230" s="1">
        <v>1</v>
      </c>
      <c r="O5230" s="1">
        <v>0.80033557046979897</v>
      </c>
      <c r="P5230" s="1" t="s">
        <v>10923</v>
      </c>
      <c r="Q5230" s="1" t="s">
        <v>10924</v>
      </c>
      <c r="R5230" s="1" t="s">
        <v>1191</v>
      </c>
      <c r="S5230" s="1" t="s">
        <v>1192</v>
      </c>
      <c r="T5230" s="1" t="s">
        <v>10925</v>
      </c>
      <c r="U5230" s="1" t="s">
        <v>407</v>
      </c>
      <c r="V5230" s="1" t="s">
        <v>10926</v>
      </c>
      <c r="W5230" s="1" t="s">
        <v>10927</v>
      </c>
      <c r="X5230" s="1"/>
      <c r="Y5230" s="1"/>
      <c r="Z5230" s="1"/>
      <c r="AA5230" s="1"/>
      <c r="AB5230" s="1"/>
      <c r="AC5230" s="1"/>
      <c r="AD5230" s="1" t="s">
        <v>410</v>
      </c>
      <c r="AE5230" s="1" t="s">
        <v>411</v>
      </c>
      <c r="AF5230" s="1" t="s">
        <v>10928</v>
      </c>
    </row>
    <row r="5231" spans="1:32" hidden="1" x14ac:dyDescent="0.35">
      <c r="A5231" s="1">
        <v>5265</v>
      </c>
      <c r="B5231" s="1" t="s">
        <v>10922</v>
      </c>
      <c r="C5231" s="1" t="s">
        <v>10127</v>
      </c>
      <c r="D5231" s="1" t="s">
        <v>62</v>
      </c>
      <c r="E5231" s="1">
        <v>2217</v>
      </c>
      <c r="F5231" s="1">
        <v>4</v>
      </c>
      <c r="G5231" s="1">
        <v>4</v>
      </c>
      <c r="H5231" s="1">
        <v>1</v>
      </c>
      <c r="I5231" s="1">
        <v>0</v>
      </c>
      <c r="J5231" s="1">
        <v>0.85494880546075103</v>
      </c>
      <c r="K5231" s="1">
        <v>0.98328926852416998</v>
      </c>
      <c r="L5231" s="1">
        <v>0.91463885711466397</v>
      </c>
      <c r="M5231" s="1">
        <v>0.70134228187919501</v>
      </c>
      <c r="N5231" s="1">
        <v>1</v>
      </c>
      <c r="O5231" s="1">
        <v>0.80033557046979897</v>
      </c>
      <c r="P5231" s="1" t="s">
        <v>10923</v>
      </c>
      <c r="Q5231" s="1" t="s">
        <v>10924</v>
      </c>
      <c r="R5231" s="1" t="s">
        <v>1191</v>
      </c>
      <c r="S5231" s="1" t="s">
        <v>1192</v>
      </c>
      <c r="T5231" s="1" t="s">
        <v>10925</v>
      </c>
      <c r="U5231" s="1" t="s">
        <v>407</v>
      </c>
      <c r="V5231" s="1" t="s">
        <v>10926</v>
      </c>
      <c r="W5231" s="1" t="s">
        <v>10927</v>
      </c>
      <c r="X5231" s="1"/>
      <c r="Y5231" s="1"/>
      <c r="Z5231" s="1"/>
      <c r="AA5231" s="1"/>
      <c r="AB5231" s="1"/>
      <c r="AC5231" s="1"/>
      <c r="AD5231" s="1" t="s">
        <v>410</v>
      </c>
      <c r="AE5231" s="1" t="s">
        <v>411</v>
      </c>
      <c r="AF5231" s="1" t="s">
        <v>10928</v>
      </c>
    </row>
    <row r="5232" spans="1:32" hidden="1" x14ac:dyDescent="0.35">
      <c r="A5232" s="1">
        <v>5266</v>
      </c>
      <c r="B5232" s="1" t="s">
        <v>10922</v>
      </c>
      <c r="C5232" s="1" t="s">
        <v>10127</v>
      </c>
      <c r="D5232" s="1" t="s">
        <v>34</v>
      </c>
      <c r="E5232" s="1">
        <v>1009</v>
      </c>
      <c r="F5232" s="1">
        <v>4</v>
      </c>
      <c r="G5232" s="1">
        <v>4</v>
      </c>
      <c r="H5232" s="1">
        <v>1</v>
      </c>
      <c r="I5232" s="1">
        <v>0</v>
      </c>
      <c r="J5232" s="1">
        <v>0.85494880546075103</v>
      </c>
      <c r="K5232" s="1">
        <v>0.98328926852416998</v>
      </c>
      <c r="L5232" s="1">
        <v>0.91463885711466397</v>
      </c>
      <c r="M5232" s="1">
        <v>0.70134228187919501</v>
      </c>
      <c r="N5232" s="1">
        <v>1</v>
      </c>
      <c r="O5232" s="1">
        <v>0.80033557046979897</v>
      </c>
      <c r="P5232" s="1" t="s">
        <v>10923</v>
      </c>
      <c r="Q5232" s="1" t="s">
        <v>10924</v>
      </c>
      <c r="R5232" s="1" t="s">
        <v>1191</v>
      </c>
      <c r="S5232" s="1" t="s">
        <v>1192</v>
      </c>
      <c r="T5232" s="1" t="s">
        <v>10925</v>
      </c>
      <c r="U5232" s="1" t="s">
        <v>407</v>
      </c>
      <c r="V5232" s="1" t="s">
        <v>10926</v>
      </c>
      <c r="W5232" s="1" t="s">
        <v>10927</v>
      </c>
      <c r="X5232" s="1"/>
      <c r="Y5232" s="1"/>
      <c r="Z5232" s="1"/>
      <c r="AA5232" s="1"/>
      <c r="AB5232" s="1"/>
      <c r="AC5232" s="1"/>
      <c r="AD5232" s="1" t="s">
        <v>410</v>
      </c>
      <c r="AE5232" s="1" t="s">
        <v>411</v>
      </c>
      <c r="AF5232" s="1" t="e">
        <f>--MIFTTTRVRFPSGSDVLVGDLHQPQGQDAESATTIVIVTGSWTTVKEQQADFYARRLAAAGLTTLVFDFRGFGQSEGNPRCWENPARKVEDIRAAVSFAASQ-GYTRIGALGICASAGYQAVNAADDHRVCSLALVAPWLHNRELVAPYYGGEAGVSDRIDMSRAAAARYAETGEVSYIPAISTTDESAAMFGPFDYYLDPQRGDIPEWDKQIAVMSWEPWLTFNPIDSASKVTVPVHMVHSRDGAVPDGAQLFFDALPGPKHIDWLPGTQLDFYDQPAQVDPAVAAVVEHFRHTL</f>
        <v>#NAME?</v>
      </c>
    </row>
    <row r="5233" spans="1:32" hidden="1" x14ac:dyDescent="0.35">
      <c r="A5233" s="1">
        <v>5267</v>
      </c>
      <c r="B5233" s="1" t="s">
        <v>10922</v>
      </c>
      <c r="C5233" s="1" t="s">
        <v>10127</v>
      </c>
      <c r="D5233" s="1" t="s">
        <v>45</v>
      </c>
      <c r="E5233" s="1">
        <v>2263</v>
      </c>
      <c r="F5233" s="1">
        <v>4</v>
      </c>
      <c r="G5233" s="1">
        <v>4</v>
      </c>
      <c r="H5233" s="1">
        <v>1</v>
      </c>
      <c r="I5233" s="1">
        <v>0</v>
      </c>
      <c r="J5233" s="1">
        <v>0.85494880546075103</v>
      </c>
      <c r="K5233" s="1">
        <v>0.98328926852416998</v>
      </c>
      <c r="L5233" s="1">
        <v>0.91463885711466397</v>
      </c>
      <c r="M5233" s="1">
        <v>0.70134228187919501</v>
      </c>
      <c r="N5233" s="1">
        <v>1</v>
      </c>
      <c r="O5233" s="1">
        <v>0.80033557046979897</v>
      </c>
      <c r="P5233" s="1" t="s">
        <v>10923</v>
      </c>
      <c r="Q5233" s="1" t="s">
        <v>10924</v>
      </c>
      <c r="R5233" s="1" t="s">
        <v>1191</v>
      </c>
      <c r="S5233" s="1" t="s">
        <v>1192</v>
      </c>
      <c r="T5233" s="1" t="s">
        <v>10925</v>
      </c>
      <c r="U5233" s="1" t="s">
        <v>407</v>
      </c>
      <c r="V5233" s="1" t="s">
        <v>10926</v>
      </c>
      <c r="W5233" s="1" t="s">
        <v>10927</v>
      </c>
      <c r="X5233" s="1"/>
      <c r="Y5233" s="1"/>
      <c r="Z5233" s="1"/>
      <c r="AA5233" s="1"/>
      <c r="AB5233" s="1"/>
      <c r="AC5233" s="1"/>
      <c r="AD5233" s="1" t="s">
        <v>410</v>
      </c>
      <c r="AE5233" s="1" t="s">
        <v>411</v>
      </c>
      <c r="AF5233" s="1" t="e">
        <f>--MIFTTTRVRFPSGSDVLVGDLHQPQGQDTESATTIVIVTGSWTTVKEQQADFYARRLAAAGLTTLVFDFRGFGQSEGNPRCWENPARKVEDIHAAVSFAASQ-GYTRIGALGICASAGYQAVNAADDQRVCSLALVAPWLHNRELVAPYYGGEAGVSDRIDMSRAAAARYAETGEVSYIPAISTTDESAAMFGPFDYYLDPQRGDIPEWDKQIAVMSWEPWLTFNPIDSASKVTVPVHMVHSRDGAVPDGAQLFFDALPGPKHIDWLPGTQLDFYDQPAQVDPAVAAVVEHFRHTL</f>
        <v>#NAME?</v>
      </c>
    </row>
    <row r="5234" spans="1:32" hidden="1" x14ac:dyDescent="0.35">
      <c r="A5234">
        <v>4908</v>
      </c>
      <c r="B5234" t="s">
        <v>10292</v>
      </c>
      <c r="C5234" t="s">
        <v>10127</v>
      </c>
      <c r="D5234" t="s">
        <v>60</v>
      </c>
      <c r="E5234">
        <v>1545</v>
      </c>
      <c r="F5234">
        <v>4</v>
      </c>
      <c r="G5234">
        <v>4</v>
      </c>
      <c r="H5234">
        <v>1</v>
      </c>
      <c r="I5234">
        <v>0</v>
      </c>
      <c r="J5234">
        <v>0.74289127837514901</v>
      </c>
      <c r="K5234">
        <v>0.969238145048813</v>
      </c>
      <c r="L5234">
        <v>0.84110296193066802</v>
      </c>
      <c r="M5234">
        <v>0.483333333333333</v>
      </c>
      <c r="N5234">
        <v>1</v>
      </c>
      <c r="O5234">
        <v>0.655555555555556</v>
      </c>
      <c r="P5234" t="s">
        <v>10293</v>
      </c>
      <c r="Q5234" t="s">
        <v>10294</v>
      </c>
      <c r="R5234" t="s">
        <v>113</v>
      </c>
      <c r="S5234" t="s">
        <v>114</v>
      </c>
      <c r="V5234" t="s">
        <v>10295</v>
      </c>
      <c r="W5234" t="s">
        <v>10296</v>
      </c>
      <c r="AF5234" t="e">
        <f>-MVPRNRNAAQSAVEGIEDYIRRHNLHVGDLLPSEMELCDELGCSRSSLREAMRTLVSLDIVEVRQGQGTFVSKMSLAPLIRGMVLRVTLDVDQSFEHLLQVVDTRQALEVSLADELAQVHDEDSIHELHELVNAMYRRVEQGESFAEEDRRFHATLLRQTRNQLIRELSDALWQVNSEVVPLLDLSMAEDTKRTLESHWAMVEALRKKSSQAFKDAVRQHYAPLRHAVSLQRQHRSLGT</f>
        <v>#NAME?</v>
      </c>
    </row>
    <row r="5235" spans="1:32" hidden="1" x14ac:dyDescent="0.35">
      <c r="A5235">
        <v>4909</v>
      </c>
      <c r="B5235" t="s">
        <v>10292</v>
      </c>
      <c r="C5235" t="s">
        <v>10127</v>
      </c>
      <c r="D5235" t="s">
        <v>62</v>
      </c>
      <c r="E5235">
        <v>1580</v>
      </c>
      <c r="F5235">
        <v>4</v>
      </c>
      <c r="G5235">
        <v>4</v>
      </c>
      <c r="H5235">
        <v>1</v>
      </c>
      <c r="I5235">
        <v>0</v>
      </c>
      <c r="J5235">
        <v>0.74289127837514901</v>
      </c>
      <c r="K5235">
        <v>0.969238145048813</v>
      </c>
      <c r="L5235">
        <v>0.84110296193066802</v>
      </c>
      <c r="M5235">
        <v>0.483333333333333</v>
      </c>
      <c r="N5235">
        <v>1</v>
      </c>
      <c r="O5235">
        <v>0.655555555555556</v>
      </c>
      <c r="P5235" t="s">
        <v>10293</v>
      </c>
      <c r="Q5235" t="s">
        <v>10294</v>
      </c>
      <c r="R5235" t="s">
        <v>113</v>
      </c>
      <c r="S5235" t="s">
        <v>114</v>
      </c>
      <c r="V5235" t="s">
        <v>10295</v>
      </c>
      <c r="W5235" t="s">
        <v>10296</v>
      </c>
      <c r="AF5235" t="e">
        <f>-MVPRNRNAAQSAVEGIEDYIRRHNLHVGDLLPSEMELCDELGCSRSSLREAMRTLVSLDIVEVRQGQGTFVSKMSLAPLIRGMVLRVTLDVDQSFEHLLQVVDTRQALEVSLADELAQVHDEDSIHELHELVNAMYRRVEQGESFAEEDRRFHATLLRQTRNQLIRELSDALWQVNSEVVPLLDLSMAEDTKRTLESHWAMVEALRKKSSQAFKDAVRQHYAPLRHAVSLQRQHRSLGT</f>
        <v>#NAME?</v>
      </c>
    </row>
    <row r="5236" spans="1:32" hidden="1" x14ac:dyDescent="0.35">
      <c r="A5236">
        <v>4910</v>
      </c>
      <c r="B5236" t="s">
        <v>10292</v>
      </c>
      <c r="C5236" t="s">
        <v>10127</v>
      </c>
      <c r="D5236" t="s">
        <v>34</v>
      </c>
      <c r="E5236">
        <v>341</v>
      </c>
      <c r="F5236">
        <v>4</v>
      </c>
      <c r="G5236">
        <v>4</v>
      </c>
      <c r="H5236">
        <v>1</v>
      </c>
      <c r="I5236">
        <v>0</v>
      </c>
      <c r="J5236">
        <v>0.74289127837514901</v>
      </c>
      <c r="K5236">
        <v>0.969238145048813</v>
      </c>
      <c r="L5236">
        <v>0.84110296193066802</v>
      </c>
      <c r="M5236">
        <v>0.483333333333333</v>
      </c>
      <c r="N5236">
        <v>1</v>
      </c>
      <c r="O5236">
        <v>0.655555555555556</v>
      </c>
      <c r="P5236" t="s">
        <v>10293</v>
      </c>
      <c r="Q5236" t="s">
        <v>10294</v>
      </c>
      <c r="R5236" t="s">
        <v>113</v>
      </c>
      <c r="S5236" t="s">
        <v>114</v>
      </c>
      <c r="V5236" t="s">
        <v>10295</v>
      </c>
      <c r="W5236" t="s">
        <v>10296</v>
      </c>
      <c r="AF5236" t="s">
        <v>10297</v>
      </c>
    </row>
    <row r="5237" spans="1:32" hidden="1" x14ac:dyDescent="0.35">
      <c r="A5237">
        <v>5236</v>
      </c>
      <c r="B5237" t="s">
        <v>10878</v>
      </c>
      <c r="C5237" t="s">
        <v>10127</v>
      </c>
      <c r="D5237" t="s">
        <v>60</v>
      </c>
      <c r="E5237">
        <v>911</v>
      </c>
      <c r="F5237">
        <v>4</v>
      </c>
      <c r="G5237">
        <v>4</v>
      </c>
      <c r="H5237">
        <v>1</v>
      </c>
      <c r="I5237">
        <v>0</v>
      </c>
      <c r="J5237">
        <v>0.79623750734861798</v>
      </c>
      <c r="K5237">
        <v>0.93717978940751001</v>
      </c>
      <c r="L5237">
        <v>0.86097871626386902</v>
      </c>
      <c r="M5237">
        <v>0.536633663366337</v>
      </c>
      <c r="N5237">
        <v>1</v>
      </c>
      <c r="O5237">
        <v>0.68943894389438898</v>
      </c>
      <c r="P5237" t="s">
        <v>169</v>
      </c>
      <c r="Q5237" t="s">
        <v>170</v>
      </c>
      <c r="R5237" t="s">
        <v>4521</v>
      </c>
      <c r="S5237" t="s">
        <v>4522</v>
      </c>
      <c r="T5237" t="s">
        <v>10879</v>
      </c>
      <c r="U5237" t="s">
        <v>10880</v>
      </c>
      <c r="V5237" t="s">
        <v>4525</v>
      </c>
      <c r="W5237" t="s">
        <v>4526</v>
      </c>
      <c r="AD5237" t="s">
        <v>166</v>
      </c>
      <c r="AE5237" t="s">
        <v>8638</v>
      </c>
      <c r="AF5237" t="s">
        <v>10881</v>
      </c>
    </row>
    <row r="5238" spans="1:32" hidden="1" x14ac:dyDescent="0.35">
      <c r="A5238">
        <v>5237</v>
      </c>
      <c r="B5238" t="s">
        <v>10878</v>
      </c>
      <c r="C5238" t="s">
        <v>10127</v>
      </c>
      <c r="D5238" t="s">
        <v>62</v>
      </c>
      <c r="E5238">
        <v>947</v>
      </c>
      <c r="F5238">
        <v>4</v>
      </c>
      <c r="G5238">
        <v>4</v>
      </c>
      <c r="H5238">
        <v>1</v>
      </c>
      <c r="I5238">
        <v>0</v>
      </c>
      <c r="J5238">
        <v>0.79623750734861798</v>
      </c>
      <c r="K5238">
        <v>0.93717978940751001</v>
      </c>
      <c r="L5238">
        <v>0.86097871626386902</v>
      </c>
      <c r="M5238">
        <v>0.536633663366337</v>
      </c>
      <c r="N5238">
        <v>1</v>
      </c>
      <c r="O5238">
        <v>0.68943894389438898</v>
      </c>
      <c r="P5238" t="s">
        <v>169</v>
      </c>
      <c r="Q5238" t="s">
        <v>170</v>
      </c>
      <c r="R5238" t="s">
        <v>4521</v>
      </c>
      <c r="S5238" t="s">
        <v>4522</v>
      </c>
      <c r="T5238" t="s">
        <v>10879</v>
      </c>
      <c r="U5238" t="s">
        <v>10880</v>
      </c>
      <c r="V5238" t="s">
        <v>4525</v>
      </c>
      <c r="W5238" t="s">
        <v>4526</v>
      </c>
      <c r="AD5238" t="s">
        <v>166</v>
      </c>
      <c r="AE5238" t="s">
        <v>8638</v>
      </c>
      <c r="AF5238" t="s">
        <v>10881</v>
      </c>
    </row>
    <row r="5239" spans="1:32" hidden="1" x14ac:dyDescent="0.35">
      <c r="A5239">
        <v>5238</v>
      </c>
      <c r="B5239" t="s">
        <v>10878</v>
      </c>
      <c r="C5239" t="s">
        <v>10127</v>
      </c>
      <c r="D5239" t="s">
        <v>34</v>
      </c>
      <c r="E5239">
        <v>247</v>
      </c>
      <c r="F5239">
        <v>4</v>
      </c>
      <c r="G5239">
        <v>4</v>
      </c>
      <c r="H5239">
        <v>1</v>
      </c>
      <c r="I5239">
        <v>0</v>
      </c>
      <c r="J5239">
        <v>0.79623750734861798</v>
      </c>
      <c r="K5239">
        <v>0.93717978940751001</v>
      </c>
      <c r="L5239">
        <v>0.86097871626386902</v>
      </c>
      <c r="M5239">
        <v>0.536633663366337</v>
      </c>
      <c r="N5239">
        <v>1</v>
      </c>
      <c r="O5239">
        <v>0.68943894389438898</v>
      </c>
      <c r="P5239" t="s">
        <v>169</v>
      </c>
      <c r="Q5239" t="s">
        <v>170</v>
      </c>
      <c r="R5239" t="s">
        <v>4521</v>
      </c>
      <c r="S5239" t="s">
        <v>4522</v>
      </c>
      <c r="T5239" t="s">
        <v>10879</v>
      </c>
      <c r="U5239" t="s">
        <v>10880</v>
      </c>
      <c r="V5239" t="s">
        <v>4525</v>
      </c>
      <c r="W5239" t="s">
        <v>4526</v>
      </c>
      <c r="AD5239" t="s">
        <v>166</v>
      </c>
      <c r="AE5239" t="s">
        <v>8638</v>
      </c>
      <c r="AF5239" t="e">
        <f>-MAIITARGFGYRHASRKNPAFSDLDFTVDRGEKLLLLGASGSGKSTLLAAIAGVLGSDDGDFSGEL--------TVSGVVGMVLQDPDSQVIASRVGDDVAFGCENLGVSREETWRRVRRGLELVGLDLPLNHPTAELSGGQKQRLALAGVLAMGADIIVLDEPTANLDPAGVQEVVRAVTRVALETGATVIIVEHRVATWQGVVDRCMVLG--ERQLLVDAPIGRIIADYGDSLARAGIWMPGHDPVFEPGGHTAGSGESAIDLHDVVTGWRQPLPGMVPITWSIPRGASTVITGPNGVGKSTLLLSMCGLLPTHAGTVGVHPDIAAGLGGDPYKWKSRDLARRMGYVFQDPEHQFVARTVLEELLVSTKVLGLPEGMVR--------------QRAGEILAQLRLEQLAEANPFSLSGGQKRRLSVATTLINTPRVVFLDEPTFGQDRTTFVELVQLLRGLTDDGVTVVSVTHDELFHHAMADHTRAMTRTVSGGEHESSGC</f>
        <v>#NAME?</v>
      </c>
    </row>
    <row r="5240" spans="1:32" hidden="1" x14ac:dyDescent="0.35">
      <c r="A5240">
        <v>5239</v>
      </c>
      <c r="B5240" t="s">
        <v>10878</v>
      </c>
      <c r="C5240" t="s">
        <v>10127</v>
      </c>
      <c r="D5240" t="s">
        <v>45</v>
      </c>
      <c r="E5240">
        <v>1510</v>
      </c>
      <c r="F5240">
        <v>4</v>
      </c>
      <c r="G5240">
        <v>4</v>
      </c>
      <c r="H5240">
        <v>1</v>
      </c>
      <c r="I5240">
        <v>0</v>
      </c>
      <c r="J5240">
        <v>0.79623750734861798</v>
      </c>
      <c r="K5240">
        <v>0.93717978940751001</v>
      </c>
      <c r="L5240">
        <v>0.86097871626386902</v>
      </c>
      <c r="M5240">
        <v>0.536633663366337</v>
      </c>
      <c r="N5240">
        <v>1</v>
      </c>
      <c r="O5240">
        <v>0.68943894389438898</v>
      </c>
      <c r="P5240" t="s">
        <v>169</v>
      </c>
      <c r="Q5240" t="s">
        <v>170</v>
      </c>
      <c r="R5240" t="s">
        <v>4521</v>
      </c>
      <c r="S5240" t="s">
        <v>4522</v>
      </c>
      <c r="T5240" t="s">
        <v>10879</v>
      </c>
      <c r="U5240" t="s">
        <v>10880</v>
      </c>
      <c r="V5240" t="s">
        <v>4525</v>
      </c>
      <c r="W5240" t="s">
        <v>4526</v>
      </c>
      <c r="AD5240" t="s">
        <v>166</v>
      </c>
      <c r="AE5240" t="s">
        <v>8638</v>
      </c>
      <c r="AF5240" t="e">
        <f>-MAIITARGFGYRHASRKNPAFSDLDFTVDRGEKLLLLGASGSGKSTLLAAIAGVLGSDDGDFSGEL--------TVSGVVGMVLQDPDSQVIASRVGDDVAFGCENLGVSREETWRRVRRGLELVGLDLPLDHPTAELSGGQKQRLALAGVLAMGADIIVLDEPTANLDPAGVQEVVRAVTRVAAETGATVIIVEHRVATWQGVVDRCMVLG--ERQLLVDAPIGRIIADYGDSLARAGIWMPGHDPVFEPGGHAAGSGESAIELHDVVTGWRQPLPGMVPITWSISRGASTVITGPNGVGKSTLLLSMCGLLPTHAGTVGVHPDIAAGLGGDPYKWRSRDLARRMGYVFQDPEHQFVARTVLEELLVSTKVLGLPEGTVR--------------QRAGEILAQLRLEQLAEANPFSLSGGQKRRLSVATTLINTPRVVFLDEPTFGQDRTTFIELVQLLRGLTDDGVTVVSVTHDELFYHAMADHTRAMTRTVSGGEHESSGC</f>
        <v>#NAME?</v>
      </c>
    </row>
    <row r="5241" spans="1:32" hidden="1" x14ac:dyDescent="0.35">
      <c r="A5241">
        <v>4911</v>
      </c>
      <c r="B5241" t="s">
        <v>10292</v>
      </c>
      <c r="C5241" t="s">
        <v>10127</v>
      </c>
      <c r="D5241" t="s">
        <v>45</v>
      </c>
      <c r="E5241">
        <v>1603</v>
      </c>
      <c r="F5241">
        <v>4</v>
      </c>
      <c r="G5241">
        <v>4</v>
      </c>
      <c r="H5241">
        <v>1</v>
      </c>
      <c r="I5241">
        <v>0</v>
      </c>
      <c r="J5241">
        <v>0.74289127837514901</v>
      </c>
      <c r="K5241">
        <v>0.969238145048813</v>
      </c>
      <c r="L5241">
        <v>0.84110296193066802</v>
      </c>
      <c r="M5241">
        <v>0.483333333333333</v>
      </c>
      <c r="N5241">
        <v>1</v>
      </c>
      <c r="O5241">
        <v>0.655555555555556</v>
      </c>
      <c r="P5241" t="s">
        <v>10293</v>
      </c>
      <c r="Q5241" t="s">
        <v>10294</v>
      </c>
      <c r="R5241" t="s">
        <v>113</v>
      </c>
      <c r="S5241" t="s">
        <v>114</v>
      </c>
      <c r="V5241" t="s">
        <v>10295</v>
      </c>
      <c r="W5241" t="s">
        <v>10296</v>
      </c>
      <c r="AF5241" t="s">
        <v>10297</v>
      </c>
    </row>
    <row r="5242" spans="1:32" hidden="1" x14ac:dyDescent="0.35">
      <c r="A5242">
        <v>4936</v>
      </c>
      <c r="B5242" t="s">
        <v>10343</v>
      </c>
      <c r="C5242" t="s">
        <v>10127</v>
      </c>
      <c r="D5242" t="s">
        <v>60</v>
      </c>
      <c r="E5242">
        <v>2510</v>
      </c>
      <c r="F5242">
        <v>4</v>
      </c>
      <c r="G5242">
        <v>4</v>
      </c>
      <c r="H5242">
        <v>1</v>
      </c>
      <c r="I5242">
        <v>0</v>
      </c>
      <c r="J5242">
        <v>0.79662953441873796</v>
      </c>
      <c r="K5242">
        <v>0.98738734072309198</v>
      </c>
      <c r="L5242">
        <v>0.88180995201478596</v>
      </c>
      <c r="M5242">
        <v>0.61928934010152303</v>
      </c>
      <c r="N5242">
        <v>1</v>
      </c>
      <c r="O5242">
        <v>0.74619289340101502</v>
      </c>
      <c r="P5242" t="s">
        <v>10344</v>
      </c>
      <c r="Q5242" t="s">
        <v>10345</v>
      </c>
      <c r="R5242" t="s">
        <v>113</v>
      </c>
      <c r="S5242" t="s">
        <v>114</v>
      </c>
      <c r="T5242" t="s">
        <v>7944</v>
      </c>
      <c r="U5242" t="s">
        <v>7945</v>
      </c>
      <c r="V5242" t="s">
        <v>2167</v>
      </c>
      <c r="W5242" t="s">
        <v>2168</v>
      </c>
      <c r="AD5242" t="s">
        <v>312</v>
      </c>
      <c r="AE5242" t="s">
        <v>2169</v>
      </c>
      <c r="AF5242" t="s">
        <v>10346</v>
      </c>
    </row>
    <row r="5243" spans="1:32" hidden="1" x14ac:dyDescent="0.35">
      <c r="A5243">
        <v>4937</v>
      </c>
      <c r="B5243" t="s">
        <v>10343</v>
      </c>
      <c r="C5243" t="s">
        <v>10127</v>
      </c>
      <c r="D5243" t="s">
        <v>62</v>
      </c>
      <c r="E5243">
        <v>38</v>
      </c>
      <c r="F5243">
        <v>4</v>
      </c>
      <c r="G5243">
        <v>4</v>
      </c>
      <c r="H5243">
        <v>1</v>
      </c>
      <c r="I5243">
        <v>0</v>
      </c>
      <c r="J5243">
        <v>0.79662953441873796</v>
      </c>
      <c r="K5243">
        <v>0.98738734072309198</v>
      </c>
      <c r="L5243">
        <v>0.88180995201478596</v>
      </c>
      <c r="M5243">
        <v>0.61928934010152303</v>
      </c>
      <c r="N5243">
        <v>1</v>
      </c>
      <c r="O5243">
        <v>0.74619289340101502</v>
      </c>
      <c r="P5243" t="s">
        <v>10344</v>
      </c>
      <c r="Q5243" t="s">
        <v>10345</v>
      </c>
      <c r="R5243" t="s">
        <v>113</v>
      </c>
      <c r="S5243" t="s">
        <v>114</v>
      </c>
      <c r="T5243" t="s">
        <v>7944</v>
      </c>
      <c r="U5243" t="s">
        <v>7945</v>
      </c>
      <c r="V5243" t="s">
        <v>2167</v>
      </c>
      <c r="W5243" t="s">
        <v>2168</v>
      </c>
      <c r="AD5243" t="s">
        <v>312</v>
      </c>
      <c r="AE5243" t="s">
        <v>2169</v>
      </c>
      <c r="AF5243" t="s">
        <v>10346</v>
      </c>
    </row>
    <row r="5244" spans="1:32" hidden="1" x14ac:dyDescent="0.35">
      <c r="A5244">
        <v>4938</v>
      </c>
      <c r="B5244" t="s">
        <v>10343</v>
      </c>
      <c r="C5244" t="s">
        <v>10127</v>
      </c>
      <c r="D5244" t="s">
        <v>34</v>
      </c>
      <c r="E5244">
        <v>2219</v>
      </c>
      <c r="F5244">
        <v>4</v>
      </c>
      <c r="G5244">
        <v>4</v>
      </c>
      <c r="H5244">
        <v>1</v>
      </c>
      <c r="I5244">
        <v>0</v>
      </c>
      <c r="J5244">
        <v>0.79662953441873796</v>
      </c>
      <c r="K5244">
        <v>0.98738734072309198</v>
      </c>
      <c r="L5244">
        <v>0.88180995201478596</v>
      </c>
      <c r="M5244">
        <v>0.61928934010152303</v>
      </c>
      <c r="N5244">
        <v>1</v>
      </c>
      <c r="O5244">
        <v>0.74619289340101502</v>
      </c>
      <c r="P5244" t="s">
        <v>10344</v>
      </c>
      <c r="Q5244" t="s">
        <v>10345</v>
      </c>
      <c r="R5244" t="s">
        <v>113</v>
      </c>
      <c r="S5244" t="s">
        <v>114</v>
      </c>
      <c r="T5244" t="s">
        <v>7944</v>
      </c>
      <c r="U5244" t="s">
        <v>7945</v>
      </c>
      <c r="V5244" t="s">
        <v>2167</v>
      </c>
      <c r="W5244" t="s">
        <v>2168</v>
      </c>
      <c r="AD5244" t="s">
        <v>312</v>
      </c>
      <c r="AE5244" t="s">
        <v>2169</v>
      </c>
      <c r="AF5244" t="s">
        <v>10347</v>
      </c>
    </row>
    <row r="5245" spans="1:32" hidden="1" x14ac:dyDescent="0.35">
      <c r="A5245">
        <v>4939</v>
      </c>
      <c r="B5245" t="s">
        <v>10343</v>
      </c>
      <c r="C5245" t="s">
        <v>10127</v>
      </c>
      <c r="D5245" t="s">
        <v>45</v>
      </c>
      <c r="E5245">
        <v>657</v>
      </c>
      <c r="F5245">
        <v>4</v>
      </c>
      <c r="G5245">
        <v>4</v>
      </c>
      <c r="H5245">
        <v>1</v>
      </c>
      <c r="I5245">
        <v>0</v>
      </c>
      <c r="J5245">
        <v>0.79662953441873796</v>
      </c>
      <c r="K5245">
        <v>0.98738734072309198</v>
      </c>
      <c r="L5245">
        <v>0.88180995201478596</v>
      </c>
      <c r="M5245">
        <v>0.61928934010152303</v>
      </c>
      <c r="N5245">
        <v>1</v>
      </c>
      <c r="O5245">
        <v>0.74619289340101502</v>
      </c>
      <c r="P5245" t="s">
        <v>10344</v>
      </c>
      <c r="Q5245" t="s">
        <v>10345</v>
      </c>
      <c r="R5245" t="s">
        <v>113</v>
      </c>
      <c r="S5245" t="s">
        <v>114</v>
      </c>
      <c r="T5245" t="s">
        <v>7944</v>
      </c>
      <c r="U5245" t="s">
        <v>7945</v>
      </c>
      <c r="V5245" t="s">
        <v>2167</v>
      </c>
      <c r="W5245" t="s">
        <v>2168</v>
      </c>
      <c r="AD5245" t="s">
        <v>312</v>
      </c>
      <c r="AE5245" t="s">
        <v>2169</v>
      </c>
      <c r="AF5245" t="s">
        <v>10347</v>
      </c>
    </row>
    <row r="5246" spans="1:32" hidden="1" x14ac:dyDescent="0.35">
      <c r="A5246">
        <v>4980</v>
      </c>
      <c r="B5246" t="s">
        <v>10422</v>
      </c>
      <c r="C5246" t="s">
        <v>10127</v>
      </c>
      <c r="D5246" t="s">
        <v>60</v>
      </c>
      <c r="E5246">
        <v>2182</v>
      </c>
      <c r="F5246">
        <v>4</v>
      </c>
      <c r="G5246">
        <v>4</v>
      </c>
      <c r="H5246">
        <v>1</v>
      </c>
      <c r="I5246">
        <v>0</v>
      </c>
      <c r="J5246">
        <v>0.788769549651404</v>
      </c>
      <c r="K5246">
        <v>0.98617689090405403</v>
      </c>
      <c r="L5246">
        <v>0.87649552047506696</v>
      </c>
      <c r="M5246">
        <v>0.60200668896321097</v>
      </c>
      <c r="N5246">
        <v>1</v>
      </c>
      <c r="O5246">
        <v>0.73299888517279799</v>
      </c>
      <c r="P5246" t="s">
        <v>8009</v>
      </c>
      <c r="Q5246" t="s">
        <v>8010</v>
      </c>
      <c r="R5246" t="s">
        <v>113</v>
      </c>
      <c r="S5246" t="s">
        <v>114</v>
      </c>
      <c r="V5246" t="s">
        <v>3477</v>
      </c>
      <c r="W5246" t="s">
        <v>3478</v>
      </c>
      <c r="AF5246" t="s">
        <v>10423</v>
      </c>
    </row>
    <row r="5247" spans="1:32" hidden="1" x14ac:dyDescent="0.35">
      <c r="A5247">
        <v>4981</v>
      </c>
      <c r="B5247" t="s">
        <v>10422</v>
      </c>
      <c r="C5247" t="s">
        <v>10127</v>
      </c>
      <c r="D5247" t="s">
        <v>62</v>
      </c>
      <c r="E5247">
        <v>2216</v>
      </c>
      <c r="F5247">
        <v>4</v>
      </c>
      <c r="G5247">
        <v>4</v>
      </c>
      <c r="H5247">
        <v>1</v>
      </c>
      <c r="I5247">
        <v>0</v>
      </c>
      <c r="J5247">
        <v>0.788769549651404</v>
      </c>
      <c r="K5247">
        <v>0.98617689090405403</v>
      </c>
      <c r="L5247">
        <v>0.87649552047506696</v>
      </c>
      <c r="M5247">
        <v>0.60200668896321097</v>
      </c>
      <c r="N5247">
        <v>1</v>
      </c>
      <c r="O5247">
        <v>0.73299888517279799</v>
      </c>
      <c r="P5247" t="s">
        <v>8009</v>
      </c>
      <c r="Q5247" t="s">
        <v>8010</v>
      </c>
      <c r="R5247" t="s">
        <v>113</v>
      </c>
      <c r="S5247" t="s">
        <v>114</v>
      </c>
      <c r="V5247" t="s">
        <v>3477</v>
      </c>
      <c r="W5247" t="s">
        <v>3478</v>
      </c>
      <c r="AF5247" t="s">
        <v>10423</v>
      </c>
    </row>
    <row r="5248" spans="1:32" hidden="1" x14ac:dyDescent="0.35">
      <c r="A5248">
        <v>4982</v>
      </c>
      <c r="B5248" t="s">
        <v>10422</v>
      </c>
      <c r="C5248" t="s">
        <v>10127</v>
      </c>
      <c r="D5248" t="s">
        <v>34</v>
      </c>
      <c r="E5248">
        <v>1008</v>
      </c>
      <c r="F5248">
        <v>4</v>
      </c>
      <c r="G5248">
        <v>4</v>
      </c>
      <c r="H5248">
        <v>1</v>
      </c>
      <c r="I5248">
        <v>0</v>
      </c>
      <c r="J5248">
        <v>0.788769549651404</v>
      </c>
      <c r="K5248">
        <v>0.98617689090405403</v>
      </c>
      <c r="L5248">
        <v>0.87649552047506696</v>
      </c>
      <c r="M5248">
        <v>0.60200668896321097</v>
      </c>
      <c r="N5248">
        <v>1</v>
      </c>
      <c r="O5248">
        <v>0.73299888517279799</v>
      </c>
      <c r="P5248" t="s">
        <v>8009</v>
      </c>
      <c r="Q5248" t="s">
        <v>8010</v>
      </c>
      <c r="R5248" t="s">
        <v>113</v>
      </c>
      <c r="S5248" t="s">
        <v>114</v>
      </c>
      <c r="V5248" t="s">
        <v>3477</v>
      </c>
      <c r="W5248" t="s">
        <v>3478</v>
      </c>
      <c r="AF5248" t="s">
        <v>10424</v>
      </c>
    </row>
    <row r="5249" spans="1:32" hidden="1" x14ac:dyDescent="0.35">
      <c r="A5249">
        <v>5248</v>
      </c>
      <c r="B5249" t="s">
        <v>10899</v>
      </c>
      <c r="C5249" t="s">
        <v>10127</v>
      </c>
      <c r="D5249" t="s">
        <v>60</v>
      </c>
      <c r="E5249">
        <v>346</v>
      </c>
      <c r="F5249">
        <v>4</v>
      </c>
      <c r="G5249">
        <v>4</v>
      </c>
      <c r="H5249">
        <v>1</v>
      </c>
      <c r="I5249">
        <v>0</v>
      </c>
      <c r="J5249">
        <v>0.77190923317683902</v>
      </c>
      <c r="K5249">
        <v>0.80050025875453001</v>
      </c>
      <c r="L5249">
        <v>0.78594481153137197</v>
      </c>
      <c r="M5249">
        <v>0.36363636363636398</v>
      </c>
      <c r="N5249">
        <v>1</v>
      </c>
      <c r="O5249">
        <v>0.57308377896613205</v>
      </c>
      <c r="AF5249" t="s">
        <v>10900</v>
      </c>
    </row>
    <row r="5250" spans="1:32" hidden="1" x14ac:dyDescent="0.35">
      <c r="A5250">
        <v>5249</v>
      </c>
      <c r="B5250" t="s">
        <v>10899</v>
      </c>
      <c r="C5250" t="s">
        <v>10127</v>
      </c>
      <c r="D5250" t="s">
        <v>62</v>
      </c>
      <c r="E5250">
        <v>426</v>
      </c>
      <c r="F5250">
        <v>4</v>
      </c>
      <c r="G5250">
        <v>4</v>
      </c>
      <c r="H5250">
        <v>1</v>
      </c>
      <c r="I5250">
        <v>0</v>
      </c>
      <c r="J5250">
        <v>0.77190923317683902</v>
      </c>
      <c r="K5250">
        <v>0.80050025875453001</v>
      </c>
      <c r="L5250">
        <v>0.78594481153137197</v>
      </c>
      <c r="M5250">
        <v>0.36363636363636398</v>
      </c>
      <c r="N5250">
        <v>1</v>
      </c>
      <c r="O5250">
        <v>0.57308377896613205</v>
      </c>
      <c r="AF5250" t="s">
        <v>10900</v>
      </c>
    </row>
    <row r="5251" spans="1:32" hidden="1" x14ac:dyDescent="0.35">
      <c r="A5251">
        <v>5250</v>
      </c>
      <c r="B5251" t="s">
        <v>10899</v>
      </c>
      <c r="C5251" t="s">
        <v>10127</v>
      </c>
      <c r="D5251" t="s">
        <v>34</v>
      </c>
      <c r="E5251">
        <v>823</v>
      </c>
      <c r="F5251">
        <v>4</v>
      </c>
      <c r="G5251">
        <v>4</v>
      </c>
      <c r="H5251">
        <v>1</v>
      </c>
      <c r="I5251">
        <v>0</v>
      </c>
      <c r="J5251">
        <v>0.77190923317683902</v>
      </c>
      <c r="K5251">
        <v>0.80050025875453001</v>
      </c>
      <c r="L5251">
        <v>0.78594481153137197</v>
      </c>
      <c r="M5251">
        <v>0.36363636363636398</v>
      </c>
      <c r="N5251">
        <v>1</v>
      </c>
      <c r="O5251">
        <v>0.57308377896613205</v>
      </c>
      <c r="AF5251" t="s">
        <v>10901</v>
      </c>
    </row>
    <row r="5252" spans="1:32" hidden="1" x14ac:dyDescent="0.35">
      <c r="A5252">
        <v>5251</v>
      </c>
      <c r="B5252" t="s">
        <v>10899</v>
      </c>
      <c r="C5252" t="s">
        <v>10127</v>
      </c>
      <c r="D5252" t="s">
        <v>45</v>
      </c>
      <c r="E5252">
        <v>2080</v>
      </c>
      <c r="F5252">
        <v>4</v>
      </c>
      <c r="G5252">
        <v>4</v>
      </c>
      <c r="H5252">
        <v>1</v>
      </c>
      <c r="I5252">
        <v>0</v>
      </c>
      <c r="J5252">
        <v>0.77190923317683902</v>
      </c>
      <c r="K5252">
        <v>0.80050025875453001</v>
      </c>
      <c r="L5252">
        <v>0.78594481153137197</v>
      </c>
      <c r="M5252">
        <v>0.36363636363636398</v>
      </c>
      <c r="N5252">
        <v>1</v>
      </c>
      <c r="O5252">
        <v>0.57308377896613205</v>
      </c>
      <c r="AF5252" t="s">
        <v>10902</v>
      </c>
    </row>
    <row r="5253" spans="1:32" hidden="1" x14ac:dyDescent="0.35">
      <c r="A5253">
        <v>4983</v>
      </c>
      <c r="B5253" t="s">
        <v>10422</v>
      </c>
      <c r="C5253" t="s">
        <v>10127</v>
      </c>
      <c r="D5253" t="s">
        <v>45</v>
      </c>
      <c r="E5253">
        <v>2262</v>
      </c>
      <c r="F5253">
        <v>4</v>
      </c>
      <c r="G5253">
        <v>4</v>
      </c>
      <c r="H5253">
        <v>1</v>
      </c>
      <c r="I5253">
        <v>0</v>
      </c>
      <c r="J5253">
        <v>0.788769549651404</v>
      </c>
      <c r="K5253">
        <v>0.98617689090405403</v>
      </c>
      <c r="L5253">
        <v>0.87649552047506696</v>
      </c>
      <c r="M5253">
        <v>0.60200668896321097</v>
      </c>
      <c r="N5253">
        <v>1</v>
      </c>
      <c r="O5253">
        <v>0.73299888517279799</v>
      </c>
      <c r="P5253" t="s">
        <v>8009</v>
      </c>
      <c r="Q5253" t="s">
        <v>8010</v>
      </c>
      <c r="R5253" t="s">
        <v>113</v>
      </c>
      <c r="S5253" t="s">
        <v>114</v>
      </c>
      <c r="V5253" t="s">
        <v>3477</v>
      </c>
      <c r="W5253" t="s">
        <v>3478</v>
      </c>
      <c r="AF5253" t="s">
        <v>10425</v>
      </c>
    </row>
    <row r="5254" spans="1:32" hidden="1" x14ac:dyDescent="0.35">
      <c r="A5254">
        <v>4984</v>
      </c>
      <c r="B5254" t="s">
        <v>10426</v>
      </c>
      <c r="C5254" t="s">
        <v>10127</v>
      </c>
      <c r="D5254" t="s">
        <v>60</v>
      </c>
      <c r="E5254">
        <v>970</v>
      </c>
      <c r="F5254">
        <v>4</v>
      </c>
      <c r="G5254">
        <v>4</v>
      </c>
      <c r="H5254">
        <v>1</v>
      </c>
      <c r="I5254">
        <v>0</v>
      </c>
      <c r="J5254">
        <v>0.76512710347296797</v>
      </c>
      <c r="K5254">
        <v>0.99465811965812101</v>
      </c>
      <c r="L5254">
        <v>0.86492360094467702</v>
      </c>
      <c r="M5254">
        <v>0.51923076923076905</v>
      </c>
      <c r="N5254">
        <v>1</v>
      </c>
      <c r="O5254">
        <v>0.67948717948717896</v>
      </c>
      <c r="P5254" t="s">
        <v>10427</v>
      </c>
      <c r="Q5254" t="s">
        <v>10428</v>
      </c>
      <c r="R5254" t="s">
        <v>113</v>
      </c>
      <c r="S5254" t="s">
        <v>114</v>
      </c>
      <c r="V5254" t="s">
        <v>1490</v>
      </c>
      <c r="W5254" t="s">
        <v>1491</v>
      </c>
      <c r="AF5254" t="s">
        <v>10429</v>
      </c>
    </row>
    <row r="5255" spans="1:32" hidden="1" x14ac:dyDescent="0.35">
      <c r="A5255">
        <v>4985</v>
      </c>
      <c r="B5255" t="s">
        <v>10426</v>
      </c>
      <c r="C5255" t="s">
        <v>10127</v>
      </c>
      <c r="D5255" t="s">
        <v>62</v>
      </c>
      <c r="E5255">
        <v>1006</v>
      </c>
      <c r="F5255">
        <v>4</v>
      </c>
      <c r="G5255">
        <v>4</v>
      </c>
      <c r="H5255">
        <v>1</v>
      </c>
      <c r="I5255">
        <v>0</v>
      </c>
      <c r="J5255">
        <v>0.76512710347296797</v>
      </c>
      <c r="K5255">
        <v>0.99465811965812101</v>
      </c>
      <c r="L5255">
        <v>0.86492360094467702</v>
      </c>
      <c r="M5255">
        <v>0.51923076923076905</v>
      </c>
      <c r="N5255">
        <v>1</v>
      </c>
      <c r="O5255">
        <v>0.67948717948717896</v>
      </c>
      <c r="P5255" t="s">
        <v>10427</v>
      </c>
      <c r="Q5255" t="s">
        <v>10428</v>
      </c>
      <c r="R5255" t="s">
        <v>113</v>
      </c>
      <c r="S5255" t="s">
        <v>114</v>
      </c>
      <c r="V5255" t="s">
        <v>1490</v>
      </c>
      <c r="W5255" t="s">
        <v>1491</v>
      </c>
      <c r="AF5255" t="s">
        <v>10429</v>
      </c>
    </row>
    <row r="5256" spans="1:32" hidden="1" x14ac:dyDescent="0.35">
      <c r="A5256">
        <v>4986</v>
      </c>
      <c r="B5256" t="s">
        <v>10426</v>
      </c>
      <c r="C5256" t="s">
        <v>10127</v>
      </c>
      <c r="D5256" t="s">
        <v>34</v>
      </c>
      <c r="E5256">
        <v>182</v>
      </c>
      <c r="F5256">
        <v>4</v>
      </c>
      <c r="G5256">
        <v>4</v>
      </c>
      <c r="H5256">
        <v>1</v>
      </c>
      <c r="I5256">
        <v>0</v>
      </c>
      <c r="J5256">
        <v>0.76512710347296797</v>
      </c>
      <c r="K5256">
        <v>0.99465811965812101</v>
      </c>
      <c r="L5256">
        <v>0.86492360094467702</v>
      </c>
      <c r="M5256">
        <v>0.51923076923076905</v>
      </c>
      <c r="N5256">
        <v>1</v>
      </c>
      <c r="O5256">
        <v>0.67948717948717896</v>
      </c>
      <c r="P5256" t="s">
        <v>1486</v>
      </c>
      <c r="Q5256" t="s">
        <v>1487</v>
      </c>
      <c r="R5256" t="s">
        <v>113</v>
      </c>
      <c r="S5256" t="s">
        <v>114</v>
      </c>
      <c r="V5256" t="s">
        <v>1490</v>
      </c>
      <c r="W5256" t="s">
        <v>1491</v>
      </c>
      <c r="AF5256" t="s">
        <v>10430</v>
      </c>
    </row>
    <row r="5257" spans="1:32" hidden="1" x14ac:dyDescent="0.35">
      <c r="A5257">
        <v>5256</v>
      </c>
      <c r="B5257" t="s">
        <v>10911</v>
      </c>
      <c r="C5257" t="s">
        <v>10127</v>
      </c>
      <c r="D5257" t="s">
        <v>60</v>
      </c>
      <c r="E5257">
        <v>1095</v>
      </c>
      <c r="F5257">
        <v>4</v>
      </c>
      <c r="G5257">
        <v>4</v>
      </c>
      <c r="H5257">
        <v>1</v>
      </c>
      <c r="I5257">
        <v>0</v>
      </c>
      <c r="J5257">
        <v>0.76264726264726301</v>
      </c>
      <c r="K5257">
        <v>0.89005929613664403</v>
      </c>
      <c r="L5257">
        <v>0.82144199426646702</v>
      </c>
      <c r="M5257">
        <v>0.46703296703296698</v>
      </c>
      <c r="N5257">
        <v>1</v>
      </c>
      <c r="O5257">
        <v>0.64377289377289404</v>
      </c>
      <c r="P5257" t="s">
        <v>2112</v>
      </c>
      <c r="Q5257" t="s">
        <v>2113</v>
      </c>
      <c r="R5257" t="s">
        <v>7230</v>
      </c>
      <c r="S5257" t="s">
        <v>7231</v>
      </c>
      <c r="V5257" t="s">
        <v>10263</v>
      </c>
      <c r="W5257" t="s">
        <v>10264</v>
      </c>
      <c r="X5257" t="s">
        <v>10263</v>
      </c>
      <c r="Y5257" t="s">
        <v>10265</v>
      </c>
      <c r="AF5257" t="e">
        <f>----------------------MKSALVVVVSTRAAQGIYEDQTGPILVQWLRKLGFSTPEARVVADADVAD---ELRTAITPDLNVLITTGGTGLSDDDRTVEAVTPYLDRELPGVVNAFWRKGEESTPLSVVSRAVAGVSGRTFIMTLPGSRGAVADGIAVLTPIIMPITDMLEGTHTHD</f>
        <v>#NAME?</v>
      </c>
    </row>
    <row r="5258" spans="1:32" hidden="1" x14ac:dyDescent="0.35">
      <c r="A5258">
        <v>5257</v>
      </c>
      <c r="B5258" t="s">
        <v>10911</v>
      </c>
      <c r="C5258" t="s">
        <v>10127</v>
      </c>
      <c r="D5258" t="s">
        <v>62</v>
      </c>
      <c r="E5258">
        <v>1131</v>
      </c>
      <c r="F5258">
        <v>4</v>
      </c>
      <c r="G5258">
        <v>4</v>
      </c>
      <c r="H5258">
        <v>1</v>
      </c>
      <c r="I5258">
        <v>0</v>
      </c>
      <c r="J5258">
        <v>0.76264726264726301</v>
      </c>
      <c r="K5258">
        <v>0.89005929613664403</v>
      </c>
      <c r="L5258">
        <v>0.82144199426646702</v>
      </c>
      <c r="M5258">
        <v>0.46703296703296698</v>
      </c>
      <c r="N5258">
        <v>1</v>
      </c>
      <c r="O5258">
        <v>0.64377289377289404</v>
      </c>
      <c r="P5258" t="s">
        <v>2112</v>
      </c>
      <c r="Q5258" t="s">
        <v>2113</v>
      </c>
      <c r="R5258" t="s">
        <v>7230</v>
      </c>
      <c r="S5258" t="s">
        <v>7231</v>
      </c>
      <c r="V5258" t="s">
        <v>10263</v>
      </c>
      <c r="W5258" t="s">
        <v>10264</v>
      </c>
      <c r="X5258" t="s">
        <v>10263</v>
      </c>
      <c r="Y5258" t="s">
        <v>10265</v>
      </c>
      <c r="AF5258" t="e">
        <f>----------------------MKSALVVVVSTRAAQGIYEDQTGPILVQWLRKLGFSTPEARVVADADVAD---ELRTAITPDLNVLITTGGTGLSDDDRTVEAVTPYLDRELPGVVNAFWRKGEESTPLSVVSRAVAGVSGRTFIMTLPGSRGAVADGIAVLTPIIMPITDMLEGTHTHD</f>
        <v>#NAME?</v>
      </c>
    </row>
    <row r="5259" spans="1:32" hidden="1" x14ac:dyDescent="0.35">
      <c r="A5259">
        <v>4987</v>
      </c>
      <c r="B5259" t="s">
        <v>10426</v>
      </c>
      <c r="C5259" t="s">
        <v>10127</v>
      </c>
      <c r="D5259" t="s">
        <v>45</v>
      </c>
      <c r="E5259">
        <v>1445</v>
      </c>
      <c r="F5259">
        <v>4</v>
      </c>
      <c r="G5259">
        <v>4</v>
      </c>
      <c r="H5259">
        <v>1</v>
      </c>
      <c r="I5259">
        <v>0</v>
      </c>
      <c r="J5259">
        <v>0.76512710347296797</v>
      </c>
      <c r="K5259">
        <v>0.99465811965812101</v>
      </c>
      <c r="L5259">
        <v>0.86492360094467702</v>
      </c>
      <c r="M5259">
        <v>0.51923076923076905</v>
      </c>
      <c r="N5259">
        <v>1</v>
      </c>
      <c r="O5259">
        <v>0.67948717948717896</v>
      </c>
      <c r="P5259" t="s">
        <v>1486</v>
      </c>
      <c r="Q5259" t="s">
        <v>1487</v>
      </c>
      <c r="R5259" t="s">
        <v>113</v>
      </c>
      <c r="S5259" t="s">
        <v>114</v>
      </c>
      <c r="V5259" t="s">
        <v>1490</v>
      </c>
      <c r="W5259" t="s">
        <v>1491</v>
      </c>
      <c r="AF5259" t="s">
        <v>10430</v>
      </c>
    </row>
    <row r="5260" spans="1:32" hidden="1" x14ac:dyDescent="0.35">
      <c r="A5260">
        <v>5064</v>
      </c>
      <c r="B5260" t="s">
        <v>10579</v>
      </c>
      <c r="C5260" t="s">
        <v>10127</v>
      </c>
      <c r="D5260" t="s">
        <v>60</v>
      </c>
      <c r="E5260">
        <v>1356</v>
      </c>
      <c r="F5260">
        <v>4</v>
      </c>
      <c r="G5260">
        <v>4</v>
      </c>
      <c r="H5260">
        <v>1</v>
      </c>
      <c r="I5260">
        <v>0</v>
      </c>
      <c r="J5260">
        <v>0.79789060583762605</v>
      </c>
      <c r="K5260">
        <v>0.94929854787102996</v>
      </c>
      <c r="L5260">
        <v>0.86703422107884398</v>
      </c>
      <c r="M5260">
        <v>0.56066945606694596</v>
      </c>
      <c r="N5260">
        <v>1</v>
      </c>
      <c r="O5260">
        <v>0.70711297071129697</v>
      </c>
      <c r="P5260" t="s">
        <v>6852</v>
      </c>
      <c r="Q5260" t="s">
        <v>6853</v>
      </c>
      <c r="R5260" t="s">
        <v>113</v>
      </c>
      <c r="S5260" t="s">
        <v>114</v>
      </c>
      <c r="V5260" t="s">
        <v>6856</v>
      </c>
      <c r="W5260" t="s">
        <v>6857</v>
      </c>
      <c r="AF5260" t="e">
        <f>--------------MSIGVVLEQLRVEFPDVTVSKIRFLESEGLISPQRTASGYRRFTEKDVQRLRYILVTQRDNYLPLKVIREQLEAMDSGAVTSILTKAQVEPMISPDNFRAPTSTRLTDVDVADQAGVDEAFIGVLLREGLIKPDASGHFTADDIRIATTAWALQEFGFDARHLKSLRNAATRQAGLIGQVATPVARSRSDVARQRAEELSQQMTALVVSLHADLVKTSLRDELGM</f>
        <v>#NAME?</v>
      </c>
    </row>
    <row r="5261" spans="1:32" hidden="1" x14ac:dyDescent="0.35">
      <c r="A5261">
        <v>5260</v>
      </c>
      <c r="B5261" t="s">
        <v>10914</v>
      </c>
      <c r="C5261" t="s">
        <v>10127</v>
      </c>
      <c r="D5261" t="s">
        <v>60</v>
      </c>
      <c r="E5261">
        <v>1318</v>
      </c>
      <c r="F5261">
        <v>4</v>
      </c>
      <c r="G5261">
        <v>4</v>
      </c>
      <c r="H5261">
        <v>1</v>
      </c>
      <c r="I5261">
        <v>0</v>
      </c>
      <c r="J5261">
        <v>0.74043715846994496</v>
      </c>
      <c r="K5261">
        <v>0.95362103174603097</v>
      </c>
      <c r="L5261">
        <v>0.83361533987588499</v>
      </c>
      <c r="M5261">
        <v>0.53125</v>
      </c>
      <c r="N5261">
        <v>1</v>
      </c>
      <c r="O5261">
        <v>0.68229166666666696</v>
      </c>
      <c r="P5261" t="s">
        <v>10915</v>
      </c>
      <c r="Q5261" t="s">
        <v>10916</v>
      </c>
      <c r="T5261" t="s">
        <v>10917</v>
      </c>
      <c r="U5261" t="s">
        <v>10918</v>
      </c>
      <c r="AD5261" t="s">
        <v>10919</v>
      </c>
      <c r="AE5261" t="s">
        <v>10920</v>
      </c>
      <c r="AF5261" t="s">
        <v>10921</v>
      </c>
    </row>
    <row r="5262" spans="1:32" hidden="1" x14ac:dyDescent="0.35">
      <c r="A5262">
        <v>5261</v>
      </c>
      <c r="B5262" t="s">
        <v>10914</v>
      </c>
      <c r="C5262" t="s">
        <v>10127</v>
      </c>
      <c r="D5262" t="s">
        <v>62</v>
      </c>
      <c r="E5262">
        <v>1354</v>
      </c>
      <c r="F5262">
        <v>4</v>
      </c>
      <c r="G5262">
        <v>4</v>
      </c>
      <c r="H5262">
        <v>1</v>
      </c>
      <c r="I5262">
        <v>0</v>
      </c>
      <c r="J5262">
        <v>0.74043715846994496</v>
      </c>
      <c r="K5262">
        <v>0.95362103174603097</v>
      </c>
      <c r="L5262">
        <v>0.83361533987588499</v>
      </c>
      <c r="M5262">
        <v>0.53125</v>
      </c>
      <c r="N5262">
        <v>1</v>
      </c>
      <c r="O5262">
        <v>0.68229166666666696</v>
      </c>
      <c r="P5262" t="s">
        <v>10915</v>
      </c>
      <c r="Q5262" t="s">
        <v>10916</v>
      </c>
      <c r="T5262" t="s">
        <v>10917</v>
      </c>
      <c r="U5262" t="s">
        <v>10918</v>
      </c>
      <c r="AD5262" t="s">
        <v>10919</v>
      </c>
      <c r="AE5262" t="s">
        <v>10920</v>
      </c>
      <c r="AF5262" t="s">
        <v>10921</v>
      </c>
    </row>
    <row r="5263" spans="1:32" hidden="1" x14ac:dyDescent="0.35">
      <c r="A5263">
        <v>5262</v>
      </c>
      <c r="B5263" t="s">
        <v>10914</v>
      </c>
      <c r="C5263" t="s">
        <v>10127</v>
      </c>
      <c r="D5263" t="s">
        <v>34</v>
      </c>
      <c r="E5263">
        <v>1714</v>
      </c>
      <c r="F5263">
        <v>4</v>
      </c>
      <c r="G5263">
        <v>4</v>
      </c>
      <c r="H5263">
        <v>1</v>
      </c>
      <c r="I5263">
        <v>0</v>
      </c>
      <c r="J5263">
        <v>0.74043715846994496</v>
      </c>
      <c r="K5263">
        <v>0.95362103174603097</v>
      </c>
      <c r="L5263">
        <v>0.83361533987588499</v>
      </c>
      <c r="M5263">
        <v>0.53125</v>
      </c>
      <c r="N5263">
        <v>1</v>
      </c>
      <c r="O5263">
        <v>0.68229166666666696</v>
      </c>
      <c r="P5263" t="s">
        <v>10915</v>
      </c>
      <c r="Q5263" t="s">
        <v>10916</v>
      </c>
      <c r="T5263" t="s">
        <v>10917</v>
      </c>
      <c r="U5263" t="s">
        <v>10918</v>
      </c>
      <c r="AD5263" t="s">
        <v>10919</v>
      </c>
      <c r="AE5263" t="s">
        <v>10920</v>
      </c>
      <c r="AF5263" t="e">
        <f>--MPQTHINTPNNNDDDTT-PETTTGGQTHINTSGVDDLLDEIDGLLETNAEDFVRSYIQKGGQ</f>
        <v>#NAME?</v>
      </c>
    </row>
    <row r="5264" spans="1:32" hidden="1" x14ac:dyDescent="0.35">
      <c r="A5264">
        <v>5263</v>
      </c>
      <c r="B5264" t="s">
        <v>10914</v>
      </c>
      <c r="C5264" t="s">
        <v>10127</v>
      </c>
      <c r="D5264" t="s">
        <v>45</v>
      </c>
      <c r="E5264">
        <v>1162</v>
      </c>
      <c r="F5264">
        <v>4</v>
      </c>
      <c r="G5264">
        <v>4</v>
      </c>
      <c r="H5264">
        <v>1</v>
      </c>
      <c r="I5264">
        <v>0</v>
      </c>
      <c r="J5264">
        <v>0.74043715846994496</v>
      </c>
      <c r="K5264">
        <v>0.95362103174603097</v>
      </c>
      <c r="L5264">
        <v>0.83361533987588499</v>
      </c>
      <c r="M5264">
        <v>0.53125</v>
      </c>
      <c r="N5264">
        <v>1</v>
      </c>
      <c r="O5264">
        <v>0.68229166666666696</v>
      </c>
      <c r="P5264" t="s">
        <v>10915</v>
      </c>
      <c r="Q5264" t="s">
        <v>10916</v>
      </c>
      <c r="T5264" t="s">
        <v>10917</v>
      </c>
      <c r="U5264" t="s">
        <v>10918</v>
      </c>
      <c r="AD5264" t="s">
        <v>10919</v>
      </c>
      <c r="AE5264" t="s">
        <v>10920</v>
      </c>
      <c r="AF5264" t="e">
        <f>--MPQTHINTPNNNDDDTHHSRTTTGGQTHINTSGVDDLLDEIDGLLETNAEDFVRSYIQKGGQ</f>
        <v>#NAME?</v>
      </c>
    </row>
    <row r="5265" spans="1:32" s="1" customFormat="1" hidden="1" x14ac:dyDescent="0.35">
      <c r="A5265">
        <v>5065</v>
      </c>
      <c r="B5265" t="s">
        <v>10579</v>
      </c>
      <c r="C5265" t="s">
        <v>10127</v>
      </c>
      <c r="D5265" t="s">
        <v>62</v>
      </c>
      <c r="E5265">
        <v>1392</v>
      </c>
      <c r="F5265">
        <v>4</v>
      </c>
      <c r="G5265">
        <v>4</v>
      </c>
      <c r="H5265">
        <v>1</v>
      </c>
      <c r="I5265">
        <v>0</v>
      </c>
      <c r="J5265">
        <v>0.79789060583762605</v>
      </c>
      <c r="K5265">
        <v>0.94929854787102996</v>
      </c>
      <c r="L5265">
        <v>0.86703422107884398</v>
      </c>
      <c r="M5265">
        <v>0.56066945606694596</v>
      </c>
      <c r="N5265">
        <v>1</v>
      </c>
      <c r="O5265">
        <v>0.70711297071129697</v>
      </c>
      <c r="P5265" t="s">
        <v>6852</v>
      </c>
      <c r="Q5265" t="s">
        <v>6853</v>
      </c>
      <c r="R5265" t="s">
        <v>113</v>
      </c>
      <c r="S5265" t="s">
        <v>114</v>
      </c>
      <c r="T5265"/>
      <c r="U5265"/>
      <c r="V5265" t="s">
        <v>6856</v>
      </c>
      <c r="W5265" t="s">
        <v>6857</v>
      </c>
      <c r="X5265"/>
      <c r="Y5265"/>
      <c r="Z5265"/>
      <c r="AA5265"/>
      <c r="AB5265"/>
      <c r="AC5265"/>
      <c r="AD5265"/>
      <c r="AE5265"/>
      <c r="AF5265" t="e">
        <f>--------------MSIGVVLEQLRVEFPDVTVSKIRFLESEGLISPQRTASGYRRFTEKDVQRLRYILVTQRDNYLPLKVIREQLEAMDSGAVTSILTKAQVEPMISPDNFRAPTSTRLTDVDVADQAGVDEAFIGVLLREGLIKPDASGHFTADDIRIATTAWALQEFGFDARHLKSLRNAATRQAGLIGQVATPVARSRSDVARQRAEELSQQMTALVVSLHADLVKTSLRDELGM</f>
        <v>#NAME?</v>
      </c>
    </row>
    <row r="5266" spans="1:32" s="1" customFormat="1" hidden="1" x14ac:dyDescent="0.35">
      <c r="A5266">
        <v>5066</v>
      </c>
      <c r="B5266" t="s">
        <v>10579</v>
      </c>
      <c r="C5266" t="s">
        <v>10127</v>
      </c>
      <c r="D5266" t="s">
        <v>34</v>
      </c>
      <c r="E5266">
        <v>1674</v>
      </c>
      <c r="F5266">
        <v>4</v>
      </c>
      <c r="G5266">
        <v>4</v>
      </c>
      <c r="H5266">
        <v>1</v>
      </c>
      <c r="I5266">
        <v>0</v>
      </c>
      <c r="J5266">
        <v>0.79789060583762605</v>
      </c>
      <c r="K5266">
        <v>0.94929854787102996</v>
      </c>
      <c r="L5266">
        <v>0.86703422107884398</v>
      </c>
      <c r="M5266">
        <v>0.56066945606694596</v>
      </c>
      <c r="N5266">
        <v>1</v>
      </c>
      <c r="O5266">
        <v>0.70711297071129697</v>
      </c>
      <c r="P5266" t="s">
        <v>6852</v>
      </c>
      <c r="Q5266" t="s">
        <v>6853</v>
      </c>
      <c r="R5266" t="s">
        <v>113</v>
      </c>
      <c r="S5266" t="s">
        <v>114</v>
      </c>
      <c r="T5266"/>
      <c r="U5266"/>
      <c r="V5266" t="s">
        <v>6856</v>
      </c>
      <c r="W5266" t="s">
        <v>6857</v>
      </c>
      <c r="X5266"/>
      <c r="Y5266"/>
      <c r="Z5266"/>
      <c r="AA5266"/>
      <c r="AB5266"/>
      <c r="AC5266"/>
      <c r="AD5266"/>
      <c r="AE5266"/>
      <c r="AF5266" t="s">
        <v>10580</v>
      </c>
    </row>
    <row r="5267" spans="1:32" s="1" customFormat="1" hidden="1" x14ac:dyDescent="0.35">
      <c r="A5267">
        <v>5067</v>
      </c>
      <c r="B5267" t="s">
        <v>10579</v>
      </c>
      <c r="C5267" t="s">
        <v>10127</v>
      </c>
      <c r="D5267" t="s">
        <v>45</v>
      </c>
      <c r="E5267">
        <v>1202</v>
      </c>
      <c r="F5267">
        <v>4</v>
      </c>
      <c r="G5267">
        <v>4</v>
      </c>
      <c r="H5267">
        <v>1</v>
      </c>
      <c r="I5267">
        <v>0</v>
      </c>
      <c r="J5267">
        <v>0.79789060583762605</v>
      </c>
      <c r="K5267">
        <v>0.94929854787102996</v>
      </c>
      <c r="L5267">
        <v>0.86703422107884398</v>
      </c>
      <c r="M5267">
        <v>0.56066945606694596</v>
      </c>
      <c r="N5267">
        <v>1</v>
      </c>
      <c r="O5267">
        <v>0.70711297071129697</v>
      </c>
      <c r="P5267" t="s">
        <v>6852</v>
      </c>
      <c r="Q5267" t="s">
        <v>6853</v>
      </c>
      <c r="R5267" t="s">
        <v>113</v>
      </c>
      <c r="S5267" t="s">
        <v>114</v>
      </c>
      <c r="T5267"/>
      <c r="U5267"/>
      <c r="V5267" t="s">
        <v>6856</v>
      </c>
      <c r="W5267" t="s">
        <v>6857</v>
      </c>
      <c r="X5267"/>
      <c r="Y5267"/>
      <c r="Z5267"/>
      <c r="AA5267"/>
      <c r="AB5267"/>
      <c r="AC5267"/>
      <c r="AD5267"/>
      <c r="AE5267"/>
      <c r="AF5267" t="s">
        <v>10580</v>
      </c>
    </row>
    <row r="5268" spans="1:32" s="1" customFormat="1" hidden="1" x14ac:dyDescent="0.35">
      <c r="A5268">
        <v>5096</v>
      </c>
      <c r="B5268" t="s">
        <v>10637</v>
      </c>
      <c r="C5268" t="s">
        <v>10127</v>
      </c>
      <c r="D5268" t="s">
        <v>60</v>
      </c>
      <c r="E5268">
        <v>2179</v>
      </c>
      <c r="F5268">
        <v>4</v>
      </c>
      <c r="G5268">
        <v>4</v>
      </c>
      <c r="H5268">
        <v>1</v>
      </c>
      <c r="I5268">
        <v>0</v>
      </c>
      <c r="J5268">
        <v>0.85428051001821503</v>
      </c>
      <c r="K5268">
        <v>0.97368870178632205</v>
      </c>
      <c r="L5268">
        <v>0.91008456312002295</v>
      </c>
      <c r="M5268">
        <v>0.69148936170212805</v>
      </c>
      <c r="N5268">
        <v>1</v>
      </c>
      <c r="O5268">
        <v>0.79432624113475203</v>
      </c>
      <c r="P5268" t="s">
        <v>1452</v>
      </c>
      <c r="Q5268" t="s">
        <v>1453</v>
      </c>
      <c r="R5268" t="s">
        <v>113</v>
      </c>
      <c r="S5268" t="s">
        <v>114</v>
      </c>
      <c r="T5268" t="s">
        <v>1454</v>
      </c>
      <c r="U5268" t="s">
        <v>1455</v>
      </c>
      <c r="V5268" t="s">
        <v>807</v>
      </c>
      <c r="W5268" t="s">
        <v>808</v>
      </c>
      <c r="X5268" t="s">
        <v>807</v>
      </c>
      <c r="Y5268" t="s">
        <v>119</v>
      </c>
      <c r="Z5268"/>
      <c r="AA5268"/>
      <c r="AB5268"/>
      <c r="AC5268"/>
      <c r="AD5268" t="s">
        <v>125</v>
      </c>
      <c r="AE5268" t="s">
        <v>126</v>
      </c>
      <c r="AF5268" t="s">
        <v>10638</v>
      </c>
    </row>
    <row r="5269" spans="1:32" hidden="1" x14ac:dyDescent="0.35">
      <c r="A5269">
        <v>5268</v>
      </c>
      <c r="B5269" t="s">
        <v>10929</v>
      </c>
      <c r="C5269" t="s">
        <v>10127</v>
      </c>
      <c r="D5269" t="s">
        <v>60</v>
      </c>
      <c r="E5269">
        <v>2283</v>
      </c>
      <c r="F5269">
        <v>4</v>
      </c>
      <c r="G5269">
        <v>4</v>
      </c>
      <c r="H5269">
        <v>1</v>
      </c>
      <c r="I5269">
        <v>0</v>
      </c>
      <c r="J5269">
        <v>0.81972789115646305</v>
      </c>
      <c r="K5269">
        <v>0.68207450444292494</v>
      </c>
      <c r="L5269">
        <v>0.74459262653584801</v>
      </c>
      <c r="M5269">
        <v>0.33834586466165401</v>
      </c>
      <c r="N5269">
        <v>1</v>
      </c>
      <c r="O5269">
        <v>0.63659147869674204</v>
      </c>
      <c r="R5269" t="s">
        <v>1259</v>
      </c>
      <c r="S5269" t="s">
        <v>1260</v>
      </c>
      <c r="V5269" t="s">
        <v>10930</v>
      </c>
      <c r="W5269" t="s">
        <v>5819</v>
      </c>
      <c r="AF5269" t="s">
        <v>10931</v>
      </c>
    </row>
    <row r="5270" spans="1:32" hidden="1" x14ac:dyDescent="0.35">
      <c r="A5270">
        <v>5269</v>
      </c>
      <c r="B5270" t="s">
        <v>10929</v>
      </c>
      <c r="C5270" t="s">
        <v>10127</v>
      </c>
      <c r="D5270" t="s">
        <v>62</v>
      </c>
      <c r="E5270">
        <v>2312</v>
      </c>
      <c r="F5270">
        <v>4</v>
      </c>
      <c r="G5270">
        <v>4</v>
      </c>
      <c r="H5270">
        <v>1</v>
      </c>
      <c r="I5270">
        <v>0</v>
      </c>
      <c r="J5270">
        <v>0.81972789115646305</v>
      </c>
      <c r="K5270">
        <v>0.68207450444292494</v>
      </c>
      <c r="L5270">
        <v>0.74459262653584801</v>
      </c>
      <c r="M5270">
        <v>0.33834586466165401</v>
      </c>
      <c r="N5270">
        <v>1</v>
      </c>
      <c r="O5270">
        <v>0.63659147869674204</v>
      </c>
      <c r="R5270" t="s">
        <v>1259</v>
      </c>
      <c r="S5270" t="s">
        <v>1260</v>
      </c>
      <c r="V5270" t="s">
        <v>10930</v>
      </c>
      <c r="W5270" t="s">
        <v>5819</v>
      </c>
      <c r="AF5270" t="s">
        <v>10931</v>
      </c>
    </row>
    <row r="5271" spans="1:32" hidden="1" x14ac:dyDescent="0.35">
      <c r="A5271">
        <v>5270</v>
      </c>
      <c r="B5271" t="s">
        <v>10929</v>
      </c>
      <c r="C5271" t="s">
        <v>10127</v>
      </c>
      <c r="D5271" t="s">
        <v>34</v>
      </c>
      <c r="E5271">
        <v>27</v>
      </c>
      <c r="F5271">
        <v>4</v>
      </c>
      <c r="G5271">
        <v>4</v>
      </c>
      <c r="H5271">
        <v>1</v>
      </c>
      <c r="I5271">
        <v>0</v>
      </c>
      <c r="J5271">
        <v>0.81972789115646305</v>
      </c>
      <c r="K5271">
        <v>0.68207450444292494</v>
      </c>
      <c r="L5271">
        <v>0.74459262653584801</v>
      </c>
      <c r="M5271">
        <v>0.33834586466165401</v>
      </c>
      <c r="N5271">
        <v>1</v>
      </c>
      <c r="O5271">
        <v>0.63659147869674204</v>
      </c>
      <c r="R5271" t="s">
        <v>1259</v>
      </c>
      <c r="S5271" t="s">
        <v>1260</v>
      </c>
      <c r="V5271" t="s">
        <v>10930</v>
      </c>
      <c r="W5271" t="s">
        <v>5819</v>
      </c>
      <c r="AF5271" t="s">
        <v>10932</v>
      </c>
    </row>
    <row r="5272" spans="1:32" hidden="1" x14ac:dyDescent="0.35">
      <c r="A5272">
        <v>5271</v>
      </c>
      <c r="B5272" t="s">
        <v>10929</v>
      </c>
      <c r="C5272" t="s">
        <v>10127</v>
      </c>
      <c r="D5272" t="s">
        <v>45</v>
      </c>
      <c r="E5272">
        <v>1284</v>
      </c>
      <c r="F5272">
        <v>4</v>
      </c>
      <c r="G5272">
        <v>4</v>
      </c>
      <c r="H5272">
        <v>1</v>
      </c>
      <c r="I5272">
        <v>0</v>
      </c>
      <c r="J5272">
        <v>0.81972789115646305</v>
      </c>
      <c r="K5272">
        <v>0.68207450444292494</v>
      </c>
      <c r="L5272">
        <v>0.74459262653584801</v>
      </c>
      <c r="M5272">
        <v>0.33834586466165401</v>
      </c>
      <c r="N5272">
        <v>1</v>
      </c>
      <c r="O5272">
        <v>0.63659147869674204</v>
      </c>
      <c r="R5272" t="s">
        <v>1259</v>
      </c>
      <c r="S5272" t="s">
        <v>1260</v>
      </c>
      <c r="V5272" t="s">
        <v>10930</v>
      </c>
      <c r="W5272" t="s">
        <v>5819</v>
      </c>
      <c r="AF5272" t="s">
        <v>10933</v>
      </c>
    </row>
    <row r="5273" spans="1:32" hidden="1" x14ac:dyDescent="0.35">
      <c r="A5273">
        <v>5272</v>
      </c>
      <c r="B5273" t="s">
        <v>10934</v>
      </c>
      <c r="C5273" t="s">
        <v>10127</v>
      </c>
      <c r="D5273" t="s">
        <v>60</v>
      </c>
      <c r="E5273">
        <v>2324</v>
      </c>
      <c r="F5273">
        <v>4</v>
      </c>
      <c r="G5273">
        <v>4</v>
      </c>
      <c r="H5273">
        <v>1</v>
      </c>
      <c r="I5273">
        <v>0</v>
      </c>
      <c r="J5273">
        <v>0.75008426019548402</v>
      </c>
      <c r="K5273">
        <v>0.97552075102862701</v>
      </c>
      <c r="L5273">
        <v>0.84807676853184399</v>
      </c>
      <c r="M5273">
        <v>0.49704142011834301</v>
      </c>
      <c r="N5273">
        <v>1</v>
      </c>
      <c r="O5273">
        <v>0.664201183431953</v>
      </c>
      <c r="P5273" t="s">
        <v>10935</v>
      </c>
      <c r="Q5273" t="s">
        <v>10936</v>
      </c>
      <c r="R5273" t="s">
        <v>8445</v>
      </c>
      <c r="S5273" t="s">
        <v>8446</v>
      </c>
      <c r="T5273" t="s">
        <v>10937</v>
      </c>
      <c r="U5273" t="s">
        <v>10938</v>
      </c>
      <c r="V5273" t="s">
        <v>10939</v>
      </c>
      <c r="W5273" t="s">
        <v>10940</v>
      </c>
      <c r="AD5273" t="s">
        <v>166</v>
      </c>
      <c r="AE5273" t="s">
        <v>10941</v>
      </c>
      <c r="AF5273" t="s">
        <v>10942</v>
      </c>
    </row>
    <row r="5274" spans="1:32" hidden="1" x14ac:dyDescent="0.35">
      <c r="A5274">
        <v>5273</v>
      </c>
      <c r="B5274" t="s">
        <v>10934</v>
      </c>
      <c r="C5274" t="s">
        <v>10127</v>
      </c>
      <c r="D5274" t="s">
        <v>62</v>
      </c>
      <c r="E5274">
        <v>2352</v>
      </c>
      <c r="F5274">
        <v>4</v>
      </c>
      <c r="G5274">
        <v>4</v>
      </c>
      <c r="H5274">
        <v>1</v>
      </c>
      <c r="I5274">
        <v>0</v>
      </c>
      <c r="J5274">
        <v>0.75008426019548402</v>
      </c>
      <c r="K5274">
        <v>0.97552075102862701</v>
      </c>
      <c r="L5274">
        <v>0.84807676853184399</v>
      </c>
      <c r="M5274">
        <v>0.49704142011834301</v>
      </c>
      <c r="N5274">
        <v>1</v>
      </c>
      <c r="O5274">
        <v>0.664201183431953</v>
      </c>
      <c r="P5274" t="s">
        <v>10935</v>
      </c>
      <c r="Q5274" t="s">
        <v>10936</v>
      </c>
      <c r="R5274" t="s">
        <v>8445</v>
      </c>
      <c r="S5274" t="s">
        <v>8446</v>
      </c>
      <c r="T5274" t="s">
        <v>10937</v>
      </c>
      <c r="U5274" t="s">
        <v>10938</v>
      </c>
      <c r="V5274" t="s">
        <v>10939</v>
      </c>
      <c r="W5274" t="s">
        <v>10940</v>
      </c>
      <c r="AD5274" t="s">
        <v>166</v>
      </c>
      <c r="AE5274" t="s">
        <v>10941</v>
      </c>
      <c r="AF5274" t="s">
        <v>10942</v>
      </c>
    </row>
    <row r="5275" spans="1:32" hidden="1" x14ac:dyDescent="0.35">
      <c r="A5275">
        <v>5274</v>
      </c>
      <c r="B5275" t="s">
        <v>10934</v>
      </c>
      <c r="C5275" t="s">
        <v>10127</v>
      </c>
      <c r="D5275" t="s">
        <v>34</v>
      </c>
      <c r="E5275">
        <v>1467</v>
      </c>
      <c r="F5275">
        <v>4</v>
      </c>
      <c r="G5275">
        <v>4</v>
      </c>
      <c r="H5275">
        <v>1</v>
      </c>
      <c r="I5275">
        <v>0</v>
      </c>
      <c r="J5275">
        <v>0.75008426019548402</v>
      </c>
      <c r="K5275">
        <v>0.97552075102862701</v>
      </c>
      <c r="L5275">
        <v>0.84807676853184399</v>
      </c>
      <c r="M5275">
        <v>0.49704142011834301</v>
      </c>
      <c r="N5275">
        <v>1</v>
      </c>
      <c r="O5275">
        <v>0.664201183431953</v>
      </c>
      <c r="P5275" t="s">
        <v>10935</v>
      </c>
      <c r="Q5275" t="s">
        <v>10936</v>
      </c>
      <c r="R5275" t="s">
        <v>8445</v>
      </c>
      <c r="S5275" t="s">
        <v>8446</v>
      </c>
      <c r="T5275" t="s">
        <v>10937</v>
      </c>
      <c r="U5275" t="s">
        <v>10938</v>
      </c>
      <c r="V5275" t="s">
        <v>10939</v>
      </c>
      <c r="W5275" t="s">
        <v>10940</v>
      </c>
      <c r="AD5275" t="s">
        <v>166</v>
      </c>
      <c r="AE5275" t="s">
        <v>10941</v>
      </c>
      <c r="AF5275" t="s">
        <v>10943</v>
      </c>
    </row>
    <row r="5276" spans="1:32" hidden="1" x14ac:dyDescent="0.35">
      <c r="A5276">
        <v>5275</v>
      </c>
      <c r="B5276" t="s">
        <v>10934</v>
      </c>
      <c r="C5276" t="s">
        <v>10127</v>
      </c>
      <c r="D5276" t="s">
        <v>45</v>
      </c>
      <c r="E5276">
        <v>218</v>
      </c>
      <c r="F5276">
        <v>4</v>
      </c>
      <c r="G5276">
        <v>4</v>
      </c>
      <c r="H5276">
        <v>1</v>
      </c>
      <c r="I5276">
        <v>0</v>
      </c>
      <c r="J5276">
        <v>0.75008426019548402</v>
      </c>
      <c r="K5276">
        <v>0.97552075102862701</v>
      </c>
      <c r="L5276">
        <v>0.84807676853184399</v>
      </c>
      <c r="M5276">
        <v>0.49704142011834301</v>
      </c>
      <c r="N5276">
        <v>1</v>
      </c>
      <c r="O5276">
        <v>0.664201183431953</v>
      </c>
      <c r="P5276" t="s">
        <v>10935</v>
      </c>
      <c r="Q5276" t="s">
        <v>10936</v>
      </c>
      <c r="R5276" t="s">
        <v>8445</v>
      </c>
      <c r="S5276" t="s">
        <v>8446</v>
      </c>
      <c r="T5276" t="s">
        <v>10937</v>
      </c>
      <c r="U5276" t="s">
        <v>10938</v>
      </c>
      <c r="V5276" t="s">
        <v>10939</v>
      </c>
      <c r="W5276" t="s">
        <v>10940</v>
      </c>
      <c r="AD5276" t="s">
        <v>166</v>
      </c>
      <c r="AE5276" t="s">
        <v>10941</v>
      </c>
      <c r="AF5276" t="s">
        <v>10944</v>
      </c>
    </row>
    <row r="5277" spans="1:32" hidden="1" x14ac:dyDescent="0.35">
      <c r="A5277">
        <v>5097</v>
      </c>
      <c r="B5277" t="s">
        <v>10637</v>
      </c>
      <c r="C5277" t="s">
        <v>10127</v>
      </c>
      <c r="D5277" t="s">
        <v>62</v>
      </c>
      <c r="E5277">
        <v>2213</v>
      </c>
      <c r="F5277">
        <v>4</v>
      </c>
      <c r="G5277">
        <v>4</v>
      </c>
      <c r="H5277">
        <v>1</v>
      </c>
      <c r="I5277">
        <v>0</v>
      </c>
      <c r="J5277">
        <v>0.85428051001821503</v>
      </c>
      <c r="K5277">
        <v>0.97368870178632205</v>
      </c>
      <c r="L5277">
        <v>0.91008456312002295</v>
      </c>
      <c r="M5277">
        <v>0.69148936170212805</v>
      </c>
      <c r="N5277">
        <v>1</v>
      </c>
      <c r="O5277">
        <v>0.79432624113475203</v>
      </c>
      <c r="P5277" t="s">
        <v>1452</v>
      </c>
      <c r="Q5277" t="s">
        <v>1453</v>
      </c>
      <c r="R5277" t="s">
        <v>113</v>
      </c>
      <c r="S5277" t="s">
        <v>114</v>
      </c>
      <c r="T5277" t="s">
        <v>1454</v>
      </c>
      <c r="U5277" t="s">
        <v>1455</v>
      </c>
      <c r="V5277" t="s">
        <v>807</v>
      </c>
      <c r="W5277" t="s">
        <v>808</v>
      </c>
      <c r="X5277" t="s">
        <v>807</v>
      </c>
      <c r="Y5277" t="s">
        <v>119</v>
      </c>
      <c r="AD5277" t="s">
        <v>125</v>
      </c>
      <c r="AE5277" t="s">
        <v>126</v>
      </c>
      <c r="AF5277" t="s">
        <v>10638</v>
      </c>
    </row>
    <row r="5278" spans="1:32" hidden="1" x14ac:dyDescent="0.35">
      <c r="A5278">
        <v>5098</v>
      </c>
      <c r="B5278" t="s">
        <v>10637</v>
      </c>
      <c r="C5278" t="s">
        <v>10127</v>
      </c>
      <c r="D5278" t="s">
        <v>34</v>
      </c>
      <c r="E5278">
        <v>995</v>
      </c>
      <c r="F5278">
        <v>4</v>
      </c>
      <c r="G5278">
        <v>4</v>
      </c>
      <c r="H5278">
        <v>1</v>
      </c>
      <c r="I5278">
        <v>0</v>
      </c>
      <c r="J5278">
        <v>0.85428051001821503</v>
      </c>
      <c r="K5278">
        <v>0.97368870178632205</v>
      </c>
      <c r="L5278">
        <v>0.91008456312002295</v>
      </c>
      <c r="M5278">
        <v>0.69148936170212805</v>
      </c>
      <c r="N5278">
        <v>1</v>
      </c>
      <c r="O5278">
        <v>0.79432624113475203</v>
      </c>
      <c r="P5278" t="s">
        <v>1452</v>
      </c>
      <c r="Q5278" t="s">
        <v>1453</v>
      </c>
      <c r="R5278" t="s">
        <v>113</v>
      </c>
      <c r="S5278" t="s">
        <v>114</v>
      </c>
      <c r="T5278" t="s">
        <v>1454</v>
      </c>
      <c r="U5278" t="s">
        <v>1455</v>
      </c>
      <c r="V5278" t="s">
        <v>807</v>
      </c>
      <c r="W5278" t="s">
        <v>808</v>
      </c>
      <c r="X5278" t="s">
        <v>807</v>
      </c>
      <c r="Y5278" t="s">
        <v>119</v>
      </c>
      <c r="AD5278" t="s">
        <v>125</v>
      </c>
      <c r="AE5278" t="s">
        <v>126</v>
      </c>
      <c r="AF5278" t="e">
        <f>-----MISNDRETELELIRLAQAGDQRAFRQLIQEAHSRMWAVCLSTTGNRHDAEDALQNALTSIWRNIGKFEPRAKFSTWAYRIASNAALHVIRSRRDTLDADAGMSEPDKYSLVDDQVTASIVIRRALQTLSPEFKEAIILREYAGMNYQEIAEHQQVGVQTVKSRLNRARTRLREALEEAGVNRA</f>
        <v>#NAME?</v>
      </c>
    </row>
    <row r="5279" spans="1:32" hidden="1" x14ac:dyDescent="0.35">
      <c r="A5279">
        <v>5099</v>
      </c>
      <c r="B5279" t="s">
        <v>10637</v>
      </c>
      <c r="C5279" t="s">
        <v>10127</v>
      </c>
      <c r="D5279" t="s">
        <v>45</v>
      </c>
      <c r="E5279">
        <v>2249</v>
      </c>
      <c r="F5279">
        <v>4</v>
      </c>
      <c r="G5279">
        <v>4</v>
      </c>
      <c r="H5279">
        <v>1</v>
      </c>
      <c r="I5279">
        <v>0</v>
      </c>
      <c r="J5279">
        <v>0.85428051001821503</v>
      </c>
      <c r="K5279">
        <v>0.97368870178632205</v>
      </c>
      <c r="L5279">
        <v>0.91008456312002295</v>
      </c>
      <c r="M5279">
        <v>0.69148936170212805</v>
      </c>
      <c r="N5279">
        <v>1</v>
      </c>
      <c r="O5279">
        <v>0.79432624113475203</v>
      </c>
      <c r="P5279" t="s">
        <v>1452</v>
      </c>
      <c r="Q5279" t="s">
        <v>1453</v>
      </c>
      <c r="R5279" t="s">
        <v>113</v>
      </c>
      <c r="S5279" t="s">
        <v>114</v>
      </c>
      <c r="T5279" t="s">
        <v>1454</v>
      </c>
      <c r="U5279" t="s">
        <v>1455</v>
      </c>
      <c r="V5279" t="s">
        <v>807</v>
      </c>
      <c r="W5279" t="s">
        <v>808</v>
      </c>
      <c r="X5279" t="s">
        <v>807</v>
      </c>
      <c r="Y5279" t="s">
        <v>119</v>
      </c>
      <c r="AD5279" t="s">
        <v>125</v>
      </c>
      <c r="AE5279" t="s">
        <v>126</v>
      </c>
      <c r="AF5279" t="e">
        <f>-----MISNDRETELELIRLAQAGDQRAFRQLIQEAHSRMWAVCLSTTGNRHDAEDALQNALTSIWRNIGKFEPRAKFSTWAYRIASNAALHVIRSRRDTLDADAGMSEPDKYSLVDDQVTASIVIRRALQTLSPEFKEAIILREYAGMNYQEIAEHQQVGVQTVKSRLNRARTRLREALEEAGVNRA</f>
        <v>#NAME?</v>
      </c>
    </row>
    <row r="5280" spans="1:32" hidden="1" x14ac:dyDescent="0.35">
      <c r="A5280">
        <v>5144</v>
      </c>
      <c r="B5280" t="s">
        <v>10723</v>
      </c>
      <c r="C5280" t="s">
        <v>10127</v>
      </c>
      <c r="D5280" t="s">
        <v>60</v>
      </c>
      <c r="E5280">
        <v>2538</v>
      </c>
      <c r="F5280">
        <v>4</v>
      </c>
      <c r="G5280">
        <v>4</v>
      </c>
      <c r="H5280">
        <v>1</v>
      </c>
      <c r="I5280">
        <v>0</v>
      </c>
      <c r="J5280">
        <v>0.80292979546710896</v>
      </c>
      <c r="K5280">
        <v>1</v>
      </c>
      <c r="L5280">
        <v>0.89069446573662403</v>
      </c>
      <c r="M5280">
        <v>0.59203980099502496</v>
      </c>
      <c r="N5280">
        <v>1</v>
      </c>
      <c r="O5280">
        <v>0.72719734660033197</v>
      </c>
      <c r="P5280" t="s">
        <v>10724</v>
      </c>
      <c r="Q5280" t="s">
        <v>10725</v>
      </c>
      <c r="R5280" t="s">
        <v>113</v>
      </c>
      <c r="S5280" t="s">
        <v>114</v>
      </c>
      <c r="T5280" t="s">
        <v>10726</v>
      </c>
      <c r="U5280" t="s">
        <v>10727</v>
      </c>
      <c r="V5280" t="s">
        <v>10728</v>
      </c>
      <c r="W5280" t="s">
        <v>10729</v>
      </c>
      <c r="AD5280" t="s">
        <v>312</v>
      </c>
      <c r="AE5280" t="s">
        <v>805</v>
      </c>
      <c r="AF5280" t="s">
        <v>10730</v>
      </c>
    </row>
    <row r="5281" spans="1:32" hidden="1" x14ac:dyDescent="0.35">
      <c r="A5281">
        <v>5145</v>
      </c>
      <c r="B5281" t="s">
        <v>10723</v>
      </c>
      <c r="C5281" t="s">
        <v>10127</v>
      </c>
      <c r="D5281" t="s">
        <v>62</v>
      </c>
      <c r="E5281">
        <v>63</v>
      </c>
      <c r="F5281">
        <v>4</v>
      </c>
      <c r="G5281">
        <v>4</v>
      </c>
      <c r="H5281">
        <v>1</v>
      </c>
      <c r="I5281">
        <v>0</v>
      </c>
      <c r="J5281">
        <v>0.80292979546710896</v>
      </c>
      <c r="K5281">
        <v>1</v>
      </c>
      <c r="L5281">
        <v>0.89069446573662403</v>
      </c>
      <c r="M5281">
        <v>0.59203980099502496</v>
      </c>
      <c r="N5281">
        <v>1</v>
      </c>
      <c r="O5281">
        <v>0.72719734660033197</v>
      </c>
      <c r="P5281" t="s">
        <v>10724</v>
      </c>
      <c r="Q5281" t="s">
        <v>10725</v>
      </c>
      <c r="R5281" t="s">
        <v>113</v>
      </c>
      <c r="S5281" t="s">
        <v>114</v>
      </c>
      <c r="T5281" t="s">
        <v>10726</v>
      </c>
      <c r="U5281" t="s">
        <v>10727</v>
      </c>
      <c r="V5281" t="s">
        <v>10728</v>
      </c>
      <c r="W5281" t="s">
        <v>10729</v>
      </c>
      <c r="AD5281" t="s">
        <v>312</v>
      </c>
      <c r="AE5281" t="s">
        <v>805</v>
      </c>
      <c r="AF5281" t="s">
        <v>10731</v>
      </c>
    </row>
    <row r="5282" spans="1:32" hidden="1" x14ac:dyDescent="0.35">
      <c r="A5282">
        <v>5146</v>
      </c>
      <c r="B5282" t="s">
        <v>10723</v>
      </c>
      <c r="C5282" t="s">
        <v>10127</v>
      </c>
      <c r="D5282" t="s">
        <v>34</v>
      </c>
      <c r="E5282">
        <v>1107</v>
      </c>
      <c r="F5282">
        <v>4</v>
      </c>
      <c r="G5282">
        <v>4</v>
      </c>
      <c r="H5282">
        <v>1</v>
      </c>
      <c r="I5282">
        <v>0</v>
      </c>
      <c r="J5282">
        <v>0.80292979546710896</v>
      </c>
      <c r="K5282">
        <v>1</v>
      </c>
      <c r="L5282">
        <v>0.89069446573662403</v>
      </c>
      <c r="M5282">
        <v>0.59203980099502496</v>
      </c>
      <c r="N5282">
        <v>1</v>
      </c>
      <c r="O5282">
        <v>0.72719734660033197</v>
      </c>
      <c r="P5282" t="s">
        <v>10724</v>
      </c>
      <c r="Q5282" t="s">
        <v>10725</v>
      </c>
      <c r="R5282" t="s">
        <v>113</v>
      </c>
      <c r="S5282" t="s">
        <v>114</v>
      </c>
      <c r="T5282" t="s">
        <v>10726</v>
      </c>
      <c r="U5282" t="s">
        <v>10727</v>
      </c>
      <c r="V5282" t="s">
        <v>10728</v>
      </c>
      <c r="W5282" t="s">
        <v>10729</v>
      </c>
      <c r="AD5282" t="s">
        <v>312</v>
      </c>
      <c r="AE5282" t="s">
        <v>805</v>
      </c>
      <c r="AF5282" t="s">
        <v>10732</v>
      </c>
    </row>
    <row r="5283" spans="1:32" hidden="1" x14ac:dyDescent="0.35">
      <c r="A5283">
        <v>5147</v>
      </c>
      <c r="B5283" t="s">
        <v>10723</v>
      </c>
      <c r="C5283" t="s">
        <v>10127</v>
      </c>
      <c r="D5283" t="s">
        <v>45</v>
      </c>
      <c r="E5283">
        <v>2361</v>
      </c>
      <c r="F5283">
        <v>4</v>
      </c>
      <c r="G5283">
        <v>4</v>
      </c>
      <c r="H5283">
        <v>1</v>
      </c>
      <c r="I5283">
        <v>0</v>
      </c>
      <c r="J5283">
        <v>0.80292979546710896</v>
      </c>
      <c r="K5283">
        <v>1</v>
      </c>
      <c r="L5283">
        <v>0.89069446573662403</v>
      </c>
      <c r="M5283">
        <v>0.59203980099502496</v>
      </c>
      <c r="N5283">
        <v>1</v>
      </c>
      <c r="O5283">
        <v>0.72719734660033197</v>
      </c>
      <c r="P5283" t="s">
        <v>10724</v>
      </c>
      <c r="Q5283" t="s">
        <v>10725</v>
      </c>
      <c r="R5283" t="s">
        <v>113</v>
      </c>
      <c r="S5283" t="s">
        <v>114</v>
      </c>
      <c r="T5283" t="s">
        <v>10726</v>
      </c>
      <c r="U5283" t="s">
        <v>10727</v>
      </c>
      <c r="V5283" t="s">
        <v>10728</v>
      </c>
      <c r="W5283" t="s">
        <v>10729</v>
      </c>
      <c r="AD5283" t="s">
        <v>312</v>
      </c>
      <c r="AE5283" t="s">
        <v>805</v>
      </c>
      <c r="AF5283" t="s">
        <v>10732</v>
      </c>
    </row>
    <row r="5284" spans="1:32" hidden="1" x14ac:dyDescent="0.35">
      <c r="A5284">
        <v>5152</v>
      </c>
      <c r="B5284" t="s">
        <v>10743</v>
      </c>
      <c r="C5284" t="s">
        <v>10127</v>
      </c>
      <c r="D5284" t="s">
        <v>34</v>
      </c>
      <c r="E5284">
        <v>1206</v>
      </c>
      <c r="F5284">
        <v>2</v>
      </c>
      <c r="G5284">
        <v>4</v>
      </c>
      <c r="H5284">
        <v>2</v>
      </c>
      <c r="I5284">
        <v>0</v>
      </c>
      <c r="J5284">
        <v>0.82568807339449501</v>
      </c>
      <c r="K5284">
        <v>0.90267489711934101</v>
      </c>
      <c r="L5284">
        <v>0.86246686537430195</v>
      </c>
      <c r="M5284">
        <v>0.56790123456790098</v>
      </c>
      <c r="N5284">
        <v>1</v>
      </c>
      <c r="O5284">
        <v>0.71193415637860102</v>
      </c>
      <c r="P5284" t="s">
        <v>10744</v>
      </c>
      <c r="Q5284" t="s">
        <v>10745</v>
      </c>
      <c r="R5284" t="s">
        <v>113</v>
      </c>
      <c r="S5284" t="s">
        <v>114</v>
      </c>
      <c r="T5284" t="s">
        <v>10746</v>
      </c>
      <c r="U5284" t="s">
        <v>10727</v>
      </c>
      <c r="V5284" t="s">
        <v>2881</v>
      </c>
      <c r="W5284" t="s">
        <v>2882</v>
      </c>
      <c r="AD5284" t="s">
        <v>312</v>
      </c>
      <c r="AE5284" t="s">
        <v>1656</v>
      </c>
      <c r="AF5284" t="s">
        <v>10747</v>
      </c>
    </row>
    <row r="5285" spans="1:32" hidden="1" x14ac:dyDescent="0.35">
      <c r="A5285">
        <v>5153</v>
      </c>
      <c r="B5285" t="s">
        <v>10743</v>
      </c>
      <c r="C5285" t="s">
        <v>10127</v>
      </c>
      <c r="D5285" t="s">
        <v>34</v>
      </c>
      <c r="E5285">
        <v>1172</v>
      </c>
      <c r="F5285">
        <v>2</v>
      </c>
      <c r="G5285">
        <v>4</v>
      </c>
      <c r="H5285">
        <v>2</v>
      </c>
      <c r="I5285">
        <v>0</v>
      </c>
      <c r="J5285">
        <v>0.82568807339449501</v>
      </c>
      <c r="K5285">
        <v>0.90267489711934101</v>
      </c>
      <c r="L5285">
        <v>0.86246686537430195</v>
      </c>
      <c r="M5285">
        <v>0.56790123456790098</v>
      </c>
      <c r="N5285">
        <v>1</v>
      </c>
      <c r="O5285">
        <v>0.71193415637860102</v>
      </c>
      <c r="P5285" t="s">
        <v>10744</v>
      </c>
      <c r="Q5285" t="s">
        <v>10745</v>
      </c>
      <c r="R5285" t="s">
        <v>113</v>
      </c>
      <c r="S5285" t="s">
        <v>114</v>
      </c>
      <c r="V5285" t="s">
        <v>10748</v>
      </c>
      <c r="W5285" t="s">
        <v>10749</v>
      </c>
      <c r="AF5285" t="e">
        <f>---------MSLQQRMRISRENAGLNQEEMAKKIGIGRATYAKTEQGVRELRRGELLAIAAITGVDSHWLETGEVPEAGEN</f>
        <v>#NAME?</v>
      </c>
    </row>
    <row r="5286" spans="1:32" hidden="1" x14ac:dyDescent="0.35">
      <c r="A5286">
        <v>5154</v>
      </c>
      <c r="B5286" t="s">
        <v>10743</v>
      </c>
      <c r="C5286" t="s">
        <v>10127</v>
      </c>
      <c r="D5286" t="s">
        <v>45</v>
      </c>
      <c r="E5286">
        <v>2449</v>
      </c>
      <c r="F5286">
        <v>2</v>
      </c>
      <c r="G5286">
        <v>4</v>
      </c>
      <c r="H5286">
        <v>2</v>
      </c>
      <c r="I5286">
        <v>0</v>
      </c>
      <c r="J5286">
        <v>0.82568807339449501</v>
      </c>
      <c r="K5286">
        <v>0.90267489711934101</v>
      </c>
      <c r="L5286">
        <v>0.86246686537430195</v>
      </c>
      <c r="M5286">
        <v>0.56790123456790098</v>
      </c>
      <c r="N5286">
        <v>1</v>
      </c>
      <c r="O5286">
        <v>0.71193415637860102</v>
      </c>
      <c r="P5286" t="s">
        <v>10744</v>
      </c>
      <c r="Q5286" t="s">
        <v>10745</v>
      </c>
      <c r="R5286" t="s">
        <v>113</v>
      </c>
      <c r="S5286" t="s">
        <v>114</v>
      </c>
      <c r="T5286" t="s">
        <v>10746</v>
      </c>
      <c r="U5286" t="s">
        <v>10727</v>
      </c>
      <c r="V5286" t="s">
        <v>2881</v>
      </c>
      <c r="W5286" t="s">
        <v>2882</v>
      </c>
      <c r="AD5286" t="s">
        <v>312</v>
      </c>
      <c r="AE5286" t="s">
        <v>1656</v>
      </c>
      <c r="AF5286" t="s">
        <v>10747</v>
      </c>
    </row>
    <row r="5287" spans="1:32" hidden="1" x14ac:dyDescent="0.35">
      <c r="A5287">
        <v>5155</v>
      </c>
      <c r="B5287" t="s">
        <v>10743</v>
      </c>
      <c r="C5287" t="s">
        <v>10127</v>
      </c>
      <c r="D5287" t="s">
        <v>45</v>
      </c>
      <c r="E5287">
        <v>2417</v>
      </c>
      <c r="F5287">
        <v>2</v>
      </c>
      <c r="G5287">
        <v>4</v>
      </c>
      <c r="H5287">
        <v>2</v>
      </c>
      <c r="I5287">
        <v>0</v>
      </c>
      <c r="J5287">
        <v>0.82568807339449501</v>
      </c>
      <c r="K5287">
        <v>0.90267489711934101</v>
      </c>
      <c r="L5287">
        <v>0.86246686537430195</v>
      </c>
      <c r="M5287">
        <v>0.56790123456790098</v>
      </c>
      <c r="N5287">
        <v>1</v>
      </c>
      <c r="O5287">
        <v>0.71193415637860102</v>
      </c>
      <c r="P5287" t="s">
        <v>10744</v>
      </c>
      <c r="Q5287" t="s">
        <v>10745</v>
      </c>
      <c r="R5287" t="s">
        <v>113</v>
      </c>
      <c r="S5287" t="s">
        <v>114</v>
      </c>
      <c r="V5287" t="s">
        <v>10748</v>
      </c>
      <c r="W5287" t="s">
        <v>10749</v>
      </c>
      <c r="AF5287" t="e">
        <f>---------MSLQQRMRISRENAGLNQEEMAKKIGIGRATYAKTEQGVREPRRGELLAIAAITGVDSHWLETGEVSEAGEN</f>
        <v>#NAME?</v>
      </c>
    </row>
    <row r="5288" spans="1:32" hidden="1" x14ac:dyDescent="0.35">
      <c r="A5288">
        <v>5160</v>
      </c>
      <c r="B5288" t="s">
        <v>10754</v>
      </c>
      <c r="C5288" t="s">
        <v>10127</v>
      </c>
      <c r="D5288" t="s">
        <v>60</v>
      </c>
      <c r="E5288">
        <v>330</v>
      </c>
      <c r="F5288">
        <v>4</v>
      </c>
      <c r="G5288">
        <v>4</v>
      </c>
      <c r="H5288">
        <v>1</v>
      </c>
      <c r="I5288">
        <v>0</v>
      </c>
      <c r="J5288">
        <v>0.73781512605041999</v>
      </c>
      <c r="K5288">
        <v>0.94581807081807201</v>
      </c>
      <c r="L5288">
        <v>0.82896783033188004</v>
      </c>
      <c r="M5288">
        <v>0.46666666666666701</v>
      </c>
      <c r="N5288">
        <v>1</v>
      </c>
      <c r="O5288">
        <v>0.64444444444444404</v>
      </c>
      <c r="P5288" t="s">
        <v>4625</v>
      </c>
      <c r="Q5288" t="s">
        <v>4626</v>
      </c>
      <c r="R5288" t="s">
        <v>113</v>
      </c>
      <c r="S5288" t="s">
        <v>114</v>
      </c>
      <c r="T5288" t="s">
        <v>10755</v>
      </c>
      <c r="U5288" t="s">
        <v>10756</v>
      </c>
      <c r="V5288" t="s">
        <v>10757</v>
      </c>
      <c r="W5288" t="s">
        <v>10758</v>
      </c>
      <c r="AD5288" t="s">
        <v>312</v>
      </c>
      <c r="AE5288" t="s">
        <v>10759</v>
      </c>
      <c r="AF5288" t="e">
        <f>------MSRVTLSATQHSKASNLFKALADPTRLRILYMIARRGEDNICACDLSEALNVSAPTITHHMKRLSAAGLVDREQHGKWAYYSVNSAQFERVEAIIASID</f>
        <v>#NAME?</v>
      </c>
    </row>
    <row r="5289" spans="1:32" hidden="1" x14ac:dyDescent="0.35">
      <c r="A5289">
        <v>5161</v>
      </c>
      <c r="B5289" t="s">
        <v>10754</v>
      </c>
      <c r="C5289" t="s">
        <v>10127</v>
      </c>
      <c r="D5289" t="s">
        <v>62</v>
      </c>
      <c r="E5289">
        <v>410</v>
      </c>
      <c r="F5289">
        <v>4</v>
      </c>
      <c r="G5289">
        <v>4</v>
      </c>
      <c r="H5289">
        <v>1</v>
      </c>
      <c r="I5289">
        <v>0</v>
      </c>
      <c r="J5289">
        <v>0.73781512605041999</v>
      </c>
      <c r="K5289">
        <v>0.94581807081807201</v>
      </c>
      <c r="L5289">
        <v>0.82896783033188004</v>
      </c>
      <c r="M5289">
        <v>0.46666666666666701</v>
      </c>
      <c r="N5289">
        <v>1</v>
      </c>
      <c r="O5289">
        <v>0.64444444444444404</v>
      </c>
      <c r="P5289" t="s">
        <v>4625</v>
      </c>
      <c r="Q5289" t="s">
        <v>4626</v>
      </c>
      <c r="R5289" t="s">
        <v>113</v>
      </c>
      <c r="S5289" t="s">
        <v>114</v>
      </c>
      <c r="T5289" t="s">
        <v>10755</v>
      </c>
      <c r="U5289" t="s">
        <v>10756</v>
      </c>
      <c r="V5289" t="s">
        <v>10757</v>
      </c>
      <c r="W5289" t="s">
        <v>10758</v>
      </c>
      <c r="AD5289" t="s">
        <v>312</v>
      </c>
      <c r="AE5289" t="s">
        <v>10759</v>
      </c>
      <c r="AF5289" t="e">
        <f>------MSRVTLSATQHSKASNLFKALADPTRLRILYMIARRGEDNICACDLSEALNVSAPTITHHMKRLSAAGLVDREQHGKWAYYSVNSAQFERVEAIIASID</f>
        <v>#NAME?</v>
      </c>
    </row>
    <row r="5290" spans="1:32" hidden="1" x14ac:dyDescent="0.35">
      <c r="A5290">
        <v>5162</v>
      </c>
      <c r="B5290" t="s">
        <v>10754</v>
      </c>
      <c r="C5290" t="s">
        <v>10127</v>
      </c>
      <c r="D5290" t="s">
        <v>34</v>
      </c>
      <c r="E5290">
        <v>832</v>
      </c>
      <c r="F5290">
        <v>4</v>
      </c>
      <c r="G5290">
        <v>4</v>
      </c>
      <c r="H5290">
        <v>1</v>
      </c>
      <c r="I5290">
        <v>0</v>
      </c>
      <c r="J5290">
        <v>0.73781512605041999</v>
      </c>
      <c r="K5290">
        <v>0.94581807081807201</v>
      </c>
      <c r="L5290">
        <v>0.82896783033188004</v>
      </c>
      <c r="M5290">
        <v>0.46666666666666701</v>
      </c>
      <c r="N5290">
        <v>1</v>
      </c>
      <c r="O5290">
        <v>0.64444444444444404</v>
      </c>
      <c r="P5290" t="s">
        <v>4625</v>
      </c>
      <c r="Q5290" t="s">
        <v>4626</v>
      </c>
      <c r="R5290" t="s">
        <v>113</v>
      </c>
      <c r="S5290" t="s">
        <v>114</v>
      </c>
      <c r="T5290" t="s">
        <v>10755</v>
      </c>
      <c r="U5290" t="s">
        <v>10756</v>
      </c>
      <c r="V5290" t="s">
        <v>10757</v>
      </c>
      <c r="W5290" t="s">
        <v>10758</v>
      </c>
      <c r="AD5290" t="s">
        <v>312</v>
      </c>
      <c r="AE5290" t="s">
        <v>10759</v>
      </c>
      <c r="AF5290" t="s">
        <v>10760</v>
      </c>
    </row>
    <row r="5291" spans="1:32" hidden="1" x14ac:dyDescent="0.35">
      <c r="A5291">
        <v>5163</v>
      </c>
      <c r="B5291" t="s">
        <v>10754</v>
      </c>
      <c r="C5291" t="s">
        <v>10127</v>
      </c>
      <c r="D5291" t="s">
        <v>45</v>
      </c>
      <c r="E5291">
        <v>2089</v>
      </c>
      <c r="F5291">
        <v>4</v>
      </c>
      <c r="G5291">
        <v>4</v>
      </c>
      <c r="H5291">
        <v>1</v>
      </c>
      <c r="I5291">
        <v>0</v>
      </c>
      <c r="J5291">
        <v>0.73781512605041999</v>
      </c>
      <c r="K5291">
        <v>0.94581807081807201</v>
      </c>
      <c r="L5291">
        <v>0.82896783033188004</v>
      </c>
      <c r="M5291">
        <v>0.46666666666666701</v>
      </c>
      <c r="N5291">
        <v>1</v>
      </c>
      <c r="O5291">
        <v>0.64444444444444404</v>
      </c>
      <c r="P5291" t="s">
        <v>4625</v>
      </c>
      <c r="Q5291" t="s">
        <v>4626</v>
      </c>
      <c r="R5291" t="s">
        <v>113</v>
      </c>
      <c r="S5291" t="s">
        <v>114</v>
      </c>
      <c r="T5291" t="s">
        <v>10755</v>
      </c>
      <c r="U5291" t="s">
        <v>10756</v>
      </c>
      <c r="V5291" t="s">
        <v>10757</v>
      </c>
      <c r="W5291" t="s">
        <v>10758</v>
      </c>
      <c r="AD5291" t="s">
        <v>312</v>
      </c>
      <c r="AE5291" t="s">
        <v>10759</v>
      </c>
      <c r="AF5291" t="s">
        <v>10760</v>
      </c>
    </row>
    <row r="5292" spans="1:32" hidden="1" x14ac:dyDescent="0.35">
      <c r="A5292">
        <v>5164</v>
      </c>
      <c r="B5292" t="s">
        <v>10761</v>
      </c>
      <c r="C5292" t="s">
        <v>10127</v>
      </c>
      <c r="D5292" t="s">
        <v>60</v>
      </c>
      <c r="E5292">
        <v>34</v>
      </c>
      <c r="F5292">
        <v>4</v>
      </c>
      <c r="G5292">
        <v>4</v>
      </c>
      <c r="H5292">
        <v>1</v>
      </c>
      <c r="I5292">
        <v>0</v>
      </c>
      <c r="J5292">
        <v>0.78242353852109903</v>
      </c>
      <c r="K5292">
        <v>0.98301842229570102</v>
      </c>
      <c r="L5292">
        <v>0.87132488008632303</v>
      </c>
      <c r="M5292">
        <v>0.568493150684932</v>
      </c>
      <c r="N5292">
        <v>1</v>
      </c>
      <c r="O5292">
        <v>0.71004566210045705</v>
      </c>
      <c r="P5292" t="s">
        <v>6852</v>
      </c>
      <c r="Q5292" t="s">
        <v>6853</v>
      </c>
      <c r="R5292" t="s">
        <v>113</v>
      </c>
      <c r="S5292" t="s">
        <v>114</v>
      </c>
      <c r="T5292" t="s">
        <v>10762</v>
      </c>
      <c r="U5292" t="s">
        <v>10763</v>
      </c>
      <c r="V5292" t="s">
        <v>6856</v>
      </c>
      <c r="W5292" t="s">
        <v>6857</v>
      </c>
      <c r="AD5292" t="s">
        <v>312</v>
      </c>
      <c r="AE5292" t="s">
        <v>6858</v>
      </c>
      <c r="AF5292" t="s">
        <v>10764</v>
      </c>
    </row>
    <row r="5293" spans="1:32" hidden="1" x14ac:dyDescent="0.35">
      <c r="A5293">
        <v>5292</v>
      </c>
      <c r="B5293" t="s">
        <v>10983</v>
      </c>
      <c r="C5293" t="s">
        <v>10127</v>
      </c>
      <c r="D5293" t="s">
        <v>60</v>
      </c>
      <c r="E5293">
        <v>2272</v>
      </c>
      <c r="F5293">
        <v>4</v>
      </c>
      <c r="G5293">
        <v>4</v>
      </c>
      <c r="H5293">
        <v>1</v>
      </c>
      <c r="I5293">
        <v>0</v>
      </c>
      <c r="J5293">
        <v>0.78647822765469799</v>
      </c>
      <c r="K5293">
        <v>0.985058340057679</v>
      </c>
      <c r="L5293">
        <v>0.87463838065218602</v>
      </c>
      <c r="M5293">
        <v>0.55079006772008998</v>
      </c>
      <c r="N5293">
        <v>1</v>
      </c>
      <c r="O5293">
        <v>0.70015048908954103</v>
      </c>
      <c r="P5293" t="s">
        <v>2197</v>
      </c>
      <c r="Q5293" t="s">
        <v>2198</v>
      </c>
      <c r="R5293" t="s">
        <v>2199</v>
      </c>
      <c r="S5293" t="s">
        <v>2200</v>
      </c>
      <c r="V5293" t="s">
        <v>2201</v>
      </c>
      <c r="W5293" t="s">
        <v>2202</v>
      </c>
      <c r="AF5293" t="s">
        <v>10984</v>
      </c>
    </row>
    <row r="5294" spans="1:32" hidden="1" x14ac:dyDescent="0.35">
      <c r="A5294">
        <v>5293</v>
      </c>
      <c r="B5294" t="s">
        <v>10983</v>
      </c>
      <c r="C5294" t="s">
        <v>10127</v>
      </c>
      <c r="D5294" t="s">
        <v>62</v>
      </c>
      <c r="E5294">
        <v>2301</v>
      </c>
      <c r="F5294">
        <v>4</v>
      </c>
      <c r="G5294">
        <v>4</v>
      </c>
      <c r="H5294">
        <v>1</v>
      </c>
      <c r="I5294">
        <v>0</v>
      </c>
      <c r="J5294">
        <v>0.78647822765469799</v>
      </c>
      <c r="K5294">
        <v>0.985058340057679</v>
      </c>
      <c r="L5294">
        <v>0.87463838065218602</v>
      </c>
      <c r="M5294">
        <v>0.55079006772008998</v>
      </c>
      <c r="N5294">
        <v>1</v>
      </c>
      <c r="O5294">
        <v>0.70015048908954103</v>
      </c>
      <c r="P5294" t="s">
        <v>2197</v>
      </c>
      <c r="Q5294" t="s">
        <v>2198</v>
      </c>
      <c r="R5294" t="s">
        <v>2199</v>
      </c>
      <c r="S5294" t="s">
        <v>2200</v>
      </c>
      <c r="V5294" t="s">
        <v>2201</v>
      </c>
      <c r="W5294" t="s">
        <v>2202</v>
      </c>
      <c r="AF5294" t="s">
        <v>10984</v>
      </c>
    </row>
    <row r="5295" spans="1:32" hidden="1" x14ac:dyDescent="0.35">
      <c r="A5295">
        <v>5294</v>
      </c>
      <c r="B5295" t="s">
        <v>10983</v>
      </c>
      <c r="C5295" t="s">
        <v>10127</v>
      </c>
      <c r="D5295" t="s">
        <v>34</v>
      </c>
      <c r="E5295">
        <v>2370</v>
      </c>
      <c r="F5295">
        <v>4</v>
      </c>
      <c r="G5295">
        <v>4</v>
      </c>
      <c r="H5295">
        <v>1</v>
      </c>
      <c r="I5295">
        <v>0</v>
      </c>
      <c r="J5295">
        <v>0.78647822765469799</v>
      </c>
      <c r="K5295">
        <v>0.985058340057679</v>
      </c>
      <c r="L5295">
        <v>0.87463838065218602</v>
      </c>
      <c r="M5295">
        <v>0.55079006772008998</v>
      </c>
      <c r="N5295">
        <v>1</v>
      </c>
      <c r="O5295">
        <v>0.70015048908954103</v>
      </c>
      <c r="P5295" t="s">
        <v>2197</v>
      </c>
      <c r="Q5295" t="s">
        <v>2198</v>
      </c>
      <c r="R5295" t="s">
        <v>2199</v>
      </c>
      <c r="S5295" t="s">
        <v>2200</v>
      </c>
      <c r="V5295" t="s">
        <v>2201</v>
      </c>
      <c r="W5295" t="s">
        <v>2202</v>
      </c>
      <c r="AF5295" t="s">
        <v>10985</v>
      </c>
    </row>
    <row r="5296" spans="1:32" hidden="1" x14ac:dyDescent="0.35">
      <c r="A5296">
        <v>5295</v>
      </c>
      <c r="B5296" t="s">
        <v>10983</v>
      </c>
      <c r="C5296" t="s">
        <v>10127</v>
      </c>
      <c r="D5296" t="s">
        <v>45</v>
      </c>
      <c r="E5296">
        <v>509</v>
      </c>
      <c r="F5296">
        <v>4</v>
      </c>
      <c r="G5296">
        <v>4</v>
      </c>
      <c r="H5296">
        <v>1</v>
      </c>
      <c r="I5296">
        <v>0</v>
      </c>
      <c r="J5296">
        <v>0.78647822765469799</v>
      </c>
      <c r="K5296">
        <v>0.985058340057679</v>
      </c>
      <c r="L5296">
        <v>0.87463838065218602</v>
      </c>
      <c r="M5296">
        <v>0.55079006772008998</v>
      </c>
      <c r="N5296">
        <v>1</v>
      </c>
      <c r="O5296">
        <v>0.70015048908954103</v>
      </c>
      <c r="P5296" t="s">
        <v>2197</v>
      </c>
      <c r="Q5296" t="s">
        <v>2198</v>
      </c>
      <c r="R5296" t="s">
        <v>2199</v>
      </c>
      <c r="S5296" t="s">
        <v>2200</v>
      </c>
      <c r="V5296" t="s">
        <v>2201</v>
      </c>
      <c r="W5296" t="s">
        <v>2202</v>
      </c>
      <c r="AF5296" t="s">
        <v>10986</v>
      </c>
    </row>
    <row r="5297" spans="1:32" hidden="1" x14ac:dyDescent="0.35">
      <c r="A5297">
        <v>5165</v>
      </c>
      <c r="B5297" t="s">
        <v>10761</v>
      </c>
      <c r="C5297" t="s">
        <v>10127</v>
      </c>
      <c r="D5297" t="s">
        <v>62</v>
      </c>
      <c r="E5297">
        <v>107</v>
      </c>
      <c r="F5297">
        <v>4</v>
      </c>
      <c r="G5297">
        <v>4</v>
      </c>
      <c r="H5297">
        <v>1</v>
      </c>
      <c r="I5297">
        <v>0</v>
      </c>
      <c r="J5297">
        <v>0.78242353852109903</v>
      </c>
      <c r="K5297">
        <v>0.98301842229570102</v>
      </c>
      <c r="L5297">
        <v>0.87132488008632303</v>
      </c>
      <c r="M5297">
        <v>0.568493150684932</v>
      </c>
      <c r="N5297">
        <v>1</v>
      </c>
      <c r="O5297">
        <v>0.71004566210045705</v>
      </c>
      <c r="P5297" t="s">
        <v>6852</v>
      </c>
      <c r="Q5297" t="s">
        <v>6853</v>
      </c>
      <c r="R5297" t="s">
        <v>113</v>
      </c>
      <c r="S5297" t="s">
        <v>114</v>
      </c>
      <c r="T5297" t="s">
        <v>10762</v>
      </c>
      <c r="U5297" t="s">
        <v>10763</v>
      </c>
      <c r="V5297" t="s">
        <v>6856</v>
      </c>
      <c r="W5297" t="s">
        <v>6857</v>
      </c>
      <c r="AD5297" t="s">
        <v>312</v>
      </c>
      <c r="AE5297" t="s">
        <v>6858</v>
      </c>
      <c r="AF5297" t="s">
        <v>10765</v>
      </c>
    </row>
    <row r="5298" spans="1:32" hidden="1" x14ac:dyDescent="0.35">
      <c r="A5298">
        <v>5166</v>
      </c>
      <c r="B5298" t="s">
        <v>10761</v>
      </c>
      <c r="C5298" t="s">
        <v>10127</v>
      </c>
      <c r="D5298" t="s">
        <v>34</v>
      </c>
      <c r="E5298">
        <v>2505</v>
      </c>
      <c r="F5298">
        <v>4</v>
      </c>
      <c r="G5298">
        <v>4</v>
      </c>
      <c r="H5298">
        <v>1</v>
      </c>
      <c r="I5298">
        <v>0</v>
      </c>
      <c r="J5298">
        <v>0.78242353852109903</v>
      </c>
      <c r="K5298">
        <v>0.98301842229570102</v>
      </c>
      <c r="L5298">
        <v>0.87132488008632303</v>
      </c>
      <c r="M5298">
        <v>0.568493150684932</v>
      </c>
      <c r="N5298">
        <v>1</v>
      </c>
      <c r="O5298">
        <v>0.71004566210045705</v>
      </c>
      <c r="P5298" t="s">
        <v>6852</v>
      </c>
      <c r="Q5298" t="s">
        <v>6853</v>
      </c>
      <c r="R5298" t="s">
        <v>113</v>
      </c>
      <c r="S5298" t="s">
        <v>114</v>
      </c>
      <c r="T5298" t="s">
        <v>10762</v>
      </c>
      <c r="U5298" t="s">
        <v>10763</v>
      </c>
      <c r="V5298" t="s">
        <v>6856</v>
      </c>
      <c r="W5298" t="s">
        <v>6857</v>
      </c>
      <c r="AD5298" t="s">
        <v>312</v>
      </c>
      <c r="AE5298" t="s">
        <v>6858</v>
      </c>
      <c r="AF5298" t="e">
        <f>---MDYLTISSVAKQTGLSPDTLRWYEREGVLPPTQRTSSGQRVYDEKTIKLVTLVARLRRTGMPVAQTRKFLNLFAEGAASHGQRMALLEEHKQRVQNQIDQLQDDLGAIQAKIDHYAELIEQGLDCNNQLIIDETILEQQRKLS</f>
        <v>#NAME?</v>
      </c>
    </row>
    <row r="5299" spans="1:32" hidden="1" x14ac:dyDescent="0.35">
      <c r="A5299">
        <v>5167</v>
      </c>
      <c r="B5299" t="s">
        <v>10761</v>
      </c>
      <c r="C5299" t="s">
        <v>10127</v>
      </c>
      <c r="D5299" t="s">
        <v>45</v>
      </c>
      <c r="E5299">
        <v>396</v>
      </c>
      <c r="F5299">
        <v>4</v>
      </c>
      <c r="G5299">
        <v>4</v>
      </c>
      <c r="H5299">
        <v>1</v>
      </c>
      <c r="I5299">
        <v>0</v>
      </c>
      <c r="J5299">
        <v>0.78242353852109903</v>
      </c>
      <c r="K5299">
        <v>0.98301842229570102</v>
      </c>
      <c r="L5299">
        <v>0.87132488008632303</v>
      </c>
      <c r="M5299">
        <v>0.568493150684932</v>
      </c>
      <c r="N5299">
        <v>1</v>
      </c>
      <c r="O5299">
        <v>0.71004566210045705</v>
      </c>
      <c r="P5299" t="s">
        <v>6852</v>
      </c>
      <c r="Q5299" t="s">
        <v>6853</v>
      </c>
      <c r="R5299" t="s">
        <v>113</v>
      </c>
      <c r="S5299" t="s">
        <v>114</v>
      </c>
      <c r="T5299" t="s">
        <v>10762</v>
      </c>
      <c r="U5299" t="s">
        <v>10763</v>
      </c>
      <c r="V5299" t="s">
        <v>6856</v>
      </c>
      <c r="W5299" t="s">
        <v>6857</v>
      </c>
      <c r="AD5299" t="s">
        <v>312</v>
      </c>
      <c r="AE5299" t="s">
        <v>6858</v>
      </c>
      <c r="AF5299" t="e">
        <f>---MDYLTISSVAKQTGLSPDTLRWYEREGVLPPTQRTSSGQRVYDEKTIKLVTLVARLRRTGMPVAQTRKFLNLFAEGAASHGQRMALLEEHKQRVQNQIDQLQDDLGAIQAKIDHYAELIEQGLDCNNQLIIDETILEQQRKLS</f>
        <v>#NAME?</v>
      </c>
    </row>
    <row r="5300" spans="1:32" hidden="1" x14ac:dyDescent="0.35">
      <c r="A5300">
        <v>5172</v>
      </c>
      <c r="B5300" t="s">
        <v>10769</v>
      </c>
      <c r="C5300" t="s">
        <v>10127</v>
      </c>
      <c r="D5300" t="s">
        <v>60</v>
      </c>
      <c r="E5300">
        <v>313</v>
      </c>
      <c r="F5300">
        <v>2</v>
      </c>
      <c r="G5300">
        <v>4</v>
      </c>
      <c r="H5300">
        <v>2</v>
      </c>
      <c r="I5300">
        <v>0</v>
      </c>
      <c r="J5300">
        <v>0.91366906474820098</v>
      </c>
      <c r="K5300">
        <v>0.86336946702800299</v>
      </c>
      <c r="L5300">
        <v>0.88780739344257797</v>
      </c>
      <c r="M5300">
        <v>0.65853658536585402</v>
      </c>
      <c r="N5300">
        <v>1</v>
      </c>
      <c r="O5300">
        <v>0.77235772357723598</v>
      </c>
      <c r="P5300" t="s">
        <v>10744</v>
      </c>
      <c r="Q5300" t="s">
        <v>10745</v>
      </c>
      <c r="R5300" t="s">
        <v>113</v>
      </c>
      <c r="S5300" t="s">
        <v>114</v>
      </c>
      <c r="T5300" t="s">
        <v>10770</v>
      </c>
      <c r="U5300" t="s">
        <v>10727</v>
      </c>
      <c r="V5300" t="s">
        <v>10748</v>
      </c>
      <c r="W5300" t="s">
        <v>10749</v>
      </c>
      <c r="AD5300" t="s">
        <v>312</v>
      </c>
      <c r="AE5300" t="s">
        <v>1656</v>
      </c>
      <c r="AF5300" t="s">
        <v>10771</v>
      </c>
    </row>
    <row r="5301" spans="1:32" hidden="1" x14ac:dyDescent="0.35">
      <c r="A5301">
        <v>5173</v>
      </c>
      <c r="B5301" t="s">
        <v>10769</v>
      </c>
      <c r="C5301" t="s">
        <v>10127</v>
      </c>
      <c r="D5301" t="s">
        <v>60</v>
      </c>
      <c r="E5301">
        <v>1978</v>
      </c>
      <c r="F5301">
        <v>2</v>
      </c>
      <c r="G5301">
        <v>4</v>
      </c>
      <c r="H5301">
        <v>2</v>
      </c>
      <c r="I5301">
        <v>0</v>
      </c>
      <c r="J5301">
        <v>0.91366906474820098</v>
      </c>
      <c r="K5301">
        <v>0.86336946702800299</v>
      </c>
      <c r="L5301">
        <v>0.88780739344257797</v>
      </c>
      <c r="M5301">
        <v>0.65853658536585402</v>
      </c>
      <c r="N5301">
        <v>1</v>
      </c>
      <c r="O5301">
        <v>0.77235772357723598</v>
      </c>
      <c r="P5301" t="s">
        <v>10744</v>
      </c>
      <c r="Q5301" t="s">
        <v>10745</v>
      </c>
      <c r="R5301" t="s">
        <v>113</v>
      </c>
      <c r="S5301" t="s">
        <v>114</v>
      </c>
      <c r="T5301" t="s">
        <v>10770</v>
      </c>
      <c r="U5301" t="s">
        <v>10727</v>
      </c>
      <c r="V5301" t="s">
        <v>10748</v>
      </c>
      <c r="W5301" t="s">
        <v>10749</v>
      </c>
      <c r="AD5301" t="s">
        <v>312</v>
      </c>
      <c r="AE5301" t="s">
        <v>1656</v>
      </c>
      <c r="AF5301" t="s">
        <v>10772</v>
      </c>
    </row>
    <row r="5302" spans="1:32" hidden="1" x14ac:dyDescent="0.35">
      <c r="A5302">
        <v>5174</v>
      </c>
      <c r="B5302" t="s">
        <v>10769</v>
      </c>
      <c r="C5302" t="s">
        <v>10127</v>
      </c>
      <c r="D5302" t="s">
        <v>62</v>
      </c>
      <c r="E5302">
        <v>393</v>
      </c>
      <c r="F5302">
        <v>2</v>
      </c>
      <c r="G5302">
        <v>4</v>
      </c>
      <c r="H5302">
        <v>2</v>
      </c>
      <c r="I5302">
        <v>0</v>
      </c>
      <c r="J5302">
        <v>0.91366906474820098</v>
      </c>
      <c r="K5302">
        <v>0.86336946702800299</v>
      </c>
      <c r="L5302">
        <v>0.88780739344257797</v>
      </c>
      <c r="M5302">
        <v>0.65853658536585402</v>
      </c>
      <c r="N5302">
        <v>1</v>
      </c>
      <c r="O5302">
        <v>0.77235772357723598</v>
      </c>
      <c r="P5302" t="s">
        <v>10744</v>
      </c>
      <c r="Q5302" t="s">
        <v>10745</v>
      </c>
      <c r="R5302" t="s">
        <v>113</v>
      </c>
      <c r="S5302" t="s">
        <v>114</v>
      </c>
      <c r="T5302" t="s">
        <v>10770</v>
      </c>
      <c r="U5302" t="s">
        <v>10727</v>
      </c>
      <c r="V5302" t="s">
        <v>10748</v>
      </c>
      <c r="W5302" t="s">
        <v>10749</v>
      </c>
      <c r="AD5302" t="s">
        <v>312</v>
      </c>
      <c r="AE5302" t="s">
        <v>1656</v>
      </c>
      <c r="AF5302" t="s">
        <v>10771</v>
      </c>
    </row>
    <row r="5303" spans="1:32" hidden="1" x14ac:dyDescent="0.35">
      <c r="A5303">
        <v>5175</v>
      </c>
      <c r="B5303" t="s">
        <v>10769</v>
      </c>
      <c r="C5303" t="s">
        <v>10127</v>
      </c>
      <c r="D5303" t="s">
        <v>62</v>
      </c>
      <c r="E5303">
        <v>2019</v>
      </c>
      <c r="F5303">
        <v>2</v>
      </c>
      <c r="G5303">
        <v>4</v>
      </c>
      <c r="H5303">
        <v>2</v>
      </c>
      <c r="I5303">
        <v>0</v>
      </c>
      <c r="J5303">
        <v>0.91366906474820098</v>
      </c>
      <c r="K5303">
        <v>0.86336946702800299</v>
      </c>
      <c r="L5303">
        <v>0.88780739344257797</v>
      </c>
      <c r="M5303">
        <v>0.65853658536585402</v>
      </c>
      <c r="N5303">
        <v>1</v>
      </c>
      <c r="O5303">
        <v>0.77235772357723598</v>
      </c>
      <c r="P5303" t="s">
        <v>10744</v>
      </c>
      <c r="Q5303" t="s">
        <v>10745</v>
      </c>
      <c r="R5303" t="s">
        <v>113</v>
      </c>
      <c r="S5303" t="s">
        <v>114</v>
      </c>
      <c r="T5303" t="s">
        <v>10770</v>
      </c>
      <c r="U5303" t="s">
        <v>10727</v>
      </c>
      <c r="V5303" t="s">
        <v>10748</v>
      </c>
      <c r="W5303" t="s">
        <v>10749</v>
      </c>
      <c r="AD5303" t="s">
        <v>312</v>
      </c>
      <c r="AE5303" t="s">
        <v>1656</v>
      </c>
      <c r="AF5303" t="s">
        <v>10772</v>
      </c>
    </row>
    <row r="5304" spans="1:32" hidden="1" x14ac:dyDescent="0.35">
      <c r="A5304">
        <v>5180</v>
      </c>
      <c r="B5304" t="s">
        <v>10781</v>
      </c>
      <c r="C5304" t="s">
        <v>10127</v>
      </c>
      <c r="D5304" t="s">
        <v>60</v>
      </c>
      <c r="E5304">
        <v>2168</v>
      </c>
      <c r="F5304">
        <v>4</v>
      </c>
      <c r="G5304">
        <v>4</v>
      </c>
      <c r="H5304">
        <v>1</v>
      </c>
      <c r="I5304">
        <v>0</v>
      </c>
      <c r="J5304">
        <v>0.75597371565113503</v>
      </c>
      <c r="K5304">
        <v>1</v>
      </c>
      <c r="L5304">
        <v>0.86103078754890305</v>
      </c>
      <c r="M5304">
        <v>0.521505376344086</v>
      </c>
      <c r="N5304">
        <v>1</v>
      </c>
      <c r="O5304">
        <v>0.68189964157706096</v>
      </c>
      <c r="P5304" t="s">
        <v>2163</v>
      </c>
      <c r="Q5304" t="s">
        <v>2164</v>
      </c>
      <c r="R5304" t="s">
        <v>113</v>
      </c>
      <c r="S5304" t="s">
        <v>114</v>
      </c>
      <c r="V5304" t="s">
        <v>2167</v>
      </c>
      <c r="W5304" t="s">
        <v>2168</v>
      </c>
      <c r="AF5304" t="s">
        <v>10782</v>
      </c>
    </row>
    <row r="5305" spans="1:32" hidden="1" x14ac:dyDescent="0.35">
      <c r="A5305">
        <v>5181</v>
      </c>
      <c r="B5305" t="s">
        <v>10781</v>
      </c>
      <c r="C5305" t="s">
        <v>10127</v>
      </c>
      <c r="D5305" t="s">
        <v>62</v>
      </c>
      <c r="E5305">
        <v>2202</v>
      </c>
      <c r="F5305">
        <v>4</v>
      </c>
      <c r="G5305">
        <v>4</v>
      </c>
      <c r="H5305">
        <v>1</v>
      </c>
      <c r="I5305">
        <v>0</v>
      </c>
      <c r="J5305">
        <v>0.75597371565113503</v>
      </c>
      <c r="K5305">
        <v>1</v>
      </c>
      <c r="L5305">
        <v>0.86103078754890305</v>
      </c>
      <c r="M5305">
        <v>0.521505376344086</v>
      </c>
      <c r="N5305">
        <v>1</v>
      </c>
      <c r="O5305">
        <v>0.68189964157706096</v>
      </c>
      <c r="P5305" t="s">
        <v>2163</v>
      </c>
      <c r="Q5305" t="s">
        <v>2164</v>
      </c>
      <c r="R5305" t="s">
        <v>113</v>
      </c>
      <c r="S5305" t="s">
        <v>114</v>
      </c>
      <c r="V5305" t="s">
        <v>2167</v>
      </c>
      <c r="W5305" t="s">
        <v>2168</v>
      </c>
      <c r="AF5305" t="s">
        <v>10782</v>
      </c>
    </row>
    <row r="5306" spans="1:32" hidden="1" x14ac:dyDescent="0.35">
      <c r="A5306">
        <v>5182</v>
      </c>
      <c r="B5306" t="s">
        <v>10781</v>
      </c>
      <c r="C5306" t="s">
        <v>10127</v>
      </c>
      <c r="D5306" t="s">
        <v>34</v>
      </c>
      <c r="E5306">
        <v>2470</v>
      </c>
      <c r="F5306">
        <v>4</v>
      </c>
      <c r="G5306">
        <v>4</v>
      </c>
      <c r="H5306">
        <v>1</v>
      </c>
      <c r="I5306">
        <v>0</v>
      </c>
      <c r="J5306">
        <v>0.75597371565113503</v>
      </c>
      <c r="K5306">
        <v>1</v>
      </c>
      <c r="L5306">
        <v>0.86103078754890305</v>
      </c>
      <c r="M5306">
        <v>0.521505376344086</v>
      </c>
      <c r="N5306">
        <v>1</v>
      </c>
      <c r="O5306">
        <v>0.68189964157706096</v>
      </c>
      <c r="P5306" t="s">
        <v>2163</v>
      </c>
      <c r="Q5306" t="s">
        <v>2164</v>
      </c>
      <c r="R5306" t="s">
        <v>113</v>
      </c>
      <c r="S5306" t="s">
        <v>114</v>
      </c>
      <c r="V5306" t="s">
        <v>2167</v>
      </c>
      <c r="W5306" t="s">
        <v>2168</v>
      </c>
      <c r="AF5306" t="s">
        <v>10783</v>
      </c>
    </row>
    <row r="5307" spans="1:32" hidden="1" x14ac:dyDescent="0.35">
      <c r="A5307">
        <v>5183</v>
      </c>
      <c r="B5307" t="s">
        <v>10781</v>
      </c>
      <c r="C5307" t="s">
        <v>10127</v>
      </c>
      <c r="D5307" t="s">
        <v>45</v>
      </c>
      <c r="E5307">
        <v>430</v>
      </c>
      <c r="F5307">
        <v>4</v>
      </c>
      <c r="G5307">
        <v>4</v>
      </c>
      <c r="H5307">
        <v>1</v>
      </c>
      <c r="I5307">
        <v>0</v>
      </c>
      <c r="J5307">
        <v>0.75597371565113503</v>
      </c>
      <c r="K5307">
        <v>1</v>
      </c>
      <c r="L5307">
        <v>0.86103078754890305</v>
      </c>
      <c r="M5307">
        <v>0.521505376344086</v>
      </c>
      <c r="N5307">
        <v>1</v>
      </c>
      <c r="O5307">
        <v>0.68189964157706096</v>
      </c>
      <c r="P5307" t="s">
        <v>2163</v>
      </c>
      <c r="Q5307" t="s">
        <v>2164</v>
      </c>
      <c r="R5307" t="s">
        <v>113</v>
      </c>
      <c r="S5307" t="s">
        <v>114</v>
      </c>
      <c r="V5307" t="s">
        <v>2167</v>
      </c>
      <c r="W5307" t="s">
        <v>2168</v>
      </c>
      <c r="AF5307" t="s">
        <v>10784</v>
      </c>
    </row>
    <row r="5308" spans="1:32" hidden="1" x14ac:dyDescent="0.35">
      <c r="A5308">
        <v>5336</v>
      </c>
      <c r="B5308" t="s">
        <v>11057</v>
      </c>
      <c r="C5308" t="s">
        <v>10127</v>
      </c>
      <c r="D5308" t="s">
        <v>60</v>
      </c>
      <c r="E5308">
        <v>2438</v>
      </c>
      <c r="F5308">
        <v>4</v>
      </c>
      <c r="G5308">
        <v>4</v>
      </c>
      <c r="H5308">
        <v>1</v>
      </c>
      <c r="I5308">
        <v>0</v>
      </c>
      <c r="J5308">
        <v>0.819016393442623</v>
      </c>
      <c r="K5308">
        <v>0.91369047619047905</v>
      </c>
      <c r="L5308">
        <v>0.86376696675861397</v>
      </c>
      <c r="M5308">
        <v>0.57142857142857095</v>
      </c>
      <c r="N5308">
        <v>1</v>
      </c>
      <c r="O5308">
        <v>0.71428571428571397</v>
      </c>
      <c r="P5308" t="s">
        <v>11058</v>
      </c>
      <c r="Q5308" t="s">
        <v>11059</v>
      </c>
      <c r="R5308" t="s">
        <v>113</v>
      </c>
      <c r="S5308" t="s">
        <v>114</v>
      </c>
      <c r="T5308" t="s">
        <v>11060</v>
      </c>
      <c r="U5308" t="s">
        <v>11061</v>
      </c>
      <c r="V5308" t="s">
        <v>11062</v>
      </c>
      <c r="W5308" t="s">
        <v>11063</v>
      </c>
      <c r="AD5308" t="s">
        <v>312</v>
      </c>
      <c r="AE5308" t="s">
        <v>11064</v>
      </c>
      <c r="AF5308" t="s">
        <v>11065</v>
      </c>
    </row>
    <row r="5309" spans="1:32" hidden="1" x14ac:dyDescent="0.35">
      <c r="A5309">
        <v>5337</v>
      </c>
      <c r="B5309" t="s">
        <v>11057</v>
      </c>
      <c r="C5309" t="s">
        <v>10127</v>
      </c>
      <c r="D5309" t="s">
        <v>62</v>
      </c>
      <c r="E5309">
        <v>2464</v>
      </c>
      <c r="F5309">
        <v>4</v>
      </c>
      <c r="G5309">
        <v>4</v>
      </c>
      <c r="H5309">
        <v>1</v>
      </c>
      <c r="I5309">
        <v>0</v>
      </c>
      <c r="J5309">
        <v>0.819016393442623</v>
      </c>
      <c r="K5309">
        <v>0.91369047619047905</v>
      </c>
      <c r="L5309">
        <v>0.86376696675861397</v>
      </c>
      <c r="M5309">
        <v>0.57142857142857095</v>
      </c>
      <c r="N5309">
        <v>1</v>
      </c>
      <c r="O5309">
        <v>0.71428571428571397</v>
      </c>
      <c r="P5309" t="s">
        <v>11058</v>
      </c>
      <c r="Q5309" t="s">
        <v>11059</v>
      </c>
      <c r="R5309" t="s">
        <v>113</v>
      </c>
      <c r="S5309" t="s">
        <v>114</v>
      </c>
      <c r="T5309" t="s">
        <v>11060</v>
      </c>
      <c r="U5309" t="s">
        <v>11061</v>
      </c>
      <c r="V5309" t="s">
        <v>11062</v>
      </c>
      <c r="W5309" t="s">
        <v>11063</v>
      </c>
      <c r="AD5309" t="s">
        <v>312</v>
      </c>
      <c r="AE5309" t="s">
        <v>11064</v>
      </c>
      <c r="AF5309" t="s">
        <v>11065</v>
      </c>
    </row>
    <row r="5310" spans="1:32" hidden="1" x14ac:dyDescent="0.35">
      <c r="A5310">
        <v>5338</v>
      </c>
      <c r="B5310" t="s">
        <v>11057</v>
      </c>
      <c r="C5310" t="s">
        <v>10127</v>
      </c>
      <c r="D5310" t="s">
        <v>34</v>
      </c>
      <c r="E5310">
        <v>1289</v>
      </c>
      <c r="F5310">
        <v>4</v>
      </c>
      <c r="G5310">
        <v>4</v>
      </c>
      <c r="H5310">
        <v>1</v>
      </c>
      <c r="I5310">
        <v>0</v>
      </c>
      <c r="J5310">
        <v>0.819016393442623</v>
      </c>
      <c r="K5310">
        <v>0.91369047619047905</v>
      </c>
      <c r="L5310">
        <v>0.86376696675861397</v>
      </c>
      <c r="M5310">
        <v>0.57142857142857095</v>
      </c>
      <c r="N5310">
        <v>1</v>
      </c>
      <c r="O5310">
        <v>0.71428571428571397</v>
      </c>
      <c r="P5310" t="s">
        <v>11058</v>
      </c>
      <c r="Q5310" t="s">
        <v>11059</v>
      </c>
      <c r="R5310" t="s">
        <v>113</v>
      </c>
      <c r="S5310" t="s">
        <v>114</v>
      </c>
      <c r="T5310" t="s">
        <v>11066</v>
      </c>
      <c r="U5310" t="s">
        <v>11067</v>
      </c>
      <c r="V5310" t="s">
        <v>11062</v>
      </c>
      <c r="W5310" t="s">
        <v>11063</v>
      </c>
      <c r="AD5310" t="s">
        <v>312</v>
      </c>
      <c r="AE5310" t="s">
        <v>11064</v>
      </c>
      <c r="AF5310" t="s">
        <v>11068</v>
      </c>
    </row>
    <row r="5311" spans="1:32" hidden="1" x14ac:dyDescent="0.35">
      <c r="A5311">
        <v>5339</v>
      </c>
      <c r="B5311" t="s">
        <v>11057</v>
      </c>
      <c r="C5311" t="s">
        <v>10127</v>
      </c>
      <c r="D5311" t="s">
        <v>45</v>
      </c>
      <c r="E5311">
        <v>41</v>
      </c>
      <c r="F5311">
        <v>4</v>
      </c>
      <c r="G5311">
        <v>4</v>
      </c>
      <c r="H5311">
        <v>1</v>
      </c>
      <c r="I5311">
        <v>0</v>
      </c>
      <c r="J5311">
        <v>0.819016393442623</v>
      </c>
      <c r="K5311">
        <v>0.91369047619047905</v>
      </c>
      <c r="L5311">
        <v>0.86376696675861397</v>
      </c>
      <c r="M5311">
        <v>0.57142857142857095</v>
      </c>
      <c r="N5311">
        <v>1</v>
      </c>
      <c r="O5311">
        <v>0.71428571428571397</v>
      </c>
      <c r="P5311" t="s">
        <v>11058</v>
      </c>
      <c r="Q5311" t="s">
        <v>11059</v>
      </c>
      <c r="R5311" t="s">
        <v>113</v>
      </c>
      <c r="S5311" t="s">
        <v>114</v>
      </c>
      <c r="T5311" t="s">
        <v>11066</v>
      </c>
      <c r="U5311" t="s">
        <v>11067</v>
      </c>
      <c r="V5311" t="s">
        <v>11062</v>
      </c>
      <c r="W5311" t="s">
        <v>11063</v>
      </c>
      <c r="AD5311" t="s">
        <v>312</v>
      </c>
      <c r="AE5311" t="s">
        <v>11064</v>
      </c>
      <c r="AF5311" t="s">
        <v>11068</v>
      </c>
    </row>
    <row r="5312" spans="1:32" hidden="1" x14ac:dyDescent="0.35">
      <c r="A5312">
        <v>2474</v>
      </c>
      <c r="B5312" t="s">
        <v>5121</v>
      </c>
      <c r="C5312" t="s">
        <v>72</v>
      </c>
      <c r="D5312" t="s">
        <v>58</v>
      </c>
      <c r="E5312">
        <v>666</v>
      </c>
      <c r="F5312">
        <v>5</v>
      </c>
      <c r="G5312">
        <v>5</v>
      </c>
      <c r="H5312">
        <v>1</v>
      </c>
      <c r="I5312">
        <v>1</v>
      </c>
      <c r="J5312">
        <v>0.84661172161172205</v>
      </c>
      <c r="K5312">
        <v>0.94778966961377398</v>
      </c>
      <c r="L5312">
        <v>0.89434821867755299</v>
      </c>
      <c r="M5312">
        <v>0.69805194805194803</v>
      </c>
      <c r="N5312">
        <v>1</v>
      </c>
      <c r="O5312">
        <v>0.76428571428571401</v>
      </c>
      <c r="P5312" t="s">
        <v>5122</v>
      </c>
      <c r="Q5312" t="s">
        <v>5123</v>
      </c>
      <c r="R5312" t="s">
        <v>869</v>
      </c>
      <c r="S5312" t="s">
        <v>870</v>
      </c>
      <c r="T5312" t="s">
        <v>5124</v>
      </c>
      <c r="U5312" t="s">
        <v>5125</v>
      </c>
      <c r="V5312" t="s">
        <v>5126</v>
      </c>
      <c r="W5312" t="s">
        <v>5127</v>
      </c>
      <c r="X5312" t="s">
        <v>5126</v>
      </c>
      <c r="Y5312" t="s">
        <v>3682</v>
      </c>
      <c r="Z5312" t="s">
        <v>3683</v>
      </c>
      <c r="AA5312" t="s">
        <v>3684</v>
      </c>
      <c r="AB5312" t="s">
        <v>3683</v>
      </c>
      <c r="AC5312" t="s">
        <v>1094</v>
      </c>
      <c r="AD5312" t="s">
        <v>219</v>
      </c>
      <c r="AE5312" t="s">
        <v>5128</v>
      </c>
      <c r="AF5312" t="s">
        <v>5129</v>
      </c>
    </row>
    <row r="5313" spans="1:32" hidden="1" x14ac:dyDescent="0.35">
      <c r="A5313">
        <v>5312</v>
      </c>
      <c r="B5313" t="s">
        <v>11026</v>
      </c>
      <c r="C5313" t="s">
        <v>10127</v>
      </c>
      <c r="D5313" t="s">
        <v>34</v>
      </c>
      <c r="E5313">
        <v>314</v>
      </c>
      <c r="F5313">
        <v>2</v>
      </c>
      <c r="G5313">
        <v>4</v>
      </c>
      <c r="H5313">
        <v>2</v>
      </c>
      <c r="I5313">
        <v>0</v>
      </c>
      <c r="J5313">
        <v>0.95343137254902</v>
      </c>
      <c r="K5313">
        <v>1</v>
      </c>
      <c r="L5313">
        <v>0.97616060225846901</v>
      </c>
      <c r="M5313">
        <v>0.93382352941176505</v>
      </c>
      <c r="N5313">
        <v>1</v>
      </c>
      <c r="O5313">
        <v>0.95343137254902</v>
      </c>
      <c r="AF5313" t="s">
        <v>11027</v>
      </c>
    </row>
    <row r="5314" spans="1:32" hidden="1" x14ac:dyDescent="0.35">
      <c r="A5314">
        <v>5313</v>
      </c>
      <c r="B5314" t="s">
        <v>11026</v>
      </c>
      <c r="C5314" t="s">
        <v>10127</v>
      </c>
      <c r="D5314" t="s">
        <v>34</v>
      </c>
      <c r="E5314">
        <v>1015</v>
      </c>
      <c r="F5314">
        <v>2</v>
      </c>
      <c r="G5314">
        <v>4</v>
      </c>
      <c r="H5314">
        <v>2</v>
      </c>
      <c r="I5314">
        <v>0</v>
      </c>
      <c r="J5314">
        <v>0.95343137254902</v>
      </c>
      <c r="K5314">
        <v>1</v>
      </c>
      <c r="L5314">
        <v>0.97616060225846901</v>
      </c>
      <c r="M5314">
        <v>0.93382352941176505</v>
      </c>
      <c r="N5314">
        <v>1</v>
      </c>
      <c r="O5314">
        <v>0.95343137254902</v>
      </c>
      <c r="AF5314" t="s">
        <v>11028</v>
      </c>
    </row>
    <row r="5315" spans="1:32" hidden="1" x14ac:dyDescent="0.35">
      <c r="A5315">
        <v>5314</v>
      </c>
      <c r="B5315" t="s">
        <v>11026</v>
      </c>
      <c r="C5315" t="s">
        <v>10127</v>
      </c>
      <c r="D5315" t="s">
        <v>45</v>
      </c>
      <c r="E5315">
        <v>1576</v>
      </c>
      <c r="F5315">
        <v>2</v>
      </c>
      <c r="G5315">
        <v>4</v>
      </c>
      <c r="H5315">
        <v>2</v>
      </c>
      <c r="I5315">
        <v>0</v>
      </c>
      <c r="J5315">
        <v>0.95343137254902</v>
      </c>
      <c r="K5315">
        <v>1</v>
      </c>
      <c r="L5315">
        <v>0.97616060225846901</v>
      </c>
      <c r="M5315">
        <v>0.93382352941176505</v>
      </c>
      <c r="N5315">
        <v>1</v>
      </c>
      <c r="O5315">
        <v>0.95343137254902</v>
      </c>
      <c r="AF5315" t="s">
        <v>11027</v>
      </c>
    </row>
    <row r="5316" spans="1:32" hidden="1" x14ac:dyDescent="0.35">
      <c r="A5316">
        <v>5315</v>
      </c>
      <c r="B5316" t="s">
        <v>11026</v>
      </c>
      <c r="C5316" t="s">
        <v>10127</v>
      </c>
      <c r="D5316" t="s">
        <v>45</v>
      </c>
      <c r="E5316">
        <v>2269</v>
      </c>
      <c r="F5316">
        <v>2</v>
      </c>
      <c r="G5316">
        <v>4</v>
      </c>
      <c r="H5316">
        <v>2</v>
      </c>
      <c r="I5316">
        <v>0</v>
      </c>
      <c r="J5316">
        <v>0.95343137254902</v>
      </c>
      <c r="K5316">
        <v>1</v>
      </c>
      <c r="L5316">
        <v>0.97616060225846901</v>
      </c>
      <c r="M5316">
        <v>0.93382352941176505</v>
      </c>
      <c r="N5316">
        <v>1</v>
      </c>
      <c r="O5316">
        <v>0.95343137254902</v>
      </c>
      <c r="AF5316" t="s">
        <v>11029</v>
      </c>
    </row>
    <row r="5317" spans="1:32" hidden="1" x14ac:dyDescent="0.35">
      <c r="A5317">
        <v>5341</v>
      </c>
      <c r="B5317" t="s">
        <v>11069</v>
      </c>
      <c r="C5317" t="s">
        <v>10127</v>
      </c>
      <c r="D5317" t="s">
        <v>60</v>
      </c>
      <c r="E5317">
        <v>2043</v>
      </c>
      <c r="F5317">
        <v>4</v>
      </c>
      <c r="G5317">
        <v>4</v>
      </c>
      <c r="H5317">
        <v>1</v>
      </c>
      <c r="I5317">
        <v>0</v>
      </c>
      <c r="J5317">
        <v>0.83465608465608498</v>
      </c>
      <c r="K5317">
        <v>0.94719946190534499</v>
      </c>
      <c r="L5317">
        <v>0.88737360981692803</v>
      </c>
      <c r="M5317">
        <v>0.67117117117117098</v>
      </c>
      <c r="N5317">
        <v>1</v>
      </c>
      <c r="O5317">
        <v>0.75900900900900903</v>
      </c>
      <c r="P5317" t="s">
        <v>11071</v>
      </c>
      <c r="Q5317" t="s">
        <v>10345</v>
      </c>
      <c r="R5317" t="s">
        <v>113</v>
      </c>
      <c r="S5317" t="s">
        <v>114</v>
      </c>
      <c r="V5317" t="s">
        <v>2167</v>
      </c>
      <c r="W5317" t="s">
        <v>2168</v>
      </c>
      <c r="AF5317" t="e">
        <f>------MDQDAPDILLPRRRPAQQRSRERFNRILASARAVLVDVGFESFTFDEVARRAEVPIGTLYQFFANKYVLICELDRQDTAEIVSELQDFSSRVPALQWPDFLDEFIDHLAGLWRDDPSRRAVWHAVQSTPATRATAAATEQEMLDLIARVMKPLAPGSPDILRRELAGILVHTVSSLLNYAVRDK----ELDDARFSGTVAEIKRMLVAYLFAVATG</f>
        <v>#NAME?</v>
      </c>
    </row>
    <row r="5318" spans="1:32" hidden="1" x14ac:dyDescent="0.35">
      <c r="A5318">
        <v>5342</v>
      </c>
      <c r="B5318" t="s">
        <v>11069</v>
      </c>
      <c r="C5318" t="s">
        <v>10127</v>
      </c>
      <c r="D5318" t="s">
        <v>34</v>
      </c>
      <c r="E5318">
        <v>2406</v>
      </c>
      <c r="F5318">
        <v>4</v>
      </c>
      <c r="G5318">
        <v>4</v>
      </c>
      <c r="H5318">
        <v>1</v>
      </c>
      <c r="I5318">
        <v>0</v>
      </c>
      <c r="J5318">
        <v>0.83465608465608498</v>
      </c>
      <c r="K5318">
        <v>0.94719946190534499</v>
      </c>
      <c r="L5318">
        <v>0.88737360981692803</v>
      </c>
      <c r="M5318">
        <v>0.67117117117117098</v>
      </c>
      <c r="N5318">
        <v>1</v>
      </c>
      <c r="O5318">
        <v>0.75900900900900903</v>
      </c>
      <c r="P5318" t="s">
        <v>11071</v>
      </c>
      <c r="Q5318" t="s">
        <v>10345</v>
      </c>
      <c r="R5318" t="s">
        <v>113</v>
      </c>
      <c r="S5318" t="s">
        <v>114</v>
      </c>
      <c r="V5318" t="s">
        <v>2167</v>
      </c>
      <c r="W5318" t="s">
        <v>2168</v>
      </c>
      <c r="AF5318" t="s">
        <v>11072</v>
      </c>
    </row>
    <row r="5319" spans="1:32" hidden="1" x14ac:dyDescent="0.35">
      <c r="A5319">
        <v>5343</v>
      </c>
      <c r="B5319" t="s">
        <v>11069</v>
      </c>
      <c r="C5319" t="s">
        <v>10127</v>
      </c>
      <c r="D5319" t="s">
        <v>45</v>
      </c>
      <c r="E5319">
        <v>492</v>
      </c>
      <c r="F5319">
        <v>4</v>
      </c>
      <c r="G5319">
        <v>4</v>
      </c>
      <c r="H5319">
        <v>1</v>
      </c>
      <c r="I5319">
        <v>0</v>
      </c>
      <c r="J5319">
        <v>0.83465608465608498</v>
      </c>
      <c r="K5319">
        <v>0.94719946190534499</v>
      </c>
      <c r="L5319">
        <v>0.88737360981692803</v>
      </c>
      <c r="M5319">
        <v>0.67117117117117098</v>
      </c>
      <c r="N5319">
        <v>1</v>
      </c>
      <c r="O5319">
        <v>0.75900900900900903</v>
      </c>
      <c r="P5319" t="s">
        <v>11071</v>
      </c>
      <c r="Q5319" t="s">
        <v>10345</v>
      </c>
      <c r="R5319" t="s">
        <v>113</v>
      </c>
      <c r="S5319" t="s">
        <v>114</v>
      </c>
      <c r="V5319" t="s">
        <v>2167</v>
      </c>
      <c r="W5319" t="s">
        <v>2168</v>
      </c>
      <c r="AF5319" t="s">
        <v>11072</v>
      </c>
    </row>
    <row r="5320" spans="1:32" hidden="1" x14ac:dyDescent="0.35">
      <c r="A5320">
        <v>5360</v>
      </c>
      <c r="B5320" t="s">
        <v>11103</v>
      </c>
      <c r="C5320" t="s">
        <v>10127</v>
      </c>
      <c r="D5320" t="s">
        <v>60</v>
      </c>
      <c r="E5320">
        <v>2260</v>
      </c>
      <c r="F5320">
        <v>4</v>
      </c>
      <c r="G5320">
        <v>4</v>
      </c>
      <c r="H5320">
        <v>1</v>
      </c>
      <c r="I5320">
        <v>0</v>
      </c>
      <c r="J5320">
        <v>0.81577747378021004</v>
      </c>
      <c r="K5320">
        <v>0.94401489117984205</v>
      </c>
      <c r="L5320">
        <v>0.875223803070736</v>
      </c>
      <c r="M5320">
        <v>0.59278350515463896</v>
      </c>
      <c r="N5320">
        <v>1</v>
      </c>
      <c r="O5320">
        <v>0.72680412371133996</v>
      </c>
      <c r="P5320" t="s">
        <v>11104</v>
      </c>
      <c r="Q5320" t="s">
        <v>11105</v>
      </c>
      <c r="R5320" t="s">
        <v>113</v>
      </c>
      <c r="S5320" t="s">
        <v>114</v>
      </c>
      <c r="T5320" t="s">
        <v>11106</v>
      </c>
      <c r="U5320" t="s">
        <v>11107</v>
      </c>
      <c r="V5320" t="s">
        <v>11108</v>
      </c>
      <c r="W5320" t="s">
        <v>11109</v>
      </c>
      <c r="AD5320" t="s">
        <v>312</v>
      </c>
      <c r="AE5320" t="s">
        <v>11110</v>
      </c>
      <c r="AF5320" t="s">
        <v>11111</v>
      </c>
    </row>
    <row r="5321" spans="1:32" hidden="1" x14ac:dyDescent="0.35">
      <c r="A5321">
        <v>5320</v>
      </c>
      <c r="B5321" t="s">
        <v>11037</v>
      </c>
      <c r="C5321" t="s">
        <v>10127</v>
      </c>
      <c r="D5321" t="s">
        <v>60</v>
      </c>
      <c r="E5321">
        <v>2169</v>
      </c>
      <c r="F5321">
        <v>4</v>
      </c>
      <c r="G5321">
        <v>4</v>
      </c>
      <c r="H5321">
        <v>1</v>
      </c>
      <c r="I5321">
        <v>0</v>
      </c>
      <c r="J5321">
        <v>0.86226964112512094</v>
      </c>
      <c r="K5321">
        <v>0.99044382624532701</v>
      </c>
      <c r="L5321">
        <v>0.92192306867966201</v>
      </c>
      <c r="M5321">
        <v>0.69740634005763702</v>
      </c>
      <c r="N5321">
        <v>1</v>
      </c>
      <c r="O5321">
        <v>0.79731027857828995</v>
      </c>
      <c r="AF5321" t="s">
        <v>11038</v>
      </c>
    </row>
    <row r="5322" spans="1:32" hidden="1" x14ac:dyDescent="0.35">
      <c r="A5322">
        <v>5321</v>
      </c>
      <c r="B5322" t="s">
        <v>11037</v>
      </c>
      <c r="C5322" t="s">
        <v>10127</v>
      </c>
      <c r="D5322" t="s">
        <v>62</v>
      </c>
      <c r="E5322">
        <v>2203</v>
      </c>
      <c r="F5322">
        <v>4</v>
      </c>
      <c r="G5322">
        <v>4</v>
      </c>
      <c r="H5322">
        <v>1</v>
      </c>
      <c r="I5322">
        <v>0</v>
      </c>
      <c r="J5322">
        <v>0.86226964112512094</v>
      </c>
      <c r="K5322">
        <v>0.99044382624532701</v>
      </c>
      <c r="L5322">
        <v>0.92192306867966201</v>
      </c>
      <c r="M5322">
        <v>0.69740634005763702</v>
      </c>
      <c r="N5322">
        <v>1</v>
      </c>
      <c r="O5322">
        <v>0.79731027857828995</v>
      </c>
      <c r="AF5322" t="s">
        <v>11038</v>
      </c>
    </row>
    <row r="5323" spans="1:32" hidden="1" x14ac:dyDescent="0.35">
      <c r="A5323">
        <v>5322</v>
      </c>
      <c r="B5323" t="s">
        <v>11037</v>
      </c>
      <c r="C5323" t="s">
        <v>10127</v>
      </c>
      <c r="D5323" t="s">
        <v>34</v>
      </c>
      <c r="E5323">
        <v>2471</v>
      </c>
      <c r="F5323">
        <v>4</v>
      </c>
      <c r="G5323">
        <v>4</v>
      </c>
      <c r="H5323">
        <v>1</v>
      </c>
      <c r="I5323">
        <v>0</v>
      </c>
      <c r="J5323">
        <v>0.86226964112512094</v>
      </c>
      <c r="K5323">
        <v>0.99044382624532701</v>
      </c>
      <c r="L5323">
        <v>0.92192306867966201</v>
      </c>
      <c r="M5323">
        <v>0.69740634005763702</v>
      </c>
      <c r="N5323">
        <v>1</v>
      </c>
      <c r="O5323">
        <v>0.79731027857828995</v>
      </c>
      <c r="AF5323" t="s">
        <v>11039</v>
      </c>
    </row>
    <row r="5324" spans="1:32" hidden="1" x14ac:dyDescent="0.35">
      <c r="A5324">
        <v>5323</v>
      </c>
      <c r="B5324" t="s">
        <v>11037</v>
      </c>
      <c r="C5324" t="s">
        <v>10127</v>
      </c>
      <c r="D5324" t="s">
        <v>45</v>
      </c>
      <c r="E5324">
        <v>429</v>
      </c>
      <c r="F5324">
        <v>4</v>
      </c>
      <c r="G5324">
        <v>4</v>
      </c>
      <c r="H5324">
        <v>1</v>
      </c>
      <c r="I5324">
        <v>0</v>
      </c>
      <c r="J5324">
        <v>0.86226964112512094</v>
      </c>
      <c r="K5324">
        <v>0.99044382624532701</v>
      </c>
      <c r="L5324">
        <v>0.92192306867966201</v>
      </c>
      <c r="M5324">
        <v>0.69740634005763702</v>
      </c>
      <c r="N5324">
        <v>1</v>
      </c>
      <c r="O5324">
        <v>0.79731027857828995</v>
      </c>
      <c r="AF5324" t="s">
        <v>11040</v>
      </c>
    </row>
    <row r="5325" spans="1:32" hidden="1" x14ac:dyDescent="0.35">
      <c r="A5325">
        <v>5361</v>
      </c>
      <c r="B5325" t="s">
        <v>11103</v>
      </c>
      <c r="C5325" t="s">
        <v>10127</v>
      </c>
      <c r="D5325" t="s">
        <v>62</v>
      </c>
      <c r="E5325">
        <v>2289</v>
      </c>
      <c r="F5325">
        <v>4</v>
      </c>
      <c r="G5325">
        <v>4</v>
      </c>
      <c r="H5325">
        <v>1</v>
      </c>
      <c r="I5325">
        <v>0</v>
      </c>
      <c r="J5325">
        <v>0.81577747378021004</v>
      </c>
      <c r="K5325">
        <v>0.94401489117984205</v>
      </c>
      <c r="L5325">
        <v>0.875223803070736</v>
      </c>
      <c r="M5325">
        <v>0.59278350515463896</v>
      </c>
      <c r="N5325">
        <v>1</v>
      </c>
      <c r="O5325">
        <v>0.72680412371133996</v>
      </c>
      <c r="P5325" t="s">
        <v>11104</v>
      </c>
      <c r="Q5325" t="s">
        <v>11105</v>
      </c>
      <c r="R5325" t="s">
        <v>113</v>
      </c>
      <c r="S5325" t="s">
        <v>114</v>
      </c>
      <c r="T5325" t="s">
        <v>11106</v>
      </c>
      <c r="U5325" t="s">
        <v>11107</v>
      </c>
      <c r="V5325" t="s">
        <v>11108</v>
      </c>
      <c r="W5325" t="s">
        <v>11109</v>
      </c>
      <c r="AD5325" t="s">
        <v>312</v>
      </c>
      <c r="AE5325" t="s">
        <v>11110</v>
      </c>
      <c r="AF5325" t="s">
        <v>11111</v>
      </c>
    </row>
    <row r="5326" spans="1:32" hidden="1" x14ac:dyDescent="0.35">
      <c r="A5326">
        <v>5362</v>
      </c>
      <c r="B5326" t="s">
        <v>11103</v>
      </c>
      <c r="C5326" t="s">
        <v>10127</v>
      </c>
      <c r="D5326" t="s">
        <v>34</v>
      </c>
      <c r="E5326">
        <v>1537</v>
      </c>
      <c r="F5326">
        <v>4</v>
      </c>
      <c r="G5326">
        <v>4</v>
      </c>
      <c r="H5326">
        <v>1</v>
      </c>
      <c r="I5326">
        <v>0</v>
      </c>
      <c r="J5326">
        <v>0.81577747378021004</v>
      </c>
      <c r="K5326">
        <v>0.94401489117984205</v>
      </c>
      <c r="L5326">
        <v>0.875223803070736</v>
      </c>
      <c r="M5326">
        <v>0.59278350515463896</v>
      </c>
      <c r="N5326">
        <v>1</v>
      </c>
      <c r="O5326">
        <v>0.72680412371133996</v>
      </c>
      <c r="P5326" t="s">
        <v>11112</v>
      </c>
      <c r="Q5326" t="s">
        <v>11113</v>
      </c>
      <c r="R5326" t="s">
        <v>113</v>
      </c>
      <c r="S5326" t="s">
        <v>114</v>
      </c>
      <c r="V5326" t="s">
        <v>11108</v>
      </c>
      <c r="W5326" t="s">
        <v>11109</v>
      </c>
      <c r="AF5326" t="e">
        <f>----------------MAKRSARRTSLASLAEELGVSRTTVSNAYNHPEQLSEDLRVRILDTAERLGYPGPDPAARSLRMKRVGSIGVLVTEHLAYAFEDMASVDFLAGLAEACIGFQTTLTLVPVGP-TATNPSAALQLVNSAVVDGFVVYSVAKNDPYLEATHTRGLPTVVCDQPIDDNRFPFVGIDEGGAIAPAAQALVDAGHRHIGILCLRLCITDNDGLVTPERVEDAQHHVQRARVQGALHVFANAGIATHTIPIIERHTNTPEATYTAARELLTNYPDITAILCTADTMALSAMQYAHDHGMSIPKDLSITGFDGIREARMRGIATVVQPNRAKGEYAGHTLMHMIDGEYYDD--------KTTLDVAFHPGTTIGPPRCN</f>
        <v>#NAME?</v>
      </c>
    </row>
    <row r="5327" spans="1:32" hidden="1" x14ac:dyDescent="0.35">
      <c r="A5327">
        <v>5363</v>
      </c>
      <c r="B5327" t="s">
        <v>11103</v>
      </c>
      <c r="C5327" t="s">
        <v>10127</v>
      </c>
      <c r="D5327" t="s">
        <v>45</v>
      </c>
      <c r="E5327">
        <v>287</v>
      </c>
      <c r="F5327">
        <v>4</v>
      </c>
      <c r="G5327">
        <v>4</v>
      </c>
      <c r="H5327">
        <v>1</v>
      </c>
      <c r="I5327">
        <v>0</v>
      </c>
      <c r="J5327">
        <v>0.81577747378021004</v>
      </c>
      <c r="K5327">
        <v>0.94401489117984205</v>
      </c>
      <c r="L5327">
        <v>0.875223803070736</v>
      </c>
      <c r="M5327">
        <v>0.59278350515463896</v>
      </c>
      <c r="N5327">
        <v>1</v>
      </c>
      <c r="O5327">
        <v>0.72680412371133996</v>
      </c>
      <c r="P5327" t="s">
        <v>11112</v>
      </c>
      <c r="Q5327" t="s">
        <v>11113</v>
      </c>
      <c r="R5327" t="s">
        <v>113</v>
      </c>
      <c r="S5327" t="s">
        <v>114</v>
      </c>
      <c r="V5327" t="s">
        <v>11108</v>
      </c>
      <c r="W5327" t="s">
        <v>11109</v>
      </c>
      <c r="AF5327" t="e">
        <f>----------------MAKRSARRTSLASLAEELGVSRTTVSNAYNHPEQLSEDLRVRILDTAERLGYPGPDPAARSLRMKRVGSIGVLVTEHLAYAFEDMASVDFLAGLAEACIGFQTTLTLVPVGP-TATNPSAALQLVNSAVVDGFVVYSVAKNDPYLEATHTRGLPTVVCDQPIDDNRFPFVGIDEGGAIAPAAQALVDAGHRHIGILCLRLCITDNDGLVTPERVEDAQHHVQQARVQGALRVFANAGIATHTIPIIERHTNTPEATYAAAKELLTNYPDITAILCTADTMALSAMQYAHDHGMSIPKDLSITGFDGIREARMRGIATVVQPNRAKGEYAGHTLMHMIDGEYYDD--------KTTLDVAFHPGTTIGPPRRR</f>
        <v>#NAME?</v>
      </c>
    </row>
    <row r="5328" spans="1:32" hidden="1" x14ac:dyDescent="0.35">
      <c r="A5328">
        <v>11643</v>
      </c>
      <c r="B5328" t="s">
        <v>23852</v>
      </c>
      <c r="C5328" t="s">
        <v>33</v>
      </c>
      <c r="D5328" t="s">
        <v>58</v>
      </c>
      <c r="E5328">
        <v>1690</v>
      </c>
      <c r="F5328">
        <v>1</v>
      </c>
      <c r="G5328">
        <v>1</v>
      </c>
      <c r="H5328">
        <v>1</v>
      </c>
      <c r="I5328">
        <v>0</v>
      </c>
      <c r="J5328">
        <v>1</v>
      </c>
      <c r="K5328">
        <v>1</v>
      </c>
      <c r="L5328">
        <v>1</v>
      </c>
      <c r="M5328">
        <v>0</v>
      </c>
      <c r="N5328">
        <v>0</v>
      </c>
      <c r="O5328">
        <v>0</v>
      </c>
      <c r="P5328" t="s">
        <v>16191</v>
      </c>
      <c r="Q5328" t="s">
        <v>16192</v>
      </c>
      <c r="R5328" t="s">
        <v>869</v>
      </c>
      <c r="S5328" t="s">
        <v>870</v>
      </c>
      <c r="T5328" t="s">
        <v>16193</v>
      </c>
      <c r="U5328" t="s">
        <v>16194</v>
      </c>
      <c r="V5328" t="s">
        <v>16195</v>
      </c>
      <c r="W5328" t="s">
        <v>16196</v>
      </c>
      <c r="X5328" t="s">
        <v>16195</v>
      </c>
      <c r="Y5328" t="s">
        <v>3682</v>
      </c>
      <c r="Z5328" t="s">
        <v>16197</v>
      </c>
      <c r="AA5328" t="s">
        <v>16198</v>
      </c>
      <c r="AB5328" t="s">
        <v>16197</v>
      </c>
      <c r="AC5328" t="s">
        <v>878</v>
      </c>
      <c r="AD5328" t="s">
        <v>245</v>
      </c>
      <c r="AE5328" t="s">
        <v>16199</v>
      </c>
      <c r="AF5328" t="s">
        <v>23853</v>
      </c>
    </row>
    <row r="5329" spans="1:32" hidden="1" x14ac:dyDescent="0.35">
      <c r="A5329">
        <v>4655</v>
      </c>
      <c r="B5329" t="s">
        <v>9723</v>
      </c>
      <c r="C5329" t="s">
        <v>10127</v>
      </c>
      <c r="D5329" t="s">
        <v>60</v>
      </c>
      <c r="E5329">
        <v>447</v>
      </c>
      <c r="F5329">
        <v>5</v>
      </c>
      <c r="G5329">
        <v>5</v>
      </c>
      <c r="H5329">
        <v>1</v>
      </c>
      <c r="I5329">
        <v>1</v>
      </c>
      <c r="J5329">
        <v>0.88869863013698602</v>
      </c>
      <c r="K5329">
        <v>0.97905969493440503</v>
      </c>
      <c r="L5329">
        <v>0.93169335457496505</v>
      </c>
      <c r="M5329">
        <v>0.76536312849162003</v>
      </c>
      <c r="N5329">
        <v>0.994413407821229</v>
      </c>
      <c r="O5329">
        <v>0.82178770949720703</v>
      </c>
      <c r="P5329" t="s">
        <v>9724</v>
      </c>
      <c r="Q5329" t="s">
        <v>9725</v>
      </c>
      <c r="R5329" t="s">
        <v>224</v>
      </c>
      <c r="S5329" t="s">
        <v>225</v>
      </c>
      <c r="T5329" t="s">
        <v>9726</v>
      </c>
      <c r="U5329" t="s">
        <v>9727</v>
      </c>
      <c r="V5329" t="s">
        <v>9728</v>
      </c>
      <c r="W5329" t="s">
        <v>9729</v>
      </c>
      <c r="X5329" t="s">
        <v>9728</v>
      </c>
      <c r="Y5329" t="s">
        <v>761</v>
      </c>
      <c r="AD5329" t="s">
        <v>762</v>
      </c>
      <c r="AE5329" t="s">
        <v>763</v>
      </c>
      <c r="AF5329" t="s">
        <v>9731</v>
      </c>
    </row>
    <row r="5330" spans="1:32" hidden="1" x14ac:dyDescent="0.35">
      <c r="A5330">
        <v>4656</v>
      </c>
      <c r="B5330" t="s">
        <v>9723</v>
      </c>
      <c r="C5330" t="s">
        <v>10127</v>
      </c>
      <c r="D5330" t="s">
        <v>62</v>
      </c>
      <c r="E5330">
        <v>528</v>
      </c>
      <c r="F5330">
        <v>5</v>
      </c>
      <c r="G5330">
        <v>5</v>
      </c>
      <c r="H5330">
        <v>1</v>
      </c>
      <c r="I5330">
        <v>1</v>
      </c>
      <c r="J5330">
        <v>0.88869863013698602</v>
      </c>
      <c r="K5330">
        <v>0.97905969493440503</v>
      </c>
      <c r="L5330">
        <v>0.93169335457496505</v>
      </c>
      <c r="M5330">
        <v>0.76536312849162003</v>
      </c>
      <c r="N5330">
        <v>0.994413407821229</v>
      </c>
      <c r="O5330">
        <v>0.82178770949720703</v>
      </c>
      <c r="P5330" t="s">
        <v>9724</v>
      </c>
      <c r="Q5330" t="s">
        <v>9725</v>
      </c>
      <c r="R5330" t="s">
        <v>224</v>
      </c>
      <c r="S5330" t="s">
        <v>225</v>
      </c>
      <c r="T5330" t="s">
        <v>9726</v>
      </c>
      <c r="U5330" t="s">
        <v>9727</v>
      </c>
      <c r="V5330" t="s">
        <v>9728</v>
      </c>
      <c r="W5330" t="s">
        <v>9729</v>
      </c>
      <c r="X5330" t="s">
        <v>9728</v>
      </c>
      <c r="Y5330" t="s">
        <v>761</v>
      </c>
      <c r="AD5330" t="s">
        <v>762</v>
      </c>
      <c r="AE5330" t="s">
        <v>763</v>
      </c>
      <c r="AF5330" t="s">
        <v>9732</v>
      </c>
    </row>
    <row r="5331" spans="1:32" hidden="1" x14ac:dyDescent="0.35">
      <c r="A5331">
        <v>4657</v>
      </c>
      <c r="B5331" t="s">
        <v>9723</v>
      </c>
      <c r="C5331" t="s">
        <v>10127</v>
      </c>
      <c r="D5331" t="s">
        <v>34</v>
      </c>
      <c r="E5331">
        <v>638</v>
      </c>
      <c r="F5331">
        <v>5</v>
      </c>
      <c r="G5331">
        <v>5</v>
      </c>
      <c r="H5331">
        <v>1</v>
      </c>
      <c r="I5331">
        <v>1</v>
      </c>
      <c r="J5331">
        <v>0.88869863013698602</v>
      </c>
      <c r="K5331">
        <v>0.97905969493440503</v>
      </c>
      <c r="L5331">
        <v>0.93169335457496505</v>
      </c>
      <c r="M5331">
        <v>0.76536312849162003</v>
      </c>
      <c r="N5331">
        <v>0.994413407821229</v>
      </c>
      <c r="O5331">
        <v>0.82178770949720703</v>
      </c>
      <c r="P5331" t="s">
        <v>9724</v>
      </c>
      <c r="Q5331" t="s">
        <v>9725</v>
      </c>
      <c r="R5331" t="s">
        <v>224</v>
      </c>
      <c r="S5331" t="s">
        <v>225</v>
      </c>
      <c r="T5331" t="s">
        <v>9726</v>
      </c>
      <c r="U5331" t="s">
        <v>9727</v>
      </c>
      <c r="V5331" t="s">
        <v>9728</v>
      </c>
      <c r="W5331" t="s">
        <v>9729</v>
      </c>
      <c r="X5331" t="s">
        <v>9728</v>
      </c>
      <c r="Y5331" t="s">
        <v>761</v>
      </c>
      <c r="AD5331" t="s">
        <v>762</v>
      </c>
      <c r="AE5331" t="s">
        <v>763</v>
      </c>
      <c r="AF5331" t="s">
        <v>9733</v>
      </c>
    </row>
    <row r="5332" spans="1:32" hidden="1" x14ac:dyDescent="0.35">
      <c r="A5332">
        <v>4658</v>
      </c>
      <c r="B5332" t="s">
        <v>9723</v>
      </c>
      <c r="C5332" t="s">
        <v>10127</v>
      </c>
      <c r="D5332" t="s">
        <v>45</v>
      </c>
      <c r="E5332">
        <v>1904</v>
      </c>
      <c r="F5332">
        <v>5</v>
      </c>
      <c r="G5332">
        <v>5</v>
      </c>
      <c r="H5332">
        <v>1</v>
      </c>
      <c r="I5332">
        <v>1</v>
      </c>
      <c r="J5332">
        <v>0.88869863013698602</v>
      </c>
      <c r="K5332">
        <v>0.97905969493440503</v>
      </c>
      <c r="L5332">
        <v>0.93169335457496505</v>
      </c>
      <c r="M5332">
        <v>0.76536312849162003</v>
      </c>
      <c r="N5332">
        <v>0.994413407821229</v>
      </c>
      <c r="O5332">
        <v>0.82178770949720703</v>
      </c>
      <c r="P5332" t="s">
        <v>9724</v>
      </c>
      <c r="Q5332" t="s">
        <v>9725</v>
      </c>
      <c r="R5332" t="s">
        <v>224</v>
      </c>
      <c r="S5332" t="s">
        <v>225</v>
      </c>
      <c r="T5332" t="s">
        <v>9726</v>
      </c>
      <c r="U5332" t="s">
        <v>9727</v>
      </c>
      <c r="V5332" t="s">
        <v>9728</v>
      </c>
      <c r="W5332" t="s">
        <v>9729</v>
      </c>
      <c r="X5332" t="s">
        <v>9728</v>
      </c>
      <c r="Y5332" t="s">
        <v>761</v>
      </c>
      <c r="AD5332" t="s">
        <v>762</v>
      </c>
      <c r="AE5332" t="s">
        <v>763</v>
      </c>
      <c r="AF5332" t="s">
        <v>9734</v>
      </c>
    </row>
    <row r="5333" spans="1:32" hidden="1" x14ac:dyDescent="0.35">
      <c r="A5333">
        <v>1714</v>
      </c>
      <c r="B5333" t="s">
        <v>3579</v>
      </c>
      <c r="C5333" t="s">
        <v>72</v>
      </c>
      <c r="D5333" t="s">
        <v>58</v>
      </c>
      <c r="E5333">
        <v>1849</v>
      </c>
      <c r="F5333">
        <v>5</v>
      </c>
      <c r="G5333">
        <v>5</v>
      </c>
      <c r="H5333">
        <v>1</v>
      </c>
      <c r="I5333">
        <v>1</v>
      </c>
      <c r="J5333">
        <v>0.73509085083985504</v>
      </c>
      <c r="K5333">
        <v>0.92494248447803196</v>
      </c>
      <c r="L5333">
        <v>0.81916036675574999</v>
      </c>
      <c r="M5333">
        <v>0.53924050632911402</v>
      </c>
      <c r="N5333">
        <v>1</v>
      </c>
      <c r="O5333">
        <v>0.65037974683544297</v>
      </c>
      <c r="P5333" t="s">
        <v>3580</v>
      </c>
      <c r="Q5333" t="s">
        <v>3581</v>
      </c>
      <c r="R5333" t="s">
        <v>157</v>
      </c>
      <c r="S5333" t="s">
        <v>158</v>
      </c>
      <c r="V5333" t="s">
        <v>3582</v>
      </c>
      <c r="W5333" t="s">
        <v>3583</v>
      </c>
      <c r="AF5333" t="s">
        <v>3584</v>
      </c>
    </row>
    <row r="5334" spans="1:32" hidden="1" x14ac:dyDescent="0.35">
      <c r="A5334">
        <v>4750</v>
      </c>
      <c r="B5334" t="s">
        <v>9950</v>
      </c>
      <c r="C5334" t="s">
        <v>10127</v>
      </c>
      <c r="D5334" t="s">
        <v>60</v>
      </c>
      <c r="E5334">
        <v>1432</v>
      </c>
      <c r="F5334">
        <v>5</v>
      </c>
      <c r="G5334">
        <v>5</v>
      </c>
      <c r="H5334">
        <v>1</v>
      </c>
      <c r="I5334">
        <v>1</v>
      </c>
      <c r="J5334">
        <v>0.89379585094495495</v>
      </c>
      <c r="K5334">
        <v>0.985909823865045</v>
      </c>
      <c r="L5334">
        <v>0.93759583937577895</v>
      </c>
      <c r="M5334">
        <v>0.81465517241379304</v>
      </c>
      <c r="N5334">
        <v>0.99712643678160895</v>
      </c>
      <c r="O5334">
        <v>0.861206896551724</v>
      </c>
      <c r="P5334" t="s">
        <v>3336</v>
      </c>
      <c r="Q5334" t="s">
        <v>3337</v>
      </c>
      <c r="R5334" t="s">
        <v>224</v>
      </c>
      <c r="S5334" t="s">
        <v>225</v>
      </c>
      <c r="T5334" t="s">
        <v>9951</v>
      </c>
      <c r="U5334" t="s">
        <v>9952</v>
      </c>
      <c r="V5334" t="s">
        <v>9953</v>
      </c>
      <c r="W5334" t="s">
        <v>9954</v>
      </c>
      <c r="X5334" t="s">
        <v>9953</v>
      </c>
      <c r="Y5334" t="s">
        <v>589</v>
      </c>
      <c r="AD5334" t="s">
        <v>997</v>
      </c>
      <c r="AE5334" t="s">
        <v>9955</v>
      </c>
      <c r="AF5334" t="s">
        <v>9957</v>
      </c>
    </row>
    <row r="5335" spans="1:32" hidden="1" x14ac:dyDescent="0.35">
      <c r="A5335">
        <v>4751</v>
      </c>
      <c r="B5335" t="s">
        <v>9950</v>
      </c>
      <c r="C5335" t="s">
        <v>10127</v>
      </c>
      <c r="D5335" t="s">
        <v>62</v>
      </c>
      <c r="E5335">
        <v>1467</v>
      </c>
      <c r="F5335">
        <v>5</v>
      </c>
      <c r="G5335">
        <v>5</v>
      </c>
      <c r="H5335">
        <v>1</v>
      </c>
      <c r="I5335">
        <v>1</v>
      </c>
      <c r="J5335">
        <v>0.89379585094495495</v>
      </c>
      <c r="K5335">
        <v>0.985909823865045</v>
      </c>
      <c r="L5335">
        <v>0.93759583937577895</v>
      </c>
      <c r="M5335">
        <v>0.81465517241379304</v>
      </c>
      <c r="N5335">
        <v>0.99712643678160895</v>
      </c>
      <c r="O5335">
        <v>0.861206896551724</v>
      </c>
      <c r="P5335" t="s">
        <v>3336</v>
      </c>
      <c r="Q5335" t="s">
        <v>3337</v>
      </c>
      <c r="R5335" t="s">
        <v>224</v>
      </c>
      <c r="S5335" t="s">
        <v>225</v>
      </c>
      <c r="T5335" t="s">
        <v>9951</v>
      </c>
      <c r="U5335" t="s">
        <v>9952</v>
      </c>
      <c r="V5335" t="s">
        <v>9953</v>
      </c>
      <c r="W5335" t="s">
        <v>9954</v>
      </c>
      <c r="X5335" t="s">
        <v>9953</v>
      </c>
      <c r="Y5335" t="s">
        <v>589</v>
      </c>
      <c r="AD5335" t="s">
        <v>997</v>
      </c>
      <c r="AE5335" t="s">
        <v>9955</v>
      </c>
      <c r="AF5335" t="s">
        <v>9958</v>
      </c>
    </row>
    <row r="5336" spans="1:32" hidden="1" x14ac:dyDescent="0.35">
      <c r="A5336">
        <v>4752</v>
      </c>
      <c r="B5336" t="s">
        <v>9950</v>
      </c>
      <c r="C5336" t="s">
        <v>10127</v>
      </c>
      <c r="D5336" t="s">
        <v>34</v>
      </c>
      <c r="E5336">
        <v>1858</v>
      </c>
      <c r="F5336">
        <v>5</v>
      </c>
      <c r="G5336">
        <v>5</v>
      </c>
      <c r="H5336">
        <v>1</v>
      </c>
      <c r="I5336">
        <v>1</v>
      </c>
      <c r="J5336">
        <v>0.89379585094495495</v>
      </c>
      <c r="K5336">
        <v>0.985909823865045</v>
      </c>
      <c r="L5336">
        <v>0.93759583937577895</v>
      </c>
      <c r="M5336">
        <v>0.81465517241379304</v>
      </c>
      <c r="N5336">
        <v>0.99712643678160895</v>
      </c>
      <c r="O5336">
        <v>0.861206896551724</v>
      </c>
      <c r="P5336" t="s">
        <v>3336</v>
      </c>
      <c r="Q5336" t="s">
        <v>3337</v>
      </c>
      <c r="R5336" t="s">
        <v>224</v>
      </c>
      <c r="S5336" t="s">
        <v>225</v>
      </c>
      <c r="T5336" t="s">
        <v>9951</v>
      </c>
      <c r="U5336" t="s">
        <v>9952</v>
      </c>
      <c r="V5336" t="s">
        <v>9953</v>
      </c>
      <c r="W5336" t="s">
        <v>9954</v>
      </c>
      <c r="X5336" t="s">
        <v>9953</v>
      </c>
      <c r="Y5336" t="s">
        <v>589</v>
      </c>
      <c r="AD5336" t="s">
        <v>997</v>
      </c>
      <c r="AE5336" t="s">
        <v>9955</v>
      </c>
      <c r="AF5336" t="s">
        <v>9959</v>
      </c>
    </row>
    <row r="5337" spans="1:32" hidden="1" x14ac:dyDescent="0.35">
      <c r="A5337">
        <v>4753</v>
      </c>
      <c r="B5337" t="s">
        <v>9950</v>
      </c>
      <c r="C5337" t="s">
        <v>10127</v>
      </c>
      <c r="D5337" t="s">
        <v>45</v>
      </c>
      <c r="E5337">
        <v>1015</v>
      </c>
      <c r="F5337">
        <v>5</v>
      </c>
      <c r="G5337">
        <v>5</v>
      </c>
      <c r="H5337">
        <v>1</v>
      </c>
      <c r="I5337">
        <v>1</v>
      </c>
      <c r="J5337">
        <v>0.89379585094495495</v>
      </c>
      <c r="K5337">
        <v>0.985909823865045</v>
      </c>
      <c r="L5337">
        <v>0.93759583937577895</v>
      </c>
      <c r="M5337">
        <v>0.81465517241379304</v>
      </c>
      <c r="N5337">
        <v>0.99712643678160895</v>
      </c>
      <c r="O5337">
        <v>0.861206896551724</v>
      </c>
      <c r="P5337" t="s">
        <v>3336</v>
      </c>
      <c r="Q5337" t="s">
        <v>3337</v>
      </c>
      <c r="R5337" t="s">
        <v>224</v>
      </c>
      <c r="S5337" t="s">
        <v>225</v>
      </c>
      <c r="T5337" t="s">
        <v>9951</v>
      </c>
      <c r="U5337" t="s">
        <v>9952</v>
      </c>
      <c r="V5337" t="s">
        <v>9953</v>
      </c>
      <c r="W5337" t="s">
        <v>9954</v>
      </c>
      <c r="X5337" t="s">
        <v>9953</v>
      </c>
      <c r="Y5337" t="s">
        <v>589</v>
      </c>
      <c r="AD5337" t="s">
        <v>997</v>
      </c>
      <c r="AE5337" t="s">
        <v>9955</v>
      </c>
      <c r="AF5337" t="s">
        <v>9960</v>
      </c>
    </row>
    <row r="5338" spans="1:32" hidden="1" x14ac:dyDescent="0.35">
      <c r="A5338">
        <v>3164</v>
      </c>
      <c r="B5338" t="s">
        <v>6516</v>
      </c>
      <c r="C5338" t="s">
        <v>72</v>
      </c>
      <c r="D5338" t="s">
        <v>58</v>
      </c>
      <c r="E5338">
        <v>108</v>
      </c>
      <c r="F5338">
        <v>5</v>
      </c>
      <c r="G5338">
        <v>5</v>
      </c>
      <c r="H5338">
        <v>1</v>
      </c>
      <c r="I5338">
        <v>1</v>
      </c>
      <c r="J5338">
        <v>0.72650783429920596</v>
      </c>
      <c r="K5338">
        <v>0.98062148028962703</v>
      </c>
      <c r="L5338">
        <v>0.83465169489411395</v>
      </c>
      <c r="M5338">
        <v>0.544191919191919</v>
      </c>
      <c r="N5338">
        <v>1</v>
      </c>
      <c r="O5338">
        <v>0.64987373737373699</v>
      </c>
      <c r="P5338" t="s">
        <v>3580</v>
      </c>
      <c r="Q5338" t="s">
        <v>3581</v>
      </c>
      <c r="R5338" t="s">
        <v>157</v>
      </c>
      <c r="S5338" t="s">
        <v>158</v>
      </c>
      <c r="V5338" t="s">
        <v>3582</v>
      </c>
      <c r="W5338" t="s">
        <v>3583</v>
      </c>
      <c r="AF5338" t="s">
        <v>6517</v>
      </c>
    </row>
    <row r="5339" spans="1:32" hidden="1" x14ac:dyDescent="0.35">
      <c r="A5339">
        <v>4755</v>
      </c>
      <c r="B5339" t="s">
        <v>9961</v>
      </c>
      <c r="C5339" t="s">
        <v>10127</v>
      </c>
      <c r="D5339" t="s">
        <v>60</v>
      </c>
      <c r="E5339">
        <v>786</v>
      </c>
      <c r="F5339">
        <v>5</v>
      </c>
      <c r="G5339">
        <v>5</v>
      </c>
      <c r="H5339">
        <v>1</v>
      </c>
      <c r="I5339">
        <v>1</v>
      </c>
      <c r="J5339">
        <v>0.88756267713102199</v>
      </c>
      <c r="K5339">
        <v>0.965477098190481</v>
      </c>
      <c r="L5339">
        <v>0.92488186102746595</v>
      </c>
      <c r="M5339">
        <v>0.78233438485804396</v>
      </c>
      <c r="N5339">
        <v>0.99526813880126197</v>
      </c>
      <c r="O5339">
        <v>0.83895899053627798</v>
      </c>
      <c r="P5339" t="s">
        <v>9962</v>
      </c>
      <c r="Q5339" t="s">
        <v>9963</v>
      </c>
      <c r="R5339" t="s">
        <v>224</v>
      </c>
      <c r="S5339" t="s">
        <v>225</v>
      </c>
      <c r="T5339" t="s">
        <v>9964</v>
      </c>
      <c r="U5339" t="s">
        <v>9965</v>
      </c>
      <c r="V5339" t="s">
        <v>9966</v>
      </c>
      <c r="W5339" t="s">
        <v>9967</v>
      </c>
      <c r="X5339" t="s">
        <v>9966</v>
      </c>
      <c r="Y5339" t="s">
        <v>589</v>
      </c>
      <c r="AD5339" t="s">
        <v>9968</v>
      </c>
      <c r="AE5339" t="s">
        <v>9969</v>
      </c>
      <c r="AF5339" t="s">
        <v>9971</v>
      </c>
    </row>
    <row r="5340" spans="1:32" hidden="1" x14ac:dyDescent="0.35">
      <c r="A5340">
        <v>4756</v>
      </c>
      <c r="B5340" t="s">
        <v>9961</v>
      </c>
      <c r="C5340" t="s">
        <v>10127</v>
      </c>
      <c r="D5340" t="s">
        <v>62</v>
      </c>
      <c r="E5340">
        <v>819</v>
      </c>
      <c r="F5340">
        <v>5</v>
      </c>
      <c r="G5340">
        <v>5</v>
      </c>
      <c r="H5340">
        <v>1</v>
      </c>
      <c r="I5340">
        <v>1</v>
      </c>
      <c r="J5340">
        <v>0.88756267713102199</v>
      </c>
      <c r="K5340">
        <v>0.965477098190481</v>
      </c>
      <c r="L5340">
        <v>0.92488186102746595</v>
      </c>
      <c r="M5340">
        <v>0.78233438485804396</v>
      </c>
      <c r="N5340">
        <v>0.99526813880126197</v>
      </c>
      <c r="O5340">
        <v>0.83895899053627798</v>
      </c>
      <c r="P5340" t="s">
        <v>9962</v>
      </c>
      <c r="Q5340" t="s">
        <v>9963</v>
      </c>
      <c r="R5340" t="s">
        <v>224</v>
      </c>
      <c r="S5340" t="s">
        <v>225</v>
      </c>
      <c r="T5340" t="s">
        <v>9964</v>
      </c>
      <c r="U5340" t="s">
        <v>9965</v>
      </c>
      <c r="V5340" t="s">
        <v>9966</v>
      </c>
      <c r="W5340" t="s">
        <v>9967</v>
      </c>
      <c r="X5340" t="s">
        <v>9966</v>
      </c>
      <c r="Y5340" t="s">
        <v>589</v>
      </c>
      <c r="AD5340" t="s">
        <v>9968</v>
      </c>
      <c r="AE5340" t="s">
        <v>9969</v>
      </c>
      <c r="AF5340" t="s">
        <v>9972</v>
      </c>
    </row>
    <row r="5341" spans="1:32" hidden="1" x14ac:dyDescent="0.35">
      <c r="A5341">
        <v>4757</v>
      </c>
      <c r="B5341" t="s">
        <v>9961</v>
      </c>
      <c r="C5341" t="s">
        <v>10127</v>
      </c>
      <c r="D5341" t="s">
        <v>34</v>
      </c>
      <c r="E5341">
        <v>345</v>
      </c>
      <c r="F5341">
        <v>5</v>
      </c>
      <c r="G5341">
        <v>5</v>
      </c>
      <c r="H5341">
        <v>1</v>
      </c>
      <c r="I5341">
        <v>1</v>
      </c>
      <c r="J5341">
        <v>0.88756267713102199</v>
      </c>
      <c r="K5341">
        <v>0.965477098190481</v>
      </c>
      <c r="L5341">
        <v>0.92488186102746595</v>
      </c>
      <c r="M5341">
        <v>0.78233438485804396</v>
      </c>
      <c r="N5341">
        <v>0.99526813880126197</v>
      </c>
      <c r="O5341">
        <v>0.83895899053627798</v>
      </c>
      <c r="P5341" t="s">
        <v>9962</v>
      </c>
      <c r="Q5341" t="s">
        <v>9963</v>
      </c>
      <c r="R5341" t="s">
        <v>224</v>
      </c>
      <c r="S5341" t="s">
        <v>225</v>
      </c>
      <c r="T5341" t="s">
        <v>9964</v>
      </c>
      <c r="U5341" t="s">
        <v>9965</v>
      </c>
      <c r="V5341" t="s">
        <v>9966</v>
      </c>
      <c r="W5341" t="s">
        <v>9967</v>
      </c>
      <c r="X5341" t="s">
        <v>9966</v>
      </c>
      <c r="Y5341" t="s">
        <v>589</v>
      </c>
      <c r="AD5341" t="s">
        <v>9968</v>
      </c>
      <c r="AE5341" t="s">
        <v>9969</v>
      </c>
      <c r="AF5341" t="s">
        <v>9973</v>
      </c>
    </row>
    <row r="5342" spans="1:32" hidden="1" x14ac:dyDescent="0.35">
      <c r="A5342">
        <v>4758</v>
      </c>
      <c r="B5342" t="s">
        <v>9961</v>
      </c>
      <c r="C5342" t="s">
        <v>10127</v>
      </c>
      <c r="D5342" t="s">
        <v>45</v>
      </c>
      <c r="E5342">
        <v>1607</v>
      </c>
      <c r="F5342">
        <v>5</v>
      </c>
      <c r="G5342">
        <v>5</v>
      </c>
      <c r="H5342">
        <v>1</v>
      </c>
      <c r="I5342">
        <v>1</v>
      </c>
      <c r="J5342">
        <v>0.88756267713102199</v>
      </c>
      <c r="K5342">
        <v>0.965477098190481</v>
      </c>
      <c r="L5342">
        <v>0.92488186102746595</v>
      </c>
      <c r="M5342">
        <v>0.78233438485804396</v>
      </c>
      <c r="N5342">
        <v>0.99526813880126197</v>
      </c>
      <c r="O5342">
        <v>0.83895899053627798</v>
      </c>
      <c r="P5342" t="s">
        <v>9962</v>
      </c>
      <c r="Q5342" t="s">
        <v>9963</v>
      </c>
      <c r="R5342" t="s">
        <v>224</v>
      </c>
      <c r="S5342" t="s">
        <v>225</v>
      </c>
      <c r="T5342" t="s">
        <v>9964</v>
      </c>
      <c r="U5342" t="s">
        <v>9965</v>
      </c>
      <c r="V5342" t="s">
        <v>9966</v>
      </c>
      <c r="W5342" t="s">
        <v>9967</v>
      </c>
      <c r="X5342" t="s">
        <v>9966</v>
      </c>
      <c r="Y5342" t="s">
        <v>589</v>
      </c>
      <c r="AD5342" t="s">
        <v>9968</v>
      </c>
      <c r="AE5342" t="s">
        <v>9969</v>
      </c>
      <c r="AF5342" t="s">
        <v>9973</v>
      </c>
    </row>
    <row r="5343" spans="1:32" hidden="1" x14ac:dyDescent="0.35">
      <c r="A5343">
        <v>2029</v>
      </c>
      <c r="B5343" t="s">
        <v>4218</v>
      </c>
      <c r="C5343" t="s">
        <v>72</v>
      </c>
      <c r="D5343" t="s">
        <v>58</v>
      </c>
      <c r="E5343">
        <v>593</v>
      </c>
      <c r="F5343">
        <v>5</v>
      </c>
      <c r="G5343">
        <v>5</v>
      </c>
      <c r="H5343">
        <v>1</v>
      </c>
      <c r="I5343">
        <v>1</v>
      </c>
      <c r="J5343">
        <v>0.92301957129543299</v>
      </c>
      <c r="K5343">
        <v>0.98277951406392206</v>
      </c>
      <c r="L5343">
        <v>0.95196259953936202</v>
      </c>
      <c r="M5343">
        <v>0.84432234432234399</v>
      </c>
      <c r="N5343">
        <v>1</v>
      </c>
      <c r="O5343">
        <v>0.88186813186813195</v>
      </c>
      <c r="P5343" t="s">
        <v>1401</v>
      </c>
      <c r="Q5343" t="s">
        <v>1402</v>
      </c>
      <c r="R5343" t="s">
        <v>224</v>
      </c>
      <c r="S5343" t="s">
        <v>225</v>
      </c>
      <c r="T5343" t="s">
        <v>4219</v>
      </c>
      <c r="U5343" t="s">
        <v>4220</v>
      </c>
      <c r="V5343" t="s">
        <v>4221</v>
      </c>
      <c r="W5343" t="s">
        <v>4222</v>
      </c>
      <c r="X5343" t="s">
        <v>4221</v>
      </c>
      <c r="Y5343" t="s">
        <v>773</v>
      </c>
      <c r="AD5343" t="s">
        <v>774</v>
      </c>
      <c r="AE5343" t="s">
        <v>4223</v>
      </c>
      <c r="AF5343" t="s">
        <v>4224</v>
      </c>
    </row>
    <row r="5344" spans="1:32" hidden="1" x14ac:dyDescent="0.35">
      <c r="A5344">
        <v>4760</v>
      </c>
      <c r="B5344" t="s">
        <v>9974</v>
      </c>
      <c r="C5344" t="s">
        <v>10127</v>
      </c>
      <c r="D5344" t="s">
        <v>60</v>
      </c>
      <c r="E5344">
        <v>1404</v>
      </c>
      <c r="F5344">
        <v>5</v>
      </c>
      <c r="G5344">
        <v>5</v>
      </c>
      <c r="H5344">
        <v>1</v>
      </c>
      <c r="I5344">
        <v>1</v>
      </c>
      <c r="J5344">
        <v>0.91547398551944803</v>
      </c>
      <c r="K5344">
        <v>0.98663882455044505</v>
      </c>
      <c r="L5344">
        <v>0.94972513953704896</v>
      </c>
      <c r="M5344">
        <v>0.82724252491694406</v>
      </c>
      <c r="N5344">
        <v>0.99667774086378702</v>
      </c>
      <c r="O5344">
        <v>0.87674418604651205</v>
      </c>
      <c r="P5344" t="s">
        <v>7548</v>
      </c>
      <c r="Q5344" t="s">
        <v>7549</v>
      </c>
      <c r="R5344" t="s">
        <v>224</v>
      </c>
      <c r="S5344" t="s">
        <v>225</v>
      </c>
      <c r="T5344" t="s">
        <v>9975</v>
      </c>
      <c r="U5344" t="s">
        <v>9976</v>
      </c>
      <c r="V5344" t="s">
        <v>9977</v>
      </c>
      <c r="W5344" t="s">
        <v>9978</v>
      </c>
      <c r="X5344" t="s">
        <v>9977</v>
      </c>
      <c r="Y5344" t="s">
        <v>589</v>
      </c>
      <c r="AD5344" t="s">
        <v>7033</v>
      </c>
      <c r="AE5344" t="s">
        <v>9979</v>
      </c>
      <c r="AF5344" t="s">
        <v>9981</v>
      </c>
    </row>
    <row r="5345" spans="1:32" hidden="1" x14ac:dyDescent="0.35">
      <c r="A5345">
        <v>4761</v>
      </c>
      <c r="B5345" t="s">
        <v>9974</v>
      </c>
      <c r="C5345" t="s">
        <v>10127</v>
      </c>
      <c r="D5345" t="s">
        <v>62</v>
      </c>
      <c r="E5345">
        <v>1439</v>
      </c>
      <c r="F5345">
        <v>5</v>
      </c>
      <c r="G5345">
        <v>5</v>
      </c>
      <c r="H5345">
        <v>1</v>
      </c>
      <c r="I5345">
        <v>1</v>
      </c>
      <c r="J5345">
        <v>0.91547398551944803</v>
      </c>
      <c r="K5345">
        <v>0.98663882455044505</v>
      </c>
      <c r="L5345">
        <v>0.94972513953704896</v>
      </c>
      <c r="M5345">
        <v>0.82724252491694406</v>
      </c>
      <c r="N5345">
        <v>0.99667774086378702</v>
      </c>
      <c r="O5345">
        <v>0.87674418604651205</v>
      </c>
      <c r="P5345" t="s">
        <v>7548</v>
      </c>
      <c r="Q5345" t="s">
        <v>7549</v>
      </c>
      <c r="R5345" t="s">
        <v>224</v>
      </c>
      <c r="S5345" t="s">
        <v>225</v>
      </c>
      <c r="T5345" t="s">
        <v>9975</v>
      </c>
      <c r="U5345" t="s">
        <v>9976</v>
      </c>
      <c r="V5345" t="s">
        <v>9977</v>
      </c>
      <c r="W5345" t="s">
        <v>9978</v>
      </c>
      <c r="X5345" t="s">
        <v>9977</v>
      </c>
      <c r="Y5345" t="s">
        <v>589</v>
      </c>
      <c r="AD5345" t="s">
        <v>7033</v>
      </c>
      <c r="AE5345" t="s">
        <v>9979</v>
      </c>
      <c r="AF5345" t="s">
        <v>9982</v>
      </c>
    </row>
    <row r="5346" spans="1:32" hidden="1" x14ac:dyDescent="0.35">
      <c r="A5346">
        <v>4762</v>
      </c>
      <c r="B5346" t="s">
        <v>9974</v>
      </c>
      <c r="C5346" t="s">
        <v>10127</v>
      </c>
      <c r="D5346" t="s">
        <v>34</v>
      </c>
      <c r="E5346">
        <v>1827</v>
      </c>
      <c r="F5346">
        <v>5</v>
      </c>
      <c r="G5346">
        <v>5</v>
      </c>
      <c r="H5346">
        <v>1</v>
      </c>
      <c r="I5346">
        <v>1</v>
      </c>
      <c r="J5346">
        <v>0.91547398551944803</v>
      </c>
      <c r="K5346">
        <v>0.98663882455044505</v>
      </c>
      <c r="L5346">
        <v>0.94972513953704896</v>
      </c>
      <c r="M5346">
        <v>0.82724252491694406</v>
      </c>
      <c r="N5346">
        <v>0.99667774086378702</v>
      </c>
      <c r="O5346">
        <v>0.87674418604651205</v>
      </c>
      <c r="P5346" t="s">
        <v>7548</v>
      </c>
      <c r="Q5346" t="s">
        <v>7549</v>
      </c>
      <c r="R5346" t="s">
        <v>224</v>
      </c>
      <c r="S5346" t="s">
        <v>225</v>
      </c>
      <c r="T5346" t="s">
        <v>9975</v>
      </c>
      <c r="U5346" t="s">
        <v>9976</v>
      </c>
      <c r="V5346" t="s">
        <v>9977</v>
      </c>
      <c r="W5346" t="s">
        <v>9978</v>
      </c>
      <c r="X5346" t="s">
        <v>9977</v>
      </c>
      <c r="Y5346" t="s">
        <v>589</v>
      </c>
      <c r="AD5346" t="s">
        <v>7033</v>
      </c>
      <c r="AE5346" t="s">
        <v>9979</v>
      </c>
      <c r="AF5346" t="s">
        <v>9983</v>
      </c>
    </row>
    <row r="5347" spans="1:32" hidden="1" x14ac:dyDescent="0.35">
      <c r="A5347">
        <v>4763</v>
      </c>
      <c r="B5347" t="s">
        <v>9974</v>
      </c>
      <c r="C5347" t="s">
        <v>10127</v>
      </c>
      <c r="D5347" t="s">
        <v>45</v>
      </c>
      <c r="E5347">
        <v>1046</v>
      </c>
      <c r="F5347">
        <v>5</v>
      </c>
      <c r="G5347">
        <v>5</v>
      </c>
      <c r="H5347">
        <v>1</v>
      </c>
      <c r="I5347">
        <v>1</v>
      </c>
      <c r="J5347">
        <v>0.91547398551944803</v>
      </c>
      <c r="K5347">
        <v>0.98663882455044505</v>
      </c>
      <c r="L5347">
        <v>0.94972513953704896</v>
      </c>
      <c r="M5347">
        <v>0.82724252491694406</v>
      </c>
      <c r="N5347">
        <v>0.99667774086378702</v>
      </c>
      <c r="O5347">
        <v>0.87674418604651205</v>
      </c>
      <c r="P5347" t="s">
        <v>7548</v>
      </c>
      <c r="Q5347" t="s">
        <v>7549</v>
      </c>
      <c r="R5347" t="s">
        <v>224</v>
      </c>
      <c r="S5347" t="s">
        <v>225</v>
      </c>
      <c r="T5347" t="s">
        <v>9975</v>
      </c>
      <c r="U5347" t="s">
        <v>9976</v>
      </c>
      <c r="V5347" t="s">
        <v>9977</v>
      </c>
      <c r="W5347" t="s">
        <v>9978</v>
      </c>
      <c r="X5347" t="s">
        <v>9977</v>
      </c>
      <c r="Y5347" t="s">
        <v>589</v>
      </c>
      <c r="AD5347" t="s">
        <v>7033</v>
      </c>
      <c r="AE5347" t="s">
        <v>9979</v>
      </c>
      <c r="AF5347" t="s">
        <v>9984</v>
      </c>
    </row>
    <row r="5348" spans="1:32" hidden="1" x14ac:dyDescent="0.35">
      <c r="A5348">
        <v>789</v>
      </c>
      <c r="B5348" t="s">
        <v>1618</v>
      </c>
      <c r="C5348" t="s">
        <v>72</v>
      </c>
      <c r="D5348" t="s">
        <v>58</v>
      </c>
      <c r="E5348">
        <v>1718</v>
      </c>
      <c r="F5348">
        <v>5</v>
      </c>
      <c r="G5348">
        <v>5</v>
      </c>
      <c r="H5348">
        <v>1</v>
      </c>
      <c r="I5348">
        <v>1</v>
      </c>
      <c r="J5348">
        <v>0.80848687883863801</v>
      </c>
      <c r="K5348">
        <v>0.83711197687570504</v>
      </c>
      <c r="L5348">
        <v>0.82255046188506198</v>
      </c>
      <c r="M5348">
        <v>0.56164383561643805</v>
      </c>
      <c r="N5348">
        <v>1</v>
      </c>
      <c r="O5348">
        <v>0.66529680365296795</v>
      </c>
      <c r="P5348" t="s">
        <v>1619</v>
      </c>
      <c r="Q5348" t="s">
        <v>1620</v>
      </c>
      <c r="R5348" t="s">
        <v>224</v>
      </c>
      <c r="S5348" t="s">
        <v>225</v>
      </c>
      <c r="T5348" t="s">
        <v>1621</v>
      </c>
      <c r="U5348" t="s">
        <v>1622</v>
      </c>
      <c r="V5348" t="s">
        <v>1623</v>
      </c>
      <c r="W5348" t="s">
        <v>1624</v>
      </c>
      <c r="AD5348" t="s">
        <v>219</v>
      </c>
      <c r="AE5348" t="s">
        <v>1625</v>
      </c>
      <c r="AF5348" t="s">
        <v>1626</v>
      </c>
    </row>
    <row r="5349" spans="1:32" hidden="1" x14ac:dyDescent="0.35">
      <c r="A5349">
        <v>4800</v>
      </c>
      <c r="B5349" t="s">
        <v>10066</v>
      </c>
      <c r="C5349" t="s">
        <v>10127</v>
      </c>
      <c r="D5349" t="s">
        <v>60</v>
      </c>
      <c r="E5349">
        <v>401</v>
      </c>
      <c r="F5349">
        <v>5</v>
      </c>
      <c r="G5349">
        <v>5</v>
      </c>
      <c r="H5349">
        <v>1</v>
      </c>
      <c r="I5349">
        <v>1</v>
      </c>
      <c r="J5349">
        <v>0.86674436674436695</v>
      </c>
      <c r="K5349">
        <v>0.92207710283723698</v>
      </c>
      <c r="L5349">
        <v>0.893554944613977</v>
      </c>
      <c r="M5349">
        <v>0.70588235294117696</v>
      </c>
      <c r="N5349">
        <v>0.99732620320855603</v>
      </c>
      <c r="O5349">
        <v>0.79679144385026701</v>
      </c>
      <c r="P5349" t="s">
        <v>10067</v>
      </c>
      <c r="Q5349" t="s">
        <v>10068</v>
      </c>
      <c r="R5349" t="s">
        <v>224</v>
      </c>
      <c r="S5349" t="s">
        <v>225</v>
      </c>
      <c r="T5349" t="s">
        <v>10069</v>
      </c>
      <c r="U5349" t="s">
        <v>10070</v>
      </c>
      <c r="V5349" t="s">
        <v>10071</v>
      </c>
      <c r="W5349" t="s">
        <v>10072</v>
      </c>
      <c r="X5349" t="s">
        <v>10071</v>
      </c>
      <c r="Y5349" t="s">
        <v>1598</v>
      </c>
      <c r="AD5349" t="s">
        <v>2991</v>
      </c>
      <c r="AE5349" t="s">
        <v>10073</v>
      </c>
      <c r="AF5349" t="s">
        <v>10075</v>
      </c>
    </row>
    <row r="5350" spans="1:32" hidden="1" x14ac:dyDescent="0.35">
      <c r="A5350">
        <v>4801</v>
      </c>
      <c r="B5350" t="s">
        <v>10066</v>
      </c>
      <c r="C5350" t="s">
        <v>10127</v>
      </c>
      <c r="D5350" t="s">
        <v>62</v>
      </c>
      <c r="E5350">
        <v>482</v>
      </c>
      <c r="F5350">
        <v>5</v>
      </c>
      <c r="G5350">
        <v>5</v>
      </c>
      <c r="H5350">
        <v>1</v>
      </c>
      <c r="I5350">
        <v>1</v>
      </c>
      <c r="J5350">
        <v>0.86674436674436695</v>
      </c>
      <c r="K5350">
        <v>0.92207710283723698</v>
      </c>
      <c r="L5350">
        <v>0.893554944613977</v>
      </c>
      <c r="M5350">
        <v>0.70588235294117696</v>
      </c>
      <c r="N5350">
        <v>0.99732620320855603</v>
      </c>
      <c r="O5350">
        <v>0.79679144385026701</v>
      </c>
      <c r="P5350" t="s">
        <v>10067</v>
      </c>
      <c r="Q5350" t="s">
        <v>10068</v>
      </c>
      <c r="R5350" t="s">
        <v>224</v>
      </c>
      <c r="S5350" t="s">
        <v>225</v>
      </c>
      <c r="T5350" t="s">
        <v>10069</v>
      </c>
      <c r="U5350" t="s">
        <v>10070</v>
      </c>
      <c r="V5350" t="s">
        <v>10071</v>
      </c>
      <c r="W5350" t="s">
        <v>10072</v>
      </c>
      <c r="X5350" t="s">
        <v>10071</v>
      </c>
      <c r="Y5350" t="s">
        <v>1598</v>
      </c>
      <c r="AD5350" t="s">
        <v>2991</v>
      </c>
      <c r="AE5350" t="s">
        <v>10073</v>
      </c>
      <c r="AF5350" t="s">
        <v>10076</v>
      </c>
    </row>
    <row r="5351" spans="1:32" hidden="1" x14ac:dyDescent="0.35">
      <c r="A5351">
        <v>4802</v>
      </c>
      <c r="B5351" t="s">
        <v>10066</v>
      </c>
      <c r="C5351" t="s">
        <v>10127</v>
      </c>
      <c r="D5351" t="s">
        <v>34</v>
      </c>
      <c r="E5351">
        <v>622</v>
      </c>
      <c r="F5351">
        <v>5</v>
      </c>
      <c r="G5351">
        <v>5</v>
      </c>
      <c r="H5351">
        <v>1</v>
      </c>
      <c r="I5351">
        <v>1</v>
      </c>
      <c r="J5351">
        <v>0.86674436674436695</v>
      </c>
      <c r="K5351">
        <v>0.92207710283723698</v>
      </c>
      <c r="L5351">
        <v>0.893554944613977</v>
      </c>
      <c r="M5351">
        <v>0.70588235294117696</v>
      </c>
      <c r="N5351">
        <v>0.99732620320855603</v>
      </c>
      <c r="O5351">
        <v>0.79679144385026701</v>
      </c>
      <c r="P5351" t="s">
        <v>10067</v>
      </c>
      <c r="Q5351" t="s">
        <v>10068</v>
      </c>
      <c r="R5351" t="s">
        <v>224</v>
      </c>
      <c r="S5351" t="s">
        <v>225</v>
      </c>
      <c r="T5351" t="s">
        <v>10069</v>
      </c>
      <c r="U5351" t="s">
        <v>10070</v>
      </c>
      <c r="V5351" t="s">
        <v>10071</v>
      </c>
      <c r="W5351" t="s">
        <v>10072</v>
      </c>
      <c r="X5351" t="s">
        <v>10071</v>
      </c>
      <c r="Y5351" t="s">
        <v>1598</v>
      </c>
      <c r="AD5351" t="s">
        <v>2991</v>
      </c>
      <c r="AE5351" t="s">
        <v>10073</v>
      </c>
      <c r="AF5351" t="e">
        <f>------------------------MIILGIESSCDETGVGIIDLA-----ADGTMTILADAVASSMDQHARFGGVVPEIASRAHLEAMQPVMHAALSEAGITAPDAVAATVGPGLAGALLVGASAAKAYAAAWGVPFYGVNHLGGHVAVANLEGEPLPHAIALLVSGGHTQLLEVTAVGKPMRELGSTLDDAAGEAYDKVARLLGLGYPGGPIIDKLAQQGNKKAIAFPRGL---KNSPYDFSFSGLKTAVARYVEQAEQNNSTISIEDVCASFQEAVCDVLTLKAIRACKDTGAQVLLLGGGVAANSRLRELAGRRCQSAGIELRVPRFTLCTDNGVMIAALAAQLIHEGAQPSALSIGTDTSLEVEIPLVSE</f>
        <v>#NAME?</v>
      </c>
    </row>
    <row r="5352" spans="1:32" hidden="1" x14ac:dyDescent="0.35">
      <c r="A5352">
        <v>4803</v>
      </c>
      <c r="B5352" t="s">
        <v>10066</v>
      </c>
      <c r="C5352" t="s">
        <v>10127</v>
      </c>
      <c r="D5352" t="s">
        <v>45</v>
      </c>
      <c r="E5352">
        <v>1889</v>
      </c>
      <c r="F5352">
        <v>5</v>
      </c>
      <c r="G5352">
        <v>5</v>
      </c>
      <c r="H5352">
        <v>1</v>
      </c>
      <c r="I5352">
        <v>1</v>
      </c>
      <c r="J5352">
        <v>0.86674436674436695</v>
      </c>
      <c r="K5352">
        <v>0.92207710283723698</v>
      </c>
      <c r="L5352">
        <v>0.893554944613977</v>
      </c>
      <c r="M5352">
        <v>0.70588235294117696</v>
      </c>
      <c r="N5352">
        <v>0.99732620320855603</v>
      </c>
      <c r="O5352">
        <v>0.79679144385026701</v>
      </c>
      <c r="P5352" t="s">
        <v>10067</v>
      </c>
      <c r="Q5352" t="s">
        <v>10068</v>
      </c>
      <c r="R5352" t="s">
        <v>224</v>
      </c>
      <c r="S5352" t="s">
        <v>225</v>
      </c>
      <c r="T5352" t="s">
        <v>10069</v>
      </c>
      <c r="U5352" t="s">
        <v>10070</v>
      </c>
      <c r="V5352" t="s">
        <v>10071</v>
      </c>
      <c r="W5352" t="s">
        <v>10072</v>
      </c>
      <c r="X5352" t="s">
        <v>10071</v>
      </c>
      <c r="Y5352" t="s">
        <v>1598</v>
      </c>
      <c r="AD5352" t="s">
        <v>2991</v>
      </c>
      <c r="AE5352" t="s">
        <v>10073</v>
      </c>
      <c r="AF5352" t="e">
        <f>------------------------MIILGIESSCDETGVGIIDLA-----ADGTMTILADAVASSMDQHARFGGVVPEIASRAHLEAMQPVMHAALSEAGITAPDAVAATVGPGLAGALLVGASAAKAYAAAWGVPFYGVNHLGGHVAVANLEGEPLPHAIALLVSGGHTQLLEVTAVGKPMRELGSTLDDAAGEAYDKVARLLGLGYPGGPIIDKLAQQGNKKAIAFPRGL---KNSPYDFSFSGLKTAVARYVEQAERNNSTISIEDVCASFQEAVCDVLTLKAIRACKDTGAQVLLLGGGVAANSRLRELAGRRCQSAGIELRVPRFTLCTDNGVMIAALAAQLIHEGAQPSALSIGTDTSLEVEIPLVSE</f>
        <v>#NAME?</v>
      </c>
    </row>
    <row r="5353" spans="1:32" hidden="1" x14ac:dyDescent="0.35">
      <c r="A5353">
        <v>5352</v>
      </c>
      <c r="B5353" t="s">
        <v>11088</v>
      </c>
      <c r="C5353" t="s">
        <v>10127</v>
      </c>
      <c r="D5353" t="s">
        <v>60</v>
      </c>
      <c r="E5353">
        <v>393</v>
      </c>
      <c r="F5353">
        <v>4</v>
      </c>
      <c r="G5353">
        <v>4</v>
      </c>
      <c r="H5353">
        <v>1</v>
      </c>
      <c r="I5353">
        <v>0</v>
      </c>
      <c r="J5353">
        <v>0.88141720896601605</v>
      </c>
      <c r="K5353">
        <v>0.96171383647798803</v>
      </c>
      <c r="L5353">
        <v>0.91981644785135397</v>
      </c>
      <c r="M5353">
        <v>0.72499999999999998</v>
      </c>
      <c r="N5353">
        <v>1</v>
      </c>
      <c r="O5353">
        <v>0.80104166666666698</v>
      </c>
      <c r="P5353" t="s">
        <v>11089</v>
      </c>
      <c r="Q5353" t="s">
        <v>11090</v>
      </c>
      <c r="AF5353" t="s">
        <v>11091</v>
      </c>
    </row>
    <row r="5354" spans="1:32" hidden="1" x14ac:dyDescent="0.35">
      <c r="A5354">
        <v>5353</v>
      </c>
      <c r="B5354" t="s">
        <v>11088</v>
      </c>
      <c r="C5354" t="s">
        <v>10127</v>
      </c>
      <c r="D5354" t="s">
        <v>62</v>
      </c>
      <c r="E5354">
        <v>474</v>
      </c>
      <c r="F5354">
        <v>4</v>
      </c>
      <c r="G5354">
        <v>4</v>
      </c>
      <c r="H5354">
        <v>1</v>
      </c>
      <c r="I5354">
        <v>0</v>
      </c>
      <c r="J5354">
        <v>0.88141720896601605</v>
      </c>
      <c r="K5354">
        <v>0.96171383647798803</v>
      </c>
      <c r="L5354">
        <v>0.91981644785135397</v>
      </c>
      <c r="M5354">
        <v>0.72499999999999998</v>
      </c>
      <c r="N5354">
        <v>1</v>
      </c>
      <c r="O5354">
        <v>0.80104166666666698</v>
      </c>
      <c r="P5354" t="s">
        <v>11089</v>
      </c>
      <c r="Q5354" t="s">
        <v>11090</v>
      </c>
      <c r="AF5354" t="s">
        <v>11091</v>
      </c>
    </row>
    <row r="5355" spans="1:32" hidden="1" x14ac:dyDescent="0.35">
      <c r="A5355">
        <v>5354</v>
      </c>
      <c r="B5355" t="s">
        <v>11088</v>
      </c>
      <c r="C5355" t="s">
        <v>10127</v>
      </c>
      <c r="D5355" t="s">
        <v>34</v>
      </c>
      <c r="E5355">
        <v>271</v>
      </c>
      <c r="F5355">
        <v>4</v>
      </c>
      <c r="G5355">
        <v>4</v>
      </c>
      <c r="H5355">
        <v>1</v>
      </c>
      <c r="I5355">
        <v>0</v>
      </c>
      <c r="J5355">
        <v>0.88141720896601605</v>
      </c>
      <c r="K5355">
        <v>0.96171383647798803</v>
      </c>
      <c r="L5355">
        <v>0.91981644785135397</v>
      </c>
      <c r="M5355">
        <v>0.72499999999999998</v>
      </c>
      <c r="N5355">
        <v>1</v>
      </c>
      <c r="O5355">
        <v>0.80104166666666698</v>
      </c>
      <c r="P5355" t="s">
        <v>11089</v>
      </c>
      <c r="Q5355" t="s">
        <v>11090</v>
      </c>
      <c r="AF5355" t="s">
        <v>11092</v>
      </c>
    </row>
    <row r="5356" spans="1:32" hidden="1" x14ac:dyDescent="0.35">
      <c r="A5356">
        <v>5355</v>
      </c>
      <c r="B5356" t="s">
        <v>11088</v>
      </c>
      <c r="C5356" t="s">
        <v>10127</v>
      </c>
      <c r="D5356" t="s">
        <v>45</v>
      </c>
      <c r="E5356">
        <v>1533</v>
      </c>
      <c r="F5356">
        <v>4</v>
      </c>
      <c r="G5356">
        <v>4</v>
      </c>
      <c r="H5356">
        <v>1</v>
      </c>
      <c r="I5356">
        <v>0</v>
      </c>
      <c r="J5356">
        <v>0.88141720896601605</v>
      </c>
      <c r="K5356">
        <v>0.96171383647798803</v>
      </c>
      <c r="L5356">
        <v>0.91981644785135397</v>
      </c>
      <c r="M5356">
        <v>0.72499999999999998</v>
      </c>
      <c r="N5356">
        <v>1</v>
      </c>
      <c r="O5356">
        <v>0.80104166666666698</v>
      </c>
      <c r="P5356" t="s">
        <v>11089</v>
      </c>
      <c r="Q5356" t="s">
        <v>11090</v>
      </c>
      <c r="AF5356" t="s">
        <v>11093</v>
      </c>
    </row>
    <row r="5357" spans="1:32" hidden="1" x14ac:dyDescent="0.35">
      <c r="A5357">
        <v>3134</v>
      </c>
      <c r="B5357" t="s">
        <v>6455</v>
      </c>
      <c r="C5357" t="s">
        <v>72</v>
      </c>
      <c r="D5357" t="s">
        <v>58</v>
      </c>
      <c r="E5357">
        <v>1004</v>
      </c>
      <c r="F5357">
        <v>5</v>
      </c>
      <c r="G5357">
        <v>5</v>
      </c>
      <c r="H5357">
        <v>1</v>
      </c>
      <c r="I5357">
        <v>1</v>
      </c>
      <c r="J5357">
        <v>0.81573744563068395</v>
      </c>
      <c r="K5357">
        <v>0.89672514619883104</v>
      </c>
      <c r="L5357">
        <v>0.85431621535340396</v>
      </c>
      <c r="M5357">
        <v>0.57368421052631602</v>
      </c>
      <c r="N5357">
        <v>1</v>
      </c>
      <c r="O5357">
        <v>0.74736842105263201</v>
      </c>
      <c r="P5357" t="s">
        <v>1619</v>
      </c>
      <c r="Q5357" t="s">
        <v>1620</v>
      </c>
      <c r="R5357" t="s">
        <v>224</v>
      </c>
      <c r="S5357" t="s">
        <v>225</v>
      </c>
      <c r="T5357" t="s">
        <v>1621</v>
      </c>
      <c r="U5357" t="s">
        <v>1622</v>
      </c>
      <c r="V5357" t="s">
        <v>1623</v>
      </c>
      <c r="W5357" t="s">
        <v>1624</v>
      </c>
      <c r="AD5357" t="s">
        <v>219</v>
      </c>
      <c r="AE5357" t="s">
        <v>1625</v>
      </c>
      <c r="AF5357" t="s">
        <v>6456</v>
      </c>
    </row>
    <row r="5358" spans="1:32" hidden="1" x14ac:dyDescent="0.35">
      <c r="A5358">
        <v>4805</v>
      </c>
      <c r="B5358" t="s">
        <v>10077</v>
      </c>
      <c r="C5358" t="s">
        <v>10127</v>
      </c>
      <c r="D5358" t="s">
        <v>60</v>
      </c>
      <c r="E5358">
        <v>2087</v>
      </c>
      <c r="F5358">
        <v>5</v>
      </c>
      <c r="G5358">
        <v>5</v>
      </c>
      <c r="H5358">
        <v>1</v>
      </c>
      <c r="I5358">
        <v>1</v>
      </c>
      <c r="J5358">
        <v>0.88110838110838097</v>
      </c>
      <c r="K5358">
        <v>0.92566037735849005</v>
      </c>
      <c r="L5358">
        <v>0.902835089137354</v>
      </c>
      <c r="M5358">
        <v>0.74339622641509395</v>
      </c>
      <c r="N5358">
        <v>0.99622641509433996</v>
      </c>
      <c r="O5358">
        <v>0.81169811320754703</v>
      </c>
      <c r="P5358" t="s">
        <v>7133</v>
      </c>
      <c r="Q5358" t="s">
        <v>7134</v>
      </c>
      <c r="R5358" t="s">
        <v>224</v>
      </c>
      <c r="S5358" t="s">
        <v>225</v>
      </c>
      <c r="T5358" t="s">
        <v>10078</v>
      </c>
      <c r="U5358" t="s">
        <v>10079</v>
      </c>
      <c r="V5358" t="s">
        <v>10080</v>
      </c>
      <c r="W5358" t="s">
        <v>10081</v>
      </c>
      <c r="AD5358" t="s">
        <v>2991</v>
      </c>
      <c r="AE5358" t="s">
        <v>10082</v>
      </c>
      <c r="AF5358" t="s">
        <v>10084</v>
      </c>
    </row>
    <row r="5359" spans="1:32" hidden="1" x14ac:dyDescent="0.35">
      <c r="A5359">
        <v>4806</v>
      </c>
      <c r="B5359" t="s">
        <v>10077</v>
      </c>
      <c r="C5359" t="s">
        <v>10127</v>
      </c>
      <c r="D5359" t="s">
        <v>62</v>
      </c>
      <c r="E5359">
        <v>2122</v>
      </c>
      <c r="F5359">
        <v>5</v>
      </c>
      <c r="G5359">
        <v>5</v>
      </c>
      <c r="H5359">
        <v>1</v>
      </c>
      <c r="I5359">
        <v>1</v>
      </c>
      <c r="J5359">
        <v>0.88110838110838097</v>
      </c>
      <c r="K5359">
        <v>0.92566037735849005</v>
      </c>
      <c r="L5359">
        <v>0.902835089137354</v>
      </c>
      <c r="M5359">
        <v>0.74339622641509395</v>
      </c>
      <c r="N5359">
        <v>0.99622641509433996</v>
      </c>
      <c r="O5359">
        <v>0.81169811320754703</v>
      </c>
      <c r="P5359" t="s">
        <v>7133</v>
      </c>
      <c r="Q5359" t="s">
        <v>7134</v>
      </c>
      <c r="R5359" t="s">
        <v>224</v>
      </c>
      <c r="S5359" t="s">
        <v>225</v>
      </c>
      <c r="T5359" t="s">
        <v>10078</v>
      </c>
      <c r="U5359" t="s">
        <v>10079</v>
      </c>
      <c r="V5359" t="s">
        <v>10080</v>
      </c>
      <c r="W5359" t="s">
        <v>10081</v>
      </c>
      <c r="AD5359" t="s">
        <v>2991</v>
      </c>
      <c r="AE5359" t="s">
        <v>10082</v>
      </c>
      <c r="AF5359" t="s">
        <v>10085</v>
      </c>
    </row>
    <row r="5360" spans="1:32" hidden="1" x14ac:dyDescent="0.35">
      <c r="A5360">
        <v>4807</v>
      </c>
      <c r="B5360" t="s">
        <v>10077</v>
      </c>
      <c r="C5360" t="s">
        <v>10127</v>
      </c>
      <c r="D5360" t="s">
        <v>34</v>
      </c>
      <c r="E5360">
        <v>2439</v>
      </c>
      <c r="F5360">
        <v>5</v>
      </c>
      <c r="G5360">
        <v>5</v>
      </c>
      <c r="H5360">
        <v>1</v>
      </c>
      <c r="I5360">
        <v>1</v>
      </c>
      <c r="J5360">
        <v>0.88110838110838097</v>
      </c>
      <c r="K5360">
        <v>0.92566037735849005</v>
      </c>
      <c r="L5360">
        <v>0.902835089137354</v>
      </c>
      <c r="M5360">
        <v>0.74339622641509395</v>
      </c>
      <c r="N5360">
        <v>0.99622641509433996</v>
      </c>
      <c r="O5360">
        <v>0.81169811320754703</v>
      </c>
      <c r="P5360" t="s">
        <v>7133</v>
      </c>
      <c r="Q5360" t="s">
        <v>7134</v>
      </c>
      <c r="R5360" t="s">
        <v>224</v>
      </c>
      <c r="S5360" t="s">
        <v>225</v>
      </c>
      <c r="T5360" t="s">
        <v>10078</v>
      </c>
      <c r="U5360" t="s">
        <v>10079</v>
      </c>
      <c r="V5360" t="s">
        <v>10080</v>
      </c>
      <c r="W5360" t="s">
        <v>10081</v>
      </c>
      <c r="AD5360" t="s">
        <v>2991</v>
      </c>
      <c r="AE5360" t="s">
        <v>10082</v>
      </c>
      <c r="AF5360" t="s">
        <v>10086</v>
      </c>
    </row>
    <row r="5361" spans="1:32" hidden="1" x14ac:dyDescent="0.35">
      <c r="A5361">
        <v>4808</v>
      </c>
      <c r="B5361" t="s">
        <v>10077</v>
      </c>
      <c r="C5361" t="s">
        <v>10127</v>
      </c>
      <c r="D5361" t="s">
        <v>45</v>
      </c>
      <c r="E5361">
        <v>463</v>
      </c>
      <c r="F5361">
        <v>5</v>
      </c>
      <c r="G5361">
        <v>5</v>
      </c>
      <c r="H5361">
        <v>1</v>
      </c>
      <c r="I5361">
        <v>1</v>
      </c>
      <c r="J5361">
        <v>0.88110838110838097</v>
      </c>
      <c r="K5361">
        <v>0.92566037735849005</v>
      </c>
      <c r="L5361">
        <v>0.902835089137354</v>
      </c>
      <c r="M5361">
        <v>0.74339622641509395</v>
      </c>
      <c r="N5361">
        <v>0.99622641509433996</v>
      </c>
      <c r="O5361">
        <v>0.81169811320754703</v>
      </c>
      <c r="P5361" t="s">
        <v>7133</v>
      </c>
      <c r="Q5361" t="s">
        <v>7134</v>
      </c>
      <c r="R5361" t="s">
        <v>224</v>
      </c>
      <c r="S5361" t="s">
        <v>225</v>
      </c>
      <c r="T5361" t="s">
        <v>10078</v>
      </c>
      <c r="U5361" t="s">
        <v>10079</v>
      </c>
      <c r="V5361" t="s">
        <v>10080</v>
      </c>
      <c r="W5361" t="s">
        <v>10081</v>
      </c>
      <c r="AD5361" t="s">
        <v>2991</v>
      </c>
      <c r="AE5361" t="s">
        <v>10082</v>
      </c>
      <c r="AF5361" t="s">
        <v>10087</v>
      </c>
    </row>
    <row r="5362" spans="1:32" hidden="1" x14ac:dyDescent="0.35">
      <c r="A5362">
        <v>11613</v>
      </c>
      <c r="B5362" t="s">
        <v>23777</v>
      </c>
      <c r="C5362" t="s">
        <v>33</v>
      </c>
      <c r="D5362" t="s">
        <v>58</v>
      </c>
      <c r="E5362">
        <v>1582</v>
      </c>
      <c r="F5362">
        <v>1</v>
      </c>
      <c r="G5362">
        <v>1</v>
      </c>
      <c r="H5362">
        <v>1</v>
      </c>
      <c r="I5362">
        <v>0</v>
      </c>
      <c r="J5362">
        <v>1</v>
      </c>
      <c r="K5362">
        <v>1</v>
      </c>
      <c r="L5362">
        <v>1</v>
      </c>
      <c r="M5362">
        <v>0</v>
      </c>
      <c r="N5362">
        <v>0</v>
      </c>
      <c r="O5362">
        <v>0</v>
      </c>
      <c r="P5362" t="s">
        <v>12884</v>
      </c>
      <c r="Q5362" t="s">
        <v>12885</v>
      </c>
      <c r="R5362" t="s">
        <v>157</v>
      </c>
      <c r="S5362" t="s">
        <v>158</v>
      </c>
      <c r="T5362" t="s">
        <v>14732</v>
      </c>
      <c r="U5362" t="s">
        <v>14733</v>
      </c>
      <c r="V5362" t="s">
        <v>14734</v>
      </c>
      <c r="W5362" t="s">
        <v>14735</v>
      </c>
      <c r="AD5362" t="s">
        <v>410</v>
      </c>
      <c r="AE5362" t="s">
        <v>11283</v>
      </c>
      <c r="AF5362" t="s">
        <v>23778</v>
      </c>
    </row>
    <row r="5363" spans="1:32" hidden="1" x14ac:dyDescent="0.35">
      <c r="A5363">
        <v>4820</v>
      </c>
      <c r="B5363" t="s">
        <v>10115</v>
      </c>
      <c r="C5363" t="s">
        <v>10127</v>
      </c>
      <c r="D5363" t="s">
        <v>60</v>
      </c>
      <c r="E5363">
        <v>2550</v>
      </c>
      <c r="F5363">
        <v>5</v>
      </c>
      <c r="G5363">
        <v>5</v>
      </c>
      <c r="H5363">
        <v>1</v>
      </c>
      <c r="I5363">
        <v>1</v>
      </c>
      <c r="J5363">
        <v>0.81032818532818496</v>
      </c>
      <c r="K5363">
        <v>0.96455553140621797</v>
      </c>
      <c r="L5363">
        <v>0.88074111677663802</v>
      </c>
      <c r="M5363">
        <v>0.65116279069767402</v>
      </c>
      <c r="N5363">
        <v>0.99534883720930201</v>
      </c>
      <c r="O5363">
        <v>0.72418604651162799</v>
      </c>
      <c r="P5363" t="s">
        <v>10116</v>
      </c>
      <c r="Q5363" t="s">
        <v>10117</v>
      </c>
      <c r="R5363" t="s">
        <v>224</v>
      </c>
      <c r="S5363" t="s">
        <v>225</v>
      </c>
      <c r="T5363" t="s">
        <v>10118</v>
      </c>
      <c r="U5363" t="s">
        <v>10119</v>
      </c>
      <c r="V5363" t="s">
        <v>10120</v>
      </c>
      <c r="W5363" t="s">
        <v>10121</v>
      </c>
      <c r="X5363" t="s">
        <v>10120</v>
      </c>
      <c r="Y5363" t="s">
        <v>2715</v>
      </c>
      <c r="AD5363" t="s">
        <v>10122</v>
      </c>
      <c r="AE5363" t="s">
        <v>10123</v>
      </c>
      <c r="AF5363" t="s">
        <v>10124</v>
      </c>
    </row>
    <row r="5364" spans="1:32" hidden="1" x14ac:dyDescent="0.35">
      <c r="A5364">
        <v>4821</v>
      </c>
      <c r="B5364" t="s">
        <v>10115</v>
      </c>
      <c r="C5364" t="s">
        <v>10127</v>
      </c>
      <c r="D5364" t="s">
        <v>62</v>
      </c>
      <c r="E5364">
        <v>75</v>
      </c>
      <c r="F5364">
        <v>5</v>
      </c>
      <c r="G5364">
        <v>5</v>
      </c>
      <c r="H5364">
        <v>1</v>
      </c>
      <c r="I5364">
        <v>1</v>
      </c>
      <c r="J5364">
        <v>0.81032818532818496</v>
      </c>
      <c r="K5364">
        <v>0.96455553140621797</v>
      </c>
      <c r="L5364">
        <v>0.88074111677663802</v>
      </c>
      <c r="M5364">
        <v>0.65116279069767402</v>
      </c>
      <c r="N5364">
        <v>0.99534883720930201</v>
      </c>
      <c r="O5364">
        <v>0.72418604651162799</v>
      </c>
      <c r="P5364" t="s">
        <v>10116</v>
      </c>
      <c r="Q5364" t="s">
        <v>10117</v>
      </c>
      <c r="R5364" t="s">
        <v>224</v>
      </c>
      <c r="S5364" t="s">
        <v>225</v>
      </c>
      <c r="T5364" t="s">
        <v>10118</v>
      </c>
      <c r="U5364" t="s">
        <v>10119</v>
      </c>
      <c r="V5364" t="s">
        <v>10120</v>
      </c>
      <c r="W5364" t="s">
        <v>10121</v>
      </c>
      <c r="X5364" t="s">
        <v>10120</v>
      </c>
      <c r="Y5364" t="s">
        <v>2715</v>
      </c>
      <c r="AD5364" t="s">
        <v>10122</v>
      </c>
      <c r="AE5364" t="s">
        <v>10123</v>
      </c>
      <c r="AF5364" t="s">
        <v>10125</v>
      </c>
    </row>
    <row r="5365" spans="1:32" hidden="1" x14ac:dyDescent="0.35">
      <c r="A5365">
        <v>4822</v>
      </c>
      <c r="B5365" t="s">
        <v>10115</v>
      </c>
      <c r="C5365" t="s">
        <v>10127</v>
      </c>
      <c r="D5365" t="s">
        <v>34</v>
      </c>
      <c r="E5365">
        <v>1094</v>
      </c>
      <c r="F5365">
        <v>5</v>
      </c>
      <c r="G5365">
        <v>5</v>
      </c>
      <c r="H5365">
        <v>1</v>
      </c>
      <c r="I5365">
        <v>1</v>
      </c>
      <c r="J5365">
        <v>0.81032818532818496</v>
      </c>
      <c r="K5365">
        <v>0.96455553140621797</v>
      </c>
      <c r="L5365">
        <v>0.88074111677663802</v>
      </c>
      <c r="M5365">
        <v>0.65116279069767402</v>
      </c>
      <c r="N5365">
        <v>0.99534883720930201</v>
      </c>
      <c r="O5365">
        <v>0.72418604651162799</v>
      </c>
      <c r="P5365" t="s">
        <v>10116</v>
      </c>
      <c r="Q5365" t="s">
        <v>10117</v>
      </c>
      <c r="R5365" t="s">
        <v>224</v>
      </c>
      <c r="S5365" t="s">
        <v>225</v>
      </c>
      <c r="T5365" t="s">
        <v>10118</v>
      </c>
      <c r="U5365" t="s">
        <v>10119</v>
      </c>
      <c r="V5365" t="s">
        <v>10120</v>
      </c>
      <c r="W5365" t="s">
        <v>10121</v>
      </c>
      <c r="X5365" t="s">
        <v>10120</v>
      </c>
      <c r="Y5365" t="s">
        <v>2715</v>
      </c>
      <c r="AD5365" t="s">
        <v>10122</v>
      </c>
      <c r="AE5365" t="s">
        <v>10123</v>
      </c>
      <c r="AF5365" t="e">
        <f>---------MTHAARIFGDNLARAERYHDLLATTGTTRGFIGPRETPKLWDRHILNCAVLGEAIATGLTVADIGSGAGLPGIPLAIARPDLTIYLVEPLLKRSTFLTEVVHELGLENVTVIRGRAEEREVKATLGLVDVVTSRAVAPLGKLAGWSLPLVKPGGHMLAMKGASVYDELARDRVEIRKVGGGTATIFTVGNDL-PEPTTVIDIPKKR</f>
        <v>#NAME?</v>
      </c>
    </row>
    <row r="5366" spans="1:32" hidden="1" x14ac:dyDescent="0.35">
      <c r="A5366">
        <v>4823</v>
      </c>
      <c r="B5366" t="s">
        <v>10115</v>
      </c>
      <c r="C5366" t="s">
        <v>10127</v>
      </c>
      <c r="D5366" t="s">
        <v>45</v>
      </c>
      <c r="E5366">
        <v>2348</v>
      </c>
      <c r="F5366">
        <v>5</v>
      </c>
      <c r="G5366">
        <v>5</v>
      </c>
      <c r="H5366">
        <v>1</v>
      </c>
      <c r="I5366">
        <v>1</v>
      </c>
      <c r="J5366">
        <v>0.81032818532818496</v>
      </c>
      <c r="K5366">
        <v>0.96455553140621797</v>
      </c>
      <c r="L5366">
        <v>0.88074111677663802</v>
      </c>
      <c r="M5366">
        <v>0.65116279069767402</v>
      </c>
      <c r="N5366">
        <v>0.99534883720930201</v>
      </c>
      <c r="O5366">
        <v>0.72418604651162799</v>
      </c>
      <c r="P5366" t="s">
        <v>10116</v>
      </c>
      <c r="Q5366" t="s">
        <v>10117</v>
      </c>
      <c r="R5366" t="s">
        <v>224</v>
      </c>
      <c r="S5366" t="s">
        <v>225</v>
      </c>
      <c r="T5366" t="s">
        <v>10118</v>
      </c>
      <c r="U5366" t="s">
        <v>10119</v>
      </c>
      <c r="V5366" t="s">
        <v>10120</v>
      </c>
      <c r="W5366" t="s">
        <v>10121</v>
      </c>
      <c r="X5366" t="s">
        <v>10120</v>
      </c>
      <c r="Y5366" t="s">
        <v>2715</v>
      </c>
      <c r="AD5366" t="s">
        <v>10122</v>
      </c>
      <c r="AE5366" t="s">
        <v>10123</v>
      </c>
      <c r="AF5366" t="e">
        <f>---------MTHAARIFGDNLARAERYHDLLATTGAIRGFIGPRETPKLWDRHILNCAVLGEAIATGLTVADIGSGAGLPGIPLAIARPDLTIYLVEPLLKRSTFLTEVVRELGLENVTVIRGRAEEREVKVTLGLVDVVTSRAVAPLGKLAGWSLPLVKPGGHMLAMKGASVYDELARDRVEIRKAGGGTATIFTVGNDL-PEPTTVIDIPKKR</f>
        <v>#NAME?</v>
      </c>
    </row>
    <row r="5367" spans="1:32" hidden="1" x14ac:dyDescent="0.35">
      <c r="A5367">
        <v>4860</v>
      </c>
      <c r="B5367" t="s">
        <v>10178</v>
      </c>
      <c r="C5367" t="s">
        <v>10127</v>
      </c>
      <c r="D5367" t="s">
        <v>60</v>
      </c>
      <c r="E5367">
        <v>1538</v>
      </c>
      <c r="F5367">
        <v>4</v>
      </c>
      <c r="G5367">
        <v>4</v>
      </c>
      <c r="H5367">
        <v>1</v>
      </c>
      <c r="I5367">
        <v>0</v>
      </c>
      <c r="J5367">
        <v>0.76626826029216499</v>
      </c>
      <c r="K5367">
        <v>0.86708529565672299</v>
      </c>
      <c r="L5367">
        <v>0.81356536508325505</v>
      </c>
      <c r="M5367">
        <v>0.46428571428571402</v>
      </c>
      <c r="N5367">
        <v>1</v>
      </c>
      <c r="O5367">
        <v>0.64880952380952395</v>
      </c>
      <c r="P5367" t="s">
        <v>10179</v>
      </c>
      <c r="Q5367" t="s">
        <v>10180</v>
      </c>
      <c r="R5367" t="s">
        <v>224</v>
      </c>
      <c r="S5367" t="s">
        <v>225</v>
      </c>
      <c r="T5367" t="s">
        <v>10181</v>
      </c>
      <c r="U5367" t="s">
        <v>10182</v>
      </c>
      <c r="V5367" t="s">
        <v>10183</v>
      </c>
      <c r="W5367" t="s">
        <v>10184</v>
      </c>
      <c r="AD5367" t="s">
        <v>210</v>
      </c>
      <c r="AE5367" t="s">
        <v>1520</v>
      </c>
      <c r="AF5367" t="s">
        <v>10185</v>
      </c>
    </row>
    <row r="5368" spans="1:32" hidden="1" x14ac:dyDescent="0.35">
      <c r="A5368">
        <v>4861</v>
      </c>
      <c r="B5368" t="s">
        <v>10178</v>
      </c>
      <c r="C5368" t="s">
        <v>10127</v>
      </c>
      <c r="D5368" t="s">
        <v>62</v>
      </c>
      <c r="E5368">
        <v>1573</v>
      </c>
      <c r="F5368">
        <v>4</v>
      </c>
      <c r="G5368">
        <v>4</v>
      </c>
      <c r="H5368">
        <v>1</v>
      </c>
      <c r="I5368">
        <v>0</v>
      </c>
      <c r="J5368">
        <v>0.76626826029216499</v>
      </c>
      <c r="K5368">
        <v>0.86708529565672299</v>
      </c>
      <c r="L5368">
        <v>0.81356536508325505</v>
      </c>
      <c r="M5368">
        <v>0.46428571428571402</v>
      </c>
      <c r="N5368">
        <v>1</v>
      </c>
      <c r="O5368">
        <v>0.64880952380952395</v>
      </c>
      <c r="P5368" t="s">
        <v>10179</v>
      </c>
      <c r="Q5368" t="s">
        <v>10180</v>
      </c>
      <c r="R5368" t="s">
        <v>224</v>
      </c>
      <c r="S5368" t="s">
        <v>225</v>
      </c>
      <c r="T5368" t="s">
        <v>10181</v>
      </c>
      <c r="U5368" t="s">
        <v>10182</v>
      </c>
      <c r="V5368" t="s">
        <v>10183</v>
      </c>
      <c r="W5368" t="s">
        <v>10184</v>
      </c>
      <c r="AD5368" t="s">
        <v>210</v>
      </c>
      <c r="AE5368" t="s">
        <v>1520</v>
      </c>
      <c r="AF5368" t="s">
        <v>10185</v>
      </c>
    </row>
    <row r="5369" spans="1:32" hidden="1" x14ac:dyDescent="0.35">
      <c r="A5369">
        <v>5368</v>
      </c>
      <c r="B5369" t="s">
        <v>11120</v>
      </c>
      <c r="C5369" t="s">
        <v>10127</v>
      </c>
      <c r="D5369" t="s">
        <v>60</v>
      </c>
      <c r="E5369">
        <v>1427</v>
      </c>
      <c r="F5369">
        <v>4</v>
      </c>
      <c r="G5369">
        <v>4</v>
      </c>
      <c r="H5369">
        <v>1</v>
      </c>
      <c r="I5369">
        <v>0</v>
      </c>
      <c r="J5369">
        <v>0.75974981604120695</v>
      </c>
      <c r="K5369">
        <v>0.93940217391304504</v>
      </c>
      <c r="L5369">
        <v>0.84007861926273197</v>
      </c>
      <c r="M5369">
        <v>0.50931677018633503</v>
      </c>
      <c r="N5369">
        <v>1</v>
      </c>
      <c r="O5369">
        <v>0.67184265010351996</v>
      </c>
      <c r="R5369" t="s">
        <v>11121</v>
      </c>
      <c r="S5369" t="s">
        <v>11122</v>
      </c>
      <c r="T5369" t="s">
        <v>11123</v>
      </c>
      <c r="U5369" t="s">
        <v>11124</v>
      </c>
      <c r="V5369" t="s">
        <v>11125</v>
      </c>
      <c r="W5369" t="s">
        <v>11126</v>
      </c>
      <c r="AD5369" t="s">
        <v>410</v>
      </c>
      <c r="AE5369" t="s">
        <v>603</v>
      </c>
      <c r="AF5369" t="e">
        <f>---MMIVYILLTMSLTALMLWAFFTAQRLNRLHIRTDSALQSLQAALDRRAAVVTAILPEAAALASAAESVPLTSTSFRARASVERSLTERISALESQLSSQAAALLSDSTTRVQLARRFYNDAVSDTRALRTRPLVRILRLGGTAQLPNYFELADSAGDV</f>
        <v>#NAME?</v>
      </c>
    </row>
    <row r="5370" spans="1:32" hidden="1" x14ac:dyDescent="0.35">
      <c r="A5370">
        <v>5369</v>
      </c>
      <c r="B5370" t="s">
        <v>11120</v>
      </c>
      <c r="C5370" t="s">
        <v>10127</v>
      </c>
      <c r="D5370" t="s">
        <v>62</v>
      </c>
      <c r="E5370">
        <v>1462</v>
      </c>
      <c r="F5370">
        <v>4</v>
      </c>
      <c r="G5370">
        <v>4</v>
      </c>
      <c r="H5370">
        <v>1</v>
      </c>
      <c r="I5370">
        <v>0</v>
      </c>
      <c r="J5370">
        <v>0.75974981604120695</v>
      </c>
      <c r="K5370">
        <v>0.93940217391304504</v>
      </c>
      <c r="L5370">
        <v>0.84007861926273197</v>
      </c>
      <c r="M5370">
        <v>0.50931677018633503</v>
      </c>
      <c r="N5370">
        <v>1</v>
      </c>
      <c r="O5370">
        <v>0.67184265010351996</v>
      </c>
      <c r="R5370" t="s">
        <v>11121</v>
      </c>
      <c r="S5370" t="s">
        <v>11122</v>
      </c>
      <c r="T5370" t="s">
        <v>11123</v>
      </c>
      <c r="U5370" t="s">
        <v>11124</v>
      </c>
      <c r="V5370" t="s">
        <v>11125</v>
      </c>
      <c r="W5370" t="s">
        <v>11126</v>
      </c>
      <c r="AD5370" t="s">
        <v>410</v>
      </c>
      <c r="AE5370" t="s">
        <v>603</v>
      </c>
      <c r="AF5370" t="e">
        <f>---MMIVYILLTMSLTALMLWAFFTAQRLNRLHIRTDSALQSLQAALDRRAAVVTAILPEAAALASAAESVPLTSTSFRARASVERSLTERISALESQLSSQAAALLSDSTTRVQLARRFYNDAVSDTRALRTRPLVRILRLGGTAQLPNYFELADSAGDV</f>
        <v>#NAME?</v>
      </c>
    </row>
    <row r="5371" spans="1:32" hidden="1" x14ac:dyDescent="0.35">
      <c r="A5371">
        <v>4862</v>
      </c>
      <c r="B5371" t="s">
        <v>10178</v>
      </c>
      <c r="C5371" t="s">
        <v>10127</v>
      </c>
      <c r="D5371" t="s">
        <v>34</v>
      </c>
      <c r="E5371">
        <v>1962</v>
      </c>
      <c r="F5371">
        <v>4</v>
      </c>
      <c r="G5371">
        <v>4</v>
      </c>
      <c r="H5371">
        <v>1</v>
      </c>
      <c r="I5371">
        <v>0</v>
      </c>
      <c r="J5371">
        <v>0.76626826029216499</v>
      </c>
      <c r="K5371">
        <v>0.86708529565672299</v>
      </c>
      <c r="L5371">
        <v>0.81356536508325505</v>
      </c>
      <c r="M5371">
        <v>0.46428571428571402</v>
      </c>
      <c r="N5371">
        <v>1</v>
      </c>
      <c r="O5371">
        <v>0.64880952380952395</v>
      </c>
      <c r="P5371" t="s">
        <v>10179</v>
      </c>
      <c r="Q5371" t="s">
        <v>10180</v>
      </c>
      <c r="R5371" t="s">
        <v>224</v>
      </c>
      <c r="S5371" t="s">
        <v>225</v>
      </c>
      <c r="T5371" t="s">
        <v>10181</v>
      </c>
      <c r="U5371" t="s">
        <v>10182</v>
      </c>
      <c r="V5371" t="s">
        <v>10183</v>
      </c>
      <c r="W5371" t="s">
        <v>10184</v>
      </c>
      <c r="AD5371" t="s">
        <v>210</v>
      </c>
      <c r="AE5371" t="s">
        <v>1520</v>
      </c>
      <c r="AF5371" t="e">
        <f>-------MAAMAFPTSEILFPLVQPVADQYGMDIEYIKISRAGKKSVVAIAVDADNRPDSDVLEAITQEISELFDEQETAGVLNF-GPGYTLEVSTPGVSTPLTKPRHWRRNRGRLVTLVDDGKKRQVRIGALNDDETSVITIERVGKKFVVAPIQLADYPSVVVEVEFATPTDNELELVASNYDDAVIFQHGERI</f>
        <v>#NAME?</v>
      </c>
    </row>
    <row r="5372" spans="1:32" hidden="1" x14ac:dyDescent="0.35">
      <c r="A5372">
        <v>4863</v>
      </c>
      <c r="B5372" t="s">
        <v>10178</v>
      </c>
      <c r="C5372" t="s">
        <v>10127</v>
      </c>
      <c r="D5372" t="s">
        <v>45</v>
      </c>
      <c r="E5372">
        <v>911</v>
      </c>
      <c r="F5372">
        <v>4</v>
      </c>
      <c r="G5372">
        <v>4</v>
      </c>
      <c r="H5372">
        <v>1</v>
      </c>
      <c r="I5372">
        <v>0</v>
      </c>
      <c r="J5372">
        <v>0.76626826029216499</v>
      </c>
      <c r="K5372">
        <v>0.86708529565672299</v>
      </c>
      <c r="L5372">
        <v>0.81356536508325505</v>
      </c>
      <c r="M5372">
        <v>0.46428571428571402</v>
      </c>
      <c r="N5372">
        <v>1</v>
      </c>
      <c r="O5372">
        <v>0.64880952380952395</v>
      </c>
      <c r="P5372" t="s">
        <v>10179</v>
      </c>
      <c r="Q5372" t="s">
        <v>10180</v>
      </c>
      <c r="R5372" t="s">
        <v>224</v>
      </c>
      <c r="S5372" t="s">
        <v>225</v>
      </c>
      <c r="T5372" t="s">
        <v>10181</v>
      </c>
      <c r="U5372" t="s">
        <v>10182</v>
      </c>
      <c r="V5372" t="s">
        <v>10183</v>
      </c>
      <c r="W5372" t="s">
        <v>10184</v>
      </c>
      <c r="AD5372" t="s">
        <v>210</v>
      </c>
      <c r="AE5372" t="s">
        <v>1520</v>
      </c>
      <c r="AF5372" t="s">
        <v>10186</v>
      </c>
    </row>
    <row r="5373" spans="1:32" hidden="1" x14ac:dyDescent="0.35">
      <c r="A5373">
        <v>5372</v>
      </c>
      <c r="B5373" t="s">
        <v>11131</v>
      </c>
      <c r="C5373" t="s">
        <v>10127</v>
      </c>
      <c r="D5373" t="s">
        <v>60</v>
      </c>
      <c r="E5373">
        <v>1293</v>
      </c>
      <c r="F5373">
        <v>4</v>
      </c>
      <c r="G5373">
        <v>4</v>
      </c>
      <c r="H5373">
        <v>1</v>
      </c>
      <c r="I5373">
        <v>0</v>
      </c>
      <c r="J5373">
        <v>0.81164383561643805</v>
      </c>
      <c r="K5373">
        <v>0.84107202202914999</v>
      </c>
      <c r="L5373">
        <v>0.82609593032149897</v>
      </c>
      <c r="M5373">
        <v>0.47899159663865498</v>
      </c>
      <c r="N5373">
        <v>1</v>
      </c>
      <c r="O5373">
        <v>0.64985994397759095</v>
      </c>
      <c r="AF5373" t="s">
        <v>11132</v>
      </c>
    </row>
    <row r="5374" spans="1:32" hidden="1" x14ac:dyDescent="0.35">
      <c r="A5374">
        <v>5373</v>
      </c>
      <c r="B5374" t="s">
        <v>11131</v>
      </c>
      <c r="C5374" t="s">
        <v>10127</v>
      </c>
      <c r="D5374" t="s">
        <v>62</v>
      </c>
      <c r="E5374">
        <v>1329</v>
      </c>
      <c r="F5374">
        <v>4</v>
      </c>
      <c r="G5374">
        <v>4</v>
      </c>
      <c r="H5374">
        <v>1</v>
      </c>
      <c r="I5374">
        <v>0</v>
      </c>
      <c r="J5374">
        <v>0.81164383561643805</v>
      </c>
      <c r="K5374">
        <v>0.84107202202914999</v>
      </c>
      <c r="L5374">
        <v>0.82609593032149897</v>
      </c>
      <c r="M5374">
        <v>0.47899159663865498</v>
      </c>
      <c r="N5374">
        <v>1</v>
      </c>
      <c r="O5374">
        <v>0.64985994397759095</v>
      </c>
      <c r="AF5374" t="s">
        <v>11133</v>
      </c>
    </row>
    <row r="5375" spans="1:32" hidden="1" x14ac:dyDescent="0.35">
      <c r="A5375">
        <v>5374</v>
      </c>
      <c r="B5375" t="s">
        <v>11131</v>
      </c>
      <c r="C5375" t="s">
        <v>10127</v>
      </c>
      <c r="D5375" t="s">
        <v>34</v>
      </c>
      <c r="E5375">
        <v>1693</v>
      </c>
      <c r="F5375">
        <v>4</v>
      </c>
      <c r="G5375">
        <v>4</v>
      </c>
      <c r="H5375">
        <v>1</v>
      </c>
      <c r="I5375">
        <v>0</v>
      </c>
      <c r="J5375">
        <v>0.81164383561643805</v>
      </c>
      <c r="K5375">
        <v>0.84107202202914999</v>
      </c>
      <c r="L5375">
        <v>0.82609593032149897</v>
      </c>
      <c r="M5375">
        <v>0.47899159663865498</v>
      </c>
      <c r="N5375">
        <v>1</v>
      </c>
      <c r="O5375">
        <v>0.64985994397759095</v>
      </c>
      <c r="AF5375" t="s">
        <v>11134</v>
      </c>
    </row>
    <row r="5376" spans="1:32" hidden="1" x14ac:dyDescent="0.35">
      <c r="A5376">
        <v>5375</v>
      </c>
      <c r="B5376" t="s">
        <v>11131</v>
      </c>
      <c r="C5376" t="s">
        <v>10127</v>
      </c>
      <c r="D5376" t="s">
        <v>45</v>
      </c>
      <c r="E5376">
        <v>1183</v>
      </c>
      <c r="F5376">
        <v>4</v>
      </c>
      <c r="G5376">
        <v>4</v>
      </c>
      <c r="H5376">
        <v>1</v>
      </c>
      <c r="I5376">
        <v>0</v>
      </c>
      <c r="J5376">
        <v>0.81164383561643805</v>
      </c>
      <c r="K5376">
        <v>0.84107202202914999</v>
      </c>
      <c r="L5376">
        <v>0.82609593032149897</v>
      </c>
      <c r="M5376">
        <v>0.47899159663865498</v>
      </c>
      <c r="N5376">
        <v>1</v>
      </c>
      <c r="O5376">
        <v>0.64985994397759095</v>
      </c>
      <c r="AF5376" t="s">
        <v>11134</v>
      </c>
    </row>
    <row r="5377" spans="1:32" hidden="1" x14ac:dyDescent="0.35">
      <c r="A5377">
        <v>5376</v>
      </c>
      <c r="B5377" t="s">
        <v>11135</v>
      </c>
      <c r="C5377" t="s">
        <v>10127</v>
      </c>
      <c r="D5377" t="s">
        <v>62</v>
      </c>
      <c r="E5377">
        <v>732</v>
      </c>
      <c r="F5377">
        <v>1</v>
      </c>
      <c r="G5377">
        <v>4</v>
      </c>
      <c r="H5377">
        <v>4</v>
      </c>
      <c r="I5377">
        <v>0</v>
      </c>
      <c r="J5377">
        <v>0.94776119402985104</v>
      </c>
      <c r="K5377">
        <v>0.78681318681318602</v>
      </c>
      <c r="L5377">
        <v>0.85982015374868803</v>
      </c>
      <c r="M5377">
        <v>0.659340659340659</v>
      </c>
      <c r="N5377">
        <v>1</v>
      </c>
      <c r="O5377">
        <v>0.82967032967033005</v>
      </c>
      <c r="AF5377" t="e">
        <f>------------------------MRVKWHEENIVNRKAWALCGFVCAAVGGVWFRGLLCSVWRNTSGVVLGVLVVIVAGSRPVVLFEPGC</f>
        <v>#NAME?</v>
      </c>
    </row>
    <row r="5378" spans="1:32" hidden="1" x14ac:dyDescent="0.35">
      <c r="A5378">
        <v>5377</v>
      </c>
      <c r="B5378" t="s">
        <v>11135</v>
      </c>
      <c r="C5378" t="s">
        <v>10127</v>
      </c>
      <c r="D5378" t="s">
        <v>62</v>
      </c>
      <c r="E5378">
        <v>2170</v>
      </c>
      <c r="F5378">
        <v>1</v>
      </c>
      <c r="G5378">
        <v>4</v>
      </c>
      <c r="H5378">
        <v>4</v>
      </c>
      <c r="I5378">
        <v>0</v>
      </c>
      <c r="J5378">
        <v>0.94776119402985104</v>
      </c>
      <c r="K5378">
        <v>0.78681318681318602</v>
      </c>
      <c r="L5378">
        <v>0.85982015374868803</v>
      </c>
      <c r="M5378">
        <v>0.659340659340659</v>
      </c>
      <c r="N5378">
        <v>1</v>
      </c>
      <c r="O5378">
        <v>0.82967032967033005</v>
      </c>
      <c r="AF5378" t="e">
        <f>------------------------MRVKWHEENIVNRKAWALCGFVCAAVGGVWFRGLLCSVWRNTSGVVLGVLVVIVAGSRPVVLFEPGC</f>
        <v>#NAME?</v>
      </c>
    </row>
    <row r="5379" spans="1:32" hidden="1" x14ac:dyDescent="0.35">
      <c r="A5379">
        <v>5378</v>
      </c>
      <c r="B5379" t="s">
        <v>11135</v>
      </c>
      <c r="C5379" t="s">
        <v>10127</v>
      </c>
      <c r="D5379" t="s">
        <v>62</v>
      </c>
      <c r="E5379">
        <v>0</v>
      </c>
      <c r="F5379">
        <v>1</v>
      </c>
      <c r="G5379">
        <v>4</v>
      </c>
      <c r="H5379">
        <v>4</v>
      </c>
      <c r="I5379">
        <v>0</v>
      </c>
      <c r="J5379">
        <v>0.94776119402985104</v>
      </c>
      <c r="K5379">
        <v>0.78681318681318602</v>
      </c>
      <c r="L5379">
        <v>0.85982015374868803</v>
      </c>
      <c r="M5379">
        <v>0.659340659340659</v>
      </c>
      <c r="N5379">
        <v>1</v>
      </c>
      <c r="O5379">
        <v>0.82967032967033005</v>
      </c>
      <c r="AF5379" t="s">
        <v>11137</v>
      </c>
    </row>
    <row r="5380" spans="1:32" hidden="1" x14ac:dyDescent="0.35">
      <c r="A5380">
        <v>5379</v>
      </c>
      <c r="B5380" t="s">
        <v>11135</v>
      </c>
      <c r="C5380" t="s">
        <v>10127</v>
      </c>
      <c r="D5380" t="s">
        <v>62</v>
      </c>
      <c r="E5380">
        <v>1216</v>
      </c>
      <c r="F5380">
        <v>1</v>
      </c>
      <c r="G5380">
        <v>4</v>
      </c>
      <c r="H5380">
        <v>4</v>
      </c>
      <c r="I5380">
        <v>0</v>
      </c>
      <c r="J5380">
        <v>0.94776119402985104</v>
      </c>
      <c r="K5380">
        <v>0.78681318681318602</v>
      </c>
      <c r="L5380">
        <v>0.85982015374868803</v>
      </c>
      <c r="M5380">
        <v>0.659340659340659</v>
      </c>
      <c r="N5380">
        <v>1</v>
      </c>
      <c r="O5380">
        <v>0.82967032967033005</v>
      </c>
      <c r="AF5380" t="e">
        <f>------------------------MRVLTTQRNDENRKAWALCGFVCAAVGGVWFRGLLCSVWRNTSGVVLGVLVVIVAGSRPVVLFEPGC</f>
        <v>#NAME?</v>
      </c>
    </row>
    <row r="5381" spans="1:32" hidden="1" x14ac:dyDescent="0.35">
      <c r="A5381">
        <v>5380</v>
      </c>
      <c r="B5381" t="s">
        <v>11138</v>
      </c>
      <c r="C5381" t="s">
        <v>10127</v>
      </c>
      <c r="D5381" t="s">
        <v>58</v>
      </c>
      <c r="E5381">
        <v>770</v>
      </c>
      <c r="F5381">
        <v>4</v>
      </c>
      <c r="G5381">
        <v>4</v>
      </c>
      <c r="H5381">
        <v>1</v>
      </c>
      <c r="I5381">
        <v>0</v>
      </c>
      <c r="J5381">
        <v>0.79499467518636802</v>
      </c>
      <c r="K5381">
        <v>0.912509534706331</v>
      </c>
      <c r="L5381">
        <v>0.84970826653939602</v>
      </c>
      <c r="M5381">
        <v>0.60869565217391297</v>
      </c>
      <c r="N5381">
        <v>1</v>
      </c>
      <c r="O5381">
        <v>0.71304347826087</v>
      </c>
      <c r="AF5381" t="s">
        <v>11140</v>
      </c>
    </row>
    <row r="5382" spans="1:32" hidden="1" x14ac:dyDescent="0.35">
      <c r="A5382">
        <v>5381</v>
      </c>
      <c r="B5382" t="s">
        <v>11138</v>
      </c>
      <c r="C5382" t="s">
        <v>10127</v>
      </c>
      <c r="D5382" t="s">
        <v>60</v>
      </c>
      <c r="E5382">
        <v>1031</v>
      </c>
      <c r="F5382">
        <v>4</v>
      </c>
      <c r="G5382">
        <v>4</v>
      </c>
      <c r="H5382">
        <v>1</v>
      </c>
      <c r="I5382">
        <v>0</v>
      </c>
      <c r="J5382">
        <v>0.79499467518636802</v>
      </c>
      <c r="K5382">
        <v>0.912509534706331</v>
      </c>
      <c r="L5382">
        <v>0.84970826653939602</v>
      </c>
      <c r="M5382">
        <v>0.60869565217391297</v>
      </c>
      <c r="N5382">
        <v>1</v>
      </c>
      <c r="O5382">
        <v>0.71304347826087</v>
      </c>
      <c r="AF5382" t="s">
        <v>11141</v>
      </c>
    </row>
    <row r="5383" spans="1:32" hidden="1" x14ac:dyDescent="0.35">
      <c r="A5383">
        <v>5382</v>
      </c>
      <c r="B5383" t="s">
        <v>11138</v>
      </c>
      <c r="C5383" t="s">
        <v>10127</v>
      </c>
      <c r="D5383" t="s">
        <v>62</v>
      </c>
      <c r="E5383">
        <v>1067</v>
      </c>
      <c r="F5383">
        <v>4</v>
      </c>
      <c r="G5383">
        <v>4</v>
      </c>
      <c r="H5383">
        <v>1</v>
      </c>
      <c r="I5383">
        <v>0</v>
      </c>
      <c r="J5383">
        <v>0.79499467518636802</v>
      </c>
      <c r="K5383">
        <v>0.912509534706331</v>
      </c>
      <c r="L5383">
        <v>0.84970826653939602</v>
      </c>
      <c r="M5383">
        <v>0.60869565217391297</v>
      </c>
      <c r="N5383">
        <v>1</v>
      </c>
      <c r="O5383">
        <v>0.71304347826087</v>
      </c>
      <c r="AF5383" t="s">
        <v>11141</v>
      </c>
    </row>
    <row r="5384" spans="1:32" hidden="1" x14ac:dyDescent="0.35">
      <c r="A5384">
        <v>5383</v>
      </c>
      <c r="B5384" t="s">
        <v>11138</v>
      </c>
      <c r="C5384" t="s">
        <v>10127</v>
      </c>
      <c r="D5384" t="s">
        <v>45</v>
      </c>
      <c r="E5384">
        <v>1341</v>
      </c>
      <c r="F5384">
        <v>4</v>
      </c>
      <c r="G5384">
        <v>4</v>
      </c>
      <c r="H5384">
        <v>1</v>
      </c>
      <c r="I5384">
        <v>0</v>
      </c>
      <c r="J5384">
        <v>0.79499467518636802</v>
      </c>
      <c r="K5384">
        <v>0.912509534706331</v>
      </c>
      <c r="L5384">
        <v>0.84970826653939602</v>
      </c>
      <c r="M5384">
        <v>0.60869565217391297</v>
      </c>
      <c r="N5384">
        <v>1</v>
      </c>
      <c r="O5384">
        <v>0.71304347826087</v>
      </c>
      <c r="AF5384" t="e">
        <f>--------MSFTLKDAKDVNTASLVITGLVGGWLTARETGIRPLGGVLLTAAGLWAGRSWLAKGGVPLAAGLGATYVAAFGLSHPLAKKIGAWPSVVAVTTVASGAACVLSDLKS</f>
        <v>#NAME?</v>
      </c>
    </row>
    <row r="5385" spans="1:32" hidden="1" x14ac:dyDescent="0.35">
      <c r="A5385">
        <v>5384</v>
      </c>
      <c r="B5385" t="s">
        <v>11142</v>
      </c>
      <c r="C5385" t="s">
        <v>10127</v>
      </c>
      <c r="D5385" t="s">
        <v>60</v>
      </c>
      <c r="E5385">
        <v>819</v>
      </c>
      <c r="F5385">
        <v>2</v>
      </c>
      <c r="G5385">
        <v>4</v>
      </c>
      <c r="H5385">
        <v>2</v>
      </c>
      <c r="I5385">
        <v>0</v>
      </c>
      <c r="J5385">
        <v>0.92964580300824795</v>
      </c>
      <c r="K5385">
        <v>0.66991015397277298</v>
      </c>
      <c r="L5385">
        <v>0.77869006122026796</v>
      </c>
      <c r="M5385">
        <v>0.31404958677686001</v>
      </c>
      <c r="N5385">
        <v>1</v>
      </c>
      <c r="O5385">
        <v>0.54338842975206603</v>
      </c>
      <c r="P5385" t="s">
        <v>11143</v>
      </c>
      <c r="Q5385" t="s">
        <v>11144</v>
      </c>
      <c r="R5385" t="s">
        <v>288</v>
      </c>
      <c r="S5385" t="s">
        <v>289</v>
      </c>
      <c r="T5385" t="s">
        <v>11145</v>
      </c>
      <c r="U5385" t="s">
        <v>11146</v>
      </c>
      <c r="V5385" t="s">
        <v>11147</v>
      </c>
      <c r="W5385" t="s">
        <v>11148</v>
      </c>
      <c r="AD5385" t="s">
        <v>219</v>
      </c>
      <c r="AE5385" t="s">
        <v>11149</v>
      </c>
      <c r="AF5385" t="e">
        <f>-MALILRAAGEGWGPRVVSFTFGLIDAATVAALHSLGVEAWVTIARADAVDAAVAVGVDTLVVQGPEAGGHRATWTVAEGLDQTSLKDMIRLDIPIPVVAAGGIGTPEAVREALSWPGVAAVACGTAFLLADEAGTGEVHRQMVRDGEKTAVTRAFSGRWARGVETQFMLDNVDAPAMYPHVNTLLGPLRKASAASGDSAHVAAWAGSGFRHAREGSVDAIMQNLIGAKIERVSGHTAPASR</f>
        <v>#NAME?</v>
      </c>
    </row>
    <row r="5386" spans="1:32" hidden="1" x14ac:dyDescent="0.35">
      <c r="A5386">
        <v>5385</v>
      </c>
      <c r="B5386" t="s">
        <v>11142</v>
      </c>
      <c r="C5386" t="s">
        <v>10127</v>
      </c>
      <c r="D5386" t="s">
        <v>60</v>
      </c>
      <c r="E5386">
        <v>823</v>
      </c>
      <c r="F5386">
        <v>2</v>
      </c>
      <c r="G5386">
        <v>4</v>
      </c>
      <c r="H5386">
        <v>2</v>
      </c>
      <c r="I5386">
        <v>0</v>
      </c>
      <c r="J5386">
        <v>0.92964580300824795</v>
      </c>
      <c r="K5386">
        <v>0.66991015397277298</v>
      </c>
      <c r="L5386">
        <v>0.77869006122026796</v>
      </c>
      <c r="M5386">
        <v>0.31404958677686001</v>
      </c>
      <c r="N5386">
        <v>1</v>
      </c>
      <c r="O5386">
        <v>0.54338842975206603</v>
      </c>
      <c r="R5386" t="s">
        <v>288</v>
      </c>
      <c r="S5386" t="s">
        <v>289</v>
      </c>
      <c r="V5386" t="s">
        <v>11147</v>
      </c>
      <c r="W5386" t="s">
        <v>11148</v>
      </c>
      <c r="AF5386" t="s">
        <v>11150</v>
      </c>
    </row>
    <row r="5387" spans="1:32" hidden="1" x14ac:dyDescent="0.35">
      <c r="A5387">
        <v>5386</v>
      </c>
      <c r="B5387" t="s">
        <v>11142</v>
      </c>
      <c r="C5387" t="s">
        <v>10127</v>
      </c>
      <c r="D5387" t="s">
        <v>62</v>
      </c>
      <c r="E5387">
        <v>852</v>
      </c>
      <c r="F5387">
        <v>2</v>
      </c>
      <c r="G5387">
        <v>4</v>
      </c>
      <c r="H5387">
        <v>2</v>
      </c>
      <c r="I5387">
        <v>0</v>
      </c>
      <c r="J5387">
        <v>0.92964580300824795</v>
      </c>
      <c r="K5387">
        <v>0.66991015397277298</v>
      </c>
      <c r="L5387">
        <v>0.77869006122026796</v>
      </c>
      <c r="M5387">
        <v>0.31404958677686001</v>
      </c>
      <c r="N5387">
        <v>1</v>
      </c>
      <c r="O5387">
        <v>0.54338842975206603</v>
      </c>
      <c r="P5387" t="s">
        <v>11143</v>
      </c>
      <c r="Q5387" t="s">
        <v>11144</v>
      </c>
      <c r="R5387" t="s">
        <v>288</v>
      </c>
      <c r="S5387" t="s">
        <v>289</v>
      </c>
      <c r="T5387" t="s">
        <v>11145</v>
      </c>
      <c r="U5387" t="s">
        <v>11146</v>
      </c>
      <c r="V5387" t="s">
        <v>11147</v>
      </c>
      <c r="W5387" t="s">
        <v>11148</v>
      </c>
      <c r="AD5387" t="s">
        <v>219</v>
      </c>
      <c r="AE5387" t="s">
        <v>11149</v>
      </c>
      <c r="AF5387" t="e">
        <f>-MALILRAAGEGWGPRVVSFTFGLIDAATVAALHSLGVEAWVTIARADAVDAAVAVGVDTLVVQGPEAGGHRATWTVAEGLDQTSLKDMIRLDIPIPVVAAGGIGTPEAVREALSWPGVAAVACGTAFLLADEAGTGEVHRQMVRDGEKTAVTRAFSGRWARGVETQFMLDNVDAPAMYPHVNTLLGPLRKASAASGDSAHVAAWAGSGFRHAREGSVDAIMQNLIGAKIERVSGHTAPASR</f>
        <v>#NAME?</v>
      </c>
    </row>
    <row r="5388" spans="1:32" hidden="1" x14ac:dyDescent="0.35">
      <c r="A5388">
        <v>5387</v>
      </c>
      <c r="B5388" t="s">
        <v>11142</v>
      </c>
      <c r="C5388" t="s">
        <v>10127</v>
      </c>
      <c r="D5388" t="s">
        <v>62</v>
      </c>
      <c r="E5388">
        <v>856</v>
      </c>
      <c r="F5388">
        <v>2</v>
      </c>
      <c r="G5388">
        <v>4</v>
      </c>
      <c r="H5388">
        <v>2</v>
      </c>
      <c r="I5388">
        <v>0</v>
      </c>
      <c r="J5388">
        <v>0.92964580300824795</v>
      </c>
      <c r="K5388">
        <v>0.66991015397277298</v>
      </c>
      <c r="L5388">
        <v>0.77869006122026796</v>
      </c>
      <c r="M5388">
        <v>0.31404958677686001</v>
      </c>
      <c r="N5388">
        <v>1</v>
      </c>
      <c r="O5388">
        <v>0.54338842975206603</v>
      </c>
      <c r="AF5388" t="s">
        <v>11151</v>
      </c>
    </row>
    <row r="5389" spans="1:32" hidden="1" x14ac:dyDescent="0.35">
      <c r="A5389">
        <v>4876</v>
      </c>
      <c r="B5389" t="s">
        <v>10210</v>
      </c>
      <c r="C5389" t="s">
        <v>10127</v>
      </c>
      <c r="D5389" t="s">
        <v>60</v>
      </c>
      <c r="E5389">
        <v>1013</v>
      </c>
      <c r="F5389">
        <v>4</v>
      </c>
      <c r="G5389">
        <v>4</v>
      </c>
      <c r="H5389">
        <v>1</v>
      </c>
      <c r="I5389">
        <v>0</v>
      </c>
      <c r="J5389">
        <v>0.82081794556148302</v>
      </c>
      <c r="K5389">
        <v>0.99795249795249896</v>
      </c>
      <c r="L5389">
        <v>0.900759435648948</v>
      </c>
      <c r="M5389">
        <v>0.66093366093366102</v>
      </c>
      <c r="N5389">
        <v>1</v>
      </c>
      <c r="O5389">
        <v>0.771498771498772</v>
      </c>
      <c r="P5389" t="s">
        <v>10211</v>
      </c>
      <c r="Q5389" t="s">
        <v>10212</v>
      </c>
      <c r="R5389" t="s">
        <v>224</v>
      </c>
      <c r="S5389" t="s">
        <v>225</v>
      </c>
      <c r="T5389" t="s">
        <v>10213</v>
      </c>
      <c r="U5389" t="s">
        <v>10214</v>
      </c>
      <c r="V5389" t="s">
        <v>10215</v>
      </c>
      <c r="W5389" t="s">
        <v>10216</v>
      </c>
      <c r="AD5389" t="s">
        <v>3044</v>
      </c>
      <c r="AE5389" t="s">
        <v>10217</v>
      </c>
      <c r="AF5389" t="s">
        <v>10218</v>
      </c>
    </row>
    <row r="5390" spans="1:32" hidden="1" x14ac:dyDescent="0.35">
      <c r="A5390">
        <v>4877</v>
      </c>
      <c r="B5390" t="s">
        <v>10210</v>
      </c>
      <c r="C5390" t="s">
        <v>10127</v>
      </c>
      <c r="D5390" t="s">
        <v>62</v>
      </c>
      <c r="E5390">
        <v>1049</v>
      </c>
      <c r="F5390">
        <v>4</v>
      </c>
      <c r="G5390">
        <v>4</v>
      </c>
      <c r="H5390">
        <v>1</v>
      </c>
      <c r="I5390">
        <v>0</v>
      </c>
      <c r="J5390">
        <v>0.82081794556148302</v>
      </c>
      <c r="K5390">
        <v>0.99795249795249896</v>
      </c>
      <c r="L5390">
        <v>0.900759435648948</v>
      </c>
      <c r="M5390">
        <v>0.66093366093366102</v>
      </c>
      <c r="N5390">
        <v>1</v>
      </c>
      <c r="O5390">
        <v>0.771498771498772</v>
      </c>
      <c r="P5390" t="s">
        <v>10211</v>
      </c>
      <c r="Q5390" t="s">
        <v>10212</v>
      </c>
      <c r="R5390" t="s">
        <v>224</v>
      </c>
      <c r="S5390" t="s">
        <v>225</v>
      </c>
      <c r="T5390" t="s">
        <v>10213</v>
      </c>
      <c r="U5390" t="s">
        <v>10214</v>
      </c>
      <c r="V5390" t="s">
        <v>10215</v>
      </c>
      <c r="W5390" t="s">
        <v>10216</v>
      </c>
      <c r="AD5390" t="s">
        <v>3044</v>
      </c>
      <c r="AE5390" t="s">
        <v>10217</v>
      </c>
      <c r="AF5390" t="s">
        <v>10218</v>
      </c>
    </row>
    <row r="5391" spans="1:32" hidden="1" x14ac:dyDescent="0.35">
      <c r="A5391">
        <v>4878</v>
      </c>
      <c r="B5391" t="s">
        <v>10210</v>
      </c>
      <c r="C5391" t="s">
        <v>10127</v>
      </c>
      <c r="D5391" t="s">
        <v>34</v>
      </c>
      <c r="E5391">
        <v>1913</v>
      </c>
      <c r="F5391">
        <v>4</v>
      </c>
      <c r="G5391">
        <v>4</v>
      </c>
      <c r="H5391">
        <v>1</v>
      </c>
      <c r="I5391">
        <v>0</v>
      </c>
      <c r="J5391">
        <v>0.82081794556148302</v>
      </c>
      <c r="K5391">
        <v>0.99795249795249896</v>
      </c>
      <c r="L5391">
        <v>0.900759435648948</v>
      </c>
      <c r="M5391">
        <v>0.66093366093366102</v>
      </c>
      <c r="N5391">
        <v>1</v>
      </c>
      <c r="O5391">
        <v>0.771498771498772</v>
      </c>
      <c r="P5391" t="s">
        <v>10211</v>
      </c>
      <c r="Q5391" t="s">
        <v>10212</v>
      </c>
      <c r="R5391" t="s">
        <v>224</v>
      </c>
      <c r="S5391" t="s">
        <v>225</v>
      </c>
      <c r="T5391" t="s">
        <v>10213</v>
      </c>
      <c r="U5391" t="s">
        <v>10214</v>
      </c>
      <c r="V5391" t="s">
        <v>10215</v>
      </c>
      <c r="W5391" t="s">
        <v>10216</v>
      </c>
      <c r="AD5391" t="s">
        <v>3044</v>
      </c>
      <c r="AE5391" t="s">
        <v>10217</v>
      </c>
      <c r="AF5391" t="s">
        <v>10219</v>
      </c>
    </row>
    <row r="5392" spans="1:32" hidden="1" x14ac:dyDescent="0.35">
      <c r="A5392">
        <v>4879</v>
      </c>
      <c r="B5392" t="s">
        <v>10210</v>
      </c>
      <c r="C5392" t="s">
        <v>10127</v>
      </c>
      <c r="D5392" t="s">
        <v>45</v>
      </c>
      <c r="E5392">
        <v>961</v>
      </c>
      <c r="F5392">
        <v>4</v>
      </c>
      <c r="G5392">
        <v>4</v>
      </c>
      <c r="H5392">
        <v>1</v>
      </c>
      <c r="I5392">
        <v>0</v>
      </c>
      <c r="J5392">
        <v>0.82081794556148302</v>
      </c>
      <c r="K5392">
        <v>0.99795249795249896</v>
      </c>
      <c r="L5392">
        <v>0.900759435648948</v>
      </c>
      <c r="M5392">
        <v>0.66093366093366102</v>
      </c>
      <c r="N5392">
        <v>1</v>
      </c>
      <c r="O5392">
        <v>0.771498771498772</v>
      </c>
      <c r="P5392" t="s">
        <v>10211</v>
      </c>
      <c r="Q5392" t="s">
        <v>10212</v>
      </c>
      <c r="R5392" t="s">
        <v>224</v>
      </c>
      <c r="S5392" t="s">
        <v>225</v>
      </c>
      <c r="T5392" t="s">
        <v>10213</v>
      </c>
      <c r="U5392" t="s">
        <v>10214</v>
      </c>
      <c r="V5392" t="s">
        <v>10215</v>
      </c>
      <c r="W5392" t="s">
        <v>10216</v>
      </c>
      <c r="AD5392" t="s">
        <v>3044</v>
      </c>
      <c r="AE5392" t="s">
        <v>10217</v>
      </c>
      <c r="AF5392" t="s">
        <v>10220</v>
      </c>
    </row>
    <row r="5393" spans="1:32" hidden="1" x14ac:dyDescent="0.35">
      <c r="A5393">
        <v>5392</v>
      </c>
      <c r="B5393" t="s">
        <v>11162</v>
      </c>
      <c r="C5393" t="s">
        <v>10127</v>
      </c>
      <c r="D5393" t="s">
        <v>60</v>
      </c>
      <c r="E5393">
        <v>705</v>
      </c>
      <c r="F5393">
        <v>4</v>
      </c>
      <c r="G5393">
        <v>4</v>
      </c>
      <c r="H5393">
        <v>1</v>
      </c>
      <c r="I5393">
        <v>0</v>
      </c>
      <c r="J5393">
        <v>0.80650406504064998</v>
      </c>
      <c r="K5393">
        <v>0.70273651495996603</v>
      </c>
      <c r="L5393">
        <v>0.75105303087925301</v>
      </c>
      <c r="M5393">
        <v>0.39823008849557501</v>
      </c>
      <c r="N5393">
        <v>1</v>
      </c>
      <c r="O5393">
        <v>0.56342182890855497</v>
      </c>
      <c r="AF5393" t="e">
        <f>-------------------------------------------------MAKMEKNTYVDPGWPEHTP-GEHPVTELISKVTGASSPYGDETAFPVPAEQLGYVHPYTKVNKS</f>
        <v>#NAME?</v>
      </c>
    </row>
    <row r="5394" spans="1:32" hidden="1" x14ac:dyDescent="0.35">
      <c r="A5394">
        <v>5393</v>
      </c>
      <c r="B5394" t="s">
        <v>11162</v>
      </c>
      <c r="C5394" t="s">
        <v>10127</v>
      </c>
      <c r="D5394" t="s">
        <v>62</v>
      </c>
      <c r="E5394">
        <v>736</v>
      </c>
      <c r="F5394">
        <v>4</v>
      </c>
      <c r="G5394">
        <v>4</v>
      </c>
      <c r="H5394">
        <v>1</v>
      </c>
      <c r="I5394">
        <v>0</v>
      </c>
      <c r="J5394">
        <v>0.80650406504064998</v>
      </c>
      <c r="K5394">
        <v>0.70273651495996603</v>
      </c>
      <c r="L5394">
        <v>0.75105303087925301</v>
      </c>
      <c r="M5394">
        <v>0.39823008849557501</v>
      </c>
      <c r="N5394">
        <v>1</v>
      </c>
      <c r="O5394">
        <v>0.56342182890855497</v>
      </c>
      <c r="AF5394" t="e">
        <f>-------------------------------------------------MAKMEKNTYVDPGWPEHTP-GEHPVTELISKVTGASSPYGDETAFPVPAEQLGYVHPYTKVNKS</f>
        <v>#NAME?</v>
      </c>
    </row>
    <row r="5395" spans="1:32" hidden="1" x14ac:dyDescent="0.35">
      <c r="A5395">
        <v>5394</v>
      </c>
      <c r="B5395" t="s">
        <v>11162</v>
      </c>
      <c r="C5395" t="s">
        <v>10127</v>
      </c>
      <c r="D5395" t="s">
        <v>34</v>
      </c>
      <c r="E5395">
        <v>430</v>
      </c>
      <c r="F5395">
        <v>4</v>
      </c>
      <c r="G5395">
        <v>4</v>
      </c>
      <c r="H5395">
        <v>1</v>
      </c>
      <c r="I5395">
        <v>0</v>
      </c>
      <c r="J5395">
        <v>0.80650406504064998</v>
      </c>
      <c r="K5395">
        <v>0.70273651495996603</v>
      </c>
      <c r="L5395">
        <v>0.75105303087925301</v>
      </c>
      <c r="M5395">
        <v>0.39823008849557501</v>
      </c>
      <c r="N5395">
        <v>1</v>
      </c>
      <c r="O5395">
        <v>0.56342182890855497</v>
      </c>
      <c r="AF5395" t="s">
        <v>11163</v>
      </c>
    </row>
    <row r="5396" spans="1:32" hidden="1" x14ac:dyDescent="0.35">
      <c r="A5396">
        <v>5395</v>
      </c>
      <c r="B5396" t="s">
        <v>11162</v>
      </c>
      <c r="C5396" t="s">
        <v>10127</v>
      </c>
      <c r="D5396" t="s">
        <v>45</v>
      </c>
      <c r="E5396">
        <v>1692</v>
      </c>
      <c r="F5396">
        <v>4</v>
      </c>
      <c r="G5396">
        <v>4</v>
      </c>
      <c r="H5396">
        <v>1</v>
      </c>
      <c r="I5396">
        <v>0</v>
      </c>
      <c r="J5396">
        <v>0.80650406504064998</v>
      </c>
      <c r="K5396">
        <v>0.70273651495996603</v>
      </c>
      <c r="L5396">
        <v>0.75105303087925301</v>
      </c>
      <c r="M5396">
        <v>0.39823008849557501</v>
      </c>
      <c r="N5396">
        <v>1</v>
      </c>
      <c r="O5396">
        <v>0.56342182890855497</v>
      </c>
      <c r="AF5396" t="s">
        <v>11164</v>
      </c>
    </row>
    <row r="5397" spans="1:32" hidden="1" x14ac:dyDescent="0.35">
      <c r="A5397">
        <v>5012</v>
      </c>
      <c r="B5397" t="s">
        <v>10473</v>
      </c>
      <c r="C5397" t="s">
        <v>10127</v>
      </c>
      <c r="D5397" t="s">
        <v>60</v>
      </c>
      <c r="E5397">
        <v>1898</v>
      </c>
      <c r="F5397">
        <v>4</v>
      </c>
      <c r="G5397">
        <v>4</v>
      </c>
      <c r="H5397">
        <v>1</v>
      </c>
      <c r="I5397">
        <v>0</v>
      </c>
      <c r="J5397">
        <v>0.77505668934240401</v>
      </c>
      <c r="K5397">
        <v>0.98016064257027902</v>
      </c>
      <c r="L5397">
        <v>0.86562506971875697</v>
      </c>
      <c r="M5397">
        <v>0.57599999999999996</v>
      </c>
      <c r="N5397">
        <v>1</v>
      </c>
      <c r="O5397">
        <v>0.71199999999999997</v>
      </c>
      <c r="P5397" t="s">
        <v>10474</v>
      </c>
      <c r="Q5397" t="s">
        <v>10475</v>
      </c>
      <c r="R5397" t="s">
        <v>224</v>
      </c>
      <c r="S5397" t="s">
        <v>225</v>
      </c>
      <c r="T5397" t="s">
        <v>10476</v>
      </c>
      <c r="U5397" t="s">
        <v>10477</v>
      </c>
      <c r="V5397" t="s">
        <v>10478</v>
      </c>
      <c r="W5397" t="s">
        <v>10479</v>
      </c>
      <c r="X5397" t="s">
        <v>10478</v>
      </c>
      <c r="Y5397" t="s">
        <v>2715</v>
      </c>
      <c r="AD5397" t="s">
        <v>1170</v>
      </c>
      <c r="AE5397" t="s">
        <v>10480</v>
      </c>
      <c r="AF5397" t="s">
        <v>10481</v>
      </c>
    </row>
    <row r="5398" spans="1:32" hidden="1" x14ac:dyDescent="0.35">
      <c r="A5398">
        <v>5013</v>
      </c>
      <c r="B5398" t="s">
        <v>10473</v>
      </c>
      <c r="C5398" t="s">
        <v>10127</v>
      </c>
      <c r="D5398" t="s">
        <v>62</v>
      </c>
      <c r="E5398">
        <v>1938</v>
      </c>
      <c r="F5398">
        <v>4</v>
      </c>
      <c r="G5398">
        <v>4</v>
      </c>
      <c r="H5398">
        <v>1</v>
      </c>
      <c r="I5398">
        <v>0</v>
      </c>
      <c r="J5398">
        <v>0.77505668934240401</v>
      </c>
      <c r="K5398">
        <v>0.98016064257027902</v>
      </c>
      <c r="L5398">
        <v>0.86562506971875697</v>
      </c>
      <c r="M5398">
        <v>0.57599999999999996</v>
      </c>
      <c r="N5398">
        <v>1</v>
      </c>
      <c r="O5398">
        <v>0.71199999999999997</v>
      </c>
      <c r="P5398" t="s">
        <v>10474</v>
      </c>
      <c r="Q5398" t="s">
        <v>10475</v>
      </c>
      <c r="R5398" t="s">
        <v>224</v>
      </c>
      <c r="S5398" t="s">
        <v>225</v>
      </c>
      <c r="T5398" t="s">
        <v>10476</v>
      </c>
      <c r="U5398" t="s">
        <v>10477</v>
      </c>
      <c r="V5398" t="s">
        <v>10478</v>
      </c>
      <c r="W5398" t="s">
        <v>10479</v>
      </c>
      <c r="X5398" t="s">
        <v>10478</v>
      </c>
      <c r="Y5398" t="s">
        <v>2715</v>
      </c>
      <c r="AD5398" t="s">
        <v>1170</v>
      </c>
      <c r="AE5398" t="s">
        <v>10480</v>
      </c>
      <c r="AF5398" t="s">
        <v>10481</v>
      </c>
    </row>
    <row r="5399" spans="1:32" hidden="1" x14ac:dyDescent="0.35">
      <c r="A5399">
        <v>5014</v>
      </c>
      <c r="B5399" t="s">
        <v>10473</v>
      </c>
      <c r="C5399" t="s">
        <v>10127</v>
      </c>
      <c r="D5399" t="s">
        <v>34</v>
      </c>
      <c r="E5399">
        <v>2253</v>
      </c>
      <c r="F5399">
        <v>4</v>
      </c>
      <c r="G5399">
        <v>4</v>
      </c>
      <c r="H5399">
        <v>1</v>
      </c>
      <c r="I5399">
        <v>0</v>
      </c>
      <c r="J5399">
        <v>0.77505668934240401</v>
      </c>
      <c r="K5399">
        <v>0.98016064257027902</v>
      </c>
      <c r="L5399">
        <v>0.86562506971875697</v>
      </c>
      <c r="M5399">
        <v>0.57599999999999996</v>
      </c>
      <c r="N5399">
        <v>1</v>
      </c>
      <c r="O5399">
        <v>0.71199999999999997</v>
      </c>
      <c r="P5399" t="s">
        <v>10474</v>
      </c>
      <c r="Q5399" t="s">
        <v>10475</v>
      </c>
      <c r="R5399" t="s">
        <v>224</v>
      </c>
      <c r="S5399" t="s">
        <v>225</v>
      </c>
      <c r="T5399" t="s">
        <v>10476</v>
      </c>
      <c r="U5399" t="s">
        <v>10477</v>
      </c>
      <c r="V5399" t="s">
        <v>10478</v>
      </c>
      <c r="W5399" t="s">
        <v>10479</v>
      </c>
      <c r="X5399" t="s">
        <v>10478</v>
      </c>
      <c r="Y5399" t="s">
        <v>2715</v>
      </c>
      <c r="AD5399" t="s">
        <v>1170</v>
      </c>
      <c r="AE5399" t="s">
        <v>10480</v>
      </c>
      <c r="AF5399" t="s">
        <v>10482</v>
      </c>
    </row>
    <row r="5400" spans="1:32" hidden="1" x14ac:dyDescent="0.35">
      <c r="A5400">
        <v>5015</v>
      </c>
      <c r="B5400" t="s">
        <v>10473</v>
      </c>
      <c r="C5400" t="s">
        <v>10127</v>
      </c>
      <c r="D5400" t="s">
        <v>45</v>
      </c>
      <c r="E5400">
        <v>624</v>
      </c>
      <c r="F5400">
        <v>4</v>
      </c>
      <c r="G5400">
        <v>4</v>
      </c>
      <c r="H5400">
        <v>1</v>
      </c>
      <c r="I5400">
        <v>0</v>
      </c>
      <c r="J5400">
        <v>0.77505668934240401</v>
      </c>
      <c r="K5400">
        <v>0.98016064257027902</v>
      </c>
      <c r="L5400">
        <v>0.86562506971875697</v>
      </c>
      <c r="M5400">
        <v>0.57599999999999996</v>
      </c>
      <c r="N5400">
        <v>1</v>
      </c>
      <c r="O5400">
        <v>0.71199999999999997</v>
      </c>
      <c r="P5400" t="s">
        <v>10474</v>
      </c>
      <c r="Q5400" t="s">
        <v>10475</v>
      </c>
      <c r="R5400" t="s">
        <v>224</v>
      </c>
      <c r="S5400" t="s">
        <v>225</v>
      </c>
      <c r="T5400" t="s">
        <v>10476</v>
      </c>
      <c r="U5400" t="s">
        <v>10477</v>
      </c>
      <c r="V5400" t="s">
        <v>10478</v>
      </c>
      <c r="W5400" t="s">
        <v>10479</v>
      </c>
      <c r="X5400" t="s">
        <v>10478</v>
      </c>
      <c r="Y5400" t="s">
        <v>2715</v>
      </c>
      <c r="AD5400" t="s">
        <v>1170</v>
      </c>
      <c r="AE5400" t="s">
        <v>10480</v>
      </c>
      <c r="AF5400" t="s">
        <v>10483</v>
      </c>
    </row>
    <row r="5401" spans="1:32" hidden="1" x14ac:dyDescent="0.35">
      <c r="A5401">
        <v>5024</v>
      </c>
      <c r="B5401" t="s">
        <v>10505</v>
      </c>
      <c r="C5401" t="s">
        <v>10127</v>
      </c>
      <c r="D5401" t="s">
        <v>60</v>
      </c>
      <c r="E5401">
        <v>2175</v>
      </c>
      <c r="F5401">
        <v>4</v>
      </c>
      <c r="G5401">
        <v>4</v>
      </c>
      <c r="H5401">
        <v>1</v>
      </c>
      <c r="I5401">
        <v>0</v>
      </c>
      <c r="J5401">
        <v>0.81700813920853199</v>
      </c>
      <c r="K5401">
        <v>0.97698678068730704</v>
      </c>
      <c r="L5401">
        <v>0.88986445041551798</v>
      </c>
      <c r="M5401">
        <v>0.63486842105263197</v>
      </c>
      <c r="N5401">
        <v>1</v>
      </c>
      <c r="O5401">
        <v>0.75657894736842102</v>
      </c>
      <c r="P5401" t="s">
        <v>10506</v>
      </c>
      <c r="Q5401" t="s">
        <v>10507</v>
      </c>
      <c r="R5401" t="s">
        <v>224</v>
      </c>
      <c r="S5401" t="s">
        <v>225</v>
      </c>
      <c r="V5401" t="s">
        <v>5609</v>
      </c>
      <c r="W5401" t="s">
        <v>5610</v>
      </c>
      <c r="AF5401" t="s">
        <v>10508</v>
      </c>
    </row>
    <row r="5402" spans="1:32" hidden="1" x14ac:dyDescent="0.35">
      <c r="A5402">
        <v>5025</v>
      </c>
      <c r="B5402" t="s">
        <v>10505</v>
      </c>
      <c r="C5402" t="s">
        <v>10127</v>
      </c>
      <c r="D5402" t="s">
        <v>62</v>
      </c>
      <c r="E5402">
        <v>2209</v>
      </c>
      <c r="F5402">
        <v>4</v>
      </c>
      <c r="G5402">
        <v>4</v>
      </c>
      <c r="H5402">
        <v>1</v>
      </c>
      <c r="I5402">
        <v>0</v>
      </c>
      <c r="J5402">
        <v>0.81700813920853199</v>
      </c>
      <c r="K5402">
        <v>0.97698678068730704</v>
      </c>
      <c r="L5402">
        <v>0.88986445041551798</v>
      </c>
      <c r="M5402">
        <v>0.63486842105263197</v>
      </c>
      <c r="N5402">
        <v>1</v>
      </c>
      <c r="O5402">
        <v>0.75657894736842102</v>
      </c>
      <c r="P5402" t="s">
        <v>10506</v>
      </c>
      <c r="Q5402" t="s">
        <v>10507</v>
      </c>
      <c r="R5402" t="s">
        <v>224</v>
      </c>
      <c r="S5402" t="s">
        <v>225</v>
      </c>
      <c r="V5402" t="s">
        <v>5609</v>
      </c>
      <c r="W5402" t="s">
        <v>5610</v>
      </c>
      <c r="AF5402" t="s">
        <v>10508</v>
      </c>
    </row>
    <row r="5403" spans="1:32" hidden="1" x14ac:dyDescent="0.35">
      <c r="A5403">
        <v>5026</v>
      </c>
      <c r="B5403" t="s">
        <v>10505</v>
      </c>
      <c r="C5403" t="s">
        <v>10127</v>
      </c>
      <c r="D5403" t="s">
        <v>34</v>
      </c>
      <c r="E5403">
        <v>999</v>
      </c>
      <c r="F5403">
        <v>4</v>
      </c>
      <c r="G5403">
        <v>4</v>
      </c>
      <c r="H5403">
        <v>1</v>
      </c>
      <c r="I5403">
        <v>0</v>
      </c>
      <c r="J5403">
        <v>0.81700813920853199</v>
      </c>
      <c r="K5403">
        <v>0.97698678068730704</v>
      </c>
      <c r="L5403">
        <v>0.88986445041551798</v>
      </c>
      <c r="M5403">
        <v>0.63486842105263197</v>
      </c>
      <c r="N5403">
        <v>1</v>
      </c>
      <c r="O5403">
        <v>0.75657894736842102</v>
      </c>
      <c r="P5403" t="s">
        <v>10506</v>
      </c>
      <c r="Q5403" t="s">
        <v>10507</v>
      </c>
      <c r="R5403" t="s">
        <v>224</v>
      </c>
      <c r="S5403" t="s">
        <v>225</v>
      </c>
      <c r="V5403" t="s">
        <v>5609</v>
      </c>
      <c r="W5403" t="s">
        <v>5610</v>
      </c>
      <c r="AF5403" t="s">
        <v>10509</v>
      </c>
    </row>
    <row r="5404" spans="1:32" hidden="1" x14ac:dyDescent="0.35">
      <c r="A5404">
        <v>5027</v>
      </c>
      <c r="B5404" t="s">
        <v>10505</v>
      </c>
      <c r="C5404" t="s">
        <v>10127</v>
      </c>
      <c r="D5404" t="s">
        <v>45</v>
      </c>
      <c r="E5404">
        <v>2253</v>
      </c>
      <c r="F5404">
        <v>4</v>
      </c>
      <c r="G5404">
        <v>4</v>
      </c>
      <c r="H5404">
        <v>1</v>
      </c>
      <c r="I5404">
        <v>0</v>
      </c>
      <c r="J5404">
        <v>0.81700813920853199</v>
      </c>
      <c r="K5404">
        <v>0.97698678068730704</v>
      </c>
      <c r="L5404">
        <v>0.88986445041551798</v>
      </c>
      <c r="M5404">
        <v>0.63486842105263197</v>
      </c>
      <c r="N5404">
        <v>1</v>
      </c>
      <c r="O5404">
        <v>0.75657894736842102</v>
      </c>
      <c r="P5404" t="s">
        <v>10506</v>
      </c>
      <c r="Q5404" t="s">
        <v>10507</v>
      </c>
      <c r="R5404" t="s">
        <v>224</v>
      </c>
      <c r="S5404" t="s">
        <v>225</v>
      </c>
      <c r="V5404" t="s">
        <v>5609</v>
      </c>
      <c r="W5404" t="s">
        <v>5610</v>
      </c>
      <c r="AF5404" t="s">
        <v>10509</v>
      </c>
    </row>
    <row r="5405" spans="1:32" hidden="1" x14ac:dyDescent="0.35">
      <c r="A5405">
        <v>5052</v>
      </c>
      <c r="B5405" t="s">
        <v>10548</v>
      </c>
      <c r="C5405" t="s">
        <v>10127</v>
      </c>
      <c r="D5405" t="s">
        <v>60</v>
      </c>
      <c r="E5405">
        <v>2176</v>
      </c>
      <c r="F5405">
        <v>4</v>
      </c>
      <c r="G5405">
        <v>4</v>
      </c>
      <c r="H5405">
        <v>1</v>
      </c>
      <c r="I5405">
        <v>0</v>
      </c>
      <c r="J5405">
        <v>0.88288288288288297</v>
      </c>
      <c r="K5405">
        <v>1</v>
      </c>
      <c r="L5405">
        <v>0.93779904306220097</v>
      </c>
      <c r="M5405">
        <v>0.75883575883575904</v>
      </c>
      <c r="N5405">
        <v>1</v>
      </c>
      <c r="O5405">
        <v>0.83922383922383903</v>
      </c>
      <c r="P5405" t="s">
        <v>222</v>
      </c>
      <c r="Q5405" t="s">
        <v>223</v>
      </c>
      <c r="R5405" t="s">
        <v>224</v>
      </c>
      <c r="S5405" t="s">
        <v>225</v>
      </c>
      <c r="V5405" t="s">
        <v>226</v>
      </c>
      <c r="W5405" t="s">
        <v>227</v>
      </c>
      <c r="AF5405" t="s">
        <v>10549</v>
      </c>
    </row>
    <row r="5406" spans="1:32" hidden="1" x14ac:dyDescent="0.35">
      <c r="A5406">
        <v>5053</v>
      </c>
      <c r="B5406" t="s">
        <v>10548</v>
      </c>
      <c r="C5406" t="s">
        <v>10127</v>
      </c>
      <c r="D5406" t="s">
        <v>62</v>
      </c>
      <c r="E5406">
        <v>2210</v>
      </c>
      <c r="F5406">
        <v>4</v>
      </c>
      <c r="G5406">
        <v>4</v>
      </c>
      <c r="H5406">
        <v>1</v>
      </c>
      <c r="I5406">
        <v>0</v>
      </c>
      <c r="J5406">
        <v>0.88288288288288297</v>
      </c>
      <c r="K5406">
        <v>1</v>
      </c>
      <c r="L5406">
        <v>0.93779904306220097</v>
      </c>
      <c r="M5406">
        <v>0.75883575883575904</v>
      </c>
      <c r="N5406">
        <v>1</v>
      </c>
      <c r="O5406">
        <v>0.83922383922383903</v>
      </c>
      <c r="P5406" t="s">
        <v>222</v>
      </c>
      <c r="Q5406" t="s">
        <v>223</v>
      </c>
      <c r="R5406" t="s">
        <v>224</v>
      </c>
      <c r="S5406" t="s">
        <v>225</v>
      </c>
      <c r="V5406" t="s">
        <v>226</v>
      </c>
      <c r="W5406" t="s">
        <v>227</v>
      </c>
      <c r="AF5406" t="s">
        <v>10549</v>
      </c>
    </row>
    <row r="5407" spans="1:32" hidden="1" x14ac:dyDescent="0.35">
      <c r="A5407">
        <v>5054</v>
      </c>
      <c r="B5407" t="s">
        <v>10548</v>
      </c>
      <c r="C5407" t="s">
        <v>10127</v>
      </c>
      <c r="D5407" t="s">
        <v>34</v>
      </c>
      <c r="E5407">
        <v>998</v>
      </c>
      <c r="F5407">
        <v>4</v>
      </c>
      <c r="G5407">
        <v>4</v>
      </c>
      <c r="H5407">
        <v>1</v>
      </c>
      <c r="I5407">
        <v>0</v>
      </c>
      <c r="J5407">
        <v>0.88288288288288297</v>
      </c>
      <c r="K5407">
        <v>1</v>
      </c>
      <c r="L5407">
        <v>0.93779904306220097</v>
      </c>
      <c r="M5407">
        <v>0.75883575883575904</v>
      </c>
      <c r="N5407">
        <v>1</v>
      </c>
      <c r="O5407">
        <v>0.83922383922383903</v>
      </c>
      <c r="P5407" t="s">
        <v>222</v>
      </c>
      <c r="Q5407" t="s">
        <v>223</v>
      </c>
      <c r="R5407" t="s">
        <v>224</v>
      </c>
      <c r="S5407" t="s">
        <v>225</v>
      </c>
      <c r="V5407" t="s">
        <v>226</v>
      </c>
      <c r="W5407" t="s">
        <v>227</v>
      </c>
      <c r="AF5407" t="s">
        <v>10550</v>
      </c>
    </row>
    <row r="5408" spans="1:32" hidden="1" x14ac:dyDescent="0.35">
      <c r="A5408">
        <v>5055</v>
      </c>
      <c r="B5408" t="s">
        <v>10548</v>
      </c>
      <c r="C5408" t="s">
        <v>10127</v>
      </c>
      <c r="D5408" t="s">
        <v>45</v>
      </c>
      <c r="E5408">
        <v>2252</v>
      </c>
      <c r="F5408">
        <v>4</v>
      </c>
      <c r="G5408">
        <v>4</v>
      </c>
      <c r="H5408">
        <v>1</v>
      </c>
      <c r="I5408">
        <v>0</v>
      </c>
      <c r="J5408">
        <v>0.88288288288288297</v>
      </c>
      <c r="K5408">
        <v>1</v>
      </c>
      <c r="L5408">
        <v>0.93779904306220097</v>
      </c>
      <c r="M5408">
        <v>0.75883575883575904</v>
      </c>
      <c r="N5408">
        <v>1</v>
      </c>
      <c r="O5408">
        <v>0.83922383922383903</v>
      </c>
      <c r="P5408" t="s">
        <v>222</v>
      </c>
      <c r="Q5408" t="s">
        <v>223</v>
      </c>
      <c r="R5408" t="s">
        <v>224</v>
      </c>
      <c r="S5408" t="s">
        <v>225</v>
      </c>
      <c r="V5408" t="s">
        <v>226</v>
      </c>
      <c r="W5408" t="s">
        <v>227</v>
      </c>
      <c r="AF5408" t="s">
        <v>10551</v>
      </c>
    </row>
    <row r="5409" spans="1:32" hidden="1" x14ac:dyDescent="0.35">
      <c r="A5409">
        <v>5408</v>
      </c>
      <c r="B5409" t="s">
        <v>11182</v>
      </c>
      <c r="C5409" t="s">
        <v>10127</v>
      </c>
      <c r="D5409" t="s">
        <v>60</v>
      </c>
      <c r="E5409">
        <v>2006</v>
      </c>
      <c r="F5409">
        <v>4</v>
      </c>
      <c r="G5409">
        <v>4</v>
      </c>
      <c r="H5409">
        <v>1</v>
      </c>
      <c r="I5409">
        <v>0</v>
      </c>
      <c r="J5409">
        <v>0.84889901290812497</v>
      </c>
      <c r="K5409">
        <v>0.98879988585871004</v>
      </c>
      <c r="L5409">
        <v>0.91352424233631402</v>
      </c>
      <c r="M5409">
        <v>0.67117117117117098</v>
      </c>
      <c r="N5409">
        <v>1</v>
      </c>
      <c r="O5409">
        <v>0.78153153153153099</v>
      </c>
      <c r="P5409" t="s">
        <v>2574</v>
      </c>
      <c r="Q5409" t="s">
        <v>2575</v>
      </c>
      <c r="R5409" t="s">
        <v>1498</v>
      </c>
      <c r="S5409" t="s">
        <v>1499</v>
      </c>
      <c r="V5409" t="s">
        <v>2578</v>
      </c>
      <c r="W5409" t="s">
        <v>2579</v>
      </c>
      <c r="AF5409" t="s">
        <v>11183</v>
      </c>
    </row>
    <row r="5410" spans="1:32" hidden="1" x14ac:dyDescent="0.35">
      <c r="A5410">
        <v>5409</v>
      </c>
      <c r="B5410" t="s">
        <v>11182</v>
      </c>
      <c r="C5410" t="s">
        <v>10127</v>
      </c>
      <c r="D5410" t="s">
        <v>62</v>
      </c>
      <c r="E5410">
        <v>2046</v>
      </c>
      <c r="F5410">
        <v>4</v>
      </c>
      <c r="G5410">
        <v>4</v>
      </c>
      <c r="H5410">
        <v>1</v>
      </c>
      <c r="I5410">
        <v>0</v>
      </c>
      <c r="J5410">
        <v>0.84889901290812497</v>
      </c>
      <c r="K5410">
        <v>0.98879988585871004</v>
      </c>
      <c r="L5410">
        <v>0.91352424233631402</v>
      </c>
      <c r="M5410">
        <v>0.67117117117117098</v>
      </c>
      <c r="N5410">
        <v>1</v>
      </c>
      <c r="O5410">
        <v>0.78153153153153099</v>
      </c>
      <c r="P5410" t="s">
        <v>2574</v>
      </c>
      <c r="Q5410" t="s">
        <v>2575</v>
      </c>
      <c r="R5410" t="s">
        <v>1498</v>
      </c>
      <c r="S5410" t="s">
        <v>1499</v>
      </c>
      <c r="V5410" t="s">
        <v>2578</v>
      </c>
      <c r="W5410" t="s">
        <v>2579</v>
      </c>
      <c r="AF5410" t="s">
        <v>11184</v>
      </c>
    </row>
    <row r="5411" spans="1:32" hidden="1" x14ac:dyDescent="0.35">
      <c r="A5411">
        <v>5410</v>
      </c>
      <c r="B5411" t="s">
        <v>11182</v>
      </c>
      <c r="C5411" t="s">
        <v>10127</v>
      </c>
      <c r="D5411" t="s">
        <v>34</v>
      </c>
      <c r="E5411">
        <v>194</v>
      </c>
      <c r="F5411">
        <v>4</v>
      </c>
      <c r="G5411">
        <v>4</v>
      </c>
      <c r="H5411">
        <v>1</v>
      </c>
      <c r="I5411">
        <v>0</v>
      </c>
      <c r="J5411">
        <v>0.84889901290812497</v>
      </c>
      <c r="K5411">
        <v>0.98879988585871004</v>
      </c>
      <c r="L5411">
        <v>0.91352424233631402</v>
      </c>
      <c r="M5411">
        <v>0.67117117117117098</v>
      </c>
      <c r="N5411">
        <v>1</v>
      </c>
      <c r="O5411">
        <v>0.78153153153153099</v>
      </c>
      <c r="P5411" t="s">
        <v>2574</v>
      </c>
      <c r="Q5411" t="s">
        <v>2575</v>
      </c>
      <c r="R5411" t="s">
        <v>1498</v>
      </c>
      <c r="S5411" t="s">
        <v>1499</v>
      </c>
      <c r="T5411" t="s">
        <v>2576</v>
      </c>
      <c r="U5411" t="s">
        <v>2577</v>
      </c>
      <c r="V5411" t="s">
        <v>2578</v>
      </c>
      <c r="W5411" t="s">
        <v>2579</v>
      </c>
      <c r="AD5411" t="s">
        <v>2580</v>
      </c>
      <c r="AE5411" t="s">
        <v>2581</v>
      </c>
      <c r="AF5411" t="s">
        <v>11185</v>
      </c>
    </row>
    <row r="5412" spans="1:32" hidden="1" x14ac:dyDescent="0.35">
      <c r="A5412">
        <v>5411</v>
      </c>
      <c r="B5412" t="s">
        <v>11182</v>
      </c>
      <c r="C5412" t="s">
        <v>10127</v>
      </c>
      <c r="D5412" t="s">
        <v>45</v>
      </c>
      <c r="E5412">
        <v>1457</v>
      </c>
      <c r="F5412">
        <v>4</v>
      </c>
      <c r="G5412">
        <v>4</v>
      </c>
      <c r="H5412">
        <v>1</v>
      </c>
      <c r="I5412">
        <v>0</v>
      </c>
      <c r="J5412">
        <v>0.84889901290812497</v>
      </c>
      <c r="K5412">
        <v>0.98879988585871004</v>
      </c>
      <c r="L5412">
        <v>0.91352424233631402</v>
      </c>
      <c r="M5412">
        <v>0.67117117117117098</v>
      </c>
      <c r="N5412">
        <v>1</v>
      </c>
      <c r="O5412">
        <v>0.78153153153153099</v>
      </c>
      <c r="P5412" t="s">
        <v>2574</v>
      </c>
      <c r="Q5412" t="s">
        <v>2575</v>
      </c>
      <c r="R5412" t="s">
        <v>1498</v>
      </c>
      <c r="S5412" t="s">
        <v>1499</v>
      </c>
      <c r="T5412" t="s">
        <v>2576</v>
      </c>
      <c r="U5412" t="s">
        <v>2577</v>
      </c>
      <c r="V5412" t="s">
        <v>2578</v>
      </c>
      <c r="W5412" t="s">
        <v>2579</v>
      </c>
      <c r="AD5412" t="s">
        <v>2580</v>
      </c>
      <c r="AE5412" t="s">
        <v>2581</v>
      </c>
      <c r="AF5412" t="s">
        <v>11185</v>
      </c>
    </row>
    <row r="5413" spans="1:32" hidden="1" x14ac:dyDescent="0.35">
      <c r="A5413">
        <v>5412</v>
      </c>
      <c r="B5413" t="s">
        <v>11186</v>
      </c>
      <c r="C5413" t="s">
        <v>10127</v>
      </c>
      <c r="D5413" t="s">
        <v>60</v>
      </c>
      <c r="E5413">
        <v>130</v>
      </c>
      <c r="F5413">
        <v>4</v>
      </c>
      <c r="G5413">
        <v>4</v>
      </c>
      <c r="H5413">
        <v>1</v>
      </c>
      <c r="I5413">
        <v>0</v>
      </c>
      <c r="J5413">
        <v>0.75860881542699699</v>
      </c>
      <c r="K5413">
        <v>0.89136091595107902</v>
      </c>
      <c r="L5413">
        <v>0.81964442826815398</v>
      </c>
      <c r="M5413">
        <v>0.44262295081967201</v>
      </c>
      <c r="N5413">
        <v>1</v>
      </c>
      <c r="O5413">
        <v>0.627504553734062</v>
      </c>
      <c r="AF5413" t="s">
        <v>11187</v>
      </c>
    </row>
    <row r="5414" spans="1:32" hidden="1" x14ac:dyDescent="0.35">
      <c r="A5414">
        <v>5413</v>
      </c>
      <c r="B5414" t="s">
        <v>11186</v>
      </c>
      <c r="C5414" t="s">
        <v>10127</v>
      </c>
      <c r="D5414" t="s">
        <v>62</v>
      </c>
      <c r="E5414">
        <v>202</v>
      </c>
      <c r="F5414">
        <v>4</v>
      </c>
      <c r="G5414">
        <v>4</v>
      </c>
      <c r="H5414">
        <v>1</v>
      </c>
      <c r="I5414">
        <v>0</v>
      </c>
      <c r="J5414">
        <v>0.75860881542699699</v>
      </c>
      <c r="K5414">
        <v>0.89136091595107902</v>
      </c>
      <c r="L5414">
        <v>0.81964442826815398</v>
      </c>
      <c r="M5414">
        <v>0.44262295081967201</v>
      </c>
      <c r="N5414">
        <v>1</v>
      </c>
      <c r="O5414">
        <v>0.627504553734062</v>
      </c>
      <c r="AF5414" t="s">
        <v>11187</v>
      </c>
    </row>
    <row r="5415" spans="1:32" hidden="1" x14ac:dyDescent="0.35">
      <c r="A5415">
        <v>5414</v>
      </c>
      <c r="B5415" t="s">
        <v>11186</v>
      </c>
      <c r="C5415" t="s">
        <v>10127</v>
      </c>
      <c r="D5415" t="s">
        <v>34</v>
      </c>
      <c r="E5415">
        <v>939</v>
      </c>
      <c r="F5415">
        <v>4</v>
      </c>
      <c r="G5415">
        <v>4</v>
      </c>
      <c r="H5415">
        <v>1</v>
      </c>
      <c r="I5415">
        <v>0</v>
      </c>
      <c r="J5415">
        <v>0.75860881542699699</v>
      </c>
      <c r="K5415">
        <v>0.89136091595107902</v>
      </c>
      <c r="L5415">
        <v>0.81964442826815398</v>
      </c>
      <c r="M5415">
        <v>0.44262295081967201</v>
      </c>
      <c r="N5415">
        <v>1</v>
      </c>
      <c r="O5415">
        <v>0.627504553734062</v>
      </c>
      <c r="AF5415" t="s">
        <v>11188</v>
      </c>
    </row>
    <row r="5416" spans="1:32" hidden="1" x14ac:dyDescent="0.35">
      <c r="A5416">
        <v>5415</v>
      </c>
      <c r="B5416" t="s">
        <v>11186</v>
      </c>
      <c r="C5416" t="s">
        <v>10127</v>
      </c>
      <c r="D5416" t="s">
        <v>45</v>
      </c>
      <c r="E5416">
        <v>2196</v>
      </c>
      <c r="F5416">
        <v>4</v>
      </c>
      <c r="G5416">
        <v>4</v>
      </c>
      <c r="H5416">
        <v>1</v>
      </c>
      <c r="I5416">
        <v>0</v>
      </c>
      <c r="J5416">
        <v>0.75860881542699699</v>
      </c>
      <c r="K5416">
        <v>0.89136091595107902</v>
      </c>
      <c r="L5416">
        <v>0.81964442826815398</v>
      </c>
      <c r="M5416">
        <v>0.44262295081967201</v>
      </c>
      <c r="N5416">
        <v>1</v>
      </c>
      <c r="O5416">
        <v>0.627504553734062</v>
      </c>
      <c r="AF5416" t="s">
        <v>11189</v>
      </c>
    </row>
    <row r="5417" spans="1:32" hidden="1" x14ac:dyDescent="0.35">
      <c r="A5417">
        <v>5416</v>
      </c>
      <c r="B5417" t="s">
        <v>11190</v>
      </c>
      <c r="C5417" t="s">
        <v>10127</v>
      </c>
      <c r="D5417" t="s">
        <v>60</v>
      </c>
      <c r="E5417">
        <v>613</v>
      </c>
      <c r="F5417">
        <v>4</v>
      </c>
      <c r="G5417">
        <v>4</v>
      </c>
      <c r="H5417">
        <v>1</v>
      </c>
      <c r="I5417">
        <v>0</v>
      </c>
      <c r="J5417">
        <v>0.786885245901639</v>
      </c>
      <c r="K5417">
        <v>0.92694497153700295</v>
      </c>
      <c r="L5417">
        <v>0.85119204276288996</v>
      </c>
      <c r="M5417">
        <v>0.52406417112299497</v>
      </c>
      <c r="N5417">
        <v>1</v>
      </c>
      <c r="O5417">
        <v>0.68181818181818199</v>
      </c>
      <c r="P5417" t="s">
        <v>11191</v>
      </c>
      <c r="Q5417" t="s">
        <v>11192</v>
      </c>
      <c r="R5417" t="s">
        <v>288</v>
      </c>
      <c r="S5417" t="s">
        <v>289</v>
      </c>
      <c r="V5417" t="s">
        <v>11193</v>
      </c>
      <c r="W5417" t="s">
        <v>11194</v>
      </c>
      <c r="AF5417" t="s">
        <v>11195</v>
      </c>
    </row>
    <row r="5418" spans="1:32" hidden="1" x14ac:dyDescent="0.35">
      <c r="A5418">
        <v>5417</v>
      </c>
      <c r="B5418" t="s">
        <v>11190</v>
      </c>
      <c r="C5418" t="s">
        <v>10127</v>
      </c>
      <c r="D5418" t="s">
        <v>62</v>
      </c>
      <c r="E5418">
        <v>697</v>
      </c>
      <c r="F5418">
        <v>4</v>
      </c>
      <c r="G5418">
        <v>4</v>
      </c>
      <c r="H5418">
        <v>1</v>
      </c>
      <c r="I5418">
        <v>0</v>
      </c>
      <c r="J5418">
        <v>0.786885245901639</v>
      </c>
      <c r="K5418">
        <v>0.92694497153700295</v>
      </c>
      <c r="L5418">
        <v>0.85119204276288996</v>
      </c>
      <c r="M5418">
        <v>0.52406417112299497</v>
      </c>
      <c r="N5418">
        <v>1</v>
      </c>
      <c r="O5418">
        <v>0.68181818181818199</v>
      </c>
      <c r="P5418" t="s">
        <v>11191</v>
      </c>
      <c r="Q5418" t="s">
        <v>11192</v>
      </c>
      <c r="R5418" t="s">
        <v>288</v>
      </c>
      <c r="S5418" t="s">
        <v>289</v>
      </c>
      <c r="V5418" t="s">
        <v>11193</v>
      </c>
      <c r="W5418" t="s">
        <v>11194</v>
      </c>
      <c r="AF5418" t="s">
        <v>11195</v>
      </c>
    </row>
    <row r="5419" spans="1:32" hidden="1" x14ac:dyDescent="0.35">
      <c r="A5419">
        <v>5418</v>
      </c>
      <c r="B5419" t="s">
        <v>11190</v>
      </c>
      <c r="C5419" t="s">
        <v>10127</v>
      </c>
      <c r="D5419" t="s">
        <v>34</v>
      </c>
      <c r="E5419">
        <v>475</v>
      </c>
      <c r="F5419">
        <v>4</v>
      </c>
      <c r="G5419">
        <v>4</v>
      </c>
      <c r="H5419">
        <v>1</v>
      </c>
      <c r="I5419">
        <v>0</v>
      </c>
      <c r="J5419">
        <v>0.786885245901639</v>
      </c>
      <c r="K5419">
        <v>0.92694497153700295</v>
      </c>
      <c r="L5419">
        <v>0.85119204276288996</v>
      </c>
      <c r="M5419">
        <v>0.52406417112299497</v>
      </c>
      <c r="N5419">
        <v>1</v>
      </c>
      <c r="O5419">
        <v>0.68181818181818199</v>
      </c>
      <c r="P5419" t="s">
        <v>11191</v>
      </c>
      <c r="Q5419" t="s">
        <v>11192</v>
      </c>
      <c r="R5419" t="s">
        <v>288</v>
      </c>
      <c r="S5419" t="s">
        <v>289</v>
      </c>
      <c r="V5419" t="s">
        <v>11193</v>
      </c>
      <c r="W5419" t="s">
        <v>11194</v>
      </c>
      <c r="AF5419" t="s">
        <v>11196</v>
      </c>
    </row>
    <row r="5420" spans="1:32" hidden="1" x14ac:dyDescent="0.35">
      <c r="A5420">
        <v>5419</v>
      </c>
      <c r="B5420" t="s">
        <v>11190</v>
      </c>
      <c r="C5420" t="s">
        <v>10127</v>
      </c>
      <c r="D5420" t="s">
        <v>45</v>
      </c>
      <c r="E5420">
        <v>1740</v>
      </c>
      <c r="F5420">
        <v>4</v>
      </c>
      <c r="G5420">
        <v>4</v>
      </c>
      <c r="H5420">
        <v>1</v>
      </c>
      <c r="I5420">
        <v>0</v>
      </c>
      <c r="J5420">
        <v>0.786885245901639</v>
      </c>
      <c r="K5420">
        <v>0.92694497153700295</v>
      </c>
      <c r="L5420">
        <v>0.85119204276288996</v>
      </c>
      <c r="M5420">
        <v>0.52406417112299497</v>
      </c>
      <c r="N5420">
        <v>1</v>
      </c>
      <c r="O5420">
        <v>0.68181818181818199</v>
      </c>
      <c r="P5420" t="s">
        <v>11191</v>
      </c>
      <c r="Q5420" t="s">
        <v>11192</v>
      </c>
      <c r="R5420" t="s">
        <v>288</v>
      </c>
      <c r="S5420" t="s">
        <v>289</v>
      </c>
      <c r="V5420" t="s">
        <v>11193</v>
      </c>
      <c r="W5420" t="s">
        <v>11194</v>
      </c>
      <c r="AF5420" t="s">
        <v>11197</v>
      </c>
    </row>
    <row r="5421" spans="1:32" hidden="1" x14ac:dyDescent="0.35">
      <c r="A5421">
        <v>5420</v>
      </c>
      <c r="B5421" t="s">
        <v>11198</v>
      </c>
      <c r="C5421" t="s">
        <v>10127</v>
      </c>
      <c r="D5421" t="s">
        <v>60</v>
      </c>
      <c r="E5421">
        <v>1299</v>
      </c>
      <c r="F5421">
        <v>4</v>
      </c>
      <c r="G5421">
        <v>4</v>
      </c>
      <c r="H5421">
        <v>1</v>
      </c>
      <c r="I5421">
        <v>0</v>
      </c>
      <c r="J5421">
        <v>0.88438438438438405</v>
      </c>
      <c r="K5421">
        <v>0.64750759398100199</v>
      </c>
      <c r="L5421">
        <v>0.74763183432574298</v>
      </c>
      <c r="M5421">
        <v>0.133136094674556</v>
      </c>
      <c r="N5421">
        <v>1</v>
      </c>
      <c r="O5421">
        <v>0.42357001972386599</v>
      </c>
      <c r="P5421" t="s">
        <v>4551</v>
      </c>
      <c r="Q5421" t="s">
        <v>4552</v>
      </c>
      <c r="R5421" t="s">
        <v>8647</v>
      </c>
      <c r="S5421" t="s">
        <v>8648</v>
      </c>
      <c r="V5421" t="s">
        <v>9316</v>
      </c>
      <c r="W5421" t="s">
        <v>9317</v>
      </c>
      <c r="X5421" t="s">
        <v>9316</v>
      </c>
      <c r="Y5421" t="s">
        <v>875</v>
      </c>
      <c r="AF5421" t="s">
        <v>11199</v>
      </c>
    </row>
    <row r="5422" spans="1:32" hidden="1" x14ac:dyDescent="0.35">
      <c r="A5422">
        <v>5421</v>
      </c>
      <c r="B5422" t="s">
        <v>11198</v>
      </c>
      <c r="C5422" t="s">
        <v>10127</v>
      </c>
      <c r="D5422" t="s">
        <v>62</v>
      </c>
      <c r="E5422">
        <v>1335</v>
      </c>
      <c r="F5422">
        <v>4</v>
      </c>
      <c r="G5422">
        <v>4</v>
      </c>
      <c r="H5422">
        <v>1</v>
      </c>
      <c r="I5422">
        <v>0</v>
      </c>
      <c r="J5422">
        <v>0.88438438438438405</v>
      </c>
      <c r="K5422">
        <v>0.64750759398100199</v>
      </c>
      <c r="L5422">
        <v>0.74763183432574298</v>
      </c>
      <c r="M5422">
        <v>0.133136094674556</v>
      </c>
      <c r="N5422">
        <v>1</v>
      </c>
      <c r="O5422">
        <v>0.42357001972386599</v>
      </c>
      <c r="P5422" t="s">
        <v>4551</v>
      </c>
      <c r="Q5422" t="s">
        <v>4552</v>
      </c>
      <c r="R5422" t="s">
        <v>8647</v>
      </c>
      <c r="S5422" t="s">
        <v>8648</v>
      </c>
      <c r="V5422" t="s">
        <v>9316</v>
      </c>
      <c r="W5422" t="s">
        <v>9317</v>
      </c>
      <c r="X5422" t="s">
        <v>9316</v>
      </c>
      <c r="Y5422" t="s">
        <v>875</v>
      </c>
      <c r="AF5422" t="s">
        <v>11199</v>
      </c>
    </row>
    <row r="5423" spans="1:32" hidden="1" x14ac:dyDescent="0.35">
      <c r="A5423">
        <v>5422</v>
      </c>
      <c r="B5423" t="s">
        <v>11198</v>
      </c>
      <c r="C5423" t="s">
        <v>10127</v>
      </c>
      <c r="D5423" t="s">
        <v>34</v>
      </c>
      <c r="E5423">
        <v>1690</v>
      </c>
      <c r="F5423">
        <v>4</v>
      </c>
      <c r="G5423">
        <v>4</v>
      </c>
      <c r="H5423">
        <v>1</v>
      </c>
      <c r="I5423">
        <v>0</v>
      </c>
      <c r="J5423">
        <v>0.88438438438438405</v>
      </c>
      <c r="K5423">
        <v>0.64750759398100199</v>
      </c>
      <c r="L5423">
        <v>0.74763183432574298</v>
      </c>
      <c r="M5423">
        <v>0.133136094674556</v>
      </c>
      <c r="N5423">
        <v>1</v>
      </c>
      <c r="O5423">
        <v>0.42357001972386599</v>
      </c>
      <c r="P5423" t="s">
        <v>4551</v>
      </c>
      <c r="Q5423" t="s">
        <v>4552</v>
      </c>
      <c r="R5423" t="s">
        <v>8647</v>
      </c>
      <c r="S5423" t="s">
        <v>8648</v>
      </c>
      <c r="V5423" t="s">
        <v>9316</v>
      </c>
      <c r="W5423" t="s">
        <v>9317</v>
      </c>
      <c r="X5423" t="s">
        <v>9316</v>
      </c>
      <c r="Y5423" t="s">
        <v>875</v>
      </c>
      <c r="AF5423" t="s">
        <v>11200</v>
      </c>
    </row>
    <row r="5424" spans="1:32" hidden="1" x14ac:dyDescent="0.35">
      <c r="A5424">
        <v>5423</v>
      </c>
      <c r="B5424" t="s">
        <v>11198</v>
      </c>
      <c r="C5424" t="s">
        <v>10127</v>
      </c>
      <c r="D5424" t="s">
        <v>45</v>
      </c>
      <c r="E5424">
        <v>1186</v>
      </c>
      <c r="F5424">
        <v>4</v>
      </c>
      <c r="G5424">
        <v>4</v>
      </c>
      <c r="H5424">
        <v>1</v>
      </c>
      <c r="I5424">
        <v>0</v>
      </c>
      <c r="J5424">
        <v>0.88438438438438405</v>
      </c>
      <c r="K5424">
        <v>0.64750759398100199</v>
      </c>
      <c r="L5424">
        <v>0.74763183432574298</v>
      </c>
      <c r="M5424">
        <v>0.133136094674556</v>
      </c>
      <c r="N5424">
        <v>1</v>
      </c>
      <c r="O5424">
        <v>0.42357001972386599</v>
      </c>
      <c r="P5424" t="s">
        <v>4551</v>
      </c>
      <c r="Q5424" t="s">
        <v>4552</v>
      </c>
      <c r="R5424" t="s">
        <v>8647</v>
      </c>
      <c r="S5424" t="s">
        <v>8648</v>
      </c>
      <c r="V5424" t="s">
        <v>9316</v>
      </c>
      <c r="W5424" t="s">
        <v>9317</v>
      </c>
      <c r="X5424" t="s">
        <v>9316</v>
      </c>
      <c r="Y5424" t="s">
        <v>875</v>
      </c>
      <c r="AF5424" t="s">
        <v>11201</v>
      </c>
    </row>
    <row r="5425" spans="1:32" hidden="1" x14ac:dyDescent="0.35">
      <c r="A5425">
        <v>5424</v>
      </c>
      <c r="B5425" t="s">
        <v>11202</v>
      </c>
      <c r="C5425" t="s">
        <v>10127</v>
      </c>
      <c r="D5425" t="s">
        <v>60</v>
      </c>
      <c r="E5425">
        <v>711</v>
      </c>
      <c r="F5425">
        <v>4</v>
      </c>
      <c r="G5425">
        <v>4</v>
      </c>
      <c r="H5425">
        <v>1</v>
      </c>
      <c r="I5425">
        <v>0</v>
      </c>
      <c r="J5425">
        <v>0.74936628643852998</v>
      </c>
      <c r="K5425">
        <v>0.96385566551312296</v>
      </c>
      <c r="L5425">
        <v>0.843184317018008</v>
      </c>
      <c r="M5425">
        <v>0.450549450549451</v>
      </c>
      <c r="N5425">
        <v>1</v>
      </c>
      <c r="O5425">
        <v>0.63278388278388298</v>
      </c>
      <c r="P5425" t="s">
        <v>11203</v>
      </c>
      <c r="Q5425" t="s">
        <v>11204</v>
      </c>
      <c r="AF5425" t="s">
        <v>11205</v>
      </c>
    </row>
    <row r="5426" spans="1:32" hidden="1" x14ac:dyDescent="0.35">
      <c r="A5426">
        <v>5425</v>
      </c>
      <c r="B5426" t="s">
        <v>11202</v>
      </c>
      <c r="C5426" t="s">
        <v>10127</v>
      </c>
      <c r="D5426" t="s">
        <v>62</v>
      </c>
      <c r="E5426">
        <v>742</v>
      </c>
      <c r="F5426">
        <v>4</v>
      </c>
      <c r="G5426">
        <v>4</v>
      </c>
      <c r="H5426">
        <v>1</v>
      </c>
      <c r="I5426">
        <v>0</v>
      </c>
      <c r="J5426">
        <v>0.74936628643852998</v>
      </c>
      <c r="K5426">
        <v>0.96385566551312296</v>
      </c>
      <c r="L5426">
        <v>0.843184317018008</v>
      </c>
      <c r="M5426">
        <v>0.450549450549451</v>
      </c>
      <c r="N5426">
        <v>1</v>
      </c>
      <c r="O5426">
        <v>0.63278388278388298</v>
      </c>
      <c r="P5426" t="s">
        <v>11203</v>
      </c>
      <c r="Q5426" t="s">
        <v>11204</v>
      </c>
      <c r="AF5426" t="s">
        <v>11205</v>
      </c>
    </row>
    <row r="5427" spans="1:32" hidden="1" x14ac:dyDescent="0.35">
      <c r="A5427">
        <v>5426</v>
      </c>
      <c r="B5427" t="s">
        <v>11202</v>
      </c>
      <c r="C5427" t="s">
        <v>10127</v>
      </c>
      <c r="D5427" t="s">
        <v>34</v>
      </c>
      <c r="E5427">
        <v>424</v>
      </c>
      <c r="F5427">
        <v>4</v>
      </c>
      <c r="G5427">
        <v>4</v>
      </c>
      <c r="H5427">
        <v>1</v>
      </c>
      <c r="I5427">
        <v>0</v>
      </c>
      <c r="J5427">
        <v>0.74936628643852998</v>
      </c>
      <c r="K5427">
        <v>0.96385566551312296</v>
      </c>
      <c r="L5427">
        <v>0.843184317018008</v>
      </c>
      <c r="M5427">
        <v>0.450549450549451</v>
      </c>
      <c r="N5427">
        <v>1</v>
      </c>
      <c r="O5427">
        <v>0.63278388278388298</v>
      </c>
      <c r="P5427" t="s">
        <v>11203</v>
      </c>
      <c r="Q5427" t="s">
        <v>11204</v>
      </c>
      <c r="AF5427" t="e">
        <f>------MSRKSRRKNLQQIVALLVAVVVVVIASVAFQRWWNNRPGPEPKDVAITVTVNGTEQEVLPYSICELGSNCVENKVTMLDVADDAKISIKVPRYVYDHEWTQLTIYDNPAANDEKLHGAHERDTIEVPVTIDPVGDKKDVRPRLVVVEIRSVMIGHDAQGEQTPQTTTWSLGIPEKK</f>
        <v>#NAME?</v>
      </c>
    </row>
    <row r="5428" spans="1:32" hidden="1" x14ac:dyDescent="0.35">
      <c r="A5428">
        <v>5427</v>
      </c>
      <c r="B5428" t="s">
        <v>11202</v>
      </c>
      <c r="C5428" t="s">
        <v>10127</v>
      </c>
      <c r="D5428" t="s">
        <v>45</v>
      </c>
      <c r="E5428">
        <v>1686</v>
      </c>
      <c r="F5428">
        <v>4</v>
      </c>
      <c r="G5428">
        <v>4</v>
      </c>
      <c r="H5428">
        <v>1</v>
      </c>
      <c r="I5428">
        <v>0</v>
      </c>
      <c r="J5428">
        <v>0.74936628643852998</v>
      </c>
      <c r="K5428">
        <v>0.96385566551312296</v>
      </c>
      <c r="L5428">
        <v>0.843184317018008</v>
      </c>
      <c r="M5428">
        <v>0.450549450549451</v>
      </c>
      <c r="N5428">
        <v>1</v>
      </c>
      <c r="O5428">
        <v>0.63278388278388298</v>
      </c>
      <c r="P5428" t="s">
        <v>11203</v>
      </c>
      <c r="Q5428" t="s">
        <v>11204</v>
      </c>
      <c r="AF5428" t="e">
        <f>------MSRKSRRKNLQQIVALLVAVVVVVIASVAFQRWWNNRPGPEPKDVAITVTVNGTEQEVLPYSICELGSNCVENKVTMLDVADDAKISIKVPRYVYDHEWTQLTIYDNPAANDEKLHGAHERDTIEVPVTIDPVGDKKDVRPRLVVVEIRSVMIGHDAQGEQTPQTATWSLGIPEKK</f>
        <v>#NAME?</v>
      </c>
    </row>
    <row r="5429" spans="1:32" hidden="1" x14ac:dyDescent="0.35">
      <c r="A5429">
        <v>5396</v>
      </c>
      <c r="B5429" t="s">
        <v>11165</v>
      </c>
      <c r="C5429" t="s">
        <v>10127</v>
      </c>
      <c r="D5429" t="s">
        <v>60</v>
      </c>
      <c r="E5429">
        <v>90</v>
      </c>
      <c r="F5429">
        <v>4</v>
      </c>
      <c r="G5429">
        <v>4</v>
      </c>
      <c r="H5429">
        <v>1</v>
      </c>
      <c r="I5429">
        <v>0</v>
      </c>
      <c r="J5429">
        <v>0.84286539572501396</v>
      </c>
      <c r="K5429">
        <v>0.85511060259343896</v>
      </c>
      <c r="L5429">
        <v>0.84894384509244403</v>
      </c>
      <c r="M5429">
        <v>0.59130434782608698</v>
      </c>
      <c r="N5429">
        <v>1</v>
      </c>
      <c r="O5429">
        <v>0.75362318840579701</v>
      </c>
      <c r="P5429" t="s">
        <v>11166</v>
      </c>
      <c r="Q5429" t="s">
        <v>936</v>
      </c>
      <c r="R5429" t="s">
        <v>224</v>
      </c>
      <c r="S5429" t="s">
        <v>225</v>
      </c>
      <c r="T5429" t="s">
        <v>11167</v>
      </c>
      <c r="U5429" t="s">
        <v>1585</v>
      </c>
      <c r="V5429" t="s">
        <v>11168</v>
      </c>
      <c r="W5429" t="s">
        <v>11169</v>
      </c>
      <c r="AD5429" t="s">
        <v>210</v>
      </c>
      <c r="AE5429" t="s">
        <v>1520</v>
      </c>
      <c r="AF5429" t="s">
        <v>11170</v>
      </c>
    </row>
    <row r="5430" spans="1:32" hidden="1" x14ac:dyDescent="0.35">
      <c r="A5430">
        <v>5397</v>
      </c>
      <c r="B5430" t="s">
        <v>11165</v>
      </c>
      <c r="C5430" t="s">
        <v>10127</v>
      </c>
      <c r="D5430" t="s">
        <v>62</v>
      </c>
      <c r="E5430">
        <v>162</v>
      </c>
      <c r="F5430">
        <v>4</v>
      </c>
      <c r="G5430">
        <v>4</v>
      </c>
      <c r="H5430">
        <v>1</v>
      </c>
      <c r="I5430">
        <v>0</v>
      </c>
      <c r="J5430">
        <v>0.84286539572501396</v>
      </c>
      <c r="K5430">
        <v>0.85511060259343896</v>
      </c>
      <c r="L5430">
        <v>0.84894384509244403</v>
      </c>
      <c r="M5430">
        <v>0.59130434782608698</v>
      </c>
      <c r="N5430">
        <v>1</v>
      </c>
      <c r="O5430">
        <v>0.75362318840579701</v>
      </c>
      <c r="P5430" t="s">
        <v>11166</v>
      </c>
      <c r="Q5430" t="s">
        <v>936</v>
      </c>
      <c r="R5430" t="s">
        <v>224</v>
      </c>
      <c r="S5430" t="s">
        <v>225</v>
      </c>
      <c r="T5430" t="s">
        <v>11167</v>
      </c>
      <c r="U5430" t="s">
        <v>1585</v>
      </c>
      <c r="V5430" t="s">
        <v>11168</v>
      </c>
      <c r="W5430" t="s">
        <v>11169</v>
      </c>
      <c r="AD5430" t="s">
        <v>210</v>
      </c>
      <c r="AE5430" t="s">
        <v>1520</v>
      </c>
      <c r="AF5430" t="e">
        <f>------------------MQPFDVSIRDETIKLGQFIKLANLVETGGQAKDAIADGQVTVNGVVDTRRGKTLREGDVVGFGGQSARVVRATAEELDYFDEATADDDFDPEKWRNM</f>
        <v>#NAME?</v>
      </c>
    </row>
    <row r="5431" spans="1:32" hidden="1" x14ac:dyDescent="0.35">
      <c r="A5431">
        <v>5398</v>
      </c>
      <c r="B5431" t="s">
        <v>11165</v>
      </c>
      <c r="C5431" t="s">
        <v>10127</v>
      </c>
      <c r="D5431" t="s">
        <v>34</v>
      </c>
      <c r="E5431">
        <v>979</v>
      </c>
      <c r="F5431">
        <v>4</v>
      </c>
      <c r="G5431">
        <v>4</v>
      </c>
      <c r="H5431">
        <v>1</v>
      </c>
      <c r="I5431">
        <v>0</v>
      </c>
      <c r="J5431">
        <v>0.84286539572501396</v>
      </c>
      <c r="K5431">
        <v>0.85511060259343896</v>
      </c>
      <c r="L5431">
        <v>0.84894384509244403</v>
      </c>
      <c r="M5431">
        <v>0.59130434782608698</v>
      </c>
      <c r="N5431">
        <v>1</v>
      </c>
      <c r="O5431">
        <v>0.75362318840579701</v>
      </c>
      <c r="P5431" t="s">
        <v>11166</v>
      </c>
      <c r="Q5431" t="s">
        <v>936</v>
      </c>
      <c r="R5431" t="s">
        <v>224</v>
      </c>
      <c r="S5431" t="s">
        <v>225</v>
      </c>
      <c r="T5431" t="s">
        <v>11167</v>
      </c>
      <c r="U5431" t="s">
        <v>1585</v>
      </c>
      <c r="V5431" t="s">
        <v>11168</v>
      </c>
      <c r="W5431" t="s">
        <v>11169</v>
      </c>
      <c r="AD5431" t="s">
        <v>210</v>
      </c>
      <c r="AE5431" t="s">
        <v>1520</v>
      </c>
      <c r="AF5431" t="e">
        <f>------------------MQPVTVTISSETIKLGQFIKLASLVETGGAAKEVIADGRVTVNGATDTRRGKTLRDGDVVCVDDMCAQVQVGSADD-DYFDEATANDDFDPEQWRNM</f>
        <v>#NAME?</v>
      </c>
    </row>
    <row r="5432" spans="1:32" hidden="1" x14ac:dyDescent="0.35">
      <c r="A5432">
        <v>5399</v>
      </c>
      <c r="B5432" t="s">
        <v>11165</v>
      </c>
      <c r="C5432" t="s">
        <v>10127</v>
      </c>
      <c r="D5432" t="s">
        <v>45</v>
      </c>
      <c r="E5432">
        <v>2234</v>
      </c>
      <c r="F5432">
        <v>4</v>
      </c>
      <c r="G5432">
        <v>4</v>
      </c>
      <c r="H5432">
        <v>1</v>
      </c>
      <c r="I5432">
        <v>0</v>
      </c>
      <c r="J5432">
        <v>0.84286539572501396</v>
      </c>
      <c r="K5432">
        <v>0.85511060259343896</v>
      </c>
      <c r="L5432">
        <v>0.84894384509244403</v>
      </c>
      <c r="M5432">
        <v>0.59130434782608698</v>
      </c>
      <c r="N5432">
        <v>1</v>
      </c>
      <c r="O5432">
        <v>0.75362318840579701</v>
      </c>
      <c r="P5432" t="s">
        <v>11166</v>
      </c>
      <c r="Q5432" t="s">
        <v>936</v>
      </c>
      <c r="R5432" t="s">
        <v>224</v>
      </c>
      <c r="S5432" t="s">
        <v>225</v>
      </c>
      <c r="T5432" t="s">
        <v>11167</v>
      </c>
      <c r="U5432" t="s">
        <v>1585</v>
      </c>
      <c r="V5432" t="s">
        <v>11168</v>
      </c>
      <c r="W5432" t="s">
        <v>11169</v>
      </c>
      <c r="AD5432" t="s">
        <v>210</v>
      </c>
      <c r="AE5432" t="s">
        <v>1520</v>
      </c>
      <c r="AF5432" t="e">
        <f>------------------MQPVTVTISSETIKLGQFIKLASLVETGGAAKEVIADGRVTVNGATDTRRGKTLRDGDVVCVDDMCAQVQVGSADD-DYFDEATANDDFDPEQWRNM</f>
        <v>#NAME?</v>
      </c>
    </row>
    <row r="5433" spans="1:32" hidden="1" x14ac:dyDescent="0.35">
      <c r="A5433">
        <v>5432</v>
      </c>
      <c r="B5433" t="s">
        <v>11213</v>
      </c>
      <c r="C5433" t="s">
        <v>10127</v>
      </c>
      <c r="D5433" t="s">
        <v>60</v>
      </c>
      <c r="E5433">
        <v>1805</v>
      </c>
      <c r="F5433">
        <v>4</v>
      </c>
      <c r="G5433">
        <v>4</v>
      </c>
      <c r="H5433">
        <v>1</v>
      </c>
      <c r="I5433">
        <v>0</v>
      </c>
      <c r="J5433">
        <v>0.85795395891400805</v>
      </c>
      <c r="K5433">
        <v>0.98931419943667798</v>
      </c>
      <c r="L5433">
        <v>0.91896353020491695</v>
      </c>
      <c r="M5433">
        <v>0.69485294117647101</v>
      </c>
      <c r="N5433">
        <v>1</v>
      </c>
      <c r="O5433">
        <v>0.79534313725490202</v>
      </c>
      <c r="P5433" t="s">
        <v>11214</v>
      </c>
      <c r="Q5433" t="s">
        <v>11215</v>
      </c>
      <c r="R5433" t="s">
        <v>288</v>
      </c>
      <c r="S5433" t="s">
        <v>289</v>
      </c>
      <c r="T5433" t="s">
        <v>11216</v>
      </c>
      <c r="U5433" t="s">
        <v>11217</v>
      </c>
      <c r="V5433" t="s">
        <v>11218</v>
      </c>
      <c r="W5433" t="s">
        <v>11219</v>
      </c>
      <c r="AD5433" t="s">
        <v>410</v>
      </c>
      <c r="AE5433" t="s">
        <v>532</v>
      </c>
      <c r="AF5433" t="s">
        <v>11220</v>
      </c>
    </row>
    <row r="5434" spans="1:32" hidden="1" x14ac:dyDescent="0.35">
      <c r="A5434">
        <v>5433</v>
      </c>
      <c r="B5434" t="s">
        <v>11213</v>
      </c>
      <c r="C5434" t="s">
        <v>10127</v>
      </c>
      <c r="D5434" t="s">
        <v>62</v>
      </c>
      <c r="E5434">
        <v>1841</v>
      </c>
      <c r="F5434">
        <v>4</v>
      </c>
      <c r="G5434">
        <v>4</v>
      </c>
      <c r="H5434">
        <v>1</v>
      </c>
      <c r="I5434">
        <v>0</v>
      </c>
      <c r="J5434">
        <v>0.85795395891400805</v>
      </c>
      <c r="K5434">
        <v>0.98931419943667798</v>
      </c>
      <c r="L5434">
        <v>0.91896353020491695</v>
      </c>
      <c r="M5434">
        <v>0.69485294117647101</v>
      </c>
      <c r="N5434">
        <v>1</v>
      </c>
      <c r="O5434">
        <v>0.79534313725490202</v>
      </c>
      <c r="P5434" t="s">
        <v>11214</v>
      </c>
      <c r="Q5434" t="s">
        <v>11215</v>
      </c>
      <c r="R5434" t="s">
        <v>288</v>
      </c>
      <c r="S5434" t="s">
        <v>289</v>
      </c>
      <c r="T5434" t="s">
        <v>11216</v>
      </c>
      <c r="U5434" t="s">
        <v>11217</v>
      </c>
      <c r="V5434" t="s">
        <v>11218</v>
      </c>
      <c r="W5434" t="s">
        <v>11219</v>
      </c>
      <c r="AD5434" t="s">
        <v>410</v>
      </c>
      <c r="AE5434" t="s">
        <v>532</v>
      </c>
      <c r="AF5434" t="s">
        <v>11220</v>
      </c>
    </row>
    <row r="5435" spans="1:32" hidden="1" x14ac:dyDescent="0.35">
      <c r="A5435">
        <v>5434</v>
      </c>
      <c r="B5435" t="s">
        <v>11213</v>
      </c>
      <c r="C5435" t="s">
        <v>10127</v>
      </c>
      <c r="D5435" t="s">
        <v>34</v>
      </c>
      <c r="E5435">
        <v>6</v>
      </c>
      <c r="F5435">
        <v>4</v>
      </c>
      <c r="G5435">
        <v>4</v>
      </c>
      <c r="H5435">
        <v>1</v>
      </c>
      <c r="I5435">
        <v>0</v>
      </c>
      <c r="J5435">
        <v>0.85795395891400805</v>
      </c>
      <c r="K5435">
        <v>0.98931419943667798</v>
      </c>
      <c r="L5435">
        <v>0.91896353020491695</v>
      </c>
      <c r="M5435">
        <v>0.69485294117647101</v>
      </c>
      <c r="N5435">
        <v>1</v>
      </c>
      <c r="O5435">
        <v>0.79534313725490202</v>
      </c>
      <c r="P5435" t="s">
        <v>11214</v>
      </c>
      <c r="Q5435" t="s">
        <v>11215</v>
      </c>
      <c r="R5435" t="s">
        <v>288</v>
      </c>
      <c r="S5435" t="s">
        <v>289</v>
      </c>
      <c r="T5435" t="s">
        <v>11216</v>
      </c>
      <c r="U5435" t="s">
        <v>11217</v>
      </c>
      <c r="V5435" t="s">
        <v>11218</v>
      </c>
      <c r="W5435" t="s">
        <v>11219</v>
      </c>
      <c r="AD5435" t="s">
        <v>410</v>
      </c>
      <c r="AE5435" t="s">
        <v>532</v>
      </c>
      <c r="AF5435" t="s">
        <v>11221</v>
      </c>
    </row>
    <row r="5436" spans="1:32" hidden="1" x14ac:dyDescent="0.35">
      <c r="A5436">
        <v>5435</v>
      </c>
      <c r="B5436" t="s">
        <v>11213</v>
      </c>
      <c r="C5436" t="s">
        <v>16073</v>
      </c>
      <c r="D5436" t="s">
        <v>45</v>
      </c>
      <c r="E5436">
        <v>1263</v>
      </c>
      <c r="F5436">
        <v>4</v>
      </c>
      <c r="G5436">
        <v>4</v>
      </c>
      <c r="H5436">
        <v>1</v>
      </c>
      <c r="I5436">
        <v>0</v>
      </c>
      <c r="J5436">
        <v>0.85795395891400805</v>
      </c>
      <c r="K5436">
        <v>0.98931419943667798</v>
      </c>
      <c r="L5436">
        <v>0.91896353020491695</v>
      </c>
      <c r="M5436">
        <v>0.69485294117647101</v>
      </c>
      <c r="N5436">
        <v>1</v>
      </c>
      <c r="O5436">
        <v>0.79534313725490202</v>
      </c>
      <c r="P5436" t="s">
        <v>11214</v>
      </c>
      <c r="Q5436" t="s">
        <v>11215</v>
      </c>
      <c r="R5436" t="s">
        <v>288</v>
      </c>
      <c r="S5436" t="s">
        <v>289</v>
      </c>
      <c r="T5436" t="s">
        <v>11216</v>
      </c>
      <c r="U5436" t="s">
        <v>11217</v>
      </c>
      <c r="V5436" t="s">
        <v>11218</v>
      </c>
      <c r="W5436" t="s">
        <v>11219</v>
      </c>
      <c r="AD5436" t="s">
        <v>410</v>
      </c>
      <c r="AE5436" t="s">
        <v>532</v>
      </c>
      <c r="AF5436" t="s">
        <v>11222</v>
      </c>
    </row>
    <row r="5437" spans="1:32" hidden="1" x14ac:dyDescent="0.35">
      <c r="A5437">
        <v>5436</v>
      </c>
      <c r="B5437" t="s">
        <v>11223</v>
      </c>
      <c r="C5437" t="s">
        <v>16073</v>
      </c>
      <c r="D5437" t="s">
        <v>60</v>
      </c>
      <c r="E5437">
        <v>60</v>
      </c>
      <c r="F5437">
        <v>4</v>
      </c>
      <c r="G5437">
        <v>4</v>
      </c>
      <c r="H5437">
        <v>1</v>
      </c>
      <c r="I5437">
        <v>0</v>
      </c>
      <c r="J5437">
        <v>0.77803895231699105</v>
      </c>
      <c r="K5437">
        <v>0.95938602321581401</v>
      </c>
      <c r="L5437">
        <v>0.85924826324254999</v>
      </c>
      <c r="M5437">
        <v>0.54440154440154398</v>
      </c>
      <c r="N5437">
        <v>1</v>
      </c>
      <c r="O5437">
        <v>0.69658944658944699</v>
      </c>
      <c r="P5437" t="s">
        <v>6505</v>
      </c>
      <c r="Q5437" t="s">
        <v>6506</v>
      </c>
      <c r="R5437" t="s">
        <v>75</v>
      </c>
      <c r="S5437" t="s">
        <v>76</v>
      </c>
      <c r="V5437" t="s">
        <v>11224</v>
      </c>
      <c r="W5437" t="s">
        <v>11225</v>
      </c>
      <c r="X5437" t="s">
        <v>11224</v>
      </c>
      <c r="Y5437" t="s">
        <v>11226</v>
      </c>
      <c r="AF5437" t="s">
        <v>11227</v>
      </c>
    </row>
    <row r="5438" spans="1:32" hidden="1" x14ac:dyDescent="0.35">
      <c r="A5438">
        <v>5437</v>
      </c>
      <c r="B5438" t="s">
        <v>11223</v>
      </c>
      <c r="C5438" t="s">
        <v>16073</v>
      </c>
      <c r="D5438" t="s">
        <v>62</v>
      </c>
      <c r="E5438">
        <v>133</v>
      </c>
      <c r="F5438">
        <v>4</v>
      </c>
      <c r="G5438">
        <v>4</v>
      </c>
      <c r="H5438">
        <v>1</v>
      </c>
      <c r="I5438">
        <v>0</v>
      </c>
      <c r="J5438">
        <v>0.77803895231699105</v>
      </c>
      <c r="K5438">
        <v>0.95938602321581401</v>
      </c>
      <c r="L5438">
        <v>0.85924826324254999</v>
      </c>
      <c r="M5438">
        <v>0.54440154440154398</v>
      </c>
      <c r="N5438">
        <v>1</v>
      </c>
      <c r="O5438">
        <v>0.69658944658944699</v>
      </c>
      <c r="P5438" t="s">
        <v>6505</v>
      </c>
      <c r="Q5438" t="s">
        <v>6506</v>
      </c>
      <c r="R5438" t="s">
        <v>75</v>
      </c>
      <c r="S5438" t="s">
        <v>76</v>
      </c>
      <c r="V5438" t="s">
        <v>11224</v>
      </c>
      <c r="W5438" t="s">
        <v>11225</v>
      </c>
      <c r="X5438" t="s">
        <v>11224</v>
      </c>
      <c r="Y5438" t="s">
        <v>11226</v>
      </c>
      <c r="AF5438" t="s">
        <v>11228</v>
      </c>
    </row>
    <row r="5439" spans="1:32" hidden="1" x14ac:dyDescent="0.35">
      <c r="A5439">
        <v>5438</v>
      </c>
      <c r="B5439" t="s">
        <v>11223</v>
      </c>
      <c r="C5439" t="s">
        <v>16073</v>
      </c>
      <c r="D5439" t="s">
        <v>34</v>
      </c>
      <c r="E5439">
        <v>860</v>
      </c>
      <c r="F5439">
        <v>4</v>
      </c>
      <c r="G5439">
        <v>4</v>
      </c>
      <c r="H5439">
        <v>1</v>
      </c>
      <c r="I5439">
        <v>0</v>
      </c>
      <c r="J5439">
        <v>0.77803895231699105</v>
      </c>
      <c r="K5439">
        <v>0.95938602321581401</v>
      </c>
      <c r="L5439">
        <v>0.85924826324254999</v>
      </c>
      <c r="M5439">
        <v>0.54440154440154398</v>
      </c>
      <c r="N5439">
        <v>1</v>
      </c>
      <c r="O5439">
        <v>0.69658944658944699</v>
      </c>
      <c r="P5439" t="s">
        <v>6505</v>
      </c>
      <c r="Q5439" t="s">
        <v>6506</v>
      </c>
      <c r="R5439" t="s">
        <v>75</v>
      </c>
      <c r="S5439" t="s">
        <v>76</v>
      </c>
      <c r="T5439" t="s">
        <v>11229</v>
      </c>
      <c r="U5439" t="s">
        <v>11230</v>
      </c>
      <c r="V5439" t="s">
        <v>11224</v>
      </c>
      <c r="W5439" t="s">
        <v>11225</v>
      </c>
      <c r="X5439" t="s">
        <v>11224</v>
      </c>
      <c r="Y5439" t="s">
        <v>11226</v>
      </c>
      <c r="Z5439" t="s">
        <v>11231</v>
      </c>
      <c r="AA5439" t="s">
        <v>11232</v>
      </c>
      <c r="AB5439" t="s">
        <v>11231</v>
      </c>
      <c r="AC5439" t="s">
        <v>11233</v>
      </c>
      <c r="AD5439" t="s">
        <v>11234</v>
      </c>
      <c r="AE5439" t="s">
        <v>11235</v>
      </c>
      <c r="AF5439" t="s">
        <v>11236</v>
      </c>
    </row>
    <row r="5440" spans="1:32" hidden="1" x14ac:dyDescent="0.35">
      <c r="A5440">
        <v>5439</v>
      </c>
      <c r="B5440" t="s">
        <v>11223</v>
      </c>
      <c r="C5440" t="s">
        <v>16073</v>
      </c>
      <c r="D5440" t="s">
        <v>45</v>
      </c>
      <c r="E5440">
        <v>2117</v>
      </c>
      <c r="F5440">
        <v>4</v>
      </c>
      <c r="G5440">
        <v>4</v>
      </c>
      <c r="H5440">
        <v>1</v>
      </c>
      <c r="I5440">
        <v>0</v>
      </c>
      <c r="J5440">
        <v>0.77803895231699105</v>
      </c>
      <c r="K5440">
        <v>0.95938602321581401</v>
      </c>
      <c r="L5440">
        <v>0.85924826324254999</v>
      </c>
      <c r="M5440">
        <v>0.54440154440154398</v>
      </c>
      <c r="N5440">
        <v>1</v>
      </c>
      <c r="O5440">
        <v>0.69658944658944699</v>
      </c>
      <c r="P5440" t="s">
        <v>6505</v>
      </c>
      <c r="Q5440" t="s">
        <v>6506</v>
      </c>
      <c r="R5440" t="s">
        <v>75</v>
      </c>
      <c r="S5440" t="s">
        <v>76</v>
      </c>
      <c r="T5440" t="s">
        <v>11229</v>
      </c>
      <c r="U5440" t="s">
        <v>11230</v>
      </c>
      <c r="V5440" t="s">
        <v>11224</v>
      </c>
      <c r="W5440" t="s">
        <v>11225</v>
      </c>
      <c r="X5440" t="s">
        <v>11224</v>
      </c>
      <c r="Y5440" t="s">
        <v>11226</v>
      </c>
      <c r="Z5440" t="s">
        <v>11231</v>
      </c>
      <c r="AA5440" t="s">
        <v>11232</v>
      </c>
      <c r="AB5440" t="s">
        <v>11231</v>
      </c>
      <c r="AC5440" t="s">
        <v>11233</v>
      </c>
      <c r="AD5440" t="s">
        <v>11234</v>
      </c>
      <c r="AE5440" t="s">
        <v>11235</v>
      </c>
      <c r="AF5440" t="s">
        <v>11236</v>
      </c>
    </row>
    <row r="5441" spans="1:32" hidden="1" x14ac:dyDescent="0.35">
      <c r="A5441">
        <v>5440</v>
      </c>
      <c r="B5441" t="s">
        <v>11237</v>
      </c>
      <c r="C5441" t="s">
        <v>16073</v>
      </c>
      <c r="D5441" t="s">
        <v>60</v>
      </c>
      <c r="E5441">
        <v>1503</v>
      </c>
      <c r="F5441">
        <v>4</v>
      </c>
      <c r="G5441">
        <v>4</v>
      </c>
      <c r="H5441">
        <v>1</v>
      </c>
      <c r="I5441">
        <v>0</v>
      </c>
      <c r="J5441">
        <v>0.82938775510204099</v>
      </c>
      <c r="K5441">
        <v>0.99593495934959397</v>
      </c>
      <c r="L5441">
        <v>0.90506325662063003</v>
      </c>
      <c r="M5441">
        <v>0.60975609756097604</v>
      </c>
      <c r="N5441">
        <v>1</v>
      </c>
      <c r="O5441">
        <v>0.73577235772357696</v>
      </c>
      <c r="P5441" t="s">
        <v>7381</v>
      </c>
      <c r="Q5441" t="s">
        <v>7382</v>
      </c>
      <c r="R5441" t="s">
        <v>869</v>
      </c>
      <c r="S5441" t="s">
        <v>870</v>
      </c>
      <c r="T5441" t="s">
        <v>11238</v>
      </c>
      <c r="U5441" t="s">
        <v>11239</v>
      </c>
      <c r="V5441" t="s">
        <v>7385</v>
      </c>
      <c r="W5441" t="s">
        <v>7386</v>
      </c>
      <c r="AD5441" t="s">
        <v>439</v>
      </c>
      <c r="AE5441" t="s">
        <v>4527</v>
      </c>
      <c r="AF5441" t="s">
        <v>11240</v>
      </c>
    </row>
    <row r="5442" spans="1:32" hidden="1" x14ac:dyDescent="0.35">
      <c r="A5442">
        <v>5441</v>
      </c>
      <c r="B5442" t="s">
        <v>11237</v>
      </c>
      <c r="C5442" t="s">
        <v>16073</v>
      </c>
      <c r="D5442" t="s">
        <v>62</v>
      </c>
      <c r="E5442">
        <v>1538</v>
      </c>
      <c r="F5442">
        <v>4</v>
      </c>
      <c r="G5442">
        <v>4</v>
      </c>
      <c r="H5442">
        <v>1</v>
      </c>
      <c r="I5442">
        <v>0</v>
      </c>
      <c r="J5442">
        <v>0.82938775510204099</v>
      </c>
      <c r="K5442">
        <v>0.99593495934959397</v>
      </c>
      <c r="L5442">
        <v>0.90506325662063003</v>
      </c>
      <c r="M5442">
        <v>0.60975609756097604</v>
      </c>
      <c r="N5442">
        <v>1</v>
      </c>
      <c r="O5442">
        <v>0.73577235772357696</v>
      </c>
      <c r="P5442" t="s">
        <v>7381</v>
      </c>
      <c r="Q5442" t="s">
        <v>7382</v>
      </c>
      <c r="R5442" t="s">
        <v>869</v>
      </c>
      <c r="S5442" t="s">
        <v>870</v>
      </c>
      <c r="T5442" t="s">
        <v>11238</v>
      </c>
      <c r="U5442" t="s">
        <v>11239</v>
      </c>
      <c r="V5442" t="s">
        <v>7385</v>
      </c>
      <c r="W5442" t="s">
        <v>7386</v>
      </c>
      <c r="AD5442" t="s">
        <v>439</v>
      </c>
      <c r="AE5442" t="s">
        <v>4527</v>
      </c>
      <c r="AF5442" t="s">
        <v>11240</v>
      </c>
    </row>
    <row r="5443" spans="1:32" hidden="1" x14ac:dyDescent="0.35">
      <c r="A5443">
        <v>5442</v>
      </c>
      <c r="B5443" t="s">
        <v>11237</v>
      </c>
      <c r="C5443" t="s">
        <v>16073</v>
      </c>
      <c r="D5443" t="s">
        <v>34</v>
      </c>
      <c r="E5443">
        <v>1934</v>
      </c>
      <c r="F5443">
        <v>4</v>
      </c>
      <c r="G5443">
        <v>4</v>
      </c>
      <c r="H5443">
        <v>1</v>
      </c>
      <c r="I5443">
        <v>0</v>
      </c>
      <c r="J5443">
        <v>0.82938775510204099</v>
      </c>
      <c r="K5443">
        <v>0.99593495934959397</v>
      </c>
      <c r="L5443">
        <v>0.90506325662063003</v>
      </c>
      <c r="M5443">
        <v>0.60975609756097604</v>
      </c>
      <c r="N5443">
        <v>1</v>
      </c>
      <c r="O5443">
        <v>0.73577235772357696</v>
      </c>
      <c r="P5443" t="s">
        <v>7381</v>
      </c>
      <c r="Q5443" t="s">
        <v>7382</v>
      </c>
      <c r="R5443" t="s">
        <v>869</v>
      </c>
      <c r="S5443" t="s">
        <v>870</v>
      </c>
      <c r="T5443" t="s">
        <v>11238</v>
      </c>
      <c r="U5443" t="s">
        <v>11239</v>
      </c>
      <c r="V5443" t="s">
        <v>7385</v>
      </c>
      <c r="W5443" t="s">
        <v>7386</v>
      </c>
      <c r="AD5443" t="s">
        <v>439</v>
      </c>
      <c r="AE5443" t="s">
        <v>4527</v>
      </c>
      <c r="AF5443" t="s">
        <v>11241</v>
      </c>
    </row>
    <row r="5444" spans="1:32" hidden="1" x14ac:dyDescent="0.35">
      <c r="A5444">
        <v>5443</v>
      </c>
      <c r="B5444" t="s">
        <v>11237</v>
      </c>
      <c r="C5444" t="s">
        <v>16073</v>
      </c>
      <c r="D5444" t="s">
        <v>45</v>
      </c>
      <c r="E5444">
        <v>939</v>
      </c>
      <c r="F5444">
        <v>4</v>
      </c>
      <c r="G5444">
        <v>4</v>
      </c>
      <c r="H5444">
        <v>1</v>
      </c>
      <c r="I5444">
        <v>0</v>
      </c>
      <c r="J5444">
        <v>0.82938775510204099</v>
      </c>
      <c r="K5444">
        <v>0.99593495934959397</v>
      </c>
      <c r="L5444">
        <v>0.90506325662063003</v>
      </c>
      <c r="M5444">
        <v>0.60975609756097604</v>
      </c>
      <c r="N5444">
        <v>1</v>
      </c>
      <c r="O5444">
        <v>0.73577235772357696</v>
      </c>
      <c r="P5444" t="s">
        <v>7381</v>
      </c>
      <c r="Q5444" t="s">
        <v>7382</v>
      </c>
      <c r="R5444" t="s">
        <v>869</v>
      </c>
      <c r="S5444" t="s">
        <v>870</v>
      </c>
      <c r="T5444" t="s">
        <v>11238</v>
      </c>
      <c r="U5444" t="s">
        <v>11239</v>
      </c>
      <c r="V5444" t="s">
        <v>7385</v>
      </c>
      <c r="W5444" t="s">
        <v>7386</v>
      </c>
      <c r="AD5444" t="s">
        <v>439</v>
      </c>
      <c r="AE5444" t="s">
        <v>4527</v>
      </c>
      <c r="AF5444" t="s">
        <v>11242</v>
      </c>
    </row>
    <row r="5445" spans="1:32" s="1" customFormat="1" hidden="1" x14ac:dyDescent="0.35">
      <c r="A5445" s="1">
        <v>5444</v>
      </c>
      <c r="B5445" s="1" t="s">
        <v>11243</v>
      </c>
      <c r="C5445" s="1" t="s">
        <v>16073</v>
      </c>
      <c r="D5445" s="1" t="s">
        <v>60</v>
      </c>
      <c r="E5445" s="1">
        <v>1483</v>
      </c>
      <c r="F5445" s="1">
        <v>4</v>
      </c>
      <c r="G5445" s="1">
        <v>4</v>
      </c>
      <c r="H5445" s="1">
        <v>1</v>
      </c>
      <c r="I5445" s="1">
        <v>0</v>
      </c>
      <c r="J5445" s="1">
        <v>0.84843318720571503</v>
      </c>
      <c r="K5445" s="1">
        <v>0.97640785272739095</v>
      </c>
      <c r="L5445" s="1">
        <v>0.90793313869415904</v>
      </c>
      <c r="M5445" s="1">
        <v>0.68473609129814506</v>
      </c>
      <c r="N5445" s="1">
        <v>1</v>
      </c>
      <c r="O5445" s="1">
        <v>0.78911079410366103</v>
      </c>
      <c r="P5445" s="1" t="s">
        <v>11244</v>
      </c>
      <c r="Q5445" s="1" t="s">
        <v>11245</v>
      </c>
      <c r="R5445" s="1" t="s">
        <v>11246</v>
      </c>
      <c r="S5445" s="1" t="s">
        <v>11247</v>
      </c>
      <c r="T5445" s="1" t="s">
        <v>11248</v>
      </c>
      <c r="U5445" s="1" t="s">
        <v>11249</v>
      </c>
      <c r="V5445" s="1" t="s">
        <v>11250</v>
      </c>
      <c r="W5445" s="1" t="s">
        <v>11251</v>
      </c>
      <c r="AD5445" s="1" t="s">
        <v>10157</v>
      </c>
      <c r="AE5445" s="1" t="s">
        <v>11252</v>
      </c>
      <c r="AF5445" s="1" t="s">
        <v>11253</v>
      </c>
    </row>
    <row r="5446" spans="1:32" s="1" customFormat="1" hidden="1" x14ac:dyDescent="0.35">
      <c r="A5446" s="1">
        <v>5445</v>
      </c>
      <c r="B5446" s="1" t="s">
        <v>11243</v>
      </c>
      <c r="C5446" s="1" t="s">
        <v>16073</v>
      </c>
      <c r="D5446" s="1" t="s">
        <v>62</v>
      </c>
      <c r="E5446" s="1">
        <v>1518</v>
      </c>
      <c r="F5446" s="1">
        <v>4</v>
      </c>
      <c r="G5446" s="1">
        <v>4</v>
      </c>
      <c r="H5446" s="1">
        <v>1</v>
      </c>
      <c r="I5446" s="1">
        <v>0</v>
      </c>
      <c r="J5446" s="1">
        <v>0.84843318720571503</v>
      </c>
      <c r="K5446" s="1">
        <v>0.97640785272739095</v>
      </c>
      <c r="L5446" s="1">
        <v>0.90793313869415904</v>
      </c>
      <c r="M5446" s="1">
        <v>0.68473609129814506</v>
      </c>
      <c r="N5446" s="1">
        <v>1</v>
      </c>
      <c r="O5446" s="1">
        <v>0.78911079410366103</v>
      </c>
      <c r="P5446" s="1" t="s">
        <v>11244</v>
      </c>
      <c r="Q5446" s="1" t="s">
        <v>11245</v>
      </c>
      <c r="R5446" s="1" t="s">
        <v>11246</v>
      </c>
      <c r="S5446" s="1" t="s">
        <v>11247</v>
      </c>
      <c r="T5446" s="1" t="s">
        <v>11248</v>
      </c>
      <c r="U5446" s="1" t="s">
        <v>11249</v>
      </c>
      <c r="V5446" s="1" t="s">
        <v>11250</v>
      </c>
      <c r="W5446" s="1" t="s">
        <v>11251</v>
      </c>
      <c r="AD5446" s="1" t="s">
        <v>10157</v>
      </c>
      <c r="AE5446" s="1" t="s">
        <v>11252</v>
      </c>
      <c r="AF5446" s="1" t="s">
        <v>11253</v>
      </c>
    </row>
    <row r="5447" spans="1:32" s="1" customFormat="1" hidden="1" x14ac:dyDescent="0.35">
      <c r="A5447" s="1">
        <v>5446</v>
      </c>
      <c r="B5447" s="1" t="s">
        <v>11243</v>
      </c>
      <c r="C5447" s="1" t="s">
        <v>16073</v>
      </c>
      <c r="D5447" s="1" t="s">
        <v>34</v>
      </c>
      <c r="E5447" s="1">
        <v>1909</v>
      </c>
      <c r="F5447" s="1">
        <v>4</v>
      </c>
      <c r="G5447" s="1">
        <v>4</v>
      </c>
      <c r="H5447" s="1">
        <v>1</v>
      </c>
      <c r="I5447" s="1">
        <v>0</v>
      </c>
      <c r="J5447" s="1">
        <v>0.84843318720571503</v>
      </c>
      <c r="K5447" s="1">
        <v>0.97640785272739095</v>
      </c>
      <c r="L5447" s="1">
        <v>0.90793313869415904</v>
      </c>
      <c r="M5447" s="1">
        <v>0.68473609129814506</v>
      </c>
      <c r="N5447" s="1">
        <v>1</v>
      </c>
      <c r="O5447" s="1">
        <v>0.78911079410366103</v>
      </c>
      <c r="P5447" s="1" t="s">
        <v>11244</v>
      </c>
      <c r="Q5447" s="1" t="s">
        <v>11245</v>
      </c>
      <c r="R5447" s="1" t="s">
        <v>11246</v>
      </c>
      <c r="S5447" s="1" t="s">
        <v>11247</v>
      </c>
      <c r="T5447" s="1" t="s">
        <v>11248</v>
      </c>
      <c r="U5447" s="1" t="s">
        <v>11249</v>
      </c>
      <c r="V5447" s="1" t="s">
        <v>11250</v>
      </c>
      <c r="W5447" s="1" t="s">
        <v>11251</v>
      </c>
      <c r="AD5447" s="1" t="s">
        <v>10157</v>
      </c>
      <c r="AE5447" s="1" t="s">
        <v>11252</v>
      </c>
      <c r="AF5447" s="1" t="s">
        <v>11254</v>
      </c>
    </row>
    <row r="5448" spans="1:32" s="1" customFormat="1" hidden="1" x14ac:dyDescent="0.35">
      <c r="A5448" s="1">
        <v>5447</v>
      </c>
      <c r="B5448" s="1" t="s">
        <v>11243</v>
      </c>
      <c r="C5448" s="1" t="s">
        <v>16073</v>
      </c>
      <c r="D5448" s="1" t="s">
        <v>45</v>
      </c>
      <c r="E5448" s="1">
        <v>965</v>
      </c>
      <c r="F5448" s="1">
        <v>4</v>
      </c>
      <c r="G5448" s="1">
        <v>4</v>
      </c>
      <c r="H5448" s="1">
        <v>1</v>
      </c>
      <c r="I5448" s="1">
        <v>0</v>
      </c>
      <c r="J5448" s="1">
        <v>0.84843318720571503</v>
      </c>
      <c r="K5448" s="1">
        <v>0.97640785272739095</v>
      </c>
      <c r="L5448" s="1">
        <v>0.90793313869415904</v>
      </c>
      <c r="M5448" s="1">
        <v>0.68473609129814506</v>
      </c>
      <c r="N5448" s="1">
        <v>1</v>
      </c>
      <c r="O5448" s="1">
        <v>0.78911079410366103</v>
      </c>
      <c r="P5448" s="1" t="s">
        <v>11244</v>
      </c>
      <c r="Q5448" s="1" t="s">
        <v>11245</v>
      </c>
      <c r="R5448" s="1" t="s">
        <v>11246</v>
      </c>
      <c r="S5448" s="1" t="s">
        <v>11247</v>
      </c>
      <c r="T5448" s="1" t="s">
        <v>11248</v>
      </c>
      <c r="U5448" s="1" t="s">
        <v>11249</v>
      </c>
      <c r="V5448" s="1" t="s">
        <v>11250</v>
      </c>
      <c r="W5448" s="1" t="s">
        <v>11251</v>
      </c>
      <c r="AD5448" s="1" t="s">
        <v>10157</v>
      </c>
      <c r="AE5448" s="1" t="s">
        <v>11252</v>
      </c>
      <c r="AF5448" s="1" t="s">
        <v>11255</v>
      </c>
    </row>
    <row r="5449" spans="1:32" hidden="1" x14ac:dyDescent="0.35">
      <c r="A5449">
        <v>5448</v>
      </c>
      <c r="B5449" t="s">
        <v>11256</v>
      </c>
      <c r="C5449" t="s">
        <v>16073</v>
      </c>
      <c r="D5449" t="s">
        <v>60</v>
      </c>
      <c r="E5449">
        <v>155</v>
      </c>
      <c r="F5449">
        <v>4</v>
      </c>
      <c r="G5449">
        <v>4</v>
      </c>
      <c r="H5449">
        <v>1</v>
      </c>
      <c r="I5449">
        <v>0</v>
      </c>
      <c r="J5449">
        <v>0.77597031963470298</v>
      </c>
      <c r="K5449">
        <v>0.91857855729766502</v>
      </c>
      <c r="L5449">
        <v>0.84127369404205399</v>
      </c>
      <c r="M5449">
        <v>0.48826291079812201</v>
      </c>
      <c r="N5449">
        <v>1</v>
      </c>
      <c r="O5449">
        <v>0.65805946791862302</v>
      </c>
      <c r="P5449" t="s">
        <v>11257</v>
      </c>
      <c r="Q5449" t="s">
        <v>11258</v>
      </c>
      <c r="T5449" t="s">
        <v>11259</v>
      </c>
      <c r="U5449" t="s">
        <v>10841</v>
      </c>
      <c r="AD5449" t="s">
        <v>166</v>
      </c>
      <c r="AE5449" t="s">
        <v>8638</v>
      </c>
      <c r="AF5449" t="s">
        <v>11260</v>
      </c>
    </row>
    <row r="5450" spans="1:32" hidden="1" x14ac:dyDescent="0.35">
      <c r="A5450">
        <v>5449</v>
      </c>
      <c r="B5450" t="s">
        <v>11256</v>
      </c>
      <c r="C5450" t="s">
        <v>16073</v>
      </c>
      <c r="D5450" t="s">
        <v>62</v>
      </c>
      <c r="E5450">
        <v>231</v>
      </c>
      <c r="F5450">
        <v>4</v>
      </c>
      <c r="G5450">
        <v>4</v>
      </c>
      <c r="H5450">
        <v>1</v>
      </c>
      <c r="I5450">
        <v>0</v>
      </c>
      <c r="J5450">
        <v>0.77597031963470298</v>
      </c>
      <c r="K5450">
        <v>0.91857855729766502</v>
      </c>
      <c r="L5450">
        <v>0.84127369404205399</v>
      </c>
      <c r="M5450">
        <v>0.48826291079812201</v>
      </c>
      <c r="N5450">
        <v>1</v>
      </c>
      <c r="O5450">
        <v>0.65805946791862302</v>
      </c>
      <c r="P5450" t="s">
        <v>11257</v>
      </c>
      <c r="Q5450" t="s">
        <v>11258</v>
      </c>
      <c r="T5450" t="s">
        <v>11259</v>
      </c>
      <c r="U5450" t="s">
        <v>10841</v>
      </c>
      <c r="AD5450" t="s">
        <v>166</v>
      </c>
      <c r="AE5450" t="s">
        <v>8638</v>
      </c>
      <c r="AF5450" t="s">
        <v>11261</v>
      </c>
    </row>
    <row r="5451" spans="1:32" hidden="1" x14ac:dyDescent="0.35">
      <c r="A5451">
        <v>5450</v>
      </c>
      <c r="B5451" t="s">
        <v>11256</v>
      </c>
      <c r="C5451" t="s">
        <v>16073</v>
      </c>
      <c r="D5451" t="s">
        <v>34</v>
      </c>
      <c r="E5451">
        <v>1129</v>
      </c>
      <c r="F5451">
        <v>4</v>
      </c>
      <c r="G5451">
        <v>4</v>
      </c>
      <c r="H5451">
        <v>1</v>
      </c>
      <c r="I5451">
        <v>0</v>
      </c>
      <c r="J5451">
        <v>0.77597031963470298</v>
      </c>
      <c r="K5451">
        <v>0.91857855729766502</v>
      </c>
      <c r="L5451">
        <v>0.84127369404205399</v>
      </c>
      <c r="M5451">
        <v>0.48826291079812201</v>
      </c>
      <c r="N5451">
        <v>1</v>
      </c>
      <c r="O5451">
        <v>0.65805946791862302</v>
      </c>
      <c r="P5451" t="s">
        <v>11257</v>
      </c>
      <c r="Q5451" t="s">
        <v>11258</v>
      </c>
      <c r="T5451" t="s">
        <v>11259</v>
      </c>
      <c r="U5451" t="s">
        <v>10841</v>
      </c>
      <c r="AD5451" t="s">
        <v>166</v>
      </c>
      <c r="AE5451" t="s">
        <v>8638</v>
      </c>
      <c r="AF5451" t="e">
        <f>---------------------MGSPRNLVLIGVFCCVYFVVMFSGGMLGIFSPIMIMVGGIISTLINGIVIMLYLAKVPQFGSLTILGLITGLGMMLTGHVWYVVPTAIITGLIGDTIARSGNYQGKLTNPLAYAVFQLWSMALVAPIFINSDDYFADIEAQMKSAEYADTMRHVFTPTMILIWGVATFIVCLIAGFIGMRTLKKHFTRAGIV</f>
        <v>#NAME?</v>
      </c>
    </row>
    <row r="5452" spans="1:32" hidden="1" x14ac:dyDescent="0.35">
      <c r="A5452">
        <v>5451</v>
      </c>
      <c r="B5452" t="s">
        <v>11256</v>
      </c>
      <c r="C5452" t="s">
        <v>16073</v>
      </c>
      <c r="D5452" t="s">
        <v>45</v>
      </c>
      <c r="E5452">
        <v>2380</v>
      </c>
      <c r="F5452">
        <v>4</v>
      </c>
      <c r="G5452">
        <v>4</v>
      </c>
      <c r="H5452">
        <v>1</v>
      </c>
      <c r="I5452">
        <v>0</v>
      </c>
      <c r="J5452">
        <v>0.77597031963470298</v>
      </c>
      <c r="K5452">
        <v>0.91857855729766502</v>
      </c>
      <c r="L5452">
        <v>0.84127369404205399</v>
      </c>
      <c r="M5452">
        <v>0.48826291079812201</v>
      </c>
      <c r="N5452">
        <v>1</v>
      </c>
      <c r="O5452">
        <v>0.65805946791862302</v>
      </c>
      <c r="P5452" t="s">
        <v>11257</v>
      </c>
      <c r="Q5452" t="s">
        <v>11258</v>
      </c>
      <c r="T5452" t="s">
        <v>11259</v>
      </c>
      <c r="U5452" t="s">
        <v>10841</v>
      </c>
      <c r="AD5452" t="s">
        <v>166</v>
      </c>
      <c r="AE5452" t="s">
        <v>8638</v>
      </c>
      <c r="AF5452" t="e">
        <f>---------------------MGSPRNLVLIGVFCCVYFVVMFSGGMLGIFSPIMIMVGGIISTLINGIVIMLYLAKVPQFGSLTILGLITGLGMMLTGHVWYVVPTAIITGLIGDTIARSGNYQGKLTNPLAYAVFQLWSMALVAPIFINSDDYFADIEAQMKSAEYADTMRHVFTPTMILIWGVATFIVCLIAGFIGMRTLKKHFTRAGIV</f>
        <v>#NAME?</v>
      </c>
    </row>
    <row r="5453" spans="1:32" hidden="1" x14ac:dyDescent="0.35">
      <c r="A5453">
        <v>5452</v>
      </c>
      <c r="B5453" t="s">
        <v>11262</v>
      </c>
      <c r="C5453" t="s">
        <v>16073</v>
      </c>
      <c r="D5453" t="s">
        <v>60</v>
      </c>
      <c r="E5453">
        <v>1099</v>
      </c>
      <c r="F5453">
        <v>4</v>
      </c>
      <c r="G5453">
        <v>4</v>
      </c>
      <c r="H5453">
        <v>1</v>
      </c>
      <c r="I5453">
        <v>0</v>
      </c>
      <c r="J5453">
        <v>0.90385295157299395</v>
      </c>
      <c r="K5453">
        <v>0.99472573839662404</v>
      </c>
      <c r="L5453">
        <v>0.94711459620333405</v>
      </c>
      <c r="M5453">
        <v>0.80379746835443</v>
      </c>
      <c r="N5453">
        <v>0.987341772151899</v>
      </c>
      <c r="O5453">
        <v>0.87130801687763704</v>
      </c>
      <c r="P5453" t="s">
        <v>11263</v>
      </c>
      <c r="Q5453" t="s">
        <v>11264</v>
      </c>
      <c r="R5453" t="s">
        <v>869</v>
      </c>
      <c r="S5453" t="s">
        <v>870</v>
      </c>
      <c r="T5453" t="s">
        <v>11265</v>
      </c>
      <c r="U5453" t="s">
        <v>11266</v>
      </c>
      <c r="V5453" t="s">
        <v>11267</v>
      </c>
      <c r="W5453" t="s">
        <v>11268</v>
      </c>
      <c r="X5453" t="s">
        <v>11267</v>
      </c>
      <c r="Y5453" t="s">
        <v>2116</v>
      </c>
      <c r="Z5453" t="s">
        <v>5388</v>
      </c>
      <c r="AA5453" t="s">
        <v>5389</v>
      </c>
      <c r="AB5453" t="s">
        <v>5388</v>
      </c>
      <c r="AC5453" t="s">
        <v>1094</v>
      </c>
      <c r="AD5453" t="s">
        <v>245</v>
      </c>
      <c r="AE5453" t="s">
        <v>11269</v>
      </c>
      <c r="AF5453" t="s">
        <v>11270</v>
      </c>
    </row>
    <row r="5454" spans="1:32" hidden="1" x14ac:dyDescent="0.35">
      <c r="A5454">
        <v>5453</v>
      </c>
      <c r="B5454" t="s">
        <v>11262</v>
      </c>
      <c r="C5454" t="s">
        <v>16073</v>
      </c>
      <c r="D5454" t="s">
        <v>62</v>
      </c>
      <c r="E5454">
        <v>1135</v>
      </c>
      <c r="F5454">
        <v>4</v>
      </c>
      <c r="G5454">
        <v>4</v>
      </c>
      <c r="H5454">
        <v>1</v>
      </c>
      <c r="I5454">
        <v>0</v>
      </c>
      <c r="J5454">
        <v>0.90385295157299395</v>
      </c>
      <c r="K5454">
        <v>0.99472573839662404</v>
      </c>
      <c r="L5454">
        <v>0.94711459620333405</v>
      </c>
      <c r="M5454">
        <v>0.80379746835443</v>
      </c>
      <c r="N5454">
        <v>0.987341772151899</v>
      </c>
      <c r="O5454">
        <v>0.87130801687763704</v>
      </c>
      <c r="P5454" t="s">
        <v>11263</v>
      </c>
      <c r="Q5454" t="s">
        <v>11264</v>
      </c>
      <c r="R5454" t="s">
        <v>869</v>
      </c>
      <c r="S5454" t="s">
        <v>870</v>
      </c>
      <c r="T5454" t="s">
        <v>11265</v>
      </c>
      <c r="U5454" t="s">
        <v>11266</v>
      </c>
      <c r="V5454" t="s">
        <v>11267</v>
      </c>
      <c r="W5454" t="s">
        <v>11268</v>
      </c>
      <c r="X5454" t="s">
        <v>11267</v>
      </c>
      <c r="Y5454" t="s">
        <v>2116</v>
      </c>
      <c r="Z5454" t="s">
        <v>5388</v>
      </c>
      <c r="AA5454" t="s">
        <v>5389</v>
      </c>
      <c r="AB5454" t="s">
        <v>5388</v>
      </c>
      <c r="AC5454" t="s">
        <v>1094</v>
      </c>
      <c r="AD5454" t="s">
        <v>245</v>
      </c>
      <c r="AE5454" t="s">
        <v>11269</v>
      </c>
      <c r="AF5454" t="s">
        <v>11271</v>
      </c>
    </row>
    <row r="5455" spans="1:32" hidden="1" x14ac:dyDescent="0.35">
      <c r="A5455">
        <v>5454</v>
      </c>
      <c r="B5455" t="s">
        <v>11262</v>
      </c>
      <c r="C5455" t="s">
        <v>16073</v>
      </c>
      <c r="D5455" t="s">
        <v>34</v>
      </c>
      <c r="E5455">
        <v>150</v>
      </c>
      <c r="F5455">
        <v>4</v>
      </c>
      <c r="G5455">
        <v>4</v>
      </c>
      <c r="H5455">
        <v>1</v>
      </c>
      <c r="I5455">
        <v>0</v>
      </c>
      <c r="J5455">
        <v>0.90385295157299395</v>
      </c>
      <c r="K5455">
        <v>0.99472573839662404</v>
      </c>
      <c r="L5455">
        <v>0.94711459620333405</v>
      </c>
      <c r="M5455">
        <v>0.80379746835443</v>
      </c>
      <c r="N5455">
        <v>0.987341772151899</v>
      </c>
      <c r="O5455">
        <v>0.87130801687763704</v>
      </c>
      <c r="P5455" t="s">
        <v>11263</v>
      </c>
      <c r="Q5455" t="s">
        <v>11264</v>
      </c>
      <c r="R5455" t="s">
        <v>869</v>
      </c>
      <c r="S5455" t="s">
        <v>870</v>
      </c>
      <c r="T5455" t="s">
        <v>11265</v>
      </c>
      <c r="U5455" t="s">
        <v>11266</v>
      </c>
      <c r="V5455" t="s">
        <v>11267</v>
      </c>
      <c r="W5455" t="s">
        <v>11268</v>
      </c>
      <c r="X5455" t="s">
        <v>11267</v>
      </c>
      <c r="Y5455" t="s">
        <v>2116</v>
      </c>
      <c r="Z5455" t="s">
        <v>5388</v>
      </c>
      <c r="AA5455" t="s">
        <v>5389</v>
      </c>
      <c r="AB5455" t="s">
        <v>5388</v>
      </c>
      <c r="AC5455" t="s">
        <v>1094</v>
      </c>
      <c r="AD5455" t="s">
        <v>245</v>
      </c>
      <c r="AE5455" t="s">
        <v>11269</v>
      </c>
      <c r="AF5455" t="s">
        <v>11272</v>
      </c>
    </row>
    <row r="5456" spans="1:32" hidden="1" x14ac:dyDescent="0.35">
      <c r="A5456">
        <v>5455</v>
      </c>
      <c r="B5456" t="s">
        <v>11262</v>
      </c>
      <c r="C5456" t="s">
        <v>57</v>
      </c>
      <c r="D5456" t="s">
        <v>45</v>
      </c>
      <c r="E5456">
        <v>1411</v>
      </c>
      <c r="F5456">
        <v>4</v>
      </c>
      <c r="G5456">
        <v>4</v>
      </c>
      <c r="H5456">
        <v>1</v>
      </c>
      <c r="I5456">
        <v>0</v>
      </c>
      <c r="J5456">
        <v>0.90385295157299395</v>
      </c>
      <c r="K5456">
        <v>0.99472573839662404</v>
      </c>
      <c r="L5456">
        <v>0.94711459620333405</v>
      </c>
      <c r="M5456">
        <v>0.80379746835443</v>
      </c>
      <c r="N5456">
        <v>0.987341772151899</v>
      </c>
      <c r="O5456">
        <v>0.87130801687763704</v>
      </c>
      <c r="P5456" t="s">
        <v>11263</v>
      </c>
      <c r="Q5456" t="s">
        <v>11264</v>
      </c>
      <c r="R5456" t="s">
        <v>869</v>
      </c>
      <c r="S5456" t="s">
        <v>870</v>
      </c>
      <c r="T5456" t="s">
        <v>11265</v>
      </c>
      <c r="U5456" t="s">
        <v>11266</v>
      </c>
      <c r="V5456" t="s">
        <v>11267</v>
      </c>
      <c r="W5456" t="s">
        <v>11268</v>
      </c>
      <c r="X5456" t="s">
        <v>11267</v>
      </c>
      <c r="Y5456" t="s">
        <v>2116</v>
      </c>
      <c r="Z5456" t="s">
        <v>5388</v>
      </c>
      <c r="AA5456" t="s">
        <v>5389</v>
      </c>
      <c r="AB5456" t="s">
        <v>5388</v>
      </c>
      <c r="AC5456" t="s">
        <v>1094</v>
      </c>
      <c r="AD5456" t="s">
        <v>245</v>
      </c>
      <c r="AE5456" t="s">
        <v>11269</v>
      </c>
      <c r="AF5456" t="s">
        <v>11273</v>
      </c>
    </row>
    <row r="5457" spans="1:32" s="1" customFormat="1" hidden="1" x14ac:dyDescent="0.35">
      <c r="A5457" s="1">
        <v>5456</v>
      </c>
      <c r="B5457" s="1" t="s">
        <v>11274</v>
      </c>
      <c r="C5457" s="1" t="s">
        <v>57</v>
      </c>
      <c r="D5457" s="1" t="s">
        <v>60</v>
      </c>
      <c r="E5457" s="1">
        <v>789</v>
      </c>
      <c r="F5457" s="1">
        <v>2</v>
      </c>
      <c r="G5457" s="1">
        <v>4</v>
      </c>
      <c r="H5457" s="1">
        <v>2</v>
      </c>
      <c r="I5457" s="1">
        <v>0</v>
      </c>
      <c r="J5457" s="1">
        <v>0.86017316017316003</v>
      </c>
      <c r="K5457" s="1">
        <v>0.68682442302073998</v>
      </c>
      <c r="L5457" s="1">
        <v>0.76378649954207201</v>
      </c>
      <c r="M5457" s="1">
        <v>0.27959183673469401</v>
      </c>
      <c r="N5457" s="1">
        <v>0.99591836734693895</v>
      </c>
      <c r="O5457" s="1">
        <v>0.51768707482993204</v>
      </c>
      <c r="P5457" s="1" t="s">
        <v>11275</v>
      </c>
      <c r="Q5457" s="1" t="s">
        <v>11276</v>
      </c>
      <c r="R5457" s="1" t="s">
        <v>11277</v>
      </c>
      <c r="S5457" s="1" t="s">
        <v>11278</v>
      </c>
      <c r="T5457" s="1" t="s">
        <v>11279</v>
      </c>
      <c r="U5457" s="1" t="s">
        <v>11280</v>
      </c>
      <c r="V5457" s="1" t="s">
        <v>11281</v>
      </c>
      <c r="W5457" s="1" t="s">
        <v>11282</v>
      </c>
      <c r="AD5457" s="1" t="s">
        <v>410</v>
      </c>
      <c r="AE5457" s="1" t="s">
        <v>11283</v>
      </c>
      <c r="AF5457" s="1" t="s">
        <v>11284</v>
      </c>
    </row>
    <row r="5458" spans="1:32" s="1" customFormat="1" hidden="1" x14ac:dyDescent="0.35">
      <c r="A5458" s="1">
        <v>5457</v>
      </c>
      <c r="B5458" s="1" t="s">
        <v>11274</v>
      </c>
      <c r="C5458" s="1" t="s">
        <v>57</v>
      </c>
      <c r="D5458" s="1" t="s">
        <v>60</v>
      </c>
      <c r="E5458" s="1">
        <v>1730</v>
      </c>
      <c r="F5458" s="1">
        <v>2</v>
      </c>
      <c r="G5458" s="1">
        <v>4</v>
      </c>
      <c r="H5458" s="1">
        <v>2</v>
      </c>
      <c r="I5458" s="1">
        <v>0</v>
      </c>
      <c r="J5458" s="1">
        <v>0.86017316017316003</v>
      </c>
      <c r="K5458" s="1">
        <v>0.68682442302073998</v>
      </c>
      <c r="L5458" s="1">
        <v>0.76378649954207201</v>
      </c>
      <c r="M5458" s="1">
        <v>0.27959183673469401</v>
      </c>
      <c r="N5458" s="1">
        <v>0.99591836734693895</v>
      </c>
      <c r="O5458" s="1">
        <v>0.51768707482993204</v>
      </c>
      <c r="P5458" s="1" t="s">
        <v>11275</v>
      </c>
      <c r="Q5458" s="1" t="s">
        <v>11276</v>
      </c>
      <c r="R5458" s="1" t="s">
        <v>11277</v>
      </c>
      <c r="S5458" s="1" t="s">
        <v>11278</v>
      </c>
      <c r="T5458" s="1" t="s">
        <v>11279</v>
      </c>
      <c r="U5458" s="1" t="s">
        <v>11280</v>
      </c>
      <c r="V5458" s="1" t="s">
        <v>11281</v>
      </c>
      <c r="W5458" s="1" t="s">
        <v>11282</v>
      </c>
      <c r="AD5458" s="1" t="s">
        <v>410</v>
      </c>
      <c r="AE5458" s="1" t="s">
        <v>11283</v>
      </c>
      <c r="AF5458" s="1" t="s">
        <v>11285</v>
      </c>
    </row>
    <row r="5459" spans="1:32" s="1" customFormat="1" hidden="1" x14ac:dyDescent="0.35">
      <c r="A5459" s="1">
        <v>5458</v>
      </c>
      <c r="B5459" s="1" t="s">
        <v>11274</v>
      </c>
      <c r="C5459" s="1" t="s">
        <v>57</v>
      </c>
      <c r="D5459" s="1" t="s">
        <v>62</v>
      </c>
      <c r="E5459" s="1">
        <v>822</v>
      </c>
      <c r="F5459" s="1">
        <v>2</v>
      </c>
      <c r="G5459" s="1">
        <v>4</v>
      </c>
      <c r="H5459" s="1">
        <v>2</v>
      </c>
      <c r="I5459" s="1">
        <v>0</v>
      </c>
      <c r="J5459" s="1">
        <v>0.86017316017316003</v>
      </c>
      <c r="K5459" s="1">
        <v>0.68682442302073998</v>
      </c>
      <c r="L5459" s="1">
        <v>0.76378649954207201</v>
      </c>
      <c r="M5459" s="1">
        <v>0.27959183673469401</v>
      </c>
      <c r="N5459" s="1">
        <v>0.99591836734693895</v>
      </c>
      <c r="O5459" s="1">
        <v>0.51768707482993204</v>
      </c>
      <c r="P5459" s="1" t="s">
        <v>11275</v>
      </c>
      <c r="Q5459" s="1" t="s">
        <v>11276</v>
      </c>
      <c r="R5459" s="1" t="s">
        <v>11277</v>
      </c>
      <c r="S5459" s="1" t="s">
        <v>11278</v>
      </c>
      <c r="T5459" s="1" t="s">
        <v>11279</v>
      </c>
      <c r="U5459" s="1" t="s">
        <v>11280</v>
      </c>
      <c r="V5459" s="1" t="s">
        <v>11281</v>
      </c>
      <c r="W5459" s="1" t="s">
        <v>11282</v>
      </c>
      <c r="AD5459" s="1" t="s">
        <v>410</v>
      </c>
      <c r="AE5459" s="1" t="s">
        <v>11283</v>
      </c>
      <c r="AF5459" s="1" t="s">
        <v>11286</v>
      </c>
    </row>
    <row r="5460" spans="1:32" s="1" customFormat="1" hidden="1" x14ac:dyDescent="0.35">
      <c r="A5460" s="1">
        <v>5459</v>
      </c>
      <c r="B5460" s="1" t="s">
        <v>11274</v>
      </c>
      <c r="C5460" s="1" t="s">
        <v>57</v>
      </c>
      <c r="D5460" s="1" t="s">
        <v>62</v>
      </c>
      <c r="E5460" s="1">
        <v>1767</v>
      </c>
      <c r="F5460" s="1">
        <v>2</v>
      </c>
      <c r="G5460" s="1">
        <v>4</v>
      </c>
      <c r="H5460" s="1">
        <v>2</v>
      </c>
      <c r="I5460" s="1">
        <v>0</v>
      </c>
      <c r="J5460" s="1">
        <v>0.86017316017316003</v>
      </c>
      <c r="K5460" s="1">
        <v>0.68682442302073998</v>
      </c>
      <c r="L5460" s="1">
        <v>0.76378649954207201</v>
      </c>
      <c r="M5460" s="1">
        <v>0.27959183673469401</v>
      </c>
      <c r="N5460" s="1">
        <v>0.99591836734693895</v>
      </c>
      <c r="O5460" s="1">
        <v>0.51768707482993204</v>
      </c>
      <c r="P5460" s="1" t="s">
        <v>11275</v>
      </c>
      <c r="Q5460" s="1" t="s">
        <v>11276</v>
      </c>
      <c r="R5460" s="1" t="s">
        <v>11277</v>
      </c>
      <c r="S5460" s="1" t="s">
        <v>11278</v>
      </c>
      <c r="T5460" s="1" t="s">
        <v>11279</v>
      </c>
      <c r="U5460" s="1" t="s">
        <v>11280</v>
      </c>
      <c r="V5460" s="1" t="s">
        <v>11281</v>
      </c>
      <c r="W5460" s="1" t="s">
        <v>11282</v>
      </c>
      <c r="AD5460" s="1" t="s">
        <v>410</v>
      </c>
      <c r="AE5460" s="1" t="s">
        <v>11283</v>
      </c>
      <c r="AF5460" s="1" t="s">
        <v>11287</v>
      </c>
    </row>
    <row r="5461" spans="1:32" hidden="1" x14ac:dyDescent="0.35">
      <c r="A5461">
        <v>5460</v>
      </c>
      <c r="B5461" t="s">
        <v>11288</v>
      </c>
      <c r="C5461" t="s">
        <v>57</v>
      </c>
      <c r="D5461" t="s">
        <v>60</v>
      </c>
      <c r="E5461">
        <v>821</v>
      </c>
      <c r="F5461">
        <v>4</v>
      </c>
      <c r="G5461">
        <v>4</v>
      </c>
      <c r="H5461">
        <v>1</v>
      </c>
      <c r="I5461">
        <v>0</v>
      </c>
      <c r="J5461">
        <v>0.94172839506172801</v>
      </c>
      <c r="K5461">
        <v>1</v>
      </c>
      <c r="L5461">
        <v>0.96998982706002002</v>
      </c>
      <c r="M5461">
        <v>0.90666666666666695</v>
      </c>
      <c r="N5461">
        <v>0.97333333333333305</v>
      </c>
      <c r="O5461">
        <v>0.92592592592592604</v>
      </c>
      <c r="P5461" t="s">
        <v>169</v>
      </c>
      <c r="Q5461" t="s">
        <v>170</v>
      </c>
      <c r="R5461" t="s">
        <v>138</v>
      </c>
      <c r="S5461" t="s">
        <v>139</v>
      </c>
      <c r="V5461" t="s">
        <v>3693</v>
      </c>
      <c r="W5461" t="s">
        <v>3694</v>
      </c>
      <c r="AF5461" t="s">
        <v>11289</v>
      </c>
    </row>
    <row r="5462" spans="1:32" hidden="1" x14ac:dyDescent="0.35">
      <c r="A5462">
        <v>5461</v>
      </c>
      <c r="B5462" t="s">
        <v>11288</v>
      </c>
      <c r="C5462" t="s">
        <v>57</v>
      </c>
      <c r="D5462" t="s">
        <v>62</v>
      </c>
      <c r="E5462">
        <v>854</v>
      </c>
      <c r="F5462">
        <v>4</v>
      </c>
      <c r="G5462">
        <v>4</v>
      </c>
      <c r="H5462">
        <v>1</v>
      </c>
      <c r="I5462">
        <v>0</v>
      </c>
      <c r="J5462">
        <v>0.94172839506172801</v>
      </c>
      <c r="K5462">
        <v>1</v>
      </c>
      <c r="L5462">
        <v>0.96998982706002002</v>
      </c>
      <c r="M5462">
        <v>0.90666666666666695</v>
      </c>
      <c r="N5462">
        <v>0.97333333333333305</v>
      </c>
      <c r="O5462">
        <v>0.92592592592592604</v>
      </c>
      <c r="P5462" t="s">
        <v>169</v>
      </c>
      <c r="Q5462" t="s">
        <v>170</v>
      </c>
      <c r="R5462" t="s">
        <v>138</v>
      </c>
      <c r="S5462" t="s">
        <v>139</v>
      </c>
      <c r="V5462" t="s">
        <v>3693</v>
      </c>
      <c r="W5462" t="s">
        <v>3694</v>
      </c>
      <c r="AF5462" t="s">
        <v>11290</v>
      </c>
    </row>
    <row r="5463" spans="1:32" hidden="1" x14ac:dyDescent="0.35">
      <c r="A5463">
        <v>5462</v>
      </c>
      <c r="B5463" t="s">
        <v>11288</v>
      </c>
      <c r="C5463" t="s">
        <v>57</v>
      </c>
      <c r="D5463" t="s">
        <v>34</v>
      </c>
      <c r="E5463">
        <v>1645</v>
      </c>
      <c r="F5463">
        <v>4</v>
      </c>
      <c r="G5463">
        <v>4</v>
      </c>
      <c r="H5463">
        <v>1</v>
      </c>
      <c r="I5463">
        <v>0</v>
      </c>
      <c r="J5463">
        <v>0.94172839506172801</v>
      </c>
      <c r="K5463">
        <v>1</v>
      </c>
      <c r="L5463">
        <v>0.96998982706002002</v>
      </c>
      <c r="M5463">
        <v>0.90666666666666695</v>
      </c>
      <c r="N5463">
        <v>0.97333333333333305</v>
      </c>
      <c r="O5463">
        <v>0.92592592592592604</v>
      </c>
      <c r="P5463" t="s">
        <v>169</v>
      </c>
      <c r="Q5463" t="s">
        <v>170</v>
      </c>
      <c r="R5463" t="s">
        <v>138</v>
      </c>
      <c r="S5463" t="s">
        <v>139</v>
      </c>
      <c r="V5463" t="s">
        <v>3693</v>
      </c>
      <c r="W5463" t="s">
        <v>3694</v>
      </c>
      <c r="AF5463" t="s">
        <v>11291</v>
      </c>
    </row>
    <row r="5464" spans="1:32" hidden="1" x14ac:dyDescent="0.35">
      <c r="A5464">
        <v>5463</v>
      </c>
      <c r="B5464" t="s">
        <v>11288</v>
      </c>
      <c r="C5464" t="s">
        <v>57</v>
      </c>
      <c r="D5464" t="s">
        <v>45</v>
      </c>
      <c r="E5464">
        <v>392</v>
      </c>
      <c r="F5464">
        <v>4</v>
      </c>
      <c r="G5464">
        <v>4</v>
      </c>
      <c r="H5464">
        <v>1</v>
      </c>
      <c r="I5464">
        <v>0</v>
      </c>
      <c r="J5464">
        <v>0.94172839506172801</v>
      </c>
      <c r="K5464">
        <v>1</v>
      </c>
      <c r="L5464">
        <v>0.96998982706002002</v>
      </c>
      <c r="M5464">
        <v>0.90666666666666695</v>
      </c>
      <c r="N5464">
        <v>0.97333333333333305</v>
      </c>
      <c r="O5464">
        <v>0.92592592592592604</v>
      </c>
      <c r="P5464" t="s">
        <v>169</v>
      </c>
      <c r="Q5464" t="s">
        <v>170</v>
      </c>
      <c r="R5464" t="s">
        <v>138</v>
      </c>
      <c r="S5464" t="s">
        <v>139</v>
      </c>
      <c r="V5464" t="s">
        <v>3693</v>
      </c>
      <c r="W5464" t="s">
        <v>3694</v>
      </c>
      <c r="AF5464" t="s">
        <v>11292</v>
      </c>
    </row>
    <row r="5465" spans="1:32" hidden="1" x14ac:dyDescent="0.35">
      <c r="A5465">
        <v>5464</v>
      </c>
      <c r="B5465" t="s">
        <v>11293</v>
      </c>
      <c r="C5465" t="s">
        <v>57</v>
      </c>
      <c r="D5465" t="s">
        <v>60</v>
      </c>
      <c r="E5465">
        <v>1256</v>
      </c>
      <c r="F5465">
        <v>4</v>
      </c>
      <c r="G5465">
        <v>4</v>
      </c>
      <c r="H5465">
        <v>1</v>
      </c>
      <c r="I5465">
        <v>0</v>
      </c>
      <c r="J5465">
        <v>0.79618001046572495</v>
      </c>
      <c r="K5465">
        <v>0.91248792536345902</v>
      </c>
      <c r="L5465">
        <v>0.85037546586039003</v>
      </c>
      <c r="M5465">
        <v>0.49572649572649602</v>
      </c>
      <c r="N5465">
        <v>0.99145299145299104</v>
      </c>
      <c r="O5465">
        <v>0.66310541310541304</v>
      </c>
      <c r="P5465" t="s">
        <v>10582</v>
      </c>
      <c r="Q5465" t="s">
        <v>10583</v>
      </c>
      <c r="R5465" t="s">
        <v>1259</v>
      </c>
      <c r="S5465" t="s">
        <v>1260</v>
      </c>
      <c r="V5465" t="s">
        <v>11294</v>
      </c>
      <c r="W5465" t="s">
        <v>11295</v>
      </c>
      <c r="AF5465" t="e">
        <f>------------------------MKQLGIVAVLLTFVGVVFIIDVPSIHLLRSWSAAAGPWFAVVFFVLYVLITQLPLPRTIMTFSSGLLFGPVVGIVIALGATTVSAALSLLIVRFLLGDWMRPRLTHPAVSGINERLRTRGWLAIMSLRMIAAVPFSVLNYAAALSAVPVGAFTIATLLGSAPGTMATVLLGDAATGTGNPAILLVSLMLFVFGMSGLAVDSRLPIRRDVA</f>
        <v>#NAME?</v>
      </c>
    </row>
    <row r="5466" spans="1:32" hidden="1" x14ac:dyDescent="0.35">
      <c r="A5466">
        <v>5465</v>
      </c>
      <c r="B5466" t="s">
        <v>11293</v>
      </c>
      <c r="C5466" t="s">
        <v>57</v>
      </c>
      <c r="D5466" t="s">
        <v>62</v>
      </c>
      <c r="E5466">
        <v>1293</v>
      </c>
      <c r="F5466">
        <v>4</v>
      </c>
      <c r="G5466">
        <v>4</v>
      </c>
      <c r="H5466">
        <v>1</v>
      </c>
      <c r="I5466">
        <v>0</v>
      </c>
      <c r="J5466">
        <v>0.79618001046572495</v>
      </c>
      <c r="K5466">
        <v>0.91248792536345902</v>
      </c>
      <c r="L5466">
        <v>0.85037546586039003</v>
      </c>
      <c r="M5466">
        <v>0.49572649572649602</v>
      </c>
      <c r="N5466">
        <v>0.99145299145299104</v>
      </c>
      <c r="O5466">
        <v>0.66310541310541304</v>
      </c>
      <c r="P5466" t="s">
        <v>10582</v>
      </c>
      <c r="Q5466" t="s">
        <v>10583</v>
      </c>
      <c r="R5466" t="s">
        <v>1259</v>
      </c>
      <c r="S5466" t="s">
        <v>1260</v>
      </c>
      <c r="V5466" t="s">
        <v>11294</v>
      </c>
      <c r="W5466" t="s">
        <v>11295</v>
      </c>
      <c r="AF5466" t="e">
        <f>------------------------MKQLGIVAVLLTFVGVVFIIDVPSIHLLRSWSAAAGPWFAVVFFVLYVLITQLPLPRTIMTFSSGLLFGPVVGIVIALGATTVSAALSLLIVRFLLGDWMRPRLTHPAVSGINERLRTRGWLAIMSLRMIAAVPFSVLNYAAALSAVPVGAFTMATLLGSAPGTMATVLLGDAATGTGNPAILLVSLMLFVFGMSGLAVDSRLPTRRDVA</f>
        <v>#NAME?</v>
      </c>
    </row>
    <row r="5467" spans="1:32" hidden="1" x14ac:dyDescent="0.35">
      <c r="A5467">
        <v>5466</v>
      </c>
      <c r="B5467" t="s">
        <v>11293</v>
      </c>
      <c r="C5467" t="s">
        <v>57</v>
      </c>
      <c r="D5467" t="s">
        <v>34</v>
      </c>
      <c r="E5467">
        <v>1749</v>
      </c>
      <c r="F5467">
        <v>4</v>
      </c>
      <c r="G5467">
        <v>4</v>
      </c>
      <c r="H5467">
        <v>1</v>
      </c>
      <c r="I5467">
        <v>0</v>
      </c>
      <c r="J5467">
        <v>0.79618001046572495</v>
      </c>
      <c r="K5467">
        <v>0.91248792536345902</v>
      </c>
      <c r="L5467">
        <v>0.85037546586039003</v>
      </c>
      <c r="M5467">
        <v>0.49572649572649602</v>
      </c>
      <c r="N5467">
        <v>0.99145299145299104</v>
      </c>
      <c r="O5467">
        <v>0.66310541310541304</v>
      </c>
      <c r="P5467" t="s">
        <v>10582</v>
      </c>
      <c r="Q5467" t="s">
        <v>10583</v>
      </c>
      <c r="R5467" t="s">
        <v>1259</v>
      </c>
      <c r="S5467" t="s">
        <v>1260</v>
      </c>
      <c r="V5467" t="s">
        <v>11294</v>
      </c>
      <c r="W5467" t="s">
        <v>11295</v>
      </c>
      <c r="AF5467" t="s">
        <v>11296</v>
      </c>
    </row>
    <row r="5468" spans="1:32" hidden="1" x14ac:dyDescent="0.35">
      <c r="A5468">
        <v>5467</v>
      </c>
      <c r="B5468" t="s">
        <v>11293</v>
      </c>
      <c r="C5468" t="s">
        <v>57</v>
      </c>
      <c r="D5468" t="s">
        <v>45</v>
      </c>
      <c r="E5468">
        <v>1124</v>
      </c>
      <c r="F5468">
        <v>4</v>
      </c>
      <c r="G5468">
        <v>4</v>
      </c>
      <c r="H5468">
        <v>1</v>
      </c>
      <c r="I5468">
        <v>0</v>
      </c>
      <c r="J5468">
        <v>0.79618001046572495</v>
      </c>
      <c r="K5468">
        <v>0.91248792536345902</v>
      </c>
      <c r="L5468">
        <v>0.85037546586039003</v>
      </c>
      <c r="M5468">
        <v>0.49572649572649602</v>
      </c>
      <c r="N5468">
        <v>0.99145299145299104</v>
      </c>
      <c r="O5468">
        <v>0.66310541310541304</v>
      </c>
      <c r="P5468" t="s">
        <v>10582</v>
      </c>
      <c r="Q5468" t="s">
        <v>10583</v>
      </c>
      <c r="R5468" t="s">
        <v>1259</v>
      </c>
      <c r="S5468" t="s">
        <v>1260</v>
      </c>
      <c r="V5468" t="s">
        <v>11294</v>
      </c>
      <c r="W5468" t="s">
        <v>11295</v>
      </c>
      <c r="AF5468" t="s">
        <v>11297</v>
      </c>
    </row>
    <row r="5469" spans="1:32" hidden="1" x14ac:dyDescent="0.35">
      <c r="A5469">
        <v>5468</v>
      </c>
      <c r="B5469" t="s">
        <v>11298</v>
      </c>
      <c r="C5469" t="s">
        <v>57</v>
      </c>
      <c r="D5469" t="s">
        <v>34</v>
      </c>
      <c r="E5469">
        <v>1157</v>
      </c>
      <c r="F5469">
        <v>2</v>
      </c>
      <c r="G5469">
        <v>4</v>
      </c>
      <c r="H5469">
        <v>2</v>
      </c>
      <c r="I5469">
        <v>0</v>
      </c>
      <c r="J5469">
        <v>0.69831965611567004</v>
      </c>
      <c r="K5469">
        <v>0.85411300614920604</v>
      </c>
      <c r="L5469">
        <v>0.76839906198297903</v>
      </c>
      <c r="M5469">
        <v>0.38235294117647101</v>
      </c>
      <c r="N5469">
        <v>0.97647058823529398</v>
      </c>
      <c r="O5469">
        <v>0.53039215686274499</v>
      </c>
      <c r="P5469" t="s">
        <v>2877</v>
      </c>
      <c r="Q5469" t="s">
        <v>2878</v>
      </c>
      <c r="AF5469" t="e">
        <f>----------------MRKLREIRGWTRADFLRQLGKATGYYMHATTLKRIEDGEKIARVHEALMIAKIFGMTIEEMGEFGTDDEKQILVHLKHANALFSDTSTRLADLVAQWSQKRQTLRDYVEEAEKIGLTENDDENLAAAYRLLAEFGTLDAIQKRALTLDTNTSEE</f>
        <v>#NAME?</v>
      </c>
    </row>
    <row r="5470" spans="1:32" hidden="1" x14ac:dyDescent="0.35">
      <c r="A5470">
        <v>5469</v>
      </c>
      <c r="B5470" t="s">
        <v>11298</v>
      </c>
      <c r="C5470" t="s">
        <v>57</v>
      </c>
      <c r="D5470" t="s">
        <v>34</v>
      </c>
      <c r="E5470">
        <v>1158</v>
      </c>
      <c r="F5470">
        <v>2</v>
      </c>
      <c r="G5470">
        <v>4</v>
      </c>
      <c r="H5470">
        <v>2</v>
      </c>
      <c r="I5470">
        <v>0</v>
      </c>
      <c r="J5470">
        <v>0.69831965611567004</v>
      </c>
      <c r="K5470">
        <v>0.85411300614920604</v>
      </c>
      <c r="L5470">
        <v>0.76839906198297903</v>
      </c>
      <c r="M5470">
        <v>0.38235294117647101</v>
      </c>
      <c r="N5470">
        <v>0.97647058823529398</v>
      </c>
      <c r="O5470">
        <v>0.53039215686274499</v>
      </c>
      <c r="P5470" t="s">
        <v>2877</v>
      </c>
      <c r="Q5470" t="s">
        <v>2878</v>
      </c>
      <c r="AF5470" t="s">
        <v>11299</v>
      </c>
    </row>
    <row r="5471" spans="1:32" hidden="1" x14ac:dyDescent="0.35">
      <c r="A5471">
        <v>5470</v>
      </c>
      <c r="B5471" t="s">
        <v>11298</v>
      </c>
      <c r="C5471" t="s">
        <v>57</v>
      </c>
      <c r="D5471" t="s">
        <v>45</v>
      </c>
      <c r="E5471">
        <v>2403</v>
      </c>
      <c r="F5471">
        <v>2</v>
      </c>
      <c r="G5471">
        <v>4</v>
      </c>
      <c r="H5471">
        <v>2</v>
      </c>
      <c r="I5471">
        <v>0</v>
      </c>
      <c r="J5471">
        <v>0.69831965611567004</v>
      </c>
      <c r="K5471">
        <v>0.85411300614920604</v>
      </c>
      <c r="L5471">
        <v>0.76839906198297903</v>
      </c>
      <c r="M5471">
        <v>0.38235294117647101</v>
      </c>
      <c r="N5471">
        <v>0.97647058823529398</v>
      </c>
      <c r="O5471">
        <v>0.53039215686274499</v>
      </c>
      <c r="P5471" t="s">
        <v>2877</v>
      </c>
      <c r="Q5471" t="s">
        <v>2878</v>
      </c>
      <c r="AF5471" t="s">
        <v>11300</v>
      </c>
    </row>
    <row r="5472" spans="1:32" hidden="1" x14ac:dyDescent="0.35">
      <c r="A5472">
        <v>5471</v>
      </c>
      <c r="B5472" t="s">
        <v>11298</v>
      </c>
      <c r="C5472" t="s">
        <v>57</v>
      </c>
      <c r="D5472" t="s">
        <v>45</v>
      </c>
      <c r="E5472">
        <v>2402</v>
      </c>
      <c r="F5472">
        <v>2</v>
      </c>
      <c r="G5472">
        <v>4</v>
      </c>
      <c r="H5472">
        <v>2</v>
      </c>
      <c r="I5472">
        <v>0</v>
      </c>
      <c r="J5472">
        <v>0.69831965611567004</v>
      </c>
      <c r="K5472">
        <v>0.85411300614920604</v>
      </c>
      <c r="L5472">
        <v>0.76839906198297903</v>
      </c>
      <c r="M5472">
        <v>0.38235294117647101</v>
      </c>
      <c r="N5472">
        <v>0.97647058823529398</v>
      </c>
      <c r="O5472">
        <v>0.53039215686274499</v>
      </c>
      <c r="AF5472" t="e">
        <f>------------------------------------------MHATTLKRIEEGEQIAKVHEAVIISRLFGVTVEEMGPVGMDEEKQLLAYLKHSNTLFADIGARFTEIVSSWLQERQTLQQHVERANELGLAESNED-LSTAHQLLLKFGTFEAIQKDVLNRLKEKENR</f>
        <v>#NAME?</v>
      </c>
    </row>
    <row r="5473" spans="1:32" hidden="1" x14ac:dyDescent="0.35">
      <c r="A5473">
        <v>5472</v>
      </c>
      <c r="B5473" t="s">
        <v>11301</v>
      </c>
      <c r="C5473" t="s">
        <v>57</v>
      </c>
      <c r="D5473" t="s">
        <v>60</v>
      </c>
      <c r="E5473">
        <v>742</v>
      </c>
      <c r="F5473">
        <v>4</v>
      </c>
      <c r="G5473">
        <v>4</v>
      </c>
      <c r="H5473">
        <v>1</v>
      </c>
      <c r="I5473">
        <v>0</v>
      </c>
      <c r="J5473">
        <v>0.80273007485689096</v>
      </c>
      <c r="K5473">
        <v>0.925110920280521</v>
      </c>
      <c r="L5473">
        <v>0.85958645544076995</v>
      </c>
      <c r="M5473">
        <v>0.51824817518248201</v>
      </c>
      <c r="N5473">
        <v>0.98540145985401495</v>
      </c>
      <c r="O5473">
        <v>0.678832116788321</v>
      </c>
      <c r="P5473" t="s">
        <v>11302</v>
      </c>
      <c r="Q5473" t="s">
        <v>11303</v>
      </c>
      <c r="R5473" t="s">
        <v>1259</v>
      </c>
      <c r="S5473" t="s">
        <v>1260</v>
      </c>
      <c r="V5473" t="s">
        <v>11304</v>
      </c>
      <c r="W5473" t="s">
        <v>11305</v>
      </c>
      <c r="AF5473" t="s">
        <v>11306</v>
      </c>
    </row>
    <row r="5474" spans="1:32" hidden="1" x14ac:dyDescent="0.35">
      <c r="A5474">
        <v>5473</v>
      </c>
      <c r="B5474" t="s">
        <v>11301</v>
      </c>
      <c r="C5474" t="s">
        <v>57</v>
      </c>
      <c r="D5474" t="s">
        <v>62</v>
      </c>
      <c r="E5474">
        <v>774</v>
      </c>
      <c r="F5474">
        <v>4</v>
      </c>
      <c r="G5474">
        <v>4</v>
      </c>
      <c r="H5474">
        <v>1</v>
      </c>
      <c r="I5474">
        <v>0</v>
      </c>
      <c r="J5474">
        <v>0.80273007485689096</v>
      </c>
      <c r="K5474">
        <v>0.925110920280521</v>
      </c>
      <c r="L5474">
        <v>0.85958645544076995</v>
      </c>
      <c r="M5474">
        <v>0.51824817518248201</v>
      </c>
      <c r="N5474">
        <v>0.98540145985401495</v>
      </c>
      <c r="O5474">
        <v>0.678832116788321</v>
      </c>
      <c r="P5474" t="s">
        <v>11302</v>
      </c>
      <c r="Q5474" t="s">
        <v>11303</v>
      </c>
      <c r="R5474" t="s">
        <v>1259</v>
      </c>
      <c r="S5474" t="s">
        <v>1260</v>
      </c>
      <c r="V5474" t="s">
        <v>11304</v>
      </c>
      <c r="W5474" t="s">
        <v>11305</v>
      </c>
      <c r="AF5474" t="s">
        <v>11307</v>
      </c>
    </row>
    <row r="5475" spans="1:32" hidden="1" x14ac:dyDescent="0.35">
      <c r="A5475">
        <v>5474</v>
      </c>
      <c r="B5475" t="s">
        <v>11301</v>
      </c>
      <c r="C5475" t="s">
        <v>57</v>
      </c>
      <c r="D5475" t="s">
        <v>34</v>
      </c>
      <c r="E5475">
        <v>396</v>
      </c>
      <c r="F5475">
        <v>4</v>
      </c>
      <c r="G5475">
        <v>4</v>
      </c>
      <c r="H5475">
        <v>1</v>
      </c>
      <c r="I5475">
        <v>0</v>
      </c>
      <c r="J5475">
        <v>0.80273007485689096</v>
      </c>
      <c r="K5475">
        <v>0.925110920280521</v>
      </c>
      <c r="L5475">
        <v>0.85958645544076995</v>
      </c>
      <c r="M5475">
        <v>0.51824817518248201</v>
      </c>
      <c r="N5475">
        <v>0.98540145985401495</v>
      </c>
      <c r="O5475">
        <v>0.678832116788321</v>
      </c>
      <c r="P5475" t="s">
        <v>11302</v>
      </c>
      <c r="Q5475" t="s">
        <v>11303</v>
      </c>
      <c r="R5475" t="s">
        <v>1259</v>
      </c>
      <c r="S5475" t="s">
        <v>1260</v>
      </c>
      <c r="V5475" t="s">
        <v>11304</v>
      </c>
      <c r="W5475" t="s">
        <v>11305</v>
      </c>
      <c r="AF5475" t="s">
        <v>11308</v>
      </c>
    </row>
    <row r="5476" spans="1:32" hidden="1" x14ac:dyDescent="0.35">
      <c r="A5476">
        <v>5475</v>
      </c>
      <c r="B5476" t="s">
        <v>11301</v>
      </c>
      <c r="C5476" t="s">
        <v>57</v>
      </c>
      <c r="D5476" t="s">
        <v>45</v>
      </c>
      <c r="E5476">
        <v>1657</v>
      </c>
      <c r="F5476">
        <v>4</v>
      </c>
      <c r="G5476">
        <v>4</v>
      </c>
      <c r="H5476">
        <v>1</v>
      </c>
      <c r="I5476">
        <v>0</v>
      </c>
      <c r="J5476">
        <v>0.80273007485689096</v>
      </c>
      <c r="K5476">
        <v>0.925110920280521</v>
      </c>
      <c r="L5476">
        <v>0.85958645544076995</v>
      </c>
      <c r="M5476">
        <v>0.51824817518248201</v>
      </c>
      <c r="N5476">
        <v>0.98540145985401495</v>
      </c>
      <c r="O5476">
        <v>0.678832116788321</v>
      </c>
      <c r="P5476" t="s">
        <v>11302</v>
      </c>
      <c r="Q5476" t="s">
        <v>11303</v>
      </c>
      <c r="R5476" t="s">
        <v>1259</v>
      </c>
      <c r="S5476" t="s">
        <v>1260</v>
      </c>
      <c r="V5476" t="s">
        <v>11304</v>
      </c>
      <c r="W5476" t="s">
        <v>11305</v>
      </c>
      <c r="AF5476" t="s">
        <v>11309</v>
      </c>
    </row>
    <row r="5477" spans="1:32" hidden="1" x14ac:dyDescent="0.35">
      <c r="A5477">
        <v>5476</v>
      </c>
      <c r="B5477" t="s">
        <v>11310</v>
      </c>
      <c r="C5477" t="s">
        <v>57</v>
      </c>
      <c r="D5477" t="s">
        <v>60</v>
      </c>
      <c r="E5477">
        <v>939</v>
      </c>
      <c r="F5477">
        <v>4</v>
      </c>
      <c r="G5477">
        <v>4</v>
      </c>
      <c r="H5477">
        <v>1</v>
      </c>
      <c r="I5477">
        <v>0</v>
      </c>
      <c r="J5477">
        <v>0.81931069437405002</v>
      </c>
      <c r="K5477">
        <v>0.96613832023264901</v>
      </c>
      <c r="L5477">
        <v>0.88668727198077701</v>
      </c>
      <c r="M5477">
        <v>0.62261380323054305</v>
      </c>
      <c r="N5477">
        <v>0.99853157121879599</v>
      </c>
      <c r="O5477">
        <v>0.746696035242291</v>
      </c>
      <c r="P5477" t="s">
        <v>11311</v>
      </c>
      <c r="Q5477" t="s">
        <v>11312</v>
      </c>
      <c r="R5477" t="s">
        <v>8530</v>
      </c>
      <c r="S5477" t="s">
        <v>8531</v>
      </c>
      <c r="T5477" t="s">
        <v>11313</v>
      </c>
      <c r="U5477" t="s">
        <v>11314</v>
      </c>
      <c r="V5477" t="s">
        <v>8534</v>
      </c>
      <c r="W5477" t="s">
        <v>8535</v>
      </c>
      <c r="AD5477" t="s">
        <v>10157</v>
      </c>
      <c r="AE5477" t="s">
        <v>11315</v>
      </c>
      <c r="AF5477" t="s">
        <v>11316</v>
      </c>
    </row>
    <row r="5478" spans="1:32" hidden="1" x14ac:dyDescent="0.35">
      <c r="A5478">
        <v>5477</v>
      </c>
      <c r="B5478" t="s">
        <v>11310</v>
      </c>
      <c r="C5478" t="s">
        <v>57</v>
      </c>
      <c r="D5478" t="s">
        <v>62</v>
      </c>
      <c r="E5478">
        <v>975</v>
      </c>
      <c r="F5478">
        <v>4</v>
      </c>
      <c r="G5478">
        <v>4</v>
      </c>
      <c r="H5478">
        <v>1</v>
      </c>
      <c r="I5478">
        <v>0</v>
      </c>
      <c r="J5478">
        <v>0.81931069437405002</v>
      </c>
      <c r="K5478">
        <v>0.96613832023264901</v>
      </c>
      <c r="L5478">
        <v>0.88668727198077701</v>
      </c>
      <c r="M5478">
        <v>0.62261380323054305</v>
      </c>
      <c r="N5478">
        <v>0.99853157121879599</v>
      </c>
      <c r="O5478">
        <v>0.746696035242291</v>
      </c>
      <c r="P5478" t="s">
        <v>11311</v>
      </c>
      <c r="Q5478" t="s">
        <v>11312</v>
      </c>
      <c r="R5478" t="s">
        <v>8530</v>
      </c>
      <c r="S5478" t="s">
        <v>8531</v>
      </c>
      <c r="T5478" t="s">
        <v>11313</v>
      </c>
      <c r="U5478" t="s">
        <v>11314</v>
      </c>
      <c r="V5478" t="s">
        <v>8534</v>
      </c>
      <c r="W5478" t="s">
        <v>8535</v>
      </c>
      <c r="AD5478" t="s">
        <v>10157</v>
      </c>
      <c r="AE5478" t="s">
        <v>11315</v>
      </c>
      <c r="AF5478" t="s">
        <v>11317</v>
      </c>
    </row>
    <row r="5479" spans="1:32" hidden="1" x14ac:dyDescent="0.35">
      <c r="A5479">
        <v>5478</v>
      </c>
      <c r="B5479" t="s">
        <v>11310</v>
      </c>
      <c r="C5479" t="s">
        <v>57</v>
      </c>
      <c r="D5479" t="s">
        <v>34</v>
      </c>
      <c r="E5479">
        <v>686</v>
      </c>
      <c r="F5479">
        <v>4</v>
      </c>
      <c r="G5479">
        <v>4</v>
      </c>
      <c r="H5479">
        <v>1</v>
      </c>
      <c r="I5479">
        <v>0</v>
      </c>
      <c r="J5479">
        <v>0.81931069437405002</v>
      </c>
      <c r="K5479">
        <v>0.96613832023264901</v>
      </c>
      <c r="L5479">
        <v>0.88668727198077701</v>
      </c>
      <c r="M5479">
        <v>0.62261380323054305</v>
      </c>
      <c r="N5479">
        <v>0.99853157121879599</v>
      </c>
      <c r="O5479">
        <v>0.746696035242291</v>
      </c>
      <c r="P5479" t="s">
        <v>11311</v>
      </c>
      <c r="Q5479" t="s">
        <v>11312</v>
      </c>
      <c r="R5479" t="s">
        <v>8530</v>
      </c>
      <c r="S5479" t="s">
        <v>8531</v>
      </c>
      <c r="T5479" t="s">
        <v>11313</v>
      </c>
      <c r="U5479" t="s">
        <v>11314</v>
      </c>
      <c r="V5479" t="s">
        <v>8534</v>
      </c>
      <c r="W5479" t="s">
        <v>8535</v>
      </c>
      <c r="AD5479" t="s">
        <v>10157</v>
      </c>
      <c r="AE5479" t="s">
        <v>11315</v>
      </c>
      <c r="AF5479" t="s">
        <v>11318</v>
      </c>
    </row>
    <row r="5480" spans="1:32" hidden="1" x14ac:dyDescent="0.35">
      <c r="A5480">
        <v>5479</v>
      </c>
      <c r="B5480" t="s">
        <v>11310</v>
      </c>
      <c r="C5480" t="s">
        <v>57</v>
      </c>
      <c r="D5480" t="s">
        <v>45</v>
      </c>
      <c r="E5480">
        <v>1952</v>
      </c>
      <c r="F5480">
        <v>4</v>
      </c>
      <c r="G5480">
        <v>4</v>
      </c>
      <c r="H5480">
        <v>1</v>
      </c>
      <c r="I5480">
        <v>0</v>
      </c>
      <c r="J5480">
        <v>0.81931069437405002</v>
      </c>
      <c r="K5480">
        <v>0.96613832023264901</v>
      </c>
      <c r="L5480">
        <v>0.88668727198077701</v>
      </c>
      <c r="M5480">
        <v>0.62261380323054305</v>
      </c>
      <c r="N5480">
        <v>0.99853157121879599</v>
      </c>
      <c r="O5480">
        <v>0.746696035242291</v>
      </c>
      <c r="P5480" t="s">
        <v>11311</v>
      </c>
      <c r="Q5480" t="s">
        <v>11312</v>
      </c>
      <c r="R5480" t="s">
        <v>8530</v>
      </c>
      <c r="S5480" t="s">
        <v>8531</v>
      </c>
      <c r="T5480" t="s">
        <v>11313</v>
      </c>
      <c r="U5480" t="s">
        <v>11314</v>
      </c>
      <c r="V5480" t="s">
        <v>8534</v>
      </c>
      <c r="W5480" t="s">
        <v>8535</v>
      </c>
      <c r="AD5480" t="s">
        <v>10157</v>
      </c>
      <c r="AE5480" t="s">
        <v>11315</v>
      </c>
      <c r="AF5480" t="s">
        <v>11319</v>
      </c>
    </row>
    <row r="5481" spans="1:32" hidden="1" x14ac:dyDescent="0.35">
      <c r="A5481">
        <v>5480</v>
      </c>
      <c r="B5481" t="s">
        <v>11320</v>
      </c>
      <c r="C5481" t="s">
        <v>57</v>
      </c>
      <c r="D5481" t="s">
        <v>60</v>
      </c>
      <c r="E5481">
        <v>1411</v>
      </c>
      <c r="F5481">
        <v>4</v>
      </c>
      <c r="G5481">
        <v>4</v>
      </c>
      <c r="H5481">
        <v>1</v>
      </c>
      <c r="I5481">
        <v>0</v>
      </c>
      <c r="J5481">
        <v>0.78229289360031395</v>
      </c>
      <c r="K5481">
        <v>0.96632614895506797</v>
      </c>
      <c r="L5481">
        <v>0.86462523949525805</v>
      </c>
      <c r="M5481">
        <v>0.55631399317406105</v>
      </c>
      <c r="N5481">
        <v>0.99658703071672305</v>
      </c>
      <c r="O5481">
        <v>0.70364050056882799</v>
      </c>
      <c r="P5481" t="s">
        <v>11321</v>
      </c>
      <c r="Q5481" t="s">
        <v>11322</v>
      </c>
      <c r="R5481" t="s">
        <v>96</v>
      </c>
      <c r="S5481" t="s">
        <v>97</v>
      </c>
      <c r="T5481" t="s">
        <v>11323</v>
      </c>
      <c r="U5481" t="s">
        <v>11324</v>
      </c>
      <c r="V5481" t="s">
        <v>11325</v>
      </c>
      <c r="W5481" t="s">
        <v>11326</v>
      </c>
      <c r="AD5481" t="s">
        <v>11327</v>
      </c>
      <c r="AE5481" t="s">
        <v>11328</v>
      </c>
      <c r="AF5481" t="s">
        <v>11329</v>
      </c>
    </row>
    <row r="5482" spans="1:32" hidden="1" x14ac:dyDescent="0.35">
      <c r="A5482">
        <v>5481</v>
      </c>
      <c r="B5482" t="s">
        <v>11320</v>
      </c>
      <c r="C5482" t="s">
        <v>57</v>
      </c>
      <c r="D5482" t="s">
        <v>62</v>
      </c>
      <c r="E5482">
        <v>1446</v>
      </c>
      <c r="F5482">
        <v>4</v>
      </c>
      <c r="G5482">
        <v>4</v>
      </c>
      <c r="H5482">
        <v>1</v>
      </c>
      <c r="I5482">
        <v>0</v>
      </c>
      <c r="J5482">
        <v>0.78229289360031395</v>
      </c>
      <c r="K5482">
        <v>0.96632614895506797</v>
      </c>
      <c r="L5482">
        <v>0.86462523949525805</v>
      </c>
      <c r="M5482">
        <v>0.55631399317406105</v>
      </c>
      <c r="N5482">
        <v>0.99658703071672305</v>
      </c>
      <c r="O5482">
        <v>0.70364050056882799</v>
      </c>
      <c r="P5482" t="s">
        <v>11321</v>
      </c>
      <c r="Q5482" t="s">
        <v>11322</v>
      </c>
      <c r="R5482" t="s">
        <v>96</v>
      </c>
      <c r="S5482" t="s">
        <v>97</v>
      </c>
      <c r="T5482" t="s">
        <v>11323</v>
      </c>
      <c r="U5482" t="s">
        <v>11324</v>
      </c>
      <c r="V5482" t="s">
        <v>11325</v>
      </c>
      <c r="W5482" t="s">
        <v>11326</v>
      </c>
      <c r="AD5482" t="s">
        <v>11327</v>
      </c>
      <c r="AE5482" t="s">
        <v>11328</v>
      </c>
      <c r="AF5482" t="s">
        <v>11330</v>
      </c>
    </row>
    <row r="5483" spans="1:32" hidden="1" x14ac:dyDescent="0.35">
      <c r="A5483">
        <v>5482</v>
      </c>
      <c r="B5483" t="s">
        <v>11320</v>
      </c>
      <c r="C5483" t="s">
        <v>57</v>
      </c>
      <c r="D5483" t="s">
        <v>34</v>
      </c>
      <c r="E5483">
        <v>1838</v>
      </c>
      <c r="F5483">
        <v>4</v>
      </c>
      <c r="G5483">
        <v>4</v>
      </c>
      <c r="H5483">
        <v>1</v>
      </c>
      <c r="I5483">
        <v>0</v>
      </c>
      <c r="J5483">
        <v>0.78229289360031395</v>
      </c>
      <c r="K5483">
        <v>0.96632614895506797</v>
      </c>
      <c r="L5483">
        <v>0.86462523949525805</v>
      </c>
      <c r="M5483">
        <v>0.55631399317406105</v>
      </c>
      <c r="N5483">
        <v>0.99658703071672305</v>
      </c>
      <c r="O5483">
        <v>0.70364050056882799</v>
      </c>
      <c r="P5483" t="s">
        <v>11321</v>
      </c>
      <c r="Q5483" t="s">
        <v>11322</v>
      </c>
      <c r="R5483" t="s">
        <v>96</v>
      </c>
      <c r="S5483" t="s">
        <v>97</v>
      </c>
      <c r="T5483" t="s">
        <v>11323</v>
      </c>
      <c r="U5483" t="s">
        <v>11324</v>
      </c>
      <c r="V5483" t="s">
        <v>11325</v>
      </c>
      <c r="W5483" t="s">
        <v>11326</v>
      </c>
      <c r="AD5483" t="s">
        <v>11327</v>
      </c>
      <c r="AE5483" t="s">
        <v>11328</v>
      </c>
      <c r="AF5483" t="e">
        <f>-----MSDNNQRRKAAMQSLEKEIKSRDRAEKMKPLGVVTAAAVAIVVIVGGIIFATKYTGNEHKQDQAASQSTTAATPE----VRPLTMKRAKALGDTVTCKYDKNGEAAKEVSLPKTEQVSAKGTAKVKLTTNEGEVDMELDRAASPCTVNAITHLAESGYYNNTVCHRLTTAGIKVLQCGDPTGTGSGGPGFKFADEYPVDEASGAAAEQPVNYPRGSIAMANSGEGTNGSQFFLNWGESPLPPKYTYFGKVSDKGLEVLDKIAKNGVEGGQGDGKPAKEVKIESATVTG</f>
        <v>#NAME?</v>
      </c>
    </row>
    <row r="5484" spans="1:32" hidden="1" x14ac:dyDescent="0.35">
      <c r="A5484">
        <v>5483</v>
      </c>
      <c r="B5484" t="s">
        <v>11320</v>
      </c>
      <c r="C5484" t="s">
        <v>57</v>
      </c>
      <c r="D5484" t="s">
        <v>45</v>
      </c>
      <c r="E5484">
        <v>1035</v>
      </c>
      <c r="F5484">
        <v>4</v>
      </c>
      <c r="G5484">
        <v>4</v>
      </c>
      <c r="H5484">
        <v>1</v>
      </c>
      <c r="I5484">
        <v>0</v>
      </c>
      <c r="J5484">
        <v>0.78229289360031395</v>
      </c>
      <c r="K5484">
        <v>0.96632614895506797</v>
      </c>
      <c r="L5484">
        <v>0.86462523949525805</v>
      </c>
      <c r="M5484">
        <v>0.55631399317406105</v>
      </c>
      <c r="N5484">
        <v>0.99658703071672305</v>
      </c>
      <c r="O5484">
        <v>0.70364050056882799</v>
      </c>
      <c r="P5484" t="s">
        <v>11321</v>
      </c>
      <c r="Q5484" t="s">
        <v>11322</v>
      </c>
      <c r="R5484" t="s">
        <v>96</v>
      </c>
      <c r="S5484" t="s">
        <v>97</v>
      </c>
      <c r="T5484" t="s">
        <v>11323</v>
      </c>
      <c r="U5484" t="s">
        <v>11324</v>
      </c>
      <c r="V5484" t="s">
        <v>11325</v>
      </c>
      <c r="W5484" t="s">
        <v>11326</v>
      </c>
      <c r="AD5484" t="s">
        <v>11327</v>
      </c>
      <c r="AE5484" t="s">
        <v>11328</v>
      </c>
      <c r="AF5484" t="e">
        <f>-----MSDNNQRRKAAMQSLDKEIKSRDRAEKMKPLGVVTAAAVAIVVIVGGIIFATKYTGNEHKQDQAASQSTTAATPE----VRPLTMKRAKALGDTVTCKYDKNGEAAKEVSLPKTEQVSAKGTAKVKLTTNEGEVDMELDRAASPCTVNAITHLAESGYYNNTVCHRLTTAGIKVLQCGDPTGTGSGGPGFKFADEYPVDEASGAAANQPVNYPRGSIAMANSGEGTNGSQFFLNWGESPLPPKYTYFGKVSDKGLEVLDKIAKNGVEGGQGDGKPAKEVKIESATVTG</f>
        <v>#NAME?</v>
      </c>
    </row>
    <row r="5485" spans="1:32" hidden="1" x14ac:dyDescent="0.35">
      <c r="A5485">
        <v>5484</v>
      </c>
      <c r="B5485" t="s">
        <v>11331</v>
      </c>
      <c r="C5485" t="s">
        <v>57</v>
      </c>
      <c r="D5485" t="s">
        <v>60</v>
      </c>
      <c r="E5485">
        <v>1610</v>
      </c>
      <c r="F5485">
        <v>4</v>
      </c>
      <c r="G5485">
        <v>4</v>
      </c>
      <c r="H5485">
        <v>1</v>
      </c>
      <c r="I5485">
        <v>0</v>
      </c>
      <c r="J5485">
        <v>0.78713151927437597</v>
      </c>
      <c r="K5485">
        <v>0.95238348333451694</v>
      </c>
      <c r="L5485">
        <v>0.86190812616690005</v>
      </c>
      <c r="M5485">
        <v>0.53640776699029102</v>
      </c>
      <c r="N5485">
        <v>0.99271844660194197</v>
      </c>
      <c r="O5485">
        <v>0.68932038834951503</v>
      </c>
      <c r="P5485" t="s">
        <v>11332</v>
      </c>
      <c r="Q5485" t="s">
        <v>11333</v>
      </c>
      <c r="R5485" t="s">
        <v>371</v>
      </c>
      <c r="S5485" t="s">
        <v>372</v>
      </c>
      <c r="T5485" t="s">
        <v>11334</v>
      </c>
      <c r="U5485" t="s">
        <v>11335</v>
      </c>
      <c r="V5485" t="s">
        <v>11336</v>
      </c>
      <c r="W5485" t="s">
        <v>11337</v>
      </c>
      <c r="AD5485" t="s">
        <v>410</v>
      </c>
      <c r="AE5485" t="s">
        <v>1217</v>
      </c>
      <c r="AF5485" t="s">
        <v>11338</v>
      </c>
    </row>
    <row r="5486" spans="1:32" hidden="1" x14ac:dyDescent="0.35">
      <c r="A5486">
        <v>5485</v>
      </c>
      <c r="B5486" t="s">
        <v>11331</v>
      </c>
      <c r="C5486" t="s">
        <v>57</v>
      </c>
      <c r="D5486" t="s">
        <v>62</v>
      </c>
      <c r="E5486">
        <v>1646</v>
      </c>
      <c r="F5486">
        <v>4</v>
      </c>
      <c r="G5486">
        <v>4</v>
      </c>
      <c r="H5486">
        <v>1</v>
      </c>
      <c r="I5486">
        <v>0</v>
      </c>
      <c r="J5486">
        <v>0.78713151927437597</v>
      </c>
      <c r="K5486">
        <v>0.95238348333451694</v>
      </c>
      <c r="L5486">
        <v>0.86190812616690005</v>
      </c>
      <c r="M5486">
        <v>0.53640776699029102</v>
      </c>
      <c r="N5486">
        <v>0.99271844660194197</v>
      </c>
      <c r="O5486">
        <v>0.68932038834951503</v>
      </c>
      <c r="P5486" t="s">
        <v>11332</v>
      </c>
      <c r="Q5486" t="s">
        <v>11333</v>
      </c>
      <c r="R5486" t="s">
        <v>371</v>
      </c>
      <c r="S5486" t="s">
        <v>372</v>
      </c>
      <c r="T5486" t="s">
        <v>11334</v>
      </c>
      <c r="U5486" t="s">
        <v>11335</v>
      </c>
      <c r="V5486" t="s">
        <v>11336</v>
      </c>
      <c r="W5486" t="s">
        <v>11337</v>
      </c>
      <c r="AD5486" t="s">
        <v>410</v>
      </c>
      <c r="AE5486" t="s">
        <v>1217</v>
      </c>
      <c r="AF5486" t="s">
        <v>11339</v>
      </c>
    </row>
    <row r="5487" spans="1:32" hidden="1" x14ac:dyDescent="0.35">
      <c r="A5487">
        <v>5486</v>
      </c>
      <c r="B5487" t="s">
        <v>11331</v>
      </c>
      <c r="C5487" t="s">
        <v>57</v>
      </c>
      <c r="D5487" t="s">
        <v>34</v>
      </c>
      <c r="E5487">
        <v>2003</v>
      </c>
      <c r="F5487">
        <v>4</v>
      </c>
      <c r="G5487">
        <v>4</v>
      </c>
      <c r="H5487">
        <v>1</v>
      </c>
      <c r="I5487">
        <v>0</v>
      </c>
      <c r="J5487">
        <v>0.78713151927437597</v>
      </c>
      <c r="K5487">
        <v>0.95238348333451694</v>
      </c>
      <c r="L5487">
        <v>0.86190812616690005</v>
      </c>
      <c r="M5487">
        <v>0.53640776699029102</v>
      </c>
      <c r="N5487">
        <v>0.99271844660194197</v>
      </c>
      <c r="O5487">
        <v>0.68932038834951503</v>
      </c>
      <c r="P5487" t="s">
        <v>11332</v>
      </c>
      <c r="Q5487" t="s">
        <v>11333</v>
      </c>
      <c r="R5487" t="s">
        <v>371</v>
      </c>
      <c r="S5487" t="s">
        <v>372</v>
      </c>
      <c r="T5487" t="s">
        <v>11334</v>
      </c>
      <c r="U5487" t="s">
        <v>11335</v>
      </c>
      <c r="V5487" t="s">
        <v>11336</v>
      </c>
      <c r="W5487" t="s">
        <v>11337</v>
      </c>
      <c r="AD5487" t="s">
        <v>410</v>
      </c>
      <c r="AE5487" t="s">
        <v>1217</v>
      </c>
      <c r="AF5487" t="s">
        <v>11340</v>
      </c>
    </row>
    <row r="5488" spans="1:32" hidden="1" x14ac:dyDescent="0.35">
      <c r="A5488">
        <v>5487</v>
      </c>
      <c r="B5488" t="s">
        <v>11331</v>
      </c>
      <c r="C5488" t="s">
        <v>57</v>
      </c>
      <c r="D5488" t="s">
        <v>45</v>
      </c>
      <c r="E5488">
        <v>869</v>
      </c>
      <c r="F5488">
        <v>4</v>
      </c>
      <c r="G5488">
        <v>4</v>
      </c>
      <c r="H5488">
        <v>1</v>
      </c>
      <c r="I5488">
        <v>0</v>
      </c>
      <c r="J5488">
        <v>0.78713151927437597</v>
      </c>
      <c r="K5488">
        <v>0.95238348333451694</v>
      </c>
      <c r="L5488">
        <v>0.86190812616690005</v>
      </c>
      <c r="M5488">
        <v>0.53640776699029102</v>
      </c>
      <c r="N5488">
        <v>0.99271844660194197</v>
      </c>
      <c r="O5488">
        <v>0.68932038834951503</v>
      </c>
      <c r="P5488" t="s">
        <v>11332</v>
      </c>
      <c r="Q5488" t="s">
        <v>11333</v>
      </c>
      <c r="R5488" t="s">
        <v>371</v>
      </c>
      <c r="S5488" t="s">
        <v>372</v>
      </c>
      <c r="T5488" t="s">
        <v>11334</v>
      </c>
      <c r="U5488" t="s">
        <v>11335</v>
      </c>
      <c r="V5488" t="s">
        <v>11336</v>
      </c>
      <c r="W5488" t="s">
        <v>11337</v>
      </c>
      <c r="AD5488" t="s">
        <v>410</v>
      </c>
      <c r="AE5488" t="s">
        <v>1217</v>
      </c>
      <c r="AF5488" t="s">
        <v>11341</v>
      </c>
    </row>
    <row r="5489" spans="1:32" hidden="1" x14ac:dyDescent="0.35">
      <c r="A5489">
        <v>5488</v>
      </c>
      <c r="B5489" t="s">
        <v>11342</v>
      </c>
      <c r="C5489" t="s">
        <v>57</v>
      </c>
      <c r="D5489" t="s">
        <v>60</v>
      </c>
      <c r="E5489">
        <v>1097</v>
      </c>
      <c r="F5489">
        <v>4</v>
      </c>
      <c r="G5489">
        <v>4</v>
      </c>
      <c r="H5489">
        <v>1</v>
      </c>
      <c r="I5489">
        <v>0</v>
      </c>
      <c r="J5489">
        <v>0.77130264446621</v>
      </c>
      <c r="K5489">
        <v>0.94161654499727399</v>
      </c>
      <c r="L5489">
        <v>0.847992521418379</v>
      </c>
      <c r="M5489">
        <v>0.49723756906077299</v>
      </c>
      <c r="N5489">
        <v>0.98618784530386705</v>
      </c>
      <c r="O5489">
        <v>0.66344383057090195</v>
      </c>
      <c r="P5489" t="s">
        <v>11343</v>
      </c>
      <c r="Q5489" t="s">
        <v>11344</v>
      </c>
      <c r="R5489" t="s">
        <v>9435</v>
      </c>
      <c r="S5489" t="s">
        <v>9436</v>
      </c>
      <c r="T5489" t="s">
        <v>11345</v>
      </c>
      <c r="U5489" t="s">
        <v>11346</v>
      </c>
      <c r="V5489" t="s">
        <v>11347</v>
      </c>
      <c r="W5489" t="s">
        <v>11348</v>
      </c>
      <c r="X5489" t="s">
        <v>11347</v>
      </c>
      <c r="Y5489" t="s">
        <v>11349</v>
      </c>
      <c r="AD5489" t="s">
        <v>191</v>
      </c>
      <c r="AE5489" t="s">
        <v>11350</v>
      </c>
      <c r="AF5489" t="s">
        <v>11351</v>
      </c>
    </row>
    <row r="5490" spans="1:32" hidden="1" x14ac:dyDescent="0.35">
      <c r="A5490">
        <v>5489</v>
      </c>
      <c r="B5490" t="s">
        <v>11342</v>
      </c>
      <c r="C5490" t="s">
        <v>57</v>
      </c>
      <c r="D5490" t="s">
        <v>62</v>
      </c>
      <c r="E5490">
        <v>1133</v>
      </c>
      <c r="F5490">
        <v>4</v>
      </c>
      <c r="G5490">
        <v>4</v>
      </c>
      <c r="H5490">
        <v>1</v>
      </c>
      <c r="I5490">
        <v>0</v>
      </c>
      <c r="J5490">
        <v>0.77130264446621</v>
      </c>
      <c r="K5490">
        <v>0.94161654499727399</v>
      </c>
      <c r="L5490">
        <v>0.847992521418379</v>
      </c>
      <c r="M5490">
        <v>0.49723756906077299</v>
      </c>
      <c r="N5490">
        <v>0.98618784530386705</v>
      </c>
      <c r="O5490">
        <v>0.66344383057090195</v>
      </c>
      <c r="P5490" t="s">
        <v>11343</v>
      </c>
      <c r="Q5490" t="s">
        <v>11344</v>
      </c>
      <c r="R5490" t="s">
        <v>9435</v>
      </c>
      <c r="S5490" t="s">
        <v>9436</v>
      </c>
      <c r="T5490" t="s">
        <v>11345</v>
      </c>
      <c r="U5490" t="s">
        <v>11346</v>
      </c>
      <c r="V5490" t="s">
        <v>11347</v>
      </c>
      <c r="W5490" t="s">
        <v>11348</v>
      </c>
      <c r="X5490" t="s">
        <v>11347</v>
      </c>
      <c r="Y5490" t="s">
        <v>11349</v>
      </c>
      <c r="AD5490" t="s">
        <v>191</v>
      </c>
      <c r="AE5490" t="s">
        <v>11350</v>
      </c>
      <c r="AF5490" t="s">
        <v>11352</v>
      </c>
    </row>
    <row r="5491" spans="1:32" hidden="1" x14ac:dyDescent="0.35">
      <c r="A5491">
        <v>5490</v>
      </c>
      <c r="B5491" t="s">
        <v>11342</v>
      </c>
      <c r="C5491" t="s">
        <v>57</v>
      </c>
      <c r="D5491" t="s">
        <v>34</v>
      </c>
      <c r="E5491">
        <v>152</v>
      </c>
      <c r="F5491">
        <v>4</v>
      </c>
      <c r="G5491">
        <v>4</v>
      </c>
      <c r="H5491">
        <v>1</v>
      </c>
      <c r="I5491">
        <v>0</v>
      </c>
      <c r="J5491">
        <v>0.77130264446621</v>
      </c>
      <c r="K5491">
        <v>0.94161654499727399</v>
      </c>
      <c r="L5491">
        <v>0.847992521418379</v>
      </c>
      <c r="M5491">
        <v>0.49723756906077299</v>
      </c>
      <c r="N5491">
        <v>0.98618784530386705</v>
      </c>
      <c r="O5491">
        <v>0.66344383057090195</v>
      </c>
      <c r="P5491" t="s">
        <v>11343</v>
      </c>
      <c r="Q5491" t="s">
        <v>11344</v>
      </c>
      <c r="R5491" t="s">
        <v>9435</v>
      </c>
      <c r="S5491" t="s">
        <v>9436</v>
      </c>
      <c r="T5491" t="s">
        <v>11345</v>
      </c>
      <c r="U5491" t="s">
        <v>11346</v>
      </c>
      <c r="V5491" t="s">
        <v>11347</v>
      </c>
      <c r="W5491" t="s">
        <v>11348</v>
      </c>
      <c r="X5491" t="s">
        <v>11347</v>
      </c>
      <c r="Y5491" t="s">
        <v>11349</v>
      </c>
      <c r="AD5491" t="s">
        <v>191</v>
      </c>
      <c r="AE5491" t="s">
        <v>11350</v>
      </c>
      <c r="AF5491" t="s">
        <v>11353</v>
      </c>
    </row>
    <row r="5492" spans="1:32" hidden="1" x14ac:dyDescent="0.35">
      <c r="A5492">
        <v>5491</v>
      </c>
      <c r="B5492" t="s">
        <v>11342</v>
      </c>
      <c r="C5492" t="s">
        <v>57</v>
      </c>
      <c r="D5492" t="s">
        <v>45</v>
      </c>
      <c r="E5492">
        <v>1413</v>
      </c>
      <c r="F5492">
        <v>4</v>
      </c>
      <c r="G5492">
        <v>4</v>
      </c>
      <c r="H5492">
        <v>1</v>
      </c>
      <c r="I5492">
        <v>0</v>
      </c>
      <c r="J5492">
        <v>0.77130264446621</v>
      </c>
      <c r="K5492">
        <v>0.94161654499727399</v>
      </c>
      <c r="L5492">
        <v>0.847992521418379</v>
      </c>
      <c r="M5492">
        <v>0.49723756906077299</v>
      </c>
      <c r="N5492">
        <v>0.98618784530386705</v>
      </c>
      <c r="O5492">
        <v>0.66344383057090195</v>
      </c>
      <c r="P5492" t="s">
        <v>11343</v>
      </c>
      <c r="Q5492" t="s">
        <v>11344</v>
      </c>
      <c r="R5492" t="s">
        <v>9435</v>
      </c>
      <c r="S5492" t="s">
        <v>9436</v>
      </c>
      <c r="T5492" t="s">
        <v>11345</v>
      </c>
      <c r="U5492" t="s">
        <v>11346</v>
      </c>
      <c r="V5492" t="s">
        <v>11347</v>
      </c>
      <c r="W5492" t="s">
        <v>11348</v>
      </c>
      <c r="X5492" t="s">
        <v>11347</v>
      </c>
      <c r="Y5492" t="s">
        <v>11349</v>
      </c>
      <c r="AD5492" t="s">
        <v>191</v>
      </c>
      <c r="AE5492" t="s">
        <v>11350</v>
      </c>
      <c r="AF5492" t="s">
        <v>11354</v>
      </c>
    </row>
    <row r="5493" spans="1:32" hidden="1" x14ac:dyDescent="0.35">
      <c r="A5493">
        <v>11776</v>
      </c>
      <c r="B5493" t="s">
        <v>24193</v>
      </c>
      <c r="C5493" t="s">
        <v>33</v>
      </c>
      <c r="D5493" t="s">
        <v>58</v>
      </c>
      <c r="E5493">
        <v>1779</v>
      </c>
      <c r="F5493">
        <v>1</v>
      </c>
      <c r="G5493">
        <v>1</v>
      </c>
      <c r="H5493">
        <v>1</v>
      </c>
      <c r="I5493">
        <v>0</v>
      </c>
      <c r="J5493">
        <v>1</v>
      </c>
      <c r="K5493">
        <v>1</v>
      </c>
      <c r="L5493">
        <v>1</v>
      </c>
      <c r="M5493">
        <v>0</v>
      </c>
      <c r="N5493">
        <v>0</v>
      </c>
      <c r="O5493">
        <v>0</v>
      </c>
      <c r="P5493" t="s">
        <v>12884</v>
      </c>
      <c r="Q5493" t="s">
        <v>12885</v>
      </c>
      <c r="R5493" t="s">
        <v>157</v>
      </c>
      <c r="S5493" t="s">
        <v>158</v>
      </c>
      <c r="T5493" t="s">
        <v>16984</v>
      </c>
      <c r="U5493" t="s">
        <v>16985</v>
      </c>
      <c r="V5493" t="s">
        <v>14734</v>
      </c>
      <c r="W5493" t="s">
        <v>14735</v>
      </c>
      <c r="AD5493" t="s">
        <v>410</v>
      </c>
      <c r="AE5493" t="s">
        <v>563</v>
      </c>
      <c r="AF5493" t="s">
        <v>24194</v>
      </c>
    </row>
    <row r="5494" spans="1:32" hidden="1" x14ac:dyDescent="0.35">
      <c r="A5494">
        <v>5493</v>
      </c>
      <c r="B5494" t="s">
        <v>11355</v>
      </c>
      <c r="C5494" t="s">
        <v>57</v>
      </c>
      <c r="D5494" t="s">
        <v>60</v>
      </c>
      <c r="E5494">
        <v>1265</v>
      </c>
      <c r="F5494">
        <v>4</v>
      </c>
      <c r="G5494">
        <v>4</v>
      </c>
      <c r="H5494">
        <v>1</v>
      </c>
      <c r="I5494">
        <v>0</v>
      </c>
      <c r="J5494">
        <v>0.73199757134183396</v>
      </c>
      <c r="K5494">
        <v>0.80495014475844695</v>
      </c>
      <c r="L5494">
        <v>0.76674247906035597</v>
      </c>
      <c r="M5494">
        <v>0.30377668308702799</v>
      </c>
      <c r="N5494">
        <v>0.99178981937602595</v>
      </c>
      <c r="O5494">
        <v>0.495621237000547</v>
      </c>
      <c r="P5494" t="s">
        <v>169</v>
      </c>
      <c r="Q5494" t="s">
        <v>170</v>
      </c>
      <c r="R5494" t="s">
        <v>138</v>
      </c>
      <c r="S5494" t="s">
        <v>139</v>
      </c>
      <c r="V5494" t="s">
        <v>11356</v>
      </c>
      <c r="W5494" t="s">
        <v>11357</v>
      </c>
      <c r="AF5494" t="s">
        <v>11359</v>
      </c>
    </row>
    <row r="5495" spans="1:32" hidden="1" x14ac:dyDescent="0.35">
      <c r="A5495">
        <v>5494</v>
      </c>
      <c r="B5495" t="s">
        <v>11355</v>
      </c>
      <c r="C5495" t="s">
        <v>57</v>
      </c>
      <c r="D5495" t="s">
        <v>62</v>
      </c>
      <c r="E5495">
        <v>1301</v>
      </c>
      <c r="F5495">
        <v>4</v>
      </c>
      <c r="G5495">
        <v>4</v>
      </c>
      <c r="H5495">
        <v>1</v>
      </c>
      <c r="I5495">
        <v>0</v>
      </c>
      <c r="J5495">
        <v>0.73199757134183396</v>
      </c>
      <c r="K5495">
        <v>0.80495014475844695</v>
      </c>
      <c r="L5495">
        <v>0.76674247906035597</v>
      </c>
      <c r="M5495">
        <v>0.30377668308702799</v>
      </c>
      <c r="N5495">
        <v>0.99178981937602595</v>
      </c>
      <c r="O5495">
        <v>0.495621237000547</v>
      </c>
      <c r="P5495" t="s">
        <v>169</v>
      </c>
      <c r="Q5495" t="s">
        <v>170</v>
      </c>
      <c r="R5495" t="s">
        <v>138</v>
      </c>
      <c r="S5495" t="s">
        <v>139</v>
      </c>
      <c r="V5495" t="s">
        <v>11356</v>
      </c>
      <c r="W5495" t="s">
        <v>11357</v>
      </c>
      <c r="AF5495" t="s">
        <v>11359</v>
      </c>
    </row>
    <row r="5496" spans="1:32" hidden="1" x14ac:dyDescent="0.35">
      <c r="A5496">
        <v>5495</v>
      </c>
      <c r="B5496" t="s">
        <v>11355</v>
      </c>
      <c r="C5496" t="s">
        <v>57</v>
      </c>
      <c r="D5496" t="s">
        <v>45</v>
      </c>
      <c r="E5496">
        <v>1140</v>
      </c>
      <c r="F5496">
        <v>4</v>
      </c>
      <c r="G5496">
        <v>4</v>
      </c>
      <c r="H5496">
        <v>1</v>
      </c>
      <c r="I5496">
        <v>0</v>
      </c>
      <c r="J5496">
        <v>0.73199757134183396</v>
      </c>
      <c r="K5496">
        <v>0.80495014475844695</v>
      </c>
      <c r="L5496">
        <v>0.76674247906035597</v>
      </c>
      <c r="M5496">
        <v>0.30377668308702799</v>
      </c>
      <c r="N5496">
        <v>0.99178981937602595</v>
      </c>
      <c r="O5496">
        <v>0.495621237000547</v>
      </c>
      <c r="P5496" t="s">
        <v>169</v>
      </c>
      <c r="Q5496" t="s">
        <v>170</v>
      </c>
      <c r="R5496" t="s">
        <v>138</v>
      </c>
      <c r="S5496" t="s">
        <v>139</v>
      </c>
      <c r="V5496" t="s">
        <v>11356</v>
      </c>
      <c r="W5496" t="s">
        <v>11357</v>
      </c>
      <c r="AF5496" t="s">
        <v>11360</v>
      </c>
    </row>
    <row r="5497" spans="1:32" hidden="1" x14ac:dyDescent="0.35">
      <c r="A5497">
        <v>5496</v>
      </c>
      <c r="B5497" t="s">
        <v>11361</v>
      </c>
      <c r="C5497" t="s">
        <v>57</v>
      </c>
      <c r="D5497" t="s">
        <v>60</v>
      </c>
      <c r="E5497">
        <v>2013</v>
      </c>
      <c r="F5497">
        <v>4</v>
      </c>
      <c r="G5497">
        <v>4</v>
      </c>
      <c r="H5497">
        <v>1</v>
      </c>
      <c r="I5497">
        <v>0</v>
      </c>
      <c r="J5497">
        <v>0.78749772188809897</v>
      </c>
      <c r="K5497">
        <v>0.97118326177055303</v>
      </c>
      <c r="L5497">
        <v>0.86974796826325096</v>
      </c>
      <c r="M5497">
        <v>0.579617834394904</v>
      </c>
      <c r="N5497">
        <v>0.99681528662420404</v>
      </c>
      <c r="O5497">
        <v>0.71868365180467098</v>
      </c>
      <c r="P5497" t="s">
        <v>11362</v>
      </c>
      <c r="Q5497" t="s">
        <v>11363</v>
      </c>
      <c r="R5497" t="s">
        <v>235</v>
      </c>
      <c r="S5497" t="s">
        <v>236</v>
      </c>
      <c r="T5497" t="s">
        <v>11364</v>
      </c>
      <c r="U5497" t="s">
        <v>11365</v>
      </c>
      <c r="V5497" t="s">
        <v>11366</v>
      </c>
      <c r="W5497" t="s">
        <v>11367</v>
      </c>
      <c r="X5497" t="s">
        <v>11366</v>
      </c>
      <c r="Y5497" t="s">
        <v>4474</v>
      </c>
      <c r="Z5497" t="s">
        <v>5431</v>
      </c>
      <c r="AA5497" t="s">
        <v>5432</v>
      </c>
      <c r="AB5497" t="s">
        <v>5431</v>
      </c>
      <c r="AC5497" t="s">
        <v>860</v>
      </c>
      <c r="AD5497" t="s">
        <v>219</v>
      </c>
      <c r="AE5497" t="s">
        <v>11368</v>
      </c>
      <c r="AF5497" t="s">
        <v>11369</v>
      </c>
    </row>
    <row r="5498" spans="1:32" hidden="1" x14ac:dyDescent="0.35">
      <c r="A5498">
        <v>5497</v>
      </c>
      <c r="B5498" t="s">
        <v>11361</v>
      </c>
      <c r="C5498" t="s">
        <v>57</v>
      </c>
      <c r="D5498" t="s">
        <v>62</v>
      </c>
      <c r="E5498">
        <v>2053</v>
      </c>
      <c r="F5498">
        <v>4</v>
      </c>
      <c r="G5498">
        <v>4</v>
      </c>
      <c r="H5498">
        <v>1</v>
      </c>
      <c r="I5498">
        <v>0</v>
      </c>
      <c r="J5498">
        <v>0.78749772188809897</v>
      </c>
      <c r="K5498">
        <v>0.97118326177055303</v>
      </c>
      <c r="L5498">
        <v>0.86974796826325096</v>
      </c>
      <c r="M5498">
        <v>0.579617834394904</v>
      </c>
      <c r="N5498">
        <v>0.99681528662420404</v>
      </c>
      <c r="O5498">
        <v>0.71868365180467098</v>
      </c>
      <c r="P5498" t="s">
        <v>11362</v>
      </c>
      <c r="Q5498" t="s">
        <v>11363</v>
      </c>
      <c r="R5498" t="s">
        <v>235</v>
      </c>
      <c r="S5498" t="s">
        <v>236</v>
      </c>
      <c r="T5498" t="s">
        <v>11364</v>
      </c>
      <c r="U5498" t="s">
        <v>11365</v>
      </c>
      <c r="V5498" t="s">
        <v>11366</v>
      </c>
      <c r="W5498" t="s">
        <v>11367</v>
      </c>
      <c r="X5498" t="s">
        <v>11366</v>
      </c>
      <c r="Y5498" t="s">
        <v>4474</v>
      </c>
      <c r="Z5498" t="s">
        <v>5431</v>
      </c>
      <c r="AA5498" t="s">
        <v>5432</v>
      </c>
      <c r="AB5498" t="s">
        <v>5431</v>
      </c>
      <c r="AC5498" t="s">
        <v>860</v>
      </c>
      <c r="AD5498" t="s">
        <v>219</v>
      </c>
      <c r="AE5498" t="s">
        <v>11368</v>
      </c>
      <c r="AF5498" t="s">
        <v>11370</v>
      </c>
    </row>
    <row r="5499" spans="1:32" hidden="1" x14ac:dyDescent="0.35">
      <c r="A5499">
        <v>5498</v>
      </c>
      <c r="B5499" t="s">
        <v>11361</v>
      </c>
      <c r="C5499" t="s">
        <v>57</v>
      </c>
      <c r="D5499" t="s">
        <v>34</v>
      </c>
      <c r="E5499">
        <v>1916</v>
      </c>
      <c r="F5499">
        <v>4</v>
      </c>
      <c r="G5499">
        <v>4</v>
      </c>
      <c r="H5499">
        <v>1</v>
      </c>
      <c r="I5499">
        <v>0</v>
      </c>
      <c r="J5499">
        <v>0.78749772188809897</v>
      </c>
      <c r="K5499">
        <v>0.97118326177055303</v>
      </c>
      <c r="L5499">
        <v>0.86974796826325096</v>
      </c>
      <c r="M5499">
        <v>0.579617834394904</v>
      </c>
      <c r="N5499">
        <v>0.99681528662420404</v>
      </c>
      <c r="O5499">
        <v>0.71868365180467098</v>
      </c>
      <c r="P5499" t="s">
        <v>11362</v>
      </c>
      <c r="Q5499" t="s">
        <v>11363</v>
      </c>
      <c r="R5499" t="s">
        <v>235</v>
      </c>
      <c r="S5499" t="s">
        <v>236</v>
      </c>
      <c r="T5499" t="s">
        <v>11364</v>
      </c>
      <c r="U5499" t="s">
        <v>11365</v>
      </c>
      <c r="V5499" t="s">
        <v>11366</v>
      </c>
      <c r="W5499" t="s">
        <v>11367</v>
      </c>
      <c r="X5499" t="s">
        <v>11366</v>
      </c>
      <c r="Y5499" t="s">
        <v>4474</v>
      </c>
      <c r="Z5499" t="s">
        <v>5431</v>
      </c>
      <c r="AA5499" t="s">
        <v>5432</v>
      </c>
      <c r="AB5499" t="s">
        <v>5431</v>
      </c>
      <c r="AC5499" t="s">
        <v>860</v>
      </c>
      <c r="AD5499" t="s">
        <v>219</v>
      </c>
      <c r="AE5499" t="s">
        <v>11368</v>
      </c>
      <c r="AF5499" t="s">
        <v>11371</v>
      </c>
    </row>
    <row r="5500" spans="1:32" hidden="1" x14ac:dyDescent="0.35">
      <c r="A5500">
        <v>5499</v>
      </c>
      <c r="B5500" t="s">
        <v>11361</v>
      </c>
      <c r="C5500" t="s">
        <v>57</v>
      </c>
      <c r="D5500" t="s">
        <v>45</v>
      </c>
      <c r="E5500">
        <v>958</v>
      </c>
      <c r="F5500">
        <v>4</v>
      </c>
      <c r="G5500">
        <v>4</v>
      </c>
      <c r="H5500">
        <v>1</v>
      </c>
      <c r="I5500">
        <v>0</v>
      </c>
      <c r="J5500">
        <v>0.78749772188809897</v>
      </c>
      <c r="K5500">
        <v>0.97118326177055303</v>
      </c>
      <c r="L5500">
        <v>0.86974796826325096</v>
      </c>
      <c r="M5500">
        <v>0.579617834394904</v>
      </c>
      <c r="N5500">
        <v>0.99681528662420404</v>
      </c>
      <c r="O5500">
        <v>0.71868365180467098</v>
      </c>
      <c r="P5500" t="s">
        <v>11362</v>
      </c>
      <c r="Q5500" t="s">
        <v>11363</v>
      </c>
      <c r="R5500" t="s">
        <v>235</v>
      </c>
      <c r="S5500" t="s">
        <v>236</v>
      </c>
      <c r="T5500" t="s">
        <v>11364</v>
      </c>
      <c r="U5500" t="s">
        <v>11365</v>
      </c>
      <c r="V5500" t="s">
        <v>11366</v>
      </c>
      <c r="W5500" t="s">
        <v>11367</v>
      </c>
      <c r="X5500" t="s">
        <v>11366</v>
      </c>
      <c r="Y5500" t="s">
        <v>4474</v>
      </c>
      <c r="Z5500" t="s">
        <v>5431</v>
      </c>
      <c r="AA5500" t="s">
        <v>5432</v>
      </c>
      <c r="AB5500" t="s">
        <v>5431</v>
      </c>
      <c r="AC5500" t="s">
        <v>860</v>
      </c>
      <c r="AD5500" t="s">
        <v>219</v>
      </c>
      <c r="AE5500" t="s">
        <v>11368</v>
      </c>
      <c r="AF5500" t="s">
        <v>11372</v>
      </c>
    </row>
    <row r="5501" spans="1:32" hidden="1" x14ac:dyDescent="0.35">
      <c r="A5501">
        <v>5500</v>
      </c>
      <c r="B5501" t="s">
        <v>11373</v>
      </c>
      <c r="C5501" t="s">
        <v>57</v>
      </c>
      <c r="D5501" t="s">
        <v>60</v>
      </c>
      <c r="E5501">
        <v>1104</v>
      </c>
      <c r="F5501">
        <v>4</v>
      </c>
      <c r="G5501">
        <v>4</v>
      </c>
      <c r="H5501">
        <v>1</v>
      </c>
      <c r="I5501">
        <v>0</v>
      </c>
      <c r="J5501">
        <v>0.84462095875139398</v>
      </c>
      <c r="K5501">
        <v>0.99174534641836698</v>
      </c>
      <c r="L5501">
        <v>0.91228956115231996</v>
      </c>
      <c r="M5501">
        <v>0.66666666666666696</v>
      </c>
      <c r="N5501">
        <v>0.99253731343283602</v>
      </c>
      <c r="O5501">
        <v>0.77653399668324996</v>
      </c>
      <c r="P5501" t="s">
        <v>4358</v>
      </c>
      <c r="Q5501" t="s">
        <v>4359</v>
      </c>
      <c r="R5501" t="s">
        <v>319</v>
      </c>
      <c r="S5501" t="s">
        <v>320</v>
      </c>
      <c r="T5501" t="s">
        <v>11374</v>
      </c>
      <c r="U5501" t="s">
        <v>9714</v>
      </c>
      <c r="V5501" t="s">
        <v>4360</v>
      </c>
      <c r="W5501" t="s">
        <v>4361</v>
      </c>
      <c r="AD5501" t="s">
        <v>166</v>
      </c>
      <c r="AE5501" t="s">
        <v>9717</v>
      </c>
      <c r="AF5501" t="s">
        <v>11375</v>
      </c>
    </row>
    <row r="5502" spans="1:32" hidden="1" x14ac:dyDescent="0.35">
      <c r="A5502">
        <v>5501</v>
      </c>
      <c r="B5502" t="s">
        <v>11373</v>
      </c>
      <c r="C5502" t="s">
        <v>57</v>
      </c>
      <c r="D5502" t="s">
        <v>62</v>
      </c>
      <c r="E5502">
        <v>1140</v>
      </c>
      <c r="F5502">
        <v>4</v>
      </c>
      <c r="G5502">
        <v>4</v>
      </c>
      <c r="H5502">
        <v>1</v>
      </c>
      <c r="I5502">
        <v>0</v>
      </c>
      <c r="J5502">
        <v>0.84462095875139398</v>
      </c>
      <c r="K5502">
        <v>0.99174534641836698</v>
      </c>
      <c r="L5502">
        <v>0.91228956115231996</v>
      </c>
      <c r="M5502">
        <v>0.66666666666666696</v>
      </c>
      <c r="N5502">
        <v>0.99253731343283602</v>
      </c>
      <c r="O5502">
        <v>0.77653399668324996</v>
      </c>
      <c r="P5502" t="s">
        <v>4358</v>
      </c>
      <c r="Q5502" t="s">
        <v>4359</v>
      </c>
      <c r="R5502" t="s">
        <v>319</v>
      </c>
      <c r="S5502" t="s">
        <v>320</v>
      </c>
      <c r="T5502" t="s">
        <v>11374</v>
      </c>
      <c r="U5502" t="s">
        <v>9714</v>
      </c>
      <c r="V5502" t="s">
        <v>4360</v>
      </c>
      <c r="W5502" t="s">
        <v>4361</v>
      </c>
      <c r="AD5502" t="s">
        <v>166</v>
      </c>
      <c r="AE5502" t="s">
        <v>9717</v>
      </c>
      <c r="AF5502" t="s">
        <v>11376</v>
      </c>
    </row>
    <row r="5503" spans="1:32" hidden="1" x14ac:dyDescent="0.35">
      <c r="A5503">
        <v>5502</v>
      </c>
      <c r="B5503" t="s">
        <v>11373</v>
      </c>
      <c r="C5503" t="s">
        <v>57</v>
      </c>
      <c r="D5503" t="s">
        <v>34</v>
      </c>
      <c r="E5503">
        <v>1936</v>
      </c>
      <c r="F5503">
        <v>4</v>
      </c>
      <c r="G5503">
        <v>4</v>
      </c>
      <c r="H5503">
        <v>1</v>
      </c>
      <c r="I5503">
        <v>0</v>
      </c>
      <c r="J5503">
        <v>0.84462095875139398</v>
      </c>
      <c r="K5503">
        <v>0.99174534641836698</v>
      </c>
      <c r="L5503">
        <v>0.91228956115231996</v>
      </c>
      <c r="M5503">
        <v>0.66666666666666696</v>
      </c>
      <c r="N5503">
        <v>0.99253731343283602</v>
      </c>
      <c r="O5503">
        <v>0.77653399668324996</v>
      </c>
      <c r="P5503" t="s">
        <v>4358</v>
      </c>
      <c r="Q5503" t="s">
        <v>4359</v>
      </c>
      <c r="R5503" t="s">
        <v>319</v>
      </c>
      <c r="S5503" t="s">
        <v>320</v>
      </c>
      <c r="T5503" t="s">
        <v>11374</v>
      </c>
      <c r="U5503" t="s">
        <v>9714</v>
      </c>
      <c r="V5503" t="s">
        <v>4360</v>
      </c>
      <c r="W5503" t="s">
        <v>4361</v>
      </c>
      <c r="AD5503" t="s">
        <v>166</v>
      </c>
      <c r="AE5503" t="s">
        <v>9717</v>
      </c>
      <c r="AF5503" t="s">
        <v>11377</v>
      </c>
    </row>
    <row r="5504" spans="1:32" hidden="1" x14ac:dyDescent="0.35">
      <c r="A5504">
        <v>5503</v>
      </c>
      <c r="B5504" t="s">
        <v>11373</v>
      </c>
      <c r="C5504" t="s">
        <v>57</v>
      </c>
      <c r="D5504" t="s">
        <v>45</v>
      </c>
      <c r="E5504">
        <v>937</v>
      </c>
      <c r="F5504">
        <v>4</v>
      </c>
      <c r="G5504">
        <v>4</v>
      </c>
      <c r="H5504">
        <v>1</v>
      </c>
      <c r="I5504">
        <v>0</v>
      </c>
      <c r="J5504">
        <v>0.84462095875139398</v>
      </c>
      <c r="K5504">
        <v>0.99174534641836698</v>
      </c>
      <c r="L5504">
        <v>0.91228956115231996</v>
      </c>
      <c r="M5504">
        <v>0.66666666666666696</v>
      </c>
      <c r="N5504">
        <v>0.99253731343283602</v>
      </c>
      <c r="O5504">
        <v>0.77653399668324996</v>
      </c>
      <c r="P5504" t="s">
        <v>4358</v>
      </c>
      <c r="Q5504" t="s">
        <v>4359</v>
      </c>
      <c r="R5504" t="s">
        <v>319</v>
      </c>
      <c r="S5504" t="s">
        <v>320</v>
      </c>
      <c r="T5504" t="s">
        <v>11374</v>
      </c>
      <c r="U5504" t="s">
        <v>9714</v>
      </c>
      <c r="V5504" t="s">
        <v>4360</v>
      </c>
      <c r="W5504" t="s">
        <v>4361</v>
      </c>
      <c r="AD5504" t="s">
        <v>166</v>
      </c>
      <c r="AE5504" t="s">
        <v>9717</v>
      </c>
      <c r="AF5504" t="s">
        <v>11378</v>
      </c>
    </row>
    <row r="5505" spans="1:32" hidden="1" x14ac:dyDescent="0.35">
      <c r="A5505">
        <v>5504</v>
      </c>
      <c r="B5505" t="s">
        <v>11379</v>
      </c>
      <c r="C5505" t="s">
        <v>57</v>
      </c>
      <c r="D5505" t="s">
        <v>60</v>
      </c>
      <c r="E5505">
        <v>62</v>
      </c>
      <c r="F5505">
        <v>4</v>
      </c>
      <c r="G5505">
        <v>4</v>
      </c>
      <c r="H5505">
        <v>1</v>
      </c>
      <c r="I5505">
        <v>0</v>
      </c>
      <c r="J5505">
        <v>0.81446776611694105</v>
      </c>
      <c r="K5505">
        <v>0.85040626983624801</v>
      </c>
      <c r="L5505">
        <v>0.83204912795558095</v>
      </c>
      <c r="M5505">
        <v>0.56741573033707904</v>
      </c>
      <c r="N5505">
        <v>0.83707865168539297</v>
      </c>
      <c r="O5505">
        <v>0.70131086142322097</v>
      </c>
      <c r="P5505" t="s">
        <v>4358</v>
      </c>
      <c r="Q5505" t="s">
        <v>4359</v>
      </c>
      <c r="R5505" t="s">
        <v>319</v>
      </c>
      <c r="S5505" t="s">
        <v>320</v>
      </c>
      <c r="T5505" t="s">
        <v>11380</v>
      </c>
      <c r="U5505" t="s">
        <v>11381</v>
      </c>
      <c r="V5505" t="s">
        <v>4360</v>
      </c>
      <c r="W5505" t="s">
        <v>4361</v>
      </c>
      <c r="AD5505" t="s">
        <v>166</v>
      </c>
      <c r="AE5505" t="s">
        <v>6730</v>
      </c>
      <c r="AF5505" t="e">
        <f>----------------------------------------------------------------------MRHLNERIALCTVLCGFFVVMLDTTIVNVSLPYIGKDLGGTTSSLQWVVDSYTLLFAALLLTSGTACDRLGTRYIYCAGLITFAIFSFSCALSTSMCALIIFRAFQGIGAAMVVPSSLVLIAEMYSDHIKRTKIIGLWGAAGGIAAALGPILGGMLVSAINWNAAFWINIPIIAVLIVLIIGYVPSRQPDNNKRFDLWGQVTSILGLSAITYLVITWGERGWNSLYIAWLIGGIMLVLC---FFIIESATPDPMLPLALFKERRFRIALFVGFCLNFSFFGQLFILSLYFQDFLGWSPWLAGLALAPQATSAIIASPLGGRCAAAYGTYPAMLAGLLVGAGGFSSLMFVSPETPYPVVAVLTFCAGFGMAFAMPAATSAAVNASPPAHVGVAGGVINTARQIGSVFGVAALGAFITSGSFLTGFHVAVLIAGGVFALAAAIVLGSMLRPRRPPLDTATFGDGVD</f>
        <v>#NAME?</v>
      </c>
    </row>
    <row r="5506" spans="1:32" hidden="1" x14ac:dyDescent="0.35">
      <c r="A5506">
        <v>5505</v>
      </c>
      <c r="B5506" t="s">
        <v>11379</v>
      </c>
      <c r="C5506" t="s">
        <v>57</v>
      </c>
      <c r="D5506" t="s">
        <v>62</v>
      </c>
      <c r="E5506">
        <v>135</v>
      </c>
      <c r="F5506">
        <v>4</v>
      </c>
      <c r="G5506">
        <v>4</v>
      </c>
      <c r="H5506">
        <v>1</v>
      </c>
      <c r="I5506">
        <v>0</v>
      </c>
      <c r="J5506">
        <v>0.81446776611694105</v>
      </c>
      <c r="K5506">
        <v>0.85040626983624801</v>
      </c>
      <c r="L5506">
        <v>0.83204912795558095</v>
      </c>
      <c r="M5506">
        <v>0.56741573033707904</v>
      </c>
      <c r="N5506">
        <v>0.83707865168539297</v>
      </c>
      <c r="O5506">
        <v>0.70131086142322097</v>
      </c>
      <c r="P5506" t="s">
        <v>4358</v>
      </c>
      <c r="Q5506" t="s">
        <v>4359</v>
      </c>
      <c r="R5506" t="s">
        <v>319</v>
      </c>
      <c r="S5506" t="s">
        <v>320</v>
      </c>
      <c r="T5506" t="s">
        <v>11380</v>
      </c>
      <c r="U5506" t="s">
        <v>11381</v>
      </c>
      <c r="V5506" t="s">
        <v>4360</v>
      </c>
      <c r="W5506" t="s">
        <v>4361</v>
      </c>
      <c r="AD5506" t="s">
        <v>166</v>
      </c>
      <c r="AE5506" t="s">
        <v>6730</v>
      </c>
      <c r="AF5506" t="s">
        <v>11382</v>
      </c>
    </row>
    <row r="5507" spans="1:32" hidden="1" x14ac:dyDescent="0.35">
      <c r="A5507">
        <v>5506</v>
      </c>
      <c r="B5507" t="s">
        <v>11379</v>
      </c>
      <c r="C5507" t="s">
        <v>57</v>
      </c>
      <c r="D5507" t="s">
        <v>34</v>
      </c>
      <c r="E5507">
        <v>1624</v>
      </c>
      <c r="F5507">
        <v>4</v>
      </c>
      <c r="G5507">
        <v>4</v>
      </c>
      <c r="H5507">
        <v>1</v>
      </c>
      <c r="I5507">
        <v>0</v>
      </c>
      <c r="J5507">
        <v>0.81446776611694105</v>
      </c>
      <c r="K5507">
        <v>0.85040626983624801</v>
      </c>
      <c r="L5507">
        <v>0.83204912795558095</v>
      </c>
      <c r="M5507">
        <v>0.56741573033707904</v>
      </c>
      <c r="N5507">
        <v>0.83707865168539297</v>
      </c>
      <c r="O5507">
        <v>0.70131086142322097</v>
      </c>
      <c r="P5507" t="s">
        <v>4358</v>
      </c>
      <c r="Q5507" t="s">
        <v>4359</v>
      </c>
      <c r="R5507" t="s">
        <v>319</v>
      </c>
      <c r="S5507" t="s">
        <v>320</v>
      </c>
      <c r="T5507" t="s">
        <v>11380</v>
      </c>
      <c r="U5507" t="s">
        <v>11381</v>
      </c>
      <c r="V5507" t="s">
        <v>4360</v>
      </c>
      <c r="W5507" t="s">
        <v>4361</v>
      </c>
      <c r="AD5507" t="s">
        <v>166</v>
      </c>
      <c r="AE5507" t="s">
        <v>6730</v>
      </c>
      <c r="AF5507" t="s">
        <v>11383</v>
      </c>
    </row>
    <row r="5508" spans="1:32" ht="13.5" hidden="1" customHeight="1" x14ac:dyDescent="0.35">
      <c r="A5508">
        <v>5507</v>
      </c>
      <c r="B5508" t="s">
        <v>11379</v>
      </c>
      <c r="C5508" t="s">
        <v>57</v>
      </c>
      <c r="D5508" t="s">
        <v>45</v>
      </c>
      <c r="E5508">
        <v>374</v>
      </c>
      <c r="F5508">
        <v>4</v>
      </c>
      <c r="G5508">
        <v>4</v>
      </c>
      <c r="H5508">
        <v>1</v>
      </c>
      <c r="I5508">
        <v>0</v>
      </c>
      <c r="J5508">
        <v>0.81446776611694105</v>
      </c>
      <c r="K5508">
        <v>0.85040626983624801</v>
      </c>
      <c r="L5508">
        <v>0.83204912795558095</v>
      </c>
      <c r="M5508">
        <v>0.56741573033707904</v>
      </c>
      <c r="N5508">
        <v>0.83707865168539297</v>
      </c>
      <c r="O5508">
        <v>0.70131086142322097</v>
      </c>
      <c r="P5508" t="s">
        <v>4358</v>
      </c>
      <c r="Q5508" t="s">
        <v>4359</v>
      </c>
      <c r="R5508" t="s">
        <v>319</v>
      </c>
      <c r="S5508" t="s">
        <v>320</v>
      </c>
      <c r="T5508" t="s">
        <v>11380</v>
      </c>
      <c r="U5508" t="s">
        <v>11381</v>
      </c>
      <c r="V5508" t="s">
        <v>4360</v>
      </c>
      <c r="W5508" t="s">
        <v>4361</v>
      </c>
      <c r="AD5508" t="s">
        <v>166</v>
      </c>
      <c r="AE5508" t="s">
        <v>6730</v>
      </c>
      <c r="AF5508" t="s">
        <v>11384</v>
      </c>
    </row>
    <row r="5509" spans="1:32" s="1" customFormat="1" hidden="1" x14ac:dyDescent="0.35">
      <c r="A5509" s="1">
        <v>5508</v>
      </c>
      <c r="B5509" s="1" t="s">
        <v>11385</v>
      </c>
      <c r="C5509" s="1" t="s">
        <v>57</v>
      </c>
      <c r="D5509" s="1" t="s">
        <v>60</v>
      </c>
      <c r="E5509" s="1">
        <v>1828</v>
      </c>
      <c r="F5509" s="1">
        <v>4</v>
      </c>
      <c r="G5509" s="1">
        <v>4</v>
      </c>
      <c r="H5509" s="1">
        <v>1</v>
      </c>
      <c r="I5509" s="1">
        <v>0</v>
      </c>
      <c r="J5509" s="1">
        <v>0.88536995515695105</v>
      </c>
      <c r="K5509" s="1">
        <v>0.93116387155486102</v>
      </c>
      <c r="L5509" s="1">
        <v>0.90768969240130004</v>
      </c>
      <c r="M5509" s="1">
        <v>0.71138845553822105</v>
      </c>
      <c r="N5509" s="1">
        <v>0.98751950078003103</v>
      </c>
      <c r="O5509" s="1">
        <v>0.81201248049922004</v>
      </c>
      <c r="P5509" s="1" t="s">
        <v>11386</v>
      </c>
      <c r="Q5509" s="1" t="s">
        <v>11387</v>
      </c>
      <c r="R5509" s="1" t="s">
        <v>213</v>
      </c>
      <c r="S5509" s="1" t="s">
        <v>214</v>
      </c>
      <c r="T5509" s="1" t="s">
        <v>11388</v>
      </c>
      <c r="U5509" s="1" t="s">
        <v>11389</v>
      </c>
      <c r="V5509" s="1" t="s">
        <v>11390</v>
      </c>
      <c r="W5509" s="1" t="s">
        <v>11391</v>
      </c>
      <c r="X5509" s="1" t="s">
        <v>11390</v>
      </c>
      <c r="Y5509" s="1" t="s">
        <v>3014</v>
      </c>
      <c r="AD5509" s="1" t="s">
        <v>245</v>
      </c>
      <c r="AE5509" s="1" t="s">
        <v>11392</v>
      </c>
      <c r="AF5509" s="1" t="s">
        <v>11393</v>
      </c>
    </row>
    <row r="5510" spans="1:32" s="1" customFormat="1" hidden="1" x14ac:dyDescent="0.35">
      <c r="A5510" s="1">
        <v>5509</v>
      </c>
      <c r="B5510" s="1" t="s">
        <v>11385</v>
      </c>
      <c r="C5510" s="1" t="s">
        <v>57</v>
      </c>
      <c r="D5510" s="1" t="s">
        <v>62</v>
      </c>
      <c r="E5510" s="1">
        <v>1866</v>
      </c>
      <c r="F5510" s="1">
        <v>4</v>
      </c>
      <c r="G5510" s="1">
        <v>4</v>
      </c>
      <c r="H5510" s="1">
        <v>1</v>
      </c>
      <c r="I5510" s="1">
        <v>0</v>
      </c>
      <c r="J5510" s="1">
        <v>0.88536995515695105</v>
      </c>
      <c r="K5510" s="1">
        <v>0.93116387155486102</v>
      </c>
      <c r="L5510" s="1">
        <v>0.90768969240130004</v>
      </c>
      <c r="M5510" s="1">
        <v>0.71138845553822105</v>
      </c>
      <c r="N5510" s="1">
        <v>0.98751950078003103</v>
      </c>
      <c r="O5510" s="1">
        <v>0.81201248049922004</v>
      </c>
      <c r="P5510" s="1" t="s">
        <v>11386</v>
      </c>
      <c r="Q5510" s="1" t="s">
        <v>11387</v>
      </c>
      <c r="R5510" s="1" t="s">
        <v>213</v>
      </c>
      <c r="S5510" s="1" t="s">
        <v>214</v>
      </c>
      <c r="T5510" s="1" t="s">
        <v>11388</v>
      </c>
      <c r="U5510" s="1" t="s">
        <v>11389</v>
      </c>
      <c r="V5510" s="1" t="s">
        <v>11390</v>
      </c>
      <c r="W5510" s="1" t="s">
        <v>11391</v>
      </c>
      <c r="X5510" s="1" t="s">
        <v>11390</v>
      </c>
      <c r="Y5510" s="1" t="s">
        <v>3014</v>
      </c>
      <c r="AD5510" s="1" t="s">
        <v>245</v>
      </c>
      <c r="AE5510" s="1" t="s">
        <v>11392</v>
      </c>
      <c r="AF5510" s="1" t="s">
        <v>11394</v>
      </c>
    </row>
    <row r="5511" spans="1:32" s="1" customFormat="1" hidden="1" x14ac:dyDescent="0.35">
      <c r="A5511" s="1">
        <v>5510</v>
      </c>
      <c r="B5511" s="1" t="s">
        <v>11385</v>
      </c>
      <c r="C5511" s="1" t="s">
        <v>57</v>
      </c>
      <c r="D5511" s="1" t="s">
        <v>34</v>
      </c>
      <c r="E5511" s="1">
        <v>778</v>
      </c>
      <c r="F5511" s="1">
        <v>4</v>
      </c>
      <c r="G5511" s="1">
        <v>4</v>
      </c>
      <c r="H5511" s="1">
        <v>1</v>
      </c>
      <c r="I5511" s="1">
        <v>0</v>
      </c>
      <c r="J5511" s="1">
        <v>0.88536995515695105</v>
      </c>
      <c r="K5511" s="1">
        <v>0.93116387155486102</v>
      </c>
      <c r="L5511" s="1">
        <v>0.90768969240130004</v>
      </c>
      <c r="M5511" s="1">
        <v>0.71138845553822105</v>
      </c>
      <c r="N5511" s="1">
        <v>0.98751950078003103</v>
      </c>
      <c r="O5511" s="1">
        <v>0.81201248049922004</v>
      </c>
      <c r="P5511" s="1" t="s">
        <v>11386</v>
      </c>
      <c r="Q5511" s="1" t="s">
        <v>11387</v>
      </c>
      <c r="R5511" s="1" t="s">
        <v>213</v>
      </c>
      <c r="S5511" s="1" t="s">
        <v>214</v>
      </c>
      <c r="T5511" s="1" t="s">
        <v>11388</v>
      </c>
      <c r="U5511" s="1" t="s">
        <v>11389</v>
      </c>
      <c r="V5511" s="1" t="s">
        <v>11390</v>
      </c>
      <c r="W5511" s="1" t="s">
        <v>11391</v>
      </c>
      <c r="X5511" s="1" t="s">
        <v>11390</v>
      </c>
      <c r="Y5511" s="1" t="s">
        <v>3014</v>
      </c>
      <c r="AD5511" s="1" t="s">
        <v>245</v>
      </c>
      <c r="AE5511" s="1" t="s">
        <v>11392</v>
      </c>
      <c r="AF5511" s="1" t="s">
        <v>11395</v>
      </c>
    </row>
    <row r="5512" spans="1:32" s="1" customFormat="1" hidden="1" x14ac:dyDescent="0.35">
      <c r="A5512" s="1">
        <v>5511</v>
      </c>
      <c r="B5512" s="1" t="s">
        <v>11385</v>
      </c>
      <c r="C5512" s="1" t="s">
        <v>57</v>
      </c>
      <c r="D5512" s="1" t="s">
        <v>45</v>
      </c>
      <c r="E5512" s="1">
        <v>2044</v>
      </c>
      <c r="F5512" s="1">
        <v>4</v>
      </c>
      <c r="G5512" s="1">
        <v>4</v>
      </c>
      <c r="H5512" s="1">
        <v>1</v>
      </c>
      <c r="I5512" s="1">
        <v>0</v>
      </c>
      <c r="J5512" s="1">
        <v>0.88536995515695105</v>
      </c>
      <c r="K5512" s="1">
        <v>0.93116387155486102</v>
      </c>
      <c r="L5512" s="1">
        <v>0.90768969240130004</v>
      </c>
      <c r="M5512" s="1">
        <v>0.71138845553822105</v>
      </c>
      <c r="N5512" s="1">
        <v>0.98751950078003103</v>
      </c>
      <c r="O5512" s="1">
        <v>0.81201248049922004</v>
      </c>
      <c r="P5512" s="1" t="s">
        <v>11386</v>
      </c>
      <c r="Q5512" s="1" t="s">
        <v>11387</v>
      </c>
      <c r="R5512" s="1" t="s">
        <v>213</v>
      </c>
      <c r="S5512" s="1" t="s">
        <v>214</v>
      </c>
      <c r="T5512" s="1" t="s">
        <v>11388</v>
      </c>
      <c r="U5512" s="1" t="s">
        <v>11389</v>
      </c>
      <c r="V5512" s="1" t="s">
        <v>11390</v>
      </c>
      <c r="W5512" s="1" t="s">
        <v>11391</v>
      </c>
      <c r="X5512" s="1" t="s">
        <v>11390</v>
      </c>
      <c r="Y5512" s="1" t="s">
        <v>3014</v>
      </c>
      <c r="AD5512" s="1" t="s">
        <v>245</v>
      </c>
      <c r="AE5512" s="1" t="s">
        <v>11392</v>
      </c>
      <c r="AF5512" s="1" t="s">
        <v>11396</v>
      </c>
    </row>
    <row r="5513" spans="1:32" hidden="1" x14ac:dyDescent="0.35">
      <c r="A5513">
        <v>5512</v>
      </c>
      <c r="B5513" t="s">
        <v>11397</v>
      </c>
      <c r="C5513" t="s">
        <v>57</v>
      </c>
      <c r="D5513" t="s">
        <v>60</v>
      </c>
      <c r="E5513">
        <v>1359</v>
      </c>
      <c r="F5513">
        <v>4</v>
      </c>
      <c r="G5513">
        <v>4</v>
      </c>
      <c r="H5513">
        <v>1</v>
      </c>
      <c r="I5513">
        <v>0</v>
      </c>
      <c r="J5513">
        <v>0.78554476806903994</v>
      </c>
      <c r="K5513">
        <v>0.90446748373577801</v>
      </c>
      <c r="L5513">
        <v>0.84082195141300797</v>
      </c>
      <c r="M5513">
        <v>0.55052264808362406</v>
      </c>
      <c r="N5513">
        <v>0.98606271777003496</v>
      </c>
      <c r="O5513">
        <v>0.70499419279907105</v>
      </c>
      <c r="P5513" t="s">
        <v>11398</v>
      </c>
      <c r="Q5513" t="s">
        <v>11399</v>
      </c>
      <c r="R5513" t="s">
        <v>8647</v>
      </c>
      <c r="S5513" t="s">
        <v>8648</v>
      </c>
      <c r="V5513" t="s">
        <v>9316</v>
      </c>
      <c r="W5513" t="s">
        <v>9317</v>
      </c>
      <c r="X5513" t="s">
        <v>9316</v>
      </c>
      <c r="Y5513" t="s">
        <v>875</v>
      </c>
      <c r="AF5513" t="s">
        <v>11400</v>
      </c>
    </row>
    <row r="5514" spans="1:32" hidden="1" x14ac:dyDescent="0.35">
      <c r="A5514">
        <v>5513</v>
      </c>
      <c r="B5514" t="s">
        <v>11397</v>
      </c>
      <c r="C5514" t="s">
        <v>57</v>
      </c>
      <c r="D5514" t="s">
        <v>62</v>
      </c>
      <c r="E5514">
        <v>1395</v>
      </c>
      <c r="F5514">
        <v>4</v>
      </c>
      <c r="G5514">
        <v>4</v>
      </c>
      <c r="H5514">
        <v>1</v>
      </c>
      <c r="I5514">
        <v>0</v>
      </c>
      <c r="J5514">
        <v>0.78554476806903994</v>
      </c>
      <c r="K5514">
        <v>0.90446748373577801</v>
      </c>
      <c r="L5514">
        <v>0.84082195141300797</v>
      </c>
      <c r="M5514">
        <v>0.55052264808362406</v>
      </c>
      <c r="N5514">
        <v>0.98606271777003496</v>
      </c>
      <c r="O5514">
        <v>0.70499419279907105</v>
      </c>
      <c r="P5514" t="s">
        <v>11398</v>
      </c>
      <c r="Q5514" t="s">
        <v>11399</v>
      </c>
      <c r="R5514" t="s">
        <v>8647</v>
      </c>
      <c r="S5514" t="s">
        <v>8648</v>
      </c>
      <c r="V5514" t="s">
        <v>9316</v>
      </c>
      <c r="W5514" t="s">
        <v>9317</v>
      </c>
      <c r="X5514" t="s">
        <v>9316</v>
      </c>
      <c r="Y5514" t="s">
        <v>875</v>
      </c>
      <c r="AF5514" t="s">
        <v>11401</v>
      </c>
    </row>
    <row r="5515" spans="1:32" hidden="1" x14ac:dyDescent="0.35">
      <c r="A5515">
        <v>5514</v>
      </c>
      <c r="B5515" t="s">
        <v>11397</v>
      </c>
      <c r="C5515" t="s">
        <v>57</v>
      </c>
      <c r="D5515" t="s">
        <v>34</v>
      </c>
      <c r="E5515">
        <v>1058</v>
      </c>
      <c r="F5515">
        <v>4</v>
      </c>
      <c r="G5515">
        <v>4</v>
      </c>
      <c r="H5515">
        <v>1</v>
      </c>
      <c r="I5515">
        <v>0</v>
      </c>
      <c r="J5515">
        <v>0.78554476806903994</v>
      </c>
      <c r="K5515">
        <v>0.90446748373577801</v>
      </c>
      <c r="L5515">
        <v>0.84082195141300797</v>
      </c>
      <c r="M5515">
        <v>0.55052264808362406</v>
      </c>
      <c r="N5515">
        <v>0.98606271777003496</v>
      </c>
      <c r="O5515">
        <v>0.70499419279907105</v>
      </c>
      <c r="P5515" t="s">
        <v>11398</v>
      </c>
      <c r="Q5515" t="s">
        <v>11399</v>
      </c>
      <c r="R5515" t="s">
        <v>8647</v>
      </c>
      <c r="S5515" t="s">
        <v>8648</v>
      </c>
      <c r="V5515" t="s">
        <v>9316</v>
      </c>
      <c r="W5515" t="s">
        <v>9317</v>
      </c>
      <c r="X5515" t="s">
        <v>9316</v>
      </c>
      <c r="Y5515" t="s">
        <v>875</v>
      </c>
      <c r="AF5515" t="s">
        <v>11402</v>
      </c>
    </row>
    <row r="5516" spans="1:32" hidden="1" x14ac:dyDescent="0.35">
      <c r="A5516">
        <v>5515</v>
      </c>
      <c r="B5516" t="s">
        <v>11397</v>
      </c>
      <c r="C5516" t="s">
        <v>57</v>
      </c>
      <c r="D5516" t="s">
        <v>45</v>
      </c>
      <c r="E5516">
        <v>2314</v>
      </c>
      <c r="F5516">
        <v>4</v>
      </c>
      <c r="G5516">
        <v>4</v>
      </c>
      <c r="H5516">
        <v>1</v>
      </c>
      <c r="I5516">
        <v>0</v>
      </c>
      <c r="J5516">
        <v>0.78554476806903994</v>
      </c>
      <c r="K5516">
        <v>0.90446748373577801</v>
      </c>
      <c r="L5516">
        <v>0.84082195141300797</v>
      </c>
      <c r="M5516">
        <v>0.55052264808362406</v>
      </c>
      <c r="N5516">
        <v>0.98606271777003496</v>
      </c>
      <c r="O5516">
        <v>0.70499419279907105</v>
      </c>
      <c r="P5516" t="s">
        <v>11398</v>
      </c>
      <c r="Q5516" t="s">
        <v>11399</v>
      </c>
      <c r="R5516" t="s">
        <v>8647</v>
      </c>
      <c r="S5516" t="s">
        <v>8648</v>
      </c>
      <c r="V5516" t="s">
        <v>9316</v>
      </c>
      <c r="W5516" t="s">
        <v>9317</v>
      </c>
      <c r="X5516" t="s">
        <v>9316</v>
      </c>
      <c r="Y5516" t="s">
        <v>875</v>
      </c>
      <c r="AF5516" t="s">
        <v>11403</v>
      </c>
    </row>
    <row r="5517" spans="1:32" hidden="1" x14ac:dyDescent="0.35">
      <c r="A5517">
        <v>5516</v>
      </c>
      <c r="B5517" t="s">
        <v>11404</v>
      </c>
      <c r="C5517" t="s">
        <v>57</v>
      </c>
      <c r="D5517" t="s">
        <v>60</v>
      </c>
      <c r="E5517">
        <v>442</v>
      </c>
      <c r="F5517">
        <v>4</v>
      </c>
      <c r="G5517">
        <v>4</v>
      </c>
      <c r="H5517">
        <v>1</v>
      </c>
      <c r="I5517">
        <v>0</v>
      </c>
      <c r="J5517">
        <v>0.77758047625552096</v>
      </c>
      <c r="K5517">
        <v>0.93992597856339699</v>
      </c>
      <c r="L5517">
        <v>0.85108045795766196</v>
      </c>
      <c r="M5517">
        <v>0.50692307692307703</v>
      </c>
      <c r="N5517">
        <v>0.98538461538461497</v>
      </c>
      <c r="O5517">
        <v>0.66564102564102601</v>
      </c>
      <c r="P5517" t="s">
        <v>6358</v>
      </c>
      <c r="Q5517" t="s">
        <v>6359</v>
      </c>
      <c r="R5517" t="s">
        <v>1474</v>
      </c>
      <c r="S5517" t="s">
        <v>1475</v>
      </c>
      <c r="T5517" t="s">
        <v>11405</v>
      </c>
      <c r="U5517" t="s">
        <v>11406</v>
      </c>
      <c r="V5517" t="s">
        <v>6362</v>
      </c>
      <c r="W5517" t="s">
        <v>6363</v>
      </c>
      <c r="AD5517" t="s">
        <v>4789</v>
      </c>
      <c r="AE5517" t="s">
        <v>4790</v>
      </c>
      <c r="AF5517" t="s">
        <v>11407</v>
      </c>
    </row>
    <row r="5518" spans="1:32" hidden="1" x14ac:dyDescent="0.35">
      <c r="A5518">
        <v>5517</v>
      </c>
      <c r="B5518" t="s">
        <v>11404</v>
      </c>
      <c r="C5518" t="s">
        <v>57</v>
      </c>
      <c r="D5518" t="s">
        <v>62</v>
      </c>
      <c r="E5518">
        <v>523</v>
      </c>
      <c r="F5518">
        <v>4</v>
      </c>
      <c r="G5518">
        <v>4</v>
      </c>
      <c r="H5518">
        <v>1</v>
      </c>
      <c r="I5518">
        <v>0</v>
      </c>
      <c r="J5518">
        <v>0.77758047625552096</v>
      </c>
      <c r="K5518">
        <v>0.93992597856339699</v>
      </c>
      <c r="L5518">
        <v>0.85108045795766196</v>
      </c>
      <c r="M5518">
        <v>0.50692307692307703</v>
      </c>
      <c r="N5518">
        <v>0.98538461538461497</v>
      </c>
      <c r="O5518">
        <v>0.66564102564102601</v>
      </c>
      <c r="P5518" t="s">
        <v>6358</v>
      </c>
      <c r="Q5518" t="s">
        <v>6359</v>
      </c>
      <c r="R5518" t="s">
        <v>1474</v>
      </c>
      <c r="S5518" t="s">
        <v>1475</v>
      </c>
      <c r="T5518" t="s">
        <v>11405</v>
      </c>
      <c r="U5518" t="s">
        <v>11406</v>
      </c>
      <c r="V5518" t="s">
        <v>6362</v>
      </c>
      <c r="W5518" t="s">
        <v>6363</v>
      </c>
      <c r="AD5518" t="s">
        <v>4789</v>
      </c>
      <c r="AE5518" t="s">
        <v>4790</v>
      </c>
      <c r="AF5518" t="s">
        <v>11408</v>
      </c>
    </row>
    <row r="5519" spans="1:32" hidden="1" x14ac:dyDescent="0.35">
      <c r="A5519">
        <v>5518</v>
      </c>
      <c r="B5519" t="s">
        <v>11404</v>
      </c>
      <c r="C5519" t="s">
        <v>57</v>
      </c>
      <c r="D5519" t="s">
        <v>34</v>
      </c>
      <c r="E5519">
        <v>644</v>
      </c>
      <c r="F5519">
        <v>4</v>
      </c>
      <c r="G5519">
        <v>4</v>
      </c>
      <c r="H5519">
        <v>1</v>
      </c>
      <c r="I5519">
        <v>0</v>
      </c>
      <c r="J5519">
        <v>0.77758047625552096</v>
      </c>
      <c r="K5519">
        <v>0.93992597856339699</v>
      </c>
      <c r="L5519">
        <v>0.85108045795766196</v>
      </c>
      <c r="M5519">
        <v>0.50692307692307703</v>
      </c>
      <c r="N5519">
        <v>0.98538461538461497</v>
      </c>
      <c r="O5519">
        <v>0.66564102564102601</v>
      </c>
      <c r="P5519" t="s">
        <v>6358</v>
      </c>
      <c r="Q5519" t="s">
        <v>6359</v>
      </c>
      <c r="R5519" t="s">
        <v>1474</v>
      </c>
      <c r="S5519" t="s">
        <v>1475</v>
      </c>
      <c r="T5519" t="s">
        <v>11405</v>
      </c>
      <c r="U5519" t="s">
        <v>11406</v>
      </c>
      <c r="V5519" t="s">
        <v>6362</v>
      </c>
      <c r="W5519" t="s">
        <v>6363</v>
      </c>
      <c r="AD5519" t="s">
        <v>4789</v>
      </c>
      <c r="AE5519" t="s">
        <v>4790</v>
      </c>
      <c r="AF5519" t="s">
        <v>11409</v>
      </c>
    </row>
    <row r="5520" spans="1:32" hidden="1" x14ac:dyDescent="0.35">
      <c r="A5520">
        <v>5519</v>
      </c>
      <c r="B5520" t="s">
        <v>11404</v>
      </c>
      <c r="C5520" t="s">
        <v>57</v>
      </c>
      <c r="D5520" t="s">
        <v>45</v>
      </c>
      <c r="E5520">
        <v>1910</v>
      </c>
      <c r="F5520">
        <v>4</v>
      </c>
      <c r="G5520">
        <v>4</v>
      </c>
      <c r="H5520">
        <v>1</v>
      </c>
      <c r="I5520">
        <v>0</v>
      </c>
      <c r="J5520">
        <v>0.77758047625552096</v>
      </c>
      <c r="K5520">
        <v>0.93992597856339699</v>
      </c>
      <c r="L5520">
        <v>0.85108045795766196</v>
      </c>
      <c r="M5520">
        <v>0.50692307692307703</v>
      </c>
      <c r="N5520">
        <v>0.98538461538461497</v>
      </c>
      <c r="O5520">
        <v>0.66564102564102601</v>
      </c>
      <c r="P5520" t="s">
        <v>6358</v>
      </c>
      <c r="Q5520" t="s">
        <v>6359</v>
      </c>
      <c r="R5520" t="s">
        <v>1474</v>
      </c>
      <c r="S5520" t="s">
        <v>1475</v>
      </c>
      <c r="T5520" t="s">
        <v>11405</v>
      </c>
      <c r="U5520" t="s">
        <v>11406</v>
      </c>
      <c r="V5520" t="s">
        <v>6362</v>
      </c>
      <c r="W5520" t="s">
        <v>6363</v>
      </c>
      <c r="AD5520" t="s">
        <v>4789</v>
      </c>
      <c r="AE5520" t="s">
        <v>4790</v>
      </c>
      <c r="AF5520" t="s">
        <v>11410</v>
      </c>
    </row>
    <row r="5521" spans="1:32" hidden="1" x14ac:dyDescent="0.35">
      <c r="A5521">
        <v>5520</v>
      </c>
      <c r="B5521" t="s">
        <v>11411</v>
      </c>
      <c r="C5521" t="s">
        <v>57</v>
      </c>
      <c r="D5521" t="s">
        <v>34</v>
      </c>
      <c r="E5521">
        <v>708</v>
      </c>
      <c r="F5521">
        <v>2</v>
      </c>
      <c r="G5521">
        <v>4</v>
      </c>
      <c r="H5521">
        <v>2</v>
      </c>
      <c r="I5521">
        <v>0</v>
      </c>
      <c r="J5521">
        <v>0.832740815981039</v>
      </c>
      <c r="K5521">
        <v>0.98263383143622596</v>
      </c>
      <c r="L5521">
        <v>0.90149909250406701</v>
      </c>
      <c r="M5521">
        <v>0.67065868263473005</v>
      </c>
      <c r="N5521">
        <v>0.99700598802395202</v>
      </c>
      <c r="O5521">
        <v>0.780439121756487</v>
      </c>
      <c r="P5521" t="s">
        <v>340</v>
      </c>
      <c r="Q5521" t="s">
        <v>341</v>
      </c>
      <c r="R5521" t="s">
        <v>342</v>
      </c>
      <c r="S5521" t="s">
        <v>343</v>
      </c>
      <c r="V5521" t="s">
        <v>346</v>
      </c>
      <c r="W5521" t="s">
        <v>347</v>
      </c>
      <c r="AF5521" t="s">
        <v>11412</v>
      </c>
    </row>
    <row r="5522" spans="1:32" hidden="1" x14ac:dyDescent="0.35">
      <c r="A5522">
        <v>5521</v>
      </c>
      <c r="B5522" t="s">
        <v>11411</v>
      </c>
      <c r="C5522" t="s">
        <v>57</v>
      </c>
      <c r="D5522" t="s">
        <v>34</v>
      </c>
      <c r="E5522">
        <v>700</v>
      </c>
      <c r="F5522">
        <v>2</v>
      </c>
      <c r="G5522">
        <v>4</v>
      </c>
      <c r="H5522">
        <v>2</v>
      </c>
      <c r="I5522">
        <v>0</v>
      </c>
      <c r="J5522">
        <v>0.832740815981039</v>
      </c>
      <c r="K5522">
        <v>0.98263383143622596</v>
      </c>
      <c r="L5522">
        <v>0.90149909250406701</v>
      </c>
      <c r="M5522">
        <v>0.67065868263473005</v>
      </c>
      <c r="N5522">
        <v>0.99700598802395202</v>
      </c>
      <c r="O5522">
        <v>0.780439121756487</v>
      </c>
      <c r="P5522" t="s">
        <v>340</v>
      </c>
      <c r="Q5522" t="s">
        <v>341</v>
      </c>
      <c r="R5522" t="s">
        <v>342</v>
      </c>
      <c r="S5522" t="s">
        <v>343</v>
      </c>
      <c r="T5522" t="s">
        <v>11413</v>
      </c>
      <c r="U5522" t="s">
        <v>11414</v>
      </c>
      <c r="V5522" t="s">
        <v>346</v>
      </c>
      <c r="W5522" t="s">
        <v>347</v>
      </c>
      <c r="AD5522" t="s">
        <v>439</v>
      </c>
      <c r="AE5522" t="s">
        <v>11415</v>
      </c>
      <c r="AF5522" t="s">
        <v>11416</v>
      </c>
    </row>
    <row r="5523" spans="1:32" hidden="1" x14ac:dyDescent="0.35">
      <c r="A5523">
        <v>5522</v>
      </c>
      <c r="B5523" t="s">
        <v>11411</v>
      </c>
      <c r="C5523" t="s">
        <v>57</v>
      </c>
      <c r="D5523" t="s">
        <v>45</v>
      </c>
      <c r="E5523">
        <v>1975</v>
      </c>
      <c r="F5523">
        <v>2</v>
      </c>
      <c r="G5523">
        <v>4</v>
      </c>
      <c r="H5523">
        <v>2</v>
      </c>
      <c r="I5523">
        <v>0</v>
      </c>
      <c r="J5523">
        <v>0.832740815981039</v>
      </c>
      <c r="K5523">
        <v>0.98263383143622596</v>
      </c>
      <c r="L5523">
        <v>0.90149909250406701</v>
      </c>
      <c r="M5523">
        <v>0.67065868263473005</v>
      </c>
      <c r="N5523">
        <v>0.99700598802395202</v>
      </c>
      <c r="O5523">
        <v>0.780439121756487</v>
      </c>
      <c r="P5523" t="s">
        <v>340</v>
      </c>
      <c r="Q5523" t="s">
        <v>341</v>
      </c>
      <c r="R5523" t="s">
        <v>342</v>
      </c>
      <c r="S5523" t="s">
        <v>343</v>
      </c>
      <c r="V5523" t="s">
        <v>346</v>
      </c>
      <c r="W5523" t="s">
        <v>347</v>
      </c>
      <c r="AF5523" t="s">
        <v>11417</v>
      </c>
    </row>
    <row r="5524" spans="1:32" hidden="1" x14ac:dyDescent="0.35">
      <c r="A5524">
        <v>5523</v>
      </c>
      <c r="B5524" t="s">
        <v>11411</v>
      </c>
      <c r="C5524" t="s">
        <v>57</v>
      </c>
      <c r="D5524" t="s">
        <v>45</v>
      </c>
      <c r="E5524">
        <v>1966</v>
      </c>
      <c r="F5524">
        <v>2</v>
      </c>
      <c r="G5524">
        <v>4</v>
      </c>
      <c r="H5524">
        <v>2</v>
      </c>
      <c r="I5524">
        <v>0</v>
      </c>
      <c r="J5524">
        <v>0.832740815981039</v>
      </c>
      <c r="K5524">
        <v>0.98263383143622596</v>
      </c>
      <c r="L5524">
        <v>0.90149909250406701</v>
      </c>
      <c r="M5524">
        <v>0.67065868263473005</v>
      </c>
      <c r="N5524">
        <v>0.99700598802395202</v>
      </c>
      <c r="O5524">
        <v>0.780439121756487</v>
      </c>
      <c r="P5524" t="s">
        <v>340</v>
      </c>
      <c r="Q5524" t="s">
        <v>341</v>
      </c>
      <c r="R5524" t="s">
        <v>342</v>
      </c>
      <c r="S5524" t="s">
        <v>343</v>
      </c>
      <c r="T5524" t="s">
        <v>11413</v>
      </c>
      <c r="U5524" t="s">
        <v>11414</v>
      </c>
      <c r="V5524" t="s">
        <v>346</v>
      </c>
      <c r="W5524" t="s">
        <v>347</v>
      </c>
      <c r="AD5524" t="s">
        <v>439</v>
      </c>
      <c r="AE5524" t="s">
        <v>11415</v>
      </c>
      <c r="AF5524" t="s">
        <v>11418</v>
      </c>
    </row>
    <row r="5525" spans="1:32" hidden="1" x14ac:dyDescent="0.35">
      <c r="A5525">
        <v>5524</v>
      </c>
      <c r="B5525" t="s">
        <v>11419</v>
      </c>
      <c r="C5525" t="s">
        <v>57</v>
      </c>
      <c r="D5525" t="s">
        <v>60</v>
      </c>
      <c r="E5525">
        <v>290</v>
      </c>
      <c r="F5525">
        <v>4</v>
      </c>
      <c r="G5525">
        <v>4</v>
      </c>
      <c r="H5525">
        <v>1</v>
      </c>
      <c r="I5525">
        <v>0</v>
      </c>
      <c r="J5525">
        <v>0.71414342629482097</v>
      </c>
      <c r="K5525">
        <v>0.93712991442261395</v>
      </c>
      <c r="L5525">
        <v>0.81058072151563798</v>
      </c>
      <c r="M5525">
        <v>0.45251396648044701</v>
      </c>
      <c r="N5525">
        <v>0.994413407821229</v>
      </c>
      <c r="O5525">
        <v>0.63687150837988804</v>
      </c>
      <c r="P5525" t="s">
        <v>11420</v>
      </c>
      <c r="Q5525" t="s">
        <v>11421</v>
      </c>
      <c r="R5525" t="s">
        <v>371</v>
      </c>
      <c r="S5525" t="s">
        <v>372</v>
      </c>
      <c r="V5525" t="s">
        <v>11422</v>
      </c>
      <c r="W5525" t="s">
        <v>11423</v>
      </c>
      <c r="AF5525" t="e">
        <f>-MTTAFYAHTDTPDGPFTVIVSDGAVLGSGWTSDPKDLLPRIHQSLLPSALKKSDTEAEFALDAVRKYYDGDFAAVLRTPVRQVSGEFRSHAWDVLRGIGPGQCITYSDFAALAGRPQAVRAAASACSQNAAALFVPCHRVLSKDGSLGGFLYGTDVKKRLLEMEEDGSGNEQGWPTDA</f>
        <v>#NAME?</v>
      </c>
    </row>
    <row r="5526" spans="1:32" hidden="1" x14ac:dyDescent="0.35">
      <c r="A5526">
        <v>5525</v>
      </c>
      <c r="B5526" t="s">
        <v>11419</v>
      </c>
      <c r="C5526" t="s">
        <v>57</v>
      </c>
      <c r="D5526" t="s">
        <v>62</v>
      </c>
      <c r="E5526">
        <v>368</v>
      </c>
      <c r="F5526">
        <v>4</v>
      </c>
      <c r="G5526">
        <v>4</v>
      </c>
      <c r="H5526">
        <v>1</v>
      </c>
      <c r="I5526">
        <v>0</v>
      </c>
      <c r="J5526">
        <v>0.71414342629482097</v>
      </c>
      <c r="K5526">
        <v>0.93712991442261395</v>
      </c>
      <c r="L5526">
        <v>0.81058072151563798</v>
      </c>
      <c r="M5526">
        <v>0.45251396648044701</v>
      </c>
      <c r="N5526">
        <v>0.994413407821229</v>
      </c>
      <c r="O5526">
        <v>0.63687150837988804</v>
      </c>
      <c r="P5526" t="s">
        <v>11420</v>
      </c>
      <c r="Q5526" t="s">
        <v>11421</v>
      </c>
      <c r="R5526" t="s">
        <v>371</v>
      </c>
      <c r="S5526" t="s">
        <v>372</v>
      </c>
      <c r="V5526" t="s">
        <v>11422</v>
      </c>
      <c r="W5526" t="s">
        <v>11423</v>
      </c>
      <c r="AF5526" t="s">
        <v>11424</v>
      </c>
    </row>
    <row r="5527" spans="1:32" hidden="1" x14ac:dyDescent="0.35">
      <c r="A5527">
        <v>5526</v>
      </c>
      <c r="B5527" t="s">
        <v>11419</v>
      </c>
      <c r="C5527" t="s">
        <v>57</v>
      </c>
      <c r="D5527" t="s">
        <v>34</v>
      </c>
      <c r="E5527">
        <v>1970</v>
      </c>
      <c r="F5527">
        <v>4</v>
      </c>
      <c r="G5527">
        <v>4</v>
      </c>
      <c r="H5527">
        <v>1</v>
      </c>
      <c r="I5527">
        <v>0</v>
      </c>
      <c r="J5527">
        <v>0.71414342629482097</v>
      </c>
      <c r="K5527">
        <v>0.93712991442261395</v>
      </c>
      <c r="L5527">
        <v>0.81058072151563798</v>
      </c>
      <c r="M5527">
        <v>0.45251396648044701</v>
      </c>
      <c r="N5527">
        <v>0.994413407821229</v>
      </c>
      <c r="O5527">
        <v>0.63687150837988804</v>
      </c>
      <c r="P5527" t="s">
        <v>11420</v>
      </c>
      <c r="Q5527" t="s">
        <v>11421</v>
      </c>
      <c r="R5527" t="s">
        <v>371</v>
      </c>
      <c r="S5527" t="s">
        <v>372</v>
      </c>
      <c r="T5527" t="s">
        <v>11425</v>
      </c>
      <c r="U5527" t="s">
        <v>11426</v>
      </c>
      <c r="V5527" t="s">
        <v>11422</v>
      </c>
      <c r="W5527" t="s">
        <v>11423</v>
      </c>
      <c r="AD5527" t="s">
        <v>7210</v>
      </c>
      <c r="AE5527" t="s">
        <v>11427</v>
      </c>
      <c r="AF5527" t="s">
        <v>11428</v>
      </c>
    </row>
    <row r="5528" spans="1:32" hidden="1" x14ac:dyDescent="0.35">
      <c r="A5528">
        <v>5527</v>
      </c>
      <c r="B5528" t="s">
        <v>11419</v>
      </c>
      <c r="C5528" t="s">
        <v>57</v>
      </c>
      <c r="D5528" t="s">
        <v>45</v>
      </c>
      <c r="E5528">
        <v>903</v>
      </c>
      <c r="F5528">
        <v>4</v>
      </c>
      <c r="G5528">
        <v>4</v>
      </c>
      <c r="H5528">
        <v>1</v>
      </c>
      <c r="I5528">
        <v>0</v>
      </c>
      <c r="J5528">
        <v>0.71414342629482097</v>
      </c>
      <c r="K5528">
        <v>0.93712991442261395</v>
      </c>
      <c r="L5528">
        <v>0.81058072151563798</v>
      </c>
      <c r="M5528">
        <v>0.45251396648044701</v>
      </c>
      <c r="N5528">
        <v>0.994413407821229</v>
      </c>
      <c r="O5528">
        <v>0.63687150837988804</v>
      </c>
      <c r="P5528" t="s">
        <v>11420</v>
      </c>
      <c r="Q5528" t="s">
        <v>11421</v>
      </c>
      <c r="R5528" t="s">
        <v>371</v>
      </c>
      <c r="S5528" t="s">
        <v>372</v>
      </c>
      <c r="T5528" t="s">
        <v>11425</v>
      </c>
      <c r="U5528" t="s">
        <v>11426</v>
      </c>
      <c r="V5528" t="s">
        <v>11422</v>
      </c>
      <c r="W5528" t="s">
        <v>11423</v>
      </c>
      <c r="AD5528" t="s">
        <v>7210</v>
      </c>
      <c r="AE5528" t="s">
        <v>11427</v>
      </c>
      <c r="AF5528" t="s">
        <v>11429</v>
      </c>
    </row>
    <row r="5529" spans="1:32" hidden="1" x14ac:dyDescent="0.35">
      <c r="A5529">
        <v>5528</v>
      </c>
      <c r="B5529" t="s">
        <v>11430</v>
      </c>
      <c r="C5529" t="s">
        <v>57</v>
      </c>
      <c r="D5529" t="s">
        <v>34</v>
      </c>
      <c r="E5529">
        <v>259</v>
      </c>
      <c r="F5529">
        <v>2</v>
      </c>
      <c r="G5529">
        <v>4</v>
      </c>
      <c r="H5529">
        <v>2</v>
      </c>
      <c r="I5529">
        <v>0</v>
      </c>
      <c r="J5529">
        <v>0.82966741047710102</v>
      </c>
      <c r="K5529">
        <v>0.98296411933789496</v>
      </c>
      <c r="L5529">
        <v>0.89983350953429797</v>
      </c>
      <c r="M5529">
        <v>0.65789473684210498</v>
      </c>
      <c r="N5529">
        <v>0.97932330827067704</v>
      </c>
      <c r="O5529">
        <v>0.76347117794486197</v>
      </c>
      <c r="R5529" t="s">
        <v>540</v>
      </c>
      <c r="S5529" t="s">
        <v>541</v>
      </c>
      <c r="T5529" t="s">
        <v>11431</v>
      </c>
      <c r="U5529" t="s">
        <v>11432</v>
      </c>
      <c r="V5529" t="s">
        <v>11433</v>
      </c>
      <c r="W5529" t="s">
        <v>11434</v>
      </c>
      <c r="AD5529" t="s">
        <v>166</v>
      </c>
      <c r="AE5529" t="s">
        <v>11435</v>
      </c>
      <c r="AF5529" t="s">
        <v>11436</v>
      </c>
    </row>
    <row r="5530" spans="1:32" hidden="1" x14ac:dyDescent="0.35">
      <c r="A5530">
        <v>5529</v>
      </c>
      <c r="B5530" t="s">
        <v>11430</v>
      </c>
      <c r="C5530" t="s">
        <v>57</v>
      </c>
      <c r="D5530" t="s">
        <v>34</v>
      </c>
      <c r="E5530">
        <v>1071</v>
      </c>
      <c r="F5530">
        <v>2</v>
      </c>
      <c r="G5530">
        <v>4</v>
      </c>
      <c r="H5530">
        <v>2</v>
      </c>
      <c r="I5530">
        <v>0</v>
      </c>
      <c r="J5530">
        <v>0.82966741047710102</v>
      </c>
      <c r="K5530">
        <v>0.98296411933789496</v>
      </c>
      <c r="L5530">
        <v>0.89983350953429797</v>
      </c>
      <c r="M5530">
        <v>0.65789473684210498</v>
      </c>
      <c r="N5530">
        <v>0.97932330827067704</v>
      </c>
      <c r="O5530">
        <v>0.76347117794486197</v>
      </c>
      <c r="R5530" t="s">
        <v>540</v>
      </c>
      <c r="S5530" t="s">
        <v>541</v>
      </c>
      <c r="T5530" t="s">
        <v>11431</v>
      </c>
      <c r="U5530" t="s">
        <v>11432</v>
      </c>
      <c r="V5530" t="s">
        <v>11433</v>
      </c>
      <c r="W5530" t="s">
        <v>11434</v>
      </c>
      <c r="AD5530" t="s">
        <v>166</v>
      </c>
      <c r="AE5530" t="s">
        <v>11435</v>
      </c>
      <c r="AF5530" t="s">
        <v>11437</v>
      </c>
    </row>
    <row r="5531" spans="1:32" hidden="1" x14ac:dyDescent="0.35">
      <c r="A5531">
        <v>5530</v>
      </c>
      <c r="B5531" t="s">
        <v>11430</v>
      </c>
      <c r="C5531" t="s">
        <v>57</v>
      </c>
      <c r="D5531" t="s">
        <v>45</v>
      </c>
      <c r="E5531">
        <v>1522</v>
      </c>
      <c r="F5531">
        <v>2</v>
      </c>
      <c r="G5531">
        <v>4</v>
      </c>
      <c r="H5531">
        <v>2</v>
      </c>
      <c r="I5531">
        <v>0</v>
      </c>
      <c r="J5531">
        <v>0.82966741047710102</v>
      </c>
      <c r="K5531">
        <v>0.98296411933789496</v>
      </c>
      <c r="L5531">
        <v>0.89983350953429797</v>
      </c>
      <c r="M5531">
        <v>0.65789473684210498</v>
      </c>
      <c r="N5531">
        <v>0.97932330827067704</v>
      </c>
      <c r="O5531">
        <v>0.76347117794486197</v>
      </c>
      <c r="R5531" t="s">
        <v>540</v>
      </c>
      <c r="S5531" t="s">
        <v>541</v>
      </c>
      <c r="T5531" t="s">
        <v>11431</v>
      </c>
      <c r="U5531" t="s">
        <v>11432</v>
      </c>
      <c r="V5531" t="s">
        <v>11433</v>
      </c>
      <c r="W5531" t="s">
        <v>11434</v>
      </c>
      <c r="AD5531" t="s">
        <v>166</v>
      </c>
      <c r="AE5531" t="s">
        <v>11435</v>
      </c>
      <c r="AF5531" t="s">
        <v>11438</v>
      </c>
    </row>
    <row r="5532" spans="1:32" hidden="1" x14ac:dyDescent="0.35">
      <c r="A5532">
        <v>5531</v>
      </c>
      <c r="B5532" t="s">
        <v>11430</v>
      </c>
      <c r="C5532" t="s">
        <v>57</v>
      </c>
      <c r="D5532" t="s">
        <v>45</v>
      </c>
      <c r="E5532">
        <v>2328</v>
      </c>
      <c r="F5532">
        <v>2</v>
      </c>
      <c r="G5532">
        <v>4</v>
      </c>
      <c r="H5532">
        <v>2</v>
      </c>
      <c r="I5532">
        <v>0</v>
      </c>
      <c r="J5532">
        <v>0.82966741047710102</v>
      </c>
      <c r="K5532">
        <v>0.98296411933789496</v>
      </c>
      <c r="L5532">
        <v>0.89983350953429797</v>
      </c>
      <c r="M5532">
        <v>0.65789473684210498</v>
      </c>
      <c r="N5532">
        <v>0.97932330827067704</v>
      </c>
      <c r="O5532">
        <v>0.76347117794486197</v>
      </c>
      <c r="R5532" t="s">
        <v>540</v>
      </c>
      <c r="S5532" t="s">
        <v>541</v>
      </c>
      <c r="T5532" t="s">
        <v>11431</v>
      </c>
      <c r="U5532" t="s">
        <v>11432</v>
      </c>
      <c r="V5532" t="s">
        <v>11433</v>
      </c>
      <c r="W5532" t="s">
        <v>11434</v>
      </c>
      <c r="AD5532" t="s">
        <v>166</v>
      </c>
      <c r="AE5532" t="s">
        <v>11435</v>
      </c>
      <c r="AF5532" t="s">
        <v>11439</v>
      </c>
    </row>
    <row r="5533" spans="1:32" hidden="1" x14ac:dyDescent="0.35">
      <c r="A5533">
        <v>5532</v>
      </c>
      <c r="B5533" t="s">
        <v>11440</v>
      </c>
      <c r="C5533" t="s">
        <v>57</v>
      </c>
      <c r="D5533" t="s">
        <v>60</v>
      </c>
      <c r="E5533">
        <v>159</v>
      </c>
      <c r="F5533">
        <v>4</v>
      </c>
      <c r="G5533">
        <v>4</v>
      </c>
      <c r="H5533">
        <v>1</v>
      </c>
      <c r="I5533">
        <v>0</v>
      </c>
      <c r="J5533">
        <v>0.82103550579002804</v>
      </c>
      <c r="K5533">
        <v>0.99233110876946395</v>
      </c>
      <c r="L5533">
        <v>0.89859278014516097</v>
      </c>
      <c r="M5533">
        <v>0.63931623931623904</v>
      </c>
      <c r="N5533">
        <v>0.994871794871795</v>
      </c>
      <c r="O5533">
        <v>0.75897435897435905</v>
      </c>
      <c r="P5533" t="s">
        <v>169</v>
      </c>
      <c r="Q5533" t="s">
        <v>170</v>
      </c>
      <c r="R5533" t="s">
        <v>138</v>
      </c>
      <c r="S5533" t="s">
        <v>139</v>
      </c>
      <c r="T5533" t="s">
        <v>11441</v>
      </c>
      <c r="U5533" t="s">
        <v>11442</v>
      </c>
      <c r="V5533" t="s">
        <v>11356</v>
      </c>
      <c r="W5533" t="s">
        <v>11357</v>
      </c>
      <c r="AD5533" t="s">
        <v>439</v>
      </c>
      <c r="AE5533" t="s">
        <v>11443</v>
      </c>
      <c r="AF5533" t="s">
        <v>11444</v>
      </c>
    </row>
    <row r="5534" spans="1:32" hidden="1" x14ac:dyDescent="0.35">
      <c r="A5534">
        <v>5533</v>
      </c>
      <c r="B5534" t="s">
        <v>11440</v>
      </c>
      <c r="C5534" t="s">
        <v>57</v>
      </c>
      <c r="D5534" t="s">
        <v>62</v>
      </c>
      <c r="E5534">
        <v>235</v>
      </c>
      <c r="F5534">
        <v>4</v>
      </c>
      <c r="G5534">
        <v>4</v>
      </c>
      <c r="H5534">
        <v>1</v>
      </c>
      <c r="I5534">
        <v>0</v>
      </c>
      <c r="J5534">
        <v>0.82103550579002804</v>
      </c>
      <c r="K5534">
        <v>0.99233110876946395</v>
      </c>
      <c r="L5534">
        <v>0.89859278014516097</v>
      </c>
      <c r="M5534">
        <v>0.63931623931623904</v>
      </c>
      <c r="N5534">
        <v>0.994871794871795</v>
      </c>
      <c r="O5534">
        <v>0.75897435897435905</v>
      </c>
      <c r="P5534" t="s">
        <v>169</v>
      </c>
      <c r="Q5534" t="s">
        <v>170</v>
      </c>
      <c r="R5534" t="s">
        <v>138</v>
      </c>
      <c r="S5534" t="s">
        <v>139</v>
      </c>
      <c r="T5534" t="s">
        <v>11441</v>
      </c>
      <c r="U5534" t="s">
        <v>11442</v>
      </c>
      <c r="V5534" t="s">
        <v>11356</v>
      </c>
      <c r="W5534" t="s">
        <v>11357</v>
      </c>
      <c r="AD5534" t="s">
        <v>439</v>
      </c>
      <c r="AE5534" t="s">
        <v>11443</v>
      </c>
      <c r="AF5534" t="s">
        <v>11445</v>
      </c>
    </row>
    <row r="5535" spans="1:32" hidden="1" x14ac:dyDescent="0.35">
      <c r="A5535">
        <v>5534</v>
      </c>
      <c r="B5535" t="s">
        <v>11440</v>
      </c>
      <c r="C5535" t="s">
        <v>57</v>
      </c>
      <c r="D5535" t="s">
        <v>34</v>
      </c>
      <c r="E5535">
        <v>2092</v>
      </c>
      <c r="F5535">
        <v>4</v>
      </c>
      <c r="G5535">
        <v>4</v>
      </c>
      <c r="H5535">
        <v>1</v>
      </c>
      <c r="I5535">
        <v>0</v>
      </c>
      <c r="J5535">
        <v>0.82103550579002804</v>
      </c>
      <c r="K5535">
        <v>0.99233110876946395</v>
      </c>
      <c r="L5535">
        <v>0.89859278014516097</v>
      </c>
      <c r="M5535">
        <v>0.63931623931623904</v>
      </c>
      <c r="N5535">
        <v>0.994871794871795</v>
      </c>
      <c r="O5535">
        <v>0.75897435897435905</v>
      </c>
      <c r="P5535" t="s">
        <v>169</v>
      </c>
      <c r="Q5535" t="s">
        <v>170</v>
      </c>
      <c r="R5535" t="s">
        <v>138</v>
      </c>
      <c r="S5535" t="s">
        <v>139</v>
      </c>
      <c r="T5535" t="s">
        <v>11441</v>
      </c>
      <c r="U5535" t="s">
        <v>11442</v>
      </c>
      <c r="V5535" t="s">
        <v>11356</v>
      </c>
      <c r="W5535" t="s">
        <v>11357</v>
      </c>
      <c r="AD5535" t="s">
        <v>439</v>
      </c>
      <c r="AE5535" t="s">
        <v>11443</v>
      </c>
      <c r="AF5535" t="s">
        <v>11446</v>
      </c>
    </row>
    <row r="5536" spans="1:32" hidden="1" x14ac:dyDescent="0.35">
      <c r="A5536">
        <v>5535</v>
      </c>
      <c r="B5536" t="s">
        <v>11440</v>
      </c>
      <c r="C5536" t="s">
        <v>57</v>
      </c>
      <c r="D5536" t="s">
        <v>45</v>
      </c>
      <c r="E5536">
        <v>780</v>
      </c>
      <c r="F5536">
        <v>4</v>
      </c>
      <c r="G5536">
        <v>4</v>
      </c>
      <c r="H5536">
        <v>1</v>
      </c>
      <c r="I5536">
        <v>0</v>
      </c>
      <c r="J5536">
        <v>0.82103550579002804</v>
      </c>
      <c r="K5536">
        <v>0.99233110876946395</v>
      </c>
      <c r="L5536">
        <v>0.89859278014516097</v>
      </c>
      <c r="M5536">
        <v>0.63931623931623904</v>
      </c>
      <c r="N5536">
        <v>0.994871794871795</v>
      </c>
      <c r="O5536">
        <v>0.75897435897435905</v>
      </c>
      <c r="P5536" t="s">
        <v>169</v>
      </c>
      <c r="Q5536" t="s">
        <v>170</v>
      </c>
      <c r="R5536" t="s">
        <v>138</v>
      </c>
      <c r="S5536" t="s">
        <v>139</v>
      </c>
      <c r="T5536" t="s">
        <v>11441</v>
      </c>
      <c r="U5536" t="s">
        <v>11442</v>
      </c>
      <c r="V5536" t="s">
        <v>11356</v>
      </c>
      <c r="W5536" t="s">
        <v>11357</v>
      </c>
      <c r="AD5536" t="s">
        <v>439</v>
      </c>
      <c r="AE5536" t="s">
        <v>11443</v>
      </c>
      <c r="AF5536" t="s">
        <v>11447</v>
      </c>
    </row>
    <row r="5537" spans="1:32" hidden="1" x14ac:dyDescent="0.35">
      <c r="A5537">
        <v>5536</v>
      </c>
      <c r="B5537" t="s">
        <v>11448</v>
      </c>
      <c r="C5537" t="s">
        <v>57</v>
      </c>
      <c r="D5537" t="s">
        <v>60</v>
      </c>
      <c r="E5537">
        <v>907</v>
      </c>
      <c r="F5537">
        <v>4</v>
      </c>
      <c r="G5537">
        <v>4</v>
      </c>
      <c r="H5537">
        <v>1</v>
      </c>
      <c r="I5537">
        <v>0</v>
      </c>
      <c r="J5537">
        <v>0.84329523452626298</v>
      </c>
      <c r="K5537">
        <v>0.96549598309862805</v>
      </c>
      <c r="L5537">
        <v>0.90026770759141495</v>
      </c>
      <c r="M5537">
        <v>0.667028199566161</v>
      </c>
      <c r="N5537">
        <v>0.98915401301518402</v>
      </c>
      <c r="O5537">
        <v>0.77530730296456996</v>
      </c>
      <c r="P5537" t="s">
        <v>11449</v>
      </c>
      <c r="Q5537" t="s">
        <v>11450</v>
      </c>
      <c r="R5537" t="s">
        <v>342</v>
      </c>
      <c r="S5537" t="s">
        <v>343</v>
      </c>
      <c r="T5537" t="s">
        <v>11451</v>
      </c>
      <c r="U5537" t="s">
        <v>11452</v>
      </c>
      <c r="V5537" t="s">
        <v>11453</v>
      </c>
      <c r="W5537" t="s">
        <v>11454</v>
      </c>
      <c r="AD5537" t="s">
        <v>219</v>
      </c>
      <c r="AE5537" t="s">
        <v>11455</v>
      </c>
      <c r="AF5537" t="s">
        <v>11456</v>
      </c>
    </row>
    <row r="5538" spans="1:32" hidden="1" x14ac:dyDescent="0.35">
      <c r="A5538">
        <v>5537</v>
      </c>
      <c r="B5538" t="s">
        <v>11448</v>
      </c>
      <c r="C5538" t="s">
        <v>57</v>
      </c>
      <c r="D5538" t="s">
        <v>62</v>
      </c>
      <c r="E5538">
        <v>941</v>
      </c>
      <c r="F5538">
        <v>4</v>
      </c>
      <c r="G5538">
        <v>4</v>
      </c>
      <c r="H5538">
        <v>1</v>
      </c>
      <c r="I5538">
        <v>0</v>
      </c>
      <c r="J5538">
        <v>0.84329523452626298</v>
      </c>
      <c r="K5538">
        <v>0.96549598309862805</v>
      </c>
      <c r="L5538">
        <v>0.90026770759141495</v>
      </c>
      <c r="M5538">
        <v>0.667028199566161</v>
      </c>
      <c r="N5538">
        <v>0.98915401301518402</v>
      </c>
      <c r="O5538">
        <v>0.77530730296456996</v>
      </c>
      <c r="P5538" t="s">
        <v>11449</v>
      </c>
      <c r="Q5538" t="s">
        <v>11450</v>
      </c>
      <c r="R5538" t="s">
        <v>342</v>
      </c>
      <c r="S5538" t="s">
        <v>343</v>
      </c>
      <c r="T5538" t="s">
        <v>11451</v>
      </c>
      <c r="U5538" t="s">
        <v>11452</v>
      </c>
      <c r="V5538" t="s">
        <v>11453</v>
      </c>
      <c r="W5538" t="s">
        <v>11454</v>
      </c>
      <c r="AD5538" t="s">
        <v>219</v>
      </c>
      <c r="AE5538" t="s">
        <v>11455</v>
      </c>
      <c r="AF5538" t="s">
        <v>11457</v>
      </c>
    </row>
    <row r="5539" spans="1:32" hidden="1" x14ac:dyDescent="0.35">
      <c r="A5539">
        <v>5538</v>
      </c>
      <c r="B5539" t="s">
        <v>11448</v>
      </c>
      <c r="C5539" t="s">
        <v>57</v>
      </c>
      <c r="D5539" t="s">
        <v>34</v>
      </c>
      <c r="E5539">
        <v>2027</v>
      </c>
      <c r="F5539">
        <v>4</v>
      </c>
      <c r="G5539">
        <v>4</v>
      </c>
      <c r="H5539">
        <v>1</v>
      </c>
      <c r="I5539">
        <v>0</v>
      </c>
      <c r="J5539">
        <v>0.84329523452626298</v>
      </c>
      <c r="K5539">
        <v>0.96549598309862805</v>
      </c>
      <c r="L5539">
        <v>0.90026770759141495</v>
      </c>
      <c r="M5539">
        <v>0.667028199566161</v>
      </c>
      <c r="N5539">
        <v>0.98915401301518402</v>
      </c>
      <c r="O5539">
        <v>0.77530730296456996</v>
      </c>
      <c r="P5539" t="s">
        <v>11449</v>
      </c>
      <c r="Q5539" t="s">
        <v>11450</v>
      </c>
      <c r="R5539" t="s">
        <v>342</v>
      </c>
      <c r="S5539" t="s">
        <v>343</v>
      </c>
      <c r="T5539" t="s">
        <v>11451</v>
      </c>
      <c r="U5539" t="s">
        <v>11452</v>
      </c>
      <c r="V5539" t="s">
        <v>11453</v>
      </c>
      <c r="W5539" t="s">
        <v>11454</v>
      </c>
      <c r="AD5539" t="s">
        <v>219</v>
      </c>
      <c r="AE5539" t="s">
        <v>11455</v>
      </c>
      <c r="AF5539" t="s">
        <v>11458</v>
      </c>
    </row>
    <row r="5540" spans="1:32" hidden="1" x14ac:dyDescent="0.35">
      <c r="A5540">
        <v>5539</v>
      </c>
      <c r="B5540" t="s">
        <v>11448</v>
      </c>
      <c r="C5540" t="s">
        <v>57</v>
      </c>
      <c r="D5540" t="s">
        <v>45</v>
      </c>
      <c r="E5540">
        <v>844</v>
      </c>
      <c r="F5540">
        <v>4</v>
      </c>
      <c r="G5540">
        <v>4</v>
      </c>
      <c r="H5540">
        <v>1</v>
      </c>
      <c r="I5540">
        <v>0</v>
      </c>
      <c r="J5540">
        <v>0.84329523452626298</v>
      </c>
      <c r="K5540">
        <v>0.96549598309862805</v>
      </c>
      <c r="L5540">
        <v>0.90026770759141495</v>
      </c>
      <c r="M5540">
        <v>0.667028199566161</v>
      </c>
      <c r="N5540">
        <v>0.98915401301518402</v>
      </c>
      <c r="O5540">
        <v>0.77530730296456996</v>
      </c>
      <c r="P5540" t="s">
        <v>11449</v>
      </c>
      <c r="Q5540" t="s">
        <v>11450</v>
      </c>
      <c r="R5540" t="s">
        <v>342</v>
      </c>
      <c r="S5540" t="s">
        <v>343</v>
      </c>
      <c r="T5540" t="s">
        <v>11451</v>
      </c>
      <c r="U5540" t="s">
        <v>11452</v>
      </c>
      <c r="V5540" t="s">
        <v>11453</v>
      </c>
      <c r="W5540" t="s">
        <v>11454</v>
      </c>
      <c r="AD5540" t="s">
        <v>219</v>
      </c>
      <c r="AE5540" t="s">
        <v>11455</v>
      </c>
      <c r="AF5540" t="s">
        <v>11459</v>
      </c>
    </row>
    <row r="5541" spans="1:32" hidden="1" x14ac:dyDescent="0.35">
      <c r="A5541">
        <v>5540</v>
      </c>
      <c r="B5541" t="s">
        <v>11460</v>
      </c>
      <c r="C5541" t="s">
        <v>57</v>
      </c>
      <c r="D5541" t="s">
        <v>60</v>
      </c>
      <c r="E5541">
        <v>2354</v>
      </c>
      <c r="F5541">
        <v>4</v>
      </c>
      <c r="G5541">
        <v>4</v>
      </c>
      <c r="H5541">
        <v>1</v>
      </c>
      <c r="I5541">
        <v>0</v>
      </c>
      <c r="J5541">
        <v>0.81182453909726604</v>
      </c>
      <c r="K5541">
        <v>0.99683143219265002</v>
      </c>
      <c r="L5541">
        <v>0.89486583501041905</v>
      </c>
      <c r="M5541">
        <v>0.66539923954372604</v>
      </c>
      <c r="N5541">
        <v>0.97338403041825095</v>
      </c>
      <c r="O5541">
        <v>0.76806083650190105</v>
      </c>
      <c r="P5541" t="s">
        <v>11461</v>
      </c>
      <c r="Q5541" t="s">
        <v>11462</v>
      </c>
      <c r="R5541" t="s">
        <v>1102</v>
      </c>
      <c r="S5541" t="s">
        <v>1103</v>
      </c>
      <c r="T5541" t="s">
        <v>11463</v>
      </c>
      <c r="U5541" t="s">
        <v>11464</v>
      </c>
      <c r="V5541" t="s">
        <v>11465</v>
      </c>
      <c r="W5541" t="s">
        <v>11466</v>
      </c>
      <c r="X5541" t="s">
        <v>11465</v>
      </c>
      <c r="Y5541" t="s">
        <v>4418</v>
      </c>
      <c r="Z5541" t="s">
        <v>11467</v>
      </c>
      <c r="AA5541" t="s">
        <v>11468</v>
      </c>
      <c r="AB5541" t="s">
        <v>11467</v>
      </c>
      <c r="AC5541" t="s">
        <v>11469</v>
      </c>
      <c r="AD5541" t="s">
        <v>191</v>
      </c>
      <c r="AE5541" t="s">
        <v>11470</v>
      </c>
      <c r="AF5541" t="s">
        <v>11471</v>
      </c>
    </row>
    <row r="5542" spans="1:32" hidden="1" x14ac:dyDescent="0.35">
      <c r="A5542">
        <v>5541</v>
      </c>
      <c r="B5542" t="s">
        <v>11460</v>
      </c>
      <c r="C5542" t="s">
        <v>57</v>
      </c>
      <c r="D5542" t="s">
        <v>62</v>
      </c>
      <c r="E5542">
        <v>2382</v>
      </c>
      <c r="F5542">
        <v>4</v>
      </c>
      <c r="G5542">
        <v>4</v>
      </c>
      <c r="H5542">
        <v>1</v>
      </c>
      <c r="I5542">
        <v>0</v>
      </c>
      <c r="J5542">
        <v>0.81182453909726604</v>
      </c>
      <c r="K5542">
        <v>0.99683143219265002</v>
      </c>
      <c r="L5542">
        <v>0.89486583501041905</v>
      </c>
      <c r="M5542">
        <v>0.66539923954372604</v>
      </c>
      <c r="N5542">
        <v>0.97338403041825095</v>
      </c>
      <c r="O5542">
        <v>0.76806083650190105</v>
      </c>
      <c r="P5542" t="s">
        <v>11461</v>
      </c>
      <c r="Q5542" t="s">
        <v>11462</v>
      </c>
      <c r="R5542" t="s">
        <v>1102</v>
      </c>
      <c r="S5542" t="s">
        <v>1103</v>
      </c>
      <c r="T5542" t="s">
        <v>11463</v>
      </c>
      <c r="U5542" t="s">
        <v>11464</v>
      </c>
      <c r="V5542" t="s">
        <v>11465</v>
      </c>
      <c r="W5542" t="s">
        <v>11466</v>
      </c>
      <c r="X5542" t="s">
        <v>11465</v>
      </c>
      <c r="Y5542" t="s">
        <v>4418</v>
      </c>
      <c r="Z5542" t="s">
        <v>11467</v>
      </c>
      <c r="AA5542" t="s">
        <v>11468</v>
      </c>
      <c r="AB5542" t="s">
        <v>11467</v>
      </c>
      <c r="AC5542" t="s">
        <v>11469</v>
      </c>
      <c r="AD5542" t="s">
        <v>191</v>
      </c>
      <c r="AE5542" t="s">
        <v>11470</v>
      </c>
      <c r="AF5542" t="s">
        <v>11472</v>
      </c>
    </row>
    <row r="5543" spans="1:32" hidden="1" x14ac:dyDescent="0.35">
      <c r="A5543">
        <v>5542</v>
      </c>
      <c r="B5543" t="s">
        <v>11460</v>
      </c>
      <c r="C5543" t="s">
        <v>57</v>
      </c>
      <c r="D5543" t="s">
        <v>34</v>
      </c>
      <c r="E5543">
        <v>1373</v>
      </c>
      <c r="F5543">
        <v>4</v>
      </c>
      <c r="G5543">
        <v>4</v>
      </c>
      <c r="H5543">
        <v>1</v>
      </c>
      <c r="I5543">
        <v>0</v>
      </c>
      <c r="J5543">
        <v>0.81182453909726604</v>
      </c>
      <c r="K5543">
        <v>0.99683143219265002</v>
      </c>
      <c r="L5543">
        <v>0.89486583501041905</v>
      </c>
      <c r="M5543">
        <v>0.66539923954372604</v>
      </c>
      <c r="N5543">
        <v>0.97338403041825095</v>
      </c>
      <c r="O5543">
        <v>0.76806083650190105</v>
      </c>
      <c r="P5543" t="s">
        <v>11461</v>
      </c>
      <c r="Q5543" t="s">
        <v>11462</v>
      </c>
      <c r="R5543" t="s">
        <v>1102</v>
      </c>
      <c r="S5543" t="s">
        <v>1103</v>
      </c>
      <c r="T5543" t="s">
        <v>11463</v>
      </c>
      <c r="U5543" t="s">
        <v>11464</v>
      </c>
      <c r="V5543" t="s">
        <v>11465</v>
      </c>
      <c r="W5543" t="s">
        <v>11466</v>
      </c>
      <c r="X5543" t="s">
        <v>11465</v>
      </c>
      <c r="Y5543" t="s">
        <v>4418</v>
      </c>
      <c r="Z5543" t="s">
        <v>11467</v>
      </c>
      <c r="AA5543" t="s">
        <v>11468</v>
      </c>
      <c r="AB5543" t="s">
        <v>11467</v>
      </c>
      <c r="AC5543" t="s">
        <v>11469</v>
      </c>
      <c r="AD5543" t="s">
        <v>191</v>
      </c>
      <c r="AE5543" t="s">
        <v>11470</v>
      </c>
      <c r="AF5543" t="s">
        <v>11473</v>
      </c>
    </row>
    <row r="5544" spans="1:32" hidden="1" x14ac:dyDescent="0.35">
      <c r="A5544">
        <v>5543</v>
      </c>
      <c r="B5544" t="s">
        <v>11460</v>
      </c>
      <c r="C5544" t="s">
        <v>57</v>
      </c>
      <c r="D5544" t="s">
        <v>45</v>
      </c>
      <c r="E5544">
        <v>122</v>
      </c>
      <c r="F5544">
        <v>4</v>
      </c>
      <c r="G5544">
        <v>4</v>
      </c>
      <c r="H5544">
        <v>1</v>
      </c>
      <c r="I5544">
        <v>0</v>
      </c>
      <c r="J5544">
        <v>0.81182453909726604</v>
      </c>
      <c r="K5544">
        <v>0.99683143219265002</v>
      </c>
      <c r="L5544">
        <v>0.89486583501041905</v>
      </c>
      <c r="M5544">
        <v>0.66539923954372604</v>
      </c>
      <c r="N5544">
        <v>0.97338403041825095</v>
      </c>
      <c r="O5544">
        <v>0.76806083650190105</v>
      </c>
      <c r="P5544" t="s">
        <v>11461</v>
      </c>
      <c r="Q5544" t="s">
        <v>11462</v>
      </c>
      <c r="R5544" t="s">
        <v>1102</v>
      </c>
      <c r="S5544" t="s">
        <v>1103</v>
      </c>
      <c r="T5544" t="s">
        <v>11463</v>
      </c>
      <c r="U5544" t="s">
        <v>11464</v>
      </c>
      <c r="V5544" t="s">
        <v>11465</v>
      </c>
      <c r="W5544" t="s">
        <v>11466</v>
      </c>
      <c r="X5544" t="s">
        <v>11465</v>
      </c>
      <c r="Y5544" t="s">
        <v>4418</v>
      </c>
      <c r="Z5544" t="s">
        <v>11467</v>
      </c>
      <c r="AA5544" t="s">
        <v>11468</v>
      </c>
      <c r="AB5544" t="s">
        <v>11467</v>
      </c>
      <c r="AC5544" t="s">
        <v>11469</v>
      </c>
      <c r="AD5544" t="s">
        <v>191</v>
      </c>
      <c r="AE5544" t="s">
        <v>11470</v>
      </c>
      <c r="AF5544" t="s">
        <v>11474</v>
      </c>
    </row>
    <row r="5545" spans="1:32" hidden="1" x14ac:dyDescent="0.35">
      <c r="A5545">
        <v>5544</v>
      </c>
      <c r="B5545" t="s">
        <v>11475</v>
      </c>
      <c r="C5545" t="s">
        <v>57</v>
      </c>
      <c r="D5545" t="s">
        <v>60</v>
      </c>
      <c r="E5545">
        <v>2533</v>
      </c>
      <c r="F5545">
        <v>4</v>
      </c>
      <c r="G5545">
        <v>4</v>
      </c>
      <c r="H5545">
        <v>1</v>
      </c>
      <c r="I5545">
        <v>0</v>
      </c>
      <c r="J5545">
        <v>0.73550724637681197</v>
      </c>
      <c r="K5545">
        <v>0.97367195767195702</v>
      </c>
      <c r="L5545">
        <v>0.83799613143571405</v>
      </c>
      <c r="M5545">
        <v>0.53174603174603197</v>
      </c>
      <c r="N5545">
        <v>0.99206349206349198</v>
      </c>
      <c r="O5545">
        <v>0.68783068783068801</v>
      </c>
      <c r="P5545" t="s">
        <v>11476</v>
      </c>
      <c r="Q5545" t="s">
        <v>11477</v>
      </c>
      <c r="R5545" t="s">
        <v>11478</v>
      </c>
      <c r="S5545" t="s">
        <v>11479</v>
      </c>
      <c r="V5545" t="s">
        <v>11480</v>
      </c>
      <c r="W5545" t="s">
        <v>11481</v>
      </c>
      <c r="AF5545" t="e">
        <f>--MEPHTCNRRLFLIGTATTFAGALLAACAPPKQTIDAKDVPVGSAVIVGNFIITQPTSGVYHAYSATCPHQGAKISQVNGDTVTCTNHNSVFSITDGAPVSGPSRAGLKEAKLKTDGNNKLTPEP</f>
        <v>#NAME?</v>
      </c>
    </row>
    <row r="5546" spans="1:32" hidden="1" x14ac:dyDescent="0.35">
      <c r="A5546">
        <v>5545</v>
      </c>
      <c r="B5546" t="s">
        <v>11475</v>
      </c>
      <c r="C5546" t="s">
        <v>57</v>
      </c>
      <c r="D5546" t="s">
        <v>62</v>
      </c>
      <c r="E5546">
        <v>58</v>
      </c>
      <c r="F5546">
        <v>4</v>
      </c>
      <c r="G5546">
        <v>4</v>
      </c>
      <c r="H5546">
        <v>1</v>
      </c>
      <c r="I5546">
        <v>0</v>
      </c>
      <c r="J5546">
        <v>0.73550724637681197</v>
      </c>
      <c r="K5546">
        <v>0.97367195767195702</v>
      </c>
      <c r="L5546">
        <v>0.83799613143571405</v>
      </c>
      <c r="M5546">
        <v>0.53174603174603197</v>
      </c>
      <c r="N5546">
        <v>0.99206349206349198</v>
      </c>
      <c r="O5546">
        <v>0.68783068783068801</v>
      </c>
      <c r="P5546" t="s">
        <v>11476</v>
      </c>
      <c r="Q5546" t="s">
        <v>11477</v>
      </c>
      <c r="R5546" t="s">
        <v>11478</v>
      </c>
      <c r="S5546" t="s">
        <v>11479</v>
      </c>
      <c r="V5546" t="s">
        <v>11480</v>
      </c>
      <c r="W5546" t="s">
        <v>11481</v>
      </c>
      <c r="AF5546" t="e">
        <f>--MEPHTCNRRLFLIGTATTFAGALLAACAPPKQTIDAKDVPVGSAVIVGNFIITQPTSGVYHAYSATCPHQGAKISQVNGDTVTCTNHNSVFSITDGTPVSGPSRAGLKEAKLKTDGNNKLTPEP</f>
        <v>#NAME?</v>
      </c>
    </row>
    <row r="5547" spans="1:32" hidden="1" x14ac:dyDescent="0.35">
      <c r="A5547">
        <v>5546</v>
      </c>
      <c r="B5547" t="s">
        <v>11475</v>
      </c>
      <c r="C5547" t="s">
        <v>57</v>
      </c>
      <c r="D5547" t="s">
        <v>34</v>
      </c>
      <c r="E5547">
        <v>1112</v>
      </c>
      <c r="F5547">
        <v>4</v>
      </c>
      <c r="G5547">
        <v>4</v>
      </c>
      <c r="H5547">
        <v>1</v>
      </c>
      <c r="I5547">
        <v>0</v>
      </c>
      <c r="J5547">
        <v>0.73550724637681197</v>
      </c>
      <c r="K5547">
        <v>0.97367195767195702</v>
      </c>
      <c r="L5547">
        <v>0.83799613143571405</v>
      </c>
      <c r="M5547">
        <v>0.53174603174603197</v>
      </c>
      <c r="N5547">
        <v>0.99206349206349198</v>
      </c>
      <c r="O5547">
        <v>0.68783068783068801</v>
      </c>
      <c r="P5547" t="s">
        <v>11476</v>
      </c>
      <c r="Q5547" t="s">
        <v>11477</v>
      </c>
      <c r="R5547" t="s">
        <v>11478</v>
      </c>
      <c r="S5547" t="s">
        <v>11479</v>
      </c>
      <c r="V5547" t="s">
        <v>11480</v>
      </c>
      <c r="W5547" t="s">
        <v>11481</v>
      </c>
      <c r="AF5547" t="s">
        <v>11482</v>
      </c>
    </row>
    <row r="5548" spans="1:32" hidden="1" x14ac:dyDescent="0.35">
      <c r="A5548">
        <v>5547</v>
      </c>
      <c r="B5548" t="s">
        <v>11475</v>
      </c>
      <c r="C5548" t="s">
        <v>57</v>
      </c>
      <c r="D5548" t="s">
        <v>45</v>
      </c>
      <c r="E5548">
        <v>2365</v>
      </c>
      <c r="F5548">
        <v>4</v>
      </c>
      <c r="G5548">
        <v>4</v>
      </c>
      <c r="H5548">
        <v>1</v>
      </c>
      <c r="I5548">
        <v>0</v>
      </c>
      <c r="J5548">
        <v>0.73550724637681197</v>
      </c>
      <c r="K5548">
        <v>0.97367195767195702</v>
      </c>
      <c r="L5548">
        <v>0.83799613143571405</v>
      </c>
      <c r="M5548">
        <v>0.53174603174603197</v>
      </c>
      <c r="N5548">
        <v>0.99206349206349198</v>
      </c>
      <c r="O5548">
        <v>0.68783068783068801</v>
      </c>
      <c r="P5548" t="s">
        <v>11476</v>
      </c>
      <c r="Q5548" t="s">
        <v>11477</v>
      </c>
      <c r="R5548" t="s">
        <v>11478</v>
      </c>
      <c r="S5548" t="s">
        <v>11479</v>
      </c>
      <c r="V5548" t="s">
        <v>11480</v>
      </c>
      <c r="W5548" t="s">
        <v>11481</v>
      </c>
      <c r="AF5548" t="s">
        <v>11483</v>
      </c>
    </row>
    <row r="5549" spans="1:32" hidden="1" x14ac:dyDescent="0.35">
      <c r="A5549">
        <v>5548</v>
      </c>
      <c r="B5549" t="s">
        <v>11484</v>
      </c>
      <c r="C5549" t="s">
        <v>57</v>
      </c>
      <c r="D5549" t="s">
        <v>60</v>
      </c>
      <c r="E5549">
        <v>1143</v>
      </c>
      <c r="F5549">
        <v>4</v>
      </c>
      <c r="G5549">
        <v>4</v>
      </c>
      <c r="H5549">
        <v>1</v>
      </c>
      <c r="I5549">
        <v>0</v>
      </c>
      <c r="J5549">
        <v>0.79294957608210603</v>
      </c>
      <c r="K5549">
        <v>0.88325342123663897</v>
      </c>
      <c r="L5549">
        <v>0.83566898169611104</v>
      </c>
      <c r="M5549">
        <v>0.485915492957746</v>
      </c>
      <c r="N5549">
        <v>0.98591549295774605</v>
      </c>
      <c r="O5549">
        <v>0.65258215962441302</v>
      </c>
      <c r="AF5549" t="e">
        <f>--------MFIVLVLVVST----FIFQFVQQIKD----RNKGEQQEEIRMMDAQAEARRWIERLGSEVLTTSGTDEASTSLIGTASERYNSAQASLGSAQTPRQAELAGEIAIEGLHFMRDARLAMGMPAGPDLPQLSRGDN</f>
        <v>#NAME?</v>
      </c>
    </row>
    <row r="5550" spans="1:32" hidden="1" x14ac:dyDescent="0.35">
      <c r="A5550">
        <v>5549</v>
      </c>
      <c r="B5550" t="s">
        <v>11484</v>
      </c>
      <c r="C5550" t="s">
        <v>57</v>
      </c>
      <c r="D5550" t="s">
        <v>62</v>
      </c>
      <c r="E5550">
        <v>1180</v>
      </c>
      <c r="F5550">
        <v>4</v>
      </c>
      <c r="G5550">
        <v>4</v>
      </c>
      <c r="H5550">
        <v>1</v>
      </c>
      <c r="I5550">
        <v>0</v>
      </c>
      <c r="J5550">
        <v>0.79294957608210603</v>
      </c>
      <c r="K5550">
        <v>0.88325342123663897</v>
      </c>
      <c r="L5550">
        <v>0.83566898169611104</v>
      </c>
      <c r="M5550">
        <v>0.485915492957746</v>
      </c>
      <c r="N5550">
        <v>0.98591549295774605</v>
      </c>
      <c r="O5550">
        <v>0.65258215962441302</v>
      </c>
      <c r="AF5550" t="e">
        <f>--------MFIVLVLVVST----FIFQFIQQIKD----RNKGEQQEEIRMMDAQAEARRWIERLGSEVLTTSGTDEASTSLIGTASERYNSAQASLGSAQTPRQAELAGEIAIEGLHFMRDARLAMGMPAGPDLPQLSRGEN</f>
        <v>#NAME?</v>
      </c>
    </row>
    <row r="5551" spans="1:32" hidden="1" x14ac:dyDescent="0.35">
      <c r="A5551">
        <v>5550</v>
      </c>
      <c r="B5551" t="s">
        <v>11484</v>
      </c>
      <c r="C5551" t="s">
        <v>57</v>
      </c>
      <c r="D5551" t="s">
        <v>34</v>
      </c>
      <c r="E5551">
        <v>3</v>
      </c>
      <c r="F5551">
        <v>4</v>
      </c>
      <c r="G5551">
        <v>4</v>
      </c>
      <c r="H5551">
        <v>1</v>
      </c>
      <c r="I5551">
        <v>0</v>
      </c>
      <c r="J5551">
        <v>0.79294957608210603</v>
      </c>
      <c r="K5551">
        <v>0.88325342123663897</v>
      </c>
      <c r="L5551">
        <v>0.83566898169611104</v>
      </c>
      <c r="M5551">
        <v>0.485915492957746</v>
      </c>
      <c r="N5551">
        <v>0.98591549295774605</v>
      </c>
      <c r="O5551">
        <v>0.65258215962441302</v>
      </c>
      <c r="AF5551" t="s">
        <v>11485</v>
      </c>
    </row>
    <row r="5552" spans="1:32" hidden="1" x14ac:dyDescent="0.35">
      <c r="A5552">
        <v>5551</v>
      </c>
      <c r="B5552" t="s">
        <v>11484</v>
      </c>
      <c r="C5552" t="s">
        <v>57</v>
      </c>
      <c r="D5552" t="s">
        <v>45</v>
      </c>
      <c r="E5552">
        <v>1260</v>
      </c>
      <c r="F5552">
        <v>4</v>
      </c>
      <c r="G5552">
        <v>4</v>
      </c>
      <c r="H5552">
        <v>1</v>
      </c>
      <c r="I5552">
        <v>0</v>
      </c>
      <c r="J5552">
        <v>0.79294957608210603</v>
      </c>
      <c r="K5552">
        <v>0.88325342123663897</v>
      </c>
      <c r="L5552">
        <v>0.83566898169611104</v>
      </c>
      <c r="M5552">
        <v>0.485915492957746</v>
      </c>
      <c r="N5552">
        <v>0.98591549295774605</v>
      </c>
      <c r="O5552">
        <v>0.65258215962441302</v>
      </c>
      <c r="AF5552" t="s">
        <v>11486</v>
      </c>
    </row>
    <row r="5553" spans="1:32" hidden="1" x14ac:dyDescent="0.35">
      <c r="A5553">
        <v>6227</v>
      </c>
      <c r="B5553" t="s">
        <v>12821</v>
      </c>
      <c r="C5553" t="s">
        <v>68</v>
      </c>
      <c r="D5553" t="s">
        <v>58</v>
      </c>
      <c r="E5553">
        <v>615</v>
      </c>
      <c r="F5553">
        <v>3</v>
      </c>
      <c r="G5553">
        <v>3</v>
      </c>
      <c r="H5553">
        <v>1</v>
      </c>
      <c r="I5553">
        <v>0</v>
      </c>
      <c r="J5553">
        <v>0.79251074278698597</v>
      </c>
      <c r="K5553">
        <v>0.91548652352672499</v>
      </c>
      <c r="L5553">
        <v>0.84957150585787899</v>
      </c>
      <c r="M5553">
        <v>0.50753768844221103</v>
      </c>
      <c r="N5553">
        <v>0.98492462311557805</v>
      </c>
      <c r="O5553">
        <v>0.66834170854271402</v>
      </c>
      <c r="P5553" t="s">
        <v>12822</v>
      </c>
      <c r="Q5553" t="s">
        <v>12823</v>
      </c>
      <c r="R5553" t="s">
        <v>224</v>
      </c>
      <c r="S5553" t="s">
        <v>225</v>
      </c>
      <c r="T5553" t="s">
        <v>12824</v>
      </c>
      <c r="U5553" t="s">
        <v>12825</v>
      </c>
      <c r="V5553" t="s">
        <v>12826</v>
      </c>
      <c r="W5553" t="s">
        <v>12827</v>
      </c>
      <c r="X5553" t="s">
        <v>12826</v>
      </c>
      <c r="Y5553" t="s">
        <v>773</v>
      </c>
      <c r="AD5553" t="s">
        <v>12828</v>
      </c>
      <c r="AE5553" t="s">
        <v>12829</v>
      </c>
      <c r="AF5553" t="e">
        <f>------MAKKLLVGLGNPGPRYAMTRHNAGFIVVDAFVD---DRGGRFGTHKRTNVDVAE--FPD--VIVVKPRSMMNLSGGPVKNVASFFKVPPADIIVVHDELDLDLGQVVHKVGGGGNGHNGLRDITKALSTPDYQRIRVGIGRPPGRMTPAKFVLEDFSKRERDELPIV---AADAADLIAT-----------LL</f>
        <v>#NAME?</v>
      </c>
    </row>
    <row r="5554" spans="1:32" hidden="1" x14ac:dyDescent="0.35">
      <c r="A5554">
        <v>11336</v>
      </c>
      <c r="B5554" t="s">
        <v>23085</v>
      </c>
      <c r="C5554" t="s">
        <v>33</v>
      </c>
      <c r="D5554" t="s">
        <v>58</v>
      </c>
      <c r="E5554">
        <v>594</v>
      </c>
      <c r="F5554">
        <v>1</v>
      </c>
      <c r="G5554">
        <v>1</v>
      </c>
      <c r="H5554">
        <v>1</v>
      </c>
      <c r="I5554">
        <v>0</v>
      </c>
      <c r="J5554">
        <v>1</v>
      </c>
      <c r="K5554">
        <v>1</v>
      </c>
      <c r="L5554">
        <v>1</v>
      </c>
      <c r="M5554">
        <v>0</v>
      </c>
      <c r="N5554">
        <v>0</v>
      </c>
      <c r="O5554">
        <v>0</v>
      </c>
      <c r="P5554" t="s">
        <v>12822</v>
      </c>
      <c r="Q5554" t="s">
        <v>12823</v>
      </c>
      <c r="R5554" t="s">
        <v>224</v>
      </c>
      <c r="S5554" t="s">
        <v>225</v>
      </c>
      <c r="T5554" t="s">
        <v>12824</v>
      </c>
      <c r="U5554" t="s">
        <v>12825</v>
      </c>
      <c r="V5554" t="s">
        <v>12826</v>
      </c>
      <c r="W5554" t="s">
        <v>12827</v>
      </c>
      <c r="X5554" t="s">
        <v>12826</v>
      </c>
      <c r="Y5554" t="s">
        <v>773</v>
      </c>
      <c r="AD5554" t="s">
        <v>12828</v>
      </c>
      <c r="AE5554" t="s">
        <v>12829</v>
      </c>
      <c r="AF5554" t="s">
        <v>23086</v>
      </c>
    </row>
    <row r="5555" spans="1:32" hidden="1" x14ac:dyDescent="0.35">
      <c r="A5555">
        <v>5554</v>
      </c>
      <c r="B5555" t="s">
        <v>11487</v>
      </c>
      <c r="C5555" t="s">
        <v>57</v>
      </c>
      <c r="D5555" t="s">
        <v>34</v>
      </c>
      <c r="E5555">
        <v>2378</v>
      </c>
      <c r="F5555">
        <v>3</v>
      </c>
      <c r="G5555">
        <v>4</v>
      </c>
      <c r="H5555">
        <v>2</v>
      </c>
      <c r="I5555">
        <v>0</v>
      </c>
      <c r="J5555">
        <v>0.80114449213161698</v>
      </c>
      <c r="K5555">
        <v>0.97920524141860099</v>
      </c>
      <c r="L5555">
        <v>0.88127054032756902</v>
      </c>
      <c r="M5555">
        <v>0.67226890756302504</v>
      </c>
      <c r="N5555">
        <v>0.97478991596638698</v>
      </c>
      <c r="O5555">
        <v>0.73529411764705899</v>
      </c>
      <c r="P5555" t="s">
        <v>4625</v>
      </c>
      <c r="Q5555" t="s">
        <v>4626</v>
      </c>
      <c r="R5555" t="s">
        <v>113</v>
      </c>
      <c r="S5555" t="s">
        <v>114</v>
      </c>
      <c r="T5555" t="s">
        <v>11489</v>
      </c>
      <c r="U5555" t="s">
        <v>11490</v>
      </c>
      <c r="V5555" t="s">
        <v>10757</v>
      </c>
      <c r="W5555" t="s">
        <v>10758</v>
      </c>
      <c r="AD5555" t="s">
        <v>312</v>
      </c>
      <c r="AE5555" t="s">
        <v>10759</v>
      </c>
      <c r="AF5555" t="s">
        <v>11493</v>
      </c>
    </row>
    <row r="5556" spans="1:32" hidden="1" x14ac:dyDescent="0.35">
      <c r="A5556">
        <v>5555</v>
      </c>
      <c r="B5556" t="s">
        <v>11487</v>
      </c>
      <c r="C5556" t="s">
        <v>57</v>
      </c>
      <c r="D5556" t="s">
        <v>45</v>
      </c>
      <c r="E5556">
        <v>500</v>
      </c>
      <c r="F5556">
        <v>3</v>
      </c>
      <c r="G5556">
        <v>4</v>
      </c>
      <c r="H5556">
        <v>2</v>
      </c>
      <c r="I5556">
        <v>0</v>
      </c>
      <c r="J5556">
        <v>0.80114449213161698</v>
      </c>
      <c r="K5556">
        <v>0.97920524141860099</v>
      </c>
      <c r="L5556">
        <v>0.88127054032756902</v>
      </c>
      <c r="M5556">
        <v>0.67226890756302504</v>
      </c>
      <c r="N5556">
        <v>0.97478991596638698</v>
      </c>
      <c r="O5556">
        <v>0.73529411764705899</v>
      </c>
      <c r="P5556" t="s">
        <v>4625</v>
      </c>
      <c r="Q5556" t="s">
        <v>4626</v>
      </c>
      <c r="R5556" t="s">
        <v>113</v>
      </c>
      <c r="S5556" t="s">
        <v>114</v>
      </c>
      <c r="T5556" t="s">
        <v>11489</v>
      </c>
      <c r="U5556" t="s">
        <v>11490</v>
      </c>
      <c r="V5556" t="s">
        <v>10757</v>
      </c>
      <c r="W5556" t="s">
        <v>10758</v>
      </c>
      <c r="AD5556" t="s">
        <v>312</v>
      </c>
      <c r="AE5556" t="s">
        <v>10759</v>
      </c>
      <c r="AF5556" t="s">
        <v>11494</v>
      </c>
    </row>
    <row r="5557" spans="1:32" hidden="1" x14ac:dyDescent="0.35">
      <c r="A5557">
        <v>5556</v>
      </c>
      <c r="B5557" t="s">
        <v>11495</v>
      </c>
      <c r="C5557" t="s">
        <v>57</v>
      </c>
      <c r="D5557" t="s">
        <v>60</v>
      </c>
      <c r="E5557">
        <v>1663</v>
      </c>
      <c r="F5557">
        <v>4</v>
      </c>
      <c r="G5557">
        <v>4</v>
      </c>
      <c r="H5557">
        <v>1</v>
      </c>
      <c r="I5557">
        <v>0</v>
      </c>
      <c r="J5557">
        <v>0.84080370942812999</v>
      </c>
      <c r="K5557">
        <v>0.99234072675790497</v>
      </c>
      <c r="L5557">
        <v>0.91030880884715903</v>
      </c>
      <c r="M5557">
        <v>0.67484662576687104</v>
      </c>
      <c r="N5557">
        <v>0.996932515337423</v>
      </c>
      <c r="O5557">
        <v>0.78271983640081799</v>
      </c>
      <c r="P5557" t="s">
        <v>10485</v>
      </c>
      <c r="Q5557" t="s">
        <v>10486</v>
      </c>
      <c r="R5557" t="s">
        <v>157</v>
      </c>
      <c r="S5557" t="s">
        <v>158</v>
      </c>
      <c r="T5557" t="s">
        <v>10487</v>
      </c>
      <c r="U5557" t="s">
        <v>10488</v>
      </c>
      <c r="V5557" t="s">
        <v>10489</v>
      </c>
      <c r="W5557" t="s">
        <v>10490</v>
      </c>
      <c r="AD5557" t="s">
        <v>439</v>
      </c>
      <c r="AE5557" t="s">
        <v>10192</v>
      </c>
      <c r="AF5557" t="s">
        <v>11496</v>
      </c>
    </row>
    <row r="5558" spans="1:32" hidden="1" x14ac:dyDescent="0.35">
      <c r="A5558">
        <v>5557</v>
      </c>
      <c r="B5558" t="s">
        <v>11495</v>
      </c>
      <c r="C5558" t="s">
        <v>57</v>
      </c>
      <c r="D5558" t="s">
        <v>62</v>
      </c>
      <c r="E5558">
        <v>1698</v>
      </c>
      <c r="F5558">
        <v>4</v>
      </c>
      <c r="G5558">
        <v>4</v>
      </c>
      <c r="H5558">
        <v>1</v>
      </c>
      <c r="I5558">
        <v>0</v>
      </c>
      <c r="J5558">
        <v>0.84080370942812999</v>
      </c>
      <c r="K5558">
        <v>0.99234072675790497</v>
      </c>
      <c r="L5558">
        <v>0.91030880884715903</v>
      </c>
      <c r="M5558">
        <v>0.67484662576687104</v>
      </c>
      <c r="N5558">
        <v>0.996932515337423</v>
      </c>
      <c r="O5558">
        <v>0.78271983640081799</v>
      </c>
      <c r="P5558" t="s">
        <v>10485</v>
      </c>
      <c r="Q5558" t="s">
        <v>10486</v>
      </c>
      <c r="R5558" t="s">
        <v>157</v>
      </c>
      <c r="S5558" t="s">
        <v>158</v>
      </c>
      <c r="T5558" t="s">
        <v>10487</v>
      </c>
      <c r="U5558" t="s">
        <v>10488</v>
      </c>
      <c r="V5558" t="s">
        <v>10489</v>
      </c>
      <c r="W5558" t="s">
        <v>10490</v>
      </c>
      <c r="AD5558" t="s">
        <v>439</v>
      </c>
      <c r="AE5558" t="s">
        <v>10192</v>
      </c>
      <c r="AF5558" t="s">
        <v>11497</v>
      </c>
    </row>
    <row r="5559" spans="1:32" hidden="1" x14ac:dyDescent="0.35">
      <c r="A5559">
        <v>5558</v>
      </c>
      <c r="B5559" t="s">
        <v>11495</v>
      </c>
      <c r="C5559" t="s">
        <v>57</v>
      </c>
      <c r="D5559" t="s">
        <v>34</v>
      </c>
      <c r="E5559">
        <v>1590</v>
      </c>
      <c r="F5559">
        <v>4</v>
      </c>
      <c r="G5559">
        <v>4</v>
      </c>
      <c r="H5559">
        <v>1</v>
      </c>
      <c r="I5559">
        <v>0</v>
      </c>
      <c r="J5559">
        <v>0.84080370942812999</v>
      </c>
      <c r="K5559">
        <v>0.99234072675790497</v>
      </c>
      <c r="L5559">
        <v>0.91030880884715903</v>
      </c>
      <c r="M5559">
        <v>0.67484662576687104</v>
      </c>
      <c r="N5559">
        <v>0.996932515337423</v>
      </c>
      <c r="O5559">
        <v>0.78271983640081799</v>
      </c>
      <c r="P5559" t="s">
        <v>10485</v>
      </c>
      <c r="Q5559" t="s">
        <v>10486</v>
      </c>
      <c r="R5559" t="s">
        <v>157</v>
      </c>
      <c r="S5559" t="s">
        <v>158</v>
      </c>
      <c r="T5559" t="s">
        <v>10487</v>
      </c>
      <c r="U5559" t="s">
        <v>10488</v>
      </c>
      <c r="V5559" t="s">
        <v>10489</v>
      </c>
      <c r="W5559" t="s">
        <v>10490</v>
      </c>
      <c r="AD5559" t="s">
        <v>439</v>
      </c>
      <c r="AE5559" t="s">
        <v>10192</v>
      </c>
      <c r="AF5559" t="s">
        <v>11498</v>
      </c>
    </row>
    <row r="5560" spans="1:32" hidden="1" x14ac:dyDescent="0.35">
      <c r="A5560">
        <v>5559</v>
      </c>
      <c r="B5560" t="s">
        <v>11495</v>
      </c>
      <c r="C5560" t="s">
        <v>57</v>
      </c>
      <c r="D5560" t="s">
        <v>45</v>
      </c>
      <c r="E5560">
        <v>340</v>
      </c>
      <c r="F5560">
        <v>4</v>
      </c>
      <c r="G5560">
        <v>4</v>
      </c>
      <c r="H5560">
        <v>1</v>
      </c>
      <c r="I5560">
        <v>0</v>
      </c>
      <c r="J5560">
        <v>0.84080370942812999</v>
      </c>
      <c r="K5560">
        <v>0.99234072675790497</v>
      </c>
      <c r="L5560">
        <v>0.91030880884715903</v>
      </c>
      <c r="M5560">
        <v>0.67484662576687104</v>
      </c>
      <c r="N5560">
        <v>0.996932515337423</v>
      </c>
      <c r="O5560">
        <v>0.78271983640081799</v>
      </c>
      <c r="P5560" t="s">
        <v>10485</v>
      </c>
      <c r="Q5560" t="s">
        <v>10486</v>
      </c>
      <c r="R5560" t="s">
        <v>157</v>
      </c>
      <c r="S5560" t="s">
        <v>158</v>
      </c>
      <c r="T5560" t="s">
        <v>10487</v>
      </c>
      <c r="U5560" t="s">
        <v>10488</v>
      </c>
      <c r="V5560" t="s">
        <v>10489</v>
      </c>
      <c r="W5560" t="s">
        <v>10490</v>
      </c>
      <c r="AD5560" t="s">
        <v>439</v>
      </c>
      <c r="AE5560" t="s">
        <v>10192</v>
      </c>
      <c r="AF5560" t="s">
        <v>11499</v>
      </c>
    </row>
    <row r="5561" spans="1:32" hidden="1" x14ac:dyDescent="0.35">
      <c r="A5561">
        <v>5560</v>
      </c>
      <c r="B5561" t="s">
        <v>11500</v>
      </c>
      <c r="C5561" t="s">
        <v>57</v>
      </c>
      <c r="D5561" t="s">
        <v>60</v>
      </c>
      <c r="E5561">
        <v>729</v>
      </c>
      <c r="F5561">
        <v>4</v>
      </c>
      <c r="G5561">
        <v>4</v>
      </c>
      <c r="H5561">
        <v>1</v>
      </c>
      <c r="I5561">
        <v>0</v>
      </c>
      <c r="J5561">
        <v>0.78504321683577605</v>
      </c>
      <c r="K5561">
        <v>0.92124741200828297</v>
      </c>
      <c r="L5561">
        <v>0.84770908261339595</v>
      </c>
      <c r="M5561">
        <v>0.53416149068323004</v>
      </c>
      <c r="N5561">
        <v>0.98136645962732905</v>
      </c>
      <c r="O5561">
        <v>0.68737060041407905</v>
      </c>
      <c r="P5561" t="s">
        <v>11501</v>
      </c>
      <c r="Q5561" t="s">
        <v>370</v>
      </c>
      <c r="R5561" t="s">
        <v>288</v>
      </c>
      <c r="S5561" t="s">
        <v>289</v>
      </c>
      <c r="V5561" t="s">
        <v>11502</v>
      </c>
      <c r="W5561" t="s">
        <v>11503</v>
      </c>
      <c r="AF5561" t="s">
        <v>11504</v>
      </c>
    </row>
    <row r="5562" spans="1:32" hidden="1" x14ac:dyDescent="0.35">
      <c r="A5562">
        <v>5561</v>
      </c>
      <c r="B5562" t="s">
        <v>11500</v>
      </c>
      <c r="C5562" t="s">
        <v>57</v>
      </c>
      <c r="D5562" t="s">
        <v>62</v>
      </c>
      <c r="E5562">
        <v>761</v>
      </c>
      <c r="F5562">
        <v>4</v>
      </c>
      <c r="G5562">
        <v>4</v>
      </c>
      <c r="H5562">
        <v>1</v>
      </c>
      <c r="I5562">
        <v>0</v>
      </c>
      <c r="J5562">
        <v>0.78504321683577605</v>
      </c>
      <c r="K5562">
        <v>0.92124741200828297</v>
      </c>
      <c r="L5562">
        <v>0.84770908261339595</v>
      </c>
      <c r="M5562">
        <v>0.53416149068323004</v>
      </c>
      <c r="N5562">
        <v>0.98136645962732905</v>
      </c>
      <c r="O5562">
        <v>0.68737060041407905</v>
      </c>
      <c r="P5562" t="s">
        <v>11501</v>
      </c>
      <c r="Q5562" t="s">
        <v>370</v>
      </c>
      <c r="R5562" t="s">
        <v>288</v>
      </c>
      <c r="S5562" t="s">
        <v>289</v>
      </c>
      <c r="V5562" t="s">
        <v>11502</v>
      </c>
      <c r="W5562" t="s">
        <v>11503</v>
      </c>
      <c r="AF5562" t="s">
        <v>11505</v>
      </c>
    </row>
    <row r="5563" spans="1:32" hidden="1" x14ac:dyDescent="0.35">
      <c r="A5563">
        <v>5562</v>
      </c>
      <c r="B5563" t="s">
        <v>11500</v>
      </c>
      <c r="C5563" t="s">
        <v>57</v>
      </c>
      <c r="D5563" t="s">
        <v>34</v>
      </c>
      <c r="E5563">
        <v>1307</v>
      </c>
      <c r="F5563">
        <v>4</v>
      </c>
      <c r="G5563">
        <v>4</v>
      </c>
      <c r="H5563">
        <v>1</v>
      </c>
      <c r="I5563">
        <v>0</v>
      </c>
      <c r="J5563">
        <v>0.78504321683577605</v>
      </c>
      <c r="K5563">
        <v>0.92124741200828297</v>
      </c>
      <c r="L5563">
        <v>0.84770908261339595</v>
      </c>
      <c r="M5563">
        <v>0.53416149068323004</v>
      </c>
      <c r="N5563">
        <v>0.98136645962732905</v>
      </c>
      <c r="O5563">
        <v>0.68737060041407905</v>
      </c>
      <c r="P5563" t="s">
        <v>11501</v>
      </c>
      <c r="Q5563" t="s">
        <v>370</v>
      </c>
      <c r="R5563" t="s">
        <v>288</v>
      </c>
      <c r="S5563" t="s">
        <v>289</v>
      </c>
      <c r="V5563" t="s">
        <v>11502</v>
      </c>
      <c r="W5563" t="s">
        <v>11503</v>
      </c>
      <c r="AF5563" t="s">
        <v>11506</v>
      </c>
    </row>
    <row r="5564" spans="1:32" hidden="1" x14ac:dyDescent="0.35">
      <c r="A5564">
        <v>5563</v>
      </c>
      <c r="B5564" t="s">
        <v>11500</v>
      </c>
      <c r="C5564" t="s">
        <v>57</v>
      </c>
      <c r="D5564" t="s">
        <v>45</v>
      </c>
      <c r="E5564">
        <v>59</v>
      </c>
      <c r="F5564">
        <v>4</v>
      </c>
      <c r="G5564">
        <v>4</v>
      </c>
      <c r="H5564">
        <v>1</v>
      </c>
      <c r="I5564">
        <v>0</v>
      </c>
      <c r="J5564">
        <v>0.78504321683577605</v>
      </c>
      <c r="K5564">
        <v>0.92124741200828297</v>
      </c>
      <c r="L5564">
        <v>0.84770908261339595</v>
      </c>
      <c r="M5564">
        <v>0.53416149068323004</v>
      </c>
      <c r="N5564">
        <v>0.98136645962732905</v>
      </c>
      <c r="O5564">
        <v>0.68737060041407905</v>
      </c>
      <c r="P5564" t="s">
        <v>11501</v>
      </c>
      <c r="Q5564" t="s">
        <v>370</v>
      </c>
      <c r="R5564" t="s">
        <v>288</v>
      </c>
      <c r="S5564" t="s">
        <v>289</v>
      </c>
      <c r="V5564" t="s">
        <v>11502</v>
      </c>
      <c r="W5564" t="s">
        <v>11503</v>
      </c>
      <c r="AF5564" t="s">
        <v>11507</v>
      </c>
    </row>
    <row r="5565" spans="1:32" hidden="1" x14ac:dyDescent="0.35">
      <c r="A5565">
        <v>5564</v>
      </c>
      <c r="B5565" t="s">
        <v>11508</v>
      </c>
      <c r="C5565" t="s">
        <v>57</v>
      </c>
      <c r="D5565" t="s">
        <v>60</v>
      </c>
      <c r="E5565">
        <v>1943</v>
      </c>
      <c r="F5565">
        <v>4</v>
      </c>
      <c r="G5565">
        <v>4</v>
      </c>
      <c r="H5565">
        <v>1</v>
      </c>
      <c r="I5565">
        <v>0</v>
      </c>
      <c r="J5565">
        <v>0.90836047774158502</v>
      </c>
      <c r="K5565">
        <v>0.98412285912285802</v>
      </c>
      <c r="L5565">
        <v>0.94472515879624497</v>
      </c>
      <c r="M5565">
        <v>0.80769230769230804</v>
      </c>
      <c r="N5565">
        <v>0.992307692307692</v>
      </c>
      <c r="O5565">
        <v>0.86666666666666703</v>
      </c>
      <c r="P5565" t="s">
        <v>11509</v>
      </c>
      <c r="Q5565" t="s">
        <v>11510</v>
      </c>
      <c r="R5565" t="s">
        <v>75</v>
      </c>
      <c r="S5565" t="s">
        <v>76</v>
      </c>
      <c r="V5565" t="s">
        <v>11511</v>
      </c>
      <c r="W5565" t="s">
        <v>11512</v>
      </c>
      <c r="X5565" t="s">
        <v>11511</v>
      </c>
      <c r="Y5565" t="s">
        <v>2750</v>
      </c>
      <c r="AF5565" t="s">
        <v>11513</v>
      </c>
    </row>
    <row r="5566" spans="1:32" hidden="1" x14ac:dyDescent="0.35">
      <c r="A5566">
        <v>5565</v>
      </c>
      <c r="B5566" t="s">
        <v>11508</v>
      </c>
      <c r="C5566" t="s">
        <v>57</v>
      </c>
      <c r="D5566" t="s">
        <v>62</v>
      </c>
      <c r="E5566">
        <v>1983</v>
      </c>
      <c r="F5566">
        <v>4</v>
      </c>
      <c r="G5566">
        <v>4</v>
      </c>
      <c r="H5566">
        <v>1</v>
      </c>
      <c r="I5566">
        <v>0</v>
      </c>
      <c r="J5566">
        <v>0.90836047774158502</v>
      </c>
      <c r="K5566">
        <v>0.98412285912285802</v>
      </c>
      <c r="L5566">
        <v>0.94472515879624497</v>
      </c>
      <c r="M5566">
        <v>0.80769230769230804</v>
      </c>
      <c r="N5566">
        <v>0.992307692307692</v>
      </c>
      <c r="O5566">
        <v>0.86666666666666703</v>
      </c>
      <c r="P5566" t="s">
        <v>11509</v>
      </c>
      <c r="Q5566" t="s">
        <v>11510</v>
      </c>
      <c r="R5566" t="s">
        <v>75</v>
      </c>
      <c r="S5566" t="s">
        <v>76</v>
      </c>
      <c r="V5566" t="s">
        <v>11511</v>
      </c>
      <c r="W5566" t="s">
        <v>11512</v>
      </c>
      <c r="X5566" t="s">
        <v>11511</v>
      </c>
      <c r="Y5566" t="s">
        <v>2750</v>
      </c>
      <c r="AF5566" t="s">
        <v>11514</v>
      </c>
    </row>
    <row r="5567" spans="1:32" hidden="1" x14ac:dyDescent="0.35">
      <c r="A5567">
        <v>5566</v>
      </c>
      <c r="B5567" t="s">
        <v>11508</v>
      </c>
      <c r="C5567" t="s">
        <v>57</v>
      </c>
      <c r="D5567" t="s">
        <v>34</v>
      </c>
      <c r="E5567">
        <v>1019</v>
      </c>
      <c r="F5567">
        <v>4</v>
      </c>
      <c r="G5567">
        <v>4</v>
      </c>
      <c r="H5567">
        <v>1</v>
      </c>
      <c r="I5567">
        <v>0</v>
      </c>
      <c r="J5567">
        <v>0.90836047774158502</v>
      </c>
      <c r="K5567">
        <v>0.98412285912285802</v>
      </c>
      <c r="L5567">
        <v>0.94472515879624497</v>
      </c>
      <c r="M5567">
        <v>0.80769230769230804</v>
      </c>
      <c r="N5567">
        <v>0.992307692307692</v>
      </c>
      <c r="O5567">
        <v>0.86666666666666703</v>
      </c>
      <c r="P5567" t="s">
        <v>11509</v>
      </c>
      <c r="Q5567" t="s">
        <v>11510</v>
      </c>
      <c r="R5567" t="s">
        <v>75</v>
      </c>
      <c r="S5567" t="s">
        <v>76</v>
      </c>
      <c r="V5567" t="s">
        <v>11511</v>
      </c>
      <c r="W5567" t="s">
        <v>11512</v>
      </c>
      <c r="X5567" t="s">
        <v>11511</v>
      </c>
      <c r="Y5567" t="s">
        <v>2750</v>
      </c>
      <c r="AF5567" t="s">
        <v>11515</v>
      </c>
    </row>
    <row r="5568" spans="1:32" hidden="1" x14ac:dyDescent="0.35">
      <c r="A5568">
        <v>5567</v>
      </c>
      <c r="B5568" t="s">
        <v>11508</v>
      </c>
      <c r="C5568" t="s">
        <v>57</v>
      </c>
      <c r="D5568" t="s">
        <v>45</v>
      </c>
      <c r="E5568">
        <v>2277</v>
      </c>
      <c r="F5568">
        <v>4</v>
      </c>
      <c r="G5568">
        <v>4</v>
      </c>
      <c r="H5568">
        <v>1</v>
      </c>
      <c r="I5568">
        <v>0</v>
      </c>
      <c r="J5568">
        <v>0.90836047774158502</v>
      </c>
      <c r="K5568">
        <v>0.98412285912285802</v>
      </c>
      <c r="L5568">
        <v>0.94472515879624497</v>
      </c>
      <c r="M5568">
        <v>0.80769230769230804</v>
      </c>
      <c r="N5568">
        <v>0.992307692307692</v>
      </c>
      <c r="O5568">
        <v>0.86666666666666703</v>
      </c>
      <c r="P5568" t="s">
        <v>11509</v>
      </c>
      <c r="Q5568" t="s">
        <v>11510</v>
      </c>
      <c r="R5568" t="s">
        <v>75</v>
      </c>
      <c r="S5568" t="s">
        <v>76</v>
      </c>
      <c r="V5568" t="s">
        <v>11511</v>
      </c>
      <c r="W5568" t="s">
        <v>11512</v>
      </c>
      <c r="X5568" t="s">
        <v>11511</v>
      </c>
      <c r="Y5568" t="s">
        <v>2750</v>
      </c>
      <c r="AF5568" t="s">
        <v>11516</v>
      </c>
    </row>
    <row r="5569" spans="1:32" hidden="1" x14ac:dyDescent="0.35">
      <c r="A5569">
        <v>5568</v>
      </c>
      <c r="B5569" t="s">
        <v>11517</v>
      </c>
      <c r="C5569" t="s">
        <v>57</v>
      </c>
      <c r="D5569" t="s">
        <v>60</v>
      </c>
      <c r="E5569">
        <v>2122</v>
      </c>
      <c r="F5569">
        <v>4</v>
      </c>
      <c r="G5569">
        <v>4</v>
      </c>
      <c r="H5569">
        <v>1</v>
      </c>
      <c r="I5569">
        <v>0</v>
      </c>
      <c r="J5569">
        <v>0.92649391856160801</v>
      </c>
      <c r="K5569">
        <v>0.99214775102066299</v>
      </c>
      <c r="L5569">
        <v>0.95819753339908798</v>
      </c>
      <c r="M5569">
        <v>0.84260230849947504</v>
      </c>
      <c r="N5569">
        <v>0.99580272822665294</v>
      </c>
      <c r="O5569">
        <v>0.89419377404686895</v>
      </c>
      <c r="P5569" t="s">
        <v>11518</v>
      </c>
      <c r="Q5569" t="s">
        <v>11519</v>
      </c>
      <c r="R5569" t="s">
        <v>6699</v>
      </c>
      <c r="S5569" t="s">
        <v>6700</v>
      </c>
      <c r="T5569" t="s">
        <v>11520</v>
      </c>
      <c r="U5569" t="s">
        <v>11521</v>
      </c>
      <c r="V5569" t="s">
        <v>11522</v>
      </c>
      <c r="W5569" t="s">
        <v>11523</v>
      </c>
      <c r="AD5569" t="s">
        <v>410</v>
      </c>
      <c r="AE5569" t="s">
        <v>11524</v>
      </c>
      <c r="AF5569" t="s">
        <v>11525</v>
      </c>
    </row>
    <row r="5570" spans="1:32" hidden="1" x14ac:dyDescent="0.35">
      <c r="A5570">
        <v>5569</v>
      </c>
      <c r="B5570" t="s">
        <v>11517</v>
      </c>
      <c r="C5570" t="s">
        <v>57</v>
      </c>
      <c r="D5570" t="s">
        <v>62</v>
      </c>
      <c r="E5570">
        <v>2156</v>
      </c>
      <c r="F5570">
        <v>4</v>
      </c>
      <c r="G5570">
        <v>4</v>
      </c>
      <c r="H5570">
        <v>1</v>
      </c>
      <c r="I5570">
        <v>0</v>
      </c>
      <c r="J5570">
        <v>0.92649391856160801</v>
      </c>
      <c r="K5570">
        <v>0.99214775102066299</v>
      </c>
      <c r="L5570">
        <v>0.95819753339908798</v>
      </c>
      <c r="M5570">
        <v>0.84260230849947504</v>
      </c>
      <c r="N5570">
        <v>0.99580272822665294</v>
      </c>
      <c r="O5570">
        <v>0.89419377404686895</v>
      </c>
      <c r="P5570" t="s">
        <v>11518</v>
      </c>
      <c r="Q5570" t="s">
        <v>11519</v>
      </c>
      <c r="R5570" t="s">
        <v>6699</v>
      </c>
      <c r="S5570" t="s">
        <v>6700</v>
      </c>
      <c r="T5570" t="s">
        <v>11520</v>
      </c>
      <c r="U5570" t="s">
        <v>11521</v>
      </c>
      <c r="V5570" t="s">
        <v>11522</v>
      </c>
      <c r="W5570" t="s">
        <v>11523</v>
      </c>
      <c r="AD5570" t="s">
        <v>410</v>
      </c>
      <c r="AE5570" t="s">
        <v>11524</v>
      </c>
      <c r="AF5570" t="s">
        <v>11526</v>
      </c>
    </row>
    <row r="5571" spans="1:32" hidden="1" x14ac:dyDescent="0.35">
      <c r="A5571">
        <v>5570</v>
      </c>
      <c r="B5571" t="s">
        <v>11517</v>
      </c>
      <c r="C5571" t="s">
        <v>57</v>
      </c>
      <c r="D5571" t="s">
        <v>34</v>
      </c>
      <c r="E5571">
        <v>943</v>
      </c>
      <c r="F5571">
        <v>4</v>
      </c>
      <c r="G5571">
        <v>4</v>
      </c>
      <c r="H5571">
        <v>1</v>
      </c>
      <c r="I5571">
        <v>0</v>
      </c>
      <c r="J5571">
        <v>0.92649391856160801</v>
      </c>
      <c r="K5571">
        <v>0.99214775102066299</v>
      </c>
      <c r="L5571">
        <v>0.95819753339908798</v>
      </c>
      <c r="M5571">
        <v>0.84260230849947504</v>
      </c>
      <c r="N5571">
        <v>0.99580272822665294</v>
      </c>
      <c r="O5571">
        <v>0.89419377404686895</v>
      </c>
      <c r="P5571" t="s">
        <v>11518</v>
      </c>
      <c r="Q5571" t="s">
        <v>11519</v>
      </c>
      <c r="R5571" t="s">
        <v>6699</v>
      </c>
      <c r="S5571" t="s">
        <v>6700</v>
      </c>
      <c r="T5571" t="s">
        <v>11520</v>
      </c>
      <c r="U5571" t="s">
        <v>11521</v>
      </c>
      <c r="V5571" t="s">
        <v>11522</v>
      </c>
      <c r="W5571" t="s">
        <v>11523</v>
      </c>
      <c r="AD5571" t="s">
        <v>410</v>
      </c>
      <c r="AE5571" t="s">
        <v>11524</v>
      </c>
      <c r="AF5571" t="s">
        <v>11527</v>
      </c>
    </row>
    <row r="5572" spans="1:32" hidden="1" x14ac:dyDescent="0.35">
      <c r="A5572">
        <v>5571</v>
      </c>
      <c r="B5572" t="s">
        <v>11517</v>
      </c>
      <c r="C5572" t="s">
        <v>57</v>
      </c>
      <c r="D5572" t="s">
        <v>45</v>
      </c>
      <c r="E5572">
        <v>2200</v>
      </c>
      <c r="F5572">
        <v>4</v>
      </c>
      <c r="G5572">
        <v>4</v>
      </c>
      <c r="H5572">
        <v>1</v>
      </c>
      <c r="I5572">
        <v>0</v>
      </c>
      <c r="J5572">
        <v>0.92649391856160801</v>
      </c>
      <c r="K5572">
        <v>0.99214775102066299</v>
      </c>
      <c r="L5572">
        <v>0.95819753339908798</v>
      </c>
      <c r="M5572">
        <v>0.84260230849947504</v>
      </c>
      <c r="N5572">
        <v>0.99580272822665294</v>
      </c>
      <c r="O5572">
        <v>0.89419377404686895</v>
      </c>
      <c r="P5572" t="s">
        <v>11518</v>
      </c>
      <c r="Q5572" t="s">
        <v>11519</v>
      </c>
      <c r="R5572" t="s">
        <v>6699</v>
      </c>
      <c r="S5572" t="s">
        <v>6700</v>
      </c>
      <c r="T5572" t="s">
        <v>11520</v>
      </c>
      <c r="U5572" t="s">
        <v>11521</v>
      </c>
      <c r="V5572" t="s">
        <v>11522</v>
      </c>
      <c r="W5572" t="s">
        <v>11523</v>
      </c>
      <c r="AD5572" t="s">
        <v>410</v>
      </c>
      <c r="AE5572" t="s">
        <v>11524</v>
      </c>
      <c r="AF5572" t="s">
        <v>11528</v>
      </c>
    </row>
    <row r="5573" spans="1:32" hidden="1" x14ac:dyDescent="0.35">
      <c r="A5573">
        <v>5572</v>
      </c>
      <c r="B5573" t="s">
        <v>11529</v>
      </c>
      <c r="C5573" t="s">
        <v>57</v>
      </c>
      <c r="D5573" t="s">
        <v>60</v>
      </c>
      <c r="E5573">
        <v>1923</v>
      </c>
      <c r="F5573">
        <v>4</v>
      </c>
      <c r="G5573">
        <v>4</v>
      </c>
      <c r="H5573">
        <v>1</v>
      </c>
      <c r="I5573">
        <v>0</v>
      </c>
      <c r="J5573">
        <v>0.88067581837381204</v>
      </c>
      <c r="K5573">
        <v>0.98450277200277603</v>
      </c>
      <c r="L5573">
        <v>0.92969948175286998</v>
      </c>
      <c r="M5573">
        <v>0.754677754677755</v>
      </c>
      <c r="N5573">
        <v>0.99376299376299404</v>
      </c>
      <c r="O5573">
        <v>0.83471933471933502</v>
      </c>
      <c r="P5573" t="s">
        <v>11530</v>
      </c>
      <c r="Q5573" t="s">
        <v>11531</v>
      </c>
      <c r="R5573" t="s">
        <v>235</v>
      </c>
      <c r="S5573" t="s">
        <v>236</v>
      </c>
      <c r="T5573" t="s">
        <v>11532</v>
      </c>
      <c r="U5573" t="s">
        <v>11533</v>
      </c>
      <c r="V5573" t="s">
        <v>11534</v>
      </c>
      <c r="W5573" t="s">
        <v>11535</v>
      </c>
      <c r="X5573" t="s">
        <v>11534</v>
      </c>
      <c r="Y5573" t="s">
        <v>7046</v>
      </c>
      <c r="Z5573" t="s">
        <v>7047</v>
      </c>
      <c r="AA5573" t="s">
        <v>7048</v>
      </c>
      <c r="AB5573" t="s">
        <v>7047</v>
      </c>
      <c r="AC5573" t="s">
        <v>7049</v>
      </c>
      <c r="AD5573" t="s">
        <v>245</v>
      </c>
      <c r="AE5573" t="s">
        <v>11536</v>
      </c>
      <c r="AF5573" t="s">
        <v>11537</v>
      </c>
    </row>
    <row r="5574" spans="1:32" hidden="1" x14ac:dyDescent="0.35">
      <c r="A5574">
        <v>5573</v>
      </c>
      <c r="B5574" t="s">
        <v>11529</v>
      </c>
      <c r="C5574" t="s">
        <v>57</v>
      </c>
      <c r="D5574" t="s">
        <v>62</v>
      </c>
      <c r="E5574">
        <v>1963</v>
      </c>
      <c r="F5574">
        <v>4</v>
      </c>
      <c r="G5574">
        <v>4</v>
      </c>
      <c r="H5574">
        <v>1</v>
      </c>
      <c r="I5574">
        <v>0</v>
      </c>
      <c r="J5574">
        <v>0.88067581837381204</v>
      </c>
      <c r="K5574">
        <v>0.98450277200277603</v>
      </c>
      <c r="L5574">
        <v>0.92969948175286998</v>
      </c>
      <c r="M5574">
        <v>0.754677754677755</v>
      </c>
      <c r="N5574">
        <v>0.99376299376299404</v>
      </c>
      <c r="O5574">
        <v>0.83471933471933502</v>
      </c>
      <c r="P5574" t="s">
        <v>11530</v>
      </c>
      <c r="Q5574" t="s">
        <v>11531</v>
      </c>
      <c r="R5574" t="s">
        <v>235</v>
      </c>
      <c r="S5574" t="s">
        <v>236</v>
      </c>
      <c r="T5574" t="s">
        <v>11532</v>
      </c>
      <c r="U5574" t="s">
        <v>11533</v>
      </c>
      <c r="V5574" t="s">
        <v>11534</v>
      </c>
      <c r="W5574" t="s">
        <v>11535</v>
      </c>
      <c r="X5574" t="s">
        <v>11534</v>
      </c>
      <c r="Y5574" t="s">
        <v>7046</v>
      </c>
      <c r="Z5574" t="s">
        <v>7047</v>
      </c>
      <c r="AA5574" t="s">
        <v>7048</v>
      </c>
      <c r="AB5574" t="s">
        <v>7047</v>
      </c>
      <c r="AC5574" t="s">
        <v>7049</v>
      </c>
      <c r="AD5574" t="s">
        <v>245</v>
      </c>
      <c r="AE5574" t="s">
        <v>11536</v>
      </c>
      <c r="AF5574" t="s">
        <v>11538</v>
      </c>
    </row>
    <row r="5575" spans="1:32" hidden="1" x14ac:dyDescent="0.35">
      <c r="A5575">
        <v>5574</v>
      </c>
      <c r="B5575" t="s">
        <v>11529</v>
      </c>
      <c r="C5575" t="s">
        <v>57</v>
      </c>
      <c r="D5575" t="s">
        <v>34</v>
      </c>
      <c r="E5575">
        <v>2182</v>
      </c>
      <c r="F5575">
        <v>4</v>
      </c>
      <c r="G5575">
        <v>4</v>
      </c>
      <c r="H5575">
        <v>1</v>
      </c>
      <c r="I5575">
        <v>0</v>
      </c>
      <c r="J5575">
        <v>0.88067581837381204</v>
      </c>
      <c r="K5575">
        <v>0.98450277200277603</v>
      </c>
      <c r="L5575">
        <v>0.92969948175286998</v>
      </c>
      <c r="M5575">
        <v>0.754677754677755</v>
      </c>
      <c r="N5575">
        <v>0.99376299376299404</v>
      </c>
      <c r="O5575">
        <v>0.83471933471933502</v>
      </c>
      <c r="P5575" t="s">
        <v>11530</v>
      </c>
      <c r="Q5575" t="s">
        <v>11531</v>
      </c>
      <c r="R5575" t="s">
        <v>235</v>
      </c>
      <c r="S5575" t="s">
        <v>236</v>
      </c>
      <c r="T5575" t="s">
        <v>11532</v>
      </c>
      <c r="U5575" t="s">
        <v>11533</v>
      </c>
      <c r="V5575" t="s">
        <v>11534</v>
      </c>
      <c r="W5575" t="s">
        <v>11535</v>
      </c>
      <c r="X5575" t="s">
        <v>11534</v>
      </c>
      <c r="Y5575" t="s">
        <v>7046</v>
      </c>
      <c r="Z5575" t="s">
        <v>7047</v>
      </c>
      <c r="AA5575" t="s">
        <v>7048</v>
      </c>
      <c r="AB5575" t="s">
        <v>7047</v>
      </c>
      <c r="AC5575" t="s">
        <v>7049</v>
      </c>
      <c r="AD5575" t="s">
        <v>245</v>
      </c>
      <c r="AE5575" t="s">
        <v>11536</v>
      </c>
      <c r="AF5575" t="s">
        <v>11539</v>
      </c>
    </row>
    <row r="5576" spans="1:32" hidden="1" x14ac:dyDescent="0.35">
      <c r="A5576">
        <v>5575</v>
      </c>
      <c r="B5576" t="s">
        <v>11529</v>
      </c>
      <c r="C5576" t="s">
        <v>57</v>
      </c>
      <c r="D5576" t="s">
        <v>45</v>
      </c>
      <c r="E5576">
        <v>692</v>
      </c>
      <c r="F5576">
        <v>4</v>
      </c>
      <c r="G5576">
        <v>4</v>
      </c>
      <c r="H5576">
        <v>1</v>
      </c>
      <c r="I5576">
        <v>0</v>
      </c>
      <c r="J5576">
        <v>0.88067581837381204</v>
      </c>
      <c r="K5576">
        <v>0.98450277200277603</v>
      </c>
      <c r="L5576">
        <v>0.92969948175286998</v>
      </c>
      <c r="M5576">
        <v>0.754677754677755</v>
      </c>
      <c r="N5576">
        <v>0.99376299376299404</v>
      </c>
      <c r="O5576">
        <v>0.83471933471933502</v>
      </c>
      <c r="P5576" t="s">
        <v>11530</v>
      </c>
      <c r="Q5576" t="s">
        <v>11531</v>
      </c>
      <c r="R5576" t="s">
        <v>235</v>
      </c>
      <c r="S5576" t="s">
        <v>236</v>
      </c>
      <c r="T5576" t="s">
        <v>11532</v>
      </c>
      <c r="U5576" t="s">
        <v>11533</v>
      </c>
      <c r="V5576" t="s">
        <v>11534</v>
      </c>
      <c r="W5576" t="s">
        <v>11535</v>
      </c>
      <c r="X5576" t="s">
        <v>11534</v>
      </c>
      <c r="Y5576" t="s">
        <v>7046</v>
      </c>
      <c r="Z5576" t="s">
        <v>7047</v>
      </c>
      <c r="AA5576" t="s">
        <v>7048</v>
      </c>
      <c r="AB5576" t="s">
        <v>7047</v>
      </c>
      <c r="AC5576" t="s">
        <v>7049</v>
      </c>
      <c r="AD5576" t="s">
        <v>245</v>
      </c>
      <c r="AE5576" t="s">
        <v>11536</v>
      </c>
      <c r="AF5576" t="s">
        <v>11540</v>
      </c>
    </row>
    <row r="5577" spans="1:32" hidden="1" x14ac:dyDescent="0.35">
      <c r="A5577">
        <v>5576</v>
      </c>
      <c r="B5577" t="s">
        <v>11541</v>
      </c>
      <c r="C5577" t="s">
        <v>57</v>
      </c>
      <c r="D5577" t="s">
        <v>34</v>
      </c>
      <c r="E5577">
        <v>311</v>
      </c>
      <c r="F5577">
        <v>2</v>
      </c>
      <c r="G5577">
        <v>4</v>
      </c>
      <c r="H5577">
        <v>3</v>
      </c>
      <c r="I5577">
        <v>0</v>
      </c>
      <c r="J5577">
        <v>0.78205128205128205</v>
      </c>
      <c r="K5577">
        <v>0.67204424103737703</v>
      </c>
      <c r="L5577">
        <v>0.72288656687710096</v>
      </c>
      <c r="M5577">
        <v>0.173913043478261</v>
      </c>
      <c r="N5577">
        <v>0.94782608695652204</v>
      </c>
      <c r="O5577">
        <v>0.45362318840579702</v>
      </c>
      <c r="AF5577" t="s">
        <v>11542</v>
      </c>
    </row>
    <row r="5578" spans="1:32" hidden="1" x14ac:dyDescent="0.35">
      <c r="A5578">
        <v>5577</v>
      </c>
      <c r="B5578" t="s">
        <v>11541</v>
      </c>
      <c r="C5578" t="s">
        <v>57</v>
      </c>
      <c r="D5578" t="s">
        <v>45</v>
      </c>
      <c r="E5578">
        <v>649</v>
      </c>
      <c r="F5578">
        <v>2</v>
      </c>
      <c r="G5578">
        <v>4</v>
      </c>
      <c r="H5578">
        <v>3</v>
      </c>
      <c r="I5578">
        <v>0</v>
      </c>
      <c r="J5578">
        <v>0.78205128205128205</v>
      </c>
      <c r="K5578">
        <v>0.67204424103737703</v>
      </c>
      <c r="L5578">
        <v>0.72288656687710096</v>
      </c>
      <c r="M5578">
        <v>0.173913043478261</v>
      </c>
      <c r="N5578">
        <v>0.94782608695652204</v>
      </c>
      <c r="O5578">
        <v>0.45362318840579702</v>
      </c>
      <c r="AF5578" t="s">
        <v>11543</v>
      </c>
    </row>
    <row r="5579" spans="1:32" hidden="1" x14ac:dyDescent="0.35">
      <c r="A5579">
        <v>5578</v>
      </c>
      <c r="B5579" t="s">
        <v>11541</v>
      </c>
      <c r="C5579" t="s">
        <v>57</v>
      </c>
      <c r="D5579" t="s">
        <v>45</v>
      </c>
      <c r="E5579">
        <v>1573</v>
      </c>
      <c r="F5579">
        <v>2</v>
      </c>
      <c r="G5579">
        <v>4</v>
      </c>
      <c r="H5579">
        <v>3</v>
      </c>
      <c r="I5579">
        <v>0</v>
      </c>
      <c r="J5579">
        <v>0.78205128205128205</v>
      </c>
      <c r="K5579">
        <v>0.67204424103737703</v>
      </c>
      <c r="L5579">
        <v>0.72288656687710096</v>
      </c>
      <c r="M5579">
        <v>0.173913043478261</v>
      </c>
      <c r="N5579">
        <v>0.94782608695652204</v>
      </c>
      <c r="O5579">
        <v>0.45362318840579702</v>
      </c>
      <c r="AF5579" t="s">
        <v>11544</v>
      </c>
    </row>
    <row r="5580" spans="1:32" hidden="1" x14ac:dyDescent="0.35">
      <c r="A5580">
        <v>5579</v>
      </c>
      <c r="B5580" t="s">
        <v>11541</v>
      </c>
      <c r="C5580" t="s">
        <v>57</v>
      </c>
      <c r="D5580" t="s">
        <v>45</v>
      </c>
      <c r="E5580">
        <v>1369</v>
      </c>
      <c r="F5580">
        <v>2</v>
      </c>
      <c r="G5580">
        <v>4</v>
      </c>
      <c r="H5580">
        <v>3</v>
      </c>
      <c r="I5580">
        <v>0</v>
      </c>
      <c r="J5580">
        <v>0.78205128205128205</v>
      </c>
      <c r="K5580">
        <v>0.67204424103737703</v>
      </c>
      <c r="L5580">
        <v>0.72288656687710096</v>
      </c>
      <c r="M5580">
        <v>0.173913043478261</v>
      </c>
      <c r="N5580">
        <v>0.94782608695652204</v>
      </c>
      <c r="O5580">
        <v>0.45362318840579702</v>
      </c>
      <c r="AF5580" t="s">
        <v>11545</v>
      </c>
    </row>
    <row r="5581" spans="1:32" hidden="1" x14ac:dyDescent="0.35">
      <c r="A5581">
        <v>5580</v>
      </c>
      <c r="B5581" t="s">
        <v>11546</v>
      </c>
      <c r="C5581" t="s">
        <v>57</v>
      </c>
      <c r="D5581" t="s">
        <v>60</v>
      </c>
      <c r="E5581">
        <v>35</v>
      </c>
      <c r="F5581">
        <v>4</v>
      </c>
      <c r="G5581">
        <v>4</v>
      </c>
      <c r="H5581">
        <v>1</v>
      </c>
      <c r="I5581">
        <v>0</v>
      </c>
      <c r="J5581">
        <v>0.82723279648609105</v>
      </c>
      <c r="K5581">
        <v>0.97865823535223995</v>
      </c>
      <c r="L5581">
        <v>0.89659694251923405</v>
      </c>
      <c r="M5581">
        <v>0.65616045845272197</v>
      </c>
      <c r="N5581">
        <v>0.99426934097421205</v>
      </c>
      <c r="O5581">
        <v>0.768863419293219</v>
      </c>
      <c r="P5581" t="s">
        <v>9910</v>
      </c>
      <c r="Q5581" t="s">
        <v>9911</v>
      </c>
      <c r="R5581" t="s">
        <v>8647</v>
      </c>
      <c r="S5581" t="s">
        <v>8648</v>
      </c>
      <c r="T5581" t="s">
        <v>11547</v>
      </c>
      <c r="U5581" t="s">
        <v>11548</v>
      </c>
      <c r="V5581" t="s">
        <v>11549</v>
      </c>
      <c r="W5581" t="s">
        <v>11550</v>
      </c>
      <c r="AD5581" t="s">
        <v>219</v>
      </c>
      <c r="AE5581" t="s">
        <v>11551</v>
      </c>
      <c r="AF5581" t="s">
        <v>11552</v>
      </c>
    </row>
    <row r="5582" spans="1:32" hidden="1" x14ac:dyDescent="0.35">
      <c r="A5582">
        <v>5581</v>
      </c>
      <c r="B5582" t="s">
        <v>11546</v>
      </c>
      <c r="C5582" t="s">
        <v>57</v>
      </c>
      <c r="D5582" t="s">
        <v>62</v>
      </c>
      <c r="E5582">
        <v>108</v>
      </c>
      <c r="F5582">
        <v>4</v>
      </c>
      <c r="G5582">
        <v>4</v>
      </c>
      <c r="H5582">
        <v>1</v>
      </c>
      <c r="I5582">
        <v>0</v>
      </c>
      <c r="J5582">
        <v>0.82723279648609105</v>
      </c>
      <c r="K5582">
        <v>0.97865823535223995</v>
      </c>
      <c r="L5582">
        <v>0.89659694251923405</v>
      </c>
      <c r="M5582">
        <v>0.65616045845272197</v>
      </c>
      <c r="N5582">
        <v>0.99426934097421205</v>
      </c>
      <c r="O5582">
        <v>0.768863419293219</v>
      </c>
      <c r="P5582" t="s">
        <v>9910</v>
      </c>
      <c r="Q5582" t="s">
        <v>9911</v>
      </c>
      <c r="R5582" t="s">
        <v>8647</v>
      </c>
      <c r="S5582" t="s">
        <v>8648</v>
      </c>
      <c r="T5582" t="s">
        <v>11547</v>
      </c>
      <c r="U5582" t="s">
        <v>11548</v>
      </c>
      <c r="V5582" t="s">
        <v>11549</v>
      </c>
      <c r="W5582" t="s">
        <v>11550</v>
      </c>
      <c r="AD5582" t="s">
        <v>219</v>
      </c>
      <c r="AE5582" t="s">
        <v>11551</v>
      </c>
      <c r="AF5582" t="s">
        <v>11553</v>
      </c>
    </row>
    <row r="5583" spans="1:32" hidden="1" x14ac:dyDescent="0.35">
      <c r="A5583">
        <v>5582</v>
      </c>
      <c r="B5583" t="s">
        <v>11546</v>
      </c>
      <c r="C5583" t="s">
        <v>57</v>
      </c>
      <c r="D5583" t="s">
        <v>34</v>
      </c>
      <c r="E5583">
        <v>2504</v>
      </c>
      <c r="F5583">
        <v>4</v>
      </c>
      <c r="G5583">
        <v>4</v>
      </c>
      <c r="H5583">
        <v>1</v>
      </c>
      <c r="I5583">
        <v>0</v>
      </c>
      <c r="J5583">
        <v>0.82723279648609105</v>
      </c>
      <c r="K5583">
        <v>0.97865823535223995</v>
      </c>
      <c r="L5583">
        <v>0.89659694251923405</v>
      </c>
      <c r="M5583">
        <v>0.65616045845272197</v>
      </c>
      <c r="N5583">
        <v>0.99426934097421205</v>
      </c>
      <c r="O5583">
        <v>0.768863419293219</v>
      </c>
      <c r="P5583" t="s">
        <v>9910</v>
      </c>
      <c r="Q5583" t="s">
        <v>9911</v>
      </c>
      <c r="R5583" t="s">
        <v>8647</v>
      </c>
      <c r="S5583" t="s">
        <v>8648</v>
      </c>
      <c r="T5583" t="s">
        <v>11547</v>
      </c>
      <c r="U5583" t="s">
        <v>11548</v>
      </c>
      <c r="V5583" t="s">
        <v>11549</v>
      </c>
      <c r="W5583" t="s">
        <v>11550</v>
      </c>
      <c r="AD5583" t="s">
        <v>219</v>
      </c>
      <c r="AE5583" t="s">
        <v>11551</v>
      </c>
      <c r="AF5583" t="s">
        <v>11554</v>
      </c>
    </row>
    <row r="5584" spans="1:32" hidden="1" x14ac:dyDescent="0.35">
      <c r="A5584">
        <v>5583</v>
      </c>
      <c r="B5584" t="s">
        <v>11546</v>
      </c>
      <c r="C5584" t="s">
        <v>57</v>
      </c>
      <c r="D5584" t="s">
        <v>45</v>
      </c>
      <c r="E5584">
        <v>397</v>
      </c>
      <c r="F5584">
        <v>4</v>
      </c>
      <c r="G5584">
        <v>4</v>
      </c>
      <c r="H5584">
        <v>1</v>
      </c>
      <c r="I5584">
        <v>0</v>
      </c>
      <c r="J5584">
        <v>0.82723279648609105</v>
      </c>
      <c r="K5584">
        <v>0.97865823535223995</v>
      </c>
      <c r="L5584">
        <v>0.89659694251923405</v>
      </c>
      <c r="M5584">
        <v>0.65616045845272197</v>
      </c>
      <c r="N5584">
        <v>0.99426934097421205</v>
      </c>
      <c r="O5584">
        <v>0.768863419293219</v>
      </c>
      <c r="P5584" t="s">
        <v>9910</v>
      </c>
      <c r="Q5584" t="s">
        <v>9911</v>
      </c>
      <c r="R5584" t="s">
        <v>8647</v>
      </c>
      <c r="S5584" t="s">
        <v>8648</v>
      </c>
      <c r="T5584" t="s">
        <v>11547</v>
      </c>
      <c r="U5584" t="s">
        <v>11548</v>
      </c>
      <c r="V5584" t="s">
        <v>11549</v>
      </c>
      <c r="W5584" t="s">
        <v>11550</v>
      </c>
      <c r="AD5584" t="s">
        <v>219</v>
      </c>
      <c r="AE5584" t="s">
        <v>11551</v>
      </c>
      <c r="AF5584" t="s">
        <v>11555</v>
      </c>
    </row>
    <row r="5585" spans="1:32" hidden="1" x14ac:dyDescent="0.35">
      <c r="A5585">
        <v>5584</v>
      </c>
      <c r="B5585" t="s">
        <v>11556</v>
      </c>
      <c r="C5585" t="s">
        <v>57</v>
      </c>
      <c r="D5585" t="s">
        <v>60</v>
      </c>
      <c r="E5585">
        <v>158</v>
      </c>
      <c r="F5585">
        <v>4</v>
      </c>
      <c r="G5585">
        <v>4</v>
      </c>
      <c r="H5585">
        <v>1</v>
      </c>
      <c r="I5585">
        <v>0</v>
      </c>
      <c r="J5585">
        <v>0.81599850481263403</v>
      </c>
      <c r="K5585">
        <v>0.96397787787576805</v>
      </c>
      <c r="L5585">
        <v>0.88383701566986905</v>
      </c>
      <c r="M5585">
        <v>0.60129659643435995</v>
      </c>
      <c r="N5585">
        <v>0.98703403565640202</v>
      </c>
      <c r="O5585">
        <v>0.72960561858454898</v>
      </c>
      <c r="P5585" t="s">
        <v>169</v>
      </c>
      <c r="Q5585" t="s">
        <v>170</v>
      </c>
      <c r="R5585" t="s">
        <v>138</v>
      </c>
      <c r="S5585" t="s">
        <v>139</v>
      </c>
      <c r="T5585" t="s">
        <v>11557</v>
      </c>
      <c r="U5585" t="s">
        <v>11558</v>
      </c>
      <c r="V5585" t="s">
        <v>11356</v>
      </c>
      <c r="W5585" t="s">
        <v>11357</v>
      </c>
      <c r="AD5585" t="s">
        <v>439</v>
      </c>
      <c r="AE5585" t="s">
        <v>11443</v>
      </c>
      <c r="AF5585" t="s">
        <v>11559</v>
      </c>
    </row>
    <row r="5586" spans="1:32" hidden="1" x14ac:dyDescent="0.35">
      <c r="A5586">
        <v>5585</v>
      </c>
      <c r="B5586" t="s">
        <v>11556</v>
      </c>
      <c r="C5586" t="s">
        <v>57</v>
      </c>
      <c r="D5586" t="s">
        <v>62</v>
      </c>
      <c r="E5586">
        <v>234</v>
      </c>
      <c r="F5586">
        <v>4</v>
      </c>
      <c r="G5586">
        <v>4</v>
      </c>
      <c r="H5586">
        <v>1</v>
      </c>
      <c r="I5586">
        <v>0</v>
      </c>
      <c r="J5586">
        <v>0.81599850481263403</v>
      </c>
      <c r="K5586">
        <v>0.96397787787576805</v>
      </c>
      <c r="L5586">
        <v>0.88383701566986905</v>
      </c>
      <c r="M5586">
        <v>0.60129659643435995</v>
      </c>
      <c r="N5586">
        <v>0.98703403565640202</v>
      </c>
      <c r="O5586">
        <v>0.72960561858454898</v>
      </c>
      <c r="P5586" t="s">
        <v>169</v>
      </c>
      <c r="Q5586" t="s">
        <v>170</v>
      </c>
      <c r="R5586" t="s">
        <v>138</v>
      </c>
      <c r="S5586" t="s">
        <v>139</v>
      </c>
      <c r="T5586" t="s">
        <v>11557</v>
      </c>
      <c r="U5586" t="s">
        <v>11558</v>
      </c>
      <c r="V5586" t="s">
        <v>11356</v>
      </c>
      <c r="W5586" t="s">
        <v>11357</v>
      </c>
      <c r="AD5586" t="s">
        <v>439</v>
      </c>
      <c r="AE5586" t="s">
        <v>11443</v>
      </c>
      <c r="AF5586" t="s">
        <v>11560</v>
      </c>
    </row>
    <row r="5587" spans="1:32" hidden="1" x14ac:dyDescent="0.35">
      <c r="A5587">
        <v>5586</v>
      </c>
      <c r="B5587" t="s">
        <v>11556</v>
      </c>
      <c r="C5587" t="s">
        <v>57</v>
      </c>
      <c r="D5587" t="s">
        <v>34</v>
      </c>
      <c r="E5587">
        <v>2093</v>
      </c>
      <c r="F5587">
        <v>4</v>
      </c>
      <c r="G5587">
        <v>4</v>
      </c>
      <c r="H5587">
        <v>1</v>
      </c>
      <c r="I5587">
        <v>0</v>
      </c>
      <c r="J5587">
        <v>0.81599850481263403</v>
      </c>
      <c r="K5587">
        <v>0.96397787787576805</v>
      </c>
      <c r="L5587">
        <v>0.88383701566986905</v>
      </c>
      <c r="M5587">
        <v>0.60129659643435995</v>
      </c>
      <c r="N5587">
        <v>0.98703403565640202</v>
      </c>
      <c r="O5587">
        <v>0.72960561858454898</v>
      </c>
      <c r="P5587" t="s">
        <v>169</v>
      </c>
      <c r="Q5587" t="s">
        <v>170</v>
      </c>
      <c r="R5587" t="s">
        <v>138</v>
      </c>
      <c r="S5587" t="s">
        <v>139</v>
      </c>
      <c r="T5587" t="s">
        <v>11557</v>
      </c>
      <c r="U5587" t="s">
        <v>11558</v>
      </c>
      <c r="V5587" t="s">
        <v>11356</v>
      </c>
      <c r="W5587" t="s">
        <v>11357</v>
      </c>
      <c r="AD5587" t="s">
        <v>439</v>
      </c>
      <c r="AE5587" t="s">
        <v>11443</v>
      </c>
      <c r="AF5587" t="s">
        <v>11561</v>
      </c>
    </row>
    <row r="5588" spans="1:32" hidden="1" x14ac:dyDescent="0.35">
      <c r="A5588">
        <v>5587</v>
      </c>
      <c r="B5588" t="s">
        <v>11556</v>
      </c>
      <c r="C5588" t="s">
        <v>57</v>
      </c>
      <c r="D5588" t="s">
        <v>45</v>
      </c>
      <c r="E5588">
        <v>779</v>
      </c>
      <c r="F5588">
        <v>4</v>
      </c>
      <c r="G5588">
        <v>4</v>
      </c>
      <c r="H5588">
        <v>1</v>
      </c>
      <c r="I5588">
        <v>0</v>
      </c>
      <c r="J5588">
        <v>0.81599850481263403</v>
      </c>
      <c r="K5588">
        <v>0.96397787787576805</v>
      </c>
      <c r="L5588">
        <v>0.88383701566986905</v>
      </c>
      <c r="M5588">
        <v>0.60129659643435995</v>
      </c>
      <c r="N5588">
        <v>0.98703403565640202</v>
      </c>
      <c r="O5588">
        <v>0.72960561858454898</v>
      </c>
      <c r="P5588" t="s">
        <v>169</v>
      </c>
      <c r="Q5588" t="s">
        <v>170</v>
      </c>
      <c r="R5588" t="s">
        <v>138</v>
      </c>
      <c r="S5588" t="s">
        <v>139</v>
      </c>
      <c r="T5588" t="s">
        <v>11557</v>
      </c>
      <c r="U5588" t="s">
        <v>11558</v>
      </c>
      <c r="V5588" t="s">
        <v>11356</v>
      </c>
      <c r="W5588" t="s">
        <v>11357</v>
      </c>
      <c r="AD5588" t="s">
        <v>439</v>
      </c>
      <c r="AE5588" t="s">
        <v>11443</v>
      </c>
      <c r="AF5588" t="s">
        <v>11562</v>
      </c>
    </row>
    <row r="5589" spans="1:32" hidden="1" x14ac:dyDescent="0.35">
      <c r="A5589">
        <v>5588</v>
      </c>
      <c r="B5589" t="s">
        <v>11563</v>
      </c>
      <c r="C5589" t="s">
        <v>57</v>
      </c>
      <c r="D5589" t="s">
        <v>60</v>
      </c>
      <c r="E5589">
        <v>2121</v>
      </c>
      <c r="F5589">
        <v>4</v>
      </c>
      <c r="G5589">
        <v>4</v>
      </c>
      <c r="H5589">
        <v>1</v>
      </c>
      <c r="I5589">
        <v>0</v>
      </c>
      <c r="J5589">
        <v>0.73853484216795695</v>
      </c>
      <c r="K5589">
        <v>0.96872597078046696</v>
      </c>
      <c r="L5589">
        <v>0.83811199379525203</v>
      </c>
      <c r="M5589">
        <v>0.50173010380622796</v>
      </c>
      <c r="N5589">
        <v>0.95155709342560602</v>
      </c>
      <c r="O5589">
        <v>0.65801614763552496</v>
      </c>
      <c r="P5589" t="s">
        <v>11564</v>
      </c>
      <c r="Q5589" t="s">
        <v>11565</v>
      </c>
      <c r="R5589" t="s">
        <v>288</v>
      </c>
      <c r="S5589" t="s">
        <v>289</v>
      </c>
      <c r="V5589" t="s">
        <v>11566</v>
      </c>
      <c r="W5589" t="s">
        <v>11567</v>
      </c>
      <c r="AF5589" t="s">
        <v>11568</v>
      </c>
    </row>
    <row r="5590" spans="1:32" hidden="1" x14ac:dyDescent="0.35">
      <c r="A5590">
        <v>5589</v>
      </c>
      <c r="B5590" t="s">
        <v>11563</v>
      </c>
      <c r="C5590" t="s">
        <v>57</v>
      </c>
      <c r="D5590" t="s">
        <v>62</v>
      </c>
      <c r="E5590">
        <v>2155</v>
      </c>
      <c r="F5590">
        <v>4</v>
      </c>
      <c r="G5590">
        <v>4</v>
      </c>
      <c r="H5590">
        <v>1</v>
      </c>
      <c r="I5590">
        <v>0</v>
      </c>
      <c r="J5590">
        <v>0.73853484216795695</v>
      </c>
      <c r="K5590">
        <v>0.96872597078046696</v>
      </c>
      <c r="L5590">
        <v>0.83811199379525203</v>
      </c>
      <c r="M5590">
        <v>0.50173010380622796</v>
      </c>
      <c r="N5590">
        <v>0.95155709342560602</v>
      </c>
      <c r="O5590">
        <v>0.65801614763552496</v>
      </c>
      <c r="P5590" t="s">
        <v>11564</v>
      </c>
      <c r="Q5590" t="s">
        <v>11565</v>
      </c>
      <c r="R5590" t="s">
        <v>288</v>
      </c>
      <c r="S5590" t="s">
        <v>289</v>
      </c>
      <c r="V5590" t="s">
        <v>11566</v>
      </c>
      <c r="W5590" t="s">
        <v>11567</v>
      </c>
      <c r="AF5590" t="s">
        <v>11569</v>
      </c>
    </row>
    <row r="5591" spans="1:32" hidden="1" x14ac:dyDescent="0.35">
      <c r="A5591">
        <v>5590</v>
      </c>
      <c r="B5591" t="s">
        <v>11563</v>
      </c>
      <c r="C5591" t="s">
        <v>57</v>
      </c>
      <c r="D5591" t="s">
        <v>34</v>
      </c>
      <c r="E5591">
        <v>391</v>
      </c>
      <c r="F5591">
        <v>4</v>
      </c>
      <c r="G5591">
        <v>4</v>
      </c>
      <c r="H5591">
        <v>1</v>
      </c>
      <c r="I5591">
        <v>0</v>
      </c>
      <c r="J5591">
        <v>0.73853484216795695</v>
      </c>
      <c r="K5591">
        <v>0.96872597078046696</v>
      </c>
      <c r="L5591">
        <v>0.83811199379525203</v>
      </c>
      <c r="M5591">
        <v>0.50173010380622796</v>
      </c>
      <c r="N5591">
        <v>0.95155709342560602</v>
      </c>
      <c r="O5591">
        <v>0.65801614763552496</v>
      </c>
      <c r="P5591" t="s">
        <v>11564</v>
      </c>
      <c r="Q5591" t="s">
        <v>11565</v>
      </c>
      <c r="R5591" t="s">
        <v>288</v>
      </c>
      <c r="S5591" t="s">
        <v>289</v>
      </c>
      <c r="V5591" t="s">
        <v>11566</v>
      </c>
      <c r="W5591" t="s">
        <v>11567</v>
      </c>
      <c r="AF5591" t="s">
        <v>11570</v>
      </c>
    </row>
    <row r="5592" spans="1:32" hidden="1" x14ac:dyDescent="0.35">
      <c r="A5592">
        <v>5591</v>
      </c>
      <c r="B5592" t="s">
        <v>11563</v>
      </c>
      <c r="C5592" t="s">
        <v>57</v>
      </c>
      <c r="D5592" t="s">
        <v>45</v>
      </c>
      <c r="E5592">
        <v>1652</v>
      </c>
      <c r="F5592">
        <v>4</v>
      </c>
      <c r="G5592">
        <v>4</v>
      </c>
      <c r="H5592">
        <v>1</v>
      </c>
      <c r="I5592">
        <v>0</v>
      </c>
      <c r="J5592">
        <v>0.73853484216795695</v>
      </c>
      <c r="K5592">
        <v>0.96872597078046696</v>
      </c>
      <c r="L5592">
        <v>0.83811199379525203</v>
      </c>
      <c r="M5592">
        <v>0.50173010380622796</v>
      </c>
      <c r="N5592">
        <v>0.95155709342560602</v>
      </c>
      <c r="O5592">
        <v>0.65801614763552496</v>
      </c>
      <c r="P5592" t="s">
        <v>11564</v>
      </c>
      <c r="Q5592" t="s">
        <v>11565</v>
      </c>
      <c r="R5592" t="s">
        <v>288</v>
      </c>
      <c r="S5592" t="s">
        <v>289</v>
      </c>
      <c r="V5592" t="s">
        <v>11566</v>
      </c>
      <c r="W5592" t="s">
        <v>11567</v>
      </c>
      <c r="AF5592" t="s">
        <v>11571</v>
      </c>
    </row>
    <row r="5593" spans="1:32" hidden="1" x14ac:dyDescent="0.35">
      <c r="A5593">
        <v>5592</v>
      </c>
      <c r="B5593" t="s">
        <v>11572</v>
      </c>
      <c r="C5593" t="s">
        <v>57</v>
      </c>
      <c r="D5593" t="s">
        <v>34</v>
      </c>
      <c r="E5593">
        <v>1173</v>
      </c>
      <c r="F5593">
        <v>2</v>
      </c>
      <c r="G5593">
        <v>4</v>
      </c>
      <c r="H5593">
        <v>2</v>
      </c>
      <c r="I5593">
        <v>0</v>
      </c>
      <c r="J5593">
        <v>0.77914110429447903</v>
      </c>
      <c r="K5593">
        <v>0.97079863335468497</v>
      </c>
      <c r="L5593">
        <v>0.86447447642472397</v>
      </c>
      <c r="M5593">
        <v>0.54910714285714302</v>
      </c>
      <c r="N5593">
        <v>0.99553571428571397</v>
      </c>
      <c r="O5593">
        <v>0.69940476190476197</v>
      </c>
      <c r="P5593" t="s">
        <v>1496</v>
      </c>
      <c r="Q5593" t="s">
        <v>1497</v>
      </c>
      <c r="R5593" t="s">
        <v>1498</v>
      </c>
      <c r="S5593" t="s">
        <v>1499</v>
      </c>
      <c r="V5593" t="s">
        <v>1500</v>
      </c>
      <c r="W5593" t="s">
        <v>1501</v>
      </c>
      <c r="AF5593" t="s">
        <v>11573</v>
      </c>
    </row>
    <row r="5594" spans="1:32" hidden="1" x14ac:dyDescent="0.35">
      <c r="A5594">
        <v>5593</v>
      </c>
      <c r="B5594" t="s">
        <v>11572</v>
      </c>
      <c r="C5594" t="s">
        <v>57</v>
      </c>
      <c r="D5594" t="s">
        <v>34</v>
      </c>
      <c r="E5594">
        <v>1174</v>
      </c>
      <c r="F5594">
        <v>2</v>
      </c>
      <c r="G5594">
        <v>4</v>
      </c>
      <c r="H5594">
        <v>2</v>
      </c>
      <c r="I5594">
        <v>0</v>
      </c>
      <c r="J5594">
        <v>0.77914110429447903</v>
      </c>
      <c r="K5594">
        <v>0.97079863335468497</v>
      </c>
      <c r="L5594">
        <v>0.86447447642472397</v>
      </c>
      <c r="M5594">
        <v>0.54910714285714302</v>
      </c>
      <c r="N5594">
        <v>0.99553571428571397</v>
      </c>
      <c r="O5594">
        <v>0.69940476190476197</v>
      </c>
      <c r="P5594" t="s">
        <v>1496</v>
      </c>
      <c r="Q5594" t="s">
        <v>1497</v>
      </c>
      <c r="R5594" t="s">
        <v>1498</v>
      </c>
      <c r="S5594" t="s">
        <v>1499</v>
      </c>
      <c r="V5594" t="s">
        <v>1500</v>
      </c>
      <c r="W5594" t="s">
        <v>1501</v>
      </c>
      <c r="AF5594" t="s">
        <v>11574</v>
      </c>
    </row>
    <row r="5595" spans="1:32" hidden="1" x14ac:dyDescent="0.35">
      <c r="A5595">
        <v>5594</v>
      </c>
      <c r="B5595" t="s">
        <v>11572</v>
      </c>
      <c r="C5595" t="s">
        <v>57</v>
      </c>
      <c r="D5595" t="s">
        <v>45</v>
      </c>
      <c r="E5595">
        <v>2418</v>
      </c>
      <c r="F5595">
        <v>2</v>
      </c>
      <c r="G5595">
        <v>4</v>
      </c>
      <c r="H5595">
        <v>2</v>
      </c>
      <c r="I5595">
        <v>0</v>
      </c>
      <c r="J5595">
        <v>0.77914110429447903</v>
      </c>
      <c r="K5595">
        <v>0.97079863335468497</v>
      </c>
      <c r="L5595">
        <v>0.86447447642472397</v>
      </c>
      <c r="M5595">
        <v>0.54910714285714302</v>
      </c>
      <c r="N5595">
        <v>0.99553571428571397</v>
      </c>
      <c r="O5595">
        <v>0.69940476190476197</v>
      </c>
      <c r="P5595" t="s">
        <v>1496</v>
      </c>
      <c r="Q5595" t="s">
        <v>1497</v>
      </c>
      <c r="R5595" t="s">
        <v>1498</v>
      </c>
      <c r="S5595" t="s">
        <v>1499</v>
      </c>
      <c r="V5595" t="s">
        <v>1500</v>
      </c>
      <c r="W5595" t="s">
        <v>1501</v>
      </c>
      <c r="AF5595" t="s">
        <v>11575</v>
      </c>
    </row>
    <row r="5596" spans="1:32" hidden="1" x14ac:dyDescent="0.35">
      <c r="A5596">
        <v>5595</v>
      </c>
      <c r="B5596" t="s">
        <v>11572</v>
      </c>
      <c r="C5596" t="s">
        <v>57</v>
      </c>
      <c r="D5596" t="s">
        <v>45</v>
      </c>
      <c r="E5596">
        <v>2419</v>
      </c>
      <c r="F5596">
        <v>2</v>
      </c>
      <c r="G5596">
        <v>4</v>
      </c>
      <c r="H5596">
        <v>2</v>
      </c>
      <c r="I5596">
        <v>0</v>
      </c>
      <c r="J5596">
        <v>0.77914110429447903</v>
      </c>
      <c r="K5596">
        <v>0.97079863335468497</v>
      </c>
      <c r="L5596">
        <v>0.86447447642472397</v>
      </c>
      <c r="M5596">
        <v>0.54910714285714302</v>
      </c>
      <c r="N5596">
        <v>0.99553571428571397</v>
      </c>
      <c r="O5596">
        <v>0.69940476190476197</v>
      </c>
      <c r="P5596" t="s">
        <v>1496</v>
      </c>
      <c r="Q5596" t="s">
        <v>1497</v>
      </c>
      <c r="R5596" t="s">
        <v>1498</v>
      </c>
      <c r="S5596" t="s">
        <v>1499</v>
      </c>
      <c r="V5596" t="s">
        <v>1500</v>
      </c>
      <c r="W5596" t="s">
        <v>1501</v>
      </c>
      <c r="AF5596" t="s">
        <v>11576</v>
      </c>
    </row>
    <row r="5597" spans="1:32" hidden="1" x14ac:dyDescent="0.35">
      <c r="A5597">
        <v>5596</v>
      </c>
      <c r="B5597" t="s">
        <v>11577</v>
      </c>
      <c r="C5597" t="s">
        <v>57</v>
      </c>
      <c r="D5597" t="s">
        <v>60</v>
      </c>
      <c r="E5597">
        <v>1626</v>
      </c>
      <c r="F5597">
        <v>4</v>
      </c>
      <c r="G5597">
        <v>4</v>
      </c>
      <c r="H5597">
        <v>1</v>
      </c>
      <c r="I5597">
        <v>0</v>
      </c>
      <c r="J5597">
        <v>0.76468103084072703</v>
      </c>
      <c r="K5597">
        <v>0.98139939400740495</v>
      </c>
      <c r="L5597">
        <v>0.85959098973498804</v>
      </c>
      <c r="M5597">
        <v>0.52985074626865702</v>
      </c>
      <c r="N5597">
        <v>0.99253731343283602</v>
      </c>
      <c r="O5597">
        <v>0.68283582089552197</v>
      </c>
      <c r="P5597" t="s">
        <v>11578</v>
      </c>
      <c r="Q5597" t="s">
        <v>11579</v>
      </c>
      <c r="R5597" t="s">
        <v>288</v>
      </c>
      <c r="S5597" t="s">
        <v>289</v>
      </c>
      <c r="V5597" t="s">
        <v>11580</v>
      </c>
      <c r="W5597" t="s">
        <v>11581</v>
      </c>
      <c r="AF5597" t="e">
        <f>-MNIPVNSPDTFGPADNESAAGMSTVRVLADAPAPNPDRNVPAVSRLFQGDHANIIAFNFLPGQQLQDHKAAHPIIVQALRGTLDFTCGDETVRLEPGVAVHLPAYVIHRVDCPEDASTDGNVLMLTMLTAEKV</f>
        <v>#NAME?</v>
      </c>
    </row>
    <row r="5598" spans="1:32" hidden="1" x14ac:dyDescent="0.35">
      <c r="A5598">
        <v>5597</v>
      </c>
      <c r="B5598" t="s">
        <v>11577</v>
      </c>
      <c r="C5598" t="s">
        <v>57</v>
      </c>
      <c r="D5598" t="s">
        <v>62</v>
      </c>
      <c r="E5598">
        <v>1662</v>
      </c>
      <c r="F5598">
        <v>4</v>
      </c>
      <c r="G5598">
        <v>4</v>
      </c>
      <c r="H5598">
        <v>1</v>
      </c>
      <c r="I5598">
        <v>0</v>
      </c>
      <c r="J5598">
        <v>0.76468103084072703</v>
      </c>
      <c r="K5598">
        <v>0.98139939400740495</v>
      </c>
      <c r="L5598">
        <v>0.85959098973498804</v>
      </c>
      <c r="M5598">
        <v>0.52985074626865702</v>
      </c>
      <c r="N5598">
        <v>0.99253731343283602</v>
      </c>
      <c r="O5598">
        <v>0.68283582089552197</v>
      </c>
      <c r="P5598" t="s">
        <v>11578</v>
      </c>
      <c r="Q5598" t="s">
        <v>11579</v>
      </c>
      <c r="R5598" t="s">
        <v>288</v>
      </c>
      <c r="S5598" t="s">
        <v>289</v>
      </c>
      <c r="V5598" t="s">
        <v>11580</v>
      </c>
      <c r="W5598" t="s">
        <v>11581</v>
      </c>
      <c r="AF5598" t="e">
        <f>-MNIPVNSPDTFGPADNESTAGMSTVHVLADAPAANPDRNVPAVSRLFQGDHANIIAFNFLPGQQLQDHKAAHPIIVQALRGTLDFTCGDETVRLEPGVAVHLPAYVIHRVDCPEDASTDGNVLMLTMLTVEKV</f>
        <v>#NAME?</v>
      </c>
    </row>
    <row r="5599" spans="1:32" hidden="1" x14ac:dyDescent="0.35">
      <c r="A5599">
        <v>5598</v>
      </c>
      <c r="B5599" t="s">
        <v>11577</v>
      </c>
      <c r="C5599" t="s">
        <v>57</v>
      </c>
      <c r="D5599" t="s">
        <v>34</v>
      </c>
      <c r="E5599">
        <v>2024</v>
      </c>
      <c r="F5599">
        <v>4</v>
      </c>
      <c r="G5599">
        <v>4</v>
      </c>
      <c r="H5599">
        <v>1</v>
      </c>
      <c r="I5599">
        <v>0</v>
      </c>
      <c r="J5599">
        <v>0.76468103084072703</v>
      </c>
      <c r="K5599">
        <v>0.98139939400740495</v>
      </c>
      <c r="L5599">
        <v>0.85959098973498804</v>
      </c>
      <c r="M5599">
        <v>0.52985074626865702</v>
      </c>
      <c r="N5599">
        <v>0.99253731343283602</v>
      </c>
      <c r="O5599">
        <v>0.68283582089552197</v>
      </c>
      <c r="P5599" t="s">
        <v>11578</v>
      </c>
      <c r="Q5599" t="s">
        <v>11579</v>
      </c>
      <c r="R5599" t="s">
        <v>288</v>
      </c>
      <c r="S5599" t="s">
        <v>289</v>
      </c>
      <c r="V5599" t="s">
        <v>11580</v>
      </c>
      <c r="W5599" t="s">
        <v>11581</v>
      </c>
      <c r="AF5599" t="s">
        <v>11582</v>
      </c>
    </row>
    <row r="5600" spans="1:32" hidden="1" x14ac:dyDescent="0.35">
      <c r="A5600">
        <v>5599</v>
      </c>
      <c r="B5600" t="s">
        <v>11577</v>
      </c>
      <c r="C5600" t="s">
        <v>57</v>
      </c>
      <c r="D5600" t="s">
        <v>45</v>
      </c>
      <c r="E5600">
        <v>847</v>
      </c>
      <c r="F5600">
        <v>4</v>
      </c>
      <c r="G5600">
        <v>4</v>
      </c>
      <c r="H5600">
        <v>1</v>
      </c>
      <c r="I5600">
        <v>0</v>
      </c>
      <c r="J5600">
        <v>0.76468103084072703</v>
      </c>
      <c r="K5600">
        <v>0.98139939400740495</v>
      </c>
      <c r="L5600">
        <v>0.85959098973498804</v>
      </c>
      <c r="M5600">
        <v>0.52985074626865702</v>
      </c>
      <c r="N5600">
        <v>0.99253731343283602</v>
      </c>
      <c r="O5600">
        <v>0.68283582089552197</v>
      </c>
      <c r="P5600" t="s">
        <v>11578</v>
      </c>
      <c r="Q5600" t="s">
        <v>11579</v>
      </c>
      <c r="R5600" t="s">
        <v>288</v>
      </c>
      <c r="S5600" t="s">
        <v>289</v>
      </c>
      <c r="V5600" t="s">
        <v>11580</v>
      </c>
      <c r="W5600" t="s">
        <v>11581</v>
      </c>
      <c r="AF5600" t="s">
        <v>11583</v>
      </c>
    </row>
    <row r="5601" spans="1:32" hidden="1" x14ac:dyDescent="0.35">
      <c r="A5601">
        <v>5600</v>
      </c>
      <c r="B5601" t="s">
        <v>11584</v>
      </c>
      <c r="C5601" t="s">
        <v>57</v>
      </c>
      <c r="D5601" t="s">
        <v>60</v>
      </c>
      <c r="E5601">
        <v>80</v>
      </c>
      <c r="F5601">
        <v>4</v>
      </c>
      <c r="G5601">
        <v>4</v>
      </c>
      <c r="H5601">
        <v>1</v>
      </c>
      <c r="I5601">
        <v>0</v>
      </c>
      <c r="J5601">
        <v>0.87893007977475401</v>
      </c>
      <c r="K5601">
        <v>0.98391043397969002</v>
      </c>
      <c r="L5601">
        <v>0.92846217359322103</v>
      </c>
      <c r="M5601">
        <v>0.73407202216066503</v>
      </c>
      <c r="N5601">
        <v>0.99722991689750695</v>
      </c>
      <c r="O5601">
        <v>0.82271468144044302</v>
      </c>
      <c r="P5601" t="s">
        <v>11585</v>
      </c>
      <c r="Q5601" t="s">
        <v>11586</v>
      </c>
      <c r="R5601" t="s">
        <v>288</v>
      </c>
      <c r="S5601" t="s">
        <v>289</v>
      </c>
      <c r="T5601" t="s">
        <v>11587</v>
      </c>
      <c r="U5601" t="s">
        <v>407</v>
      </c>
      <c r="V5601" t="s">
        <v>11588</v>
      </c>
      <c r="W5601" t="s">
        <v>11589</v>
      </c>
      <c r="AD5601" t="s">
        <v>410</v>
      </c>
      <c r="AE5601" t="s">
        <v>411</v>
      </c>
      <c r="AF5601" t="s">
        <v>11590</v>
      </c>
    </row>
    <row r="5602" spans="1:32" hidden="1" x14ac:dyDescent="0.35">
      <c r="A5602">
        <v>5601</v>
      </c>
      <c r="B5602" t="s">
        <v>11584</v>
      </c>
      <c r="C5602" t="s">
        <v>57</v>
      </c>
      <c r="D5602" t="s">
        <v>62</v>
      </c>
      <c r="E5602">
        <v>153</v>
      </c>
      <c r="F5602">
        <v>4</v>
      </c>
      <c r="G5602">
        <v>4</v>
      </c>
      <c r="H5602">
        <v>1</v>
      </c>
      <c r="I5602">
        <v>0</v>
      </c>
      <c r="J5602">
        <v>0.87893007977475401</v>
      </c>
      <c r="K5602">
        <v>0.98391043397969002</v>
      </c>
      <c r="L5602">
        <v>0.92846217359322103</v>
      </c>
      <c r="M5602">
        <v>0.73407202216066503</v>
      </c>
      <c r="N5602">
        <v>0.99722991689750695</v>
      </c>
      <c r="O5602">
        <v>0.82271468144044302</v>
      </c>
      <c r="P5602" t="s">
        <v>11585</v>
      </c>
      <c r="Q5602" t="s">
        <v>11586</v>
      </c>
      <c r="R5602" t="s">
        <v>288</v>
      </c>
      <c r="S5602" t="s">
        <v>289</v>
      </c>
      <c r="T5602" t="s">
        <v>11587</v>
      </c>
      <c r="U5602" t="s">
        <v>407</v>
      </c>
      <c r="V5602" t="s">
        <v>11588</v>
      </c>
      <c r="W5602" t="s">
        <v>11589</v>
      </c>
      <c r="AD5602" t="s">
        <v>410</v>
      </c>
      <c r="AE5602" t="s">
        <v>411</v>
      </c>
      <c r="AF5602" t="s">
        <v>11591</v>
      </c>
    </row>
    <row r="5603" spans="1:32" hidden="1" x14ac:dyDescent="0.35">
      <c r="A5603">
        <v>5602</v>
      </c>
      <c r="B5603" t="s">
        <v>11584</v>
      </c>
      <c r="C5603" t="s">
        <v>57</v>
      </c>
      <c r="D5603" t="s">
        <v>34</v>
      </c>
      <c r="E5603">
        <v>1153</v>
      </c>
      <c r="F5603">
        <v>4</v>
      </c>
      <c r="G5603">
        <v>4</v>
      </c>
      <c r="H5603">
        <v>1</v>
      </c>
      <c r="I5603">
        <v>0</v>
      </c>
      <c r="J5603">
        <v>0.87893007977475401</v>
      </c>
      <c r="K5603">
        <v>0.98391043397969002</v>
      </c>
      <c r="L5603">
        <v>0.92846217359322103</v>
      </c>
      <c r="M5603">
        <v>0.73407202216066503</v>
      </c>
      <c r="N5603">
        <v>0.99722991689750695</v>
      </c>
      <c r="O5603">
        <v>0.82271468144044302</v>
      </c>
      <c r="P5603" t="s">
        <v>11585</v>
      </c>
      <c r="Q5603" t="s">
        <v>11586</v>
      </c>
      <c r="R5603" t="s">
        <v>288</v>
      </c>
      <c r="S5603" t="s">
        <v>289</v>
      </c>
      <c r="T5603" t="s">
        <v>11587</v>
      </c>
      <c r="U5603" t="s">
        <v>407</v>
      </c>
      <c r="V5603" t="s">
        <v>11588</v>
      </c>
      <c r="W5603" t="s">
        <v>11589</v>
      </c>
      <c r="AD5603" t="s">
        <v>410</v>
      </c>
      <c r="AE5603" t="s">
        <v>411</v>
      </c>
      <c r="AF5603" t="s">
        <v>11592</v>
      </c>
    </row>
    <row r="5604" spans="1:32" hidden="1" x14ac:dyDescent="0.35">
      <c r="A5604">
        <v>5603</v>
      </c>
      <c r="B5604" t="s">
        <v>11584</v>
      </c>
      <c r="C5604" t="s">
        <v>57</v>
      </c>
      <c r="D5604" t="s">
        <v>45</v>
      </c>
      <c r="E5604">
        <v>2398</v>
      </c>
      <c r="F5604">
        <v>4</v>
      </c>
      <c r="G5604">
        <v>4</v>
      </c>
      <c r="H5604">
        <v>1</v>
      </c>
      <c r="I5604">
        <v>0</v>
      </c>
      <c r="J5604">
        <v>0.87893007977475401</v>
      </c>
      <c r="K5604">
        <v>0.98391043397969002</v>
      </c>
      <c r="L5604">
        <v>0.92846217359322103</v>
      </c>
      <c r="M5604">
        <v>0.73407202216066503</v>
      </c>
      <c r="N5604">
        <v>0.99722991689750695</v>
      </c>
      <c r="O5604">
        <v>0.82271468144044302</v>
      </c>
      <c r="P5604" t="s">
        <v>11585</v>
      </c>
      <c r="Q5604" t="s">
        <v>11586</v>
      </c>
      <c r="R5604" t="s">
        <v>288</v>
      </c>
      <c r="S5604" t="s">
        <v>289</v>
      </c>
      <c r="T5604" t="s">
        <v>11587</v>
      </c>
      <c r="U5604" t="s">
        <v>407</v>
      </c>
      <c r="V5604" t="s">
        <v>11588</v>
      </c>
      <c r="W5604" t="s">
        <v>11589</v>
      </c>
      <c r="AD5604" t="s">
        <v>410</v>
      </c>
      <c r="AE5604" t="s">
        <v>411</v>
      </c>
      <c r="AF5604" t="s">
        <v>11593</v>
      </c>
    </row>
    <row r="5605" spans="1:32" hidden="1" x14ac:dyDescent="0.35">
      <c r="A5605">
        <v>5604</v>
      </c>
      <c r="B5605" t="s">
        <v>11594</v>
      </c>
      <c r="C5605" t="s">
        <v>57</v>
      </c>
      <c r="D5605" t="s">
        <v>60</v>
      </c>
      <c r="E5605">
        <v>801</v>
      </c>
      <c r="F5605">
        <v>4</v>
      </c>
      <c r="G5605">
        <v>4</v>
      </c>
      <c r="H5605">
        <v>1</v>
      </c>
      <c r="I5605">
        <v>0</v>
      </c>
      <c r="J5605">
        <v>0.88380041011620003</v>
      </c>
      <c r="K5605">
        <v>0.96463077984817303</v>
      </c>
      <c r="L5605">
        <v>0.92244827231784199</v>
      </c>
      <c r="M5605">
        <v>0.73517786561264797</v>
      </c>
      <c r="N5605">
        <v>0.99604743083003999</v>
      </c>
      <c r="O5605">
        <v>0.82213438735177902</v>
      </c>
      <c r="P5605" t="s">
        <v>10956</v>
      </c>
      <c r="Q5605" t="s">
        <v>10957</v>
      </c>
      <c r="R5605" t="s">
        <v>869</v>
      </c>
      <c r="S5605" t="s">
        <v>870</v>
      </c>
      <c r="T5605" t="s">
        <v>10958</v>
      </c>
      <c r="U5605" t="s">
        <v>10959</v>
      </c>
      <c r="V5605" t="s">
        <v>10960</v>
      </c>
      <c r="W5605" t="s">
        <v>10961</v>
      </c>
      <c r="AD5605" t="s">
        <v>166</v>
      </c>
      <c r="AE5605" t="s">
        <v>10202</v>
      </c>
      <c r="AF5605" t="s">
        <v>11595</v>
      </c>
    </row>
    <row r="5606" spans="1:32" hidden="1" x14ac:dyDescent="0.35">
      <c r="A5606">
        <v>5605</v>
      </c>
      <c r="B5606" t="s">
        <v>11594</v>
      </c>
      <c r="C5606" t="s">
        <v>57</v>
      </c>
      <c r="D5606" t="s">
        <v>62</v>
      </c>
      <c r="E5606">
        <v>834</v>
      </c>
      <c r="F5606">
        <v>4</v>
      </c>
      <c r="G5606">
        <v>4</v>
      </c>
      <c r="H5606">
        <v>1</v>
      </c>
      <c r="I5606">
        <v>0</v>
      </c>
      <c r="J5606">
        <v>0.88380041011620003</v>
      </c>
      <c r="K5606">
        <v>0.96463077984817303</v>
      </c>
      <c r="L5606">
        <v>0.92244827231784199</v>
      </c>
      <c r="M5606">
        <v>0.73517786561264797</v>
      </c>
      <c r="N5606">
        <v>0.99604743083003999</v>
      </c>
      <c r="O5606">
        <v>0.82213438735177902</v>
      </c>
      <c r="P5606" t="s">
        <v>10956</v>
      </c>
      <c r="Q5606" t="s">
        <v>10957</v>
      </c>
      <c r="R5606" t="s">
        <v>869</v>
      </c>
      <c r="S5606" t="s">
        <v>870</v>
      </c>
      <c r="T5606" t="s">
        <v>10958</v>
      </c>
      <c r="U5606" t="s">
        <v>10959</v>
      </c>
      <c r="V5606" t="s">
        <v>10960</v>
      </c>
      <c r="W5606" t="s">
        <v>10961</v>
      </c>
      <c r="AD5606" t="s">
        <v>166</v>
      </c>
      <c r="AE5606" t="s">
        <v>10202</v>
      </c>
      <c r="AF5606" t="s">
        <v>11596</v>
      </c>
    </row>
    <row r="5607" spans="1:32" hidden="1" x14ac:dyDescent="0.35">
      <c r="A5607">
        <v>5606</v>
      </c>
      <c r="B5607" t="s">
        <v>11594</v>
      </c>
      <c r="C5607" t="s">
        <v>57</v>
      </c>
      <c r="D5607" t="s">
        <v>34</v>
      </c>
      <c r="E5607">
        <v>40</v>
      </c>
      <c r="F5607">
        <v>4</v>
      </c>
      <c r="G5607">
        <v>4</v>
      </c>
      <c r="H5607">
        <v>1</v>
      </c>
      <c r="I5607">
        <v>0</v>
      </c>
      <c r="J5607">
        <v>0.88380041011620003</v>
      </c>
      <c r="K5607">
        <v>0.96463077984817303</v>
      </c>
      <c r="L5607">
        <v>0.92244827231784199</v>
      </c>
      <c r="M5607">
        <v>0.73517786561264797</v>
      </c>
      <c r="N5607">
        <v>0.99604743083003999</v>
      </c>
      <c r="O5607">
        <v>0.82213438735177902</v>
      </c>
      <c r="P5607" t="s">
        <v>10956</v>
      </c>
      <c r="Q5607" t="s">
        <v>10957</v>
      </c>
      <c r="R5607" t="s">
        <v>869</v>
      </c>
      <c r="S5607" t="s">
        <v>870</v>
      </c>
      <c r="T5607" t="s">
        <v>10958</v>
      </c>
      <c r="U5607" t="s">
        <v>10959</v>
      </c>
      <c r="V5607" t="s">
        <v>10960</v>
      </c>
      <c r="W5607" t="s">
        <v>10961</v>
      </c>
      <c r="AD5607" t="s">
        <v>166</v>
      </c>
      <c r="AE5607" t="s">
        <v>10202</v>
      </c>
      <c r="AF5607" t="s">
        <v>11597</v>
      </c>
    </row>
    <row r="5608" spans="1:32" hidden="1" x14ac:dyDescent="0.35">
      <c r="A5608">
        <v>5607</v>
      </c>
      <c r="B5608" t="s">
        <v>11594</v>
      </c>
      <c r="C5608" t="s">
        <v>57</v>
      </c>
      <c r="D5608" t="s">
        <v>45</v>
      </c>
      <c r="E5608">
        <v>1297</v>
      </c>
      <c r="F5608">
        <v>4</v>
      </c>
      <c r="G5608">
        <v>4</v>
      </c>
      <c r="H5608">
        <v>1</v>
      </c>
      <c r="I5608">
        <v>0</v>
      </c>
      <c r="J5608">
        <v>0.88380041011620003</v>
      </c>
      <c r="K5608">
        <v>0.96463077984817303</v>
      </c>
      <c r="L5608">
        <v>0.92244827231784199</v>
      </c>
      <c r="M5608">
        <v>0.73517786561264797</v>
      </c>
      <c r="N5608">
        <v>0.99604743083003999</v>
      </c>
      <c r="O5608">
        <v>0.82213438735177902</v>
      </c>
      <c r="P5608" t="s">
        <v>10956</v>
      </c>
      <c r="Q5608" t="s">
        <v>10957</v>
      </c>
      <c r="R5608" t="s">
        <v>869</v>
      </c>
      <c r="S5608" t="s">
        <v>870</v>
      </c>
      <c r="T5608" t="s">
        <v>10958</v>
      </c>
      <c r="U5608" t="s">
        <v>10959</v>
      </c>
      <c r="V5608" t="s">
        <v>10960</v>
      </c>
      <c r="W5608" t="s">
        <v>10961</v>
      </c>
      <c r="AD5608" t="s">
        <v>166</v>
      </c>
      <c r="AE5608" t="s">
        <v>10202</v>
      </c>
      <c r="AF5608" t="s">
        <v>11598</v>
      </c>
    </row>
    <row r="5609" spans="1:32" hidden="1" x14ac:dyDescent="0.35">
      <c r="A5609">
        <v>5608</v>
      </c>
      <c r="B5609" t="s">
        <v>11599</v>
      </c>
      <c r="C5609" t="s">
        <v>57</v>
      </c>
      <c r="D5609" t="s">
        <v>34</v>
      </c>
      <c r="E5609">
        <v>1521</v>
      </c>
      <c r="F5609">
        <v>2</v>
      </c>
      <c r="G5609">
        <v>4</v>
      </c>
      <c r="H5609">
        <v>3</v>
      </c>
      <c r="I5609">
        <v>0</v>
      </c>
      <c r="J5609">
        <v>0.72726098191214505</v>
      </c>
      <c r="K5609">
        <v>0.89078528700521598</v>
      </c>
      <c r="L5609">
        <v>0.80076002144706604</v>
      </c>
      <c r="M5609">
        <v>0.51440329218106995</v>
      </c>
      <c r="N5609">
        <v>0.80658436213991802</v>
      </c>
      <c r="O5609">
        <v>0.62345679012345701</v>
      </c>
      <c r="P5609" t="s">
        <v>11600</v>
      </c>
      <c r="Q5609" t="s">
        <v>11601</v>
      </c>
      <c r="R5609" t="s">
        <v>1474</v>
      </c>
      <c r="S5609" t="s">
        <v>1475</v>
      </c>
      <c r="V5609" t="s">
        <v>11602</v>
      </c>
      <c r="W5609" t="s">
        <v>11603</v>
      </c>
      <c r="AF5609" t="e">
        <f>----MKAKLRLWRGGGTLILAAGLALGSAPVVSAAGAEVDLDVVTKVVTAYQDLLDSHWTDSNCSLSSCVNASSSVFASSGDKKSQRGSSFGGSSKKGRDERKDSGENPKFTQAESALLQVRDAMKDLGLPIKTAKSTIKVKDAKLNADGKATVSVAVGTTKTYENNDGQPSYMIDTHTLTLSPNPENLFAVVEDTIDPIPANDT-PGERPTDVEFNEVPLDRILGRESNGGNHPVADATGAE-----FSLLPTHKEQKSVGMQTVANE--DKQPDFDVQKMVEYALHWTS---KEVNPNPDVDVMDERFRSFDVNCTNFASQALLAGGWKQMDSKKSGMKEQVRDPDAWSPNVAPPLLVFK-QPTHTWSAAQNLYGYAKKHSSYHDLQQGVNMARPGDLIFVDWDP-DG-KADGELDHTMIVTGIALTKIGAGRAPINGAARVPTISQKTKNRHNIPLFESVEIARTQGKKLEKTKWFALTPQQL</f>
        <v>#NAME?</v>
      </c>
    </row>
    <row r="5610" spans="1:32" hidden="1" x14ac:dyDescent="0.35">
      <c r="A5610">
        <v>5609</v>
      </c>
      <c r="B5610" t="s">
        <v>11599</v>
      </c>
      <c r="C5610" t="s">
        <v>57</v>
      </c>
      <c r="D5610" t="s">
        <v>45</v>
      </c>
      <c r="E5610">
        <v>607</v>
      </c>
      <c r="F5610">
        <v>2</v>
      </c>
      <c r="G5610">
        <v>4</v>
      </c>
      <c r="H5610">
        <v>3</v>
      </c>
      <c r="I5610">
        <v>0</v>
      </c>
      <c r="J5610">
        <v>0.72726098191214505</v>
      </c>
      <c r="K5610">
        <v>0.89078528700521598</v>
      </c>
      <c r="L5610">
        <v>0.80076002144706604</v>
      </c>
      <c r="M5610">
        <v>0.51440329218106995</v>
      </c>
      <c r="N5610">
        <v>0.80658436213991802</v>
      </c>
      <c r="O5610">
        <v>0.62345679012345701</v>
      </c>
      <c r="P5610" t="s">
        <v>11600</v>
      </c>
      <c r="Q5610" t="s">
        <v>11601</v>
      </c>
      <c r="AF5610" t="s">
        <v>11604</v>
      </c>
    </row>
    <row r="5611" spans="1:32" hidden="1" x14ac:dyDescent="0.35">
      <c r="A5611">
        <v>5610</v>
      </c>
      <c r="B5611" t="s">
        <v>11599</v>
      </c>
      <c r="C5611" t="s">
        <v>57</v>
      </c>
      <c r="D5611" t="s">
        <v>45</v>
      </c>
      <c r="E5611">
        <v>2231</v>
      </c>
      <c r="F5611">
        <v>2</v>
      </c>
      <c r="G5611">
        <v>4</v>
      </c>
      <c r="H5611">
        <v>3</v>
      </c>
      <c r="I5611">
        <v>0</v>
      </c>
      <c r="J5611">
        <v>0.72726098191214505</v>
      </c>
      <c r="K5611">
        <v>0.89078528700521598</v>
      </c>
      <c r="L5611">
        <v>0.80076002144706604</v>
      </c>
      <c r="M5611">
        <v>0.51440329218106995</v>
      </c>
      <c r="N5611">
        <v>0.80658436213991802</v>
      </c>
      <c r="O5611">
        <v>0.62345679012345701</v>
      </c>
      <c r="P5611" t="s">
        <v>11600</v>
      </c>
      <c r="Q5611" t="s">
        <v>11601</v>
      </c>
      <c r="R5611" t="s">
        <v>1474</v>
      </c>
      <c r="S5611" t="s">
        <v>1475</v>
      </c>
      <c r="V5611" t="s">
        <v>11602</v>
      </c>
      <c r="W5611" t="s">
        <v>11603</v>
      </c>
      <c r="AF5611" t="s">
        <v>11605</v>
      </c>
    </row>
    <row r="5612" spans="1:32" hidden="1" x14ac:dyDescent="0.35">
      <c r="A5612">
        <v>5611</v>
      </c>
      <c r="B5612" t="s">
        <v>11599</v>
      </c>
      <c r="C5612" t="s">
        <v>57</v>
      </c>
      <c r="D5612" t="s">
        <v>45</v>
      </c>
      <c r="E5612">
        <v>271</v>
      </c>
      <c r="F5612">
        <v>2</v>
      </c>
      <c r="G5612">
        <v>4</v>
      </c>
      <c r="H5612">
        <v>3</v>
      </c>
      <c r="I5612">
        <v>0</v>
      </c>
      <c r="J5612">
        <v>0.72726098191214505</v>
      </c>
      <c r="K5612">
        <v>0.89078528700521598</v>
      </c>
      <c r="L5612">
        <v>0.80076002144706604</v>
      </c>
      <c r="M5612">
        <v>0.51440329218106995</v>
      </c>
      <c r="N5612">
        <v>0.80658436213991802</v>
      </c>
      <c r="O5612">
        <v>0.62345679012345701</v>
      </c>
      <c r="P5612" t="s">
        <v>11600</v>
      </c>
      <c r="Q5612" t="s">
        <v>11601</v>
      </c>
      <c r="R5612" t="s">
        <v>1474</v>
      </c>
      <c r="S5612" t="s">
        <v>1475</v>
      </c>
      <c r="V5612" t="s">
        <v>11602</v>
      </c>
      <c r="W5612" t="s">
        <v>11603</v>
      </c>
      <c r="AF5612" t="e">
        <f>------------MGGGTLILAAGLALGSAPVVSAAGAEVDLDVVTKVVTAYQDLLDSHWTDSNCSLSSCVNASSSVFASSGDKKSQRGSSFGGSSKDNRDERKDSGENPKFTQAESALLQVRDAMKDFGLPIKTAKSTIKVTDAKMNADGKVTVSVAVGTTKTYGDGDGEPSYMVDSHTLTLSPNPENLFAVVEDTIDPIPANDT-PGERPTDVEFNEVPLDRILGRESNGENRPVADTAGAE-----FSLLPAHKEQESVGMQTVANE--EKHSRPDVKKMIGYALHWTS---PAVNPNPDVDVMEEQFPRFDVNCTNFASQVLLAGGWKPRDSKKIGLTDRVRDPDAWSPNAIPLVQ----KATHTWSAAQNLYGYAKKHSSYYDLPQG-EQAQSSDLIFVDWDP-DG-KADGELDHTMIVTGMVPLKREKKGTP-FTSFATPAISQKTKNRHNIPLYESVEIARTHGKKLDKIKWYALTSRPQ</f>
        <v>#NAME?</v>
      </c>
    </row>
    <row r="5613" spans="1:32" hidden="1" x14ac:dyDescent="0.35">
      <c r="A5613">
        <v>5612</v>
      </c>
      <c r="B5613" t="s">
        <v>11606</v>
      </c>
      <c r="C5613" t="s">
        <v>57</v>
      </c>
      <c r="D5613" t="s">
        <v>60</v>
      </c>
      <c r="E5613">
        <v>2435</v>
      </c>
      <c r="F5613">
        <v>4</v>
      </c>
      <c r="G5613">
        <v>4</v>
      </c>
      <c r="H5613">
        <v>1</v>
      </c>
      <c r="I5613">
        <v>0</v>
      </c>
      <c r="J5613">
        <v>0.78818565400843899</v>
      </c>
      <c r="K5613">
        <v>0.89775164303009003</v>
      </c>
      <c r="L5613">
        <v>0.83940840165498898</v>
      </c>
      <c r="M5613">
        <v>0.50169491525423704</v>
      </c>
      <c r="N5613">
        <v>0.99661016949152503</v>
      </c>
      <c r="O5613">
        <v>0.66779661016949199</v>
      </c>
      <c r="P5613" t="s">
        <v>2386</v>
      </c>
      <c r="Q5613" t="s">
        <v>2387</v>
      </c>
      <c r="R5613" t="s">
        <v>75</v>
      </c>
      <c r="S5613" t="s">
        <v>76</v>
      </c>
      <c r="T5613" t="s">
        <v>2388</v>
      </c>
      <c r="U5613" t="s">
        <v>2389</v>
      </c>
      <c r="V5613" t="s">
        <v>2390</v>
      </c>
      <c r="W5613" t="s">
        <v>2391</v>
      </c>
      <c r="X5613" t="s">
        <v>2390</v>
      </c>
      <c r="Y5613" t="s">
        <v>2392</v>
      </c>
      <c r="Z5613" t="s">
        <v>2393</v>
      </c>
      <c r="AA5613" t="s">
        <v>2394</v>
      </c>
      <c r="AB5613" t="s">
        <v>2393</v>
      </c>
      <c r="AC5613" t="s">
        <v>2395</v>
      </c>
      <c r="AD5613" t="s">
        <v>2396</v>
      </c>
      <c r="AE5613" t="s">
        <v>2397</v>
      </c>
      <c r="AF5613" t="e">
        <f>------MPDHPDQHYHRQGIFRVDPREAQELSALPKHPTEGTEFFYRN-VVRTLKGVMWAQGMRIVVEGAENFPQTGGALIACNHTGYYDFIFAGIAAELRGHRLVRFMSKKEIFDVPVVGAMMRAMKHIPVDRSAGRG--AFDEAVRRLDQGQLVGIFPEATISRSFELKEFKNGAVRIADSAGVPLIPMAIWGSQRVWTKDHPRNLGRSNTPIVIVVGTPVDPAGEPDEATERLRDAMAELLTRAQSIYERDFGPIEKGQYWMPARLGGTAPTLERAQEIEQEEKARRQAKKK</f>
        <v>#NAME?</v>
      </c>
    </row>
    <row r="5614" spans="1:32" hidden="1" x14ac:dyDescent="0.35">
      <c r="A5614">
        <v>5613</v>
      </c>
      <c r="B5614" t="s">
        <v>11606</v>
      </c>
      <c r="C5614" t="s">
        <v>57</v>
      </c>
      <c r="D5614" t="s">
        <v>62</v>
      </c>
      <c r="E5614">
        <v>2462</v>
      </c>
      <c r="F5614">
        <v>4</v>
      </c>
      <c r="G5614">
        <v>4</v>
      </c>
      <c r="H5614">
        <v>1</v>
      </c>
      <c r="I5614">
        <v>0</v>
      </c>
      <c r="J5614">
        <v>0.78818565400843899</v>
      </c>
      <c r="K5614">
        <v>0.89775164303009003</v>
      </c>
      <c r="L5614">
        <v>0.83940840165498898</v>
      </c>
      <c r="M5614">
        <v>0.50169491525423704</v>
      </c>
      <c r="N5614">
        <v>0.99661016949152503</v>
      </c>
      <c r="O5614">
        <v>0.66779661016949199</v>
      </c>
      <c r="P5614" t="s">
        <v>2386</v>
      </c>
      <c r="Q5614" t="s">
        <v>2387</v>
      </c>
      <c r="R5614" t="s">
        <v>75</v>
      </c>
      <c r="S5614" t="s">
        <v>76</v>
      </c>
      <c r="T5614" t="s">
        <v>2388</v>
      </c>
      <c r="U5614" t="s">
        <v>2389</v>
      </c>
      <c r="V5614" t="s">
        <v>2390</v>
      </c>
      <c r="W5614" t="s">
        <v>2391</v>
      </c>
      <c r="X5614" t="s">
        <v>2390</v>
      </c>
      <c r="Y5614" t="s">
        <v>2392</v>
      </c>
      <c r="Z5614" t="s">
        <v>2393</v>
      </c>
      <c r="AA5614" t="s">
        <v>2394</v>
      </c>
      <c r="AB5614" t="s">
        <v>2393</v>
      </c>
      <c r="AC5614" t="s">
        <v>2395</v>
      </c>
      <c r="AD5614" t="s">
        <v>2396</v>
      </c>
      <c r="AE5614" t="s">
        <v>2397</v>
      </c>
      <c r="AF5614" t="e">
        <f>------MPDHPDQHYHRQGIFRIDPREAQELSALPKHPTEGTEFFYRN-VVRTLKGVMWAQGMRIVVEGAENFPQTGGALIACNHTGYYDFIFAGIAAELRGHRLVRFMSKKEIFDVPVVGAMMRAMKHIPVDRSAGRG--AFDEAVRRLDQGQLVGIFPEATISRSFELKEFKNGAVRIADSAGVPLIPMAIWGSQRVWTKDHPRNLGRSNTPIVIVVGTPVDPAGEPDEATERLRDAMAELLTRAQSIYERDFGPIEKGQYWMPARLGGTAPTLERAQEIEQEEKARRQAKKK</f>
        <v>#NAME?</v>
      </c>
    </row>
    <row r="5615" spans="1:32" hidden="1" x14ac:dyDescent="0.35">
      <c r="A5615">
        <v>5614</v>
      </c>
      <c r="B5615" t="s">
        <v>11606</v>
      </c>
      <c r="C5615" t="s">
        <v>57</v>
      </c>
      <c r="D5615" t="s">
        <v>34</v>
      </c>
      <c r="E5615">
        <v>1291</v>
      </c>
      <c r="F5615">
        <v>4</v>
      </c>
      <c r="G5615">
        <v>4</v>
      </c>
      <c r="H5615">
        <v>1</v>
      </c>
      <c r="I5615">
        <v>0</v>
      </c>
      <c r="J5615">
        <v>0.78818565400843899</v>
      </c>
      <c r="K5615">
        <v>0.89775164303009003</v>
      </c>
      <c r="L5615">
        <v>0.83940840165498898</v>
      </c>
      <c r="M5615">
        <v>0.50169491525423704</v>
      </c>
      <c r="N5615">
        <v>0.99661016949152503</v>
      </c>
      <c r="O5615">
        <v>0.66779661016949199</v>
      </c>
      <c r="P5615" t="s">
        <v>2386</v>
      </c>
      <c r="Q5615" t="s">
        <v>2387</v>
      </c>
      <c r="R5615" t="s">
        <v>75</v>
      </c>
      <c r="S5615" t="s">
        <v>76</v>
      </c>
      <c r="T5615" t="s">
        <v>2388</v>
      </c>
      <c r="U5615" t="s">
        <v>2389</v>
      </c>
      <c r="V5615" t="s">
        <v>2390</v>
      </c>
      <c r="W5615" t="s">
        <v>2391</v>
      </c>
      <c r="X5615" t="s">
        <v>2390</v>
      </c>
      <c r="Y5615" t="s">
        <v>2392</v>
      </c>
      <c r="Z5615" t="s">
        <v>2393</v>
      </c>
      <c r="AA5615" t="s">
        <v>2394</v>
      </c>
      <c r="AB5615" t="s">
        <v>2393</v>
      </c>
      <c r="AC5615" t="s">
        <v>2395</v>
      </c>
      <c r="AD5615" t="s">
        <v>2396</v>
      </c>
      <c r="AE5615" t="s">
        <v>2397</v>
      </c>
      <c r="AF5615" t="s">
        <v>11607</v>
      </c>
    </row>
    <row r="5616" spans="1:32" hidden="1" x14ac:dyDescent="0.35">
      <c r="A5616">
        <v>5615</v>
      </c>
      <c r="B5616" t="s">
        <v>11606</v>
      </c>
      <c r="C5616" t="s">
        <v>57</v>
      </c>
      <c r="D5616" t="s">
        <v>45</v>
      </c>
      <c r="E5616">
        <v>43</v>
      </c>
      <c r="F5616">
        <v>4</v>
      </c>
      <c r="G5616">
        <v>4</v>
      </c>
      <c r="H5616">
        <v>1</v>
      </c>
      <c r="I5616">
        <v>0</v>
      </c>
      <c r="J5616">
        <v>0.78818565400843899</v>
      </c>
      <c r="K5616">
        <v>0.89775164303009003</v>
      </c>
      <c r="L5616">
        <v>0.83940840165498898</v>
      </c>
      <c r="M5616">
        <v>0.50169491525423704</v>
      </c>
      <c r="N5616">
        <v>0.99661016949152503</v>
      </c>
      <c r="O5616">
        <v>0.66779661016949199</v>
      </c>
      <c r="P5616" t="s">
        <v>2386</v>
      </c>
      <c r="Q5616" t="s">
        <v>2387</v>
      </c>
      <c r="R5616" t="s">
        <v>75</v>
      </c>
      <c r="S5616" t="s">
        <v>76</v>
      </c>
      <c r="T5616" t="s">
        <v>2388</v>
      </c>
      <c r="U5616" t="s">
        <v>2389</v>
      </c>
      <c r="V5616" t="s">
        <v>2390</v>
      </c>
      <c r="W5616" t="s">
        <v>2391</v>
      </c>
      <c r="X5616" t="s">
        <v>2390</v>
      </c>
      <c r="Y5616" t="s">
        <v>2392</v>
      </c>
      <c r="Z5616" t="s">
        <v>2393</v>
      </c>
      <c r="AA5616" t="s">
        <v>2394</v>
      </c>
      <c r="AB5616" t="s">
        <v>2393</v>
      </c>
      <c r="AC5616" t="s">
        <v>2395</v>
      </c>
      <c r="AD5616" t="s">
        <v>2396</v>
      </c>
      <c r="AE5616" t="s">
        <v>2397</v>
      </c>
      <c r="AF5616" t="s">
        <v>11608</v>
      </c>
    </row>
    <row r="5617" spans="1:32" hidden="1" x14ac:dyDescent="0.35">
      <c r="A5617">
        <v>5616</v>
      </c>
      <c r="B5617" t="s">
        <v>11609</v>
      </c>
      <c r="C5617" t="s">
        <v>57</v>
      </c>
      <c r="D5617" t="s">
        <v>60</v>
      </c>
      <c r="E5617">
        <v>1334</v>
      </c>
      <c r="F5617">
        <v>4</v>
      </c>
      <c r="G5617">
        <v>4</v>
      </c>
      <c r="H5617">
        <v>1</v>
      </c>
      <c r="I5617">
        <v>0</v>
      </c>
      <c r="J5617">
        <v>0.75969670457859395</v>
      </c>
      <c r="K5617">
        <v>0.94098424620787002</v>
      </c>
      <c r="L5617">
        <v>0.84067811846062002</v>
      </c>
      <c r="M5617">
        <v>0.51231527093596096</v>
      </c>
      <c r="N5617">
        <v>0.99507389162561599</v>
      </c>
      <c r="O5617">
        <v>0.67487684729064001</v>
      </c>
      <c r="P5617" t="s">
        <v>2034</v>
      </c>
      <c r="Q5617" t="s">
        <v>2035</v>
      </c>
      <c r="R5617" t="s">
        <v>869</v>
      </c>
      <c r="S5617" t="s">
        <v>870</v>
      </c>
      <c r="V5617" t="s">
        <v>7964</v>
      </c>
      <c r="W5617" t="s">
        <v>7965</v>
      </c>
      <c r="X5617" t="s">
        <v>7964</v>
      </c>
      <c r="Y5617" t="s">
        <v>2190</v>
      </c>
      <c r="AF5617" t="s">
        <v>11610</v>
      </c>
    </row>
    <row r="5618" spans="1:32" hidden="1" x14ac:dyDescent="0.35">
      <c r="A5618">
        <v>5617</v>
      </c>
      <c r="B5618" t="s">
        <v>11609</v>
      </c>
      <c r="C5618" t="s">
        <v>57</v>
      </c>
      <c r="D5618" t="s">
        <v>62</v>
      </c>
      <c r="E5618">
        <v>1370</v>
      </c>
      <c r="F5618">
        <v>4</v>
      </c>
      <c r="G5618">
        <v>4</v>
      </c>
      <c r="H5618">
        <v>1</v>
      </c>
      <c r="I5618">
        <v>0</v>
      </c>
      <c r="J5618">
        <v>0.75969670457859395</v>
      </c>
      <c r="K5618">
        <v>0.94098424620787002</v>
      </c>
      <c r="L5618">
        <v>0.84067811846062002</v>
      </c>
      <c r="M5618">
        <v>0.51231527093596096</v>
      </c>
      <c r="N5618">
        <v>0.99507389162561599</v>
      </c>
      <c r="O5618">
        <v>0.67487684729064001</v>
      </c>
      <c r="P5618" t="s">
        <v>2034</v>
      </c>
      <c r="Q5618" t="s">
        <v>2035</v>
      </c>
      <c r="R5618" t="s">
        <v>869</v>
      </c>
      <c r="S5618" t="s">
        <v>870</v>
      </c>
      <c r="V5618" t="s">
        <v>7964</v>
      </c>
      <c r="W5618" t="s">
        <v>7965</v>
      </c>
      <c r="X5618" t="s">
        <v>7964</v>
      </c>
      <c r="Y5618" t="s">
        <v>2190</v>
      </c>
      <c r="AF5618" t="s">
        <v>11611</v>
      </c>
    </row>
    <row r="5619" spans="1:32" hidden="1" x14ac:dyDescent="0.35">
      <c r="A5619">
        <v>5618</v>
      </c>
      <c r="B5619" t="s">
        <v>11609</v>
      </c>
      <c r="C5619" t="s">
        <v>57</v>
      </c>
      <c r="D5619" t="s">
        <v>34</v>
      </c>
      <c r="E5619">
        <v>1685</v>
      </c>
      <c r="F5619">
        <v>4</v>
      </c>
      <c r="G5619">
        <v>4</v>
      </c>
      <c r="H5619">
        <v>1</v>
      </c>
      <c r="I5619">
        <v>0</v>
      </c>
      <c r="J5619">
        <v>0.75969670457859395</v>
      </c>
      <c r="K5619">
        <v>0.94098424620787002</v>
      </c>
      <c r="L5619">
        <v>0.84067811846062002</v>
      </c>
      <c r="M5619">
        <v>0.51231527093596096</v>
      </c>
      <c r="N5619">
        <v>0.99507389162561599</v>
      </c>
      <c r="O5619">
        <v>0.67487684729064001</v>
      </c>
      <c r="P5619" t="s">
        <v>2034</v>
      </c>
      <c r="Q5619" t="s">
        <v>2035</v>
      </c>
      <c r="R5619" t="s">
        <v>869</v>
      </c>
      <c r="S5619" t="s">
        <v>870</v>
      </c>
      <c r="T5619" t="s">
        <v>11612</v>
      </c>
      <c r="U5619" t="s">
        <v>11613</v>
      </c>
      <c r="V5619" t="s">
        <v>7964</v>
      </c>
      <c r="W5619" t="s">
        <v>7965</v>
      </c>
      <c r="X5619" t="s">
        <v>7964</v>
      </c>
      <c r="Y5619" t="s">
        <v>2190</v>
      </c>
      <c r="AD5619" t="s">
        <v>219</v>
      </c>
      <c r="AE5619" t="s">
        <v>11614</v>
      </c>
      <c r="AF5619" t="s">
        <v>11615</v>
      </c>
    </row>
    <row r="5620" spans="1:32" hidden="1" x14ac:dyDescent="0.35">
      <c r="A5620">
        <v>5619</v>
      </c>
      <c r="B5620" t="s">
        <v>11609</v>
      </c>
      <c r="C5620" t="s">
        <v>57</v>
      </c>
      <c r="D5620" t="s">
        <v>45</v>
      </c>
      <c r="E5620">
        <v>1191</v>
      </c>
      <c r="F5620">
        <v>4</v>
      </c>
      <c r="G5620">
        <v>4</v>
      </c>
      <c r="H5620">
        <v>1</v>
      </c>
      <c r="I5620">
        <v>0</v>
      </c>
      <c r="J5620">
        <v>0.75969670457859395</v>
      </c>
      <c r="K5620">
        <v>0.94098424620787002</v>
      </c>
      <c r="L5620">
        <v>0.84067811846062002</v>
      </c>
      <c r="M5620">
        <v>0.51231527093596096</v>
      </c>
      <c r="N5620">
        <v>0.99507389162561599</v>
      </c>
      <c r="O5620">
        <v>0.67487684729064001</v>
      </c>
      <c r="P5620" t="s">
        <v>2034</v>
      </c>
      <c r="Q5620" t="s">
        <v>2035</v>
      </c>
      <c r="R5620" t="s">
        <v>869</v>
      </c>
      <c r="S5620" t="s">
        <v>870</v>
      </c>
      <c r="T5620" t="s">
        <v>11612</v>
      </c>
      <c r="U5620" t="s">
        <v>11613</v>
      </c>
      <c r="V5620" t="s">
        <v>7964</v>
      </c>
      <c r="W5620" t="s">
        <v>7965</v>
      </c>
      <c r="X5620" t="s">
        <v>7964</v>
      </c>
      <c r="Y5620" t="s">
        <v>2190</v>
      </c>
      <c r="AD5620" t="s">
        <v>219</v>
      </c>
      <c r="AE5620" t="s">
        <v>11614</v>
      </c>
      <c r="AF5620" t="s">
        <v>11616</v>
      </c>
    </row>
    <row r="5621" spans="1:32" hidden="1" x14ac:dyDescent="0.35">
      <c r="A5621">
        <v>5620</v>
      </c>
      <c r="B5621" t="s">
        <v>11617</v>
      </c>
      <c r="C5621" t="s">
        <v>57</v>
      </c>
      <c r="D5621" t="s">
        <v>60</v>
      </c>
      <c r="E5621">
        <v>51</v>
      </c>
      <c r="F5621">
        <v>4</v>
      </c>
      <c r="G5621">
        <v>4</v>
      </c>
      <c r="H5621">
        <v>1</v>
      </c>
      <c r="I5621">
        <v>0</v>
      </c>
      <c r="J5621">
        <v>0.85318107667210397</v>
      </c>
      <c r="K5621">
        <v>0.99194481846313598</v>
      </c>
      <c r="L5621">
        <v>0.917345044527341</v>
      </c>
      <c r="M5621">
        <v>0.73300970873786397</v>
      </c>
      <c r="N5621">
        <v>0.99757281553398103</v>
      </c>
      <c r="O5621">
        <v>0.82119741100323596</v>
      </c>
      <c r="P5621" t="s">
        <v>10211</v>
      </c>
      <c r="Q5621" t="s">
        <v>10212</v>
      </c>
      <c r="R5621" t="s">
        <v>224</v>
      </c>
      <c r="S5621" t="s">
        <v>225</v>
      </c>
      <c r="T5621" t="s">
        <v>10213</v>
      </c>
      <c r="U5621" t="s">
        <v>10214</v>
      </c>
      <c r="V5621" t="s">
        <v>10215</v>
      </c>
      <c r="W5621" t="s">
        <v>10216</v>
      </c>
      <c r="AD5621" t="s">
        <v>3044</v>
      </c>
      <c r="AE5621" t="s">
        <v>10217</v>
      </c>
      <c r="AF5621" t="s">
        <v>11618</v>
      </c>
    </row>
    <row r="5622" spans="1:32" hidden="1" x14ac:dyDescent="0.35">
      <c r="A5622">
        <v>5621</v>
      </c>
      <c r="B5622" t="s">
        <v>11617</v>
      </c>
      <c r="C5622" t="s">
        <v>57</v>
      </c>
      <c r="D5622" t="s">
        <v>62</v>
      </c>
      <c r="E5622">
        <v>124</v>
      </c>
      <c r="F5622">
        <v>4</v>
      </c>
      <c r="G5622">
        <v>4</v>
      </c>
      <c r="H5622">
        <v>1</v>
      </c>
      <c r="I5622">
        <v>0</v>
      </c>
      <c r="J5622">
        <v>0.85318107667210397</v>
      </c>
      <c r="K5622">
        <v>0.99194481846313598</v>
      </c>
      <c r="L5622">
        <v>0.917345044527341</v>
      </c>
      <c r="M5622">
        <v>0.73300970873786397</v>
      </c>
      <c r="N5622">
        <v>0.99757281553398103</v>
      </c>
      <c r="O5622">
        <v>0.82119741100323596</v>
      </c>
      <c r="P5622" t="s">
        <v>10211</v>
      </c>
      <c r="Q5622" t="s">
        <v>10212</v>
      </c>
      <c r="R5622" t="s">
        <v>224</v>
      </c>
      <c r="S5622" t="s">
        <v>225</v>
      </c>
      <c r="T5622" t="s">
        <v>10213</v>
      </c>
      <c r="U5622" t="s">
        <v>10214</v>
      </c>
      <c r="V5622" t="s">
        <v>10215</v>
      </c>
      <c r="W5622" t="s">
        <v>10216</v>
      </c>
      <c r="AD5622" t="s">
        <v>3044</v>
      </c>
      <c r="AE5622" t="s">
        <v>10217</v>
      </c>
      <c r="AF5622" t="s">
        <v>11619</v>
      </c>
    </row>
    <row r="5623" spans="1:32" hidden="1" x14ac:dyDescent="0.35">
      <c r="A5623">
        <v>5622</v>
      </c>
      <c r="B5623" t="s">
        <v>11617</v>
      </c>
      <c r="C5623" t="s">
        <v>57</v>
      </c>
      <c r="D5623" t="s">
        <v>34</v>
      </c>
      <c r="E5623">
        <v>85</v>
      </c>
      <c r="F5623">
        <v>4</v>
      </c>
      <c r="G5623">
        <v>4</v>
      </c>
      <c r="H5623">
        <v>1</v>
      </c>
      <c r="I5623">
        <v>0</v>
      </c>
      <c r="J5623">
        <v>0.85318107667210397</v>
      </c>
      <c r="K5623">
        <v>0.99194481846313598</v>
      </c>
      <c r="L5623">
        <v>0.917345044527341</v>
      </c>
      <c r="M5623">
        <v>0.73300970873786397</v>
      </c>
      <c r="N5623">
        <v>0.99757281553398103</v>
      </c>
      <c r="O5623">
        <v>0.82119741100323596</v>
      </c>
      <c r="P5623" t="s">
        <v>10211</v>
      </c>
      <c r="Q5623" t="s">
        <v>10212</v>
      </c>
      <c r="R5623" t="s">
        <v>224</v>
      </c>
      <c r="S5623" t="s">
        <v>225</v>
      </c>
      <c r="T5623" t="s">
        <v>10213</v>
      </c>
      <c r="U5623" t="s">
        <v>10214</v>
      </c>
      <c r="V5623" t="s">
        <v>10215</v>
      </c>
      <c r="W5623" t="s">
        <v>10216</v>
      </c>
      <c r="AD5623" t="s">
        <v>3044</v>
      </c>
      <c r="AE5623" t="s">
        <v>10217</v>
      </c>
      <c r="AF5623" t="s">
        <v>11620</v>
      </c>
    </row>
    <row r="5624" spans="1:32" hidden="1" x14ac:dyDescent="0.35">
      <c r="A5624">
        <v>5623</v>
      </c>
      <c r="B5624" t="s">
        <v>11617</v>
      </c>
      <c r="C5624" t="s">
        <v>57</v>
      </c>
      <c r="D5624" t="s">
        <v>45</v>
      </c>
      <c r="E5624">
        <v>1343</v>
      </c>
      <c r="F5624">
        <v>4</v>
      </c>
      <c r="G5624">
        <v>4</v>
      </c>
      <c r="H5624">
        <v>1</v>
      </c>
      <c r="I5624">
        <v>0</v>
      </c>
      <c r="J5624">
        <v>0.85318107667210397</v>
      </c>
      <c r="K5624">
        <v>0.99194481846313598</v>
      </c>
      <c r="L5624">
        <v>0.917345044527341</v>
      </c>
      <c r="M5624">
        <v>0.73300970873786397</v>
      </c>
      <c r="N5624">
        <v>0.99757281553398103</v>
      </c>
      <c r="O5624">
        <v>0.82119741100323596</v>
      </c>
      <c r="P5624" t="s">
        <v>10211</v>
      </c>
      <c r="Q5624" t="s">
        <v>10212</v>
      </c>
      <c r="R5624" t="s">
        <v>224</v>
      </c>
      <c r="S5624" t="s">
        <v>225</v>
      </c>
      <c r="T5624" t="s">
        <v>10213</v>
      </c>
      <c r="U5624" t="s">
        <v>10214</v>
      </c>
      <c r="V5624" t="s">
        <v>10215</v>
      </c>
      <c r="W5624" t="s">
        <v>10216</v>
      </c>
      <c r="AD5624" t="s">
        <v>3044</v>
      </c>
      <c r="AE5624" t="s">
        <v>10217</v>
      </c>
      <c r="AF5624" t="s">
        <v>11621</v>
      </c>
    </row>
    <row r="5625" spans="1:32" hidden="1" x14ac:dyDescent="0.35">
      <c r="A5625">
        <v>5624</v>
      </c>
      <c r="B5625" t="s">
        <v>11622</v>
      </c>
      <c r="C5625" t="s">
        <v>57</v>
      </c>
      <c r="D5625" t="s">
        <v>60</v>
      </c>
      <c r="E5625">
        <v>1646</v>
      </c>
      <c r="F5625">
        <v>4</v>
      </c>
      <c r="G5625">
        <v>4</v>
      </c>
      <c r="H5625">
        <v>1</v>
      </c>
      <c r="I5625">
        <v>0</v>
      </c>
      <c r="J5625">
        <v>0.77394859813084105</v>
      </c>
      <c r="K5625">
        <v>0.90547591475994504</v>
      </c>
      <c r="L5625">
        <v>0.83456185078950695</v>
      </c>
      <c r="M5625">
        <v>0.48580441640378502</v>
      </c>
      <c r="N5625">
        <v>0.99684542586750802</v>
      </c>
      <c r="O5625">
        <v>0.65562565720294397</v>
      </c>
      <c r="P5625" t="s">
        <v>11623</v>
      </c>
      <c r="Q5625" t="s">
        <v>11624</v>
      </c>
      <c r="R5625" t="s">
        <v>371</v>
      </c>
      <c r="S5625" t="s">
        <v>372</v>
      </c>
      <c r="T5625" t="s">
        <v>11625</v>
      </c>
      <c r="U5625" t="s">
        <v>11626</v>
      </c>
      <c r="V5625" t="s">
        <v>8401</v>
      </c>
      <c r="W5625" t="s">
        <v>8402</v>
      </c>
      <c r="AD5625" t="s">
        <v>11627</v>
      </c>
      <c r="AE5625" t="s">
        <v>11628</v>
      </c>
      <c r="AF5625" t="s">
        <v>11629</v>
      </c>
    </row>
    <row r="5626" spans="1:32" hidden="1" x14ac:dyDescent="0.35">
      <c r="A5626">
        <v>5625</v>
      </c>
      <c r="B5626" t="s">
        <v>11622</v>
      </c>
      <c r="C5626" t="s">
        <v>57</v>
      </c>
      <c r="D5626" t="s">
        <v>62</v>
      </c>
      <c r="E5626">
        <v>1681</v>
      </c>
      <c r="F5626">
        <v>4</v>
      </c>
      <c r="G5626">
        <v>4</v>
      </c>
      <c r="H5626">
        <v>1</v>
      </c>
      <c r="I5626">
        <v>0</v>
      </c>
      <c r="J5626">
        <v>0.77394859813084105</v>
      </c>
      <c r="K5626">
        <v>0.90547591475994504</v>
      </c>
      <c r="L5626">
        <v>0.83456185078950695</v>
      </c>
      <c r="M5626">
        <v>0.48580441640378502</v>
      </c>
      <c r="N5626">
        <v>0.99684542586750802</v>
      </c>
      <c r="O5626">
        <v>0.65562565720294397</v>
      </c>
      <c r="P5626" t="s">
        <v>11623</v>
      </c>
      <c r="Q5626" t="s">
        <v>11624</v>
      </c>
      <c r="R5626" t="s">
        <v>371</v>
      </c>
      <c r="S5626" t="s">
        <v>372</v>
      </c>
      <c r="T5626" t="s">
        <v>11625</v>
      </c>
      <c r="U5626" t="s">
        <v>11626</v>
      </c>
      <c r="V5626" t="s">
        <v>8401</v>
      </c>
      <c r="W5626" t="s">
        <v>8402</v>
      </c>
      <c r="AD5626" t="s">
        <v>11627</v>
      </c>
      <c r="AE5626" t="s">
        <v>11628</v>
      </c>
      <c r="AF5626" t="s">
        <v>11630</v>
      </c>
    </row>
    <row r="5627" spans="1:32" hidden="1" x14ac:dyDescent="0.35">
      <c r="A5627">
        <v>5626</v>
      </c>
      <c r="B5627" t="s">
        <v>11622</v>
      </c>
      <c r="C5627" t="s">
        <v>57</v>
      </c>
      <c r="D5627" t="s">
        <v>34</v>
      </c>
      <c r="E5627">
        <v>2051</v>
      </c>
      <c r="F5627">
        <v>4</v>
      </c>
      <c r="G5627">
        <v>4</v>
      </c>
      <c r="H5627">
        <v>1</v>
      </c>
      <c r="I5627">
        <v>0</v>
      </c>
      <c r="J5627">
        <v>0.77394859813084105</v>
      </c>
      <c r="K5627">
        <v>0.90547591475994504</v>
      </c>
      <c r="L5627">
        <v>0.83456185078950695</v>
      </c>
      <c r="M5627">
        <v>0.48580441640378502</v>
      </c>
      <c r="N5627">
        <v>0.99684542586750802</v>
      </c>
      <c r="O5627">
        <v>0.65562565720294397</v>
      </c>
      <c r="P5627" t="s">
        <v>11623</v>
      </c>
      <c r="Q5627" t="s">
        <v>11624</v>
      </c>
      <c r="R5627" t="s">
        <v>371</v>
      </c>
      <c r="S5627" t="s">
        <v>372</v>
      </c>
      <c r="T5627" t="s">
        <v>11625</v>
      </c>
      <c r="U5627" t="s">
        <v>11626</v>
      </c>
      <c r="V5627" t="s">
        <v>8401</v>
      </c>
      <c r="W5627" t="s">
        <v>8402</v>
      </c>
      <c r="AD5627" t="s">
        <v>11627</v>
      </c>
      <c r="AE5627" t="s">
        <v>11628</v>
      </c>
      <c r="AF5627" t="s">
        <v>11631</v>
      </c>
    </row>
    <row r="5628" spans="1:32" hidden="1" x14ac:dyDescent="0.35">
      <c r="A5628">
        <v>5627</v>
      </c>
      <c r="B5628" t="s">
        <v>11622</v>
      </c>
      <c r="C5628" t="s">
        <v>57</v>
      </c>
      <c r="D5628" t="s">
        <v>45</v>
      </c>
      <c r="E5628">
        <v>821</v>
      </c>
      <c r="F5628">
        <v>4</v>
      </c>
      <c r="G5628">
        <v>4</v>
      </c>
      <c r="H5628">
        <v>1</v>
      </c>
      <c r="I5628">
        <v>0</v>
      </c>
      <c r="J5628">
        <v>0.77394859813084105</v>
      </c>
      <c r="K5628">
        <v>0.90547591475994504</v>
      </c>
      <c r="L5628">
        <v>0.83456185078950695</v>
      </c>
      <c r="M5628">
        <v>0.48580441640378502</v>
      </c>
      <c r="N5628">
        <v>0.99684542586750802</v>
      </c>
      <c r="O5628">
        <v>0.65562565720294397</v>
      </c>
      <c r="P5628" t="s">
        <v>11623</v>
      </c>
      <c r="Q5628" t="s">
        <v>11624</v>
      </c>
      <c r="R5628" t="s">
        <v>371</v>
      </c>
      <c r="S5628" t="s">
        <v>372</v>
      </c>
      <c r="T5628" t="s">
        <v>11625</v>
      </c>
      <c r="U5628" t="s">
        <v>11626</v>
      </c>
      <c r="V5628" t="s">
        <v>8401</v>
      </c>
      <c r="W5628" t="s">
        <v>8402</v>
      </c>
      <c r="AD5628" t="s">
        <v>11627</v>
      </c>
      <c r="AE5628" t="s">
        <v>11628</v>
      </c>
      <c r="AF5628" t="s">
        <v>11632</v>
      </c>
    </row>
    <row r="5629" spans="1:32" hidden="1" x14ac:dyDescent="0.35">
      <c r="A5629">
        <v>5628</v>
      </c>
      <c r="B5629" t="s">
        <v>11633</v>
      </c>
      <c r="C5629" t="s">
        <v>57</v>
      </c>
      <c r="D5629" t="s">
        <v>60</v>
      </c>
      <c r="E5629">
        <v>1280</v>
      </c>
      <c r="F5629">
        <v>4</v>
      </c>
      <c r="G5629">
        <v>4</v>
      </c>
      <c r="H5629">
        <v>1</v>
      </c>
      <c r="I5629">
        <v>0</v>
      </c>
      <c r="J5629">
        <v>0.81876772364011297</v>
      </c>
      <c r="K5629">
        <v>0.98859552699445896</v>
      </c>
      <c r="L5629">
        <v>0.89570274149798901</v>
      </c>
      <c r="M5629">
        <v>0.66513761467889898</v>
      </c>
      <c r="N5629">
        <v>0.97706422018348604</v>
      </c>
      <c r="O5629">
        <v>0.76681957186544303</v>
      </c>
      <c r="P5629" t="s">
        <v>169</v>
      </c>
      <c r="Q5629" t="s">
        <v>170</v>
      </c>
      <c r="R5629" t="s">
        <v>138</v>
      </c>
      <c r="S5629" t="s">
        <v>139</v>
      </c>
      <c r="V5629" t="s">
        <v>3693</v>
      </c>
      <c r="W5629" t="s">
        <v>3694</v>
      </c>
      <c r="AF5629" t="s">
        <v>11634</v>
      </c>
    </row>
    <row r="5630" spans="1:32" hidden="1" x14ac:dyDescent="0.35">
      <c r="A5630">
        <v>5629</v>
      </c>
      <c r="B5630" t="s">
        <v>11633</v>
      </c>
      <c r="C5630" t="s">
        <v>57</v>
      </c>
      <c r="D5630" t="s">
        <v>62</v>
      </c>
      <c r="E5630">
        <v>1316</v>
      </c>
      <c r="F5630">
        <v>4</v>
      </c>
      <c r="G5630">
        <v>4</v>
      </c>
      <c r="H5630">
        <v>1</v>
      </c>
      <c r="I5630">
        <v>0</v>
      </c>
      <c r="J5630">
        <v>0.81876772364011297</v>
      </c>
      <c r="K5630">
        <v>0.98859552699445896</v>
      </c>
      <c r="L5630">
        <v>0.89570274149798901</v>
      </c>
      <c r="M5630">
        <v>0.66513761467889898</v>
      </c>
      <c r="N5630">
        <v>0.97706422018348604</v>
      </c>
      <c r="O5630">
        <v>0.76681957186544303</v>
      </c>
      <c r="P5630" t="s">
        <v>169</v>
      </c>
      <c r="Q5630" t="s">
        <v>170</v>
      </c>
      <c r="R5630" t="s">
        <v>138</v>
      </c>
      <c r="S5630" t="s">
        <v>139</v>
      </c>
      <c r="V5630" t="s">
        <v>3693</v>
      </c>
      <c r="W5630" t="s">
        <v>3694</v>
      </c>
      <c r="AF5630" t="s">
        <v>11635</v>
      </c>
    </row>
    <row r="5631" spans="1:32" hidden="1" x14ac:dyDescent="0.35">
      <c r="A5631">
        <v>5630</v>
      </c>
      <c r="B5631" t="s">
        <v>11633</v>
      </c>
      <c r="C5631" t="s">
        <v>57</v>
      </c>
      <c r="D5631" t="s">
        <v>34</v>
      </c>
      <c r="E5631">
        <v>2432</v>
      </c>
      <c r="F5631">
        <v>4</v>
      </c>
      <c r="G5631">
        <v>4</v>
      </c>
      <c r="H5631">
        <v>1</v>
      </c>
      <c r="I5631">
        <v>0</v>
      </c>
      <c r="J5631">
        <v>0.81876772364011297</v>
      </c>
      <c r="K5631">
        <v>0.98859552699445896</v>
      </c>
      <c r="L5631">
        <v>0.89570274149798901</v>
      </c>
      <c r="M5631">
        <v>0.66513761467889898</v>
      </c>
      <c r="N5631">
        <v>0.97706422018348604</v>
      </c>
      <c r="O5631">
        <v>0.76681957186544303</v>
      </c>
      <c r="P5631" t="s">
        <v>169</v>
      </c>
      <c r="Q5631" t="s">
        <v>170</v>
      </c>
      <c r="R5631" t="s">
        <v>138</v>
      </c>
      <c r="S5631" t="s">
        <v>139</v>
      </c>
      <c r="T5631" t="s">
        <v>3691</v>
      </c>
      <c r="U5631" t="s">
        <v>3692</v>
      </c>
      <c r="V5631" t="s">
        <v>3693</v>
      </c>
      <c r="W5631" t="s">
        <v>3694</v>
      </c>
      <c r="AD5631" t="s">
        <v>166</v>
      </c>
      <c r="AE5631" t="s">
        <v>3695</v>
      </c>
      <c r="AF5631" t="s">
        <v>11636</v>
      </c>
    </row>
    <row r="5632" spans="1:32" hidden="1" x14ac:dyDescent="0.35">
      <c r="A5632">
        <v>5631</v>
      </c>
      <c r="B5632" t="s">
        <v>11633</v>
      </c>
      <c r="C5632" t="s">
        <v>57</v>
      </c>
      <c r="D5632" t="s">
        <v>45</v>
      </c>
      <c r="E5632">
        <v>470</v>
      </c>
      <c r="F5632">
        <v>4</v>
      </c>
      <c r="G5632">
        <v>4</v>
      </c>
      <c r="H5632">
        <v>1</v>
      </c>
      <c r="I5632">
        <v>0</v>
      </c>
      <c r="J5632">
        <v>0.81876772364011297</v>
      </c>
      <c r="K5632">
        <v>0.98859552699445896</v>
      </c>
      <c r="L5632">
        <v>0.89570274149798901</v>
      </c>
      <c r="M5632">
        <v>0.66513761467889898</v>
      </c>
      <c r="N5632">
        <v>0.97706422018348604</v>
      </c>
      <c r="O5632">
        <v>0.76681957186544303</v>
      </c>
      <c r="P5632" t="s">
        <v>169</v>
      </c>
      <c r="Q5632" t="s">
        <v>170</v>
      </c>
      <c r="R5632" t="s">
        <v>138</v>
      </c>
      <c r="S5632" t="s">
        <v>139</v>
      </c>
      <c r="T5632" t="s">
        <v>3691</v>
      </c>
      <c r="U5632" t="s">
        <v>3692</v>
      </c>
      <c r="V5632" t="s">
        <v>3693</v>
      </c>
      <c r="W5632" t="s">
        <v>3694</v>
      </c>
      <c r="AD5632" t="s">
        <v>166</v>
      </c>
      <c r="AE5632" t="s">
        <v>3695</v>
      </c>
      <c r="AF5632" t="s">
        <v>11637</v>
      </c>
    </row>
    <row r="5633" spans="1:32" hidden="1" x14ac:dyDescent="0.35">
      <c r="A5633">
        <v>5632</v>
      </c>
      <c r="B5633" t="s">
        <v>11638</v>
      </c>
      <c r="C5633" t="s">
        <v>57</v>
      </c>
      <c r="D5633" t="s">
        <v>34</v>
      </c>
      <c r="E5633">
        <v>1607</v>
      </c>
      <c r="F5633">
        <v>2</v>
      </c>
      <c r="G5633">
        <v>4</v>
      </c>
      <c r="H5633">
        <v>2</v>
      </c>
      <c r="I5633">
        <v>0</v>
      </c>
      <c r="J5633">
        <v>0.79940374787052804</v>
      </c>
      <c r="K5633">
        <v>0.93763266898442899</v>
      </c>
      <c r="L5633">
        <v>0.86301825619650896</v>
      </c>
      <c r="M5633">
        <v>0.53827751196172202</v>
      </c>
      <c r="N5633">
        <v>0.99043062200956899</v>
      </c>
      <c r="O5633">
        <v>0.69098883572567804</v>
      </c>
      <c r="P5633" t="s">
        <v>11639</v>
      </c>
      <c r="Q5633" t="s">
        <v>11640</v>
      </c>
      <c r="R5633" t="s">
        <v>1259</v>
      </c>
      <c r="S5633" t="s">
        <v>1260</v>
      </c>
      <c r="T5633" t="s">
        <v>11641</v>
      </c>
      <c r="U5633" t="s">
        <v>407</v>
      </c>
      <c r="V5633" t="s">
        <v>11642</v>
      </c>
      <c r="W5633" t="s">
        <v>11643</v>
      </c>
      <c r="AD5633" t="s">
        <v>410</v>
      </c>
      <c r="AE5633" t="s">
        <v>411</v>
      </c>
      <c r="AF5633" t="s">
        <v>11644</v>
      </c>
    </row>
    <row r="5634" spans="1:32" hidden="1" x14ac:dyDescent="0.35">
      <c r="A5634">
        <v>5633</v>
      </c>
      <c r="B5634" t="s">
        <v>11638</v>
      </c>
      <c r="C5634" t="s">
        <v>57</v>
      </c>
      <c r="D5634" t="s">
        <v>34</v>
      </c>
      <c r="E5634">
        <v>1609</v>
      </c>
      <c r="F5634">
        <v>2</v>
      </c>
      <c r="G5634">
        <v>4</v>
      </c>
      <c r="H5634">
        <v>2</v>
      </c>
      <c r="I5634">
        <v>0</v>
      </c>
      <c r="J5634">
        <v>0.79940374787052804</v>
      </c>
      <c r="K5634">
        <v>0.93763266898442899</v>
      </c>
      <c r="L5634">
        <v>0.86301825619650896</v>
      </c>
      <c r="M5634">
        <v>0.53827751196172202</v>
      </c>
      <c r="N5634">
        <v>0.99043062200956899</v>
      </c>
      <c r="O5634">
        <v>0.69098883572567804</v>
      </c>
      <c r="P5634" t="s">
        <v>11639</v>
      </c>
      <c r="Q5634" t="s">
        <v>11640</v>
      </c>
      <c r="R5634" t="s">
        <v>1259</v>
      </c>
      <c r="S5634" t="s">
        <v>1260</v>
      </c>
      <c r="T5634" t="s">
        <v>11641</v>
      </c>
      <c r="U5634" t="s">
        <v>407</v>
      </c>
      <c r="V5634" t="s">
        <v>11642</v>
      </c>
      <c r="W5634" t="s">
        <v>11643</v>
      </c>
      <c r="AD5634" t="s">
        <v>410</v>
      </c>
      <c r="AE5634" t="s">
        <v>411</v>
      </c>
      <c r="AF5634" t="s">
        <v>11645</v>
      </c>
    </row>
    <row r="5635" spans="1:32" hidden="1" x14ac:dyDescent="0.35">
      <c r="A5635">
        <v>5634</v>
      </c>
      <c r="B5635" t="s">
        <v>11638</v>
      </c>
      <c r="C5635" t="s">
        <v>57</v>
      </c>
      <c r="D5635" t="s">
        <v>45</v>
      </c>
      <c r="E5635">
        <v>358</v>
      </c>
      <c r="F5635">
        <v>2</v>
      </c>
      <c r="G5635">
        <v>4</v>
      </c>
      <c r="H5635">
        <v>2</v>
      </c>
      <c r="I5635">
        <v>0</v>
      </c>
      <c r="J5635">
        <v>0.79940374787052804</v>
      </c>
      <c r="K5635">
        <v>0.93763266898442899</v>
      </c>
      <c r="L5635">
        <v>0.86301825619650896</v>
      </c>
      <c r="M5635">
        <v>0.53827751196172202</v>
      </c>
      <c r="N5635">
        <v>0.99043062200956899</v>
      </c>
      <c r="O5635">
        <v>0.69098883572567804</v>
      </c>
      <c r="P5635" t="s">
        <v>11639</v>
      </c>
      <c r="Q5635" t="s">
        <v>11640</v>
      </c>
      <c r="R5635" t="s">
        <v>1259</v>
      </c>
      <c r="S5635" t="s">
        <v>1260</v>
      </c>
      <c r="T5635" t="s">
        <v>11641</v>
      </c>
      <c r="U5635" t="s">
        <v>407</v>
      </c>
      <c r="V5635" t="s">
        <v>11642</v>
      </c>
      <c r="W5635" t="s">
        <v>11643</v>
      </c>
      <c r="AD5635" t="s">
        <v>410</v>
      </c>
      <c r="AE5635" t="s">
        <v>411</v>
      </c>
      <c r="AF5635" t="s">
        <v>11646</v>
      </c>
    </row>
    <row r="5636" spans="1:32" hidden="1" x14ac:dyDescent="0.35">
      <c r="A5636">
        <v>5635</v>
      </c>
      <c r="B5636" t="s">
        <v>11638</v>
      </c>
      <c r="C5636" t="s">
        <v>57</v>
      </c>
      <c r="D5636" t="s">
        <v>45</v>
      </c>
      <c r="E5636">
        <v>360</v>
      </c>
      <c r="F5636">
        <v>2</v>
      </c>
      <c r="G5636">
        <v>4</v>
      </c>
      <c r="H5636">
        <v>2</v>
      </c>
      <c r="I5636">
        <v>0</v>
      </c>
      <c r="J5636">
        <v>0.79940374787052804</v>
      </c>
      <c r="K5636">
        <v>0.93763266898442899</v>
      </c>
      <c r="L5636">
        <v>0.86301825619650896</v>
      </c>
      <c r="M5636">
        <v>0.53827751196172202</v>
      </c>
      <c r="N5636">
        <v>0.99043062200956899</v>
      </c>
      <c r="O5636">
        <v>0.69098883572567804</v>
      </c>
      <c r="P5636" t="s">
        <v>11639</v>
      </c>
      <c r="Q5636" t="s">
        <v>11640</v>
      </c>
      <c r="R5636" t="s">
        <v>1259</v>
      </c>
      <c r="S5636" t="s">
        <v>1260</v>
      </c>
      <c r="T5636" t="s">
        <v>11641</v>
      </c>
      <c r="U5636" t="s">
        <v>407</v>
      </c>
      <c r="V5636" t="s">
        <v>11642</v>
      </c>
      <c r="W5636" t="s">
        <v>11643</v>
      </c>
      <c r="AD5636" t="s">
        <v>410</v>
      </c>
      <c r="AE5636" t="s">
        <v>411</v>
      </c>
      <c r="AF5636" t="s">
        <v>11647</v>
      </c>
    </row>
    <row r="5637" spans="1:32" hidden="1" x14ac:dyDescent="0.35">
      <c r="A5637">
        <v>5636</v>
      </c>
      <c r="B5637" t="s">
        <v>11648</v>
      </c>
      <c r="C5637" t="s">
        <v>57</v>
      </c>
      <c r="D5637" t="s">
        <v>60</v>
      </c>
      <c r="E5637">
        <v>110</v>
      </c>
      <c r="F5637">
        <v>4</v>
      </c>
      <c r="G5637">
        <v>4</v>
      </c>
      <c r="H5637">
        <v>1</v>
      </c>
      <c r="I5637">
        <v>0</v>
      </c>
      <c r="J5637">
        <v>0.83814589665653505</v>
      </c>
      <c r="K5637">
        <v>0.90235586037693905</v>
      </c>
      <c r="L5637">
        <v>0.86906647309332596</v>
      </c>
      <c r="M5637">
        <v>0.61224489795918402</v>
      </c>
      <c r="N5637">
        <v>0.97551020408163303</v>
      </c>
      <c r="O5637">
        <v>0.71632653061224505</v>
      </c>
      <c r="P5637" t="s">
        <v>169</v>
      </c>
      <c r="Q5637" t="s">
        <v>170</v>
      </c>
      <c r="R5637" t="s">
        <v>342</v>
      </c>
      <c r="S5637" t="s">
        <v>343</v>
      </c>
      <c r="T5637" t="s">
        <v>259</v>
      </c>
      <c r="U5637" t="s">
        <v>260</v>
      </c>
      <c r="V5637" t="s">
        <v>11649</v>
      </c>
      <c r="W5637" t="s">
        <v>11650</v>
      </c>
      <c r="AD5637" t="s">
        <v>166</v>
      </c>
      <c r="AE5637" t="s">
        <v>263</v>
      </c>
      <c r="AF5637" t="s">
        <v>11651</v>
      </c>
    </row>
    <row r="5638" spans="1:32" hidden="1" x14ac:dyDescent="0.35">
      <c r="A5638">
        <v>5637</v>
      </c>
      <c r="B5638" t="s">
        <v>11648</v>
      </c>
      <c r="C5638" t="s">
        <v>57</v>
      </c>
      <c r="D5638" t="s">
        <v>62</v>
      </c>
      <c r="E5638">
        <v>182</v>
      </c>
      <c r="F5638">
        <v>4</v>
      </c>
      <c r="G5638">
        <v>4</v>
      </c>
      <c r="H5638">
        <v>1</v>
      </c>
      <c r="I5638">
        <v>0</v>
      </c>
      <c r="J5638">
        <v>0.83814589665653505</v>
      </c>
      <c r="K5638">
        <v>0.90235586037693905</v>
      </c>
      <c r="L5638">
        <v>0.86906647309332596</v>
      </c>
      <c r="M5638">
        <v>0.61224489795918402</v>
      </c>
      <c r="N5638">
        <v>0.97551020408163303</v>
      </c>
      <c r="O5638">
        <v>0.71632653061224505</v>
      </c>
      <c r="P5638" t="s">
        <v>169</v>
      </c>
      <c r="Q5638" t="s">
        <v>170</v>
      </c>
      <c r="R5638" t="s">
        <v>342</v>
      </c>
      <c r="S5638" t="s">
        <v>343</v>
      </c>
      <c r="V5638" t="s">
        <v>11649</v>
      </c>
      <c r="W5638" t="s">
        <v>11650</v>
      </c>
      <c r="AF5638" t="s">
        <v>11652</v>
      </c>
    </row>
    <row r="5639" spans="1:32" hidden="1" x14ac:dyDescent="0.35">
      <c r="A5639">
        <v>5638</v>
      </c>
      <c r="B5639" t="s">
        <v>11648</v>
      </c>
      <c r="C5639" t="s">
        <v>57</v>
      </c>
      <c r="D5639" t="s">
        <v>34</v>
      </c>
      <c r="E5639">
        <v>958</v>
      </c>
      <c r="F5639">
        <v>4</v>
      </c>
      <c r="G5639">
        <v>4</v>
      </c>
      <c r="H5639">
        <v>1</v>
      </c>
      <c r="I5639">
        <v>0</v>
      </c>
      <c r="J5639">
        <v>0.83814589665653505</v>
      </c>
      <c r="K5639">
        <v>0.90235586037693905</v>
      </c>
      <c r="L5639">
        <v>0.86906647309332596</v>
      </c>
      <c r="M5639">
        <v>0.61224489795918402</v>
      </c>
      <c r="N5639">
        <v>0.97551020408163303</v>
      </c>
      <c r="O5639">
        <v>0.71632653061224505</v>
      </c>
      <c r="P5639" t="s">
        <v>169</v>
      </c>
      <c r="Q5639" t="s">
        <v>170</v>
      </c>
      <c r="R5639" t="s">
        <v>342</v>
      </c>
      <c r="S5639" t="s">
        <v>343</v>
      </c>
      <c r="V5639" t="s">
        <v>11649</v>
      </c>
      <c r="W5639" t="s">
        <v>11650</v>
      </c>
      <c r="AF5639" t="e">
        <f>----------MSMTDVTVSYGATLAIEHATFTVPVGSVMGLIGPNGAGKSTIIKAGLELMD-HTGDVRFFGKPLEEVRRKVAYMPQVAAVDWDYPITVEQVVTMGMYTELGWLRRANAAHRSRVMEVLDRVGIADLAKRQISELSGGQRRRVFVARILVQAPELYLLDEPFAGVDAASERVIRGVLHELRDQGATIVIVHHDLSTVAELCDHVTILNREIIATGPTSEAFTRENITKAFGLGLLE</f>
        <v>#NAME?</v>
      </c>
    </row>
    <row r="5640" spans="1:32" hidden="1" x14ac:dyDescent="0.35">
      <c r="A5640">
        <v>5639</v>
      </c>
      <c r="B5640" t="s">
        <v>11648</v>
      </c>
      <c r="C5640" t="s">
        <v>57</v>
      </c>
      <c r="D5640" t="s">
        <v>45</v>
      </c>
      <c r="E5640">
        <v>2215</v>
      </c>
      <c r="F5640">
        <v>4</v>
      </c>
      <c r="G5640">
        <v>4</v>
      </c>
      <c r="H5640">
        <v>1</v>
      </c>
      <c r="I5640">
        <v>0</v>
      </c>
      <c r="J5640">
        <v>0.83814589665653505</v>
      </c>
      <c r="K5640">
        <v>0.90235586037693905</v>
      </c>
      <c r="L5640">
        <v>0.86906647309332596</v>
      </c>
      <c r="M5640">
        <v>0.61224489795918402</v>
      </c>
      <c r="N5640">
        <v>0.97551020408163303</v>
      </c>
      <c r="O5640">
        <v>0.71632653061224505</v>
      </c>
      <c r="P5640" t="s">
        <v>169</v>
      </c>
      <c r="Q5640" t="s">
        <v>170</v>
      </c>
      <c r="R5640" t="s">
        <v>342</v>
      </c>
      <c r="S5640" t="s">
        <v>343</v>
      </c>
      <c r="V5640" t="s">
        <v>11649</v>
      </c>
      <c r="W5640" t="s">
        <v>11650</v>
      </c>
      <c r="AF5640" t="e">
        <f>----------MSMTDVTVSYGATLAIEHATFTVPVGSVMGLLGPNGAGKSTIIKAGLELMD-HTGTVRFFGKPLGEVRRKVAYMPQVAAVDWDYPITVEQVVTMGMYTELGWLRRANAAHRGRVMEVLDRVGIAELAKRQISELSGGQRRRVFVARILVQAPELYLLDEPFAGVDAASERVIRGVLHELRDQGATIVIVHHDLSTVAELCDHVTILNREIIATGPTSEEFTRENITKAFGLGLLE</f>
        <v>#NAME?</v>
      </c>
    </row>
    <row r="5641" spans="1:32" hidden="1" x14ac:dyDescent="0.35">
      <c r="A5641">
        <v>5640</v>
      </c>
      <c r="B5641" t="s">
        <v>11653</v>
      </c>
      <c r="C5641" t="s">
        <v>57</v>
      </c>
      <c r="D5641" t="s">
        <v>58</v>
      </c>
      <c r="E5641">
        <v>1859</v>
      </c>
      <c r="F5641">
        <v>3</v>
      </c>
      <c r="G5641">
        <v>4</v>
      </c>
      <c r="H5641">
        <v>2</v>
      </c>
      <c r="I5641">
        <v>0</v>
      </c>
      <c r="J5641">
        <v>0.88276299112801004</v>
      </c>
      <c r="K5641">
        <v>0.54778504786138205</v>
      </c>
      <c r="L5641">
        <v>0.67605470654019695</v>
      </c>
      <c r="M5641">
        <v>6.8571428571428603E-2</v>
      </c>
      <c r="N5641">
        <v>0.69333333333333302</v>
      </c>
      <c r="O5641">
        <v>0.365396825396825</v>
      </c>
      <c r="P5641" t="s">
        <v>11654</v>
      </c>
      <c r="Q5641" t="s">
        <v>11655</v>
      </c>
      <c r="R5641" t="s">
        <v>319</v>
      </c>
      <c r="S5641" t="s">
        <v>320</v>
      </c>
      <c r="T5641" t="s">
        <v>11656</v>
      </c>
      <c r="U5641" t="s">
        <v>11657</v>
      </c>
      <c r="V5641" t="s">
        <v>11658</v>
      </c>
      <c r="W5641" t="s">
        <v>11659</v>
      </c>
      <c r="AD5641" t="s">
        <v>11660</v>
      </c>
      <c r="AE5641" t="s">
        <v>11661</v>
      </c>
      <c r="AF5641" t="s">
        <v>11662</v>
      </c>
    </row>
    <row r="5642" spans="1:32" hidden="1" x14ac:dyDescent="0.35">
      <c r="A5642">
        <v>5641</v>
      </c>
      <c r="B5642" t="s">
        <v>11653</v>
      </c>
      <c r="C5642" t="s">
        <v>57</v>
      </c>
      <c r="D5642" t="s">
        <v>60</v>
      </c>
      <c r="E5642">
        <v>474</v>
      </c>
      <c r="F5642">
        <v>3</v>
      </c>
      <c r="G5642">
        <v>4</v>
      </c>
      <c r="H5642">
        <v>2</v>
      </c>
      <c r="I5642">
        <v>0</v>
      </c>
      <c r="J5642">
        <v>0.88276299112801004</v>
      </c>
      <c r="K5642">
        <v>0.54778504786138205</v>
      </c>
      <c r="L5642">
        <v>0.67605470654019695</v>
      </c>
      <c r="M5642">
        <v>6.8571428571428603E-2</v>
      </c>
      <c r="N5642">
        <v>0.69333333333333302</v>
      </c>
      <c r="O5642">
        <v>0.365396825396825</v>
      </c>
      <c r="P5642" t="s">
        <v>11654</v>
      </c>
      <c r="Q5642" t="s">
        <v>11655</v>
      </c>
      <c r="R5642" t="s">
        <v>319</v>
      </c>
      <c r="S5642" t="s">
        <v>320</v>
      </c>
      <c r="T5642" t="s">
        <v>11656</v>
      </c>
      <c r="U5642" t="s">
        <v>11657</v>
      </c>
      <c r="V5642" t="s">
        <v>11658</v>
      </c>
      <c r="W5642" t="s">
        <v>11659</v>
      </c>
      <c r="AD5642" t="s">
        <v>11660</v>
      </c>
      <c r="AE5642" t="s">
        <v>11661</v>
      </c>
      <c r="AF5642" t="s">
        <v>11663</v>
      </c>
    </row>
    <row r="5643" spans="1:32" hidden="1" x14ac:dyDescent="0.35">
      <c r="A5643">
        <v>5642</v>
      </c>
      <c r="B5643" t="s">
        <v>11653</v>
      </c>
      <c r="C5643" t="s">
        <v>57</v>
      </c>
      <c r="D5643" t="s">
        <v>62</v>
      </c>
      <c r="E5643">
        <v>556</v>
      </c>
      <c r="F5643">
        <v>3</v>
      </c>
      <c r="G5643">
        <v>4</v>
      </c>
      <c r="H5643">
        <v>2</v>
      </c>
      <c r="I5643">
        <v>0</v>
      </c>
      <c r="J5643">
        <v>0.88276299112801004</v>
      </c>
      <c r="K5643">
        <v>0.54778504786138205</v>
      </c>
      <c r="L5643">
        <v>0.67605470654019695</v>
      </c>
      <c r="M5643">
        <v>6.8571428571428603E-2</v>
      </c>
      <c r="N5643">
        <v>0.69333333333333302</v>
      </c>
      <c r="O5643">
        <v>0.365396825396825</v>
      </c>
      <c r="P5643" t="s">
        <v>11654</v>
      </c>
      <c r="Q5643" t="s">
        <v>11655</v>
      </c>
      <c r="R5643" t="s">
        <v>319</v>
      </c>
      <c r="S5643" t="s">
        <v>320</v>
      </c>
      <c r="V5643" t="s">
        <v>11658</v>
      </c>
      <c r="W5643" t="s">
        <v>11659</v>
      </c>
      <c r="AF5643" t="e">
        <f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MATRWYGFKLGYEKGVEIVSEVGGNTLRKLTQTASIMGLFVMGSLVSKWTTINIPVAIATYEKD-GKEVTTTVQDILDTLLPGLAALLLTFLCMWLLRKKINAIWIIFGMFAIGIFGYWGGILAPGS</f>
        <v>#NAME?</v>
      </c>
    </row>
    <row r="5644" spans="1:32" hidden="1" x14ac:dyDescent="0.35">
      <c r="A5644">
        <v>5643</v>
      </c>
      <c r="B5644" t="s">
        <v>11653</v>
      </c>
      <c r="C5644" t="s">
        <v>57</v>
      </c>
      <c r="D5644" t="s">
        <v>62</v>
      </c>
      <c r="E5644">
        <v>557</v>
      </c>
      <c r="F5644">
        <v>3</v>
      </c>
      <c r="G5644">
        <v>4</v>
      </c>
      <c r="H5644">
        <v>2</v>
      </c>
      <c r="I5644">
        <v>0</v>
      </c>
      <c r="J5644">
        <v>0.88276299112801004</v>
      </c>
      <c r="K5644">
        <v>0.54778504786138205</v>
      </c>
      <c r="L5644">
        <v>0.67605470654019695</v>
      </c>
      <c r="M5644">
        <v>6.8571428571428603E-2</v>
      </c>
      <c r="N5644">
        <v>0.69333333333333302</v>
      </c>
      <c r="O5644">
        <v>0.365396825396825</v>
      </c>
      <c r="P5644" t="s">
        <v>11654</v>
      </c>
      <c r="Q5644" t="s">
        <v>11655</v>
      </c>
      <c r="R5644" t="s">
        <v>11664</v>
      </c>
      <c r="S5644" t="s">
        <v>11665</v>
      </c>
      <c r="T5644" t="s">
        <v>11666</v>
      </c>
      <c r="U5644" t="s">
        <v>11667</v>
      </c>
      <c r="V5644" t="s">
        <v>11668</v>
      </c>
      <c r="W5644" t="s">
        <v>11669</v>
      </c>
      <c r="AD5644" t="s">
        <v>11670</v>
      </c>
      <c r="AE5644" t="s">
        <v>11671</v>
      </c>
      <c r="AF5644" t="s">
        <v>11672</v>
      </c>
    </row>
    <row r="5645" spans="1:32" hidden="1" x14ac:dyDescent="0.35">
      <c r="A5645">
        <v>5644</v>
      </c>
      <c r="B5645" t="s">
        <v>11673</v>
      </c>
      <c r="C5645" t="s">
        <v>57</v>
      </c>
      <c r="D5645" t="s">
        <v>60</v>
      </c>
      <c r="E5645">
        <v>1309</v>
      </c>
      <c r="F5645">
        <v>4</v>
      </c>
      <c r="G5645">
        <v>4</v>
      </c>
      <c r="H5645">
        <v>1</v>
      </c>
      <c r="I5645">
        <v>0</v>
      </c>
      <c r="J5645">
        <v>0.75680631965016198</v>
      </c>
      <c r="K5645">
        <v>0.90606180927801205</v>
      </c>
      <c r="L5645">
        <v>0.82473563757247004</v>
      </c>
      <c r="M5645">
        <v>0.5</v>
      </c>
      <c r="N5645">
        <v>0.99771689497716898</v>
      </c>
      <c r="O5645">
        <v>0.67465753424657504</v>
      </c>
      <c r="P5645" t="s">
        <v>3920</v>
      </c>
      <c r="Q5645" t="s">
        <v>3921</v>
      </c>
      <c r="R5645" t="s">
        <v>7230</v>
      </c>
      <c r="S5645" t="s">
        <v>7231</v>
      </c>
      <c r="T5645" t="s">
        <v>11674</v>
      </c>
      <c r="U5645" t="s">
        <v>11675</v>
      </c>
      <c r="V5645" t="s">
        <v>11676</v>
      </c>
      <c r="W5645" t="s">
        <v>11677</v>
      </c>
      <c r="X5645" t="s">
        <v>11676</v>
      </c>
      <c r="Y5645" t="s">
        <v>7236</v>
      </c>
      <c r="Z5645" t="s">
        <v>1953</v>
      </c>
      <c r="AA5645" t="s">
        <v>1954</v>
      </c>
      <c r="AB5645" t="s">
        <v>1953</v>
      </c>
      <c r="AC5645" t="s">
        <v>878</v>
      </c>
      <c r="AD5645" t="s">
        <v>9397</v>
      </c>
      <c r="AE5645" t="s">
        <v>11678</v>
      </c>
      <c r="AF5645" t="s">
        <v>11679</v>
      </c>
    </row>
    <row r="5646" spans="1:32" hidden="1" x14ac:dyDescent="0.35">
      <c r="A5646">
        <v>5645</v>
      </c>
      <c r="B5646" t="s">
        <v>11673</v>
      </c>
      <c r="C5646" t="s">
        <v>57</v>
      </c>
      <c r="D5646" t="s">
        <v>62</v>
      </c>
      <c r="E5646">
        <v>1345</v>
      </c>
      <c r="F5646">
        <v>4</v>
      </c>
      <c r="G5646">
        <v>4</v>
      </c>
      <c r="H5646">
        <v>1</v>
      </c>
      <c r="I5646">
        <v>0</v>
      </c>
      <c r="J5646">
        <v>0.75680631965016198</v>
      </c>
      <c r="K5646">
        <v>0.90606180927801205</v>
      </c>
      <c r="L5646">
        <v>0.82473563757247004</v>
      </c>
      <c r="M5646">
        <v>0.5</v>
      </c>
      <c r="N5646">
        <v>0.99771689497716898</v>
      </c>
      <c r="O5646">
        <v>0.67465753424657504</v>
      </c>
      <c r="P5646" t="s">
        <v>3920</v>
      </c>
      <c r="Q5646" t="s">
        <v>3921</v>
      </c>
      <c r="R5646" t="s">
        <v>7230</v>
      </c>
      <c r="S5646" t="s">
        <v>7231</v>
      </c>
      <c r="T5646" t="s">
        <v>11674</v>
      </c>
      <c r="U5646" t="s">
        <v>11675</v>
      </c>
      <c r="V5646" t="s">
        <v>11676</v>
      </c>
      <c r="W5646" t="s">
        <v>11677</v>
      </c>
      <c r="X5646" t="s">
        <v>11676</v>
      </c>
      <c r="Y5646" t="s">
        <v>7236</v>
      </c>
      <c r="Z5646" t="s">
        <v>1953</v>
      </c>
      <c r="AA5646" t="s">
        <v>1954</v>
      </c>
      <c r="AB5646" t="s">
        <v>1953</v>
      </c>
      <c r="AC5646" t="s">
        <v>878</v>
      </c>
      <c r="AD5646" t="s">
        <v>9397</v>
      </c>
      <c r="AE5646" t="s">
        <v>11678</v>
      </c>
      <c r="AF5646" t="s">
        <v>11679</v>
      </c>
    </row>
    <row r="5647" spans="1:32" hidden="1" x14ac:dyDescent="0.35">
      <c r="A5647">
        <v>5646</v>
      </c>
      <c r="B5647" t="s">
        <v>11673</v>
      </c>
      <c r="C5647" t="s">
        <v>57</v>
      </c>
      <c r="D5647" t="s">
        <v>34</v>
      </c>
      <c r="E5647">
        <v>1705</v>
      </c>
      <c r="F5647">
        <v>4</v>
      </c>
      <c r="G5647">
        <v>4</v>
      </c>
      <c r="H5647">
        <v>1</v>
      </c>
      <c r="I5647">
        <v>0</v>
      </c>
      <c r="J5647">
        <v>0.75680631965016198</v>
      </c>
      <c r="K5647">
        <v>0.90606180927801205</v>
      </c>
      <c r="L5647">
        <v>0.82473563757247004</v>
      </c>
      <c r="M5647">
        <v>0.5</v>
      </c>
      <c r="N5647">
        <v>0.99771689497716898</v>
      </c>
      <c r="O5647">
        <v>0.67465753424657504</v>
      </c>
      <c r="P5647" t="s">
        <v>3920</v>
      </c>
      <c r="Q5647" t="s">
        <v>3921</v>
      </c>
      <c r="R5647" t="s">
        <v>7230</v>
      </c>
      <c r="S5647" t="s">
        <v>7231</v>
      </c>
      <c r="T5647" t="s">
        <v>11674</v>
      </c>
      <c r="U5647" t="s">
        <v>11675</v>
      </c>
      <c r="V5647" t="s">
        <v>11676</v>
      </c>
      <c r="W5647" t="s">
        <v>11677</v>
      </c>
      <c r="X5647" t="s">
        <v>11676</v>
      </c>
      <c r="Y5647" t="s">
        <v>7236</v>
      </c>
      <c r="Z5647" t="s">
        <v>1953</v>
      </c>
      <c r="AA5647" t="s">
        <v>1954</v>
      </c>
      <c r="AB5647" t="s">
        <v>1953</v>
      </c>
      <c r="AC5647" t="s">
        <v>878</v>
      </c>
      <c r="AD5647" t="s">
        <v>9397</v>
      </c>
      <c r="AE5647" t="s">
        <v>11678</v>
      </c>
      <c r="AF5647" t="s">
        <v>11680</v>
      </c>
    </row>
    <row r="5648" spans="1:32" hidden="1" x14ac:dyDescent="0.35">
      <c r="A5648">
        <v>5647</v>
      </c>
      <c r="B5648" t="s">
        <v>11673</v>
      </c>
      <c r="C5648" t="s">
        <v>57</v>
      </c>
      <c r="D5648" t="s">
        <v>45</v>
      </c>
      <c r="E5648">
        <v>1170</v>
      </c>
      <c r="F5648">
        <v>4</v>
      </c>
      <c r="G5648">
        <v>4</v>
      </c>
      <c r="H5648">
        <v>1</v>
      </c>
      <c r="I5648">
        <v>0</v>
      </c>
      <c r="J5648">
        <v>0.75680631965016198</v>
      </c>
      <c r="K5648">
        <v>0.90606180927801205</v>
      </c>
      <c r="L5648">
        <v>0.82473563757247004</v>
      </c>
      <c r="M5648">
        <v>0.5</v>
      </c>
      <c r="N5648">
        <v>0.99771689497716898</v>
      </c>
      <c r="O5648">
        <v>0.67465753424657504</v>
      </c>
      <c r="P5648" t="s">
        <v>3920</v>
      </c>
      <c r="Q5648" t="s">
        <v>3921</v>
      </c>
      <c r="R5648" t="s">
        <v>7230</v>
      </c>
      <c r="S5648" t="s">
        <v>7231</v>
      </c>
      <c r="T5648" t="s">
        <v>11674</v>
      </c>
      <c r="U5648" t="s">
        <v>11675</v>
      </c>
      <c r="V5648" t="s">
        <v>11676</v>
      </c>
      <c r="W5648" t="s">
        <v>11677</v>
      </c>
      <c r="X5648" t="s">
        <v>11676</v>
      </c>
      <c r="Y5648" t="s">
        <v>7236</v>
      </c>
      <c r="Z5648" t="s">
        <v>1953</v>
      </c>
      <c r="AA5648" t="s">
        <v>1954</v>
      </c>
      <c r="AB5648" t="s">
        <v>1953</v>
      </c>
      <c r="AC5648" t="s">
        <v>878</v>
      </c>
      <c r="AD5648" t="s">
        <v>9397</v>
      </c>
      <c r="AE5648" t="s">
        <v>11678</v>
      </c>
      <c r="AF5648" t="s">
        <v>11681</v>
      </c>
    </row>
    <row r="5649" spans="1:32" hidden="1" x14ac:dyDescent="0.35">
      <c r="A5649">
        <v>5648</v>
      </c>
      <c r="B5649" t="s">
        <v>11682</v>
      </c>
      <c r="C5649" t="s">
        <v>57</v>
      </c>
      <c r="D5649" t="s">
        <v>60</v>
      </c>
      <c r="E5649">
        <v>2444</v>
      </c>
      <c r="F5649">
        <v>4</v>
      </c>
      <c r="G5649">
        <v>4</v>
      </c>
      <c r="H5649">
        <v>1</v>
      </c>
      <c r="I5649">
        <v>0</v>
      </c>
      <c r="J5649">
        <v>0.78712981518592695</v>
      </c>
      <c r="K5649">
        <v>0.97106031128404702</v>
      </c>
      <c r="L5649">
        <v>0.86947425292398195</v>
      </c>
      <c r="M5649">
        <v>0.54474708171206199</v>
      </c>
      <c r="N5649">
        <v>0.99610894941634198</v>
      </c>
      <c r="O5649">
        <v>0.69390402075226998</v>
      </c>
      <c r="P5649" t="s">
        <v>10830</v>
      </c>
      <c r="Q5649" t="s">
        <v>10831</v>
      </c>
      <c r="R5649" t="s">
        <v>96</v>
      </c>
      <c r="S5649" t="s">
        <v>97</v>
      </c>
      <c r="T5649" t="s">
        <v>10832</v>
      </c>
      <c r="U5649" t="s">
        <v>10833</v>
      </c>
      <c r="V5649" t="s">
        <v>10834</v>
      </c>
      <c r="W5649" t="s">
        <v>10835</v>
      </c>
      <c r="AD5649" t="s">
        <v>7708</v>
      </c>
      <c r="AE5649" t="s">
        <v>10836</v>
      </c>
      <c r="AF5649" t="e">
        <f>---MTDHPAAPSPPRA-RIYRELLVVLLITFGMSGVRSLLRLIDAALSSTPLNQQTATLNASQADSPWLDLALQLCSAAVLCGWGLLVLYLLNPDKVALPKPRLGNLGSGAGLAALIGLPGLLFYLGALQLGFTKNVVPSTL-DAWWEAPVLLVWSFANAFAEETVVVLWLLTRLKQLDLVPWKAVALSSFLRGSYHLYQGFSAGVGNIIMGVVFAWFYQRTNKIWPLVIAHFLIDAVAFVGYAAFGESLMGFLRQE</f>
        <v>#NAME?</v>
      </c>
    </row>
    <row r="5650" spans="1:32" hidden="1" x14ac:dyDescent="0.35">
      <c r="A5650">
        <v>5649</v>
      </c>
      <c r="B5650" t="s">
        <v>11682</v>
      </c>
      <c r="C5650" t="s">
        <v>57</v>
      </c>
      <c r="D5650" t="s">
        <v>62</v>
      </c>
      <c r="E5650">
        <v>2470</v>
      </c>
      <c r="F5650">
        <v>4</v>
      </c>
      <c r="G5650">
        <v>4</v>
      </c>
      <c r="H5650">
        <v>1</v>
      </c>
      <c r="I5650">
        <v>0</v>
      </c>
      <c r="J5650">
        <v>0.78712981518592695</v>
      </c>
      <c r="K5650">
        <v>0.97106031128404702</v>
      </c>
      <c r="L5650">
        <v>0.86947425292398195</v>
      </c>
      <c r="M5650">
        <v>0.54474708171206199</v>
      </c>
      <c r="N5650">
        <v>0.99610894941634198</v>
      </c>
      <c r="O5650">
        <v>0.69390402075226998</v>
      </c>
      <c r="P5650" t="s">
        <v>10830</v>
      </c>
      <c r="Q5650" t="s">
        <v>10831</v>
      </c>
      <c r="R5650" t="s">
        <v>96</v>
      </c>
      <c r="S5650" t="s">
        <v>97</v>
      </c>
      <c r="T5650" t="s">
        <v>10832</v>
      </c>
      <c r="U5650" t="s">
        <v>10833</v>
      </c>
      <c r="V5650" t="s">
        <v>10834</v>
      </c>
      <c r="W5650" t="s">
        <v>10835</v>
      </c>
      <c r="AD5650" t="s">
        <v>7708</v>
      </c>
      <c r="AE5650" t="s">
        <v>10836</v>
      </c>
      <c r="AF5650" t="e">
        <f>---MTDHPAASSPPRA-RIYRELLVVLLITFGMSGVRSLLRLIDAALSSTPLNQQTATLNASQADSPWLDLALQLCSAAVLCGWGLLVLYLLNPDKVALPKPRLGNLGSGAGLAALIGLPGLLFYLGALQLGFTKNVVPSTL-DAWWEAPVLLVWSFANAFAEETVVVLWLLTRLKQLNLVPWKAVALSSLLRGSYHLYQGFSAGVGNIIMGVVFAWFYQRTNKIWPLVIAHFLIDAVAFVGYAAFGESLMGFLRQE</f>
        <v>#NAME?</v>
      </c>
    </row>
    <row r="5651" spans="1:32" hidden="1" x14ac:dyDescent="0.35">
      <c r="A5651">
        <v>5650</v>
      </c>
      <c r="B5651" t="s">
        <v>11682</v>
      </c>
      <c r="C5651" t="s">
        <v>57</v>
      </c>
      <c r="D5651" t="s">
        <v>34</v>
      </c>
      <c r="E5651">
        <v>1278</v>
      </c>
      <c r="F5651">
        <v>4</v>
      </c>
      <c r="G5651">
        <v>4</v>
      </c>
      <c r="H5651">
        <v>1</v>
      </c>
      <c r="I5651">
        <v>0</v>
      </c>
      <c r="J5651">
        <v>0.78712981518592695</v>
      </c>
      <c r="K5651">
        <v>0.97106031128404702</v>
      </c>
      <c r="L5651">
        <v>0.86947425292398195</v>
      </c>
      <c r="M5651">
        <v>0.54474708171206199</v>
      </c>
      <c r="N5651">
        <v>0.99610894941634198</v>
      </c>
      <c r="O5651">
        <v>0.69390402075226998</v>
      </c>
      <c r="P5651" t="s">
        <v>10830</v>
      </c>
      <c r="Q5651" t="s">
        <v>10831</v>
      </c>
      <c r="R5651" t="s">
        <v>96</v>
      </c>
      <c r="S5651" t="s">
        <v>97</v>
      </c>
      <c r="T5651" t="s">
        <v>10832</v>
      </c>
      <c r="U5651" t="s">
        <v>10833</v>
      </c>
      <c r="V5651" t="s">
        <v>10834</v>
      </c>
      <c r="W5651" t="s">
        <v>10835</v>
      </c>
      <c r="AD5651" t="s">
        <v>7708</v>
      </c>
      <c r="AE5651" t="s">
        <v>10836</v>
      </c>
      <c r="AF5651" t="s">
        <v>11683</v>
      </c>
    </row>
    <row r="5652" spans="1:32" hidden="1" x14ac:dyDescent="0.35">
      <c r="A5652">
        <v>5651</v>
      </c>
      <c r="B5652" t="s">
        <v>11682</v>
      </c>
      <c r="C5652" t="s">
        <v>57</v>
      </c>
      <c r="D5652" t="s">
        <v>45</v>
      </c>
      <c r="E5652">
        <v>30</v>
      </c>
      <c r="F5652">
        <v>4</v>
      </c>
      <c r="G5652">
        <v>4</v>
      </c>
      <c r="H5652">
        <v>1</v>
      </c>
      <c r="I5652">
        <v>0</v>
      </c>
      <c r="J5652">
        <v>0.78712981518592695</v>
      </c>
      <c r="K5652">
        <v>0.97106031128404702</v>
      </c>
      <c r="L5652">
        <v>0.86947425292398195</v>
      </c>
      <c r="M5652">
        <v>0.54474708171206199</v>
      </c>
      <c r="N5652">
        <v>0.99610894941634198</v>
      </c>
      <c r="O5652">
        <v>0.69390402075226998</v>
      </c>
      <c r="P5652" t="s">
        <v>10830</v>
      </c>
      <c r="Q5652" t="s">
        <v>10831</v>
      </c>
      <c r="R5652" t="s">
        <v>96</v>
      </c>
      <c r="S5652" t="s">
        <v>97</v>
      </c>
      <c r="T5652" t="s">
        <v>10832</v>
      </c>
      <c r="U5652" t="s">
        <v>10833</v>
      </c>
      <c r="V5652" t="s">
        <v>10834</v>
      </c>
      <c r="W5652" t="s">
        <v>10835</v>
      </c>
      <c r="AD5652" t="s">
        <v>7708</v>
      </c>
      <c r="AE5652" t="s">
        <v>10836</v>
      </c>
      <c r="AF5652" t="s">
        <v>11684</v>
      </c>
    </row>
    <row r="5653" spans="1:32" hidden="1" x14ac:dyDescent="0.35">
      <c r="A5653">
        <v>5652</v>
      </c>
      <c r="B5653" t="s">
        <v>11685</v>
      </c>
      <c r="C5653" t="s">
        <v>57</v>
      </c>
      <c r="D5653" t="s">
        <v>60</v>
      </c>
      <c r="E5653">
        <v>112</v>
      </c>
      <c r="F5653">
        <v>4</v>
      </c>
      <c r="G5653">
        <v>4</v>
      </c>
      <c r="H5653">
        <v>1</v>
      </c>
      <c r="I5653">
        <v>0</v>
      </c>
      <c r="J5653">
        <v>0.84974298141557902</v>
      </c>
      <c r="K5653">
        <v>1</v>
      </c>
      <c r="L5653">
        <v>0.91876870457460402</v>
      </c>
      <c r="M5653">
        <v>0.68683274021352303</v>
      </c>
      <c r="N5653">
        <v>0.99644128113879005</v>
      </c>
      <c r="O5653">
        <v>0.79122182680901598</v>
      </c>
      <c r="P5653" t="s">
        <v>11686</v>
      </c>
      <c r="Q5653" t="s">
        <v>11687</v>
      </c>
      <c r="R5653" t="s">
        <v>342</v>
      </c>
      <c r="S5653" t="s">
        <v>343</v>
      </c>
      <c r="T5653" t="s">
        <v>11688</v>
      </c>
      <c r="U5653" t="s">
        <v>11689</v>
      </c>
      <c r="V5653" t="s">
        <v>11690</v>
      </c>
      <c r="W5653" t="s">
        <v>11691</v>
      </c>
      <c r="AD5653" t="s">
        <v>439</v>
      </c>
      <c r="AE5653" t="s">
        <v>11692</v>
      </c>
      <c r="AF5653" t="s">
        <v>11693</v>
      </c>
    </row>
    <row r="5654" spans="1:32" hidden="1" x14ac:dyDescent="0.35">
      <c r="A5654">
        <v>5653</v>
      </c>
      <c r="B5654" t="s">
        <v>11685</v>
      </c>
      <c r="C5654" t="s">
        <v>57</v>
      </c>
      <c r="D5654" t="s">
        <v>62</v>
      </c>
      <c r="E5654">
        <v>184</v>
      </c>
      <c r="F5654">
        <v>4</v>
      </c>
      <c r="G5654">
        <v>4</v>
      </c>
      <c r="H5654">
        <v>1</v>
      </c>
      <c r="I5654">
        <v>0</v>
      </c>
      <c r="J5654">
        <v>0.84974298141557902</v>
      </c>
      <c r="K5654">
        <v>1</v>
      </c>
      <c r="L5654">
        <v>0.91876870457460402</v>
      </c>
      <c r="M5654">
        <v>0.68683274021352303</v>
      </c>
      <c r="N5654">
        <v>0.99644128113879005</v>
      </c>
      <c r="O5654">
        <v>0.79122182680901598</v>
      </c>
      <c r="P5654" t="s">
        <v>11686</v>
      </c>
      <c r="Q5654" t="s">
        <v>11687</v>
      </c>
      <c r="R5654" t="s">
        <v>342</v>
      </c>
      <c r="S5654" t="s">
        <v>343</v>
      </c>
      <c r="T5654" t="s">
        <v>11688</v>
      </c>
      <c r="U5654" t="s">
        <v>11689</v>
      </c>
      <c r="V5654" t="s">
        <v>11690</v>
      </c>
      <c r="W5654" t="s">
        <v>11691</v>
      </c>
      <c r="AD5654" t="s">
        <v>439</v>
      </c>
      <c r="AE5654" t="s">
        <v>11692</v>
      </c>
      <c r="AF5654" t="s">
        <v>11694</v>
      </c>
    </row>
    <row r="5655" spans="1:32" hidden="1" x14ac:dyDescent="0.35">
      <c r="A5655">
        <v>5654</v>
      </c>
      <c r="B5655" t="s">
        <v>11685</v>
      </c>
      <c r="C5655" t="s">
        <v>57</v>
      </c>
      <c r="D5655" t="s">
        <v>34</v>
      </c>
      <c r="E5655">
        <v>956</v>
      </c>
      <c r="F5655">
        <v>4</v>
      </c>
      <c r="G5655">
        <v>4</v>
      </c>
      <c r="H5655">
        <v>1</v>
      </c>
      <c r="I5655">
        <v>0</v>
      </c>
      <c r="J5655">
        <v>0.84974298141557902</v>
      </c>
      <c r="K5655">
        <v>1</v>
      </c>
      <c r="L5655">
        <v>0.91876870457460402</v>
      </c>
      <c r="M5655">
        <v>0.68683274021352303</v>
      </c>
      <c r="N5655">
        <v>0.99644128113879005</v>
      </c>
      <c r="O5655">
        <v>0.79122182680901598</v>
      </c>
      <c r="P5655" t="s">
        <v>11686</v>
      </c>
      <c r="Q5655" t="s">
        <v>11687</v>
      </c>
      <c r="R5655" t="s">
        <v>342</v>
      </c>
      <c r="S5655" t="s">
        <v>343</v>
      </c>
      <c r="T5655" t="s">
        <v>11688</v>
      </c>
      <c r="U5655" t="s">
        <v>11689</v>
      </c>
      <c r="V5655" t="s">
        <v>11690</v>
      </c>
      <c r="W5655" t="s">
        <v>11691</v>
      </c>
      <c r="AD5655" t="s">
        <v>439</v>
      </c>
      <c r="AE5655" t="s">
        <v>11692</v>
      </c>
      <c r="AF5655" t="s">
        <v>11695</v>
      </c>
    </row>
    <row r="5656" spans="1:32" hidden="1" x14ac:dyDescent="0.35">
      <c r="A5656">
        <v>5655</v>
      </c>
      <c r="B5656" t="s">
        <v>11685</v>
      </c>
      <c r="C5656" t="s">
        <v>57</v>
      </c>
      <c r="D5656" t="s">
        <v>45</v>
      </c>
      <c r="E5656">
        <v>2213</v>
      </c>
      <c r="F5656">
        <v>4</v>
      </c>
      <c r="G5656">
        <v>4</v>
      </c>
      <c r="H5656">
        <v>1</v>
      </c>
      <c r="I5656">
        <v>0</v>
      </c>
      <c r="J5656">
        <v>0.84974298141557902</v>
      </c>
      <c r="K5656">
        <v>1</v>
      </c>
      <c r="L5656">
        <v>0.91876870457460402</v>
      </c>
      <c r="M5656">
        <v>0.68683274021352303</v>
      </c>
      <c r="N5656">
        <v>0.99644128113879005</v>
      </c>
      <c r="O5656">
        <v>0.79122182680901598</v>
      </c>
      <c r="P5656" t="s">
        <v>11686</v>
      </c>
      <c r="Q5656" t="s">
        <v>11687</v>
      </c>
      <c r="R5656" t="s">
        <v>342</v>
      </c>
      <c r="S5656" t="s">
        <v>343</v>
      </c>
      <c r="T5656" t="s">
        <v>11688</v>
      </c>
      <c r="U5656" t="s">
        <v>11689</v>
      </c>
      <c r="V5656" t="s">
        <v>11690</v>
      </c>
      <c r="W5656" t="s">
        <v>11691</v>
      </c>
      <c r="AD5656" t="s">
        <v>439</v>
      </c>
      <c r="AE5656" t="s">
        <v>11692</v>
      </c>
      <c r="AF5656" t="s">
        <v>11696</v>
      </c>
    </row>
    <row r="5657" spans="1:32" hidden="1" x14ac:dyDescent="0.35">
      <c r="A5657">
        <v>5656</v>
      </c>
      <c r="B5657" t="s">
        <v>11697</v>
      </c>
      <c r="C5657" t="s">
        <v>57</v>
      </c>
      <c r="D5657" t="s">
        <v>60</v>
      </c>
      <c r="E5657">
        <v>1609</v>
      </c>
      <c r="F5657">
        <v>4</v>
      </c>
      <c r="G5657">
        <v>4</v>
      </c>
      <c r="H5657">
        <v>1</v>
      </c>
      <c r="I5657">
        <v>0</v>
      </c>
      <c r="J5657">
        <v>0.77053269196508101</v>
      </c>
      <c r="K5657">
        <v>0.94441087613292996</v>
      </c>
      <c r="L5657">
        <v>0.84865702667391596</v>
      </c>
      <c r="M5657">
        <v>0.50755287009063399</v>
      </c>
      <c r="N5657">
        <v>0.99697885196374603</v>
      </c>
      <c r="O5657">
        <v>0.66968781470292005</v>
      </c>
      <c r="P5657" t="s">
        <v>9003</v>
      </c>
      <c r="Q5657" t="s">
        <v>9004</v>
      </c>
      <c r="R5657" t="s">
        <v>371</v>
      </c>
      <c r="S5657" t="s">
        <v>372</v>
      </c>
      <c r="T5657" t="s">
        <v>11698</v>
      </c>
      <c r="U5657" t="s">
        <v>11699</v>
      </c>
      <c r="V5657" t="s">
        <v>9007</v>
      </c>
      <c r="W5657" t="s">
        <v>9008</v>
      </c>
      <c r="AD5657" t="s">
        <v>1480</v>
      </c>
      <c r="AE5657" t="s">
        <v>2816</v>
      </c>
      <c r="AF5657" t="s">
        <v>11700</v>
      </c>
    </row>
    <row r="5658" spans="1:32" hidden="1" x14ac:dyDescent="0.35">
      <c r="A5658">
        <v>5657</v>
      </c>
      <c r="B5658" t="s">
        <v>11697</v>
      </c>
      <c r="C5658" t="s">
        <v>57</v>
      </c>
      <c r="D5658" t="s">
        <v>62</v>
      </c>
      <c r="E5658">
        <v>1645</v>
      </c>
      <c r="F5658">
        <v>4</v>
      </c>
      <c r="G5658">
        <v>4</v>
      </c>
      <c r="H5658">
        <v>1</v>
      </c>
      <c r="I5658">
        <v>0</v>
      </c>
      <c r="J5658">
        <v>0.77053269196508101</v>
      </c>
      <c r="K5658">
        <v>0.94441087613292996</v>
      </c>
      <c r="L5658">
        <v>0.84865702667391596</v>
      </c>
      <c r="M5658">
        <v>0.50755287009063399</v>
      </c>
      <c r="N5658">
        <v>0.99697885196374603</v>
      </c>
      <c r="O5658">
        <v>0.66968781470292005</v>
      </c>
      <c r="P5658" t="s">
        <v>9003</v>
      </c>
      <c r="Q5658" t="s">
        <v>9004</v>
      </c>
      <c r="R5658" t="s">
        <v>371</v>
      </c>
      <c r="S5658" t="s">
        <v>372</v>
      </c>
      <c r="T5658" t="s">
        <v>11698</v>
      </c>
      <c r="U5658" t="s">
        <v>11699</v>
      </c>
      <c r="V5658" t="s">
        <v>9007</v>
      </c>
      <c r="W5658" t="s">
        <v>9008</v>
      </c>
      <c r="AD5658" t="s">
        <v>1480</v>
      </c>
      <c r="AE5658" t="s">
        <v>2816</v>
      </c>
      <c r="AF5658" t="s">
        <v>11701</v>
      </c>
    </row>
    <row r="5659" spans="1:32" hidden="1" x14ac:dyDescent="0.35">
      <c r="A5659">
        <v>5658</v>
      </c>
      <c r="B5659" t="s">
        <v>11697</v>
      </c>
      <c r="C5659" t="s">
        <v>57</v>
      </c>
      <c r="D5659" t="s">
        <v>34</v>
      </c>
      <c r="E5659">
        <v>2002</v>
      </c>
      <c r="F5659">
        <v>4</v>
      </c>
      <c r="G5659">
        <v>4</v>
      </c>
      <c r="H5659">
        <v>1</v>
      </c>
      <c r="I5659">
        <v>0</v>
      </c>
      <c r="J5659">
        <v>0.77053269196508101</v>
      </c>
      <c r="K5659">
        <v>0.94441087613292996</v>
      </c>
      <c r="L5659">
        <v>0.84865702667391596</v>
      </c>
      <c r="M5659">
        <v>0.50755287009063399</v>
      </c>
      <c r="N5659">
        <v>0.99697885196374603</v>
      </c>
      <c r="O5659">
        <v>0.66968781470292005</v>
      </c>
      <c r="P5659" t="s">
        <v>9003</v>
      </c>
      <c r="Q5659" t="s">
        <v>9004</v>
      </c>
      <c r="R5659" t="s">
        <v>371</v>
      </c>
      <c r="S5659" t="s">
        <v>372</v>
      </c>
      <c r="T5659" t="s">
        <v>11698</v>
      </c>
      <c r="U5659" t="s">
        <v>11699</v>
      </c>
      <c r="V5659" t="s">
        <v>9007</v>
      </c>
      <c r="W5659" t="s">
        <v>9008</v>
      </c>
      <c r="AD5659" t="s">
        <v>1480</v>
      </c>
      <c r="AE5659" t="s">
        <v>2816</v>
      </c>
      <c r="AF5659" t="s">
        <v>11702</v>
      </c>
    </row>
    <row r="5660" spans="1:32" hidden="1" x14ac:dyDescent="0.35">
      <c r="A5660">
        <v>5659</v>
      </c>
      <c r="B5660" t="s">
        <v>11697</v>
      </c>
      <c r="C5660" t="s">
        <v>57</v>
      </c>
      <c r="D5660" t="s">
        <v>45</v>
      </c>
      <c r="E5660">
        <v>870</v>
      </c>
      <c r="F5660">
        <v>4</v>
      </c>
      <c r="G5660">
        <v>4</v>
      </c>
      <c r="H5660">
        <v>1</v>
      </c>
      <c r="I5660">
        <v>0</v>
      </c>
      <c r="J5660">
        <v>0.77053269196508101</v>
      </c>
      <c r="K5660">
        <v>0.94441087613292996</v>
      </c>
      <c r="L5660">
        <v>0.84865702667391596</v>
      </c>
      <c r="M5660">
        <v>0.50755287009063399</v>
      </c>
      <c r="N5660">
        <v>0.99697885196374603</v>
      </c>
      <c r="O5660">
        <v>0.66968781470292005</v>
      </c>
      <c r="P5660" t="s">
        <v>9003</v>
      </c>
      <c r="Q5660" t="s">
        <v>9004</v>
      </c>
      <c r="R5660" t="s">
        <v>371</v>
      </c>
      <c r="S5660" t="s">
        <v>372</v>
      </c>
      <c r="T5660" t="s">
        <v>11698</v>
      </c>
      <c r="U5660" t="s">
        <v>11699</v>
      </c>
      <c r="V5660" t="s">
        <v>9007</v>
      </c>
      <c r="W5660" t="s">
        <v>9008</v>
      </c>
      <c r="AD5660" t="s">
        <v>1480</v>
      </c>
      <c r="AE5660" t="s">
        <v>2816</v>
      </c>
      <c r="AF5660" t="s">
        <v>11703</v>
      </c>
    </row>
    <row r="5661" spans="1:32" hidden="1" x14ac:dyDescent="0.35">
      <c r="A5661">
        <v>5660</v>
      </c>
      <c r="B5661" t="s">
        <v>11704</v>
      </c>
      <c r="C5661" t="s">
        <v>57</v>
      </c>
      <c r="D5661" t="s">
        <v>34</v>
      </c>
      <c r="E5661">
        <v>2278</v>
      </c>
      <c r="F5661">
        <v>2</v>
      </c>
      <c r="G5661">
        <v>4</v>
      </c>
      <c r="H5661">
        <v>2</v>
      </c>
      <c r="I5661">
        <v>0</v>
      </c>
      <c r="J5661">
        <v>0.86647904940587905</v>
      </c>
      <c r="K5661">
        <v>0.70909191583610298</v>
      </c>
      <c r="L5661">
        <v>0.77992461492294096</v>
      </c>
      <c r="M5661">
        <v>0.37541528239202698</v>
      </c>
      <c r="N5661">
        <v>0.97342192691029905</v>
      </c>
      <c r="O5661">
        <v>0.57973421926910296</v>
      </c>
      <c r="AF5661" t="s">
        <v>11705</v>
      </c>
    </row>
    <row r="5662" spans="1:32" hidden="1" x14ac:dyDescent="0.35">
      <c r="A5662">
        <v>5661</v>
      </c>
      <c r="B5662" t="s">
        <v>11704</v>
      </c>
      <c r="C5662" t="s">
        <v>57</v>
      </c>
      <c r="D5662" t="s">
        <v>34</v>
      </c>
      <c r="E5662">
        <v>2226</v>
      </c>
      <c r="F5662">
        <v>2</v>
      </c>
      <c r="G5662">
        <v>4</v>
      </c>
      <c r="H5662">
        <v>2</v>
      </c>
      <c r="I5662">
        <v>0</v>
      </c>
      <c r="J5662">
        <v>0.86647904940587905</v>
      </c>
      <c r="K5662">
        <v>0.70909191583610298</v>
      </c>
      <c r="L5662">
        <v>0.77992461492294096</v>
      </c>
      <c r="M5662">
        <v>0.37541528239202698</v>
      </c>
      <c r="N5662">
        <v>0.97342192691029905</v>
      </c>
      <c r="O5662">
        <v>0.57973421926910296</v>
      </c>
      <c r="AF5662" t="s">
        <v>11706</v>
      </c>
    </row>
    <row r="5663" spans="1:32" hidden="1" x14ac:dyDescent="0.35">
      <c r="A5663">
        <v>5662</v>
      </c>
      <c r="B5663" t="s">
        <v>11704</v>
      </c>
      <c r="C5663" t="s">
        <v>57</v>
      </c>
      <c r="D5663" t="s">
        <v>45</v>
      </c>
      <c r="E5663">
        <v>600</v>
      </c>
      <c r="F5663">
        <v>2</v>
      </c>
      <c r="G5663">
        <v>4</v>
      </c>
      <c r="H5663">
        <v>2</v>
      </c>
      <c r="I5663">
        <v>0</v>
      </c>
      <c r="J5663">
        <v>0.86647904940587905</v>
      </c>
      <c r="K5663">
        <v>0.70909191583610298</v>
      </c>
      <c r="L5663">
        <v>0.77992461492294096</v>
      </c>
      <c r="M5663">
        <v>0.37541528239202698</v>
      </c>
      <c r="N5663">
        <v>0.97342192691029905</v>
      </c>
      <c r="O5663">
        <v>0.57973421926910296</v>
      </c>
      <c r="AF5663" t="s">
        <v>11707</v>
      </c>
    </row>
    <row r="5664" spans="1:32" hidden="1" x14ac:dyDescent="0.35">
      <c r="A5664">
        <v>5663</v>
      </c>
      <c r="B5664" t="s">
        <v>11704</v>
      </c>
      <c r="C5664" t="s">
        <v>57</v>
      </c>
      <c r="D5664" t="s">
        <v>45</v>
      </c>
      <c r="E5664">
        <v>650</v>
      </c>
      <c r="F5664">
        <v>2</v>
      </c>
      <c r="G5664">
        <v>4</v>
      </c>
      <c r="H5664">
        <v>2</v>
      </c>
      <c r="I5664">
        <v>0</v>
      </c>
      <c r="J5664">
        <v>0.86647904940587905</v>
      </c>
      <c r="K5664">
        <v>0.70909191583610298</v>
      </c>
      <c r="L5664">
        <v>0.77992461492294096</v>
      </c>
      <c r="M5664">
        <v>0.37541528239202698</v>
      </c>
      <c r="N5664">
        <v>0.97342192691029905</v>
      </c>
      <c r="O5664">
        <v>0.57973421926910296</v>
      </c>
      <c r="AF5664" t="s">
        <v>11708</v>
      </c>
    </row>
    <row r="5665" spans="1:32" hidden="1" x14ac:dyDescent="0.35">
      <c r="A5665">
        <v>5664</v>
      </c>
      <c r="B5665" t="s">
        <v>11709</v>
      </c>
      <c r="C5665" t="s">
        <v>57</v>
      </c>
      <c r="D5665" t="s">
        <v>60</v>
      </c>
      <c r="E5665">
        <v>176</v>
      </c>
      <c r="F5665">
        <v>2</v>
      </c>
      <c r="G5665">
        <v>4</v>
      </c>
      <c r="H5665">
        <v>2</v>
      </c>
      <c r="I5665">
        <v>0</v>
      </c>
      <c r="J5665">
        <v>0.81619385342789597</v>
      </c>
      <c r="K5665">
        <v>0.93570269769166203</v>
      </c>
      <c r="L5665">
        <v>0.87187201778984003</v>
      </c>
      <c r="M5665">
        <v>0.58385093167701896</v>
      </c>
      <c r="N5665">
        <v>0.99130434782608701</v>
      </c>
      <c r="O5665">
        <v>0.71863354037267102</v>
      </c>
      <c r="P5665" t="s">
        <v>6317</v>
      </c>
      <c r="Q5665" t="s">
        <v>6318</v>
      </c>
      <c r="R5665" t="s">
        <v>288</v>
      </c>
      <c r="S5665" t="s">
        <v>289</v>
      </c>
      <c r="T5665" t="s">
        <v>6319</v>
      </c>
      <c r="U5665" t="s">
        <v>6320</v>
      </c>
      <c r="V5665" t="s">
        <v>6321</v>
      </c>
      <c r="W5665" t="s">
        <v>6322</v>
      </c>
      <c r="AD5665" t="s">
        <v>410</v>
      </c>
      <c r="AE5665" t="s">
        <v>603</v>
      </c>
      <c r="AF5665" t="s">
        <v>11710</v>
      </c>
    </row>
    <row r="5666" spans="1:32" hidden="1" x14ac:dyDescent="0.35">
      <c r="A5666">
        <v>5665</v>
      </c>
      <c r="B5666" t="s">
        <v>11709</v>
      </c>
      <c r="C5666" t="s">
        <v>57</v>
      </c>
      <c r="D5666" t="s">
        <v>60</v>
      </c>
      <c r="E5666">
        <v>805</v>
      </c>
      <c r="F5666">
        <v>2</v>
      </c>
      <c r="G5666">
        <v>4</v>
      </c>
      <c r="H5666">
        <v>2</v>
      </c>
      <c r="I5666">
        <v>0</v>
      </c>
      <c r="J5666">
        <v>0.81619385342789597</v>
      </c>
      <c r="K5666">
        <v>0.93570269769166203</v>
      </c>
      <c r="L5666">
        <v>0.87187201778984003</v>
      </c>
      <c r="M5666">
        <v>0.58385093167701896</v>
      </c>
      <c r="N5666">
        <v>0.99130434782608701</v>
      </c>
      <c r="O5666">
        <v>0.71863354037267102</v>
      </c>
      <c r="P5666" t="s">
        <v>6317</v>
      </c>
      <c r="Q5666" t="s">
        <v>6318</v>
      </c>
      <c r="R5666" t="s">
        <v>288</v>
      </c>
      <c r="S5666" t="s">
        <v>289</v>
      </c>
      <c r="T5666" t="s">
        <v>6319</v>
      </c>
      <c r="U5666" t="s">
        <v>6320</v>
      </c>
      <c r="V5666" t="s">
        <v>6321</v>
      </c>
      <c r="W5666" t="s">
        <v>6322</v>
      </c>
      <c r="AD5666" t="s">
        <v>410</v>
      </c>
      <c r="AE5666" t="s">
        <v>603</v>
      </c>
      <c r="AF5666" t="s">
        <v>11711</v>
      </c>
    </row>
    <row r="5667" spans="1:32" hidden="1" x14ac:dyDescent="0.35">
      <c r="A5667">
        <v>5666</v>
      </c>
      <c r="B5667" t="s">
        <v>11709</v>
      </c>
      <c r="C5667" t="s">
        <v>57</v>
      </c>
      <c r="D5667" t="s">
        <v>62</v>
      </c>
      <c r="E5667">
        <v>252</v>
      </c>
      <c r="F5667">
        <v>2</v>
      </c>
      <c r="G5667">
        <v>4</v>
      </c>
      <c r="H5667">
        <v>2</v>
      </c>
      <c r="I5667">
        <v>0</v>
      </c>
      <c r="J5667">
        <v>0.81619385342789597</v>
      </c>
      <c r="K5667">
        <v>0.93570269769166203</v>
      </c>
      <c r="L5667">
        <v>0.87187201778984003</v>
      </c>
      <c r="M5667">
        <v>0.58385093167701896</v>
      </c>
      <c r="N5667">
        <v>0.99130434782608701</v>
      </c>
      <c r="O5667">
        <v>0.71863354037267102</v>
      </c>
      <c r="P5667" t="s">
        <v>6317</v>
      </c>
      <c r="Q5667" t="s">
        <v>6318</v>
      </c>
      <c r="R5667" t="s">
        <v>288</v>
      </c>
      <c r="S5667" t="s">
        <v>289</v>
      </c>
      <c r="T5667" t="s">
        <v>6319</v>
      </c>
      <c r="U5667" t="s">
        <v>6320</v>
      </c>
      <c r="V5667" t="s">
        <v>6321</v>
      </c>
      <c r="W5667" t="s">
        <v>6322</v>
      </c>
      <c r="AD5667" t="s">
        <v>410</v>
      </c>
      <c r="AE5667" t="s">
        <v>603</v>
      </c>
      <c r="AF5667" t="s">
        <v>11712</v>
      </c>
    </row>
    <row r="5668" spans="1:32" hidden="1" x14ac:dyDescent="0.35">
      <c r="A5668">
        <v>5667</v>
      </c>
      <c r="B5668" t="s">
        <v>11709</v>
      </c>
      <c r="C5668" t="s">
        <v>57</v>
      </c>
      <c r="D5668" t="s">
        <v>62</v>
      </c>
      <c r="E5668">
        <v>838</v>
      </c>
      <c r="F5668">
        <v>2</v>
      </c>
      <c r="G5668">
        <v>4</v>
      </c>
      <c r="H5668">
        <v>2</v>
      </c>
      <c r="I5668">
        <v>0</v>
      </c>
      <c r="J5668">
        <v>0.81619385342789597</v>
      </c>
      <c r="K5668">
        <v>0.93570269769166203</v>
      </c>
      <c r="L5668">
        <v>0.87187201778984003</v>
      </c>
      <c r="M5668">
        <v>0.58385093167701896</v>
      </c>
      <c r="N5668">
        <v>0.99130434782608701</v>
      </c>
      <c r="O5668">
        <v>0.71863354037267102</v>
      </c>
      <c r="P5668" t="s">
        <v>6317</v>
      </c>
      <c r="Q5668" t="s">
        <v>6318</v>
      </c>
      <c r="R5668" t="s">
        <v>288</v>
      </c>
      <c r="S5668" t="s">
        <v>289</v>
      </c>
      <c r="T5668" t="s">
        <v>6319</v>
      </c>
      <c r="U5668" t="s">
        <v>6320</v>
      </c>
      <c r="V5668" t="s">
        <v>6321</v>
      </c>
      <c r="W5668" t="s">
        <v>6322</v>
      </c>
      <c r="AD5668" t="s">
        <v>410</v>
      </c>
      <c r="AE5668" t="s">
        <v>603</v>
      </c>
      <c r="AF5668" t="s">
        <v>11713</v>
      </c>
    </row>
    <row r="5669" spans="1:32" hidden="1" x14ac:dyDescent="0.35">
      <c r="A5669">
        <v>5668</v>
      </c>
      <c r="B5669" t="s">
        <v>11714</v>
      </c>
      <c r="C5669" t="s">
        <v>57</v>
      </c>
      <c r="D5669" t="s">
        <v>60</v>
      </c>
      <c r="E5669">
        <v>2481</v>
      </c>
      <c r="F5669">
        <v>4</v>
      </c>
      <c r="G5669">
        <v>4</v>
      </c>
      <c r="H5669">
        <v>1</v>
      </c>
      <c r="I5669">
        <v>0</v>
      </c>
      <c r="J5669">
        <v>0.80487989694627604</v>
      </c>
      <c r="K5669">
        <v>0.95819382583319901</v>
      </c>
      <c r="L5669">
        <v>0.87487090054900496</v>
      </c>
      <c r="M5669">
        <v>0.59921671018276801</v>
      </c>
      <c r="N5669">
        <v>0.986945169712794</v>
      </c>
      <c r="O5669">
        <v>0.72976501305482999</v>
      </c>
      <c r="P5669" t="s">
        <v>11715</v>
      </c>
      <c r="Q5669" t="s">
        <v>11716</v>
      </c>
      <c r="R5669" t="s">
        <v>342</v>
      </c>
      <c r="S5669" t="s">
        <v>343</v>
      </c>
      <c r="T5669" t="s">
        <v>11717</v>
      </c>
      <c r="U5669" t="s">
        <v>11718</v>
      </c>
      <c r="V5669" t="s">
        <v>11719</v>
      </c>
      <c r="W5669" t="s">
        <v>11720</v>
      </c>
      <c r="AD5669" t="s">
        <v>219</v>
      </c>
      <c r="AE5669" t="s">
        <v>11721</v>
      </c>
      <c r="AF5669" t="s">
        <v>11722</v>
      </c>
    </row>
    <row r="5670" spans="1:32" hidden="1" x14ac:dyDescent="0.35">
      <c r="A5670">
        <v>5669</v>
      </c>
      <c r="B5670" t="s">
        <v>11714</v>
      </c>
      <c r="C5670" t="s">
        <v>57</v>
      </c>
      <c r="D5670" t="s">
        <v>62</v>
      </c>
      <c r="E5670">
        <v>8</v>
      </c>
      <c r="F5670">
        <v>4</v>
      </c>
      <c r="G5670">
        <v>4</v>
      </c>
      <c r="H5670">
        <v>1</v>
      </c>
      <c r="I5670">
        <v>0</v>
      </c>
      <c r="J5670">
        <v>0.80487989694627604</v>
      </c>
      <c r="K5670">
        <v>0.95819382583319901</v>
      </c>
      <c r="L5670">
        <v>0.87487090054900496</v>
      </c>
      <c r="M5670">
        <v>0.59921671018276801</v>
      </c>
      <c r="N5670">
        <v>0.986945169712794</v>
      </c>
      <c r="O5670">
        <v>0.72976501305482999</v>
      </c>
      <c r="P5670" t="s">
        <v>11715</v>
      </c>
      <c r="Q5670" t="s">
        <v>11716</v>
      </c>
      <c r="R5670" t="s">
        <v>342</v>
      </c>
      <c r="S5670" t="s">
        <v>343</v>
      </c>
      <c r="T5670" t="s">
        <v>11717</v>
      </c>
      <c r="U5670" t="s">
        <v>11718</v>
      </c>
      <c r="V5670" t="s">
        <v>11719</v>
      </c>
      <c r="W5670" t="s">
        <v>11720</v>
      </c>
      <c r="AD5670" t="s">
        <v>219</v>
      </c>
      <c r="AE5670" t="s">
        <v>11721</v>
      </c>
      <c r="AF5670" t="s">
        <v>11723</v>
      </c>
    </row>
    <row r="5671" spans="1:32" hidden="1" x14ac:dyDescent="0.35">
      <c r="A5671">
        <v>5670</v>
      </c>
      <c r="B5671" t="s">
        <v>11714</v>
      </c>
      <c r="C5671" t="s">
        <v>57</v>
      </c>
      <c r="D5671" t="s">
        <v>34</v>
      </c>
      <c r="E5671">
        <v>1194</v>
      </c>
      <c r="F5671">
        <v>4</v>
      </c>
      <c r="G5671">
        <v>4</v>
      </c>
      <c r="H5671">
        <v>1</v>
      </c>
      <c r="I5671">
        <v>0</v>
      </c>
      <c r="J5671">
        <v>0.80487989694627604</v>
      </c>
      <c r="K5671">
        <v>0.95819382583319901</v>
      </c>
      <c r="L5671">
        <v>0.87487090054900496</v>
      </c>
      <c r="M5671">
        <v>0.59921671018276801</v>
      </c>
      <c r="N5671">
        <v>0.986945169712794</v>
      </c>
      <c r="O5671">
        <v>0.72976501305482999</v>
      </c>
      <c r="P5671" t="s">
        <v>11715</v>
      </c>
      <c r="Q5671" t="s">
        <v>11716</v>
      </c>
      <c r="R5671" t="s">
        <v>342</v>
      </c>
      <c r="S5671" t="s">
        <v>343</v>
      </c>
      <c r="T5671" t="s">
        <v>11717</v>
      </c>
      <c r="U5671" t="s">
        <v>11718</v>
      </c>
      <c r="V5671" t="s">
        <v>11719</v>
      </c>
      <c r="W5671" t="s">
        <v>11720</v>
      </c>
      <c r="AD5671" t="s">
        <v>219</v>
      </c>
      <c r="AE5671" t="s">
        <v>11721</v>
      </c>
      <c r="AF5671" t="s">
        <v>11724</v>
      </c>
    </row>
    <row r="5672" spans="1:32" hidden="1" x14ac:dyDescent="0.35">
      <c r="A5672">
        <v>5671</v>
      </c>
      <c r="B5672" t="s">
        <v>11714</v>
      </c>
      <c r="C5672" t="s">
        <v>57</v>
      </c>
      <c r="D5672" t="s">
        <v>45</v>
      </c>
      <c r="E5672">
        <v>2437</v>
      </c>
      <c r="F5672">
        <v>4</v>
      </c>
      <c r="G5672">
        <v>4</v>
      </c>
      <c r="H5672">
        <v>1</v>
      </c>
      <c r="I5672">
        <v>0</v>
      </c>
      <c r="J5672">
        <v>0.80487989694627604</v>
      </c>
      <c r="K5672">
        <v>0.95819382583319901</v>
      </c>
      <c r="L5672">
        <v>0.87487090054900496</v>
      </c>
      <c r="M5672">
        <v>0.59921671018276801</v>
      </c>
      <c r="N5672">
        <v>0.986945169712794</v>
      </c>
      <c r="O5672">
        <v>0.72976501305482999</v>
      </c>
      <c r="P5672" t="s">
        <v>11715</v>
      </c>
      <c r="Q5672" t="s">
        <v>11716</v>
      </c>
      <c r="R5672" t="s">
        <v>342</v>
      </c>
      <c r="S5672" t="s">
        <v>343</v>
      </c>
      <c r="T5672" t="s">
        <v>11717</v>
      </c>
      <c r="U5672" t="s">
        <v>11718</v>
      </c>
      <c r="V5672" t="s">
        <v>11719</v>
      </c>
      <c r="W5672" t="s">
        <v>11720</v>
      </c>
      <c r="AD5672" t="s">
        <v>219</v>
      </c>
      <c r="AE5672" t="s">
        <v>11721</v>
      </c>
      <c r="AF5672" t="s">
        <v>11725</v>
      </c>
    </row>
    <row r="5673" spans="1:32" hidden="1" x14ac:dyDescent="0.35">
      <c r="A5673">
        <v>5672</v>
      </c>
      <c r="B5673" t="s">
        <v>11726</v>
      </c>
      <c r="C5673" t="s">
        <v>57</v>
      </c>
      <c r="D5673" t="s">
        <v>60</v>
      </c>
      <c r="E5673">
        <v>109</v>
      </c>
      <c r="F5673">
        <v>4</v>
      </c>
      <c r="G5673">
        <v>4</v>
      </c>
      <c r="H5673">
        <v>1</v>
      </c>
      <c r="I5673">
        <v>0</v>
      </c>
      <c r="J5673">
        <v>0.78112244897959204</v>
      </c>
      <c r="K5673">
        <v>0.84455067043228305</v>
      </c>
      <c r="L5673">
        <v>0.81159918325288205</v>
      </c>
      <c r="M5673">
        <v>0.463476070528967</v>
      </c>
      <c r="N5673">
        <v>0.99244332493702803</v>
      </c>
      <c r="O5673">
        <v>0.63979848866498701</v>
      </c>
      <c r="P5673" t="s">
        <v>6773</v>
      </c>
      <c r="Q5673" t="s">
        <v>6774</v>
      </c>
      <c r="R5673" t="s">
        <v>342</v>
      </c>
      <c r="S5673" t="s">
        <v>343</v>
      </c>
      <c r="T5673" t="s">
        <v>11727</v>
      </c>
      <c r="U5673" t="s">
        <v>11728</v>
      </c>
      <c r="V5673" t="s">
        <v>6777</v>
      </c>
      <c r="W5673" t="s">
        <v>6778</v>
      </c>
      <c r="AD5673" t="s">
        <v>439</v>
      </c>
      <c r="AE5673" t="s">
        <v>11692</v>
      </c>
      <c r="AF5673" t="s">
        <v>11729</v>
      </c>
    </row>
    <row r="5674" spans="1:32" hidden="1" x14ac:dyDescent="0.35">
      <c r="A5674">
        <v>5673</v>
      </c>
      <c r="B5674" t="s">
        <v>11726</v>
      </c>
      <c r="C5674" t="s">
        <v>57</v>
      </c>
      <c r="D5674" t="s">
        <v>62</v>
      </c>
      <c r="E5674">
        <v>181</v>
      </c>
      <c r="F5674">
        <v>4</v>
      </c>
      <c r="G5674">
        <v>4</v>
      </c>
      <c r="H5674">
        <v>1</v>
      </c>
      <c r="I5674">
        <v>0</v>
      </c>
      <c r="J5674">
        <v>0.78112244897959204</v>
      </c>
      <c r="K5674">
        <v>0.84455067043228305</v>
      </c>
      <c r="L5674">
        <v>0.81159918325288205</v>
      </c>
      <c r="M5674">
        <v>0.463476070528967</v>
      </c>
      <c r="N5674">
        <v>0.99244332493702803</v>
      </c>
      <c r="O5674">
        <v>0.63979848866498701</v>
      </c>
      <c r="P5674" t="s">
        <v>6773</v>
      </c>
      <c r="Q5674" t="s">
        <v>6774</v>
      </c>
      <c r="R5674" t="s">
        <v>342</v>
      </c>
      <c r="S5674" t="s">
        <v>343</v>
      </c>
      <c r="T5674" t="s">
        <v>11727</v>
      </c>
      <c r="U5674" t="s">
        <v>11728</v>
      </c>
      <c r="V5674" t="s">
        <v>6777</v>
      </c>
      <c r="W5674" t="s">
        <v>6778</v>
      </c>
      <c r="AD5674" t="s">
        <v>439</v>
      </c>
      <c r="AE5674" t="s">
        <v>11692</v>
      </c>
      <c r="AF5674" t="s">
        <v>11730</v>
      </c>
    </row>
    <row r="5675" spans="1:32" hidden="1" x14ac:dyDescent="0.35">
      <c r="A5675">
        <v>5674</v>
      </c>
      <c r="B5675" t="s">
        <v>11726</v>
      </c>
      <c r="C5675" t="s">
        <v>57</v>
      </c>
      <c r="D5675" t="s">
        <v>34</v>
      </c>
      <c r="E5675">
        <v>959</v>
      </c>
      <c r="F5675">
        <v>4</v>
      </c>
      <c r="G5675">
        <v>4</v>
      </c>
      <c r="H5675">
        <v>1</v>
      </c>
      <c r="I5675">
        <v>0</v>
      </c>
      <c r="J5675">
        <v>0.78112244897959204</v>
      </c>
      <c r="K5675">
        <v>0.84455067043228305</v>
      </c>
      <c r="L5675">
        <v>0.81159918325288205</v>
      </c>
      <c r="M5675">
        <v>0.463476070528967</v>
      </c>
      <c r="N5675">
        <v>0.99244332493702803</v>
      </c>
      <c r="O5675">
        <v>0.63979848866498701</v>
      </c>
      <c r="P5675" t="s">
        <v>6773</v>
      </c>
      <c r="Q5675" t="s">
        <v>6774</v>
      </c>
      <c r="R5675" t="s">
        <v>342</v>
      </c>
      <c r="S5675" t="s">
        <v>343</v>
      </c>
      <c r="T5675" t="s">
        <v>11727</v>
      </c>
      <c r="U5675" t="s">
        <v>11728</v>
      </c>
      <c r="V5675" t="s">
        <v>6777</v>
      </c>
      <c r="W5675" t="s">
        <v>6778</v>
      </c>
      <c r="AD5675" t="s">
        <v>439</v>
      </c>
      <c r="AE5675" t="s">
        <v>11692</v>
      </c>
      <c r="AF5675" t="s">
        <v>11731</v>
      </c>
    </row>
    <row r="5676" spans="1:32" hidden="1" x14ac:dyDescent="0.35">
      <c r="A5676">
        <v>5675</v>
      </c>
      <c r="B5676" t="s">
        <v>11726</v>
      </c>
      <c r="C5676" t="s">
        <v>57</v>
      </c>
      <c r="D5676" t="s">
        <v>45</v>
      </c>
      <c r="E5676">
        <v>2216</v>
      </c>
      <c r="F5676">
        <v>4</v>
      </c>
      <c r="G5676">
        <v>4</v>
      </c>
      <c r="H5676">
        <v>1</v>
      </c>
      <c r="I5676">
        <v>0</v>
      </c>
      <c r="J5676">
        <v>0.78112244897959204</v>
      </c>
      <c r="K5676">
        <v>0.84455067043228305</v>
      </c>
      <c r="L5676">
        <v>0.81159918325288205</v>
      </c>
      <c r="M5676">
        <v>0.463476070528967</v>
      </c>
      <c r="N5676">
        <v>0.99244332493702803</v>
      </c>
      <c r="O5676">
        <v>0.63979848866498701</v>
      </c>
      <c r="P5676" t="s">
        <v>6773</v>
      </c>
      <c r="Q5676" t="s">
        <v>6774</v>
      </c>
      <c r="R5676" t="s">
        <v>342</v>
      </c>
      <c r="S5676" t="s">
        <v>343</v>
      </c>
      <c r="T5676" t="s">
        <v>11727</v>
      </c>
      <c r="U5676" t="s">
        <v>11728</v>
      </c>
      <c r="V5676" t="s">
        <v>6777</v>
      </c>
      <c r="W5676" t="s">
        <v>6778</v>
      </c>
      <c r="AD5676" t="s">
        <v>439</v>
      </c>
      <c r="AE5676" t="s">
        <v>11692</v>
      </c>
      <c r="AF5676" t="s">
        <v>11732</v>
      </c>
    </row>
    <row r="5677" spans="1:32" hidden="1" x14ac:dyDescent="0.35">
      <c r="A5677">
        <v>5676</v>
      </c>
      <c r="B5677" t="s">
        <v>11733</v>
      </c>
      <c r="C5677" t="s">
        <v>57</v>
      </c>
      <c r="D5677" t="s">
        <v>60</v>
      </c>
      <c r="E5677">
        <v>325</v>
      </c>
      <c r="F5677">
        <v>4</v>
      </c>
      <c r="G5677">
        <v>4</v>
      </c>
      <c r="H5677">
        <v>1</v>
      </c>
      <c r="I5677">
        <v>0</v>
      </c>
      <c r="J5677">
        <v>0.76264044943820197</v>
      </c>
      <c r="K5677">
        <v>0.97308404461906595</v>
      </c>
      <c r="L5677">
        <v>0.85510489213035501</v>
      </c>
      <c r="M5677">
        <v>0.53278688524590201</v>
      </c>
      <c r="N5677">
        <v>0.99180327868852503</v>
      </c>
      <c r="O5677">
        <v>0.69262295081967196</v>
      </c>
      <c r="P5677" t="s">
        <v>11734</v>
      </c>
      <c r="Q5677" t="s">
        <v>11735</v>
      </c>
      <c r="R5677" t="s">
        <v>288</v>
      </c>
      <c r="S5677" t="s">
        <v>289</v>
      </c>
      <c r="V5677" t="s">
        <v>2735</v>
      </c>
      <c r="W5677" t="s">
        <v>2736</v>
      </c>
      <c r="AF5677" t="s">
        <v>11736</v>
      </c>
    </row>
    <row r="5678" spans="1:32" hidden="1" x14ac:dyDescent="0.35">
      <c r="A5678">
        <v>5677</v>
      </c>
      <c r="B5678" t="s">
        <v>11733</v>
      </c>
      <c r="C5678" t="s">
        <v>57</v>
      </c>
      <c r="D5678" t="s">
        <v>62</v>
      </c>
      <c r="E5678">
        <v>405</v>
      </c>
      <c r="F5678">
        <v>4</v>
      </c>
      <c r="G5678">
        <v>4</v>
      </c>
      <c r="H5678">
        <v>1</v>
      </c>
      <c r="I5678">
        <v>0</v>
      </c>
      <c r="J5678">
        <v>0.76264044943820197</v>
      </c>
      <c r="K5678">
        <v>0.97308404461906595</v>
      </c>
      <c r="L5678">
        <v>0.85510489213035501</v>
      </c>
      <c r="M5678">
        <v>0.53278688524590201</v>
      </c>
      <c r="N5678">
        <v>0.99180327868852503</v>
      </c>
      <c r="O5678">
        <v>0.69262295081967196</v>
      </c>
      <c r="P5678" t="s">
        <v>11734</v>
      </c>
      <c r="Q5678" t="s">
        <v>11735</v>
      </c>
      <c r="R5678" t="s">
        <v>652</v>
      </c>
      <c r="S5678" t="s">
        <v>653</v>
      </c>
      <c r="V5678" t="s">
        <v>11737</v>
      </c>
      <c r="W5678" t="s">
        <v>11738</v>
      </c>
      <c r="AF5678" t="s">
        <v>11739</v>
      </c>
    </row>
    <row r="5679" spans="1:32" hidden="1" x14ac:dyDescent="0.35">
      <c r="A5679">
        <v>5678</v>
      </c>
      <c r="B5679" t="s">
        <v>11733</v>
      </c>
      <c r="C5679" t="s">
        <v>57</v>
      </c>
      <c r="D5679" t="s">
        <v>34</v>
      </c>
      <c r="E5679">
        <v>441</v>
      </c>
      <c r="F5679">
        <v>4</v>
      </c>
      <c r="G5679">
        <v>4</v>
      </c>
      <c r="H5679">
        <v>1</v>
      </c>
      <c r="I5679">
        <v>0</v>
      </c>
      <c r="J5679">
        <v>0.76264044943820197</v>
      </c>
      <c r="K5679">
        <v>0.97308404461906595</v>
      </c>
      <c r="L5679">
        <v>0.85510489213035501</v>
      </c>
      <c r="M5679">
        <v>0.53278688524590201</v>
      </c>
      <c r="N5679">
        <v>0.99180327868852503</v>
      </c>
      <c r="O5679">
        <v>0.69262295081967196</v>
      </c>
      <c r="P5679" t="s">
        <v>11734</v>
      </c>
      <c r="Q5679" t="s">
        <v>11735</v>
      </c>
      <c r="R5679" t="s">
        <v>288</v>
      </c>
      <c r="S5679" t="s">
        <v>289</v>
      </c>
      <c r="V5679" t="s">
        <v>2735</v>
      </c>
      <c r="W5679" t="s">
        <v>2736</v>
      </c>
      <c r="AF5679" t="e">
        <f>---MSTVLKPEMITVDCANPRKLAQFWAKATDSAVLHDYDGSFVILDSTPRLGFQLVPDLTPGKNSIHVDFIAENREIAVADLEALGATVQSVQSLPDGEFMWTVMKDPEGNVFCVSD-QEH</f>
        <v>#NAME?</v>
      </c>
    </row>
    <row r="5680" spans="1:32" hidden="1" x14ac:dyDescent="0.35">
      <c r="A5680">
        <v>5679</v>
      </c>
      <c r="B5680" t="s">
        <v>11733</v>
      </c>
      <c r="C5680" t="s">
        <v>57</v>
      </c>
      <c r="D5680" t="s">
        <v>45</v>
      </c>
      <c r="E5680">
        <v>1704</v>
      </c>
      <c r="F5680">
        <v>4</v>
      </c>
      <c r="G5680">
        <v>4</v>
      </c>
      <c r="H5680">
        <v>1</v>
      </c>
      <c r="I5680">
        <v>0</v>
      </c>
      <c r="J5680">
        <v>0.76264044943820197</v>
      </c>
      <c r="K5680">
        <v>0.97308404461906595</v>
      </c>
      <c r="L5680">
        <v>0.85510489213035501</v>
      </c>
      <c r="M5680">
        <v>0.53278688524590201</v>
      </c>
      <c r="N5680">
        <v>0.99180327868852503</v>
      </c>
      <c r="O5680">
        <v>0.69262295081967196</v>
      </c>
      <c r="P5680" t="s">
        <v>11734</v>
      </c>
      <c r="Q5680" t="s">
        <v>11735</v>
      </c>
      <c r="R5680" t="s">
        <v>288</v>
      </c>
      <c r="S5680" t="s">
        <v>289</v>
      </c>
      <c r="V5680" t="s">
        <v>2735</v>
      </c>
      <c r="W5680" t="s">
        <v>2736</v>
      </c>
      <c r="AF5680" t="e">
        <f>---MSIVLKPEMITVDCANPRKLAQFWAKATDSAVLHDYDGSFVILDSTPRLGFQLVPDLTPGKNSIHVDFIAENREIAVADLEALGATVQSVQSLPDSEFMWTVMKDPEGNVFCVSD-QEH</f>
        <v>#NAME?</v>
      </c>
    </row>
    <row r="5681" spans="1:32" hidden="1" x14ac:dyDescent="0.35">
      <c r="A5681">
        <v>5680</v>
      </c>
      <c r="B5681" t="s">
        <v>11740</v>
      </c>
      <c r="C5681" t="s">
        <v>57</v>
      </c>
      <c r="D5681" t="s">
        <v>60</v>
      </c>
      <c r="E5681">
        <v>1893</v>
      </c>
      <c r="F5681">
        <v>4</v>
      </c>
      <c r="G5681">
        <v>4</v>
      </c>
      <c r="H5681">
        <v>1</v>
      </c>
      <c r="I5681">
        <v>0</v>
      </c>
      <c r="J5681">
        <v>0.76986792030445494</v>
      </c>
      <c r="K5681">
        <v>0.92513270080822596</v>
      </c>
      <c r="L5681">
        <v>0.840389058865748</v>
      </c>
      <c r="M5681">
        <v>0.49814126394052</v>
      </c>
      <c r="N5681">
        <v>0.99628252788104099</v>
      </c>
      <c r="O5681">
        <v>0.66666666666666696</v>
      </c>
      <c r="P5681" t="s">
        <v>11741</v>
      </c>
      <c r="Q5681" t="s">
        <v>11742</v>
      </c>
      <c r="R5681" t="s">
        <v>371</v>
      </c>
      <c r="S5681" t="s">
        <v>372</v>
      </c>
      <c r="T5681" t="s">
        <v>11743</v>
      </c>
      <c r="U5681" t="s">
        <v>11744</v>
      </c>
      <c r="V5681" t="s">
        <v>11745</v>
      </c>
      <c r="W5681" t="s">
        <v>11746</v>
      </c>
      <c r="AD5681" t="s">
        <v>3095</v>
      </c>
      <c r="AE5681" t="s">
        <v>3096</v>
      </c>
      <c r="AF5681" t="e">
        <f>----------MVVRSYDFAEADRIVVLLTRGHGLVRGVAKGVRRSKSRFGSRVQLFVELDVLLYPGRALANITAADTVSYFGAGIIEDYPRYTTACAALEAAERLAVAENGEDPFLYDALLTTLRRIQQHPDPTLVLDAFLLQAMDHAGWAPSLFNCAQCGTPGPHRAFHPEAGGAVCTECRPPGSATPPPEALRVMWWLAHNQWR---AVDAAREASISAGDGFFDDVSHH------VHQMTRAHVQWHMERKVQALDFVDGGGTIGG</f>
        <v>#NAME?</v>
      </c>
    </row>
    <row r="5682" spans="1:32" hidden="1" x14ac:dyDescent="0.35">
      <c r="A5682">
        <v>5681</v>
      </c>
      <c r="B5682" t="s">
        <v>11740</v>
      </c>
      <c r="C5682" t="s">
        <v>57</v>
      </c>
      <c r="D5682" t="s">
        <v>62</v>
      </c>
      <c r="E5682">
        <v>1933</v>
      </c>
      <c r="F5682">
        <v>4</v>
      </c>
      <c r="G5682">
        <v>4</v>
      </c>
      <c r="H5682">
        <v>1</v>
      </c>
      <c r="I5682">
        <v>0</v>
      </c>
      <c r="J5682">
        <v>0.76986792030445494</v>
      </c>
      <c r="K5682">
        <v>0.92513270080822596</v>
      </c>
      <c r="L5682">
        <v>0.840389058865748</v>
      </c>
      <c r="M5682">
        <v>0.49814126394052</v>
      </c>
      <c r="N5682">
        <v>0.99628252788104099</v>
      </c>
      <c r="O5682">
        <v>0.66666666666666696</v>
      </c>
      <c r="P5682" t="s">
        <v>11741</v>
      </c>
      <c r="Q5682" t="s">
        <v>11742</v>
      </c>
      <c r="R5682" t="s">
        <v>371</v>
      </c>
      <c r="S5682" t="s">
        <v>372</v>
      </c>
      <c r="T5682" t="s">
        <v>11743</v>
      </c>
      <c r="U5682" t="s">
        <v>11744</v>
      </c>
      <c r="V5682" t="s">
        <v>11745</v>
      </c>
      <c r="W5682" t="s">
        <v>11746</v>
      </c>
      <c r="AD5682" t="s">
        <v>3095</v>
      </c>
      <c r="AE5682" t="s">
        <v>3096</v>
      </c>
      <c r="AF5682" t="e">
        <f>----------MVVRSYDFAEADRIVVLLTRGHGLVRGVAKGVRRSKSRFGSRVQLFVELDVLLYPGRALANITAADTVSYFGADIIEDYPRYTTACAALEAAERLAVAENGEDPFLYDALLTTLRRIQQHPDPTLVLDAFLLQAMDHAGWAPSLFNCAQCGTPGPHRAFHPEAGGAVCTECRPPGSATPPPEALRVMWWLAHNQWR---AVDAAREASISAGDGFFDDVSHH------VHQMTRAHVQWHMERKVQALDFVDGGGTIGG</f>
        <v>#NAME?</v>
      </c>
    </row>
    <row r="5683" spans="1:32" hidden="1" x14ac:dyDescent="0.35">
      <c r="A5683">
        <v>5682</v>
      </c>
      <c r="B5683" t="s">
        <v>11740</v>
      </c>
      <c r="C5683" t="s">
        <v>57</v>
      </c>
      <c r="D5683" t="s">
        <v>34</v>
      </c>
      <c r="E5683">
        <v>2244</v>
      </c>
      <c r="F5683">
        <v>4</v>
      </c>
      <c r="G5683">
        <v>4</v>
      </c>
      <c r="H5683">
        <v>1</v>
      </c>
      <c r="I5683">
        <v>0</v>
      </c>
      <c r="J5683">
        <v>0.76986792030445494</v>
      </c>
      <c r="K5683">
        <v>0.92513270080822596</v>
      </c>
      <c r="L5683">
        <v>0.840389058865748</v>
      </c>
      <c r="M5683">
        <v>0.49814126394052</v>
      </c>
      <c r="N5683">
        <v>0.99628252788104099</v>
      </c>
      <c r="O5683">
        <v>0.66666666666666696</v>
      </c>
      <c r="P5683" t="s">
        <v>11747</v>
      </c>
      <c r="Q5683" t="s">
        <v>11748</v>
      </c>
      <c r="R5683" t="s">
        <v>371</v>
      </c>
      <c r="S5683" t="s">
        <v>372</v>
      </c>
      <c r="T5683" t="s">
        <v>11743</v>
      </c>
      <c r="U5683" t="s">
        <v>11744</v>
      </c>
      <c r="V5683" t="s">
        <v>11745</v>
      </c>
      <c r="W5683" t="s">
        <v>11746</v>
      </c>
      <c r="AD5683" t="s">
        <v>3095</v>
      </c>
      <c r="AE5683" t="s">
        <v>3096</v>
      </c>
      <c r="AF5683" t="s">
        <v>11749</v>
      </c>
    </row>
    <row r="5684" spans="1:32" hidden="1" x14ac:dyDescent="0.35">
      <c r="A5684">
        <v>5683</v>
      </c>
      <c r="B5684" t="s">
        <v>11740</v>
      </c>
      <c r="C5684" t="s">
        <v>57</v>
      </c>
      <c r="D5684" t="s">
        <v>45</v>
      </c>
      <c r="E5684">
        <v>633</v>
      </c>
      <c r="F5684">
        <v>4</v>
      </c>
      <c r="G5684">
        <v>4</v>
      </c>
      <c r="H5684">
        <v>1</v>
      </c>
      <c r="I5684">
        <v>0</v>
      </c>
      <c r="J5684">
        <v>0.76986792030445494</v>
      </c>
      <c r="K5684">
        <v>0.92513270080822596</v>
      </c>
      <c r="L5684">
        <v>0.840389058865748</v>
      </c>
      <c r="M5684">
        <v>0.49814126394052</v>
      </c>
      <c r="N5684">
        <v>0.99628252788104099</v>
      </c>
      <c r="O5684">
        <v>0.66666666666666696</v>
      </c>
      <c r="P5684" t="s">
        <v>11747</v>
      </c>
      <c r="Q5684" t="s">
        <v>11748</v>
      </c>
      <c r="R5684" t="s">
        <v>371</v>
      </c>
      <c r="S5684" t="s">
        <v>372</v>
      </c>
      <c r="T5684" t="s">
        <v>11743</v>
      </c>
      <c r="U5684" t="s">
        <v>11744</v>
      </c>
      <c r="V5684" t="s">
        <v>11745</v>
      </c>
      <c r="W5684" t="s">
        <v>11746</v>
      </c>
      <c r="AD5684" t="s">
        <v>3095</v>
      </c>
      <c r="AE5684" t="s">
        <v>3096</v>
      </c>
      <c r="AF5684" t="s">
        <v>11750</v>
      </c>
    </row>
    <row r="5685" spans="1:32" hidden="1" x14ac:dyDescent="0.35">
      <c r="A5685">
        <v>5684</v>
      </c>
      <c r="B5685" t="s">
        <v>11751</v>
      </c>
      <c r="C5685" t="s">
        <v>57</v>
      </c>
      <c r="D5685" t="s">
        <v>60</v>
      </c>
      <c r="E5685">
        <v>1243</v>
      </c>
      <c r="F5685">
        <v>4</v>
      </c>
      <c r="G5685">
        <v>4</v>
      </c>
      <c r="H5685">
        <v>1</v>
      </c>
      <c r="I5685">
        <v>0</v>
      </c>
      <c r="J5685">
        <v>0.76595254549642899</v>
      </c>
      <c r="K5685">
        <v>0.96913190395992399</v>
      </c>
      <c r="L5685">
        <v>0.85564601652961503</v>
      </c>
      <c r="M5685">
        <v>0.53815261044176699</v>
      </c>
      <c r="N5685">
        <v>0.99196787148594401</v>
      </c>
      <c r="O5685">
        <v>0.69076305220883505</v>
      </c>
      <c r="P5685" t="s">
        <v>3484</v>
      </c>
      <c r="Q5685" t="s">
        <v>3485</v>
      </c>
      <c r="R5685" t="s">
        <v>213</v>
      </c>
      <c r="S5685" t="s">
        <v>214</v>
      </c>
      <c r="T5685" t="s">
        <v>8408</v>
      </c>
      <c r="U5685" t="s">
        <v>8409</v>
      </c>
      <c r="V5685" t="s">
        <v>11752</v>
      </c>
      <c r="W5685" t="s">
        <v>11753</v>
      </c>
      <c r="X5685" t="s">
        <v>11752</v>
      </c>
      <c r="Y5685" t="s">
        <v>710</v>
      </c>
      <c r="Z5685" t="s">
        <v>5732</v>
      </c>
      <c r="AA5685" t="s">
        <v>5733</v>
      </c>
      <c r="AB5685" t="s">
        <v>5732</v>
      </c>
      <c r="AC5685" t="s">
        <v>713</v>
      </c>
      <c r="AD5685" t="s">
        <v>3948</v>
      </c>
      <c r="AE5685" t="s">
        <v>8410</v>
      </c>
      <c r="AF5685" t="s">
        <v>11754</v>
      </c>
    </row>
    <row r="5686" spans="1:32" hidden="1" x14ac:dyDescent="0.35">
      <c r="A5686">
        <v>5685</v>
      </c>
      <c r="B5686" t="s">
        <v>11751</v>
      </c>
      <c r="C5686" t="s">
        <v>57</v>
      </c>
      <c r="D5686" t="s">
        <v>62</v>
      </c>
      <c r="E5686">
        <v>1280</v>
      </c>
      <c r="F5686">
        <v>4</v>
      </c>
      <c r="G5686">
        <v>4</v>
      </c>
      <c r="H5686">
        <v>1</v>
      </c>
      <c r="I5686">
        <v>0</v>
      </c>
      <c r="J5686">
        <v>0.76595254549642899</v>
      </c>
      <c r="K5686">
        <v>0.96913190395992399</v>
      </c>
      <c r="L5686">
        <v>0.85564601652961503</v>
      </c>
      <c r="M5686">
        <v>0.53815261044176699</v>
      </c>
      <c r="N5686">
        <v>0.99196787148594401</v>
      </c>
      <c r="O5686">
        <v>0.69076305220883505</v>
      </c>
      <c r="P5686" t="s">
        <v>3484</v>
      </c>
      <c r="Q5686" t="s">
        <v>3485</v>
      </c>
      <c r="R5686" t="s">
        <v>213</v>
      </c>
      <c r="S5686" t="s">
        <v>214</v>
      </c>
      <c r="T5686" t="s">
        <v>8408</v>
      </c>
      <c r="U5686" t="s">
        <v>8409</v>
      </c>
      <c r="V5686" t="s">
        <v>11752</v>
      </c>
      <c r="W5686" t="s">
        <v>11753</v>
      </c>
      <c r="X5686" t="s">
        <v>11752</v>
      </c>
      <c r="Y5686" t="s">
        <v>710</v>
      </c>
      <c r="Z5686" t="s">
        <v>5732</v>
      </c>
      <c r="AA5686" t="s">
        <v>5733</v>
      </c>
      <c r="AB5686" t="s">
        <v>5732</v>
      </c>
      <c r="AC5686" t="s">
        <v>713</v>
      </c>
      <c r="AD5686" t="s">
        <v>3948</v>
      </c>
      <c r="AE5686" t="s">
        <v>8410</v>
      </c>
      <c r="AF5686" t="e">
        <f>--MPTPQLPFLLLSTRPEREAVTAEYHSFRTIMDLSPEELVQIRVNETSLPDIDFSDYSGVILGGGPFNASDEDKSDNQRRVESELIALIRRIIDQDFPLFATCYGIGLVALALDAPLSRTYNETPSCITVFVTDEAKDDPLFAGMPDSFSTLVGHVEAADAVPDGAVHLVRGQACPIQMYRLNNNVYVTQFHPELEPETFAQRLRIYRDNGYYDPSEYHRIADEAFRADLTVDNLLLQNFRSRYQRAS</f>
        <v>#NAME?</v>
      </c>
    </row>
    <row r="5687" spans="1:32" hidden="1" x14ac:dyDescent="0.35">
      <c r="A5687">
        <v>5686</v>
      </c>
      <c r="B5687" t="s">
        <v>11751</v>
      </c>
      <c r="C5687" t="s">
        <v>57</v>
      </c>
      <c r="D5687" t="s">
        <v>34</v>
      </c>
      <c r="E5687">
        <v>1759</v>
      </c>
      <c r="F5687">
        <v>4</v>
      </c>
      <c r="G5687">
        <v>4</v>
      </c>
      <c r="H5687">
        <v>1</v>
      </c>
      <c r="I5687">
        <v>0</v>
      </c>
      <c r="J5687">
        <v>0.76595254549642899</v>
      </c>
      <c r="K5687">
        <v>0.96913190395992399</v>
      </c>
      <c r="L5687">
        <v>0.85564601652961503</v>
      </c>
      <c r="M5687">
        <v>0.53815261044176699</v>
      </c>
      <c r="N5687">
        <v>0.99196787148594401</v>
      </c>
      <c r="O5687">
        <v>0.69076305220883505</v>
      </c>
      <c r="P5687" t="s">
        <v>3484</v>
      </c>
      <c r="Q5687" t="s">
        <v>3485</v>
      </c>
      <c r="R5687" t="s">
        <v>213</v>
      </c>
      <c r="S5687" t="s">
        <v>214</v>
      </c>
      <c r="T5687" t="s">
        <v>8408</v>
      </c>
      <c r="U5687" t="s">
        <v>8409</v>
      </c>
      <c r="V5687" t="s">
        <v>11752</v>
      </c>
      <c r="W5687" t="s">
        <v>11753</v>
      </c>
      <c r="X5687" t="s">
        <v>11752</v>
      </c>
      <c r="Y5687" t="s">
        <v>710</v>
      </c>
      <c r="Z5687" t="s">
        <v>5732</v>
      </c>
      <c r="AA5687" t="s">
        <v>5733</v>
      </c>
      <c r="AB5687" t="s">
        <v>5732</v>
      </c>
      <c r="AC5687" t="s">
        <v>713</v>
      </c>
      <c r="AD5687" t="s">
        <v>3948</v>
      </c>
      <c r="AE5687" t="s">
        <v>8410</v>
      </c>
      <c r="AF5687" t="s">
        <v>11755</v>
      </c>
    </row>
    <row r="5688" spans="1:32" hidden="1" x14ac:dyDescent="0.35">
      <c r="A5688">
        <v>5687</v>
      </c>
      <c r="B5688" t="s">
        <v>11751</v>
      </c>
      <c r="C5688" t="s">
        <v>57</v>
      </c>
      <c r="D5688" t="s">
        <v>45</v>
      </c>
      <c r="E5688">
        <v>1114</v>
      </c>
      <c r="F5688">
        <v>4</v>
      </c>
      <c r="G5688">
        <v>4</v>
      </c>
      <c r="H5688">
        <v>1</v>
      </c>
      <c r="I5688">
        <v>0</v>
      </c>
      <c r="J5688">
        <v>0.76595254549642899</v>
      </c>
      <c r="K5688">
        <v>0.96913190395992399</v>
      </c>
      <c r="L5688">
        <v>0.85564601652961503</v>
      </c>
      <c r="M5688">
        <v>0.53815261044176699</v>
      </c>
      <c r="N5688">
        <v>0.99196787148594401</v>
      </c>
      <c r="O5688">
        <v>0.69076305220883505</v>
      </c>
      <c r="P5688" t="s">
        <v>3484</v>
      </c>
      <c r="Q5688" t="s">
        <v>3485</v>
      </c>
      <c r="R5688" t="s">
        <v>213</v>
      </c>
      <c r="S5688" t="s">
        <v>214</v>
      </c>
      <c r="T5688" t="s">
        <v>8408</v>
      </c>
      <c r="U5688" t="s">
        <v>8409</v>
      </c>
      <c r="V5688" t="s">
        <v>11752</v>
      </c>
      <c r="W5688" t="s">
        <v>11753</v>
      </c>
      <c r="X5688" t="s">
        <v>11752</v>
      </c>
      <c r="Y5688" t="s">
        <v>710</v>
      </c>
      <c r="Z5688" t="s">
        <v>5732</v>
      </c>
      <c r="AA5688" t="s">
        <v>5733</v>
      </c>
      <c r="AB5688" t="s">
        <v>5732</v>
      </c>
      <c r="AC5688" t="s">
        <v>713</v>
      </c>
      <c r="AD5688" t="s">
        <v>3948</v>
      </c>
      <c r="AE5688" t="s">
        <v>8410</v>
      </c>
      <c r="AF5688" t="s">
        <v>11756</v>
      </c>
    </row>
    <row r="5689" spans="1:32" hidden="1" x14ac:dyDescent="0.35">
      <c r="A5689">
        <v>944</v>
      </c>
      <c r="B5689" t="s">
        <v>1958</v>
      </c>
      <c r="C5689" t="s">
        <v>72</v>
      </c>
      <c r="D5689" t="s">
        <v>58</v>
      </c>
      <c r="E5689">
        <v>29</v>
      </c>
      <c r="F5689">
        <v>5</v>
      </c>
      <c r="G5689">
        <v>5</v>
      </c>
      <c r="H5689">
        <v>1</v>
      </c>
      <c r="I5689">
        <v>1</v>
      </c>
      <c r="J5689">
        <v>0.81527018822100805</v>
      </c>
      <c r="K5689">
        <v>0.94990135854066504</v>
      </c>
      <c r="L5689">
        <v>0.877451555107578</v>
      </c>
      <c r="M5689">
        <v>0.58747300215982701</v>
      </c>
      <c r="N5689">
        <v>1</v>
      </c>
      <c r="O5689">
        <v>0.72051835853131796</v>
      </c>
      <c r="P5689" t="s">
        <v>1959</v>
      </c>
      <c r="Q5689" t="s">
        <v>1960</v>
      </c>
      <c r="R5689" t="s">
        <v>1474</v>
      </c>
      <c r="S5689" t="s">
        <v>1475</v>
      </c>
      <c r="V5689" t="s">
        <v>1961</v>
      </c>
      <c r="W5689" t="s">
        <v>1962</v>
      </c>
      <c r="AF5689" t="s">
        <v>1963</v>
      </c>
    </row>
    <row r="5690" spans="1:32" hidden="1" x14ac:dyDescent="0.35">
      <c r="A5690">
        <v>5689</v>
      </c>
      <c r="B5690" t="s">
        <v>11757</v>
      </c>
      <c r="C5690" t="s">
        <v>57</v>
      </c>
      <c r="D5690" t="s">
        <v>34</v>
      </c>
      <c r="E5690">
        <v>1896</v>
      </c>
      <c r="F5690">
        <v>3</v>
      </c>
      <c r="G5690">
        <v>4</v>
      </c>
      <c r="H5690">
        <v>2</v>
      </c>
      <c r="I5690">
        <v>0</v>
      </c>
      <c r="J5690">
        <v>0.83463287849252799</v>
      </c>
      <c r="K5690">
        <v>0.63055754526827501</v>
      </c>
      <c r="L5690">
        <v>0.718383154199977</v>
      </c>
      <c r="M5690">
        <v>0.10662824207492801</v>
      </c>
      <c r="N5690">
        <v>0.68299711815562003</v>
      </c>
      <c r="O5690">
        <v>0.41306436119116202</v>
      </c>
      <c r="P5690" t="s">
        <v>416</v>
      </c>
      <c r="Q5690" t="s">
        <v>417</v>
      </c>
      <c r="R5690" t="s">
        <v>157</v>
      </c>
      <c r="S5690" t="s">
        <v>158</v>
      </c>
      <c r="T5690" t="s">
        <v>10495</v>
      </c>
      <c r="U5690" t="s">
        <v>10496</v>
      </c>
      <c r="V5690" t="s">
        <v>10497</v>
      </c>
      <c r="W5690" t="s">
        <v>10498</v>
      </c>
      <c r="Z5690" t="s">
        <v>10499</v>
      </c>
      <c r="AA5690" t="s">
        <v>10500</v>
      </c>
      <c r="AB5690" t="s">
        <v>10499</v>
      </c>
      <c r="AC5690" t="s">
        <v>4023</v>
      </c>
      <c r="AD5690" t="s">
        <v>951</v>
      </c>
      <c r="AE5690" t="s">
        <v>10501</v>
      </c>
      <c r="AF5690" t="e">
        <f>------------------------------------------------------------------------------------------------------------------MRAHGVTNLVFSSTAATYGEPDRVPITEDMPTAPTNPYGASKLAIDYAITSYAHAHGLGATSLRYFNVAGA-----YGSVGENREVETHLIPLVLQVALGHRDEIFIFGDDYPTKDGTCIRDYIHIKDLADAHVLALESNTPGTHRIFNLGSGDGYSVKEVIDKCREVTGHPIPVTMAARRAGDPAVLIASSARAKAELGWRPSRTDLDTIIADAWAFTAALGDNAHSAHRKP</f>
        <v>#NAME?</v>
      </c>
    </row>
    <row r="5691" spans="1:32" hidden="1" x14ac:dyDescent="0.35">
      <c r="A5691">
        <v>5690</v>
      </c>
      <c r="B5691" t="s">
        <v>11757</v>
      </c>
      <c r="C5691" t="s">
        <v>57</v>
      </c>
      <c r="D5691" t="s">
        <v>34</v>
      </c>
      <c r="E5691">
        <v>1895</v>
      </c>
      <c r="F5691">
        <v>3</v>
      </c>
      <c r="G5691">
        <v>4</v>
      </c>
      <c r="H5691">
        <v>2</v>
      </c>
      <c r="I5691">
        <v>0</v>
      </c>
      <c r="J5691">
        <v>0.83463287849252799</v>
      </c>
      <c r="K5691">
        <v>0.63055754526827501</v>
      </c>
      <c r="L5691">
        <v>0.718383154199977</v>
      </c>
      <c r="M5691">
        <v>0.10662824207492801</v>
      </c>
      <c r="N5691">
        <v>0.68299711815562003</v>
      </c>
      <c r="O5691">
        <v>0.41306436119116202</v>
      </c>
      <c r="P5691" t="s">
        <v>416</v>
      </c>
      <c r="Q5691" t="s">
        <v>417</v>
      </c>
      <c r="R5691" t="s">
        <v>157</v>
      </c>
      <c r="S5691" t="s">
        <v>158</v>
      </c>
      <c r="V5691" t="s">
        <v>10497</v>
      </c>
      <c r="W5691" t="s">
        <v>10498</v>
      </c>
      <c r="AF5691" t="s">
        <v>11759</v>
      </c>
    </row>
    <row r="5692" spans="1:32" hidden="1" x14ac:dyDescent="0.35">
      <c r="A5692">
        <v>5691</v>
      </c>
      <c r="B5692" t="s">
        <v>11757</v>
      </c>
      <c r="C5692" t="s">
        <v>57</v>
      </c>
      <c r="D5692" t="s">
        <v>45</v>
      </c>
      <c r="E5692">
        <v>978</v>
      </c>
      <c r="F5692">
        <v>3</v>
      </c>
      <c r="G5692">
        <v>4</v>
      </c>
      <c r="H5692">
        <v>2</v>
      </c>
      <c r="I5692">
        <v>0</v>
      </c>
      <c r="J5692">
        <v>0.83463287849252799</v>
      </c>
      <c r="K5692">
        <v>0.63055754526827501</v>
      </c>
      <c r="L5692">
        <v>0.718383154199977</v>
      </c>
      <c r="M5692">
        <v>0.10662824207492801</v>
      </c>
      <c r="N5692">
        <v>0.68299711815562003</v>
      </c>
      <c r="O5692">
        <v>0.41306436119116202</v>
      </c>
      <c r="P5692" t="s">
        <v>416</v>
      </c>
      <c r="Q5692" t="s">
        <v>417</v>
      </c>
      <c r="R5692" t="s">
        <v>157</v>
      </c>
      <c r="S5692" t="s">
        <v>158</v>
      </c>
      <c r="T5692" t="s">
        <v>10495</v>
      </c>
      <c r="U5692" t="s">
        <v>10496</v>
      </c>
      <c r="V5692" t="s">
        <v>10497</v>
      </c>
      <c r="W5692" t="s">
        <v>10498</v>
      </c>
      <c r="Z5692" t="s">
        <v>10499</v>
      </c>
      <c r="AA5692" t="s">
        <v>10500</v>
      </c>
      <c r="AB5692" t="s">
        <v>10499</v>
      </c>
      <c r="AC5692" t="s">
        <v>4023</v>
      </c>
      <c r="AD5692" t="s">
        <v>951</v>
      </c>
      <c r="AE5692" t="s">
        <v>10501</v>
      </c>
      <c r="AF5692" t="s">
        <v>11760</v>
      </c>
    </row>
    <row r="5693" spans="1:32" hidden="1" x14ac:dyDescent="0.35">
      <c r="A5693">
        <v>5692</v>
      </c>
      <c r="B5693" t="s">
        <v>11761</v>
      </c>
      <c r="C5693" t="s">
        <v>57</v>
      </c>
      <c r="D5693" t="s">
        <v>60</v>
      </c>
      <c r="E5693">
        <v>2195</v>
      </c>
      <c r="F5693">
        <v>4</v>
      </c>
      <c r="G5693">
        <v>4</v>
      </c>
      <c r="H5693">
        <v>1</v>
      </c>
      <c r="I5693">
        <v>0</v>
      </c>
      <c r="J5693">
        <v>0.723205787169237</v>
      </c>
      <c r="K5693">
        <v>0.94279152312350101</v>
      </c>
      <c r="L5693">
        <v>0.81852747468986997</v>
      </c>
      <c r="M5693">
        <v>0.412903225806452</v>
      </c>
      <c r="N5693">
        <v>0.99032258064516099</v>
      </c>
      <c r="O5693">
        <v>0.61666666666666703</v>
      </c>
      <c r="P5693" t="s">
        <v>2596</v>
      </c>
      <c r="Q5693" t="s">
        <v>2597</v>
      </c>
      <c r="R5693" t="s">
        <v>1102</v>
      </c>
      <c r="S5693" t="s">
        <v>1103</v>
      </c>
      <c r="T5693" t="s">
        <v>11762</v>
      </c>
      <c r="U5693" t="s">
        <v>11763</v>
      </c>
      <c r="V5693" t="s">
        <v>2600</v>
      </c>
      <c r="W5693" t="s">
        <v>2601</v>
      </c>
      <c r="X5693" t="s">
        <v>2600</v>
      </c>
      <c r="Y5693" t="s">
        <v>1108</v>
      </c>
      <c r="AD5693" t="s">
        <v>219</v>
      </c>
      <c r="AE5693" t="s">
        <v>11764</v>
      </c>
      <c r="AF5693" t="s">
        <v>11765</v>
      </c>
    </row>
    <row r="5694" spans="1:32" hidden="1" x14ac:dyDescent="0.35">
      <c r="A5694">
        <v>5693</v>
      </c>
      <c r="B5694" t="s">
        <v>11761</v>
      </c>
      <c r="C5694" t="s">
        <v>57</v>
      </c>
      <c r="D5694" t="s">
        <v>62</v>
      </c>
      <c r="E5694">
        <v>2229</v>
      </c>
      <c r="F5694">
        <v>4</v>
      </c>
      <c r="G5694">
        <v>4</v>
      </c>
      <c r="H5694">
        <v>1</v>
      </c>
      <c r="I5694">
        <v>0</v>
      </c>
      <c r="J5694">
        <v>0.723205787169237</v>
      </c>
      <c r="K5694">
        <v>0.94279152312350101</v>
      </c>
      <c r="L5694">
        <v>0.81852747468986997</v>
      </c>
      <c r="M5694">
        <v>0.412903225806452</v>
      </c>
      <c r="N5694">
        <v>0.99032258064516099</v>
      </c>
      <c r="O5694">
        <v>0.61666666666666703</v>
      </c>
      <c r="P5694" t="s">
        <v>2596</v>
      </c>
      <c r="Q5694" t="s">
        <v>2597</v>
      </c>
      <c r="R5694" t="s">
        <v>1102</v>
      </c>
      <c r="S5694" t="s">
        <v>1103</v>
      </c>
      <c r="T5694" t="s">
        <v>11762</v>
      </c>
      <c r="U5694" t="s">
        <v>11763</v>
      </c>
      <c r="V5694" t="s">
        <v>2600</v>
      </c>
      <c r="W5694" t="s">
        <v>2601</v>
      </c>
      <c r="X5694" t="s">
        <v>2600</v>
      </c>
      <c r="Y5694" t="s">
        <v>1108</v>
      </c>
      <c r="AD5694" t="s">
        <v>219</v>
      </c>
      <c r="AE5694" t="s">
        <v>11764</v>
      </c>
      <c r="AF5694" t="s">
        <v>11766</v>
      </c>
    </row>
    <row r="5695" spans="1:32" hidden="1" x14ac:dyDescent="0.35">
      <c r="A5695">
        <v>5694</v>
      </c>
      <c r="B5695" t="s">
        <v>11761</v>
      </c>
      <c r="C5695" t="s">
        <v>57</v>
      </c>
      <c r="D5695" t="s">
        <v>34</v>
      </c>
      <c r="E5695">
        <v>1573</v>
      </c>
      <c r="F5695">
        <v>4</v>
      </c>
      <c r="G5695">
        <v>4</v>
      </c>
      <c r="H5695">
        <v>1</v>
      </c>
      <c r="I5695">
        <v>0</v>
      </c>
      <c r="J5695">
        <v>0.723205787169237</v>
      </c>
      <c r="K5695">
        <v>0.94279152312350101</v>
      </c>
      <c r="L5695">
        <v>0.81852747468986997</v>
      </c>
      <c r="M5695">
        <v>0.412903225806452</v>
      </c>
      <c r="N5695">
        <v>0.99032258064516099</v>
      </c>
      <c r="O5695">
        <v>0.61666666666666703</v>
      </c>
      <c r="P5695" t="s">
        <v>2596</v>
      </c>
      <c r="Q5695" t="s">
        <v>2597</v>
      </c>
      <c r="R5695" t="s">
        <v>1102</v>
      </c>
      <c r="S5695" t="s">
        <v>1103</v>
      </c>
      <c r="T5695" t="s">
        <v>11762</v>
      </c>
      <c r="U5695" t="s">
        <v>11763</v>
      </c>
      <c r="V5695" t="s">
        <v>2600</v>
      </c>
      <c r="W5695" t="s">
        <v>2601</v>
      </c>
      <c r="X5695" t="s">
        <v>2600</v>
      </c>
      <c r="Y5695" t="s">
        <v>1108</v>
      </c>
      <c r="AD5695" t="s">
        <v>219</v>
      </c>
      <c r="AE5695" t="s">
        <v>11764</v>
      </c>
      <c r="AF5695" t="s">
        <v>11767</v>
      </c>
    </row>
    <row r="5696" spans="1:32" hidden="1" x14ac:dyDescent="0.35">
      <c r="A5696">
        <v>5695</v>
      </c>
      <c r="B5696" t="s">
        <v>11761</v>
      </c>
      <c r="C5696" t="s">
        <v>57</v>
      </c>
      <c r="D5696" t="s">
        <v>45</v>
      </c>
      <c r="E5696">
        <v>323</v>
      </c>
      <c r="F5696">
        <v>4</v>
      </c>
      <c r="G5696">
        <v>4</v>
      </c>
      <c r="H5696">
        <v>1</v>
      </c>
      <c r="I5696">
        <v>0</v>
      </c>
      <c r="J5696">
        <v>0.723205787169237</v>
      </c>
      <c r="K5696">
        <v>0.94279152312350101</v>
      </c>
      <c r="L5696">
        <v>0.81852747468986997</v>
      </c>
      <c r="M5696">
        <v>0.412903225806452</v>
      </c>
      <c r="N5696">
        <v>0.99032258064516099</v>
      </c>
      <c r="O5696">
        <v>0.61666666666666703</v>
      </c>
      <c r="P5696" t="s">
        <v>2596</v>
      </c>
      <c r="Q5696" t="s">
        <v>2597</v>
      </c>
      <c r="R5696" t="s">
        <v>1102</v>
      </c>
      <c r="S5696" t="s">
        <v>1103</v>
      </c>
      <c r="T5696" t="s">
        <v>11762</v>
      </c>
      <c r="U5696" t="s">
        <v>11763</v>
      </c>
      <c r="V5696" t="s">
        <v>2600</v>
      </c>
      <c r="W5696" t="s">
        <v>2601</v>
      </c>
      <c r="X5696" t="s">
        <v>2600</v>
      </c>
      <c r="Y5696" t="s">
        <v>1108</v>
      </c>
      <c r="AD5696" t="s">
        <v>219</v>
      </c>
      <c r="AE5696" t="s">
        <v>11764</v>
      </c>
      <c r="AF5696" t="s">
        <v>11768</v>
      </c>
    </row>
    <row r="5697" spans="1:32" hidden="1" x14ac:dyDescent="0.35">
      <c r="A5697">
        <v>5696</v>
      </c>
      <c r="B5697" t="s">
        <v>11769</v>
      </c>
      <c r="C5697" t="s">
        <v>57</v>
      </c>
      <c r="D5697" t="s">
        <v>34</v>
      </c>
      <c r="E5697">
        <v>224</v>
      </c>
      <c r="F5697">
        <v>2</v>
      </c>
      <c r="G5697">
        <v>4</v>
      </c>
      <c r="H5697">
        <v>2</v>
      </c>
      <c r="I5697">
        <v>0</v>
      </c>
      <c r="J5697">
        <v>0.74753958065896497</v>
      </c>
      <c r="K5697">
        <v>0.88862981089871995</v>
      </c>
      <c r="L5697">
        <v>0.812001446339077</v>
      </c>
      <c r="M5697">
        <v>0.513574660633484</v>
      </c>
      <c r="N5697">
        <v>0.94117647058823495</v>
      </c>
      <c r="O5697">
        <v>0.65271493212669696</v>
      </c>
      <c r="P5697" t="s">
        <v>11770</v>
      </c>
      <c r="Q5697" t="s">
        <v>11771</v>
      </c>
      <c r="R5697" t="s">
        <v>96</v>
      </c>
      <c r="S5697" t="s">
        <v>97</v>
      </c>
      <c r="V5697" t="s">
        <v>11772</v>
      </c>
      <c r="W5697" t="s">
        <v>11773</v>
      </c>
      <c r="AF5697" t="s">
        <v>11774</v>
      </c>
    </row>
    <row r="5698" spans="1:32" hidden="1" x14ac:dyDescent="0.35">
      <c r="A5698">
        <v>5697</v>
      </c>
      <c r="B5698" t="s">
        <v>11769</v>
      </c>
      <c r="C5698" t="s">
        <v>57</v>
      </c>
      <c r="D5698" t="s">
        <v>34</v>
      </c>
      <c r="E5698">
        <v>222</v>
      </c>
      <c r="F5698">
        <v>2</v>
      </c>
      <c r="G5698">
        <v>4</v>
      </c>
      <c r="H5698">
        <v>2</v>
      </c>
      <c r="I5698">
        <v>0</v>
      </c>
      <c r="J5698">
        <v>0.74753958065896497</v>
      </c>
      <c r="K5698">
        <v>0.88862981089871995</v>
      </c>
      <c r="L5698">
        <v>0.812001446339077</v>
      </c>
      <c r="M5698">
        <v>0.513574660633484</v>
      </c>
      <c r="N5698">
        <v>0.94117647058823495</v>
      </c>
      <c r="O5698">
        <v>0.65271493212669696</v>
      </c>
      <c r="P5698" t="s">
        <v>11770</v>
      </c>
      <c r="Q5698" t="s">
        <v>11771</v>
      </c>
      <c r="R5698" t="s">
        <v>96</v>
      </c>
      <c r="S5698" t="s">
        <v>97</v>
      </c>
      <c r="V5698" t="s">
        <v>11772</v>
      </c>
      <c r="W5698" t="s">
        <v>11773</v>
      </c>
      <c r="AF5698" t="s">
        <v>11775</v>
      </c>
    </row>
    <row r="5699" spans="1:32" hidden="1" x14ac:dyDescent="0.35">
      <c r="A5699">
        <v>5698</v>
      </c>
      <c r="B5699" t="s">
        <v>11769</v>
      </c>
      <c r="C5699" t="s">
        <v>57</v>
      </c>
      <c r="D5699" t="s">
        <v>45</v>
      </c>
      <c r="E5699">
        <v>1487</v>
      </c>
      <c r="F5699">
        <v>2</v>
      </c>
      <c r="G5699">
        <v>4</v>
      </c>
      <c r="H5699">
        <v>2</v>
      </c>
      <c r="I5699">
        <v>0</v>
      </c>
      <c r="J5699">
        <v>0.74753958065896497</v>
      </c>
      <c r="K5699">
        <v>0.88862981089871995</v>
      </c>
      <c r="L5699">
        <v>0.812001446339077</v>
      </c>
      <c r="M5699">
        <v>0.513574660633484</v>
      </c>
      <c r="N5699">
        <v>0.94117647058823495</v>
      </c>
      <c r="O5699">
        <v>0.65271493212669696</v>
      </c>
      <c r="P5699" t="s">
        <v>11770</v>
      </c>
      <c r="Q5699" t="s">
        <v>11771</v>
      </c>
      <c r="R5699" t="s">
        <v>96</v>
      </c>
      <c r="S5699" t="s">
        <v>97</v>
      </c>
      <c r="V5699" t="s">
        <v>11772</v>
      </c>
      <c r="W5699" t="s">
        <v>11773</v>
      </c>
      <c r="AF5699" t="s">
        <v>11776</v>
      </c>
    </row>
    <row r="5700" spans="1:32" hidden="1" x14ac:dyDescent="0.35">
      <c r="A5700">
        <v>5699</v>
      </c>
      <c r="B5700" t="s">
        <v>11769</v>
      </c>
      <c r="C5700" t="s">
        <v>57</v>
      </c>
      <c r="D5700" t="s">
        <v>45</v>
      </c>
      <c r="E5700">
        <v>1485</v>
      </c>
      <c r="F5700">
        <v>2</v>
      </c>
      <c r="G5700">
        <v>4</v>
      </c>
      <c r="H5700">
        <v>2</v>
      </c>
      <c r="I5700">
        <v>0</v>
      </c>
      <c r="J5700">
        <v>0.74753958065896497</v>
      </c>
      <c r="K5700">
        <v>0.88862981089871995</v>
      </c>
      <c r="L5700">
        <v>0.812001446339077</v>
      </c>
      <c r="M5700">
        <v>0.513574660633484</v>
      </c>
      <c r="N5700">
        <v>0.94117647058823495</v>
      </c>
      <c r="O5700">
        <v>0.65271493212669696</v>
      </c>
      <c r="P5700" t="s">
        <v>11770</v>
      </c>
      <c r="Q5700" t="s">
        <v>11771</v>
      </c>
      <c r="R5700" t="s">
        <v>96</v>
      </c>
      <c r="S5700" t="s">
        <v>97</v>
      </c>
      <c r="V5700" t="s">
        <v>11772</v>
      </c>
      <c r="W5700" t="s">
        <v>11773</v>
      </c>
      <c r="AF5700" t="s">
        <v>11777</v>
      </c>
    </row>
    <row r="5701" spans="1:32" hidden="1" x14ac:dyDescent="0.35">
      <c r="A5701">
        <v>5700</v>
      </c>
      <c r="B5701" t="s">
        <v>11778</v>
      </c>
      <c r="C5701" t="s">
        <v>57</v>
      </c>
      <c r="D5701" t="s">
        <v>60</v>
      </c>
      <c r="E5701">
        <v>1739</v>
      </c>
      <c r="F5701">
        <v>4</v>
      </c>
      <c r="G5701">
        <v>4</v>
      </c>
      <c r="H5701">
        <v>1</v>
      </c>
      <c r="I5701">
        <v>0</v>
      </c>
      <c r="J5701">
        <v>0.86877882981306098</v>
      </c>
      <c r="K5701">
        <v>0.99278348894966195</v>
      </c>
      <c r="L5701">
        <v>0.926650984599514</v>
      </c>
      <c r="M5701">
        <v>0.73535791757049895</v>
      </c>
      <c r="N5701">
        <v>0.99783080260303703</v>
      </c>
      <c r="O5701">
        <v>0.82248734634851794</v>
      </c>
      <c r="P5701" t="s">
        <v>11779</v>
      </c>
      <c r="Q5701" t="s">
        <v>11780</v>
      </c>
      <c r="R5701" t="s">
        <v>319</v>
      </c>
      <c r="S5701" t="s">
        <v>320</v>
      </c>
      <c r="T5701" t="s">
        <v>11781</v>
      </c>
      <c r="U5701" t="s">
        <v>11782</v>
      </c>
      <c r="V5701" t="s">
        <v>11783</v>
      </c>
      <c r="W5701" t="s">
        <v>11784</v>
      </c>
      <c r="AD5701" t="s">
        <v>245</v>
      </c>
      <c r="AE5701" t="s">
        <v>11785</v>
      </c>
      <c r="AF5701" t="s">
        <v>11786</v>
      </c>
    </row>
    <row r="5702" spans="1:32" hidden="1" x14ac:dyDescent="0.35">
      <c r="A5702">
        <v>5701</v>
      </c>
      <c r="B5702" t="s">
        <v>11778</v>
      </c>
      <c r="C5702" t="s">
        <v>57</v>
      </c>
      <c r="D5702" t="s">
        <v>62</v>
      </c>
      <c r="E5702">
        <v>1775</v>
      </c>
      <c r="F5702">
        <v>4</v>
      </c>
      <c r="G5702">
        <v>4</v>
      </c>
      <c r="H5702">
        <v>1</v>
      </c>
      <c r="I5702">
        <v>0</v>
      </c>
      <c r="J5702">
        <v>0.86877882981306098</v>
      </c>
      <c r="K5702">
        <v>0.99278348894966195</v>
      </c>
      <c r="L5702">
        <v>0.926650984599514</v>
      </c>
      <c r="M5702">
        <v>0.73535791757049895</v>
      </c>
      <c r="N5702">
        <v>0.99783080260303703</v>
      </c>
      <c r="O5702">
        <v>0.82248734634851794</v>
      </c>
      <c r="P5702" t="s">
        <v>11779</v>
      </c>
      <c r="Q5702" t="s">
        <v>11780</v>
      </c>
      <c r="R5702" t="s">
        <v>319</v>
      </c>
      <c r="S5702" t="s">
        <v>320</v>
      </c>
      <c r="T5702" t="s">
        <v>11781</v>
      </c>
      <c r="U5702" t="s">
        <v>11782</v>
      </c>
      <c r="V5702" t="s">
        <v>11783</v>
      </c>
      <c r="W5702" t="s">
        <v>11784</v>
      </c>
      <c r="AD5702" t="s">
        <v>245</v>
      </c>
      <c r="AE5702" t="s">
        <v>11785</v>
      </c>
      <c r="AF5702" t="s">
        <v>11786</v>
      </c>
    </row>
    <row r="5703" spans="1:32" hidden="1" x14ac:dyDescent="0.35">
      <c r="A5703">
        <v>5702</v>
      </c>
      <c r="B5703" t="s">
        <v>11778</v>
      </c>
      <c r="C5703" t="s">
        <v>57</v>
      </c>
      <c r="D5703" t="s">
        <v>34</v>
      </c>
      <c r="E5703">
        <v>1143</v>
      </c>
      <c r="F5703">
        <v>4</v>
      </c>
      <c r="G5703">
        <v>4</v>
      </c>
      <c r="H5703">
        <v>1</v>
      </c>
      <c r="I5703">
        <v>0</v>
      </c>
      <c r="J5703">
        <v>0.86877882981306098</v>
      </c>
      <c r="K5703">
        <v>0.99278348894966195</v>
      </c>
      <c r="L5703">
        <v>0.926650984599514</v>
      </c>
      <c r="M5703">
        <v>0.73535791757049895</v>
      </c>
      <c r="N5703">
        <v>0.99783080260303703</v>
      </c>
      <c r="O5703">
        <v>0.82248734634851794</v>
      </c>
      <c r="P5703" t="s">
        <v>11779</v>
      </c>
      <c r="Q5703" t="s">
        <v>11780</v>
      </c>
      <c r="R5703" t="s">
        <v>319</v>
      </c>
      <c r="S5703" t="s">
        <v>320</v>
      </c>
      <c r="T5703" t="s">
        <v>11781</v>
      </c>
      <c r="U5703" t="s">
        <v>11782</v>
      </c>
      <c r="V5703" t="s">
        <v>11783</v>
      </c>
      <c r="W5703" t="s">
        <v>11784</v>
      </c>
      <c r="AD5703" t="s">
        <v>245</v>
      </c>
      <c r="AE5703" t="s">
        <v>11785</v>
      </c>
      <c r="AF5703" t="s">
        <v>11787</v>
      </c>
    </row>
    <row r="5704" spans="1:32" hidden="1" x14ac:dyDescent="0.35">
      <c r="A5704">
        <v>5703</v>
      </c>
      <c r="B5704" t="s">
        <v>11778</v>
      </c>
      <c r="C5704" t="s">
        <v>57</v>
      </c>
      <c r="D5704" t="s">
        <v>45</v>
      </c>
      <c r="E5704">
        <v>2388</v>
      </c>
      <c r="F5704">
        <v>4</v>
      </c>
      <c r="G5704">
        <v>4</v>
      </c>
      <c r="H5704">
        <v>1</v>
      </c>
      <c r="I5704">
        <v>0</v>
      </c>
      <c r="J5704">
        <v>0.86877882981306098</v>
      </c>
      <c r="K5704">
        <v>0.99278348894966195</v>
      </c>
      <c r="L5704">
        <v>0.926650984599514</v>
      </c>
      <c r="M5704">
        <v>0.73535791757049895</v>
      </c>
      <c r="N5704">
        <v>0.99783080260303703</v>
      </c>
      <c r="O5704">
        <v>0.82248734634851794</v>
      </c>
      <c r="P5704" t="s">
        <v>11779</v>
      </c>
      <c r="Q5704" t="s">
        <v>11780</v>
      </c>
      <c r="R5704" t="s">
        <v>319</v>
      </c>
      <c r="S5704" t="s">
        <v>320</v>
      </c>
      <c r="T5704" t="s">
        <v>11781</v>
      </c>
      <c r="U5704" t="s">
        <v>11782</v>
      </c>
      <c r="V5704" t="s">
        <v>11783</v>
      </c>
      <c r="W5704" t="s">
        <v>11784</v>
      </c>
      <c r="AD5704" t="s">
        <v>245</v>
      </c>
      <c r="AE5704" t="s">
        <v>11785</v>
      </c>
      <c r="AF5704" t="s">
        <v>11788</v>
      </c>
    </row>
    <row r="5705" spans="1:32" hidden="1" x14ac:dyDescent="0.35">
      <c r="A5705">
        <v>5704</v>
      </c>
      <c r="B5705" t="s">
        <v>11789</v>
      </c>
      <c r="C5705" t="s">
        <v>57</v>
      </c>
      <c r="D5705" t="s">
        <v>60</v>
      </c>
      <c r="E5705">
        <v>2300</v>
      </c>
      <c r="F5705">
        <v>4</v>
      </c>
      <c r="G5705">
        <v>4</v>
      </c>
      <c r="H5705">
        <v>1</v>
      </c>
      <c r="I5705">
        <v>0</v>
      </c>
      <c r="J5705">
        <v>0.79210220673635301</v>
      </c>
      <c r="K5705">
        <v>0.96694839551982403</v>
      </c>
      <c r="L5705">
        <v>0.87083561656389996</v>
      </c>
      <c r="M5705">
        <v>0.56565656565656597</v>
      </c>
      <c r="N5705">
        <v>0.98989898989898994</v>
      </c>
      <c r="O5705">
        <v>0.713804713804714</v>
      </c>
      <c r="P5705" t="s">
        <v>1363</v>
      </c>
      <c r="Q5705" t="s">
        <v>1364</v>
      </c>
      <c r="R5705" t="s">
        <v>342</v>
      </c>
      <c r="S5705" t="s">
        <v>343</v>
      </c>
      <c r="T5705" t="s">
        <v>11790</v>
      </c>
      <c r="U5705" t="s">
        <v>11791</v>
      </c>
      <c r="V5705" t="s">
        <v>11792</v>
      </c>
      <c r="W5705" t="s">
        <v>11793</v>
      </c>
      <c r="X5705" t="s">
        <v>11792</v>
      </c>
      <c r="Y5705" t="s">
        <v>4474</v>
      </c>
      <c r="AD5705" t="s">
        <v>410</v>
      </c>
      <c r="AE5705" t="s">
        <v>1840</v>
      </c>
      <c r="AF5705" t="s">
        <v>11794</v>
      </c>
    </row>
    <row r="5706" spans="1:32" hidden="1" x14ac:dyDescent="0.35">
      <c r="A5706">
        <v>5705</v>
      </c>
      <c r="B5706" t="s">
        <v>11789</v>
      </c>
      <c r="C5706" t="s">
        <v>57</v>
      </c>
      <c r="D5706" t="s">
        <v>62</v>
      </c>
      <c r="E5706">
        <v>2329</v>
      </c>
      <c r="F5706">
        <v>4</v>
      </c>
      <c r="G5706">
        <v>4</v>
      </c>
      <c r="H5706">
        <v>1</v>
      </c>
      <c r="I5706">
        <v>0</v>
      </c>
      <c r="J5706">
        <v>0.79210220673635301</v>
      </c>
      <c r="K5706">
        <v>0.96694839551982403</v>
      </c>
      <c r="L5706">
        <v>0.87083561656389996</v>
      </c>
      <c r="M5706">
        <v>0.56565656565656597</v>
      </c>
      <c r="N5706">
        <v>0.98989898989898994</v>
      </c>
      <c r="O5706">
        <v>0.713804713804714</v>
      </c>
      <c r="P5706" t="s">
        <v>1363</v>
      </c>
      <c r="Q5706" t="s">
        <v>1364</v>
      </c>
      <c r="R5706" t="s">
        <v>342</v>
      </c>
      <c r="S5706" t="s">
        <v>343</v>
      </c>
      <c r="T5706" t="s">
        <v>11790</v>
      </c>
      <c r="U5706" t="s">
        <v>11791</v>
      </c>
      <c r="V5706" t="s">
        <v>11792</v>
      </c>
      <c r="W5706" t="s">
        <v>11793</v>
      </c>
      <c r="X5706" t="s">
        <v>11792</v>
      </c>
      <c r="Y5706" t="s">
        <v>4474</v>
      </c>
      <c r="AD5706" t="s">
        <v>410</v>
      </c>
      <c r="AE5706" t="s">
        <v>1840</v>
      </c>
      <c r="AF5706" t="s">
        <v>11795</v>
      </c>
    </row>
    <row r="5707" spans="1:32" hidden="1" x14ac:dyDescent="0.35">
      <c r="A5707">
        <v>5706</v>
      </c>
      <c r="B5707" t="s">
        <v>11789</v>
      </c>
      <c r="C5707" t="s">
        <v>57</v>
      </c>
      <c r="D5707" t="s">
        <v>34</v>
      </c>
      <c r="E5707">
        <v>1492</v>
      </c>
      <c r="F5707">
        <v>4</v>
      </c>
      <c r="G5707">
        <v>4</v>
      </c>
      <c r="H5707">
        <v>1</v>
      </c>
      <c r="I5707">
        <v>0</v>
      </c>
      <c r="J5707">
        <v>0.79210220673635301</v>
      </c>
      <c r="K5707">
        <v>0.96694839551982403</v>
      </c>
      <c r="L5707">
        <v>0.87083561656389996</v>
      </c>
      <c r="M5707">
        <v>0.56565656565656597</v>
      </c>
      <c r="N5707">
        <v>0.98989898989898994</v>
      </c>
      <c r="O5707">
        <v>0.713804713804714</v>
      </c>
      <c r="P5707" t="s">
        <v>1363</v>
      </c>
      <c r="Q5707" t="s">
        <v>1364</v>
      </c>
      <c r="R5707" t="s">
        <v>342</v>
      </c>
      <c r="S5707" t="s">
        <v>343</v>
      </c>
      <c r="T5707" t="s">
        <v>11790</v>
      </c>
      <c r="U5707" t="s">
        <v>11791</v>
      </c>
      <c r="V5707" t="s">
        <v>11792</v>
      </c>
      <c r="W5707" t="s">
        <v>11793</v>
      </c>
      <c r="X5707" t="s">
        <v>11792</v>
      </c>
      <c r="Y5707" t="s">
        <v>4474</v>
      </c>
      <c r="AD5707" t="s">
        <v>410</v>
      </c>
      <c r="AE5707" t="s">
        <v>1840</v>
      </c>
      <c r="AF5707" t="s">
        <v>11796</v>
      </c>
    </row>
    <row r="5708" spans="1:32" hidden="1" x14ac:dyDescent="0.35">
      <c r="A5708">
        <v>5707</v>
      </c>
      <c r="B5708" t="s">
        <v>11789</v>
      </c>
      <c r="C5708" t="s">
        <v>57</v>
      </c>
      <c r="D5708" t="s">
        <v>45</v>
      </c>
      <c r="E5708">
        <v>242</v>
      </c>
      <c r="F5708">
        <v>4</v>
      </c>
      <c r="G5708">
        <v>4</v>
      </c>
      <c r="H5708">
        <v>1</v>
      </c>
      <c r="I5708">
        <v>0</v>
      </c>
      <c r="J5708">
        <v>0.79210220673635301</v>
      </c>
      <c r="K5708">
        <v>0.96694839551982403</v>
      </c>
      <c r="L5708">
        <v>0.87083561656389996</v>
      </c>
      <c r="M5708">
        <v>0.56565656565656597</v>
      </c>
      <c r="N5708">
        <v>0.98989898989898994</v>
      </c>
      <c r="O5708">
        <v>0.713804713804714</v>
      </c>
      <c r="P5708" t="s">
        <v>1363</v>
      </c>
      <c r="Q5708" t="s">
        <v>1364</v>
      </c>
      <c r="R5708" t="s">
        <v>342</v>
      </c>
      <c r="S5708" t="s">
        <v>343</v>
      </c>
      <c r="T5708" t="s">
        <v>11790</v>
      </c>
      <c r="U5708" t="s">
        <v>11791</v>
      </c>
      <c r="V5708" t="s">
        <v>11792</v>
      </c>
      <c r="W5708" t="s">
        <v>11793</v>
      </c>
      <c r="X5708" t="s">
        <v>11792</v>
      </c>
      <c r="Y5708" t="s">
        <v>4474</v>
      </c>
      <c r="AD5708" t="s">
        <v>410</v>
      </c>
      <c r="AE5708" t="s">
        <v>1840</v>
      </c>
      <c r="AF5708" t="s">
        <v>11797</v>
      </c>
    </row>
    <row r="5709" spans="1:32" hidden="1" x14ac:dyDescent="0.35">
      <c r="A5709">
        <v>5708</v>
      </c>
      <c r="B5709" t="s">
        <v>11798</v>
      </c>
      <c r="C5709" t="s">
        <v>57</v>
      </c>
      <c r="D5709" t="s">
        <v>60</v>
      </c>
      <c r="E5709">
        <v>157</v>
      </c>
      <c r="F5709">
        <v>4</v>
      </c>
      <c r="G5709">
        <v>4</v>
      </c>
      <c r="H5709">
        <v>1</v>
      </c>
      <c r="I5709">
        <v>0</v>
      </c>
      <c r="J5709">
        <v>0.81141654284299203</v>
      </c>
      <c r="K5709">
        <v>0.93250000718880099</v>
      </c>
      <c r="L5709">
        <v>0.86775474665964702</v>
      </c>
      <c r="M5709">
        <v>0.58921161825726098</v>
      </c>
      <c r="N5709">
        <v>0.98962655601659799</v>
      </c>
      <c r="O5709">
        <v>0.72233748271092701</v>
      </c>
      <c r="P5709" t="s">
        <v>169</v>
      </c>
      <c r="Q5709" t="s">
        <v>170</v>
      </c>
      <c r="R5709" t="s">
        <v>96</v>
      </c>
      <c r="S5709" t="s">
        <v>97</v>
      </c>
      <c r="T5709" t="s">
        <v>10879</v>
      </c>
      <c r="U5709" t="s">
        <v>10880</v>
      </c>
      <c r="V5709" t="s">
        <v>11799</v>
      </c>
      <c r="W5709" t="s">
        <v>11800</v>
      </c>
      <c r="AD5709" t="s">
        <v>166</v>
      </c>
      <c r="AE5709" t="s">
        <v>8638</v>
      </c>
      <c r="AF5709" t="e">
        <f>----------------MSIHIGDVSVQYSGS-EESVLHGISLDIEPGTVTLICGASGSGKSSVLRLINGLIPHFHTVESTGTVTVDGHNVAETEVHQMGTLTATVFQNPRTQFFTTDVDSELAFAGENYQLPPDTIRARSAEALEYVGISDLAGLNLWGLSGGQLQKVACAQAYAQDTPILLFDEPTSNLDPESIEDFTALLRRLKEQGKTLVIAEHRVYFLAGIVDRVILVEDGRIAQEFTGEEFFQLNDARRRDLGLRCLSAPELT-VPEQETGDVPGLHIDSAVVSFQGKRVLDISGVVFPAGQVTGLVGPNGAGKTTLARVLCGLQKMDRGTPKNGIRLVRAAEDGASISEPMKKGTAFLVMQDVHRQLFAETVAQEADAQHLEQLGLGKLADRHPMSLSGGQKQRLVIATALSMNTHVLILDEPTSGVDYRHLVDISEQLKKLAARGVVVIVISHDHEFLNHCADRIVRLNPLAGKE</f>
        <v>#NAME?</v>
      </c>
    </row>
    <row r="5710" spans="1:32" hidden="1" x14ac:dyDescent="0.35">
      <c r="A5710">
        <v>5709</v>
      </c>
      <c r="B5710" t="s">
        <v>11798</v>
      </c>
      <c r="C5710" t="s">
        <v>57</v>
      </c>
      <c r="D5710" t="s">
        <v>62</v>
      </c>
      <c r="E5710">
        <v>233</v>
      </c>
      <c r="F5710">
        <v>4</v>
      </c>
      <c r="G5710">
        <v>4</v>
      </c>
      <c r="H5710">
        <v>1</v>
      </c>
      <c r="I5710">
        <v>0</v>
      </c>
      <c r="J5710">
        <v>0.81141654284299203</v>
      </c>
      <c r="K5710">
        <v>0.93250000718880099</v>
      </c>
      <c r="L5710">
        <v>0.86775474665964702</v>
      </c>
      <c r="M5710">
        <v>0.58921161825726098</v>
      </c>
      <c r="N5710">
        <v>0.98962655601659799</v>
      </c>
      <c r="O5710">
        <v>0.72233748271092701</v>
      </c>
      <c r="P5710" t="s">
        <v>169</v>
      </c>
      <c r="Q5710" t="s">
        <v>170</v>
      </c>
      <c r="R5710" t="s">
        <v>96</v>
      </c>
      <c r="S5710" t="s">
        <v>97</v>
      </c>
      <c r="T5710" t="s">
        <v>10879</v>
      </c>
      <c r="U5710" t="s">
        <v>10880</v>
      </c>
      <c r="V5710" t="s">
        <v>11799</v>
      </c>
      <c r="W5710" t="s">
        <v>11800</v>
      </c>
      <c r="AD5710" t="s">
        <v>166</v>
      </c>
      <c r="AE5710" t="s">
        <v>8638</v>
      </c>
      <c r="AF5710" t="e">
        <f>----------------MSIHIGDVSVQYSGS-EESVLHGISLDIEPGTVTLICGASGSGKSSVLRLINGLIPHFHTVESTGTVTVDGHNVAETEVHQMGTLTATVFQNPRTQFFTTDVDSELAFAGENYQLPPDTIRARSAEALEYVGISDLAGLNLWGLSGGQLQKVACAQAYAQDTPILLFDEPTSNLDPESIEDFTALLRRLKEKGKTLVIAEHRVYFLAGIVDRVILVEDGRIAQEFTGEEFFQLNDARRRDLGLRCLSAPELT-VPEQEPGDVPGLHIDSAVVSFQGKRVLDISGVVFPAGQVTGLVGPNGAGKTTLARVLCGLQKMDRGTPKNGIRLARAAEDGASISEPMKKGTAFLVMQDVHRQLFAETVAQEADAQHLEQLGLGKLADRHPMSLSGGQKQRLVIATALSMNTHVLILDEPTSGVDYRHLVDISEQLKKLAARGVVVIVISHDHEFLNHCADRIVHLNPLTGKE</f>
        <v>#NAME?</v>
      </c>
    </row>
    <row r="5711" spans="1:32" hidden="1" x14ac:dyDescent="0.35">
      <c r="A5711">
        <v>5710</v>
      </c>
      <c r="B5711" t="s">
        <v>11798</v>
      </c>
      <c r="C5711" t="s">
        <v>57</v>
      </c>
      <c r="D5711" t="s">
        <v>34</v>
      </c>
      <c r="E5711">
        <v>1127</v>
      </c>
      <c r="F5711">
        <v>4</v>
      </c>
      <c r="G5711">
        <v>4</v>
      </c>
      <c r="H5711">
        <v>1</v>
      </c>
      <c r="I5711">
        <v>0</v>
      </c>
      <c r="J5711">
        <v>0.81141654284299203</v>
      </c>
      <c r="K5711">
        <v>0.93250000718880099</v>
      </c>
      <c r="L5711">
        <v>0.86775474665964702</v>
      </c>
      <c r="M5711">
        <v>0.58921161825726098</v>
      </c>
      <c r="N5711">
        <v>0.98962655601659799</v>
      </c>
      <c r="O5711">
        <v>0.72233748271092701</v>
      </c>
      <c r="P5711" t="s">
        <v>169</v>
      </c>
      <c r="Q5711" t="s">
        <v>170</v>
      </c>
      <c r="R5711" t="s">
        <v>96</v>
      </c>
      <c r="S5711" t="s">
        <v>97</v>
      </c>
      <c r="T5711" t="s">
        <v>10879</v>
      </c>
      <c r="U5711" t="s">
        <v>10880</v>
      </c>
      <c r="V5711" t="s">
        <v>11799</v>
      </c>
      <c r="W5711" t="s">
        <v>11800</v>
      </c>
      <c r="AD5711" t="s">
        <v>166</v>
      </c>
      <c r="AE5711" t="s">
        <v>8638</v>
      </c>
      <c r="AF5711" t="s">
        <v>11801</v>
      </c>
    </row>
    <row r="5712" spans="1:32" hidden="1" x14ac:dyDescent="0.35">
      <c r="A5712">
        <v>5711</v>
      </c>
      <c r="B5712" t="s">
        <v>11798</v>
      </c>
      <c r="C5712" t="s">
        <v>57</v>
      </c>
      <c r="D5712" t="s">
        <v>45</v>
      </c>
      <c r="E5712">
        <v>2378</v>
      </c>
      <c r="F5712">
        <v>4</v>
      </c>
      <c r="G5712">
        <v>4</v>
      </c>
      <c r="H5712">
        <v>1</v>
      </c>
      <c r="I5712">
        <v>0</v>
      </c>
      <c r="J5712">
        <v>0.81141654284299203</v>
      </c>
      <c r="K5712">
        <v>0.93250000718880099</v>
      </c>
      <c r="L5712">
        <v>0.86775474665964702</v>
      </c>
      <c r="M5712">
        <v>0.58921161825726098</v>
      </c>
      <c r="N5712">
        <v>0.98962655601659799</v>
      </c>
      <c r="O5712">
        <v>0.72233748271092701</v>
      </c>
      <c r="P5712" t="s">
        <v>169</v>
      </c>
      <c r="Q5712" t="s">
        <v>170</v>
      </c>
      <c r="R5712" t="s">
        <v>96</v>
      </c>
      <c r="S5712" t="s">
        <v>97</v>
      </c>
      <c r="T5712" t="s">
        <v>10879</v>
      </c>
      <c r="U5712" t="s">
        <v>10880</v>
      </c>
      <c r="V5712" t="s">
        <v>11799</v>
      </c>
      <c r="W5712" t="s">
        <v>11800</v>
      </c>
      <c r="AD5712" t="s">
        <v>166</v>
      </c>
      <c r="AE5712" t="s">
        <v>8638</v>
      </c>
      <c r="AF5712" t="s">
        <v>11802</v>
      </c>
    </row>
    <row r="5713" spans="1:32" hidden="1" x14ac:dyDescent="0.35">
      <c r="A5713">
        <v>5712</v>
      </c>
      <c r="B5713" t="s">
        <v>11803</v>
      </c>
      <c r="C5713" t="s">
        <v>57</v>
      </c>
      <c r="D5713" t="s">
        <v>60</v>
      </c>
      <c r="E5713">
        <v>308</v>
      </c>
      <c r="F5713">
        <v>4</v>
      </c>
      <c r="G5713">
        <v>4</v>
      </c>
      <c r="H5713">
        <v>1</v>
      </c>
      <c r="I5713">
        <v>0</v>
      </c>
      <c r="J5713">
        <v>0.81284952529587695</v>
      </c>
      <c r="K5713">
        <v>0.91621750642093402</v>
      </c>
      <c r="L5713">
        <v>0.86144371675696196</v>
      </c>
      <c r="M5713">
        <v>0.55982905982905995</v>
      </c>
      <c r="N5713">
        <v>0.99786324786324798</v>
      </c>
      <c r="O5713">
        <v>0.70548433048433001</v>
      </c>
      <c r="P5713" t="s">
        <v>11804</v>
      </c>
      <c r="Q5713" t="s">
        <v>11805</v>
      </c>
      <c r="R5713" t="s">
        <v>869</v>
      </c>
      <c r="S5713" t="s">
        <v>870</v>
      </c>
      <c r="T5713" t="s">
        <v>11806</v>
      </c>
      <c r="U5713" t="s">
        <v>11807</v>
      </c>
      <c r="V5713" t="s">
        <v>11808</v>
      </c>
      <c r="W5713" t="s">
        <v>11809</v>
      </c>
      <c r="X5713" t="s">
        <v>11808</v>
      </c>
      <c r="Y5713" t="s">
        <v>1153</v>
      </c>
      <c r="Z5713" t="s">
        <v>1740</v>
      </c>
      <c r="AA5713" t="s">
        <v>1741</v>
      </c>
      <c r="AB5713" t="s">
        <v>1740</v>
      </c>
      <c r="AC5713" t="s">
        <v>1742</v>
      </c>
      <c r="AD5713" t="s">
        <v>219</v>
      </c>
      <c r="AE5713" t="s">
        <v>11810</v>
      </c>
      <c r="AF5713" t="s">
        <v>11811</v>
      </c>
    </row>
    <row r="5714" spans="1:32" hidden="1" x14ac:dyDescent="0.35">
      <c r="A5714">
        <v>5713</v>
      </c>
      <c r="B5714" t="s">
        <v>11803</v>
      </c>
      <c r="C5714" t="s">
        <v>57</v>
      </c>
      <c r="D5714" t="s">
        <v>62</v>
      </c>
      <c r="E5714">
        <v>388</v>
      </c>
      <c r="F5714">
        <v>4</v>
      </c>
      <c r="G5714">
        <v>4</v>
      </c>
      <c r="H5714">
        <v>1</v>
      </c>
      <c r="I5714">
        <v>0</v>
      </c>
      <c r="J5714">
        <v>0.81284952529587695</v>
      </c>
      <c r="K5714">
        <v>0.91621750642093402</v>
      </c>
      <c r="L5714">
        <v>0.86144371675696196</v>
      </c>
      <c r="M5714">
        <v>0.55982905982905995</v>
      </c>
      <c r="N5714">
        <v>0.99786324786324798</v>
      </c>
      <c r="O5714">
        <v>0.70548433048433001</v>
      </c>
      <c r="P5714" t="s">
        <v>11804</v>
      </c>
      <c r="Q5714" t="s">
        <v>11805</v>
      </c>
      <c r="R5714" t="s">
        <v>869</v>
      </c>
      <c r="S5714" t="s">
        <v>870</v>
      </c>
      <c r="T5714" t="s">
        <v>11806</v>
      </c>
      <c r="U5714" t="s">
        <v>11807</v>
      </c>
      <c r="V5714" t="s">
        <v>11808</v>
      </c>
      <c r="W5714" t="s">
        <v>11809</v>
      </c>
      <c r="X5714" t="s">
        <v>11808</v>
      </c>
      <c r="Y5714" t="s">
        <v>1153</v>
      </c>
      <c r="Z5714" t="s">
        <v>1740</v>
      </c>
      <c r="AA5714" t="s">
        <v>1741</v>
      </c>
      <c r="AB5714" t="s">
        <v>1740</v>
      </c>
      <c r="AC5714" t="s">
        <v>1742</v>
      </c>
      <c r="AD5714" t="s">
        <v>219</v>
      </c>
      <c r="AE5714" t="s">
        <v>11810</v>
      </c>
      <c r="AF5714" t="s">
        <v>11812</v>
      </c>
    </row>
    <row r="5715" spans="1:32" hidden="1" x14ac:dyDescent="0.35">
      <c r="A5715">
        <v>5714</v>
      </c>
      <c r="B5715" t="s">
        <v>11803</v>
      </c>
      <c r="C5715" t="s">
        <v>57</v>
      </c>
      <c r="D5715" t="s">
        <v>34</v>
      </c>
      <c r="E5715">
        <v>850</v>
      </c>
      <c r="F5715">
        <v>4</v>
      </c>
      <c r="G5715">
        <v>4</v>
      </c>
      <c r="H5715">
        <v>1</v>
      </c>
      <c r="I5715">
        <v>0</v>
      </c>
      <c r="J5715">
        <v>0.81284952529587695</v>
      </c>
      <c r="K5715">
        <v>0.91621750642093402</v>
      </c>
      <c r="L5715">
        <v>0.86144371675696196</v>
      </c>
      <c r="M5715">
        <v>0.55982905982905995</v>
      </c>
      <c r="N5715">
        <v>0.99786324786324798</v>
      </c>
      <c r="O5715">
        <v>0.70548433048433001</v>
      </c>
      <c r="P5715" t="s">
        <v>11804</v>
      </c>
      <c r="Q5715" t="s">
        <v>11805</v>
      </c>
      <c r="R5715" t="s">
        <v>869</v>
      </c>
      <c r="S5715" t="s">
        <v>870</v>
      </c>
      <c r="T5715" t="s">
        <v>11806</v>
      </c>
      <c r="U5715" t="s">
        <v>11807</v>
      </c>
      <c r="V5715" t="s">
        <v>11808</v>
      </c>
      <c r="W5715" t="s">
        <v>11809</v>
      </c>
      <c r="X5715" t="s">
        <v>11808</v>
      </c>
      <c r="Y5715" t="s">
        <v>1153</v>
      </c>
      <c r="Z5715" t="s">
        <v>1740</v>
      </c>
      <c r="AA5715" t="s">
        <v>1741</v>
      </c>
      <c r="AB5715" t="s">
        <v>1740</v>
      </c>
      <c r="AC5715" t="s">
        <v>1742</v>
      </c>
      <c r="AD5715" t="s">
        <v>219</v>
      </c>
      <c r="AE5715" t="s">
        <v>11810</v>
      </c>
      <c r="AF5715" t="e">
        <f>-----MGMSHRSAPVALLEKLSMDESVRHQTALALIRQPALTESMIVSTCNRLEVYSTTTNFHQGVSDVVDVLHDMSGVPIDVLRDYLYVRYADAAAEHLMLVAAGLDSMVTGEQQIIGQVRTAYQYAANSGTVGPQLHGLVQAALRTGKRVHTETDIDNAGVSMVSFAFDEAVSQLGV----KDESQPFAGHRALVIGAGAMASLAATHLGKQGIDELIMTNRTRERAERLAQHAREAGVEATVVDFDERTVVLSHVDIVVSATGSQNFTISRDDIPTD-HPLMLVDLSLPRDIDDNVIRGTQARLVNIEKLRLLHQ-DETESDSAALRIIAEELQAYSSQQRIKDIAPAVTALRRHAADLIQTELIRLQSRTPDMDDHEFEEVSRTVRRVVDKLLHQPTVRVKELAANSGVVSYETALQELFGLDNDSQPVKVDLDMLPDAAKLATITKAETLQKQHKQLRQTQGV</f>
        <v>#NAME?</v>
      </c>
    </row>
    <row r="5716" spans="1:32" hidden="1" x14ac:dyDescent="0.35">
      <c r="A5716">
        <v>5715</v>
      </c>
      <c r="B5716" t="s">
        <v>11803</v>
      </c>
      <c r="C5716" t="s">
        <v>57</v>
      </c>
      <c r="D5716" t="s">
        <v>45</v>
      </c>
      <c r="E5716">
        <v>2107</v>
      </c>
      <c r="F5716">
        <v>4</v>
      </c>
      <c r="G5716">
        <v>4</v>
      </c>
      <c r="H5716">
        <v>1</v>
      </c>
      <c r="I5716">
        <v>0</v>
      </c>
      <c r="J5716">
        <v>0.81284952529587695</v>
      </c>
      <c r="K5716">
        <v>0.91621750642093402</v>
      </c>
      <c r="L5716">
        <v>0.86144371675696196</v>
      </c>
      <c r="M5716">
        <v>0.55982905982905995</v>
      </c>
      <c r="N5716">
        <v>0.99786324786324798</v>
      </c>
      <c r="O5716">
        <v>0.70548433048433001</v>
      </c>
      <c r="P5716" t="s">
        <v>11804</v>
      </c>
      <c r="Q5716" t="s">
        <v>11805</v>
      </c>
      <c r="R5716" t="s">
        <v>869</v>
      </c>
      <c r="S5716" t="s">
        <v>870</v>
      </c>
      <c r="T5716" t="s">
        <v>11806</v>
      </c>
      <c r="U5716" t="s">
        <v>11807</v>
      </c>
      <c r="V5716" t="s">
        <v>11808</v>
      </c>
      <c r="W5716" t="s">
        <v>11809</v>
      </c>
      <c r="X5716" t="s">
        <v>11808</v>
      </c>
      <c r="Y5716" t="s">
        <v>1153</v>
      </c>
      <c r="Z5716" t="s">
        <v>1740</v>
      </c>
      <c r="AA5716" t="s">
        <v>1741</v>
      </c>
      <c r="AB5716" t="s">
        <v>1740</v>
      </c>
      <c r="AC5716" t="s">
        <v>1742</v>
      </c>
      <c r="AD5716" t="s">
        <v>219</v>
      </c>
      <c r="AE5716" t="s">
        <v>11810</v>
      </c>
      <c r="AF5716" t="e">
        <f>-----MGMSHRSAPVALLEKLSMDESVRHQTALALIRQPALTESMIVSTCNRLEVYSTTTNFHQGVSDVVDVLHDMSGVPIDVLRDYLYVRYADAAAEHLMLVAAGLDSMVTGEQQIIGQVRTAYQYAANSGTVGPQLHGLVQAALRTGKRVHTETDIDNAGVSMVSFAFDEAVSQLGV----KDESQPFAGHRALVIGAGAMASLAATHLGKQGIDELIMTNRTRERAERLAQHAREAGVEATVVDFDERTVVLSHVDIVVSATGSQNFTISRDDIPTD-HPLMLVDLSLPRDIDDNVIRGTQARLVNIEKLRLLHQ-DETESDGAALRIIAEELQAYSSQQRIKDIAPAVTALRRHAADLIQTELIRLQSRTPDMDDHEFEEVSRTVRRVVDKLLHQPTVRVKELAANSGVVSYETALQELFGLDNDSQPVKVDLDMLPDAAKLATITKAETLQKQHKQLRQTQGV</f>
        <v>#NAME?</v>
      </c>
    </row>
    <row r="5717" spans="1:32" hidden="1" x14ac:dyDescent="0.35">
      <c r="A5717">
        <v>5716</v>
      </c>
      <c r="B5717" t="s">
        <v>11813</v>
      </c>
      <c r="C5717" t="s">
        <v>57</v>
      </c>
      <c r="D5717" t="s">
        <v>60</v>
      </c>
      <c r="E5717">
        <v>745</v>
      </c>
      <c r="F5717">
        <v>4</v>
      </c>
      <c r="G5717">
        <v>4</v>
      </c>
      <c r="H5717">
        <v>1</v>
      </c>
      <c r="I5717">
        <v>0</v>
      </c>
      <c r="J5717">
        <v>0.81618982742960899</v>
      </c>
      <c r="K5717">
        <v>0.93327177258735605</v>
      </c>
      <c r="L5717">
        <v>0.87081297126568902</v>
      </c>
      <c r="M5717">
        <v>0.59695817490494296</v>
      </c>
      <c r="N5717">
        <v>0.99239543726235702</v>
      </c>
      <c r="O5717">
        <v>0.72972116603295301</v>
      </c>
      <c r="P5717" t="s">
        <v>6505</v>
      </c>
      <c r="Q5717" t="s">
        <v>6506</v>
      </c>
      <c r="R5717" t="s">
        <v>75</v>
      </c>
      <c r="S5717" t="s">
        <v>76</v>
      </c>
      <c r="T5717" t="s">
        <v>11229</v>
      </c>
      <c r="U5717" t="s">
        <v>11230</v>
      </c>
      <c r="V5717" t="s">
        <v>11224</v>
      </c>
      <c r="W5717" t="s">
        <v>11225</v>
      </c>
      <c r="X5717" t="s">
        <v>11224</v>
      </c>
      <c r="Y5717" t="s">
        <v>11226</v>
      </c>
      <c r="Z5717" t="s">
        <v>11231</v>
      </c>
      <c r="AA5717" t="s">
        <v>11232</v>
      </c>
      <c r="AB5717" t="s">
        <v>11231</v>
      </c>
      <c r="AC5717" t="s">
        <v>11233</v>
      </c>
      <c r="AD5717" t="s">
        <v>11234</v>
      </c>
      <c r="AE5717" t="s">
        <v>11235</v>
      </c>
      <c r="AF5717" t="s">
        <v>11814</v>
      </c>
    </row>
    <row r="5718" spans="1:32" hidden="1" x14ac:dyDescent="0.35">
      <c r="A5718">
        <v>5717</v>
      </c>
      <c r="B5718" t="s">
        <v>11813</v>
      </c>
      <c r="C5718" t="s">
        <v>57</v>
      </c>
      <c r="D5718" t="s">
        <v>62</v>
      </c>
      <c r="E5718">
        <v>777</v>
      </c>
      <c r="F5718">
        <v>4</v>
      </c>
      <c r="G5718">
        <v>4</v>
      </c>
      <c r="H5718">
        <v>1</v>
      </c>
      <c r="I5718">
        <v>0</v>
      </c>
      <c r="J5718">
        <v>0.81618982742960899</v>
      </c>
      <c r="K5718">
        <v>0.93327177258735605</v>
      </c>
      <c r="L5718">
        <v>0.87081297126568902</v>
      </c>
      <c r="M5718">
        <v>0.59695817490494296</v>
      </c>
      <c r="N5718">
        <v>0.99239543726235702</v>
      </c>
      <c r="O5718">
        <v>0.72972116603295301</v>
      </c>
      <c r="P5718" t="s">
        <v>6505</v>
      </c>
      <c r="Q5718" t="s">
        <v>6506</v>
      </c>
      <c r="R5718" t="s">
        <v>75</v>
      </c>
      <c r="S5718" t="s">
        <v>76</v>
      </c>
      <c r="T5718" t="s">
        <v>11229</v>
      </c>
      <c r="U5718" t="s">
        <v>11230</v>
      </c>
      <c r="V5718" t="s">
        <v>11224</v>
      </c>
      <c r="W5718" t="s">
        <v>11225</v>
      </c>
      <c r="X5718" t="s">
        <v>11224</v>
      </c>
      <c r="Y5718" t="s">
        <v>11226</v>
      </c>
      <c r="Z5718" t="s">
        <v>11231</v>
      </c>
      <c r="AA5718" t="s">
        <v>11232</v>
      </c>
      <c r="AB5718" t="s">
        <v>11231</v>
      </c>
      <c r="AC5718" t="s">
        <v>11233</v>
      </c>
      <c r="AD5718" t="s">
        <v>11234</v>
      </c>
      <c r="AE5718" t="s">
        <v>11235</v>
      </c>
      <c r="AF5718" t="s">
        <v>11815</v>
      </c>
    </row>
    <row r="5719" spans="1:32" hidden="1" x14ac:dyDescent="0.35">
      <c r="A5719">
        <v>5718</v>
      </c>
      <c r="B5719" t="s">
        <v>11813</v>
      </c>
      <c r="C5719" t="s">
        <v>57</v>
      </c>
      <c r="D5719" t="s">
        <v>34</v>
      </c>
      <c r="E5719">
        <v>389</v>
      </c>
      <c r="F5719">
        <v>4</v>
      </c>
      <c r="G5719">
        <v>4</v>
      </c>
      <c r="H5719">
        <v>1</v>
      </c>
      <c r="I5719">
        <v>0</v>
      </c>
      <c r="J5719">
        <v>0.81618982742960899</v>
      </c>
      <c r="K5719">
        <v>0.93327177258735605</v>
      </c>
      <c r="L5719">
        <v>0.87081297126568902</v>
      </c>
      <c r="M5719">
        <v>0.59695817490494296</v>
      </c>
      <c r="N5719">
        <v>0.99239543726235702</v>
      </c>
      <c r="O5719">
        <v>0.72972116603295301</v>
      </c>
      <c r="P5719" t="s">
        <v>6505</v>
      </c>
      <c r="Q5719" t="s">
        <v>6506</v>
      </c>
      <c r="R5719" t="s">
        <v>75</v>
      </c>
      <c r="S5719" t="s">
        <v>76</v>
      </c>
      <c r="T5719" t="s">
        <v>11229</v>
      </c>
      <c r="U5719" t="s">
        <v>11230</v>
      </c>
      <c r="V5719" t="s">
        <v>11224</v>
      </c>
      <c r="W5719" t="s">
        <v>11225</v>
      </c>
      <c r="X5719" t="s">
        <v>11224</v>
      </c>
      <c r="Y5719" t="s">
        <v>11226</v>
      </c>
      <c r="Z5719" t="s">
        <v>11231</v>
      </c>
      <c r="AA5719" t="s">
        <v>11232</v>
      </c>
      <c r="AB5719" t="s">
        <v>11231</v>
      </c>
      <c r="AC5719" t="s">
        <v>11233</v>
      </c>
      <c r="AD5719" t="s">
        <v>11234</v>
      </c>
      <c r="AE5719" t="s">
        <v>11235</v>
      </c>
      <c r="AF5719" t="s">
        <v>11816</v>
      </c>
    </row>
    <row r="5720" spans="1:32" hidden="1" x14ac:dyDescent="0.35">
      <c r="A5720">
        <v>5719</v>
      </c>
      <c r="B5720" t="s">
        <v>11813</v>
      </c>
      <c r="C5720" t="s">
        <v>57</v>
      </c>
      <c r="D5720" t="s">
        <v>45</v>
      </c>
      <c r="E5720">
        <v>1650</v>
      </c>
      <c r="F5720">
        <v>4</v>
      </c>
      <c r="G5720">
        <v>4</v>
      </c>
      <c r="H5720">
        <v>1</v>
      </c>
      <c r="I5720">
        <v>0</v>
      </c>
      <c r="J5720">
        <v>0.81618982742960899</v>
      </c>
      <c r="K5720">
        <v>0.93327177258735605</v>
      </c>
      <c r="L5720">
        <v>0.87081297126568902</v>
      </c>
      <c r="M5720">
        <v>0.59695817490494296</v>
      </c>
      <c r="N5720">
        <v>0.99239543726235702</v>
      </c>
      <c r="O5720">
        <v>0.72972116603295301</v>
      </c>
      <c r="P5720" t="s">
        <v>6505</v>
      </c>
      <c r="Q5720" t="s">
        <v>6506</v>
      </c>
      <c r="R5720" t="s">
        <v>75</v>
      </c>
      <c r="S5720" t="s">
        <v>76</v>
      </c>
      <c r="T5720" t="s">
        <v>11229</v>
      </c>
      <c r="U5720" t="s">
        <v>11230</v>
      </c>
      <c r="V5720" t="s">
        <v>11224</v>
      </c>
      <c r="W5720" t="s">
        <v>11225</v>
      </c>
      <c r="X5720" t="s">
        <v>11224</v>
      </c>
      <c r="Y5720" t="s">
        <v>11226</v>
      </c>
      <c r="Z5720" t="s">
        <v>11231</v>
      </c>
      <c r="AA5720" t="s">
        <v>11232</v>
      </c>
      <c r="AB5720" t="s">
        <v>11231</v>
      </c>
      <c r="AC5720" t="s">
        <v>11233</v>
      </c>
      <c r="AD5720" t="s">
        <v>11234</v>
      </c>
      <c r="AE5720" t="s">
        <v>11235</v>
      </c>
      <c r="AF5720" t="s">
        <v>11817</v>
      </c>
    </row>
    <row r="5721" spans="1:32" hidden="1" x14ac:dyDescent="0.35">
      <c r="A5721">
        <v>5720</v>
      </c>
      <c r="B5721" t="s">
        <v>11818</v>
      </c>
      <c r="C5721" t="s">
        <v>57</v>
      </c>
      <c r="D5721" t="s">
        <v>34</v>
      </c>
      <c r="E5721">
        <v>77</v>
      </c>
      <c r="F5721">
        <v>2</v>
      </c>
      <c r="G5721">
        <v>4</v>
      </c>
      <c r="H5721">
        <v>2</v>
      </c>
      <c r="I5721">
        <v>0</v>
      </c>
      <c r="J5721">
        <v>0.77558299039780498</v>
      </c>
      <c r="K5721">
        <v>0.98784065835768098</v>
      </c>
      <c r="L5721">
        <v>0.86893743586379701</v>
      </c>
      <c r="M5721">
        <v>0.517073170731707</v>
      </c>
      <c r="N5721">
        <v>0.98780487804878003</v>
      </c>
      <c r="O5721">
        <v>0.67560975609756102</v>
      </c>
      <c r="P5721" t="s">
        <v>4358</v>
      </c>
      <c r="Q5721" t="s">
        <v>4359</v>
      </c>
      <c r="R5721" t="s">
        <v>319</v>
      </c>
      <c r="S5721" t="s">
        <v>320</v>
      </c>
      <c r="T5721" t="s">
        <v>11819</v>
      </c>
      <c r="U5721" t="s">
        <v>11820</v>
      </c>
      <c r="V5721" t="s">
        <v>11821</v>
      </c>
      <c r="W5721" t="s">
        <v>11822</v>
      </c>
      <c r="AD5721" t="s">
        <v>11823</v>
      </c>
      <c r="AE5721" t="s">
        <v>11824</v>
      </c>
      <c r="AF5721" t="s">
        <v>11825</v>
      </c>
    </row>
    <row r="5722" spans="1:32" hidden="1" x14ac:dyDescent="0.35">
      <c r="A5722">
        <v>5721</v>
      </c>
      <c r="B5722" t="s">
        <v>11818</v>
      </c>
      <c r="C5722" t="s">
        <v>57</v>
      </c>
      <c r="D5722" t="s">
        <v>34</v>
      </c>
      <c r="E5722">
        <v>78</v>
      </c>
      <c r="F5722">
        <v>2</v>
      </c>
      <c r="G5722">
        <v>4</v>
      </c>
      <c r="H5722">
        <v>2</v>
      </c>
      <c r="I5722">
        <v>0</v>
      </c>
      <c r="J5722">
        <v>0.77558299039780498</v>
      </c>
      <c r="K5722">
        <v>0.98784065835768098</v>
      </c>
      <c r="L5722">
        <v>0.86893743586379701</v>
      </c>
      <c r="M5722">
        <v>0.517073170731707</v>
      </c>
      <c r="N5722">
        <v>0.98780487804878003</v>
      </c>
      <c r="O5722">
        <v>0.67560975609756102</v>
      </c>
      <c r="P5722" t="s">
        <v>4358</v>
      </c>
      <c r="Q5722" t="s">
        <v>4359</v>
      </c>
      <c r="R5722" t="s">
        <v>319</v>
      </c>
      <c r="S5722" t="s">
        <v>320</v>
      </c>
      <c r="T5722" t="s">
        <v>11819</v>
      </c>
      <c r="U5722" t="s">
        <v>11820</v>
      </c>
      <c r="V5722" t="s">
        <v>4360</v>
      </c>
      <c r="W5722" t="s">
        <v>4361</v>
      </c>
      <c r="AD5722" t="s">
        <v>11823</v>
      </c>
      <c r="AE5722" t="s">
        <v>11824</v>
      </c>
      <c r="AF5722" t="s">
        <v>11826</v>
      </c>
    </row>
    <row r="5723" spans="1:32" hidden="1" x14ac:dyDescent="0.35">
      <c r="A5723">
        <v>5722</v>
      </c>
      <c r="B5723" t="s">
        <v>11818</v>
      </c>
      <c r="C5723" t="s">
        <v>57</v>
      </c>
      <c r="D5723" t="s">
        <v>45</v>
      </c>
      <c r="E5723">
        <v>1335</v>
      </c>
      <c r="F5723">
        <v>2</v>
      </c>
      <c r="G5723">
        <v>4</v>
      </c>
      <c r="H5723">
        <v>2</v>
      </c>
      <c r="I5723">
        <v>0</v>
      </c>
      <c r="J5723">
        <v>0.77558299039780498</v>
      </c>
      <c r="K5723">
        <v>0.98784065835768098</v>
      </c>
      <c r="L5723">
        <v>0.86893743586379701</v>
      </c>
      <c r="M5723">
        <v>0.517073170731707</v>
      </c>
      <c r="N5723">
        <v>0.98780487804878003</v>
      </c>
      <c r="O5723">
        <v>0.67560975609756102</v>
      </c>
      <c r="P5723" t="s">
        <v>4358</v>
      </c>
      <c r="Q5723" t="s">
        <v>4359</v>
      </c>
      <c r="R5723" t="s">
        <v>319</v>
      </c>
      <c r="S5723" t="s">
        <v>320</v>
      </c>
      <c r="T5723" t="s">
        <v>11819</v>
      </c>
      <c r="U5723" t="s">
        <v>11820</v>
      </c>
      <c r="V5723" t="s">
        <v>11821</v>
      </c>
      <c r="W5723" t="s">
        <v>11822</v>
      </c>
      <c r="AD5723" t="s">
        <v>11823</v>
      </c>
      <c r="AE5723" t="s">
        <v>11824</v>
      </c>
      <c r="AF5723" t="s">
        <v>11827</v>
      </c>
    </row>
    <row r="5724" spans="1:32" hidden="1" x14ac:dyDescent="0.35">
      <c r="A5724">
        <v>5723</v>
      </c>
      <c r="B5724" t="s">
        <v>11818</v>
      </c>
      <c r="C5724" t="s">
        <v>57</v>
      </c>
      <c r="D5724" t="s">
        <v>45</v>
      </c>
      <c r="E5724">
        <v>1336</v>
      </c>
      <c r="F5724">
        <v>2</v>
      </c>
      <c r="G5724">
        <v>4</v>
      </c>
      <c r="H5724">
        <v>2</v>
      </c>
      <c r="I5724">
        <v>0</v>
      </c>
      <c r="J5724">
        <v>0.77558299039780498</v>
      </c>
      <c r="K5724">
        <v>0.98784065835768098</v>
      </c>
      <c r="L5724">
        <v>0.86893743586379701</v>
      </c>
      <c r="M5724">
        <v>0.517073170731707</v>
      </c>
      <c r="N5724">
        <v>0.98780487804878003</v>
      </c>
      <c r="O5724">
        <v>0.67560975609756102</v>
      </c>
      <c r="P5724" t="s">
        <v>4358</v>
      </c>
      <c r="Q5724" t="s">
        <v>4359</v>
      </c>
      <c r="R5724" t="s">
        <v>319</v>
      </c>
      <c r="S5724" t="s">
        <v>320</v>
      </c>
      <c r="T5724" t="s">
        <v>11819</v>
      </c>
      <c r="U5724" t="s">
        <v>11820</v>
      </c>
      <c r="V5724" t="s">
        <v>4360</v>
      </c>
      <c r="W5724" t="s">
        <v>4361</v>
      </c>
      <c r="AD5724" t="s">
        <v>11823</v>
      </c>
      <c r="AE5724" t="s">
        <v>11824</v>
      </c>
      <c r="AF5724" t="s">
        <v>11828</v>
      </c>
    </row>
    <row r="5725" spans="1:32" hidden="1" x14ac:dyDescent="0.35">
      <c r="A5725">
        <v>5724</v>
      </c>
      <c r="B5725" t="s">
        <v>11829</v>
      </c>
      <c r="C5725" t="s">
        <v>57</v>
      </c>
      <c r="D5725" t="s">
        <v>34</v>
      </c>
      <c r="E5725">
        <v>1087</v>
      </c>
      <c r="F5725">
        <v>2</v>
      </c>
      <c r="G5725">
        <v>4</v>
      </c>
      <c r="H5725">
        <v>2</v>
      </c>
      <c r="I5725">
        <v>0</v>
      </c>
      <c r="J5725">
        <v>0.75481481481481505</v>
      </c>
      <c r="K5725">
        <v>0.95034079844206398</v>
      </c>
      <c r="L5725">
        <v>0.84136756576356497</v>
      </c>
      <c r="M5725">
        <v>0.569620253164557</v>
      </c>
      <c r="N5725">
        <v>0.89873417721519</v>
      </c>
      <c r="O5725">
        <v>0.66033755274261596</v>
      </c>
      <c r="AF5725" t="s">
        <v>11830</v>
      </c>
    </row>
    <row r="5726" spans="1:32" hidden="1" x14ac:dyDescent="0.35">
      <c r="A5726">
        <v>5725</v>
      </c>
      <c r="B5726" t="s">
        <v>11829</v>
      </c>
      <c r="C5726" t="s">
        <v>57</v>
      </c>
      <c r="D5726" t="s">
        <v>34</v>
      </c>
      <c r="E5726">
        <v>1084</v>
      </c>
      <c r="F5726">
        <v>2</v>
      </c>
      <c r="G5726">
        <v>4</v>
      </c>
      <c r="H5726">
        <v>2</v>
      </c>
      <c r="I5726">
        <v>0</v>
      </c>
      <c r="J5726">
        <v>0.75481481481481505</v>
      </c>
      <c r="K5726">
        <v>0.95034079844206398</v>
      </c>
      <c r="L5726">
        <v>0.84136756576356497</v>
      </c>
      <c r="M5726">
        <v>0.569620253164557</v>
      </c>
      <c r="N5726">
        <v>0.89873417721519</v>
      </c>
      <c r="O5726">
        <v>0.66033755274261596</v>
      </c>
      <c r="AF5726" t="s">
        <v>11831</v>
      </c>
    </row>
    <row r="5727" spans="1:32" hidden="1" x14ac:dyDescent="0.35">
      <c r="A5727">
        <v>5726</v>
      </c>
      <c r="B5727" t="s">
        <v>11829</v>
      </c>
      <c r="C5727" t="s">
        <v>57</v>
      </c>
      <c r="D5727" t="s">
        <v>45</v>
      </c>
      <c r="E5727">
        <v>2343</v>
      </c>
      <c r="F5727">
        <v>2</v>
      </c>
      <c r="G5727">
        <v>4</v>
      </c>
      <c r="H5727">
        <v>2</v>
      </c>
      <c r="I5727">
        <v>0</v>
      </c>
      <c r="J5727">
        <v>0.75481481481481505</v>
      </c>
      <c r="K5727">
        <v>0.95034079844206398</v>
      </c>
      <c r="L5727">
        <v>0.84136756576356497</v>
      </c>
      <c r="M5727">
        <v>0.569620253164557</v>
      </c>
      <c r="N5727">
        <v>0.89873417721519</v>
      </c>
      <c r="O5727">
        <v>0.66033755274261596</v>
      </c>
      <c r="AF5727" t="s">
        <v>11832</v>
      </c>
    </row>
    <row r="5728" spans="1:32" hidden="1" x14ac:dyDescent="0.35">
      <c r="A5728">
        <v>5727</v>
      </c>
      <c r="B5728" t="s">
        <v>11829</v>
      </c>
      <c r="C5728" t="s">
        <v>57</v>
      </c>
      <c r="D5728" t="s">
        <v>45</v>
      </c>
      <c r="E5728">
        <v>2342</v>
      </c>
      <c r="F5728">
        <v>2</v>
      </c>
      <c r="G5728">
        <v>4</v>
      </c>
      <c r="H5728">
        <v>2</v>
      </c>
      <c r="I5728">
        <v>0</v>
      </c>
      <c r="J5728">
        <v>0.75481481481481505</v>
      </c>
      <c r="K5728">
        <v>0.95034079844206398</v>
      </c>
      <c r="L5728">
        <v>0.84136756576356497</v>
      </c>
      <c r="M5728">
        <v>0.569620253164557</v>
      </c>
      <c r="N5728">
        <v>0.89873417721519</v>
      </c>
      <c r="O5728">
        <v>0.66033755274261596</v>
      </c>
      <c r="AF5728" t="s">
        <v>11833</v>
      </c>
    </row>
    <row r="5729" spans="1:32" hidden="1" x14ac:dyDescent="0.35">
      <c r="A5729">
        <v>5728</v>
      </c>
      <c r="B5729" t="s">
        <v>11834</v>
      </c>
      <c r="C5729" t="s">
        <v>57</v>
      </c>
      <c r="D5729" t="s">
        <v>60</v>
      </c>
      <c r="E5729">
        <v>289</v>
      </c>
      <c r="F5729">
        <v>4</v>
      </c>
      <c r="G5729">
        <v>4</v>
      </c>
      <c r="H5729">
        <v>1</v>
      </c>
      <c r="I5729">
        <v>0</v>
      </c>
      <c r="J5729">
        <v>0.77931387608807001</v>
      </c>
      <c r="K5729">
        <v>0.98057183416445204</v>
      </c>
      <c r="L5729">
        <v>0.86843507213412996</v>
      </c>
      <c r="M5729">
        <v>0.60843373493975905</v>
      </c>
      <c r="N5729">
        <v>0.94578313253012003</v>
      </c>
      <c r="O5729">
        <v>0.72038152610441797</v>
      </c>
      <c r="AF5729" t="s">
        <v>11835</v>
      </c>
    </row>
    <row r="5730" spans="1:32" hidden="1" x14ac:dyDescent="0.35">
      <c r="A5730">
        <v>5729</v>
      </c>
      <c r="B5730" t="s">
        <v>11834</v>
      </c>
      <c r="C5730" t="s">
        <v>57</v>
      </c>
      <c r="D5730" t="s">
        <v>62</v>
      </c>
      <c r="E5730">
        <v>367</v>
      </c>
      <c r="F5730">
        <v>4</v>
      </c>
      <c r="G5730">
        <v>4</v>
      </c>
      <c r="H5730">
        <v>1</v>
      </c>
      <c r="I5730">
        <v>0</v>
      </c>
      <c r="J5730">
        <v>0.77931387608807001</v>
      </c>
      <c r="K5730">
        <v>0.98057183416445204</v>
      </c>
      <c r="L5730">
        <v>0.86843507213412996</v>
      </c>
      <c r="M5730">
        <v>0.60843373493975905</v>
      </c>
      <c r="N5730">
        <v>0.94578313253012003</v>
      </c>
      <c r="O5730">
        <v>0.72038152610441797</v>
      </c>
      <c r="AF5730" t="s">
        <v>11836</v>
      </c>
    </row>
    <row r="5731" spans="1:32" hidden="1" x14ac:dyDescent="0.35">
      <c r="A5731">
        <v>5730</v>
      </c>
      <c r="B5731" t="s">
        <v>11834</v>
      </c>
      <c r="C5731" t="s">
        <v>57</v>
      </c>
      <c r="D5731" t="s">
        <v>34</v>
      </c>
      <c r="E5731">
        <v>262</v>
      </c>
      <c r="F5731">
        <v>4</v>
      </c>
      <c r="G5731">
        <v>4</v>
      </c>
      <c r="H5731">
        <v>1</v>
      </c>
      <c r="I5731">
        <v>0</v>
      </c>
      <c r="J5731">
        <v>0.77931387608807001</v>
      </c>
      <c r="K5731">
        <v>0.98057183416445204</v>
      </c>
      <c r="L5731">
        <v>0.86843507213412996</v>
      </c>
      <c r="M5731">
        <v>0.60843373493975905</v>
      </c>
      <c r="N5731">
        <v>0.94578313253012003</v>
      </c>
      <c r="O5731">
        <v>0.72038152610441797</v>
      </c>
      <c r="AF5731" t="s">
        <v>11837</v>
      </c>
    </row>
    <row r="5732" spans="1:32" hidden="1" x14ac:dyDescent="0.35">
      <c r="A5732">
        <v>5731</v>
      </c>
      <c r="B5732" t="s">
        <v>11834</v>
      </c>
      <c r="C5732" t="s">
        <v>57</v>
      </c>
      <c r="D5732" t="s">
        <v>45</v>
      </c>
      <c r="E5732">
        <v>1524</v>
      </c>
      <c r="F5732">
        <v>4</v>
      </c>
      <c r="G5732">
        <v>4</v>
      </c>
      <c r="H5732">
        <v>1</v>
      </c>
      <c r="I5732">
        <v>0</v>
      </c>
      <c r="J5732">
        <v>0.77931387608807001</v>
      </c>
      <c r="K5732">
        <v>0.98057183416445204</v>
      </c>
      <c r="L5732">
        <v>0.86843507213412996</v>
      </c>
      <c r="M5732">
        <v>0.60843373493975905</v>
      </c>
      <c r="N5732">
        <v>0.94578313253012003</v>
      </c>
      <c r="O5732">
        <v>0.72038152610441797</v>
      </c>
      <c r="AF5732" t="s">
        <v>11838</v>
      </c>
    </row>
    <row r="5733" spans="1:32" hidden="1" x14ac:dyDescent="0.35">
      <c r="A5733">
        <v>5732</v>
      </c>
      <c r="B5733" t="s">
        <v>11839</v>
      </c>
      <c r="C5733" t="s">
        <v>57</v>
      </c>
      <c r="D5733" t="s">
        <v>60</v>
      </c>
      <c r="E5733">
        <v>2265</v>
      </c>
      <c r="F5733">
        <v>4</v>
      </c>
      <c r="G5733">
        <v>4</v>
      </c>
      <c r="H5733">
        <v>1</v>
      </c>
      <c r="I5733">
        <v>0</v>
      </c>
      <c r="J5733">
        <v>0.79648862512364005</v>
      </c>
      <c r="K5733">
        <v>0.91123590614252803</v>
      </c>
      <c r="L5733">
        <v>0.85000715368143198</v>
      </c>
      <c r="M5733">
        <v>0.52822580645161299</v>
      </c>
      <c r="N5733">
        <v>0.98790322580645196</v>
      </c>
      <c r="O5733">
        <v>0.68346774193548399</v>
      </c>
      <c r="P5733" t="s">
        <v>11840</v>
      </c>
      <c r="Q5733" t="s">
        <v>11841</v>
      </c>
      <c r="R5733" t="s">
        <v>75</v>
      </c>
      <c r="S5733" t="s">
        <v>76</v>
      </c>
      <c r="T5733" t="s">
        <v>11842</v>
      </c>
      <c r="U5733" t="s">
        <v>11843</v>
      </c>
      <c r="V5733" t="s">
        <v>11844</v>
      </c>
      <c r="W5733" t="s">
        <v>11845</v>
      </c>
      <c r="X5733" t="s">
        <v>11844</v>
      </c>
      <c r="Y5733" t="s">
        <v>619</v>
      </c>
      <c r="Z5733" t="s">
        <v>891</v>
      </c>
      <c r="AA5733" t="s">
        <v>892</v>
      </c>
      <c r="AB5733" t="s">
        <v>891</v>
      </c>
      <c r="AC5733" t="s">
        <v>893</v>
      </c>
      <c r="AD5733" t="s">
        <v>219</v>
      </c>
      <c r="AE5733" t="s">
        <v>11846</v>
      </c>
      <c r="AF5733" t="s">
        <v>11847</v>
      </c>
    </row>
    <row r="5734" spans="1:32" hidden="1" x14ac:dyDescent="0.35">
      <c r="A5734">
        <v>5733</v>
      </c>
      <c r="B5734" t="s">
        <v>11839</v>
      </c>
      <c r="C5734" t="s">
        <v>57</v>
      </c>
      <c r="D5734" t="s">
        <v>62</v>
      </c>
      <c r="E5734">
        <v>2294</v>
      </c>
      <c r="F5734">
        <v>4</v>
      </c>
      <c r="G5734">
        <v>4</v>
      </c>
      <c r="H5734">
        <v>1</v>
      </c>
      <c r="I5734">
        <v>0</v>
      </c>
      <c r="J5734">
        <v>0.79648862512364005</v>
      </c>
      <c r="K5734">
        <v>0.91123590614252803</v>
      </c>
      <c r="L5734">
        <v>0.85000715368143198</v>
      </c>
      <c r="M5734">
        <v>0.52822580645161299</v>
      </c>
      <c r="N5734">
        <v>0.98790322580645196</v>
      </c>
      <c r="O5734">
        <v>0.68346774193548399</v>
      </c>
      <c r="P5734" t="s">
        <v>11840</v>
      </c>
      <c r="Q5734" t="s">
        <v>11841</v>
      </c>
      <c r="R5734" t="s">
        <v>75</v>
      </c>
      <c r="S5734" t="s">
        <v>76</v>
      </c>
      <c r="T5734" t="s">
        <v>11842</v>
      </c>
      <c r="U5734" t="s">
        <v>11843</v>
      </c>
      <c r="V5734" t="s">
        <v>11844</v>
      </c>
      <c r="W5734" t="s">
        <v>11845</v>
      </c>
      <c r="X5734" t="s">
        <v>11844</v>
      </c>
      <c r="Y5734" t="s">
        <v>619</v>
      </c>
      <c r="Z5734" t="s">
        <v>891</v>
      </c>
      <c r="AA5734" t="s">
        <v>892</v>
      </c>
      <c r="AB5734" t="s">
        <v>891</v>
      </c>
      <c r="AC5734" t="s">
        <v>893</v>
      </c>
      <c r="AD5734" t="s">
        <v>219</v>
      </c>
      <c r="AE5734" t="s">
        <v>11846</v>
      </c>
      <c r="AF5734" t="s">
        <v>11848</v>
      </c>
    </row>
    <row r="5735" spans="1:32" hidden="1" x14ac:dyDescent="0.35">
      <c r="A5735">
        <v>5734</v>
      </c>
      <c r="B5735" t="s">
        <v>11839</v>
      </c>
      <c r="C5735" t="s">
        <v>57</v>
      </c>
      <c r="D5735" t="s">
        <v>34</v>
      </c>
      <c r="E5735">
        <v>1531</v>
      </c>
      <c r="F5735">
        <v>4</v>
      </c>
      <c r="G5735">
        <v>4</v>
      </c>
      <c r="H5735">
        <v>1</v>
      </c>
      <c r="I5735">
        <v>0</v>
      </c>
      <c r="J5735">
        <v>0.79648862512364005</v>
      </c>
      <c r="K5735">
        <v>0.91123590614252803</v>
      </c>
      <c r="L5735">
        <v>0.85000715368143198</v>
      </c>
      <c r="M5735">
        <v>0.52822580645161299</v>
      </c>
      <c r="N5735">
        <v>0.98790322580645196</v>
      </c>
      <c r="O5735">
        <v>0.68346774193548399</v>
      </c>
      <c r="P5735" t="s">
        <v>11840</v>
      </c>
      <c r="Q5735" t="s">
        <v>11841</v>
      </c>
      <c r="R5735" t="s">
        <v>75</v>
      </c>
      <c r="S5735" t="s">
        <v>76</v>
      </c>
      <c r="T5735" t="s">
        <v>11842</v>
      </c>
      <c r="U5735" t="s">
        <v>11843</v>
      </c>
      <c r="V5735" t="s">
        <v>11844</v>
      </c>
      <c r="W5735" t="s">
        <v>11845</v>
      </c>
      <c r="X5735" t="s">
        <v>11844</v>
      </c>
      <c r="Y5735" t="s">
        <v>619</v>
      </c>
      <c r="Z5735" t="s">
        <v>891</v>
      </c>
      <c r="AA5735" t="s">
        <v>892</v>
      </c>
      <c r="AB5735" t="s">
        <v>891</v>
      </c>
      <c r="AC5735" t="s">
        <v>893</v>
      </c>
      <c r="AD5735" t="s">
        <v>219</v>
      </c>
      <c r="AE5735" t="s">
        <v>11846</v>
      </c>
      <c r="AF5735" t="s">
        <v>11849</v>
      </c>
    </row>
    <row r="5736" spans="1:32" hidden="1" x14ac:dyDescent="0.35">
      <c r="A5736">
        <v>5735</v>
      </c>
      <c r="B5736" t="s">
        <v>11839</v>
      </c>
      <c r="C5736" t="s">
        <v>57</v>
      </c>
      <c r="D5736" t="s">
        <v>45</v>
      </c>
      <c r="E5736">
        <v>281</v>
      </c>
      <c r="F5736">
        <v>4</v>
      </c>
      <c r="G5736">
        <v>4</v>
      </c>
      <c r="H5736">
        <v>1</v>
      </c>
      <c r="I5736">
        <v>0</v>
      </c>
      <c r="J5736">
        <v>0.79648862512364005</v>
      </c>
      <c r="K5736">
        <v>0.91123590614252803</v>
      </c>
      <c r="L5736">
        <v>0.85000715368143198</v>
      </c>
      <c r="M5736">
        <v>0.52822580645161299</v>
      </c>
      <c r="N5736">
        <v>0.98790322580645196</v>
      </c>
      <c r="O5736">
        <v>0.68346774193548399</v>
      </c>
      <c r="P5736" t="s">
        <v>11840</v>
      </c>
      <c r="Q5736" t="s">
        <v>11841</v>
      </c>
      <c r="R5736" t="s">
        <v>75</v>
      </c>
      <c r="S5736" t="s">
        <v>76</v>
      </c>
      <c r="T5736" t="s">
        <v>11842</v>
      </c>
      <c r="U5736" t="s">
        <v>11843</v>
      </c>
      <c r="V5736" t="s">
        <v>11844</v>
      </c>
      <c r="W5736" t="s">
        <v>11845</v>
      </c>
      <c r="X5736" t="s">
        <v>11844</v>
      </c>
      <c r="Y5736" t="s">
        <v>619</v>
      </c>
      <c r="Z5736" t="s">
        <v>891</v>
      </c>
      <c r="AA5736" t="s">
        <v>892</v>
      </c>
      <c r="AB5736" t="s">
        <v>891</v>
      </c>
      <c r="AC5736" t="s">
        <v>893</v>
      </c>
      <c r="AD5736" t="s">
        <v>219</v>
      </c>
      <c r="AE5736" t="s">
        <v>11846</v>
      </c>
      <c r="AF5736" t="s">
        <v>11850</v>
      </c>
    </row>
    <row r="5737" spans="1:32" hidden="1" x14ac:dyDescent="0.35">
      <c r="A5737">
        <v>5736</v>
      </c>
      <c r="B5737" t="s">
        <v>11851</v>
      </c>
      <c r="C5737" t="s">
        <v>57</v>
      </c>
      <c r="D5737" t="s">
        <v>60</v>
      </c>
      <c r="E5737">
        <v>2350</v>
      </c>
      <c r="F5737">
        <v>4</v>
      </c>
      <c r="G5737">
        <v>4</v>
      </c>
      <c r="H5737">
        <v>1</v>
      </c>
      <c r="I5737">
        <v>0</v>
      </c>
      <c r="J5737">
        <v>0.79646522234891703</v>
      </c>
      <c r="K5737">
        <v>0.89286949860380205</v>
      </c>
      <c r="L5737">
        <v>0.84191663725823196</v>
      </c>
      <c r="M5737">
        <v>0.50151975683890604</v>
      </c>
      <c r="N5737">
        <v>0.99392097264437695</v>
      </c>
      <c r="O5737">
        <v>0.66616008105369795</v>
      </c>
      <c r="P5737" t="s">
        <v>11852</v>
      </c>
      <c r="Q5737" t="s">
        <v>11853</v>
      </c>
      <c r="R5737" t="s">
        <v>342</v>
      </c>
      <c r="S5737" t="s">
        <v>343</v>
      </c>
      <c r="T5737" t="s">
        <v>11854</v>
      </c>
      <c r="U5737" t="s">
        <v>407</v>
      </c>
      <c r="V5737" t="s">
        <v>11855</v>
      </c>
      <c r="W5737" t="s">
        <v>11856</v>
      </c>
      <c r="AD5737" t="s">
        <v>410</v>
      </c>
      <c r="AE5737" t="s">
        <v>411</v>
      </c>
      <c r="AF5737" t="s">
        <v>11857</v>
      </c>
    </row>
    <row r="5738" spans="1:32" hidden="1" x14ac:dyDescent="0.35">
      <c r="A5738">
        <v>5737</v>
      </c>
      <c r="B5738" t="s">
        <v>11851</v>
      </c>
      <c r="C5738" t="s">
        <v>57</v>
      </c>
      <c r="D5738" t="s">
        <v>62</v>
      </c>
      <c r="E5738">
        <v>2378</v>
      </c>
      <c r="F5738">
        <v>4</v>
      </c>
      <c r="G5738">
        <v>4</v>
      </c>
      <c r="H5738">
        <v>1</v>
      </c>
      <c r="I5738">
        <v>0</v>
      </c>
      <c r="J5738">
        <v>0.79646522234891703</v>
      </c>
      <c r="K5738">
        <v>0.89286949860380205</v>
      </c>
      <c r="L5738">
        <v>0.84191663725823196</v>
      </c>
      <c r="M5738">
        <v>0.50151975683890604</v>
      </c>
      <c r="N5738">
        <v>0.99392097264437695</v>
      </c>
      <c r="O5738">
        <v>0.66616008105369795</v>
      </c>
      <c r="P5738" t="s">
        <v>11852</v>
      </c>
      <c r="Q5738" t="s">
        <v>11853</v>
      </c>
      <c r="R5738" t="s">
        <v>342</v>
      </c>
      <c r="S5738" t="s">
        <v>343</v>
      </c>
      <c r="T5738" t="s">
        <v>11854</v>
      </c>
      <c r="U5738" t="s">
        <v>407</v>
      </c>
      <c r="V5738" t="s">
        <v>11855</v>
      </c>
      <c r="W5738" t="s">
        <v>11856</v>
      </c>
      <c r="AD5738" t="s">
        <v>410</v>
      </c>
      <c r="AE5738" t="s">
        <v>411</v>
      </c>
      <c r="AF5738" t="s">
        <v>11858</v>
      </c>
    </row>
    <row r="5739" spans="1:32" hidden="1" x14ac:dyDescent="0.35">
      <c r="A5739">
        <v>5738</v>
      </c>
      <c r="B5739" t="s">
        <v>11851</v>
      </c>
      <c r="C5739" t="s">
        <v>57</v>
      </c>
      <c r="D5739" t="s">
        <v>34</v>
      </c>
      <c r="E5739">
        <v>1377</v>
      </c>
      <c r="F5739">
        <v>4</v>
      </c>
      <c r="G5739">
        <v>4</v>
      </c>
      <c r="H5739">
        <v>1</v>
      </c>
      <c r="I5739">
        <v>0</v>
      </c>
      <c r="J5739">
        <v>0.79646522234891703</v>
      </c>
      <c r="K5739">
        <v>0.89286949860380205</v>
      </c>
      <c r="L5739">
        <v>0.84191663725823196</v>
      </c>
      <c r="M5739">
        <v>0.50151975683890604</v>
      </c>
      <c r="N5739">
        <v>0.99392097264437695</v>
      </c>
      <c r="O5739">
        <v>0.66616008105369795</v>
      </c>
      <c r="P5739" t="s">
        <v>11852</v>
      </c>
      <c r="Q5739" t="s">
        <v>11853</v>
      </c>
      <c r="R5739" t="s">
        <v>342</v>
      </c>
      <c r="S5739" t="s">
        <v>343</v>
      </c>
      <c r="T5739" t="s">
        <v>11854</v>
      </c>
      <c r="U5739" t="s">
        <v>407</v>
      </c>
      <c r="V5739" t="s">
        <v>11855</v>
      </c>
      <c r="W5739" t="s">
        <v>11856</v>
      </c>
      <c r="AD5739" t="s">
        <v>410</v>
      </c>
      <c r="AE5739" t="s">
        <v>411</v>
      </c>
      <c r="AF5739" t="e">
        <f>----MLIILAGAFAQLVDGGIGMGFGVTSTTILLL--SMGPAQASAVVHAAEVGTTLASGLSHWRFGNVNWRVVLTLGVPGAIGAATGATLLSHIATDSAKPITAIILALVGVNLLWRFSRGVIARHNTPKPYRTPFLIFLGVFGGLIDATGGGGWGPITTSTLMSLGKEEPRRVVGTVNTAEFLVASAATMGFTLGLWQELQTNAVAVLCLLLGGVLTAPLSAWLIHHMNPIILGGFVGTALISLNIPHSWP--------------YAVVAGVILTWRGVRRSRKAHVVMSTEVPCDESDDFPAAGASTSTQTRAMLGAVNGISSGVK</f>
        <v>#NAME?</v>
      </c>
    </row>
    <row r="5740" spans="1:32" hidden="1" x14ac:dyDescent="0.35">
      <c r="A5740">
        <v>5739</v>
      </c>
      <c r="B5740" t="s">
        <v>11851</v>
      </c>
      <c r="C5740" t="s">
        <v>57</v>
      </c>
      <c r="D5740" t="s">
        <v>45</v>
      </c>
      <c r="E5740">
        <v>127</v>
      </c>
      <c r="F5740">
        <v>4</v>
      </c>
      <c r="G5740">
        <v>4</v>
      </c>
      <c r="H5740">
        <v>1</v>
      </c>
      <c r="I5740">
        <v>0</v>
      </c>
      <c r="J5740">
        <v>0.79646522234891703</v>
      </c>
      <c r="K5740">
        <v>0.89286949860380205</v>
      </c>
      <c r="L5740">
        <v>0.84191663725823196</v>
      </c>
      <c r="M5740">
        <v>0.50151975683890604</v>
      </c>
      <c r="N5740">
        <v>0.99392097264437695</v>
      </c>
      <c r="O5740">
        <v>0.66616008105369795</v>
      </c>
      <c r="P5740" t="s">
        <v>11852</v>
      </c>
      <c r="Q5740" t="s">
        <v>11853</v>
      </c>
      <c r="R5740" t="s">
        <v>342</v>
      </c>
      <c r="S5740" t="s">
        <v>343</v>
      </c>
      <c r="T5740" t="s">
        <v>11854</v>
      </c>
      <c r="U5740" t="s">
        <v>407</v>
      </c>
      <c r="V5740" t="s">
        <v>11855</v>
      </c>
      <c r="W5740" t="s">
        <v>11856</v>
      </c>
      <c r="AD5740" t="s">
        <v>410</v>
      </c>
      <c r="AE5740" t="s">
        <v>411</v>
      </c>
      <c r="AF5740" t="e">
        <f>----MLIIFAGAFAQLVDGGIGMGFGVTSTTILLL--SMGPAQASAVVHAAEVGTTLASGLSHWRFGNVNWRVVLTLGVPGAIGAATGATLLSHIATDSAKPITAIILALVGVNLLWRFSRGVIARHNTPKPYRTPFLIFLGIFGGLIDATGGGGWGPITTSTLMSLGKEEPRRVVGTVNTAEFLVASAATMGFTLGLWQELQTNAVAVLCLLLGGVLTAPLSAWLIHHMNPIILGGFVGTALISLNIPHSWP--------------YAVVAGVILTWRGVRRSRKAHVVMSTEVPCDESDDFPAAGASTSTQTRAMLGAVNGISSGVK</f>
        <v>#NAME?</v>
      </c>
    </row>
    <row r="5741" spans="1:32" hidden="1" x14ac:dyDescent="0.35">
      <c r="A5741">
        <v>5740</v>
      </c>
      <c r="B5741" t="s">
        <v>11859</v>
      </c>
      <c r="C5741" t="s">
        <v>57</v>
      </c>
      <c r="D5741" t="s">
        <v>60</v>
      </c>
      <c r="E5741">
        <v>1913</v>
      </c>
      <c r="F5741">
        <v>4</v>
      </c>
      <c r="G5741">
        <v>4</v>
      </c>
      <c r="H5741">
        <v>1</v>
      </c>
      <c r="I5741">
        <v>0</v>
      </c>
      <c r="J5741">
        <v>0.80087801818752002</v>
      </c>
      <c r="K5741">
        <v>0.94374122956726303</v>
      </c>
      <c r="L5741">
        <v>0.86646023949395101</v>
      </c>
      <c r="M5741">
        <v>0.54787234042553201</v>
      </c>
      <c r="N5741">
        <v>0.99468085106382997</v>
      </c>
      <c r="O5741">
        <v>0.69769503546099298</v>
      </c>
      <c r="P5741" t="s">
        <v>8002</v>
      </c>
      <c r="Q5741" t="s">
        <v>8003</v>
      </c>
      <c r="R5741" t="s">
        <v>75</v>
      </c>
      <c r="S5741" t="s">
        <v>76</v>
      </c>
      <c r="T5741" t="s">
        <v>11860</v>
      </c>
      <c r="U5741" t="s">
        <v>11861</v>
      </c>
      <c r="V5741" t="s">
        <v>11862</v>
      </c>
      <c r="W5741" t="s">
        <v>11863</v>
      </c>
      <c r="X5741" t="s">
        <v>11862</v>
      </c>
      <c r="Y5741" t="s">
        <v>619</v>
      </c>
      <c r="Z5741" t="s">
        <v>11864</v>
      </c>
      <c r="AA5741" t="s">
        <v>11865</v>
      </c>
      <c r="AB5741" t="s">
        <v>11864</v>
      </c>
      <c r="AC5741" t="s">
        <v>11866</v>
      </c>
      <c r="AD5741" t="s">
        <v>219</v>
      </c>
      <c r="AE5741" t="s">
        <v>11867</v>
      </c>
      <c r="AF5741" t="s">
        <v>11868</v>
      </c>
    </row>
    <row r="5742" spans="1:32" hidden="1" x14ac:dyDescent="0.35">
      <c r="A5742">
        <v>5741</v>
      </c>
      <c r="B5742" t="s">
        <v>11859</v>
      </c>
      <c r="C5742" t="s">
        <v>57</v>
      </c>
      <c r="D5742" t="s">
        <v>62</v>
      </c>
      <c r="E5742">
        <v>1953</v>
      </c>
      <c r="F5742">
        <v>4</v>
      </c>
      <c r="G5742">
        <v>4</v>
      </c>
      <c r="H5742">
        <v>1</v>
      </c>
      <c r="I5742">
        <v>0</v>
      </c>
      <c r="J5742">
        <v>0.80087801818752002</v>
      </c>
      <c r="K5742">
        <v>0.94374122956726303</v>
      </c>
      <c r="L5742">
        <v>0.86646023949395101</v>
      </c>
      <c r="M5742">
        <v>0.54787234042553201</v>
      </c>
      <c r="N5742">
        <v>0.99468085106382997</v>
      </c>
      <c r="O5742">
        <v>0.69769503546099298</v>
      </c>
      <c r="P5742" t="s">
        <v>8002</v>
      </c>
      <c r="Q5742" t="s">
        <v>8003</v>
      </c>
      <c r="R5742" t="s">
        <v>75</v>
      </c>
      <c r="S5742" t="s">
        <v>76</v>
      </c>
      <c r="T5742" t="s">
        <v>11860</v>
      </c>
      <c r="U5742" t="s">
        <v>11861</v>
      </c>
      <c r="V5742" t="s">
        <v>11862</v>
      </c>
      <c r="W5742" t="s">
        <v>11863</v>
      </c>
      <c r="X5742" t="s">
        <v>11862</v>
      </c>
      <c r="Y5742" t="s">
        <v>619</v>
      </c>
      <c r="Z5742" t="s">
        <v>11864</v>
      </c>
      <c r="AA5742" t="s">
        <v>11865</v>
      </c>
      <c r="AB5742" t="s">
        <v>11864</v>
      </c>
      <c r="AC5742" t="s">
        <v>11866</v>
      </c>
      <c r="AD5742" t="s">
        <v>219</v>
      </c>
      <c r="AE5742" t="s">
        <v>11867</v>
      </c>
      <c r="AF5742" t="s">
        <v>11869</v>
      </c>
    </row>
    <row r="5743" spans="1:32" hidden="1" x14ac:dyDescent="0.35">
      <c r="A5743">
        <v>5742</v>
      </c>
      <c r="B5743" t="s">
        <v>11859</v>
      </c>
      <c r="C5743" t="s">
        <v>57</v>
      </c>
      <c r="D5743" t="s">
        <v>34</v>
      </c>
      <c r="E5743">
        <v>2280</v>
      </c>
      <c r="F5743">
        <v>4</v>
      </c>
      <c r="G5743">
        <v>4</v>
      </c>
      <c r="H5743">
        <v>1</v>
      </c>
      <c r="I5743">
        <v>0</v>
      </c>
      <c r="J5743">
        <v>0.80087801818752002</v>
      </c>
      <c r="K5743">
        <v>0.94374122956726303</v>
      </c>
      <c r="L5743">
        <v>0.86646023949395101</v>
      </c>
      <c r="M5743">
        <v>0.54787234042553201</v>
      </c>
      <c r="N5743">
        <v>0.99468085106382997</v>
      </c>
      <c r="O5743">
        <v>0.69769503546099298</v>
      </c>
      <c r="P5743" t="s">
        <v>8002</v>
      </c>
      <c r="Q5743" t="s">
        <v>8003</v>
      </c>
      <c r="R5743" t="s">
        <v>75</v>
      </c>
      <c r="S5743" t="s">
        <v>76</v>
      </c>
      <c r="T5743" t="s">
        <v>11860</v>
      </c>
      <c r="U5743" t="s">
        <v>11861</v>
      </c>
      <c r="V5743" t="s">
        <v>11862</v>
      </c>
      <c r="W5743" t="s">
        <v>11863</v>
      </c>
      <c r="X5743" t="s">
        <v>11862</v>
      </c>
      <c r="Y5743" t="s">
        <v>619</v>
      </c>
      <c r="Z5743" t="s">
        <v>11864</v>
      </c>
      <c r="AA5743" t="s">
        <v>11865</v>
      </c>
      <c r="AB5743" t="s">
        <v>11864</v>
      </c>
      <c r="AC5743" t="s">
        <v>11866</v>
      </c>
      <c r="AD5743" t="s">
        <v>219</v>
      </c>
      <c r="AE5743" t="s">
        <v>11867</v>
      </c>
      <c r="AF5743" t="e">
        <f>------MTDVVVLVDDHGHPIGTAPKATVHTTDTPLHLAFSCYVVH-NGKILVTRRALLKKTWPGVWTNSACGHLAPKETAQQAVLRWVPHELGVP---VRNLRCVLPEFRYRAVDSRGIVENEICPVFIAEVSGEVQPAADEVDSYQWVTPADLLAAVDAAPFTFSPWMVEQLAFPELRSALLALSA</f>
        <v>#NAME?</v>
      </c>
    </row>
    <row r="5744" spans="1:32" hidden="1" x14ac:dyDescent="0.35">
      <c r="A5744">
        <v>5743</v>
      </c>
      <c r="B5744" t="s">
        <v>11859</v>
      </c>
      <c r="C5744" t="s">
        <v>57</v>
      </c>
      <c r="D5744" t="s">
        <v>45</v>
      </c>
      <c r="E5744">
        <v>597</v>
      </c>
      <c r="F5744">
        <v>4</v>
      </c>
      <c r="G5744">
        <v>4</v>
      </c>
      <c r="H5744">
        <v>1</v>
      </c>
      <c r="I5744">
        <v>0</v>
      </c>
      <c r="J5744">
        <v>0.80087801818752002</v>
      </c>
      <c r="K5744">
        <v>0.94374122956726303</v>
      </c>
      <c r="L5744">
        <v>0.86646023949395101</v>
      </c>
      <c r="M5744">
        <v>0.54787234042553201</v>
      </c>
      <c r="N5744">
        <v>0.99468085106382997</v>
      </c>
      <c r="O5744">
        <v>0.69769503546099298</v>
      </c>
      <c r="P5744" t="s">
        <v>8002</v>
      </c>
      <c r="Q5744" t="s">
        <v>8003</v>
      </c>
      <c r="R5744" t="s">
        <v>75</v>
      </c>
      <c r="S5744" t="s">
        <v>76</v>
      </c>
      <c r="T5744" t="s">
        <v>11860</v>
      </c>
      <c r="U5744" t="s">
        <v>11861</v>
      </c>
      <c r="V5744" t="s">
        <v>11862</v>
      </c>
      <c r="W5744" t="s">
        <v>11863</v>
      </c>
      <c r="X5744" t="s">
        <v>11862</v>
      </c>
      <c r="Y5744" t="s">
        <v>619</v>
      </c>
      <c r="Z5744" t="s">
        <v>11864</v>
      </c>
      <c r="AA5744" t="s">
        <v>11865</v>
      </c>
      <c r="AB5744" t="s">
        <v>11864</v>
      </c>
      <c r="AC5744" t="s">
        <v>11866</v>
      </c>
      <c r="AD5744" t="s">
        <v>219</v>
      </c>
      <c r="AE5744" t="s">
        <v>11867</v>
      </c>
      <c r="AF5744" t="e">
        <f>------MTDVVVLVDDHGHPIGTAPKATVHTTDTPLHLAFSCYVAH-NGKILVTRRALLKKTWPGVWTNSACGHLAPKETAQQAVLRWVPHELGVP---VRNLRCVLPEFRYRAVDSRGIVENEICPVFIAEVSGEVQPAADEVDSYQWVTPADLLAAVDAAPFTFSPWMVEQLAFPELRAALLALSA</f>
        <v>#NAME?</v>
      </c>
    </row>
    <row r="5745" spans="1:32" hidden="1" x14ac:dyDescent="0.35">
      <c r="A5745">
        <v>5744</v>
      </c>
      <c r="B5745" t="s">
        <v>11870</v>
      </c>
      <c r="C5745" t="s">
        <v>57</v>
      </c>
      <c r="D5745" t="s">
        <v>60</v>
      </c>
      <c r="E5745">
        <v>822</v>
      </c>
      <c r="F5745">
        <v>4</v>
      </c>
      <c r="G5745">
        <v>4</v>
      </c>
      <c r="H5745">
        <v>1</v>
      </c>
      <c r="I5745">
        <v>0</v>
      </c>
      <c r="J5745">
        <v>0.97729988052568695</v>
      </c>
      <c r="K5745">
        <v>1</v>
      </c>
      <c r="L5745">
        <v>0.98851963746223603</v>
      </c>
      <c r="M5745">
        <v>0.94623655913978499</v>
      </c>
      <c r="N5745">
        <v>0.99462365591397806</v>
      </c>
      <c r="O5745">
        <v>0.96594982078852998</v>
      </c>
      <c r="P5745" t="s">
        <v>2163</v>
      </c>
      <c r="Q5745" t="s">
        <v>2164</v>
      </c>
      <c r="R5745" t="s">
        <v>113</v>
      </c>
      <c r="S5745" t="s">
        <v>114</v>
      </c>
      <c r="T5745" t="s">
        <v>11871</v>
      </c>
      <c r="U5745" t="s">
        <v>11872</v>
      </c>
      <c r="V5745" t="s">
        <v>2167</v>
      </c>
      <c r="W5745" t="s">
        <v>2168</v>
      </c>
      <c r="AD5745" t="s">
        <v>312</v>
      </c>
      <c r="AE5745" t="s">
        <v>2169</v>
      </c>
      <c r="AF5745" t="s">
        <v>11873</v>
      </c>
    </row>
    <row r="5746" spans="1:32" hidden="1" x14ac:dyDescent="0.35">
      <c r="A5746">
        <v>5745</v>
      </c>
      <c r="B5746" t="s">
        <v>11870</v>
      </c>
      <c r="C5746" t="s">
        <v>57</v>
      </c>
      <c r="D5746" t="s">
        <v>62</v>
      </c>
      <c r="E5746">
        <v>855</v>
      </c>
      <c r="F5746">
        <v>4</v>
      </c>
      <c r="G5746">
        <v>4</v>
      </c>
      <c r="H5746">
        <v>1</v>
      </c>
      <c r="I5746">
        <v>0</v>
      </c>
      <c r="J5746">
        <v>0.97729988052568695</v>
      </c>
      <c r="K5746">
        <v>1</v>
      </c>
      <c r="L5746">
        <v>0.98851963746223603</v>
      </c>
      <c r="M5746">
        <v>0.94623655913978499</v>
      </c>
      <c r="N5746">
        <v>0.99462365591397806</v>
      </c>
      <c r="O5746">
        <v>0.96594982078852998</v>
      </c>
      <c r="P5746" t="s">
        <v>2163</v>
      </c>
      <c r="Q5746" t="s">
        <v>2164</v>
      </c>
      <c r="R5746" t="s">
        <v>113</v>
      </c>
      <c r="S5746" t="s">
        <v>114</v>
      </c>
      <c r="T5746" t="s">
        <v>11871</v>
      </c>
      <c r="U5746" t="s">
        <v>11872</v>
      </c>
      <c r="V5746" t="s">
        <v>2167</v>
      </c>
      <c r="W5746" t="s">
        <v>2168</v>
      </c>
      <c r="AD5746" t="s">
        <v>312</v>
      </c>
      <c r="AE5746" t="s">
        <v>2169</v>
      </c>
      <c r="AF5746" t="s">
        <v>11874</v>
      </c>
    </row>
    <row r="5747" spans="1:32" hidden="1" x14ac:dyDescent="0.35">
      <c r="A5747">
        <v>5746</v>
      </c>
      <c r="B5747" t="s">
        <v>11870</v>
      </c>
      <c r="C5747" t="s">
        <v>57</v>
      </c>
      <c r="D5747" t="s">
        <v>34</v>
      </c>
      <c r="E5747">
        <v>1646</v>
      </c>
      <c r="F5747">
        <v>4</v>
      </c>
      <c r="G5747">
        <v>4</v>
      </c>
      <c r="H5747">
        <v>1</v>
      </c>
      <c r="I5747">
        <v>0</v>
      </c>
      <c r="J5747">
        <v>0.97729988052568695</v>
      </c>
      <c r="K5747">
        <v>1</v>
      </c>
      <c r="L5747">
        <v>0.98851963746223603</v>
      </c>
      <c r="M5747">
        <v>0.94623655913978499</v>
      </c>
      <c r="N5747">
        <v>0.99462365591397806</v>
      </c>
      <c r="O5747">
        <v>0.96594982078852998</v>
      </c>
      <c r="P5747" t="s">
        <v>2163</v>
      </c>
      <c r="Q5747" t="s">
        <v>2164</v>
      </c>
      <c r="R5747" t="s">
        <v>113</v>
      </c>
      <c r="S5747" t="s">
        <v>114</v>
      </c>
      <c r="T5747" t="s">
        <v>11871</v>
      </c>
      <c r="U5747" t="s">
        <v>11872</v>
      </c>
      <c r="V5747" t="s">
        <v>2167</v>
      </c>
      <c r="W5747" t="s">
        <v>2168</v>
      </c>
      <c r="AD5747" t="s">
        <v>312</v>
      </c>
      <c r="AE5747" t="s">
        <v>2169</v>
      </c>
      <c r="AF5747" t="s">
        <v>11875</v>
      </c>
    </row>
    <row r="5748" spans="1:32" hidden="1" x14ac:dyDescent="0.35">
      <c r="A5748">
        <v>5747</v>
      </c>
      <c r="B5748" t="s">
        <v>11870</v>
      </c>
      <c r="C5748" t="s">
        <v>57</v>
      </c>
      <c r="D5748" t="s">
        <v>45</v>
      </c>
      <c r="E5748">
        <v>393</v>
      </c>
      <c r="F5748">
        <v>4</v>
      </c>
      <c r="G5748">
        <v>4</v>
      </c>
      <c r="H5748">
        <v>1</v>
      </c>
      <c r="I5748">
        <v>0</v>
      </c>
      <c r="J5748">
        <v>0.97729988052568695</v>
      </c>
      <c r="K5748">
        <v>1</v>
      </c>
      <c r="L5748">
        <v>0.98851963746223603</v>
      </c>
      <c r="M5748">
        <v>0.94623655913978499</v>
      </c>
      <c r="N5748">
        <v>0.99462365591397806</v>
      </c>
      <c r="O5748">
        <v>0.96594982078852998</v>
      </c>
      <c r="P5748" t="s">
        <v>2163</v>
      </c>
      <c r="Q5748" t="s">
        <v>2164</v>
      </c>
      <c r="R5748" t="s">
        <v>113</v>
      </c>
      <c r="S5748" t="s">
        <v>114</v>
      </c>
      <c r="T5748" t="s">
        <v>11871</v>
      </c>
      <c r="U5748" t="s">
        <v>11872</v>
      </c>
      <c r="V5748" t="s">
        <v>2167</v>
      </c>
      <c r="W5748" t="s">
        <v>2168</v>
      </c>
      <c r="AD5748" t="s">
        <v>312</v>
      </c>
      <c r="AE5748" t="s">
        <v>2169</v>
      </c>
      <c r="AF5748" t="s">
        <v>11876</v>
      </c>
    </row>
    <row r="5749" spans="1:32" hidden="1" x14ac:dyDescent="0.35">
      <c r="A5749">
        <v>5748</v>
      </c>
      <c r="B5749" t="s">
        <v>11877</v>
      </c>
      <c r="C5749" t="s">
        <v>57</v>
      </c>
      <c r="D5749" t="s">
        <v>60</v>
      </c>
      <c r="E5749">
        <v>840</v>
      </c>
      <c r="F5749">
        <v>4</v>
      </c>
      <c r="G5749">
        <v>4</v>
      </c>
      <c r="H5749">
        <v>1</v>
      </c>
      <c r="I5749">
        <v>0</v>
      </c>
      <c r="J5749">
        <v>0.85269419174247696</v>
      </c>
      <c r="K5749">
        <v>0.93964807653481297</v>
      </c>
      <c r="L5749">
        <v>0.89406188909814699</v>
      </c>
      <c r="M5749">
        <v>0.62401574803149595</v>
      </c>
      <c r="N5749">
        <v>0.99803149606299202</v>
      </c>
      <c r="O5749">
        <v>0.74704724409448797</v>
      </c>
      <c r="P5749" t="s">
        <v>11878</v>
      </c>
      <c r="Q5749" t="s">
        <v>7739</v>
      </c>
      <c r="R5749" t="s">
        <v>235</v>
      </c>
      <c r="S5749" t="s">
        <v>236</v>
      </c>
      <c r="T5749" t="s">
        <v>11879</v>
      </c>
      <c r="U5749" t="s">
        <v>11880</v>
      </c>
      <c r="V5749" t="s">
        <v>11881</v>
      </c>
      <c r="W5749" t="s">
        <v>11882</v>
      </c>
      <c r="AD5749" t="s">
        <v>166</v>
      </c>
      <c r="AE5749" t="s">
        <v>818</v>
      </c>
      <c r="AF5749" t="s">
        <v>11883</v>
      </c>
    </row>
    <row r="5750" spans="1:32" hidden="1" x14ac:dyDescent="0.35">
      <c r="A5750">
        <v>5749</v>
      </c>
      <c r="B5750" t="s">
        <v>11877</v>
      </c>
      <c r="C5750" t="s">
        <v>57</v>
      </c>
      <c r="D5750" t="s">
        <v>62</v>
      </c>
      <c r="E5750">
        <v>874</v>
      </c>
      <c r="F5750">
        <v>4</v>
      </c>
      <c r="G5750">
        <v>4</v>
      </c>
      <c r="H5750">
        <v>1</v>
      </c>
      <c r="I5750">
        <v>0</v>
      </c>
      <c r="J5750">
        <v>0.85269419174247696</v>
      </c>
      <c r="K5750">
        <v>0.93964807653481297</v>
      </c>
      <c r="L5750">
        <v>0.89406188909814699</v>
      </c>
      <c r="M5750">
        <v>0.62401574803149595</v>
      </c>
      <c r="N5750">
        <v>0.99803149606299202</v>
      </c>
      <c r="O5750">
        <v>0.74704724409448797</v>
      </c>
      <c r="P5750" t="s">
        <v>11878</v>
      </c>
      <c r="Q5750" t="s">
        <v>7739</v>
      </c>
      <c r="R5750" t="s">
        <v>235</v>
      </c>
      <c r="S5750" t="s">
        <v>236</v>
      </c>
      <c r="T5750" t="s">
        <v>11879</v>
      </c>
      <c r="U5750" t="s">
        <v>11880</v>
      </c>
      <c r="V5750" t="s">
        <v>11881</v>
      </c>
      <c r="W5750" t="s">
        <v>11882</v>
      </c>
      <c r="AD5750" t="s">
        <v>166</v>
      </c>
      <c r="AE5750" t="s">
        <v>818</v>
      </c>
      <c r="AF5750" t="s">
        <v>11883</v>
      </c>
    </row>
    <row r="5751" spans="1:32" hidden="1" x14ac:dyDescent="0.35">
      <c r="A5751">
        <v>5750</v>
      </c>
      <c r="B5751" t="s">
        <v>11877</v>
      </c>
      <c r="C5751" t="s">
        <v>57</v>
      </c>
      <c r="D5751" t="s">
        <v>34</v>
      </c>
      <c r="E5751">
        <v>306</v>
      </c>
      <c r="F5751">
        <v>4</v>
      </c>
      <c r="G5751">
        <v>4</v>
      </c>
      <c r="H5751">
        <v>1</v>
      </c>
      <c r="I5751">
        <v>0</v>
      </c>
      <c r="J5751">
        <v>0.85269419174247696</v>
      </c>
      <c r="K5751">
        <v>0.93964807653481297</v>
      </c>
      <c r="L5751">
        <v>0.89406188909814699</v>
      </c>
      <c r="M5751">
        <v>0.62401574803149595</v>
      </c>
      <c r="N5751">
        <v>0.99803149606299202</v>
      </c>
      <c r="O5751">
        <v>0.74704724409448797</v>
      </c>
      <c r="P5751" t="s">
        <v>11878</v>
      </c>
      <c r="Q5751" t="s">
        <v>7739</v>
      </c>
      <c r="R5751" t="s">
        <v>235</v>
      </c>
      <c r="S5751" t="s">
        <v>236</v>
      </c>
      <c r="T5751" t="s">
        <v>11879</v>
      </c>
      <c r="U5751" t="s">
        <v>11880</v>
      </c>
      <c r="V5751" t="s">
        <v>11881</v>
      </c>
      <c r="W5751" t="s">
        <v>11882</v>
      </c>
      <c r="AD5751" t="s">
        <v>166</v>
      </c>
      <c r="AE5751" t="s">
        <v>818</v>
      </c>
      <c r="AF5751" t="s">
        <v>11884</v>
      </c>
    </row>
    <row r="5752" spans="1:32" hidden="1" x14ac:dyDescent="0.35">
      <c r="A5752">
        <v>5751</v>
      </c>
      <c r="B5752" t="s">
        <v>11877</v>
      </c>
      <c r="C5752" t="s">
        <v>57</v>
      </c>
      <c r="D5752" t="s">
        <v>45</v>
      </c>
      <c r="E5752">
        <v>1568</v>
      </c>
      <c r="F5752">
        <v>4</v>
      </c>
      <c r="G5752">
        <v>4</v>
      </c>
      <c r="H5752">
        <v>1</v>
      </c>
      <c r="I5752">
        <v>0</v>
      </c>
      <c r="J5752">
        <v>0.85269419174247696</v>
      </c>
      <c r="K5752">
        <v>0.93964807653481297</v>
      </c>
      <c r="L5752">
        <v>0.89406188909814699</v>
      </c>
      <c r="M5752">
        <v>0.62401574803149595</v>
      </c>
      <c r="N5752">
        <v>0.99803149606299202</v>
      </c>
      <c r="O5752">
        <v>0.74704724409448797</v>
      </c>
      <c r="P5752" t="s">
        <v>11878</v>
      </c>
      <c r="Q5752" t="s">
        <v>7739</v>
      </c>
      <c r="R5752" t="s">
        <v>235</v>
      </c>
      <c r="S5752" t="s">
        <v>236</v>
      </c>
      <c r="T5752" t="s">
        <v>11879</v>
      </c>
      <c r="U5752" t="s">
        <v>11880</v>
      </c>
      <c r="V5752" t="s">
        <v>11881</v>
      </c>
      <c r="W5752" t="s">
        <v>11882</v>
      </c>
      <c r="AD5752" t="s">
        <v>166</v>
      </c>
      <c r="AE5752" t="s">
        <v>818</v>
      </c>
      <c r="AF5752" t="s">
        <v>11885</v>
      </c>
    </row>
    <row r="5753" spans="1:32" hidden="1" x14ac:dyDescent="0.35">
      <c r="A5753">
        <v>5752</v>
      </c>
      <c r="B5753" t="s">
        <v>11886</v>
      </c>
      <c r="C5753" t="s">
        <v>57</v>
      </c>
      <c r="D5753" t="s">
        <v>60</v>
      </c>
      <c r="E5753">
        <v>1918</v>
      </c>
      <c r="F5753">
        <v>4</v>
      </c>
      <c r="G5753">
        <v>4</v>
      </c>
      <c r="H5753">
        <v>1</v>
      </c>
      <c r="I5753">
        <v>0</v>
      </c>
      <c r="J5753">
        <v>0.74829931972789099</v>
      </c>
      <c r="K5753">
        <v>0.95676595744681103</v>
      </c>
      <c r="L5753">
        <v>0.83978874554595295</v>
      </c>
      <c r="M5753">
        <v>0.5</v>
      </c>
      <c r="N5753">
        <v>0.98936170212765995</v>
      </c>
      <c r="O5753">
        <v>0.66134751773049605</v>
      </c>
      <c r="P5753" t="s">
        <v>3647</v>
      </c>
      <c r="Q5753" t="s">
        <v>3648</v>
      </c>
      <c r="R5753" t="s">
        <v>184</v>
      </c>
      <c r="S5753" t="s">
        <v>185</v>
      </c>
      <c r="T5753" t="s">
        <v>11887</v>
      </c>
      <c r="U5753" t="s">
        <v>9779</v>
      </c>
      <c r="V5753" t="s">
        <v>11888</v>
      </c>
      <c r="W5753" t="s">
        <v>11889</v>
      </c>
      <c r="Z5753" t="s">
        <v>4557</v>
      </c>
      <c r="AA5753" t="s">
        <v>4558</v>
      </c>
      <c r="AB5753" t="s">
        <v>4557</v>
      </c>
      <c r="AC5753" t="s">
        <v>1800</v>
      </c>
      <c r="AD5753" t="s">
        <v>11890</v>
      </c>
      <c r="AE5753" t="s">
        <v>11891</v>
      </c>
      <c r="AF5753" t="s">
        <v>11892</v>
      </c>
    </row>
    <row r="5754" spans="1:32" hidden="1" x14ac:dyDescent="0.35">
      <c r="A5754">
        <v>5753</v>
      </c>
      <c r="B5754" t="s">
        <v>11886</v>
      </c>
      <c r="C5754" t="s">
        <v>57</v>
      </c>
      <c r="D5754" t="s">
        <v>62</v>
      </c>
      <c r="E5754">
        <v>1958</v>
      </c>
      <c r="F5754">
        <v>4</v>
      </c>
      <c r="G5754">
        <v>4</v>
      </c>
      <c r="H5754">
        <v>1</v>
      </c>
      <c r="I5754">
        <v>0</v>
      </c>
      <c r="J5754">
        <v>0.74829931972789099</v>
      </c>
      <c r="K5754">
        <v>0.95676595744681103</v>
      </c>
      <c r="L5754">
        <v>0.83978874554595295</v>
      </c>
      <c r="M5754">
        <v>0.5</v>
      </c>
      <c r="N5754">
        <v>0.98936170212765995</v>
      </c>
      <c r="O5754">
        <v>0.66134751773049605</v>
      </c>
      <c r="P5754" t="s">
        <v>3647</v>
      </c>
      <c r="Q5754" t="s">
        <v>3648</v>
      </c>
      <c r="R5754" t="s">
        <v>184</v>
      </c>
      <c r="S5754" t="s">
        <v>185</v>
      </c>
      <c r="T5754" t="s">
        <v>11887</v>
      </c>
      <c r="U5754" t="s">
        <v>9779</v>
      </c>
      <c r="V5754" t="s">
        <v>11888</v>
      </c>
      <c r="W5754" t="s">
        <v>11889</v>
      </c>
      <c r="Z5754" t="s">
        <v>4557</v>
      </c>
      <c r="AA5754" t="s">
        <v>4558</v>
      </c>
      <c r="AB5754" t="s">
        <v>4557</v>
      </c>
      <c r="AC5754" t="s">
        <v>1800</v>
      </c>
      <c r="AD5754" t="s">
        <v>11890</v>
      </c>
      <c r="AE5754" t="s">
        <v>11891</v>
      </c>
      <c r="AF5754" t="s">
        <v>11893</v>
      </c>
    </row>
    <row r="5755" spans="1:32" hidden="1" x14ac:dyDescent="0.35">
      <c r="A5755">
        <v>5754</v>
      </c>
      <c r="B5755" t="s">
        <v>11886</v>
      </c>
      <c r="C5755" t="s">
        <v>57</v>
      </c>
      <c r="D5755" t="s">
        <v>34</v>
      </c>
      <c r="E5755">
        <v>2282</v>
      </c>
      <c r="F5755">
        <v>4</v>
      </c>
      <c r="G5755">
        <v>4</v>
      </c>
      <c r="H5755">
        <v>1</v>
      </c>
      <c r="I5755">
        <v>0</v>
      </c>
      <c r="J5755">
        <v>0.74829931972789099</v>
      </c>
      <c r="K5755">
        <v>0.95676595744681103</v>
      </c>
      <c r="L5755">
        <v>0.83978874554595295</v>
      </c>
      <c r="M5755">
        <v>0.5</v>
      </c>
      <c r="N5755">
        <v>0.98936170212765995</v>
      </c>
      <c r="O5755">
        <v>0.66134751773049605</v>
      </c>
      <c r="P5755" t="s">
        <v>3647</v>
      </c>
      <c r="Q5755" t="s">
        <v>3648</v>
      </c>
      <c r="R5755" t="s">
        <v>184</v>
      </c>
      <c r="S5755" t="s">
        <v>185</v>
      </c>
      <c r="T5755" t="s">
        <v>11887</v>
      </c>
      <c r="U5755" t="s">
        <v>9779</v>
      </c>
      <c r="V5755" t="s">
        <v>11888</v>
      </c>
      <c r="W5755" t="s">
        <v>11889</v>
      </c>
      <c r="Z5755" t="s">
        <v>4557</v>
      </c>
      <c r="AA5755" t="s">
        <v>4558</v>
      </c>
      <c r="AB5755" t="s">
        <v>4557</v>
      </c>
      <c r="AC5755" t="s">
        <v>1800</v>
      </c>
      <c r="AD5755" t="s">
        <v>11890</v>
      </c>
      <c r="AE5755" t="s">
        <v>11891</v>
      </c>
      <c r="AF5755" t="s">
        <v>11894</v>
      </c>
    </row>
    <row r="5756" spans="1:32" hidden="1" x14ac:dyDescent="0.35">
      <c r="A5756">
        <v>5755</v>
      </c>
      <c r="B5756" t="s">
        <v>11886</v>
      </c>
      <c r="C5756" t="s">
        <v>57</v>
      </c>
      <c r="D5756" t="s">
        <v>45</v>
      </c>
      <c r="E5756">
        <v>595</v>
      </c>
      <c r="F5756">
        <v>4</v>
      </c>
      <c r="G5756">
        <v>4</v>
      </c>
      <c r="H5756">
        <v>1</v>
      </c>
      <c r="I5756">
        <v>0</v>
      </c>
      <c r="J5756">
        <v>0.74829931972789099</v>
      </c>
      <c r="K5756">
        <v>0.95676595744681103</v>
      </c>
      <c r="L5756">
        <v>0.83978874554595295</v>
      </c>
      <c r="M5756">
        <v>0.5</v>
      </c>
      <c r="N5756">
        <v>0.98936170212765995</v>
      </c>
      <c r="O5756">
        <v>0.66134751773049605</v>
      </c>
      <c r="P5756" t="s">
        <v>3647</v>
      </c>
      <c r="Q5756" t="s">
        <v>3648</v>
      </c>
      <c r="R5756" t="s">
        <v>184</v>
      </c>
      <c r="S5756" t="s">
        <v>185</v>
      </c>
      <c r="T5756" t="s">
        <v>11887</v>
      </c>
      <c r="U5756" t="s">
        <v>9779</v>
      </c>
      <c r="V5756" t="s">
        <v>11888</v>
      </c>
      <c r="W5756" t="s">
        <v>11889</v>
      </c>
      <c r="Z5756" t="s">
        <v>4557</v>
      </c>
      <c r="AA5756" t="s">
        <v>4558</v>
      </c>
      <c r="AB5756" t="s">
        <v>4557</v>
      </c>
      <c r="AC5756" t="s">
        <v>1800</v>
      </c>
      <c r="AD5756" t="s">
        <v>11890</v>
      </c>
      <c r="AE5756" t="s">
        <v>11891</v>
      </c>
      <c r="AF5756" t="s">
        <v>11895</v>
      </c>
    </row>
    <row r="5757" spans="1:32" hidden="1" x14ac:dyDescent="0.35">
      <c r="A5757">
        <v>5756</v>
      </c>
      <c r="B5757" t="s">
        <v>11896</v>
      </c>
      <c r="C5757" t="s">
        <v>57</v>
      </c>
      <c r="D5757" t="s">
        <v>34</v>
      </c>
      <c r="E5757">
        <v>699</v>
      </c>
      <c r="F5757">
        <v>2</v>
      </c>
      <c r="G5757">
        <v>4</v>
      </c>
      <c r="H5757">
        <v>2</v>
      </c>
      <c r="I5757">
        <v>0</v>
      </c>
      <c r="J5757">
        <v>0.90798858773181201</v>
      </c>
      <c r="K5757">
        <v>0.64562269626121005</v>
      </c>
      <c r="L5757">
        <v>0.75465214011467396</v>
      </c>
      <c r="M5757">
        <v>0.123893805309735</v>
      </c>
      <c r="N5757">
        <v>0.99873577749683895</v>
      </c>
      <c r="O5757">
        <v>0.40265486725663702</v>
      </c>
      <c r="AF5757" t="s">
        <v>11897</v>
      </c>
    </row>
    <row r="5758" spans="1:32" hidden="1" x14ac:dyDescent="0.35">
      <c r="A5758">
        <v>5757</v>
      </c>
      <c r="B5758" t="s">
        <v>11896</v>
      </c>
      <c r="C5758" t="s">
        <v>57</v>
      </c>
      <c r="D5758" t="s">
        <v>34</v>
      </c>
      <c r="E5758">
        <v>705</v>
      </c>
      <c r="F5758">
        <v>2</v>
      </c>
      <c r="G5758">
        <v>4</v>
      </c>
      <c r="H5758">
        <v>2</v>
      </c>
      <c r="I5758">
        <v>0</v>
      </c>
      <c r="J5758">
        <v>0.90798858773181201</v>
      </c>
      <c r="K5758">
        <v>0.64562269626121005</v>
      </c>
      <c r="L5758">
        <v>0.75465214011467396</v>
      </c>
      <c r="M5758">
        <v>0.123893805309735</v>
      </c>
      <c r="N5758">
        <v>0.99873577749683895</v>
      </c>
      <c r="O5758">
        <v>0.40265486725663702</v>
      </c>
      <c r="AF5758" t="e">
        <f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MKIPKLKAGDWAYLYVYSADTSQKPVGVSWIQVDSTGAVKLDTKDLPDGEYTVAAVDEKGDLVGWVDVKLGDIKNAAVSDGDEESDDEIVAAQVGMMGAADWWLIGISVLIPFATAGVIYVFHRSRRSN</f>
        <v>#NAME?</v>
      </c>
    </row>
    <row r="5759" spans="1:32" hidden="1" x14ac:dyDescent="0.35">
      <c r="A5759">
        <v>5758</v>
      </c>
      <c r="B5759" t="s">
        <v>11896</v>
      </c>
      <c r="C5759" t="s">
        <v>57</v>
      </c>
      <c r="D5759" t="s">
        <v>45</v>
      </c>
      <c r="E5759">
        <v>1965</v>
      </c>
      <c r="F5759">
        <v>2</v>
      </c>
      <c r="G5759">
        <v>4</v>
      </c>
      <c r="H5759">
        <v>2</v>
      </c>
      <c r="I5759">
        <v>0</v>
      </c>
      <c r="J5759">
        <v>0.90798858773181201</v>
      </c>
      <c r="K5759">
        <v>0.64562269626121005</v>
      </c>
      <c r="L5759">
        <v>0.75465214011467396</v>
      </c>
      <c r="M5759">
        <v>0.123893805309735</v>
      </c>
      <c r="N5759">
        <v>0.99873577749683895</v>
      </c>
      <c r="O5759">
        <v>0.40265486725663702</v>
      </c>
      <c r="AF5759" t="s">
        <v>11898</v>
      </c>
    </row>
    <row r="5760" spans="1:32" hidden="1" x14ac:dyDescent="0.35">
      <c r="A5760">
        <v>5759</v>
      </c>
      <c r="B5760" t="s">
        <v>11896</v>
      </c>
      <c r="C5760" t="s">
        <v>57</v>
      </c>
      <c r="D5760" t="s">
        <v>45</v>
      </c>
      <c r="E5760">
        <v>1973</v>
      </c>
      <c r="F5760">
        <v>2</v>
      </c>
      <c r="G5760">
        <v>4</v>
      </c>
      <c r="H5760">
        <v>2</v>
      </c>
      <c r="I5760">
        <v>0</v>
      </c>
      <c r="J5760">
        <v>0.90798858773181201</v>
      </c>
      <c r="K5760">
        <v>0.64562269626121005</v>
      </c>
      <c r="L5760">
        <v>0.75465214011467396</v>
      </c>
      <c r="M5760">
        <v>0.123893805309735</v>
      </c>
      <c r="N5760">
        <v>0.99873577749683895</v>
      </c>
      <c r="O5760">
        <v>0.40265486725663702</v>
      </c>
      <c r="AF5760" t="e">
        <f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MKIPKLKAGDWAYLYVYSADTSQKPVGVSWIQVDSTGAVKLDTKDLPDGEYTVAAVDEKGDLVGWVDVKLGDIKNAAVSDGNEESDDEIVAAQVGMMGAADWWLIGISVLIPFATAGVIYVFHRSRRSN</f>
        <v>#NAME?</v>
      </c>
    </row>
    <row r="5761" spans="1:32" hidden="1" x14ac:dyDescent="0.35">
      <c r="A5761">
        <v>5760</v>
      </c>
      <c r="B5761" t="s">
        <v>11899</v>
      </c>
      <c r="C5761" t="s">
        <v>57</v>
      </c>
      <c r="D5761" t="s">
        <v>34</v>
      </c>
      <c r="E5761">
        <v>1254</v>
      </c>
      <c r="F5761">
        <v>2</v>
      </c>
      <c r="G5761">
        <v>4</v>
      </c>
      <c r="H5761">
        <v>3</v>
      </c>
      <c r="I5761">
        <v>0</v>
      </c>
      <c r="J5761">
        <v>0.76546436661439299</v>
      </c>
      <c r="K5761">
        <v>0.71124224100414701</v>
      </c>
      <c r="L5761">
        <v>0.73735783223403495</v>
      </c>
      <c r="M5761">
        <v>0.22037037037036999</v>
      </c>
      <c r="N5761">
        <v>0.71111111111111103</v>
      </c>
      <c r="O5761">
        <v>0.47469135802469098</v>
      </c>
      <c r="AF5761" t="s">
        <v>11900</v>
      </c>
    </row>
    <row r="5762" spans="1:32" hidden="1" x14ac:dyDescent="0.35">
      <c r="A5762">
        <v>5761</v>
      </c>
      <c r="B5762" t="s">
        <v>11899</v>
      </c>
      <c r="C5762" t="s">
        <v>57</v>
      </c>
      <c r="D5762" t="s">
        <v>45</v>
      </c>
      <c r="E5762">
        <v>21</v>
      </c>
      <c r="F5762">
        <v>2</v>
      </c>
      <c r="G5762">
        <v>4</v>
      </c>
      <c r="H5762">
        <v>3</v>
      </c>
      <c r="I5762">
        <v>0</v>
      </c>
      <c r="J5762">
        <v>0.76546436661439299</v>
      </c>
      <c r="K5762">
        <v>0.71124224100414701</v>
      </c>
      <c r="L5762">
        <v>0.73735783223403495</v>
      </c>
      <c r="M5762">
        <v>0.22037037037036999</v>
      </c>
      <c r="N5762">
        <v>0.71111111111111103</v>
      </c>
      <c r="O5762">
        <v>0.47469135802469098</v>
      </c>
      <c r="P5762" t="s">
        <v>11901</v>
      </c>
      <c r="Q5762" t="s">
        <v>11902</v>
      </c>
      <c r="AF5762" t="s">
        <v>11903</v>
      </c>
    </row>
    <row r="5763" spans="1:32" hidden="1" x14ac:dyDescent="0.35">
      <c r="A5763">
        <v>5762</v>
      </c>
      <c r="B5763" t="s">
        <v>11899</v>
      </c>
      <c r="C5763" t="s">
        <v>57</v>
      </c>
      <c r="D5763" t="s">
        <v>45</v>
      </c>
      <c r="E5763">
        <v>7</v>
      </c>
      <c r="F5763">
        <v>2</v>
      </c>
      <c r="G5763">
        <v>4</v>
      </c>
      <c r="H5763">
        <v>3</v>
      </c>
      <c r="I5763">
        <v>0</v>
      </c>
      <c r="J5763">
        <v>0.76546436661439299</v>
      </c>
      <c r="K5763">
        <v>0.71124224100414701</v>
      </c>
      <c r="L5763">
        <v>0.73735783223403495</v>
      </c>
      <c r="M5763">
        <v>0.22037037037036999</v>
      </c>
      <c r="N5763">
        <v>0.71111111111111103</v>
      </c>
      <c r="O5763">
        <v>0.47469135802469098</v>
      </c>
      <c r="P5763" t="s">
        <v>11901</v>
      </c>
      <c r="Q5763" t="s">
        <v>11902</v>
      </c>
      <c r="AF5763" t="e">
        <f>-MHKADQIVEQIEASIPEQYQPTDERAARILRDDIRQQVLSQHLAVQLSHYADQPSDGKKHLGRVVISGGTSLLFRVPGCRISRDLDIITSLKQHEMKHLLEKTLSQDKDDPFTYKILKARKTKSRNGDTYVIQVLDGDKEYTQIKIDAIRGVPEEYQDTEALTVQDPLISSRASTTIKLIDPGKYIAGKIAALFPLDDREE---QWKRNLRGLMTGKGNYRETSRWKDLGDLMIMASHVPISSNTIQRGLKYMENLHNSLNNLFEHRPNSNSRPYMKSFHTPETIKDLKEAAQRNEDIVADRIRPPQGEKPEDTRKRKGFEQRQLIQHCSVVHPLKKVFERLSRLLDPCFHCMEPHRRETDYRQELRTFARTPQMWVPGEEEAGLGVWEKKSKVGDLPEKLQEMRGDYMLGKGF----------EHDVAVDEFLP------------ENQEEPEQSSEEAATQETQY-----------------------------D----------DEEE------------NHGNDDDDDNNHGRQL</f>
        <v>#NAME?</v>
      </c>
    </row>
    <row r="5764" spans="1:32" hidden="1" x14ac:dyDescent="0.35">
      <c r="A5764">
        <v>5763</v>
      </c>
      <c r="B5764" t="s">
        <v>11899</v>
      </c>
      <c r="C5764" t="s">
        <v>57</v>
      </c>
      <c r="D5764" t="s">
        <v>45</v>
      </c>
      <c r="E5764">
        <v>1439</v>
      </c>
      <c r="F5764">
        <v>2</v>
      </c>
      <c r="G5764">
        <v>4</v>
      </c>
      <c r="H5764">
        <v>3</v>
      </c>
      <c r="I5764">
        <v>0</v>
      </c>
      <c r="J5764">
        <v>0.76546436661439299</v>
      </c>
      <c r="K5764">
        <v>0.71124224100414701</v>
      </c>
      <c r="L5764">
        <v>0.73735783223403495</v>
      </c>
      <c r="M5764">
        <v>0.22037037037036999</v>
      </c>
      <c r="N5764">
        <v>0.71111111111111103</v>
      </c>
      <c r="O5764">
        <v>0.47469135802469098</v>
      </c>
      <c r="P5764" t="s">
        <v>11901</v>
      </c>
      <c r="Q5764" t="s">
        <v>11902</v>
      </c>
      <c r="AF5764" t="s">
        <v>11904</v>
      </c>
    </row>
    <row r="5765" spans="1:32" hidden="1" x14ac:dyDescent="0.35">
      <c r="A5765">
        <v>5764</v>
      </c>
      <c r="B5765" t="s">
        <v>11905</v>
      </c>
      <c r="C5765" t="s">
        <v>57</v>
      </c>
      <c r="D5765" t="s">
        <v>60</v>
      </c>
      <c r="E5765">
        <v>1365</v>
      </c>
      <c r="F5765">
        <v>4</v>
      </c>
      <c r="G5765">
        <v>4</v>
      </c>
      <c r="H5765">
        <v>1</v>
      </c>
      <c r="I5765">
        <v>0</v>
      </c>
      <c r="J5765">
        <v>0.87534321801208104</v>
      </c>
      <c r="K5765">
        <v>0.96874616611458597</v>
      </c>
      <c r="L5765">
        <v>0.91967926694095803</v>
      </c>
      <c r="M5765">
        <v>0.73205741626794296</v>
      </c>
      <c r="N5765">
        <v>0.995215311004785</v>
      </c>
      <c r="O5765">
        <v>0.81977671451355605</v>
      </c>
      <c r="P5765" t="s">
        <v>10222</v>
      </c>
      <c r="Q5765" t="s">
        <v>10223</v>
      </c>
      <c r="R5765" t="s">
        <v>10224</v>
      </c>
      <c r="S5765" t="s">
        <v>10225</v>
      </c>
      <c r="T5765" t="s">
        <v>11906</v>
      </c>
      <c r="U5765" t="s">
        <v>11907</v>
      </c>
      <c r="V5765" t="s">
        <v>10228</v>
      </c>
      <c r="W5765" t="s">
        <v>10229</v>
      </c>
      <c r="AD5765" t="s">
        <v>410</v>
      </c>
      <c r="AE5765" t="s">
        <v>11908</v>
      </c>
      <c r="AF5765" t="s">
        <v>11909</v>
      </c>
    </row>
    <row r="5766" spans="1:32" hidden="1" x14ac:dyDescent="0.35">
      <c r="A5766">
        <v>5765</v>
      </c>
      <c r="B5766" t="s">
        <v>11905</v>
      </c>
      <c r="C5766" t="s">
        <v>57</v>
      </c>
      <c r="D5766" t="s">
        <v>62</v>
      </c>
      <c r="E5766">
        <v>1401</v>
      </c>
      <c r="F5766">
        <v>4</v>
      </c>
      <c r="G5766">
        <v>4</v>
      </c>
      <c r="H5766">
        <v>1</v>
      </c>
      <c r="I5766">
        <v>0</v>
      </c>
      <c r="J5766">
        <v>0.87534321801208104</v>
      </c>
      <c r="K5766">
        <v>0.96874616611458597</v>
      </c>
      <c r="L5766">
        <v>0.91967926694095803</v>
      </c>
      <c r="M5766">
        <v>0.73205741626794296</v>
      </c>
      <c r="N5766">
        <v>0.995215311004785</v>
      </c>
      <c r="O5766">
        <v>0.81977671451355605</v>
      </c>
      <c r="P5766" t="s">
        <v>10222</v>
      </c>
      <c r="Q5766" t="s">
        <v>10223</v>
      </c>
      <c r="R5766" t="s">
        <v>10224</v>
      </c>
      <c r="S5766" t="s">
        <v>10225</v>
      </c>
      <c r="T5766" t="s">
        <v>11906</v>
      </c>
      <c r="U5766" t="s">
        <v>11907</v>
      </c>
      <c r="V5766" t="s">
        <v>10228</v>
      </c>
      <c r="W5766" t="s">
        <v>10229</v>
      </c>
      <c r="AD5766" t="s">
        <v>410</v>
      </c>
      <c r="AE5766" t="s">
        <v>11908</v>
      </c>
      <c r="AF5766" t="s">
        <v>11910</v>
      </c>
    </row>
    <row r="5767" spans="1:32" hidden="1" x14ac:dyDescent="0.35">
      <c r="A5767">
        <v>5766</v>
      </c>
      <c r="B5767" t="s">
        <v>11905</v>
      </c>
      <c r="C5767" t="s">
        <v>57</v>
      </c>
      <c r="D5767" t="s">
        <v>34</v>
      </c>
      <c r="E5767">
        <v>931</v>
      </c>
      <c r="F5767">
        <v>4</v>
      </c>
      <c r="G5767">
        <v>4</v>
      </c>
      <c r="H5767">
        <v>1</v>
      </c>
      <c r="I5767">
        <v>0</v>
      </c>
      <c r="J5767">
        <v>0.87534321801208104</v>
      </c>
      <c r="K5767">
        <v>0.96874616611458597</v>
      </c>
      <c r="L5767">
        <v>0.91967926694095803</v>
      </c>
      <c r="M5767">
        <v>0.73205741626794296</v>
      </c>
      <c r="N5767">
        <v>0.995215311004785</v>
      </c>
      <c r="O5767">
        <v>0.81977671451355605</v>
      </c>
      <c r="P5767" t="s">
        <v>10222</v>
      </c>
      <c r="Q5767" t="s">
        <v>10223</v>
      </c>
      <c r="R5767" t="s">
        <v>10224</v>
      </c>
      <c r="S5767" t="s">
        <v>10225</v>
      </c>
      <c r="T5767" t="s">
        <v>11906</v>
      </c>
      <c r="U5767" t="s">
        <v>11907</v>
      </c>
      <c r="V5767" t="s">
        <v>10228</v>
      </c>
      <c r="W5767" t="s">
        <v>10229</v>
      </c>
      <c r="AD5767" t="s">
        <v>410</v>
      </c>
      <c r="AE5767" t="s">
        <v>11908</v>
      </c>
      <c r="AF5767" t="s">
        <v>11911</v>
      </c>
    </row>
    <row r="5768" spans="1:32" hidden="1" x14ac:dyDescent="0.35">
      <c r="A5768">
        <v>5767</v>
      </c>
      <c r="B5768" t="s">
        <v>11905</v>
      </c>
      <c r="C5768" t="s">
        <v>57</v>
      </c>
      <c r="D5768" t="s">
        <v>45</v>
      </c>
      <c r="E5768">
        <v>2187</v>
      </c>
      <c r="F5768">
        <v>4</v>
      </c>
      <c r="G5768">
        <v>4</v>
      </c>
      <c r="H5768">
        <v>1</v>
      </c>
      <c r="I5768">
        <v>0</v>
      </c>
      <c r="J5768">
        <v>0.87534321801208104</v>
      </c>
      <c r="K5768">
        <v>0.96874616611458597</v>
      </c>
      <c r="L5768">
        <v>0.91967926694095803</v>
      </c>
      <c r="M5768">
        <v>0.73205741626794296</v>
      </c>
      <c r="N5768">
        <v>0.995215311004785</v>
      </c>
      <c r="O5768">
        <v>0.81977671451355605</v>
      </c>
      <c r="P5768" t="s">
        <v>10222</v>
      </c>
      <c r="Q5768" t="s">
        <v>10223</v>
      </c>
      <c r="R5768" t="s">
        <v>10224</v>
      </c>
      <c r="S5768" t="s">
        <v>10225</v>
      </c>
      <c r="T5768" t="s">
        <v>11906</v>
      </c>
      <c r="U5768" t="s">
        <v>11907</v>
      </c>
      <c r="V5768" t="s">
        <v>10228</v>
      </c>
      <c r="W5768" t="s">
        <v>10229</v>
      </c>
      <c r="AD5768" t="s">
        <v>410</v>
      </c>
      <c r="AE5768" t="s">
        <v>11908</v>
      </c>
      <c r="AF5768" t="s">
        <v>11912</v>
      </c>
    </row>
    <row r="5769" spans="1:32" hidden="1" x14ac:dyDescent="0.35">
      <c r="A5769">
        <v>5768</v>
      </c>
      <c r="B5769" t="s">
        <v>11913</v>
      </c>
      <c r="C5769" t="s">
        <v>57</v>
      </c>
      <c r="D5769" t="s">
        <v>60</v>
      </c>
      <c r="E5769">
        <v>1049</v>
      </c>
      <c r="F5769">
        <v>4</v>
      </c>
      <c r="G5769">
        <v>4</v>
      </c>
      <c r="H5769">
        <v>1</v>
      </c>
      <c r="I5769">
        <v>0</v>
      </c>
      <c r="J5769">
        <v>0.80368244858919202</v>
      </c>
      <c r="K5769">
        <v>0.93492788357732104</v>
      </c>
      <c r="L5769">
        <v>0.86435139240363101</v>
      </c>
      <c r="M5769">
        <v>0.51807228915662695</v>
      </c>
      <c r="N5769">
        <v>0.99196787148594401</v>
      </c>
      <c r="O5769">
        <v>0.67536813922356098</v>
      </c>
      <c r="P5769" t="s">
        <v>11914</v>
      </c>
      <c r="Q5769" t="s">
        <v>11915</v>
      </c>
      <c r="R5769" t="s">
        <v>235</v>
      </c>
      <c r="S5769" t="s">
        <v>236</v>
      </c>
      <c r="T5769" t="s">
        <v>11916</v>
      </c>
      <c r="U5769" t="s">
        <v>11917</v>
      </c>
      <c r="V5769" t="s">
        <v>11918</v>
      </c>
      <c r="W5769" t="s">
        <v>11919</v>
      </c>
      <c r="AD5769" t="s">
        <v>166</v>
      </c>
      <c r="AE5769" t="s">
        <v>818</v>
      </c>
      <c r="AF5769" t="s">
        <v>11920</v>
      </c>
    </row>
    <row r="5770" spans="1:32" hidden="1" x14ac:dyDescent="0.35">
      <c r="A5770">
        <v>5769</v>
      </c>
      <c r="B5770" t="s">
        <v>11913</v>
      </c>
      <c r="C5770" t="s">
        <v>57</v>
      </c>
      <c r="D5770" t="s">
        <v>62</v>
      </c>
      <c r="E5770">
        <v>1085</v>
      </c>
      <c r="F5770">
        <v>4</v>
      </c>
      <c r="G5770">
        <v>4</v>
      </c>
      <c r="H5770">
        <v>1</v>
      </c>
      <c r="I5770">
        <v>0</v>
      </c>
      <c r="J5770">
        <v>0.80368244858919202</v>
      </c>
      <c r="K5770">
        <v>0.93492788357732104</v>
      </c>
      <c r="L5770">
        <v>0.86435139240363101</v>
      </c>
      <c r="M5770">
        <v>0.51807228915662695</v>
      </c>
      <c r="N5770">
        <v>0.99196787148594401</v>
      </c>
      <c r="O5770">
        <v>0.67536813922356098</v>
      </c>
      <c r="P5770" t="s">
        <v>11914</v>
      </c>
      <c r="Q5770" t="s">
        <v>11915</v>
      </c>
      <c r="R5770" t="s">
        <v>235</v>
      </c>
      <c r="S5770" t="s">
        <v>236</v>
      </c>
      <c r="T5770" t="s">
        <v>11916</v>
      </c>
      <c r="U5770" t="s">
        <v>11917</v>
      </c>
      <c r="V5770" t="s">
        <v>11918</v>
      </c>
      <c r="W5770" t="s">
        <v>11919</v>
      </c>
      <c r="AD5770" t="s">
        <v>166</v>
      </c>
      <c r="AE5770" t="s">
        <v>818</v>
      </c>
      <c r="AF5770" t="s">
        <v>11921</v>
      </c>
    </row>
    <row r="5771" spans="1:32" hidden="1" x14ac:dyDescent="0.35">
      <c r="A5771">
        <v>5770</v>
      </c>
      <c r="B5771" t="s">
        <v>11913</v>
      </c>
      <c r="C5771" t="s">
        <v>57</v>
      </c>
      <c r="D5771" t="s">
        <v>34</v>
      </c>
      <c r="E5771">
        <v>66</v>
      </c>
      <c r="F5771">
        <v>4</v>
      </c>
      <c r="G5771">
        <v>4</v>
      </c>
      <c r="H5771">
        <v>1</v>
      </c>
      <c r="I5771">
        <v>0</v>
      </c>
      <c r="J5771">
        <v>0.80368244858919202</v>
      </c>
      <c r="K5771">
        <v>0.93492788357732104</v>
      </c>
      <c r="L5771">
        <v>0.86435139240363101</v>
      </c>
      <c r="M5771">
        <v>0.51807228915662695</v>
      </c>
      <c r="N5771">
        <v>0.99196787148594401</v>
      </c>
      <c r="O5771">
        <v>0.67536813922356098</v>
      </c>
      <c r="P5771" t="s">
        <v>11914</v>
      </c>
      <c r="Q5771" t="s">
        <v>11915</v>
      </c>
      <c r="R5771" t="s">
        <v>235</v>
      </c>
      <c r="S5771" t="s">
        <v>236</v>
      </c>
      <c r="T5771" t="s">
        <v>11916</v>
      </c>
      <c r="U5771" t="s">
        <v>11917</v>
      </c>
      <c r="V5771" t="s">
        <v>11918</v>
      </c>
      <c r="W5771" t="s">
        <v>11919</v>
      </c>
      <c r="AD5771" t="s">
        <v>166</v>
      </c>
      <c r="AE5771" t="s">
        <v>818</v>
      </c>
      <c r="AF5771" t="s">
        <v>11922</v>
      </c>
    </row>
    <row r="5772" spans="1:32" hidden="1" x14ac:dyDescent="0.35">
      <c r="A5772">
        <v>5771</v>
      </c>
      <c r="B5772" t="s">
        <v>11913</v>
      </c>
      <c r="C5772" t="s">
        <v>57</v>
      </c>
      <c r="D5772" t="s">
        <v>45</v>
      </c>
      <c r="E5772">
        <v>1324</v>
      </c>
      <c r="F5772">
        <v>4</v>
      </c>
      <c r="G5772">
        <v>4</v>
      </c>
      <c r="H5772">
        <v>1</v>
      </c>
      <c r="I5772">
        <v>0</v>
      </c>
      <c r="J5772">
        <v>0.80368244858919202</v>
      </c>
      <c r="K5772">
        <v>0.93492788357732104</v>
      </c>
      <c r="L5772">
        <v>0.86435139240363101</v>
      </c>
      <c r="M5772">
        <v>0.51807228915662695</v>
      </c>
      <c r="N5772">
        <v>0.99196787148594401</v>
      </c>
      <c r="O5772">
        <v>0.67536813922356098</v>
      </c>
      <c r="P5772" t="s">
        <v>11914</v>
      </c>
      <c r="Q5772" t="s">
        <v>11915</v>
      </c>
      <c r="R5772" t="s">
        <v>235</v>
      </c>
      <c r="S5772" t="s">
        <v>236</v>
      </c>
      <c r="T5772" t="s">
        <v>11916</v>
      </c>
      <c r="U5772" t="s">
        <v>11917</v>
      </c>
      <c r="V5772" t="s">
        <v>11918</v>
      </c>
      <c r="W5772" t="s">
        <v>11919</v>
      </c>
      <c r="AD5772" t="s">
        <v>166</v>
      </c>
      <c r="AE5772" t="s">
        <v>818</v>
      </c>
      <c r="AF5772" t="s">
        <v>11923</v>
      </c>
    </row>
    <row r="5773" spans="1:32" hidden="1" x14ac:dyDescent="0.35">
      <c r="A5773">
        <v>5772</v>
      </c>
      <c r="B5773" t="s">
        <v>11924</v>
      </c>
      <c r="C5773" t="s">
        <v>57</v>
      </c>
      <c r="D5773" t="s">
        <v>60</v>
      </c>
      <c r="E5773">
        <v>61</v>
      </c>
      <c r="F5773">
        <v>4</v>
      </c>
      <c r="G5773">
        <v>4</v>
      </c>
      <c r="H5773">
        <v>1</v>
      </c>
      <c r="I5773">
        <v>0</v>
      </c>
      <c r="J5773">
        <v>0.82219027078840201</v>
      </c>
      <c r="K5773">
        <v>0.95336780997287296</v>
      </c>
      <c r="L5773">
        <v>0.88293336763893904</v>
      </c>
      <c r="M5773">
        <v>0.60780287474332695</v>
      </c>
      <c r="N5773">
        <v>0.99178644763860402</v>
      </c>
      <c r="O5773">
        <v>0.73648186173853503</v>
      </c>
      <c r="P5773" t="s">
        <v>11925</v>
      </c>
      <c r="Q5773" t="s">
        <v>11926</v>
      </c>
      <c r="R5773" t="s">
        <v>11927</v>
      </c>
      <c r="S5773" t="s">
        <v>11928</v>
      </c>
      <c r="T5773" t="s">
        <v>11929</v>
      </c>
      <c r="U5773" t="s">
        <v>11930</v>
      </c>
      <c r="V5773" t="s">
        <v>11931</v>
      </c>
      <c r="W5773" t="s">
        <v>11932</v>
      </c>
      <c r="X5773" t="s">
        <v>11931</v>
      </c>
      <c r="Y5773" t="s">
        <v>875</v>
      </c>
      <c r="AD5773" t="s">
        <v>219</v>
      </c>
      <c r="AE5773" t="s">
        <v>11933</v>
      </c>
      <c r="AF5773" t="s">
        <v>11934</v>
      </c>
    </row>
    <row r="5774" spans="1:32" hidden="1" x14ac:dyDescent="0.35">
      <c r="A5774">
        <v>5773</v>
      </c>
      <c r="B5774" t="s">
        <v>11924</v>
      </c>
      <c r="C5774" t="s">
        <v>57</v>
      </c>
      <c r="D5774" t="s">
        <v>62</v>
      </c>
      <c r="E5774">
        <v>134</v>
      </c>
      <c r="F5774">
        <v>4</v>
      </c>
      <c r="G5774">
        <v>4</v>
      </c>
      <c r="H5774">
        <v>1</v>
      </c>
      <c r="I5774">
        <v>0</v>
      </c>
      <c r="J5774">
        <v>0.82219027078840201</v>
      </c>
      <c r="K5774">
        <v>0.95336780997287296</v>
      </c>
      <c r="L5774">
        <v>0.88293336763893904</v>
      </c>
      <c r="M5774">
        <v>0.60780287474332695</v>
      </c>
      <c r="N5774">
        <v>0.99178644763860402</v>
      </c>
      <c r="O5774">
        <v>0.73648186173853503</v>
      </c>
      <c r="P5774" t="s">
        <v>11925</v>
      </c>
      <c r="Q5774" t="s">
        <v>11926</v>
      </c>
      <c r="R5774" t="s">
        <v>11927</v>
      </c>
      <c r="S5774" t="s">
        <v>11928</v>
      </c>
      <c r="T5774" t="s">
        <v>11929</v>
      </c>
      <c r="U5774" t="s">
        <v>11930</v>
      </c>
      <c r="V5774" t="s">
        <v>11931</v>
      </c>
      <c r="W5774" t="s">
        <v>11932</v>
      </c>
      <c r="X5774" t="s">
        <v>11931</v>
      </c>
      <c r="Y5774" t="s">
        <v>875</v>
      </c>
      <c r="AD5774" t="s">
        <v>219</v>
      </c>
      <c r="AE5774" t="s">
        <v>11933</v>
      </c>
      <c r="AF5774" t="s">
        <v>11935</v>
      </c>
    </row>
    <row r="5775" spans="1:32" hidden="1" x14ac:dyDescent="0.35">
      <c r="A5775">
        <v>5774</v>
      </c>
      <c r="B5775" t="s">
        <v>11924</v>
      </c>
      <c r="C5775" t="s">
        <v>57</v>
      </c>
      <c r="D5775" t="s">
        <v>34</v>
      </c>
      <c r="E5775">
        <v>1023</v>
      </c>
      <c r="F5775">
        <v>4</v>
      </c>
      <c r="G5775">
        <v>4</v>
      </c>
      <c r="H5775">
        <v>1</v>
      </c>
      <c r="I5775">
        <v>0</v>
      </c>
      <c r="J5775">
        <v>0.82219027078840201</v>
      </c>
      <c r="K5775">
        <v>0.95336780997287296</v>
      </c>
      <c r="L5775">
        <v>0.88293336763893904</v>
      </c>
      <c r="M5775">
        <v>0.60780287474332695</v>
      </c>
      <c r="N5775">
        <v>0.99178644763860402</v>
      </c>
      <c r="O5775">
        <v>0.73648186173853503</v>
      </c>
      <c r="P5775" t="s">
        <v>11925</v>
      </c>
      <c r="Q5775" t="s">
        <v>11926</v>
      </c>
      <c r="R5775" t="s">
        <v>11927</v>
      </c>
      <c r="S5775" t="s">
        <v>11928</v>
      </c>
      <c r="T5775" t="s">
        <v>11929</v>
      </c>
      <c r="U5775" t="s">
        <v>11930</v>
      </c>
      <c r="V5775" t="s">
        <v>11931</v>
      </c>
      <c r="W5775" t="s">
        <v>11932</v>
      </c>
      <c r="X5775" t="s">
        <v>11931</v>
      </c>
      <c r="Y5775" t="s">
        <v>875</v>
      </c>
      <c r="AD5775" t="s">
        <v>219</v>
      </c>
      <c r="AE5775" t="s">
        <v>11933</v>
      </c>
      <c r="AF5775" t="s">
        <v>11936</v>
      </c>
    </row>
    <row r="5776" spans="1:32" hidden="1" x14ac:dyDescent="0.35">
      <c r="A5776">
        <v>5775</v>
      </c>
      <c r="B5776" t="s">
        <v>11924</v>
      </c>
      <c r="C5776" t="s">
        <v>57</v>
      </c>
      <c r="D5776" t="s">
        <v>45</v>
      </c>
      <c r="E5776">
        <v>2281</v>
      </c>
      <c r="F5776">
        <v>4</v>
      </c>
      <c r="G5776">
        <v>4</v>
      </c>
      <c r="H5776">
        <v>1</v>
      </c>
      <c r="I5776">
        <v>0</v>
      </c>
      <c r="J5776">
        <v>0.82219027078840201</v>
      </c>
      <c r="K5776">
        <v>0.95336780997287296</v>
      </c>
      <c r="L5776">
        <v>0.88293336763893904</v>
      </c>
      <c r="M5776">
        <v>0.60780287474332695</v>
      </c>
      <c r="N5776">
        <v>0.99178644763860402</v>
      </c>
      <c r="O5776">
        <v>0.73648186173853503</v>
      </c>
      <c r="P5776" t="s">
        <v>11925</v>
      </c>
      <c r="Q5776" t="s">
        <v>11926</v>
      </c>
      <c r="R5776" t="s">
        <v>11927</v>
      </c>
      <c r="S5776" t="s">
        <v>11928</v>
      </c>
      <c r="T5776" t="s">
        <v>11929</v>
      </c>
      <c r="U5776" t="s">
        <v>11930</v>
      </c>
      <c r="V5776" t="s">
        <v>11931</v>
      </c>
      <c r="W5776" t="s">
        <v>11932</v>
      </c>
      <c r="X5776" t="s">
        <v>11931</v>
      </c>
      <c r="Y5776" t="s">
        <v>875</v>
      </c>
      <c r="AD5776" t="s">
        <v>219</v>
      </c>
      <c r="AE5776" t="s">
        <v>11933</v>
      </c>
      <c r="AF5776" t="s">
        <v>11937</v>
      </c>
    </row>
    <row r="5777" spans="1:32" hidden="1" x14ac:dyDescent="0.35">
      <c r="A5777">
        <v>5776</v>
      </c>
      <c r="B5777" t="s">
        <v>11938</v>
      </c>
      <c r="C5777" t="s">
        <v>57</v>
      </c>
      <c r="D5777" t="s">
        <v>60</v>
      </c>
      <c r="E5777">
        <v>1996</v>
      </c>
      <c r="F5777">
        <v>4</v>
      </c>
      <c r="G5777">
        <v>4</v>
      </c>
      <c r="H5777">
        <v>1</v>
      </c>
      <c r="I5777">
        <v>0</v>
      </c>
      <c r="J5777">
        <v>0.84098639455782298</v>
      </c>
      <c r="K5777">
        <v>0.94142447774632299</v>
      </c>
      <c r="L5777">
        <v>0.88837561483777105</v>
      </c>
      <c r="M5777">
        <v>0.63309352517985595</v>
      </c>
      <c r="N5777">
        <v>0.99280575539568305</v>
      </c>
      <c r="O5777">
        <v>0.75539568345323704</v>
      </c>
      <c r="AF5777" t="s">
        <v>11939</v>
      </c>
    </row>
    <row r="5778" spans="1:32" hidden="1" x14ac:dyDescent="0.35">
      <c r="A5778">
        <v>5777</v>
      </c>
      <c r="B5778" t="s">
        <v>11938</v>
      </c>
      <c r="C5778" t="s">
        <v>57</v>
      </c>
      <c r="D5778" t="s">
        <v>62</v>
      </c>
      <c r="E5778">
        <v>2037</v>
      </c>
      <c r="F5778">
        <v>4</v>
      </c>
      <c r="G5778">
        <v>4</v>
      </c>
      <c r="H5778">
        <v>1</v>
      </c>
      <c r="I5778">
        <v>0</v>
      </c>
      <c r="J5778">
        <v>0.84098639455782298</v>
      </c>
      <c r="K5778">
        <v>0.94142447774632299</v>
      </c>
      <c r="L5778">
        <v>0.88837561483777105</v>
      </c>
      <c r="M5778">
        <v>0.63309352517985595</v>
      </c>
      <c r="N5778">
        <v>0.99280575539568305</v>
      </c>
      <c r="O5778">
        <v>0.75539568345323704</v>
      </c>
      <c r="AF5778" t="s">
        <v>11940</v>
      </c>
    </row>
    <row r="5779" spans="1:32" hidden="1" x14ac:dyDescent="0.35">
      <c r="A5779">
        <v>5778</v>
      </c>
      <c r="B5779" t="s">
        <v>11938</v>
      </c>
      <c r="C5779" t="s">
        <v>57</v>
      </c>
      <c r="D5779" t="s">
        <v>34</v>
      </c>
      <c r="E5779">
        <v>2354</v>
      </c>
      <c r="F5779">
        <v>4</v>
      </c>
      <c r="G5779">
        <v>4</v>
      </c>
      <c r="H5779">
        <v>1</v>
      </c>
      <c r="I5779">
        <v>0</v>
      </c>
      <c r="J5779">
        <v>0.84098639455782298</v>
      </c>
      <c r="K5779">
        <v>0.94142447774632299</v>
      </c>
      <c r="L5779">
        <v>0.88837561483777105</v>
      </c>
      <c r="M5779">
        <v>0.63309352517985595</v>
      </c>
      <c r="N5779">
        <v>0.99280575539568305</v>
      </c>
      <c r="O5779">
        <v>0.75539568345323704</v>
      </c>
      <c r="AF5779" t="s">
        <v>11941</v>
      </c>
    </row>
    <row r="5780" spans="1:32" hidden="1" x14ac:dyDescent="0.35">
      <c r="A5780">
        <v>5779</v>
      </c>
      <c r="B5780" t="s">
        <v>11938</v>
      </c>
      <c r="C5780" t="s">
        <v>57</v>
      </c>
      <c r="D5780" t="s">
        <v>45</v>
      </c>
      <c r="E5780">
        <v>525</v>
      </c>
      <c r="F5780">
        <v>4</v>
      </c>
      <c r="G5780">
        <v>4</v>
      </c>
      <c r="H5780">
        <v>1</v>
      </c>
      <c r="I5780">
        <v>0</v>
      </c>
      <c r="J5780">
        <v>0.84098639455782298</v>
      </c>
      <c r="K5780">
        <v>0.94142447774632299</v>
      </c>
      <c r="L5780">
        <v>0.88837561483777105</v>
      </c>
      <c r="M5780">
        <v>0.63309352517985595</v>
      </c>
      <c r="N5780">
        <v>0.99280575539568305</v>
      </c>
      <c r="O5780">
        <v>0.75539568345323704</v>
      </c>
      <c r="AF5780" t="s">
        <v>11942</v>
      </c>
    </row>
    <row r="5781" spans="1:32" hidden="1" x14ac:dyDescent="0.35">
      <c r="A5781">
        <v>5780</v>
      </c>
      <c r="B5781" t="s">
        <v>11943</v>
      </c>
      <c r="C5781" t="s">
        <v>57</v>
      </c>
      <c r="D5781" t="s">
        <v>60</v>
      </c>
      <c r="E5781">
        <v>2416</v>
      </c>
      <c r="F5781">
        <v>4</v>
      </c>
      <c r="G5781">
        <v>4</v>
      </c>
      <c r="H5781">
        <v>1</v>
      </c>
      <c r="I5781">
        <v>0</v>
      </c>
      <c r="J5781">
        <v>0.74777006937561896</v>
      </c>
      <c r="K5781">
        <v>0.94202150133796703</v>
      </c>
      <c r="L5781">
        <v>0.83373061579582497</v>
      </c>
      <c r="M5781">
        <v>0.45251396648044701</v>
      </c>
      <c r="N5781">
        <v>0.988826815642458</v>
      </c>
      <c r="O5781">
        <v>0.63268156424581001</v>
      </c>
      <c r="P5781" t="s">
        <v>11944</v>
      </c>
      <c r="Q5781" t="s">
        <v>11945</v>
      </c>
      <c r="R5781" t="s">
        <v>157</v>
      </c>
      <c r="S5781" t="s">
        <v>158</v>
      </c>
      <c r="T5781" t="s">
        <v>11946</v>
      </c>
      <c r="U5781" t="s">
        <v>5771</v>
      </c>
      <c r="V5781" t="s">
        <v>11947</v>
      </c>
      <c r="W5781" t="s">
        <v>11948</v>
      </c>
      <c r="AD5781" t="s">
        <v>166</v>
      </c>
      <c r="AE5781" t="s">
        <v>10202</v>
      </c>
      <c r="AF5781" t="s">
        <v>11949</v>
      </c>
    </row>
    <row r="5782" spans="1:32" hidden="1" x14ac:dyDescent="0.35">
      <c r="A5782">
        <v>5781</v>
      </c>
      <c r="B5782" t="s">
        <v>11943</v>
      </c>
      <c r="C5782" t="s">
        <v>57</v>
      </c>
      <c r="D5782" t="s">
        <v>62</v>
      </c>
      <c r="E5782">
        <v>2443</v>
      </c>
      <c r="F5782">
        <v>4</v>
      </c>
      <c r="G5782">
        <v>4</v>
      </c>
      <c r="H5782">
        <v>1</v>
      </c>
      <c r="I5782">
        <v>0</v>
      </c>
      <c r="J5782">
        <v>0.74777006937561896</v>
      </c>
      <c r="K5782">
        <v>0.94202150133796703</v>
      </c>
      <c r="L5782">
        <v>0.83373061579582497</v>
      </c>
      <c r="M5782">
        <v>0.45251396648044701</v>
      </c>
      <c r="N5782">
        <v>0.988826815642458</v>
      </c>
      <c r="O5782">
        <v>0.63268156424581001</v>
      </c>
      <c r="P5782" t="s">
        <v>11944</v>
      </c>
      <c r="Q5782" t="s">
        <v>11945</v>
      </c>
      <c r="R5782" t="s">
        <v>157</v>
      </c>
      <c r="S5782" t="s">
        <v>158</v>
      </c>
      <c r="T5782" t="s">
        <v>11946</v>
      </c>
      <c r="U5782" t="s">
        <v>5771</v>
      </c>
      <c r="V5782" t="s">
        <v>11947</v>
      </c>
      <c r="W5782" t="s">
        <v>11948</v>
      </c>
      <c r="AD5782" t="s">
        <v>166</v>
      </c>
      <c r="AE5782" t="s">
        <v>10202</v>
      </c>
      <c r="AF5782" t="s">
        <v>11950</v>
      </c>
    </row>
    <row r="5783" spans="1:32" hidden="1" x14ac:dyDescent="0.35">
      <c r="A5783">
        <v>5782</v>
      </c>
      <c r="B5783" t="s">
        <v>11943</v>
      </c>
      <c r="C5783" t="s">
        <v>57</v>
      </c>
      <c r="D5783" t="s">
        <v>34</v>
      </c>
      <c r="E5783">
        <v>1318</v>
      </c>
      <c r="F5783">
        <v>4</v>
      </c>
      <c r="G5783">
        <v>4</v>
      </c>
      <c r="H5783">
        <v>1</v>
      </c>
      <c r="I5783">
        <v>0</v>
      </c>
      <c r="J5783">
        <v>0.74777006937561896</v>
      </c>
      <c r="K5783">
        <v>0.94202150133796703</v>
      </c>
      <c r="L5783">
        <v>0.83373061579582497</v>
      </c>
      <c r="M5783">
        <v>0.45251396648044701</v>
      </c>
      <c r="N5783">
        <v>0.988826815642458</v>
      </c>
      <c r="O5783">
        <v>0.63268156424581001</v>
      </c>
      <c r="P5783" t="s">
        <v>11944</v>
      </c>
      <c r="Q5783" t="s">
        <v>11945</v>
      </c>
      <c r="R5783" t="s">
        <v>157</v>
      </c>
      <c r="S5783" t="s">
        <v>158</v>
      </c>
      <c r="T5783" t="s">
        <v>11946</v>
      </c>
      <c r="U5783" t="s">
        <v>5771</v>
      </c>
      <c r="V5783" t="s">
        <v>11947</v>
      </c>
      <c r="W5783" t="s">
        <v>11948</v>
      </c>
      <c r="AD5783" t="s">
        <v>166</v>
      </c>
      <c r="AE5783" t="s">
        <v>10202</v>
      </c>
      <c r="AF5783" t="s">
        <v>11951</v>
      </c>
    </row>
    <row r="5784" spans="1:32" hidden="1" x14ac:dyDescent="0.35">
      <c r="A5784">
        <v>5783</v>
      </c>
      <c r="B5784" t="s">
        <v>11943</v>
      </c>
      <c r="C5784" t="s">
        <v>57</v>
      </c>
      <c r="D5784" t="s">
        <v>45</v>
      </c>
      <c r="E5784">
        <v>70</v>
      </c>
      <c r="F5784">
        <v>4</v>
      </c>
      <c r="G5784">
        <v>4</v>
      </c>
      <c r="H5784">
        <v>1</v>
      </c>
      <c r="I5784">
        <v>0</v>
      </c>
      <c r="J5784">
        <v>0.74777006937561896</v>
      </c>
      <c r="K5784">
        <v>0.94202150133796703</v>
      </c>
      <c r="L5784">
        <v>0.83373061579582497</v>
      </c>
      <c r="M5784">
        <v>0.45251396648044701</v>
      </c>
      <c r="N5784">
        <v>0.988826815642458</v>
      </c>
      <c r="O5784">
        <v>0.63268156424581001</v>
      </c>
      <c r="P5784" t="s">
        <v>11944</v>
      </c>
      <c r="Q5784" t="s">
        <v>11945</v>
      </c>
      <c r="R5784" t="s">
        <v>157</v>
      </c>
      <c r="S5784" t="s">
        <v>158</v>
      </c>
      <c r="T5784" t="s">
        <v>11946</v>
      </c>
      <c r="U5784" t="s">
        <v>5771</v>
      </c>
      <c r="V5784" t="s">
        <v>11947</v>
      </c>
      <c r="W5784" t="s">
        <v>11948</v>
      </c>
      <c r="AD5784" t="s">
        <v>166</v>
      </c>
      <c r="AE5784" t="s">
        <v>10202</v>
      </c>
      <c r="AF5784" t="s">
        <v>11952</v>
      </c>
    </row>
    <row r="5785" spans="1:32" hidden="1" x14ac:dyDescent="0.35">
      <c r="A5785">
        <v>5784</v>
      </c>
      <c r="B5785" t="s">
        <v>11953</v>
      </c>
      <c r="C5785" t="s">
        <v>57</v>
      </c>
      <c r="D5785" t="s">
        <v>60</v>
      </c>
      <c r="E5785">
        <v>1631</v>
      </c>
      <c r="F5785">
        <v>4</v>
      </c>
      <c r="G5785">
        <v>4</v>
      </c>
      <c r="H5785">
        <v>1</v>
      </c>
      <c r="I5785">
        <v>0</v>
      </c>
      <c r="J5785">
        <v>0.87191437942344197</v>
      </c>
      <c r="K5785">
        <v>0.757519053648123</v>
      </c>
      <c r="L5785">
        <v>0.81070112120870896</v>
      </c>
      <c r="M5785">
        <v>0.49784482758620702</v>
      </c>
      <c r="N5785">
        <v>0.97198275862068995</v>
      </c>
      <c r="O5785">
        <v>0.65876436781609204</v>
      </c>
      <c r="P5785" t="s">
        <v>11954</v>
      </c>
      <c r="Q5785" t="s">
        <v>11955</v>
      </c>
      <c r="AF5785" t="s">
        <v>11956</v>
      </c>
    </row>
    <row r="5786" spans="1:32" hidden="1" x14ac:dyDescent="0.35">
      <c r="A5786">
        <v>5785</v>
      </c>
      <c r="B5786" t="s">
        <v>11953</v>
      </c>
      <c r="C5786" t="s">
        <v>57</v>
      </c>
      <c r="D5786" t="s">
        <v>62</v>
      </c>
      <c r="E5786">
        <v>1667</v>
      </c>
      <c r="F5786">
        <v>4</v>
      </c>
      <c r="G5786">
        <v>4</v>
      </c>
      <c r="H5786">
        <v>1</v>
      </c>
      <c r="I5786">
        <v>0</v>
      </c>
      <c r="J5786">
        <v>0.87191437942344197</v>
      </c>
      <c r="K5786">
        <v>0.757519053648123</v>
      </c>
      <c r="L5786">
        <v>0.81070112120870896</v>
      </c>
      <c r="M5786">
        <v>0.49784482758620702</v>
      </c>
      <c r="N5786">
        <v>0.97198275862068995</v>
      </c>
      <c r="O5786">
        <v>0.65876436781609204</v>
      </c>
      <c r="P5786" t="s">
        <v>11954</v>
      </c>
      <c r="Q5786" t="s">
        <v>11955</v>
      </c>
      <c r="AF5786" t="s">
        <v>11957</v>
      </c>
    </row>
    <row r="5787" spans="1:32" hidden="1" x14ac:dyDescent="0.35">
      <c r="A5787">
        <v>5786</v>
      </c>
      <c r="B5787" t="s">
        <v>11953</v>
      </c>
      <c r="C5787" t="s">
        <v>57</v>
      </c>
      <c r="D5787" t="s">
        <v>34</v>
      </c>
      <c r="E5787">
        <v>1367</v>
      </c>
      <c r="F5787">
        <v>4</v>
      </c>
      <c r="G5787">
        <v>4</v>
      </c>
      <c r="H5787">
        <v>1</v>
      </c>
      <c r="I5787">
        <v>0</v>
      </c>
      <c r="J5787">
        <v>0.87191437942344197</v>
      </c>
      <c r="K5787">
        <v>0.757519053648123</v>
      </c>
      <c r="L5787">
        <v>0.81070112120870896</v>
      </c>
      <c r="M5787">
        <v>0.49784482758620702</v>
      </c>
      <c r="N5787">
        <v>0.97198275862068995</v>
      </c>
      <c r="O5787">
        <v>0.65876436781609204</v>
      </c>
      <c r="P5787" t="s">
        <v>11954</v>
      </c>
      <c r="Q5787" t="s">
        <v>11955</v>
      </c>
      <c r="AF5787" t="s">
        <v>11958</v>
      </c>
    </row>
    <row r="5788" spans="1:32" hidden="1" x14ac:dyDescent="0.35">
      <c r="A5788">
        <v>5787</v>
      </c>
      <c r="B5788" t="s">
        <v>11953</v>
      </c>
      <c r="C5788" t="s">
        <v>57</v>
      </c>
      <c r="D5788" t="s">
        <v>45</v>
      </c>
      <c r="E5788">
        <v>116</v>
      </c>
      <c r="F5788">
        <v>4</v>
      </c>
      <c r="G5788">
        <v>4</v>
      </c>
      <c r="H5788">
        <v>1</v>
      </c>
      <c r="I5788">
        <v>0</v>
      </c>
      <c r="J5788">
        <v>0.87191437942344197</v>
      </c>
      <c r="K5788">
        <v>0.757519053648123</v>
      </c>
      <c r="L5788">
        <v>0.81070112120870896</v>
      </c>
      <c r="M5788">
        <v>0.49784482758620702</v>
      </c>
      <c r="N5788">
        <v>0.97198275862068995</v>
      </c>
      <c r="O5788">
        <v>0.65876436781609204</v>
      </c>
      <c r="P5788" t="s">
        <v>11954</v>
      </c>
      <c r="Q5788" t="s">
        <v>11955</v>
      </c>
      <c r="AF5788" t="s">
        <v>11959</v>
      </c>
    </row>
    <row r="5789" spans="1:32" hidden="1" x14ac:dyDescent="0.35">
      <c r="A5789">
        <v>5788</v>
      </c>
      <c r="B5789" t="s">
        <v>11960</v>
      </c>
      <c r="C5789" t="s">
        <v>10660</v>
      </c>
      <c r="D5789" t="s">
        <v>60</v>
      </c>
      <c r="E5789">
        <v>459</v>
      </c>
      <c r="F5789">
        <v>2</v>
      </c>
      <c r="G5789">
        <v>4</v>
      </c>
      <c r="H5789">
        <v>2</v>
      </c>
      <c r="I5789">
        <v>0</v>
      </c>
      <c r="J5789">
        <v>0.84013877768881795</v>
      </c>
      <c r="K5789">
        <v>0.97310804205242996</v>
      </c>
      <c r="L5789">
        <v>0.90174794970907701</v>
      </c>
      <c r="M5789">
        <v>0.68224299065420602</v>
      </c>
      <c r="N5789">
        <v>0.98598130841121501</v>
      </c>
      <c r="O5789">
        <v>0.78738317757009302</v>
      </c>
      <c r="P5789" t="s">
        <v>11639</v>
      </c>
      <c r="Q5789" t="s">
        <v>11640</v>
      </c>
      <c r="R5789" t="s">
        <v>1259</v>
      </c>
      <c r="S5789" t="s">
        <v>1260</v>
      </c>
      <c r="T5789" t="s">
        <v>11641</v>
      </c>
      <c r="U5789" t="s">
        <v>407</v>
      </c>
      <c r="V5789" t="s">
        <v>11642</v>
      </c>
      <c r="W5789" t="s">
        <v>11643</v>
      </c>
      <c r="AD5789" t="s">
        <v>410</v>
      </c>
      <c r="AE5789" t="s">
        <v>411</v>
      </c>
      <c r="AF5789" t="s">
        <v>11961</v>
      </c>
    </row>
    <row r="5790" spans="1:32" hidden="1" x14ac:dyDescent="0.35">
      <c r="A5790">
        <v>5789</v>
      </c>
      <c r="B5790" t="s">
        <v>11960</v>
      </c>
      <c r="C5790" t="s">
        <v>10660</v>
      </c>
      <c r="D5790" t="s">
        <v>60</v>
      </c>
      <c r="E5790">
        <v>460</v>
      </c>
      <c r="F5790">
        <v>2</v>
      </c>
      <c r="G5790">
        <v>4</v>
      </c>
      <c r="H5790">
        <v>2</v>
      </c>
      <c r="I5790">
        <v>0</v>
      </c>
      <c r="J5790">
        <v>0.84013877768881795</v>
      </c>
      <c r="K5790">
        <v>0.97310804205242996</v>
      </c>
      <c r="L5790">
        <v>0.90174794970907701</v>
      </c>
      <c r="M5790">
        <v>0.68224299065420602</v>
      </c>
      <c r="N5790">
        <v>0.98598130841121501</v>
      </c>
      <c r="O5790">
        <v>0.78738317757009302</v>
      </c>
      <c r="P5790" t="s">
        <v>11639</v>
      </c>
      <c r="Q5790" t="s">
        <v>11640</v>
      </c>
      <c r="R5790" t="s">
        <v>1259</v>
      </c>
      <c r="S5790" t="s">
        <v>1260</v>
      </c>
      <c r="T5790" t="s">
        <v>11641</v>
      </c>
      <c r="U5790" t="s">
        <v>407</v>
      </c>
      <c r="V5790" t="s">
        <v>11642</v>
      </c>
      <c r="W5790" t="s">
        <v>11643</v>
      </c>
      <c r="AD5790" t="s">
        <v>410</v>
      </c>
      <c r="AE5790" t="s">
        <v>411</v>
      </c>
      <c r="AF5790" t="e">
        <f>--------MNSAAVTQPRILAPDVARGFTMLGIAIANATTAWLYISPDTPGSTAGGVVDNSILDKIAIILGSIFTHVRGLPMFATLLGYGVGMIAMSLQRRNYPPKKARLVLIRRYFFLAIFGILHLSLLFFGDIMFVYGIMGIILALLYRFKDKTLLIITGVLGTLGLILTAVM---MIYISAGGGSSRTEVMISAMQTLSAPDSYATLVSHAFTALSFQIGNLLTGFLF-FFPIMILGMVAARHNVLVQPEKYKTLLTRFAIVAVIISFGVGIPLGLAEIGVLPENTVLHLQSLNQVAGIWAGPGIVASIALATLPLQRRIDAAHTNDTEYILPVPLQALIALGKRSMTGYLLQSILFVLLTSTFTIGLGRGQGAWEATLIAILIWAITLVIAYVLEKANLRGPFESVHRRLSYGRTGQLNQFTTQ</f>
        <v>#NAME?</v>
      </c>
    </row>
    <row r="5791" spans="1:32" hidden="1" x14ac:dyDescent="0.35">
      <c r="A5791">
        <v>5790</v>
      </c>
      <c r="B5791" t="s">
        <v>11960</v>
      </c>
      <c r="C5791" t="s">
        <v>10660</v>
      </c>
      <c r="D5791" t="s">
        <v>62</v>
      </c>
      <c r="E5791">
        <v>541</v>
      </c>
      <c r="F5791">
        <v>2</v>
      </c>
      <c r="G5791">
        <v>4</v>
      </c>
      <c r="H5791">
        <v>2</v>
      </c>
      <c r="I5791">
        <v>0</v>
      </c>
      <c r="J5791">
        <v>0.84013877768881795</v>
      </c>
      <c r="K5791">
        <v>0.97310804205242996</v>
      </c>
      <c r="L5791">
        <v>0.90174794970907701</v>
      </c>
      <c r="M5791">
        <v>0.68224299065420602</v>
      </c>
      <c r="N5791">
        <v>0.98598130841121501</v>
      </c>
      <c r="O5791">
        <v>0.78738317757009302</v>
      </c>
      <c r="P5791" t="s">
        <v>11639</v>
      </c>
      <c r="Q5791" t="s">
        <v>11640</v>
      </c>
      <c r="R5791" t="s">
        <v>1259</v>
      </c>
      <c r="S5791" t="s">
        <v>1260</v>
      </c>
      <c r="T5791" t="s">
        <v>11641</v>
      </c>
      <c r="U5791" t="s">
        <v>407</v>
      </c>
      <c r="V5791" t="s">
        <v>11642</v>
      </c>
      <c r="W5791" t="s">
        <v>11643</v>
      </c>
      <c r="AD5791" t="s">
        <v>410</v>
      </c>
      <c r="AE5791" t="s">
        <v>411</v>
      </c>
      <c r="AF5791" t="s">
        <v>11962</v>
      </c>
    </row>
    <row r="5792" spans="1:32" hidden="1" x14ac:dyDescent="0.35">
      <c r="A5792">
        <v>5791</v>
      </c>
      <c r="B5792" t="s">
        <v>11960</v>
      </c>
      <c r="C5792" t="s">
        <v>10660</v>
      </c>
      <c r="D5792" t="s">
        <v>62</v>
      </c>
      <c r="E5792">
        <v>542</v>
      </c>
      <c r="F5792">
        <v>2</v>
      </c>
      <c r="G5792">
        <v>4</v>
      </c>
      <c r="H5792">
        <v>2</v>
      </c>
      <c r="I5792">
        <v>0</v>
      </c>
      <c r="J5792">
        <v>0.84013877768881795</v>
      </c>
      <c r="K5792">
        <v>0.97310804205242996</v>
      </c>
      <c r="L5792">
        <v>0.90174794970907701</v>
      </c>
      <c r="M5792">
        <v>0.68224299065420602</v>
      </c>
      <c r="N5792">
        <v>0.98598130841121501</v>
      </c>
      <c r="O5792">
        <v>0.78738317757009302</v>
      </c>
      <c r="P5792" t="s">
        <v>11639</v>
      </c>
      <c r="Q5792" t="s">
        <v>11640</v>
      </c>
      <c r="R5792" t="s">
        <v>1259</v>
      </c>
      <c r="S5792" t="s">
        <v>1260</v>
      </c>
      <c r="T5792" t="s">
        <v>11641</v>
      </c>
      <c r="U5792" t="s">
        <v>407</v>
      </c>
      <c r="V5792" t="s">
        <v>11642</v>
      </c>
      <c r="W5792" t="s">
        <v>11643</v>
      </c>
      <c r="AD5792" t="s">
        <v>410</v>
      </c>
      <c r="AE5792" t="s">
        <v>411</v>
      </c>
      <c r="AF5792" t="e">
        <f>--------MNSAAVTQPRILAPDVARGFTMLGIAIANATTAWLYISPDTPGSTAGGVVDNSILDKIAIILGSIFTHVRGLPMFATLLGYGVGMIAMSLQRRNYPPKKARLVLIRRYFFLAIFGILHLSLLFFGDIMFVYGIMGIILALLYRFKDKTLLIITGVLGTLGLILTAVM---MIYISAGGGSSRTEVMISAMQTLSAPDSYATLVSHAFTALSFQIGNLLTGFLF-FFPIMILGMVAARHNVLGQPEKYKTLLTRFAIVAVIISFGVGIPLGLAEIGVLPENTVLHLQSLNQVAGIWAGPGIVASITLATLPLQRRIDAAHASNTDYPLPVPLQALIALGKRSMTGYLLQSILFVLLTSTFTVGLGRGQGAWEATLIAILIWAITLVIAYVLEKANLRGPFESVHRRLSYGRTGQLNQFTTQ</f>
        <v>#NAME?</v>
      </c>
    </row>
    <row r="5793" spans="1:32" hidden="1" x14ac:dyDescent="0.35">
      <c r="A5793">
        <v>5792</v>
      </c>
      <c r="B5793" t="s">
        <v>11963</v>
      </c>
      <c r="C5793" t="s">
        <v>10660</v>
      </c>
      <c r="D5793" t="s">
        <v>60</v>
      </c>
      <c r="E5793">
        <v>516</v>
      </c>
      <c r="F5793">
        <v>2</v>
      </c>
      <c r="G5793">
        <v>4</v>
      </c>
      <c r="H5793">
        <v>2</v>
      </c>
      <c r="I5793">
        <v>0</v>
      </c>
      <c r="J5793">
        <v>0.80537098560354403</v>
      </c>
      <c r="K5793">
        <v>0.93892325918125397</v>
      </c>
      <c r="L5793">
        <v>0.86703439275085403</v>
      </c>
      <c r="M5793">
        <v>0.565420560747664</v>
      </c>
      <c r="N5793">
        <v>0.99532710280373804</v>
      </c>
      <c r="O5793">
        <v>0.70794392523364502</v>
      </c>
      <c r="P5793" t="s">
        <v>11964</v>
      </c>
      <c r="Q5793" t="s">
        <v>11965</v>
      </c>
      <c r="AF5793" t="s">
        <v>11966</v>
      </c>
    </row>
    <row r="5794" spans="1:32" hidden="1" x14ac:dyDescent="0.35">
      <c r="A5794">
        <v>5793</v>
      </c>
      <c r="B5794" t="s">
        <v>11963</v>
      </c>
      <c r="C5794" t="s">
        <v>10660</v>
      </c>
      <c r="D5794" t="s">
        <v>60</v>
      </c>
      <c r="E5794">
        <v>2067</v>
      </c>
      <c r="F5794">
        <v>2</v>
      </c>
      <c r="G5794">
        <v>4</v>
      </c>
      <c r="H5794">
        <v>2</v>
      </c>
      <c r="I5794">
        <v>0</v>
      </c>
      <c r="J5794">
        <v>0.80537098560354403</v>
      </c>
      <c r="K5794">
        <v>0.93892325918125397</v>
      </c>
      <c r="L5794">
        <v>0.86703439275085403</v>
      </c>
      <c r="M5794">
        <v>0.565420560747664</v>
      </c>
      <c r="N5794">
        <v>0.99532710280373804</v>
      </c>
      <c r="O5794">
        <v>0.70794392523364502</v>
      </c>
      <c r="P5794" t="s">
        <v>11964</v>
      </c>
      <c r="Q5794" t="s">
        <v>11965</v>
      </c>
      <c r="AF5794" t="s">
        <v>11967</v>
      </c>
    </row>
    <row r="5795" spans="1:32" hidden="1" x14ac:dyDescent="0.35">
      <c r="A5795">
        <v>5794</v>
      </c>
      <c r="B5795" t="s">
        <v>11963</v>
      </c>
      <c r="C5795" t="s">
        <v>10660</v>
      </c>
      <c r="D5795" t="s">
        <v>62</v>
      </c>
      <c r="E5795">
        <v>600</v>
      </c>
      <c r="F5795">
        <v>2</v>
      </c>
      <c r="G5795">
        <v>4</v>
      </c>
      <c r="H5795">
        <v>2</v>
      </c>
      <c r="I5795">
        <v>0</v>
      </c>
      <c r="J5795">
        <v>0.80537098560354403</v>
      </c>
      <c r="K5795">
        <v>0.93892325918125397</v>
      </c>
      <c r="L5795">
        <v>0.86703439275085403</v>
      </c>
      <c r="M5795">
        <v>0.565420560747664</v>
      </c>
      <c r="N5795">
        <v>0.99532710280373804</v>
      </c>
      <c r="O5795">
        <v>0.70794392523364502</v>
      </c>
      <c r="P5795" t="s">
        <v>11964</v>
      </c>
      <c r="Q5795" t="s">
        <v>11965</v>
      </c>
      <c r="AF5795" t="s">
        <v>11968</v>
      </c>
    </row>
    <row r="5796" spans="1:32" hidden="1" x14ac:dyDescent="0.35">
      <c r="A5796">
        <v>5795</v>
      </c>
      <c r="B5796" t="s">
        <v>11963</v>
      </c>
      <c r="C5796" t="s">
        <v>10660</v>
      </c>
      <c r="D5796" t="s">
        <v>62</v>
      </c>
      <c r="E5796">
        <v>2105</v>
      </c>
      <c r="F5796">
        <v>2</v>
      </c>
      <c r="G5796">
        <v>4</v>
      </c>
      <c r="H5796">
        <v>2</v>
      </c>
      <c r="I5796">
        <v>0</v>
      </c>
      <c r="J5796">
        <v>0.80537098560354403</v>
      </c>
      <c r="K5796">
        <v>0.93892325918125397</v>
      </c>
      <c r="L5796">
        <v>0.86703439275085403</v>
      </c>
      <c r="M5796">
        <v>0.565420560747664</v>
      </c>
      <c r="N5796">
        <v>0.99532710280373804</v>
      </c>
      <c r="O5796">
        <v>0.70794392523364502</v>
      </c>
      <c r="P5796" t="s">
        <v>11964</v>
      </c>
      <c r="Q5796" t="s">
        <v>11965</v>
      </c>
      <c r="AF5796" t="s">
        <v>11969</v>
      </c>
    </row>
    <row r="5797" spans="1:32" hidden="1" x14ac:dyDescent="0.35">
      <c r="A5797">
        <v>5796</v>
      </c>
      <c r="B5797" t="s">
        <v>11970</v>
      </c>
      <c r="C5797" t="s">
        <v>11139</v>
      </c>
      <c r="D5797" t="s">
        <v>60</v>
      </c>
      <c r="E5797">
        <v>1862</v>
      </c>
      <c r="F5797">
        <v>4</v>
      </c>
      <c r="G5797">
        <v>4</v>
      </c>
      <c r="H5797">
        <v>1</v>
      </c>
      <c r="I5797">
        <v>0</v>
      </c>
      <c r="J5797">
        <v>0.83287813759916796</v>
      </c>
      <c r="K5797">
        <v>0.94434513925518104</v>
      </c>
      <c r="L5797">
        <v>0.88511604712472103</v>
      </c>
      <c r="M5797">
        <v>0.60485651214128</v>
      </c>
      <c r="N5797">
        <v>0.99558498896247205</v>
      </c>
      <c r="O5797">
        <v>0.73473142016188397</v>
      </c>
      <c r="P5797" t="s">
        <v>6141</v>
      </c>
      <c r="Q5797" t="s">
        <v>6142</v>
      </c>
      <c r="R5797" t="s">
        <v>652</v>
      </c>
      <c r="S5797" t="s">
        <v>653</v>
      </c>
      <c r="T5797" t="s">
        <v>11971</v>
      </c>
      <c r="U5797" t="s">
        <v>407</v>
      </c>
      <c r="V5797" t="s">
        <v>6145</v>
      </c>
      <c r="W5797" t="s">
        <v>6146</v>
      </c>
      <c r="AD5797" t="s">
        <v>410</v>
      </c>
      <c r="AE5797" t="s">
        <v>411</v>
      </c>
      <c r="AF5797" t="s">
        <v>11972</v>
      </c>
    </row>
    <row r="5798" spans="1:32" hidden="1" x14ac:dyDescent="0.35">
      <c r="A5798">
        <v>5797</v>
      </c>
      <c r="B5798" t="s">
        <v>11970</v>
      </c>
      <c r="C5798" t="s">
        <v>11139</v>
      </c>
      <c r="D5798" t="s">
        <v>62</v>
      </c>
      <c r="E5798">
        <v>1900</v>
      </c>
      <c r="F5798">
        <v>4</v>
      </c>
      <c r="G5798">
        <v>4</v>
      </c>
      <c r="H5798">
        <v>1</v>
      </c>
      <c r="I5798">
        <v>0</v>
      </c>
      <c r="J5798">
        <v>0.83287813759916796</v>
      </c>
      <c r="K5798">
        <v>0.94434513925518104</v>
      </c>
      <c r="L5798">
        <v>0.88511604712472103</v>
      </c>
      <c r="M5798">
        <v>0.60485651214128</v>
      </c>
      <c r="N5798">
        <v>0.99558498896247205</v>
      </c>
      <c r="O5798">
        <v>0.73473142016188397</v>
      </c>
      <c r="P5798" t="s">
        <v>6141</v>
      </c>
      <c r="Q5798" t="s">
        <v>6142</v>
      </c>
      <c r="R5798" t="s">
        <v>652</v>
      </c>
      <c r="S5798" t="s">
        <v>653</v>
      </c>
      <c r="T5798" t="s">
        <v>11971</v>
      </c>
      <c r="U5798" t="s">
        <v>407</v>
      </c>
      <c r="V5798" t="s">
        <v>6145</v>
      </c>
      <c r="W5798" t="s">
        <v>6146</v>
      </c>
      <c r="AD5798" t="s">
        <v>410</v>
      </c>
      <c r="AE5798" t="s">
        <v>411</v>
      </c>
      <c r="AF5798" t="s">
        <v>11973</v>
      </c>
    </row>
    <row r="5799" spans="1:32" hidden="1" x14ac:dyDescent="0.35">
      <c r="A5799">
        <v>5798</v>
      </c>
      <c r="B5799" t="s">
        <v>11970</v>
      </c>
      <c r="C5799" t="s">
        <v>11139</v>
      </c>
      <c r="D5799" t="s">
        <v>34</v>
      </c>
      <c r="E5799">
        <v>1020</v>
      </c>
      <c r="F5799">
        <v>4</v>
      </c>
      <c r="G5799">
        <v>4</v>
      </c>
      <c r="H5799">
        <v>1</v>
      </c>
      <c r="I5799">
        <v>0</v>
      </c>
      <c r="J5799">
        <v>0.83287813759916796</v>
      </c>
      <c r="K5799">
        <v>0.94434513925518104</v>
      </c>
      <c r="L5799">
        <v>0.88511604712472103</v>
      </c>
      <c r="M5799">
        <v>0.60485651214128</v>
      </c>
      <c r="N5799">
        <v>0.99558498896247205</v>
      </c>
      <c r="O5799">
        <v>0.73473142016188397</v>
      </c>
      <c r="P5799" t="s">
        <v>6141</v>
      </c>
      <c r="Q5799" t="s">
        <v>6142</v>
      </c>
      <c r="R5799" t="s">
        <v>652</v>
      </c>
      <c r="S5799" t="s">
        <v>653</v>
      </c>
      <c r="T5799" t="s">
        <v>11971</v>
      </c>
      <c r="U5799" t="s">
        <v>407</v>
      </c>
      <c r="V5799" t="s">
        <v>6145</v>
      </c>
      <c r="W5799" t="s">
        <v>6146</v>
      </c>
      <c r="AD5799" t="s">
        <v>410</v>
      </c>
      <c r="AE5799" t="s">
        <v>411</v>
      </c>
      <c r="AF5799" t="s">
        <v>11974</v>
      </c>
    </row>
    <row r="5800" spans="1:32" hidden="1" x14ac:dyDescent="0.35">
      <c r="A5800">
        <v>5799</v>
      </c>
      <c r="B5800" t="s">
        <v>11970</v>
      </c>
      <c r="C5800" t="s">
        <v>11139</v>
      </c>
      <c r="D5800" t="s">
        <v>45</v>
      </c>
      <c r="E5800">
        <v>2278</v>
      </c>
      <c r="F5800">
        <v>4</v>
      </c>
      <c r="G5800">
        <v>4</v>
      </c>
      <c r="H5800">
        <v>1</v>
      </c>
      <c r="I5800">
        <v>0</v>
      </c>
      <c r="J5800">
        <v>0.83287813759916796</v>
      </c>
      <c r="K5800">
        <v>0.94434513925518104</v>
      </c>
      <c r="L5800">
        <v>0.88511604712472103</v>
      </c>
      <c r="M5800">
        <v>0.60485651214128</v>
      </c>
      <c r="N5800">
        <v>0.99558498896247205</v>
      </c>
      <c r="O5800">
        <v>0.73473142016188397</v>
      </c>
      <c r="P5800" t="s">
        <v>6141</v>
      </c>
      <c r="Q5800" t="s">
        <v>6142</v>
      </c>
      <c r="R5800" t="s">
        <v>652</v>
      </c>
      <c r="S5800" t="s">
        <v>653</v>
      </c>
      <c r="T5800" t="s">
        <v>11971</v>
      </c>
      <c r="U5800" t="s">
        <v>407</v>
      </c>
      <c r="V5800" t="s">
        <v>6145</v>
      </c>
      <c r="W5800" t="s">
        <v>6146</v>
      </c>
      <c r="AD5800" t="s">
        <v>410</v>
      </c>
      <c r="AE5800" t="s">
        <v>411</v>
      </c>
      <c r="AF5800" t="s">
        <v>11975</v>
      </c>
    </row>
    <row r="5801" spans="1:32" hidden="1" x14ac:dyDescent="0.35">
      <c r="A5801">
        <v>5800</v>
      </c>
      <c r="B5801" t="s">
        <v>11976</v>
      </c>
      <c r="C5801" t="s">
        <v>11139</v>
      </c>
      <c r="D5801" t="s">
        <v>60</v>
      </c>
      <c r="E5801">
        <v>1598</v>
      </c>
      <c r="F5801">
        <v>4</v>
      </c>
      <c r="G5801">
        <v>4</v>
      </c>
      <c r="H5801">
        <v>1</v>
      </c>
      <c r="I5801">
        <v>0</v>
      </c>
      <c r="J5801">
        <v>0.82287756925826605</v>
      </c>
      <c r="K5801">
        <v>0.693350785454246</v>
      </c>
      <c r="L5801">
        <v>0.75258163746196205</v>
      </c>
      <c r="M5801">
        <v>0.319494584837545</v>
      </c>
      <c r="N5801">
        <v>0.99819494584837498</v>
      </c>
      <c r="O5801">
        <v>0.53519855595667898</v>
      </c>
      <c r="P5801" t="s">
        <v>169</v>
      </c>
      <c r="Q5801" t="s">
        <v>170</v>
      </c>
      <c r="R5801" t="s">
        <v>138</v>
      </c>
      <c r="S5801" t="s">
        <v>139</v>
      </c>
      <c r="T5801" t="s">
        <v>3691</v>
      </c>
      <c r="U5801" t="s">
        <v>3692</v>
      </c>
      <c r="V5801" t="s">
        <v>3693</v>
      </c>
      <c r="W5801" t="s">
        <v>3694</v>
      </c>
      <c r="AD5801" t="s">
        <v>166</v>
      </c>
      <c r="AE5801" t="s">
        <v>3695</v>
      </c>
      <c r="AF5801" t="s">
        <v>11977</v>
      </c>
    </row>
    <row r="5802" spans="1:32" hidden="1" x14ac:dyDescent="0.35">
      <c r="A5802">
        <v>5801</v>
      </c>
      <c r="B5802" t="s">
        <v>11976</v>
      </c>
      <c r="C5802" t="s">
        <v>11139</v>
      </c>
      <c r="D5802" t="s">
        <v>62</v>
      </c>
      <c r="E5802">
        <v>1634</v>
      </c>
      <c r="F5802">
        <v>4</v>
      </c>
      <c r="G5802">
        <v>4</v>
      </c>
      <c r="H5802">
        <v>1</v>
      </c>
      <c r="I5802">
        <v>0</v>
      </c>
      <c r="J5802">
        <v>0.82287756925826605</v>
      </c>
      <c r="K5802">
        <v>0.693350785454246</v>
      </c>
      <c r="L5802">
        <v>0.75258163746196205</v>
      </c>
      <c r="M5802">
        <v>0.319494584837545</v>
      </c>
      <c r="N5802">
        <v>0.99819494584837498</v>
      </c>
      <c r="O5802">
        <v>0.53519855595667898</v>
      </c>
      <c r="P5802" t="s">
        <v>169</v>
      </c>
      <c r="Q5802" t="s">
        <v>170</v>
      </c>
      <c r="R5802" t="s">
        <v>138</v>
      </c>
      <c r="S5802" t="s">
        <v>139</v>
      </c>
      <c r="T5802" t="s">
        <v>3691</v>
      </c>
      <c r="U5802" t="s">
        <v>3692</v>
      </c>
      <c r="V5802" t="s">
        <v>3693</v>
      </c>
      <c r="W5802" t="s">
        <v>3694</v>
      </c>
      <c r="AD5802" t="s">
        <v>166</v>
      </c>
      <c r="AE5802" t="s">
        <v>3695</v>
      </c>
      <c r="AF5802" t="s">
        <v>11978</v>
      </c>
    </row>
    <row r="5803" spans="1:32" hidden="1" x14ac:dyDescent="0.35">
      <c r="A5803">
        <v>5802</v>
      </c>
      <c r="B5803" t="s">
        <v>11976</v>
      </c>
      <c r="C5803" t="s">
        <v>11139</v>
      </c>
      <c r="D5803" t="s">
        <v>34</v>
      </c>
      <c r="E5803">
        <v>1984</v>
      </c>
      <c r="F5803">
        <v>4</v>
      </c>
      <c r="G5803">
        <v>4</v>
      </c>
      <c r="H5803">
        <v>1</v>
      </c>
      <c r="I5803">
        <v>0</v>
      </c>
      <c r="J5803">
        <v>0.82287756925826605</v>
      </c>
      <c r="K5803">
        <v>0.693350785454246</v>
      </c>
      <c r="L5803">
        <v>0.75258163746196205</v>
      </c>
      <c r="M5803">
        <v>0.319494584837545</v>
      </c>
      <c r="N5803">
        <v>0.99819494584837498</v>
      </c>
      <c r="O5803">
        <v>0.53519855595667898</v>
      </c>
      <c r="P5803" t="s">
        <v>169</v>
      </c>
      <c r="Q5803" t="s">
        <v>170</v>
      </c>
      <c r="R5803" t="s">
        <v>138</v>
      </c>
      <c r="S5803" t="s">
        <v>139</v>
      </c>
      <c r="T5803" t="s">
        <v>3691</v>
      </c>
      <c r="U5803" t="s">
        <v>3692</v>
      </c>
      <c r="V5803" t="s">
        <v>3693</v>
      </c>
      <c r="W5803" t="s">
        <v>3694</v>
      </c>
      <c r="AD5803" t="s">
        <v>166</v>
      </c>
      <c r="AE5803" t="s">
        <v>3695</v>
      </c>
      <c r="AF5803" t="s">
        <v>11979</v>
      </c>
    </row>
    <row r="5804" spans="1:32" hidden="1" x14ac:dyDescent="0.35">
      <c r="A5804">
        <v>5803</v>
      </c>
      <c r="B5804" t="s">
        <v>11976</v>
      </c>
      <c r="C5804" t="s">
        <v>11139</v>
      </c>
      <c r="D5804" t="s">
        <v>45</v>
      </c>
      <c r="E5804">
        <v>889</v>
      </c>
      <c r="F5804">
        <v>4</v>
      </c>
      <c r="G5804">
        <v>4</v>
      </c>
      <c r="H5804">
        <v>1</v>
      </c>
      <c r="I5804">
        <v>0</v>
      </c>
      <c r="J5804">
        <v>0.82287756925826605</v>
      </c>
      <c r="K5804">
        <v>0.693350785454246</v>
      </c>
      <c r="L5804">
        <v>0.75258163746196205</v>
      </c>
      <c r="M5804">
        <v>0.319494584837545</v>
      </c>
      <c r="N5804">
        <v>0.99819494584837498</v>
      </c>
      <c r="O5804">
        <v>0.53519855595667898</v>
      </c>
      <c r="P5804" t="s">
        <v>169</v>
      </c>
      <c r="Q5804" t="s">
        <v>170</v>
      </c>
      <c r="R5804" t="s">
        <v>138</v>
      </c>
      <c r="S5804" t="s">
        <v>139</v>
      </c>
      <c r="T5804" t="s">
        <v>3691</v>
      </c>
      <c r="U5804" t="s">
        <v>3692</v>
      </c>
      <c r="V5804" t="s">
        <v>3693</v>
      </c>
      <c r="W5804" t="s">
        <v>3694</v>
      </c>
      <c r="AD5804" t="s">
        <v>166</v>
      </c>
      <c r="AE5804" t="s">
        <v>3695</v>
      </c>
      <c r="AF5804" t="s">
        <v>11979</v>
      </c>
    </row>
    <row r="5805" spans="1:32" hidden="1" x14ac:dyDescent="0.35">
      <c r="A5805">
        <v>5804</v>
      </c>
      <c r="B5805" t="s">
        <v>11980</v>
      </c>
      <c r="C5805" t="s">
        <v>11070</v>
      </c>
      <c r="D5805" t="s">
        <v>60</v>
      </c>
      <c r="E5805">
        <v>2356</v>
      </c>
      <c r="F5805">
        <v>4</v>
      </c>
      <c r="G5805">
        <v>4</v>
      </c>
      <c r="H5805">
        <v>1</v>
      </c>
      <c r="I5805">
        <v>0</v>
      </c>
      <c r="J5805">
        <v>0.86913357400722002</v>
      </c>
      <c r="K5805">
        <v>0.98247735661287305</v>
      </c>
      <c r="L5805">
        <v>0.92233637446517502</v>
      </c>
      <c r="M5805">
        <v>0.71276595744680804</v>
      </c>
      <c r="N5805">
        <v>0.99822695035460995</v>
      </c>
      <c r="O5805">
        <v>0.80762411347517704</v>
      </c>
      <c r="P5805" t="s">
        <v>11981</v>
      </c>
      <c r="Q5805" t="s">
        <v>11982</v>
      </c>
      <c r="R5805" t="s">
        <v>342</v>
      </c>
      <c r="S5805" t="s">
        <v>343</v>
      </c>
      <c r="T5805" t="s">
        <v>11983</v>
      </c>
      <c r="U5805" t="s">
        <v>11984</v>
      </c>
      <c r="V5805" t="s">
        <v>11985</v>
      </c>
      <c r="W5805" t="s">
        <v>11986</v>
      </c>
      <c r="X5805" t="s">
        <v>11985</v>
      </c>
      <c r="Y5805" t="s">
        <v>4418</v>
      </c>
      <c r="Z5805" t="s">
        <v>11987</v>
      </c>
      <c r="AA5805" t="s">
        <v>11988</v>
      </c>
      <c r="AB5805" t="s">
        <v>11987</v>
      </c>
      <c r="AC5805" t="s">
        <v>11989</v>
      </c>
      <c r="AD5805" t="s">
        <v>219</v>
      </c>
      <c r="AE5805" t="s">
        <v>11990</v>
      </c>
      <c r="AF5805" t="s">
        <v>11991</v>
      </c>
    </row>
    <row r="5806" spans="1:32" hidden="1" x14ac:dyDescent="0.35">
      <c r="A5806">
        <v>5805</v>
      </c>
      <c r="B5806" t="s">
        <v>11980</v>
      </c>
      <c r="C5806" t="s">
        <v>11070</v>
      </c>
      <c r="D5806" t="s">
        <v>62</v>
      </c>
      <c r="E5806">
        <v>2384</v>
      </c>
      <c r="F5806">
        <v>4</v>
      </c>
      <c r="G5806">
        <v>4</v>
      </c>
      <c r="H5806">
        <v>1</v>
      </c>
      <c r="I5806">
        <v>0</v>
      </c>
      <c r="J5806">
        <v>0.86913357400722002</v>
      </c>
      <c r="K5806">
        <v>0.98247735661287305</v>
      </c>
      <c r="L5806">
        <v>0.92233637446517502</v>
      </c>
      <c r="M5806">
        <v>0.71276595744680804</v>
      </c>
      <c r="N5806">
        <v>0.99822695035460995</v>
      </c>
      <c r="O5806">
        <v>0.80762411347517704</v>
      </c>
      <c r="P5806" t="s">
        <v>11981</v>
      </c>
      <c r="Q5806" t="s">
        <v>11982</v>
      </c>
      <c r="R5806" t="s">
        <v>342</v>
      </c>
      <c r="S5806" t="s">
        <v>343</v>
      </c>
      <c r="T5806" t="s">
        <v>11983</v>
      </c>
      <c r="U5806" t="s">
        <v>11984</v>
      </c>
      <c r="V5806" t="s">
        <v>11985</v>
      </c>
      <c r="W5806" t="s">
        <v>11986</v>
      </c>
      <c r="X5806" t="s">
        <v>11985</v>
      </c>
      <c r="Y5806" t="s">
        <v>4418</v>
      </c>
      <c r="Z5806" t="s">
        <v>11987</v>
      </c>
      <c r="AA5806" t="s">
        <v>11988</v>
      </c>
      <c r="AB5806" t="s">
        <v>11987</v>
      </c>
      <c r="AC5806" t="s">
        <v>11989</v>
      </c>
      <c r="AD5806" t="s">
        <v>219</v>
      </c>
      <c r="AE5806" t="s">
        <v>11990</v>
      </c>
      <c r="AF5806" t="s">
        <v>11992</v>
      </c>
    </row>
    <row r="5807" spans="1:32" hidden="1" x14ac:dyDescent="0.35">
      <c r="A5807">
        <v>5806</v>
      </c>
      <c r="B5807" t="s">
        <v>11980</v>
      </c>
      <c r="C5807" t="s">
        <v>11070</v>
      </c>
      <c r="D5807" t="s">
        <v>34</v>
      </c>
      <c r="E5807">
        <v>1371</v>
      </c>
      <c r="F5807">
        <v>4</v>
      </c>
      <c r="G5807">
        <v>4</v>
      </c>
      <c r="H5807">
        <v>1</v>
      </c>
      <c r="I5807">
        <v>0</v>
      </c>
      <c r="J5807">
        <v>0.86913357400722002</v>
      </c>
      <c r="K5807">
        <v>0.98247735661287305</v>
      </c>
      <c r="L5807">
        <v>0.92233637446517502</v>
      </c>
      <c r="M5807">
        <v>0.71276595744680804</v>
      </c>
      <c r="N5807">
        <v>0.99822695035460995</v>
      </c>
      <c r="O5807">
        <v>0.80762411347517704</v>
      </c>
      <c r="P5807" t="s">
        <v>11981</v>
      </c>
      <c r="Q5807" t="s">
        <v>11982</v>
      </c>
      <c r="R5807" t="s">
        <v>342</v>
      </c>
      <c r="S5807" t="s">
        <v>343</v>
      </c>
      <c r="T5807" t="s">
        <v>11983</v>
      </c>
      <c r="U5807" t="s">
        <v>11984</v>
      </c>
      <c r="V5807" t="s">
        <v>11985</v>
      </c>
      <c r="W5807" t="s">
        <v>11986</v>
      </c>
      <c r="X5807" t="s">
        <v>11985</v>
      </c>
      <c r="Y5807" t="s">
        <v>4418</v>
      </c>
      <c r="Z5807" t="s">
        <v>11987</v>
      </c>
      <c r="AA5807" t="s">
        <v>11988</v>
      </c>
      <c r="AB5807" t="s">
        <v>11987</v>
      </c>
      <c r="AC5807" t="s">
        <v>11989</v>
      </c>
      <c r="AD5807" t="s">
        <v>219</v>
      </c>
      <c r="AE5807" t="s">
        <v>11990</v>
      </c>
      <c r="AF5807" t="s">
        <v>11993</v>
      </c>
    </row>
    <row r="5808" spans="1:32" hidden="1" x14ac:dyDescent="0.35">
      <c r="A5808">
        <v>5807</v>
      </c>
      <c r="B5808" t="s">
        <v>11980</v>
      </c>
      <c r="C5808" t="s">
        <v>11070</v>
      </c>
      <c r="D5808" t="s">
        <v>45</v>
      </c>
      <c r="E5808">
        <v>120</v>
      </c>
      <c r="F5808">
        <v>4</v>
      </c>
      <c r="G5808">
        <v>4</v>
      </c>
      <c r="H5808">
        <v>1</v>
      </c>
      <c r="I5808">
        <v>0</v>
      </c>
      <c r="J5808">
        <v>0.86913357400722002</v>
      </c>
      <c r="K5808">
        <v>0.98247735661287305</v>
      </c>
      <c r="L5808">
        <v>0.92233637446517502</v>
      </c>
      <c r="M5808">
        <v>0.71276595744680804</v>
      </c>
      <c r="N5808">
        <v>0.99822695035460995</v>
      </c>
      <c r="O5808">
        <v>0.80762411347517704</v>
      </c>
      <c r="P5808" t="s">
        <v>11981</v>
      </c>
      <c r="Q5808" t="s">
        <v>11982</v>
      </c>
      <c r="R5808" t="s">
        <v>342</v>
      </c>
      <c r="S5808" t="s">
        <v>343</v>
      </c>
      <c r="T5808" t="s">
        <v>11983</v>
      </c>
      <c r="U5808" t="s">
        <v>11984</v>
      </c>
      <c r="V5808" t="s">
        <v>11985</v>
      </c>
      <c r="W5808" t="s">
        <v>11986</v>
      </c>
      <c r="X5808" t="s">
        <v>11985</v>
      </c>
      <c r="Y5808" t="s">
        <v>4418</v>
      </c>
      <c r="Z5808" t="s">
        <v>11987</v>
      </c>
      <c r="AA5808" t="s">
        <v>11988</v>
      </c>
      <c r="AB5808" t="s">
        <v>11987</v>
      </c>
      <c r="AC5808" t="s">
        <v>11989</v>
      </c>
      <c r="AD5808" t="s">
        <v>219</v>
      </c>
      <c r="AE5808" t="s">
        <v>11990</v>
      </c>
      <c r="AF5808" t="s">
        <v>11994</v>
      </c>
    </row>
    <row r="5809" spans="1:32" hidden="1" x14ac:dyDescent="0.35">
      <c r="A5809">
        <v>5808</v>
      </c>
      <c r="B5809" t="s">
        <v>11995</v>
      </c>
      <c r="C5809" t="s">
        <v>11070</v>
      </c>
      <c r="D5809" t="s">
        <v>34</v>
      </c>
      <c r="E5809">
        <v>2298</v>
      </c>
      <c r="F5809">
        <v>2</v>
      </c>
      <c r="G5809">
        <v>4</v>
      </c>
      <c r="H5809">
        <v>2</v>
      </c>
      <c r="I5809">
        <v>0</v>
      </c>
      <c r="J5809">
        <v>0.79274915602524598</v>
      </c>
      <c r="K5809">
        <v>0.930315676639202</v>
      </c>
      <c r="L5809">
        <v>0.85604087961373398</v>
      </c>
      <c r="M5809">
        <v>0.57598039215686303</v>
      </c>
      <c r="N5809">
        <v>0.97058823529411797</v>
      </c>
      <c r="O5809">
        <v>0.70792483660130701</v>
      </c>
      <c r="P5809" t="s">
        <v>136</v>
      </c>
      <c r="Q5809" t="s">
        <v>137</v>
      </c>
      <c r="R5809" t="s">
        <v>138</v>
      </c>
      <c r="S5809" t="s">
        <v>139</v>
      </c>
      <c r="T5809" t="s">
        <v>140</v>
      </c>
      <c r="U5809" t="s">
        <v>141</v>
      </c>
      <c r="V5809" t="s">
        <v>142</v>
      </c>
      <c r="W5809" t="s">
        <v>143</v>
      </c>
      <c r="Z5809" t="s">
        <v>144</v>
      </c>
      <c r="AA5809" t="s">
        <v>145</v>
      </c>
      <c r="AB5809" t="s">
        <v>144</v>
      </c>
      <c r="AC5809" t="s">
        <v>146</v>
      </c>
      <c r="AD5809" t="s">
        <v>147</v>
      </c>
      <c r="AE5809" t="s">
        <v>148</v>
      </c>
      <c r="AF5809" t="s">
        <v>11996</v>
      </c>
    </row>
    <row r="5810" spans="1:32" hidden="1" x14ac:dyDescent="0.35">
      <c r="A5810">
        <v>5809</v>
      </c>
      <c r="B5810" t="s">
        <v>11995</v>
      </c>
      <c r="C5810" t="s">
        <v>11070</v>
      </c>
      <c r="D5810" t="s">
        <v>34</v>
      </c>
      <c r="E5810">
        <v>2299</v>
      </c>
      <c r="F5810">
        <v>2</v>
      </c>
      <c r="G5810">
        <v>4</v>
      </c>
      <c r="H5810">
        <v>2</v>
      </c>
      <c r="I5810">
        <v>0</v>
      </c>
      <c r="J5810">
        <v>0.79274915602524598</v>
      </c>
      <c r="K5810">
        <v>0.930315676639202</v>
      </c>
      <c r="L5810">
        <v>0.85604087961373398</v>
      </c>
      <c r="M5810">
        <v>0.57598039215686303</v>
      </c>
      <c r="N5810">
        <v>0.97058823529411797</v>
      </c>
      <c r="O5810">
        <v>0.70792483660130701</v>
      </c>
      <c r="P5810" t="s">
        <v>136</v>
      </c>
      <c r="Q5810" t="s">
        <v>137</v>
      </c>
      <c r="R5810" t="s">
        <v>138</v>
      </c>
      <c r="S5810" t="s">
        <v>139</v>
      </c>
      <c r="T5810" t="s">
        <v>140</v>
      </c>
      <c r="U5810" t="s">
        <v>141</v>
      </c>
      <c r="V5810" t="s">
        <v>142</v>
      </c>
      <c r="W5810" t="s">
        <v>143</v>
      </c>
      <c r="Z5810" t="s">
        <v>144</v>
      </c>
      <c r="AA5810" t="s">
        <v>145</v>
      </c>
      <c r="AB5810" t="s">
        <v>144</v>
      </c>
      <c r="AC5810" t="s">
        <v>146</v>
      </c>
      <c r="AD5810" t="s">
        <v>147</v>
      </c>
      <c r="AE5810" t="s">
        <v>148</v>
      </c>
      <c r="AF5810" t="e">
        <f>----------------------MAGVSAGLSLGAVPAGAADVGDLGSSSAVERM-------SKDPRLAPELERLLGST----PGYMPTPPIYFRPNPYPPASLRDYAAPRLAKREADAQHPGIERLFVESPAMRRVVQVQVQHAKDRGRPAPMLYLLDGVTAPKESGWLREGNVQQLSGE-QVTAIMPTEATGSNYTNWQSDDPILGRMQWETFLTSELPTVLEREADLKFNGTRYIGGVSMGGSAAVRLANLHPDLYRGTFGFSGCYSPTSTDGRGFLNLINTATGGNPDNQWGPGVSAERRRNDVTANPSGLRGMPVYLFAADGEVTQRDKDIVAKDG--GPITLTGSVILEKLVNQCTHDLDDAMRAQGMTHQQVTYLHGGTHNWPYYAEQLPIAWRHISGGGGR</f>
        <v>#NAME?</v>
      </c>
    </row>
    <row r="5811" spans="1:32" hidden="1" x14ac:dyDescent="0.35">
      <c r="A5811">
        <v>5810</v>
      </c>
      <c r="B5811" t="s">
        <v>11995</v>
      </c>
      <c r="C5811" t="s">
        <v>11070</v>
      </c>
      <c r="D5811" t="s">
        <v>45</v>
      </c>
      <c r="E5811">
        <v>579</v>
      </c>
      <c r="F5811">
        <v>2</v>
      </c>
      <c r="G5811">
        <v>4</v>
      </c>
      <c r="H5811">
        <v>2</v>
      </c>
      <c r="I5811">
        <v>0</v>
      </c>
      <c r="J5811">
        <v>0.79274915602524598</v>
      </c>
      <c r="K5811">
        <v>0.930315676639202</v>
      </c>
      <c r="L5811">
        <v>0.85604087961373398</v>
      </c>
      <c r="M5811">
        <v>0.57598039215686303</v>
      </c>
      <c r="N5811">
        <v>0.97058823529411797</v>
      </c>
      <c r="O5811">
        <v>0.70792483660130701</v>
      </c>
      <c r="P5811" t="s">
        <v>136</v>
      </c>
      <c r="Q5811" t="s">
        <v>137</v>
      </c>
      <c r="R5811" t="s">
        <v>138</v>
      </c>
      <c r="S5811" t="s">
        <v>139</v>
      </c>
      <c r="T5811" t="s">
        <v>140</v>
      </c>
      <c r="U5811" t="s">
        <v>141</v>
      </c>
      <c r="V5811" t="s">
        <v>142</v>
      </c>
      <c r="W5811" t="s">
        <v>143</v>
      </c>
      <c r="Z5811" t="s">
        <v>144</v>
      </c>
      <c r="AA5811" t="s">
        <v>145</v>
      </c>
      <c r="AB5811" t="s">
        <v>144</v>
      </c>
      <c r="AC5811" t="s">
        <v>146</v>
      </c>
      <c r="AD5811" t="s">
        <v>147</v>
      </c>
      <c r="AE5811" t="s">
        <v>148</v>
      </c>
      <c r="AF5811" t="s">
        <v>11997</v>
      </c>
    </row>
    <row r="5812" spans="1:32" hidden="1" x14ac:dyDescent="0.35">
      <c r="A5812">
        <v>5811</v>
      </c>
      <c r="B5812" t="s">
        <v>11995</v>
      </c>
      <c r="C5812" t="s">
        <v>11070</v>
      </c>
      <c r="D5812" t="s">
        <v>45</v>
      </c>
      <c r="E5812">
        <v>578</v>
      </c>
      <c r="F5812">
        <v>2</v>
      </c>
      <c r="G5812">
        <v>4</v>
      </c>
      <c r="H5812">
        <v>2</v>
      </c>
      <c r="I5812">
        <v>0</v>
      </c>
      <c r="J5812">
        <v>0.79274915602524598</v>
      </c>
      <c r="K5812">
        <v>0.930315676639202</v>
      </c>
      <c r="L5812">
        <v>0.85604087961373398</v>
      </c>
      <c r="M5812">
        <v>0.57598039215686303</v>
      </c>
      <c r="N5812">
        <v>0.97058823529411797</v>
      </c>
      <c r="O5812">
        <v>0.70792483660130701</v>
      </c>
      <c r="P5812" t="s">
        <v>136</v>
      </c>
      <c r="Q5812" t="s">
        <v>137</v>
      </c>
      <c r="R5812" t="s">
        <v>138</v>
      </c>
      <c r="S5812" t="s">
        <v>139</v>
      </c>
      <c r="T5812" t="s">
        <v>140</v>
      </c>
      <c r="U5812" t="s">
        <v>141</v>
      </c>
      <c r="V5812" t="s">
        <v>142</v>
      </c>
      <c r="W5812" t="s">
        <v>143</v>
      </c>
      <c r="Z5812" t="s">
        <v>144</v>
      </c>
      <c r="AA5812" t="s">
        <v>145</v>
      </c>
      <c r="AB5812" t="s">
        <v>144</v>
      </c>
      <c r="AC5812" t="s">
        <v>146</v>
      </c>
      <c r="AD5812" t="s">
        <v>147</v>
      </c>
      <c r="AE5812" t="s">
        <v>148</v>
      </c>
      <c r="AF5812" t="e">
        <f>------MRLMRRKAMRILGGIVVAGVSAGLNLGVMPAEATDVGDLGSSSAVERM-------SKDPRLAPELERLLGST----PGYVPTPPIYFRPNPYPPASLRDYAAPRLAKREADAQHPGIERLFVESPAMRRVVQVQVQHAKDQGKPAPMLYLLDGVTAPKESGWLREGNVQQLSGE-QVTVVMPTEATGSNYTNWQSDDPILGRMQWETFFTSELPTVLEKEAGLKFNGTRYIGGVSMGGSAAVRLANLHPDLYRGTFGFSGCYSPTSTDGRGFLNLINTATGGNPDNQWGPGVSAERRRNDVTANPSGLRGMPVYLFAADGEVTQRDKDIVAKDG--GPITLTGSVILEKLVNQCTHDLDDAMRAQGMTHQQVTYLHGGTHNWPYYAEQLPIAWRHIS-GSGR</f>
        <v>#NAME?</v>
      </c>
    </row>
    <row r="5813" spans="1:32" hidden="1" x14ac:dyDescent="0.35">
      <c r="A5813">
        <v>5812</v>
      </c>
      <c r="B5813" t="s">
        <v>11998</v>
      </c>
      <c r="C5813" t="s">
        <v>11488</v>
      </c>
      <c r="D5813" t="s">
        <v>60</v>
      </c>
      <c r="E5813">
        <v>1281</v>
      </c>
      <c r="F5813">
        <v>4</v>
      </c>
      <c r="G5813">
        <v>4</v>
      </c>
      <c r="H5813">
        <v>1</v>
      </c>
      <c r="I5813">
        <v>0</v>
      </c>
      <c r="J5813">
        <v>0.79867775645126904</v>
      </c>
      <c r="K5813">
        <v>0.95562648136177397</v>
      </c>
      <c r="L5813">
        <v>0.87013141470935795</v>
      </c>
      <c r="M5813">
        <v>0.54578754578754596</v>
      </c>
      <c r="N5813">
        <v>0.98168498168498197</v>
      </c>
      <c r="O5813">
        <v>0.69108669108669096</v>
      </c>
      <c r="AF5813" t="s">
        <v>11999</v>
      </c>
    </row>
    <row r="5814" spans="1:32" hidden="1" x14ac:dyDescent="0.35">
      <c r="A5814">
        <v>5813</v>
      </c>
      <c r="B5814" t="s">
        <v>11998</v>
      </c>
      <c r="C5814" t="s">
        <v>11488</v>
      </c>
      <c r="D5814" t="s">
        <v>62</v>
      </c>
      <c r="E5814">
        <v>1317</v>
      </c>
      <c r="F5814">
        <v>4</v>
      </c>
      <c r="G5814">
        <v>4</v>
      </c>
      <c r="H5814">
        <v>1</v>
      </c>
      <c r="I5814">
        <v>0</v>
      </c>
      <c r="J5814">
        <v>0.79867775645126904</v>
      </c>
      <c r="K5814">
        <v>0.95562648136177397</v>
      </c>
      <c r="L5814">
        <v>0.87013141470935795</v>
      </c>
      <c r="M5814">
        <v>0.54578754578754596</v>
      </c>
      <c r="N5814">
        <v>0.98168498168498197</v>
      </c>
      <c r="O5814">
        <v>0.69108669108669096</v>
      </c>
      <c r="AF5814" t="s">
        <v>12000</v>
      </c>
    </row>
    <row r="5815" spans="1:32" hidden="1" x14ac:dyDescent="0.35">
      <c r="A5815">
        <v>5814</v>
      </c>
      <c r="B5815" t="s">
        <v>11998</v>
      </c>
      <c r="C5815" t="s">
        <v>11488</v>
      </c>
      <c r="D5815" t="s">
        <v>34</v>
      </c>
      <c r="E5815">
        <v>2433</v>
      </c>
      <c r="F5815">
        <v>4</v>
      </c>
      <c r="G5815">
        <v>4</v>
      </c>
      <c r="H5815">
        <v>1</v>
      </c>
      <c r="I5815">
        <v>0</v>
      </c>
      <c r="J5815">
        <v>0.79867775645126904</v>
      </c>
      <c r="K5815">
        <v>0.95562648136177397</v>
      </c>
      <c r="L5815">
        <v>0.87013141470935795</v>
      </c>
      <c r="M5815">
        <v>0.54578754578754596</v>
      </c>
      <c r="N5815">
        <v>0.98168498168498197</v>
      </c>
      <c r="O5815">
        <v>0.69108669108669096</v>
      </c>
      <c r="AF5815" t="s">
        <v>12001</v>
      </c>
    </row>
    <row r="5816" spans="1:32" hidden="1" x14ac:dyDescent="0.35">
      <c r="A5816">
        <v>5815</v>
      </c>
      <c r="B5816" t="s">
        <v>11998</v>
      </c>
      <c r="C5816" t="s">
        <v>11488</v>
      </c>
      <c r="D5816" t="s">
        <v>45</v>
      </c>
      <c r="E5816">
        <v>469</v>
      </c>
      <c r="F5816">
        <v>4</v>
      </c>
      <c r="G5816">
        <v>4</v>
      </c>
      <c r="H5816">
        <v>1</v>
      </c>
      <c r="I5816">
        <v>0</v>
      </c>
      <c r="J5816">
        <v>0.79867775645126904</v>
      </c>
      <c r="K5816">
        <v>0.95562648136177397</v>
      </c>
      <c r="L5816">
        <v>0.87013141470935795</v>
      </c>
      <c r="M5816">
        <v>0.54578754578754596</v>
      </c>
      <c r="N5816">
        <v>0.98168498168498197</v>
      </c>
      <c r="O5816">
        <v>0.69108669108669096</v>
      </c>
      <c r="AF5816" t="s">
        <v>12002</v>
      </c>
    </row>
    <row r="5817" spans="1:32" hidden="1" x14ac:dyDescent="0.35">
      <c r="A5817">
        <v>5816</v>
      </c>
      <c r="B5817" t="s">
        <v>12003</v>
      </c>
      <c r="C5817" t="s">
        <v>11488</v>
      </c>
      <c r="D5817" t="s">
        <v>60</v>
      </c>
      <c r="E5817">
        <v>535</v>
      </c>
      <c r="F5817">
        <v>4</v>
      </c>
      <c r="G5817">
        <v>4</v>
      </c>
      <c r="H5817">
        <v>1</v>
      </c>
      <c r="I5817">
        <v>0</v>
      </c>
      <c r="J5817">
        <v>0.76919408679065304</v>
      </c>
      <c r="K5817">
        <v>0.95942590892085999</v>
      </c>
      <c r="L5817">
        <v>0.85384264637285201</v>
      </c>
      <c r="M5817">
        <v>0.53497942386831299</v>
      </c>
      <c r="N5817">
        <v>0.99588477366255101</v>
      </c>
      <c r="O5817">
        <v>0.68861454046639203</v>
      </c>
      <c r="P5817" t="s">
        <v>169</v>
      </c>
      <c r="Q5817" t="s">
        <v>170</v>
      </c>
      <c r="R5817" t="s">
        <v>157</v>
      </c>
      <c r="S5817" t="s">
        <v>158</v>
      </c>
      <c r="T5817" t="s">
        <v>159</v>
      </c>
      <c r="U5817" t="s">
        <v>160</v>
      </c>
      <c r="V5817" t="s">
        <v>161</v>
      </c>
      <c r="W5817" t="s">
        <v>162</v>
      </c>
      <c r="AD5817" t="s">
        <v>166</v>
      </c>
      <c r="AE5817" t="s">
        <v>167</v>
      </c>
      <c r="AF5817" t="e">
        <f>--------MTTPSDDVPALVLEDVCRIHQDGPTTITALDHVNLTVMPGELVAVMGPSGSGKTTLLNIAGTLDAPTSGRVFIAGNDSGYLPPTARATIRRAHVGFVFQDFNLIPTLTVLENVSLPLELGKMPTKEARAQGRAALEDINQADLADRYPSEISGGQRQRVAIARALVGVRQLILADEPTGALDTTTAESVMQLLRRRVDDGAACVLVTHEPRFAAWADRVVYLRDGKIVDEADNNG</f>
        <v>#NAME?</v>
      </c>
    </row>
    <row r="5818" spans="1:32" hidden="1" x14ac:dyDescent="0.35">
      <c r="A5818">
        <v>5817</v>
      </c>
      <c r="B5818" t="s">
        <v>12003</v>
      </c>
      <c r="C5818" t="s">
        <v>11488</v>
      </c>
      <c r="D5818" t="s">
        <v>62</v>
      </c>
      <c r="E5818">
        <v>619</v>
      </c>
      <c r="F5818">
        <v>4</v>
      </c>
      <c r="G5818">
        <v>4</v>
      </c>
      <c r="H5818">
        <v>1</v>
      </c>
      <c r="I5818">
        <v>0</v>
      </c>
      <c r="J5818">
        <v>0.76919408679065304</v>
      </c>
      <c r="K5818">
        <v>0.95942590892085999</v>
      </c>
      <c r="L5818">
        <v>0.85384264637285201</v>
      </c>
      <c r="M5818">
        <v>0.53497942386831299</v>
      </c>
      <c r="N5818">
        <v>0.99588477366255101</v>
      </c>
      <c r="O5818">
        <v>0.68861454046639203</v>
      </c>
      <c r="P5818" t="s">
        <v>169</v>
      </c>
      <c r="Q5818" t="s">
        <v>170</v>
      </c>
      <c r="R5818" t="s">
        <v>157</v>
      </c>
      <c r="S5818" t="s">
        <v>158</v>
      </c>
      <c r="T5818" t="s">
        <v>159</v>
      </c>
      <c r="U5818" t="s">
        <v>160</v>
      </c>
      <c r="V5818" t="s">
        <v>161</v>
      </c>
      <c r="W5818" t="s">
        <v>162</v>
      </c>
      <c r="AD5818" t="s">
        <v>166</v>
      </c>
      <c r="AE5818" t="s">
        <v>167</v>
      </c>
      <c r="AF5818" t="e">
        <f>--------MTTPSDDVPALVLEDVCRIHQDGPTTITALDHVNLTVMPGELVAVMGPSGSGKTTLLNIAGTLDAPTSGRVFIAGNDSGYLPPTARATIRRAHVGFVFQDFNLIPTLTVLENVSLPLELGKMPTKEARAQGRAALEDINQADLADRYPSEISGGQRQRVAIARALVGVRQLILADEPTGALDTTTAESVMQLLRRRVDDGAACVLVTHEPRFAAWADRVVYLRDGKIMDEADNNG</f>
        <v>#NAME?</v>
      </c>
    </row>
    <row r="5819" spans="1:32" hidden="1" x14ac:dyDescent="0.35">
      <c r="A5819">
        <v>5818</v>
      </c>
      <c r="B5819" t="s">
        <v>12003</v>
      </c>
      <c r="C5819" t="s">
        <v>11488</v>
      </c>
      <c r="D5819" t="s">
        <v>34</v>
      </c>
      <c r="E5819">
        <v>384</v>
      </c>
      <c r="F5819">
        <v>4</v>
      </c>
      <c r="G5819">
        <v>4</v>
      </c>
      <c r="H5819">
        <v>1</v>
      </c>
      <c r="I5819">
        <v>0</v>
      </c>
      <c r="J5819">
        <v>0.76919408679065304</v>
      </c>
      <c r="K5819">
        <v>0.95942590892085999</v>
      </c>
      <c r="L5819">
        <v>0.85384264637285201</v>
      </c>
      <c r="M5819">
        <v>0.53497942386831299</v>
      </c>
      <c r="N5819">
        <v>0.99588477366255101</v>
      </c>
      <c r="O5819">
        <v>0.68861454046639203</v>
      </c>
      <c r="P5819" t="s">
        <v>169</v>
      </c>
      <c r="Q5819" t="s">
        <v>170</v>
      </c>
      <c r="R5819" t="s">
        <v>157</v>
      </c>
      <c r="S5819" t="s">
        <v>158</v>
      </c>
      <c r="T5819" t="s">
        <v>159</v>
      </c>
      <c r="U5819" t="s">
        <v>160</v>
      </c>
      <c r="V5819" t="s">
        <v>161</v>
      </c>
      <c r="W5819" t="s">
        <v>162</v>
      </c>
      <c r="AD5819" t="s">
        <v>166</v>
      </c>
      <c r="AE5819" t="s">
        <v>167</v>
      </c>
      <c r="AF5819" t="s">
        <v>12004</v>
      </c>
    </row>
    <row r="5820" spans="1:32" hidden="1" x14ac:dyDescent="0.35">
      <c r="A5820">
        <v>5819</v>
      </c>
      <c r="B5820" t="s">
        <v>12003</v>
      </c>
      <c r="C5820" t="s">
        <v>11488</v>
      </c>
      <c r="D5820" t="s">
        <v>45</v>
      </c>
      <c r="E5820">
        <v>1645</v>
      </c>
      <c r="F5820">
        <v>4</v>
      </c>
      <c r="G5820">
        <v>4</v>
      </c>
      <c r="H5820">
        <v>1</v>
      </c>
      <c r="I5820">
        <v>0</v>
      </c>
      <c r="J5820">
        <v>0.76919408679065304</v>
      </c>
      <c r="K5820">
        <v>0.95942590892085999</v>
      </c>
      <c r="L5820">
        <v>0.85384264637285201</v>
      </c>
      <c r="M5820">
        <v>0.53497942386831299</v>
      </c>
      <c r="N5820">
        <v>0.99588477366255101</v>
      </c>
      <c r="O5820">
        <v>0.68861454046639203</v>
      </c>
      <c r="P5820" t="s">
        <v>169</v>
      </c>
      <c r="Q5820" t="s">
        <v>170</v>
      </c>
      <c r="R5820" t="s">
        <v>157</v>
      </c>
      <c r="S5820" t="s">
        <v>158</v>
      </c>
      <c r="T5820" t="s">
        <v>159</v>
      </c>
      <c r="U5820" t="s">
        <v>160</v>
      </c>
      <c r="V5820" t="s">
        <v>161</v>
      </c>
      <c r="W5820" t="s">
        <v>162</v>
      </c>
      <c r="AD5820" t="s">
        <v>166</v>
      </c>
      <c r="AE5820" t="s">
        <v>167</v>
      </c>
      <c r="AF5820" t="s">
        <v>12005</v>
      </c>
    </row>
    <row r="5821" spans="1:32" hidden="1" x14ac:dyDescent="0.35">
      <c r="A5821">
        <v>5820</v>
      </c>
      <c r="B5821" t="s">
        <v>12006</v>
      </c>
      <c r="C5821" t="s">
        <v>11488</v>
      </c>
      <c r="D5821" t="s">
        <v>60</v>
      </c>
      <c r="E5821">
        <v>2172</v>
      </c>
      <c r="F5821">
        <v>4</v>
      </c>
      <c r="G5821">
        <v>4</v>
      </c>
      <c r="H5821">
        <v>1</v>
      </c>
      <c r="I5821">
        <v>0</v>
      </c>
      <c r="J5821">
        <v>0.81409682871060696</v>
      </c>
      <c r="K5821">
        <v>0.93753186220959805</v>
      </c>
      <c r="L5821">
        <v>0.87146519099207098</v>
      </c>
      <c r="M5821">
        <v>0.58862876254180596</v>
      </c>
      <c r="N5821">
        <v>0.99832775919732397</v>
      </c>
      <c r="O5821">
        <v>0.72408026755852894</v>
      </c>
      <c r="P5821" t="s">
        <v>12007</v>
      </c>
      <c r="Q5821" t="s">
        <v>12008</v>
      </c>
      <c r="R5821" t="s">
        <v>288</v>
      </c>
      <c r="S5821" t="s">
        <v>289</v>
      </c>
      <c r="V5821" t="s">
        <v>12009</v>
      </c>
      <c r="W5821" t="s">
        <v>12010</v>
      </c>
      <c r="AF5821" t="s">
        <v>12011</v>
      </c>
    </row>
    <row r="5822" spans="1:32" hidden="1" x14ac:dyDescent="0.35">
      <c r="A5822">
        <v>5821</v>
      </c>
      <c r="B5822" t="s">
        <v>12006</v>
      </c>
      <c r="C5822" t="s">
        <v>11488</v>
      </c>
      <c r="D5822" t="s">
        <v>62</v>
      </c>
      <c r="E5822">
        <v>2206</v>
      </c>
      <c r="F5822">
        <v>4</v>
      </c>
      <c r="G5822">
        <v>4</v>
      </c>
      <c r="H5822">
        <v>1</v>
      </c>
      <c r="I5822">
        <v>0</v>
      </c>
      <c r="J5822">
        <v>0.81409682871060696</v>
      </c>
      <c r="K5822">
        <v>0.93753186220959805</v>
      </c>
      <c r="L5822">
        <v>0.87146519099207098</v>
      </c>
      <c r="M5822">
        <v>0.58862876254180596</v>
      </c>
      <c r="N5822">
        <v>0.99832775919732397</v>
      </c>
      <c r="O5822">
        <v>0.72408026755852894</v>
      </c>
      <c r="P5822" t="s">
        <v>12007</v>
      </c>
      <c r="Q5822" t="s">
        <v>12008</v>
      </c>
      <c r="R5822" t="s">
        <v>288</v>
      </c>
      <c r="S5822" t="s">
        <v>289</v>
      </c>
      <c r="V5822" t="s">
        <v>12009</v>
      </c>
      <c r="W5822" t="s">
        <v>12010</v>
      </c>
      <c r="AF5822" t="s">
        <v>12012</v>
      </c>
    </row>
    <row r="5823" spans="1:32" hidden="1" x14ac:dyDescent="0.35">
      <c r="A5823">
        <v>5822</v>
      </c>
      <c r="B5823" t="s">
        <v>12006</v>
      </c>
      <c r="C5823" t="s">
        <v>11488</v>
      </c>
      <c r="D5823" t="s">
        <v>34</v>
      </c>
      <c r="E5823">
        <v>2503</v>
      </c>
      <c r="F5823">
        <v>4</v>
      </c>
      <c r="G5823">
        <v>4</v>
      </c>
      <c r="H5823">
        <v>1</v>
      </c>
      <c r="I5823">
        <v>0</v>
      </c>
      <c r="J5823">
        <v>0.81409682871060696</v>
      </c>
      <c r="K5823">
        <v>0.93753186220959805</v>
      </c>
      <c r="L5823">
        <v>0.87146519099207098</v>
      </c>
      <c r="M5823">
        <v>0.58862876254180596</v>
      </c>
      <c r="N5823">
        <v>0.99832775919732397</v>
      </c>
      <c r="O5823">
        <v>0.72408026755852894</v>
      </c>
      <c r="P5823" t="s">
        <v>12007</v>
      </c>
      <c r="Q5823" t="s">
        <v>12008</v>
      </c>
      <c r="R5823" t="s">
        <v>288</v>
      </c>
      <c r="S5823" t="s">
        <v>289</v>
      </c>
      <c r="V5823" t="s">
        <v>12009</v>
      </c>
      <c r="W5823" t="s">
        <v>12010</v>
      </c>
      <c r="AF5823" t="s">
        <v>12013</v>
      </c>
    </row>
    <row r="5824" spans="1:32" hidden="1" x14ac:dyDescent="0.35">
      <c r="A5824">
        <v>5823</v>
      </c>
      <c r="B5824" t="s">
        <v>12006</v>
      </c>
      <c r="C5824" t="s">
        <v>11488</v>
      </c>
      <c r="D5824" t="s">
        <v>45</v>
      </c>
      <c r="E5824">
        <v>398</v>
      </c>
      <c r="F5824">
        <v>4</v>
      </c>
      <c r="G5824">
        <v>4</v>
      </c>
      <c r="H5824">
        <v>1</v>
      </c>
      <c r="I5824">
        <v>0</v>
      </c>
      <c r="J5824">
        <v>0.81409682871060696</v>
      </c>
      <c r="K5824">
        <v>0.93753186220959805</v>
      </c>
      <c r="L5824">
        <v>0.87146519099207098</v>
      </c>
      <c r="M5824">
        <v>0.58862876254180596</v>
      </c>
      <c r="N5824">
        <v>0.99832775919732397</v>
      </c>
      <c r="O5824">
        <v>0.72408026755852894</v>
      </c>
      <c r="P5824" t="s">
        <v>12007</v>
      </c>
      <c r="Q5824" t="s">
        <v>12008</v>
      </c>
      <c r="R5824" t="s">
        <v>288</v>
      </c>
      <c r="S5824" t="s">
        <v>289</v>
      </c>
      <c r="V5824" t="s">
        <v>12009</v>
      </c>
      <c r="W5824" t="s">
        <v>12010</v>
      </c>
      <c r="AF5824" t="s">
        <v>12014</v>
      </c>
    </row>
    <row r="5825" spans="1:32" hidden="1" x14ac:dyDescent="0.35">
      <c r="A5825">
        <v>5824</v>
      </c>
      <c r="B5825" t="s">
        <v>12015</v>
      </c>
      <c r="C5825" t="s">
        <v>11488</v>
      </c>
      <c r="D5825" t="s">
        <v>60</v>
      </c>
      <c r="E5825">
        <v>1092</v>
      </c>
      <c r="F5825">
        <v>2</v>
      </c>
      <c r="G5825">
        <v>4</v>
      </c>
      <c r="H5825">
        <v>2</v>
      </c>
      <c r="I5825">
        <v>0</v>
      </c>
      <c r="J5825">
        <v>0.79812206572769995</v>
      </c>
      <c r="K5825">
        <v>0.95360219697473203</v>
      </c>
      <c r="L5825">
        <v>0.868962052461146</v>
      </c>
      <c r="M5825">
        <v>0.56321839080459801</v>
      </c>
      <c r="N5825">
        <v>0.99425287356321801</v>
      </c>
      <c r="O5825">
        <v>0.71072796934865901</v>
      </c>
      <c r="P5825" t="s">
        <v>2112</v>
      </c>
      <c r="Q5825" t="s">
        <v>2113</v>
      </c>
      <c r="R5825" t="s">
        <v>869</v>
      </c>
      <c r="S5825" t="s">
        <v>870</v>
      </c>
      <c r="V5825" t="s">
        <v>2114</v>
      </c>
      <c r="W5825" t="s">
        <v>2115</v>
      </c>
      <c r="X5825" t="s">
        <v>2114</v>
      </c>
      <c r="Y5825" t="s">
        <v>2116</v>
      </c>
      <c r="AF5825" t="s">
        <v>12016</v>
      </c>
    </row>
    <row r="5826" spans="1:32" hidden="1" x14ac:dyDescent="0.35">
      <c r="A5826">
        <v>5825</v>
      </c>
      <c r="B5826" t="s">
        <v>12015</v>
      </c>
      <c r="C5826" t="s">
        <v>11488</v>
      </c>
      <c r="D5826" t="s">
        <v>60</v>
      </c>
      <c r="E5826">
        <v>1105</v>
      </c>
      <c r="F5826">
        <v>2</v>
      </c>
      <c r="G5826">
        <v>4</v>
      </c>
      <c r="H5826">
        <v>2</v>
      </c>
      <c r="I5826">
        <v>0</v>
      </c>
      <c r="J5826">
        <v>0.79812206572769995</v>
      </c>
      <c r="K5826">
        <v>0.95360219697473203</v>
      </c>
      <c r="L5826">
        <v>0.868962052461146</v>
      </c>
      <c r="M5826">
        <v>0.56321839080459801</v>
      </c>
      <c r="N5826">
        <v>0.99425287356321801</v>
      </c>
      <c r="O5826">
        <v>0.71072796934865901</v>
      </c>
      <c r="P5826" t="s">
        <v>2112</v>
      </c>
      <c r="Q5826" t="s">
        <v>2113</v>
      </c>
      <c r="R5826" t="s">
        <v>869</v>
      </c>
      <c r="S5826" t="s">
        <v>870</v>
      </c>
      <c r="V5826" t="s">
        <v>2114</v>
      </c>
      <c r="W5826" t="s">
        <v>2115</v>
      </c>
      <c r="X5826" t="s">
        <v>2114</v>
      </c>
      <c r="Y5826" t="s">
        <v>2116</v>
      </c>
      <c r="AF5826" t="s">
        <v>12017</v>
      </c>
    </row>
    <row r="5827" spans="1:32" hidden="1" x14ac:dyDescent="0.35">
      <c r="A5827">
        <v>5826</v>
      </c>
      <c r="B5827" t="s">
        <v>12015</v>
      </c>
      <c r="C5827" t="s">
        <v>11488</v>
      </c>
      <c r="D5827" t="s">
        <v>62</v>
      </c>
      <c r="E5827">
        <v>1128</v>
      </c>
      <c r="F5827">
        <v>2</v>
      </c>
      <c r="G5827">
        <v>4</v>
      </c>
      <c r="H5827">
        <v>2</v>
      </c>
      <c r="I5827">
        <v>0</v>
      </c>
      <c r="J5827">
        <v>0.79812206572769995</v>
      </c>
      <c r="K5827">
        <v>0.95360219697473203</v>
      </c>
      <c r="L5827">
        <v>0.868962052461146</v>
      </c>
      <c r="M5827">
        <v>0.56321839080459801</v>
      </c>
      <c r="N5827">
        <v>0.99425287356321801</v>
      </c>
      <c r="O5827">
        <v>0.71072796934865901</v>
      </c>
      <c r="P5827" t="s">
        <v>2112</v>
      </c>
      <c r="Q5827" t="s">
        <v>2113</v>
      </c>
      <c r="R5827" t="s">
        <v>869</v>
      </c>
      <c r="S5827" t="s">
        <v>870</v>
      </c>
      <c r="V5827" t="s">
        <v>2114</v>
      </c>
      <c r="W5827" t="s">
        <v>2115</v>
      </c>
      <c r="X5827" t="s">
        <v>2114</v>
      </c>
      <c r="Y5827" t="s">
        <v>2116</v>
      </c>
      <c r="AF5827" t="s">
        <v>12018</v>
      </c>
    </row>
    <row r="5828" spans="1:32" hidden="1" x14ac:dyDescent="0.35">
      <c r="A5828">
        <v>5827</v>
      </c>
      <c r="B5828" t="s">
        <v>12015</v>
      </c>
      <c r="C5828" t="s">
        <v>11488</v>
      </c>
      <c r="D5828" t="s">
        <v>62</v>
      </c>
      <c r="E5828">
        <v>1141</v>
      </c>
      <c r="F5828">
        <v>2</v>
      </c>
      <c r="G5828">
        <v>4</v>
      </c>
      <c r="H5828">
        <v>2</v>
      </c>
      <c r="I5828">
        <v>0</v>
      </c>
      <c r="J5828">
        <v>0.79812206572769995</v>
      </c>
      <c r="K5828">
        <v>0.95360219697473203</v>
      </c>
      <c r="L5828">
        <v>0.868962052461146</v>
      </c>
      <c r="M5828">
        <v>0.56321839080459801</v>
      </c>
      <c r="N5828">
        <v>0.99425287356321801</v>
      </c>
      <c r="O5828">
        <v>0.71072796934865901</v>
      </c>
      <c r="P5828" t="s">
        <v>2112</v>
      </c>
      <c r="Q5828" t="s">
        <v>2113</v>
      </c>
      <c r="R5828" t="s">
        <v>869</v>
      </c>
      <c r="S5828" t="s">
        <v>870</v>
      </c>
      <c r="V5828" t="s">
        <v>2114</v>
      </c>
      <c r="W5828" t="s">
        <v>2115</v>
      </c>
      <c r="X5828" t="s">
        <v>2114</v>
      </c>
      <c r="Y5828" t="s">
        <v>2116</v>
      </c>
      <c r="AF5828" t="s">
        <v>12019</v>
      </c>
    </row>
    <row r="5829" spans="1:32" hidden="1" x14ac:dyDescent="0.35">
      <c r="A5829">
        <v>5828</v>
      </c>
      <c r="B5829" t="s">
        <v>12020</v>
      </c>
      <c r="C5829" t="s">
        <v>11488</v>
      </c>
      <c r="D5829" t="s">
        <v>60</v>
      </c>
      <c r="E5829">
        <v>2352</v>
      </c>
      <c r="F5829">
        <v>4</v>
      </c>
      <c r="G5829">
        <v>4</v>
      </c>
      <c r="H5829">
        <v>1</v>
      </c>
      <c r="I5829">
        <v>0</v>
      </c>
      <c r="J5829">
        <v>0.82982982982983</v>
      </c>
      <c r="K5829">
        <v>0.95794258955178302</v>
      </c>
      <c r="L5829">
        <v>0.88929589410431398</v>
      </c>
      <c r="M5829">
        <v>0.62807881773398999</v>
      </c>
      <c r="N5829">
        <v>0.99261083743842404</v>
      </c>
      <c r="O5829">
        <v>0.75041050903119899</v>
      </c>
      <c r="P5829" t="s">
        <v>1401</v>
      </c>
      <c r="Q5829" t="s">
        <v>1402</v>
      </c>
      <c r="R5829" t="s">
        <v>342</v>
      </c>
      <c r="S5829" t="s">
        <v>343</v>
      </c>
      <c r="T5829" t="s">
        <v>12021</v>
      </c>
      <c r="U5829" t="s">
        <v>12022</v>
      </c>
      <c r="V5829" t="s">
        <v>12023</v>
      </c>
      <c r="W5829" t="s">
        <v>12024</v>
      </c>
      <c r="X5829" t="s">
        <v>12023</v>
      </c>
      <c r="Y5829" t="s">
        <v>4418</v>
      </c>
      <c r="Z5829" t="s">
        <v>11467</v>
      </c>
      <c r="AA5829" t="s">
        <v>11468</v>
      </c>
      <c r="AB5829" t="s">
        <v>11467</v>
      </c>
      <c r="AC5829" t="s">
        <v>11469</v>
      </c>
      <c r="AD5829" t="s">
        <v>1140</v>
      </c>
      <c r="AE5829" t="s">
        <v>12025</v>
      </c>
      <c r="AF5829" t="s">
        <v>12026</v>
      </c>
    </row>
    <row r="5830" spans="1:32" hidden="1" x14ac:dyDescent="0.35">
      <c r="A5830">
        <v>5829</v>
      </c>
      <c r="B5830" t="s">
        <v>12020</v>
      </c>
      <c r="C5830" t="s">
        <v>11488</v>
      </c>
      <c r="D5830" t="s">
        <v>62</v>
      </c>
      <c r="E5830">
        <v>2380</v>
      </c>
      <c r="F5830">
        <v>4</v>
      </c>
      <c r="G5830">
        <v>4</v>
      </c>
      <c r="H5830">
        <v>1</v>
      </c>
      <c r="I5830">
        <v>0</v>
      </c>
      <c r="J5830">
        <v>0.82982982982983</v>
      </c>
      <c r="K5830">
        <v>0.95794258955178302</v>
      </c>
      <c r="L5830">
        <v>0.88929589410431398</v>
      </c>
      <c r="M5830">
        <v>0.62807881773398999</v>
      </c>
      <c r="N5830">
        <v>0.99261083743842404</v>
      </c>
      <c r="O5830">
        <v>0.75041050903119899</v>
      </c>
      <c r="P5830" t="s">
        <v>1401</v>
      </c>
      <c r="Q5830" t="s">
        <v>1402</v>
      </c>
      <c r="R5830" t="s">
        <v>342</v>
      </c>
      <c r="S5830" t="s">
        <v>343</v>
      </c>
      <c r="T5830" t="s">
        <v>12021</v>
      </c>
      <c r="U5830" t="s">
        <v>12022</v>
      </c>
      <c r="V5830" t="s">
        <v>12023</v>
      </c>
      <c r="W5830" t="s">
        <v>12024</v>
      </c>
      <c r="X5830" t="s">
        <v>12023</v>
      </c>
      <c r="Y5830" t="s">
        <v>4418</v>
      </c>
      <c r="Z5830" t="s">
        <v>11467</v>
      </c>
      <c r="AA5830" t="s">
        <v>11468</v>
      </c>
      <c r="AB5830" t="s">
        <v>11467</v>
      </c>
      <c r="AC5830" t="s">
        <v>11469</v>
      </c>
      <c r="AD5830" t="s">
        <v>1140</v>
      </c>
      <c r="AE5830" t="s">
        <v>12025</v>
      </c>
      <c r="AF5830" t="s">
        <v>12027</v>
      </c>
    </row>
    <row r="5831" spans="1:32" hidden="1" x14ac:dyDescent="0.35">
      <c r="A5831">
        <v>5830</v>
      </c>
      <c r="B5831" t="s">
        <v>12020</v>
      </c>
      <c r="C5831" t="s">
        <v>11488</v>
      </c>
      <c r="D5831" t="s">
        <v>34</v>
      </c>
      <c r="E5831">
        <v>1375</v>
      </c>
      <c r="F5831">
        <v>4</v>
      </c>
      <c r="G5831">
        <v>4</v>
      </c>
      <c r="H5831">
        <v>1</v>
      </c>
      <c r="I5831">
        <v>0</v>
      </c>
      <c r="J5831">
        <v>0.82982982982983</v>
      </c>
      <c r="K5831">
        <v>0.95794258955178302</v>
      </c>
      <c r="L5831">
        <v>0.88929589410431398</v>
      </c>
      <c r="M5831">
        <v>0.62807881773398999</v>
      </c>
      <c r="N5831">
        <v>0.99261083743842404</v>
      </c>
      <c r="O5831">
        <v>0.75041050903119899</v>
      </c>
      <c r="P5831" t="s">
        <v>1401</v>
      </c>
      <c r="Q5831" t="s">
        <v>1402</v>
      </c>
      <c r="R5831" t="s">
        <v>342</v>
      </c>
      <c r="S5831" t="s">
        <v>343</v>
      </c>
      <c r="T5831" t="s">
        <v>12021</v>
      </c>
      <c r="U5831" t="s">
        <v>12022</v>
      </c>
      <c r="V5831" t="s">
        <v>12023</v>
      </c>
      <c r="W5831" t="s">
        <v>12024</v>
      </c>
      <c r="X5831" t="s">
        <v>12023</v>
      </c>
      <c r="Y5831" t="s">
        <v>4418</v>
      </c>
      <c r="Z5831" t="s">
        <v>11467</v>
      </c>
      <c r="AA5831" t="s">
        <v>11468</v>
      </c>
      <c r="AB5831" t="s">
        <v>11467</v>
      </c>
      <c r="AC5831" t="s">
        <v>11469</v>
      </c>
      <c r="AD5831" t="s">
        <v>1140</v>
      </c>
      <c r="AE5831" t="s">
        <v>12025</v>
      </c>
      <c r="AF5831" t="s">
        <v>12028</v>
      </c>
    </row>
    <row r="5832" spans="1:32" hidden="1" x14ac:dyDescent="0.35">
      <c r="A5832">
        <v>5831</v>
      </c>
      <c r="B5832" t="s">
        <v>12020</v>
      </c>
      <c r="C5832" t="s">
        <v>11488</v>
      </c>
      <c r="D5832" t="s">
        <v>45</v>
      </c>
      <c r="E5832">
        <v>124</v>
      </c>
      <c r="F5832">
        <v>4</v>
      </c>
      <c r="G5832">
        <v>4</v>
      </c>
      <c r="H5832">
        <v>1</v>
      </c>
      <c r="I5832">
        <v>0</v>
      </c>
      <c r="J5832">
        <v>0.82982982982983</v>
      </c>
      <c r="K5832">
        <v>0.95794258955178302</v>
      </c>
      <c r="L5832">
        <v>0.88929589410431398</v>
      </c>
      <c r="M5832">
        <v>0.62807881773398999</v>
      </c>
      <c r="N5832">
        <v>0.99261083743842404</v>
      </c>
      <c r="O5832">
        <v>0.75041050903119899</v>
      </c>
      <c r="P5832" t="s">
        <v>1401</v>
      </c>
      <c r="Q5832" t="s">
        <v>1402</v>
      </c>
      <c r="R5832" t="s">
        <v>342</v>
      </c>
      <c r="S5832" t="s">
        <v>343</v>
      </c>
      <c r="T5832" t="s">
        <v>12021</v>
      </c>
      <c r="U5832" t="s">
        <v>12022</v>
      </c>
      <c r="V5832" t="s">
        <v>12023</v>
      </c>
      <c r="W5832" t="s">
        <v>12024</v>
      </c>
      <c r="X5832" t="s">
        <v>12023</v>
      </c>
      <c r="Y5832" t="s">
        <v>4418</v>
      </c>
      <c r="Z5832" t="s">
        <v>11467</v>
      </c>
      <c r="AA5832" t="s">
        <v>11468</v>
      </c>
      <c r="AB5832" t="s">
        <v>11467</v>
      </c>
      <c r="AC5832" t="s">
        <v>11469</v>
      </c>
      <c r="AD5832" t="s">
        <v>1140</v>
      </c>
      <c r="AE5832" t="s">
        <v>12025</v>
      </c>
      <c r="AF5832" t="s">
        <v>12028</v>
      </c>
    </row>
    <row r="5833" spans="1:32" hidden="1" x14ac:dyDescent="0.35">
      <c r="A5833">
        <v>5832</v>
      </c>
      <c r="B5833" t="s">
        <v>12029</v>
      </c>
      <c r="C5833" t="s">
        <v>11488</v>
      </c>
      <c r="D5833" t="s">
        <v>60</v>
      </c>
      <c r="E5833">
        <v>1341</v>
      </c>
      <c r="F5833">
        <v>4</v>
      </c>
      <c r="G5833">
        <v>4</v>
      </c>
      <c r="H5833">
        <v>1</v>
      </c>
      <c r="I5833">
        <v>0</v>
      </c>
      <c r="J5833">
        <v>0.81034569770375997</v>
      </c>
      <c r="K5833">
        <v>0.97025149756427498</v>
      </c>
      <c r="L5833">
        <v>0.88311846029105601</v>
      </c>
      <c r="M5833">
        <v>0.61321585903083697</v>
      </c>
      <c r="N5833">
        <v>0.99735682819383298</v>
      </c>
      <c r="O5833">
        <v>0.74038179148311301</v>
      </c>
      <c r="P5833" t="s">
        <v>12030</v>
      </c>
      <c r="Q5833" t="s">
        <v>12031</v>
      </c>
      <c r="R5833" t="s">
        <v>869</v>
      </c>
      <c r="S5833" t="s">
        <v>870</v>
      </c>
      <c r="V5833" t="s">
        <v>12032</v>
      </c>
      <c r="W5833" t="s">
        <v>12033</v>
      </c>
      <c r="AF5833" t="s">
        <v>12034</v>
      </c>
    </row>
    <row r="5834" spans="1:32" hidden="1" x14ac:dyDescent="0.35">
      <c r="A5834">
        <v>5833</v>
      </c>
      <c r="B5834" t="s">
        <v>12029</v>
      </c>
      <c r="C5834" t="s">
        <v>11488</v>
      </c>
      <c r="D5834" t="s">
        <v>62</v>
      </c>
      <c r="E5834">
        <v>1377</v>
      </c>
      <c r="F5834">
        <v>4</v>
      </c>
      <c r="G5834">
        <v>4</v>
      </c>
      <c r="H5834">
        <v>1</v>
      </c>
      <c r="I5834">
        <v>0</v>
      </c>
      <c r="J5834">
        <v>0.81034569770375997</v>
      </c>
      <c r="K5834">
        <v>0.97025149756427498</v>
      </c>
      <c r="L5834">
        <v>0.88311846029105601</v>
      </c>
      <c r="M5834">
        <v>0.61321585903083697</v>
      </c>
      <c r="N5834">
        <v>0.99735682819383298</v>
      </c>
      <c r="O5834">
        <v>0.74038179148311301</v>
      </c>
      <c r="P5834" t="s">
        <v>12030</v>
      </c>
      <c r="Q5834" t="s">
        <v>12031</v>
      </c>
      <c r="R5834" t="s">
        <v>869</v>
      </c>
      <c r="S5834" t="s">
        <v>870</v>
      </c>
      <c r="V5834" t="s">
        <v>12032</v>
      </c>
      <c r="W5834" t="s">
        <v>12033</v>
      </c>
      <c r="AF5834" t="s">
        <v>12035</v>
      </c>
    </row>
    <row r="5835" spans="1:32" hidden="1" x14ac:dyDescent="0.35">
      <c r="A5835">
        <v>5834</v>
      </c>
      <c r="B5835" t="s">
        <v>12029</v>
      </c>
      <c r="C5835" t="s">
        <v>11488</v>
      </c>
      <c r="D5835" t="s">
        <v>34</v>
      </c>
      <c r="E5835">
        <v>103</v>
      </c>
      <c r="F5835">
        <v>4</v>
      </c>
      <c r="G5835">
        <v>4</v>
      </c>
      <c r="H5835">
        <v>1</v>
      </c>
      <c r="I5835">
        <v>0</v>
      </c>
      <c r="J5835">
        <v>0.81034569770375997</v>
      </c>
      <c r="K5835">
        <v>0.97025149756427498</v>
      </c>
      <c r="L5835">
        <v>0.88311846029105601</v>
      </c>
      <c r="M5835">
        <v>0.61321585903083697</v>
      </c>
      <c r="N5835">
        <v>0.99735682819383298</v>
      </c>
      <c r="O5835">
        <v>0.74038179148311301</v>
      </c>
      <c r="P5835" t="s">
        <v>12030</v>
      </c>
      <c r="Q5835" t="s">
        <v>12031</v>
      </c>
      <c r="R5835" t="s">
        <v>869</v>
      </c>
      <c r="S5835" t="s">
        <v>870</v>
      </c>
      <c r="V5835" t="s">
        <v>12032</v>
      </c>
      <c r="W5835" t="s">
        <v>12033</v>
      </c>
      <c r="AF5835" t="s">
        <v>12036</v>
      </c>
    </row>
    <row r="5836" spans="1:32" hidden="1" x14ac:dyDescent="0.35">
      <c r="A5836">
        <v>5835</v>
      </c>
      <c r="B5836" t="s">
        <v>12029</v>
      </c>
      <c r="C5836" t="s">
        <v>11488</v>
      </c>
      <c r="D5836" t="s">
        <v>45</v>
      </c>
      <c r="E5836">
        <v>1364</v>
      </c>
      <c r="F5836">
        <v>4</v>
      </c>
      <c r="G5836">
        <v>4</v>
      </c>
      <c r="H5836">
        <v>1</v>
      </c>
      <c r="I5836">
        <v>0</v>
      </c>
      <c r="J5836">
        <v>0.81034569770375997</v>
      </c>
      <c r="K5836">
        <v>0.97025149756427498</v>
      </c>
      <c r="L5836">
        <v>0.88311846029105601</v>
      </c>
      <c r="M5836">
        <v>0.61321585903083697</v>
      </c>
      <c r="N5836">
        <v>0.99735682819383298</v>
      </c>
      <c r="O5836">
        <v>0.74038179148311301</v>
      </c>
      <c r="P5836" t="s">
        <v>12030</v>
      </c>
      <c r="Q5836" t="s">
        <v>12031</v>
      </c>
      <c r="R5836" t="s">
        <v>1259</v>
      </c>
      <c r="S5836" t="s">
        <v>1260</v>
      </c>
      <c r="V5836" t="s">
        <v>12037</v>
      </c>
      <c r="W5836" t="s">
        <v>12038</v>
      </c>
      <c r="AF5836" t="s">
        <v>12039</v>
      </c>
    </row>
    <row r="5837" spans="1:32" hidden="1" x14ac:dyDescent="0.35">
      <c r="A5837">
        <v>5836</v>
      </c>
      <c r="B5837" t="s">
        <v>12040</v>
      </c>
      <c r="C5837" t="s">
        <v>11488</v>
      </c>
      <c r="D5837" t="s">
        <v>60</v>
      </c>
      <c r="E5837">
        <v>1398</v>
      </c>
      <c r="F5837">
        <v>4</v>
      </c>
      <c r="G5837">
        <v>4</v>
      </c>
      <c r="H5837">
        <v>1</v>
      </c>
      <c r="I5837">
        <v>0</v>
      </c>
      <c r="J5837">
        <v>0.78427787934186499</v>
      </c>
      <c r="K5837">
        <v>0.95704208072629404</v>
      </c>
      <c r="L5837">
        <v>0.86208962249943299</v>
      </c>
      <c r="M5837">
        <v>0.56293706293706303</v>
      </c>
      <c r="N5837">
        <v>0.99650349650349601</v>
      </c>
      <c r="O5837">
        <v>0.70862470862470905</v>
      </c>
      <c r="P5837" t="s">
        <v>10774</v>
      </c>
      <c r="Q5837" t="s">
        <v>10775</v>
      </c>
      <c r="R5837" t="s">
        <v>235</v>
      </c>
      <c r="S5837" t="s">
        <v>236</v>
      </c>
      <c r="T5837" t="s">
        <v>12041</v>
      </c>
      <c r="U5837" t="s">
        <v>12042</v>
      </c>
      <c r="V5837" t="s">
        <v>10776</v>
      </c>
      <c r="W5837" t="s">
        <v>10777</v>
      </c>
      <c r="X5837" t="s">
        <v>10776</v>
      </c>
      <c r="Y5837" t="s">
        <v>241</v>
      </c>
      <c r="Z5837" t="s">
        <v>2139</v>
      </c>
      <c r="AA5837" t="s">
        <v>2140</v>
      </c>
      <c r="AB5837" t="s">
        <v>2139</v>
      </c>
      <c r="AC5837" t="s">
        <v>244</v>
      </c>
      <c r="AD5837" t="s">
        <v>245</v>
      </c>
      <c r="AE5837" t="s">
        <v>12043</v>
      </c>
      <c r="AF5837" t="s">
        <v>12044</v>
      </c>
    </row>
    <row r="5838" spans="1:32" hidden="1" x14ac:dyDescent="0.35">
      <c r="A5838">
        <v>5837</v>
      </c>
      <c r="B5838" t="s">
        <v>12040</v>
      </c>
      <c r="C5838" t="s">
        <v>11488</v>
      </c>
      <c r="D5838" t="s">
        <v>62</v>
      </c>
      <c r="E5838">
        <v>1433</v>
      </c>
      <c r="F5838">
        <v>4</v>
      </c>
      <c r="G5838">
        <v>4</v>
      </c>
      <c r="H5838">
        <v>1</v>
      </c>
      <c r="I5838">
        <v>0</v>
      </c>
      <c r="J5838">
        <v>0.78427787934186499</v>
      </c>
      <c r="K5838">
        <v>0.95704208072629404</v>
      </c>
      <c r="L5838">
        <v>0.86208962249943299</v>
      </c>
      <c r="M5838">
        <v>0.56293706293706303</v>
      </c>
      <c r="N5838">
        <v>0.99650349650349601</v>
      </c>
      <c r="O5838">
        <v>0.70862470862470905</v>
      </c>
      <c r="P5838" t="s">
        <v>10774</v>
      </c>
      <c r="Q5838" t="s">
        <v>10775</v>
      </c>
      <c r="R5838" t="s">
        <v>235</v>
      </c>
      <c r="S5838" t="s">
        <v>236</v>
      </c>
      <c r="T5838" t="s">
        <v>12041</v>
      </c>
      <c r="U5838" t="s">
        <v>12042</v>
      </c>
      <c r="V5838" t="s">
        <v>10776</v>
      </c>
      <c r="W5838" t="s">
        <v>10777</v>
      </c>
      <c r="X5838" t="s">
        <v>10776</v>
      </c>
      <c r="Y5838" t="s">
        <v>241</v>
      </c>
      <c r="Z5838" t="s">
        <v>2139</v>
      </c>
      <c r="AA5838" t="s">
        <v>2140</v>
      </c>
      <c r="AB5838" t="s">
        <v>2139</v>
      </c>
      <c r="AC5838" t="s">
        <v>244</v>
      </c>
      <c r="AD5838" t="s">
        <v>245</v>
      </c>
      <c r="AE5838" t="s">
        <v>12043</v>
      </c>
      <c r="AF5838" t="s">
        <v>12045</v>
      </c>
    </row>
    <row r="5839" spans="1:32" hidden="1" x14ac:dyDescent="0.35">
      <c r="A5839">
        <v>5838</v>
      </c>
      <c r="B5839" t="s">
        <v>12040</v>
      </c>
      <c r="C5839" t="s">
        <v>11488</v>
      </c>
      <c r="D5839" t="s">
        <v>34</v>
      </c>
      <c r="E5839">
        <v>1820</v>
      </c>
      <c r="F5839">
        <v>4</v>
      </c>
      <c r="G5839">
        <v>4</v>
      </c>
      <c r="H5839">
        <v>1</v>
      </c>
      <c r="I5839">
        <v>0</v>
      </c>
      <c r="J5839">
        <v>0.78427787934186499</v>
      </c>
      <c r="K5839">
        <v>0.95704208072629404</v>
      </c>
      <c r="L5839">
        <v>0.86208962249943299</v>
      </c>
      <c r="M5839">
        <v>0.56293706293706303</v>
      </c>
      <c r="N5839">
        <v>0.99650349650349601</v>
      </c>
      <c r="O5839">
        <v>0.70862470862470905</v>
      </c>
      <c r="P5839" t="s">
        <v>10774</v>
      </c>
      <c r="Q5839" t="s">
        <v>10775</v>
      </c>
      <c r="R5839" t="s">
        <v>235</v>
      </c>
      <c r="S5839" t="s">
        <v>236</v>
      </c>
      <c r="T5839" t="s">
        <v>12041</v>
      </c>
      <c r="U5839" t="s">
        <v>12042</v>
      </c>
      <c r="V5839" t="s">
        <v>10776</v>
      </c>
      <c r="W5839" t="s">
        <v>10777</v>
      </c>
      <c r="X5839" t="s">
        <v>10776</v>
      </c>
      <c r="Y5839" t="s">
        <v>241</v>
      </c>
      <c r="Z5839" t="s">
        <v>2139</v>
      </c>
      <c r="AA5839" t="s">
        <v>2140</v>
      </c>
      <c r="AB5839" t="s">
        <v>2139</v>
      </c>
      <c r="AC5839" t="s">
        <v>244</v>
      </c>
      <c r="AD5839" t="s">
        <v>245</v>
      </c>
      <c r="AE5839" t="s">
        <v>12043</v>
      </c>
      <c r="AF5839" t="e">
        <f>------MARHQAAVLGKPIAHSLSPLLHNAGYRALGLTQWEYTRIECDEHELPQVVAGADASFRGFSVTMPGKFAALAVATDRTDRARLIGSANTLVRSGD----GWRADNTDCDGVTGAICTLFDAPSPQLGT-AVIIGAGGTARPALWALAELGVSHVTIINRSDRSRELADLIAAIGLQVDFVPYDDTISTACATADVIISTVPAAGIAEHVDKLAQAPLLDVIYDPWPTPLVAAARNRHLPAVGGHVMLAHQAYGQFEQFTGYPAPREAMWAALTSCGPLSQ</f>
        <v>#NAME?</v>
      </c>
    </row>
    <row r="5840" spans="1:32" hidden="1" x14ac:dyDescent="0.35">
      <c r="A5840">
        <v>5839</v>
      </c>
      <c r="B5840" t="s">
        <v>12040</v>
      </c>
      <c r="C5840" t="s">
        <v>11488</v>
      </c>
      <c r="D5840" t="s">
        <v>45</v>
      </c>
      <c r="E5840">
        <v>1053</v>
      </c>
      <c r="F5840">
        <v>4</v>
      </c>
      <c r="G5840">
        <v>4</v>
      </c>
      <c r="H5840">
        <v>1</v>
      </c>
      <c r="I5840">
        <v>0</v>
      </c>
      <c r="J5840">
        <v>0.78427787934186499</v>
      </c>
      <c r="K5840">
        <v>0.95704208072629404</v>
      </c>
      <c r="L5840">
        <v>0.86208962249943299</v>
      </c>
      <c r="M5840">
        <v>0.56293706293706303</v>
      </c>
      <c r="N5840">
        <v>0.99650349650349601</v>
      </c>
      <c r="O5840">
        <v>0.70862470862470905</v>
      </c>
      <c r="P5840" t="s">
        <v>10774</v>
      </c>
      <c r="Q5840" t="s">
        <v>10775</v>
      </c>
      <c r="R5840" t="s">
        <v>235</v>
      </c>
      <c r="S5840" t="s">
        <v>236</v>
      </c>
      <c r="T5840" t="s">
        <v>12041</v>
      </c>
      <c r="U5840" t="s">
        <v>12042</v>
      </c>
      <c r="V5840" t="s">
        <v>10776</v>
      </c>
      <c r="W5840" t="s">
        <v>10777</v>
      </c>
      <c r="X5840" t="s">
        <v>10776</v>
      </c>
      <c r="Y5840" t="s">
        <v>241</v>
      </c>
      <c r="Z5840" t="s">
        <v>2139</v>
      </c>
      <c r="AA5840" t="s">
        <v>2140</v>
      </c>
      <c r="AB5840" t="s">
        <v>2139</v>
      </c>
      <c r="AC5840" t="s">
        <v>244</v>
      </c>
      <c r="AD5840" t="s">
        <v>245</v>
      </c>
      <c r="AE5840" t="s">
        <v>12043</v>
      </c>
      <c r="AF5840" t="e">
        <f>------MARHQAAVLGKPIAHSLSPLLHNAGYRALGLTQWEYTRIECDEHELPQVVAGADASFRGFSVTMPGKFAALAVATDRTDRARLIGSANTLVRSGD----GWRADNTDCDGVTGAIRTLFDAPSPQLGT-AVIIGAGGTARPALWALAELGVSHVTIINRSDRSRELADLIAAIGLQVDFVPYDDTISTACATADVIISTVPAAGIAEHVDKLAQAPLLDVIYDPWPTPLVAAARNRHLPAVGGHVMLAHQAYGQFEQFTGYPAPREAMWAALTSCGPLSQ</f>
        <v>#NAME?</v>
      </c>
    </row>
    <row r="5841" spans="1:32" hidden="1" x14ac:dyDescent="0.35">
      <c r="A5841">
        <v>5840</v>
      </c>
      <c r="B5841" t="s">
        <v>12046</v>
      </c>
      <c r="C5841" t="s">
        <v>11488</v>
      </c>
      <c r="D5841" t="s">
        <v>60</v>
      </c>
      <c r="E5841">
        <v>1189</v>
      </c>
      <c r="F5841">
        <v>4</v>
      </c>
      <c r="G5841">
        <v>4</v>
      </c>
      <c r="H5841">
        <v>1</v>
      </c>
      <c r="I5841">
        <v>0</v>
      </c>
      <c r="J5841">
        <v>0.77450980392156898</v>
      </c>
      <c r="K5841">
        <v>0.97023494082317296</v>
      </c>
      <c r="L5841">
        <v>0.86139416787267598</v>
      </c>
      <c r="M5841">
        <v>0.55855855855855896</v>
      </c>
      <c r="N5841">
        <v>0.99549549549549599</v>
      </c>
      <c r="O5841">
        <v>0.70420420420420404</v>
      </c>
      <c r="P5841" t="s">
        <v>8002</v>
      </c>
      <c r="Q5841" t="s">
        <v>8003</v>
      </c>
      <c r="R5841" t="s">
        <v>138</v>
      </c>
      <c r="S5841" t="s">
        <v>139</v>
      </c>
      <c r="T5841" t="s">
        <v>12047</v>
      </c>
      <c r="U5841" t="s">
        <v>12048</v>
      </c>
      <c r="V5841" t="s">
        <v>10609</v>
      </c>
      <c r="W5841" t="s">
        <v>10610</v>
      </c>
      <c r="AD5841" t="s">
        <v>8300</v>
      </c>
      <c r="AE5841" t="s">
        <v>12049</v>
      </c>
      <c r="AF5841" t="s">
        <v>12050</v>
      </c>
    </row>
    <row r="5842" spans="1:32" hidden="1" x14ac:dyDescent="0.35">
      <c r="A5842">
        <v>5841</v>
      </c>
      <c r="B5842" t="s">
        <v>12046</v>
      </c>
      <c r="C5842" t="s">
        <v>11488</v>
      </c>
      <c r="D5842" t="s">
        <v>62</v>
      </c>
      <c r="E5842">
        <v>1226</v>
      </c>
      <c r="F5842">
        <v>4</v>
      </c>
      <c r="G5842">
        <v>4</v>
      </c>
      <c r="H5842">
        <v>1</v>
      </c>
      <c r="I5842">
        <v>0</v>
      </c>
      <c r="J5842">
        <v>0.77450980392156898</v>
      </c>
      <c r="K5842">
        <v>0.97023494082317296</v>
      </c>
      <c r="L5842">
        <v>0.86139416787267598</v>
      </c>
      <c r="M5842">
        <v>0.55855855855855896</v>
      </c>
      <c r="N5842">
        <v>0.99549549549549599</v>
      </c>
      <c r="O5842">
        <v>0.70420420420420404</v>
      </c>
      <c r="P5842" t="s">
        <v>8002</v>
      </c>
      <c r="Q5842" t="s">
        <v>8003</v>
      </c>
      <c r="R5842" t="s">
        <v>138</v>
      </c>
      <c r="S5842" t="s">
        <v>139</v>
      </c>
      <c r="T5842" t="s">
        <v>12047</v>
      </c>
      <c r="U5842" t="s">
        <v>12048</v>
      </c>
      <c r="V5842" t="s">
        <v>10609</v>
      </c>
      <c r="W5842" t="s">
        <v>10610</v>
      </c>
      <c r="AD5842" t="s">
        <v>8300</v>
      </c>
      <c r="AE5842" t="s">
        <v>12049</v>
      </c>
      <c r="AF5842" t="s">
        <v>12051</v>
      </c>
    </row>
    <row r="5843" spans="1:32" hidden="1" x14ac:dyDescent="0.35">
      <c r="A5843">
        <v>5842</v>
      </c>
      <c r="B5843" t="s">
        <v>12046</v>
      </c>
      <c r="C5843" t="s">
        <v>11488</v>
      </c>
      <c r="D5843" t="s">
        <v>34</v>
      </c>
      <c r="E5843">
        <v>1655</v>
      </c>
      <c r="F5843">
        <v>4</v>
      </c>
      <c r="G5843">
        <v>4</v>
      </c>
      <c r="H5843">
        <v>1</v>
      </c>
      <c r="I5843">
        <v>0</v>
      </c>
      <c r="J5843">
        <v>0.77450980392156898</v>
      </c>
      <c r="K5843">
        <v>0.97023494082317296</v>
      </c>
      <c r="L5843">
        <v>0.86139416787267598</v>
      </c>
      <c r="M5843">
        <v>0.55855855855855896</v>
      </c>
      <c r="N5843">
        <v>0.99549549549549599</v>
      </c>
      <c r="O5843">
        <v>0.70420420420420404</v>
      </c>
      <c r="P5843" t="s">
        <v>8002</v>
      </c>
      <c r="Q5843" t="s">
        <v>8003</v>
      </c>
      <c r="R5843" t="s">
        <v>138</v>
      </c>
      <c r="S5843" t="s">
        <v>139</v>
      </c>
      <c r="T5843" t="s">
        <v>12047</v>
      </c>
      <c r="U5843" t="s">
        <v>12048</v>
      </c>
      <c r="V5843" t="s">
        <v>10609</v>
      </c>
      <c r="W5843" t="s">
        <v>10610</v>
      </c>
      <c r="AD5843" t="s">
        <v>8300</v>
      </c>
      <c r="AE5843" t="s">
        <v>12049</v>
      </c>
      <c r="AF5843" t="e">
        <f>-----MAFEYQVVDSELLVDGAIFGVRRDTLTMPEGGTATRDLVEHFGAVAVVAYDGRKIALVRQYRRSVDRRLWELPAGLLDVADEDPLDAAKRELLEEAGLGATKWSVLVDLVSSPGFSDEAVRVYLATGLYKQDRPAGEGEEADLENRWVALNYAVDMVLKGEITNGIAIAGIMTADAVERKVRRPRSAQTPFELRPTALTRRRKAAGMVGDMKKQPHA</f>
        <v>#NAME?</v>
      </c>
    </row>
    <row r="5844" spans="1:32" hidden="1" x14ac:dyDescent="0.35">
      <c r="A5844">
        <v>5843</v>
      </c>
      <c r="B5844" t="s">
        <v>12046</v>
      </c>
      <c r="C5844" t="s">
        <v>11488</v>
      </c>
      <c r="D5844" t="s">
        <v>45</v>
      </c>
      <c r="E5844">
        <v>1222</v>
      </c>
      <c r="F5844">
        <v>4</v>
      </c>
      <c r="G5844">
        <v>4</v>
      </c>
      <c r="H5844">
        <v>1</v>
      </c>
      <c r="I5844">
        <v>0</v>
      </c>
      <c r="J5844">
        <v>0.77450980392156898</v>
      </c>
      <c r="K5844">
        <v>0.97023494082317296</v>
      </c>
      <c r="L5844">
        <v>0.86139416787267598</v>
      </c>
      <c r="M5844">
        <v>0.55855855855855896</v>
      </c>
      <c r="N5844">
        <v>0.99549549549549599</v>
      </c>
      <c r="O5844">
        <v>0.70420420420420404</v>
      </c>
      <c r="P5844" t="s">
        <v>8002</v>
      </c>
      <c r="Q5844" t="s">
        <v>8003</v>
      </c>
      <c r="R5844" t="s">
        <v>138</v>
      </c>
      <c r="S5844" t="s">
        <v>139</v>
      </c>
      <c r="T5844" t="s">
        <v>12047</v>
      </c>
      <c r="U5844" t="s">
        <v>12048</v>
      </c>
      <c r="V5844" t="s">
        <v>10609</v>
      </c>
      <c r="W5844" t="s">
        <v>10610</v>
      </c>
      <c r="AD5844" t="s">
        <v>8300</v>
      </c>
      <c r="AE5844" t="s">
        <v>12049</v>
      </c>
      <c r="AF5844" t="e">
        <f>-----MAFEYQVVDSELLVDGAIFGVRRDTLTMPEGGTATRDLVEHFGAVAVVAYDGRKIALVRQYRRSVDRRLWELPAGLLDIADEDPLDAAKRELLEEAGLGATKWSVLVDLVSSPGFSDEAVRVYLATGLYKQDRPAGEGEEADLENRWVALNYAVDMVLKGEITNGIAIAGIMTADAVERKVRRPRSAQTPFELRPTALTRRRKAAGMVGDMKKQPHA</f>
        <v>#NAME?</v>
      </c>
    </row>
    <row r="5845" spans="1:32" hidden="1" x14ac:dyDescent="0.35">
      <c r="A5845">
        <v>5844</v>
      </c>
      <c r="B5845" t="s">
        <v>12052</v>
      </c>
      <c r="C5845" t="s">
        <v>11488</v>
      </c>
      <c r="D5845" t="s">
        <v>60</v>
      </c>
      <c r="E5845">
        <v>1366</v>
      </c>
      <c r="F5845">
        <v>2</v>
      </c>
      <c r="G5845">
        <v>4</v>
      </c>
      <c r="H5845">
        <v>2</v>
      </c>
      <c r="I5845">
        <v>0</v>
      </c>
      <c r="J5845">
        <v>0.82296161707926396</v>
      </c>
      <c r="K5845">
        <v>0.97060419049019098</v>
      </c>
      <c r="L5845">
        <v>0.89070609037999904</v>
      </c>
      <c r="M5845">
        <v>0.66754791804362201</v>
      </c>
      <c r="N5845">
        <v>0.95571711830799699</v>
      </c>
      <c r="O5845">
        <v>0.75842696629213502</v>
      </c>
      <c r="AF5845" t="s">
        <v>12053</v>
      </c>
    </row>
    <row r="5846" spans="1:32" hidden="1" x14ac:dyDescent="0.35">
      <c r="A5846">
        <v>5845</v>
      </c>
      <c r="B5846" t="s">
        <v>12052</v>
      </c>
      <c r="C5846" t="s">
        <v>11488</v>
      </c>
      <c r="D5846" t="s">
        <v>60</v>
      </c>
      <c r="E5846">
        <v>151</v>
      </c>
      <c r="F5846">
        <v>2</v>
      </c>
      <c r="G5846">
        <v>4</v>
      </c>
      <c r="H5846">
        <v>2</v>
      </c>
      <c r="I5846">
        <v>0</v>
      </c>
      <c r="J5846">
        <v>0.82296161707926396</v>
      </c>
      <c r="K5846">
        <v>0.97060419049019098</v>
      </c>
      <c r="L5846">
        <v>0.89070609037999904</v>
      </c>
      <c r="M5846">
        <v>0.66754791804362201</v>
      </c>
      <c r="N5846">
        <v>0.95571711830799699</v>
      </c>
      <c r="O5846">
        <v>0.75842696629213502</v>
      </c>
      <c r="AF5846" t="s">
        <v>12054</v>
      </c>
    </row>
    <row r="5847" spans="1:32" hidden="1" x14ac:dyDescent="0.35">
      <c r="A5847">
        <v>5846</v>
      </c>
      <c r="B5847" t="s">
        <v>12052</v>
      </c>
      <c r="C5847" t="s">
        <v>11488</v>
      </c>
      <c r="D5847" t="s">
        <v>62</v>
      </c>
      <c r="E5847">
        <v>227</v>
      </c>
      <c r="F5847">
        <v>2</v>
      </c>
      <c r="G5847">
        <v>4</v>
      </c>
      <c r="H5847">
        <v>2</v>
      </c>
      <c r="I5847">
        <v>0</v>
      </c>
      <c r="J5847">
        <v>0.82296161707926396</v>
      </c>
      <c r="K5847">
        <v>0.97060419049019098</v>
      </c>
      <c r="L5847">
        <v>0.89070609037999904</v>
      </c>
      <c r="M5847">
        <v>0.66754791804362201</v>
      </c>
      <c r="N5847">
        <v>0.95571711830799699</v>
      </c>
      <c r="O5847">
        <v>0.75842696629213502</v>
      </c>
      <c r="AF5847" t="s">
        <v>12055</v>
      </c>
    </row>
    <row r="5848" spans="1:32" hidden="1" x14ac:dyDescent="0.35">
      <c r="A5848">
        <v>5847</v>
      </c>
      <c r="B5848" t="s">
        <v>12052</v>
      </c>
      <c r="C5848" t="s">
        <v>11488</v>
      </c>
      <c r="D5848" t="s">
        <v>62</v>
      </c>
      <c r="E5848">
        <v>1402</v>
      </c>
      <c r="F5848">
        <v>2</v>
      </c>
      <c r="G5848">
        <v>4</v>
      </c>
      <c r="H5848">
        <v>2</v>
      </c>
      <c r="I5848">
        <v>0</v>
      </c>
      <c r="J5848">
        <v>0.82296161707926396</v>
      </c>
      <c r="K5848">
        <v>0.97060419049019098</v>
      </c>
      <c r="L5848">
        <v>0.89070609037999904</v>
      </c>
      <c r="M5848">
        <v>0.66754791804362201</v>
      </c>
      <c r="N5848">
        <v>0.95571711830799699</v>
      </c>
      <c r="O5848">
        <v>0.75842696629213502</v>
      </c>
      <c r="AF5848" t="s">
        <v>12056</v>
      </c>
    </row>
    <row r="5849" spans="1:32" hidden="1" x14ac:dyDescent="0.35">
      <c r="A5849">
        <v>5848</v>
      </c>
      <c r="B5849" t="s">
        <v>12057</v>
      </c>
      <c r="C5849" t="s">
        <v>11488</v>
      </c>
      <c r="D5849" t="s">
        <v>34</v>
      </c>
      <c r="E5849">
        <v>712</v>
      </c>
      <c r="F5849">
        <v>2</v>
      </c>
      <c r="G5849">
        <v>4</v>
      </c>
      <c r="H5849">
        <v>2</v>
      </c>
      <c r="I5849">
        <v>0</v>
      </c>
      <c r="J5849">
        <v>0.77573455926444101</v>
      </c>
      <c r="K5849">
        <v>0.88515614926659603</v>
      </c>
      <c r="L5849">
        <v>0.82684093758201904</v>
      </c>
      <c r="M5849">
        <v>0.49631190727081098</v>
      </c>
      <c r="N5849">
        <v>0.99367755532139102</v>
      </c>
      <c r="O5849">
        <v>0.66455918510712997</v>
      </c>
      <c r="P5849" t="s">
        <v>12058</v>
      </c>
      <c r="Q5849" t="s">
        <v>12059</v>
      </c>
      <c r="R5849" t="s">
        <v>288</v>
      </c>
      <c r="S5849" t="s">
        <v>289</v>
      </c>
      <c r="V5849" t="s">
        <v>12060</v>
      </c>
      <c r="W5849" t="s">
        <v>12061</v>
      </c>
      <c r="AF5849" t="s">
        <v>12062</v>
      </c>
    </row>
    <row r="5850" spans="1:32" hidden="1" x14ac:dyDescent="0.35">
      <c r="A5850">
        <v>5849</v>
      </c>
      <c r="B5850" t="s">
        <v>12057</v>
      </c>
      <c r="C5850" t="s">
        <v>11488</v>
      </c>
      <c r="D5850" t="s">
        <v>34</v>
      </c>
      <c r="E5850">
        <v>713</v>
      </c>
      <c r="F5850">
        <v>2</v>
      </c>
      <c r="G5850">
        <v>4</v>
      </c>
      <c r="H5850">
        <v>2</v>
      </c>
      <c r="I5850">
        <v>0</v>
      </c>
      <c r="J5850">
        <v>0.77573455926444101</v>
      </c>
      <c r="K5850">
        <v>0.88515614926659603</v>
      </c>
      <c r="L5850">
        <v>0.82684093758201904</v>
      </c>
      <c r="M5850">
        <v>0.49631190727081098</v>
      </c>
      <c r="N5850">
        <v>0.99367755532139102</v>
      </c>
      <c r="O5850">
        <v>0.66455918510712997</v>
      </c>
      <c r="R5850" t="s">
        <v>288</v>
      </c>
      <c r="S5850" t="s">
        <v>289</v>
      </c>
      <c r="V5850" t="s">
        <v>12060</v>
      </c>
      <c r="W5850" t="s">
        <v>12061</v>
      </c>
      <c r="AF5850" t="s">
        <v>12063</v>
      </c>
    </row>
    <row r="5851" spans="1:32" hidden="1" x14ac:dyDescent="0.35">
      <c r="A5851">
        <v>5850</v>
      </c>
      <c r="B5851" t="s">
        <v>12057</v>
      </c>
      <c r="C5851" t="s">
        <v>11488</v>
      </c>
      <c r="D5851" t="s">
        <v>45</v>
      </c>
      <c r="E5851">
        <v>1979</v>
      </c>
      <c r="F5851">
        <v>2</v>
      </c>
      <c r="G5851">
        <v>4</v>
      </c>
      <c r="H5851">
        <v>2</v>
      </c>
      <c r="I5851">
        <v>0</v>
      </c>
      <c r="J5851">
        <v>0.77573455926444101</v>
      </c>
      <c r="K5851">
        <v>0.88515614926659603</v>
      </c>
      <c r="L5851">
        <v>0.82684093758201904</v>
      </c>
      <c r="M5851">
        <v>0.49631190727081098</v>
      </c>
      <c r="N5851">
        <v>0.99367755532139102</v>
      </c>
      <c r="O5851">
        <v>0.66455918510712997</v>
      </c>
      <c r="P5851" t="s">
        <v>12058</v>
      </c>
      <c r="Q5851" t="s">
        <v>12059</v>
      </c>
      <c r="R5851" t="s">
        <v>288</v>
      </c>
      <c r="S5851" t="s">
        <v>289</v>
      </c>
      <c r="V5851" t="s">
        <v>12060</v>
      </c>
      <c r="W5851" t="s">
        <v>12061</v>
      </c>
      <c r="AF5851" t="s">
        <v>12064</v>
      </c>
    </row>
    <row r="5852" spans="1:32" hidden="1" x14ac:dyDescent="0.35">
      <c r="A5852">
        <v>5851</v>
      </c>
      <c r="B5852" t="s">
        <v>12057</v>
      </c>
      <c r="C5852" t="s">
        <v>11488</v>
      </c>
      <c r="D5852" t="s">
        <v>45</v>
      </c>
      <c r="E5852">
        <v>1980</v>
      </c>
      <c r="F5852">
        <v>2</v>
      </c>
      <c r="G5852">
        <v>4</v>
      </c>
      <c r="H5852">
        <v>2</v>
      </c>
      <c r="I5852">
        <v>0</v>
      </c>
      <c r="J5852">
        <v>0.77573455926444101</v>
      </c>
      <c r="K5852">
        <v>0.88515614926659603</v>
      </c>
      <c r="L5852">
        <v>0.82684093758201904</v>
      </c>
      <c r="M5852">
        <v>0.49631190727081098</v>
      </c>
      <c r="N5852">
        <v>0.99367755532139102</v>
      </c>
      <c r="O5852">
        <v>0.66455918510712997</v>
      </c>
      <c r="R5852" t="s">
        <v>288</v>
      </c>
      <c r="S5852" t="s">
        <v>289</v>
      </c>
      <c r="V5852" t="s">
        <v>12060</v>
      </c>
      <c r="W5852" t="s">
        <v>12061</v>
      </c>
      <c r="AF5852" t="s">
        <v>12063</v>
      </c>
    </row>
    <row r="5853" spans="1:32" hidden="1" x14ac:dyDescent="0.35">
      <c r="A5853">
        <v>5852</v>
      </c>
      <c r="B5853" t="s">
        <v>12065</v>
      </c>
      <c r="C5853" t="s">
        <v>11488</v>
      </c>
      <c r="D5853" t="s">
        <v>60</v>
      </c>
      <c r="E5853">
        <v>454</v>
      </c>
      <c r="F5853">
        <v>4</v>
      </c>
      <c r="G5853">
        <v>4</v>
      </c>
      <c r="H5853">
        <v>1</v>
      </c>
      <c r="I5853">
        <v>0</v>
      </c>
      <c r="J5853">
        <v>0.87734082397003699</v>
      </c>
      <c r="K5853">
        <v>0.90949305147778503</v>
      </c>
      <c r="L5853">
        <v>0.89312766468406302</v>
      </c>
      <c r="M5853">
        <v>0.64122137404580104</v>
      </c>
      <c r="N5853">
        <v>0.99236641221374</v>
      </c>
      <c r="O5853">
        <v>0.75190839694656497</v>
      </c>
      <c r="P5853" t="s">
        <v>12066</v>
      </c>
      <c r="Q5853" t="s">
        <v>12067</v>
      </c>
      <c r="R5853" t="s">
        <v>1259</v>
      </c>
      <c r="S5853" t="s">
        <v>1260</v>
      </c>
      <c r="T5853" t="s">
        <v>12068</v>
      </c>
      <c r="U5853" t="s">
        <v>2977</v>
      </c>
      <c r="V5853" t="s">
        <v>12069</v>
      </c>
      <c r="W5853" t="s">
        <v>12070</v>
      </c>
      <c r="AD5853" t="s">
        <v>410</v>
      </c>
      <c r="AE5853" t="s">
        <v>603</v>
      </c>
      <c r="AF5853" t="s">
        <v>12071</v>
      </c>
    </row>
    <row r="5854" spans="1:32" hidden="1" x14ac:dyDescent="0.35">
      <c r="A5854">
        <v>5853</v>
      </c>
      <c r="B5854" t="s">
        <v>12065</v>
      </c>
      <c r="C5854" t="s">
        <v>11488</v>
      </c>
      <c r="D5854" t="s">
        <v>62</v>
      </c>
      <c r="E5854">
        <v>535</v>
      </c>
      <c r="F5854">
        <v>4</v>
      </c>
      <c r="G5854">
        <v>4</v>
      </c>
      <c r="H5854">
        <v>1</v>
      </c>
      <c r="I5854">
        <v>0</v>
      </c>
      <c r="J5854">
        <v>0.87734082397003699</v>
      </c>
      <c r="K5854">
        <v>0.90949305147778503</v>
      </c>
      <c r="L5854">
        <v>0.89312766468406302</v>
      </c>
      <c r="M5854">
        <v>0.64122137404580104</v>
      </c>
      <c r="N5854">
        <v>0.99236641221374</v>
      </c>
      <c r="O5854">
        <v>0.75190839694656497</v>
      </c>
      <c r="P5854" t="s">
        <v>12066</v>
      </c>
      <c r="Q5854" t="s">
        <v>12067</v>
      </c>
      <c r="R5854" t="s">
        <v>1259</v>
      </c>
      <c r="S5854" t="s">
        <v>1260</v>
      </c>
      <c r="T5854" t="s">
        <v>12068</v>
      </c>
      <c r="U5854" t="s">
        <v>2977</v>
      </c>
      <c r="V5854" t="s">
        <v>12069</v>
      </c>
      <c r="W5854" t="s">
        <v>12070</v>
      </c>
      <c r="AD5854" t="s">
        <v>410</v>
      </c>
      <c r="AE5854" t="s">
        <v>603</v>
      </c>
      <c r="AF5854" t="s">
        <v>12072</v>
      </c>
    </row>
    <row r="5855" spans="1:32" hidden="1" x14ac:dyDescent="0.35">
      <c r="A5855">
        <v>5854</v>
      </c>
      <c r="B5855" t="s">
        <v>12065</v>
      </c>
      <c r="C5855" t="s">
        <v>11488</v>
      </c>
      <c r="D5855" t="s">
        <v>34</v>
      </c>
      <c r="E5855">
        <v>696</v>
      </c>
      <c r="F5855">
        <v>4</v>
      </c>
      <c r="G5855">
        <v>4</v>
      </c>
      <c r="H5855">
        <v>1</v>
      </c>
      <c r="I5855">
        <v>0</v>
      </c>
      <c r="J5855">
        <v>0.87734082397003699</v>
      </c>
      <c r="K5855">
        <v>0.90949305147778503</v>
      </c>
      <c r="L5855">
        <v>0.89312766468406302</v>
      </c>
      <c r="M5855">
        <v>0.64122137404580104</v>
      </c>
      <c r="N5855">
        <v>0.99236641221374</v>
      </c>
      <c r="O5855">
        <v>0.75190839694656497</v>
      </c>
      <c r="P5855" t="s">
        <v>12066</v>
      </c>
      <c r="Q5855" t="s">
        <v>12067</v>
      </c>
      <c r="R5855" t="s">
        <v>1259</v>
      </c>
      <c r="S5855" t="s">
        <v>1260</v>
      </c>
      <c r="T5855" t="s">
        <v>12068</v>
      </c>
      <c r="U5855" t="s">
        <v>2977</v>
      </c>
      <c r="V5855" t="s">
        <v>12069</v>
      </c>
      <c r="W5855" t="s">
        <v>12070</v>
      </c>
      <c r="AD5855" t="s">
        <v>410</v>
      </c>
      <c r="AE5855" t="s">
        <v>603</v>
      </c>
      <c r="AF5855" t="e">
        <f>-------MFISLAALLHVYIFYLEVFAWEKPAARKVFGEASVEELAITRFFAYNQGVYNLLLAIIAGIGVAM-------RNPALMLAGAGSMVVAAAALALKSPKHRGAAMKQCVFAVIGVVCLVVSLQSA</f>
        <v>#NAME?</v>
      </c>
    </row>
    <row r="5856" spans="1:32" hidden="1" x14ac:dyDescent="0.35">
      <c r="A5856">
        <v>5855</v>
      </c>
      <c r="B5856" t="s">
        <v>12065</v>
      </c>
      <c r="C5856" t="s">
        <v>11488</v>
      </c>
      <c r="D5856" t="s">
        <v>45</v>
      </c>
      <c r="E5856">
        <v>1962</v>
      </c>
      <c r="F5856">
        <v>4</v>
      </c>
      <c r="G5856">
        <v>4</v>
      </c>
      <c r="H5856">
        <v>1</v>
      </c>
      <c r="I5856">
        <v>0</v>
      </c>
      <c r="J5856">
        <v>0.87734082397003699</v>
      </c>
      <c r="K5856">
        <v>0.90949305147778503</v>
      </c>
      <c r="L5856">
        <v>0.89312766468406302</v>
      </c>
      <c r="M5856">
        <v>0.64122137404580104</v>
      </c>
      <c r="N5856">
        <v>0.99236641221374</v>
      </c>
      <c r="O5856">
        <v>0.75190839694656497</v>
      </c>
      <c r="P5856" t="s">
        <v>12066</v>
      </c>
      <c r="Q5856" t="s">
        <v>12067</v>
      </c>
      <c r="R5856" t="s">
        <v>1259</v>
      </c>
      <c r="S5856" t="s">
        <v>1260</v>
      </c>
      <c r="T5856" t="s">
        <v>12068</v>
      </c>
      <c r="U5856" t="s">
        <v>2977</v>
      </c>
      <c r="V5856" t="s">
        <v>12069</v>
      </c>
      <c r="W5856" t="s">
        <v>12070</v>
      </c>
      <c r="AD5856" t="s">
        <v>410</v>
      </c>
      <c r="AE5856" t="s">
        <v>603</v>
      </c>
      <c r="AF5856" t="s">
        <v>12073</v>
      </c>
    </row>
    <row r="5857" spans="1:32" hidden="1" x14ac:dyDescent="0.35">
      <c r="A5857">
        <v>5856</v>
      </c>
      <c r="B5857" t="s">
        <v>12074</v>
      </c>
      <c r="C5857" t="s">
        <v>11488</v>
      </c>
      <c r="D5857" t="s">
        <v>60</v>
      </c>
      <c r="E5857">
        <v>128</v>
      </c>
      <c r="F5857">
        <v>4</v>
      </c>
      <c r="G5857">
        <v>4</v>
      </c>
      <c r="H5857">
        <v>1</v>
      </c>
      <c r="I5857">
        <v>0</v>
      </c>
      <c r="J5857">
        <v>0.79856952761144395</v>
      </c>
      <c r="K5857">
        <v>0.92051130687494398</v>
      </c>
      <c r="L5857">
        <v>0.85521549044753498</v>
      </c>
      <c r="M5857">
        <v>0.56318681318681296</v>
      </c>
      <c r="N5857">
        <v>0.99175824175824201</v>
      </c>
      <c r="O5857">
        <v>0.70741758241758201</v>
      </c>
      <c r="P5857" t="s">
        <v>12075</v>
      </c>
      <c r="Q5857" t="s">
        <v>12076</v>
      </c>
      <c r="R5857" t="s">
        <v>8647</v>
      </c>
      <c r="S5857" t="s">
        <v>8648</v>
      </c>
      <c r="V5857" t="s">
        <v>12077</v>
      </c>
      <c r="W5857" t="s">
        <v>12078</v>
      </c>
      <c r="X5857" t="s">
        <v>12077</v>
      </c>
      <c r="Y5857" t="s">
        <v>5826</v>
      </c>
      <c r="AF5857" t="s">
        <v>12079</v>
      </c>
    </row>
    <row r="5858" spans="1:32" hidden="1" x14ac:dyDescent="0.35">
      <c r="A5858">
        <v>5857</v>
      </c>
      <c r="B5858" t="s">
        <v>12074</v>
      </c>
      <c r="C5858" t="s">
        <v>11488</v>
      </c>
      <c r="D5858" t="s">
        <v>62</v>
      </c>
      <c r="E5858">
        <v>200</v>
      </c>
      <c r="F5858">
        <v>4</v>
      </c>
      <c r="G5858">
        <v>4</v>
      </c>
      <c r="H5858">
        <v>1</v>
      </c>
      <c r="I5858">
        <v>0</v>
      </c>
      <c r="J5858">
        <v>0.79856952761144395</v>
      </c>
      <c r="K5858">
        <v>0.92051130687494398</v>
      </c>
      <c r="L5858">
        <v>0.85521549044753498</v>
      </c>
      <c r="M5858">
        <v>0.56318681318681296</v>
      </c>
      <c r="N5858">
        <v>0.99175824175824201</v>
      </c>
      <c r="O5858">
        <v>0.70741758241758201</v>
      </c>
      <c r="P5858" t="s">
        <v>12075</v>
      </c>
      <c r="Q5858" t="s">
        <v>12076</v>
      </c>
      <c r="R5858" t="s">
        <v>8647</v>
      </c>
      <c r="S5858" t="s">
        <v>8648</v>
      </c>
      <c r="V5858" t="s">
        <v>12077</v>
      </c>
      <c r="W5858" t="s">
        <v>12078</v>
      </c>
      <c r="X5858" t="s">
        <v>12077</v>
      </c>
      <c r="Y5858" t="s">
        <v>5826</v>
      </c>
      <c r="AF5858" t="s">
        <v>12080</v>
      </c>
    </row>
    <row r="5859" spans="1:32" hidden="1" x14ac:dyDescent="0.35">
      <c r="A5859">
        <v>5858</v>
      </c>
      <c r="B5859" t="s">
        <v>12074</v>
      </c>
      <c r="C5859" t="s">
        <v>11488</v>
      </c>
      <c r="D5859" t="s">
        <v>34</v>
      </c>
      <c r="E5859">
        <v>1379</v>
      </c>
      <c r="F5859">
        <v>4</v>
      </c>
      <c r="G5859">
        <v>4</v>
      </c>
      <c r="H5859">
        <v>1</v>
      </c>
      <c r="I5859">
        <v>0</v>
      </c>
      <c r="J5859">
        <v>0.79856952761144395</v>
      </c>
      <c r="K5859">
        <v>0.92051130687494398</v>
      </c>
      <c r="L5859">
        <v>0.85521549044753498</v>
      </c>
      <c r="M5859">
        <v>0.56318681318681296</v>
      </c>
      <c r="N5859">
        <v>0.99175824175824201</v>
      </c>
      <c r="O5859">
        <v>0.70741758241758201</v>
      </c>
      <c r="P5859" t="s">
        <v>12075</v>
      </c>
      <c r="Q5859" t="s">
        <v>12076</v>
      </c>
      <c r="R5859" t="s">
        <v>8647</v>
      </c>
      <c r="S5859" t="s">
        <v>8648</v>
      </c>
      <c r="V5859" t="s">
        <v>12077</v>
      </c>
      <c r="W5859" t="s">
        <v>12078</v>
      </c>
      <c r="X5859" t="s">
        <v>12077</v>
      </c>
      <c r="Y5859" t="s">
        <v>5826</v>
      </c>
      <c r="AF5859" t="s">
        <v>12081</v>
      </c>
    </row>
    <row r="5860" spans="1:32" hidden="1" x14ac:dyDescent="0.35">
      <c r="A5860">
        <v>5859</v>
      </c>
      <c r="B5860" t="s">
        <v>12074</v>
      </c>
      <c r="C5860" t="s">
        <v>11488</v>
      </c>
      <c r="D5860" t="s">
        <v>45</v>
      </c>
      <c r="E5860">
        <v>129</v>
      </c>
      <c r="F5860">
        <v>4</v>
      </c>
      <c r="G5860">
        <v>4</v>
      </c>
      <c r="H5860">
        <v>1</v>
      </c>
      <c r="I5860">
        <v>0</v>
      </c>
      <c r="J5860">
        <v>0.79856952761144395</v>
      </c>
      <c r="K5860">
        <v>0.92051130687494398</v>
      </c>
      <c r="L5860">
        <v>0.85521549044753498</v>
      </c>
      <c r="M5860">
        <v>0.56318681318681296</v>
      </c>
      <c r="N5860">
        <v>0.99175824175824201</v>
      </c>
      <c r="O5860">
        <v>0.70741758241758201</v>
      </c>
      <c r="P5860" t="s">
        <v>12075</v>
      </c>
      <c r="Q5860" t="s">
        <v>12076</v>
      </c>
      <c r="R5860" t="s">
        <v>8647</v>
      </c>
      <c r="S5860" t="s">
        <v>8648</v>
      </c>
      <c r="V5860" t="s">
        <v>12077</v>
      </c>
      <c r="W5860" t="s">
        <v>12078</v>
      </c>
      <c r="X5860" t="s">
        <v>12077</v>
      </c>
      <c r="Y5860" t="s">
        <v>5826</v>
      </c>
      <c r="AF5860" t="s">
        <v>12082</v>
      </c>
    </row>
    <row r="5861" spans="1:32" hidden="1" x14ac:dyDescent="0.35">
      <c r="A5861">
        <v>5860</v>
      </c>
      <c r="B5861" t="s">
        <v>12083</v>
      </c>
      <c r="C5861" t="s">
        <v>11488</v>
      </c>
      <c r="D5861" t="s">
        <v>34</v>
      </c>
      <c r="E5861">
        <v>1098</v>
      </c>
      <c r="F5861">
        <v>2</v>
      </c>
      <c r="G5861">
        <v>4</v>
      </c>
      <c r="H5861">
        <v>2</v>
      </c>
      <c r="I5861">
        <v>0</v>
      </c>
      <c r="J5861">
        <v>0.83030626780626804</v>
      </c>
      <c r="K5861">
        <v>0.92965769393811004</v>
      </c>
      <c r="L5861">
        <v>0.87717774564664297</v>
      </c>
      <c r="M5861">
        <v>0.59050445103857596</v>
      </c>
      <c r="N5861">
        <v>0.99109792284866505</v>
      </c>
      <c r="O5861">
        <v>0.72551928783382802</v>
      </c>
      <c r="R5861" t="s">
        <v>371</v>
      </c>
      <c r="S5861" t="s">
        <v>372</v>
      </c>
      <c r="V5861" t="s">
        <v>12084</v>
      </c>
      <c r="W5861" t="s">
        <v>12085</v>
      </c>
      <c r="AF5861" t="s">
        <v>12086</v>
      </c>
    </row>
    <row r="5862" spans="1:32" hidden="1" x14ac:dyDescent="0.35">
      <c r="A5862">
        <v>5861</v>
      </c>
      <c r="B5862" t="s">
        <v>12083</v>
      </c>
      <c r="C5862" t="s">
        <v>11488</v>
      </c>
      <c r="D5862" t="s">
        <v>34</v>
      </c>
      <c r="E5862">
        <v>1039</v>
      </c>
      <c r="F5862">
        <v>2</v>
      </c>
      <c r="G5862">
        <v>4</v>
      </c>
      <c r="H5862">
        <v>2</v>
      </c>
      <c r="I5862">
        <v>0</v>
      </c>
      <c r="J5862">
        <v>0.83030626780626804</v>
      </c>
      <c r="K5862">
        <v>0.92965769393811004</v>
      </c>
      <c r="L5862">
        <v>0.87717774564664297</v>
      </c>
      <c r="M5862">
        <v>0.59050445103857596</v>
      </c>
      <c r="N5862">
        <v>0.99109792284866505</v>
      </c>
      <c r="O5862">
        <v>0.72551928783382802</v>
      </c>
      <c r="AF5862" t="s">
        <v>12087</v>
      </c>
    </row>
    <row r="5863" spans="1:32" hidden="1" x14ac:dyDescent="0.35">
      <c r="A5863">
        <v>5862</v>
      </c>
      <c r="B5863" t="s">
        <v>12083</v>
      </c>
      <c r="C5863" t="s">
        <v>11488</v>
      </c>
      <c r="D5863" t="s">
        <v>45</v>
      </c>
      <c r="E5863">
        <v>2352</v>
      </c>
      <c r="F5863">
        <v>2</v>
      </c>
      <c r="G5863">
        <v>4</v>
      </c>
      <c r="H5863">
        <v>2</v>
      </c>
      <c r="I5863">
        <v>0</v>
      </c>
      <c r="J5863">
        <v>0.83030626780626804</v>
      </c>
      <c r="K5863">
        <v>0.92965769393811004</v>
      </c>
      <c r="L5863">
        <v>0.87717774564664297</v>
      </c>
      <c r="M5863">
        <v>0.59050445103857596</v>
      </c>
      <c r="N5863">
        <v>0.99109792284866505</v>
      </c>
      <c r="O5863">
        <v>0.72551928783382802</v>
      </c>
      <c r="AF5863" t="s">
        <v>12088</v>
      </c>
    </row>
    <row r="5864" spans="1:32" hidden="1" x14ac:dyDescent="0.35">
      <c r="A5864">
        <v>5863</v>
      </c>
      <c r="B5864" t="s">
        <v>12083</v>
      </c>
      <c r="C5864" t="s">
        <v>11488</v>
      </c>
      <c r="D5864" t="s">
        <v>45</v>
      </c>
      <c r="E5864">
        <v>2294</v>
      </c>
      <c r="F5864">
        <v>2</v>
      </c>
      <c r="G5864">
        <v>4</v>
      </c>
      <c r="H5864">
        <v>2</v>
      </c>
      <c r="I5864">
        <v>0</v>
      </c>
      <c r="J5864">
        <v>0.83030626780626804</v>
      </c>
      <c r="K5864">
        <v>0.92965769393811004</v>
      </c>
      <c r="L5864">
        <v>0.87717774564664297</v>
      </c>
      <c r="M5864">
        <v>0.59050445103857596</v>
      </c>
      <c r="N5864">
        <v>0.99109792284866505</v>
      </c>
      <c r="O5864">
        <v>0.72551928783382802</v>
      </c>
      <c r="AF5864" t="s">
        <v>12089</v>
      </c>
    </row>
    <row r="5865" spans="1:32" hidden="1" x14ac:dyDescent="0.35">
      <c r="A5865">
        <v>5864</v>
      </c>
      <c r="B5865" t="s">
        <v>12090</v>
      </c>
      <c r="C5865" t="s">
        <v>11488</v>
      </c>
      <c r="D5865" t="s">
        <v>58</v>
      </c>
      <c r="E5865">
        <v>1417</v>
      </c>
      <c r="F5865">
        <v>3</v>
      </c>
      <c r="G5865">
        <v>4</v>
      </c>
      <c r="H5865">
        <v>2</v>
      </c>
      <c r="I5865">
        <v>0</v>
      </c>
      <c r="J5865">
        <v>0.83752695902228602</v>
      </c>
      <c r="K5865">
        <v>0.67715953996346401</v>
      </c>
      <c r="L5865">
        <v>0.74885379998870105</v>
      </c>
      <c r="M5865">
        <v>2.4048096192384801E-2</v>
      </c>
      <c r="N5865">
        <v>0.87174348697394799</v>
      </c>
      <c r="O5865">
        <v>0.37675350701402799</v>
      </c>
      <c r="P5865" t="s">
        <v>4358</v>
      </c>
      <c r="Q5865" t="s">
        <v>4359</v>
      </c>
      <c r="R5865" t="s">
        <v>4917</v>
      </c>
      <c r="S5865" t="s">
        <v>4918</v>
      </c>
      <c r="V5865" t="s">
        <v>4919</v>
      </c>
      <c r="W5865" t="s">
        <v>4920</v>
      </c>
      <c r="AF5865" t="s">
        <v>12091</v>
      </c>
    </row>
    <row r="5866" spans="1:32" hidden="1" x14ac:dyDescent="0.35">
      <c r="A5866">
        <v>5865</v>
      </c>
      <c r="B5866" t="s">
        <v>12090</v>
      </c>
      <c r="C5866" t="s">
        <v>11488</v>
      </c>
      <c r="D5866" t="s">
        <v>34</v>
      </c>
      <c r="E5866">
        <v>590</v>
      </c>
      <c r="F5866">
        <v>3</v>
      </c>
      <c r="G5866">
        <v>4</v>
      </c>
      <c r="H5866">
        <v>2</v>
      </c>
      <c r="I5866">
        <v>0</v>
      </c>
      <c r="J5866">
        <v>0.83752695902228602</v>
      </c>
      <c r="K5866">
        <v>0.67715953996346401</v>
      </c>
      <c r="L5866">
        <v>0.74885379998870105</v>
      </c>
      <c r="M5866">
        <v>2.4048096192384801E-2</v>
      </c>
      <c r="N5866">
        <v>0.87174348697394799</v>
      </c>
      <c r="O5866">
        <v>0.37675350701402799</v>
      </c>
      <c r="P5866" t="s">
        <v>4358</v>
      </c>
      <c r="Q5866" t="s">
        <v>4359</v>
      </c>
      <c r="R5866" t="s">
        <v>4917</v>
      </c>
      <c r="S5866" t="s">
        <v>4918</v>
      </c>
      <c r="V5866" t="s">
        <v>4919</v>
      </c>
      <c r="W5866" t="s">
        <v>4920</v>
      </c>
      <c r="AF5866" t="s">
        <v>12092</v>
      </c>
    </row>
    <row r="5867" spans="1:32" hidden="1" x14ac:dyDescent="0.35">
      <c r="A5867">
        <v>5866</v>
      </c>
      <c r="B5867" t="s">
        <v>12090</v>
      </c>
      <c r="C5867" t="s">
        <v>11488</v>
      </c>
      <c r="D5867" t="s">
        <v>45</v>
      </c>
      <c r="E5867">
        <v>1856</v>
      </c>
      <c r="F5867">
        <v>3</v>
      </c>
      <c r="G5867">
        <v>4</v>
      </c>
      <c r="H5867">
        <v>2</v>
      </c>
      <c r="I5867">
        <v>0</v>
      </c>
      <c r="J5867">
        <v>0.83752695902228602</v>
      </c>
      <c r="K5867">
        <v>0.67715953996346401</v>
      </c>
      <c r="L5867">
        <v>0.74885379998870105</v>
      </c>
      <c r="M5867">
        <v>2.4048096192384801E-2</v>
      </c>
      <c r="N5867">
        <v>0.87174348697394799</v>
      </c>
      <c r="O5867">
        <v>0.37675350701402799</v>
      </c>
      <c r="P5867" t="s">
        <v>4358</v>
      </c>
      <c r="Q5867" t="s">
        <v>4359</v>
      </c>
      <c r="R5867" t="s">
        <v>4917</v>
      </c>
      <c r="S5867" t="s">
        <v>4918</v>
      </c>
      <c r="V5867" t="s">
        <v>4919</v>
      </c>
      <c r="W5867" t="s">
        <v>4920</v>
      </c>
      <c r="AF5867" t="s">
        <v>12093</v>
      </c>
    </row>
    <row r="5868" spans="1:32" hidden="1" x14ac:dyDescent="0.35">
      <c r="A5868">
        <v>5867</v>
      </c>
      <c r="B5868" t="s">
        <v>12090</v>
      </c>
      <c r="C5868" t="s">
        <v>11488</v>
      </c>
      <c r="D5868" t="s">
        <v>45</v>
      </c>
      <c r="E5868">
        <v>1857</v>
      </c>
      <c r="F5868">
        <v>3</v>
      </c>
      <c r="G5868">
        <v>4</v>
      </c>
      <c r="H5868">
        <v>2</v>
      </c>
      <c r="I5868">
        <v>0</v>
      </c>
      <c r="J5868">
        <v>0.83752695902228602</v>
      </c>
      <c r="K5868">
        <v>0.67715953996346401</v>
      </c>
      <c r="L5868">
        <v>0.74885379998870105</v>
      </c>
      <c r="M5868">
        <v>2.4048096192384801E-2</v>
      </c>
      <c r="N5868">
        <v>0.87174348697394799</v>
      </c>
      <c r="O5868">
        <v>0.37675350701402799</v>
      </c>
      <c r="AF5868" t="s">
        <v>12094</v>
      </c>
    </row>
    <row r="5869" spans="1:32" hidden="1" x14ac:dyDescent="0.35">
      <c r="A5869">
        <v>5868</v>
      </c>
      <c r="B5869" t="s">
        <v>12095</v>
      </c>
      <c r="C5869" t="s">
        <v>11488</v>
      </c>
      <c r="D5869" t="s">
        <v>60</v>
      </c>
      <c r="E5869">
        <v>1311</v>
      </c>
      <c r="F5869">
        <v>4</v>
      </c>
      <c r="G5869">
        <v>4</v>
      </c>
      <c r="H5869">
        <v>1</v>
      </c>
      <c r="I5869">
        <v>0</v>
      </c>
      <c r="J5869">
        <v>0.75625763125763101</v>
      </c>
      <c r="K5869">
        <v>0.81977821944903495</v>
      </c>
      <c r="L5869">
        <v>0.78673785766884097</v>
      </c>
      <c r="M5869">
        <v>0.44759825327510899</v>
      </c>
      <c r="N5869">
        <v>0.99781659388646304</v>
      </c>
      <c r="O5869">
        <v>0.64774381368267797</v>
      </c>
      <c r="P5869" t="s">
        <v>5470</v>
      </c>
      <c r="Q5869" t="s">
        <v>5471</v>
      </c>
      <c r="R5869" t="s">
        <v>235</v>
      </c>
      <c r="S5869" t="s">
        <v>236</v>
      </c>
      <c r="V5869" t="s">
        <v>8063</v>
      </c>
      <c r="W5869" t="s">
        <v>8064</v>
      </c>
      <c r="AF5869" t="s">
        <v>12096</v>
      </c>
    </row>
    <row r="5870" spans="1:32" hidden="1" x14ac:dyDescent="0.35">
      <c r="A5870">
        <v>5869</v>
      </c>
      <c r="B5870" t="s">
        <v>12095</v>
      </c>
      <c r="C5870" t="s">
        <v>11488</v>
      </c>
      <c r="D5870" t="s">
        <v>62</v>
      </c>
      <c r="E5870">
        <v>1347</v>
      </c>
      <c r="F5870">
        <v>4</v>
      </c>
      <c r="G5870">
        <v>4</v>
      </c>
      <c r="H5870">
        <v>1</v>
      </c>
      <c r="I5870">
        <v>0</v>
      </c>
      <c r="J5870">
        <v>0.75625763125763101</v>
      </c>
      <c r="K5870">
        <v>0.81977821944903495</v>
      </c>
      <c r="L5870">
        <v>0.78673785766884097</v>
      </c>
      <c r="M5870">
        <v>0.44759825327510899</v>
      </c>
      <c r="N5870">
        <v>0.99781659388646304</v>
      </c>
      <c r="O5870">
        <v>0.64774381368267797</v>
      </c>
      <c r="P5870" t="s">
        <v>5470</v>
      </c>
      <c r="Q5870" t="s">
        <v>5471</v>
      </c>
      <c r="R5870" t="s">
        <v>235</v>
      </c>
      <c r="S5870" t="s">
        <v>236</v>
      </c>
      <c r="V5870" t="s">
        <v>8063</v>
      </c>
      <c r="W5870" t="s">
        <v>8064</v>
      </c>
      <c r="AF5870" t="s">
        <v>12097</v>
      </c>
    </row>
    <row r="5871" spans="1:32" hidden="1" x14ac:dyDescent="0.35">
      <c r="A5871">
        <v>5870</v>
      </c>
      <c r="B5871" t="s">
        <v>12095</v>
      </c>
      <c r="C5871" t="s">
        <v>11488</v>
      </c>
      <c r="D5871" t="s">
        <v>34</v>
      </c>
      <c r="E5871">
        <v>1706</v>
      </c>
      <c r="F5871">
        <v>4</v>
      </c>
      <c r="G5871">
        <v>4</v>
      </c>
      <c r="H5871">
        <v>1</v>
      </c>
      <c r="I5871">
        <v>0</v>
      </c>
      <c r="J5871">
        <v>0.75625763125763101</v>
      </c>
      <c r="K5871">
        <v>0.81977821944903495</v>
      </c>
      <c r="L5871">
        <v>0.78673785766884097</v>
      </c>
      <c r="M5871">
        <v>0.44759825327510899</v>
      </c>
      <c r="N5871">
        <v>0.99781659388646304</v>
      </c>
      <c r="O5871">
        <v>0.64774381368267797</v>
      </c>
      <c r="P5871" t="s">
        <v>5470</v>
      </c>
      <c r="Q5871" t="s">
        <v>5471</v>
      </c>
      <c r="R5871" t="s">
        <v>235</v>
      </c>
      <c r="S5871" t="s">
        <v>236</v>
      </c>
      <c r="V5871" t="s">
        <v>8063</v>
      </c>
      <c r="W5871" t="s">
        <v>8064</v>
      </c>
      <c r="AF5871" t="e">
        <f>---------------------------------------------------------------------------------MSDSVSVLTYSGRLRRAQELCSRRGLAGLVLGPGEQLAYLTGLRFDTHERFSALVVPAVG-EIRLVLPVVDRD---VTPEERLGIKVETWVDGSSPYD-------LVPTGR--IGVGAELVASHVLRLMP--GRELVSATEVLAELFVSKEKLELEELRRAGKAIDRVHAQVPQLLRPGRTEQEVAADLSRLILEE-HEKVDFVIVGSGPNSANPHHKFSDRILGLGDMVVVDIGGSLRSGYHSDCTRTYVVGGPGA-----VPRMYQVLYDAQAAAVRTVRPGVTAESVDAAAREVISAAGFGEFFIHRTGHGIGLSLHEEPFIVAGNTMELLPGMAFSVEPGIYIPGECGARIEDIVAVTEDGCELMNNRPRELL</f>
        <v>#NAME?</v>
      </c>
    </row>
    <row r="5872" spans="1:32" hidden="1" x14ac:dyDescent="0.35">
      <c r="A5872">
        <v>5871</v>
      </c>
      <c r="B5872" t="s">
        <v>12095</v>
      </c>
      <c r="C5872" t="s">
        <v>11488</v>
      </c>
      <c r="D5872" t="s">
        <v>45</v>
      </c>
      <c r="E5872">
        <v>1169</v>
      </c>
      <c r="F5872">
        <v>4</v>
      </c>
      <c r="G5872">
        <v>4</v>
      </c>
      <c r="H5872">
        <v>1</v>
      </c>
      <c r="I5872">
        <v>0</v>
      </c>
      <c r="J5872">
        <v>0.75625763125763101</v>
      </c>
      <c r="K5872">
        <v>0.81977821944903495</v>
      </c>
      <c r="L5872">
        <v>0.78673785766884097</v>
      </c>
      <c r="M5872">
        <v>0.44759825327510899</v>
      </c>
      <c r="N5872">
        <v>0.99781659388646304</v>
      </c>
      <c r="O5872">
        <v>0.64774381368267797</v>
      </c>
      <c r="P5872" t="s">
        <v>5470</v>
      </c>
      <c r="Q5872" t="s">
        <v>5471</v>
      </c>
      <c r="R5872" t="s">
        <v>235</v>
      </c>
      <c r="S5872" t="s">
        <v>236</v>
      </c>
      <c r="V5872" t="s">
        <v>8063</v>
      </c>
      <c r="W5872" t="s">
        <v>8064</v>
      </c>
      <c r="AF5872" t="s">
        <v>12098</v>
      </c>
    </row>
    <row r="5873" spans="1:32" hidden="1" x14ac:dyDescent="0.35">
      <c r="A5873">
        <v>5872</v>
      </c>
      <c r="B5873" t="s">
        <v>12099</v>
      </c>
      <c r="C5873" t="s">
        <v>11488</v>
      </c>
      <c r="D5873" t="s">
        <v>60</v>
      </c>
      <c r="E5873">
        <v>2494</v>
      </c>
      <c r="F5873">
        <v>4</v>
      </c>
      <c r="G5873">
        <v>4</v>
      </c>
      <c r="H5873">
        <v>1</v>
      </c>
      <c r="I5873">
        <v>0</v>
      </c>
      <c r="J5873">
        <v>0.79249448123620303</v>
      </c>
      <c r="K5873">
        <v>0.96822877769479598</v>
      </c>
      <c r="L5873">
        <v>0.87159178366629497</v>
      </c>
      <c r="M5873">
        <v>0.57692307692307698</v>
      </c>
      <c r="N5873">
        <v>0.99038461538461497</v>
      </c>
      <c r="O5873">
        <v>0.71794871794871795</v>
      </c>
      <c r="P5873" t="s">
        <v>1026</v>
      </c>
      <c r="Q5873" t="s">
        <v>1027</v>
      </c>
      <c r="R5873" t="s">
        <v>869</v>
      </c>
      <c r="S5873" t="s">
        <v>870</v>
      </c>
      <c r="T5873" t="s">
        <v>12100</v>
      </c>
      <c r="U5873" t="s">
        <v>12101</v>
      </c>
      <c r="V5873" t="s">
        <v>12102</v>
      </c>
      <c r="W5873" t="s">
        <v>12103</v>
      </c>
      <c r="AD5873" t="s">
        <v>219</v>
      </c>
      <c r="AE5873" t="s">
        <v>12104</v>
      </c>
      <c r="AF5873" t="s">
        <v>12105</v>
      </c>
    </row>
    <row r="5874" spans="1:32" hidden="1" x14ac:dyDescent="0.35">
      <c r="A5874">
        <v>5873</v>
      </c>
      <c r="B5874" t="s">
        <v>12099</v>
      </c>
      <c r="C5874" t="s">
        <v>11488</v>
      </c>
      <c r="D5874" t="s">
        <v>62</v>
      </c>
      <c r="E5874">
        <v>21</v>
      </c>
      <c r="F5874">
        <v>4</v>
      </c>
      <c r="G5874">
        <v>4</v>
      </c>
      <c r="H5874">
        <v>1</v>
      </c>
      <c r="I5874">
        <v>0</v>
      </c>
      <c r="J5874">
        <v>0.79249448123620303</v>
      </c>
      <c r="K5874">
        <v>0.96822877769479598</v>
      </c>
      <c r="L5874">
        <v>0.87159178366629497</v>
      </c>
      <c r="M5874">
        <v>0.57692307692307698</v>
      </c>
      <c r="N5874">
        <v>0.99038461538461497</v>
      </c>
      <c r="O5874">
        <v>0.71794871794871795</v>
      </c>
      <c r="P5874" t="s">
        <v>1026</v>
      </c>
      <c r="Q5874" t="s">
        <v>1027</v>
      </c>
      <c r="R5874" t="s">
        <v>869</v>
      </c>
      <c r="S5874" t="s">
        <v>870</v>
      </c>
      <c r="T5874" t="s">
        <v>12100</v>
      </c>
      <c r="U5874" t="s">
        <v>12101</v>
      </c>
      <c r="V5874" t="s">
        <v>12102</v>
      </c>
      <c r="W5874" t="s">
        <v>12103</v>
      </c>
      <c r="AD5874" t="s">
        <v>219</v>
      </c>
      <c r="AE5874" t="s">
        <v>12104</v>
      </c>
      <c r="AF5874" t="s">
        <v>12106</v>
      </c>
    </row>
    <row r="5875" spans="1:32" hidden="1" x14ac:dyDescent="0.35">
      <c r="A5875">
        <v>5874</v>
      </c>
      <c r="B5875" t="s">
        <v>12099</v>
      </c>
      <c r="C5875" t="s">
        <v>11488</v>
      </c>
      <c r="D5875" t="s">
        <v>34</v>
      </c>
      <c r="E5875">
        <v>2297</v>
      </c>
      <c r="F5875">
        <v>4</v>
      </c>
      <c r="G5875">
        <v>4</v>
      </c>
      <c r="H5875">
        <v>1</v>
      </c>
      <c r="I5875">
        <v>0</v>
      </c>
      <c r="J5875">
        <v>0.79249448123620303</v>
      </c>
      <c r="K5875">
        <v>0.96822877769479598</v>
      </c>
      <c r="L5875">
        <v>0.87159178366629497</v>
      </c>
      <c r="M5875">
        <v>0.57692307692307698</v>
      </c>
      <c r="N5875">
        <v>0.99038461538461497</v>
      </c>
      <c r="O5875">
        <v>0.71794871794871795</v>
      </c>
      <c r="P5875" t="s">
        <v>1026</v>
      </c>
      <c r="Q5875" t="s">
        <v>1027</v>
      </c>
      <c r="R5875" t="s">
        <v>869</v>
      </c>
      <c r="S5875" t="s">
        <v>870</v>
      </c>
      <c r="T5875" t="s">
        <v>12100</v>
      </c>
      <c r="U5875" t="s">
        <v>12101</v>
      </c>
      <c r="V5875" t="s">
        <v>12102</v>
      </c>
      <c r="W5875" t="s">
        <v>12103</v>
      </c>
      <c r="AD5875" t="s">
        <v>219</v>
      </c>
      <c r="AE5875" t="s">
        <v>12104</v>
      </c>
      <c r="AF5875" t="s">
        <v>12107</v>
      </c>
    </row>
    <row r="5876" spans="1:32" hidden="1" x14ac:dyDescent="0.35">
      <c r="A5876">
        <v>5875</v>
      </c>
      <c r="B5876" t="s">
        <v>12099</v>
      </c>
      <c r="C5876" t="s">
        <v>11488</v>
      </c>
      <c r="D5876" t="s">
        <v>45</v>
      </c>
      <c r="E5876">
        <v>580</v>
      </c>
      <c r="F5876">
        <v>4</v>
      </c>
      <c r="G5876">
        <v>4</v>
      </c>
      <c r="H5876">
        <v>1</v>
      </c>
      <c r="I5876">
        <v>0</v>
      </c>
      <c r="J5876">
        <v>0.79249448123620303</v>
      </c>
      <c r="K5876">
        <v>0.96822877769479598</v>
      </c>
      <c r="L5876">
        <v>0.87159178366629497</v>
      </c>
      <c r="M5876">
        <v>0.57692307692307698</v>
      </c>
      <c r="N5876">
        <v>0.99038461538461497</v>
      </c>
      <c r="O5876">
        <v>0.71794871794871795</v>
      </c>
      <c r="P5876" t="s">
        <v>1026</v>
      </c>
      <c r="Q5876" t="s">
        <v>1027</v>
      </c>
      <c r="R5876" t="s">
        <v>869</v>
      </c>
      <c r="S5876" t="s">
        <v>870</v>
      </c>
      <c r="T5876" t="s">
        <v>12100</v>
      </c>
      <c r="U5876" t="s">
        <v>12101</v>
      </c>
      <c r="V5876" t="s">
        <v>12102</v>
      </c>
      <c r="W5876" t="s">
        <v>12103</v>
      </c>
      <c r="AD5876" t="s">
        <v>219</v>
      </c>
      <c r="AE5876" t="s">
        <v>12104</v>
      </c>
      <c r="AF5876" t="s">
        <v>12108</v>
      </c>
    </row>
    <row r="5877" spans="1:32" hidden="1" x14ac:dyDescent="0.35">
      <c r="A5877">
        <v>5876</v>
      </c>
      <c r="B5877" t="s">
        <v>12109</v>
      </c>
      <c r="C5877" t="s">
        <v>11488</v>
      </c>
      <c r="D5877" t="s">
        <v>60</v>
      </c>
      <c r="E5877">
        <v>2443</v>
      </c>
      <c r="F5877">
        <v>4</v>
      </c>
      <c r="G5877">
        <v>4</v>
      </c>
      <c r="H5877">
        <v>1</v>
      </c>
      <c r="I5877">
        <v>0</v>
      </c>
      <c r="J5877">
        <v>0.779663837576968</v>
      </c>
      <c r="K5877">
        <v>0.80897389597787694</v>
      </c>
      <c r="L5877">
        <v>0.79404848432794395</v>
      </c>
      <c r="M5877">
        <v>0.401869158878505</v>
      </c>
      <c r="N5877">
        <v>0.99532710280373804</v>
      </c>
      <c r="O5877">
        <v>0.59890965732087198</v>
      </c>
      <c r="P5877" t="s">
        <v>583</v>
      </c>
      <c r="Q5877" t="s">
        <v>584</v>
      </c>
      <c r="R5877" t="s">
        <v>224</v>
      </c>
      <c r="S5877" t="s">
        <v>225</v>
      </c>
      <c r="V5877" t="s">
        <v>587</v>
      </c>
      <c r="W5877" t="s">
        <v>588</v>
      </c>
      <c r="X5877" t="s">
        <v>587</v>
      </c>
      <c r="Y5877" t="s">
        <v>589</v>
      </c>
      <c r="AF5877" t="s">
        <v>12110</v>
      </c>
    </row>
    <row r="5878" spans="1:32" hidden="1" x14ac:dyDescent="0.35">
      <c r="A5878">
        <v>5877</v>
      </c>
      <c r="B5878" t="s">
        <v>12109</v>
      </c>
      <c r="C5878" t="s">
        <v>11488</v>
      </c>
      <c r="D5878" t="s">
        <v>62</v>
      </c>
      <c r="E5878">
        <v>2469</v>
      </c>
      <c r="F5878">
        <v>4</v>
      </c>
      <c r="G5878">
        <v>4</v>
      </c>
      <c r="H5878">
        <v>1</v>
      </c>
      <c r="I5878">
        <v>0</v>
      </c>
      <c r="J5878">
        <v>0.779663837576968</v>
      </c>
      <c r="K5878">
        <v>0.80897389597787694</v>
      </c>
      <c r="L5878">
        <v>0.79404848432794395</v>
      </c>
      <c r="M5878">
        <v>0.401869158878505</v>
      </c>
      <c r="N5878">
        <v>0.99532710280373804</v>
      </c>
      <c r="O5878">
        <v>0.59890965732087198</v>
      </c>
      <c r="P5878" t="s">
        <v>583</v>
      </c>
      <c r="Q5878" t="s">
        <v>584</v>
      </c>
      <c r="R5878" t="s">
        <v>224</v>
      </c>
      <c r="S5878" t="s">
        <v>225</v>
      </c>
      <c r="V5878" t="s">
        <v>587</v>
      </c>
      <c r="W5878" t="s">
        <v>588</v>
      </c>
      <c r="X5878" t="s">
        <v>587</v>
      </c>
      <c r="Y5878" t="s">
        <v>589</v>
      </c>
      <c r="AF5878" t="s">
        <v>12111</v>
      </c>
    </row>
    <row r="5879" spans="1:32" hidden="1" x14ac:dyDescent="0.35">
      <c r="A5879">
        <v>5878</v>
      </c>
      <c r="B5879" t="s">
        <v>12109</v>
      </c>
      <c r="C5879" t="s">
        <v>11488</v>
      </c>
      <c r="D5879" t="s">
        <v>34</v>
      </c>
      <c r="E5879">
        <v>1279</v>
      </c>
      <c r="F5879">
        <v>4</v>
      </c>
      <c r="G5879">
        <v>4</v>
      </c>
      <c r="H5879">
        <v>1</v>
      </c>
      <c r="I5879">
        <v>0</v>
      </c>
      <c r="J5879">
        <v>0.779663837576968</v>
      </c>
      <c r="K5879">
        <v>0.80897389597787694</v>
      </c>
      <c r="L5879">
        <v>0.79404848432794395</v>
      </c>
      <c r="M5879">
        <v>0.401869158878505</v>
      </c>
      <c r="N5879">
        <v>0.99532710280373804</v>
      </c>
      <c r="O5879">
        <v>0.59890965732087198</v>
      </c>
      <c r="P5879" t="s">
        <v>583</v>
      </c>
      <c r="Q5879" t="s">
        <v>584</v>
      </c>
      <c r="R5879" t="s">
        <v>224</v>
      </c>
      <c r="S5879" t="s">
        <v>225</v>
      </c>
      <c r="V5879" t="s">
        <v>587</v>
      </c>
      <c r="W5879" t="s">
        <v>588</v>
      </c>
      <c r="X5879" t="s">
        <v>587</v>
      </c>
      <c r="Y5879" t="s">
        <v>589</v>
      </c>
      <c r="AF5879" t="e">
        <f>----------------------------------------------------------------------------------------------MATETDPFLLHCLRQGAIIPGKTLAPELGLTAYTEPVGLPHPDNPTLPGHTPGGSSGGAAVMVARGLVRAAHASDGGGSIRIPAACTGIVGYKPPHDTGNANPVAQGFLAGTLTDSAYVNNVTVPARVPRLRVGVLIEPVHAE---VEVSEHMLSAVDRAASALSKAGHDVMMVRRPYGDAPFAAFHDILSLRSVKVPGEASPLVSWLRDRGSRIGEHRKEAVITEFMSVKSQVLRAWDVDVLLSPMLAFDPPPIGYFRAMSPESDFYAQTQWTPWATMFNMAGLGALVFPFENIRT------PIHVGALRVSPAQLFGVAATLYGDSDRRITL</f>
        <v>#NAME?</v>
      </c>
    </row>
    <row r="5880" spans="1:32" hidden="1" x14ac:dyDescent="0.35">
      <c r="A5880">
        <v>5879</v>
      </c>
      <c r="B5880" t="s">
        <v>12109</v>
      </c>
      <c r="C5880" t="s">
        <v>11488</v>
      </c>
      <c r="D5880" t="s">
        <v>45</v>
      </c>
      <c r="E5880">
        <v>31</v>
      </c>
      <c r="F5880">
        <v>4</v>
      </c>
      <c r="G5880">
        <v>4</v>
      </c>
      <c r="H5880">
        <v>1</v>
      </c>
      <c r="I5880">
        <v>0</v>
      </c>
      <c r="J5880">
        <v>0.779663837576968</v>
      </c>
      <c r="K5880">
        <v>0.80897389597787694</v>
      </c>
      <c r="L5880">
        <v>0.79404848432794395</v>
      </c>
      <c r="M5880">
        <v>0.401869158878505</v>
      </c>
      <c r="N5880">
        <v>0.99532710280373804</v>
      </c>
      <c r="O5880">
        <v>0.59890965732087198</v>
      </c>
      <c r="P5880" t="s">
        <v>583</v>
      </c>
      <c r="Q5880" t="s">
        <v>584</v>
      </c>
      <c r="R5880" t="s">
        <v>224</v>
      </c>
      <c r="S5880" t="s">
        <v>225</v>
      </c>
      <c r="V5880" t="s">
        <v>587</v>
      </c>
      <c r="W5880" t="s">
        <v>588</v>
      </c>
      <c r="X5880" t="s">
        <v>587</v>
      </c>
      <c r="Y5880" t="s">
        <v>589</v>
      </c>
      <c r="AF5880" t="e">
        <f>----------------------------------------------------------------------------------------------MATETDPFLLRCLRQGAIIPGKTLAPELGLTAYTEPVGLPHPDNPTLPGHTPGGSSGGAAVMVARGLVRAAHASDGGGSIRIPAACTGIVGYKPPHDTGNANPVAQGFLAGTLTDSAYVNNVTVPARVPRLRVGVLIEPVHAE---VEVSEHMLSAVDRAASALSKAGHDVMMVRRPYGDAPFAAFHDILSLRSVKVTGEASPLVSWLRDRGSRIGEHRKEAVITEFMSVKSQVLRAWDVDVLLSPMLAFDPPPIGYFRAMSPESDFYAQTQWTPWATMFNMAGLGALVFPFENIRT------PIHVGALRVSPAQLFGVAATLYGDSDRRITL</f>
        <v>#NAME?</v>
      </c>
    </row>
    <row r="5881" spans="1:32" hidden="1" x14ac:dyDescent="0.35">
      <c r="A5881">
        <v>5880</v>
      </c>
      <c r="B5881" t="s">
        <v>12112</v>
      </c>
      <c r="C5881" t="s">
        <v>11488</v>
      </c>
      <c r="D5881" t="s">
        <v>34</v>
      </c>
      <c r="E5881">
        <v>1175</v>
      </c>
      <c r="F5881">
        <v>2</v>
      </c>
      <c r="G5881">
        <v>4</v>
      </c>
      <c r="H5881">
        <v>2</v>
      </c>
      <c r="I5881">
        <v>0</v>
      </c>
      <c r="J5881">
        <v>0.75996732026143798</v>
      </c>
      <c r="K5881">
        <v>0.91025795393376596</v>
      </c>
      <c r="L5881">
        <v>0.82835089216456803</v>
      </c>
      <c r="M5881">
        <v>0.506648936170213</v>
      </c>
      <c r="N5881">
        <v>0.95744680851063801</v>
      </c>
      <c r="O5881">
        <v>0.63940602836879401</v>
      </c>
      <c r="R5881" t="s">
        <v>1191</v>
      </c>
      <c r="S5881" t="s">
        <v>1192</v>
      </c>
      <c r="V5881" t="s">
        <v>6600</v>
      </c>
      <c r="W5881" t="s">
        <v>6601</v>
      </c>
      <c r="AF5881" t="s">
        <v>12113</v>
      </c>
    </row>
    <row r="5882" spans="1:32" hidden="1" x14ac:dyDescent="0.35">
      <c r="A5882">
        <v>5881</v>
      </c>
      <c r="B5882" t="s">
        <v>12112</v>
      </c>
      <c r="C5882" t="s">
        <v>11488</v>
      </c>
      <c r="D5882" t="s">
        <v>34</v>
      </c>
      <c r="E5882">
        <v>1177</v>
      </c>
      <c r="F5882">
        <v>2</v>
      </c>
      <c r="G5882">
        <v>4</v>
      </c>
      <c r="H5882">
        <v>2</v>
      </c>
      <c r="I5882">
        <v>0</v>
      </c>
      <c r="J5882">
        <v>0.75996732026143798</v>
      </c>
      <c r="K5882">
        <v>0.91025795393376596</v>
      </c>
      <c r="L5882">
        <v>0.82835089216456803</v>
      </c>
      <c r="M5882">
        <v>0.506648936170213</v>
      </c>
      <c r="N5882">
        <v>0.95744680851063801</v>
      </c>
      <c r="O5882">
        <v>0.63940602836879401</v>
      </c>
      <c r="R5882" t="s">
        <v>1191</v>
      </c>
      <c r="S5882" t="s">
        <v>1192</v>
      </c>
      <c r="V5882" t="s">
        <v>6600</v>
      </c>
      <c r="W5882" t="s">
        <v>6601</v>
      </c>
      <c r="AF5882" t="s">
        <v>12114</v>
      </c>
    </row>
    <row r="5883" spans="1:32" hidden="1" x14ac:dyDescent="0.35">
      <c r="A5883">
        <v>5882</v>
      </c>
      <c r="B5883" t="s">
        <v>12112</v>
      </c>
      <c r="C5883" t="s">
        <v>11488</v>
      </c>
      <c r="D5883" t="s">
        <v>45</v>
      </c>
      <c r="E5883">
        <v>2420</v>
      </c>
      <c r="F5883">
        <v>2</v>
      </c>
      <c r="G5883">
        <v>4</v>
      </c>
      <c r="H5883">
        <v>2</v>
      </c>
      <c r="I5883">
        <v>0</v>
      </c>
      <c r="J5883">
        <v>0.75996732026143798</v>
      </c>
      <c r="K5883">
        <v>0.91025795393376596</v>
      </c>
      <c r="L5883">
        <v>0.82835089216456803</v>
      </c>
      <c r="M5883">
        <v>0.506648936170213</v>
      </c>
      <c r="N5883">
        <v>0.95744680851063801</v>
      </c>
      <c r="O5883">
        <v>0.63940602836879401</v>
      </c>
      <c r="R5883" t="s">
        <v>1191</v>
      </c>
      <c r="S5883" t="s">
        <v>1192</v>
      </c>
      <c r="V5883" t="s">
        <v>6600</v>
      </c>
      <c r="W5883" t="s">
        <v>6601</v>
      </c>
      <c r="AF5883" t="s">
        <v>12115</v>
      </c>
    </row>
    <row r="5884" spans="1:32" hidden="1" x14ac:dyDescent="0.35">
      <c r="A5884">
        <v>5883</v>
      </c>
      <c r="B5884" t="s">
        <v>12112</v>
      </c>
      <c r="C5884" t="s">
        <v>11488</v>
      </c>
      <c r="D5884" t="s">
        <v>45</v>
      </c>
      <c r="E5884">
        <v>2422</v>
      </c>
      <c r="F5884">
        <v>2</v>
      </c>
      <c r="G5884">
        <v>4</v>
      </c>
      <c r="H5884">
        <v>2</v>
      </c>
      <c r="I5884">
        <v>0</v>
      </c>
      <c r="J5884">
        <v>0.75996732026143798</v>
      </c>
      <c r="K5884">
        <v>0.91025795393376596</v>
      </c>
      <c r="L5884">
        <v>0.82835089216456803</v>
      </c>
      <c r="M5884">
        <v>0.506648936170213</v>
      </c>
      <c r="N5884">
        <v>0.95744680851063801</v>
      </c>
      <c r="O5884">
        <v>0.63940602836879401</v>
      </c>
      <c r="R5884" t="s">
        <v>1191</v>
      </c>
      <c r="S5884" t="s">
        <v>1192</v>
      </c>
      <c r="V5884" t="s">
        <v>6600</v>
      </c>
      <c r="W5884" t="s">
        <v>6601</v>
      </c>
      <c r="AF5884" t="s">
        <v>12116</v>
      </c>
    </row>
    <row r="5885" spans="1:32" hidden="1" x14ac:dyDescent="0.35">
      <c r="A5885">
        <v>5884</v>
      </c>
      <c r="B5885" t="s">
        <v>12117</v>
      </c>
      <c r="C5885" t="s">
        <v>11488</v>
      </c>
      <c r="D5885" t="s">
        <v>60</v>
      </c>
      <c r="E5885">
        <v>2291</v>
      </c>
      <c r="F5885">
        <v>4</v>
      </c>
      <c r="G5885">
        <v>4</v>
      </c>
      <c r="H5885">
        <v>1</v>
      </c>
      <c r="I5885">
        <v>0</v>
      </c>
      <c r="J5885">
        <v>0.79450171821305804</v>
      </c>
      <c r="K5885">
        <v>0.95223343775379998</v>
      </c>
      <c r="L5885">
        <v>0.86624592154218505</v>
      </c>
      <c r="M5885">
        <v>0.57058823529411795</v>
      </c>
      <c r="N5885">
        <v>0.99411764705882399</v>
      </c>
      <c r="O5885">
        <v>0.71372549019607801</v>
      </c>
      <c r="P5885" t="s">
        <v>12118</v>
      </c>
      <c r="Q5885" t="s">
        <v>12119</v>
      </c>
      <c r="R5885" t="s">
        <v>869</v>
      </c>
      <c r="S5885" t="s">
        <v>870</v>
      </c>
      <c r="T5885" t="s">
        <v>12120</v>
      </c>
      <c r="U5885" t="s">
        <v>12121</v>
      </c>
      <c r="V5885" t="s">
        <v>12122</v>
      </c>
      <c r="W5885" t="s">
        <v>12123</v>
      </c>
      <c r="X5885" t="s">
        <v>12122</v>
      </c>
      <c r="Y5885" t="s">
        <v>6133</v>
      </c>
      <c r="Z5885" t="s">
        <v>10017</v>
      </c>
      <c r="AA5885" t="s">
        <v>10018</v>
      </c>
      <c r="AB5885" t="s">
        <v>10017</v>
      </c>
      <c r="AC5885" t="s">
        <v>1094</v>
      </c>
      <c r="AD5885" t="s">
        <v>219</v>
      </c>
      <c r="AE5885" t="s">
        <v>12124</v>
      </c>
      <c r="AF5885" t="e">
        <f>-MRAVLSIGSNMNDRRALLQGAYDHFRPELVAASHIYATPPWGVTDQEDFLNAILIVETSLSPMELLRAGQALERAAHRVHTRKWGARTLDVDLICCADGAGHSIESSDPTLTLPHPWAAERVFVLVPWLDADSQATLNGVHVTELLAALDPADVEAVRVVGSFAERGLE</f>
        <v>#NAME?</v>
      </c>
    </row>
    <row r="5886" spans="1:32" hidden="1" x14ac:dyDescent="0.35">
      <c r="A5886">
        <v>5885</v>
      </c>
      <c r="B5886" t="s">
        <v>12117</v>
      </c>
      <c r="C5886" t="s">
        <v>11488</v>
      </c>
      <c r="D5886" t="s">
        <v>62</v>
      </c>
      <c r="E5886">
        <v>2320</v>
      </c>
      <c r="F5886">
        <v>4</v>
      </c>
      <c r="G5886">
        <v>4</v>
      </c>
      <c r="H5886">
        <v>1</v>
      </c>
      <c r="I5886">
        <v>0</v>
      </c>
      <c r="J5886">
        <v>0.79450171821305804</v>
      </c>
      <c r="K5886">
        <v>0.95223343775379998</v>
      </c>
      <c r="L5886">
        <v>0.86624592154218505</v>
      </c>
      <c r="M5886">
        <v>0.57058823529411795</v>
      </c>
      <c r="N5886">
        <v>0.99411764705882399</v>
      </c>
      <c r="O5886">
        <v>0.71372549019607801</v>
      </c>
      <c r="P5886" t="s">
        <v>12118</v>
      </c>
      <c r="Q5886" t="s">
        <v>12119</v>
      </c>
      <c r="R5886" t="s">
        <v>869</v>
      </c>
      <c r="S5886" t="s">
        <v>870</v>
      </c>
      <c r="T5886" t="s">
        <v>12120</v>
      </c>
      <c r="U5886" t="s">
        <v>12121</v>
      </c>
      <c r="V5886" t="s">
        <v>12122</v>
      </c>
      <c r="W5886" t="s">
        <v>12123</v>
      </c>
      <c r="X5886" t="s">
        <v>12122</v>
      </c>
      <c r="Y5886" t="s">
        <v>6133</v>
      </c>
      <c r="Z5886" t="s">
        <v>10017</v>
      </c>
      <c r="AA5886" t="s">
        <v>10018</v>
      </c>
      <c r="AB5886" t="s">
        <v>10017</v>
      </c>
      <c r="AC5886" t="s">
        <v>1094</v>
      </c>
      <c r="AD5886" t="s">
        <v>219</v>
      </c>
      <c r="AE5886" t="s">
        <v>12124</v>
      </c>
      <c r="AF5886" t="e">
        <f>-MRAVLSIGSNMNDRRALLQGAYDHFRPELVAASHIYATPPWGVTDQEDFLNAILIVETSLSPMELLRAGQALERAAHRVHTRKWGARTLDVDLICCADGAGHSIKSSDPTLTLPHPWAAERVFVLVPWLDADSQATLNGVHVTELLAALDPADVEAVRVVGSFAERGLE</f>
        <v>#NAME?</v>
      </c>
    </row>
    <row r="5887" spans="1:32" hidden="1" x14ac:dyDescent="0.35">
      <c r="A5887">
        <v>5886</v>
      </c>
      <c r="B5887" t="s">
        <v>12117</v>
      </c>
      <c r="C5887" t="s">
        <v>11488</v>
      </c>
      <c r="D5887" t="s">
        <v>34</v>
      </c>
      <c r="E5887">
        <v>1502</v>
      </c>
      <c r="F5887">
        <v>4</v>
      </c>
      <c r="G5887">
        <v>4</v>
      </c>
      <c r="H5887">
        <v>1</v>
      </c>
      <c r="I5887">
        <v>0</v>
      </c>
      <c r="J5887">
        <v>0.79450171821305804</v>
      </c>
      <c r="K5887">
        <v>0.95223343775379998</v>
      </c>
      <c r="L5887">
        <v>0.86624592154218505</v>
      </c>
      <c r="M5887">
        <v>0.57058823529411795</v>
      </c>
      <c r="N5887">
        <v>0.99411764705882399</v>
      </c>
      <c r="O5887">
        <v>0.71372549019607801</v>
      </c>
      <c r="P5887" t="s">
        <v>12118</v>
      </c>
      <c r="Q5887" t="s">
        <v>12119</v>
      </c>
      <c r="R5887" t="s">
        <v>869</v>
      </c>
      <c r="S5887" t="s">
        <v>870</v>
      </c>
      <c r="T5887" t="s">
        <v>12120</v>
      </c>
      <c r="U5887" t="s">
        <v>12121</v>
      </c>
      <c r="V5887" t="s">
        <v>12122</v>
      </c>
      <c r="W5887" t="s">
        <v>12123</v>
      </c>
      <c r="X5887" t="s">
        <v>12122</v>
      </c>
      <c r="Y5887" t="s">
        <v>6133</v>
      </c>
      <c r="Z5887" t="s">
        <v>10017</v>
      </c>
      <c r="AA5887" t="s">
        <v>10018</v>
      </c>
      <c r="AB5887" t="s">
        <v>10017</v>
      </c>
      <c r="AC5887" t="s">
        <v>1094</v>
      </c>
      <c r="AD5887" t="s">
        <v>219</v>
      </c>
      <c r="AE5887" t="s">
        <v>12124</v>
      </c>
      <c r="AF5887" t="s">
        <v>12125</v>
      </c>
    </row>
    <row r="5888" spans="1:32" hidden="1" x14ac:dyDescent="0.35">
      <c r="A5888">
        <v>5887</v>
      </c>
      <c r="B5888" t="s">
        <v>12117</v>
      </c>
      <c r="C5888" t="s">
        <v>11488</v>
      </c>
      <c r="D5888" t="s">
        <v>45</v>
      </c>
      <c r="E5888">
        <v>252</v>
      </c>
      <c r="F5888">
        <v>4</v>
      </c>
      <c r="G5888">
        <v>4</v>
      </c>
      <c r="H5888">
        <v>1</v>
      </c>
      <c r="I5888">
        <v>0</v>
      </c>
      <c r="J5888">
        <v>0.79450171821305804</v>
      </c>
      <c r="K5888">
        <v>0.95223343775379998</v>
      </c>
      <c r="L5888">
        <v>0.86624592154218505</v>
      </c>
      <c r="M5888">
        <v>0.57058823529411795</v>
      </c>
      <c r="N5888">
        <v>0.99411764705882399</v>
      </c>
      <c r="O5888">
        <v>0.71372549019607801</v>
      </c>
      <c r="P5888" t="s">
        <v>12118</v>
      </c>
      <c r="Q5888" t="s">
        <v>12119</v>
      </c>
      <c r="R5888" t="s">
        <v>869</v>
      </c>
      <c r="S5888" t="s">
        <v>870</v>
      </c>
      <c r="T5888" t="s">
        <v>12120</v>
      </c>
      <c r="U5888" t="s">
        <v>12121</v>
      </c>
      <c r="V5888" t="s">
        <v>12122</v>
      </c>
      <c r="W5888" t="s">
        <v>12123</v>
      </c>
      <c r="X5888" t="s">
        <v>12122</v>
      </c>
      <c r="Y5888" t="s">
        <v>6133</v>
      </c>
      <c r="Z5888" t="s">
        <v>10017</v>
      </c>
      <c r="AA5888" t="s">
        <v>10018</v>
      </c>
      <c r="AB5888" t="s">
        <v>10017</v>
      </c>
      <c r="AC5888" t="s">
        <v>1094</v>
      </c>
      <c r="AD5888" t="s">
        <v>219</v>
      </c>
      <c r="AE5888" t="s">
        <v>12124</v>
      </c>
      <c r="AF5888" t="s">
        <v>12126</v>
      </c>
    </row>
    <row r="5889" spans="1:32" hidden="1" x14ac:dyDescent="0.35">
      <c r="A5889">
        <v>5888</v>
      </c>
      <c r="B5889" t="s">
        <v>12127</v>
      </c>
      <c r="C5889" t="s">
        <v>11488</v>
      </c>
      <c r="D5889" t="s">
        <v>60</v>
      </c>
      <c r="E5889">
        <v>2241</v>
      </c>
      <c r="F5889">
        <v>4</v>
      </c>
      <c r="G5889">
        <v>4</v>
      </c>
      <c r="H5889">
        <v>1</v>
      </c>
      <c r="I5889">
        <v>0</v>
      </c>
      <c r="J5889">
        <v>0.80430879712746906</v>
      </c>
      <c r="K5889">
        <v>0.95310241030035403</v>
      </c>
      <c r="L5889">
        <v>0.87240669676843696</v>
      </c>
      <c r="M5889">
        <v>0.60769230769230798</v>
      </c>
      <c r="N5889">
        <v>0.979487179487179</v>
      </c>
      <c r="O5889">
        <v>0.73333333333333295</v>
      </c>
      <c r="P5889" t="s">
        <v>3647</v>
      </c>
      <c r="Q5889" t="s">
        <v>3648</v>
      </c>
      <c r="R5889" t="s">
        <v>235</v>
      </c>
      <c r="S5889" t="s">
        <v>236</v>
      </c>
      <c r="V5889" t="s">
        <v>8462</v>
      </c>
      <c r="W5889" t="s">
        <v>8463</v>
      </c>
      <c r="X5889" t="s">
        <v>8462</v>
      </c>
      <c r="Y5889" t="s">
        <v>1108</v>
      </c>
      <c r="AF5889" t="s">
        <v>12128</v>
      </c>
    </row>
    <row r="5890" spans="1:32" hidden="1" x14ac:dyDescent="0.35">
      <c r="A5890">
        <v>5889</v>
      </c>
      <c r="B5890" t="s">
        <v>12127</v>
      </c>
      <c r="C5890" t="s">
        <v>11488</v>
      </c>
      <c r="D5890" t="s">
        <v>62</v>
      </c>
      <c r="E5890">
        <v>2271</v>
      </c>
      <c r="F5890">
        <v>4</v>
      </c>
      <c r="G5890">
        <v>4</v>
      </c>
      <c r="H5890">
        <v>1</v>
      </c>
      <c r="I5890">
        <v>0</v>
      </c>
      <c r="J5890">
        <v>0.80430879712746906</v>
      </c>
      <c r="K5890">
        <v>0.95310241030035403</v>
      </c>
      <c r="L5890">
        <v>0.87240669676843696</v>
      </c>
      <c r="M5890">
        <v>0.60769230769230798</v>
      </c>
      <c r="N5890">
        <v>0.979487179487179</v>
      </c>
      <c r="O5890">
        <v>0.73333333333333295</v>
      </c>
      <c r="P5890" t="s">
        <v>3647</v>
      </c>
      <c r="Q5890" t="s">
        <v>3648</v>
      </c>
      <c r="R5890" t="s">
        <v>235</v>
      </c>
      <c r="S5890" t="s">
        <v>236</v>
      </c>
      <c r="V5890" t="s">
        <v>8462</v>
      </c>
      <c r="W5890" t="s">
        <v>8463</v>
      </c>
      <c r="X5890" t="s">
        <v>8462</v>
      </c>
      <c r="Y5890" t="s">
        <v>1108</v>
      </c>
      <c r="AF5890" t="s">
        <v>12129</v>
      </c>
    </row>
    <row r="5891" spans="1:32" hidden="1" x14ac:dyDescent="0.35">
      <c r="A5891">
        <v>5890</v>
      </c>
      <c r="B5891" t="s">
        <v>12127</v>
      </c>
      <c r="C5891" t="s">
        <v>11488</v>
      </c>
      <c r="D5891" t="s">
        <v>34</v>
      </c>
      <c r="E5891">
        <v>1557</v>
      </c>
      <c r="F5891">
        <v>4</v>
      </c>
      <c r="G5891">
        <v>4</v>
      </c>
      <c r="H5891">
        <v>1</v>
      </c>
      <c r="I5891">
        <v>0</v>
      </c>
      <c r="J5891">
        <v>0.80430879712746906</v>
      </c>
      <c r="K5891">
        <v>0.95310241030035403</v>
      </c>
      <c r="L5891">
        <v>0.87240669676843696</v>
      </c>
      <c r="M5891">
        <v>0.60769230769230798</v>
      </c>
      <c r="N5891">
        <v>0.979487179487179</v>
      </c>
      <c r="O5891">
        <v>0.73333333333333295</v>
      </c>
      <c r="P5891" t="s">
        <v>3647</v>
      </c>
      <c r="Q5891" t="s">
        <v>3648</v>
      </c>
      <c r="R5891" t="s">
        <v>235</v>
      </c>
      <c r="S5891" t="s">
        <v>236</v>
      </c>
      <c r="V5891" t="s">
        <v>8462</v>
      </c>
      <c r="W5891" t="s">
        <v>8463</v>
      </c>
      <c r="X5891" t="s">
        <v>8462</v>
      </c>
      <c r="Y5891" t="s">
        <v>1108</v>
      </c>
      <c r="AF5891" t="s">
        <v>12130</v>
      </c>
    </row>
    <row r="5892" spans="1:32" hidden="1" x14ac:dyDescent="0.35">
      <c r="A5892">
        <v>5891</v>
      </c>
      <c r="B5892" t="s">
        <v>12127</v>
      </c>
      <c r="C5892" t="s">
        <v>11488</v>
      </c>
      <c r="D5892" t="s">
        <v>45</v>
      </c>
      <c r="E5892">
        <v>307</v>
      </c>
      <c r="F5892">
        <v>4</v>
      </c>
      <c r="G5892">
        <v>4</v>
      </c>
      <c r="H5892">
        <v>1</v>
      </c>
      <c r="I5892">
        <v>0</v>
      </c>
      <c r="J5892">
        <v>0.80430879712746906</v>
      </c>
      <c r="K5892">
        <v>0.95310241030035403</v>
      </c>
      <c r="L5892">
        <v>0.87240669676843696</v>
      </c>
      <c r="M5892">
        <v>0.60769230769230798</v>
      </c>
      <c r="N5892">
        <v>0.979487179487179</v>
      </c>
      <c r="O5892">
        <v>0.73333333333333295</v>
      </c>
      <c r="P5892" t="s">
        <v>3647</v>
      </c>
      <c r="Q5892" t="s">
        <v>3648</v>
      </c>
      <c r="R5892" t="s">
        <v>235</v>
      </c>
      <c r="S5892" t="s">
        <v>236</v>
      </c>
      <c r="V5892" t="s">
        <v>8462</v>
      </c>
      <c r="W5892" t="s">
        <v>8463</v>
      </c>
      <c r="X5892" t="s">
        <v>8462</v>
      </c>
      <c r="Y5892" t="s">
        <v>1108</v>
      </c>
      <c r="AF5892" t="s">
        <v>12131</v>
      </c>
    </row>
    <row r="5893" spans="1:32" hidden="1" x14ac:dyDescent="0.35">
      <c r="A5893">
        <v>5892</v>
      </c>
      <c r="B5893" t="s">
        <v>12132</v>
      </c>
      <c r="C5893" t="s">
        <v>11488</v>
      </c>
      <c r="D5893" t="s">
        <v>34</v>
      </c>
      <c r="E5893">
        <v>1070</v>
      </c>
      <c r="F5893">
        <v>2</v>
      </c>
      <c r="G5893">
        <v>4</v>
      </c>
      <c r="H5893">
        <v>2</v>
      </c>
      <c r="I5893">
        <v>0</v>
      </c>
      <c r="J5893">
        <v>0.96666666666666701</v>
      </c>
      <c r="K5893">
        <v>0.75874738374738504</v>
      </c>
      <c r="L5893">
        <v>0.85017947328425902</v>
      </c>
      <c r="M5893">
        <v>0.22558922558922601</v>
      </c>
      <c r="N5893">
        <v>0.97306397306397296</v>
      </c>
      <c r="O5893">
        <v>0.60044893378226705</v>
      </c>
      <c r="P5893" t="s">
        <v>169</v>
      </c>
      <c r="Q5893" t="s">
        <v>170</v>
      </c>
      <c r="R5893" t="s">
        <v>138</v>
      </c>
      <c r="S5893" t="s">
        <v>139</v>
      </c>
      <c r="T5893" t="s">
        <v>12133</v>
      </c>
      <c r="U5893" t="s">
        <v>12134</v>
      </c>
      <c r="V5893" t="s">
        <v>3693</v>
      </c>
      <c r="W5893" t="s">
        <v>3694</v>
      </c>
      <c r="AD5893" t="s">
        <v>166</v>
      </c>
      <c r="AE5893" t="s">
        <v>11435</v>
      </c>
      <c r="AF5893" t="s">
        <v>12135</v>
      </c>
    </row>
    <row r="5894" spans="1:32" hidden="1" x14ac:dyDescent="0.35">
      <c r="A5894">
        <v>5893</v>
      </c>
      <c r="B5894" t="s">
        <v>12132</v>
      </c>
      <c r="C5894" t="s">
        <v>11488</v>
      </c>
      <c r="D5894" t="s">
        <v>34</v>
      </c>
      <c r="E5894">
        <v>258</v>
      </c>
      <c r="F5894">
        <v>2</v>
      </c>
      <c r="G5894">
        <v>4</v>
      </c>
      <c r="H5894">
        <v>2</v>
      </c>
      <c r="I5894">
        <v>0</v>
      </c>
      <c r="J5894">
        <v>0.96666666666666701</v>
      </c>
      <c r="K5894">
        <v>0.75874738374738504</v>
      </c>
      <c r="L5894">
        <v>0.85017947328425902</v>
      </c>
      <c r="M5894">
        <v>0.22558922558922601</v>
      </c>
      <c r="N5894">
        <v>0.97306397306397296</v>
      </c>
      <c r="O5894">
        <v>0.60044893378226705</v>
      </c>
      <c r="AF5894" t="s">
        <v>12136</v>
      </c>
    </row>
    <row r="5895" spans="1:32" hidden="1" x14ac:dyDescent="0.35">
      <c r="A5895">
        <v>5894</v>
      </c>
      <c r="B5895" t="s">
        <v>12132</v>
      </c>
      <c r="C5895" t="s">
        <v>11488</v>
      </c>
      <c r="D5895" t="s">
        <v>45</v>
      </c>
      <c r="E5895">
        <v>2327</v>
      </c>
      <c r="F5895">
        <v>2</v>
      </c>
      <c r="G5895">
        <v>4</v>
      </c>
      <c r="H5895">
        <v>2</v>
      </c>
      <c r="I5895">
        <v>0</v>
      </c>
      <c r="J5895">
        <v>0.96666666666666701</v>
      </c>
      <c r="K5895">
        <v>0.75874738374738504</v>
      </c>
      <c r="L5895">
        <v>0.85017947328425902</v>
      </c>
      <c r="M5895">
        <v>0.22558922558922601</v>
      </c>
      <c r="N5895">
        <v>0.97306397306397296</v>
      </c>
      <c r="O5895">
        <v>0.60044893378226705</v>
      </c>
      <c r="P5895" t="s">
        <v>169</v>
      </c>
      <c r="Q5895" t="s">
        <v>170</v>
      </c>
      <c r="R5895" t="s">
        <v>138</v>
      </c>
      <c r="S5895" t="s">
        <v>139</v>
      </c>
      <c r="T5895" t="s">
        <v>12133</v>
      </c>
      <c r="U5895" t="s">
        <v>12134</v>
      </c>
      <c r="V5895" t="s">
        <v>3693</v>
      </c>
      <c r="W5895" t="s">
        <v>3694</v>
      </c>
      <c r="AD5895" t="s">
        <v>166</v>
      </c>
      <c r="AE5895" t="s">
        <v>11435</v>
      </c>
      <c r="AF5895" t="s">
        <v>12137</v>
      </c>
    </row>
    <row r="5896" spans="1:32" hidden="1" x14ac:dyDescent="0.35">
      <c r="A5896">
        <v>5895</v>
      </c>
      <c r="B5896" t="s">
        <v>12132</v>
      </c>
      <c r="C5896" t="s">
        <v>11488</v>
      </c>
      <c r="D5896" t="s">
        <v>45</v>
      </c>
      <c r="E5896">
        <v>1521</v>
      </c>
      <c r="F5896">
        <v>2</v>
      </c>
      <c r="G5896">
        <v>4</v>
      </c>
      <c r="H5896">
        <v>2</v>
      </c>
      <c r="I5896">
        <v>0</v>
      </c>
      <c r="J5896">
        <v>0.96666666666666701</v>
      </c>
      <c r="K5896">
        <v>0.75874738374738504</v>
      </c>
      <c r="L5896">
        <v>0.85017947328425902</v>
      </c>
      <c r="M5896">
        <v>0.22558922558922601</v>
      </c>
      <c r="N5896">
        <v>0.97306397306397296</v>
      </c>
      <c r="O5896">
        <v>0.60044893378226705</v>
      </c>
      <c r="P5896" t="s">
        <v>169</v>
      </c>
      <c r="Q5896" t="s">
        <v>170</v>
      </c>
      <c r="R5896" t="s">
        <v>138</v>
      </c>
      <c r="S5896" t="s">
        <v>139</v>
      </c>
      <c r="T5896" t="s">
        <v>12133</v>
      </c>
      <c r="U5896" t="s">
        <v>12134</v>
      </c>
      <c r="V5896" t="s">
        <v>3693</v>
      </c>
      <c r="W5896" t="s">
        <v>3694</v>
      </c>
      <c r="AD5896" t="s">
        <v>166</v>
      </c>
      <c r="AE5896" t="s">
        <v>11435</v>
      </c>
      <c r="AF5896" t="s">
        <v>12138</v>
      </c>
    </row>
    <row r="5897" spans="1:32" hidden="1" x14ac:dyDescent="0.35">
      <c r="A5897">
        <v>5896</v>
      </c>
      <c r="B5897" t="s">
        <v>12139</v>
      </c>
      <c r="C5897" t="s">
        <v>11488</v>
      </c>
      <c r="D5897" t="s">
        <v>60</v>
      </c>
      <c r="E5897">
        <v>137</v>
      </c>
      <c r="F5897">
        <v>2</v>
      </c>
      <c r="G5897">
        <v>4</v>
      </c>
      <c r="H5897">
        <v>2</v>
      </c>
      <c r="I5897">
        <v>0</v>
      </c>
      <c r="J5897">
        <v>0.82961053837342502</v>
      </c>
      <c r="K5897">
        <v>0.93174917188075201</v>
      </c>
      <c r="L5897">
        <v>0.877718421300139</v>
      </c>
      <c r="M5897">
        <v>0.62200956937799001</v>
      </c>
      <c r="N5897">
        <v>0.995215311004785</v>
      </c>
      <c r="O5897">
        <v>0.74561403508771895</v>
      </c>
      <c r="AF5897" t="s">
        <v>12140</v>
      </c>
    </row>
    <row r="5898" spans="1:32" hidden="1" x14ac:dyDescent="0.35">
      <c r="A5898">
        <v>5897</v>
      </c>
      <c r="B5898" t="s">
        <v>12139</v>
      </c>
      <c r="C5898" t="s">
        <v>11488</v>
      </c>
      <c r="D5898" t="s">
        <v>60</v>
      </c>
      <c r="E5898">
        <v>138</v>
      </c>
      <c r="F5898">
        <v>2</v>
      </c>
      <c r="G5898">
        <v>4</v>
      </c>
      <c r="H5898">
        <v>2</v>
      </c>
      <c r="I5898">
        <v>0</v>
      </c>
      <c r="J5898">
        <v>0.82961053837342502</v>
      </c>
      <c r="K5898">
        <v>0.93174917188075201</v>
      </c>
      <c r="L5898">
        <v>0.877718421300139</v>
      </c>
      <c r="M5898">
        <v>0.62200956937799001</v>
      </c>
      <c r="N5898">
        <v>0.995215311004785</v>
      </c>
      <c r="O5898">
        <v>0.74561403508771895</v>
      </c>
      <c r="AF5898" t="s">
        <v>12141</v>
      </c>
    </row>
    <row r="5899" spans="1:32" hidden="1" x14ac:dyDescent="0.35">
      <c r="A5899">
        <v>5898</v>
      </c>
      <c r="B5899" t="s">
        <v>12139</v>
      </c>
      <c r="C5899" t="s">
        <v>11488</v>
      </c>
      <c r="D5899" t="s">
        <v>62</v>
      </c>
      <c r="E5899">
        <v>209</v>
      </c>
      <c r="F5899">
        <v>2</v>
      </c>
      <c r="G5899">
        <v>4</v>
      </c>
      <c r="H5899">
        <v>2</v>
      </c>
      <c r="I5899">
        <v>0</v>
      </c>
      <c r="J5899">
        <v>0.82961053837342502</v>
      </c>
      <c r="K5899">
        <v>0.93174917188075201</v>
      </c>
      <c r="L5899">
        <v>0.877718421300139</v>
      </c>
      <c r="M5899">
        <v>0.62200956937799001</v>
      </c>
      <c r="N5899">
        <v>0.995215311004785</v>
      </c>
      <c r="O5899">
        <v>0.74561403508771895</v>
      </c>
      <c r="AF5899" t="s">
        <v>12142</v>
      </c>
    </row>
    <row r="5900" spans="1:32" hidden="1" x14ac:dyDescent="0.35">
      <c r="A5900">
        <v>5899</v>
      </c>
      <c r="B5900" t="s">
        <v>12139</v>
      </c>
      <c r="C5900" t="s">
        <v>11488</v>
      </c>
      <c r="D5900" t="s">
        <v>62</v>
      </c>
      <c r="E5900">
        <v>210</v>
      </c>
      <c r="F5900">
        <v>2</v>
      </c>
      <c r="G5900">
        <v>4</v>
      </c>
      <c r="H5900">
        <v>2</v>
      </c>
      <c r="I5900">
        <v>0</v>
      </c>
      <c r="J5900">
        <v>0.82961053837342502</v>
      </c>
      <c r="K5900">
        <v>0.93174917188075201</v>
      </c>
      <c r="L5900">
        <v>0.877718421300139</v>
      </c>
      <c r="M5900">
        <v>0.62200956937799001</v>
      </c>
      <c r="N5900">
        <v>0.995215311004785</v>
      </c>
      <c r="O5900">
        <v>0.74561403508771895</v>
      </c>
      <c r="AF5900" t="s">
        <v>12143</v>
      </c>
    </row>
    <row r="5901" spans="1:32" hidden="1" x14ac:dyDescent="0.35">
      <c r="A5901">
        <v>5900</v>
      </c>
      <c r="B5901" t="s">
        <v>12144</v>
      </c>
      <c r="C5901" t="s">
        <v>11488</v>
      </c>
      <c r="D5901" t="s">
        <v>60</v>
      </c>
      <c r="E5901">
        <v>111</v>
      </c>
      <c r="F5901">
        <v>4</v>
      </c>
      <c r="G5901">
        <v>4</v>
      </c>
      <c r="H5901">
        <v>1</v>
      </c>
      <c r="I5901">
        <v>0</v>
      </c>
      <c r="J5901">
        <v>0.87070592676481695</v>
      </c>
      <c r="K5901">
        <v>0.99438082149946805</v>
      </c>
      <c r="L5901">
        <v>0.92844290009203101</v>
      </c>
      <c r="M5901">
        <v>0.71959459459459496</v>
      </c>
      <c r="N5901">
        <v>0.99662162162162204</v>
      </c>
      <c r="O5901">
        <v>0.81024774774774799</v>
      </c>
      <c r="P5901" t="s">
        <v>11686</v>
      </c>
      <c r="Q5901" t="s">
        <v>11687</v>
      </c>
      <c r="R5901" t="s">
        <v>342</v>
      </c>
      <c r="S5901" t="s">
        <v>343</v>
      </c>
      <c r="T5901" t="s">
        <v>12145</v>
      </c>
      <c r="U5901" t="s">
        <v>11689</v>
      </c>
      <c r="V5901" t="s">
        <v>11690</v>
      </c>
      <c r="W5901" t="s">
        <v>11691</v>
      </c>
      <c r="AD5901" t="s">
        <v>439</v>
      </c>
      <c r="AE5901" t="s">
        <v>11692</v>
      </c>
      <c r="AF5901" t="s">
        <v>12146</v>
      </c>
    </row>
    <row r="5902" spans="1:32" hidden="1" x14ac:dyDescent="0.35">
      <c r="A5902">
        <v>5901</v>
      </c>
      <c r="B5902" t="s">
        <v>12144</v>
      </c>
      <c r="C5902" t="s">
        <v>11488</v>
      </c>
      <c r="D5902" t="s">
        <v>62</v>
      </c>
      <c r="E5902">
        <v>183</v>
      </c>
      <c r="F5902">
        <v>4</v>
      </c>
      <c r="G5902">
        <v>4</v>
      </c>
      <c r="H5902">
        <v>1</v>
      </c>
      <c r="I5902">
        <v>0</v>
      </c>
      <c r="J5902">
        <v>0.87070592676481695</v>
      </c>
      <c r="K5902">
        <v>0.99438082149946805</v>
      </c>
      <c r="L5902">
        <v>0.92844290009203101</v>
      </c>
      <c r="M5902">
        <v>0.71959459459459496</v>
      </c>
      <c r="N5902">
        <v>0.99662162162162204</v>
      </c>
      <c r="O5902">
        <v>0.81024774774774799</v>
      </c>
      <c r="P5902" t="s">
        <v>11686</v>
      </c>
      <c r="Q5902" t="s">
        <v>11687</v>
      </c>
      <c r="R5902" t="s">
        <v>342</v>
      </c>
      <c r="S5902" t="s">
        <v>343</v>
      </c>
      <c r="T5902" t="s">
        <v>12145</v>
      </c>
      <c r="U5902" t="s">
        <v>11689</v>
      </c>
      <c r="V5902" t="s">
        <v>11690</v>
      </c>
      <c r="W5902" t="s">
        <v>11691</v>
      </c>
      <c r="AD5902" t="s">
        <v>439</v>
      </c>
      <c r="AE5902" t="s">
        <v>11692</v>
      </c>
      <c r="AF5902" t="s">
        <v>12147</v>
      </c>
    </row>
    <row r="5903" spans="1:32" hidden="1" x14ac:dyDescent="0.35">
      <c r="A5903">
        <v>5908</v>
      </c>
      <c r="B5903" t="s">
        <v>12158</v>
      </c>
      <c r="C5903" t="s">
        <v>13295</v>
      </c>
      <c r="D5903" t="s">
        <v>34</v>
      </c>
      <c r="E5903">
        <v>1274</v>
      </c>
      <c r="F5903">
        <v>2</v>
      </c>
      <c r="G5903">
        <v>4</v>
      </c>
      <c r="H5903">
        <v>2</v>
      </c>
      <c r="I5903">
        <v>0</v>
      </c>
      <c r="J5903">
        <v>0.89530960931548598</v>
      </c>
      <c r="K5903">
        <v>0.97648403331794498</v>
      </c>
      <c r="L5903">
        <v>0.93413666812406404</v>
      </c>
      <c r="M5903">
        <v>0.75334608030592698</v>
      </c>
      <c r="N5903">
        <v>0.99617590822179702</v>
      </c>
      <c r="O5903">
        <v>0.83492670490758403</v>
      </c>
      <c r="P5903" t="s">
        <v>6938</v>
      </c>
      <c r="Q5903" t="s">
        <v>6939</v>
      </c>
      <c r="R5903" t="s">
        <v>235</v>
      </c>
      <c r="S5903" t="s">
        <v>236</v>
      </c>
      <c r="T5903" t="s">
        <v>6940</v>
      </c>
      <c r="U5903" t="s">
        <v>6941</v>
      </c>
      <c r="V5903" t="s">
        <v>6942</v>
      </c>
      <c r="W5903" t="s">
        <v>6943</v>
      </c>
      <c r="AD5903" t="s">
        <v>410</v>
      </c>
      <c r="AE5903" t="s">
        <v>532</v>
      </c>
      <c r="AF5903" t="s">
        <v>12159</v>
      </c>
    </row>
    <row r="5904" spans="1:32" hidden="1" x14ac:dyDescent="0.35">
      <c r="A5904">
        <v>5909</v>
      </c>
      <c r="B5904" t="s">
        <v>12158</v>
      </c>
      <c r="C5904" t="s">
        <v>13295</v>
      </c>
      <c r="D5904" t="s">
        <v>34</v>
      </c>
      <c r="E5904">
        <v>1273</v>
      </c>
      <c r="F5904">
        <v>2</v>
      </c>
      <c r="G5904">
        <v>4</v>
      </c>
      <c r="H5904">
        <v>2</v>
      </c>
      <c r="I5904">
        <v>0</v>
      </c>
      <c r="J5904">
        <v>0.89530960931548598</v>
      </c>
      <c r="K5904">
        <v>0.97648403331794498</v>
      </c>
      <c r="L5904">
        <v>0.93413666812406404</v>
      </c>
      <c r="M5904">
        <v>0.75334608030592698</v>
      </c>
      <c r="N5904">
        <v>0.99617590822179702</v>
      </c>
      <c r="O5904">
        <v>0.83492670490758403</v>
      </c>
      <c r="P5904" t="s">
        <v>6938</v>
      </c>
      <c r="Q5904" t="s">
        <v>6939</v>
      </c>
      <c r="R5904" t="s">
        <v>235</v>
      </c>
      <c r="S5904" t="s">
        <v>236</v>
      </c>
      <c r="T5904" t="s">
        <v>6940</v>
      </c>
      <c r="U5904" t="s">
        <v>6941</v>
      </c>
      <c r="V5904" t="s">
        <v>6942</v>
      </c>
      <c r="W5904" t="s">
        <v>6943</v>
      </c>
      <c r="AD5904" t="s">
        <v>410</v>
      </c>
      <c r="AE5904" t="s">
        <v>532</v>
      </c>
      <c r="AF5904" t="s">
        <v>12160</v>
      </c>
    </row>
    <row r="5905" spans="1:32" hidden="1" x14ac:dyDescent="0.35">
      <c r="A5905">
        <v>5910</v>
      </c>
      <c r="B5905" t="s">
        <v>12158</v>
      </c>
      <c r="C5905" t="s">
        <v>13295</v>
      </c>
      <c r="D5905" t="s">
        <v>45</v>
      </c>
      <c r="E5905">
        <v>25</v>
      </c>
      <c r="F5905">
        <v>2</v>
      </c>
      <c r="G5905">
        <v>4</v>
      </c>
      <c r="H5905">
        <v>2</v>
      </c>
      <c r="I5905">
        <v>0</v>
      </c>
      <c r="J5905">
        <v>0.89530960931548598</v>
      </c>
      <c r="K5905">
        <v>0.97648403331794498</v>
      </c>
      <c r="L5905">
        <v>0.93413666812406404</v>
      </c>
      <c r="M5905">
        <v>0.75334608030592698</v>
      </c>
      <c r="N5905">
        <v>0.99617590822179702</v>
      </c>
      <c r="O5905">
        <v>0.83492670490758403</v>
      </c>
      <c r="P5905" t="s">
        <v>6938</v>
      </c>
      <c r="Q5905" t="s">
        <v>6939</v>
      </c>
      <c r="R5905" t="s">
        <v>235</v>
      </c>
      <c r="S5905" t="s">
        <v>236</v>
      </c>
      <c r="T5905" t="s">
        <v>6940</v>
      </c>
      <c r="U5905" t="s">
        <v>6941</v>
      </c>
      <c r="V5905" t="s">
        <v>6942</v>
      </c>
      <c r="W5905" t="s">
        <v>6943</v>
      </c>
      <c r="AD5905" t="s">
        <v>410</v>
      </c>
      <c r="AE5905" t="s">
        <v>532</v>
      </c>
      <c r="AF5905" t="s">
        <v>12161</v>
      </c>
    </row>
    <row r="5906" spans="1:32" hidden="1" x14ac:dyDescent="0.35">
      <c r="A5906">
        <v>5911</v>
      </c>
      <c r="B5906" t="s">
        <v>12158</v>
      </c>
      <c r="C5906" t="s">
        <v>13295</v>
      </c>
      <c r="D5906" t="s">
        <v>45</v>
      </c>
      <c r="E5906">
        <v>24</v>
      </c>
      <c r="F5906">
        <v>2</v>
      </c>
      <c r="G5906">
        <v>4</v>
      </c>
      <c r="H5906">
        <v>2</v>
      </c>
      <c r="I5906">
        <v>0</v>
      </c>
      <c r="J5906">
        <v>0.89530960931548598</v>
      </c>
      <c r="K5906">
        <v>0.97648403331794498</v>
      </c>
      <c r="L5906">
        <v>0.93413666812406404</v>
      </c>
      <c r="M5906">
        <v>0.75334608030592698</v>
      </c>
      <c r="N5906">
        <v>0.99617590822179702</v>
      </c>
      <c r="O5906">
        <v>0.83492670490758403</v>
      </c>
      <c r="P5906" t="s">
        <v>6938</v>
      </c>
      <c r="Q5906" t="s">
        <v>6939</v>
      </c>
      <c r="R5906" t="s">
        <v>235</v>
      </c>
      <c r="S5906" t="s">
        <v>236</v>
      </c>
      <c r="T5906" t="s">
        <v>6940</v>
      </c>
      <c r="U5906" t="s">
        <v>6941</v>
      </c>
      <c r="V5906" t="s">
        <v>6942</v>
      </c>
      <c r="W5906" t="s">
        <v>6943</v>
      </c>
      <c r="AD5906" t="s">
        <v>410</v>
      </c>
      <c r="AE5906" t="s">
        <v>532</v>
      </c>
      <c r="AF5906" t="s">
        <v>12162</v>
      </c>
    </row>
    <row r="5907" spans="1:32" hidden="1" x14ac:dyDescent="0.35">
      <c r="A5907">
        <v>5978</v>
      </c>
      <c r="B5907" t="s">
        <v>12299</v>
      </c>
      <c r="C5907" t="s">
        <v>13295</v>
      </c>
      <c r="D5907" t="s">
        <v>58</v>
      </c>
      <c r="E5907">
        <v>1296</v>
      </c>
      <c r="F5907">
        <v>3</v>
      </c>
      <c r="G5907">
        <v>3</v>
      </c>
      <c r="H5907">
        <v>1</v>
      </c>
      <c r="I5907">
        <v>0</v>
      </c>
      <c r="J5907">
        <v>0.78508771929824595</v>
      </c>
      <c r="K5907">
        <v>0.94792718029232903</v>
      </c>
      <c r="L5907">
        <v>0.85885699910871005</v>
      </c>
      <c r="M5907">
        <v>0.55809128630705396</v>
      </c>
      <c r="N5907">
        <v>1</v>
      </c>
      <c r="O5907">
        <v>0.70539419087136901</v>
      </c>
      <c r="P5907" t="s">
        <v>1959</v>
      </c>
      <c r="Q5907" t="s">
        <v>1960</v>
      </c>
      <c r="R5907" t="s">
        <v>1474</v>
      </c>
      <c r="S5907" t="s">
        <v>1475</v>
      </c>
      <c r="T5907" t="s">
        <v>1964</v>
      </c>
      <c r="U5907" t="s">
        <v>1965</v>
      </c>
      <c r="V5907" t="s">
        <v>1961</v>
      </c>
      <c r="W5907" t="s">
        <v>1962</v>
      </c>
      <c r="AD5907" t="s">
        <v>1966</v>
      </c>
      <c r="AE5907" t="s">
        <v>1967</v>
      </c>
      <c r="AF5907" t="s">
        <v>12300</v>
      </c>
    </row>
    <row r="5908" spans="1:32" hidden="1" x14ac:dyDescent="0.35">
      <c r="A5908">
        <v>5979</v>
      </c>
      <c r="B5908" t="s">
        <v>12299</v>
      </c>
      <c r="C5908" t="s">
        <v>13295</v>
      </c>
      <c r="D5908" t="s">
        <v>60</v>
      </c>
      <c r="E5908">
        <v>1751</v>
      </c>
      <c r="F5908">
        <v>3</v>
      </c>
      <c r="G5908">
        <v>3</v>
      </c>
      <c r="H5908">
        <v>1</v>
      </c>
      <c r="I5908">
        <v>0</v>
      </c>
      <c r="J5908">
        <v>0.78508771929824595</v>
      </c>
      <c r="K5908">
        <v>0.94792718029232903</v>
      </c>
      <c r="L5908">
        <v>0.85885699910871005</v>
      </c>
      <c r="M5908">
        <v>0.55809128630705396</v>
      </c>
      <c r="N5908">
        <v>1</v>
      </c>
      <c r="O5908">
        <v>0.70539419087136901</v>
      </c>
      <c r="P5908" t="s">
        <v>1959</v>
      </c>
      <c r="Q5908" t="s">
        <v>1960</v>
      </c>
      <c r="R5908" t="s">
        <v>1474</v>
      </c>
      <c r="S5908" t="s">
        <v>1475</v>
      </c>
      <c r="T5908" t="s">
        <v>1964</v>
      </c>
      <c r="U5908" t="s">
        <v>1965</v>
      </c>
      <c r="V5908" t="s">
        <v>1961</v>
      </c>
      <c r="W5908" t="s">
        <v>1962</v>
      </c>
      <c r="AD5908" t="s">
        <v>1966</v>
      </c>
      <c r="AE5908" t="s">
        <v>1967</v>
      </c>
      <c r="AF5908" t="s">
        <v>12301</v>
      </c>
    </row>
    <row r="5909" spans="1:32" hidden="1" x14ac:dyDescent="0.35">
      <c r="A5909">
        <v>5980</v>
      </c>
      <c r="B5909" t="s">
        <v>12299</v>
      </c>
      <c r="C5909" t="s">
        <v>13295</v>
      </c>
      <c r="D5909" t="s">
        <v>62</v>
      </c>
      <c r="E5909">
        <v>1787</v>
      </c>
      <c r="F5909">
        <v>3</v>
      </c>
      <c r="G5909">
        <v>3</v>
      </c>
      <c r="H5909">
        <v>1</v>
      </c>
      <c r="I5909">
        <v>0</v>
      </c>
      <c r="J5909">
        <v>0.78508771929824595</v>
      </c>
      <c r="K5909">
        <v>0.94792718029232903</v>
      </c>
      <c r="L5909">
        <v>0.85885699910871005</v>
      </c>
      <c r="M5909">
        <v>0.55809128630705396</v>
      </c>
      <c r="N5909">
        <v>1</v>
      </c>
      <c r="O5909">
        <v>0.70539419087136901</v>
      </c>
      <c r="P5909" t="s">
        <v>1959</v>
      </c>
      <c r="Q5909" t="s">
        <v>1960</v>
      </c>
      <c r="R5909" t="s">
        <v>1474</v>
      </c>
      <c r="S5909" t="s">
        <v>1475</v>
      </c>
      <c r="T5909" t="s">
        <v>1964</v>
      </c>
      <c r="U5909" t="s">
        <v>1965</v>
      </c>
      <c r="V5909" t="s">
        <v>1961</v>
      </c>
      <c r="W5909" t="s">
        <v>1962</v>
      </c>
      <c r="AD5909" t="s">
        <v>1966</v>
      </c>
      <c r="AE5909" t="s">
        <v>1967</v>
      </c>
      <c r="AF5909" t="s">
        <v>12301</v>
      </c>
    </row>
    <row r="5910" spans="1:32" hidden="1" x14ac:dyDescent="0.35">
      <c r="A5910">
        <v>4239</v>
      </c>
      <c r="B5910" t="s">
        <v>8799</v>
      </c>
      <c r="C5910" t="s">
        <v>72</v>
      </c>
      <c r="D5910" t="s">
        <v>58</v>
      </c>
      <c r="E5910">
        <v>1061</v>
      </c>
      <c r="F5910">
        <v>5</v>
      </c>
      <c r="G5910">
        <v>5</v>
      </c>
      <c r="H5910">
        <v>1</v>
      </c>
      <c r="I5910">
        <v>1</v>
      </c>
      <c r="J5910">
        <v>0.73518880208333304</v>
      </c>
      <c r="K5910">
        <v>0.90571912668829202</v>
      </c>
      <c r="L5910">
        <v>0.81159283601292398</v>
      </c>
      <c r="M5910">
        <v>0.507692307692308</v>
      </c>
      <c r="N5910">
        <v>0.99780219780219803</v>
      </c>
      <c r="O5910">
        <v>0.63736263736263699</v>
      </c>
      <c r="P5910" t="s">
        <v>8800</v>
      </c>
      <c r="Q5910" t="s">
        <v>8801</v>
      </c>
      <c r="R5910" t="s">
        <v>342</v>
      </c>
      <c r="S5910" t="s">
        <v>343</v>
      </c>
      <c r="T5910" t="s">
        <v>8802</v>
      </c>
      <c r="U5910" t="s">
        <v>8803</v>
      </c>
      <c r="V5910" t="s">
        <v>8804</v>
      </c>
      <c r="W5910" t="s">
        <v>8805</v>
      </c>
      <c r="AD5910" t="s">
        <v>219</v>
      </c>
      <c r="AE5910" t="s">
        <v>8806</v>
      </c>
      <c r="AF5910" t="s">
        <v>8807</v>
      </c>
    </row>
    <row r="5911" spans="1:32" hidden="1" x14ac:dyDescent="0.35">
      <c r="A5911">
        <v>5952</v>
      </c>
      <c r="B5911" t="s">
        <v>12238</v>
      </c>
      <c r="C5911" t="s">
        <v>13295</v>
      </c>
      <c r="D5911" t="s">
        <v>60</v>
      </c>
      <c r="E5911">
        <v>1289</v>
      </c>
      <c r="F5911">
        <v>3</v>
      </c>
      <c r="G5911">
        <v>3</v>
      </c>
      <c r="H5911">
        <v>1</v>
      </c>
      <c r="I5911">
        <v>0</v>
      </c>
      <c r="J5911">
        <v>0.82296408700050605</v>
      </c>
      <c r="K5911">
        <v>0.96840928878665999</v>
      </c>
      <c r="L5911">
        <v>0.88978219388676505</v>
      </c>
      <c r="M5911">
        <v>0.59471365638766505</v>
      </c>
      <c r="N5911">
        <v>1</v>
      </c>
      <c r="O5911">
        <v>0.72980910425844303</v>
      </c>
      <c r="P5911" t="s">
        <v>10582</v>
      </c>
      <c r="Q5911" t="s">
        <v>10583</v>
      </c>
      <c r="R5911" t="s">
        <v>157</v>
      </c>
      <c r="S5911" t="s">
        <v>158</v>
      </c>
      <c r="T5911" t="s">
        <v>10584</v>
      </c>
      <c r="U5911" t="s">
        <v>10585</v>
      </c>
      <c r="V5911" t="s">
        <v>10586</v>
      </c>
      <c r="W5911" t="s">
        <v>10587</v>
      </c>
      <c r="AD5911" t="s">
        <v>410</v>
      </c>
      <c r="AE5911" t="s">
        <v>603</v>
      </c>
      <c r="AF5911" t="s">
        <v>12240</v>
      </c>
    </row>
    <row r="5912" spans="1:32" hidden="1" x14ac:dyDescent="0.35">
      <c r="A5912">
        <v>5953</v>
      </c>
      <c r="B5912" t="s">
        <v>12238</v>
      </c>
      <c r="C5912" t="s">
        <v>13295</v>
      </c>
      <c r="D5912" t="s">
        <v>62</v>
      </c>
      <c r="E5912">
        <v>1325</v>
      </c>
      <c r="F5912">
        <v>3</v>
      </c>
      <c r="G5912">
        <v>3</v>
      </c>
      <c r="H5912">
        <v>1</v>
      </c>
      <c r="I5912">
        <v>0</v>
      </c>
      <c r="J5912">
        <v>0.82296408700050605</v>
      </c>
      <c r="K5912">
        <v>0.96840928878665999</v>
      </c>
      <c r="L5912">
        <v>0.88978219388676505</v>
      </c>
      <c r="M5912">
        <v>0.59471365638766505</v>
      </c>
      <c r="N5912">
        <v>1</v>
      </c>
      <c r="O5912">
        <v>0.72980910425844303</v>
      </c>
      <c r="P5912" t="s">
        <v>10582</v>
      </c>
      <c r="Q5912" t="s">
        <v>10583</v>
      </c>
      <c r="R5912" t="s">
        <v>157</v>
      </c>
      <c r="S5912" t="s">
        <v>158</v>
      </c>
      <c r="T5912" t="s">
        <v>10584</v>
      </c>
      <c r="U5912" t="s">
        <v>10585</v>
      </c>
      <c r="V5912" t="s">
        <v>10586</v>
      </c>
      <c r="W5912" t="s">
        <v>10587</v>
      </c>
      <c r="AD5912" t="s">
        <v>410</v>
      </c>
      <c r="AE5912" t="s">
        <v>603</v>
      </c>
      <c r="AF5912" t="s">
        <v>12240</v>
      </c>
    </row>
    <row r="5913" spans="1:32" hidden="1" x14ac:dyDescent="0.35">
      <c r="A5913">
        <v>6338</v>
      </c>
      <c r="B5913" t="s">
        <v>13064</v>
      </c>
      <c r="C5913" t="s">
        <v>68</v>
      </c>
      <c r="D5913" t="s">
        <v>58</v>
      </c>
      <c r="E5913">
        <v>429</v>
      </c>
      <c r="F5913">
        <v>3</v>
      </c>
      <c r="G5913">
        <v>3</v>
      </c>
      <c r="H5913">
        <v>1</v>
      </c>
      <c r="I5913">
        <v>0</v>
      </c>
      <c r="J5913">
        <v>0.81594202898550705</v>
      </c>
      <c r="K5913">
        <v>0.92416512898440595</v>
      </c>
      <c r="L5913">
        <v>0.86668820021511295</v>
      </c>
      <c r="M5913">
        <v>0.59759759759759801</v>
      </c>
      <c r="N5913">
        <v>0.95495495495495497</v>
      </c>
      <c r="O5913">
        <v>0.71971971971972004</v>
      </c>
      <c r="P5913" t="s">
        <v>8800</v>
      </c>
      <c r="Q5913" t="s">
        <v>8801</v>
      </c>
      <c r="R5913" t="s">
        <v>342</v>
      </c>
      <c r="S5913" t="s">
        <v>343</v>
      </c>
      <c r="T5913" t="s">
        <v>13065</v>
      </c>
      <c r="U5913" t="s">
        <v>13066</v>
      </c>
      <c r="V5913" t="s">
        <v>8804</v>
      </c>
      <c r="W5913" t="s">
        <v>8805</v>
      </c>
      <c r="AD5913" t="s">
        <v>410</v>
      </c>
      <c r="AE5913" t="s">
        <v>563</v>
      </c>
      <c r="AF5913" t="s">
        <v>13067</v>
      </c>
    </row>
    <row r="5914" spans="1:32" hidden="1" x14ac:dyDescent="0.35">
      <c r="A5914">
        <v>5961</v>
      </c>
      <c r="B5914" t="s">
        <v>12259</v>
      </c>
      <c r="C5914" t="s">
        <v>13295</v>
      </c>
      <c r="D5914" t="s">
        <v>60</v>
      </c>
      <c r="E5914">
        <v>1423</v>
      </c>
      <c r="F5914">
        <v>3</v>
      </c>
      <c r="G5914">
        <v>3</v>
      </c>
      <c r="H5914">
        <v>1</v>
      </c>
      <c r="I5914">
        <v>0</v>
      </c>
      <c r="J5914">
        <v>0.85912368275097095</v>
      </c>
      <c r="K5914">
        <v>0.99174917491749104</v>
      </c>
      <c r="L5914">
        <v>0.92068474610801398</v>
      </c>
      <c r="M5914">
        <v>0.72772277227722804</v>
      </c>
      <c r="N5914">
        <v>1</v>
      </c>
      <c r="O5914">
        <v>0.81848184818481895</v>
      </c>
      <c r="P5914" t="s">
        <v>12260</v>
      </c>
      <c r="Q5914" t="s">
        <v>12261</v>
      </c>
      <c r="R5914" t="s">
        <v>869</v>
      </c>
      <c r="S5914" t="s">
        <v>870</v>
      </c>
      <c r="T5914" t="s">
        <v>12262</v>
      </c>
      <c r="U5914" t="s">
        <v>12263</v>
      </c>
      <c r="V5914" t="s">
        <v>12264</v>
      </c>
      <c r="W5914" t="s">
        <v>12265</v>
      </c>
      <c r="X5914" t="s">
        <v>12264</v>
      </c>
      <c r="Y5914" t="s">
        <v>2060</v>
      </c>
      <c r="Z5914" t="s">
        <v>2061</v>
      </c>
      <c r="AA5914" t="s">
        <v>2062</v>
      </c>
      <c r="AB5914" t="s">
        <v>2061</v>
      </c>
      <c r="AC5914" t="s">
        <v>1094</v>
      </c>
      <c r="AD5914" t="s">
        <v>219</v>
      </c>
      <c r="AE5914" t="s">
        <v>2063</v>
      </c>
      <c r="AF5914" t="e">
        <f>-MIGILAVQGGVREHELVLDELGVQHRQVRRVEHLNGLSGIILPGGESTTMSKLLELGGLLRPLIDALTSGLPAYGTCAGMILLASEVLDTRPDARCLGALDITVRRNAFGRQVDSFEADLDFHGIDSPVPAVFIRAPWVERVGDGVEVLATVPSGPASGAVVAVRSGRVLATSFHPECTGDARVHEMFLAMVSEAGYVHEV</f>
        <v>#NAME?</v>
      </c>
    </row>
    <row r="5915" spans="1:32" hidden="1" x14ac:dyDescent="0.35">
      <c r="A5915">
        <v>5962</v>
      </c>
      <c r="B5915" t="s">
        <v>12259</v>
      </c>
      <c r="C5915" t="s">
        <v>13295</v>
      </c>
      <c r="D5915" t="s">
        <v>62</v>
      </c>
      <c r="E5915">
        <v>1458</v>
      </c>
      <c r="F5915">
        <v>3</v>
      </c>
      <c r="G5915">
        <v>3</v>
      </c>
      <c r="H5915">
        <v>1</v>
      </c>
      <c r="I5915">
        <v>0</v>
      </c>
      <c r="J5915">
        <v>0.85912368275097095</v>
      </c>
      <c r="K5915">
        <v>0.99174917491749104</v>
      </c>
      <c r="L5915">
        <v>0.92068474610801398</v>
      </c>
      <c r="M5915">
        <v>0.72772277227722804</v>
      </c>
      <c r="N5915">
        <v>1</v>
      </c>
      <c r="O5915">
        <v>0.81848184818481895</v>
      </c>
      <c r="P5915" t="s">
        <v>12260</v>
      </c>
      <c r="Q5915" t="s">
        <v>12261</v>
      </c>
      <c r="R5915" t="s">
        <v>869</v>
      </c>
      <c r="S5915" t="s">
        <v>870</v>
      </c>
      <c r="T5915" t="s">
        <v>12262</v>
      </c>
      <c r="U5915" t="s">
        <v>12263</v>
      </c>
      <c r="V5915" t="s">
        <v>12264</v>
      </c>
      <c r="W5915" t="s">
        <v>12265</v>
      </c>
      <c r="X5915" t="s">
        <v>12264</v>
      </c>
      <c r="Y5915" t="s">
        <v>2060</v>
      </c>
      <c r="Z5915" t="s">
        <v>2061</v>
      </c>
      <c r="AA5915" t="s">
        <v>2062</v>
      </c>
      <c r="AB5915" t="s">
        <v>2061</v>
      </c>
      <c r="AC5915" t="s">
        <v>1094</v>
      </c>
      <c r="AD5915" t="s">
        <v>219</v>
      </c>
      <c r="AE5915" t="s">
        <v>2063</v>
      </c>
      <c r="AF5915" t="e">
        <f>-MIGILAVQGGVREHELVLDELGVQHRQVRRVEHLNGLSGIILPGGESTTMSKLLELGGLLRPLIDALTSGLPAYGTCAGMILLASEVLDTRPDARCLGALDITVRRNAFGRQVDSFEADLDFHGIDSPVPAVFIRAPWVERVGDGVEVLATVPSGPASGAVVAVRSGRVLATSFHPECTGDARVHEMFLAMVSEAGYVHEV</f>
        <v>#NAME?</v>
      </c>
    </row>
    <row r="5916" spans="1:32" hidden="1" x14ac:dyDescent="0.35">
      <c r="A5916">
        <v>5936</v>
      </c>
      <c r="B5916" t="s">
        <v>12201</v>
      </c>
      <c r="C5916" t="s">
        <v>13295</v>
      </c>
      <c r="D5916" t="s">
        <v>60</v>
      </c>
      <c r="E5916">
        <v>1008</v>
      </c>
      <c r="F5916">
        <v>4</v>
      </c>
      <c r="G5916">
        <v>4</v>
      </c>
      <c r="H5916">
        <v>1</v>
      </c>
      <c r="I5916">
        <v>0</v>
      </c>
      <c r="J5916">
        <v>0.76112994350282503</v>
      </c>
      <c r="K5916">
        <v>0.98339759036144403</v>
      </c>
      <c r="L5916">
        <v>0.858104372517007</v>
      </c>
      <c r="M5916">
        <v>0.48399999999999999</v>
      </c>
      <c r="N5916">
        <v>0.98799999999999999</v>
      </c>
      <c r="O5916">
        <v>0.65266666666666695</v>
      </c>
      <c r="P5916" t="s">
        <v>1041</v>
      </c>
      <c r="Q5916" t="s">
        <v>1042</v>
      </c>
      <c r="R5916" t="s">
        <v>138</v>
      </c>
      <c r="S5916" t="s">
        <v>139</v>
      </c>
      <c r="V5916" t="s">
        <v>1038</v>
      </c>
      <c r="W5916" t="s">
        <v>1039</v>
      </c>
      <c r="AF5916" t="s">
        <v>12202</v>
      </c>
    </row>
    <row r="5917" spans="1:32" hidden="1" x14ac:dyDescent="0.35">
      <c r="A5917">
        <v>5937</v>
      </c>
      <c r="B5917" t="s">
        <v>12201</v>
      </c>
      <c r="C5917" t="s">
        <v>13295</v>
      </c>
      <c r="D5917" t="s">
        <v>62</v>
      </c>
      <c r="E5917">
        <v>1044</v>
      </c>
      <c r="F5917">
        <v>4</v>
      </c>
      <c r="G5917">
        <v>4</v>
      </c>
      <c r="H5917">
        <v>1</v>
      </c>
      <c r="I5917">
        <v>0</v>
      </c>
      <c r="J5917">
        <v>0.76112994350282503</v>
      </c>
      <c r="K5917">
        <v>0.98339759036144403</v>
      </c>
      <c r="L5917">
        <v>0.858104372517007</v>
      </c>
      <c r="M5917">
        <v>0.48399999999999999</v>
      </c>
      <c r="N5917">
        <v>0.98799999999999999</v>
      </c>
      <c r="O5917">
        <v>0.65266666666666695</v>
      </c>
      <c r="P5917" t="s">
        <v>1041</v>
      </c>
      <c r="Q5917" t="s">
        <v>1042</v>
      </c>
      <c r="R5917" t="s">
        <v>138</v>
      </c>
      <c r="S5917" t="s">
        <v>139</v>
      </c>
      <c r="V5917" t="s">
        <v>1038</v>
      </c>
      <c r="W5917" t="s">
        <v>1039</v>
      </c>
      <c r="AF5917" t="s">
        <v>12203</v>
      </c>
    </row>
    <row r="5918" spans="1:32" hidden="1" x14ac:dyDescent="0.35">
      <c r="A5918">
        <v>5938</v>
      </c>
      <c r="B5918" t="s">
        <v>12201</v>
      </c>
      <c r="C5918" t="s">
        <v>13295</v>
      </c>
      <c r="D5918" t="s">
        <v>34</v>
      </c>
      <c r="E5918">
        <v>376</v>
      </c>
      <c r="F5918">
        <v>4</v>
      </c>
      <c r="G5918">
        <v>4</v>
      </c>
      <c r="H5918">
        <v>1</v>
      </c>
      <c r="I5918">
        <v>0</v>
      </c>
      <c r="J5918">
        <v>0.76112994350282503</v>
      </c>
      <c r="K5918">
        <v>0.98339759036144403</v>
      </c>
      <c r="L5918">
        <v>0.858104372517007</v>
      </c>
      <c r="M5918">
        <v>0.48399999999999999</v>
      </c>
      <c r="N5918">
        <v>0.98799999999999999</v>
      </c>
      <c r="O5918">
        <v>0.65266666666666695</v>
      </c>
      <c r="P5918" t="s">
        <v>1041</v>
      </c>
      <c r="Q5918" t="s">
        <v>1042</v>
      </c>
      <c r="R5918" t="s">
        <v>138</v>
      </c>
      <c r="S5918" t="s">
        <v>139</v>
      </c>
      <c r="V5918" t="s">
        <v>1038</v>
      </c>
      <c r="W5918" t="s">
        <v>1039</v>
      </c>
      <c r="AF5918" t="s">
        <v>12204</v>
      </c>
    </row>
    <row r="5919" spans="1:32" hidden="1" x14ac:dyDescent="0.35">
      <c r="A5919">
        <v>5939</v>
      </c>
      <c r="B5919" t="s">
        <v>12201</v>
      </c>
      <c r="C5919" t="s">
        <v>13295</v>
      </c>
      <c r="D5919" t="s">
        <v>45</v>
      </c>
      <c r="E5919">
        <v>1638</v>
      </c>
      <c r="F5919">
        <v>4</v>
      </c>
      <c r="G5919">
        <v>4</v>
      </c>
      <c r="H5919">
        <v>1</v>
      </c>
      <c r="I5919">
        <v>0</v>
      </c>
      <c r="J5919">
        <v>0.76112994350282503</v>
      </c>
      <c r="K5919">
        <v>0.98339759036144403</v>
      </c>
      <c r="L5919">
        <v>0.858104372517007</v>
      </c>
      <c r="M5919">
        <v>0.48399999999999999</v>
      </c>
      <c r="N5919">
        <v>0.98799999999999999</v>
      </c>
      <c r="O5919">
        <v>0.65266666666666695</v>
      </c>
      <c r="P5919" t="s">
        <v>1041</v>
      </c>
      <c r="Q5919" t="s">
        <v>1042</v>
      </c>
      <c r="R5919" t="s">
        <v>138</v>
      </c>
      <c r="S5919" t="s">
        <v>139</v>
      </c>
      <c r="V5919" t="s">
        <v>1038</v>
      </c>
      <c r="W5919" t="s">
        <v>1039</v>
      </c>
      <c r="AF5919" t="s">
        <v>12205</v>
      </c>
    </row>
    <row r="5920" spans="1:32" hidden="1" x14ac:dyDescent="0.35">
      <c r="A5920">
        <v>11091</v>
      </c>
      <c r="B5920" t="s">
        <v>22455</v>
      </c>
      <c r="C5920" t="s">
        <v>33</v>
      </c>
      <c r="D5920" t="s">
        <v>58</v>
      </c>
      <c r="E5920">
        <v>648</v>
      </c>
      <c r="F5920">
        <v>1</v>
      </c>
      <c r="G5920">
        <v>1</v>
      </c>
      <c r="H5920">
        <v>1</v>
      </c>
      <c r="I5920">
        <v>0</v>
      </c>
      <c r="J5920">
        <v>1</v>
      </c>
      <c r="K5920">
        <v>1</v>
      </c>
      <c r="L5920">
        <v>1</v>
      </c>
      <c r="M5920">
        <v>0</v>
      </c>
      <c r="N5920">
        <v>0</v>
      </c>
      <c r="O5920">
        <v>0</v>
      </c>
      <c r="P5920" t="s">
        <v>8800</v>
      </c>
      <c r="Q5920" t="s">
        <v>8801</v>
      </c>
      <c r="R5920" t="s">
        <v>342</v>
      </c>
      <c r="S5920" t="s">
        <v>343</v>
      </c>
      <c r="T5920" t="s">
        <v>22456</v>
      </c>
      <c r="U5920" t="s">
        <v>22457</v>
      </c>
      <c r="V5920" t="s">
        <v>8804</v>
      </c>
      <c r="W5920" t="s">
        <v>8805</v>
      </c>
      <c r="AD5920" t="s">
        <v>166</v>
      </c>
      <c r="AE5920" t="s">
        <v>818</v>
      </c>
      <c r="AF5920" t="s">
        <v>22458</v>
      </c>
    </row>
    <row r="5921" spans="1:32" hidden="1" x14ac:dyDescent="0.35">
      <c r="A5921">
        <v>5964</v>
      </c>
      <c r="B5921" t="s">
        <v>12267</v>
      </c>
      <c r="C5921" t="s">
        <v>13295</v>
      </c>
      <c r="D5921" t="s">
        <v>60</v>
      </c>
      <c r="E5921">
        <v>706</v>
      </c>
      <c r="F5921">
        <v>3</v>
      </c>
      <c r="G5921">
        <v>3</v>
      </c>
      <c r="H5921">
        <v>1</v>
      </c>
      <c r="I5921">
        <v>0</v>
      </c>
      <c r="J5921">
        <v>0.85455294602389797</v>
      </c>
      <c r="K5921">
        <v>0.95404901133034703</v>
      </c>
      <c r="L5921">
        <v>0.90156420540005899</v>
      </c>
      <c r="M5921">
        <v>0.66961130742049502</v>
      </c>
      <c r="N5921">
        <v>1</v>
      </c>
      <c r="O5921">
        <v>0.77974087161366301</v>
      </c>
      <c r="P5921" t="s">
        <v>5779</v>
      </c>
      <c r="Q5921" t="s">
        <v>5780</v>
      </c>
      <c r="R5921" t="s">
        <v>652</v>
      </c>
      <c r="S5921" t="s">
        <v>653</v>
      </c>
      <c r="T5921" t="s">
        <v>12268</v>
      </c>
      <c r="U5921" t="s">
        <v>12269</v>
      </c>
      <c r="V5921" t="s">
        <v>12270</v>
      </c>
      <c r="W5921" t="s">
        <v>12271</v>
      </c>
      <c r="AD5921" t="s">
        <v>166</v>
      </c>
      <c r="AE5921" t="s">
        <v>818</v>
      </c>
      <c r="AF5921" t="s">
        <v>12273</v>
      </c>
    </row>
    <row r="5922" spans="1:32" hidden="1" x14ac:dyDescent="0.35">
      <c r="A5922">
        <v>5965</v>
      </c>
      <c r="B5922" t="s">
        <v>12267</v>
      </c>
      <c r="C5922" t="s">
        <v>13295</v>
      </c>
      <c r="D5922" t="s">
        <v>62</v>
      </c>
      <c r="E5922">
        <v>737</v>
      </c>
      <c r="F5922">
        <v>3</v>
      </c>
      <c r="G5922">
        <v>3</v>
      </c>
      <c r="H5922">
        <v>1</v>
      </c>
      <c r="I5922">
        <v>0</v>
      </c>
      <c r="J5922">
        <v>0.85455294602389797</v>
      </c>
      <c r="K5922">
        <v>0.95404901133034703</v>
      </c>
      <c r="L5922">
        <v>0.90156420540005899</v>
      </c>
      <c r="M5922">
        <v>0.66961130742049502</v>
      </c>
      <c r="N5922">
        <v>1</v>
      </c>
      <c r="O5922">
        <v>0.77974087161366301</v>
      </c>
      <c r="P5922" t="s">
        <v>5779</v>
      </c>
      <c r="Q5922" t="s">
        <v>5780</v>
      </c>
      <c r="R5922" t="s">
        <v>652</v>
      </c>
      <c r="S5922" t="s">
        <v>653</v>
      </c>
      <c r="T5922" t="s">
        <v>12268</v>
      </c>
      <c r="U5922" t="s">
        <v>12269</v>
      </c>
      <c r="V5922" t="s">
        <v>12270</v>
      </c>
      <c r="W5922" t="s">
        <v>12271</v>
      </c>
      <c r="AD5922" t="s">
        <v>166</v>
      </c>
      <c r="AE5922" t="s">
        <v>818</v>
      </c>
      <c r="AF5922" t="s">
        <v>12273</v>
      </c>
    </row>
    <row r="5923" spans="1:32" hidden="1" x14ac:dyDescent="0.35">
      <c r="A5923">
        <v>5902</v>
      </c>
      <c r="B5923" t="s">
        <v>12144</v>
      </c>
      <c r="C5923" t="s">
        <v>13295</v>
      </c>
      <c r="D5923" t="s">
        <v>34</v>
      </c>
      <c r="E5923">
        <v>957</v>
      </c>
      <c r="F5923">
        <v>4</v>
      </c>
      <c r="G5923">
        <v>4</v>
      </c>
      <c r="H5923">
        <v>1</v>
      </c>
      <c r="I5923">
        <v>0</v>
      </c>
      <c r="J5923">
        <v>0.87070592676481695</v>
      </c>
      <c r="K5923">
        <v>0.99438082149946805</v>
      </c>
      <c r="L5923">
        <v>0.92844290009203101</v>
      </c>
      <c r="M5923">
        <v>0.71959459459459496</v>
      </c>
      <c r="N5923">
        <v>0.99662162162162204</v>
      </c>
      <c r="O5923">
        <v>0.81024774774774799</v>
      </c>
      <c r="P5923" t="s">
        <v>11686</v>
      </c>
      <c r="Q5923" t="s">
        <v>11687</v>
      </c>
      <c r="R5923" t="s">
        <v>342</v>
      </c>
      <c r="S5923" t="s">
        <v>343</v>
      </c>
      <c r="T5923" t="s">
        <v>12145</v>
      </c>
      <c r="U5923" t="s">
        <v>11689</v>
      </c>
      <c r="V5923" t="s">
        <v>11690</v>
      </c>
      <c r="W5923" t="s">
        <v>11691</v>
      </c>
      <c r="AD5923" t="s">
        <v>439</v>
      </c>
      <c r="AE5923" t="s">
        <v>11692</v>
      </c>
      <c r="AF5923" t="s">
        <v>12148</v>
      </c>
    </row>
    <row r="5924" spans="1:32" hidden="1" x14ac:dyDescent="0.35">
      <c r="A5924">
        <v>5903</v>
      </c>
      <c r="B5924" t="s">
        <v>12144</v>
      </c>
      <c r="C5924" t="s">
        <v>13295</v>
      </c>
      <c r="D5924" t="s">
        <v>45</v>
      </c>
      <c r="E5924">
        <v>2214</v>
      </c>
      <c r="F5924">
        <v>4</v>
      </c>
      <c r="G5924">
        <v>4</v>
      </c>
      <c r="H5924">
        <v>1</v>
      </c>
      <c r="I5924">
        <v>0</v>
      </c>
      <c r="J5924">
        <v>0.87070592676481695</v>
      </c>
      <c r="K5924">
        <v>0.99438082149946805</v>
      </c>
      <c r="L5924">
        <v>0.92844290009203101</v>
      </c>
      <c r="M5924">
        <v>0.71959459459459496</v>
      </c>
      <c r="N5924">
        <v>0.99662162162162204</v>
      </c>
      <c r="O5924">
        <v>0.81024774774774799</v>
      </c>
      <c r="P5924" t="s">
        <v>11686</v>
      </c>
      <c r="Q5924" t="s">
        <v>11687</v>
      </c>
      <c r="R5924" t="s">
        <v>342</v>
      </c>
      <c r="S5924" t="s">
        <v>343</v>
      </c>
      <c r="T5924" t="s">
        <v>12145</v>
      </c>
      <c r="U5924" t="s">
        <v>11689</v>
      </c>
      <c r="V5924" t="s">
        <v>11690</v>
      </c>
      <c r="W5924" t="s">
        <v>11691</v>
      </c>
      <c r="AD5924" t="s">
        <v>439</v>
      </c>
      <c r="AE5924" t="s">
        <v>11692</v>
      </c>
      <c r="AF5924" t="s">
        <v>12149</v>
      </c>
    </row>
    <row r="5925" spans="1:32" hidden="1" x14ac:dyDescent="0.35">
      <c r="A5925">
        <v>5924</v>
      </c>
      <c r="B5925" t="s">
        <v>12184</v>
      </c>
      <c r="C5925" t="s">
        <v>13295</v>
      </c>
      <c r="D5925" t="s">
        <v>60</v>
      </c>
      <c r="E5925">
        <v>2353</v>
      </c>
      <c r="F5925">
        <v>4</v>
      </c>
      <c r="G5925">
        <v>4</v>
      </c>
      <c r="H5925">
        <v>1</v>
      </c>
      <c r="I5925">
        <v>0</v>
      </c>
      <c r="J5925">
        <v>0.89966923925027598</v>
      </c>
      <c r="K5925">
        <v>0.97864568010198805</v>
      </c>
      <c r="L5925">
        <v>0.93749712089445503</v>
      </c>
      <c r="M5925">
        <v>0.78964401294498399</v>
      </c>
      <c r="N5925">
        <v>0.99676375404530704</v>
      </c>
      <c r="O5925">
        <v>0.85868392664509197</v>
      </c>
      <c r="P5925" t="s">
        <v>11461</v>
      </c>
      <c r="Q5925" t="s">
        <v>11462</v>
      </c>
      <c r="R5925" t="s">
        <v>1102</v>
      </c>
      <c r="S5925" t="s">
        <v>1103</v>
      </c>
      <c r="T5925" t="s">
        <v>12185</v>
      </c>
      <c r="U5925" t="s">
        <v>12186</v>
      </c>
      <c r="V5925" t="s">
        <v>11465</v>
      </c>
      <c r="W5925" t="s">
        <v>11466</v>
      </c>
      <c r="X5925" t="s">
        <v>11465</v>
      </c>
      <c r="Y5925" t="s">
        <v>4418</v>
      </c>
      <c r="Z5925" t="s">
        <v>11467</v>
      </c>
      <c r="AA5925" t="s">
        <v>11468</v>
      </c>
      <c r="AB5925" t="s">
        <v>11467</v>
      </c>
      <c r="AC5925" t="s">
        <v>11469</v>
      </c>
      <c r="AD5925" t="s">
        <v>1140</v>
      </c>
      <c r="AE5925" t="s">
        <v>12025</v>
      </c>
      <c r="AF5925" t="s">
        <v>12187</v>
      </c>
    </row>
    <row r="5926" spans="1:32" hidden="1" x14ac:dyDescent="0.35">
      <c r="A5926">
        <v>5925</v>
      </c>
      <c r="B5926" t="s">
        <v>12184</v>
      </c>
      <c r="C5926" t="s">
        <v>13295</v>
      </c>
      <c r="D5926" t="s">
        <v>62</v>
      </c>
      <c r="E5926">
        <v>2381</v>
      </c>
      <c r="F5926">
        <v>4</v>
      </c>
      <c r="G5926">
        <v>4</v>
      </c>
      <c r="H5926">
        <v>1</v>
      </c>
      <c r="I5926">
        <v>0</v>
      </c>
      <c r="J5926">
        <v>0.89966923925027598</v>
      </c>
      <c r="K5926">
        <v>0.97864568010198805</v>
      </c>
      <c r="L5926">
        <v>0.93749712089445503</v>
      </c>
      <c r="M5926">
        <v>0.78964401294498399</v>
      </c>
      <c r="N5926">
        <v>0.99676375404530704</v>
      </c>
      <c r="O5926">
        <v>0.85868392664509197</v>
      </c>
      <c r="P5926" t="s">
        <v>11461</v>
      </c>
      <c r="Q5926" t="s">
        <v>11462</v>
      </c>
      <c r="R5926" t="s">
        <v>1102</v>
      </c>
      <c r="S5926" t="s">
        <v>1103</v>
      </c>
      <c r="T5926" t="s">
        <v>12185</v>
      </c>
      <c r="U5926" t="s">
        <v>12186</v>
      </c>
      <c r="V5926" t="s">
        <v>11465</v>
      </c>
      <c r="W5926" t="s">
        <v>11466</v>
      </c>
      <c r="X5926" t="s">
        <v>11465</v>
      </c>
      <c r="Y5926" t="s">
        <v>4418</v>
      </c>
      <c r="Z5926" t="s">
        <v>11467</v>
      </c>
      <c r="AA5926" t="s">
        <v>11468</v>
      </c>
      <c r="AB5926" t="s">
        <v>11467</v>
      </c>
      <c r="AC5926" t="s">
        <v>11469</v>
      </c>
      <c r="AD5926" t="s">
        <v>1140</v>
      </c>
      <c r="AE5926" t="s">
        <v>12025</v>
      </c>
      <c r="AF5926" t="s">
        <v>12188</v>
      </c>
    </row>
    <row r="5927" spans="1:32" hidden="1" x14ac:dyDescent="0.35">
      <c r="A5927">
        <v>5926</v>
      </c>
      <c r="B5927" t="s">
        <v>12184</v>
      </c>
      <c r="C5927" t="s">
        <v>13295</v>
      </c>
      <c r="D5927" t="s">
        <v>34</v>
      </c>
      <c r="E5927">
        <v>1374</v>
      </c>
      <c r="F5927">
        <v>4</v>
      </c>
      <c r="G5927">
        <v>4</v>
      </c>
      <c r="H5927">
        <v>1</v>
      </c>
      <c r="I5927">
        <v>0</v>
      </c>
      <c r="J5927">
        <v>0.89966923925027598</v>
      </c>
      <c r="K5927">
        <v>0.97864568010198805</v>
      </c>
      <c r="L5927">
        <v>0.93749712089445503</v>
      </c>
      <c r="M5927">
        <v>0.78964401294498399</v>
      </c>
      <c r="N5927">
        <v>0.99676375404530704</v>
      </c>
      <c r="O5927">
        <v>0.85868392664509197</v>
      </c>
      <c r="P5927" t="s">
        <v>11461</v>
      </c>
      <c r="Q5927" t="s">
        <v>11462</v>
      </c>
      <c r="R5927" t="s">
        <v>1102</v>
      </c>
      <c r="S5927" t="s">
        <v>1103</v>
      </c>
      <c r="T5927" t="s">
        <v>12185</v>
      </c>
      <c r="U5927" t="s">
        <v>12186</v>
      </c>
      <c r="V5927" t="s">
        <v>11465</v>
      </c>
      <c r="W5927" t="s">
        <v>11466</v>
      </c>
      <c r="X5927" t="s">
        <v>11465</v>
      </c>
      <c r="Y5927" t="s">
        <v>4418</v>
      </c>
      <c r="Z5927" t="s">
        <v>11467</v>
      </c>
      <c r="AA5927" t="s">
        <v>11468</v>
      </c>
      <c r="AB5927" t="s">
        <v>11467</v>
      </c>
      <c r="AC5927" t="s">
        <v>11469</v>
      </c>
      <c r="AD5927" t="s">
        <v>1140</v>
      </c>
      <c r="AE5927" t="s">
        <v>12025</v>
      </c>
      <c r="AF5927" t="s">
        <v>12189</v>
      </c>
    </row>
    <row r="5928" spans="1:32" hidden="1" x14ac:dyDescent="0.35">
      <c r="A5928">
        <v>5927</v>
      </c>
      <c r="B5928" t="s">
        <v>12184</v>
      </c>
      <c r="C5928" t="s">
        <v>13295</v>
      </c>
      <c r="D5928" t="s">
        <v>45</v>
      </c>
      <c r="E5928">
        <v>123</v>
      </c>
      <c r="F5928">
        <v>4</v>
      </c>
      <c r="G5928">
        <v>4</v>
      </c>
      <c r="H5928">
        <v>1</v>
      </c>
      <c r="I5928">
        <v>0</v>
      </c>
      <c r="J5928">
        <v>0.89966923925027598</v>
      </c>
      <c r="K5928">
        <v>0.97864568010198805</v>
      </c>
      <c r="L5928">
        <v>0.93749712089445503</v>
      </c>
      <c r="M5928">
        <v>0.78964401294498399</v>
      </c>
      <c r="N5928">
        <v>0.99676375404530704</v>
      </c>
      <c r="O5928">
        <v>0.85868392664509197</v>
      </c>
      <c r="P5928" t="s">
        <v>11461</v>
      </c>
      <c r="Q5928" t="s">
        <v>11462</v>
      </c>
      <c r="R5928" t="s">
        <v>1102</v>
      </c>
      <c r="S5928" t="s">
        <v>1103</v>
      </c>
      <c r="T5928" t="s">
        <v>12185</v>
      </c>
      <c r="U5928" t="s">
        <v>12186</v>
      </c>
      <c r="V5928" t="s">
        <v>11465</v>
      </c>
      <c r="W5928" t="s">
        <v>11466</v>
      </c>
      <c r="X5928" t="s">
        <v>11465</v>
      </c>
      <c r="Y5928" t="s">
        <v>4418</v>
      </c>
      <c r="Z5928" t="s">
        <v>11467</v>
      </c>
      <c r="AA5928" t="s">
        <v>11468</v>
      </c>
      <c r="AB5928" t="s">
        <v>11467</v>
      </c>
      <c r="AC5928" t="s">
        <v>11469</v>
      </c>
      <c r="AD5928" t="s">
        <v>1140</v>
      </c>
      <c r="AE5928" t="s">
        <v>12025</v>
      </c>
      <c r="AF5928" t="s">
        <v>12190</v>
      </c>
    </row>
    <row r="5929" spans="1:32" hidden="1" x14ac:dyDescent="0.35">
      <c r="A5929">
        <v>5928</v>
      </c>
      <c r="B5929" t="s">
        <v>12191</v>
      </c>
      <c r="C5929" t="s">
        <v>13295</v>
      </c>
      <c r="D5929" t="s">
        <v>34</v>
      </c>
      <c r="E5929">
        <v>92</v>
      </c>
      <c r="F5929">
        <v>2</v>
      </c>
      <c r="G5929">
        <v>4</v>
      </c>
      <c r="H5929">
        <v>2</v>
      </c>
      <c r="I5929">
        <v>0</v>
      </c>
      <c r="J5929">
        <v>0.75230898404701896</v>
      </c>
      <c r="K5929">
        <v>0.96572699051933497</v>
      </c>
      <c r="L5929">
        <v>0.84576237268578403</v>
      </c>
      <c r="M5929">
        <v>0.57625994694960203</v>
      </c>
      <c r="N5929">
        <v>0.92572944297082205</v>
      </c>
      <c r="O5929">
        <v>0.67849248452696698</v>
      </c>
      <c r="AF5929" t="s">
        <v>12192</v>
      </c>
    </row>
    <row r="5930" spans="1:32" hidden="1" x14ac:dyDescent="0.35">
      <c r="A5930">
        <v>5929</v>
      </c>
      <c r="B5930" t="s">
        <v>12191</v>
      </c>
      <c r="C5930" t="s">
        <v>13295</v>
      </c>
      <c r="D5930" t="s">
        <v>34</v>
      </c>
      <c r="E5930">
        <v>93</v>
      </c>
      <c r="F5930">
        <v>2</v>
      </c>
      <c r="G5930">
        <v>4</v>
      </c>
      <c r="H5930">
        <v>2</v>
      </c>
      <c r="I5930">
        <v>0</v>
      </c>
      <c r="J5930">
        <v>0.75230898404701896</v>
      </c>
      <c r="K5930">
        <v>0.96572699051933497</v>
      </c>
      <c r="L5930">
        <v>0.84576237268578403</v>
      </c>
      <c r="M5930">
        <v>0.57625994694960203</v>
      </c>
      <c r="N5930">
        <v>0.92572944297082205</v>
      </c>
      <c r="O5930">
        <v>0.67849248452696698</v>
      </c>
      <c r="AF5930" t="s">
        <v>12193</v>
      </c>
    </row>
    <row r="5931" spans="1:32" hidden="1" x14ac:dyDescent="0.35">
      <c r="A5931">
        <v>5930</v>
      </c>
      <c r="B5931" t="s">
        <v>12191</v>
      </c>
      <c r="C5931" t="s">
        <v>13295</v>
      </c>
      <c r="D5931" t="s">
        <v>45</v>
      </c>
      <c r="E5931">
        <v>1352</v>
      </c>
      <c r="F5931">
        <v>2</v>
      </c>
      <c r="G5931">
        <v>4</v>
      </c>
      <c r="H5931">
        <v>2</v>
      </c>
      <c r="I5931">
        <v>0</v>
      </c>
      <c r="J5931">
        <v>0.75230898404701896</v>
      </c>
      <c r="K5931">
        <v>0.96572699051933497</v>
      </c>
      <c r="L5931">
        <v>0.84576237268578403</v>
      </c>
      <c r="M5931">
        <v>0.57625994694960203</v>
      </c>
      <c r="N5931">
        <v>0.92572944297082205</v>
      </c>
      <c r="O5931">
        <v>0.67849248452696698</v>
      </c>
      <c r="AF5931" t="s">
        <v>12194</v>
      </c>
    </row>
    <row r="5932" spans="1:32" hidden="1" x14ac:dyDescent="0.35">
      <c r="A5932">
        <v>5931</v>
      </c>
      <c r="B5932" t="s">
        <v>12191</v>
      </c>
      <c r="C5932" t="s">
        <v>13295</v>
      </c>
      <c r="D5932" t="s">
        <v>45</v>
      </c>
      <c r="E5932">
        <v>1353</v>
      </c>
      <c r="F5932">
        <v>2</v>
      </c>
      <c r="G5932">
        <v>4</v>
      </c>
      <c r="H5932">
        <v>2</v>
      </c>
      <c r="I5932">
        <v>0</v>
      </c>
      <c r="J5932">
        <v>0.75230898404701896</v>
      </c>
      <c r="K5932">
        <v>0.96572699051933497</v>
      </c>
      <c r="L5932">
        <v>0.84576237268578403</v>
      </c>
      <c r="M5932">
        <v>0.57625994694960203</v>
      </c>
      <c r="N5932">
        <v>0.92572944297082205</v>
      </c>
      <c r="O5932">
        <v>0.67849248452696698</v>
      </c>
      <c r="AF5932" t="s">
        <v>12195</v>
      </c>
    </row>
    <row r="5933" spans="1:32" hidden="1" x14ac:dyDescent="0.35">
      <c r="A5933">
        <v>11327</v>
      </c>
      <c r="B5933" t="s">
        <v>23067</v>
      </c>
      <c r="C5933" t="s">
        <v>33</v>
      </c>
      <c r="D5933" t="s">
        <v>58</v>
      </c>
      <c r="E5933">
        <v>1760</v>
      </c>
      <c r="F5933">
        <v>1</v>
      </c>
      <c r="G5933">
        <v>1</v>
      </c>
      <c r="H5933">
        <v>1</v>
      </c>
      <c r="I5933">
        <v>0</v>
      </c>
      <c r="J5933">
        <v>1</v>
      </c>
      <c r="K5933">
        <v>1</v>
      </c>
      <c r="L5933">
        <v>1</v>
      </c>
      <c r="M5933">
        <v>0</v>
      </c>
      <c r="N5933">
        <v>0</v>
      </c>
      <c r="O5933">
        <v>0</v>
      </c>
      <c r="P5933" t="s">
        <v>10485</v>
      </c>
      <c r="Q5933" t="s">
        <v>10486</v>
      </c>
      <c r="R5933" t="s">
        <v>157</v>
      </c>
      <c r="S5933" t="s">
        <v>158</v>
      </c>
      <c r="T5933" t="s">
        <v>10487</v>
      </c>
      <c r="U5933" t="s">
        <v>10488</v>
      </c>
      <c r="V5933" t="s">
        <v>10489</v>
      </c>
      <c r="W5933" t="s">
        <v>10490</v>
      </c>
      <c r="AD5933" t="s">
        <v>439</v>
      </c>
      <c r="AE5933" t="s">
        <v>10192</v>
      </c>
      <c r="AF5933" t="s">
        <v>23068</v>
      </c>
    </row>
    <row r="5934" spans="1:32" hidden="1" x14ac:dyDescent="0.35">
      <c r="A5934">
        <v>5976</v>
      </c>
      <c r="B5934" t="s">
        <v>12288</v>
      </c>
      <c r="C5934" t="s">
        <v>13295</v>
      </c>
      <c r="D5934" t="s">
        <v>60</v>
      </c>
      <c r="E5934">
        <v>2146</v>
      </c>
      <c r="F5934">
        <v>3</v>
      </c>
      <c r="G5934">
        <v>3</v>
      </c>
      <c r="H5934">
        <v>1</v>
      </c>
      <c r="I5934">
        <v>0</v>
      </c>
      <c r="J5934">
        <v>0.84961685823754796</v>
      </c>
      <c r="K5934">
        <v>1</v>
      </c>
      <c r="L5934">
        <v>0.91869497669601197</v>
      </c>
      <c r="M5934">
        <v>0.693965517241379</v>
      </c>
      <c r="N5934">
        <v>1</v>
      </c>
      <c r="O5934">
        <v>0.79597701149425304</v>
      </c>
      <c r="P5934" t="s">
        <v>12289</v>
      </c>
      <c r="Q5934" t="s">
        <v>12290</v>
      </c>
      <c r="R5934" t="s">
        <v>342</v>
      </c>
      <c r="S5934" t="s">
        <v>343</v>
      </c>
      <c r="T5934" t="s">
        <v>12291</v>
      </c>
      <c r="U5934" t="s">
        <v>12292</v>
      </c>
      <c r="V5934" t="s">
        <v>12293</v>
      </c>
      <c r="W5934" t="s">
        <v>12294</v>
      </c>
      <c r="AD5934" t="s">
        <v>12295</v>
      </c>
      <c r="AE5934" t="s">
        <v>12296</v>
      </c>
      <c r="AF5934" t="s">
        <v>12298</v>
      </c>
    </row>
    <row r="5935" spans="1:32" hidden="1" x14ac:dyDescent="0.35">
      <c r="A5935">
        <v>5977</v>
      </c>
      <c r="B5935" t="s">
        <v>12288</v>
      </c>
      <c r="C5935" t="s">
        <v>13295</v>
      </c>
      <c r="D5935" t="s">
        <v>62</v>
      </c>
      <c r="E5935">
        <v>2180</v>
      </c>
      <c r="F5935">
        <v>3</v>
      </c>
      <c r="G5935">
        <v>3</v>
      </c>
      <c r="H5935">
        <v>1</v>
      </c>
      <c r="I5935">
        <v>0</v>
      </c>
      <c r="J5935">
        <v>0.84961685823754796</v>
      </c>
      <c r="K5935">
        <v>1</v>
      </c>
      <c r="L5935">
        <v>0.91869497669601197</v>
      </c>
      <c r="M5935">
        <v>0.693965517241379</v>
      </c>
      <c r="N5935">
        <v>1</v>
      </c>
      <c r="O5935">
        <v>0.79597701149425304</v>
      </c>
      <c r="P5935" t="s">
        <v>12289</v>
      </c>
      <c r="Q5935" t="s">
        <v>12290</v>
      </c>
      <c r="R5935" t="s">
        <v>342</v>
      </c>
      <c r="S5935" t="s">
        <v>343</v>
      </c>
      <c r="T5935" t="s">
        <v>12291</v>
      </c>
      <c r="U5935" t="s">
        <v>12292</v>
      </c>
      <c r="V5935" t="s">
        <v>12293</v>
      </c>
      <c r="W5935" t="s">
        <v>12294</v>
      </c>
      <c r="AD5935" t="s">
        <v>12295</v>
      </c>
      <c r="AE5935" t="s">
        <v>12296</v>
      </c>
      <c r="AF5935" t="s">
        <v>12298</v>
      </c>
    </row>
    <row r="5936" spans="1:32" hidden="1" x14ac:dyDescent="0.35">
      <c r="A5936">
        <v>629</v>
      </c>
      <c r="B5936" t="s">
        <v>1280</v>
      </c>
      <c r="C5936" t="s">
        <v>72</v>
      </c>
      <c r="D5936" t="s">
        <v>58</v>
      </c>
      <c r="E5936">
        <v>839</v>
      </c>
      <c r="F5936">
        <v>5</v>
      </c>
      <c r="G5936">
        <v>5</v>
      </c>
      <c r="H5936">
        <v>1</v>
      </c>
      <c r="I5936">
        <v>1</v>
      </c>
      <c r="J5936">
        <v>0.88826705940107997</v>
      </c>
      <c r="K5936">
        <v>0.97593908377223404</v>
      </c>
      <c r="L5936">
        <v>0.93004150133449304</v>
      </c>
      <c r="M5936">
        <v>0.78160919540229901</v>
      </c>
      <c r="N5936">
        <v>1</v>
      </c>
      <c r="O5936">
        <v>0.83908045977011503</v>
      </c>
      <c r="P5936" t="s">
        <v>1281</v>
      </c>
      <c r="Q5936" t="s">
        <v>1282</v>
      </c>
      <c r="R5936" t="s">
        <v>224</v>
      </c>
      <c r="S5936" t="s">
        <v>225</v>
      </c>
      <c r="T5936" t="s">
        <v>1283</v>
      </c>
      <c r="U5936" t="s">
        <v>1284</v>
      </c>
      <c r="V5936" t="s">
        <v>1285</v>
      </c>
      <c r="W5936" t="s">
        <v>1286</v>
      </c>
      <c r="X5936" t="s">
        <v>1285</v>
      </c>
      <c r="Y5936" t="s">
        <v>589</v>
      </c>
      <c r="AD5936" t="s">
        <v>997</v>
      </c>
      <c r="AE5936" t="s">
        <v>1287</v>
      </c>
      <c r="AF5936" t="s">
        <v>1288</v>
      </c>
    </row>
    <row r="5937" spans="1:32" hidden="1" x14ac:dyDescent="0.35">
      <c r="A5937">
        <v>5991</v>
      </c>
      <c r="B5937" t="s">
        <v>12313</v>
      </c>
      <c r="C5937" t="s">
        <v>13295</v>
      </c>
      <c r="D5937" t="s">
        <v>60</v>
      </c>
      <c r="E5937">
        <v>339</v>
      </c>
      <c r="F5937">
        <v>3</v>
      </c>
      <c r="G5937">
        <v>3</v>
      </c>
      <c r="H5937">
        <v>1</v>
      </c>
      <c r="I5937">
        <v>0</v>
      </c>
      <c r="J5937">
        <v>0.90649064906490695</v>
      </c>
      <c r="K5937">
        <v>0.86381247235736103</v>
      </c>
      <c r="L5937">
        <v>0.88463712147611295</v>
      </c>
      <c r="M5937">
        <v>0.69327731092436995</v>
      </c>
      <c r="N5937">
        <v>1</v>
      </c>
      <c r="O5937">
        <v>0.795518207282913</v>
      </c>
      <c r="P5937" t="s">
        <v>12314</v>
      </c>
      <c r="Q5937" t="s">
        <v>12315</v>
      </c>
      <c r="R5937" t="s">
        <v>342</v>
      </c>
      <c r="S5937" t="s">
        <v>343</v>
      </c>
      <c r="T5937" t="s">
        <v>12316</v>
      </c>
      <c r="U5937" t="s">
        <v>12317</v>
      </c>
      <c r="V5937" t="s">
        <v>12318</v>
      </c>
      <c r="W5937" t="s">
        <v>12319</v>
      </c>
      <c r="AD5937" t="s">
        <v>410</v>
      </c>
      <c r="AE5937" t="s">
        <v>532</v>
      </c>
      <c r="AF5937" t="s">
        <v>12321</v>
      </c>
    </row>
    <row r="5938" spans="1:32" hidden="1" x14ac:dyDescent="0.35">
      <c r="A5938">
        <v>5992</v>
      </c>
      <c r="B5938" t="s">
        <v>12313</v>
      </c>
      <c r="C5938" t="s">
        <v>13295</v>
      </c>
      <c r="D5938" t="s">
        <v>62</v>
      </c>
      <c r="E5938">
        <v>419</v>
      </c>
      <c r="F5938">
        <v>3</v>
      </c>
      <c r="G5938">
        <v>3</v>
      </c>
      <c r="H5938">
        <v>1</v>
      </c>
      <c r="I5938">
        <v>0</v>
      </c>
      <c r="J5938">
        <v>0.90649064906490695</v>
      </c>
      <c r="K5938">
        <v>0.86381247235736103</v>
      </c>
      <c r="L5938">
        <v>0.88463712147611295</v>
      </c>
      <c r="M5938">
        <v>0.69327731092436995</v>
      </c>
      <c r="N5938">
        <v>1</v>
      </c>
      <c r="O5938">
        <v>0.795518207282913</v>
      </c>
      <c r="P5938" t="s">
        <v>12314</v>
      </c>
      <c r="Q5938" t="s">
        <v>12315</v>
      </c>
      <c r="R5938" t="s">
        <v>342</v>
      </c>
      <c r="S5938" t="s">
        <v>343</v>
      </c>
      <c r="T5938" t="s">
        <v>12316</v>
      </c>
      <c r="U5938" t="s">
        <v>12317</v>
      </c>
      <c r="V5938" t="s">
        <v>12318</v>
      </c>
      <c r="W5938" t="s">
        <v>12319</v>
      </c>
      <c r="AD5938" t="s">
        <v>410</v>
      </c>
      <c r="AE5938" t="s">
        <v>532</v>
      </c>
      <c r="AF5938" t="s">
        <v>12321</v>
      </c>
    </row>
    <row r="5939" spans="1:32" hidden="1" x14ac:dyDescent="0.35">
      <c r="A5939">
        <v>11928</v>
      </c>
      <c r="B5939" t="s">
        <v>24608</v>
      </c>
      <c r="C5939" t="s">
        <v>10130</v>
      </c>
      <c r="D5939" t="s">
        <v>58</v>
      </c>
      <c r="E5939">
        <v>638</v>
      </c>
      <c r="F5939">
        <v>1</v>
      </c>
      <c r="G5939">
        <v>1</v>
      </c>
      <c r="H5939">
        <v>1</v>
      </c>
      <c r="I5939">
        <v>0</v>
      </c>
      <c r="J5939">
        <v>1</v>
      </c>
      <c r="K5939">
        <v>1</v>
      </c>
      <c r="L5939">
        <v>1</v>
      </c>
      <c r="M5939">
        <v>0</v>
      </c>
      <c r="N5939">
        <v>0</v>
      </c>
      <c r="O5939">
        <v>0</v>
      </c>
      <c r="P5939" t="s">
        <v>23876</v>
      </c>
      <c r="Q5939" t="s">
        <v>23877</v>
      </c>
      <c r="R5939" t="s">
        <v>4521</v>
      </c>
      <c r="S5939" t="s">
        <v>4522</v>
      </c>
      <c r="T5939" t="s">
        <v>23878</v>
      </c>
      <c r="U5939" t="s">
        <v>23879</v>
      </c>
      <c r="V5939" t="s">
        <v>23880</v>
      </c>
      <c r="W5939" t="s">
        <v>23881</v>
      </c>
      <c r="Z5939" t="s">
        <v>22138</v>
      </c>
      <c r="AA5939" t="s">
        <v>22139</v>
      </c>
      <c r="AB5939" t="s">
        <v>22138</v>
      </c>
      <c r="AC5939" t="s">
        <v>21973</v>
      </c>
      <c r="AD5939" t="s">
        <v>219</v>
      </c>
      <c r="AE5939" t="s">
        <v>23882</v>
      </c>
      <c r="AF5939" t="s">
        <v>24609</v>
      </c>
    </row>
    <row r="5940" spans="1:32" hidden="1" x14ac:dyDescent="0.35">
      <c r="A5940">
        <v>6006</v>
      </c>
      <c r="B5940" t="s">
        <v>12349</v>
      </c>
      <c r="C5940" t="s">
        <v>13295</v>
      </c>
      <c r="D5940" t="s">
        <v>60</v>
      </c>
      <c r="E5940">
        <v>478</v>
      </c>
      <c r="F5940">
        <v>3</v>
      </c>
      <c r="G5940">
        <v>3</v>
      </c>
      <c r="H5940">
        <v>1</v>
      </c>
      <c r="I5940">
        <v>0</v>
      </c>
      <c r="J5940">
        <v>0.85054773082942103</v>
      </c>
      <c r="K5940">
        <v>0.94757339279078301</v>
      </c>
      <c r="L5940">
        <v>0.89644283518552204</v>
      </c>
      <c r="M5940">
        <v>0.59</v>
      </c>
      <c r="N5940">
        <v>1</v>
      </c>
      <c r="O5940">
        <v>0.72666666666666702</v>
      </c>
      <c r="P5940" t="s">
        <v>11686</v>
      </c>
      <c r="Q5940" t="s">
        <v>11687</v>
      </c>
      <c r="R5940" t="s">
        <v>342</v>
      </c>
      <c r="S5940" t="s">
        <v>343</v>
      </c>
      <c r="T5940" t="s">
        <v>12350</v>
      </c>
      <c r="U5940" t="s">
        <v>12351</v>
      </c>
      <c r="V5940" t="s">
        <v>11690</v>
      </c>
      <c r="W5940" t="s">
        <v>11691</v>
      </c>
      <c r="AD5940" t="s">
        <v>166</v>
      </c>
      <c r="AE5940" t="s">
        <v>6779</v>
      </c>
      <c r="AF5940" t="s">
        <v>12352</v>
      </c>
    </row>
    <row r="5941" spans="1:32" hidden="1" x14ac:dyDescent="0.35">
      <c r="A5941">
        <v>6007</v>
      </c>
      <c r="B5941" t="s">
        <v>12349</v>
      </c>
      <c r="C5941" t="s">
        <v>13295</v>
      </c>
      <c r="D5941" t="s">
        <v>62</v>
      </c>
      <c r="E5941">
        <v>561</v>
      </c>
      <c r="F5941">
        <v>3</v>
      </c>
      <c r="G5941">
        <v>3</v>
      </c>
      <c r="H5941">
        <v>1</v>
      </c>
      <c r="I5941">
        <v>0</v>
      </c>
      <c r="J5941">
        <v>0.85054773082942103</v>
      </c>
      <c r="K5941">
        <v>0.94757339279078301</v>
      </c>
      <c r="L5941">
        <v>0.89644283518552204</v>
      </c>
      <c r="M5941">
        <v>0.59</v>
      </c>
      <c r="N5941">
        <v>1</v>
      </c>
      <c r="O5941">
        <v>0.72666666666666702</v>
      </c>
      <c r="P5941" t="s">
        <v>11686</v>
      </c>
      <c r="Q5941" t="s">
        <v>11687</v>
      </c>
      <c r="R5941" t="s">
        <v>342</v>
      </c>
      <c r="S5941" t="s">
        <v>343</v>
      </c>
      <c r="T5941" t="s">
        <v>12350</v>
      </c>
      <c r="U5941" t="s">
        <v>12351</v>
      </c>
      <c r="V5941" t="s">
        <v>11690</v>
      </c>
      <c r="W5941" t="s">
        <v>11691</v>
      </c>
      <c r="AD5941" t="s">
        <v>166</v>
      </c>
      <c r="AE5941" t="s">
        <v>6779</v>
      </c>
      <c r="AF5941" t="s">
        <v>12352</v>
      </c>
    </row>
    <row r="5942" spans="1:32" hidden="1" x14ac:dyDescent="0.35">
      <c r="A5942">
        <v>5920</v>
      </c>
      <c r="B5942" t="s">
        <v>12177</v>
      </c>
      <c r="C5942" t="s">
        <v>13295</v>
      </c>
      <c r="D5942" t="s">
        <v>60</v>
      </c>
      <c r="E5942">
        <v>1820</v>
      </c>
      <c r="F5942">
        <v>4</v>
      </c>
      <c r="G5942">
        <v>4</v>
      </c>
      <c r="H5942">
        <v>1</v>
      </c>
      <c r="I5942">
        <v>0</v>
      </c>
      <c r="J5942">
        <v>0.84043560606060597</v>
      </c>
      <c r="K5942">
        <v>0.98611242249708797</v>
      </c>
      <c r="L5942">
        <v>0.90746476795318998</v>
      </c>
      <c r="M5942">
        <v>0.67226890756302504</v>
      </c>
      <c r="N5942">
        <v>0.99719887955182096</v>
      </c>
      <c r="O5942">
        <v>0.78291316526610599</v>
      </c>
      <c r="R5942" t="s">
        <v>75</v>
      </c>
      <c r="S5942" t="s">
        <v>76</v>
      </c>
      <c r="V5942" t="s">
        <v>12178</v>
      </c>
      <c r="W5942" t="s">
        <v>12179</v>
      </c>
      <c r="X5942" t="s">
        <v>12178</v>
      </c>
      <c r="Y5942" t="s">
        <v>2750</v>
      </c>
      <c r="AF5942" t="s">
        <v>12180</v>
      </c>
    </row>
    <row r="5943" spans="1:32" hidden="1" x14ac:dyDescent="0.35">
      <c r="A5943">
        <v>5921</v>
      </c>
      <c r="B5943" t="s">
        <v>12177</v>
      </c>
      <c r="C5943" t="s">
        <v>13295</v>
      </c>
      <c r="D5943" t="s">
        <v>62</v>
      </c>
      <c r="E5943">
        <v>1858</v>
      </c>
      <c r="F5943">
        <v>4</v>
      </c>
      <c r="G5943">
        <v>4</v>
      </c>
      <c r="H5943">
        <v>1</v>
      </c>
      <c r="I5943">
        <v>0</v>
      </c>
      <c r="J5943">
        <v>0.84043560606060597</v>
      </c>
      <c r="K5943">
        <v>0.98611242249708797</v>
      </c>
      <c r="L5943">
        <v>0.90746476795318998</v>
      </c>
      <c r="M5943">
        <v>0.67226890756302504</v>
      </c>
      <c r="N5943">
        <v>0.99719887955182096</v>
      </c>
      <c r="O5943">
        <v>0.78291316526610599</v>
      </c>
      <c r="R5943" t="s">
        <v>75</v>
      </c>
      <c r="S5943" t="s">
        <v>76</v>
      </c>
      <c r="V5943" t="s">
        <v>12178</v>
      </c>
      <c r="W5943" t="s">
        <v>12179</v>
      </c>
      <c r="X5943" t="s">
        <v>12178</v>
      </c>
      <c r="Y5943" t="s">
        <v>2750</v>
      </c>
      <c r="AF5943" t="s">
        <v>12181</v>
      </c>
    </row>
    <row r="5944" spans="1:32" hidden="1" x14ac:dyDescent="0.35">
      <c r="A5944">
        <v>5922</v>
      </c>
      <c r="B5944" t="s">
        <v>12177</v>
      </c>
      <c r="C5944" t="s">
        <v>13295</v>
      </c>
      <c r="D5944" t="s">
        <v>34</v>
      </c>
      <c r="E5944">
        <v>681</v>
      </c>
      <c r="F5944">
        <v>4</v>
      </c>
      <c r="G5944">
        <v>4</v>
      </c>
      <c r="H5944">
        <v>1</v>
      </c>
      <c r="I5944">
        <v>0</v>
      </c>
      <c r="J5944">
        <v>0.84043560606060597</v>
      </c>
      <c r="K5944">
        <v>0.98611242249708797</v>
      </c>
      <c r="L5944">
        <v>0.90746476795318998</v>
      </c>
      <c r="M5944">
        <v>0.67226890756302504</v>
      </c>
      <c r="N5944">
        <v>0.99719887955182096</v>
      </c>
      <c r="O5944">
        <v>0.78291316526610599</v>
      </c>
      <c r="R5944" t="s">
        <v>75</v>
      </c>
      <c r="S5944" t="s">
        <v>76</v>
      </c>
      <c r="V5944" t="s">
        <v>12178</v>
      </c>
      <c r="W5944" t="s">
        <v>12179</v>
      </c>
      <c r="X5944" t="s">
        <v>12178</v>
      </c>
      <c r="Y5944" t="s">
        <v>2750</v>
      </c>
      <c r="AF5944" t="s">
        <v>12182</v>
      </c>
    </row>
    <row r="5945" spans="1:32" hidden="1" x14ac:dyDescent="0.35">
      <c r="A5945">
        <v>5923</v>
      </c>
      <c r="B5945" t="s">
        <v>12177</v>
      </c>
      <c r="C5945" t="s">
        <v>13295</v>
      </c>
      <c r="D5945" t="s">
        <v>45</v>
      </c>
      <c r="E5945">
        <v>1947</v>
      </c>
      <c r="F5945">
        <v>4</v>
      </c>
      <c r="G5945">
        <v>4</v>
      </c>
      <c r="H5945">
        <v>1</v>
      </c>
      <c r="I5945">
        <v>0</v>
      </c>
      <c r="J5945">
        <v>0.84043560606060597</v>
      </c>
      <c r="K5945">
        <v>0.98611242249708797</v>
      </c>
      <c r="L5945">
        <v>0.90746476795318998</v>
      </c>
      <c r="M5945">
        <v>0.67226890756302504</v>
      </c>
      <c r="N5945">
        <v>0.99719887955182096</v>
      </c>
      <c r="O5945">
        <v>0.78291316526610599</v>
      </c>
      <c r="R5945" t="s">
        <v>75</v>
      </c>
      <c r="S5945" t="s">
        <v>76</v>
      </c>
      <c r="V5945" t="s">
        <v>12178</v>
      </c>
      <c r="W5945" t="s">
        <v>12179</v>
      </c>
      <c r="X5945" t="s">
        <v>12178</v>
      </c>
      <c r="Y5945" t="s">
        <v>2750</v>
      </c>
      <c r="AF5945" t="s">
        <v>12183</v>
      </c>
    </row>
    <row r="5946" spans="1:32" hidden="1" x14ac:dyDescent="0.35">
      <c r="A5946">
        <v>5932</v>
      </c>
      <c r="B5946" t="s">
        <v>12196</v>
      </c>
      <c r="C5946" t="s">
        <v>13295</v>
      </c>
      <c r="D5946" t="s">
        <v>60</v>
      </c>
      <c r="E5946">
        <v>1526</v>
      </c>
      <c r="F5946">
        <v>4</v>
      </c>
      <c r="G5946">
        <v>4</v>
      </c>
      <c r="H5946">
        <v>1</v>
      </c>
      <c r="I5946">
        <v>0</v>
      </c>
      <c r="J5946">
        <v>0.90166552589550497</v>
      </c>
      <c r="K5946">
        <v>0.97835697629226703</v>
      </c>
      <c r="L5946">
        <v>0.93844702019848103</v>
      </c>
      <c r="M5946">
        <v>0.75100401606425704</v>
      </c>
      <c r="N5946">
        <v>0.98795180722891596</v>
      </c>
      <c r="O5946">
        <v>0.82998661311914301</v>
      </c>
      <c r="P5946" t="s">
        <v>10830</v>
      </c>
      <c r="Q5946" t="s">
        <v>10831</v>
      </c>
      <c r="R5946" t="s">
        <v>96</v>
      </c>
      <c r="S5946" t="s">
        <v>97</v>
      </c>
      <c r="T5946" t="s">
        <v>10832</v>
      </c>
      <c r="U5946" t="s">
        <v>10833</v>
      </c>
      <c r="V5946" t="s">
        <v>10834</v>
      </c>
      <c r="W5946" t="s">
        <v>10835</v>
      </c>
      <c r="AD5946" t="s">
        <v>7708</v>
      </c>
      <c r="AE5946" t="s">
        <v>10836</v>
      </c>
      <c r="AF5946" t="s">
        <v>12197</v>
      </c>
    </row>
    <row r="5947" spans="1:32" hidden="1" x14ac:dyDescent="0.35">
      <c r="A5947">
        <v>5933</v>
      </c>
      <c r="B5947" t="s">
        <v>12196</v>
      </c>
      <c r="C5947" t="s">
        <v>13295</v>
      </c>
      <c r="D5947" t="s">
        <v>62</v>
      </c>
      <c r="E5947">
        <v>1561</v>
      </c>
      <c r="F5947">
        <v>4</v>
      </c>
      <c r="G5947">
        <v>4</v>
      </c>
      <c r="H5947">
        <v>1</v>
      </c>
      <c r="I5947">
        <v>0</v>
      </c>
      <c r="J5947">
        <v>0.90166552589550497</v>
      </c>
      <c r="K5947">
        <v>0.97835697629226703</v>
      </c>
      <c r="L5947">
        <v>0.93844702019848103</v>
      </c>
      <c r="M5947">
        <v>0.75100401606425704</v>
      </c>
      <c r="N5947">
        <v>0.98795180722891596</v>
      </c>
      <c r="O5947">
        <v>0.82998661311914301</v>
      </c>
      <c r="P5947" t="s">
        <v>10830</v>
      </c>
      <c r="Q5947" t="s">
        <v>10831</v>
      </c>
      <c r="R5947" t="s">
        <v>96</v>
      </c>
      <c r="S5947" t="s">
        <v>97</v>
      </c>
      <c r="T5947" t="s">
        <v>10832</v>
      </c>
      <c r="U5947" t="s">
        <v>10833</v>
      </c>
      <c r="V5947" t="s">
        <v>10834</v>
      </c>
      <c r="W5947" t="s">
        <v>10835</v>
      </c>
      <c r="AD5947" t="s">
        <v>7708</v>
      </c>
      <c r="AE5947" t="s">
        <v>10836</v>
      </c>
      <c r="AF5947" t="s">
        <v>12198</v>
      </c>
    </row>
    <row r="5948" spans="1:32" hidden="1" x14ac:dyDescent="0.35">
      <c r="A5948">
        <v>5934</v>
      </c>
      <c r="B5948" t="s">
        <v>12196</v>
      </c>
      <c r="C5948" t="s">
        <v>13295</v>
      </c>
      <c r="D5948" t="s">
        <v>34</v>
      </c>
      <c r="E5948">
        <v>2376</v>
      </c>
      <c r="F5948">
        <v>4</v>
      </c>
      <c r="G5948">
        <v>4</v>
      </c>
      <c r="H5948">
        <v>1</v>
      </c>
      <c r="I5948">
        <v>0</v>
      </c>
      <c r="J5948">
        <v>0.90166552589550497</v>
      </c>
      <c r="K5948">
        <v>0.97835697629226703</v>
      </c>
      <c r="L5948">
        <v>0.93844702019848103</v>
      </c>
      <c r="M5948">
        <v>0.75100401606425704</v>
      </c>
      <c r="N5948">
        <v>0.98795180722891596</v>
      </c>
      <c r="O5948">
        <v>0.82998661311914301</v>
      </c>
      <c r="P5948" t="s">
        <v>10830</v>
      </c>
      <c r="Q5948" t="s">
        <v>10831</v>
      </c>
      <c r="R5948" t="s">
        <v>96</v>
      </c>
      <c r="S5948" t="s">
        <v>97</v>
      </c>
      <c r="T5948" t="s">
        <v>10832</v>
      </c>
      <c r="U5948" t="s">
        <v>10833</v>
      </c>
      <c r="V5948" t="s">
        <v>10834</v>
      </c>
      <c r="W5948" t="s">
        <v>10835</v>
      </c>
      <c r="AD5948" t="s">
        <v>7708</v>
      </c>
      <c r="AE5948" t="s">
        <v>10836</v>
      </c>
      <c r="AF5948" t="s">
        <v>12199</v>
      </c>
    </row>
    <row r="5949" spans="1:32" hidden="1" x14ac:dyDescent="0.35">
      <c r="A5949">
        <v>5948</v>
      </c>
      <c r="B5949" t="s">
        <v>12225</v>
      </c>
      <c r="C5949" t="s">
        <v>13295</v>
      </c>
      <c r="D5949" t="s">
        <v>58</v>
      </c>
      <c r="E5949">
        <v>26</v>
      </c>
      <c r="F5949">
        <v>3</v>
      </c>
      <c r="G5949">
        <v>3</v>
      </c>
      <c r="H5949">
        <v>1</v>
      </c>
      <c r="I5949">
        <v>0</v>
      </c>
      <c r="J5949">
        <v>0.78618793465954995</v>
      </c>
      <c r="K5949">
        <v>0.96694465904663396</v>
      </c>
      <c r="L5949">
        <v>0.86724783642162095</v>
      </c>
      <c r="M5949">
        <v>0.56680731364275705</v>
      </c>
      <c r="N5949">
        <v>1</v>
      </c>
      <c r="O5949">
        <v>0.711204875761838</v>
      </c>
      <c r="P5949" t="s">
        <v>12226</v>
      </c>
      <c r="Q5949" t="s">
        <v>12227</v>
      </c>
      <c r="R5949" t="s">
        <v>12228</v>
      </c>
      <c r="S5949" t="s">
        <v>12229</v>
      </c>
      <c r="T5949" t="s">
        <v>12230</v>
      </c>
      <c r="U5949" t="s">
        <v>12231</v>
      </c>
      <c r="V5949" t="s">
        <v>12232</v>
      </c>
      <c r="W5949" t="s">
        <v>12233</v>
      </c>
      <c r="AD5949" t="s">
        <v>12234</v>
      </c>
      <c r="AE5949" t="s">
        <v>12235</v>
      </c>
      <c r="AF5949" t="s">
        <v>12236</v>
      </c>
    </row>
    <row r="5950" spans="1:32" hidden="1" x14ac:dyDescent="0.35">
      <c r="A5950">
        <v>5949</v>
      </c>
      <c r="B5950" t="s">
        <v>12225</v>
      </c>
      <c r="C5950" t="s">
        <v>13295</v>
      </c>
      <c r="D5950" t="s">
        <v>60</v>
      </c>
      <c r="E5950">
        <v>26</v>
      </c>
      <c r="F5950">
        <v>3</v>
      </c>
      <c r="G5950">
        <v>3</v>
      </c>
      <c r="H5950">
        <v>1</v>
      </c>
      <c r="I5950">
        <v>0</v>
      </c>
      <c r="J5950">
        <v>0.78618793465954995</v>
      </c>
      <c r="K5950">
        <v>0.96694465904663396</v>
      </c>
      <c r="L5950">
        <v>0.86724783642162095</v>
      </c>
      <c r="M5950">
        <v>0.56680731364275705</v>
      </c>
      <c r="N5950">
        <v>1</v>
      </c>
      <c r="O5950">
        <v>0.711204875761838</v>
      </c>
      <c r="P5950" t="s">
        <v>12226</v>
      </c>
      <c r="Q5950" t="s">
        <v>12227</v>
      </c>
      <c r="R5950" t="s">
        <v>12228</v>
      </c>
      <c r="S5950" t="s">
        <v>12229</v>
      </c>
      <c r="T5950" t="s">
        <v>12230</v>
      </c>
      <c r="U5950" t="s">
        <v>12231</v>
      </c>
      <c r="V5950" t="s">
        <v>12232</v>
      </c>
      <c r="W5950" t="s">
        <v>12233</v>
      </c>
      <c r="AD5950" t="s">
        <v>12234</v>
      </c>
      <c r="AE5950" t="s">
        <v>12235</v>
      </c>
      <c r="AF5950" t="s">
        <v>12237</v>
      </c>
    </row>
    <row r="5951" spans="1:32" hidden="1" x14ac:dyDescent="0.35">
      <c r="A5951">
        <v>5950</v>
      </c>
      <c r="B5951" t="s">
        <v>12225</v>
      </c>
      <c r="C5951" t="s">
        <v>13295</v>
      </c>
      <c r="D5951" t="s">
        <v>62</v>
      </c>
      <c r="E5951">
        <v>99</v>
      </c>
      <c r="F5951">
        <v>3</v>
      </c>
      <c r="G5951">
        <v>3</v>
      </c>
      <c r="H5951">
        <v>1</v>
      </c>
      <c r="I5951">
        <v>0</v>
      </c>
      <c r="J5951">
        <v>0.78618793465954995</v>
      </c>
      <c r="K5951">
        <v>0.96694465904663396</v>
      </c>
      <c r="L5951">
        <v>0.86724783642162095</v>
      </c>
      <c r="M5951">
        <v>0.56680731364275705</v>
      </c>
      <c r="N5951">
        <v>1</v>
      </c>
      <c r="O5951">
        <v>0.711204875761838</v>
      </c>
      <c r="P5951" t="s">
        <v>12226</v>
      </c>
      <c r="Q5951" t="s">
        <v>12227</v>
      </c>
      <c r="R5951" t="s">
        <v>12228</v>
      </c>
      <c r="S5951" t="s">
        <v>12229</v>
      </c>
      <c r="T5951" t="s">
        <v>12230</v>
      </c>
      <c r="U5951" t="s">
        <v>12231</v>
      </c>
      <c r="V5951" t="s">
        <v>12232</v>
      </c>
      <c r="W5951" t="s">
        <v>12233</v>
      </c>
      <c r="AD5951" t="s">
        <v>12234</v>
      </c>
      <c r="AE5951" t="s">
        <v>12235</v>
      </c>
      <c r="AF5951" t="s">
        <v>12237</v>
      </c>
    </row>
    <row r="5952" spans="1:32" hidden="1" x14ac:dyDescent="0.35">
      <c r="A5952">
        <v>5935</v>
      </c>
      <c r="B5952" t="s">
        <v>12196</v>
      </c>
      <c r="C5952" t="s">
        <v>13295</v>
      </c>
      <c r="D5952" t="s">
        <v>45</v>
      </c>
      <c r="E5952">
        <v>502</v>
      </c>
      <c r="F5952">
        <v>4</v>
      </c>
      <c r="G5952">
        <v>4</v>
      </c>
      <c r="H5952">
        <v>1</v>
      </c>
      <c r="I5952">
        <v>0</v>
      </c>
      <c r="J5952">
        <v>0.90166552589550497</v>
      </c>
      <c r="K5952">
        <v>0.97835697629226703</v>
      </c>
      <c r="L5952">
        <v>0.93844702019848103</v>
      </c>
      <c r="M5952">
        <v>0.75100401606425704</v>
      </c>
      <c r="N5952">
        <v>0.98795180722891596</v>
      </c>
      <c r="O5952">
        <v>0.82998661311914301</v>
      </c>
      <c r="P5952" t="s">
        <v>10830</v>
      </c>
      <c r="Q5952" t="s">
        <v>10831</v>
      </c>
      <c r="R5952" t="s">
        <v>96</v>
      </c>
      <c r="S5952" t="s">
        <v>97</v>
      </c>
      <c r="T5952" t="s">
        <v>10832</v>
      </c>
      <c r="U5952" t="s">
        <v>10833</v>
      </c>
      <c r="V5952" t="s">
        <v>10834</v>
      </c>
      <c r="W5952" t="s">
        <v>10835</v>
      </c>
      <c r="AD5952" t="s">
        <v>7708</v>
      </c>
      <c r="AE5952" t="s">
        <v>10836</v>
      </c>
      <c r="AF5952" t="s">
        <v>12200</v>
      </c>
    </row>
    <row r="5953" spans="1:32" hidden="1" x14ac:dyDescent="0.35">
      <c r="A5953">
        <v>5940</v>
      </c>
      <c r="B5953" t="s">
        <v>12206</v>
      </c>
      <c r="C5953" t="s">
        <v>13295</v>
      </c>
      <c r="D5953" t="s">
        <v>60</v>
      </c>
      <c r="E5953">
        <v>1611</v>
      </c>
      <c r="F5953">
        <v>4</v>
      </c>
      <c r="G5953">
        <v>4</v>
      </c>
      <c r="H5953">
        <v>1</v>
      </c>
      <c r="I5953">
        <v>0</v>
      </c>
      <c r="J5953">
        <v>0.76220111365869603</v>
      </c>
      <c r="K5953">
        <v>0.97335223401683102</v>
      </c>
      <c r="L5953">
        <v>0.85493212610657199</v>
      </c>
      <c r="M5953">
        <v>0.51625239005736101</v>
      </c>
      <c r="N5953">
        <v>0.99426386233269604</v>
      </c>
      <c r="O5953">
        <v>0.67495219885277202</v>
      </c>
      <c r="P5953" t="s">
        <v>12207</v>
      </c>
      <c r="Q5953" t="s">
        <v>12208</v>
      </c>
      <c r="R5953" t="s">
        <v>96</v>
      </c>
      <c r="S5953" t="s">
        <v>97</v>
      </c>
      <c r="T5953" t="s">
        <v>12209</v>
      </c>
      <c r="U5953" t="s">
        <v>12210</v>
      </c>
      <c r="V5953" t="s">
        <v>12211</v>
      </c>
      <c r="W5953" t="s">
        <v>12212</v>
      </c>
      <c r="AD5953" t="s">
        <v>410</v>
      </c>
      <c r="AE5953" t="s">
        <v>1637</v>
      </c>
      <c r="AF5953" t="s">
        <v>12213</v>
      </c>
    </row>
    <row r="5954" spans="1:32" hidden="1" x14ac:dyDescent="0.35">
      <c r="A5954">
        <v>5941</v>
      </c>
      <c r="B5954" t="s">
        <v>12206</v>
      </c>
      <c r="C5954" t="s">
        <v>13295</v>
      </c>
      <c r="D5954" t="s">
        <v>62</v>
      </c>
      <c r="E5954">
        <v>1647</v>
      </c>
      <c r="F5954">
        <v>4</v>
      </c>
      <c r="G5954">
        <v>4</v>
      </c>
      <c r="H5954">
        <v>1</v>
      </c>
      <c r="I5954">
        <v>0</v>
      </c>
      <c r="J5954">
        <v>0.76220111365869603</v>
      </c>
      <c r="K5954">
        <v>0.97335223401683102</v>
      </c>
      <c r="L5954">
        <v>0.85493212610657199</v>
      </c>
      <c r="M5954">
        <v>0.51625239005736101</v>
      </c>
      <c r="N5954">
        <v>0.99426386233269604</v>
      </c>
      <c r="O5954">
        <v>0.67495219885277202</v>
      </c>
      <c r="P5954" t="s">
        <v>12207</v>
      </c>
      <c r="Q5954" t="s">
        <v>12208</v>
      </c>
      <c r="R5954" t="s">
        <v>96</v>
      </c>
      <c r="S5954" t="s">
        <v>97</v>
      </c>
      <c r="T5954" t="s">
        <v>12209</v>
      </c>
      <c r="U5954" t="s">
        <v>12210</v>
      </c>
      <c r="V5954" t="s">
        <v>12211</v>
      </c>
      <c r="W5954" t="s">
        <v>12212</v>
      </c>
      <c r="AD5954" t="s">
        <v>410</v>
      </c>
      <c r="AE5954" t="s">
        <v>1637</v>
      </c>
      <c r="AF5954" t="s">
        <v>12214</v>
      </c>
    </row>
    <row r="5955" spans="1:32" hidden="1" x14ac:dyDescent="0.35">
      <c r="A5955">
        <v>5954</v>
      </c>
      <c r="B5955" t="s">
        <v>12241</v>
      </c>
      <c r="C5955" t="s">
        <v>13295</v>
      </c>
      <c r="D5955" t="s">
        <v>58</v>
      </c>
      <c r="E5955">
        <v>800</v>
      </c>
      <c r="F5955">
        <v>3</v>
      </c>
      <c r="G5955">
        <v>3</v>
      </c>
      <c r="H5955">
        <v>1</v>
      </c>
      <c r="I5955">
        <v>0</v>
      </c>
      <c r="J5955">
        <v>0.77475022706630303</v>
      </c>
      <c r="K5955">
        <v>0.96122768685328097</v>
      </c>
      <c r="L5955">
        <v>0.85797332175793395</v>
      </c>
      <c r="M5955">
        <v>0.56544502617801096</v>
      </c>
      <c r="N5955">
        <v>1</v>
      </c>
      <c r="O5955">
        <v>0.71029668411867397</v>
      </c>
      <c r="P5955" t="s">
        <v>10047</v>
      </c>
      <c r="Q5955" t="s">
        <v>10048</v>
      </c>
      <c r="R5955" t="s">
        <v>12242</v>
      </c>
      <c r="S5955" t="s">
        <v>12243</v>
      </c>
      <c r="T5955" t="s">
        <v>12244</v>
      </c>
      <c r="U5955" t="s">
        <v>12245</v>
      </c>
      <c r="V5955" t="s">
        <v>12246</v>
      </c>
      <c r="W5955" t="s">
        <v>12247</v>
      </c>
      <c r="X5955" t="s">
        <v>12246</v>
      </c>
      <c r="Y5955" t="s">
        <v>875</v>
      </c>
      <c r="AD5955" t="s">
        <v>245</v>
      </c>
      <c r="AE5955" t="s">
        <v>12248</v>
      </c>
      <c r="AF5955" t="s">
        <v>12249</v>
      </c>
    </row>
    <row r="5956" spans="1:32" hidden="1" x14ac:dyDescent="0.35">
      <c r="A5956">
        <v>5955</v>
      </c>
      <c r="B5956" t="s">
        <v>12241</v>
      </c>
      <c r="C5956" t="s">
        <v>13295</v>
      </c>
      <c r="D5956" t="s">
        <v>60</v>
      </c>
      <c r="E5956">
        <v>1082</v>
      </c>
      <c r="F5956">
        <v>3</v>
      </c>
      <c r="G5956">
        <v>3</v>
      </c>
      <c r="H5956">
        <v>1</v>
      </c>
      <c r="I5956">
        <v>0</v>
      </c>
      <c r="J5956">
        <v>0.77475022706630303</v>
      </c>
      <c r="K5956">
        <v>0.96122768685328097</v>
      </c>
      <c r="L5956">
        <v>0.85797332175793395</v>
      </c>
      <c r="M5956">
        <v>0.56544502617801096</v>
      </c>
      <c r="N5956">
        <v>1</v>
      </c>
      <c r="O5956">
        <v>0.71029668411867397</v>
      </c>
      <c r="P5956" t="s">
        <v>10047</v>
      </c>
      <c r="Q5956" t="s">
        <v>10048</v>
      </c>
      <c r="R5956" t="s">
        <v>12242</v>
      </c>
      <c r="S5956" t="s">
        <v>12243</v>
      </c>
      <c r="T5956" t="s">
        <v>12244</v>
      </c>
      <c r="U5956" t="s">
        <v>12245</v>
      </c>
      <c r="V5956" t="s">
        <v>12246</v>
      </c>
      <c r="W5956" t="s">
        <v>12247</v>
      </c>
      <c r="X5956" t="s">
        <v>12246</v>
      </c>
      <c r="Y5956" t="s">
        <v>875</v>
      </c>
      <c r="AD5956" t="s">
        <v>245</v>
      </c>
      <c r="AE5956" t="s">
        <v>12248</v>
      </c>
      <c r="AF5956" t="e">
        <f>---MCPSRPSTAPDFLLSRVHGSVRAQGSAATFTDPWAAAAALKAGECEIVVGALPF----SLDDAAALTVPESFVRDDGPLEPHSYYRLGSGSTINASIVGFDPSPKEHEDRITAAISTIQR-SVLEKIVLARSVDIQFNPPVDPLAIAARLIDQSHNKDGFVVDLSPAGGRYQGRTLVGSSPEVLIKREGSTVSAYPLAGSAGRVEDRDVDCFIGQQLRTNAKDLDEHTFVVNHLVNVLEPLCSSLDVPNHPELTRTNEMWHLATPITGTLRDKNMSALELALNLHPTPAVCGTPLHAAEDLISSVET-DRGFYSGAVGWCTSDGDGEYMVAIRCAEIAAGGASARAWAGGGIVASSSADKELAETTAKLRTIMRALGLQ</f>
        <v>#NAME?</v>
      </c>
    </row>
    <row r="5957" spans="1:32" hidden="1" x14ac:dyDescent="0.35">
      <c r="A5957">
        <v>5956</v>
      </c>
      <c r="B5957" t="s">
        <v>12241</v>
      </c>
      <c r="C5957" t="s">
        <v>13295</v>
      </c>
      <c r="D5957" t="s">
        <v>62</v>
      </c>
      <c r="E5957">
        <v>1118</v>
      </c>
      <c r="F5957">
        <v>3</v>
      </c>
      <c r="G5957">
        <v>3</v>
      </c>
      <c r="H5957">
        <v>1</v>
      </c>
      <c r="I5957">
        <v>0</v>
      </c>
      <c r="J5957">
        <v>0.77475022706630303</v>
      </c>
      <c r="K5957">
        <v>0.96122768685328097</v>
      </c>
      <c r="L5957">
        <v>0.85797332175793395</v>
      </c>
      <c r="M5957">
        <v>0.56544502617801096</v>
      </c>
      <c r="N5957">
        <v>1</v>
      </c>
      <c r="O5957">
        <v>0.71029668411867397</v>
      </c>
      <c r="P5957" t="s">
        <v>10047</v>
      </c>
      <c r="Q5957" t="s">
        <v>10048</v>
      </c>
      <c r="R5957" t="s">
        <v>12242</v>
      </c>
      <c r="S5957" t="s">
        <v>12243</v>
      </c>
      <c r="T5957" t="s">
        <v>12244</v>
      </c>
      <c r="U5957" t="s">
        <v>12245</v>
      </c>
      <c r="V5957" t="s">
        <v>12246</v>
      </c>
      <c r="W5957" t="s">
        <v>12247</v>
      </c>
      <c r="X5957" t="s">
        <v>12246</v>
      </c>
      <c r="Y5957" t="s">
        <v>875</v>
      </c>
      <c r="AD5957" t="s">
        <v>245</v>
      </c>
      <c r="AE5957" t="s">
        <v>12248</v>
      </c>
      <c r="AF5957" t="e">
        <f>---MCPSRPSTAPDFLLSRVHGSVRAQGSAATFTDPWAAAAALKAGECEIVVGALPF----SLDDAAALTVPESFVRDDGPLEPHSYYRLGSGSTINASIVGFDPSPKEHEDRITAAISTIQR-SVLEKIVLARSVDIQFNPPVDPLAIAARLIDQSHNKDGFVVDLSPAGGRYQGRTLVGSSPEVLIKREGSTVSAYPLAGSAGRVEDRDVDCFIGQQLRTNAKDLDEHTFVVNHLVNVLEPLCSSLDVPNHPELTRTNEMWHLATPITGTLRDKNMSALELALNLHPTPAVCGTPLHAAEDLISSVET-DRGFYSGAVGWCTSDGDGEYMVAIRCAEIAAGGASARAWAGGGIVASSSADKELAETTAKLRTIMRALGLQ</f>
        <v>#NAME?</v>
      </c>
    </row>
    <row r="5958" spans="1:32" hidden="1" x14ac:dyDescent="0.35">
      <c r="A5958">
        <v>5942</v>
      </c>
      <c r="B5958" t="s">
        <v>12206</v>
      </c>
      <c r="C5958" t="s">
        <v>13295</v>
      </c>
      <c r="D5958" t="s">
        <v>34</v>
      </c>
      <c r="E5958">
        <v>2004</v>
      </c>
      <c r="F5958">
        <v>4</v>
      </c>
      <c r="G5958">
        <v>4</v>
      </c>
      <c r="H5958">
        <v>1</v>
      </c>
      <c r="I5958">
        <v>0</v>
      </c>
      <c r="J5958">
        <v>0.76220111365869603</v>
      </c>
      <c r="K5958">
        <v>0.97335223401683102</v>
      </c>
      <c r="L5958">
        <v>0.85493212610657199</v>
      </c>
      <c r="M5958">
        <v>0.51625239005736101</v>
      </c>
      <c r="N5958">
        <v>0.99426386233269604</v>
      </c>
      <c r="O5958">
        <v>0.67495219885277202</v>
      </c>
      <c r="P5958" t="s">
        <v>12207</v>
      </c>
      <c r="Q5958" t="s">
        <v>12208</v>
      </c>
      <c r="R5958" t="s">
        <v>96</v>
      </c>
      <c r="S5958" t="s">
        <v>97</v>
      </c>
      <c r="T5958" t="s">
        <v>12209</v>
      </c>
      <c r="U5958" t="s">
        <v>12210</v>
      </c>
      <c r="V5958" t="s">
        <v>12211</v>
      </c>
      <c r="W5958" t="s">
        <v>12212</v>
      </c>
      <c r="AD5958" t="s">
        <v>410</v>
      </c>
      <c r="AE5958" t="s">
        <v>1637</v>
      </c>
      <c r="AF5958" t="s">
        <v>12215</v>
      </c>
    </row>
    <row r="5959" spans="1:32" hidden="1" x14ac:dyDescent="0.35">
      <c r="A5959">
        <v>5943</v>
      </c>
      <c r="B5959" t="s">
        <v>12206</v>
      </c>
      <c r="C5959" t="s">
        <v>13295</v>
      </c>
      <c r="D5959" t="s">
        <v>45</v>
      </c>
      <c r="E5959">
        <v>868</v>
      </c>
      <c r="F5959">
        <v>4</v>
      </c>
      <c r="G5959">
        <v>4</v>
      </c>
      <c r="H5959">
        <v>1</v>
      </c>
      <c r="I5959">
        <v>0</v>
      </c>
      <c r="J5959">
        <v>0.76220111365869603</v>
      </c>
      <c r="K5959">
        <v>0.97335223401683102</v>
      </c>
      <c r="L5959">
        <v>0.85493212610657199</v>
      </c>
      <c r="M5959">
        <v>0.51625239005736101</v>
      </c>
      <c r="N5959">
        <v>0.99426386233269604</v>
      </c>
      <c r="O5959">
        <v>0.67495219885277202</v>
      </c>
      <c r="P5959" t="s">
        <v>12207</v>
      </c>
      <c r="Q5959" t="s">
        <v>12208</v>
      </c>
      <c r="R5959" t="s">
        <v>96</v>
      </c>
      <c r="S5959" t="s">
        <v>97</v>
      </c>
      <c r="T5959" t="s">
        <v>12209</v>
      </c>
      <c r="U5959" t="s">
        <v>12210</v>
      </c>
      <c r="V5959" t="s">
        <v>12211</v>
      </c>
      <c r="W5959" t="s">
        <v>12212</v>
      </c>
      <c r="AD5959" t="s">
        <v>410</v>
      </c>
      <c r="AE5959" t="s">
        <v>1637</v>
      </c>
      <c r="AF5959" t="s">
        <v>12216</v>
      </c>
    </row>
    <row r="5960" spans="1:32" hidden="1" x14ac:dyDescent="0.35">
      <c r="A5960">
        <v>5944</v>
      </c>
      <c r="B5960" t="s">
        <v>12217</v>
      </c>
      <c r="C5960" t="s">
        <v>13295</v>
      </c>
      <c r="D5960" t="s">
        <v>58</v>
      </c>
      <c r="E5960">
        <v>310</v>
      </c>
      <c r="F5960">
        <v>4</v>
      </c>
      <c r="G5960">
        <v>4</v>
      </c>
      <c r="H5960">
        <v>1</v>
      </c>
      <c r="I5960">
        <v>0</v>
      </c>
      <c r="J5960">
        <v>0.80818965517241403</v>
      </c>
      <c r="K5960">
        <v>0.94488503167240301</v>
      </c>
      <c r="L5960">
        <v>0.87120795668928996</v>
      </c>
      <c r="M5960">
        <v>0.66463414634146301</v>
      </c>
      <c r="N5960">
        <v>0.97560975609756095</v>
      </c>
      <c r="O5960">
        <v>0.73272357723577197</v>
      </c>
      <c r="P5960" t="s">
        <v>1981</v>
      </c>
      <c r="Q5960" t="s">
        <v>1982</v>
      </c>
      <c r="R5960" t="s">
        <v>96</v>
      </c>
      <c r="S5960" t="s">
        <v>97</v>
      </c>
      <c r="T5960" t="s">
        <v>12218</v>
      </c>
      <c r="U5960" t="s">
        <v>12219</v>
      </c>
      <c r="V5960" t="s">
        <v>12220</v>
      </c>
      <c r="W5960" t="s">
        <v>12221</v>
      </c>
      <c r="AD5960" t="s">
        <v>219</v>
      </c>
      <c r="AE5960" t="s">
        <v>12222</v>
      </c>
      <c r="AF5960" t="s">
        <v>12223</v>
      </c>
    </row>
    <row r="5961" spans="1:32" hidden="1" x14ac:dyDescent="0.35">
      <c r="A5961">
        <v>5945</v>
      </c>
      <c r="B5961" t="s">
        <v>12217</v>
      </c>
      <c r="C5961" t="s">
        <v>13295</v>
      </c>
      <c r="D5961" t="s">
        <v>60</v>
      </c>
      <c r="E5961">
        <v>2042</v>
      </c>
      <c r="F5961">
        <v>4</v>
      </c>
      <c r="G5961">
        <v>4</v>
      </c>
      <c r="H5961">
        <v>1</v>
      </c>
      <c r="I5961">
        <v>0</v>
      </c>
      <c r="J5961">
        <v>0.80818965517241403</v>
      </c>
      <c r="K5961">
        <v>0.94488503167240301</v>
      </c>
      <c r="L5961">
        <v>0.87120795668928996</v>
      </c>
      <c r="M5961">
        <v>0.66463414634146301</v>
      </c>
      <c r="N5961">
        <v>0.97560975609756095</v>
      </c>
      <c r="O5961">
        <v>0.73272357723577197</v>
      </c>
      <c r="P5961" t="s">
        <v>1981</v>
      </c>
      <c r="Q5961" t="s">
        <v>1982</v>
      </c>
      <c r="R5961" t="s">
        <v>96</v>
      </c>
      <c r="S5961" t="s">
        <v>97</v>
      </c>
      <c r="T5961" t="s">
        <v>12218</v>
      </c>
      <c r="U5961" t="s">
        <v>12219</v>
      </c>
      <c r="V5961" t="s">
        <v>12220</v>
      </c>
      <c r="W5961" t="s">
        <v>12221</v>
      </c>
      <c r="AD5961" t="s">
        <v>219</v>
      </c>
      <c r="AE5961" t="s">
        <v>12222</v>
      </c>
      <c r="AF5961" t="s">
        <v>12224</v>
      </c>
    </row>
    <row r="5962" spans="1:32" hidden="1" x14ac:dyDescent="0.35">
      <c r="A5962">
        <v>5946</v>
      </c>
      <c r="B5962" t="s">
        <v>12217</v>
      </c>
      <c r="C5962" t="s">
        <v>13295</v>
      </c>
      <c r="D5962" t="s">
        <v>34</v>
      </c>
      <c r="E5962">
        <v>2405</v>
      </c>
      <c r="F5962">
        <v>4</v>
      </c>
      <c r="G5962">
        <v>4</v>
      </c>
      <c r="H5962">
        <v>1</v>
      </c>
      <c r="I5962">
        <v>0</v>
      </c>
      <c r="J5962">
        <v>0.80818965517241403</v>
      </c>
      <c r="K5962">
        <v>0.94488503167240301</v>
      </c>
      <c r="L5962">
        <v>0.87120795668928996</v>
      </c>
      <c r="M5962">
        <v>0.66463414634146301</v>
      </c>
      <c r="N5962">
        <v>0.97560975609756095</v>
      </c>
      <c r="O5962">
        <v>0.73272357723577197</v>
      </c>
      <c r="P5962" t="s">
        <v>1981</v>
      </c>
      <c r="Q5962" t="s">
        <v>1982</v>
      </c>
      <c r="R5962" t="s">
        <v>96</v>
      </c>
      <c r="S5962" t="s">
        <v>97</v>
      </c>
      <c r="T5962" t="s">
        <v>12218</v>
      </c>
      <c r="U5962" t="s">
        <v>12219</v>
      </c>
      <c r="V5962" t="s">
        <v>12220</v>
      </c>
      <c r="W5962" t="s">
        <v>12221</v>
      </c>
      <c r="AD5962" t="s">
        <v>219</v>
      </c>
      <c r="AE5962" t="s">
        <v>12222</v>
      </c>
      <c r="AF5962" t="e">
        <f>------MSENVRLEPGAVAPAFSLPNDAGETTSLADYAGERVIVYFYPKANTPGCTKEACDFRDSLAQLNGAGVAVVGISPDSPERLAKFRKDHGLTFPLLSDVDKAVMRSYGAFGEKKNYGKVVQGVIRSTFVVGADGTIEKALYNVRATGHVARILRELGFN</f>
        <v>#NAME?</v>
      </c>
    </row>
    <row r="5963" spans="1:32" hidden="1" x14ac:dyDescent="0.35">
      <c r="A5963">
        <v>5947</v>
      </c>
      <c r="B5963" t="s">
        <v>12217</v>
      </c>
      <c r="C5963" t="s">
        <v>13295</v>
      </c>
      <c r="D5963" t="s">
        <v>45</v>
      </c>
      <c r="E5963">
        <v>493</v>
      </c>
      <c r="F5963">
        <v>4</v>
      </c>
      <c r="G5963">
        <v>4</v>
      </c>
      <c r="H5963">
        <v>1</v>
      </c>
      <c r="I5963">
        <v>0</v>
      </c>
      <c r="J5963">
        <v>0.80818965517241403</v>
      </c>
      <c r="K5963">
        <v>0.94488503167240301</v>
      </c>
      <c r="L5963">
        <v>0.87120795668928996</v>
      </c>
      <c r="M5963">
        <v>0.66463414634146301</v>
      </c>
      <c r="N5963">
        <v>0.97560975609756095</v>
      </c>
      <c r="O5963">
        <v>0.73272357723577197</v>
      </c>
      <c r="P5963" t="s">
        <v>1981</v>
      </c>
      <c r="Q5963" t="s">
        <v>1982</v>
      </c>
      <c r="R5963" t="s">
        <v>96</v>
      </c>
      <c r="S5963" t="s">
        <v>97</v>
      </c>
      <c r="T5963" t="s">
        <v>12218</v>
      </c>
      <c r="U5963" t="s">
        <v>12219</v>
      </c>
      <c r="V5963" t="s">
        <v>12220</v>
      </c>
      <c r="W5963" t="s">
        <v>12221</v>
      </c>
      <c r="AD5963" t="s">
        <v>219</v>
      </c>
      <c r="AE5963" t="s">
        <v>12222</v>
      </c>
      <c r="AF5963" t="e">
        <f>------MSENMRLKPGAVAPAFSLPNDAGETTSLADYAGERVIVYFYPKANTPGCTKEACDFRDSLAQLNGAGVAVVGISPDSPERLAKFRKDHGLTFPLLSDVDKAVMRSYGAFGEKKNYGKVVQGVIRSTFVVGADGMIEKALYNVRATGHVARVLRELGFN</f>
        <v>#NAME?</v>
      </c>
    </row>
    <row r="5964" spans="1:32" hidden="1" x14ac:dyDescent="0.35">
      <c r="A5964">
        <v>6002</v>
      </c>
      <c r="B5964" t="s">
        <v>12339</v>
      </c>
      <c r="C5964" t="s">
        <v>13295</v>
      </c>
      <c r="D5964" t="s">
        <v>58</v>
      </c>
      <c r="E5964">
        <v>1752</v>
      </c>
      <c r="F5964">
        <v>3</v>
      </c>
      <c r="G5964">
        <v>3</v>
      </c>
      <c r="H5964">
        <v>1</v>
      </c>
      <c r="I5964">
        <v>0</v>
      </c>
      <c r="J5964">
        <v>0.78068535825545204</v>
      </c>
      <c r="K5964">
        <v>0.89114657734430203</v>
      </c>
      <c r="L5964">
        <v>0.83226677296672003</v>
      </c>
      <c r="M5964">
        <v>0.524752475247525</v>
      </c>
      <c r="N5964">
        <v>1</v>
      </c>
      <c r="O5964">
        <v>0.683168316831683</v>
      </c>
      <c r="P5964" t="s">
        <v>12340</v>
      </c>
      <c r="Q5964" t="s">
        <v>12341</v>
      </c>
      <c r="R5964" t="s">
        <v>96</v>
      </c>
      <c r="S5964" t="s">
        <v>97</v>
      </c>
      <c r="T5964" t="s">
        <v>12342</v>
      </c>
      <c r="U5964" t="s">
        <v>12343</v>
      </c>
      <c r="V5964" t="s">
        <v>12344</v>
      </c>
      <c r="W5964" t="s">
        <v>12345</v>
      </c>
      <c r="AD5964" t="s">
        <v>1345</v>
      </c>
      <c r="AE5964" t="s">
        <v>12346</v>
      </c>
      <c r="AF5964" t="s">
        <v>12347</v>
      </c>
    </row>
    <row r="5965" spans="1:32" hidden="1" x14ac:dyDescent="0.35">
      <c r="A5965">
        <v>6003</v>
      </c>
      <c r="B5965" t="s">
        <v>12339</v>
      </c>
      <c r="C5965" t="s">
        <v>13295</v>
      </c>
      <c r="D5965" t="s">
        <v>60</v>
      </c>
      <c r="E5965">
        <v>2375</v>
      </c>
      <c r="F5965">
        <v>3</v>
      </c>
      <c r="G5965">
        <v>3</v>
      </c>
      <c r="H5965">
        <v>1</v>
      </c>
      <c r="I5965">
        <v>0</v>
      </c>
      <c r="J5965">
        <v>0.78068535825545204</v>
      </c>
      <c r="K5965">
        <v>0.89114657734430203</v>
      </c>
      <c r="L5965">
        <v>0.83226677296672003</v>
      </c>
      <c r="M5965">
        <v>0.524752475247525</v>
      </c>
      <c r="N5965">
        <v>1</v>
      </c>
      <c r="O5965">
        <v>0.683168316831683</v>
      </c>
      <c r="P5965" t="s">
        <v>12340</v>
      </c>
      <c r="Q5965" t="s">
        <v>12341</v>
      </c>
      <c r="R5965" t="s">
        <v>96</v>
      </c>
      <c r="S5965" t="s">
        <v>97</v>
      </c>
      <c r="T5965" t="s">
        <v>12342</v>
      </c>
      <c r="U5965" t="s">
        <v>12343</v>
      </c>
      <c r="V5965" t="s">
        <v>12344</v>
      </c>
      <c r="W5965" t="s">
        <v>12345</v>
      </c>
      <c r="AD5965" t="s">
        <v>1345</v>
      </c>
      <c r="AE5965" t="s">
        <v>12346</v>
      </c>
      <c r="AF5965" t="s">
        <v>12348</v>
      </c>
    </row>
    <row r="5966" spans="1:32" hidden="1" x14ac:dyDescent="0.35">
      <c r="A5966">
        <v>6004</v>
      </c>
      <c r="B5966" t="s">
        <v>12339</v>
      </c>
      <c r="C5966" t="s">
        <v>13295</v>
      </c>
      <c r="D5966" t="s">
        <v>62</v>
      </c>
      <c r="E5966">
        <v>2403</v>
      </c>
      <c r="F5966">
        <v>3</v>
      </c>
      <c r="G5966">
        <v>3</v>
      </c>
      <c r="H5966">
        <v>1</v>
      </c>
      <c r="I5966">
        <v>0</v>
      </c>
      <c r="J5966">
        <v>0.78068535825545204</v>
      </c>
      <c r="K5966">
        <v>0.89114657734430203</v>
      </c>
      <c r="L5966">
        <v>0.83226677296672003</v>
      </c>
      <c r="M5966">
        <v>0.524752475247525</v>
      </c>
      <c r="N5966">
        <v>1</v>
      </c>
      <c r="O5966">
        <v>0.683168316831683</v>
      </c>
      <c r="P5966" t="s">
        <v>12340</v>
      </c>
      <c r="Q5966" t="s">
        <v>12341</v>
      </c>
      <c r="R5966" t="s">
        <v>96</v>
      </c>
      <c r="S5966" t="s">
        <v>97</v>
      </c>
      <c r="T5966" t="s">
        <v>12342</v>
      </c>
      <c r="U5966" t="s">
        <v>12343</v>
      </c>
      <c r="V5966" t="s">
        <v>12344</v>
      </c>
      <c r="W5966" t="s">
        <v>12345</v>
      </c>
      <c r="AD5966" t="s">
        <v>1345</v>
      </c>
      <c r="AE5966" t="s">
        <v>12346</v>
      </c>
      <c r="AF5966" t="s">
        <v>12348</v>
      </c>
    </row>
    <row r="5967" spans="1:32" hidden="1" x14ac:dyDescent="0.35">
      <c r="A5967">
        <v>5966</v>
      </c>
      <c r="B5967" t="s">
        <v>12274</v>
      </c>
      <c r="C5967" t="s">
        <v>13295</v>
      </c>
      <c r="D5967" t="s">
        <v>58</v>
      </c>
      <c r="E5967">
        <v>1482</v>
      </c>
      <c r="F5967">
        <v>3</v>
      </c>
      <c r="G5967">
        <v>3</v>
      </c>
      <c r="H5967">
        <v>1</v>
      </c>
      <c r="I5967">
        <v>0</v>
      </c>
      <c r="J5967">
        <v>0.80337941628264198</v>
      </c>
      <c r="K5967">
        <v>0.94178628389154695</v>
      </c>
      <c r="L5967">
        <v>0.867094413946218</v>
      </c>
      <c r="M5967">
        <v>0.57142857142857095</v>
      </c>
      <c r="N5967">
        <v>1</v>
      </c>
      <c r="O5967">
        <v>0.71428571428571397</v>
      </c>
      <c r="R5967" t="s">
        <v>12275</v>
      </c>
      <c r="S5967" t="s">
        <v>12276</v>
      </c>
      <c r="V5967" t="s">
        <v>12277</v>
      </c>
      <c r="W5967" t="s">
        <v>12278</v>
      </c>
      <c r="AF5967" t="s">
        <v>12279</v>
      </c>
    </row>
    <row r="5968" spans="1:32" hidden="1" x14ac:dyDescent="0.35">
      <c r="A5968">
        <v>5967</v>
      </c>
      <c r="B5968" t="s">
        <v>12274</v>
      </c>
      <c r="C5968" t="s">
        <v>13295</v>
      </c>
      <c r="D5968" t="s">
        <v>60</v>
      </c>
      <c r="E5968">
        <v>1995</v>
      </c>
      <c r="F5968">
        <v>3</v>
      </c>
      <c r="G5968">
        <v>3</v>
      </c>
      <c r="H5968">
        <v>1</v>
      </c>
      <c r="I5968">
        <v>0</v>
      </c>
      <c r="J5968">
        <v>0.80337941628264198</v>
      </c>
      <c r="K5968">
        <v>0.94178628389154695</v>
      </c>
      <c r="L5968">
        <v>0.867094413946218</v>
      </c>
      <c r="M5968">
        <v>0.57142857142857095</v>
      </c>
      <c r="N5968">
        <v>1</v>
      </c>
      <c r="O5968">
        <v>0.71428571428571397</v>
      </c>
      <c r="R5968" t="s">
        <v>12275</v>
      </c>
      <c r="S5968" t="s">
        <v>12276</v>
      </c>
      <c r="V5968" t="s">
        <v>12277</v>
      </c>
      <c r="W5968" t="s">
        <v>12278</v>
      </c>
      <c r="AF5968" t="s">
        <v>12280</v>
      </c>
    </row>
    <row r="5969" spans="1:32" hidden="1" x14ac:dyDescent="0.35">
      <c r="A5969">
        <v>5968</v>
      </c>
      <c r="B5969" t="s">
        <v>12274</v>
      </c>
      <c r="C5969" t="s">
        <v>13295</v>
      </c>
      <c r="D5969" t="s">
        <v>62</v>
      </c>
      <c r="E5969">
        <v>2036</v>
      </c>
      <c r="F5969">
        <v>3</v>
      </c>
      <c r="G5969">
        <v>3</v>
      </c>
      <c r="H5969">
        <v>1</v>
      </c>
      <c r="I5969">
        <v>0</v>
      </c>
      <c r="J5969">
        <v>0.80337941628264198</v>
      </c>
      <c r="K5969">
        <v>0.94178628389154695</v>
      </c>
      <c r="L5969">
        <v>0.867094413946218</v>
      </c>
      <c r="M5969">
        <v>0.57142857142857095</v>
      </c>
      <c r="N5969">
        <v>1</v>
      </c>
      <c r="O5969">
        <v>0.71428571428571397</v>
      </c>
      <c r="R5969" t="s">
        <v>12275</v>
      </c>
      <c r="S5969" t="s">
        <v>12276</v>
      </c>
      <c r="V5969" t="s">
        <v>12277</v>
      </c>
      <c r="W5969" t="s">
        <v>12278</v>
      </c>
      <c r="AF5969" t="s">
        <v>12280</v>
      </c>
    </row>
    <row r="5970" spans="1:32" hidden="1" x14ac:dyDescent="0.35">
      <c r="A5970">
        <v>5969</v>
      </c>
      <c r="B5970" t="s">
        <v>12281</v>
      </c>
      <c r="C5970" t="s">
        <v>13295</v>
      </c>
      <c r="D5970" t="s">
        <v>34</v>
      </c>
      <c r="E5970">
        <v>480</v>
      </c>
      <c r="F5970">
        <v>2</v>
      </c>
      <c r="G5970">
        <v>3</v>
      </c>
      <c r="H5970">
        <v>2</v>
      </c>
      <c r="I5970">
        <v>0</v>
      </c>
      <c r="J5970">
        <v>0.89054726368159198</v>
      </c>
      <c r="K5970">
        <v>0.99259259259259303</v>
      </c>
      <c r="L5970">
        <v>0.93880506467836999</v>
      </c>
      <c r="M5970">
        <v>0.78888888888888897</v>
      </c>
      <c r="N5970">
        <v>1</v>
      </c>
      <c r="O5970">
        <v>0.85925925925925895</v>
      </c>
      <c r="AF5970" t="s">
        <v>12282</v>
      </c>
    </row>
    <row r="5971" spans="1:32" hidden="1" x14ac:dyDescent="0.35">
      <c r="A5971">
        <v>5970</v>
      </c>
      <c r="B5971" t="s">
        <v>12281</v>
      </c>
      <c r="C5971" t="s">
        <v>13295</v>
      </c>
      <c r="D5971" t="s">
        <v>45</v>
      </c>
      <c r="E5971">
        <v>1745</v>
      </c>
      <c r="F5971">
        <v>2</v>
      </c>
      <c r="G5971">
        <v>3</v>
      </c>
      <c r="H5971">
        <v>2</v>
      </c>
      <c r="I5971">
        <v>0</v>
      </c>
      <c r="J5971">
        <v>0.89054726368159198</v>
      </c>
      <c r="K5971">
        <v>0.99259259259259303</v>
      </c>
      <c r="L5971">
        <v>0.93880506467836999</v>
      </c>
      <c r="M5971">
        <v>0.78888888888888897</v>
      </c>
      <c r="N5971">
        <v>1</v>
      </c>
      <c r="O5971">
        <v>0.85925925925925895</v>
      </c>
      <c r="AF5971" t="s">
        <v>12282</v>
      </c>
    </row>
    <row r="5972" spans="1:32" hidden="1" x14ac:dyDescent="0.35">
      <c r="A5972">
        <v>5971</v>
      </c>
      <c r="B5972" t="s">
        <v>12281</v>
      </c>
      <c r="C5972" t="s">
        <v>13295</v>
      </c>
      <c r="D5972" t="s">
        <v>45</v>
      </c>
      <c r="E5972">
        <v>2394</v>
      </c>
      <c r="F5972">
        <v>2</v>
      </c>
      <c r="G5972">
        <v>3</v>
      </c>
      <c r="H5972">
        <v>2</v>
      </c>
      <c r="I5972">
        <v>0</v>
      </c>
      <c r="J5972">
        <v>0.89054726368159198</v>
      </c>
      <c r="K5972">
        <v>0.99259259259259303</v>
      </c>
      <c r="L5972">
        <v>0.93880506467836999</v>
      </c>
      <c r="M5972">
        <v>0.78888888888888897</v>
      </c>
      <c r="N5972">
        <v>1</v>
      </c>
      <c r="O5972">
        <v>0.85925925925925895</v>
      </c>
      <c r="AF5972" t="s">
        <v>12283</v>
      </c>
    </row>
    <row r="5973" spans="1:32" hidden="1" x14ac:dyDescent="0.35">
      <c r="A5973">
        <v>5972</v>
      </c>
      <c r="B5973" t="s">
        <v>12284</v>
      </c>
      <c r="C5973" t="s">
        <v>13295</v>
      </c>
      <c r="D5973" t="s">
        <v>58</v>
      </c>
      <c r="E5973">
        <v>1310</v>
      </c>
      <c r="F5973">
        <v>3</v>
      </c>
      <c r="G5973">
        <v>3</v>
      </c>
      <c r="H5973">
        <v>1</v>
      </c>
      <c r="I5973">
        <v>0</v>
      </c>
      <c r="J5973">
        <v>0.79779917469050898</v>
      </c>
      <c r="K5973">
        <v>0.95659190308020003</v>
      </c>
      <c r="L5973">
        <v>0.87000924761058296</v>
      </c>
      <c r="M5973">
        <v>0.53451676528599601</v>
      </c>
      <c r="N5973">
        <v>1</v>
      </c>
      <c r="O5973">
        <v>0.68967784352399697</v>
      </c>
      <c r="T5973" t="s">
        <v>12285</v>
      </c>
      <c r="U5973" t="s">
        <v>5012</v>
      </c>
      <c r="AD5973" t="s">
        <v>5013</v>
      </c>
      <c r="AE5973" t="s">
        <v>5014</v>
      </c>
      <c r="AF5973" t="s">
        <v>12286</v>
      </c>
    </row>
    <row r="5974" spans="1:32" hidden="1" x14ac:dyDescent="0.35">
      <c r="A5974">
        <v>5973</v>
      </c>
      <c r="B5974" t="s">
        <v>12284</v>
      </c>
      <c r="C5974" t="s">
        <v>13295</v>
      </c>
      <c r="D5974" t="s">
        <v>60</v>
      </c>
      <c r="E5974">
        <v>1765</v>
      </c>
      <c r="F5974">
        <v>3</v>
      </c>
      <c r="G5974">
        <v>3</v>
      </c>
      <c r="H5974">
        <v>1</v>
      </c>
      <c r="I5974">
        <v>0</v>
      </c>
      <c r="J5974">
        <v>0.79779917469050898</v>
      </c>
      <c r="K5974">
        <v>0.95659190308020003</v>
      </c>
      <c r="L5974">
        <v>0.87000924761058296</v>
      </c>
      <c r="M5974">
        <v>0.53451676528599601</v>
      </c>
      <c r="N5974">
        <v>1</v>
      </c>
      <c r="O5974">
        <v>0.68967784352399697</v>
      </c>
      <c r="T5974" t="s">
        <v>12285</v>
      </c>
      <c r="U5974" t="s">
        <v>5012</v>
      </c>
      <c r="AD5974" t="s">
        <v>5013</v>
      </c>
      <c r="AE5974" t="s">
        <v>5014</v>
      </c>
      <c r="AF5974" t="s">
        <v>12287</v>
      </c>
    </row>
    <row r="5975" spans="1:32" hidden="1" x14ac:dyDescent="0.35">
      <c r="A5975">
        <v>5974</v>
      </c>
      <c r="B5975" t="s">
        <v>12284</v>
      </c>
      <c r="C5975" t="s">
        <v>13295</v>
      </c>
      <c r="D5975" t="s">
        <v>62</v>
      </c>
      <c r="E5975">
        <v>1801</v>
      </c>
      <c r="F5975">
        <v>3</v>
      </c>
      <c r="G5975">
        <v>3</v>
      </c>
      <c r="H5975">
        <v>1</v>
      </c>
      <c r="I5975">
        <v>0</v>
      </c>
      <c r="J5975">
        <v>0.79779917469050898</v>
      </c>
      <c r="K5975">
        <v>0.95659190308020003</v>
      </c>
      <c r="L5975">
        <v>0.87000924761058296</v>
      </c>
      <c r="M5975">
        <v>0.53451676528599601</v>
      </c>
      <c r="N5975">
        <v>1</v>
      </c>
      <c r="O5975">
        <v>0.68967784352399697</v>
      </c>
      <c r="T5975" t="s">
        <v>12285</v>
      </c>
      <c r="U5975" t="s">
        <v>5012</v>
      </c>
      <c r="AD5975" t="s">
        <v>5013</v>
      </c>
      <c r="AE5975" t="s">
        <v>5014</v>
      </c>
      <c r="AF5975" t="s">
        <v>12287</v>
      </c>
    </row>
    <row r="5976" spans="1:32" hidden="1" x14ac:dyDescent="0.35">
      <c r="A5976">
        <v>11651</v>
      </c>
      <c r="B5976" t="s">
        <v>23875</v>
      </c>
      <c r="C5976" t="s">
        <v>33</v>
      </c>
      <c r="D5976" t="s">
        <v>58</v>
      </c>
      <c r="E5976">
        <v>626</v>
      </c>
      <c r="F5976">
        <v>1</v>
      </c>
      <c r="G5976">
        <v>1</v>
      </c>
      <c r="H5976">
        <v>1</v>
      </c>
      <c r="I5976">
        <v>0</v>
      </c>
      <c r="J5976">
        <v>1</v>
      </c>
      <c r="K5976">
        <v>1</v>
      </c>
      <c r="L5976">
        <v>1</v>
      </c>
      <c r="M5976">
        <v>0</v>
      </c>
      <c r="N5976">
        <v>0</v>
      </c>
      <c r="O5976">
        <v>0</v>
      </c>
      <c r="P5976" t="s">
        <v>23876</v>
      </c>
      <c r="Q5976" t="s">
        <v>23877</v>
      </c>
      <c r="R5976" t="s">
        <v>4521</v>
      </c>
      <c r="S5976" t="s">
        <v>4522</v>
      </c>
      <c r="T5976" t="s">
        <v>23878</v>
      </c>
      <c r="U5976" t="s">
        <v>23879</v>
      </c>
      <c r="V5976" t="s">
        <v>23880</v>
      </c>
      <c r="W5976" t="s">
        <v>23881</v>
      </c>
      <c r="Z5976" t="s">
        <v>22138</v>
      </c>
      <c r="AA5976" t="s">
        <v>22139</v>
      </c>
      <c r="AB5976" t="s">
        <v>22138</v>
      </c>
      <c r="AC5976" t="s">
        <v>21973</v>
      </c>
      <c r="AD5976" t="s">
        <v>219</v>
      </c>
      <c r="AE5976" t="s">
        <v>23882</v>
      </c>
      <c r="AF5976" t="s">
        <v>23883</v>
      </c>
    </row>
    <row r="5977" spans="1:32" hidden="1" x14ac:dyDescent="0.35">
      <c r="A5977">
        <v>5997</v>
      </c>
      <c r="B5977" t="s">
        <v>12326</v>
      </c>
      <c r="C5977" t="s">
        <v>13295</v>
      </c>
      <c r="D5977" t="s">
        <v>60</v>
      </c>
      <c r="E5977">
        <v>231</v>
      </c>
      <c r="F5977">
        <v>3</v>
      </c>
      <c r="G5977">
        <v>3</v>
      </c>
      <c r="H5977">
        <v>1</v>
      </c>
      <c r="I5977">
        <v>0</v>
      </c>
      <c r="J5977">
        <v>0.76660988074957404</v>
      </c>
      <c r="K5977">
        <v>0.976064006650046</v>
      </c>
      <c r="L5977">
        <v>0.85874966871567804</v>
      </c>
      <c r="M5977">
        <v>0.54364089775561097</v>
      </c>
      <c r="N5977">
        <v>1</v>
      </c>
      <c r="O5977">
        <v>0.69576059850374095</v>
      </c>
      <c r="P5977" t="s">
        <v>12327</v>
      </c>
      <c r="Q5977" t="s">
        <v>12328</v>
      </c>
      <c r="R5977" t="s">
        <v>371</v>
      </c>
      <c r="S5977" t="s">
        <v>372</v>
      </c>
      <c r="T5977" t="s">
        <v>12329</v>
      </c>
      <c r="U5977" t="s">
        <v>12330</v>
      </c>
      <c r="V5977" t="s">
        <v>12331</v>
      </c>
      <c r="W5977" t="s">
        <v>12332</v>
      </c>
      <c r="AD5977" t="s">
        <v>3961</v>
      </c>
      <c r="AE5977" t="s">
        <v>3962</v>
      </c>
      <c r="AF5977" t="s">
        <v>12333</v>
      </c>
    </row>
    <row r="5978" spans="1:32" hidden="1" x14ac:dyDescent="0.35">
      <c r="A5978">
        <v>5998</v>
      </c>
      <c r="B5978" t="s">
        <v>12326</v>
      </c>
      <c r="C5978" t="s">
        <v>13295</v>
      </c>
      <c r="D5978" t="s">
        <v>62</v>
      </c>
      <c r="E5978">
        <v>308</v>
      </c>
      <c r="F5978">
        <v>3</v>
      </c>
      <c r="G5978">
        <v>3</v>
      </c>
      <c r="H5978">
        <v>1</v>
      </c>
      <c r="I5978">
        <v>0</v>
      </c>
      <c r="J5978">
        <v>0.76660988074957404</v>
      </c>
      <c r="K5978">
        <v>0.976064006650046</v>
      </c>
      <c r="L5978">
        <v>0.85874966871567804</v>
      </c>
      <c r="M5978">
        <v>0.54364089775561097</v>
      </c>
      <c r="N5978">
        <v>1</v>
      </c>
      <c r="O5978">
        <v>0.69576059850374095</v>
      </c>
      <c r="P5978" t="s">
        <v>12327</v>
      </c>
      <c r="Q5978" t="s">
        <v>12328</v>
      </c>
      <c r="R5978" t="s">
        <v>371</v>
      </c>
      <c r="S5978" t="s">
        <v>372</v>
      </c>
      <c r="T5978" t="s">
        <v>12329</v>
      </c>
      <c r="U5978" t="s">
        <v>12330</v>
      </c>
      <c r="V5978" t="s">
        <v>12331</v>
      </c>
      <c r="W5978" t="s">
        <v>12332</v>
      </c>
      <c r="AD5978" t="s">
        <v>3961</v>
      </c>
      <c r="AE5978" t="s">
        <v>3962</v>
      </c>
      <c r="AF5978" t="s">
        <v>12333</v>
      </c>
    </row>
    <row r="5979" spans="1:32" hidden="1" x14ac:dyDescent="0.35">
      <c r="A5979">
        <v>1344</v>
      </c>
      <c r="B5979" t="s">
        <v>2784</v>
      </c>
      <c r="C5979" t="s">
        <v>72</v>
      </c>
      <c r="D5979" t="s">
        <v>58</v>
      </c>
      <c r="E5979">
        <v>1395</v>
      </c>
      <c r="F5979">
        <v>5</v>
      </c>
      <c r="G5979">
        <v>5</v>
      </c>
      <c r="H5979">
        <v>1</v>
      </c>
      <c r="I5979">
        <v>1</v>
      </c>
      <c r="J5979">
        <v>0.85066337550138804</v>
      </c>
      <c r="K5979">
        <v>0.94629942202444794</v>
      </c>
      <c r="L5979">
        <v>0.89593647868801296</v>
      </c>
      <c r="M5979">
        <v>0.64723032069970798</v>
      </c>
      <c r="N5979">
        <v>1</v>
      </c>
      <c r="O5979">
        <v>0.76268221574343997</v>
      </c>
      <c r="P5979" t="s">
        <v>2785</v>
      </c>
      <c r="Q5979" t="s">
        <v>2786</v>
      </c>
      <c r="R5979" t="s">
        <v>1191</v>
      </c>
      <c r="S5979" t="s">
        <v>1192</v>
      </c>
      <c r="T5979" t="s">
        <v>2787</v>
      </c>
      <c r="U5979" t="s">
        <v>2788</v>
      </c>
      <c r="V5979" t="s">
        <v>2789</v>
      </c>
      <c r="W5979" t="s">
        <v>2790</v>
      </c>
      <c r="AD5979" t="s">
        <v>410</v>
      </c>
      <c r="AE5979" t="s">
        <v>1407</v>
      </c>
      <c r="AF5979" t="e">
        <f>---------MITQEFELDASHAQTVLGTNDANLKAMEKYLDCDIFVRGTRVTINGEDHNVAQAVKVLRDLESMARRGYALSPDSVKHTTRAV-----HSVRQIVADDIIARRGKVVRPKTTGQKAYVEAIDENTIVFGIGPAGSGKTYLAMAKAVQALNNKEVSRIILTRPAVEAGEKLGFLPGTLNEKIDPYLRPLHDALRDMVEAESIPKMMESGIVEVAPLAYMRGRTLNDAFVILDEAQNTTPAQMKMFLTRLGFGSKMVVTGDISQVDLPGGQHSGLKVVRHILKGIDGVHFSELGSEDVVRHQLVGRIVDAYDNYDNKS-ARENGAGHAVDTETQGQ</f>
        <v>#NAME?</v>
      </c>
    </row>
    <row r="5980" spans="1:32" hidden="1" x14ac:dyDescent="0.35">
      <c r="A5980">
        <v>5904</v>
      </c>
      <c r="B5980" t="s">
        <v>12150</v>
      </c>
      <c r="C5980" t="s">
        <v>13295</v>
      </c>
      <c r="D5980" t="s">
        <v>60</v>
      </c>
      <c r="E5980">
        <v>1368</v>
      </c>
      <c r="F5980">
        <v>4</v>
      </c>
      <c r="G5980">
        <v>4</v>
      </c>
      <c r="H5980">
        <v>1</v>
      </c>
      <c r="I5980">
        <v>0</v>
      </c>
      <c r="J5980">
        <v>0.92183622828784095</v>
      </c>
      <c r="K5980">
        <v>0.65123591686091697</v>
      </c>
      <c r="L5980">
        <v>0.763261701856492</v>
      </c>
      <c r="M5980">
        <v>0.20738636363636401</v>
      </c>
      <c r="N5980">
        <v>0.97159090909090895</v>
      </c>
      <c r="O5980">
        <v>0.47443181818181801</v>
      </c>
      <c r="R5980" t="s">
        <v>516</v>
      </c>
      <c r="S5980" t="s">
        <v>517</v>
      </c>
      <c r="V5980" t="s">
        <v>12151</v>
      </c>
      <c r="W5980" t="s">
        <v>12152</v>
      </c>
      <c r="AF5980" t="s">
        <v>221</v>
      </c>
    </row>
    <row r="5981" spans="1:32" hidden="1" x14ac:dyDescent="0.35">
      <c r="A5981">
        <v>5905</v>
      </c>
      <c r="B5981" t="s">
        <v>12150</v>
      </c>
      <c r="C5981" t="s">
        <v>13295</v>
      </c>
      <c r="D5981" t="s">
        <v>62</v>
      </c>
      <c r="E5981">
        <v>1404</v>
      </c>
      <c r="F5981">
        <v>4</v>
      </c>
      <c r="G5981">
        <v>4</v>
      </c>
      <c r="H5981">
        <v>1</v>
      </c>
      <c r="I5981">
        <v>0</v>
      </c>
      <c r="J5981">
        <v>0.92183622828784095</v>
      </c>
      <c r="K5981">
        <v>0.65123591686091697</v>
      </c>
      <c r="L5981">
        <v>0.763261701856492</v>
      </c>
      <c r="M5981">
        <v>0.20738636363636401</v>
      </c>
      <c r="N5981">
        <v>0.97159090909090895</v>
      </c>
      <c r="O5981">
        <v>0.47443181818181801</v>
      </c>
      <c r="R5981" t="s">
        <v>516</v>
      </c>
      <c r="S5981" t="s">
        <v>517</v>
      </c>
      <c r="V5981" t="s">
        <v>12151</v>
      </c>
      <c r="W5981" t="s">
        <v>12152</v>
      </c>
      <c r="AF5981" t="s">
        <v>12153</v>
      </c>
    </row>
    <row r="5982" spans="1:32" hidden="1" x14ac:dyDescent="0.35">
      <c r="A5982">
        <v>5981</v>
      </c>
      <c r="B5982" t="s">
        <v>12302</v>
      </c>
      <c r="C5982" t="s">
        <v>13295</v>
      </c>
      <c r="D5982" t="s">
        <v>58</v>
      </c>
      <c r="E5982">
        <v>721</v>
      </c>
      <c r="F5982">
        <v>3</v>
      </c>
      <c r="G5982">
        <v>3</v>
      </c>
      <c r="H5982">
        <v>1</v>
      </c>
      <c r="I5982">
        <v>0</v>
      </c>
      <c r="J5982">
        <v>0.91713747645951005</v>
      </c>
      <c r="K5982">
        <v>0.87730465320456497</v>
      </c>
      <c r="L5982">
        <v>0.89677896258136303</v>
      </c>
      <c r="M5982">
        <v>0.66176470588235303</v>
      </c>
      <c r="N5982">
        <v>1</v>
      </c>
      <c r="O5982">
        <v>0.77450980392156898</v>
      </c>
      <c r="P5982" t="s">
        <v>12303</v>
      </c>
      <c r="Q5982" t="s">
        <v>12304</v>
      </c>
      <c r="AF5982" t="e">
        <f>------------MAAMKPRTGNGPMEAVEEGRKIVMRVPTDGGGRLVIEMNKEEAGELGALLTAVAES</f>
        <v>#NAME?</v>
      </c>
    </row>
    <row r="5983" spans="1:32" hidden="1" x14ac:dyDescent="0.35">
      <c r="A5983">
        <v>5982</v>
      </c>
      <c r="B5983" t="s">
        <v>12302</v>
      </c>
      <c r="C5983" t="s">
        <v>13295</v>
      </c>
      <c r="D5983" t="s">
        <v>60</v>
      </c>
      <c r="E5983">
        <v>936</v>
      </c>
      <c r="F5983">
        <v>3</v>
      </c>
      <c r="G5983">
        <v>3</v>
      </c>
      <c r="H5983">
        <v>1</v>
      </c>
      <c r="I5983">
        <v>0</v>
      </c>
      <c r="J5983">
        <v>0.91713747645951005</v>
      </c>
      <c r="K5983">
        <v>0.87730465320456497</v>
      </c>
      <c r="L5983">
        <v>0.89677896258136303</v>
      </c>
      <c r="M5983">
        <v>0.66176470588235303</v>
      </c>
      <c r="N5983">
        <v>1</v>
      </c>
      <c r="O5983">
        <v>0.77450980392156898</v>
      </c>
      <c r="P5983" t="s">
        <v>12303</v>
      </c>
      <c r="Q5983" t="s">
        <v>12304</v>
      </c>
      <c r="AF5983" t="s">
        <v>12305</v>
      </c>
    </row>
    <row r="5984" spans="1:32" hidden="1" x14ac:dyDescent="0.35">
      <c r="A5984">
        <v>5983</v>
      </c>
      <c r="B5984" t="s">
        <v>12302</v>
      </c>
      <c r="C5984" t="s">
        <v>13295</v>
      </c>
      <c r="D5984" t="s">
        <v>62</v>
      </c>
      <c r="E5984">
        <v>972</v>
      </c>
      <c r="F5984">
        <v>3</v>
      </c>
      <c r="G5984">
        <v>3</v>
      </c>
      <c r="H5984">
        <v>1</v>
      </c>
      <c r="I5984">
        <v>0</v>
      </c>
      <c r="J5984">
        <v>0.91713747645951005</v>
      </c>
      <c r="K5984">
        <v>0.87730465320456497</v>
      </c>
      <c r="L5984">
        <v>0.89677896258136303</v>
      </c>
      <c r="M5984">
        <v>0.66176470588235303</v>
      </c>
      <c r="N5984">
        <v>1</v>
      </c>
      <c r="O5984">
        <v>0.77450980392156898</v>
      </c>
      <c r="P5984" t="s">
        <v>12303</v>
      </c>
      <c r="Q5984" t="s">
        <v>12304</v>
      </c>
      <c r="AF5984" t="s">
        <v>12305</v>
      </c>
    </row>
    <row r="5985" spans="1:32" hidden="1" x14ac:dyDescent="0.35">
      <c r="A5985">
        <v>5906</v>
      </c>
      <c r="B5985" t="s">
        <v>12150</v>
      </c>
      <c r="C5985" t="s">
        <v>13295</v>
      </c>
      <c r="D5985" t="s">
        <v>34</v>
      </c>
      <c r="E5985">
        <v>2309</v>
      </c>
      <c r="F5985">
        <v>4</v>
      </c>
      <c r="G5985">
        <v>4</v>
      </c>
      <c r="H5985">
        <v>1</v>
      </c>
      <c r="I5985">
        <v>0</v>
      </c>
      <c r="J5985">
        <v>0.92183622828784095</v>
      </c>
      <c r="K5985">
        <v>0.65123591686091697</v>
      </c>
      <c r="L5985">
        <v>0.763261701856492</v>
      </c>
      <c r="M5985">
        <v>0.20738636363636401</v>
      </c>
      <c r="N5985">
        <v>0.97159090909090895</v>
      </c>
      <c r="O5985">
        <v>0.47443181818181801</v>
      </c>
      <c r="P5985" t="s">
        <v>12154</v>
      </c>
      <c r="Q5985" t="s">
        <v>12155</v>
      </c>
      <c r="R5985" t="s">
        <v>516</v>
      </c>
      <c r="S5985" t="s">
        <v>517</v>
      </c>
      <c r="V5985" t="s">
        <v>12151</v>
      </c>
      <c r="W5985" t="s">
        <v>12152</v>
      </c>
      <c r="AF5985" t="s">
        <v>12156</v>
      </c>
    </row>
    <row r="5986" spans="1:32" hidden="1" x14ac:dyDescent="0.35">
      <c r="A5986">
        <v>5907</v>
      </c>
      <c r="B5986" t="s">
        <v>12150</v>
      </c>
      <c r="C5986" t="s">
        <v>13295</v>
      </c>
      <c r="D5986" t="s">
        <v>45</v>
      </c>
      <c r="E5986">
        <v>569</v>
      </c>
      <c r="F5986">
        <v>4</v>
      </c>
      <c r="G5986">
        <v>4</v>
      </c>
      <c r="H5986">
        <v>1</v>
      </c>
      <c r="I5986">
        <v>0</v>
      </c>
      <c r="J5986">
        <v>0.92183622828784095</v>
      </c>
      <c r="K5986">
        <v>0.65123591686091697</v>
      </c>
      <c r="L5986">
        <v>0.763261701856492</v>
      </c>
      <c r="M5986">
        <v>0.20738636363636401</v>
      </c>
      <c r="N5986">
        <v>0.97159090909090895</v>
      </c>
      <c r="O5986">
        <v>0.47443181818181801</v>
      </c>
      <c r="P5986" t="s">
        <v>12154</v>
      </c>
      <c r="Q5986" t="s">
        <v>12155</v>
      </c>
      <c r="R5986" t="s">
        <v>516</v>
      </c>
      <c r="S5986" t="s">
        <v>517</v>
      </c>
      <c r="V5986" t="s">
        <v>12151</v>
      </c>
      <c r="W5986" t="s">
        <v>12152</v>
      </c>
      <c r="AF5986" t="s">
        <v>12157</v>
      </c>
    </row>
    <row r="5987" spans="1:32" hidden="1" x14ac:dyDescent="0.35">
      <c r="A5987">
        <v>5912</v>
      </c>
      <c r="B5987" t="s">
        <v>12163</v>
      </c>
      <c r="C5987" t="s">
        <v>13295</v>
      </c>
      <c r="D5987" t="s">
        <v>60</v>
      </c>
      <c r="E5987">
        <v>1282</v>
      </c>
      <c r="F5987">
        <v>4</v>
      </c>
      <c r="G5987">
        <v>4</v>
      </c>
      <c r="H5987">
        <v>1</v>
      </c>
      <c r="I5987">
        <v>0</v>
      </c>
      <c r="J5987">
        <v>0.78619453160017905</v>
      </c>
      <c r="K5987">
        <v>0.97115178689413795</v>
      </c>
      <c r="L5987">
        <v>0.86893996496272596</v>
      </c>
      <c r="M5987">
        <v>0.57441253263707603</v>
      </c>
      <c r="N5987">
        <v>0.98955613577023505</v>
      </c>
      <c r="O5987">
        <v>0.70974760661444702</v>
      </c>
      <c r="P5987" t="s">
        <v>6606</v>
      </c>
      <c r="Q5987" t="s">
        <v>6607</v>
      </c>
      <c r="R5987" t="s">
        <v>1191</v>
      </c>
      <c r="S5987" t="s">
        <v>1192</v>
      </c>
      <c r="T5987" t="s">
        <v>6602</v>
      </c>
      <c r="U5987" t="s">
        <v>6603</v>
      </c>
      <c r="V5987" t="s">
        <v>6600</v>
      </c>
      <c r="W5987" t="s">
        <v>6601</v>
      </c>
      <c r="AD5987" t="s">
        <v>1998</v>
      </c>
      <c r="AE5987" t="s">
        <v>6604</v>
      </c>
      <c r="AF5987" t="s">
        <v>12164</v>
      </c>
    </row>
    <row r="5988" spans="1:32" hidden="1" x14ac:dyDescent="0.35">
      <c r="A5988">
        <v>5987</v>
      </c>
      <c r="B5988" t="s">
        <v>12310</v>
      </c>
      <c r="C5988" t="s">
        <v>13295</v>
      </c>
      <c r="D5988" t="s">
        <v>58</v>
      </c>
      <c r="E5988">
        <v>982</v>
      </c>
      <c r="F5988">
        <v>3</v>
      </c>
      <c r="G5988">
        <v>3</v>
      </c>
      <c r="H5988">
        <v>1</v>
      </c>
      <c r="I5988">
        <v>0</v>
      </c>
      <c r="J5988">
        <v>0.84166666666666701</v>
      </c>
      <c r="K5988">
        <v>0.99688473520248999</v>
      </c>
      <c r="L5988">
        <v>0.91272362717273003</v>
      </c>
      <c r="M5988">
        <v>0.69158878504672905</v>
      </c>
      <c r="N5988">
        <v>1</v>
      </c>
      <c r="O5988">
        <v>0.79439252336448596</v>
      </c>
      <c r="P5988" t="s">
        <v>4889</v>
      </c>
      <c r="Q5988" t="s">
        <v>4890</v>
      </c>
      <c r="R5988" t="s">
        <v>4891</v>
      </c>
      <c r="S5988" t="s">
        <v>4892</v>
      </c>
      <c r="T5988" t="s">
        <v>4893</v>
      </c>
      <c r="U5988" t="s">
        <v>4894</v>
      </c>
      <c r="V5988" t="s">
        <v>4895</v>
      </c>
      <c r="W5988" t="s">
        <v>4896</v>
      </c>
      <c r="AD5988" t="s">
        <v>219</v>
      </c>
      <c r="AE5988" t="s">
        <v>4897</v>
      </c>
      <c r="AF5988" t="s">
        <v>12311</v>
      </c>
    </row>
    <row r="5989" spans="1:32" hidden="1" x14ac:dyDescent="0.35">
      <c r="A5989">
        <v>5988</v>
      </c>
      <c r="B5989" t="s">
        <v>12310</v>
      </c>
      <c r="C5989" t="s">
        <v>13295</v>
      </c>
      <c r="D5989" t="s">
        <v>60</v>
      </c>
      <c r="E5989">
        <v>1227</v>
      </c>
      <c r="F5989">
        <v>3</v>
      </c>
      <c r="G5989">
        <v>3</v>
      </c>
      <c r="H5989">
        <v>1</v>
      </c>
      <c r="I5989">
        <v>0</v>
      </c>
      <c r="J5989">
        <v>0.84166666666666701</v>
      </c>
      <c r="K5989">
        <v>0.99688473520248999</v>
      </c>
      <c r="L5989">
        <v>0.91272362717273003</v>
      </c>
      <c r="M5989">
        <v>0.69158878504672905</v>
      </c>
      <c r="N5989">
        <v>1</v>
      </c>
      <c r="O5989">
        <v>0.79439252336448596</v>
      </c>
      <c r="P5989" t="s">
        <v>4889</v>
      </c>
      <c r="Q5989" t="s">
        <v>4890</v>
      </c>
      <c r="R5989" t="s">
        <v>4891</v>
      </c>
      <c r="S5989" t="s">
        <v>4892</v>
      </c>
      <c r="T5989" t="s">
        <v>4893</v>
      </c>
      <c r="U5989" t="s">
        <v>4894</v>
      </c>
      <c r="V5989" t="s">
        <v>4895</v>
      </c>
      <c r="W5989" t="s">
        <v>4896</v>
      </c>
      <c r="AD5989" t="s">
        <v>219</v>
      </c>
      <c r="AE5989" t="s">
        <v>4897</v>
      </c>
      <c r="AF5989" t="s">
        <v>12312</v>
      </c>
    </row>
    <row r="5990" spans="1:32" hidden="1" x14ac:dyDescent="0.35">
      <c r="A5990">
        <v>5989</v>
      </c>
      <c r="B5990" t="s">
        <v>12310</v>
      </c>
      <c r="C5990" t="s">
        <v>13295</v>
      </c>
      <c r="D5990" t="s">
        <v>62</v>
      </c>
      <c r="E5990">
        <v>1264</v>
      </c>
      <c r="F5990">
        <v>3</v>
      </c>
      <c r="G5990">
        <v>3</v>
      </c>
      <c r="H5990">
        <v>1</v>
      </c>
      <c r="I5990">
        <v>0</v>
      </c>
      <c r="J5990">
        <v>0.84166666666666701</v>
      </c>
      <c r="K5990">
        <v>0.99688473520248999</v>
      </c>
      <c r="L5990">
        <v>0.91272362717273003</v>
      </c>
      <c r="M5990">
        <v>0.69158878504672905</v>
      </c>
      <c r="N5990">
        <v>1</v>
      </c>
      <c r="O5990">
        <v>0.79439252336448596</v>
      </c>
      <c r="P5990" t="s">
        <v>4889</v>
      </c>
      <c r="Q5990" t="s">
        <v>4890</v>
      </c>
      <c r="R5990" t="s">
        <v>4891</v>
      </c>
      <c r="S5990" t="s">
        <v>4892</v>
      </c>
      <c r="T5990" t="s">
        <v>4893</v>
      </c>
      <c r="U5990" t="s">
        <v>4894</v>
      </c>
      <c r="V5990" t="s">
        <v>4895</v>
      </c>
      <c r="W5990" t="s">
        <v>4896</v>
      </c>
      <c r="AD5990" t="s">
        <v>219</v>
      </c>
      <c r="AE5990" t="s">
        <v>4897</v>
      </c>
      <c r="AF5990" t="s">
        <v>12312</v>
      </c>
    </row>
    <row r="5991" spans="1:32" hidden="1" x14ac:dyDescent="0.35">
      <c r="A5991">
        <v>5913</v>
      </c>
      <c r="B5991" t="s">
        <v>12163</v>
      </c>
      <c r="C5991" t="s">
        <v>13295</v>
      </c>
      <c r="D5991" t="s">
        <v>62</v>
      </c>
      <c r="E5991">
        <v>1318</v>
      </c>
      <c r="F5991">
        <v>4</v>
      </c>
      <c r="G5991">
        <v>4</v>
      </c>
      <c r="H5991">
        <v>1</v>
      </c>
      <c r="I5991">
        <v>0</v>
      </c>
      <c r="J5991">
        <v>0.78619453160017905</v>
      </c>
      <c r="K5991">
        <v>0.97115178689413795</v>
      </c>
      <c r="L5991">
        <v>0.86893996496272596</v>
      </c>
      <c r="M5991">
        <v>0.57441253263707603</v>
      </c>
      <c r="N5991">
        <v>0.98955613577023505</v>
      </c>
      <c r="O5991">
        <v>0.70974760661444702</v>
      </c>
      <c r="P5991" t="s">
        <v>6606</v>
      </c>
      <c r="Q5991" t="s">
        <v>6607</v>
      </c>
      <c r="R5991" t="s">
        <v>1191</v>
      </c>
      <c r="S5991" t="s">
        <v>1192</v>
      </c>
      <c r="V5991" t="s">
        <v>6600</v>
      </c>
      <c r="W5991" t="s">
        <v>6601</v>
      </c>
      <c r="AF5991" t="s">
        <v>12165</v>
      </c>
    </row>
    <row r="5992" spans="1:32" hidden="1" x14ac:dyDescent="0.35">
      <c r="A5992">
        <v>5914</v>
      </c>
      <c r="B5992" t="s">
        <v>12163</v>
      </c>
      <c r="C5992" t="s">
        <v>13295</v>
      </c>
      <c r="D5992" t="s">
        <v>34</v>
      </c>
      <c r="E5992">
        <v>2434</v>
      </c>
      <c r="F5992">
        <v>4</v>
      </c>
      <c r="G5992">
        <v>4</v>
      </c>
      <c r="H5992">
        <v>1</v>
      </c>
      <c r="I5992">
        <v>0</v>
      </c>
      <c r="J5992">
        <v>0.78619453160017905</v>
      </c>
      <c r="K5992">
        <v>0.97115178689413795</v>
      </c>
      <c r="L5992">
        <v>0.86893996496272596</v>
      </c>
      <c r="M5992">
        <v>0.57441253263707603</v>
      </c>
      <c r="N5992">
        <v>0.98955613577023505</v>
      </c>
      <c r="O5992">
        <v>0.70974760661444702</v>
      </c>
      <c r="P5992" t="s">
        <v>6606</v>
      </c>
      <c r="Q5992" t="s">
        <v>6607</v>
      </c>
      <c r="R5992" t="s">
        <v>1191</v>
      </c>
      <c r="S5992" t="s">
        <v>1192</v>
      </c>
      <c r="V5992" t="s">
        <v>6600</v>
      </c>
      <c r="W5992" t="s">
        <v>6601</v>
      </c>
      <c r="AF5992" t="s">
        <v>12166</v>
      </c>
    </row>
    <row r="5993" spans="1:32" hidden="1" x14ac:dyDescent="0.35">
      <c r="A5993">
        <v>5915</v>
      </c>
      <c r="B5993" t="s">
        <v>12163</v>
      </c>
      <c r="C5993" t="s">
        <v>13295</v>
      </c>
      <c r="D5993" t="s">
        <v>45</v>
      </c>
      <c r="E5993">
        <v>468</v>
      </c>
      <c r="F5993">
        <v>4</v>
      </c>
      <c r="G5993">
        <v>4</v>
      </c>
      <c r="H5993">
        <v>1</v>
      </c>
      <c r="I5993">
        <v>0</v>
      </c>
      <c r="J5993">
        <v>0.78619453160017905</v>
      </c>
      <c r="K5993">
        <v>0.97115178689413795</v>
      </c>
      <c r="L5993">
        <v>0.86893996496272596</v>
      </c>
      <c r="M5993">
        <v>0.57441253263707603</v>
      </c>
      <c r="N5993">
        <v>0.98955613577023505</v>
      </c>
      <c r="O5993">
        <v>0.70974760661444702</v>
      </c>
      <c r="P5993" t="s">
        <v>6606</v>
      </c>
      <c r="Q5993" t="s">
        <v>6607</v>
      </c>
      <c r="R5993" t="s">
        <v>1191</v>
      </c>
      <c r="S5993" t="s">
        <v>1192</v>
      </c>
      <c r="V5993" t="s">
        <v>6600</v>
      </c>
      <c r="W5993" t="s">
        <v>6601</v>
      </c>
      <c r="AF5993" t="s">
        <v>12167</v>
      </c>
    </row>
    <row r="5994" spans="1:32" hidden="1" x14ac:dyDescent="0.35">
      <c r="A5994">
        <v>5993</v>
      </c>
      <c r="B5994" t="s">
        <v>12322</v>
      </c>
      <c r="C5994" t="s">
        <v>13295</v>
      </c>
      <c r="D5994" t="s">
        <v>58</v>
      </c>
      <c r="E5994">
        <v>1606</v>
      </c>
      <c r="F5994">
        <v>3</v>
      </c>
      <c r="G5994">
        <v>3</v>
      </c>
      <c r="H5994">
        <v>1</v>
      </c>
      <c r="I5994">
        <v>0</v>
      </c>
      <c r="J5994">
        <v>0.78976486860304296</v>
      </c>
      <c r="K5994">
        <v>0.91313559322033799</v>
      </c>
      <c r="L5994">
        <v>0.84698128629812797</v>
      </c>
      <c r="M5994">
        <v>0.468926553672316</v>
      </c>
      <c r="N5994">
        <v>1</v>
      </c>
      <c r="O5994">
        <v>0.645951035781544</v>
      </c>
      <c r="P5994" t="s">
        <v>12323</v>
      </c>
      <c r="Q5994" t="s">
        <v>12324</v>
      </c>
      <c r="R5994" t="s">
        <v>1259</v>
      </c>
      <c r="S5994" t="s">
        <v>1260</v>
      </c>
      <c r="V5994" t="s">
        <v>1508</v>
      </c>
      <c r="W5994" t="s">
        <v>1509</v>
      </c>
      <c r="AF5994" t="e">
        <f>--------------------MTVRTGWSAM--DAVALLARFALAAVWIASGVLKMQNPGDTLLSVRAYELFPDAAERFIALALPPLEVALGVLLVLGIFLRATSLLSALIFLAFIAGIASAWARGLTIDCGCFGGGGYNSSVSPWAYVKEILRDTAFIALAA-IVAWKPLNKLAVWP</f>
        <v>#NAME?</v>
      </c>
    </row>
    <row r="5995" spans="1:32" hidden="1" x14ac:dyDescent="0.35">
      <c r="A5995">
        <v>5994</v>
      </c>
      <c r="B5995" t="s">
        <v>12322</v>
      </c>
      <c r="C5995" t="s">
        <v>13295</v>
      </c>
      <c r="D5995" t="s">
        <v>60</v>
      </c>
      <c r="E5995">
        <v>2132</v>
      </c>
      <c r="F5995">
        <v>3</v>
      </c>
      <c r="G5995">
        <v>3</v>
      </c>
      <c r="H5995">
        <v>1</v>
      </c>
      <c r="I5995">
        <v>0</v>
      </c>
      <c r="J5995">
        <v>0.78976486860304296</v>
      </c>
      <c r="K5995">
        <v>0.91313559322033799</v>
      </c>
      <c r="L5995">
        <v>0.84698128629812797</v>
      </c>
      <c r="M5995">
        <v>0.468926553672316</v>
      </c>
      <c r="N5995">
        <v>1</v>
      </c>
      <c r="O5995">
        <v>0.645951035781544</v>
      </c>
      <c r="P5995" t="s">
        <v>12323</v>
      </c>
      <c r="Q5995" t="s">
        <v>12324</v>
      </c>
      <c r="R5995" t="s">
        <v>1259</v>
      </c>
      <c r="S5995" t="s">
        <v>1260</v>
      </c>
      <c r="V5995" t="s">
        <v>1508</v>
      </c>
      <c r="W5995" t="s">
        <v>1509</v>
      </c>
      <c r="AF5995" t="s">
        <v>12325</v>
      </c>
    </row>
    <row r="5996" spans="1:32" hidden="1" x14ac:dyDescent="0.35">
      <c r="A5996">
        <v>5995</v>
      </c>
      <c r="B5996" t="s">
        <v>12322</v>
      </c>
      <c r="C5996" t="s">
        <v>13295</v>
      </c>
      <c r="D5996" t="s">
        <v>62</v>
      </c>
      <c r="E5996">
        <v>2165</v>
      </c>
      <c r="F5996">
        <v>3</v>
      </c>
      <c r="G5996">
        <v>3</v>
      </c>
      <c r="H5996">
        <v>1</v>
      </c>
      <c r="I5996">
        <v>0</v>
      </c>
      <c r="J5996">
        <v>0.78976486860304296</v>
      </c>
      <c r="K5996">
        <v>0.91313559322033799</v>
      </c>
      <c r="L5996">
        <v>0.84698128629812797</v>
      </c>
      <c r="M5996">
        <v>0.468926553672316</v>
      </c>
      <c r="N5996">
        <v>1</v>
      </c>
      <c r="O5996">
        <v>0.645951035781544</v>
      </c>
      <c r="P5996" t="s">
        <v>12323</v>
      </c>
      <c r="Q5996" t="s">
        <v>12324</v>
      </c>
      <c r="R5996" t="s">
        <v>1259</v>
      </c>
      <c r="S5996" t="s">
        <v>1260</v>
      </c>
      <c r="V5996" t="s">
        <v>1508</v>
      </c>
      <c r="W5996" t="s">
        <v>1509</v>
      </c>
      <c r="AF5996" t="s">
        <v>12325</v>
      </c>
    </row>
    <row r="5997" spans="1:32" hidden="1" x14ac:dyDescent="0.35">
      <c r="A5997">
        <v>5916</v>
      </c>
      <c r="B5997" t="s">
        <v>12168</v>
      </c>
      <c r="C5997" t="s">
        <v>13295</v>
      </c>
      <c r="D5997" t="s">
        <v>60</v>
      </c>
      <c r="E5997">
        <v>94</v>
      </c>
      <c r="F5997">
        <v>4</v>
      </c>
      <c r="G5997">
        <v>4</v>
      </c>
      <c r="H5997">
        <v>1</v>
      </c>
      <c r="I5997">
        <v>0</v>
      </c>
      <c r="J5997">
        <v>0.74717322478516501</v>
      </c>
      <c r="K5997">
        <v>0.96781652293463405</v>
      </c>
      <c r="L5997">
        <v>0.84330135897650005</v>
      </c>
      <c r="M5997">
        <v>0.511811023622047</v>
      </c>
      <c r="N5997">
        <v>0.98425196850393704</v>
      </c>
      <c r="O5997">
        <v>0.67060367454068204</v>
      </c>
      <c r="P5997" t="s">
        <v>12169</v>
      </c>
      <c r="Q5997" t="s">
        <v>12170</v>
      </c>
      <c r="R5997" t="s">
        <v>113</v>
      </c>
      <c r="S5997" t="s">
        <v>114</v>
      </c>
      <c r="V5997" t="s">
        <v>12171</v>
      </c>
      <c r="W5997" t="s">
        <v>12172</v>
      </c>
      <c r="AF5997" t="s">
        <v>12173</v>
      </c>
    </row>
    <row r="5998" spans="1:32" hidden="1" x14ac:dyDescent="0.35">
      <c r="A5998">
        <v>5917</v>
      </c>
      <c r="B5998" t="s">
        <v>12168</v>
      </c>
      <c r="C5998" t="s">
        <v>13295</v>
      </c>
      <c r="D5998" t="s">
        <v>62</v>
      </c>
      <c r="E5998">
        <v>166</v>
      </c>
      <c r="F5998">
        <v>4</v>
      </c>
      <c r="G5998">
        <v>4</v>
      </c>
      <c r="H5998">
        <v>1</v>
      </c>
      <c r="I5998">
        <v>0</v>
      </c>
      <c r="J5998">
        <v>0.74717322478516501</v>
      </c>
      <c r="K5998">
        <v>0.96781652293463405</v>
      </c>
      <c r="L5998">
        <v>0.84330135897650005</v>
      </c>
      <c r="M5998">
        <v>0.511811023622047</v>
      </c>
      <c r="N5998">
        <v>0.98425196850393704</v>
      </c>
      <c r="O5998">
        <v>0.67060367454068204</v>
      </c>
      <c r="P5998" t="s">
        <v>12169</v>
      </c>
      <c r="Q5998" t="s">
        <v>12170</v>
      </c>
      <c r="R5998" t="s">
        <v>113</v>
      </c>
      <c r="S5998" t="s">
        <v>114</v>
      </c>
      <c r="V5998" t="s">
        <v>12171</v>
      </c>
      <c r="W5998" t="s">
        <v>12172</v>
      </c>
      <c r="AF5998" t="s">
        <v>12174</v>
      </c>
    </row>
    <row r="5999" spans="1:32" hidden="1" x14ac:dyDescent="0.35">
      <c r="A5999">
        <v>5918</v>
      </c>
      <c r="B5999" t="s">
        <v>12168</v>
      </c>
      <c r="C5999" t="s">
        <v>13295</v>
      </c>
      <c r="D5999" t="s">
        <v>34</v>
      </c>
      <c r="E5999">
        <v>2046</v>
      </c>
      <c r="F5999">
        <v>4</v>
      </c>
      <c r="G5999">
        <v>4</v>
      </c>
      <c r="H5999">
        <v>1</v>
      </c>
      <c r="I5999">
        <v>0</v>
      </c>
      <c r="J5999">
        <v>0.74717322478516501</v>
      </c>
      <c r="K5999">
        <v>0.96781652293463405</v>
      </c>
      <c r="L5999">
        <v>0.84330135897650005</v>
      </c>
      <c r="M5999">
        <v>0.511811023622047</v>
      </c>
      <c r="N5999">
        <v>0.98425196850393704</v>
      </c>
      <c r="O5999">
        <v>0.67060367454068204</v>
      </c>
      <c r="P5999" t="s">
        <v>12169</v>
      </c>
      <c r="Q5999" t="s">
        <v>12170</v>
      </c>
      <c r="R5999" t="s">
        <v>113</v>
      </c>
      <c r="S5999" t="s">
        <v>114</v>
      </c>
      <c r="V5999" t="s">
        <v>12171</v>
      </c>
      <c r="W5999" t="s">
        <v>12172</v>
      </c>
      <c r="AF5999" t="s">
        <v>12175</v>
      </c>
    </row>
    <row r="6000" spans="1:32" hidden="1" x14ac:dyDescent="0.35">
      <c r="A6000">
        <v>5919</v>
      </c>
      <c r="B6000" t="s">
        <v>12168</v>
      </c>
      <c r="C6000" t="s">
        <v>13295</v>
      </c>
      <c r="D6000" t="s">
        <v>45</v>
      </c>
      <c r="E6000">
        <v>826</v>
      </c>
      <c r="F6000">
        <v>4</v>
      </c>
      <c r="G6000">
        <v>4</v>
      </c>
      <c r="H6000">
        <v>1</v>
      </c>
      <c r="I6000">
        <v>0</v>
      </c>
      <c r="J6000">
        <v>0.74717322478516501</v>
      </c>
      <c r="K6000">
        <v>0.96781652293463405</v>
      </c>
      <c r="L6000">
        <v>0.84330135897650005</v>
      </c>
      <c r="M6000">
        <v>0.511811023622047</v>
      </c>
      <c r="N6000">
        <v>0.98425196850393704</v>
      </c>
      <c r="O6000">
        <v>0.67060367454068204</v>
      </c>
      <c r="P6000" t="s">
        <v>12169</v>
      </c>
      <c r="Q6000" t="s">
        <v>12170</v>
      </c>
      <c r="R6000" t="s">
        <v>113</v>
      </c>
      <c r="S6000" t="s">
        <v>114</v>
      </c>
      <c r="V6000" t="s">
        <v>12171</v>
      </c>
      <c r="W6000" t="s">
        <v>12172</v>
      </c>
      <c r="AF6000" t="s">
        <v>12176</v>
      </c>
    </row>
    <row r="6001" spans="1:32" hidden="1" x14ac:dyDescent="0.35">
      <c r="A6001">
        <v>5990</v>
      </c>
      <c r="B6001" t="s">
        <v>12313</v>
      </c>
      <c r="C6001" t="s">
        <v>13295</v>
      </c>
      <c r="D6001" t="s">
        <v>58</v>
      </c>
      <c r="E6001">
        <v>201</v>
      </c>
      <c r="F6001">
        <v>3</v>
      </c>
      <c r="G6001">
        <v>3</v>
      </c>
      <c r="H6001">
        <v>1</v>
      </c>
      <c r="I6001">
        <v>0</v>
      </c>
      <c r="J6001">
        <v>0.90649064906490695</v>
      </c>
      <c r="K6001">
        <v>0.86381247235736103</v>
      </c>
      <c r="L6001">
        <v>0.88463712147611295</v>
      </c>
      <c r="M6001">
        <v>0.69327731092436995</v>
      </c>
      <c r="N6001">
        <v>1</v>
      </c>
      <c r="O6001">
        <v>0.795518207282913</v>
      </c>
      <c r="P6001" t="s">
        <v>12314</v>
      </c>
      <c r="Q6001" t="s">
        <v>12315</v>
      </c>
      <c r="R6001" t="s">
        <v>342</v>
      </c>
      <c r="S6001" t="s">
        <v>343</v>
      </c>
      <c r="T6001" t="s">
        <v>12316</v>
      </c>
      <c r="U6001" t="s">
        <v>12317</v>
      </c>
      <c r="V6001" t="s">
        <v>12318</v>
      </c>
      <c r="W6001" t="s">
        <v>12319</v>
      </c>
      <c r="AD6001" t="s">
        <v>410</v>
      </c>
      <c r="AE6001" t="s">
        <v>532</v>
      </c>
      <c r="AF6001" t="s">
        <v>12320</v>
      </c>
    </row>
    <row r="6002" spans="1:32" hidden="1" x14ac:dyDescent="0.35">
      <c r="A6002">
        <v>5985</v>
      </c>
      <c r="B6002" t="s">
        <v>12306</v>
      </c>
      <c r="C6002" t="s">
        <v>13295</v>
      </c>
      <c r="D6002" t="s">
        <v>60</v>
      </c>
      <c r="E6002">
        <v>2079</v>
      </c>
      <c r="F6002">
        <v>3</v>
      </c>
      <c r="G6002">
        <v>3</v>
      </c>
      <c r="H6002">
        <v>1</v>
      </c>
      <c r="I6002">
        <v>0</v>
      </c>
      <c r="J6002">
        <v>0.82958801498127299</v>
      </c>
      <c r="K6002">
        <v>0.85525865022267999</v>
      </c>
      <c r="L6002">
        <v>0.84222777133005</v>
      </c>
      <c r="M6002">
        <v>0.50714285714285701</v>
      </c>
      <c r="N6002">
        <v>1</v>
      </c>
      <c r="O6002">
        <v>0.67142857142857104</v>
      </c>
      <c r="R6002" t="s">
        <v>113</v>
      </c>
      <c r="S6002" t="s">
        <v>114</v>
      </c>
      <c r="V6002" t="s">
        <v>12307</v>
      </c>
      <c r="W6002" t="s">
        <v>12308</v>
      </c>
      <c r="AF6002" t="e">
        <f>------------MPVIFLTIAVLATFALAWWQWTRFRSGSGTFQNLGYALQWPLFGAFFVYAYRKFNEYEDEVKQTGISPVEREQETARSRGVVTEITEDFLPERPSMDVDTFNRLNAPTRKRRRNDSAQTNSDHDEDQQ</f>
        <v>#NAME?</v>
      </c>
    </row>
    <row r="6003" spans="1:32" hidden="1" x14ac:dyDescent="0.35">
      <c r="A6003">
        <v>5986</v>
      </c>
      <c r="B6003" t="s">
        <v>12306</v>
      </c>
      <c r="C6003" t="s">
        <v>13295</v>
      </c>
      <c r="D6003" t="s">
        <v>62</v>
      </c>
      <c r="E6003">
        <v>2114</v>
      </c>
      <c r="F6003">
        <v>3</v>
      </c>
      <c r="G6003">
        <v>3</v>
      </c>
      <c r="H6003">
        <v>1</v>
      </c>
      <c r="I6003">
        <v>0</v>
      </c>
      <c r="J6003">
        <v>0.82958801498127299</v>
      </c>
      <c r="K6003">
        <v>0.85525865022267999</v>
      </c>
      <c r="L6003">
        <v>0.84222777133005</v>
      </c>
      <c r="M6003">
        <v>0.50714285714285701</v>
      </c>
      <c r="N6003">
        <v>1</v>
      </c>
      <c r="O6003">
        <v>0.67142857142857104</v>
      </c>
      <c r="R6003" t="s">
        <v>113</v>
      </c>
      <c r="S6003" t="s">
        <v>114</v>
      </c>
      <c r="V6003" t="s">
        <v>12307</v>
      </c>
      <c r="W6003" t="s">
        <v>12308</v>
      </c>
      <c r="AF6003" t="e">
        <f>------------MPVIFLTIAVLATFALAWWQWTRFRSGSGTFQNLGYALQWPLFGAFFVYAYRKFNEYEDEVKQTGISPVEREQETARSRGVVTEITEDFLPERPSMDVDTFNRLNAPTRKRRRNDSAQTNSDHDEDQQ</f>
        <v>#NAME?</v>
      </c>
    </row>
    <row r="6004" spans="1:32" hidden="1" x14ac:dyDescent="0.35">
      <c r="A6004">
        <v>6035</v>
      </c>
      <c r="B6004" t="s">
        <v>12402</v>
      </c>
      <c r="C6004" t="s">
        <v>68</v>
      </c>
      <c r="D6004" t="s">
        <v>58</v>
      </c>
      <c r="E6004">
        <v>258</v>
      </c>
      <c r="F6004">
        <v>3</v>
      </c>
      <c r="G6004">
        <v>3</v>
      </c>
      <c r="H6004">
        <v>1</v>
      </c>
      <c r="I6004">
        <v>0</v>
      </c>
      <c r="J6004">
        <v>0.95423956931359399</v>
      </c>
      <c r="K6004">
        <v>0.67950363714163098</v>
      </c>
      <c r="L6004">
        <v>0.793771328922519</v>
      </c>
      <c r="M6004">
        <v>0.146341463414634</v>
      </c>
      <c r="N6004">
        <v>1</v>
      </c>
      <c r="O6004">
        <v>0.430894308943089</v>
      </c>
      <c r="P6004" t="s">
        <v>12314</v>
      </c>
      <c r="Q6004" t="s">
        <v>12315</v>
      </c>
      <c r="R6004" t="s">
        <v>342</v>
      </c>
      <c r="S6004" t="s">
        <v>343</v>
      </c>
      <c r="V6004" t="s">
        <v>12318</v>
      </c>
      <c r="W6004" t="s">
        <v>12319</v>
      </c>
      <c r="AF6004" t="e">
        <f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MLAAGLWFIGPKVIMTVGSGLMKMHPASGFAAELSEVGVVMIASLLGLPVSSTHILIGAILGVGIVNKAANWSLMKPIALAWVITVPAAALVGSVGVLALQAVFG</f>
        <v>#NAME?</v>
      </c>
    </row>
    <row r="6005" spans="1:32" hidden="1" x14ac:dyDescent="0.35">
      <c r="A6005">
        <v>6000</v>
      </c>
      <c r="B6005" t="s">
        <v>12334</v>
      </c>
      <c r="C6005" t="s">
        <v>13295</v>
      </c>
      <c r="D6005" t="s">
        <v>60</v>
      </c>
      <c r="E6005">
        <v>1408</v>
      </c>
      <c r="F6005">
        <v>3</v>
      </c>
      <c r="G6005">
        <v>3</v>
      </c>
      <c r="H6005">
        <v>1</v>
      </c>
      <c r="I6005">
        <v>0</v>
      </c>
      <c r="J6005">
        <v>0.76321839080459797</v>
      </c>
      <c r="K6005">
        <v>0.98149107358679599</v>
      </c>
      <c r="L6005">
        <v>0.858701179836033</v>
      </c>
      <c r="M6005">
        <v>0.53299492385786795</v>
      </c>
      <c r="N6005">
        <v>1</v>
      </c>
      <c r="O6005">
        <v>0.68866328257191201</v>
      </c>
      <c r="P6005" t="s">
        <v>12335</v>
      </c>
      <c r="Q6005" t="s">
        <v>12336</v>
      </c>
      <c r="R6005" t="s">
        <v>113</v>
      </c>
      <c r="S6005" t="s">
        <v>114</v>
      </c>
      <c r="V6005" t="s">
        <v>2167</v>
      </c>
      <c r="W6005" t="s">
        <v>2168</v>
      </c>
      <c r="AF6005" t="s">
        <v>12338</v>
      </c>
    </row>
    <row r="6006" spans="1:32" hidden="1" x14ac:dyDescent="0.35">
      <c r="A6006">
        <v>6001</v>
      </c>
      <c r="B6006" t="s">
        <v>12334</v>
      </c>
      <c r="C6006" t="s">
        <v>13295</v>
      </c>
      <c r="D6006" t="s">
        <v>62</v>
      </c>
      <c r="E6006">
        <v>1443</v>
      </c>
      <c r="F6006">
        <v>3</v>
      </c>
      <c r="G6006">
        <v>3</v>
      </c>
      <c r="H6006">
        <v>1</v>
      </c>
      <c r="I6006">
        <v>0</v>
      </c>
      <c r="J6006">
        <v>0.76321839080459797</v>
      </c>
      <c r="K6006">
        <v>0.98149107358679599</v>
      </c>
      <c r="L6006">
        <v>0.858701179836033</v>
      </c>
      <c r="M6006">
        <v>0.53299492385786795</v>
      </c>
      <c r="N6006">
        <v>1</v>
      </c>
      <c r="O6006">
        <v>0.68866328257191201</v>
      </c>
      <c r="P6006" t="s">
        <v>12335</v>
      </c>
      <c r="Q6006" t="s">
        <v>12336</v>
      </c>
      <c r="R6006" t="s">
        <v>113</v>
      </c>
      <c r="S6006" t="s">
        <v>114</v>
      </c>
      <c r="V6006" t="s">
        <v>2167</v>
      </c>
      <c r="W6006" t="s">
        <v>2168</v>
      </c>
      <c r="AF6006" t="s">
        <v>12338</v>
      </c>
    </row>
    <row r="6007" spans="1:32" hidden="1" x14ac:dyDescent="0.35">
      <c r="A6007">
        <v>10919</v>
      </c>
      <c r="B6007" t="s">
        <v>22000</v>
      </c>
      <c r="C6007" t="s">
        <v>33</v>
      </c>
      <c r="D6007" t="s">
        <v>58</v>
      </c>
      <c r="E6007">
        <v>257</v>
      </c>
      <c r="F6007">
        <v>1</v>
      </c>
      <c r="G6007">
        <v>1</v>
      </c>
      <c r="H6007">
        <v>1</v>
      </c>
      <c r="I6007">
        <v>0</v>
      </c>
      <c r="J6007">
        <v>1</v>
      </c>
      <c r="K6007">
        <v>1</v>
      </c>
      <c r="L6007">
        <v>1</v>
      </c>
      <c r="M6007">
        <v>0</v>
      </c>
      <c r="N6007">
        <v>0</v>
      </c>
      <c r="O6007">
        <v>0</v>
      </c>
      <c r="R6007" t="s">
        <v>342</v>
      </c>
      <c r="S6007" t="s">
        <v>343</v>
      </c>
      <c r="V6007" t="s">
        <v>12318</v>
      </c>
      <c r="W6007" t="s">
        <v>12319</v>
      </c>
      <c r="AF6007" t="s">
        <v>22001</v>
      </c>
    </row>
    <row r="6008" spans="1:32" hidden="1" x14ac:dyDescent="0.35">
      <c r="A6008">
        <v>5958</v>
      </c>
      <c r="B6008" t="s">
        <v>12250</v>
      </c>
      <c r="C6008" t="s">
        <v>13295</v>
      </c>
      <c r="D6008" t="s">
        <v>60</v>
      </c>
      <c r="E6008">
        <v>2553</v>
      </c>
      <c r="F6008">
        <v>3</v>
      </c>
      <c r="G6008">
        <v>3</v>
      </c>
      <c r="H6008">
        <v>1</v>
      </c>
      <c r="I6008">
        <v>0</v>
      </c>
      <c r="J6008">
        <v>0.98581560283687897</v>
      </c>
      <c r="K6008">
        <v>1</v>
      </c>
      <c r="L6008">
        <v>0.99285714285714299</v>
      </c>
      <c r="M6008">
        <v>0.97872340425531901</v>
      </c>
      <c r="N6008">
        <v>1</v>
      </c>
      <c r="O6008">
        <v>0.98581560283687897</v>
      </c>
      <c r="P6008" t="s">
        <v>12251</v>
      </c>
      <c r="Q6008" t="s">
        <v>12252</v>
      </c>
      <c r="R6008" t="s">
        <v>224</v>
      </c>
      <c r="S6008" t="s">
        <v>225</v>
      </c>
      <c r="T6008" t="s">
        <v>12253</v>
      </c>
      <c r="U6008" t="s">
        <v>12254</v>
      </c>
      <c r="V6008" t="s">
        <v>12255</v>
      </c>
      <c r="W6008" t="s">
        <v>12256</v>
      </c>
      <c r="X6008" t="s">
        <v>12255</v>
      </c>
      <c r="Y6008" t="s">
        <v>749</v>
      </c>
      <c r="AD6008" t="s">
        <v>750</v>
      </c>
      <c r="AE6008" t="s">
        <v>751</v>
      </c>
      <c r="AF6008" t="s">
        <v>12258</v>
      </c>
    </row>
    <row r="6009" spans="1:32" hidden="1" x14ac:dyDescent="0.35">
      <c r="A6009">
        <v>5959</v>
      </c>
      <c r="B6009" t="s">
        <v>12250</v>
      </c>
      <c r="C6009" t="s">
        <v>13295</v>
      </c>
      <c r="D6009" t="s">
        <v>62</v>
      </c>
      <c r="E6009">
        <v>78</v>
      </c>
      <c r="F6009">
        <v>3</v>
      </c>
      <c r="G6009">
        <v>3</v>
      </c>
      <c r="H6009">
        <v>1</v>
      </c>
      <c r="I6009">
        <v>0</v>
      </c>
      <c r="J6009">
        <v>0.98581560283687897</v>
      </c>
      <c r="K6009">
        <v>1</v>
      </c>
      <c r="L6009">
        <v>0.99285714285714299</v>
      </c>
      <c r="M6009">
        <v>0.97872340425531901</v>
      </c>
      <c r="N6009">
        <v>1</v>
      </c>
      <c r="O6009">
        <v>0.98581560283687897</v>
      </c>
      <c r="P6009" t="s">
        <v>12251</v>
      </c>
      <c r="Q6009" t="s">
        <v>12252</v>
      </c>
      <c r="R6009" t="s">
        <v>224</v>
      </c>
      <c r="S6009" t="s">
        <v>225</v>
      </c>
      <c r="T6009" t="s">
        <v>12253</v>
      </c>
      <c r="U6009" t="s">
        <v>12254</v>
      </c>
      <c r="V6009" t="s">
        <v>12255</v>
      </c>
      <c r="W6009" t="s">
        <v>12256</v>
      </c>
      <c r="X6009" t="s">
        <v>12255</v>
      </c>
      <c r="Y6009" t="s">
        <v>749</v>
      </c>
      <c r="AD6009" t="s">
        <v>750</v>
      </c>
      <c r="AE6009" t="s">
        <v>751</v>
      </c>
      <c r="AF6009" t="s">
        <v>12258</v>
      </c>
    </row>
    <row r="6010" spans="1:32" hidden="1" x14ac:dyDescent="0.35">
      <c r="A6010">
        <v>6009</v>
      </c>
      <c r="B6010" t="s">
        <v>12353</v>
      </c>
      <c r="C6010" t="s">
        <v>68</v>
      </c>
      <c r="D6010" t="s">
        <v>34</v>
      </c>
      <c r="E6010">
        <v>1848</v>
      </c>
      <c r="F6010">
        <v>3</v>
      </c>
      <c r="G6010">
        <v>3</v>
      </c>
      <c r="H6010">
        <v>1</v>
      </c>
      <c r="I6010">
        <v>0</v>
      </c>
      <c r="J6010">
        <v>0.78096846846846801</v>
      </c>
      <c r="K6010">
        <v>0.95881285026442398</v>
      </c>
      <c r="L6010">
        <v>0.86080083187036105</v>
      </c>
      <c r="M6010">
        <v>0.56310679611650505</v>
      </c>
      <c r="N6010">
        <v>0.98543689320388395</v>
      </c>
      <c r="O6010">
        <v>0.70388349514563098</v>
      </c>
      <c r="P6010" t="s">
        <v>12354</v>
      </c>
      <c r="Q6010" t="s">
        <v>12355</v>
      </c>
      <c r="R6010" t="s">
        <v>371</v>
      </c>
      <c r="S6010" t="s">
        <v>372</v>
      </c>
      <c r="T6010" t="s">
        <v>12356</v>
      </c>
      <c r="U6010" t="s">
        <v>12357</v>
      </c>
      <c r="V6010" t="s">
        <v>12358</v>
      </c>
      <c r="W6010" t="s">
        <v>12359</v>
      </c>
      <c r="AD6010" t="s">
        <v>3095</v>
      </c>
      <c r="AE6010" t="s">
        <v>12360</v>
      </c>
      <c r="AF6010" t="e">
        <f>--MIVSLRGTVIDITAHHAVIECAGVGYQVLATPSTLGHLTRGAETFILITMIVREESQTLYGFFDAATRDMFATLQTVSGLGPKLALAAQSVYTTPELAHAITHGDTKTLQKIPGVGKRMAERMVVDLKDKVATYAAP-----ETPTPAAVPHTD-TYEQVLEALASLGFAEKTAEPVLTTVLAADPTLTTPAALRASLNLLGKQ</f>
        <v>#NAME?</v>
      </c>
    </row>
    <row r="6011" spans="1:32" hidden="1" x14ac:dyDescent="0.35">
      <c r="A6011">
        <v>6010</v>
      </c>
      <c r="B6011" t="s">
        <v>12353</v>
      </c>
      <c r="C6011" t="s">
        <v>68</v>
      </c>
      <c r="D6011" t="s">
        <v>45</v>
      </c>
      <c r="E6011">
        <v>1025</v>
      </c>
      <c r="F6011">
        <v>3</v>
      </c>
      <c r="G6011">
        <v>3</v>
      </c>
      <c r="H6011">
        <v>1</v>
      </c>
      <c r="I6011">
        <v>0</v>
      </c>
      <c r="J6011">
        <v>0.78096846846846801</v>
      </c>
      <c r="K6011">
        <v>0.95881285026442398</v>
      </c>
      <c r="L6011">
        <v>0.86080083187036105</v>
      </c>
      <c r="M6011">
        <v>0.56310679611650505</v>
      </c>
      <c r="N6011">
        <v>0.98543689320388395</v>
      </c>
      <c r="O6011">
        <v>0.70388349514563098</v>
      </c>
      <c r="P6011" t="s">
        <v>12354</v>
      </c>
      <c r="Q6011" t="s">
        <v>12355</v>
      </c>
      <c r="R6011" t="s">
        <v>371</v>
      </c>
      <c r="S6011" t="s">
        <v>372</v>
      </c>
      <c r="T6011" t="s">
        <v>12356</v>
      </c>
      <c r="U6011" t="s">
        <v>12357</v>
      </c>
      <c r="V6011" t="s">
        <v>12358</v>
      </c>
      <c r="W6011" t="s">
        <v>12359</v>
      </c>
      <c r="AD6011" t="s">
        <v>3095</v>
      </c>
      <c r="AE6011" t="s">
        <v>12360</v>
      </c>
      <c r="AF6011" t="e">
        <f>--MIVSLRGTVIDITAHHAVIECAGVGYQVLATPTTLGHLTRGAETFILITMIVREESQTLYGFLDAATRDMFATLQTVSGLGPKLALAAQSVYTTPELAHAITHGDTKTLQKIPGVGKRMAERMVVDLKDKVATYAAP-----ETPTTAAVPHTD-TYEQVLEALASLGFAEKTAEPVLTTVLAADPTLTTPAALRASLNLLGKQ</f>
        <v>#NAME?</v>
      </c>
    </row>
    <row r="6012" spans="1:32" hidden="1" x14ac:dyDescent="0.35">
      <c r="A6012">
        <v>2504</v>
      </c>
      <c r="B6012" t="s">
        <v>5188</v>
      </c>
      <c r="C6012" t="s">
        <v>72</v>
      </c>
      <c r="D6012" t="s">
        <v>58</v>
      </c>
      <c r="E6012">
        <v>1117</v>
      </c>
      <c r="F6012">
        <v>5</v>
      </c>
      <c r="G6012">
        <v>5</v>
      </c>
      <c r="H6012">
        <v>1</v>
      </c>
      <c r="I6012">
        <v>1</v>
      </c>
      <c r="J6012">
        <v>0.76959003632589496</v>
      </c>
      <c r="K6012">
        <v>0.90226037817865501</v>
      </c>
      <c r="L6012">
        <v>0.83066115388523298</v>
      </c>
      <c r="M6012">
        <v>0.48837209302325602</v>
      </c>
      <c r="N6012">
        <v>1</v>
      </c>
      <c r="O6012">
        <v>0.65860465116279099</v>
      </c>
      <c r="P6012" t="s">
        <v>5189</v>
      </c>
      <c r="Q6012" t="s">
        <v>5190</v>
      </c>
      <c r="R6012" t="s">
        <v>75</v>
      </c>
      <c r="S6012" t="s">
        <v>76</v>
      </c>
      <c r="T6012" t="s">
        <v>5191</v>
      </c>
      <c r="U6012" t="s">
        <v>5192</v>
      </c>
      <c r="V6012" t="s">
        <v>5193</v>
      </c>
      <c r="W6012" t="s">
        <v>5194</v>
      </c>
      <c r="X6012" t="s">
        <v>5193</v>
      </c>
      <c r="Y6012" t="s">
        <v>2392</v>
      </c>
      <c r="AD6012" t="s">
        <v>219</v>
      </c>
      <c r="AE6012" t="s">
        <v>5195</v>
      </c>
      <c r="AF6012" t="s">
        <v>5196</v>
      </c>
    </row>
    <row r="6013" spans="1:32" hidden="1" x14ac:dyDescent="0.35">
      <c r="A6013">
        <v>6012</v>
      </c>
      <c r="B6013" t="s">
        <v>12362</v>
      </c>
      <c r="C6013" t="s">
        <v>68</v>
      </c>
      <c r="D6013" t="s">
        <v>60</v>
      </c>
      <c r="E6013">
        <v>196</v>
      </c>
      <c r="F6013">
        <v>3</v>
      </c>
      <c r="G6013">
        <v>3</v>
      </c>
      <c r="H6013">
        <v>1</v>
      </c>
      <c r="I6013">
        <v>0</v>
      </c>
      <c r="J6013">
        <v>0.80254154447702797</v>
      </c>
      <c r="K6013">
        <v>0.988456648868548</v>
      </c>
      <c r="L6013">
        <v>0.88584961009895102</v>
      </c>
      <c r="M6013">
        <v>0.60869565217391297</v>
      </c>
      <c r="N6013">
        <v>1</v>
      </c>
      <c r="O6013">
        <v>0.73913043478260898</v>
      </c>
      <c r="P6013" t="s">
        <v>12363</v>
      </c>
      <c r="Q6013" t="s">
        <v>12364</v>
      </c>
      <c r="R6013" t="s">
        <v>342</v>
      </c>
      <c r="S6013" t="s">
        <v>343</v>
      </c>
      <c r="T6013" t="s">
        <v>12365</v>
      </c>
      <c r="U6013" t="s">
        <v>12366</v>
      </c>
      <c r="V6013" t="s">
        <v>12367</v>
      </c>
      <c r="W6013" t="s">
        <v>12368</v>
      </c>
      <c r="AD6013" t="s">
        <v>166</v>
      </c>
      <c r="AE6013" t="s">
        <v>818</v>
      </c>
      <c r="AF6013" t="s">
        <v>12370</v>
      </c>
    </row>
    <row r="6014" spans="1:32" hidden="1" x14ac:dyDescent="0.35">
      <c r="A6014">
        <v>6013</v>
      </c>
      <c r="B6014" t="s">
        <v>12362</v>
      </c>
      <c r="C6014" t="s">
        <v>68</v>
      </c>
      <c r="D6014" t="s">
        <v>62</v>
      </c>
      <c r="E6014">
        <v>273</v>
      </c>
      <c r="F6014">
        <v>3</v>
      </c>
      <c r="G6014">
        <v>3</v>
      </c>
      <c r="H6014">
        <v>1</v>
      </c>
      <c r="I6014">
        <v>0</v>
      </c>
      <c r="J6014">
        <v>0.80254154447702797</v>
      </c>
      <c r="K6014">
        <v>0.988456648868548</v>
      </c>
      <c r="L6014">
        <v>0.88584961009895102</v>
      </c>
      <c r="M6014">
        <v>0.60869565217391297</v>
      </c>
      <c r="N6014">
        <v>1</v>
      </c>
      <c r="O6014">
        <v>0.73913043478260898</v>
      </c>
      <c r="P6014" t="s">
        <v>12363</v>
      </c>
      <c r="Q6014" t="s">
        <v>12364</v>
      </c>
      <c r="R6014" t="s">
        <v>342</v>
      </c>
      <c r="S6014" t="s">
        <v>343</v>
      </c>
      <c r="T6014" t="s">
        <v>12365</v>
      </c>
      <c r="U6014" t="s">
        <v>12366</v>
      </c>
      <c r="V6014" t="s">
        <v>12367</v>
      </c>
      <c r="W6014" t="s">
        <v>12368</v>
      </c>
      <c r="AD6014" t="s">
        <v>166</v>
      </c>
      <c r="AE6014" t="s">
        <v>818</v>
      </c>
      <c r="AF6014" t="s">
        <v>12370</v>
      </c>
    </row>
    <row r="6015" spans="1:32" hidden="1" x14ac:dyDescent="0.35">
      <c r="A6015">
        <v>6014</v>
      </c>
      <c r="B6015" t="s">
        <v>12371</v>
      </c>
      <c r="C6015" t="s">
        <v>68</v>
      </c>
      <c r="D6015" t="s">
        <v>58</v>
      </c>
      <c r="E6015">
        <v>1113</v>
      </c>
      <c r="F6015">
        <v>3</v>
      </c>
      <c r="G6015">
        <v>3</v>
      </c>
      <c r="H6015">
        <v>1</v>
      </c>
      <c r="I6015">
        <v>0</v>
      </c>
      <c r="J6015">
        <v>0.72549019607843102</v>
      </c>
      <c r="K6015">
        <v>1</v>
      </c>
      <c r="L6015">
        <v>0.84090909090909105</v>
      </c>
      <c r="M6015">
        <v>0.441176470588235</v>
      </c>
      <c r="N6015">
        <v>1</v>
      </c>
      <c r="O6015">
        <v>0.62745098039215697</v>
      </c>
      <c r="P6015" t="s">
        <v>12372</v>
      </c>
      <c r="Q6015" t="s">
        <v>12373</v>
      </c>
      <c r="AF6015" t="s">
        <v>12374</v>
      </c>
    </row>
    <row r="6016" spans="1:32" hidden="1" x14ac:dyDescent="0.35">
      <c r="A6016">
        <v>6015</v>
      </c>
      <c r="B6016" t="s">
        <v>12371</v>
      </c>
      <c r="C6016" t="s">
        <v>68</v>
      </c>
      <c r="D6016" t="s">
        <v>60</v>
      </c>
      <c r="E6016">
        <v>1500</v>
      </c>
      <c r="F6016">
        <v>3</v>
      </c>
      <c r="G6016">
        <v>3</v>
      </c>
      <c r="H6016">
        <v>1</v>
      </c>
      <c r="I6016">
        <v>0</v>
      </c>
      <c r="J6016">
        <v>0.72549019607843102</v>
      </c>
      <c r="K6016">
        <v>1</v>
      </c>
      <c r="L6016">
        <v>0.84090909090909105</v>
      </c>
      <c r="M6016">
        <v>0.441176470588235</v>
      </c>
      <c r="N6016">
        <v>1</v>
      </c>
      <c r="O6016">
        <v>0.62745098039215697</v>
      </c>
      <c r="P6016" t="s">
        <v>12372</v>
      </c>
      <c r="Q6016" t="s">
        <v>12373</v>
      </c>
      <c r="AF6016" t="s">
        <v>12375</v>
      </c>
    </row>
    <row r="6017" spans="1:32" hidden="1" x14ac:dyDescent="0.35">
      <c r="A6017">
        <v>6016</v>
      </c>
      <c r="B6017" t="s">
        <v>12371</v>
      </c>
      <c r="C6017" t="s">
        <v>68</v>
      </c>
      <c r="D6017" t="s">
        <v>62</v>
      </c>
      <c r="E6017">
        <v>1535</v>
      </c>
      <c r="F6017">
        <v>3</v>
      </c>
      <c r="G6017">
        <v>3</v>
      </c>
      <c r="H6017">
        <v>1</v>
      </c>
      <c r="I6017">
        <v>0</v>
      </c>
      <c r="J6017">
        <v>0.72549019607843102</v>
      </c>
      <c r="K6017">
        <v>1</v>
      </c>
      <c r="L6017">
        <v>0.84090909090909105</v>
      </c>
      <c r="M6017">
        <v>0.441176470588235</v>
      </c>
      <c r="N6017">
        <v>1</v>
      </c>
      <c r="O6017">
        <v>0.62745098039215697</v>
      </c>
      <c r="P6017" t="s">
        <v>12372</v>
      </c>
      <c r="Q6017" t="s">
        <v>12373</v>
      </c>
      <c r="AF6017" t="s">
        <v>12375</v>
      </c>
    </row>
    <row r="6018" spans="1:32" hidden="1" x14ac:dyDescent="0.35">
      <c r="A6018">
        <v>6017</v>
      </c>
      <c r="B6018" t="s">
        <v>12376</v>
      </c>
      <c r="C6018" t="s">
        <v>68</v>
      </c>
      <c r="D6018" t="s">
        <v>58</v>
      </c>
      <c r="E6018">
        <v>171</v>
      </c>
      <c r="F6018">
        <v>3</v>
      </c>
      <c r="G6018">
        <v>3</v>
      </c>
      <c r="H6018">
        <v>1</v>
      </c>
      <c r="I6018">
        <v>0</v>
      </c>
      <c r="J6018">
        <v>0.89743589743589702</v>
      </c>
      <c r="K6018">
        <v>0.78742138364779801</v>
      </c>
      <c r="L6018">
        <v>0.83883688432014403</v>
      </c>
      <c r="M6018">
        <v>0.47169811320754701</v>
      </c>
      <c r="N6018">
        <v>1</v>
      </c>
      <c r="O6018">
        <v>0.64779874213836497</v>
      </c>
      <c r="P6018" t="s">
        <v>12377</v>
      </c>
      <c r="Q6018" t="s">
        <v>2878</v>
      </c>
      <c r="R6018" t="s">
        <v>12275</v>
      </c>
      <c r="S6018" t="s">
        <v>12276</v>
      </c>
      <c r="T6018" t="s">
        <v>12378</v>
      </c>
      <c r="U6018" t="s">
        <v>12379</v>
      </c>
      <c r="V6018" t="s">
        <v>12277</v>
      </c>
      <c r="W6018" t="s">
        <v>12278</v>
      </c>
      <c r="AD6018" t="s">
        <v>312</v>
      </c>
      <c r="AE6018" t="s">
        <v>805</v>
      </c>
      <c r="AF6018" t="e">
        <f>------------------------------------------MNNNQDNGKFLTVAEVAEMMRVSKMTVYRLVHSGELPAVRVGRSFRVHESAISAYLNSSTYAAG</f>
        <v>#NAME?</v>
      </c>
    </row>
    <row r="6019" spans="1:32" hidden="1" x14ac:dyDescent="0.35">
      <c r="A6019">
        <v>6018</v>
      </c>
      <c r="B6019" t="s">
        <v>12376</v>
      </c>
      <c r="C6019" t="s">
        <v>68</v>
      </c>
      <c r="D6019" t="s">
        <v>60</v>
      </c>
      <c r="E6019">
        <v>304</v>
      </c>
      <c r="F6019">
        <v>3</v>
      </c>
      <c r="G6019">
        <v>3</v>
      </c>
      <c r="H6019">
        <v>1</v>
      </c>
      <c r="I6019">
        <v>0</v>
      </c>
      <c r="J6019">
        <v>0.89743589743589702</v>
      </c>
      <c r="K6019">
        <v>0.78742138364779801</v>
      </c>
      <c r="L6019">
        <v>0.83883688432014403</v>
      </c>
      <c r="M6019">
        <v>0.47169811320754701</v>
      </c>
      <c r="N6019">
        <v>1</v>
      </c>
      <c r="O6019">
        <v>0.64779874213836497</v>
      </c>
      <c r="P6019" t="s">
        <v>12377</v>
      </c>
      <c r="Q6019" t="s">
        <v>2878</v>
      </c>
      <c r="R6019" t="s">
        <v>12275</v>
      </c>
      <c r="S6019" t="s">
        <v>12276</v>
      </c>
      <c r="T6019" t="s">
        <v>12378</v>
      </c>
      <c r="U6019" t="s">
        <v>12379</v>
      </c>
      <c r="V6019" t="s">
        <v>12277</v>
      </c>
      <c r="W6019" t="s">
        <v>12278</v>
      </c>
      <c r="AD6019" t="s">
        <v>312</v>
      </c>
      <c r="AE6019" t="s">
        <v>805</v>
      </c>
      <c r="AF6019" t="s">
        <v>12380</v>
      </c>
    </row>
    <row r="6020" spans="1:32" hidden="1" x14ac:dyDescent="0.35">
      <c r="A6020">
        <v>6019</v>
      </c>
      <c r="B6020" t="s">
        <v>12376</v>
      </c>
      <c r="C6020" t="s">
        <v>68</v>
      </c>
      <c r="D6020" t="s">
        <v>62</v>
      </c>
      <c r="E6020">
        <v>384</v>
      </c>
      <c r="F6020">
        <v>3</v>
      </c>
      <c r="G6020">
        <v>3</v>
      </c>
      <c r="H6020">
        <v>1</v>
      </c>
      <c r="I6020">
        <v>0</v>
      </c>
      <c r="J6020">
        <v>0.89743589743589702</v>
      </c>
      <c r="K6020">
        <v>0.78742138364779801</v>
      </c>
      <c r="L6020">
        <v>0.83883688432014403</v>
      </c>
      <c r="M6020">
        <v>0.47169811320754701</v>
      </c>
      <c r="N6020">
        <v>1</v>
      </c>
      <c r="O6020">
        <v>0.64779874213836497</v>
      </c>
      <c r="P6020" t="s">
        <v>12377</v>
      </c>
      <c r="Q6020" t="s">
        <v>2878</v>
      </c>
      <c r="R6020" t="s">
        <v>12275</v>
      </c>
      <c r="S6020" t="s">
        <v>12276</v>
      </c>
      <c r="T6020" t="s">
        <v>12378</v>
      </c>
      <c r="U6020" t="s">
        <v>12379</v>
      </c>
      <c r="V6020" t="s">
        <v>12277</v>
      </c>
      <c r="W6020" t="s">
        <v>12278</v>
      </c>
      <c r="AD6020" t="s">
        <v>312</v>
      </c>
      <c r="AE6020" t="s">
        <v>805</v>
      </c>
      <c r="AF6020" t="s">
        <v>12380</v>
      </c>
    </row>
    <row r="6021" spans="1:32" hidden="1" x14ac:dyDescent="0.35">
      <c r="A6021">
        <v>6020</v>
      </c>
      <c r="B6021" t="s">
        <v>12381</v>
      </c>
      <c r="C6021" t="s">
        <v>68</v>
      </c>
      <c r="D6021" t="s">
        <v>58</v>
      </c>
      <c r="E6021">
        <v>192</v>
      </c>
      <c r="F6021">
        <v>3</v>
      </c>
      <c r="G6021">
        <v>3</v>
      </c>
      <c r="H6021">
        <v>1</v>
      </c>
      <c r="I6021">
        <v>0</v>
      </c>
      <c r="J6021">
        <v>0.77622919086333697</v>
      </c>
      <c r="K6021">
        <v>0.95149721678290999</v>
      </c>
      <c r="L6021">
        <v>0.85497323120541202</v>
      </c>
      <c r="M6021">
        <v>0.53973509933774799</v>
      </c>
      <c r="N6021">
        <v>1</v>
      </c>
      <c r="O6021">
        <v>0.69315673289183199</v>
      </c>
      <c r="AF6021" t="s">
        <v>12382</v>
      </c>
    </row>
    <row r="6022" spans="1:32" hidden="1" x14ac:dyDescent="0.35">
      <c r="A6022">
        <v>6021</v>
      </c>
      <c r="B6022" t="s">
        <v>12381</v>
      </c>
      <c r="C6022" t="s">
        <v>68</v>
      </c>
      <c r="D6022" t="s">
        <v>60</v>
      </c>
      <c r="E6022">
        <v>334</v>
      </c>
      <c r="F6022">
        <v>3</v>
      </c>
      <c r="G6022">
        <v>3</v>
      </c>
      <c r="H6022">
        <v>1</v>
      </c>
      <c r="I6022">
        <v>0</v>
      </c>
      <c r="J6022">
        <v>0.77622919086333697</v>
      </c>
      <c r="K6022">
        <v>0.95149721678290999</v>
      </c>
      <c r="L6022">
        <v>0.85497323120541202</v>
      </c>
      <c r="M6022">
        <v>0.53973509933774799</v>
      </c>
      <c r="N6022">
        <v>1</v>
      </c>
      <c r="O6022">
        <v>0.69315673289183199</v>
      </c>
      <c r="R6022" t="s">
        <v>157</v>
      </c>
      <c r="S6022" t="s">
        <v>158</v>
      </c>
      <c r="V6022" t="s">
        <v>1535</v>
      </c>
      <c r="W6022" t="s">
        <v>1536</v>
      </c>
      <c r="AF6022" t="s">
        <v>12383</v>
      </c>
    </row>
    <row r="6023" spans="1:32" hidden="1" x14ac:dyDescent="0.35">
      <c r="A6023">
        <v>6022</v>
      </c>
      <c r="B6023" t="s">
        <v>12381</v>
      </c>
      <c r="C6023" t="s">
        <v>68</v>
      </c>
      <c r="D6023" t="s">
        <v>62</v>
      </c>
      <c r="E6023">
        <v>414</v>
      </c>
      <c r="F6023">
        <v>3</v>
      </c>
      <c r="G6023">
        <v>3</v>
      </c>
      <c r="H6023">
        <v>1</v>
      </c>
      <c r="I6023">
        <v>0</v>
      </c>
      <c r="J6023">
        <v>0.77622919086333697</v>
      </c>
      <c r="K6023">
        <v>0.95149721678290999</v>
      </c>
      <c r="L6023">
        <v>0.85497323120541202</v>
      </c>
      <c r="M6023">
        <v>0.53973509933774799</v>
      </c>
      <c r="N6023">
        <v>1</v>
      </c>
      <c r="O6023">
        <v>0.69315673289183199</v>
      </c>
      <c r="R6023" t="s">
        <v>157</v>
      </c>
      <c r="S6023" t="s">
        <v>158</v>
      </c>
      <c r="V6023" t="s">
        <v>1535</v>
      </c>
      <c r="W6023" t="s">
        <v>1536</v>
      </c>
      <c r="AF6023" t="s">
        <v>12383</v>
      </c>
    </row>
    <row r="6024" spans="1:32" hidden="1" x14ac:dyDescent="0.35">
      <c r="A6024">
        <v>11048</v>
      </c>
      <c r="B6024" t="s">
        <v>22331</v>
      </c>
      <c r="C6024" t="s">
        <v>33</v>
      </c>
      <c r="D6024" t="s">
        <v>58</v>
      </c>
      <c r="E6024">
        <v>1058</v>
      </c>
      <c r="F6024">
        <v>1</v>
      </c>
      <c r="G6024">
        <v>1</v>
      </c>
      <c r="H6024">
        <v>1</v>
      </c>
      <c r="I6024">
        <v>0</v>
      </c>
      <c r="J6024">
        <v>1</v>
      </c>
      <c r="K6024">
        <v>1</v>
      </c>
      <c r="L6024">
        <v>1</v>
      </c>
      <c r="M6024">
        <v>0</v>
      </c>
      <c r="N6024">
        <v>0</v>
      </c>
      <c r="O6024">
        <v>0</v>
      </c>
      <c r="P6024" t="s">
        <v>5189</v>
      </c>
      <c r="Q6024" t="s">
        <v>5190</v>
      </c>
      <c r="R6024" t="s">
        <v>75</v>
      </c>
      <c r="S6024" t="s">
        <v>76</v>
      </c>
      <c r="T6024" t="s">
        <v>11207</v>
      </c>
      <c r="U6024" t="s">
        <v>11208</v>
      </c>
      <c r="V6024" t="s">
        <v>5193</v>
      </c>
      <c r="W6024" t="s">
        <v>5194</v>
      </c>
      <c r="X6024" t="s">
        <v>5193</v>
      </c>
      <c r="Y6024" t="s">
        <v>2392</v>
      </c>
      <c r="AD6024" t="s">
        <v>410</v>
      </c>
      <c r="AE6024" t="s">
        <v>11209</v>
      </c>
      <c r="AF6024" t="s">
        <v>22332</v>
      </c>
    </row>
    <row r="6025" spans="1:32" hidden="1" x14ac:dyDescent="0.35">
      <c r="A6025">
        <v>6024</v>
      </c>
      <c r="B6025" t="s">
        <v>12384</v>
      </c>
      <c r="C6025" t="s">
        <v>68</v>
      </c>
      <c r="D6025" t="s">
        <v>60</v>
      </c>
      <c r="E6025">
        <v>2143</v>
      </c>
      <c r="F6025">
        <v>3</v>
      </c>
      <c r="G6025">
        <v>3</v>
      </c>
      <c r="H6025">
        <v>1</v>
      </c>
      <c r="I6025">
        <v>0</v>
      </c>
      <c r="J6025">
        <v>0.810126582278481</v>
      </c>
      <c r="K6025">
        <v>0.96846284639316804</v>
      </c>
      <c r="L6025">
        <v>0.88224688977056798</v>
      </c>
      <c r="M6025">
        <v>0.58455882352941202</v>
      </c>
      <c r="N6025">
        <v>1</v>
      </c>
      <c r="O6025">
        <v>0.72303921568627405</v>
      </c>
      <c r="P6025" t="s">
        <v>169</v>
      </c>
      <c r="Q6025" t="s">
        <v>170</v>
      </c>
      <c r="R6025" t="s">
        <v>4521</v>
      </c>
      <c r="S6025" t="s">
        <v>4522</v>
      </c>
      <c r="T6025" t="s">
        <v>12385</v>
      </c>
      <c r="U6025" t="s">
        <v>12386</v>
      </c>
      <c r="V6025" t="s">
        <v>4525</v>
      </c>
      <c r="W6025" t="s">
        <v>4526</v>
      </c>
      <c r="AD6025" t="s">
        <v>12295</v>
      </c>
      <c r="AE6025" t="s">
        <v>12296</v>
      </c>
      <c r="AF6025" t="s">
        <v>12387</v>
      </c>
    </row>
    <row r="6026" spans="1:32" hidden="1" x14ac:dyDescent="0.35">
      <c r="A6026">
        <v>6025</v>
      </c>
      <c r="B6026" t="s">
        <v>12384</v>
      </c>
      <c r="C6026" t="s">
        <v>68</v>
      </c>
      <c r="D6026" t="s">
        <v>62</v>
      </c>
      <c r="E6026">
        <v>2177</v>
      </c>
      <c r="F6026">
        <v>3</v>
      </c>
      <c r="G6026">
        <v>3</v>
      </c>
      <c r="H6026">
        <v>1</v>
      </c>
      <c r="I6026">
        <v>0</v>
      </c>
      <c r="J6026">
        <v>0.810126582278481</v>
      </c>
      <c r="K6026">
        <v>0.96846284639316804</v>
      </c>
      <c r="L6026">
        <v>0.88224688977056798</v>
      </c>
      <c r="M6026">
        <v>0.58455882352941202</v>
      </c>
      <c r="N6026">
        <v>1</v>
      </c>
      <c r="O6026">
        <v>0.72303921568627405</v>
      </c>
      <c r="P6026" t="s">
        <v>169</v>
      </c>
      <c r="Q6026" t="s">
        <v>170</v>
      </c>
      <c r="R6026" t="s">
        <v>4521</v>
      </c>
      <c r="S6026" t="s">
        <v>4522</v>
      </c>
      <c r="T6026" t="s">
        <v>12385</v>
      </c>
      <c r="U6026" t="s">
        <v>12386</v>
      </c>
      <c r="V6026" t="s">
        <v>4525</v>
      </c>
      <c r="W6026" t="s">
        <v>4526</v>
      </c>
      <c r="AD6026" t="s">
        <v>12295</v>
      </c>
      <c r="AE6026" t="s">
        <v>12296</v>
      </c>
      <c r="AF6026" t="s">
        <v>12387</v>
      </c>
    </row>
    <row r="6027" spans="1:32" hidden="1" x14ac:dyDescent="0.35">
      <c r="A6027">
        <v>6026</v>
      </c>
      <c r="B6027" t="s">
        <v>12388</v>
      </c>
      <c r="C6027" t="s">
        <v>68</v>
      </c>
      <c r="D6027" t="s">
        <v>58</v>
      </c>
      <c r="E6027">
        <v>1140</v>
      </c>
      <c r="F6027">
        <v>3</v>
      </c>
      <c r="G6027">
        <v>3</v>
      </c>
      <c r="H6027">
        <v>1</v>
      </c>
      <c r="I6027">
        <v>0</v>
      </c>
      <c r="J6027">
        <v>0.85647216633132095</v>
      </c>
      <c r="K6027">
        <v>0.99204790419161404</v>
      </c>
      <c r="L6027">
        <v>0.91928827947978398</v>
      </c>
      <c r="M6027">
        <v>0.71057884231536905</v>
      </c>
      <c r="N6027">
        <v>1</v>
      </c>
      <c r="O6027">
        <v>0.80705256154357996</v>
      </c>
      <c r="P6027" t="s">
        <v>4358</v>
      </c>
      <c r="Q6027" t="s">
        <v>4359</v>
      </c>
      <c r="R6027" t="s">
        <v>319</v>
      </c>
      <c r="S6027" t="s">
        <v>320</v>
      </c>
      <c r="V6027" t="s">
        <v>4360</v>
      </c>
      <c r="W6027" t="s">
        <v>4361</v>
      </c>
      <c r="AF6027" t="s">
        <v>12389</v>
      </c>
    </row>
    <row r="6028" spans="1:32" hidden="1" x14ac:dyDescent="0.35">
      <c r="A6028">
        <v>6027</v>
      </c>
      <c r="B6028" t="s">
        <v>12388</v>
      </c>
      <c r="C6028" t="s">
        <v>68</v>
      </c>
      <c r="D6028" t="s">
        <v>60</v>
      </c>
      <c r="E6028">
        <v>1562</v>
      </c>
      <c r="F6028">
        <v>3</v>
      </c>
      <c r="G6028">
        <v>3</v>
      </c>
      <c r="H6028">
        <v>1</v>
      </c>
      <c r="I6028">
        <v>0</v>
      </c>
      <c r="J6028">
        <v>0.85647216633132095</v>
      </c>
      <c r="K6028">
        <v>0.99204790419161404</v>
      </c>
      <c r="L6028">
        <v>0.91928827947978398</v>
      </c>
      <c r="M6028">
        <v>0.71057884231536905</v>
      </c>
      <c r="N6028">
        <v>1</v>
      </c>
      <c r="O6028">
        <v>0.80705256154357996</v>
      </c>
      <c r="P6028" t="s">
        <v>4358</v>
      </c>
      <c r="Q6028" t="s">
        <v>4359</v>
      </c>
      <c r="R6028" t="s">
        <v>319</v>
      </c>
      <c r="S6028" t="s">
        <v>320</v>
      </c>
      <c r="V6028" t="s">
        <v>4360</v>
      </c>
      <c r="W6028" t="s">
        <v>4361</v>
      </c>
      <c r="AF6028" t="s">
        <v>12390</v>
      </c>
    </row>
    <row r="6029" spans="1:32" hidden="1" x14ac:dyDescent="0.35">
      <c r="A6029">
        <v>6028</v>
      </c>
      <c r="B6029" t="s">
        <v>12388</v>
      </c>
      <c r="C6029" t="s">
        <v>68</v>
      </c>
      <c r="D6029" t="s">
        <v>62</v>
      </c>
      <c r="E6029">
        <v>1598</v>
      </c>
      <c r="F6029">
        <v>3</v>
      </c>
      <c r="G6029">
        <v>3</v>
      </c>
      <c r="H6029">
        <v>1</v>
      </c>
      <c r="I6029">
        <v>0</v>
      </c>
      <c r="J6029">
        <v>0.85647216633132095</v>
      </c>
      <c r="K6029">
        <v>0.99204790419161404</v>
      </c>
      <c r="L6029">
        <v>0.91928827947978398</v>
      </c>
      <c r="M6029">
        <v>0.71057884231536905</v>
      </c>
      <c r="N6029">
        <v>1</v>
      </c>
      <c r="O6029">
        <v>0.80705256154357996</v>
      </c>
      <c r="P6029" t="s">
        <v>4358</v>
      </c>
      <c r="Q6029" t="s">
        <v>4359</v>
      </c>
      <c r="R6029" t="s">
        <v>319</v>
      </c>
      <c r="S6029" t="s">
        <v>320</v>
      </c>
      <c r="V6029" t="s">
        <v>4360</v>
      </c>
      <c r="W6029" t="s">
        <v>4361</v>
      </c>
      <c r="AF6029" t="s">
        <v>12390</v>
      </c>
    </row>
    <row r="6030" spans="1:32" hidden="1" x14ac:dyDescent="0.35">
      <c r="A6030">
        <v>1219</v>
      </c>
      <c r="B6030" t="s">
        <v>2531</v>
      </c>
      <c r="C6030" t="s">
        <v>72</v>
      </c>
      <c r="D6030" t="s">
        <v>58</v>
      </c>
      <c r="E6030">
        <v>1721</v>
      </c>
      <c r="F6030">
        <v>5</v>
      </c>
      <c r="G6030">
        <v>5</v>
      </c>
      <c r="H6030">
        <v>1</v>
      </c>
      <c r="I6030">
        <v>1</v>
      </c>
      <c r="J6030">
        <v>0.81250859106529205</v>
      </c>
      <c r="K6030">
        <v>0.96121169259783501</v>
      </c>
      <c r="L6030">
        <v>0.88062674285398401</v>
      </c>
      <c r="M6030">
        <v>0.62772277227722795</v>
      </c>
      <c r="N6030">
        <v>1</v>
      </c>
      <c r="O6030">
        <v>0.72277227722772297</v>
      </c>
      <c r="P6030" t="s">
        <v>2532</v>
      </c>
      <c r="Q6030" t="s">
        <v>2533</v>
      </c>
      <c r="R6030" t="s">
        <v>75</v>
      </c>
      <c r="S6030" t="s">
        <v>76</v>
      </c>
      <c r="T6030" t="s">
        <v>2534</v>
      </c>
      <c r="U6030" t="s">
        <v>2535</v>
      </c>
      <c r="V6030" t="s">
        <v>2536</v>
      </c>
      <c r="W6030" t="s">
        <v>2537</v>
      </c>
      <c r="X6030" t="s">
        <v>2536</v>
      </c>
      <c r="Y6030" t="s">
        <v>2392</v>
      </c>
      <c r="AD6030" t="s">
        <v>410</v>
      </c>
      <c r="AE6030" t="s">
        <v>2538</v>
      </c>
      <c r="AF6030" t="s">
        <v>2539</v>
      </c>
    </row>
    <row r="6031" spans="1:32" hidden="1" x14ac:dyDescent="0.35">
      <c r="A6031">
        <v>6030</v>
      </c>
      <c r="B6031" t="s">
        <v>12391</v>
      </c>
      <c r="C6031" t="s">
        <v>68</v>
      </c>
      <c r="D6031" t="s">
        <v>60</v>
      </c>
      <c r="E6031">
        <v>2492</v>
      </c>
      <c r="F6031">
        <v>3</v>
      </c>
      <c r="G6031">
        <v>3</v>
      </c>
      <c r="H6031">
        <v>1</v>
      </c>
      <c r="I6031">
        <v>0</v>
      </c>
      <c r="J6031">
        <v>0.78457059679767105</v>
      </c>
      <c r="K6031">
        <v>0.99137028548793205</v>
      </c>
      <c r="L6031">
        <v>0.87593003155795401</v>
      </c>
      <c r="M6031">
        <v>0.58441558441558406</v>
      </c>
      <c r="N6031">
        <v>1</v>
      </c>
      <c r="O6031">
        <v>0.722943722943723</v>
      </c>
      <c r="P6031" t="s">
        <v>1494</v>
      </c>
      <c r="Q6031" t="s">
        <v>1487</v>
      </c>
      <c r="R6031" t="s">
        <v>113</v>
      </c>
      <c r="S6031" t="s">
        <v>114</v>
      </c>
      <c r="V6031" t="s">
        <v>1490</v>
      </c>
      <c r="W6031" t="s">
        <v>1491</v>
      </c>
      <c r="AF6031" t="s">
        <v>12395</v>
      </c>
    </row>
    <row r="6032" spans="1:32" hidden="1" x14ac:dyDescent="0.35">
      <c r="A6032">
        <v>6031</v>
      </c>
      <c r="B6032" t="s">
        <v>12391</v>
      </c>
      <c r="C6032" t="s">
        <v>68</v>
      </c>
      <c r="D6032" t="s">
        <v>62</v>
      </c>
      <c r="E6032">
        <v>19</v>
      </c>
      <c r="F6032">
        <v>3</v>
      </c>
      <c r="G6032">
        <v>3</v>
      </c>
      <c r="H6032">
        <v>1</v>
      </c>
      <c r="I6032">
        <v>0</v>
      </c>
      <c r="J6032">
        <v>0.78457059679767105</v>
      </c>
      <c r="K6032">
        <v>0.99137028548793205</v>
      </c>
      <c r="L6032">
        <v>0.87593003155795401</v>
      </c>
      <c r="M6032">
        <v>0.58441558441558406</v>
      </c>
      <c r="N6032">
        <v>1</v>
      </c>
      <c r="O6032">
        <v>0.722943722943723</v>
      </c>
      <c r="P6032" t="s">
        <v>1494</v>
      </c>
      <c r="Q6032" t="s">
        <v>1487</v>
      </c>
      <c r="R6032" t="s">
        <v>113</v>
      </c>
      <c r="S6032" t="s">
        <v>114</v>
      </c>
      <c r="V6032" t="s">
        <v>1490</v>
      </c>
      <c r="W6032" t="s">
        <v>1491</v>
      </c>
      <c r="AF6032" t="s">
        <v>12395</v>
      </c>
    </row>
    <row r="6033" spans="1:32" hidden="1" x14ac:dyDescent="0.35">
      <c r="A6033">
        <v>6032</v>
      </c>
      <c r="B6033" t="s">
        <v>12396</v>
      </c>
      <c r="C6033" t="s">
        <v>68</v>
      </c>
      <c r="D6033" t="s">
        <v>58</v>
      </c>
      <c r="E6033">
        <v>1769</v>
      </c>
      <c r="F6033">
        <v>3</v>
      </c>
      <c r="G6033">
        <v>3</v>
      </c>
      <c r="H6033">
        <v>1</v>
      </c>
      <c r="I6033">
        <v>0</v>
      </c>
      <c r="J6033">
        <v>0.82605852542095803</v>
      </c>
      <c r="K6033">
        <v>0.98936942212942602</v>
      </c>
      <c r="L6033">
        <v>0.90036847459971903</v>
      </c>
      <c r="M6033">
        <v>0.65938864628821003</v>
      </c>
      <c r="N6033">
        <v>1</v>
      </c>
      <c r="O6033">
        <v>0.77292576419213999</v>
      </c>
      <c r="P6033" t="s">
        <v>1036</v>
      </c>
      <c r="Q6033" t="s">
        <v>1037</v>
      </c>
      <c r="R6033" t="s">
        <v>9091</v>
      </c>
      <c r="S6033" t="s">
        <v>9092</v>
      </c>
      <c r="T6033" t="s">
        <v>12397</v>
      </c>
      <c r="U6033" t="s">
        <v>2977</v>
      </c>
      <c r="V6033" t="s">
        <v>12398</v>
      </c>
      <c r="W6033" t="s">
        <v>12399</v>
      </c>
      <c r="AD6033" t="s">
        <v>410</v>
      </c>
      <c r="AE6033" t="s">
        <v>603</v>
      </c>
      <c r="AF6033" t="s">
        <v>12400</v>
      </c>
    </row>
    <row r="6034" spans="1:32" hidden="1" x14ac:dyDescent="0.35">
      <c r="A6034">
        <v>6033</v>
      </c>
      <c r="B6034" t="s">
        <v>12396</v>
      </c>
      <c r="C6034" t="s">
        <v>68</v>
      </c>
      <c r="D6034" t="s">
        <v>60</v>
      </c>
      <c r="E6034">
        <v>2397</v>
      </c>
      <c r="F6034">
        <v>3</v>
      </c>
      <c r="G6034">
        <v>3</v>
      </c>
      <c r="H6034">
        <v>1</v>
      </c>
      <c r="I6034">
        <v>0</v>
      </c>
      <c r="J6034">
        <v>0.82605852542095803</v>
      </c>
      <c r="K6034">
        <v>0.98936942212942602</v>
      </c>
      <c r="L6034">
        <v>0.90036847459971903</v>
      </c>
      <c r="M6034">
        <v>0.65938864628821003</v>
      </c>
      <c r="N6034">
        <v>1</v>
      </c>
      <c r="O6034">
        <v>0.77292576419213999</v>
      </c>
      <c r="P6034" t="s">
        <v>1036</v>
      </c>
      <c r="Q6034" t="s">
        <v>1037</v>
      </c>
      <c r="R6034" t="s">
        <v>9091</v>
      </c>
      <c r="S6034" t="s">
        <v>9092</v>
      </c>
      <c r="T6034" t="s">
        <v>12397</v>
      </c>
      <c r="U6034" t="s">
        <v>2977</v>
      </c>
      <c r="V6034" t="s">
        <v>12398</v>
      </c>
      <c r="W6034" t="s">
        <v>12399</v>
      </c>
      <c r="AD6034" t="s">
        <v>410</v>
      </c>
      <c r="AE6034" t="s">
        <v>603</v>
      </c>
      <c r="AF6034" t="s">
        <v>12401</v>
      </c>
    </row>
    <row r="6035" spans="1:32" hidden="1" x14ac:dyDescent="0.35">
      <c r="A6035">
        <v>6034</v>
      </c>
      <c r="B6035" t="s">
        <v>12396</v>
      </c>
      <c r="C6035" t="s">
        <v>68</v>
      </c>
      <c r="D6035" t="s">
        <v>62</v>
      </c>
      <c r="E6035">
        <v>2424</v>
      </c>
      <c r="F6035">
        <v>3</v>
      </c>
      <c r="G6035">
        <v>3</v>
      </c>
      <c r="H6035">
        <v>1</v>
      </c>
      <c r="I6035">
        <v>0</v>
      </c>
      <c r="J6035">
        <v>0.82605852542095803</v>
      </c>
      <c r="K6035">
        <v>0.98936942212942602</v>
      </c>
      <c r="L6035">
        <v>0.90036847459971903</v>
      </c>
      <c r="M6035">
        <v>0.65938864628821003</v>
      </c>
      <c r="N6035">
        <v>1</v>
      </c>
      <c r="O6035">
        <v>0.77292576419213999</v>
      </c>
      <c r="P6035" t="s">
        <v>1036</v>
      </c>
      <c r="Q6035" t="s">
        <v>1037</v>
      </c>
      <c r="R6035" t="s">
        <v>9091</v>
      </c>
      <c r="S6035" t="s">
        <v>9092</v>
      </c>
      <c r="T6035" t="s">
        <v>12397</v>
      </c>
      <c r="U6035" t="s">
        <v>2977</v>
      </c>
      <c r="V6035" t="s">
        <v>12398</v>
      </c>
      <c r="W6035" t="s">
        <v>12399</v>
      </c>
      <c r="AD6035" t="s">
        <v>410</v>
      </c>
      <c r="AE6035" t="s">
        <v>603</v>
      </c>
      <c r="AF6035" t="s">
        <v>12401</v>
      </c>
    </row>
    <row r="6036" spans="1:32" hidden="1" x14ac:dyDescent="0.35">
      <c r="A6036">
        <v>2259</v>
      </c>
      <c r="B6036" t="s">
        <v>4701</v>
      </c>
      <c r="C6036" t="s">
        <v>72</v>
      </c>
      <c r="D6036" t="s">
        <v>58</v>
      </c>
      <c r="E6036">
        <v>1782</v>
      </c>
      <c r="F6036">
        <v>5</v>
      </c>
      <c r="G6036">
        <v>5</v>
      </c>
      <c r="H6036">
        <v>1</v>
      </c>
      <c r="I6036">
        <v>1</v>
      </c>
      <c r="J6036">
        <v>0.87517847336628196</v>
      </c>
      <c r="K6036">
        <v>0.995088427683117</v>
      </c>
      <c r="L6036">
        <v>0.93128950794725296</v>
      </c>
      <c r="M6036">
        <v>0.76065573770491801</v>
      </c>
      <c r="N6036">
        <v>1</v>
      </c>
      <c r="O6036">
        <v>0.83196721311475397</v>
      </c>
      <c r="P6036" t="s">
        <v>4702</v>
      </c>
      <c r="Q6036" t="s">
        <v>4703</v>
      </c>
      <c r="R6036" t="s">
        <v>652</v>
      </c>
      <c r="S6036" t="s">
        <v>653</v>
      </c>
      <c r="T6036" t="s">
        <v>4704</v>
      </c>
      <c r="U6036" t="s">
        <v>4705</v>
      </c>
      <c r="V6036" t="s">
        <v>4706</v>
      </c>
      <c r="W6036" t="s">
        <v>4707</v>
      </c>
      <c r="X6036" t="s">
        <v>4706</v>
      </c>
      <c r="Y6036" t="s">
        <v>3369</v>
      </c>
      <c r="Z6036" t="s">
        <v>4708</v>
      </c>
      <c r="AA6036" t="s">
        <v>4709</v>
      </c>
      <c r="AB6036" t="s">
        <v>4708</v>
      </c>
      <c r="AC6036" t="s">
        <v>2106</v>
      </c>
      <c r="AD6036" t="s">
        <v>796</v>
      </c>
      <c r="AE6036" t="s">
        <v>4710</v>
      </c>
      <c r="AF6036" t="s">
        <v>4711</v>
      </c>
    </row>
    <row r="6037" spans="1:32" hidden="1" x14ac:dyDescent="0.35">
      <c r="A6037">
        <v>6036</v>
      </c>
      <c r="B6037" t="s">
        <v>12402</v>
      </c>
      <c r="C6037" t="s">
        <v>68</v>
      </c>
      <c r="D6037" t="s">
        <v>34</v>
      </c>
      <c r="E6037">
        <v>1378</v>
      </c>
      <c r="F6037">
        <v>3</v>
      </c>
      <c r="G6037">
        <v>3</v>
      </c>
      <c r="H6037">
        <v>1</v>
      </c>
      <c r="I6037">
        <v>0</v>
      </c>
      <c r="J6037">
        <v>0.95423956931359399</v>
      </c>
      <c r="K6037">
        <v>0.67950363714163098</v>
      </c>
      <c r="L6037">
        <v>0.793771328922519</v>
      </c>
      <c r="M6037">
        <v>0.146341463414634</v>
      </c>
      <c r="N6037">
        <v>1</v>
      </c>
      <c r="O6037">
        <v>0.430894308943089</v>
      </c>
      <c r="P6037" t="s">
        <v>12314</v>
      </c>
      <c r="Q6037" t="s">
        <v>12315</v>
      </c>
      <c r="R6037" t="s">
        <v>342</v>
      </c>
      <c r="S6037" t="s">
        <v>343</v>
      </c>
      <c r="T6037" t="s">
        <v>12316</v>
      </c>
      <c r="U6037" t="s">
        <v>12317</v>
      </c>
      <c r="V6037" t="s">
        <v>12318</v>
      </c>
      <c r="W6037" t="s">
        <v>12319</v>
      </c>
      <c r="AD6037" t="s">
        <v>410</v>
      </c>
      <c r="AE6037" t="s">
        <v>532</v>
      </c>
      <c r="AF6037" t="s">
        <v>12403</v>
      </c>
    </row>
    <row r="6038" spans="1:32" hidden="1" x14ac:dyDescent="0.35">
      <c r="A6038">
        <v>6037</v>
      </c>
      <c r="B6038" t="s">
        <v>12402</v>
      </c>
      <c r="C6038" t="s">
        <v>68</v>
      </c>
      <c r="D6038" t="s">
        <v>45</v>
      </c>
      <c r="E6038">
        <v>128</v>
      </c>
      <c r="F6038">
        <v>3</v>
      </c>
      <c r="G6038">
        <v>3</v>
      </c>
      <c r="H6038">
        <v>1</v>
      </c>
      <c r="I6038">
        <v>0</v>
      </c>
      <c r="J6038">
        <v>0.95423956931359399</v>
      </c>
      <c r="K6038">
        <v>0.67950363714163098</v>
      </c>
      <c r="L6038">
        <v>0.793771328922519</v>
      </c>
      <c r="M6038">
        <v>0.146341463414634</v>
      </c>
      <c r="N6038">
        <v>1</v>
      </c>
      <c r="O6038">
        <v>0.430894308943089</v>
      </c>
      <c r="P6038" t="s">
        <v>12314</v>
      </c>
      <c r="Q6038" t="s">
        <v>12315</v>
      </c>
      <c r="R6038" t="s">
        <v>342</v>
      </c>
      <c r="S6038" t="s">
        <v>343</v>
      </c>
      <c r="T6038" t="s">
        <v>12316</v>
      </c>
      <c r="U6038" t="s">
        <v>12317</v>
      </c>
      <c r="V6038" t="s">
        <v>12318</v>
      </c>
      <c r="W6038" t="s">
        <v>12319</v>
      </c>
      <c r="AD6038" t="s">
        <v>410</v>
      </c>
      <c r="AE6038" t="s">
        <v>532</v>
      </c>
      <c r="AF6038" t="s">
        <v>12403</v>
      </c>
    </row>
    <row r="6039" spans="1:32" hidden="1" x14ac:dyDescent="0.35">
      <c r="A6039">
        <v>4579</v>
      </c>
      <c r="B6039" t="s">
        <v>9575</v>
      </c>
      <c r="C6039" t="s">
        <v>72</v>
      </c>
      <c r="D6039" t="s">
        <v>58</v>
      </c>
      <c r="E6039">
        <v>791</v>
      </c>
      <c r="F6039">
        <v>5</v>
      </c>
      <c r="G6039">
        <v>5</v>
      </c>
      <c r="H6039">
        <v>1</v>
      </c>
      <c r="I6039">
        <v>1</v>
      </c>
      <c r="J6039">
        <v>0.88466628852335005</v>
      </c>
      <c r="K6039">
        <v>0.99605372561560401</v>
      </c>
      <c r="L6039">
        <v>0.93706149345535505</v>
      </c>
      <c r="M6039">
        <v>0.78154425612052703</v>
      </c>
      <c r="N6039">
        <v>0.99435028248587598</v>
      </c>
      <c r="O6039">
        <v>0.84519774011299398</v>
      </c>
      <c r="P6039" t="s">
        <v>9576</v>
      </c>
      <c r="Q6039" t="s">
        <v>9577</v>
      </c>
      <c r="R6039" t="s">
        <v>869</v>
      </c>
      <c r="S6039" t="s">
        <v>870</v>
      </c>
      <c r="T6039" t="s">
        <v>9578</v>
      </c>
      <c r="U6039" t="s">
        <v>9579</v>
      </c>
      <c r="V6039" t="s">
        <v>9580</v>
      </c>
      <c r="W6039" t="s">
        <v>9581</v>
      </c>
      <c r="X6039" t="s">
        <v>9580</v>
      </c>
      <c r="Y6039" t="s">
        <v>2454</v>
      </c>
      <c r="Z6039" t="s">
        <v>8451</v>
      </c>
      <c r="AA6039" t="s">
        <v>8452</v>
      </c>
      <c r="AB6039" t="s">
        <v>8451</v>
      </c>
      <c r="AC6039" t="s">
        <v>7049</v>
      </c>
      <c r="AD6039" t="s">
        <v>9582</v>
      </c>
      <c r="AE6039" t="s">
        <v>9583</v>
      </c>
      <c r="AF6039" t="s">
        <v>9584</v>
      </c>
    </row>
    <row r="6040" spans="1:32" hidden="1" x14ac:dyDescent="0.35">
      <c r="A6040">
        <v>6039</v>
      </c>
      <c r="B6040" t="s">
        <v>12404</v>
      </c>
      <c r="C6040" t="s">
        <v>68</v>
      </c>
      <c r="D6040" t="s">
        <v>60</v>
      </c>
      <c r="E6040">
        <v>595</v>
      </c>
      <c r="F6040">
        <v>3</v>
      </c>
      <c r="G6040">
        <v>3</v>
      </c>
      <c r="H6040">
        <v>1</v>
      </c>
      <c r="I6040">
        <v>0</v>
      </c>
      <c r="J6040">
        <v>0.79429429429429399</v>
      </c>
      <c r="K6040">
        <v>0.95396803421169696</v>
      </c>
      <c r="L6040">
        <v>0.86683943726114399</v>
      </c>
      <c r="M6040">
        <v>0.54506437768240301</v>
      </c>
      <c r="N6040">
        <v>1</v>
      </c>
      <c r="O6040">
        <v>0.69670958512160197</v>
      </c>
      <c r="P6040" t="s">
        <v>12405</v>
      </c>
      <c r="Q6040" t="s">
        <v>12406</v>
      </c>
      <c r="R6040" t="s">
        <v>342</v>
      </c>
      <c r="S6040" t="s">
        <v>343</v>
      </c>
      <c r="T6040" t="s">
        <v>12407</v>
      </c>
      <c r="U6040" t="s">
        <v>12408</v>
      </c>
      <c r="V6040" t="s">
        <v>12409</v>
      </c>
      <c r="W6040" t="s">
        <v>12410</v>
      </c>
      <c r="AD6040" t="s">
        <v>166</v>
      </c>
      <c r="AE6040" t="s">
        <v>818</v>
      </c>
      <c r="AF6040" t="s">
        <v>12412</v>
      </c>
    </row>
    <row r="6041" spans="1:32" hidden="1" x14ac:dyDescent="0.35">
      <c r="A6041">
        <v>6040</v>
      </c>
      <c r="B6041" t="s">
        <v>12404</v>
      </c>
      <c r="C6041" t="s">
        <v>68</v>
      </c>
      <c r="D6041" t="s">
        <v>62</v>
      </c>
      <c r="E6041">
        <v>679</v>
      </c>
      <c r="F6041">
        <v>3</v>
      </c>
      <c r="G6041">
        <v>3</v>
      </c>
      <c r="H6041">
        <v>1</v>
      </c>
      <c r="I6041">
        <v>0</v>
      </c>
      <c r="J6041">
        <v>0.79429429429429399</v>
      </c>
      <c r="K6041">
        <v>0.95396803421169696</v>
      </c>
      <c r="L6041">
        <v>0.86683943726114399</v>
      </c>
      <c r="M6041">
        <v>0.54506437768240301</v>
      </c>
      <c r="N6041">
        <v>1</v>
      </c>
      <c r="O6041">
        <v>0.69670958512160197</v>
      </c>
      <c r="P6041" t="s">
        <v>12405</v>
      </c>
      <c r="Q6041" t="s">
        <v>12406</v>
      </c>
      <c r="R6041" t="s">
        <v>342</v>
      </c>
      <c r="S6041" t="s">
        <v>343</v>
      </c>
      <c r="T6041" t="s">
        <v>12407</v>
      </c>
      <c r="U6041" t="s">
        <v>12408</v>
      </c>
      <c r="V6041" t="s">
        <v>12409</v>
      </c>
      <c r="W6041" t="s">
        <v>12410</v>
      </c>
      <c r="AD6041" t="s">
        <v>166</v>
      </c>
      <c r="AE6041" t="s">
        <v>818</v>
      </c>
      <c r="AF6041" t="s">
        <v>12412</v>
      </c>
    </row>
    <row r="6042" spans="1:32" hidden="1" x14ac:dyDescent="0.35">
      <c r="A6042">
        <v>6041</v>
      </c>
      <c r="B6042" t="s">
        <v>12413</v>
      </c>
      <c r="C6042" t="s">
        <v>68</v>
      </c>
      <c r="D6042" t="s">
        <v>58</v>
      </c>
      <c r="E6042">
        <v>1367</v>
      </c>
      <c r="F6042">
        <v>3</v>
      </c>
      <c r="G6042">
        <v>3</v>
      </c>
      <c r="H6042">
        <v>1</v>
      </c>
      <c r="I6042">
        <v>0</v>
      </c>
      <c r="J6042">
        <v>0.76097912167026605</v>
      </c>
      <c r="K6042">
        <v>0.94531059454794697</v>
      </c>
      <c r="L6042">
        <v>0.84318813986533603</v>
      </c>
      <c r="M6042">
        <v>0.51070336391437299</v>
      </c>
      <c r="N6042">
        <v>1</v>
      </c>
      <c r="O6042">
        <v>0.67380224260958199</v>
      </c>
      <c r="P6042" t="s">
        <v>12414</v>
      </c>
      <c r="Q6042" t="s">
        <v>12415</v>
      </c>
      <c r="R6042" t="s">
        <v>96</v>
      </c>
      <c r="S6042" t="s">
        <v>97</v>
      </c>
      <c r="T6042" t="s">
        <v>12416</v>
      </c>
      <c r="U6042" t="s">
        <v>12417</v>
      </c>
      <c r="V6042" t="s">
        <v>12418</v>
      </c>
      <c r="W6042" t="s">
        <v>12419</v>
      </c>
      <c r="AD6042" t="s">
        <v>4038</v>
      </c>
      <c r="AE6042" t="s">
        <v>4039</v>
      </c>
      <c r="AF6042" t="s">
        <v>12420</v>
      </c>
    </row>
    <row r="6043" spans="1:32" hidden="1" x14ac:dyDescent="0.35">
      <c r="A6043">
        <v>6042</v>
      </c>
      <c r="B6043" t="s">
        <v>12413</v>
      </c>
      <c r="C6043" t="s">
        <v>68</v>
      </c>
      <c r="D6043" t="s">
        <v>60</v>
      </c>
      <c r="E6043">
        <v>1847</v>
      </c>
      <c r="F6043">
        <v>3</v>
      </c>
      <c r="G6043">
        <v>3</v>
      </c>
      <c r="H6043">
        <v>1</v>
      </c>
      <c r="I6043">
        <v>0</v>
      </c>
      <c r="J6043">
        <v>0.76097912167026605</v>
      </c>
      <c r="K6043">
        <v>0.94531059454794697</v>
      </c>
      <c r="L6043">
        <v>0.84318813986533603</v>
      </c>
      <c r="M6043">
        <v>0.51070336391437299</v>
      </c>
      <c r="N6043">
        <v>1</v>
      </c>
      <c r="O6043">
        <v>0.67380224260958199</v>
      </c>
      <c r="P6043" t="s">
        <v>12414</v>
      </c>
      <c r="Q6043" t="s">
        <v>12415</v>
      </c>
      <c r="R6043" t="s">
        <v>96</v>
      </c>
      <c r="S6043" t="s">
        <v>97</v>
      </c>
      <c r="T6043" t="s">
        <v>12416</v>
      </c>
      <c r="U6043" t="s">
        <v>12417</v>
      </c>
      <c r="V6043" t="s">
        <v>12418</v>
      </c>
      <c r="W6043" t="s">
        <v>12419</v>
      </c>
      <c r="AD6043" t="s">
        <v>4038</v>
      </c>
      <c r="AE6043" t="s">
        <v>4039</v>
      </c>
      <c r="AF6043" t="s">
        <v>12421</v>
      </c>
    </row>
    <row r="6044" spans="1:32" hidden="1" x14ac:dyDescent="0.35">
      <c r="A6044">
        <v>6043</v>
      </c>
      <c r="B6044" t="s">
        <v>12413</v>
      </c>
      <c r="C6044" t="s">
        <v>68</v>
      </c>
      <c r="D6044" t="s">
        <v>62</v>
      </c>
      <c r="E6044">
        <v>1885</v>
      </c>
      <c r="F6044">
        <v>3</v>
      </c>
      <c r="G6044">
        <v>3</v>
      </c>
      <c r="H6044">
        <v>1</v>
      </c>
      <c r="I6044">
        <v>0</v>
      </c>
      <c r="J6044">
        <v>0.76097912167026605</v>
      </c>
      <c r="K6044">
        <v>0.94531059454794697</v>
      </c>
      <c r="L6044">
        <v>0.84318813986533603</v>
      </c>
      <c r="M6044">
        <v>0.51070336391437299</v>
      </c>
      <c r="N6044">
        <v>1</v>
      </c>
      <c r="O6044">
        <v>0.67380224260958199</v>
      </c>
      <c r="P6044" t="s">
        <v>12414</v>
      </c>
      <c r="Q6044" t="s">
        <v>12415</v>
      </c>
      <c r="R6044" t="s">
        <v>96</v>
      </c>
      <c r="S6044" t="s">
        <v>97</v>
      </c>
      <c r="T6044" t="s">
        <v>12416</v>
      </c>
      <c r="U6044" t="s">
        <v>12417</v>
      </c>
      <c r="V6044" t="s">
        <v>12418</v>
      </c>
      <c r="W6044" t="s">
        <v>12419</v>
      </c>
      <c r="AD6044" t="s">
        <v>4038</v>
      </c>
      <c r="AE6044" t="s">
        <v>4039</v>
      </c>
      <c r="AF6044" t="s">
        <v>12421</v>
      </c>
    </row>
    <row r="6045" spans="1:32" hidden="1" x14ac:dyDescent="0.35">
      <c r="A6045">
        <v>11279</v>
      </c>
      <c r="B6045" t="s">
        <v>22944</v>
      </c>
      <c r="C6045" t="s">
        <v>33</v>
      </c>
      <c r="D6045" t="s">
        <v>58</v>
      </c>
      <c r="E6045">
        <v>1411</v>
      </c>
      <c r="F6045">
        <v>1</v>
      </c>
      <c r="G6045">
        <v>1</v>
      </c>
      <c r="H6045">
        <v>1</v>
      </c>
      <c r="I6045">
        <v>0</v>
      </c>
      <c r="J6045">
        <v>1</v>
      </c>
      <c r="K6045">
        <v>1</v>
      </c>
      <c r="L6045">
        <v>1</v>
      </c>
      <c r="M6045">
        <v>0</v>
      </c>
      <c r="N6045">
        <v>0</v>
      </c>
      <c r="O6045">
        <v>0</v>
      </c>
      <c r="P6045" t="s">
        <v>9576</v>
      </c>
      <c r="Q6045" t="s">
        <v>9577</v>
      </c>
      <c r="R6045" t="s">
        <v>869</v>
      </c>
      <c r="S6045" t="s">
        <v>870</v>
      </c>
      <c r="V6045" t="s">
        <v>9580</v>
      </c>
      <c r="W6045" t="s">
        <v>9581</v>
      </c>
      <c r="X6045" t="s">
        <v>9580</v>
      </c>
      <c r="Y6045" t="s">
        <v>2454</v>
      </c>
      <c r="AF6045" t="s">
        <v>22945</v>
      </c>
    </row>
    <row r="6046" spans="1:32" hidden="1" x14ac:dyDescent="0.35">
      <c r="A6046">
        <v>6045</v>
      </c>
      <c r="B6046" t="s">
        <v>12422</v>
      </c>
      <c r="C6046" t="s">
        <v>68</v>
      </c>
      <c r="D6046" t="s">
        <v>60</v>
      </c>
      <c r="E6046">
        <v>400</v>
      </c>
      <c r="F6046">
        <v>3</v>
      </c>
      <c r="G6046">
        <v>3</v>
      </c>
      <c r="H6046">
        <v>1</v>
      </c>
      <c r="I6046">
        <v>0</v>
      </c>
      <c r="J6046">
        <v>0.80160466812545605</v>
      </c>
      <c r="K6046">
        <v>0.91655243729408697</v>
      </c>
      <c r="L6046">
        <v>0.85523344751096098</v>
      </c>
      <c r="M6046">
        <v>0.56287425149700598</v>
      </c>
      <c r="N6046">
        <v>1</v>
      </c>
      <c r="O6046">
        <v>0.70858283433133695</v>
      </c>
      <c r="P6046" t="s">
        <v>12423</v>
      </c>
      <c r="Q6046" t="s">
        <v>12424</v>
      </c>
      <c r="R6046" t="s">
        <v>224</v>
      </c>
      <c r="S6046" t="s">
        <v>225</v>
      </c>
      <c r="T6046" t="s">
        <v>12425</v>
      </c>
      <c r="U6046" t="s">
        <v>12426</v>
      </c>
      <c r="V6046" t="s">
        <v>8738</v>
      </c>
      <c r="W6046" t="s">
        <v>8739</v>
      </c>
      <c r="AD6046" t="s">
        <v>1170</v>
      </c>
      <c r="AE6046" t="s">
        <v>12427</v>
      </c>
      <c r="AF6046" t="e">
        <f>--------------MELRRLENCHAVRCAELEEVLFSGEDPWSERAFYSEFAYPSNLYIGAFDDEDRLIGYAGLAMVGPRNDPEFEIHTIGVDPAHQGEGIGRAMMEQLMAVADRHNGPVFLEVRTDNTPAIFLYESLGFVVTGTRKNYYQPSGADAFTMHRPSQGK</f>
        <v>#NAME?</v>
      </c>
    </row>
    <row r="6047" spans="1:32" hidden="1" x14ac:dyDescent="0.35">
      <c r="A6047">
        <v>6046</v>
      </c>
      <c r="B6047" t="s">
        <v>12422</v>
      </c>
      <c r="C6047" t="s">
        <v>68</v>
      </c>
      <c r="D6047" t="s">
        <v>62</v>
      </c>
      <c r="E6047">
        <v>481</v>
      </c>
      <c r="F6047">
        <v>3</v>
      </c>
      <c r="G6047">
        <v>3</v>
      </c>
      <c r="H6047">
        <v>1</v>
      </c>
      <c r="I6047">
        <v>0</v>
      </c>
      <c r="J6047">
        <v>0.80160466812545605</v>
      </c>
      <c r="K6047">
        <v>0.91655243729408697</v>
      </c>
      <c r="L6047">
        <v>0.85523344751096098</v>
      </c>
      <c r="M6047">
        <v>0.56287425149700598</v>
      </c>
      <c r="N6047">
        <v>1</v>
      </c>
      <c r="O6047">
        <v>0.70858283433133695</v>
      </c>
      <c r="P6047" t="s">
        <v>12423</v>
      </c>
      <c r="Q6047" t="s">
        <v>12424</v>
      </c>
      <c r="R6047" t="s">
        <v>224</v>
      </c>
      <c r="S6047" t="s">
        <v>225</v>
      </c>
      <c r="T6047" t="s">
        <v>12425</v>
      </c>
      <c r="U6047" t="s">
        <v>12426</v>
      </c>
      <c r="V6047" t="s">
        <v>8738</v>
      </c>
      <c r="W6047" t="s">
        <v>8739</v>
      </c>
      <c r="AD6047" t="s">
        <v>1170</v>
      </c>
      <c r="AE6047" t="s">
        <v>12427</v>
      </c>
      <c r="AF6047" t="e">
        <f>--------------MELRRLENCHAVRCAELEEVLFSGEDPWSERAFYSEFAYPSNLYIGAFDDEDRLIGYAGLAMVGPRNDPEFEIHTIGVDPAHQGEGIGRAMMEQLMAVADRHNGPVFLEVRTDNTPAIFLYESLGFVVTGTRKNYYQPSGADAFTMHRPSQGK</f>
        <v>#NAME?</v>
      </c>
    </row>
    <row r="6048" spans="1:32" hidden="1" x14ac:dyDescent="0.35">
      <c r="A6048">
        <v>3549</v>
      </c>
      <c r="B6048" t="s">
        <v>7288</v>
      </c>
      <c r="C6048" t="s">
        <v>72</v>
      </c>
      <c r="D6048" t="s">
        <v>58</v>
      </c>
      <c r="E6048">
        <v>817</v>
      </c>
      <c r="F6048">
        <v>5</v>
      </c>
      <c r="G6048">
        <v>5</v>
      </c>
      <c r="H6048">
        <v>1</v>
      </c>
      <c r="I6048">
        <v>1</v>
      </c>
      <c r="J6048">
        <v>0.806893598801113</v>
      </c>
      <c r="K6048">
        <v>0.97353380503144604</v>
      </c>
      <c r="L6048">
        <v>0.88241530522998002</v>
      </c>
      <c r="M6048">
        <v>0.625</v>
      </c>
      <c r="N6048">
        <v>1</v>
      </c>
      <c r="O6048">
        <v>0.72250000000000003</v>
      </c>
      <c r="P6048" t="s">
        <v>6903</v>
      </c>
      <c r="Q6048" t="s">
        <v>6904</v>
      </c>
      <c r="R6048" t="s">
        <v>869</v>
      </c>
      <c r="S6048" t="s">
        <v>870</v>
      </c>
      <c r="T6048" t="s">
        <v>7289</v>
      </c>
      <c r="U6048" t="s">
        <v>7290</v>
      </c>
      <c r="V6048" t="s">
        <v>7291</v>
      </c>
      <c r="W6048" t="s">
        <v>7292</v>
      </c>
      <c r="X6048" t="s">
        <v>7291</v>
      </c>
      <c r="Y6048" t="s">
        <v>3682</v>
      </c>
      <c r="Z6048" t="s">
        <v>3683</v>
      </c>
      <c r="AA6048" t="s">
        <v>3684</v>
      </c>
      <c r="AB6048" t="s">
        <v>3683</v>
      </c>
      <c r="AC6048" t="s">
        <v>1094</v>
      </c>
      <c r="AD6048" t="s">
        <v>219</v>
      </c>
      <c r="AE6048" t="s">
        <v>7293</v>
      </c>
      <c r="AF6048" t="s">
        <v>7294</v>
      </c>
    </row>
    <row r="6049" spans="1:32" hidden="1" x14ac:dyDescent="0.35">
      <c r="A6049">
        <v>6048</v>
      </c>
      <c r="B6049" t="s">
        <v>12429</v>
      </c>
      <c r="C6049" t="s">
        <v>68</v>
      </c>
      <c r="D6049" t="s">
        <v>60</v>
      </c>
      <c r="E6049">
        <v>2145</v>
      </c>
      <c r="F6049">
        <v>3</v>
      </c>
      <c r="G6049">
        <v>3</v>
      </c>
      <c r="H6049">
        <v>1</v>
      </c>
      <c r="I6049">
        <v>0</v>
      </c>
      <c r="J6049">
        <v>0.77230769230769203</v>
      </c>
      <c r="K6049">
        <v>0.95132743362831895</v>
      </c>
      <c r="L6049">
        <v>0.85252091215709203</v>
      </c>
      <c r="M6049">
        <v>0.570175438596491</v>
      </c>
      <c r="N6049">
        <v>1</v>
      </c>
      <c r="O6049">
        <v>0.713450292397661</v>
      </c>
      <c r="P6049" t="s">
        <v>12430</v>
      </c>
      <c r="Q6049" t="s">
        <v>12431</v>
      </c>
      <c r="R6049" t="s">
        <v>342</v>
      </c>
      <c r="S6049" t="s">
        <v>343</v>
      </c>
      <c r="T6049" t="s">
        <v>12432</v>
      </c>
      <c r="U6049" t="s">
        <v>12433</v>
      </c>
      <c r="V6049" t="s">
        <v>12434</v>
      </c>
      <c r="W6049" t="s">
        <v>12435</v>
      </c>
      <c r="AD6049" t="s">
        <v>12295</v>
      </c>
      <c r="AE6049" t="s">
        <v>12296</v>
      </c>
      <c r="AF6049" t="s">
        <v>12437</v>
      </c>
    </row>
    <row r="6050" spans="1:32" hidden="1" x14ac:dyDescent="0.35">
      <c r="A6050">
        <v>6049</v>
      </c>
      <c r="B6050" t="s">
        <v>12429</v>
      </c>
      <c r="C6050" t="s">
        <v>68</v>
      </c>
      <c r="D6050" t="s">
        <v>62</v>
      </c>
      <c r="E6050">
        <v>2179</v>
      </c>
      <c r="F6050">
        <v>3</v>
      </c>
      <c r="G6050">
        <v>3</v>
      </c>
      <c r="H6050">
        <v>1</v>
      </c>
      <c r="I6050">
        <v>0</v>
      </c>
      <c r="J6050">
        <v>0.77230769230769203</v>
      </c>
      <c r="K6050">
        <v>0.95132743362831895</v>
      </c>
      <c r="L6050">
        <v>0.85252091215709203</v>
      </c>
      <c r="M6050">
        <v>0.570175438596491</v>
      </c>
      <c r="N6050">
        <v>1</v>
      </c>
      <c r="O6050">
        <v>0.713450292397661</v>
      </c>
      <c r="P6050" t="s">
        <v>12430</v>
      </c>
      <c r="Q6050" t="s">
        <v>12431</v>
      </c>
      <c r="R6050" t="s">
        <v>342</v>
      </c>
      <c r="S6050" t="s">
        <v>343</v>
      </c>
      <c r="T6050" t="s">
        <v>12432</v>
      </c>
      <c r="U6050" t="s">
        <v>12433</v>
      </c>
      <c r="V6050" t="s">
        <v>12434</v>
      </c>
      <c r="W6050" t="s">
        <v>12435</v>
      </c>
      <c r="AD6050" t="s">
        <v>12295</v>
      </c>
      <c r="AE6050" t="s">
        <v>12296</v>
      </c>
      <c r="AF6050" t="s">
        <v>12437</v>
      </c>
    </row>
    <row r="6051" spans="1:32" hidden="1" x14ac:dyDescent="0.35">
      <c r="A6051">
        <v>6050</v>
      </c>
      <c r="B6051" t="s">
        <v>12438</v>
      </c>
      <c r="C6051" t="s">
        <v>68</v>
      </c>
      <c r="D6051" t="s">
        <v>58</v>
      </c>
      <c r="E6051">
        <v>436</v>
      </c>
      <c r="F6051">
        <v>3</v>
      </c>
      <c r="G6051">
        <v>3</v>
      </c>
      <c r="H6051">
        <v>1</v>
      </c>
      <c r="I6051">
        <v>0</v>
      </c>
      <c r="J6051">
        <v>0.93127147766323004</v>
      </c>
      <c r="K6051">
        <v>0.99399411204584698</v>
      </c>
      <c r="L6051">
        <v>0.961611084165654</v>
      </c>
      <c r="M6051">
        <v>0.84629294755877005</v>
      </c>
      <c r="N6051">
        <v>1</v>
      </c>
      <c r="O6051">
        <v>0.89752863170584696</v>
      </c>
      <c r="P6051" t="s">
        <v>12439</v>
      </c>
      <c r="Q6051" t="s">
        <v>12440</v>
      </c>
      <c r="R6051" t="s">
        <v>5180</v>
      </c>
      <c r="S6051" t="s">
        <v>5181</v>
      </c>
      <c r="T6051" t="s">
        <v>12441</v>
      </c>
      <c r="U6051" t="s">
        <v>12442</v>
      </c>
      <c r="V6051" t="s">
        <v>5182</v>
      </c>
      <c r="W6051" t="s">
        <v>5183</v>
      </c>
      <c r="AD6051" t="s">
        <v>12443</v>
      </c>
      <c r="AE6051" t="s">
        <v>12444</v>
      </c>
      <c r="AF6051" t="s">
        <v>12445</v>
      </c>
    </row>
    <row r="6052" spans="1:32" hidden="1" x14ac:dyDescent="0.35">
      <c r="A6052">
        <v>6051</v>
      </c>
      <c r="B6052" t="s">
        <v>12438</v>
      </c>
      <c r="C6052" t="s">
        <v>68</v>
      </c>
      <c r="D6052" t="s">
        <v>60</v>
      </c>
      <c r="E6052">
        <v>703</v>
      </c>
      <c r="F6052">
        <v>3</v>
      </c>
      <c r="G6052">
        <v>3</v>
      </c>
      <c r="H6052">
        <v>1</v>
      </c>
      <c r="I6052">
        <v>0</v>
      </c>
      <c r="J6052">
        <v>0.93127147766323004</v>
      </c>
      <c r="K6052">
        <v>0.99399411204584698</v>
      </c>
      <c r="L6052">
        <v>0.961611084165654</v>
      </c>
      <c r="M6052">
        <v>0.84629294755877005</v>
      </c>
      <c r="N6052">
        <v>1</v>
      </c>
      <c r="O6052">
        <v>0.89752863170584696</v>
      </c>
      <c r="P6052" t="s">
        <v>12439</v>
      </c>
      <c r="Q6052" t="s">
        <v>12440</v>
      </c>
      <c r="R6052" t="s">
        <v>5180</v>
      </c>
      <c r="S6052" t="s">
        <v>5181</v>
      </c>
      <c r="T6052" t="s">
        <v>12441</v>
      </c>
      <c r="U6052" t="s">
        <v>12442</v>
      </c>
      <c r="V6052" t="s">
        <v>5182</v>
      </c>
      <c r="W6052" t="s">
        <v>5183</v>
      </c>
      <c r="AD6052" t="s">
        <v>12443</v>
      </c>
      <c r="AE6052" t="s">
        <v>12444</v>
      </c>
      <c r="AF6052" t="s">
        <v>12446</v>
      </c>
    </row>
    <row r="6053" spans="1:32" hidden="1" x14ac:dyDescent="0.35">
      <c r="A6053">
        <v>6052</v>
      </c>
      <c r="B6053" t="s">
        <v>12438</v>
      </c>
      <c r="C6053" t="s">
        <v>68</v>
      </c>
      <c r="D6053" t="s">
        <v>62</v>
      </c>
      <c r="E6053">
        <v>734</v>
      </c>
      <c r="F6053">
        <v>3</v>
      </c>
      <c r="G6053">
        <v>3</v>
      </c>
      <c r="H6053">
        <v>1</v>
      </c>
      <c r="I6053">
        <v>0</v>
      </c>
      <c r="J6053">
        <v>0.93127147766323004</v>
      </c>
      <c r="K6053">
        <v>0.99399411204584698</v>
      </c>
      <c r="L6053">
        <v>0.961611084165654</v>
      </c>
      <c r="M6053">
        <v>0.84629294755877005</v>
      </c>
      <c r="N6053">
        <v>1</v>
      </c>
      <c r="O6053">
        <v>0.89752863170584696</v>
      </c>
      <c r="P6053" t="s">
        <v>12439</v>
      </c>
      <c r="Q6053" t="s">
        <v>12440</v>
      </c>
      <c r="R6053" t="s">
        <v>5180</v>
      </c>
      <c r="S6053" t="s">
        <v>5181</v>
      </c>
      <c r="T6053" t="s">
        <v>12441</v>
      </c>
      <c r="U6053" t="s">
        <v>12442</v>
      </c>
      <c r="V6053" t="s">
        <v>5182</v>
      </c>
      <c r="W6053" t="s">
        <v>5183</v>
      </c>
      <c r="AD6053" t="s">
        <v>12443</v>
      </c>
      <c r="AE6053" t="s">
        <v>12444</v>
      </c>
      <c r="AF6053" t="s">
        <v>12446</v>
      </c>
    </row>
    <row r="6054" spans="1:32" hidden="1" x14ac:dyDescent="0.35">
      <c r="A6054">
        <v>6053</v>
      </c>
      <c r="B6054" t="s">
        <v>12447</v>
      </c>
      <c r="C6054" t="s">
        <v>68</v>
      </c>
      <c r="D6054" t="s">
        <v>58</v>
      </c>
      <c r="E6054">
        <v>1228</v>
      </c>
      <c r="F6054">
        <v>3</v>
      </c>
      <c r="G6054">
        <v>3</v>
      </c>
      <c r="H6054">
        <v>1</v>
      </c>
      <c r="I6054">
        <v>0</v>
      </c>
      <c r="J6054">
        <v>0.74269005847953196</v>
      </c>
      <c r="K6054">
        <v>0.78588235294117703</v>
      </c>
      <c r="L6054">
        <v>0.763675971518332</v>
      </c>
      <c r="M6054">
        <v>0.39215686274509798</v>
      </c>
      <c r="N6054">
        <v>1</v>
      </c>
      <c r="O6054">
        <v>0.59477124183006502</v>
      </c>
      <c r="AF6054" t="s">
        <v>12448</v>
      </c>
    </row>
    <row r="6055" spans="1:32" hidden="1" x14ac:dyDescent="0.35">
      <c r="A6055">
        <v>6054</v>
      </c>
      <c r="B6055" t="s">
        <v>12447</v>
      </c>
      <c r="C6055" t="s">
        <v>68</v>
      </c>
      <c r="D6055" t="s">
        <v>60</v>
      </c>
      <c r="E6055">
        <v>1709</v>
      </c>
      <c r="F6055">
        <v>3</v>
      </c>
      <c r="G6055">
        <v>3</v>
      </c>
      <c r="H6055">
        <v>1</v>
      </c>
      <c r="I6055">
        <v>0</v>
      </c>
      <c r="J6055">
        <v>0.74269005847953196</v>
      </c>
      <c r="K6055">
        <v>0.78588235294117703</v>
      </c>
      <c r="L6055">
        <v>0.763675971518332</v>
      </c>
      <c r="M6055">
        <v>0.39215686274509798</v>
      </c>
      <c r="N6055">
        <v>1</v>
      </c>
      <c r="O6055">
        <v>0.59477124183006502</v>
      </c>
      <c r="AF6055" t="s">
        <v>12449</v>
      </c>
    </row>
    <row r="6056" spans="1:32" hidden="1" x14ac:dyDescent="0.35">
      <c r="A6056">
        <v>6055</v>
      </c>
      <c r="B6056" t="s">
        <v>12447</v>
      </c>
      <c r="C6056" t="s">
        <v>68</v>
      </c>
      <c r="D6056" t="s">
        <v>62</v>
      </c>
      <c r="E6056">
        <v>1744</v>
      </c>
      <c r="F6056">
        <v>3</v>
      </c>
      <c r="G6056">
        <v>3</v>
      </c>
      <c r="H6056">
        <v>1</v>
      </c>
      <c r="I6056">
        <v>0</v>
      </c>
      <c r="J6056">
        <v>0.74269005847953196</v>
      </c>
      <c r="K6056">
        <v>0.78588235294117703</v>
      </c>
      <c r="L6056">
        <v>0.763675971518332</v>
      </c>
      <c r="M6056">
        <v>0.39215686274509798</v>
      </c>
      <c r="N6056">
        <v>1</v>
      </c>
      <c r="O6056">
        <v>0.59477124183006502</v>
      </c>
      <c r="AF6056" t="s">
        <v>12449</v>
      </c>
    </row>
    <row r="6057" spans="1:32" hidden="1" x14ac:dyDescent="0.35">
      <c r="A6057">
        <v>6056</v>
      </c>
      <c r="B6057" t="s">
        <v>12450</v>
      </c>
      <c r="C6057" t="s">
        <v>68</v>
      </c>
      <c r="D6057" t="s">
        <v>58</v>
      </c>
      <c r="E6057">
        <v>157</v>
      </c>
      <c r="F6057">
        <v>3</v>
      </c>
      <c r="G6057">
        <v>3</v>
      </c>
      <c r="H6057">
        <v>1</v>
      </c>
      <c r="I6057">
        <v>0</v>
      </c>
      <c r="J6057">
        <v>0.89073458840900699</v>
      </c>
      <c r="K6057">
        <v>1</v>
      </c>
      <c r="L6057">
        <v>0.94221007418976999</v>
      </c>
      <c r="M6057">
        <v>0.78737541528239197</v>
      </c>
      <c r="N6057">
        <v>1</v>
      </c>
      <c r="O6057">
        <v>0.85825027685492805</v>
      </c>
      <c r="P6057" t="s">
        <v>7416</v>
      </c>
      <c r="Q6057" t="s">
        <v>7417</v>
      </c>
      <c r="R6057" t="s">
        <v>213</v>
      </c>
      <c r="S6057" t="s">
        <v>214</v>
      </c>
      <c r="T6057" t="s">
        <v>12451</v>
      </c>
      <c r="U6057" t="s">
        <v>12452</v>
      </c>
      <c r="V6057" t="s">
        <v>12453</v>
      </c>
      <c r="W6057" t="s">
        <v>12454</v>
      </c>
      <c r="X6057" t="s">
        <v>12453</v>
      </c>
      <c r="Y6057" t="s">
        <v>710</v>
      </c>
      <c r="AD6057" t="s">
        <v>245</v>
      </c>
      <c r="AE6057" t="s">
        <v>12455</v>
      </c>
      <c r="AF6057" t="s">
        <v>12456</v>
      </c>
    </row>
    <row r="6058" spans="1:32" hidden="1" x14ac:dyDescent="0.35">
      <c r="A6058">
        <v>6057</v>
      </c>
      <c r="B6058" t="s">
        <v>12450</v>
      </c>
      <c r="C6058" t="s">
        <v>68</v>
      </c>
      <c r="D6058" t="s">
        <v>60</v>
      </c>
      <c r="E6058">
        <v>265</v>
      </c>
      <c r="F6058">
        <v>3</v>
      </c>
      <c r="G6058">
        <v>3</v>
      </c>
      <c r="H6058">
        <v>1</v>
      </c>
      <c r="I6058">
        <v>0</v>
      </c>
      <c r="J6058">
        <v>0.89073458840900699</v>
      </c>
      <c r="K6058">
        <v>1</v>
      </c>
      <c r="L6058">
        <v>0.94221007418976999</v>
      </c>
      <c r="M6058">
        <v>0.78737541528239197</v>
      </c>
      <c r="N6058">
        <v>1</v>
      </c>
      <c r="O6058">
        <v>0.85825027685492805</v>
      </c>
      <c r="P6058" t="s">
        <v>7416</v>
      </c>
      <c r="Q6058" t="s">
        <v>7417</v>
      </c>
      <c r="R6058" t="s">
        <v>213</v>
      </c>
      <c r="S6058" t="s">
        <v>214</v>
      </c>
      <c r="T6058" t="s">
        <v>12451</v>
      </c>
      <c r="U6058" t="s">
        <v>12452</v>
      </c>
      <c r="V6058" t="s">
        <v>12453</v>
      </c>
      <c r="W6058" t="s">
        <v>12454</v>
      </c>
      <c r="X6058" t="s">
        <v>12453</v>
      </c>
      <c r="Y6058" t="s">
        <v>710</v>
      </c>
      <c r="AD6058" t="s">
        <v>245</v>
      </c>
      <c r="AE6058" t="s">
        <v>12455</v>
      </c>
      <c r="AF6058" t="s">
        <v>12457</v>
      </c>
    </row>
    <row r="6059" spans="1:32" hidden="1" x14ac:dyDescent="0.35">
      <c r="A6059">
        <v>6058</v>
      </c>
      <c r="B6059" t="s">
        <v>12450</v>
      </c>
      <c r="C6059" t="s">
        <v>68</v>
      </c>
      <c r="D6059" t="s">
        <v>62</v>
      </c>
      <c r="E6059">
        <v>343</v>
      </c>
      <c r="F6059">
        <v>3</v>
      </c>
      <c r="G6059">
        <v>3</v>
      </c>
      <c r="H6059">
        <v>1</v>
      </c>
      <c r="I6059">
        <v>0</v>
      </c>
      <c r="J6059">
        <v>0.89073458840900699</v>
      </c>
      <c r="K6059">
        <v>1</v>
      </c>
      <c r="L6059">
        <v>0.94221007418976999</v>
      </c>
      <c r="M6059">
        <v>0.78737541528239197</v>
      </c>
      <c r="N6059">
        <v>1</v>
      </c>
      <c r="O6059">
        <v>0.85825027685492805</v>
      </c>
      <c r="P6059" t="s">
        <v>7416</v>
      </c>
      <c r="Q6059" t="s">
        <v>7417</v>
      </c>
      <c r="R6059" t="s">
        <v>213</v>
      </c>
      <c r="S6059" t="s">
        <v>214</v>
      </c>
      <c r="T6059" t="s">
        <v>12451</v>
      </c>
      <c r="U6059" t="s">
        <v>12452</v>
      </c>
      <c r="V6059" t="s">
        <v>12453</v>
      </c>
      <c r="W6059" t="s">
        <v>12454</v>
      </c>
      <c r="X6059" t="s">
        <v>12453</v>
      </c>
      <c r="Y6059" t="s">
        <v>710</v>
      </c>
      <c r="AD6059" t="s">
        <v>245</v>
      </c>
      <c r="AE6059" t="s">
        <v>12455</v>
      </c>
      <c r="AF6059" t="s">
        <v>12457</v>
      </c>
    </row>
    <row r="6060" spans="1:32" hidden="1" x14ac:dyDescent="0.35">
      <c r="A6060">
        <v>6059</v>
      </c>
      <c r="B6060" t="s">
        <v>12458</v>
      </c>
      <c r="C6060" t="s">
        <v>68</v>
      </c>
      <c r="D6060" t="s">
        <v>58</v>
      </c>
      <c r="E6060">
        <v>352</v>
      </c>
      <c r="F6060">
        <v>3</v>
      </c>
      <c r="G6060">
        <v>3</v>
      </c>
      <c r="H6060">
        <v>1</v>
      </c>
      <c r="I6060">
        <v>0</v>
      </c>
      <c r="J6060">
        <v>0.77687548337200296</v>
      </c>
      <c r="K6060">
        <v>0.96621867602259803</v>
      </c>
      <c r="L6060">
        <v>0.86126339983700795</v>
      </c>
      <c r="M6060">
        <v>0.54453781512605004</v>
      </c>
      <c r="N6060">
        <v>1</v>
      </c>
      <c r="O6060">
        <v>0.69635854341736703</v>
      </c>
      <c r="P6060" t="s">
        <v>12459</v>
      </c>
      <c r="Q6060" t="s">
        <v>12460</v>
      </c>
      <c r="AF6060" t="s">
        <v>12461</v>
      </c>
    </row>
    <row r="6061" spans="1:32" hidden="1" x14ac:dyDescent="0.35">
      <c r="A6061">
        <v>6060</v>
      </c>
      <c r="B6061" t="s">
        <v>12458</v>
      </c>
      <c r="C6061" t="s">
        <v>68</v>
      </c>
      <c r="D6061" t="s">
        <v>60</v>
      </c>
      <c r="E6061">
        <v>585</v>
      </c>
      <c r="F6061">
        <v>3</v>
      </c>
      <c r="G6061">
        <v>3</v>
      </c>
      <c r="H6061">
        <v>1</v>
      </c>
      <c r="I6061">
        <v>0</v>
      </c>
      <c r="J6061">
        <v>0.77687548337200296</v>
      </c>
      <c r="K6061">
        <v>0.96621867602259803</v>
      </c>
      <c r="L6061">
        <v>0.86126339983700795</v>
      </c>
      <c r="M6061">
        <v>0.54453781512605004</v>
      </c>
      <c r="N6061">
        <v>1</v>
      </c>
      <c r="O6061">
        <v>0.69635854341736703</v>
      </c>
      <c r="P6061" t="s">
        <v>12459</v>
      </c>
      <c r="Q6061" t="s">
        <v>12460</v>
      </c>
      <c r="AF6061" t="s">
        <v>12462</v>
      </c>
    </row>
    <row r="6062" spans="1:32" hidden="1" x14ac:dyDescent="0.35">
      <c r="A6062">
        <v>6061</v>
      </c>
      <c r="B6062" t="s">
        <v>12458</v>
      </c>
      <c r="C6062" t="s">
        <v>68</v>
      </c>
      <c r="D6062" t="s">
        <v>62</v>
      </c>
      <c r="E6062">
        <v>669</v>
      </c>
      <c r="F6062">
        <v>3</v>
      </c>
      <c r="G6062">
        <v>3</v>
      </c>
      <c r="H6062">
        <v>1</v>
      </c>
      <c r="I6062">
        <v>0</v>
      </c>
      <c r="J6062">
        <v>0.77687548337200296</v>
      </c>
      <c r="K6062">
        <v>0.96621867602259803</v>
      </c>
      <c r="L6062">
        <v>0.86126339983700795</v>
      </c>
      <c r="M6062">
        <v>0.54453781512605004</v>
      </c>
      <c r="N6062">
        <v>1</v>
      </c>
      <c r="O6062">
        <v>0.69635854341736703</v>
      </c>
      <c r="P6062" t="s">
        <v>12459</v>
      </c>
      <c r="Q6062" t="s">
        <v>12460</v>
      </c>
      <c r="AF6062" t="s">
        <v>12462</v>
      </c>
    </row>
    <row r="6063" spans="1:32" hidden="1" x14ac:dyDescent="0.35">
      <c r="A6063">
        <v>4794</v>
      </c>
      <c r="B6063" t="s">
        <v>10055</v>
      </c>
      <c r="C6063" t="s">
        <v>10127</v>
      </c>
      <c r="D6063" t="s">
        <v>58</v>
      </c>
      <c r="E6063">
        <v>307</v>
      </c>
      <c r="F6063">
        <v>5</v>
      </c>
      <c r="G6063">
        <v>5</v>
      </c>
      <c r="H6063">
        <v>1</v>
      </c>
      <c r="I6063">
        <v>1</v>
      </c>
      <c r="J6063">
        <v>0.70776601109430204</v>
      </c>
      <c r="K6063">
        <v>0.854091131798137</v>
      </c>
      <c r="L6063">
        <v>0.77407421826596001</v>
      </c>
      <c r="M6063">
        <v>0.47770700636942698</v>
      </c>
      <c r="N6063">
        <v>0.98089171974522305</v>
      </c>
      <c r="O6063">
        <v>0.61337579617834403</v>
      </c>
      <c r="P6063" t="s">
        <v>10056</v>
      </c>
      <c r="Q6063" t="s">
        <v>10057</v>
      </c>
      <c r="R6063" t="s">
        <v>75</v>
      </c>
      <c r="S6063" t="s">
        <v>76</v>
      </c>
      <c r="T6063" t="s">
        <v>10058</v>
      </c>
      <c r="U6063" t="s">
        <v>10059</v>
      </c>
      <c r="V6063" t="s">
        <v>10060</v>
      </c>
      <c r="W6063" t="s">
        <v>10061</v>
      </c>
      <c r="AD6063" t="s">
        <v>245</v>
      </c>
      <c r="AE6063" t="s">
        <v>10062</v>
      </c>
      <c r="AF6063" t="s">
        <v>10063</v>
      </c>
    </row>
    <row r="6064" spans="1:32" hidden="1" x14ac:dyDescent="0.35">
      <c r="A6064">
        <v>6063</v>
      </c>
      <c r="B6064" t="s">
        <v>12463</v>
      </c>
      <c r="C6064" t="s">
        <v>68</v>
      </c>
      <c r="D6064" t="s">
        <v>60</v>
      </c>
      <c r="E6064">
        <v>869</v>
      </c>
      <c r="F6064">
        <v>3</v>
      </c>
      <c r="G6064">
        <v>3</v>
      </c>
      <c r="H6064">
        <v>1</v>
      </c>
      <c r="I6064">
        <v>0</v>
      </c>
      <c r="J6064">
        <v>0.81233243967828395</v>
      </c>
      <c r="K6064">
        <v>0.95096175406783701</v>
      </c>
      <c r="L6064">
        <v>0.87619761292526599</v>
      </c>
      <c r="M6064">
        <v>0.55725190839694705</v>
      </c>
      <c r="N6064">
        <v>1</v>
      </c>
      <c r="O6064">
        <v>0.70483460559796396</v>
      </c>
      <c r="P6064" t="s">
        <v>12464</v>
      </c>
      <c r="Q6064" t="s">
        <v>12465</v>
      </c>
      <c r="R6064" t="s">
        <v>235</v>
      </c>
      <c r="S6064" t="s">
        <v>236</v>
      </c>
      <c r="T6064" t="s">
        <v>12466</v>
      </c>
      <c r="U6064" t="s">
        <v>12467</v>
      </c>
      <c r="V6064" t="s">
        <v>12468</v>
      </c>
      <c r="W6064" t="s">
        <v>12469</v>
      </c>
      <c r="AD6064" t="s">
        <v>219</v>
      </c>
      <c r="AE6064" t="s">
        <v>12470</v>
      </c>
      <c r="AF6064" t="s">
        <v>12472</v>
      </c>
    </row>
    <row r="6065" spans="1:32" hidden="1" x14ac:dyDescent="0.35">
      <c r="A6065">
        <v>6064</v>
      </c>
      <c r="B6065" t="s">
        <v>12463</v>
      </c>
      <c r="C6065" t="s">
        <v>68</v>
      </c>
      <c r="D6065" t="s">
        <v>62</v>
      </c>
      <c r="E6065">
        <v>903</v>
      </c>
      <c r="F6065">
        <v>3</v>
      </c>
      <c r="G6065">
        <v>3</v>
      </c>
      <c r="H6065">
        <v>1</v>
      </c>
      <c r="I6065">
        <v>0</v>
      </c>
      <c r="J6065">
        <v>0.81233243967828395</v>
      </c>
      <c r="K6065">
        <v>0.95096175406783701</v>
      </c>
      <c r="L6065">
        <v>0.87619761292526599</v>
      </c>
      <c r="M6065">
        <v>0.55725190839694705</v>
      </c>
      <c r="N6065">
        <v>1</v>
      </c>
      <c r="O6065">
        <v>0.70483460559796396</v>
      </c>
      <c r="P6065" t="s">
        <v>12464</v>
      </c>
      <c r="Q6065" t="s">
        <v>12465</v>
      </c>
      <c r="R6065" t="s">
        <v>235</v>
      </c>
      <c r="S6065" t="s">
        <v>236</v>
      </c>
      <c r="T6065" t="s">
        <v>12466</v>
      </c>
      <c r="U6065" t="s">
        <v>12467</v>
      </c>
      <c r="V6065" t="s">
        <v>12468</v>
      </c>
      <c r="W6065" t="s">
        <v>12469</v>
      </c>
      <c r="AD6065" t="s">
        <v>219</v>
      </c>
      <c r="AE6065" t="s">
        <v>12470</v>
      </c>
      <c r="AF6065" t="s">
        <v>12472</v>
      </c>
    </row>
    <row r="6066" spans="1:32" hidden="1" x14ac:dyDescent="0.35">
      <c r="A6066">
        <v>6065</v>
      </c>
      <c r="B6066" t="s">
        <v>12473</v>
      </c>
      <c r="C6066" t="s">
        <v>68</v>
      </c>
      <c r="D6066" t="s">
        <v>60</v>
      </c>
      <c r="E6066">
        <v>243</v>
      </c>
      <c r="F6066">
        <v>3</v>
      </c>
      <c r="G6066">
        <v>3</v>
      </c>
      <c r="H6066">
        <v>1</v>
      </c>
      <c r="I6066">
        <v>0</v>
      </c>
      <c r="J6066">
        <v>0.84432234432234399</v>
      </c>
      <c r="K6066">
        <v>0.71753758974854398</v>
      </c>
      <c r="L6066">
        <v>0.77578405937698902</v>
      </c>
      <c r="M6066">
        <v>0.191176470588235</v>
      </c>
      <c r="N6066">
        <v>1</v>
      </c>
      <c r="O6066">
        <v>0.46078431372549</v>
      </c>
      <c r="AF6066" t="s">
        <v>12474</v>
      </c>
    </row>
    <row r="6067" spans="1:32" hidden="1" x14ac:dyDescent="0.35">
      <c r="A6067">
        <v>6066</v>
      </c>
      <c r="B6067" t="s">
        <v>12473</v>
      </c>
      <c r="C6067" t="s">
        <v>68</v>
      </c>
      <c r="D6067" t="s">
        <v>62</v>
      </c>
      <c r="E6067">
        <v>321</v>
      </c>
      <c r="F6067">
        <v>3</v>
      </c>
      <c r="G6067">
        <v>3</v>
      </c>
      <c r="H6067">
        <v>1</v>
      </c>
      <c r="I6067">
        <v>0</v>
      </c>
      <c r="J6067">
        <v>0.84432234432234399</v>
      </c>
      <c r="K6067">
        <v>0.71753758974854398</v>
      </c>
      <c r="L6067">
        <v>0.77578405937698902</v>
      </c>
      <c r="M6067">
        <v>0.191176470588235</v>
      </c>
      <c r="N6067">
        <v>1</v>
      </c>
      <c r="O6067">
        <v>0.46078431372549</v>
      </c>
      <c r="AF6067" t="s">
        <v>12474</v>
      </c>
    </row>
    <row r="6068" spans="1:32" hidden="1" x14ac:dyDescent="0.35">
      <c r="A6068">
        <v>6067</v>
      </c>
      <c r="B6068" t="s">
        <v>12473</v>
      </c>
      <c r="C6068" t="s">
        <v>68</v>
      </c>
      <c r="D6068" t="s">
        <v>34</v>
      </c>
      <c r="E6068">
        <v>1150</v>
      </c>
      <c r="F6068">
        <v>3</v>
      </c>
      <c r="G6068">
        <v>3</v>
      </c>
      <c r="H6068">
        <v>1</v>
      </c>
      <c r="I6068">
        <v>0</v>
      </c>
      <c r="J6068">
        <v>0.84432234432234399</v>
      </c>
      <c r="K6068">
        <v>0.71753758974854398</v>
      </c>
      <c r="L6068">
        <v>0.77578405937698902</v>
      </c>
      <c r="M6068">
        <v>0.191176470588235</v>
      </c>
      <c r="N6068">
        <v>1</v>
      </c>
      <c r="O6068">
        <v>0.46078431372549</v>
      </c>
      <c r="AF6068" t="e">
        <f>----------------------------------------------------------------------------------------------------------------------------MYLILYFPLAAILNANAAIITLAMWMVGQSAIYQYESGRIMWVLTIILQKSSPFQVAAMAVGALGMWVIFRRKIKQQGMG</f>
        <v>#NAME?</v>
      </c>
    </row>
    <row r="6069" spans="1:32" hidden="1" x14ac:dyDescent="0.35">
      <c r="A6069">
        <v>4549</v>
      </c>
      <c r="B6069" t="s">
        <v>9503</v>
      </c>
      <c r="C6069" t="s">
        <v>72</v>
      </c>
      <c r="D6069" t="s">
        <v>58</v>
      </c>
      <c r="E6069">
        <v>1007</v>
      </c>
      <c r="F6069">
        <v>5</v>
      </c>
      <c r="G6069">
        <v>5</v>
      </c>
      <c r="H6069">
        <v>1</v>
      </c>
      <c r="I6069">
        <v>1</v>
      </c>
      <c r="J6069">
        <v>0.76456705729166696</v>
      </c>
      <c r="K6069">
        <v>0.94537520886325199</v>
      </c>
      <c r="L6069">
        <v>0.84541186656834899</v>
      </c>
      <c r="M6069">
        <v>0.55299539170506895</v>
      </c>
      <c r="N6069">
        <v>0.99308755760368705</v>
      </c>
      <c r="O6069">
        <v>0.68364055299539195</v>
      </c>
      <c r="P6069" t="s">
        <v>9504</v>
      </c>
      <c r="Q6069" t="s">
        <v>9505</v>
      </c>
      <c r="R6069" t="s">
        <v>869</v>
      </c>
      <c r="S6069" t="s">
        <v>870</v>
      </c>
      <c r="T6069" t="s">
        <v>9506</v>
      </c>
      <c r="U6069" t="s">
        <v>9507</v>
      </c>
      <c r="V6069" t="s">
        <v>9508</v>
      </c>
      <c r="W6069" t="s">
        <v>9509</v>
      </c>
      <c r="X6069" t="s">
        <v>9508</v>
      </c>
      <c r="Y6069" t="s">
        <v>3682</v>
      </c>
      <c r="Z6069" t="s">
        <v>9510</v>
      </c>
      <c r="AA6069" t="s">
        <v>9511</v>
      </c>
      <c r="AB6069" t="s">
        <v>9510</v>
      </c>
      <c r="AC6069" t="s">
        <v>878</v>
      </c>
      <c r="AD6069" t="s">
        <v>191</v>
      </c>
      <c r="AE6069" t="s">
        <v>9512</v>
      </c>
      <c r="AF6069" t="s">
        <v>9513</v>
      </c>
    </row>
    <row r="6070" spans="1:32" hidden="1" x14ac:dyDescent="0.35">
      <c r="A6070">
        <v>6069</v>
      </c>
      <c r="B6070" t="s">
        <v>12475</v>
      </c>
      <c r="C6070" t="s">
        <v>68</v>
      </c>
      <c r="D6070" t="s">
        <v>60</v>
      </c>
      <c r="E6070">
        <v>1303</v>
      </c>
      <c r="F6070">
        <v>3</v>
      </c>
      <c r="G6070">
        <v>3</v>
      </c>
      <c r="H6070">
        <v>1</v>
      </c>
      <c r="I6070">
        <v>0</v>
      </c>
      <c r="J6070">
        <v>0.79060950714494005</v>
      </c>
      <c r="K6070">
        <v>0.88741339491916904</v>
      </c>
      <c r="L6070">
        <v>0.83621917904438403</v>
      </c>
      <c r="M6070">
        <v>0.49653579676674398</v>
      </c>
      <c r="N6070">
        <v>1</v>
      </c>
      <c r="O6070">
        <v>0.66435719784449598</v>
      </c>
      <c r="P6070" t="s">
        <v>12476</v>
      </c>
      <c r="Q6070" t="s">
        <v>12477</v>
      </c>
      <c r="R6070" t="s">
        <v>342</v>
      </c>
      <c r="S6070" t="s">
        <v>343</v>
      </c>
      <c r="T6070" t="s">
        <v>12478</v>
      </c>
      <c r="U6070" t="s">
        <v>12479</v>
      </c>
      <c r="V6070" t="s">
        <v>11985</v>
      </c>
      <c r="W6070" t="s">
        <v>11986</v>
      </c>
      <c r="X6070" t="s">
        <v>11985</v>
      </c>
      <c r="Y6070" t="s">
        <v>4418</v>
      </c>
      <c r="Z6070" t="s">
        <v>5716</v>
      </c>
      <c r="AA6070" t="s">
        <v>5717</v>
      </c>
      <c r="AB6070" t="s">
        <v>5716</v>
      </c>
      <c r="AC6070" t="s">
        <v>1094</v>
      </c>
      <c r="AD6070" t="s">
        <v>219</v>
      </c>
      <c r="AE6070" t="s">
        <v>12480</v>
      </c>
      <c r="AF6070" t="s">
        <v>12482</v>
      </c>
    </row>
    <row r="6071" spans="1:32" hidden="1" x14ac:dyDescent="0.35">
      <c r="A6071">
        <v>6070</v>
      </c>
      <c r="B6071" t="s">
        <v>12475</v>
      </c>
      <c r="C6071" t="s">
        <v>68</v>
      </c>
      <c r="D6071" t="s">
        <v>62</v>
      </c>
      <c r="E6071">
        <v>1339</v>
      </c>
      <c r="F6071">
        <v>3</v>
      </c>
      <c r="G6071">
        <v>3</v>
      </c>
      <c r="H6071">
        <v>1</v>
      </c>
      <c r="I6071">
        <v>0</v>
      </c>
      <c r="J6071">
        <v>0.79060950714494005</v>
      </c>
      <c r="K6071">
        <v>0.88741339491916904</v>
      </c>
      <c r="L6071">
        <v>0.83621917904438403</v>
      </c>
      <c r="M6071">
        <v>0.49653579676674398</v>
      </c>
      <c r="N6071">
        <v>1</v>
      </c>
      <c r="O6071">
        <v>0.66435719784449598</v>
      </c>
      <c r="P6071" t="s">
        <v>12476</v>
      </c>
      <c r="Q6071" t="s">
        <v>12477</v>
      </c>
      <c r="R6071" t="s">
        <v>342</v>
      </c>
      <c r="S6071" t="s">
        <v>343</v>
      </c>
      <c r="T6071" t="s">
        <v>12478</v>
      </c>
      <c r="U6071" t="s">
        <v>12479</v>
      </c>
      <c r="V6071" t="s">
        <v>11985</v>
      </c>
      <c r="W6071" t="s">
        <v>11986</v>
      </c>
      <c r="X6071" t="s">
        <v>11985</v>
      </c>
      <c r="Y6071" t="s">
        <v>4418</v>
      </c>
      <c r="Z6071" t="s">
        <v>5716</v>
      </c>
      <c r="AA6071" t="s">
        <v>5717</v>
      </c>
      <c r="AB6071" t="s">
        <v>5716</v>
      </c>
      <c r="AC6071" t="s">
        <v>1094</v>
      </c>
      <c r="AD6071" t="s">
        <v>219</v>
      </c>
      <c r="AE6071" t="s">
        <v>12480</v>
      </c>
      <c r="AF6071" t="s">
        <v>12482</v>
      </c>
    </row>
    <row r="6072" spans="1:32" hidden="1" x14ac:dyDescent="0.35">
      <c r="A6072">
        <v>459</v>
      </c>
      <c r="B6072" t="s">
        <v>850</v>
      </c>
      <c r="C6072" t="s">
        <v>72</v>
      </c>
      <c r="D6072" t="s">
        <v>58</v>
      </c>
      <c r="E6072">
        <v>1210</v>
      </c>
      <c r="F6072">
        <v>5</v>
      </c>
      <c r="G6072">
        <v>5</v>
      </c>
      <c r="H6072">
        <v>1</v>
      </c>
      <c r="I6072">
        <v>1</v>
      </c>
      <c r="J6072">
        <v>0.79612973562278599</v>
      </c>
      <c r="K6072">
        <v>0.91811805633486598</v>
      </c>
      <c r="L6072">
        <v>0.85278346443212405</v>
      </c>
      <c r="M6072">
        <v>0.537313432835821</v>
      </c>
      <c r="N6072">
        <v>1</v>
      </c>
      <c r="O6072">
        <v>0.71492537313432802</v>
      </c>
      <c r="P6072" t="s">
        <v>851</v>
      </c>
      <c r="Q6072" t="s">
        <v>852</v>
      </c>
      <c r="R6072" t="s">
        <v>235</v>
      </c>
      <c r="S6072" t="s">
        <v>236</v>
      </c>
      <c r="T6072" t="s">
        <v>853</v>
      </c>
      <c r="U6072" t="s">
        <v>854</v>
      </c>
      <c r="V6072" t="s">
        <v>855</v>
      </c>
      <c r="W6072" t="s">
        <v>856</v>
      </c>
      <c r="X6072" t="s">
        <v>855</v>
      </c>
      <c r="Y6072" t="s">
        <v>857</v>
      </c>
      <c r="Z6072" t="s">
        <v>858</v>
      </c>
      <c r="AA6072" t="s">
        <v>859</v>
      </c>
      <c r="AB6072" t="s">
        <v>858</v>
      </c>
      <c r="AC6072" t="s">
        <v>860</v>
      </c>
      <c r="AD6072" t="s">
        <v>219</v>
      </c>
      <c r="AE6072" t="s">
        <v>861</v>
      </c>
      <c r="AF6072" t="s">
        <v>862</v>
      </c>
    </row>
    <row r="6073" spans="1:32" hidden="1" x14ac:dyDescent="0.35">
      <c r="A6073">
        <v>6072</v>
      </c>
      <c r="B6073" t="s">
        <v>12483</v>
      </c>
      <c r="C6073" t="s">
        <v>68</v>
      </c>
      <c r="D6073" t="s">
        <v>60</v>
      </c>
      <c r="E6073">
        <v>347</v>
      </c>
      <c r="F6073">
        <v>3</v>
      </c>
      <c r="G6073">
        <v>3</v>
      </c>
      <c r="H6073">
        <v>1</v>
      </c>
      <c r="I6073">
        <v>0</v>
      </c>
      <c r="J6073">
        <v>0.806111111111111</v>
      </c>
      <c r="K6073">
        <v>0.99256817648728601</v>
      </c>
      <c r="L6073">
        <v>0.88967526464378099</v>
      </c>
      <c r="M6073">
        <v>0.62531017369727004</v>
      </c>
      <c r="N6073">
        <v>1</v>
      </c>
      <c r="O6073">
        <v>0.75020678246484696</v>
      </c>
      <c r="P6073" t="s">
        <v>354</v>
      </c>
      <c r="Q6073" t="s">
        <v>355</v>
      </c>
      <c r="R6073" t="s">
        <v>157</v>
      </c>
      <c r="S6073" t="s">
        <v>158</v>
      </c>
      <c r="T6073" t="s">
        <v>12484</v>
      </c>
      <c r="U6073" t="s">
        <v>12485</v>
      </c>
      <c r="V6073" t="s">
        <v>358</v>
      </c>
      <c r="W6073" t="s">
        <v>359</v>
      </c>
      <c r="AD6073" t="s">
        <v>12486</v>
      </c>
      <c r="AE6073" t="s">
        <v>12487</v>
      </c>
      <c r="AF6073" t="s">
        <v>12489</v>
      </c>
    </row>
    <row r="6074" spans="1:32" hidden="1" x14ac:dyDescent="0.35">
      <c r="A6074">
        <v>6073</v>
      </c>
      <c r="B6074" t="s">
        <v>12483</v>
      </c>
      <c r="C6074" t="s">
        <v>68</v>
      </c>
      <c r="D6074" t="s">
        <v>62</v>
      </c>
      <c r="E6074">
        <v>427</v>
      </c>
      <c r="F6074">
        <v>3</v>
      </c>
      <c r="G6074">
        <v>3</v>
      </c>
      <c r="H6074">
        <v>1</v>
      </c>
      <c r="I6074">
        <v>0</v>
      </c>
      <c r="J6074">
        <v>0.806111111111111</v>
      </c>
      <c r="K6074">
        <v>0.99256817648728601</v>
      </c>
      <c r="L6074">
        <v>0.88967526464378099</v>
      </c>
      <c r="M6074">
        <v>0.62531017369727004</v>
      </c>
      <c r="N6074">
        <v>1</v>
      </c>
      <c r="O6074">
        <v>0.75020678246484696</v>
      </c>
      <c r="P6074" t="s">
        <v>354</v>
      </c>
      <c r="Q6074" t="s">
        <v>355</v>
      </c>
      <c r="R6074" t="s">
        <v>157</v>
      </c>
      <c r="S6074" t="s">
        <v>158</v>
      </c>
      <c r="T6074" t="s">
        <v>12484</v>
      </c>
      <c r="U6074" t="s">
        <v>12485</v>
      </c>
      <c r="V6074" t="s">
        <v>358</v>
      </c>
      <c r="W6074" t="s">
        <v>359</v>
      </c>
      <c r="AD6074" t="s">
        <v>12486</v>
      </c>
      <c r="AE6074" t="s">
        <v>12487</v>
      </c>
      <c r="AF6074" t="s">
        <v>12489</v>
      </c>
    </row>
    <row r="6075" spans="1:32" hidden="1" x14ac:dyDescent="0.35">
      <c r="A6075">
        <v>6074</v>
      </c>
      <c r="B6075" t="s">
        <v>12490</v>
      </c>
      <c r="C6075" t="s">
        <v>68</v>
      </c>
      <c r="D6075" t="s">
        <v>58</v>
      </c>
      <c r="E6075">
        <v>158</v>
      </c>
      <c r="F6075">
        <v>3</v>
      </c>
      <c r="G6075">
        <v>3</v>
      </c>
      <c r="H6075">
        <v>1</v>
      </c>
      <c r="I6075">
        <v>0</v>
      </c>
      <c r="J6075">
        <v>0.85615079365079405</v>
      </c>
      <c r="K6075">
        <v>0.96996047430830101</v>
      </c>
      <c r="L6075">
        <v>0.90950912407113405</v>
      </c>
      <c r="M6075">
        <v>0.662337662337662</v>
      </c>
      <c r="N6075">
        <v>1</v>
      </c>
      <c r="O6075">
        <v>0.77489177489177496</v>
      </c>
      <c r="P6075" t="s">
        <v>12491</v>
      </c>
      <c r="Q6075" t="s">
        <v>12492</v>
      </c>
      <c r="R6075" t="s">
        <v>213</v>
      </c>
      <c r="S6075" t="s">
        <v>214</v>
      </c>
      <c r="T6075" t="s">
        <v>12493</v>
      </c>
      <c r="U6075" t="s">
        <v>12494</v>
      </c>
      <c r="V6075" t="s">
        <v>12495</v>
      </c>
      <c r="W6075" t="s">
        <v>12496</v>
      </c>
      <c r="AD6075" t="s">
        <v>219</v>
      </c>
      <c r="AE6075" t="s">
        <v>12497</v>
      </c>
      <c r="AF6075" t="s">
        <v>12498</v>
      </c>
    </row>
    <row r="6076" spans="1:32" hidden="1" x14ac:dyDescent="0.35">
      <c r="A6076">
        <v>6075</v>
      </c>
      <c r="B6076" t="s">
        <v>12490</v>
      </c>
      <c r="C6076" t="s">
        <v>68</v>
      </c>
      <c r="D6076" t="s">
        <v>60</v>
      </c>
      <c r="E6076">
        <v>269</v>
      </c>
      <c r="F6076">
        <v>3</v>
      </c>
      <c r="G6076">
        <v>3</v>
      </c>
      <c r="H6076">
        <v>1</v>
      </c>
      <c r="I6076">
        <v>0</v>
      </c>
      <c r="J6076">
        <v>0.85615079365079405</v>
      </c>
      <c r="K6076">
        <v>0.96996047430830101</v>
      </c>
      <c r="L6076">
        <v>0.90950912407113405</v>
      </c>
      <c r="M6076">
        <v>0.662337662337662</v>
      </c>
      <c r="N6076">
        <v>1</v>
      </c>
      <c r="O6076">
        <v>0.77489177489177496</v>
      </c>
      <c r="P6076" t="s">
        <v>12491</v>
      </c>
      <c r="Q6076" t="s">
        <v>12492</v>
      </c>
      <c r="R6076" t="s">
        <v>213</v>
      </c>
      <c r="S6076" t="s">
        <v>214</v>
      </c>
      <c r="T6076" t="s">
        <v>12493</v>
      </c>
      <c r="U6076" t="s">
        <v>12494</v>
      </c>
      <c r="V6076" t="s">
        <v>12495</v>
      </c>
      <c r="W6076" t="s">
        <v>12496</v>
      </c>
      <c r="AD6076" t="s">
        <v>219</v>
      </c>
      <c r="AE6076" t="s">
        <v>12497</v>
      </c>
      <c r="AF6076" t="s">
        <v>12499</v>
      </c>
    </row>
    <row r="6077" spans="1:32" hidden="1" x14ac:dyDescent="0.35">
      <c r="A6077">
        <v>6076</v>
      </c>
      <c r="B6077" t="s">
        <v>12490</v>
      </c>
      <c r="C6077" t="s">
        <v>68</v>
      </c>
      <c r="D6077" t="s">
        <v>62</v>
      </c>
      <c r="E6077">
        <v>347</v>
      </c>
      <c r="F6077">
        <v>3</v>
      </c>
      <c r="G6077">
        <v>3</v>
      </c>
      <c r="H6077">
        <v>1</v>
      </c>
      <c r="I6077">
        <v>0</v>
      </c>
      <c r="J6077">
        <v>0.85615079365079405</v>
      </c>
      <c r="K6077">
        <v>0.96996047430830101</v>
      </c>
      <c r="L6077">
        <v>0.90950912407113405</v>
      </c>
      <c r="M6077">
        <v>0.662337662337662</v>
      </c>
      <c r="N6077">
        <v>1</v>
      </c>
      <c r="O6077">
        <v>0.77489177489177496</v>
      </c>
      <c r="P6077" t="s">
        <v>12491</v>
      </c>
      <c r="Q6077" t="s">
        <v>12492</v>
      </c>
      <c r="R6077" t="s">
        <v>213</v>
      </c>
      <c r="S6077" t="s">
        <v>214</v>
      </c>
      <c r="T6077" t="s">
        <v>12493</v>
      </c>
      <c r="U6077" t="s">
        <v>12494</v>
      </c>
      <c r="V6077" t="s">
        <v>12495</v>
      </c>
      <c r="W6077" t="s">
        <v>12496</v>
      </c>
      <c r="AD6077" t="s">
        <v>219</v>
      </c>
      <c r="AE6077" t="s">
        <v>12497</v>
      </c>
      <c r="AF6077" t="s">
        <v>12499</v>
      </c>
    </row>
    <row r="6078" spans="1:32" hidden="1" x14ac:dyDescent="0.35">
      <c r="A6078">
        <v>2544</v>
      </c>
      <c r="B6078" t="s">
        <v>5257</v>
      </c>
      <c r="C6078" t="s">
        <v>72</v>
      </c>
      <c r="D6078" t="s">
        <v>58</v>
      </c>
      <c r="E6078">
        <v>938</v>
      </c>
      <c r="F6078">
        <v>5</v>
      </c>
      <c r="G6078">
        <v>5</v>
      </c>
      <c r="H6078">
        <v>1</v>
      </c>
      <c r="I6078">
        <v>1</v>
      </c>
      <c r="J6078">
        <v>0.82325581395348801</v>
      </c>
      <c r="K6078">
        <v>0.95630461922596799</v>
      </c>
      <c r="L6078">
        <v>0.88480652076732602</v>
      </c>
      <c r="M6078">
        <v>0.61111111111111105</v>
      </c>
      <c r="N6078">
        <v>1</v>
      </c>
      <c r="O6078">
        <v>0.71111111111111103</v>
      </c>
      <c r="P6078" t="s">
        <v>5258</v>
      </c>
      <c r="Q6078" t="s">
        <v>5259</v>
      </c>
      <c r="R6078" t="s">
        <v>235</v>
      </c>
      <c r="S6078" t="s">
        <v>236</v>
      </c>
      <c r="T6078" t="s">
        <v>5260</v>
      </c>
      <c r="U6078" t="s">
        <v>5261</v>
      </c>
      <c r="V6078" t="s">
        <v>5262</v>
      </c>
      <c r="W6078" t="s">
        <v>5263</v>
      </c>
      <c r="X6078" t="s">
        <v>5262</v>
      </c>
      <c r="Y6078" t="s">
        <v>857</v>
      </c>
      <c r="Z6078" t="s">
        <v>858</v>
      </c>
      <c r="AA6078" t="s">
        <v>859</v>
      </c>
      <c r="AB6078" t="s">
        <v>858</v>
      </c>
      <c r="AC6078" t="s">
        <v>860</v>
      </c>
      <c r="AD6078" t="s">
        <v>219</v>
      </c>
      <c r="AE6078" t="s">
        <v>5264</v>
      </c>
      <c r="AF6078" t="e">
        <f>---MKNFDSLFEELKAKVANNESDSGTVQAVNKGVHHIGKKVIEEAGEVWIAAEYQSDEEMAEEISQLMYWTQTLMLARGIELDDIYKYL</f>
        <v>#NAME?</v>
      </c>
    </row>
    <row r="6079" spans="1:32" hidden="1" x14ac:dyDescent="0.35">
      <c r="A6079">
        <v>6078</v>
      </c>
      <c r="B6079" t="s">
        <v>12500</v>
      </c>
      <c r="C6079" t="s">
        <v>68</v>
      </c>
      <c r="D6079" t="s">
        <v>60</v>
      </c>
      <c r="E6079">
        <v>1568</v>
      </c>
      <c r="F6079">
        <v>3</v>
      </c>
      <c r="G6079">
        <v>3</v>
      </c>
      <c r="H6079">
        <v>1</v>
      </c>
      <c r="I6079">
        <v>0</v>
      </c>
      <c r="J6079">
        <v>0.852062588904694</v>
      </c>
      <c r="K6079">
        <v>0.86831232028312499</v>
      </c>
      <c r="L6079">
        <v>0.860110711504813</v>
      </c>
      <c r="M6079">
        <v>0.51636363636363602</v>
      </c>
      <c r="N6079">
        <v>1</v>
      </c>
      <c r="O6079">
        <v>0.67757575757575805</v>
      </c>
      <c r="P6079" t="s">
        <v>12501</v>
      </c>
      <c r="Q6079" t="s">
        <v>12502</v>
      </c>
      <c r="R6079" t="s">
        <v>869</v>
      </c>
      <c r="S6079" t="s">
        <v>870</v>
      </c>
      <c r="T6079" t="s">
        <v>12503</v>
      </c>
      <c r="U6079" t="s">
        <v>12504</v>
      </c>
      <c r="V6079" t="s">
        <v>12032</v>
      </c>
      <c r="W6079" t="s">
        <v>12033</v>
      </c>
      <c r="AD6079" t="s">
        <v>410</v>
      </c>
      <c r="AE6079" t="s">
        <v>12505</v>
      </c>
      <c r="AF6079" t="s">
        <v>12506</v>
      </c>
    </row>
    <row r="6080" spans="1:32" hidden="1" x14ac:dyDescent="0.35">
      <c r="A6080">
        <v>6079</v>
      </c>
      <c r="B6080" t="s">
        <v>12500</v>
      </c>
      <c r="C6080" t="s">
        <v>68</v>
      </c>
      <c r="D6080" t="s">
        <v>62</v>
      </c>
      <c r="E6080">
        <v>1604</v>
      </c>
      <c r="F6080">
        <v>3</v>
      </c>
      <c r="G6080">
        <v>3</v>
      </c>
      <c r="H6080">
        <v>1</v>
      </c>
      <c r="I6080">
        <v>0</v>
      </c>
      <c r="J6080">
        <v>0.852062588904694</v>
      </c>
      <c r="K6080">
        <v>0.86831232028312499</v>
      </c>
      <c r="L6080">
        <v>0.860110711504813</v>
      </c>
      <c r="M6080">
        <v>0.51636363636363602</v>
      </c>
      <c r="N6080">
        <v>1</v>
      </c>
      <c r="O6080">
        <v>0.67757575757575805</v>
      </c>
      <c r="P6080" t="s">
        <v>12501</v>
      </c>
      <c r="Q6080" t="s">
        <v>12502</v>
      </c>
      <c r="R6080" t="s">
        <v>869</v>
      </c>
      <c r="S6080" t="s">
        <v>870</v>
      </c>
      <c r="T6080" t="s">
        <v>12503</v>
      </c>
      <c r="U6080" t="s">
        <v>12504</v>
      </c>
      <c r="V6080" t="s">
        <v>12032</v>
      </c>
      <c r="W6080" t="s">
        <v>12033</v>
      </c>
      <c r="AD6080" t="s">
        <v>410</v>
      </c>
      <c r="AE6080" t="s">
        <v>12505</v>
      </c>
      <c r="AF6080" t="s">
        <v>12506</v>
      </c>
    </row>
    <row r="6081" spans="1:32" hidden="1" x14ac:dyDescent="0.35">
      <c r="A6081">
        <v>1819</v>
      </c>
      <c r="B6081" t="s">
        <v>3771</v>
      </c>
      <c r="C6081" t="s">
        <v>72</v>
      </c>
      <c r="D6081" t="s">
        <v>58</v>
      </c>
      <c r="E6081">
        <v>1212</v>
      </c>
      <c r="F6081">
        <v>5</v>
      </c>
      <c r="G6081">
        <v>5</v>
      </c>
      <c r="H6081">
        <v>1</v>
      </c>
      <c r="I6081">
        <v>1</v>
      </c>
      <c r="J6081">
        <v>0.84007628388502897</v>
      </c>
      <c r="K6081">
        <v>0.94675107000688496</v>
      </c>
      <c r="L6081">
        <v>0.89022939896594999</v>
      </c>
      <c r="M6081">
        <v>0.67181467181467203</v>
      </c>
      <c r="N6081">
        <v>1</v>
      </c>
      <c r="O6081">
        <v>0.76988416988416997</v>
      </c>
      <c r="P6081" t="s">
        <v>969</v>
      </c>
      <c r="Q6081" t="s">
        <v>970</v>
      </c>
      <c r="R6081" t="s">
        <v>235</v>
      </c>
      <c r="S6081" t="s">
        <v>236</v>
      </c>
      <c r="T6081" t="s">
        <v>3772</v>
      </c>
      <c r="U6081" t="s">
        <v>3773</v>
      </c>
      <c r="V6081" t="s">
        <v>3774</v>
      </c>
      <c r="W6081" t="s">
        <v>3775</v>
      </c>
      <c r="X6081" t="s">
        <v>3774</v>
      </c>
      <c r="Y6081" t="s">
        <v>857</v>
      </c>
      <c r="Z6081" t="s">
        <v>3776</v>
      </c>
      <c r="AA6081" t="s">
        <v>3777</v>
      </c>
      <c r="AB6081" t="s">
        <v>3776</v>
      </c>
      <c r="AC6081" t="s">
        <v>3778</v>
      </c>
      <c r="AD6081" t="s">
        <v>2870</v>
      </c>
      <c r="AE6081" t="s">
        <v>3779</v>
      </c>
      <c r="AF6081" t="s">
        <v>3780</v>
      </c>
    </row>
    <row r="6082" spans="1:32" hidden="1" x14ac:dyDescent="0.35">
      <c r="A6082">
        <v>6081</v>
      </c>
      <c r="B6082" t="s">
        <v>12507</v>
      </c>
      <c r="C6082" t="s">
        <v>68</v>
      </c>
      <c r="D6082" t="s">
        <v>60</v>
      </c>
      <c r="E6082">
        <v>870</v>
      </c>
      <c r="F6082">
        <v>3</v>
      </c>
      <c r="G6082">
        <v>3</v>
      </c>
      <c r="H6082">
        <v>1</v>
      </c>
      <c r="I6082">
        <v>0</v>
      </c>
      <c r="J6082">
        <v>0.85346215780998402</v>
      </c>
      <c r="K6082">
        <v>0.97674963200856801</v>
      </c>
      <c r="L6082">
        <v>0.91095342431029303</v>
      </c>
      <c r="M6082">
        <v>0.66273584905660399</v>
      </c>
      <c r="N6082">
        <v>1</v>
      </c>
      <c r="O6082">
        <v>0.77515723270440295</v>
      </c>
      <c r="P6082" t="s">
        <v>12508</v>
      </c>
      <c r="Q6082" t="s">
        <v>12509</v>
      </c>
      <c r="R6082" t="s">
        <v>342</v>
      </c>
      <c r="S6082" t="s">
        <v>343</v>
      </c>
      <c r="V6082" t="s">
        <v>12510</v>
      </c>
      <c r="W6082" t="s">
        <v>12511</v>
      </c>
      <c r="AF6082" t="s">
        <v>12513</v>
      </c>
    </row>
    <row r="6083" spans="1:32" hidden="1" x14ac:dyDescent="0.35">
      <c r="A6083">
        <v>6082</v>
      </c>
      <c r="B6083" t="s">
        <v>12507</v>
      </c>
      <c r="C6083" t="s">
        <v>68</v>
      </c>
      <c r="D6083" t="s">
        <v>62</v>
      </c>
      <c r="E6083">
        <v>904</v>
      </c>
      <c r="F6083">
        <v>3</v>
      </c>
      <c r="G6083">
        <v>3</v>
      </c>
      <c r="H6083">
        <v>1</v>
      </c>
      <c r="I6083">
        <v>0</v>
      </c>
      <c r="J6083">
        <v>0.85346215780998402</v>
      </c>
      <c r="K6083">
        <v>0.97674963200856801</v>
      </c>
      <c r="L6083">
        <v>0.91095342431029303</v>
      </c>
      <c r="M6083">
        <v>0.66273584905660399</v>
      </c>
      <c r="N6083">
        <v>1</v>
      </c>
      <c r="O6083">
        <v>0.77515723270440295</v>
      </c>
      <c r="P6083" t="s">
        <v>12508</v>
      </c>
      <c r="Q6083" t="s">
        <v>12509</v>
      </c>
      <c r="R6083" t="s">
        <v>342</v>
      </c>
      <c r="S6083" t="s">
        <v>343</v>
      </c>
      <c r="V6083" t="s">
        <v>12510</v>
      </c>
      <c r="W6083" t="s">
        <v>12511</v>
      </c>
      <c r="AF6083" t="s">
        <v>12513</v>
      </c>
    </row>
    <row r="6084" spans="1:32" hidden="1" x14ac:dyDescent="0.35">
      <c r="A6084">
        <v>1524</v>
      </c>
      <c r="B6084" t="s">
        <v>3186</v>
      </c>
      <c r="C6084" t="s">
        <v>72</v>
      </c>
      <c r="D6084" t="s">
        <v>58</v>
      </c>
      <c r="E6084">
        <v>173</v>
      </c>
      <c r="F6084">
        <v>5</v>
      </c>
      <c r="G6084">
        <v>5</v>
      </c>
      <c r="H6084">
        <v>1</v>
      </c>
      <c r="I6084">
        <v>1</v>
      </c>
      <c r="J6084">
        <v>0.81276263070458299</v>
      </c>
      <c r="K6084">
        <v>0.93651964473882299</v>
      </c>
      <c r="L6084">
        <v>0.87026339985238499</v>
      </c>
      <c r="M6084">
        <v>0.602739726027397</v>
      </c>
      <c r="N6084">
        <v>1</v>
      </c>
      <c r="O6084">
        <v>0.73315068493150704</v>
      </c>
      <c r="P6084" t="s">
        <v>3187</v>
      </c>
      <c r="Q6084" t="s">
        <v>3188</v>
      </c>
      <c r="R6084" t="s">
        <v>235</v>
      </c>
      <c r="S6084" t="s">
        <v>236</v>
      </c>
      <c r="T6084" t="s">
        <v>3189</v>
      </c>
      <c r="U6084" t="s">
        <v>3190</v>
      </c>
      <c r="V6084" t="s">
        <v>3191</v>
      </c>
      <c r="W6084" t="s">
        <v>3192</v>
      </c>
      <c r="X6084" t="s">
        <v>3191</v>
      </c>
      <c r="Y6084" t="s">
        <v>2454</v>
      </c>
      <c r="AD6084" t="s">
        <v>219</v>
      </c>
      <c r="AE6084" t="s">
        <v>3193</v>
      </c>
      <c r="AF6084" t="s">
        <v>3194</v>
      </c>
    </row>
    <row r="6085" spans="1:32" hidden="1" x14ac:dyDescent="0.35">
      <c r="A6085">
        <v>6084</v>
      </c>
      <c r="B6085" t="s">
        <v>12514</v>
      </c>
      <c r="C6085" t="s">
        <v>68</v>
      </c>
      <c r="D6085" t="s">
        <v>60</v>
      </c>
      <c r="E6085">
        <v>800</v>
      </c>
      <c r="F6085">
        <v>3</v>
      </c>
      <c r="G6085">
        <v>3</v>
      </c>
      <c r="H6085">
        <v>1</v>
      </c>
      <c r="I6085">
        <v>0</v>
      </c>
      <c r="J6085">
        <v>0.76199494949494995</v>
      </c>
      <c r="K6085">
        <v>0.97543859649122799</v>
      </c>
      <c r="L6085">
        <v>0.85560600091541095</v>
      </c>
      <c r="M6085">
        <v>0.52908587257617701</v>
      </c>
      <c r="N6085">
        <v>1</v>
      </c>
      <c r="O6085">
        <v>0.68605724838411797</v>
      </c>
      <c r="P6085" t="s">
        <v>12515</v>
      </c>
      <c r="Q6085" t="s">
        <v>10273</v>
      </c>
      <c r="R6085" t="s">
        <v>75</v>
      </c>
      <c r="S6085" t="s">
        <v>76</v>
      </c>
      <c r="T6085" t="s">
        <v>12516</v>
      </c>
      <c r="U6085" t="s">
        <v>12517</v>
      </c>
      <c r="V6085" t="s">
        <v>12518</v>
      </c>
      <c r="W6085" t="s">
        <v>12519</v>
      </c>
      <c r="X6085" t="s">
        <v>12518</v>
      </c>
      <c r="Y6085" t="s">
        <v>2750</v>
      </c>
      <c r="Z6085" t="s">
        <v>12520</v>
      </c>
      <c r="AA6085" t="s">
        <v>12521</v>
      </c>
      <c r="AB6085" t="s">
        <v>12520</v>
      </c>
      <c r="AC6085" t="s">
        <v>4023</v>
      </c>
      <c r="AD6085" t="s">
        <v>951</v>
      </c>
      <c r="AE6085" t="s">
        <v>12522</v>
      </c>
      <c r="AF6085" t="s">
        <v>12524</v>
      </c>
    </row>
    <row r="6086" spans="1:32" hidden="1" x14ac:dyDescent="0.35">
      <c r="A6086">
        <v>6085</v>
      </c>
      <c r="B6086" t="s">
        <v>12514</v>
      </c>
      <c r="C6086" t="s">
        <v>68</v>
      </c>
      <c r="D6086" t="s">
        <v>62</v>
      </c>
      <c r="E6086">
        <v>833</v>
      </c>
      <c r="F6086">
        <v>3</v>
      </c>
      <c r="G6086">
        <v>3</v>
      </c>
      <c r="H6086">
        <v>1</v>
      </c>
      <c r="I6086">
        <v>0</v>
      </c>
      <c r="J6086">
        <v>0.76199494949494995</v>
      </c>
      <c r="K6086">
        <v>0.97543859649122799</v>
      </c>
      <c r="L6086">
        <v>0.85560600091541095</v>
      </c>
      <c r="M6086">
        <v>0.52908587257617701</v>
      </c>
      <c r="N6086">
        <v>1</v>
      </c>
      <c r="O6086">
        <v>0.68605724838411797</v>
      </c>
      <c r="P6086" t="s">
        <v>12515</v>
      </c>
      <c r="Q6086" t="s">
        <v>10273</v>
      </c>
      <c r="R6086" t="s">
        <v>75</v>
      </c>
      <c r="S6086" t="s">
        <v>76</v>
      </c>
      <c r="T6086" t="s">
        <v>12516</v>
      </c>
      <c r="U6086" t="s">
        <v>12517</v>
      </c>
      <c r="V6086" t="s">
        <v>12518</v>
      </c>
      <c r="W6086" t="s">
        <v>12519</v>
      </c>
      <c r="X6086" t="s">
        <v>12518</v>
      </c>
      <c r="Y6086" t="s">
        <v>2750</v>
      </c>
      <c r="Z6086" t="s">
        <v>12520</v>
      </c>
      <c r="AA6086" t="s">
        <v>12521</v>
      </c>
      <c r="AB6086" t="s">
        <v>12520</v>
      </c>
      <c r="AC6086" t="s">
        <v>4023</v>
      </c>
      <c r="AD6086" t="s">
        <v>951</v>
      </c>
      <c r="AE6086" t="s">
        <v>12522</v>
      </c>
      <c r="AF6086" t="s">
        <v>12524</v>
      </c>
    </row>
    <row r="6087" spans="1:32" hidden="1" x14ac:dyDescent="0.35">
      <c r="A6087">
        <v>6086</v>
      </c>
      <c r="B6087" t="s">
        <v>12525</v>
      </c>
      <c r="C6087" t="s">
        <v>68</v>
      </c>
      <c r="D6087" t="s">
        <v>60</v>
      </c>
      <c r="E6087">
        <v>1679</v>
      </c>
      <c r="F6087">
        <v>2</v>
      </c>
      <c r="G6087">
        <v>3</v>
      </c>
      <c r="H6087">
        <v>2</v>
      </c>
      <c r="I6087">
        <v>0</v>
      </c>
      <c r="J6087">
        <v>0.742305685967658</v>
      </c>
      <c r="K6087">
        <v>1</v>
      </c>
      <c r="L6087">
        <v>0.85209580838323395</v>
      </c>
      <c r="M6087">
        <v>0.52582159624413105</v>
      </c>
      <c r="N6087">
        <v>1</v>
      </c>
      <c r="O6087">
        <v>0.68388106416275396</v>
      </c>
      <c r="AF6087" t="s">
        <v>12526</v>
      </c>
    </row>
    <row r="6088" spans="1:32" hidden="1" x14ac:dyDescent="0.35">
      <c r="A6088">
        <v>6087</v>
      </c>
      <c r="B6088" t="s">
        <v>12525</v>
      </c>
      <c r="C6088" t="s">
        <v>68</v>
      </c>
      <c r="D6088" t="s">
        <v>60</v>
      </c>
      <c r="E6088">
        <v>734</v>
      </c>
      <c r="F6088">
        <v>2</v>
      </c>
      <c r="G6088">
        <v>3</v>
      </c>
      <c r="H6088">
        <v>2</v>
      </c>
      <c r="I6088">
        <v>0</v>
      </c>
      <c r="J6088">
        <v>0.742305685967658</v>
      </c>
      <c r="K6088">
        <v>1</v>
      </c>
      <c r="L6088">
        <v>0.85209580838323395</v>
      </c>
      <c r="M6088">
        <v>0.52582159624413105</v>
      </c>
      <c r="N6088">
        <v>1</v>
      </c>
      <c r="O6088">
        <v>0.68388106416275396</v>
      </c>
      <c r="AF6088" t="s">
        <v>12527</v>
      </c>
    </row>
    <row r="6089" spans="1:32" hidden="1" x14ac:dyDescent="0.35">
      <c r="A6089">
        <v>6088</v>
      </c>
      <c r="B6089" t="s">
        <v>12525</v>
      </c>
      <c r="C6089" t="s">
        <v>68</v>
      </c>
      <c r="D6089" t="s">
        <v>62</v>
      </c>
      <c r="E6089">
        <v>1714</v>
      </c>
      <c r="F6089">
        <v>2</v>
      </c>
      <c r="G6089">
        <v>3</v>
      </c>
      <c r="H6089">
        <v>2</v>
      </c>
      <c r="I6089">
        <v>0</v>
      </c>
      <c r="J6089">
        <v>0.742305685967658</v>
      </c>
      <c r="K6089">
        <v>1</v>
      </c>
      <c r="L6089">
        <v>0.85209580838323395</v>
      </c>
      <c r="M6089">
        <v>0.52582159624413105</v>
      </c>
      <c r="N6089">
        <v>1</v>
      </c>
      <c r="O6089">
        <v>0.68388106416275396</v>
      </c>
      <c r="AF6089" t="s">
        <v>12526</v>
      </c>
    </row>
    <row r="6090" spans="1:32" hidden="1" x14ac:dyDescent="0.35">
      <c r="A6090">
        <v>6089</v>
      </c>
      <c r="B6090" t="s">
        <v>12528</v>
      </c>
      <c r="C6090" t="s">
        <v>68</v>
      </c>
      <c r="D6090" t="s">
        <v>58</v>
      </c>
      <c r="E6090">
        <v>200</v>
      </c>
      <c r="F6090">
        <v>3</v>
      </c>
      <c r="G6090">
        <v>3</v>
      </c>
      <c r="H6090">
        <v>1</v>
      </c>
      <c r="I6090">
        <v>0</v>
      </c>
      <c r="J6090">
        <v>0.76174112256586501</v>
      </c>
      <c r="K6090">
        <v>1</v>
      </c>
      <c r="L6090">
        <v>0.86475942782834803</v>
      </c>
      <c r="M6090">
        <v>0.56701030927835006</v>
      </c>
      <c r="N6090">
        <v>1</v>
      </c>
      <c r="O6090">
        <v>0.71134020618556704</v>
      </c>
      <c r="AF6090" t="s">
        <v>12529</v>
      </c>
    </row>
    <row r="6091" spans="1:32" hidden="1" x14ac:dyDescent="0.35">
      <c r="A6091">
        <v>6090</v>
      </c>
      <c r="B6091" t="s">
        <v>12528</v>
      </c>
      <c r="C6091" t="s">
        <v>68</v>
      </c>
      <c r="D6091" t="s">
        <v>60</v>
      </c>
      <c r="E6091">
        <v>338</v>
      </c>
      <c r="F6091">
        <v>3</v>
      </c>
      <c r="G6091">
        <v>3</v>
      </c>
      <c r="H6091">
        <v>1</v>
      </c>
      <c r="I6091">
        <v>0</v>
      </c>
      <c r="J6091">
        <v>0.76174112256586501</v>
      </c>
      <c r="K6091">
        <v>1</v>
      </c>
      <c r="L6091">
        <v>0.86475942782834803</v>
      </c>
      <c r="M6091">
        <v>0.56701030927835006</v>
      </c>
      <c r="N6091">
        <v>1</v>
      </c>
      <c r="O6091">
        <v>0.71134020618556704</v>
      </c>
      <c r="AF6091" t="s">
        <v>12530</v>
      </c>
    </row>
    <row r="6092" spans="1:32" hidden="1" x14ac:dyDescent="0.35">
      <c r="A6092">
        <v>6091</v>
      </c>
      <c r="B6092" t="s">
        <v>12528</v>
      </c>
      <c r="C6092" t="s">
        <v>68</v>
      </c>
      <c r="D6092" t="s">
        <v>62</v>
      </c>
      <c r="E6092">
        <v>418</v>
      </c>
      <c r="F6092">
        <v>3</v>
      </c>
      <c r="G6092">
        <v>3</v>
      </c>
      <c r="H6092">
        <v>1</v>
      </c>
      <c r="I6092">
        <v>0</v>
      </c>
      <c r="J6092">
        <v>0.76174112256586501</v>
      </c>
      <c r="K6092">
        <v>1</v>
      </c>
      <c r="L6092">
        <v>0.86475942782834803</v>
      </c>
      <c r="M6092">
        <v>0.56701030927835006</v>
      </c>
      <c r="N6092">
        <v>1</v>
      </c>
      <c r="O6092">
        <v>0.71134020618556704</v>
      </c>
      <c r="AF6092" t="s">
        <v>12530</v>
      </c>
    </row>
    <row r="6093" spans="1:32" hidden="1" x14ac:dyDescent="0.35">
      <c r="A6093">
        <v>6092</v>
      </c>
      <c r="B6093" t="s">
        <v>12531</v>
      </c>
      <c r="C6093" t="s">
        <v>68</v>
      </c>
      <c r="D6093" t="s">
        <v>62</v>
      </c>
      <c r="E6093">
        <v>96</v>
      </c>
      <c r="F6093">
        <v>3</v>
      </c>
      <c r="G6093">
        <v>3</v>
      </c>
      <c r="H6093">
        <v>1</v>
      </c>
      <c r="I6093">
        <v>0</v>
      </c>
      <c r="J6093">
        <v>0.88282828282828296</v>
      </c>
      <c r="K6093">
        <v>0.92559579854790597</v>
      </c>
      <c r="L6093">
        <v>0.90370633507964104</v>
      </c>
      <c r="M6093">
        <v>0.72625698324022303</v>
      </c>
      <c r="N6093">
        <v>1</v>
      </c>
      <c r="O6093">
        <v>0.81750465549348195</v>
      </c>
      <c r="P6093" t="s">
        <v>11321</v>
      </c>
      <c r="Q6093" t="s">
        <v>11322</v>
      </c>
      <c r="R6093" t="s">
        <v>96</v>
      </c>
      <c r="S6093" t="s">
        <v>97</v>
      </c>
      <c r="T6093" t="s">
        <v>11323</v>
      </c>
      <c r="U6093" t="s">
        <v>11324</v>
      </c>
      <c r="V6093" t="s">
        <v>11325</v>
      </c>
      <c r="W6093" t="s">
        <v>11326</v>
      </c>
      <c r="AD6093" t="s">
        <v>11327</v>
      </c>
      <c r="AE6093" t="s">
        <v>11328</v>
      </c>
      <c r="AF6093" t="s">
        <v>12533</v>
      </c>
    </row>
    <row r="6094" spans="1:32" hidden="1" x14ac:dyDescent="0.35">
      <c r="A6094">
        <v>6093</v>
      </c>
      <c r="B6094" t="s">
        <v>12531</v>
      </c>
      <c r="C6094" t="s">
        <v>68</v>
      </c>
      <c r="D6094" t="s">
        <v>34</v>
      </c>
      <c r="E6094">
        <v>1051</v>
      </c>
      <c r="F6094">
        <v>3</v>
      </c>
      <c r="G6094">
        <v>3</v>
      </c>
      <c r="H6094">
        <v>1</v>
      </c>
      <c r="I6094">
        <v>0</v>
      </c>
      <c r="J6094">
        <v>0.88282828282828296</v>
      </c>
      <c r="K6094">
        <v>0.92559579854790597</v>
      </c>
      <c r="L6094">
        <v>0.90370633507964104</v>
      </c>
      <c r="M6094">
        <v>0.72625698324022303</v>
      </c>
      <c r="N6094">
        <v>1</v>
      </c>
      <c r="O6094">
        <v>0.81750465549348195</v>
      </c>
      <c r="P6094" t="s">
        <v>11321</v>
      </c>
      <c r="Q6094" t="s">
        <v>11322</v>
      </c>
      <c r="R6094" t="s">
        <v>96</v>
      </c>
      <c r="S6094" t="s">
        <v>97</v>
      </c>
      <c r="V6094" t="s">
        <v>11325</v>
      </c>
      <c r="W6094" t="s">
        <v>11326</v>
      </c>
      <c r="AF6094" t="e">
        <f>------------MHTNHGDIKIDLFGNHAPKTVENFVTLADGTAPYKTPNASGTTDGPFYDGAVFHRVIDGFMIQGGDPTGTGRGGPGYQFADEFHPELVFDRPFLFAMANAGPGTNGSQFFITVA--PTPHLTNHHTIFGEVTDPESQKVVLEISKTATGPGDVPLDPVVIKSIEVTK</f>
        <v>#NAME?</v>
      </c>
    </row>
    <row r="6095" spans="1:32" hidden="1" x14ac:dyDescent="0.35">
      <c r="A6095">
        <v>6094</v>
      </c>
      <c r="B6095" t="s">
        <v>12531</v>
      </c>
      <c r="C6095" t="s">
        <v>68</v>
      </c>
      <c r="D6095" t="s">
        <v>45</v>
      </c>
      <c r="E6095">
        <v>2307</v>
      </c>
      <c r="F6095">
        <v>3</v>
      </c>
      <c r="G6095">
        <v>3</v>
      </c>
      <c r="H6095">
        <v>1</v>
      </c>
      <c r="I6095">
        <v>0</v>
      </c>
      <c r="J6095">
        <v>0.88282828282828296</v>
      </c>
      <c r="K6095">
        <v>0.92559579854790597</v>
      </c>
      <c r="L6095">
        <v>0.90370633507964104</v>
      </c>
      <c r="M6095">
        <v>0.72625698324022303</v>
      </c>
      <c r="N6095">
        <v>1</v>
      </c>
      <c r="O6095">
        <v>0.81750465549348195</v>
      </c>
      <c r="P6095" t="s">
        <v>11321</v>
      </c>
      <c r="Q6095" t="s">
        <v>11322</v>
      </c>
      <c r="R6095" t="s">
        <v>96</v>
      </c>
      <c r="S6095" t="s">
        <v>97</v>
      </c>
      <c r="V6095" t="s">
        <v>11325</v>
      </c>
      <c r="W6095" t="s">
        <v>11326</v>
      </c>
      <c r="AF6095" t="e">
        <f>------------MHTNHGDIKIDLFGNHAPKTVENFVTLADGTAPYKTPNASGTTDGPFYDGAVFHRVIDGFMIQGGDPTGTGRGGPGYQFADEFHPELVFDRPFLFAMANAGPGTNGSQFFITVA--PTPHLTNHHTIFGEVTDPESQKVVLEISKTATGPGDVPLDPVVIKSIEVTK</f>
        <v>#NAME?</v>
      </c>
    </row>
    <row r="6096" spans="1:32" hidden="1" x14ac:dyDescent="0.35">
      <c r="A6096">
        <v>6095</v>
      </c>
      <c r="B6096" t="s">
        <v>12534</v>
      </c>
      <c r="C6096" t="s">
        <v>68</v>
      </c>
      <c r="D6096" t="s">
        <v>58</v>
      </c>
      <c r="E6096">
        <v>939</v>
      </c>
      <c r="F6096">
        <v>3</v>
      </c>
      <c r="G6096">
        <v>3</v>
      </c>
      <c r="H6096">
        <v>1</v>
      </c>
      <c r="I6096">
        <v>0</v>
      </c>
      <c r="J6096">
        <v>0.77064220183486198</v>
      </c>
      <c r="K6096">
        <v>0.92192900903477903</v>
      </c>
      <c r="L6096">
        <v>0.83952438384314998</v>
      </c>
      <c r="M6096">
        <v>0.48523206751054898</v>
      </c>
      <c r="N6096">
        <v>1</v>
      </c>
      <c r="O6096">
        <v>0.65682137834036602</v>
      </c>
      <c r="P6096" t="s">
        <v>3495</v>
      </c>
      <c r="Q6096" t="s">
        <v>3188</v>
      </c>
      <c r="R6096" t="s">
        <v>319</v>
      </c>
      <c r="S6096" t="s">
        <v>320</v>
      </c>
      <c r="V6096" t="s">
        <v>12535</v>
      </c>
      <c r="W6096" t="s">
        <v>12536</v>
      </c>
      <c r="AF6096" t="s">
        <v>12537</v>
      </c>
    </row>
    <row r="6097" spans="1:32" hidden="1" x14ac:dyDescent="0.35">
      <c r="A6097">
        <v>6096</v>
      </c>
      <c r="B6097" t="s">
        <v>12534</v>
      </c>
      <c r="C6097" t="s">
        <v>68</v>
      </c>
      <c r="D6097" t="s">
        <v>60</v>
      </c>
      <c r="E6097">
        <v>1276</v>
      </c>
      <c r="F6097">
        <v>3</v>
      </c>
      <c r="G6097">
        <v>3</v>
      </c>
      <c r="H6097">
        <v>1</v>
      </c>
      <c r="I6097">
        <v>0</v>
      </c>
      <c r="J6097">
        <v>0.77064220183486198</v>
      </c>
      <c r="K6097">
        <v>0.92192900903477903</v>
      </c>
      <c r="L6097">
        <v>0.83952438384314998</v>
      </c>
      <c r="M6097">
        <v>0.48523206751054898</v>
      </c>
      <c r="N6097">
        <v>1</v>
      </c>
      <c r="O6097">
        <v>0.65682137834036602</v>
      </c>
      <c r="P6097" t="s">
        <v>12538</v>
      </c>
      <c r="Q6097" t="s">
        <v>8516</v>
      </c>
      <c r="R6097" t="s">
        <v>319</v>
      </c>
      <c r="S6097" t="s">
        <v>320</v>
      </c>
      <c r="T6097" t="s">
        <v>12539</v>
      </c>
      <c r="U6097" t="s">
        <v>12540</v>
      </c>
      <c r="V6097" t="s">
        <v>12535</v>
      </c>
      <c r="W6097" t="s">
        <v>12536</v>
      </c>
      <c r="AD6097" t="s">
        <v>219</v>
      </c>
      <c r="AE6097" t="s">
        <v>12541</v>
      </c>
      <c r="AF6097" t="e">
        <f>----------MDGTLVDSEPLWGIAADEMSEKMGRKLTPELHEKIIGVTFEETVTICANHAGITLTDDIFRHYYDITLERVAELFQQKLAPNPGVRELLTELSQQGMPMMVATNTVRKLADMAINAVGRDFFTATICGDEVEHGKPAPDMYLAAARMLGVEAKDCLVFEDSIAGMKAAYTAGCSVIGLPEA-GIYPPEGITTLQQLHGCNSFDGVTATDVHQWFNTQPSKHVEEWHK</f>
        <v>#NAME?</v>
      </c>
    </row>
    <row r="6098" spans="1:32" hidden="1" x14ac:dyDescent="0.35">
      <c r="A6098">
        <v>6097</v>
      </c>
      <c r="B6098" t="s">
        <v>12534</v>
      </c>
      <c r="C6098" t="s">
        <v>68</v>
      </c>
      <c r="D6098" t="s">
        <v>62</v>
      </c>
      <c r="E6098">
        <v>1312</v>
      </c>
      <c r="F6098">
        <v>3</v>
      </c>
      <c r="G6098">
        <v>3</v>
      </c>
      <c r="H6098">
        <v>1</v>
      </c>
      <c r="I6098">
        <v>0</v>
      </c>
      <c r="J6098">
        <v>0.77064220183486198</v>
      </c>
      <c r="K6098">
        <v>0.92192900903477903</v>
      </c>
      <c r="L6098">
        <v>0.83952438384314998</v>
      </c>
      <c r="M6098">
        <v>0.48523206751054898</v>
      </c>
      <c r="N6098">
        <v>1</v>
      </c>
      <c r="O6098">
        <v>0.65682137834036602</v>
      </c>
      <c r="P6098" t="s">
        <v>12538</v>
      </c>
      <c r="Q6098" t="s">
        <v>8516</v>
      </c>
      <c r="R6098" t="s">
        <v>319</v>
      </c>
      <c r="S6098" t="s">
        <v>320</v>
      </c>
      <c r="T6098" t="s">
        <v>12539</v>
      </c>
      <c r="U6098" t="s">
        <v>12540</v>
      </c>
      <c r="V6098" t="s">
        <v>12535</v>
      </c>
      <c r="W6098" t="s">
        <v>12536</v>
      </c>
      <c r="AD6098" t="s">
        <v>219</v>
      </c>
      <c r="AE6098" t="s">
        <v>12541</v>
      </c>
      <c r="AF6098" t="e">
        <f>----------MDGTLVDSEPLWGIAADEMSEKMGRKLTPELHEKIIGVTFEETVTICANHAGITLTDDIFRHYYDITLERVAELFQQKLAPNPGVRELLTELSQQGMPMMVATNTVRKLADMAINAVGRDFFTATICGDEVEHGKPAPDMYLAAARMLGVEAKDCLVFEDSIAGMKAAYTAGCSVIGLPEA-GIYPPEGITTLQQLHGCNSFDGVTATDVHQWFNTQPSKHVEEWHK</f>
        <v>#NAME?</v>
      </c>
    </row>
    <row r="6099" spans="1:32" hidden="1" x14ac:dyDescent="0.35">
      <c r="A6099">
        <v>6098</v>
      </c>
      <c r="B6099" t="s">
        <v>12542</v>
      </c>
      <c r="C6099" t="s">
        <v>68</v>
      </c>
      <c r="D6099" t="s">
        <v>58</v>
      </c>
      <c r="E6099">
        <v>1857</v>
      </c>
      <c r="F6099">
        <v>3</v>
      </c>
      <c r="G6099">
        <v>3</v>
      </c>
      <c r="H6099">
        <v>1</v>
      </c>
      <c r="I6099">
        <v>0</v>
      </c>
      <c r="J6099">
        <v>0.79669030732860502</v>
      </c>
      <c r="K6099">
        <v>0.63309329631557798</v>
      </c>
      <c r="L6099">
        <v>0.70553234982383795</v>
      </c>
      <c r="M6099">
        <v>8.2352941176470601E-2</v>
      </c>
      <c r="N6099">
        <v>1</v>
      </c>
      <c r="O6099">
        <v>0.38823529411764701</v>
      </c>
      <c r="P6099" t="s">
        <v>12543</v>
      </c>
      <c r="Q6099" t="s">
        <v>12544</v>
      </c>
      <c r="R6099" t="s">
        <v>11664</v>
      </c>
      <c r="S6099" t="s">
        <v>11665</v>
      </c>
      <c r="T6099" t="s">
        <v>11666</v>
      </c>
      <c r="U6099" t="s">
        <v>11667</v>
      </c>
      <c r="V6099" t="s">
        <v>11668</v>
      </c>
      <c r="W6099" t="s">
        <v>11669</v>
      </c>
      <c r="AD6099" t="s">
        <v>11670</v>
      </c>
      <c r="AE6099" t="s">
        <v>11671</v>
      </c>
      <c r="AF6099" t="s">
        <v>12545</v>
      </c>
    </row>
    <row r="6100" spans="1:32" hidden="1" x14ac:dyDescent="0.35">
      <c r="A6100">
        <v>6099</v>
      </c>
      <c r="B6100" t="s">
        <v>12542</v>
      </c>
      <c r="C6100" t="s">
        <v>68</v>
      </c>
      <c r="D6100" t="s">
        <v>60</v>
      </c>
      <c r="E6100">
        <v>475</v>
      </c>
      <c r="F6100">
        <v>3</v>
      </c>
      <c r="G6100">
        <v>3</v>
      </c>
      <c r="H6100">
        <v>1</v>
      </c>
      <c r="I6100">
        <v>0</v>
      </c>
      <c r="J6100">
        <v>0.79669030732860502</v>
      </c>
      <c r="K6100">
        <v>0.63309329631557798</v>
      </c>
      <c r="L6100">
        <v>0.70553234982383795</v>
      </c>
      <c r="M6100">
        <v>8.2352941176470601E-2</v>
      </c>
      <c r="N6100">
        <v>1</v>
      </c>
      <c r="O6100">
        <v>0.38823529411764701</v>
      </c>
      <c r="P6100" t="s">
        <v>12546</v>
      </c>
      <c r="Q6100" t="s">
        <v>12547</v>
      </c>
      <c r="R6100" t="s">
        <v>11664</v>
      </c>
      <c r="S6100" t="s">
        <v>11665</v>
      </c>
      <c r="V6100" t="s">
        <v>11668</v>
      </c>
      <c r="W6100" t="s">
        <v>11669</v>
      </c>
      <c r="AF6100" t="s">
        <v>12548</v>
      </c>
    </row>
    <row r="6101" spans="1:32" hidden="1" x14ac:dyDescent="0.35">
      <c r="A6101">
        <v>6100</v>
      </c>
      <c r="B6101" t="s">
        <v>12542</v>
      </c>
      <c r="C6101" t="s">
        <v>68</v>
      </c>
      <c r="D6101" t="s">
        <v>62</v>
      </c>
      <c r="E6101">
        <v>558</v>
      </c>
      <c r="F6101">
        <v>3</v>
      </c>
      <c r="G6101">
        <v>3</v>
      </c>
      <c r="H6101">
        <v>1</v>
      </c>
      <c r="I6101">
        <v>0</v>
      </c>
      <c r="J6101">
        <v>0.79669030732860502</v>
      </c>
      <c r="K6101">
        <v>0.63309329631557798</v>
      </c>
      <c r="L6101">
        <v>0.70553234982383795</v>
      </c>
      <c r="M6101">
        <v>8.2352941176470601E-2</v>
      </c>
      <c r="N6101">
        <v>1</v>
      </c>
      <c r="O6101">
        <v>0.38823529411764701</v>
      </c>
      <c r="P6101" t="s">
        <v>12546</v>
      </c>
      <c r="Q6101" t="s">
        <v>12547</v>
      </c>
      <c r="R6101" t="s">
        <v>11664</v>
      </c>
      <c r="S6101" t="s">
        <v>11665</v>
      </c>
      <c r="V6101" t="s">
        <v>11668</v>
      </c>
      <c r="W6101" t="s">
        <v>11669</v>
      </c>
      <c r="AF6101" t="s">
        <v>12548</v>
      </c>
    </row>
    <row r="6102" spans="1:32" hidden="1" x14ac:dyDescent="0.35">
      <c r="A6102">
        <v>6101</v>
      </c>
      <c r="B6102" t="s">
        <v>12549</v>
      </c>
      <c r="C6102" t="s">
        <v>68</v>
      </c>
      <c r="D6102" t="s">
        <v>58</v>
      </c>
      <c r="E6102">
        <v>738</v>
      </c>
      <c r="F6102">
        <v>3</v>
      </c>
      <c r="G6102">
        <v>3</v>
      </c>
      <c r="H6102">
        <v>1</v>
      </c>
      <c r="I6102">
        <v>0</v>
      </c>
      <c r="J6102">
        <v>0.79329608938547502</v>
      </c>
      <c r="K6102">
        <v>0.93089332036316597</v>
      </c>
      <c r="L6102">
        <v>0.85660429939285798</v>
      </c>
      <c r="M6102">
        <v>0.50972762645914405</v>
      </c>
      <c r="N6102">
        <v>1</v>
      </c>
      <c r="O6102">
        <v>0.67315175097276303</v>
      </c>
      <c r="T6102" t="s">
        <v>12466</v>
      </c>
      <c r="U6102" t="s">
        <v>12467</v>
      </c>
      <c r="AD6102" t="s">
        <v>219</v>
      </c>
      <c r="AE6102" t="s">
        <v>12470</v>
      </c>
      <c r="AF6102" t="s">
        <v>12550</v>
      </c>
    </row>
    <row r="6103" spans="1:32" hidden="1" x14ac:dyDescent="0.35">
      <c r="A6103">
        <v>6102</v>
      </c>
      <c r="B6103" t="s">
        <v>12549</v>
      </c>
      <c r="C6103" t="s">
        <v>68</v>
      </c>
      <c r="D6103" t="s">
        <v>60</v>
      </c>
      <c r="E6103">
        <v>954</v>
      </c>
      <c r="F6103">
        <v>3</v>
      </c>
      <c r="G6103">
        <v>3</v>
      </c>
      <c r="H6103">
        <v>1</v>
      </c>
      <c r="I6103">
        <v>0</v>
      </c>
      <c r="J6103">
        <v>0.79329608938547502</v>
      </c>
      <c r="K6103">
        <v>0.93089332036316597</v>
      </c>
      <c r="L6103">
        <v>0.85660429939285798</v>
      </c>
      <c r="M6103">
        <v>0.50972762645914405</v>
      </c>
      <c r="N6103">
        <v>1</v>
      </c>
      <c r="O6103">
        <v>0.67315175097276303</v>
      </c>
      <c r="T6103" t="s">
        <v>12466</v>
      </c>
      <c r="U6103" t="s">
        <v>12467</v>
      </c>
      <c r="AD6103" t="s">
        <v>219</v>
      </c>
      <c r="AE6103" t="s">
        <v>12470</v>
      </c>
      <c r="AF6103" t="s">
        <v>12551</v>
      </c>
    </row>
    <row r="6104" spans="1:32" hidden="1" x14ac:dyDescent="0.35">
      <c r="A6104">
        <v>6103</v>
      </c>
      <c r="B6104" t="s">
        <v>12549</v>
      </c>
      <c r="C6104" t="s">
        <v>68</v>
      </c>
      <c r="D6104" t="s">
        <v>62</v>
      </c>
      <c r="E6104">
        <v>990</v>
      </c>
      <c r="F6104">
        <v>3</v>
      </c>
      <c r="G6104">
        <v>3</v>
      </c>
      <c r="H6104">
        <v>1</v>
      </c>
      <c r="I6104">
        <v>0</v>
      </c>
      <c r="J6104">
        <v>0.79329608938547502</v>
      </c>
      <c r="K6104">
        <v>0.93089332036316597</v>
      </c>
      <c r="L6104">
        <v>0.85660429939285798</v>
      </c>
      <c r="M6104">
        <v>0.50972762645914405</v>
      </c>
      <c r="N6104">
        <v>1</v>
      </c>
      <c r="O6104">
        <v>0.67315175097276303</v>
      </c>
      <c r="T6104" t="s">
        <v>12466</v>
      </c>
      <c r="U6104" t="s">
        <v>12467</v>
      </c>
      <c r="AD6104" t="s">
        <v>219</v>
      </c>
      <c r="AE6104" t="s">
        <v>12470</v>
      </c>
      <c r="AF6104" t="s">
        <v>12551</v>
      </c>
    </row>
    <row r="6105" spans="1:32" hidden="1" x14ac:dyDescent="0.35">
      <c r="A6105">
        <v>6104</v>
      </c>
      <c r="B6105" t="s">
        <v>12552</v>
      </c>
      <c r="C6105" t="s">
        <v>68</v>
      </c>
      <c r="D6105" t="s">
        <v>58</v>
      </c>
      <c r="E6105">
        <v>1832</v>
      </c>
      <c r="F6105">
        <v>3</v>
      </c>
      <c r="G6105">
        <v>3</v>
      </c>
      <c r="H6105">
        <v>1</v>
      </c>
      <c r="I6105">
        <v>0</v>
      </c>
      <c r="J6105">
        <v>0.79844961240310097</v>
      </c>
      <c r="K6105">
        <v>0.97744688261929602</v>
      </c>
      <c r="L6105">
        <v>0.87892744510670795</v>
      </c>
      <c r="M6105">
        <v>0.56818181818181801</v>
      </c>
      <c r="N6105">
        <v>1</v>
      </c>
      <c r="O6105">
        <v>0.71212121212121204</v>
      </c>
      <c r="P6105" t="s">
        <v>12553</v>
      </c>
      <c r="Q6105" t="s">
        <v>12554</v>
      </c>
      <c r="R6105" t="s">
        <v>288</v>
      </c>
      <c r="S6105" t="s">
        <v>289</v>
      </c>
      <c r="V6105" t="s">
        <v>12555</v>
      </c>
      <c r="W6105" t="s">
        <v>12556</v>
      </c>
      <c r="AF6105" t="s">
        <v>12557</v>
      </c>
    </row>
    <row r="6106" spans="1:32" hidden="1" x14ac:dyDescent="0.35">
      <c r="A6106">
        <v>6105</v>
      </c>
      <c r="B6106" t="s">
        <v>12552</v>
      </c>
      <c r="C6106" t="s">
        <v>68</v>
      </c>
      <c r="D6106" t="s">
        <v>34</v>
      </c>
      <c r="E6106">
        <v>1205</v>
      </c>
      <c r="F6106">
        <v>3</v>
      </c>
      <c r="G6106">
        <v>3</v>
      </c>
      <c r="H6106">
        <v>1</v>
      </c>
      <c r="I6106">
        <v>0</v>
      </c>
      <c r="J6106">
        <v>0.79844961240310097</v>
      </c>
      <c r="K6106">
        <v>0.97744688261929602</v>
      </c>
      <c r="L6106">
        <v>0.87892744510670795</v>
      </c>
      <c r="M6106">
        <v>0.56818181818181801</v>
      </c>
      <c r="N6106">
        <v>1</v>
      </c>
      <c r="O6106">
        <v>0.71212121212121204</v>
      </c>
      <c r="P6106" t="s">
        <v>12553</v>
      </c>
      <c r="Q6106" t="s">
        <v>12554</v>
      </c>
      <c r="R6106" t="s">
        <v>288</v>
      </c>
      <c r="S6106" t="s">
        <v>289</v>
      </c>
      <c r="V6106" t="s">
        <v>12555</v>
      </c>
      <c r="W6106" t="s">
        <v>12556</v>
      </c>
      <c r="AF6106" t="s">
        <v>12558</v>
      </c>
    </row>
    <row r="6107" spans="1:32" hidden="1" x14ac:dyDescent="0.35">
      <c r="A6107">
        <v>6106</v>
      </c>
      <c r="B6107" t="s">
        <v>12552</v>
      </c>
      <c r="C6107" t="s">
        <v>68</v>
      </c>
      <c r="D6107" t="s">
        <v>45</v>
      </c>
      <c r="E6107">
        <v>2448</v>
      </c>
      <c r="F6107">
        <v>3</v>
      </c>
      <c r="G6107">
        <v>3</v>
      </c>
      <c r="H6107">
        <v>1</v>
      </c>
      <c r="I6107">
        <v>0</v>
      </c>
      <c r="J6107">
        <v>0.79844961240310097</v>
      </c>
      <c r="K6107">
        <v>0.97744688261929602</v>
      </c>
      <c r="L6107">
        <v>0.87892744510670795</v>
      </c>
      <c r="M6107">
        <v>0.56818181818181801</v>
      </c>
      <c r="N6107">
        <v>1</v>
      </c>
      <c r="O6107">
        <v>0.71212121212121204</v>
      </c>
      <c r="P6107" t="s">
        <v>12553</v>
      </c>
      <c r="Q6107" t="s">
        <v>12554</v>
      </c>
      <c r="R6107" t="s">
        <v>288</v>
      </c>
      <c r="S6107" t="s">
        <v>289</v>
      </c>
      <c r="V6107" t="s">
        <v>12555</v>
      </c>
      <c r="W6107" t="s">
        <v>12556</v>
      </c>
      <c r="AF6107" t="s">
        <v>12558</v>
      </c>
    </row>
    <row r="6108" spans="1:32" hidden="1" x14ac:dyDescent="0.35">
      <c r="A6108">
        <v>6107</v>
      </c>
      <c r="B6108" t="s">
        <v>12559</v>
      </c>
      <c r="C6108" t="s">
        <v>68</v>
      </c>
      <c r="D6108" t="s">
        <v>58</v>
      </c>
      <c r="E6108">
        <v>662</v>
      </c>
      <c r="F6108">
        <v>3</v>
      </c>
      <c r="G6108">
        <v>3</v>
      </c>
      <c r="H6108">
        <v>1</v>
      </c>
      <c r="I6108">
        <v>0</v>
      </c>
      <c r="J6108">
        <v>0.75743348982785597</v>
      </c>
      <c r="K6108">
        <v>0.96056260341974697</v>
      </c>
      <c r="L6108">
        <v>0.84698945214829602</v>
      </c>
      <c r="M6108">
        <v>0.48648648648648701</v>
      </c>
      <c r="N6108">
        <v>1</v>
      </c>
      <c r="O6108">
        <v>0.65765765765765805</v>
      </c>
      <c r="P6108" t="s">
        <v>12560</v>
      </c>
      <c r="Q6108" t="s">
        <v>12561</v>
      </c>
      <c r="AF6108" t="s">
        <v>12562</v>
      </c>
    </row>
    <row r="6109" spans="1:32" hidden="1" x14ac:dyDescent="0.35">
      <c r="A6109">
        <v>6108</v>
      </c>
      <c r="B6109" t="s">
        <v>12559</v>
      </c>
      <c r="C6109" t="s">
        <v>68</v>
      </c>
      <c r="D6109" t="s">
        <v>60</v>
      </c>
      <c r="E6109">
        <v>851</v>
      </c>
      <c r="F6109">
        <v>3</v>
      </c>
      <c r="G6109">
        <v>3</v>
      </c>
      <c r="H6109">
        <v>1</v>
      </c>
      <c r="I6109">
        <v>0</v>
      </c>
      <c r="J6109">
        <v>0.75743348982785597</v>
      </c>
      <c r="K6109">
        <v>0.96056260341974697</v>
      </c>
      <c r="L6109">
        <v>0.84698945214829602</v>
      </c>
      <c r="M6109">
        <v>0.48648648648648701</v>
      </c>
      <c r="N6109">
        <v>1</v>
      </c>
      <c r="O6109">
        <v>0.65765765765765805</v>
      </c>
      <c r="P6109" t="s">
        <v>12560</v>
      </c>
      <c r="Q6109" t="s">
        <v>12561</v>
      </c>
      <c r="AF6109" t="s">
        <v>12563</v>
      </c>
    </row>
    <row r="6110" spans="1:32" hidden="1" x14ac:dyDescent="0.35">
      <c r="A6110">
        <v>6109</v>
      </c>
      <c r="B6110" t="s">
        <v>12559</v>
      </c>
      <c r="C6110" t="s">
        <v>68</v>
      </c>
      <c r="D6110" t="s">
        <v>62</v>
      </c>
      <c r="E6110">
        <v>885</v>
      </c>
      <c r="F6110">
        <v>3</v>
      </c>
      <c r="G6110">
        <v>3</v>
      </c>
      <c r="H6110">
        <v>1</v>
      </c>
      <c r="I6110">
        <v>0</v>
      </c>
      <c r="J6110">
        <v>0.75743348982785597</v>
      </c>
      <c r="K6110">
        <v>0.96056260341974697</v>
      </c>
      <c r="L6110">
        <v>0.84698945214829602</v>
      </c>
      <c r="M6110">
        <v>0.48648648648648701</v>
      </c>
      <c r="N6110">
        <v>1</v>
      </c>
      <c r="O6110">
        <v>0.65765765765765805</v>
      </c>
      <c r="P6110" t="s">
        <v>12560</v>
      </c>
      <c r="Q6110" t="s">
        <v>12561</v>
      </c>
      <c r="AF6110" t="s">
        <v>12563</v>
      </c>
    </row>
    <row r="6111" spans="1:32" hidden="1" x14ac:dyDescent="0.35">
      <c r="A6111">
        <v>6110</v>
      </c>
      <c r="B6111" t="s">
        <v>12564</v>
      </c>
      <c r="C6111" t="s">
        <v>68</v>
      </c>
      <c r="D6111" t="s">
        <v>60</v>
      </c>
      <c r="E6111">
        <v>2221</v>
      </c>
      <c r="F6111">
        <v>3</v>
      </c>
      <c r="G6111">
        <v>3</v>
      </c>
      <c r="H6111">
        <v>1</v>
      </c>
      <c r="I6111">
        <v>0</v>
      </c>
      <c r="J6111">
        <v>0.89124293785310704</v>
      </c>
      <c r="K6111">
        <v>0.92801203077101102</v>
      </c>
      <c r="L6111">
        <v>0.90925591292230801</v>
      </c>
      <c r="M6111">
        <v>0.65</v>
      </c>
      <c r="N6111">
        <v>1</v>
      </c>
      <c r="O6111">
        <v>0.76666666666666705</v>
      </c>
      <c r="P6111" t="s">
        <v>8909</v>
      </c>
      <c r="Q6111" t="s">
        <v>8910</v>
      </c>
      <c r="R6111" t="s">
        <v>342</v>
      </c>
      <c r="S6111" t="s">
        <v>343</v>
      </c>
      <c r="T6111" t="s">
        <v>12565</v>
      </c>
      <c r="U6111" t="s">
        <v>12566</v>
      </c>
      <c r="V6111" t="s">
        <v>8913</v>
      </c>
      <c r="W6111" t="s">
        <v>8914</v>
      </c>
      <c r="AD6111" t="s">
        <v>439</v>
      </c>
      <c r="AE6111" t="s">
        <v>11415</v>
      </c>
      <c r="AF6111" t="s">
        <v>12567</v>
      </c>
    </row>
    <row r="6112" spans="1:32" hidden="1" x14ac:dyDescent="0.35">
      <c r="A6112">
        <v>6111</v>
      </c>
      <c r="B6112" t="s">
        <v>12564</v>
      </c>
      <c r="C6112" t="s">
        <v>68</v>
      </c>
      <c r="D6112" t="s">
        <v>62</v>
      </c>
      <c r="E6112">
        <v>2251</v>
      </c>
      <c r="F6112">
        <v>3</v>
      </c>
      <c r="G6112">
        <v>3</v>
      </c>
      <c r="H6112">
        <v>1</v>
      </c>
      <c r="I6112">
        <v>0</v>
      </c>
      <c r="J6112">
        <v>0.89124293785310704</v>
      </c>
      <c r="K6112">
        <v>0.92801203077101102</v>
      </c>
      <c r="L6112">
        <v>0.90925591292230801</v>
      </c>
      <c r="M6112">
        <v>0.65</v>
      </c>
      <c r="N6112">
        <v>1</v>
      </c>
      <c r="O6112">
        <v>0.76666666666666705</v>
      </c>
      <c r="P6112" t="s">
        <v>8909</v>
      </c>
      <c r="Q6112" t="s">
        <v>8910</v>
      </c>
      <c r="R6112" t="s">
        <v>342</v>
      </c>
      <c r="S6112" t="s">
        <v>343</v>
      </c>
      <c r="T6112" t="s">
        <v>12565</v>
      </c>
      <c r="U6112" t="s">
        <v>12566</v>
      </c>
      <c r="V6112" t="s">
        <v>8913</v>
      </c>
      <c r="W6112" t="s">
        <v>8914</v>
      </c>
      <c r="AD6112" t="s">
        <v>439</v>
      </c>
      <c r="AE6112" t="s">
        <v>11415</v>
      </c>
      <c r="AF6112" t="s">
        <v>12567</v>
      </c>
    </row>
    <row r="6113" spans="1:32" hidden="1" x14ac:dyDescent="0.35">
      <c r="A6113">
        <v>6112</v>
      </c>
      <c r="B6113" t="s">
        <v>12564</v>
      </c>
      <c r="C6113" t="s">
        <v>68</v>
      </c>
      <c r="D6113" t="s">
        <v>34</v>
      </c>
      <c r="E6113">
        <v>1135</v>
      </c>
      <c r="F6113">
        <v>3</v>
      </c>
      <c r="G6113">
        <v>3</v>
      </c>
      <c r="H6113">
        <v>1</v>
      </c>
      <c r="I6113">
        <v>0</v>
      </c>
      <c r="J6113">
        <v>0.89124293785310704</v>
      </c>
      <c r="K6113">
        <v>0.92801203077101102</v>
      </c>
      <c r="L6113">
        <v>0.90925591292230801</v>
      </c>
      <c r="M6113">
        <v>0.65</v>
      </c>
      <c r="N6113">
        <v>1</v>
      </c>
      <c r="O6113">
        <v>0.76666666666666705</v>
      </c>
      <c r="P6113" t="s">
        <v>8909</v>
      </c>
      <c r="Q6113" t="s">
        <v>8910</v>
      </c>
      <c r="R6113" t="s">
        <v>342</v>
      </c>
      <c r="S6113" t="s">
        <v>343</v>
      </c>
      <c r="T6113" t="s">
        <v>12565</v>
      </c>
      <c r="U6113" t="s">
        <v>12566</v>
      </c>
      <c r="V6113" t="s">
        <v>8913</v>
      </c>
      <c r="W6113" t="s">
        <v>8914</v>
      </c>
      <c r="AD6113" t="s">
        <v>439</v>
      </c>
      <c r="AE6113" t="s">
        <v>11415</v>
      </c>
      <c r="AF6113" t="e">
        <f>------------------------MLLVVASIVIGTRTIALSALVDMVNGADIDAADAAVIQDLRIPRTILGIVVGAALGTAGTLIQGHTRNPLADPGIFGINAGAAFAVVVSFTFLQVTSVAGTVIAAFVGAIIATIMVFSFSGI-----NPVSILLGGTALSAVLSAMTSAIVLTNDDSLDRMRFWNAGSIAGRDVTVFTGVAPFIVVGVVAALVTARQLNVLNLGDDIAASMGVDTRRARLVGMIIIALLAGAATAGAGPIGFVGLIIPHVIRVVTGPDYRWLLPYSALGGAILVLLADILGRVIARPGELQVGIVLAGVGAPFVLYLLAQRKLVAL</f>
        <v>#NAME?</v>
      </c>
    </row>
    <row r="6114" spans="1:32" hidden="1" x14ac:dyDescent="0.35">
      <c r="A6114">
        <v>3209</v>
      </c>
      <c r="B6114" t="s">
        <v>6595</v>
      </c>
      <c r="C6114" t="s">
        <v>72</v>
      </c>
      <c r="D6114" t="s">
        <v>58</v>
      </c>
      <c r="E6114">
        <v>118</v>
      </c>
      <c r="F6114">
        <v>5</v>
      </c>
      <c r="G6114">
        <v>5</v>
      </c>
      <c r="H6114">
        <v>1</v>
      </c>
      <c r="I6114">
        <v>1</v>
      </c>
      <c r="J6114">
        <v>0.74924012158054698</v>
      </c>
      <c r="K6114">
        <v>0.89222425598264199</v>
      </c>
      <c r="L6114">
        <v>0.81450468151120603</v>
      </c>
      <c r="M6114">
        <v>0.48657718120805399</v>
      </c>
      <c r="N6114">
        <v>1</v>
      </c>
      <c r="O6114">
        <v>0.65503355704697996</v>
      </c>
      <c r="P6114" t="s">
        <v>3187</v>
      </c>
      <c r="Q6114" t="s">
        <v>3188</v>
      </c>
      <c r="R6114" t="s">
        <v>235</v>
      </c>
      <c r="S6114" t="s">
        <v>236</v>
      </c>
      <c r="T6114" t="s">
        <v>3189</v>
      </c>
      <c r="U6114" t="s">
        <v>3190</v>
      </c>
      <c r="V6114" t="s">
        <v>3191</v>
      </c>
      <c r="W6114" t="s">
        <v>3192</v>
      </c>
      <c r="X6114" t="s">
        <v>3191</v>
      </c>
      <c r="Y6114" t="s">
        <v>2454</v>
      </c>
      <c r="AD6114" t="s">
        <v>219</v>
      </c>
      <c r="AE6114" t="s">
        <v>3193</v>
      </c>
      <c r="AF6114" t="e">
        <f>-MRGQSAGKKVAAFFDLDKTIIAKSSAFAYGRQFLDNGLISPGVAAHLAVAQAAYRLVGHSNDQMDSTRDNLASMVRGWDVQQVSDIVETTLHEVVSPAIYMEARELIALHEAAGHDVIIVSASAAQLVAPIARELGIRDAVTTTLEVQDGRFTGEVLFYCKGERKAQAIRDLAANRGYNLEASFAYSDSATDIPMLEVVGNAVAVNPDRALKRYAKKHGWTIRSFKNPVPLFTVPSRR--RVGAWAAGLVAVAVVGGWLLGASG-PGRMTAPARTAELCRRLPRRLRSTIEGLIPPM</f>
        <v>#NAME?</v>
      </c>
    </row>
    <row r="6115" spans="1:32" hidden="1" x14ac:dyDescent="0.35">
      <c r="A6115">
        <v>6114</v>
      </c>
      <c r="B6115" t="s">
        <v>12568</v>
      </c>
      <c r="C6115" t="s">
        <v>68</v>
      </c>
      <c r="D6115" t="s">
        <v>34</v>
      </c>
      <c r="E6115">
        <v>1248</v>
      </c>
      <c r="F6115">
        <v>3</v>
      </c>
      <c r="G6115">
        <v>3</v>
      </c>
      <c r="H6115">
        <v>1</v>
      </c>
      <c r="I6115">
        <v>0</v>
      </c>
      <c r="J6115">
        <v>0.88448844884488498</v>
      </c>
      <c r="K6115">
        <v>0.99019607843137303</v>
      </c>
      <c r="L6115">
        <v>0.93436200141528203</v>
      </c>
      <c r="M6115">
        <v>0.76470588235294101</v>
      </c>
      <c r="N6115">
        <v>1</v>
      </c>
      <c r="O6115">
        <v>0.84313725490196101</v>
      </c>
      <c r="P6115" t="s">
        <v>3667</v>
      </c>
      <c r="Q6115" t="s">
        <v>3668</v>
      </c>
      <c r="R6115" t="s">
        <v>113</v>
      </c>
      <c r="S6115" t="s">
        <v>114</v>
      </c>
      <c r="T6115" t="s">
        <v>3669</v>
      </c>
      <c r="U6115" t="s">
        <v>3670</v>
      </c>
      <c r="V6115" t="s">
        <v>3671</v>
      </c>
      <c r="W6115" t="s">
        <v>3672</v>
      </c>
      <c r="AD6115" t="s">
        <v>410</v>
      </c>
      <c r="AE6115" t="s">
        <v>3673</v>
      </c>
      <c r="AF6115" t="s">
        <v>12570</v>
      </c>
    </row>
    <row r="6116" spans="1:32" hidden="1" x14ac:dyDescent="0.35">
      <c r="A6116">
        <v>6115</v>
      </c>
      <c r="B6116" t="s">
        <v>12568</v>
      </c>
      <c r="C6116" t="s">
        <v>68</v>
      </c>
      <c r="D6116" t="s">
        <v>45</v>
      </c>
      <c r="E6116">
        <v>2492</v>
      </c>
      <c r="F6116">
        <v>3</v>
      </c>
      <c r="G6116">
        <v>3</v>
      </c>
      <c r="H6116">
        <v>1</v>
      </c>
      <c r="I6116">
        <v>0</v>
      </c>
      <c r="J6116">
        <v>0.88448844884488498</v>
      </c>
      <c r="K6116">
        <v>0.99019607843137303</v>
      </c>
      <c r="L6116">
        <v>0.93436200141528203</v>
      </c>
      <c r="M6116">
        <v>0.76470588235294101</v>
      </c>
      <c r="N6116">
        <v>1</v>
      </c>
      <c r="O6116">
        <v>0.84313725490196101</v>
      </c>
      <c r="P6116" t="s">
        <v>3667</v>
      </c>
      <c r="Q6116" t="s">
        <v>3668</v>
      </c>
      <c r="R6116" t="s">
        <v>113</v>
      </c>
      <c r="S6116" t="s">
        <v>114</v>
      </c>
      <c r="T6116" t="s">
        <v>3669</v>
      </c>
      <c r="U6116" t="s">
        <v>3670</v>
      </c>
      <c r="V6116" t="s">
        <v>3671</v>
      </c>
      <c r="W6116" t="s">
        <v>3672</v>
      </c>
      <c r="AD6116" t="s">
        <v>410</v>
      </c>
      <c r="AE6116" t="s">
        <v>3673</v>
      </c>
      <c r="AF6116" t="s">
        <v>12570</v>
      </c>
    </row>
    <row r="6117" spans="1:32" hidden="1" x14ac:dyDescent="0.35">
      <c r="A6117">
        <v>6116</v>
      </c>
      <c r="B6117" t="s">
        <v>12571</v>
      </c>
      <c r="C6117" t="s">
        <v>68</v>
      </c>
      <c r="D6117" t="s">
        <v>58</v>
      </c>
      <c r="E6117">
        <v>1522</v>
      </c>
      <c r="F6117">
        <v>3</v>
      </c>
      <c r="G6117">
        <v>3</v>
      </c>
      <c r="H6117">
        <v>1</v>
      </c>
      <c r="I6117">
        <v>0</v>
      </c>
      <c r="J6117">
        <v>0.81164021164021205</v>
      </c>
      <c r="K6117">
        <v>0.95604680057982605</v>
      </c>
      <c r="L6117">
        <v>0.877945045923058</v>
      </c>
      <c r="M6117">
        <v>0.59545454545454501</v>
      </c>
      <c r="N6117">
        <v>1</v>
      </c>
      <c r="O6117">
        <v>0.73030303030303001</v>
      </c>
      <c r="P6117" t="s">
        <v>12572</v>
      </c>
      <c r="Q6117" t="s">
        <v>12573</v>
      </c>
      <c r="R6117" t="s">
        <v>213</v>
      </c>
      <c r="S6117" t="s">
        <v>214</v>
      </c>
      <c r="T6117" t="s">
        <v>12574</v>
      </c>
      <c r="U6117" t="s">
        <v>12575</v>
      </c>
      <c r="V6117" t="s">
        <v>12576</v>
      </c>
      <c r="W6117" t="s">
        <v>12577</v>
      </c>
      <c r="X6117" t="s">
        <v>12576</v>
      </c>
      <c r="Y6117" t="s">
        <v>875</v>
      </c>
      <c r="Z6117" t="s">
        <v>12578</v>
      </c>
      <c r="AA6117" t="s">
        <v>12579</v>
      </c>
      <c r="AB6117" t="s">
        <v>12578</v>
      </c>
      <c r="AC6117" t="s">
        <v>713</v>
      </c>
      <c r="AD6117" t="s">
        <v>219</v>
      </c>
      <c r="AE6117" t="s">
        <v>12580</v>
      </c>
      <c r="AF6117" t="s">
        <v>12581</v>
      </c>
    </row>
    <row r="6118" spans="1:32" hidden="1" x14ac:dyDescent="0.35">
      <c r="A6118">
        <v>6117</v>
      </c>
      <c r="B6118" t="s">
        <v>12571</v>
      </c>
      <c r="C6118" t="s">
        <v>68</v>
      </c>
      <c r="D6118" t="s">
        <v>60</v>
      </c>
      <c r="E6118">
        <v>519</v>
      </c>
      <c r="F6118">
        <v>3</v>
      </c>
      <c r="G6118">
        <v>3</v>
      </c>
      <c r="H6118">
        <v>1</v>
      </c>
      <c r="I6118">
        <v>0</v>
      </c>
      <c r="J6118">
        <v>0.81164021164021205</v>
      </c>
      <c r="K6118">
        <v>0.95604680057982605</v>
      </c>
      <c r="L6118">
        <v>0.877945045923058</v>
      </c>
      <c r="M6118">
        <v>0.59545454545454501</v>
      </c>
      <c r="N6118">
        <v>1</v>
      </c>
      <c r="O6118">
        <v>0.73030303030303001</v>
      </c>
      <c r="P6118" t="s">
        <v>12572</v>
      </c>
      <c r="Q6118" t="s">
        <v>12573</v>
      </c>
      <c r="R6118" t="s">
        <v>213</v>
      </c>
      <c r="S6118" t="s">
        <v>214</v>
      </c>
      <c r="T6118" t="s">
        <v>12574</v>
      </c>
      <c r="U6118" t="s">
        <v>12575</v>
      </c>
      <c r="V6118" t="s">
        <v>12576</v>
      </c>
      <c r="W6118" t="s">
        <v>12577</v>
      </c>
      <c r="X6118" t="s">
        <v>12576</v>
      </c>
      <c r="Y6118" t="s">
        <v>875</v>
      </c>
      <c r="Z6118" t="s">
        <v>12578</v>
      </c>
      <c r="AA6118" t="s">
        <v>12579</v>
      </c>
      <c r="AB6118" t="s">
        <v>12578</v>
      </c>
      <c r="AC6118" t="s">
        <v>713</v>
      </c>
      <c r="AD6118" t="s">
        <v>219</v>
      </c>
      <c r="AE6118" t="s">
        <v>12580</v>
      </c>
      <c r="AF6118" t="s">
        <v>12582</v>
      </c>
    </row>
    <row r="6119" spans="1:32" hidden="1" x14ac:dyDescent="0.35">
      <c r="A6119">
        <v>6118</v>
      </c>
      <c r="B6119" t="s">
        <v>12571</v>
      </c>
      <c r="C6119" t="s">
        <v>68</v>
      </c>
      <c r="D6119" t="s">
        <v>62</v>
      </c>
      <c r="E6119">
        <v>603</v>
      </c>
      <c r="F6119">
        <v>3</v>
      </c>
      <c r="G6119">
        <v>3</v>
      </c>
      <c r="H6119">
        <v>1</v>
      </c>
      <c r="I6119">
        <v>0</v>
      </c>
      <c r="J6119">
        <v>0.81164021164021205</v>
      </c>
      <c r="K6119">
        <v>0.95604680057982605</v>
      </c>
      <c r="L6119">
        <v>0.877945045923058</v>
      </c>
      <c r="M6119">
        <v>0.59545454545454501</v>
      </c>
      <c r="N6119">
        <v>1</v>
      </c>
      <c r="O6119">
        <v>0.73030303030303001</v>
      </c>
      <c r="P6119" t="s">
        <v>12572</v>
      </c>
      <c r="Q6119" t="s">
        <v>12573</v>
      </c>
      <c r="R6119" t="s">
        <v>213</v>
      </c>
      <c r="S6119" t="s">
        <v>214</v>
      </c>
      <c r="T6119" t="s">
        <v>12574</v>
      </c>
      <c r="U6119" t="s">
        <v>12575</v>
      </c>
      <c r="V6119" t="s">
        <v>12576</v>
      </c>
      <c r="W6119" t="s">
        <v>12577</v>
      </c>
      <c r="X6119" t="s">
        <v>12576</v>
      </c>
      <c r="Y6119" t="s">
        <v>875</v>
      </c>
      <c r="Z6119" t="s">
        <v>12578</v>
      </c>
      <c r="AA6119" t="s">
        <v>12579</v>
      </c>
      <c r="AB6119" t="s">
        <v>12578</v>
      </c>
      <c r="AC6119" t="s">
        <v>713</v>
      </c>
      <c r="AD6119" t="s">
        <v>219</v>
      </c>
      <c r="AE6119" t="s">
        <v>12580</v>
      </c>
      <c r="AF6119" t="s">
        <v>12582</v>
      </c>
    </row>
    <row r="6120" spans="1:32" hidden="1" x14ac:dyDescent="0.35">
      <c r="A6120">
        <v>6119</v>
      </c>
      <c r="B6120" t="s">
        <v>12583</v>
      </c>
      <c r="C6120" t="s">
        <v>68</v>
      </c>
      <c r="D6120" t="s">
        <v>60</v>
      </c>
      <c r="E6120">
        <v>187</v>
      </c>
      <c r="F6120">
        <v>2</v>
      </c>
      <c r="G6120">
        <v>3</v>
      </c>
      <c r="H6120">
        <v>2</v>
      </c>
      <c r="I6120">
        <v>0</v>
      </c>
      <c r="J6120">
        <v>0.74822695035460995</v>
      </c>
      <c r="K6120">
        <v>0.96457960644007201</v>
      </c>
      <c r="L6120">
        <v>0.84273901736052204</v>
      </c>
      <c r="M6120">
        <v>0.45384615384615401</v>
      </c>
      <c r="N6120">
        <v>1</v>
      </c>
      <c r="O6120">
        <v>0.63589743589743597</v>
      </c>
      <c r="AF6120" t="e">
        <f>---MNKYDIFERFNYFQDSLLRSVSIKYAEDGRKNGEVVIYTRDYIDGA-EVWGTVTILVANVSSYRFQEAVNTTAVVISTGAHLVDFDGKEGVELGDILDAPESLEELFFSDLFILGDRVEIILSEEFC</f>
        <v>#NAME?</v>
      </c>
    </row>
    <row r="6121" spans="1:32" hidden="1" x14ac:dyDescent="0.35">
      <c r="A6121">
        <v>6120</v>
      </c>
      <c r="B6121" t="s">
        <v>12583</v>
      </c>
      <c r="C6121" t="s">
        <v>68</v>
      </c>
      <c r="D6121" t="s">
        <v>60</v>
      </c>
      <c r="E6121">
        <v>2055</v>
      </c>
      <c r="F6121">
        <v>2</v>
      </c>
      <c r="G6121">
        <v>3</v>
      </c>
      <c r="H6121">
        <v>2</v>
      </c>
      <c r="I6121">
        <v>0</v>
      </c>
      <c r="J6121">
        <v>0.74822695035460995</v>
      </c>
      <c r="K6121">
        <v>0.96457960644007201</v>
      </c>
      <c r="L6121">
        <v>0.84273901736052204</v>
      </c>
      <c r="M6121">
        <v>0.45384615384615401</v>
      </c>
      <c r="N6121">
        <v>1</v>
      </c>
      <c r="O6121">
        <v>0.63589743589743597</v>
      </c>
      <c r="AF6121" t="s">
        <v>12584</v>
      </c>
    </row>
    <row r="6122" spans="1:32" hidden="1" x14ac:dyDescent="0.35">
      <c r="A6122">
        <v>6121</v>
      </c>
      <c r="B6122" t="s">
        <v>12583</v>
      </c>
      <c r="C6122" t="s">
        <v>68</v>
      </c>
      <c r="D6122" t="s">
        <v>62</v>
      </c>
      <c r="E6122">
        <v>263</v>
      </c>
      <c r="F6122">
        <v>2</v>
      </c>
      <c r="G6122">
        <v>3</v>
      </c>
      <c r="H6122">
        <v>2</v>
      </c>
      <c r="I6122">
        <v>0</v>
      </c>
      <c r="J6122">
        <v>0.74822695035460995</v>
      </c>
      <c r="K6122">
        <v>0.96457960644007201</v>
      </c>
      <c r="L6122">
        <v>0.84273901736052204</v>
      </c>
      <c r="M6122">
        <v>0.45384615384615401</v>
      </c>
      <c r="N6122">
        <v>1</v>
      </c>
      <c r="O6122">
        <v>0.63589743589743597</v>
      </c>
      <c r="AF6122" t="e">
        <f>---MNKYDIFERFNYFQDSLLRSVSIKYAEDGRKNGEVVIYTRDYIDGA-EVWGTVTILVANVSSYRFQEAVNTTAVVISTGAHLVDFDGKEGVELGDILDAPESLEELFFSDLFILGDRVEIILSEEFC</f>
        <v>#NAME?</v>
      </c>
    </row>
    <row r="6123" spans="1:32" hidden="1" x14ac:dyDescent="0.35">
      <c r="A6123">
        <v>3764</v>
      </c>
      <c r="B6123" t="s">
        <v>7767</v>
      </c>
      <c r="C6123" t="s">
        <v>72</v>
      </c>
      <c r="D6123" t="s">
        <v>58</v>
      </c>
      <c r="E6123">
        <v>1728</v>
      </c>
      <c r="F6123">
        <v>5</v>
      </c>
      <c r="G6123">
        <v>5</v>
      </c>
      <c r="H6123">
        <v>1</v>
      </c>
      <c r="I6123">
        <v>1</v>
      </c>
      <c r="J6123">
        <v>0.80317946474148605</v>
      </c>
      <c r="K6123">
        <v>0.95159043659043197</v>
      </c>
      <c r="L6123">
        <v>0.87110896640488</v>
      </c>
      <c r="M6123">
        <v>0.656964656964657</v>
      </c>
      <c r="N6123">
        <v>0.99792099792099798</v>
      </c>
      <c r="O6123">
        <v>0.74116424116424096</v>
      </c>
      <c r="P6123" t="s">
        <v>7768</v>
      </c>
      <c r="Q6123" t="s">
        <v>7769</v>
      </c>
      <c r="R6123" t="s">
        <v>652</v>
      </c>
      <c r="S6123" t="s">
        <v>653</v>
      </c>
      <c r="T6123" t="s">
        <v>7770</v>
      </c>
      <c r="U6123" t="s">
        <v>7771</v>
      </c>
      <c r="V6123" t="s">
        <v>7772</v>
      </c>
      <c r="W6123" t="s">
        <v>7773</v>
      </c>
      <c r="Z6123" t="s">
        <v>7774</v>
      </c>
      <c r="AA6123" t="s">
        <v>7775</v>
      </c>
      <c r="AB6123" t="s">
        <v>7774</v>
      </c>
      <c r="AC6123" t="s">
        <v>7776</v>
      </c>
      <c r="AD6123" t="s">
        <v>590</v>
      </c>
      <c r="AE6123" t="s">
        <v>7777</v>
      </c>
      <c r="AF6123" t="s">
        <v>7778</v>
      </c>
    </row>
    <row r="6124" spans="1:32" hidden="1" x14ac:dyDescent="0.35">
      <c r="A6124">
        <v>6123</v>
      </c>
      <c r="B6124" t="s">
        <v>12585</v>
      </c>
      <c r="C6124" t="s">
        <v>68</v>
      </c>
      <c r="D6124" t="s">
        <v>60</v>
      </c>
      <c r="E6124">
        <v>2205</v>
      </c>
      <c r="F6124">
        <v>3</v>
      </c>
      <c r="G6124">
        <v>3</v>
      </c>
      <c r="H6124">
        <v>1</v>
      </c>
      <c r="I6124">
        <v>0</v>
      </c>
      <c r="J6124">
        <v>0.907881269191402</v>
      </c>
      <c r="K6124">
        <v>0.97247892275151304</v>
      </c>
      <c r="L6124">
        <v>0.93907050620685995</v>
      </c>
      <c r="M6124">
        <v>0.8</v>
      </c>
      <c r="N6124">
        <v>1</v>
      </c>
      <c r="O6124">
        <v>0.86666666666666703</v>
      </c>
      <c r="P6124" t="s">
        <v>12586</v>
      </c>
      <c r="Q6124" t="s">
        <v>12587</v>
      </c>
      <c r="R6124" t="s">
        <v>75</v>
      </c>
      <c r="S6124" t="s">
        <v>76</v>
      </c>
      <c r="T6124" t="s">
        <v>12588</v>
      </c>
      <c r="U6124" t="s">
        <v>12589</v>
      </c>
      <c r="V6124" t="s">
        <v>12590</v>
      </c>
      <c r="W6124" t="s">
        <v>12591</v>
      </c>
      <c r="AD6124" t="s">
        <v>2751</v>
      </c>
      <c r="AE6124" t="s">
        <v>10288</v>
      </c>
      <c r="AF6124" t="s">
        <v>12593</v>
      </c>
    </row>
    <row r="6125" spans="1:32" hidden="1" x14ac:dyDescent="0.35">
      <c r="A6125">
        <v>6124</v>
      </c>
      <c r="B6125" t="s">
        <v>12585</v>
      </c>
      <c r="C6125" t="s">
        <v>68</v>
      </c>
      <c r="D6125" t="s">
        <v>62</v>
      </c>
      <c r="E6125">
        <v>2237</v>
      </c>
      <c r="F6125">
        <v>3</v>
      </c>
      <c r="G6125">
        <v>3</v>
      </c>
      <c r="H6125">
        <v>1</v>
      </c>
      <c r="I6125">
        <v>0</v>
      </c>
      <c r="J6125">
        <v>0.907881269191402</v>
      </c>
      <c r="K6125">
        <v>0.97247892275151304</v>
      </c>
      <c r="L6125">
        <v>0.93907050620685995</v>
      </c>
      <c r="M6125">
        <v>0.8</v>
      </c>
      <c r="N6125">
        <v>1</v>
      </c>
      <c r="O6125">
        <v>0.86666666666666703</v>
      </c>
      <c r="P6125" t="s">
        <v>12586</v>
      </c>
      <c r="Q6125" t="s">
        <v>12587</v>
      </c>
      <c r="R6125" t="s">
        <v>75</v>
      </c>
      <c r="S6125" t="s">
        <v>76</v>
      </c>
      <c r="T6125" t="s">
        <v>12588</v>
      </c>
      <c r="U6125" t="s">
        <v>12589</v>
      </c>
      <c r="V6125" t="s">
        <v>12590</v>
      </c>
      <c r="W6125" t="s">
        <v>12591</v>
      </c>
      <c r="AD6125" t="s">
        <v>2751</v>
      </c>
      <c r="AE6125" t="s">
        <v>10288</v>
      </c>
      <c r="AF6125" t="s">
        <v>12593</v>
      </c>
    </row>
    <row r="6126" spans="1:32" hidden="1" x14ac:dyDescent="0.35">
      <c r="A6126">
        <v>6125</v>
      </c>
      <c r="B6126" t="s">
        <v>12594</v>
      </c>
      <c r="C6126" t="s">
        <v>68</v>
      </c>
      <c r="D6126" t="s">
        <v>58</v>
      </c>
      <c r="E6126">
        <v>1755</v>
      </c>
      <c r="F6126">
        <v>3</v>
      </c>
      <c r="G6126">
        <v>3</v>
      </c>
      <c r="H6126">
        <v>1</v>
      </c>
      <c r="I6126">
        <v>0</v>
      </c>
      <c r="J6126">
        <v>0.80350877192982495</v>
      </c>
      <c r="K6126">
        <v>0.94129871531901599</v>
      </c>
      <c r="L6126">
        <v>0.86696300914856905</v>
      </c>
      <c r="M6126">
        <v>0.54872881355932202</v>
      </c>
      <c r="N6126">
        <v>1</v>
      </c>
      <c r="O6126">
        <v>0.69915254237288105</v>
      </c>
      <c r="P6126" t="s">
        <v>5768</v>
      </c>
      <c r="Q6126" t="s">
        <v>5769</v>
      </c>
      <c r="R6126" t="s">
        <v>288</v>
      </c>
      <c r="S6126" t="s">
        <v>289</v>
      </c>
      <c r="T6126" t="s">
        <v>5770</v>
      </c>
      <c r="U6126" t="s">
        <v>5771</v>
      </c>
      <c r="V6126" t="s">
        <v>5772</v>
      </c>
      <c r="W6126" t="s">
        <v>5773</v>
      </c>
      <c r="AD6126" t="s">
        <v>166</v>
      </c>
      <c r="AE6126" t="s">
        <v>818</v>
      </c>
      <c r="AF6126" t="s">
        <v>12595</v>
      </c>
    </row>
    <row r="6127" spans="1:32" hidden="1" x14ac:dyDescent="0.35">
      <c r="A6127">
        <v>6126</v>
      </c>
      <c r="B6127" t="s">
        <v>12594</v>
      </c>
      <c r="C6127" t="s">
        <v>68</v>
      </c>
      <c r="D6127" t="s">
        <v>60</v>
      </c>
      <c r="E6127">
        <v>2381</v>
      </c>
      <c r="F6127">
        <v>3</v>
      </c>
      <c r="G6127">
        <v>3</v>
      </c>
      <c r="H6127">
        <v>1</v>
      </c>
      <c r="I6127">
        <v>0</v>
      </c>
      <c r="J6127">
        <v>0.80350877192982495</v>
      </c>
      <c r="K6127">
        <v>0.94129871531901599</v>
      </c>
      <c r="L6127">
        <v>0.86696300914856905</v>
      </c>
      <c r="M6127">
        <v>0.54872881355932202</v>
      </c>
      <c r="N6127">
        <v>1</v>
      </c>
      <c r="O6127">
        <v>0.69915254237288105</v>
      </c>
      <c r="P6127" t="s">
        <v>5768</v>
      </c>
      <c r="Q6127" t="s">
        <v>5769</v>
      </c>
      <c r="R6127" t="s">
        <v>288</v>
      </c>
      <c r="S6127" t="s">
        <v>289</v>
      </c>
      <c r="T6127" t="s">
        <v>5770</v>
      </c>
      <c r="U6127" t="s">
        <v>5771</v>
      </c>
      <c r="V6127" t="s">
        <v>5772</v>
      </c>
      <c r="W6127" t="s">
        <v>5773</v>
      </c>
      <c r="AD6127" t="s">
        <v>166</v>
      </c>
      <c r="AE6127" t="s">
        <v>818</v>
      </c>
      <c r="AF6127" t="s">
        <v>12596</v>
      </c>
    </row>
    <row r="6128" spans="1:32" hidden="1" x14ac:dyDescent="0.35">
      <c r="A6128">
        <v>6127</v>
      </c>
      <c r="B6128" t="s">
        <v>12594</v>
      </c>
      <c r="C6128" t="s">
        <v>68</v>
      </c>
      <c r="D6128" t="s">
        <v>62</v>
      </c>
      <c r="E6128">
        <v>2409</v>
      </c>
      <c r="F6128">
        <v>3</v>
      </c>
      <c r="G6128">
        <v>3</v>
      </c>
      <c r="H6128">
        <v>1</v>
      </c>
      <c r="I6128">
        <v>0</v>
      </c>
      <c r="J6128">
        <v>0.80350877192982495</v>
      </c>
      <c r="K6128">
        <v>0.94129871531901599</v>
      </c>
      <c r="L6128">
        <v>0.86696300914856905</v>
      </c>
      <c r="M6128">
        <v>0.54872881355932202</v>
      </c>
      <c r="N6128">
        <v>1</v>
      </c>
      <c r="O6128">
        <v>0.69915254237288105</v>
      </c>
      <c r="P6128" t="s">
        <v>5768</v>
      </c>
      <c r="Q6128" t="s">
        <v>5769</v>
      </c>
      <c r="R6128" t="s">
        <v>288</v>
      </c>
      <c r="S6128" t="s">
        <v>289</v>
      </c>
      <c r="T6128" t="s">
        <v>5770</v>
      </c>
      <c r="U6128" t="s">
        <v>5771</v>
      </c>
      <c r="V6128" t="s">
        <v>5772</v>
      </c>
      <c r="W6128" t="s">
        <v>5773</v>
      </c>
      <c r="AD6128" t="s">
        <v>166</v>
      </c>
      <c r="AE6128" t="s">
        <v>818</v>
      </c>
      <c r="AF6128" t="s">
        <v>12596</v>
      </c>
    </row>
    <row r="6129" spans="1:32" hidden="1" x14ac:dyDescent="0.35">
      <c r="A6129">
        <v>11374</v>
      </c>
      <c r="B6129" t="s">
        <v>23167</v>
      </c>
      <c r="C6129" t="s">
        <v>33</v>
      </c>
      <c r="D6129" t="s">
        <v>58</v>
      </c>
      <c r="E6129">
        <v>696</v>
      </c>
      <c r="F6129">
        <v>1</v>
      </c>
      <c r="G6129">
        <v>1</v>
      </c>
      <c r="H6129">
        <v>1</v>
      </c>
      <c r="I6129">
        <v>0</v>
      </c>
      <c r="J6129">
        <v>1</v>
      </c>
      <c r="K6129">
        <v>1</v>
      </c>
      <c r="L6129">
        <v>1</v>
      </c>
      <c r="M6129">
        <v>0</v>
      </c>
      <c r="N6129">
        <v>0</v>
      </c>
      <c r="O6129">
        <v>0</v>
      </c>
      <c r="P6129" t="s">
        <v>10744</v>
      </c>
      <c r="Q6129" t="s">
        <v>10745</v>
      </c>
      <c r="R6129" t="s">
        <v>138</v>
      </c>
      <c r="S6129" t="s">
        <v>139</v>
      </c>
      <c r="T6129" t="s">
        <v>15510</v>
      </c>
      <c r="U6129" t="s">
        <v>15511</v>
      </c>
      <c r="V6129" t="s">
        <v>15512</v>
      </c>
      <c r="W6129" t="s">
        <v>15513</v>
      </c>
      <c r="AD6129" t="s">
        <v>14436</v>
      </c>
      <c r="AE6129" t="s">
        <v>15514</v>
      </c>
      <c r="AF6129" t="s">
        <v>23168</v>
      </c>
    </row>
    <row r="6130" spans="1:32" hidden="1" x14ac:dyDescent="0.35">
      <c r="A6130">
        <v>6129</v>
      </c>
      <c r="B6130" t="s">
        <v>12597</v>
      </c>
      <c r="C6130" t="s">
        <v>68</v>
      </c>
      <c r="D6130" t="s">
        <v>60</v>
      </c>
      <c r="E6130">
        <v>1501</v>
      </c>
      <c r="F6130">
        <v>3</v>
      </c>
      <c r="G6130">
        <v>3</v>
      </c>
      <c r="H6130">
        <v>1</v>
      </c>
      <c r="I6130">
        <v>0</v>
      </c>
      <c r="J6130">
        <v>0.79856115107913705</v>
      </c>
      <c r="K6130">
        <v>0.93345515456068195</v>
      </c>
      <c r="L6130">
        <v>0.860755202222381</v>
      </c>
      <c r="M6130">
        <v>0.50251256281406997</v>
      </c>
      <c r="N6130">
        <v>1</v>
      </c>
      <c r="O6130">
        <v>0.66834170854271402</v>
      </c>
      <c r="P6130" t="s">
        <v>12598</v>
      </c>
      <c r="Q6130" t="s">
        <v>12599</v>
      </c>
      <c r="R6130" t="s">
        <v>869</v>
      </c>
      <c r="S6130" t="s">
        <v>870</v>
      </c>
      <c r="T6130" t="s">
        <v>12600</v>
      </c>
      <c r="U6130" t="s">
        <v>12601</v>
      </c>
      <c r="V6130" t="s">
        <v>12602</v>
      </c>
      <c r="W6130" t="s">
        <v>12603</v>
      </c>
      <c r="AD6130" t="s">
        <v>12295</v>
      </c>
      <c r="AE6130" t="s">
        <v>12604</v>
      </c>
      <c r="AF6130" t="s">
        <v>12606</v>
      </c>
    </row>
    <row r="6131" spans="1:32" hidden="1" x14ac:dyDescent="0.35">
      <c r="A6131">
        <v>6130</v>
      </c>
      <c r="B6131" t="s">
        <v>12597</v>
      </c>
      <c r="C6131" t="s">
        <v>68</v>
      </c>
      <c r="D6131" t="s">
        <v>62</v>
      </c>
      <c r="E6131">
        <v>1536</v>
      </c>
      <c r="F6131">
        <v>3</v>
      </c>
      <c r="G6131">
        <v>3</v>
      </c>
      <c r="H6131">
        <v>1</v>
      </c>
      <c r="I6131">
        <v>0</v>
      </c>
      <c r="J6131">
        <v>0.79856115107913705</v>
      </c>
      <c r="K6131">
        <v>0.93345515456068195</v>
      </c>
      <c r="L6131">
        <v>0.860755202222381</v>
      </c>
      <c r="M6131">
        <v>0.50251256281406997</v>
      </c>
      <c r="N6131">
        <v>1</v>
      </c>
      <c r="O6131">
        <v>0.66834170854271402</v>
      </c>
      <c r="P6131" t="s">
        <v>12598</v>
      </c>
      <c r="Q6131" t="s">
        <v>12599</v>
      </c>
      <c r="R6131" t="s">
        <v>869</v>
      </c>
      <c r="S6131" t="s">
        <v>870</v>
      </c>
      <c r="T6131" t="s">
        <v>12600</v>
      </c>
      <c r="U6131" t="s">
        <v>12601</v>
      </c>
      <c r="V6131" t="s">
        <v>12602</v>
      </c>
      <c r="W6131" t="s">
        <v>12603</v>
      </c>
      <c r="AD6131" t="s">
        <v>12295</v>
      </c>
      <c r="AE6131" t="s">
        <v>12604</v>
      </c>
      <c r="AF6131" t="s">
        <v>12606</v>
      </c>
    </row>
    <row r="6132" spans="1:32" hidden="1" x14ac:dyDescent="0.35">
      <c r="A6132">
        <v>6131</v>
      </c>
      <c r="B6132" t="s">
        <v>12607</v>
      </c>
      <c r="C6132" t="s">
        <v>68</v>
      </c>
      <c r="D6132" t="s">
        <v>58</v>
      </c>
      <c r="E6132">
        <v>347</v>
      </c>
      <c r="F6132">
        <v>3</v>
      </c>
      <c r="G6132">
        <v>3</v>
      </c>
      <c r="H6132">
        <v>1</v>
      </c>
      <c r="I6132">
        <v>0</v>
      </c>
      <c r="J6132">
        <v>0.76529477196885398</v>
      </c>
      <c r="K6132">
        <v>0.97162993678390797</v>
      </c>
      <c r="L6132">
        <v>0.85620672808909504</v>
      </c>
      <c r="M6132">
        <v>0.52512155591572096</v>
      </c>
      <c r="N6132">
        <v>1</v>
      </c>
      <c r="O6132">
        <v>0.68341437061048105</v>
      </c>
      <c r="R6132" t="s">
        <v>96</v>
      </c>
      <c r="S6132" t="s">
        <v>97</v>
      </c>
      <c r="T6132" t="s">
        <v>12608</v>
      </c>
      <c r="U6132" t="s">
        <v>12609</v>
      </c>
      <c r="V6132" t="s">
        <v>12610</v>
      </c>
      <c r="W6132" t="s">
        <v>12611</v>
      </c>
      <c r="AD6132" t="s">
        <v>12612</v>
      </c>
      <c r="AE6132" t="s">
        <v>12613</v>
      </c>
      <c r="AF6132" t="s">
        <v>12614</v>
      </c>
    </row>
    <row r="6133" spans="1:32" hidden="1" x14ac:dyDescent="0.35">
      <c r="A6133">
        <v>6132</v>
      </c>
      <c r="B6133" t="s">
        <v>12607</v>
      </c>
      <c r="C6133" t="s">
        <v>68</v>
      </c>
      <c r="D6133" t="s">
        <v>60</v>
      </c>
      <c r="E6133">
        <v>2472</v>
      </c>
      <c r="F6133">
        <v>3</v>
      </c>
      <c r="G6133">
        <v>3</v>
      </c>
      <c r="H6133">
        <v>1</v>
      </c>
      <c r="I6133">
        <v>0</v>
      </c>
      <c r="J6133">
        <v>0.76529477196885398</v>
      </c>
      <c r="K6133">
        <v>0.97162993678390797</v>
      </c>
      <c r="L6133">
        <v>0.85620672808909504</v>
      </c>
      <c r="M6133">
        <v>0.52512155591572096</v>
      </c>
      <c r="N6133">
        <v>1</v>
      </c>
      <c r="O6133">
        <v>0.68341437061048105</v>
      </c>
      <c r="P6133" t="s">
        <v>12615</v>
      </c>
      <c r="Q6133" t="s">
        <v>12616</v>
      </c>
      <c r="R6133" t="s">
        <v>96</v>
      </c>
      <c r="S6133" t="s">
        <v>97</v>
      </c>
      <c r="T6133" t="s">
        <v>12608</v>
      </c>
      <c r="U6133" t="s">
        <v>12609</v>
      </c>
      <c r="V6133" t="s">
        <v>12610</v>
      </c>
      <c r="W6133" t="s">
        <v>12611</v>
      </c>
      <c r="AD6133" t="s">
        <v>12612</v>
      </c>
      <c r="AE6133" t="s">
        <v>12613</v>
      </c>
      <c r="AF6133" t="s">
        <v>12617</v>
      </c>
    </row>
    <row r="6134" spans="1:32" hidden="1" x14ac:dyDescent="0.35">
      <c r="A6134">
        <v>6133</v>
      </c>
      <c r="B6134" t="s">
        <v>12607</v>
      </c>
      <c r="C6134" t="s">
        <v>68</v>
      </c>
      <c r="D6134" t="s">
        <v>62</v>
      </c>
      <c r="E6134">
        <v>2498</v>
      </c>
      <c r="F6134">
        <v>3</v>
      </c>
      <c r="G6134">
        <v>3</v>
      </c>
      <c r="H6134">
        <v>1</v>
      </c>
      <c r="I6134">
        <v>0</v>
      </c>
      <c r="J6134">
        <v>0.76529477196885398</v>
      </c>
      <c r="K6134">
        <v>0.97162993678390797</v>
      </c>
      <c r="L6134">
        <v>0.85620672808909504</v>
      </c>
      <c r="M6134">
        <v>0.52512155591572096</v>
      </c>
      <c r="N6134">
        <v>1</v>
      </c>
      <c r="O6134">
        <v>0.68341437061048105</v>
      </c>
      <c r="P6134" t="s">
        <v>12615</v>
      </c>
      <c r="Q6134" t="s">
        <v>12616</v>
      </c>
      <c r="R6134" t="s">
        <v>96</v>
      </c>
      <c r="S6134" t="s">
        <v>97</v>
      </c>
      <c r="T6134" t="s">
        <v>12608</v>
      </c>
      <c r="U6134" t="s">
        <v>12609</v>
      </c>
      <c r="V6134" t="s">
        <v>12610</v>
      </c>
      <c r="W6134" t="s">
        <v>12611</v>
      </c>
      <c r="AD6134" t="s">
        <v>12612</v>
      </c>
      <c r="AE6134" t="s">
        <v>12613</v>
      </c>
      <c r="AF6134" t="s">
        <v>12617</v>
      </c>
    </row>
    <row r="6135" spans="1:32" hidden="1" x14ac:dyDescent="0.35">
      <c r="A6135">
        <v>6134</v>
      </c>
      <c r="B6135" t="s">
        <v>12618</v>
      </c>
      <c r="C6135" t="s">
        <v>68</v>
      </c>
      <c r="D6135" t="s">
        <v>58</v>
      </c>
      <c r="E6135">
        <v>177</v>
      </c>
      <c r="F6135">
        <v>3</v>
      </c>
      <c r="G6135">
        <v>3</v>
      </c>
      <c r="H6135">
        <v>1</v>
      </c>
      <c r="I6135">
        <v>0</v>
      </c>
      <c r="J6135">
        <v>0.86417520594735797</v>
      </c>
      <c r="K6135">
        <v>0.96561466456754497</v>
      </c>
      <c r="L6135">
        <v>0.91208314688465297</v>
      </c>
      <c r="M6135">
        <v>0.71378708551483405</v>
      </c>
      <c r="N6135">
        <v>1</v>
      </c>
      <c r="O6135">
        <v>0.80919139034322296</v>
      </c>
      <c r="P6135" t="s">
        <v>12619</v>
      </c>
      <c r="Q6135" t="s">
        <v>12620</v>
      </c>
      <c r="R6135" t="s">
        <v>7230</v>
      </c>
      <c r="S6135" t="s">
        <v>7231</v>
      </c>
      <c r="T6135" t="s">
        <v>12621</v>
      </c>
      <c r="U6135" t="s">
        <v>12622</v>
      </c>
      <c r="V6135" t="s">
        <v>12623</v>
      </c>
      <c r="W6135" t="s">
        <v>12624</v>
      </c>
      <c r="X6135" t="s">
        <v>12623</v>
      </c>
      <c r="Y6135" t="s">
        <v>12625</v>
      </c>
      <c r="Z6135" t="s">
        <v>12626</v>
      </c>
      <c r="AA6135" t="s">
        <v>12627</v>
      </c>
      <c r="AB6135" t="s">
        <v>12626</v>
      </c>
      <c r="AC6135" t="s">
        <v>6136</v>
      </c>
      <c r="AD6135" t="s">
        <v>191</v>
      </c>
      <c r="AE6135" t="s">
        <v>12628</v>
      </c>
      <c r="AF6135" t="s">
        <v>12629</v>
      </c>
    </row>
    <row r="6136" spans="1:32" hidden="1" x14ac:dyDescent="0.35">
      <c r="A6136">
        <v>6135</v>
      </c>
      <c r="B6136" t="s">
        <v>12618</v>
      </c>
      <c r="C6136" t="s">
        <v>68</v>
      </c>
      <c r="D6136" t="s">
        <v>60</v>
      </c>
      <c r="E6136">
        <v>311</v>
      </c>
      <c r="F6136">
        <v>3</v>
      </c>
      <c r="G6136">
        <v>3</v>
      </c>
      <c r="H6136">
        <v>1</v>
      </c>
      <c r="I6136">
        <v>0</v>
      </c>
      <c r="J6136">
        <v>0.86417520594735797</v>
      </c>
      <c r="K6136">
        <v>0.96561466456754497</v>
      </c>
      <c r="L6136">
        <v>0.91208314688465297</v>
      </c>
      <c r="M6136">
        <v>0.71378708551483405</v>
      </c>
      <c r="N6136">
        <v>1</v>
      </c>
      <c r="O6136">
        <v>0.80919139034322296</v>
      </c>
      <c r="P6136" t="s">
        <v>12619</v>
      </c>
      <c r="Q6136" t="s">
        <v>12620</v>
      </c>
      <c r="R6136" t="s">
        <v>7230</v>
      </c>
      <c r="S6136" t="s">
        <v>7231</v>
      </c>
      <c r="T6136" t="s">
        <v>12621</v>
      </c>
      <c r="U6136" t="s">
        <v>12622</v>
      </c>
      <c r="V6136" t="s">
        <v>12623</v>
      </c>
      <c r="W6136" t="s">
        <v>12624</v>
      </c>
      <c r="X6136" t="s">
        <v>12623</v>
      </c>
      <c r="Y6136" t="s">
        <v>12625</v>
      </c>
      <c r="Z6136" t="s">
        <v>12626</v>
      </c>
      <c r="AA6136" t="s">
        <v>12627</v>
      </c>
      <c r="AB6136" t="s">
        <v>12626</v>
      </c>
      <c r="AC6136" t="s">
        <v>6136</v>
      </c>
      <c r="AD6136" t="s">
        <v>191</v>
      </c>
      <c r="AE6136" t="s">
        <v>12628</v>
      </c>
      <c r="AF6136" t="s">
        <v>12630</v>
      </c>
    </row>
    <row r="6137" spans="1:32" hidden="1" x14ac:dyDescent="0.35">
      <c r="A6137">
        <v>6136</v>
      </c>
      <c r="B6137" t="s">
        <v>12618</v>
      </c>
      <c r="C6137" t="s">
        <v>68</v>
      </c>
      <c r="D6137" t="s">
        <v>62</v>
      </c>
      <c r="E6137">
        <v>391</v>
      </c>
      <c r="F6137">
        <v>3</v>
      </c>
      <c r="G6137">
        <v>3</v>
      </c>
      <c r="H6137">
        <v>1</v>
      </c>
      <c r="I6137">
        <v>0</v>
      </c>
      <c r="J6137">
        <v>0.86417520594735797</v>
      </c>
      <c r="K6137">
        <v>0.96561466456754497</v>
      </c>
      <c r="L6137">
        <v>0.91208314688465297</v>
      </c>
      <c r="M6137">
        <v>0.71378708551483405</v>
      </c>
      <c r="N6137">
        <v>1</v>
      </c>
      <c r="O6137">
        <v>0.80919139034322296</v>
      </c>
      <c r="P6137" t="s">
        <v>12619</v>
      </c>
      <c r="Q6137" t="s">
        <v>12620</v>
      </c>
      <c r="R6137" t="s">
        <v>7230</v>
      </c>
      <c r="S6137" t="s">
        <v>7231</v>
      </c>
      <c r="T6137" t="s">
        <v>12621</v>
      </c>
      <c r="U6137" t="s">
        <v>12622</v>
      </c>
      <c r="V6137" t="s">
        <v>12623</v>
      </c>
      <c r="W6137" t="s">
        <v>12624</v>
      </c>
      <c r="X6137" t="s">
        <v>12623</v>
      </c>
      <c r="Y6137" t="s">
        <v>12625</v>
      </c>
      <c r="Z6137" t="s">
        <v>12626</v>
      </c>
      <c r="AA6137" t="s">
        <v>12627</v>
      </c>
      <c r="AB6137" t="s">
        <v>12626</v>
      </c>
      <c r="AC6137" t="s">
        <v>6136</v>
      </c>
      <c r="AD6137" t="s">
        <v>191</v>
      </c>
      <c r="AE6137" t="s">
        <v>12628</v>
      </c>
      <c r="AF6137" t="s">
        <v>12630</v>
      </c>
    </row>
    <row r="6138" spans="1:32" hidden="1" x14ac:dyDescent="0.35">
      <c r="A6138">
        <v>6137</v>
      </c>
      <c r="B6138" t="s">
        <v>12631</v>
      </c>
      <c r="C6138" t="s">
        <v>68</v>
      </c>
      <c r="D6138" t="s">
        <v>60</v>
      </c>
      <c r="E6138">
        <v>241</v>
      </c>
      <c r="F6138">
        <v>3</v>
      </c>
      <c r="G6138">
        <v>3</v>
      </c>
      <c r="H6138">
        <v>1</v>
      </c>
      <c r="I6138">
        <v>0</v>
      </c>
      <c r="J6138">
        <v>0.84738955823293205</v>
      </c>
      <c r="K6138">
        <v>0.80648970440990997</v>
      </c>
      <c r="L6138">
        <v>0.82643391180472803</v>
      </c>
      <c r="M6138">
        <v>0.45967741935483902</v>
      </c>
      <c r="N6138">
        <v>1</v>
      </c>
      <c r="O6138">
        <v>0.63978494623655902</v>
      </c>
      <c r="P6138" t="s">
        <v>169</v>
      </c>
      <c r="Q6138" t="s">
        <v>170</v>
      </c>
      <c r="R6138" t="s">
        <v>4521</v>
      </c>
      <c r="S6138" t="s">
        <v>4522</v>
      </c>
      <c r="V6138" t="s">
        <v>4525</v>
      </c>
      <c r="W6138" t="s">
        <v>4526</v>
      </c>
      <c r="AF6138" t="s">
        <v>12632</v>
      </c>
    </row>
    <row r="6139" spans="1:32" hidden="1" x14ac:dyDescent="0.35">
      <c r="A6139">
        <v>6138</v>
      </c>
      <c r="B6139" t="s">
        <v>12631</v>
      </c>
      <c r="C6139" t="s">
        <v>68</v>
      </c>
      <c r="D6139" t="s">
        <v>62</v>
      </c>
      <c r="E6139">
        <v>319</v>
      </c>
      <c r="F6139">
        <v>3</v>
      </c>
      <c r="G6139">
        <v>3</v>
      </c>
      <c r="H6139">
        <v>1</v>
      </c>
      <c r="I6139">
        <v>0</v>
      </c>
      <c r="J6139">
        <v>0.84738955823293205</v>
      </c>
      <c r="K6139">
        <v>0.80648970440990997</v>
      </c>
      <c r="L6139">
        <v>0.82643391180472803</v>
      </c>
      <c r="M6139">
        <v>0.45967741935483902</v>
      </c>
      <c r="N6139">
        <v>1</v>
      </c>
      <c r="O6139">
        <v>0.63978494623655902</v>
      </c>
      <c r="P6139" t="s">
        <v>169</v>
      </c>
      <c r="Q6139" t="s">
        <v>170</v>
      </c>
      <c r="R6139" t="s">
        <v>4521</v>
      </c>
      <c r="S6139" t="s">
        <v>4522</v>
      </c>
      <c r="V6139" t="s">
        <v>4525</v>
      </c>
      <c r="W6139" t="s">
        <v>4526</v>
      </c>
      <c r="AF6139" t="s">
        <v>12632</v>
      </c>
    </row>
    <row r="6140" spans="1:32" hidden="1" x14ac:dyDescent="0.35">
      <c r="A6140">
        <v>6139</v>
      </c>
      <c r="B6140" t="s">
        <v>12631</v>
      </c>
      <c r="C6140" t="s">
        <v>68</v>
      </c>
      <c r="D6140" t="s">
        <v>34</v>
      </c>
      <c r="E6140">
        <v>1149</v>
      </c>
      <c r="F6140">
        <v>3</v>
      </c>
      <c r="G6140">
        <v>3</v>
      </c>
      <c r="H6140">
        <v>1</v>
      </c>
      <c r="I6140">
        <v>0</v>
      </c>
      <c r="J6140">
        <v>0.84738955823293205</v>
      </c>
      <c r="K6140">
        <v>0.80648970440990997</v>
      </c>
      <c r="L6140">
        <v>0.82643391180472803</v>
      </c>
      <c r="M6140">
        <v>0.45967741935483902</v>
      </c>
      <c r="N6140">
        <v>1</v>
      </c>
      <c r="O6140">
        <v>0.63978494623655902</v>
      </c>
      <c r="P6140" t="s">
        <v>169</v>
      </c>
      <c r="Q6140" t="s">
        <v>170</v>
      </c>
      <c r="R6140" t="s">
        <v>4521</v>
      </c>
      <c r="S6140" t="s">
        <v>4522</v>
      </c>
      <c r="V6140" t="s">
        <v>4525</v>
      </c>
      <c r="W6140" t="s">
        <v>4526</v>
      </c>
      <c r="AF6140" t="e">
        <f>--------------------------------------------------------------------MPQKFVSVPGFTCLEYVSHLAWLNGQGRRQAKTEASRWLAAVGLDGYERHSCQKLSGGQQSRLALAMTLNSGAELVLLDEPGAALDPLSKEMLRELYGMVVSAGVNLVVSSHDPTDILGPFARVVIIDRGAVRFDNSPQALRGNAHADPLVVAAFARSMFPQRLPDTPDVSVKPLADGGL</f>
        <v>#NAME?</v>
      </c>
    </row>
    <row r="6141" spans="1:32" hidden="1" x14ac:dyDescent="0.35">
      <c r="A6141">
        <v>6140</v>
      </c>
      <c r="B6141" t="s">
        <v>12633</v>
      </c>
      <c r="C6141" t="s">
        <v>68</v>
      </c>
      <c r="D6141" t="s">
        <v>58</v>
      </c>
      <c r="E6141">
        <v>1382</v>
      </c>
      <c r="F6141">
        <v>3</v>
      </c>
      <c r="G6141">
        <v>3</v>
      </c>
      <c r="H6141">
        <v>1</v>
      </c>
      <c r="I6141">
        <v>0</v>
      </c>
      <c r="J6141">
        <v>0.76862745098039198</v>
      </c>
      <c r="K6141">
        <v>0.91240680045234102</v>
      </c>
      <c r="L6141">
        <v>0.83436838088354803</v>
      </c>
      <c r="M6141">
        <v>0.48663101604278097</v>
      </c>
      <c r="N6141">
        <v>1</v>
      </c>
      <c r="O6141">
        <v>0.65775401069518702</v>
      </c>
      <c r="P6141" t="s">
        <v>12634</v>
      </c>
      <c r="Q6141" t="s">
        <v>12635</v>
      </c>
      <c r="R6141" t="s">
        <v>213</v>
      </c>
      <c r="S6141" t="s">
        <v>214</v>
      </c>
      <c r="T6141" t="s">
        <v>12636</v>
      </c>
      <c r="U6141" t="s">
        <v>12637</v>
      </c>
      <c r="V6141" t="s">
        <v>12638</v>
      </c>
      <c r="W6141" t="s">
        <v>12639</v>
      </c>
      <c r="AD6141" t="s">
        <v>12640</v>
      </c>
      <c r="AE6141" t="s">
        <v>12641</v>
      </c>
      <c r="AF6141" t="s">
        <v>12642</v>
      </c>
    </row>
    <row r="6142" spans="1:32" hidden="1" x14ac:dyDescent="0.35">
      <c r="A6142">
        <v>6141</v>
      </c>
      <c r="B6142" t="s">
        <v>12633</v>
      </c>
      <c r="C6142" t="s">
        <v>68</v>
      </c>
      <c r="D6142" t="s">
        <v>60</v>
      </c>
      <c r="E6142">
        <v>1876</v>
      </c>
      <c r="F6142">
        <v>3</v>
      </c>
      <c r="G6142">
        <v>3</v>
      </c>
      <c r="H6142">
        <v>1</v>
      </c>
      <c r="I6142">
        <v>0</v>
      </c>
      <c r="J6142">
        <v>0.76862745098039198</v>
      </c>
      <c r="K6142">
        <v>0.91240680045234102</v>
      </c>
      <c r="L6142">
        <v>0.83436838088354803</v>
      </c>
      <c r="M6142">
        <v>0.48663101604278097</v>
      </c>
      <c r="N6142">
        <v>1</v>
      </c>
      <c r="O6142">
        <v>0.65775401069518702</v>
      </c>
      <c r="P6142" t="s">
        <v>12634</v>
      </c>
      <c r="Q6142" t="s">
        <v>12635</v>
      </c>
      <c r="R6142" t="s">
        <v>213</v>
      </c>
      <c r="S6142" t="s">
        <v>214</v>
      </c>
      <c r="T6142" t="s">
        <v>12636</v>
      </c>
      <c r="U6142" t="s">
        <v>12637</v>
      </c>
      <c r="V6142" t="s">
        <v>12638</v>
      </c>
      <c r="W6142" t="s">
        <v>12639</v>
      </c>
      <c r="AD6142" t="s">
        <v>12640</v>
      </c>
      <c r="AE6142" t="s">
        <v>12641</v>
      </c>
      <c r="AF6142" t="e">
        <f>-----MKKKTLAAQVIGLLCAAIAVWTGINVSNDSGDSTASSTSAASNAARLSTSSTSASPSSSRASGGSGSGKSGGSGSGGSGSAGLPSCPLNSLPTEADEVAHDILAGGPFDHPDEDGSHFGNYQRILPRKNSNFYREYTVETPGVGHRGARRIVVGGGSDTDPDVWYYTDDHYESFCEIPDAEK</f>
        <v>#NAME?</v>
      </c>
    </row>
    <row r="6143" spans="1:32" hidden="1" x14ac:dyDescent="0.35">
      <c r="A6143">
        <v>6142</v>
      </c>
      <c r="B6143" t="s">
        <v>12633</v>
      </c>
      <c r="C6143" t="s">
        <v>68</v>
      </c>
      <c r="D6143" t="s">
        <v>62</v>
      </c>
      <c r="E6143">
        <v>1915</v>
      </c>
      <c r="F6143">
        <v>3</v>
      </c>
      <c r="G6143">
        <v>3</v>
      </c>
      <c r="H6143">
        <v>1</v>
      </c>
      <c r="I6143">
        <v>0</v>
      </c>
      <c r="J6143">
        <v>0.76862745098039198</v>
      </c>
      <c r="K6143">
        <v>0.91240680045234102</v>
      </c>
      <c r="L6143">
        <v>0.83436838088354803</v>
      </c>
      <c r="M6143">
        <v>0.48663101604278097</v>
      </c>
      <c r="N6143">
        <v>1</v>
      </c>
      <c r="O6143">
        <v>0.65775401069518702</v>
      </c>
      <c r="P6143" t="s">
        <v>12634</v>
      </c>
      <c r="Q6143" t="s">
        <v>12635</v>
      </c>
      <c r="R6143" t="s">
        <v>213</v>
      </c>
      <c r="S6143" t="s">
        <v>214</v>
      </c>
      <c r="T6143" t="s">
        <v>12636</v>
      </c>
      <c r="U6143" t="s">
        <v>12637</v>
      </c>
      <c r="V6143" t="s">
        <v>12638</v>
      </c>
      <c r="W6143" t="s">
        <v>12639</v>
      </c>
      <c r="AD6143" t="s">
        <v>12640</v>
      </c>
      <c r="AE6143" t="s">
        <v>12641</v>
      </c>
      <c r="AF6143" t="e">
        <f>-----MKKKTLAAQVIGLLCAAIAVWTGINVSNDSGDSTASSTSAASNAARLSTSSTSASPSSSRASGGSGSGKSGGSGSGGSGSAGLPSCPLNSLPTEADEVAHDILAGGPFDHPDEDGSHFGNYQRILPRKNSNFYREYTVETPGVGHRGARRIVVGGGSDTDPDVWYYTDDHYESFCEIPDAEK</f>
        <v>#NAME?</v>
      </c>
    </row>
    <row r="6144" spans="1:32" hidden="1" x14ac:dyDescent="0.35">
      <c r="A6144">
        <v>6143</v>
      </c>
      <c r="B6144" t="s">
        <v>12643</v>
      </c>
      <c r="C6144" t="s">
        <v>68</v>
      </c>
      <c r="D6144" t="s">
        <v>58</v>
      </c>
      <c r="E6144">
        <v>384</v>
      </c>
      <c r="F6144">
        <v>3</v>
      </c>
      <c r="G6144">
        <v>3</v>
      </c>
      <c r="H6144">
        <v>1</v>
      </c>
      <c r="I6144">
        <v>0</v>
      </c>
      <c r="J6144">
        <v>0.80571428571428605</v>
      </c>
      <c r="K6144">
        <v>0.88142620232172297</v>
      </c>
      <c r="L6144">
        <v>0.841871424519266</v>
      </c>
      <c r="M6144">
        <v>0.537313432835821</v>
      </c>
      <c r="N6144">
        <v>1</v>
      </c>
      <c r="O6144">
        <v>0.691542288557214</v>
      </c>
      <c r="AF6144" t="s">
        <v>12644</v>
      </c>
    </row>
    <row r="6145" spans="1:32" hidden="1" x14ac:dyDescent="0.35">
      <c r="A6145">
        <v>6144</v>
      </c>
      <c r="B6145" t="s">
        <v>12643</v>
      </c>
      <c r="C6145" t="s">
        <v>68</v>
      </c>
      <c r="D6145" t="s">
        <v>60</v>
      </c>
      <c r="E6145">
        <v>618</v>
      </c>
      <c r="F6145">
        <v>3</v>
      </c>
      <c r="G6145">
        <v>3</v>
      </c>
      <c r="H6145">
        <v>1</v>
      </c>
      <c r="I6145">
        <v>0</v>
      </c>
      <c r="J6145">
        <v>0.80571428571428605</v>
      </c>
      <c r="K6145">
        <v>0.88142620232172297</v>
      </c>
      <c r="L6145">
        <v>0.841871424519266</v>
      </c>
      <c r="M6145">
        <v>0.537313432835821</v>
      </c>
      <c r="N6145">
        <v>1</v>
      </c>
      <c r="O6145">
        <v>0.691542288557214</v>
      </c>
      <c r="AF6145" t="s">
        <v>12645</v>
      </c>
    </row>
    <row r="6146" spans="1:32" hidden="1" x14ac:dyDescent="0.35">
      <c r="A6146">
        <v>6145</v>
      </c>
      <c r="B6146" t="s">
        <v>12643</v>
      </c>
      <c r="C6146" t="s">
        <v>68</v>
      </c>
      <c r="D6146" t="s">
        <v>62</v>
      </c>
      <c r="E6146">
        <v>702</v>
      </c>
      <c r="F6146">
        <v>3</v>
      </c>
      <c r="G6146">
        <v>3</v>
      </c>
      <c r="H6146">
        <v>1</v>
      </c>
      <c r="I6146">
        <v>0</v>
      </c>
      <c r="J6146">
        <v>0.80571428571428605</v>
      </c>
      <c r="K6146">
        <v>0.88142620232172297</v>
      </c>
      <c r="L6146">
        <v>0.841871424519266</v>
      </c>
      <c r="M6146">
        <v>0.537313432835821</v>
      </c>
      <c r="N6146">
        <v>1</v>
      </c>
      <c r="O6146">
        <v>0.691542288557214</v>
      </c>
      <c r="AF6146" t="s">
        <v>12645</v>
      </c>
    </row>
    <row r="6147" spans="1:32" hidden="1" x14ac:dyDescent="0.35">
      <c r="A6147">
        <v>1484</v>
      </c>
      <c r="B6147" t="s">
        <v>3114</v>
      </c>
      <c r="C6147" t="s">
        <v>72</v>
      </c>
      <c r="D6147" t="s">
        <v>58</v>
      </c>
      <c r="E6147">
        <v>589</v>
      </c>
      <c r="F6147">
        <v>5</v>
      </c>
      <c r="G6147">
        <v>5</v>
      </c>
      <c r="H6147">
        <v>1</v>
      </c>
      <c r="I6147">
        <v>1</v>
      </c>
      <c r="J6147">
        <v>0.90536723163841804</v>
      </c>
      <c r="K6147">
        <v>0.93178170836928098</v>
      </c>
      <c r="L6147">
        <v>0.91838457669531803</v>
      </c>
      <c r="M6147">
        <v>0.77704918032786896</v>
      </c>
      <c r="N6147">
        <v>1</v>
      </c>
      <c r="O6147">
        <v>0.83737704918032796</v>
      </c>
      <c r="P6147" t="s">
        <v>3115</v>
      </c>
      <c r="Q6147" t="s">
        <v>3116</v>
      </c>
      <c r="R6147" t="s">
        <v>652</v>
      </c>
      <c r="S6147" t="s">
        <v>653</v>
      </c>
      <c r="T6147" t="s">
        <v>3117</v>
      </c>
      <c r="U6147" t="s">
        <v>3118</v>
      </c>
      <c r="V6147" t="s">
        <v>3119</v>
      </c>
      <c r="W6147" t="s">
        <v>3120</v>
      </c>
      <c r="AD6147" t="s">
        <v>3121</v>
      </c>
      <c r="AE6147" t="s">
        <v>3122</v>
      </c>
      <c r="AF6147" t="s">
        <v>3123</v>
      </c>
    </row>
    <row r="6148" spans="1:32" hidden="1" x14ac:dyDescent="0.35">
      <c r="A6148">
        <v>6147</v>
      </c>
      <c r="B6148" t="s">
        <v>12646</v>
      </c>
      <c r="C6148" t="s">
        <v>68</v>
      </c>
      <c r="D6148" t="s">
        <v>60</v>
      </c>
      <c r="E6148">
        <v>1228</v>
      </c>
      <c r="F6148">
        <v>3</v>
      </c>
      <c r="G6148">
        <v>3</v>
      </c>
      <c r="H6148">
        <v>1</v>
      </c>
      <c r="I6148">
        <v>0</v>
      </c>
      <c r="J6148">
        <v>0.78913738019169299</v>
      </c>
      <c r="K6148">
        <v>0.94413606085975299</v>
      </c>
      <c r="L6148">
        <v>0.85970631057428903</v>
      </c>
      <c r="M6148">
        <v>0.51807228915662695</v>
      </c>
      <c r="N6148">
        <v>1</v>
      </c>
      <c r="O6148">
        <v>0.67871485943775101</v>
      </c>
      <c r="P6148" t="s">
        <v>12647</v>
      </c>
      <c r="Q6148" t="s">
        <v>12648</v>
      </c>
      <c r="R6148" t="s">
        <v>869</v>
      </c>
      <c r="S6148" t="s">
        <v>870</v>
      </c>
      <c r="T6148" t="s">
        <v>12649</v>
      </c>
      <c r="U6148" t="s">
        <v>12650</v>
      </c>
      <c r="V6148" t="s">
        <v>12651</v>
      </c>
      <c r="W6148" t="s">
        <v>12652</v>
      </c>
      <c r="Z6148" t="s">
        <v>4286</v>
      </c>
      <c r="AA6148" t="s">
        <v>4287</v>
      </c>
      <c r="AB6148" t="s">
        <v>4286</v>
      </c>
      <c r="AC6148" t="s">
        <v>729</v>
      </c>
      <c r="AD6148" t="s">
        <v>12653</v>
      </c>
      <c r="AE6148" t="s">
        <v>12654</v>
      </c>
      <c r="AF6148" t="s">
        <v>12656</v>
      </c>
    </row>
    <row r="6149" spans="1:32" hidden="1" x14ac:dyDescent="0.35">
      <c r="A6149">
        <v>6148</v>
      </c>
      <c r="B6149" t="s">
        <v>12646</v>
      </c>
      <c r="C6149" t="s">
        <v>68</v>
      </c>
      <c r="D6149" t="s">
        <v>62</v>
      </c>
      <c r="E6149">
        <v>1265</v>
      </c>
      <c r="F6149">
        <v>3</v>
      </c>
      <c r="G6149">
        <v>3</v>
      </c>
      <c r="H6149">
        <v>1</v>
      </c>
      <c r="I6149">
        <v>0</v>
      </c>
      <c r="J6149">
        <v>0.78913738019169299</v>
      </c>
      <c r="K6149">
        <v>0.94413606085975299</v>
      </c>
      <c r="L6149">
        <v>0.85970631057428903</v>
      </c>
      <c r="M6149">
        <v>0.51807228915662695</v>
      </c>
      <c r="N6149">
        <v>1</v>
      </c>
      <c r="O6149">
        <v>0.67871485943775101</v>
      </c>
      <c r="P6149" t="s">
        <v>12647</v>
      </c>
      <c r="Q6149" t="s">
        <v>12648</v>
      </c>
      <c r="R6149" t="s">
        <v>869</v>
      </c>
      <c r="S6149" t="s">
        <v>870</v>
      </c>
      <c r="T6149" t="s">
        <v>12649</v>
      </c>
      <c r="U6149" t="s">
        <v>12650</v>
      </c>
      <c r="V6149" t="s">
        <v>12651</v>
      </c>
      <c r="W6149" t="s">
        <v>12652</v>
      </c>
      <c r="Z6149" t="s">
        <v>4286</v>
      </c>
      <c r="AA6149" t="s">
        <v>4287</v>
      </c>
      <c r="AB6149" t="s">
        <v>4286</v>
      </c>
      <c r="AC6149" t="s">
        <v>729</v>
      </c>
      <c r="AD6149" t="s">
        <v>12653</v>
      </c>
      <c r="AE6149" t="s">
        <v>12654</v>
      </c>
      <c r="AF6149" t="s">
        <v>12656</v>
      </c>
    </row>
    <row r="6150" spans="1:32" hidden="1" x14ac:dyDescent="0.35">
      <c r="A6150">
        <v>6149</v>
      </c>
      <c r="B6150" t="s">
        <v>12657</v>
      </c>
      <c r="C6150" t="s">
        <v>68</v>
      </c>
      <c r="D6150" t="s">
        <v>58</v>
      </c>
      <c r="E6150">
        <v>154</v>
      </c>
      <c r="F6150">
        <v>3</v>
      </c>
      <c r="G6150">
        <v>3</v>
      </c>
      <c r="H6150">
        <v>1</v>
      </c>
      <c r="I6150">
        <v>0</v>
      </c>
      <c r="J6150">
        <v>0.82234957020057298</v>
      </c>
      <c r="K6150">
        <v>0.91976002999624995</v>
      </c>
      <c r="L6150">
        <v>0.86833143594367201</v>
      </c>
      <c r="M6150">
        <v>0.59055118110236204</v>
      </c>
      <c r="N6150">
        <v>1</v>
      </c>
      <c r="O6150">
        <v>0.72703412073490803</v>
      </c>
      <c r="AF6150" t="s">
        <v>12658</v>
      </c>
    </row>
    <row r="6151" spans="1:32" hidden="1" x14ac:dyDescent="0.35">
      <c r="A6151">
        <v>6150</v>
      </c>
      <c r="B6151" t="s">
        <v>12657</v>
      </c>
      <c r="C6151" t="s">
        <v>68</v>
      </c>
      <c r="D6151" t="s">
        <v>60</v>
      </c>
      <c r="E6151">
        <v>256</v>
      </c>
      <c r="F6151">
        <v>3</v>
      </c>
      <c r="G6151">
        <v>3</v>
      </c>
      <c r="H6151">
        <v>1</v>
      </c>
      <c r="I6151">
        <v>0</v>
      </c>
      <c r="J6151">
        <v>0.82234957020057298</v>
      </c>
      <c r="K6151">
        <v>0.91976002999624995</v>
      </c>
      <c r="L6151">
        <v>0.86833143594367201</v>
      </c>
      <c r="M6151">
        <v>0.59055118110236204</v>
      </c>
      <c r="N6151">
        <v>1</v>
      </c>
      <c r="O6151">
        <v>0.72703412073490803</v>
      </c>
      <c r="AF6151" t="e">
        <f>----------MSDAHAATQREEQTFRVFEGEPHYIDGYTPSSLDSQHSSLQRSSTWLGMGFILTSLAGLGAFVFGLSSSIAGTQENGNTYAIIGAVLAISCLVLGFGLIYYGRRHYRAYVAATGRKH</f>
        <v>#NAME?</v>
      </c>
    </row>
    <row r="6152" spans="1:32" hidden="1" x14ac:dyDescent="0.35">
      <c r="A6152">
        <v>6151</v>
      </c>
      <c r="B6152" t="s">
        <v>12657</v>
      </c>
      <c r="C6152" t="s">
        <v>68</v>
      </c>
      <c r="D6152" t="s">
        <v>62</v>
      </c>
      <c r="E6152">
        <v>334</v>
      </c>
      <c r="F6152">
        <v>3</v>
      </c>
      <c r="G6152">
        <v>3</v>
      </c>
      <c r="H6152">
        <v>1</v>
      </c>
      <c r="I6152">
        <v>0</v>
      </c>
      <c r="J6152">
        <v>0.82234957020057298</v>
      </c>
      <c r="K6152">
        <v>0.91976002999624995</v>
      </c>
      <c r="L6152">
        <v>0.86833143594367201</v>
      </c>
      <c r="M6152">
        <v>0.59055118110236204</v>
      </c>
      <c r="N6152">
        <v>1</v>
      </c>
      <c r="O6152">
        <v>0.72703412073490803</v>
      </c>
      <c r="AF6152" t="e">
        <f>----------MSDAHAATQREEQTFRVFEGEPHYIDGYTPSSLDSQHSSLQRSSTWLGMGFILTSLAGLGAFVFGLSSSIAGTQENGNTYAIIGAVLAISCLVLGFGLIYYGRRHYRAYVAATGRKH</f>
        <v>#NAME?</v>
      </c>
    </row>
    <row r="6153" spans="1:32" hidden="1" x14ac:dyDescent="0.35">
      <c r="A6153">
        <v>2204</v>
      </c>
      <c r="B6153" t="s">
        <v>4588</v>
      </c>
      <c r="C6153" t="s">
        <v>72</v>
      </c>
      <c r="D6153" t="s">
        <v>58</v>
      </c>
      <c r="E6153">
        <v>1705</v>
      </c>
      <c r="F6153">
        <v>5</v>
      </c>
      <c r="G6153">
        <v>5</v>
      </c>
      <c r="H6153">
        <v>1</v>
      </c>
      <c r="I6153">
        <v>1</v>
      </c>
      <c r="J6153">
        <v>0.94856312199485604</v>
      </c>
      <c r="K6153">
        <v>0.99698996655518202</v>
      </c>
      <c r="L6153">
        <v>0.97217384695262998</v>
      </c>
      <c r="M6153">
        <v>0.87959866220735805</v>
      </c>
      <c r="N6153">
        <v>1</v>
      </c>
      <c r="O6153">
        <v>0.91638795986622101</v>
      </c>
      <c r="P6153" t="s">
        <v>3115</v>
      </c>
      <c r="Q6153" t="s">
        <v>3116</v>
      </c>
      <c r="R6153" t="s">
        <v>652</v>
      </c>
      <c r="S6153" t="s">
        <v>653</v>
      </c>
      <c r="T6153" t="s">
        <v>3117</v>
      </c>
      <c r="U6153" t="s">
        <v>3118</v>
      </c>
      <c r="V6153" t="s">
        <v>3119</v>
      </c>
      <c r="W6153" t="s">
        <v>3120</v>
      </c>
      <c r="AD6153" t="s">
        <v>3121</v>
      </c>
      <c r="AE6153" t="s">
        <v>3122</v>
      </c>
      <c r="AF6153" t="s">
        <v>4589</v>
      </c>
    </row>
    <row r="6154" spans="1:32" hidden="1" x14ac:dyDescent="0.35">
      <c r="A6154">
        <v>6153</v>
      </c>
      <c r="B6154" t="s">
        <v>12659</v>
      </c>
      <c r="C6154" t="s">
        <v>68</v>
      </c>
      <c r="D6154" t="s">
        <v>60</v>
      </c>
      <c r="E6154">
        <v>479</v>
      </c>
      <c r="F6154">
        <v>3</v>
      </c>
      <c r="G6154">
        <v>3</v>
      </c>
      <c r="H6154">
        <v>1</v>
      </c>
      <c r="I6154">
        <v>0</v>
      </c>
      <c r="J6154">
        <v>0.82017010935601498</v>
      </c>
      <c r="K6154">
        <v>0.928557795083222</v>
      </c>
      <c r="L6154">
        <v>0.87100497041705205</v>
      </c>
      <c r="M6154">
        <v>0.53716216216216195</v>
      </c>
      <c r="N6154">
        <v>1</v>
      </c>
      <c r="O6154">
        <v>0.69144144144144104</v>
      </c>
      <c r="P6154" t="s">
        <v>11686</v>
      </c>
      <c r="Q6154" t="s">
        <v>11687</v>
      </c>
      <c r="R6154" t="s">
        <v>342</v>
      </c>
      <c r="S6154" t="s">
        <v>343</v>
      </c>
      <c r="V6154" t="s">
        <v>11690</v>
      </c>
      <c r="W6154" t="s">
        <v>11691</v>
      </c>
      <c r="AF6154" t="s">
        <v>12661</v>
      </c>
    </row>
    <row r="6155" spans="1:32" hidden="1" x14ac:dyDescent="0.35">
      <c r="A6155">
        <v>6154</v>
      </c>
      <c r="B6155" t="s">
        <v>12659</v>
      </c>
      <c r="C6155" t="s">
        <v>68</v>
      </c>
      <c r="D6155" t="s">
        <v>62</v>
      </c>
      <c r="E6155">
        <v>562</v>
      </c>
      <c r="F6155">
        <v>3</v>
      </c>
      <c r="G6155">
        <v>3</v>
      </c>
      <c r="H6155">
        <v>1</v>
      </c>
      <c r="I6155">
        <v>0</v>
      </c>
      <c r="J6155">
        <v>0.82017010935601498</v>
      </c>
      <c r="K6155">
        <v>0.928557795083222</v>
      </c>
      <c r="L6155">
        <v>0.87100497041705205</v>
      </c>
      <c r="M6155">
        <v>0.53716216216216195</v>
      </c>
      <c r="N6155">
        <v>1</v>
      </c>
      <c r="O6155">
        <v>0.69144144144144104</v>
      </c>
      <c r="P6155" t="s">
        <v>11686</v>
      </c>
      <c r="Q6155" t="s">
        <v>11687</v>
      </c>
      <c r="R6155" t="s">
        <v>342</v>
      </c>
      <c r="S6155" t="s">
        <v>343</v>
      </c>
      <c r="V6155" t="s">
        <v>11690</v>
      </c>
      <c r="W6155" t="s">
        <v>11691</v>
      </c>
      <c r="AF6155" t="s">
        <v>12661</v>
      </c>
    </row>
    <row r="6156" spans="1:32" hidden="1" x14ac:dyDescent="0.35">
      <c r="A6156">
        <v>3469</v>
      </c>
      <c r="B6156" t="s">
        <v>7132</v>
      </c>
      <c r="C6156" t="s">
        <v>72</v>
      </c>
      <c r="D6156" t="s">
        <v>58</v>
      </c>
      <c r="E6156">
        <v>1125</v>
      </c>
      <c r="F6156">
        <v>5</v>
      </c>
      <c r="G6156">
        <v>5</v>
      </c>
      <c r="H6156">
        <v>1</v>
      </c>
      <c r="I6156">
        <v>1</v>
      </c>
      <c r="J6156">
        <v>0.906650747324666</v>
      </c>
      <c r="K6156">
        <v>0.94067757132697105</v>
      </c>
      <c r="L6156">
        <v>0.92335078115151303</v>
      </c>
      <c r="M6156">
        <v>0.78953922789539199</v>
      </c>
      <c r="N6156">
        <v>1</v>
      </c>
      <c r="O6156">
        <v>0.84246575342465801</v>
      </c>
      <c r="P6156" t="s">
        <v>7133</v>
      </c>
      <c r="Q6156" t="s">
        <v>7134</v>
      </c>
      <c r="R6156" t="s">
        <v>224</v>
      </c>
      <c r="S6156" t="s">
        <v>225</v>
      </c>
      <c r="T6156" t="s">
        <v>7135</v>
      </c>
      <c r="U6156" t="s">
        <v>7136</v>
      </c>
      <c r="V6156" t="s">
        <v>7137</v>
      </c>
      <c r="W6156" t="s">
        <v>7138</v>
      </c>
      <c r="AD6156" t="s">
        <v>7139</v>
      </c>
      <c r="AE6156" t="s">
        <v>7140</v>
      </c>
      <c r="AF6156" t="s">
        <v>7141</v>
      </c>
    </row>
    <row r="6157" spans="1:32" hidden="1" x14ac:dyDescent="0.35">
      <c r="A6157">
        <v>6156</v>
      </c>
      <c r="B6157" t="s">
        <v>12662</v>
      </c>
      <c r="C6157" t="s">
        <v>68</v>
      </c>
      <c r="D6157" t="s">
        <v>60</v>
      </c>
      <c r="E6157">
        <v>208</v>
      </c>
      <c r="F6157">
        <v>3</v>
      </c>
      <c r="G6157">
        <v>3</v>
      </c>
      <c r="H6157">
        <v>1</v>
      </c>
      <c r="I6157">
        <v>0</v>
      </c>
      <c r="J6157">
        <v>0.80414312617702399</v>
      </c>
      <c r="K6157">
        <v>0.84447319962175804</v>
      </c>
      <c r="L6157">
        <v>0.82381486594527098</v>
      </c>
      <c r="M6157">
        <v>0.5</v>
      </c>
      <c r="N6157">
        <v>1</v>
      </c>
      <c r="O6157">
        <v>0.66666666666666696</v>
      </c>
      <c r="P6157" t="s">
        <v>3247</v>
      </c>
      <c r="Q6157" t="s">
        <v>3248</v>
      </c>
      <c r="R6157" t="s">
        <v>371</v>
      </c>
      <c r="S6157" t="s">
        <v>372</v>
      </c>
      <c r="T6157" t="s">
        <v>12663</v>
      </c>
      <c r="U6157" t="s">
        <v>12664</v>
      </c>
      <c r="V6157" t="s">
        <v>12665</v>
      </c>
      <c r="W6157" t="s">
        <v>12666</v>
      </c>
      <c r="AD6157" t="s">
        <v>3253</v>
      </c>
      <c r="AE6157" t="s">
        <v>12667</v>
      </c>
      <c r="AF6157" t="e">
        <f>----------------------------------------METSLTLKRRARRINRILAEAYPNAQAELNFTNALELIVATVLSAQCTDVRVNQVTPALFERYPTAADYAHADPEELETYIRSTGFFRAKAKNLIGLGAMLDEDFDGEVPPRLEDLVKLPGVGRKTANVVLGNAFGIPGLTVDTHFGRIVRRLGLTHDKDPVKVEHALEQLIEKREWTLFSHRVIFHGRRVCHSRKAACGVCFLAKQCPSYGKVGPTEIPLAQALVKSPDREHLFHMAGVNDEN</f>
        <v>#NAME?</v>
      </c>
    </row>
    <row r="6158" spans="1:32" hidden="1" x14ac:dyDescent="0.35">
      <c r="A6158">
        <v>6157</v>
      </c>
      <c r="B6158" t="s">
        <v>12662</v>
      </c>
      <c r="C6158" t="s">
        <v>68</v>
      </c>
      <c r="D6158" t="s">
        <v>62</v>
      </c>
      <c r="E6158">
        <v>285</v>
      </c>
      <c r="F6158">
        <v>3</v>
      </c>
      <c r="G6158">
        <v>3</v>
      </c>
      <c r="H6158">
        <v>1</v>
      </c>
      <c r="I6158">
        <v>0</v>
      </c>
      <c r="J6158">
        <v>0.80414312617702399</v>
      </c>
      <c r="K6158">
        <v>0.84447319962175804</v>
      </c>
      <c r="L6158">
        <v>0.82381486594527098</v>
      </c>
      <c r="M6158">
        <v>0.5</v>
      </c>
      <c r="N6158">
        <v>1</v>
      </c>
      <c r="O6158">
        <v>0.66666666666666696</v>
      </c>
      <c r="P6158" t="s">
        <v>3247</v>
      </c>
      <c r="Q6158" t="s">
        <v>3248</v>
      </c>
      <c r="R6158" t="s">
        <v>371</v>
      </c>
      <c r="S6158" t="s">
        <v>372</v>
      </c>
      <c r="T6158" t="s">
        <v>12663</v>
      </c>
      <c r="U6158" t="s">
        <v>12664</v>
      </c>
      <c r="V6158" t="s">
        <v>12665</v>
      </c>
      <c r="W6158" t="s">
        <v>12666</v>
      </c>
      <c r="AD6158" t="s">
        <v>3253</v>
      </c>
      <c r="AE6158" t="s">
        <v>12667</v>
      </c>
      <c r="AF6158" t="e">
        <f>----------------------------------------METSLTLKRRARRINRILAEAYPNAQAELNFTNALELIVATVLSAQCTDVRVNQVTPALFERYPTAADYAHADPEELETYIRSTGFFRAKAKNLIGLGAMLDEDFDGEVPPRLEDLVKLPGVGRKTANVVLGNAFGIPGLTVDTHFGRIVRRLGLTHDKDPVKVEHALEQLIEKREWTLFSHRVIFHGRRVCHSRKAACGVCFLAKQCPSYGKVGPTEIPLAQALVKSPDREHLFHMAGVNDEN</f>
        <v>#NAME?</v>
      </c>
    </row>
    <row r="6159" spans="1:32" hidden="1" x14ac:dyDescent="0.35">
      <c r="A6159">
        <v>3249</v>
      </c>
      <c r="B6159" t="s">
        <v>6679</v>
      </c>
      <c r="C6159" t="s">
        <v>72</v>
      </c>
      <c r="D6159" t="s">
        <v>58</v>
      </c>
      <c r="E6159">
        <v>176</v>
      </c>
      <c r="F6159">
        <v>5</v>
      </c>
      <c r="G6159">
        <v>5</v>
      </c>
      <c r="H6159">
        <v>1</v>
      </c>
      <c r="I6159">
        <v>1</v>
      </c>
      <c r="J6159">
        <v>0.73663949275362295</v>
      </c>
      <c r="K6159">
        <v>0.97823255813953303</v>
      </c>
      <c r="L6159">
        <v>0.84041807672784996</v>
      </c>
      <c r="M6159">
        <v>0.53488372093023295</v>
      </c>
      <c r="N6159">
        <v>1</v>
      </c>
      <c r="O6159">
        <v>0.66445182724252505</v>
      </c>
      <c r="P6159" t="s">
        <v>6680</v>
      </c>
      <c r="Q6159" t="s">
        <v>6681</v>
      </c>
      <c r="R6159" t="s">
        <v>869</v>
      </c>
      <c r="S6159" t="s">
        <v>870</v>
      </c>
      <c r="T6159" t="s">
        <v>6682</v>
      </c>
      <c r="U6159" t="s">
        <v>6683</v>
      </c>
      <c r="V6159" t="s">
        <v>6684</v>
      </c>
      <c r="W6159" t="s">
        <v>6685</v>
      </c>
      <c r="X6159" t="s">
        <v>6684</v>
      </c>
      <c r="Y6159" t="s">
        <v>1153</v>
      </c>
      <c r="Z6159" t="s">
        <v>1154</v>
      </c>
      <c r="AA6159" t="s">
        <v>1155</v>
      </c>
      <c r="AB6159" t="s">
        <v>1154</v>
      </c>
      <c r="AC6159" t="s">
        <v>1156</v>
      </c>
      <c r="AD6159" t="s">
        <v>219</v>
      </c>
      <c r="AE6159" t="s">
        <v>6686</v>
      </c>
      <c r="AF6159" t="s">
        <v>6687</v>
      </c>
    </row>
    <row r="6160" spans="1:32" hidden="1" x14ac:dyDescent="0.35">
      <c r="A6160">
        <v>6159</v>
      </c>
      <c r="B6160" t="s">
        <v>12669</v>
      </c>
      <c r="C6160" t="s">
        <v>68</v>
      </c>
      <c r="D6160" t="s">
        <v>60</v>
      </c>
      <c r="E6160">
        <v>488</v>
      </c>
      <c r="F6160">
        <v>3</v>
      </c>
      <c r="G6160">
        <v>3</v>
      </c>
      <c r="H6160">
        <v>1</v>
      </c>
      <c r="I6160">
        <v>0</v>
      </c>
      <c r="J6160">
        <v>0.85098039215686305</v>
      </c>
      <c r="K6160">
        <v>0.95345266944254703</v>
      </c>
      <c r="L6160">
        <v>0.89930687240461704</v>
      </c>
      <c r="M6160">
        <v>0.65116279069767402</v>
      </c>
      <c r="N6160">
        <v>1</v>
      </c>
      <c r="O6160">
        <v>0.76744186046511598</v>
      </c>
      <c r="P6160" t="s">
        <v>340</v>
      </c>
      <c r="Q6160" t="s">
        <v>341</v>
      </c>
      <c r="R6160" t="s">
        <v>342</v>
      </c>
      <c r="S6160" t="s">
        <v>343</v>
      </c>
      <c r="T6160" t="s">
        <v>12670</v>
      </c>
      <c r="U6160" t="s">
        <v>12671</v>
      </c>
      <c r="V6160" t="s">
        <v>12672</v>
      </c>
      <c r="W6160" t="s">
        <v>12673</v>
      </c>
      <c r="AD6160" t="s">
        <v>166</v>
      </c>
      <c r="AE6160" t="s">
        <v>12674</v>
      </c>
      <c r="AF6160" t="s">
        <v>12676</v>
      </c>
    </row>
    <row r="6161" spans="1:32" hidden="1" x14ac:dyDescent="0.35">
      <c r="A6161">
        <v>6160</v>
      </c>
      <c r="B6161" t="s">
        <v>12669</v>
      </c>
      <c r="C6161" t="s">
        <v>68</v>
      </c>
      <c r="D6161" t="s">
        <v>62</v>
      </c>
      <c r="E6161">
        <v>571</v>
      </c>
      <c r="F6161">
        <v>3</v>
      </c>
      <c r="G6161">
        <v>3</v>
      </c>
      <c r="H6161">
        <v>1</v>
      </c>
      <c r="I6161">
        <v>0</v>
      </c>
      <c r="J6161">
        <v>0.85098039215686305</v>
      </c>
      <c r="K6161">
        <v>0.95345266944254703</v>
      </c>
      <c r="L6161">
        <v>0.89930687240461704</v>
      </c>
      <c r="M6161">
        <v>0.65116279069767402</v>
      </c>
      <c r="N6161">
        <v>1</v>
      </c>
      <c r="O6161">
        <v>0.76744186046511598</v>
      </c>
      <c r="P6161" t="s">
        <v>340</v>
      </c>
      <c r="Q6161" t="s">
        <v>341</v>
      </c>
      <c r="R6161" t="s">
        <v>342</v>
      </c>
      <c r="S6161" t="s">
        <v>343</v>
      </c>
      <c r="T6161" t="s">
        <v>12670</v>
      </c>
      <c r="U6161" t="s">
        <v>12671</v>
      </c>
      <c r="V6161" t="s">
        <v>12672</v>
      </c>
      <c r="W6161" t="s">
        <v>12673</v>
      </c>
      <c r="AD6161" t="s">
        <v>166</v>
      </c>
      <c r="AE6161" t="s">
        <v>12674</v>
      </c>
      <c r="AF6161" t="s">
        <v>12676</v>
      </c>
    </row>
    <row r="6162" spans="1:32" hidden="1" x14ac:dyDescent="0.35">
      <c r="A6162">
        <v>4319</v>
      </c>
      <c r="B6162" t="s">
        <v>8991</v>
      </c>
      <c r="C6162" t="s">
        <v>72</v>
      </c>
      <c r="D6162" t="s">
        <v>58</v>
      </c>
      <c r="E6162">
        <v>463</v>
      </c>
      <c r="F6162">
        <v>5</v>
      </c>
      <c r="G6162">
        <v>5</v>
      </c>
      <c r="H6162">
        <v>1</v>
      </c>
      <c r="I6162">
        <v>1</v>
      </c>
      <c r="J6162">
        <v>0.78342826145918099</v>
      </c>
      <c r="K6162">
        <v>0.94401414677276996</v>
      </c>
      <c r="L6162">
        <v>0.85625704020548599</v>
      </c>
      <c r="M6162">
        <v>0.57471264367816099</v>
      </c>
      <c r="N6162">
        <v>0.99616858237547901</v>
      </c>
      <c r="O6162">
        <v>0.7</v>
      </c>
      <c r="P6162" t="s">
        <v>3920</v>
      </c>
      <c r="Q6162" t="s">
        <v>3921</v>
      </c>
      <c r="R6162" t="s">
        <v>869</v>
      </c>
      <c r="S6162" t="s">
        <v>870</v>
      </c>
      <c r="T6162" t="s">
        <v>8992</v>
      </c>
      <c r="U6162" t="s">
        <v>8993</v>
      </c>
      <c r="V6162" t="s">
        <v>8994</v>
      </c>
      <c r="W6162" t="s">
        <v>8995</v>
      </c>
      <c r="X6162" t="s">
        <v>8994</v>
      </c>
      <c r="Y6162" t="s">
        <v>1091</v>
      </c>
      <c r="Z6162" t="s">
        <v>5716</v>
      </c>
      <c r="AA6162" t="s">
        <v>5717</v>
      </c>
      <c r="AB6162" t="s">
        <v>5716</v>
      </c>
      <c r="AC6162" t="s">
        <v>1094</v>
      </c>
      <c r="AD6162" t="s">
        <v>219</v>
      </c>
      <c r="AE6162" t="s">
        <v>8996</v>
      </c>
      <c r="AF6162" t="s">
        <v>8997</v>
      </c>
    </row>
    <row r="6163" spans="1:32" hidden="1" x14ac:dyDescent="0.35">
      <c r="A6163">
        <v>6162</v>
      </c>
      <c r="B6163" t="s">
        <v>12677</v>
      </c>
      <c r="C6163" t="s">
        <v>68</v>
      </c>
      <c r="D6163" t="s">
        <v>60</v>
      </c>
      <c r="E6163">
        <v>770</v>
      </c>
      <c r="F6163">
        <v>3</v>
      </c>
      <c r="G6163">
        <v>3</v>
      </c>
      <c r="H6163">
        <v>1</v>
      </c>
      <c r="I6163">
        <v>0</v>
      </c>
      <c r="J6163">
        <v>0.76527685859254402</v>
      </c>
      <c r="K6163">
        <v>0.92372574138076202</v>
      </c>
      <c r="L6163">
        <v>0.83706908867530505</v>
      </c>
      <c r="M6163">
        <v>0.47810218978102198</v>
      </c>
      <c r="N6163">
        <v>1</v>
      </c>
      <c r="O6163">
        <v>0.65206812652068102</v>
      </c>
      <c r="P6163" t="s">
        <v>1992</v>
      </c>
      <c r="Q6163" t="s">
        <v>1993</v>
      </c>
      <c r="R6163" t="s">
        <v>1191</v>
      </c>
      <c r="S6163" t="s">
        <v>1192</v>
      </c>
      <c r="T6163" t="s">
        <v>12678</v>
      </c>
      <c r="U6163" t="s">
        <v>12679</v>
      </c>
      <c r="V6163" t="s">
        <v>12680</v>
      </c>
      <c r="W6163" t="s">
        <v>12681</v>
      </c>
      <c r="AD6163" t="s">
        <v>1998</v>
      </c>
      <c r="AE6163" t="s">
        <v>12682</v>
      </c>
      <c r="AF6163" t="s">
        <v>12684</v>
      </c>
    </row>
    <row r="6164" spans="1:32" hidden="1" x14ac:dyDescent="0.35">
      <c r="A6164">
        <v>6163</v>
      </c>
      <c r="B6164" t="s">
        <v>12677</v>
      </c>
      <c r="C6164" t="s">
        <v>68</v>
      </c>
      <c r="D6164" t="s">
        <v>62</v>
      </c>
      <c r="E6164">
        <v>803</v>
      </c>
      <c r="F6164">
        <v>3</v>
      </c>
      <c r="G6164">
        <v>3</v>
      </c>
      <c r="H6164">
        <v>1</v>
      </c>
      <c r="I6164">
        <v>0</v>
      </c>
      <c r="J6164">
        <v>0.76527685859254402</v>
      </c>
      <c r="K6164">
        <v>0.92372574138076202</v>
      </c>
      <c r="L6164">
        <v>0.83706908867530505</v>
      </c>
      <c r="M6164">
        <v>0.47810218978102198</v>
      </c>
      <c r="N6164">
        <v>1</v>
      </c>
      <c r="O6164">
        <v>0.65206812652068102</v>
      </c>
      <c r="P6164" t="s">
        <v>1992</v>
      </c>
      <c r="Q6164" t="s">
        <v>1993</v>
      </c>
      <c r="R6164" t="s">
        <v>1191</v>
      </c>
      <c r="S6164" t="s">
        <v>1192</v>
      </c>
      <c r="T6164" t="s">
        <v>12678</v>
      </c>
      <c r="U6164" t="s">
        <v>12679</v>
      </c>
      <c r="V6164" t="s">
        <v>12680</v>
      </c>
      <c r="W6164" t="s">
        <v>12681</v>
      </c>
      <c r="AD6164" t="s">
        <v>1998</v>
      </c>
      <c r="AE6164" t="s">
        <v>12682</v>
      </c>
      <c r="AF6164" t="s">
        <v>12684</v>
      </c>
    </row>
    <row r="6165" spans="1:32" hidden="1" x14ac:dyDescent="0.35">
      <c r="A6165">
        <v>6164</v>
      </c>
      <c r="B6165" t="s">
        <v>12685</v>
      </c>
      <c r="C6165" t="s">
        <v>68</v>
      </c>
      <c r="D6165" t="s">
        <v>58</v>
      </c>
      <c r="E6165">
        <v>1770</v>
      </c>
      <c r="F6165">
        <v>3</v>
      </c>
      <c r="G6165">
        <v>3</v>
      </c>
      <c r="H6165">
        <v>1</v>
      </c>
      <c r="I6165">
        <v>0</v>
      </c>
      <c r="J6165">
        <v>0.76371308016877604</v>
      </c>
      <c r="K6165">
        <v>0.90742944494432298</v>
      </c>
      <c r="L6165">
        <v>0.82939154024265005</v>
      </c>
      <c r="M6165">
        <v>0.52091254752851701</v>
      </c>
      <c r="N6165">
        <v>1</v>
      </c>
      <c r="O6165">
        <v>0.68060836501901101</v>
      </c>
      <c r="AF6165" t="s">
        <v>12686</v>
      </c>
    </row>
    <row r="6166" spans="1:32" hidden="1" x14ac:dyDescent="0.35">
      <c r="A6166">
        <v>6165</v>
      </c>
      <c r="B6166" t="s">
        <v>12685</v>
      </c>
      <c r="C6166" t="s">
        <v>68</v>
      </c>
      <c r="D6166" t="s">
        <v>60</v>
      </c>
      <c r="E6166">
        <v>2396</v>
      </c>
      <c r="F6166">
        <v>3</v>
      </c>
      <c r="G6166">
        <v>3</v>
      </c>
      <c r="H6166">
        <v>1</v>
      </c>
      <c r="I6166">
        <v>0</v>
      </c>
      <c r="J6166">
        <v>0.76371308016877604</v>
      </c>
      <c r="K6166">
        <v>0.90742944494432298</v>
      </c>
      <c r="L6166">
        <v>0.82939154024265005</v>
      </c>
      <c r="M6166">
        <v>0.52091254752851701</v>
      </c>
      <c r="N6166">
        <v>1</v>
      </c>
      <c r="O6166">
        <v>0.68060836501901101</v>
      </c>
      <c r="P6166" t="s">
        <v>169</v>
      </c>
      <c r="Q6166" t="s">
        <v>170</v>
      </c>
      <c r="R6166" t="s">
        <v>288</v>
      </c>
      <c r="S6166" t="s">
        <v>289</v>
      </c>
      <c r="V6166" t="s">
        <v>6321</v>
      </c>
      <c r="W6166" t="s">
        <v>6322</v>
      </c>
      <c r="AF6166" t="s">
        <v>12687</v>
      </c>
    </row>
    <row r="6167" spans="1:32" hidden="1" x14ac:dyDescent="0.35">
      <c r="A6167">
        <v>6166</v>
      </c>
      <c r="B6167" t="s">
        <v>12685</v>
      </c>
      <c r="C6167" t="s">
        <v>68</v>
      </c>
      <c r="D6167" t="s">
        <v>62</v>
      </c>
      <c r="E6167">
        <v>2423</v>
      </c>
      <c r="F6167">
        <v>3</v>
      </c>
      <c r="G6167">
        <v>3</v>
      </c>
      <c r="H6167">
        <v>1</v>
      </c>
      <c r="I6167">
        <v>0</v>
      </c>
      <c r="J6167">
        <v>0.76371308016877604</v>
      </c>
      <c r="K6167">
        <v>0.90742944494432298</v>
      </c>
      <c r="L6167">
        <v>0.82939154024265005</v>
      </c>
      <c r="M6167">
        <v>0.52091254752851701</v>
      </c>
      <c r="N6167">
        <v>1</v>
      </c>
      <c r="O6167">
        <v>0.68060836501901101</v>
      </c>
      <c r="P6167" t="s">
        <v>169</v>
      </c>
      <c r="Q6167" t="s">
        <v>170</v>
      </c>
      <c r="R6167" t="s">
        <v>288</v>
      </c>
      <c r="S6167" t="s">
        <v>289</v>
      </c>
      <c r="V6167" t="s">
        <v>6321</v>
      </c>
      <c r="W6167" t="s">
        <v>6322</v>
      </c>
      <c r="AF6167" t="s">
        <v>12687</v>
      </c>
    </row>
    <row r="6168" spans="1:32" hidden="1" x14ac:dyDescent="0.35">
      <c r="A6168">
        <v>6167</v>
      </c>
      <c r="B6168" t="s">
        <v>12688</v>
      </c>
      <c r="C6168" t="s">
        <v>68</v>
      </c>
      <c r="D6168" t="s">
        <v>58</v>
      </c>
      <c r="E6168">
        <v>1681</v>
      </c>
      <c r="F6168">
        <v>3</v>
      </c>
      <c r="G6168">
        <v>3</v>
      </c>
      <c r="H6168">
        <v>1</v>
      </c>
      <c r="I6168">
        <v>0</v>
      </c>
      <c r="J6168">
        <v>0.90079365079365104</v>
      </c>
      <c r="K6168">
        <v>0.87307692307692297</v>
      </c>
      <c r="L6168">
        <v>0.88671875</v>
      </c>
      <c r="M6168">
        <v>0.66153846153846196</v>
      </c>
      <c r="N6168">
        <v>1</v>
      </c>
      <c r="O6168">
        <v>0.77435897435897405</v>
      </c>
      <c r="P6168" t="s">
        <v>12689</v>
      </c>
      <c r="Q6168" t="s">
        <v>12690</v>
      </c>
      <c r="AF6168" t="s">
        <v>12691</v>
      </c>
    </row>
    <row r="6169" spans="1:32" hidden="1" x14ac:dyDescent="0.35">
      <c r="A6169">
        <v>6168</v>
      </c>
      <c r="B6169" t="s">
        <v>12688</v>
      </c>
      <c r="C6169" t="s">
        <v>68</v>
      </c>
      <c r="D6169" t="s">
        <v>60</v>
      </c>
      <c r="E6169">
        <v>2273</v>
      </c>
      <c r="F6169">
        <v>3</v>
      </c>
      <c r="G6169">
        <v>3</v>
      </c>
      <c r="H6169">
        <v>1</v>
      </c>
      <c r="I6169">
        <v>0</v>
      </c>
      <c r="J6169">
        <v>0.90079365079365104</v>
      </c>
      <c r="K6169">
        <v>0.87307692307692297</v>
      </c>
      <c r="L6169">
        <v>0.88671875</v>
      </c>
      <c r="M6169">
        <v>0.66153846153846196</v>
      </c>
      <c r="N6169">
        <v>1</v>
      </c>
      <c r="O6169">
        <v>0.77435897435897405</v>
      </c>
      <c r="P6169" t="s">
        <v>12689</v>
      </c>
      <c r="Q6169" t="s">
        <v>12690</v>
      </c>
      <c r="AF6169" t="s">
        <v>12692</v>
      </c>
    </row>
    <row r="6170" spans="1:32" hidden="1" x14ac:dyDescent="0.35">
      <c r="A6170">
        <v>6169</v>
      </c>
      <c r="B6170" t="s">
        <v>12688</v>
      </c>
      <c r="C6170" t="s">
        <v>68</v>
      </c>
      <c r="D6170" t="s">
        <v>62</v>
      </c>
      <c r="E6170">
        <v>2302</v>
      </c>
      <c r="F6170">
        <v>3</v>
      </c>
      <c r="G6170">
        <v>3</v>
      </c>
      <c r="H6170">
        <v>1</v>
      </c>
      <c r="I6170">
        <v>0</v>
      </c>
      <c r="J6170">
        <v>0.90079365079365104</v>
      </c>
      <c r="K6170">
        <v>0.87307692307692297</v>
      </c>
      <c r="L6170">
        <v>0.88671875</v>
      </c>
      <c r="M6170">
        <v>0.66153846153846196</v>
      </c>
      <c r="N6170">
        <v>1</v>
      </c>
      <c r="O6170">
        <v>0.77435897435897405</v>
      </c>
      <c r="P6170" t="s">
        <v>12689</v>
      </c>
      <c r="Q6170" t="s">
        <v>12690</v>
      </c>
      <c r="AF6170" t="s">
        <v>12692</v>
      </c>
    </row>
    <row r="6171" spans="1:32" hidden="1" x14ac:dyDescent="0.35">
      <c r="A6171">
        <v>6170</v>
      </c>
      <c r="B6171" t="s">
        <v>12693</v>
      </c>
      <c r="C6171" t="s">
        <v>68</v>
      </c>
      <c r="D6171" t="s">
        <v>58</v>
      </c>
      <c r="E6171">
        <v>1229</v>
      </c>
      <c r="F6171">
        <v>3</v>
      </c>
      <c r="G6171">
        <v>3</v>
      </c>
      <c r="H6171">
        <v>1</v>
      </c>
      <c r="I6171">
        <v>0</v>
      </c>
      <c r="J6171">
        <v>0.78902953586497904</v>
      </c>
      <c r="K6171">
        <v>0.95407925407925298</v>
      </c>
      <c r="L6171">
        <v>0.86374036476362803</v>
      </c>
      <c r="M6171">
        <v>0.56108597285067896</v>
      </c>
      <c r="N6171">
        <v>0.95022624434389102</v>
      </c>
      <c r="O6171">
        <v>0.69230769230769196</v>
      </c>
      <c r="P6171" t="s">
        <v>12694</v>
      </c>
      <c r="Q6171" t="s">
        <v>12695</v>
      </c>
      <c r="R6171" t="s">
        <v>288</v>
      </c>
      <c r="S6171" t="s">
        <v>289</v>
      </c>
      <c r="V6171" t="s">
        <v>12696</v>
      </c>
      <c r="W6171" t="s">
        <v>12697</v>
      </c>
      <c r="AF6171" t="s">
        <v>12698</v>
      </c>
    </row>
    <row r="6172" spans="1:32" hidden="1" x14ac:dyDescent="0.35">
      <c r="A6172">
        <v>6171</v>
      </c>
      <c r="B6172" t="s">
        <v>12693</v>
      </c>
      <c r="C6172" t="s">
        <v>68</v>
      </c>
      <c r="D6172" t="s">
        <v>60</v>
      </c>
      <c r="E6172">
        <v>1712</v>
      </c>
      <c r="F6172">
        <v>3</v>
      </c>
      <c r="G6172">
        <v>3</v>
      </c>
      <c r="H6172">
        <v>1</v>
      </c>
      <c r="I6172">
        <v>0</v>
      </c>
      <c r="J6172">
        <v>0.78902953586497904</v>
      </c>
      <c r="K6172">
        <v>0.95407925407925298</v>
      </c>
      <c r="L6172">
        <v>0.86374036476362803</v>
      </c>
      <c r="M6172">
        <v>0.56108597285067896</v>
      </c>
      <c r="N6172">
        <v>0.95022624434389102</v>
      </c>
      <c r="O6172">
        <v>0.69230769230769196</v>
      </c>
      <c r="P6172" t="s">
        <v>12694</v>
      </c>
      <c r="Q6172" t="s">
        <v>12695</v>
      </c>
      <c r="R6172" t="s">
        <v>288</v>
      </c>
      <c r="S6172" t="s">
        <v>289</v>
      </c>
      <c r="V6172" t="s">
        <v>12696</v>
      </c>
      <c r="W6172" t="s">
        <v>12697</v>
      </c>
      <c r="AF6172" t="e">
        <f>-MDSYAAPTAGITTTGELEVKRSQFITLIRRVSSEDEARAFIQATRAEYPDARHHCSAFIYAVEGANPVERSSDDGEPSGTAGQPMLDVLRGSGMLDIAAVVVRYFGGVKLGTGGLVRAYSDAVSLVLPEVPRVRRQQLTVWALAVPHAQAGRLEAELRATTARTHIEIVGVDYGAEATLRVAAADD--DTLLHTVASLTKGSVQPERIGASWIEVSDYTG</f>
        <v>#NAME?</v>
      </c>
    </row>
    <row r="6173" spans="1:32" hidden="1" x14ac:dyDescent="0.35">
      <c r="A6173">
        <v>6172</v>
      </c>
      <c r="B6173" t="s">
        <v>12693</v>
      </c>
      <c r="C6173" t="s">
        <v>68</v>
      </c>
      <c r="D6173" t="s">
        <v>62</v>
      </c>
      <c r="E6173">
        <v>1747</v>
      </c>
      <c r="F6173">
        <v>3</v>
      </c>
      <c r="G6173">
        <v>3</v>
      </c>
      <c r="H6173">
        <v>1</v>
      </c>
      <c r="I6173">
        <v>0</v>
      </c>
      <c r="J6173">
        <v>0.78902953586497904</v>
      </c>
      <c r="K6173">
        <v>0.95407925407925298</v>
      </c>
      <c r="L6173">
        <v>0.86374036476362803</v>
      </c>
      <c r="M6173">
        <v>0.56108597285067896</v>
      </c>
      <c r="N6173">
        <v>0.95022624434389102</v>
      </c>
      <c r="O6173">
        <v>0.69230769230769196</v>
      </c>
      <c r="P6173" t="s">
        <v>12694</v>
      </c>
      <c r="Q6173" t="s">
        <v>12695</v>
      </c>
      <c r="R6173" t="s">
        <v>288</v>
      </c>
      <c r="S6173" t="s">
        <v>289</v>
      </c>
      <c r="V6173" t="s">
        <v>12696</v>
      </c>
      <c r="W6173" t="s">
        <v>12697</v>
      </c>
      <c r="AF6173" t="e">
        <f>-MDSYVAPTAGITTTGELEVKRSRFITLIRRVSSEDEARDFIQAIRAEYPDARHHCSAFIYTVEGANPVERSSDDGEPSGTAGQPMLDVLRGSGMLDIVAVVVRYFGGVKLGTGGLVRAYSDAVSLVLPEVPRVRRQQLTVWALAVPHAQAGRLEAELRATTARTRVEIMGVDYDAEATLRVAAADD--DALLHTVASLTKGSVQPERIGASWIEVSDYTG</f>
        <v>#NAME?</v>
      </c>
    </row>
    <row r="6174" spans="1:32" hidden="1" x14ac:dyDescent="0.35">
      <c r="A6174">
        <v>3389</v>
      </c>
      <c r="B6174" t="s">
        <v>6962</v>
      </c>
      <c r="C6174" t="s">
        <v>72</v>
      </c>
      <c r="D6174" t="s">
        <v>58</v>
      </c>
      <c r="E6174">
        <v>914</v>
      </c>
      <c r="F6174">
        <v>5</v>
      </c>
      <c r="G6174">
        <v>5</v>
      </c>
      <c r="H6174">
        <v>1</v>
      </c>
      <c r="I6174">
        <v>1</v>
      </c>
      <c r="J6174">
        <v>0.86705577172503201</v>
      </c>
      <c r="K6174">
        <v>1</v>
      </c>
      <c r="L6174">
        <v>0.928794720389024</v>
      </c>
      <c r="M6174">
        <v>0.76653696498054502</v>
      </c>
      <c r="N6174">
        <v>1</v>
      </c>
      <c r="O6174">
        <v>0.82373540856031102</v>
      </c>
      <c r="P6174" t="s">
        <v>3920</v>
      </c>
      <c r="Q6174" t="s">
        <v>3921</v>
      </c>
      <c r="R6174" t="s">
        <v>869</v>
      </c>
      <c r="S6174" t="s">
        <v>870</v>
      </c>
      <c r="T6174" t="s">
        <v>6963</v>
      </c>
      <c r="U6174" t="s">
        <v>6964</v>
      </c>
      <c r="V6174" t="s">
        <v>6965</v>
      </c>
      <c r="W6174" t="s">
        <v>6966</v>
      </c>
      <c r="X6174" t="s">
        <v>6965</v>
      </c>
      <c r="Y6174" t="s">
        <v>1091</v>
      </c>
      <c r="Z6174" t="s">
        <v>1953</v>
      </c>
      <c r="AA6174" t="s">
        <v>1954</v>
      </c>
      <c r="AB6174" t="s">
        <v>1953</v>
      </c>
      <c r="AC6174" t="s">
        <v>878</v>
      </c>
      <c r="AD6174" t="s">
        <v>191</v>
      </c>
      <c r="AE6174" t="s">
        <v>6967</v>
      </c>
      <c r="AF6174" t="s">
        <v>6968</v>
      </c>
    </row>
    <row r="6175" spans="1:32" hidden="1" x14ac:dyDescent="0.35">
      <c r="A6175">
        <v>6174</v>
      </c>
      <c r="B6175" t="s">
        <v>12699</v>
      </c>
      <c r="C6175" t="s">
        <v>68</v>
      </c>
      <c r="D6175" t="s">
        <v>34</v>
      </c>
      <c r="E6175">
        <v>173</v>
      </c>
      <c r="F6175">
        <v>3</v>
      </c>
      <c r="G6175">
        <v>3</v>
      </c>
      <c r="H6175">
        <v>1</v>
      </c>
      <c r="I6175">
        <v>0</v>
      </c>
      <c r="J6175">
        <v>0.83684950773558398</v>
      </c>
      <c r="K6175">
        <v>0.97890960061925703</v>
      </c>
      <c r="L6175">
        <v>0.902322355015577</v>
      </c>
      <c r="M6175">
        <v>0.65663716814159301</v>
      </c>
      <c r="N6175">
        <v>0.98407079646017703</v>
      </c>
      <c r="O6175">
        <v>0.76637168141592904</v>
      </c>
      <c r="P6175" t="s">
        <v>12700</v>
      </c>
      <c r="Q6175" t="s">
        <v>12701</v>
      </c>
      <c r="R6175" t="s">
        <v>652</v>
      </c>
      <c r="S6175" t="s">
        <v>653</v>
      </c>
      <c r="T6175" t="s">
        <v>12702</v>
      </c>
      <c r="U6175" t="s">
        <v>12703</v>
      </c>
      <c r="V6175" t="s">
        <v>12704</v>
      </c>
      <c r="W6175" t="s">
        <v>12705</v>
      </c>
      <c r="AD6175" t="s">
        <v>166</v>
      </c>
      <c r="AE6175" t="s">
        <v>818</v>
      </c>
      <c r="AF6175" t="s">
        <v>12707</v>
      </c>
    </row>
    <row r="6176" spans="1:32" hidden="1" x14ac:dyDescent="0.35">
      <c r="A6176">
        <v>6175</v>
      </c>
      <c r="B6176" t="s">
        <v>12699</v>
      </c>
      <c r="C6176" t="s">
        <v>68</v>
      </c>
      <c r="D6176" t="s">
        <v>45</v>
      </c>
      <c r="E6176">
        <v>1434</v>
      </c>
      <c r="F6176">
        <v>3</v>
      </c>
      <c r="G6176">
        <v>3</v>
      </c>
      <c r="H6176">
        <v>1</v>
      </c>
      <c r="I6176">
        <v>0</v>
      </c>
      <c r="J6176">
        <v>0.83684950773558398</v>
      </c>
      <c r="K6176">
        <v>0.97890960061925703</v>
      </c>
      <c r="L6176">
        <v>0.902322355015577</v>
      </c>
      <c r="M6176">
        <v>0.65663716814159301</v>
      </c>
      <c r="N6176">
        <v>0.98407079646017703</v>
      </c>
      <c r="O6176">
        <v>0.76637168141592904</v>
      </c>
      <c r="P6176" t="s">
        <v>12700</v>
      </c>
      <c r="Q6176" t="s">
        <v>12701</v>
      </c>
      <c r="R6176" t="s">
        <v>652</v>
      </c>
      <c r="S6176" t="s">
        <v>653</v>
      </c>
      <c r="T6176" t="s">
        <v>12702</v>
      </c>
      <c r="U6176" t="s">
        <v>12703</v>
      </c>
      <c r="V6176" t="s">
        <v>12704</v>
      </c>
      <c r="W6176" t="s">
        <v>12705</v>
      </c>
      <c r="AD6176" t="s">
        <v>166</v>
      </c>
      <c r="AE6176" t="s">
        <v>818</v>
      </c>
      <c r="AF6176" t="s">
        <v>12708</v>
      </c>
    </row>
    <row r="6177" spans="1:32" hidden="1" x14ac:dyDescent="0.35">
      <c r="A6177">
        <v>6176</v>
      </c>
      <c r="B6177" t="s">
        <v>12709</v>
      </c>
      <c r="C6177" t="s">
        <v>68</v>
      </c>
      <c r="D6177" t="s">
        <v>58</v>
      </c>
      <c r="E6177">
        <v>1416</v>
      </c>
      <c r="F6177">
        <v>3</v>
      </c>
      <c r="G6177">
        <v>3</v>
      </c>
      <c r="H6177">
        <v>1</v>
      </c>
      <c r="I6177">
        <v>0</v>
      </c>
      <c r="J6177">
        <v>0.84819532908704898</v>
      </c>
      <c r="K6177">
        <v>0.98752058409221699</v>
      </c>
      <c r="L6177">
        <v>0.91257077502115302</v>
      </c>
      <c r="M6177">
        <v>0.70125786163521997</v>
      </c>
      <c r="N6177">
        <v>0.98113207547169801</v>
      </c>
      <c r="O6177">
        <v>0.79559748427672905</v>
      </c>
      <c r="P6177" t="s">
        <v>12710</v>
      </c>
      <c r="Q6177" t="s">
        <v>12711</v>
      </c>
      <c r="R6177" t="s">
        <v>213</v>
      </c>
      <c r="S6177" t="s">
        <v>214</v>
      </c>
      <c r="T6177" t="s">
        <v>12712</v>
      </c>
      <c r="U6177" t="s">
        <v>12713</v>
      </c>
      <c r="V6177" t="s">
        <v>12714</v>
      </c>
      <c r="W6177" t="s">
        <v>12715</v>
      </c>
      <c r="X6177" t="s">
        <v>12714</v>
      </c>
      <c r="Y6177" t="s">
        <v>840</v>
      </c>
      <c r="AD6177" t="s">
        <v>2870</v>
      </c>
      <c r="AE6177" t="s">
        <v>12716</v>
      </c>
      <c r="AF6177" t="s">
        <v>12717</v>
      </c>
    </row>
    <row r="6178" spans="1:32" hidden="1" x14ac:dyDescent="0.35">
      <c r="A6178">
        <v>6177</v>
      </c>
      <c r="B6178" t="s">
        <v>12709</v>
      </c>
      <c r="C6178" t="s">
        <v>68</v>
      </c>
      <c r="D6178" t="s">
        <v>34</v>
      </c>
      <c r="E6178">
        <v>589</v>
      </c>
      <c r="F6178">
        <v>3</v>
      </c>
      <c r="G6178">
        <v>3</v>
      </c>
      <c r="H6178">
        <v>1</v>
      </c>
      <c r="I6178">
        <v>0</v>
      </c>
      <c r="J6178">
        <v>0.84819532908704898</v>
      </c>
      <c r="K6178">
        <v>0.98752058409221699</v>
      </c>
      <c r="L6178">
        <v>0.91257077502115302</v>
      </c>
      <c r="M6178">
        <v>0.70125786163521997</v>
      </c>
      <c r="N6178">
        <v>0.98113207547169801</v>
      </c>
      <c r="O6178">
        <v>0.79559748427672905</v>
      </c>
      <c r="P6178" t="s">
        <v>12710</v>
      </c>
      <c r="Q6178" t="s">
        <v>12711</v>
      </c>
      <c r="R6178" t="s">
        <v>213</v>
      </c>
      <c r="S6178" t="s">
        <v>214</v>
      </c>
      <c r="T6178" t="s">
        <v>12712</v>
      </c>
      <c r="U6178" t="s">
        <v>12713</v>
      </c>
      <c r="V6178" t="s">
        <v>12714</v>
      </c>
      <c r="W6178" t="s">
        <v>12715</v>
      </c>
      <c r="X6178" t="s">
        <v>12714</v>
      </c>
      <c r="Y6178" t="s">
        <v>840</v>
      </c>
      <c r="AD6178" t="s">
        <v>2870</v>
      </c>
      <c r="AE6178" t="s">
        <v>12716</v>
      </c>
      <c r="AF6178" t="s">
        <v>12718</v>
      </c>
    </row>
    <row r="6179" spans="1:32" hidden="1" x14ac:dyDescent="0.35">
      <c r="A6179">
        <v>6178</v>
      </c>
      <c r="B6179" t="s">
        <v>12709</v>
      </c>
      <c r="C6179" t="s">
        <v>68</v>
      </c>
      <c r="D6179" t="s">
        <v>45</v>
      </c>
      <c r="E6179">
        <v>1855</v>
      </c>
      <c r="F6179">
        <v>3</v>
      </c>
      <c r="G6179">
        <v>3</v>
      </c>
      <c r="H6179">
        <v>1</v>
      </c>
      <c r="I6179">
        <v>0</v>
      </c>
      <c r="J6179">
        <v>0.84819532908704898</v>
      </c>
      <c r="K6179">
        <v>0.98752058409221699</v>
      </c>
      <c r="L6179">
        <v>0.91257077502115302</v>
      </c>
      <c r="M6179">
        <v>0.70125786163521997</v>
      </c>
      <c r="N6179">
        <v>0.98113207547169801</v>
      </c>
      <c r="O6179">
        <v>0.79559748427672905</v>
      </c>
      <c r="P6179" t="s">
        <v>12710</v>
      </c>
      <c r="Q6179" t="s">
        <v>12711</v>
      </c>
      <c r="R6179" t="s">
        <v>213</v>
      </c>
      <c r="S6179" t="s">
        <v>214</v>
      </c>
      <c r="T6179" t="s">
        <v>12712</v>
      </c>
      <c r="U6179" t="s">
        <v>12713</v>
      </c>
      <c r="V6179" t="s">
        <v>12714</v>
      </c>
      <c r="W6179" t="s">
        <v>12715</v>
      </c>
      <c r="X6179" t="s">
        <v>12714</v>
      </c>
      <c r="Y6179" t="s">
        <v>840</v>
      </c>
      <c r="AD6179" t="s">
        <v>2870</v>
      </c>
      <c r="AE6179" t="s">
        <v>12716</v>
      </c>
      <c r="AF6179" t="s">
        <v>12719</v>
      </c>
    </row>
    <row r="6180" spans="1:32" hidden="1" x14ac:dyDescent="0.35">
      <c r="A6180">
        <v>2279</v>
      </c>
      <c r="B6180" t="s">
        <v>4739</v>
      </c>
      <c r="C6180" t="s">
        <v>72</v>
      </c>
      <c r="D6180" t="s">
        <v>58</v>
      </c>
      <c r="E6180">
        <v>913</v>
      </c>
      <c r="F6180">
        <v>5</v>
      </c>
      <c r="G6180">
        <v>5</v>
      </c>
      <c r="H6180">
        <v>1</v>
      </c>
      <c r="I6180">
        <v>1</v>
      </c>
      <c r="J6180">
        <v>0.79166666666666696</v>
      </c>
      <c r="K6180">
        <v>0.91611050097153202</v>
      </c>
      <c r="L6180">
        <v>0.84935454150082801</v>
      </c>
      <c r="M6180">
        <v>0.57677902621722799</v>
      </c>
      <c r="N6180">
        <v>1</v>
      </c>
      <c r="O6180">
        <v>0.71460674157303405</v>
      </c>
      <c r="P6180" t="s">
        <v>4740</v>
      </c>
      <c r="Q6180" t="s">
        <v>4741</v>
      </c>
      <c r="R6180" t="s">
        <v>869</v>
      </c>
      <c r="S6180" t="s">
        <v>870</v>
      </c>
      <c r="T6180" t="s">
        <v>4742</v>
      </c>
      <c r="U6180" t="s">
        <v>4743</v>
      </c>
      <c r="V6180" t="s">
        <v>4744</v>
      </c>
      <c r="W6180" t="s">
        <v>4745</v>
      </c>
      <c r="X6180" t="s">
        <v>4744</v>
      </c>
      <c r="Y6180" t="s">
        <v>1091</v>
      </c>
      <c r="Z6180" t="s">
        <v>1953</v>
      </c>
      <c r="AA6180" t="s">
        <v>1954</v>
      </c>
      <c r="AB6180" t="s">
        <v>1953</v>
      </c>
      <c r="AC6180" t="s">
        <v>878</v>
      </c>
      <c r="AD6180" t="s">
        <v>191</v>
      </c>
      <c r="AE6180" t="s">
        <v>4746</v>
      </c>
      <c r="AF6180" t="s">
        <v>4747</v>
      </c>
    </row>
    <row r="6181" spans="1:32" hidden="1" x14ac:dyDescent="0.35">
      <c r="A6181">
        <v>6180</v>
      </c>
      <c r="B6181" t="s">
        <v>12720</v>
      </c>
      <c r="C6181" t="s">
        <v>68</v>
      </c>
      <c r="D6181" t="s">
        <v>60</v>
      </c>
      <c r="E6181">
        <v>2244</v>
      </c>
      <c r="F6181">
        <v>3</v>
      </c>
      <c r="G6181">
        <v>3</v>
      </c>
      <c r="H6181">
        <v>1</v>
      </c>
      <c r="I6181">
        <v>0</v>
      </c>
      <c r="J6181">
        <v>0.81720430107526898</v>
      </c>
      <c r="K6181">
        <v>0.98039400213313499</v>
      </c>
      <c r="L6181">
        <v>0.89139180189658795</v>
      </c>
      <c r="M6181">
        <v>0.59288537549407105</v>
      </c>
      <c r="N6181">
        <v>0.99209486166007899</v>
      </c>
      <c r="O6181">
        <v>0.72859025032938096</v>
      </c>
      <c r="P6181" t="s">
        <v>12728</v>
      </c>
      <c r="Q6181" t="s">
        <v>12729</v>
      </c>
      <c r="R6181" t="s">
        <v>75</v>
      </c>
      <c r="S6181" t="s">
        <v>76</v>
      </c>
      <c r="T6181" t="s">
        <v>12721</v>
      </c>
      <c r="U6181" t="s">
        <v>12722</v>
      </c>
      <c r="V6181" t="s">
        <v>12723</v>
      </c>
      <c r="W6181" t="s">
        <v>12724</v>
      </c>
      <c r="Z6181" t="s">
        <v>12725</v>
      </c>
      <c r="AA6181" t="s">
        <v>12726</v>
      </c>
      <c r="AB6181" t="s">
        <v>12725</v>
      </c>
      <c r="AC6181" t="s">
        <v>2395</v>
      </c>
      <c r="AD6181" t="s">
        <v>219</v>
      </c>
      <c r="AE6181" t="s">
        <v>12727</v>
      </c>
      <c r="AF6181" t="s">
        <v>12730</v>
      </c>
    </row>
    <row r="6182" spans="1:32" hidden="1" x14ac:dyDescent="0.35">
      <c r="A6182">
        <v>6181</v>
      </c>
      <c r="B6182" t="s">
        <v>12720</v>
      </c>
      <c r="C6182" t="s">
        <v>68</v>
      </c>
      <c r="D6182" t="s">
        <v>62</v>
      </c>
      <c r="E6182">
        <v>2274</v>
      </c>
      <c r="F6182">
        <v>3</v>
      </c>
      <c r="G6182">
        <v>3</v>
      </c>
      <c r="H6182">
        <v>1</v>
      </c>
      <c r="I6182">
        <v>0</v>
      </c>
      <c r="J6182">
        <v>0.81720430107526898</v>
      </c>
      <c r="K6182">
        <v>0.98039400213313499</v>
      </c>
      <c r="L6182">
        <v>0.89139180189658795</v>
      </c>
      <c r="M6182">
        <v>0.59288537549407105</v>
      </c>
      <c r="N6182">
        <v>0.99209486166007899</v>
      </c>
      <c r="O6182">
        <v>0.72859025032938096</v>
      </c>
      <c r="P6182" t="s">
        <v>12731</v>
      </c>
      <c r="Q6182" t="s">
        <v>12732</v>
      </c>
      <c r="R6182" t="s">
        <v>75</v>
      </c>
      <c r="S6182" t="s">
        <v>76</v>
      </c>
      <c r="T6182" t="s">
        <v>12721</v>
      </c>
      <c r="U6182" t="s">
        <v>12722</v>
      </c>
      <c r="V6182" t="s">
        <v>12723</v>
      </c>
      <c r="W6182" t="s">
        <v>12724</v>
      </c>
      <c r="Z6182" t="s">
        <v>12725</v>
      </c>
      <c r="AA6182" t="s">
        <v>12726</v>
      </c>
      <c r="AB6182" t="s">
        <v>12725</v>
      </c>
      <c r="AC6182" t="s">
        <v>2395</v>
      </c>
      <c r="AD6182" t="s">
        <v>219</v>
      </c>
      <c r="AE6182" t="s">
        <v>12727</v>
      </c>
      <c r="AF6182" t="s">
        <v>12733</v>
      </c>
    </row>
    <row r="6183" spans="1:32" s="1" customFormat="1" hidden="1" x14ac:dyDescent="0.35">
      <c r="A6183">
        <v>939</v>
      </c>
      <c r="B6183" t="s">
        <v>1946</v>
      </c>
      <c r="C6183" t="s">
        <v>72</v>
      </c>
      <c r="D6183" t="s">
        <v>58</v>
      </c>
      <c r="E6183">
        <v>910</v>
      </c>
      <c r="F6183">
        <v>5</v>
      </c>
      <c r="G6183">
        <v>5</v>
      </c>
      <c r="H6183">
        <v>1</v>
      </c>
      <c r="I6183">
        <v>1</v>
      </c>
      <c r="J6183">
        <v>0.83488516449410299</v>
      </c>
      <c r="K6183">
        <v>0.93306982872200195</v>
      </c>
      <c r="L6183">
        <v>0.881251118299064</v>
      </c>
      <c r="M6183">
        <v>0.64935064935064901</v>
      </c>
      <c r="N6183">
        <v>1</v>
      </c>
      <c r="O6183">
        <v>0.77575757575757598</v>
      </c>
      <c r="P6183" t="s">
        <v>1947</v>
      </c>
      <c r="Q6183" t="s">
        <v>1948</v>
      </c>
      <c r="R6183" t="s">
        <v>869</v>
      </c>
      <c r="S6183" t="s">
        <v>870</v>
      </c>
      <c r="T6183" t="s">
        <v>1949</v>
      </c>
      <c r="U6183" t="s">
        <v>1950</v>
      </c>
      <c r="V6183" t="s">
        <v>1951</v>
      </c>
      <c r="W6183" t="s">
        <v>1952</v>
      </c>
      <c r="X6183" t="s">
        <v>1951</v>
      </c>
      <c r="Y6183" t="s">
        <v>1091</v>
      </c>
      <c r="Z6183" t="s">
        <v>1953</v>
      </c>
      <c r="AA6183" t="s">
        <v>1954</v>
      </c>
      <c r="AB6183" t="s">
        <v>1953</v>
      </c>
      <c r="AC6183" t="s">
        <v>878</v>
      </c>
      <c r="AD6183" t="s">
        <v>191</v>
      </c>
      <c r="AE6183" t="s">
        <v>1955</v>
      </c>
      <c r="AF6183" t="s">
        <v>1956</v>
      </c>
    </row>
    <row r="6184" spans="1:32" s="1" customFormat="1" hidden="1" x14ac:dyDescent="0.35">
      <c r="A6184" s="1">
        <v>6183</v>
      </c>
      <c r="B6184" s="1" t="s">
        <v>12734</v>
      </c>
      <c r="C6184" s="1" t="s">
        <v>68</v>
      </c>
      <c r="D6184" s="1" t="s">
        <v>34</v>
      </c>
      <c r="E6184" s="1">
        <v>2285</v>
      </c>
      <c r="F6184" s="1">
        <v>3</v>
      </c>
      <c r="G6184" s="1">
        <v>3</v>
      </c>
      <c r="H6184" s="1">
        <v>1</v>
      </c>
      <c r="I6184" s="1">
        <v>0</v>
      </c>
      <c r="J6184" s="1">
        <v>0.77120708748615696</v>
      </c>
      <c r="K6184" s="1">
        <v>0.97061910545334795</v>
      </c>
      <c r="L6184" s="1">
        <v>0.859498308624979</v>
      </c>
      <c r="M6184" s="1">
        <v>0.55125725338491305</v>
      </c>
      <c r="N6184" s="1">
        <v>0.99419729206963203</v>
      </c>
      <c r="O6184" s="1">
        <v>0.69890393294648601</v>
      </c>
      <c r="P6184" s="1" t="s">
        <v>433</v>
      </c>
      <c r="Q6184" s="1" t="s">
        <v>434</v>
      </c>
      <c r="R6184" s="1" t="s">
        <v>235</v>
      </c>
      <c r="S6184" s="1" t="s">
        <v>236</v>
      </c>
      <c r="T6184" s="1" t="s">
        <v>469</v>
      </c>
      <c r="U6184" s="1" t="s">
        <v>470</v>
      </c>
      <c r="V6184" s="1" t="s">
        <v>437</v>
      </c>
      <c r="W6184" s="1" t="s">
        <v>438</v>
      </c>
      <c r="AD6184" s="1" t="s">
        <v>439</v>
      </c>
      <c r="AE6184" s="1" t="s">
        <v>471</v>
      </c>
      <c r="AF6184" s="1" t="s">
        <v>12736</v>
      </c>
    </row>
    <row r="6185" spans="1:32" s="1" customFormat="1" hidden="1" x14ac:dyDescent="0.35">
      <c r="A6185" s="1">
        <v>6184</v>
      </c>
      <c r="B6185" s="1" t="s">
        <v>12734</v>
      </c>
      <c r="C6185" s="1" t="s">
        <v>68</v>
      </c>
      <c r="D6185" s="1" t="s">
        <v>45</v>
      </c>
      <c r="E6185" s="1">
        <v>592</v>
      </c>
      <c r="F6185" s="1">
        <v>3</v>
      </c>
      <c r="G6185" s="1">
        <v>3</v>
      </c>
      <c r="H6185" s="1">
        <v>1</v>
      </c>
      <c r="I6185" s="1">
        <v>0</v>
      </c>
      <c r="J6185" s="1">
        <v>0.77120708748615696</v>
      </c>
      <c r="K6185" s="1">
        <v>0.97061910545334795</v>
      </c>
      <c r="L6185" s="1">
        <v>0.859498308624979</v>
      </c>
      <c r="M6185" s="1">
        <v>0.55125725338491305</v>
      </c>
      <c r="N6185" s="1">
        <v>0.99419729206963203</v>
      </c>
      <c r="O6185" s="1">
        <v>0.69890393294648601</v>
      </c>
      <c r="P6185" s="1" t="s">
        <v>433</v>
      </c>
      <c r="Q6185" s="1" t="s">
        <v>434</v>
      </c>
      <c r="R6185" s="1" t="s">
        <v>235</v>
      </c>
      <c r="S6185" s="1" t="s">
        <v>236</v>
      </c>
      <c r="T6185" s="1" t="s">
        <v>469</v>
      </c>
      <c r="U6185" s="1" t="s">
        <v>470</v>
      </c>
      <c r="V6185" s="1" t="s">
        <v>437</v>
      </c>
      <c r="W6185" s="1" t="s">
        <v>438</v>
      </c>
      <c r="AD6185" s="1" t="s">
        <v>439</v>
      </c>
      <c r="AE6185" s="1" t="s">
        <v>471</v>
      </c>
      <c r="AF6185" s="1" t="s">
        <v>12736</v>
      </c>
    </row>
    <row r="6186" spans="1:32" hidden="1" x14ac:dyDescent="0.35">
      <c r="A6186">
        <v>6185</v>
      </c>
      <c r="B6186" t="s">
        <v>12737</v>
      </c>
      <c r="C6186" t="s">
        <v>68</v>
      </c>
      <c r="D6186" t="s">
        <v>58</v>
      </c>
      <c r="E6186">
        <v>1413</v>
      </c>
      <c r="F6186">
        <v>3</v>
      </c>
      <c r="G6186">
        <v>3</v>
      </c>
      <c r="H6186">
        <v>1</v>
      </c>
      <c r="I6186">
        <v>0</v>
      </c>
      <c r="J6186">
        <v>0.83474876150035404</v>
      </c>
      <c r="K6186">
        <v>0.98752058409221699</v>
      </c>
      <c r="L6186">
        <v>0.90473078145209695</v>
      </c>
      <c r="M6186">
        <v>0.62578616352201299</v>
      </c>
      <c r="N6186">
        <v>0.99685534591195002</v>
      </c>
      <c r="O6186">
        <v>0.74947589098532497</v>
      </c>
      <c r="P6186" t="s">
        <v>1247</v>
      </c>
      <c r="Q6186" t="s">
        <v>1248</v>
      </c>
      <c r="R6186" t="s">
        <v>12738</v>
      </c>
      <c r="S6186" t="s">
        <v>12739</v>
      </c>
      <c r="T6186" t="s">
        <v>12740</v>
      </c>
      <c r="U6186" t="s">
        <v>12741</v>
      </c>
      <c r="V6186" t="s">
        <v>12742</v>
      </c>
      <c r="W6186" t="s">
        <v>12743</v>
      </c>
      <c r="AD6186" t="s">
        <v>439</v>
      </c>
      <c r="AE6186" t="s">
        <v>471</v>
      </c>
      <c r="AF6186" t="s">
        <v>12744</v>
      </c>
    </row>
    <row r="6187" spans="1:32" hidden="1" x14ac:dyDescent="0.35">
      <c r="A6187">
        <v>6186</v>
      </c>
      <c r="B6187" t="s">
        <v>12737</v>
      </c>
      <c r="C6187" t="s">
        <v>68</v>
      </c>
      <c r="D6187" t="s">
        <v>34</v>
      </c>
      <c r="E6187">
        <v>2286</v>
      </c>
      <c r="F6187">
        <v>3</v>
      </c>
      <c r="G6187">
        <v>3</v>
      </c>
      <c r="H6187">
        <v>1</v>
      </c>
      <c r="I6187">
        <v>0</v>
      </c>
      <c r="J6187">
        <v>0.83474876150035404</v>
      </c>
      <c r="K6187">
        <v>0.98752058409221699</v>
      </c>
      <c r="L6187">
        <v>0.90473078145209695</v>
      </c>
      <c r="M6187">
        <v>0.62578616352201299</v>
      </c>
      <c r="N6187">
        <v>0.99685534591195002</v>
      </c>
      <c r="O6187">
        <v>0.74947589098532497</v>
      </c>
      <c r="P6187" t="s">
        <v>1247</v>
      </c>
      <c r="Q6187" t="s">
        <v>1248</v>
      </c>
      <c r="R6187" t="s">
        <v>12738</v>
      </c>
      <c r="S6187" t="s">
        <v>12739</v>
      </c>
      <c r="T6187" t="s">
        <v>12740</v>
      </c>
      <c r="U6187" t="s">
        <v>12741</v>
      </c>
      <c r="V6187" t="s">
        <v>12742</v>
      </c>
      <c r="W6187" t="s">
        <v>12743</v>
      </c>
      <c r="AD6187" t="s">
        <v>439</v>
      </c>
      <c r="AE6187" t="s">
        <v>471</v>
      </c>
      <c r="AF6187" t="s">
        <v>12745</v>
      </c>
    </row>
    <row r="6188" spans="1:32" hidden="1" x14ac:dyDescent="0.35">
      <c r="A6188">
        <v>6187</v>
      </c>
      <c r="B6188" t="s">
        <v>12737</v>
      </c>
      <c r="C6188" t="s">
        <v>68</v>
      </c>
      <c r="D6188" t="s">
        <v>45</v>
      </c>
      <c r="E6188">
        <v>591</v>
      </c>
      <c r="F6188">
        <v>3</v>
      </c>
      <c r="G6188">
        <v>3</v>
      </c>
      <c r="H6188">
        <v>1</v>
      </c>
      <c r="I6188">
        <v>0</v>
      </c>
      <c r="J6188">
        <v>0.83474876150035404</v>
      </c>
      <c r="K6188">
        <v>0.98752058409221699</v>
      </c>
      <c r="L6188">
        <v>0.90473078145209695</v>
      </c>
      <c r="M6188">
        <v>0.62578616352201299</v>
      </c>
      <c r="N6188">
        <v>0.99685534591195002</v>
      </c>
      <c r="O6188">
        <v>0.74947589098532497</v>
      </c>
      <c r="P6188" t="s">
        <v>1247</v>
      </c>
      <c r="Q6188" t="s">
        <v>1248</v>
      </c>
      <c r="R6188" t="s">
        <v>12738</v>
      </c>
      <c r="S6188" t="s">
        <v>12739</v>
      </c>
      <c r="T6188" t="s">
        <v>12740</v>
      </c>
      <c r="U6188" t="s">
        <v>12741</v>
      </c>
      <c r="V6188" t="s">
        <v>12742</v>
      </c>
      <c r="W6188" t="s">
        <v>12743</v>
      </c>
      <c r="AD6188" t="s">
        <v>439</v>
      </c>
      <c r="AE6188" t="s">
        <v>471</v>
      </c>
      <c r="AF6188" t="s">
        <v>12746</v>
      </c>
    </row>
    <row r="6189" spans="1:32" hidden="1" x14ac:dyDescent="0.35">
      <c r="A6189">
        <v>6188</v>
      </c>
      <c r="B6189" t="s">
        <v>12747</v>
      </c>
      <c r="C6189" t="s">
        <v>68</v>
      </c>
      <c r="D6189" t="s">
        <v>60</v>
      </c>
      <c r="E6189">
        <v>2220</v>
      </c>
      <c r="F6189">
        <v>3</v>
      </c>
      <c r="G6189">
        <v>3</v>
      </c>
      <c r="H6189">
        <v>1</v>
      </c>
      <c r="I6189">
        <v>0</v>
      </c>
      <c r="J6189">
        <v>0.85015290519877695</v>
      </c>
      <c r="K6189">
        <v>0.93937432578208901</v>
      </c>
      <c r="L6189">
        <v>0.89253943534019797</v>
      </c>
      <c r="M6189">
        <v>0.67741935483870996</v>
      </c>
      <c r="N6189">
        <v>0.99032258064516099</v>
      </c>
      <c r="O6189">
        <v>0.782795698924731</v>
      </c>
      <c r="P6189" t="s">
        <v>340</v>
      </c>
      <c r="Q6189" t="s">
        <v>341</v>
      </c>
      <c r="R6189" t="s">
        <v>342</v>
      </c>
      <c r="S6189" t="s">
        <v>343</v>
      </c>
      <c r="V6189" t="s">
        <v>346</v>
      </c>
      <c r="W6189" t="s">
        <v>347</v>
      </c>
      <c r="AF6189" t="s">
        <v>12748</v>
      </c>
    </row>
    <row r="6190" spans="1:32" hidden="1" x14ac:dyDescent="0.35">
      <c r="A6190">
        <v>6189</v>
      </c>
      <c r="B6190" t="s">
        <v>12747</v>
      </c>
      <c r="C6190" t="s">
        <v>68</v>
      </c>
      <c r="D6190" t="s">
        <v>62</v>
      </c>
      <c r="E6190">
        <v>2250</v>
      </c>
      <c r="F6190">
        <v>3</v>
      </c>
      <c r="G6190">
        <v>3</v>
      </c>
      <c r="H6190">
        <v>1</v>
      </c>
      <c r="I6190">
        <v>0</v>
      </c>
      <c r="J6190">
        <v>0.85015290519877695</v>
      </c>
      <c r="K6190">
        <v>0.93937432578208901</v>
      </c>
      <c r="L6190">
        <v>0.89253943534019797</v>
      </c>
      <c r="M6190">
        <v>0.67741935483870996</v>
      </c>
      <c r="N6190">
        <v>0.99032258064516099</v>
      </c>
      <c r="O6190">
        <v>0.782795698924731</v>
      </c>
      <c r="P6190" t="s">
        <v>340</v>
      </c>
      <c r="Q6190" t="s">
        <v>341</v>
      </c>
      <c r="R6190" t="s">
        <v>342</v>
      </c>
      <c r="S6190" t="s">
        <v>343</v>
      </c>
      <c r="T6190" t="s">
        <v>11413</v>
      </c>
      <c r="U6190" t="s">
        <v>11414</v>
      </c>
      <c r="V6190" t="s">
        <v>346</v>
      </c>
      <c r="W6190" t="s">
        <v>347</v>
      </c>
      <c r="AD6190" t="s">
        <v>439</v>
      </c>
      <c r="AE6190" t="s">
        <v>11415</v>
      </c>
      <c r="AF6190" t="s">
        <v>12749</v>
      </c>
    </row>
    <row r="6191" spans="1:32" hidden="1" x14ac:dyDescent="0.35">
      <c r="A6191">
        <v>6190</v>
      </c>
      <c r="B6191" t="s">
        <v>12747</v>
      </c>
      <c r="C6191" t="s">
        <v>68</v>
      </c>
      <c r="D6191" t="s">
        <v>34</v>
      </c>
      <c r="E6191">
        <v>1134</v>
      </c>
      <c r="F6191">
        <v>3</v>
      </c>
      <c r="G6191">
        <v>3</v>
      </c>
      <c r="H6191">
        <v>1</v>
      </c>
      <c r="I6191">
        <v>0</v>
      </c>
      <c r="J6191">
        <v>0.85015290519877695</v>
      </c>
      <c r="K6191">
        <v>0.93937432578208901</v>
      </c>
      <c r="L6191">
        <v>0.89253943534019797</v>
      </c>
      <c r="M6191">
        <v>0.67741935483870996</v>
      </c>
      <c r="N6191">
        <v>0.99032258064516099</v>
      </c>
      <c r="O6191">
        <v>0.782795698924731</v>
      </c>
      <c r="P6191" t="s">
        <v>340</v>
      </c>
      <c r="Q6191" t="s">
        <v>341</v>
      </c>
      <c r="R6191" t="s">
        <v>342</v>
      </c>
      <c r="S6191" t="s">
        <v>343</v>
      </c>
      <c r="T6191" t="s">
        <v>11413</v>
      </c>
      <c r="U6191" t="s">
        <v>11414</v>
      </c>
      <c r="V6191" t="s">
        <v>346</v>
      </c>
      <c r="W6191" t="s">
        <v>347</v>
      </c>
      <c r="AD6191" t="s">
        <v>439</v>
      </c>
      <c r="AE6191" t="s">
        <v>11415</v>
      </c>
      <c r="AF6191" t="s">
        <v>12750</v>
      </c>
    </row>
    <row r="6192" spans="1:32" hidden="1" x14ac:dyDescent="0.35">
      <c r="A6192">
        <v>6191</v>
      </c>
      <c r="B6192" t="s">
        <v>12751</v>
      </c>
      <c r="C6192" t="s">
        <v>68</v>
      </c>
      <c r="D6192" t="s">
        <v>60</v>
      </c>
      <c r="E6192">
        <v>2053</v>
      </c>
      <c r="F6192">
        <v>2</v>
      </c>
      <c r="G6192">
        <v>3</v>
      </c>
      <c r="H6192">
        <v>2</v>
      </c>
      <c r="I6192">
        <v>0</v>
      </c>
      <c r="J6192">
        <v>0.74169184290030199</v>
      </c>
      <c r="K6192">
        <v>0.821513910223587</v>
      </c>
      <c r="L6192">
        <v>0.77956489710241705</v>
      </c>
      <c r="M6192">
        <v>0.40357142857142903</v>
      </c>
      <c r="N6192">
        <v>0.58928571428571397</v>
      </c>
      <c r="O6192">
        <v>0.52500000000000002</v>
      </c>
      <c r="AF6192" t="s">
        <v>12752</v>
      </c>
    </row>
    <row r="6193" spans="1:32" hidden="1" x14ac:dyDescent="0.35">
      <c r="A6193">
        <v>6192</v>
      </c>
      <c r="B6193" t="s">
        <v>12751</v>
      </c>
      <c r="C6193" t="s">
        <v>68</v>
      </c>
      <c r="D6193" t="s">
        <v>62</v>
      </c>
      <c r="E6193">
        <v>2097</v>
      </c>
      <c r="F6193">
        <v>2</v>
      </c>
      <c r="G6193">
        <v>3</v>
      </c>
      <c r="H6193">
        <v>2</v>
      </c>
      <c r="I6193">
        <v>0</v>
      </c>
      <c r="J6193">
        <v>0.74169184290030199</v>
      </c>
      <c r="K6193">
        <v>0.821513910223587</v>
      </c>
      <c r="L6193">
        <v>0.77956489710241705</v>
      </c>
      <c r="M6193">
        <v>0.40357142857142903</v>
      </c>
      <c r="N6193">
        <v>0.58928571428571397</v>
      </c>
      <c r="O6193">
        <v>0.52500000000000002</v>
      </c>
      <c r="AF6193" t="e">
        <f>-----------------------------------------------------------------------------------------MRGSGPFFFFLSLGLVPWLSSRIFLHEDAFPPFWNLVSICVTFPLIGYFLHFFTVSQTITVGRKYFKRELRGFGWRSELESKDPKLEFDLNKYNNVIEFLVANVNYNRTSIFGSKADYFDEKRVPIPDARNVPLDKFLMWLFPERENIWRLMIDLICEPQYEAWVPTRRMQNIYSEISKKKEEFWKSIEHK</f>
        <v>#NAME?</v>
      </c>
    </row>
    <row r="6194" spans="1:32" hidden="1" x14ac:dyDescent="0.35">
      <c r="A6194">
        <v>6193</v>
      </c>
      <c r="B6194" t="s">
        <v>12751</v>
      </c>
      <c r="C6194" t="s">
        <v>68</v>
      </c>
      <c r="D6194" t="s">
        <v>62</v>
      </c>
      <c r="E6194">
        <v>2093</v>
      </c>
      <c r="F6194">
        <v>2</v>
      </c>
      <c r="G6194">
        <v>3</v>
      </c>
      <c r="H6194">
        <v>2</v>
      </c>
      <c r="I6194">
        <v>0</v>
      </c>
      <c r="J6194">
        <v>0.74169184290030199</v>
      </c>
      <c r="K6194">
        <v>0.821513910223587</v>
      </c>
      <c r="L6194">
        <v>0.77956489710241705</v>
      </c>
      <c r="M6194">
        <v>0.40357142857142903</v>
      </c>
      <c r="N6194">
        <v>0.58928571428571397</v>
      </c>
      <c r="O6194">
        <v>0.52500000000000002</v>
      </c>
      <c r="AF6194" t="s">
        <v>12753</v>
      </c>
    </row>
    <row r="6195" spans="1:32" hidden="1" x14ac:dyDescent="0.35">
      <c r="A6195">
        <v>6194</v>
      </c>
      <c r="B6195" t="s">
        <v>12754</v>
      </c>
      <c r="C6195" t="s">
        <v>68</v>
      </c>
      <c r="D6195" t="s">
        <v>58</v>
      </c>
      <c r="E6195">
        <v>578</v>
      </c>
      <c r="F6195">
        <v>3</v>
      </c>
      <c r="G6195">
        <v>3</v>
      </c>
      <c r="H6195">
        <v>1</v>
      </c>
      <c r="I6195">
        <v>0</v>
      </c>
      <c r="J6195">
        <v>0.84709709709709702</v>
      </c>
      <c r="K6195">
        <v>0.94664670568131604</v>
      </c>
      <c r="L6195">
        <v>0.89410948778423105</v>
      </c>
      <c r="M6195">
        <v>0.64042553191489404</v>
      </c>
      <c r="N6195">
        <v>0.99574468085106405</v>
      </c>
      <c r="O6195">
        <v>0.75957446808510598</v>
      </c>
      <c r="P6195" t="s">
        <v>4358</v>
      </c>
      <c r="Q6195" t="s">
        <v>4359</v>
      </c>
      <c r="R6195" t="s">
        <v>319</v>
      </c>
      <c r="S6195" t="s">
        <v>320</v>
      </c>
      <c r="V6195" t="s">
        <v>11821</v>
      </c>
      <c r="W6195" t="s">
        <v>11822</v>
      </c>
      <c r="AF6195" t="s">
        <v>12755</v>
      </c>
    </row>
    <row r="6196" spans="1:32" hidden="1" x14ac:dyDescent="0.35">
      <c r="A6196">
        <v>6195</v>
      </c>
      <c r="B6196" t="s">
        <v>12754</v>
      </c>
      <c r="C6196" t="s">
        <v>68</v>
      </c>
      <c r="D6196" t="s">
        <v>34</v>
      </c>
      <c r="E6196">
        <v>1038</v>
      </c>
      <c r="F6196">
        <v>3</v>
      </c>
      <c r="G6196">
        <v>3</v>
      </c>
      <c r="H6196">
        <v>1</v>
      </c>
      <c r="I6196">
        <v>0</v>
      </c>
      <c r="J6196">
        <v>0.84709709709709702</v>
      </c>
      <c r="K6196">
        <v>0.94664670568131604</v>
      </c>
      <c r="L6196">
        <v>0.89410948778423105</v>
      </c>
      <c r="M6196">
        <v>0.64042553191489404</v>
      </c>
      <c r="N6196">
        <v>0.99574468085106405</v>
      </c>
      <c r="O6196">
        <v>0.75957446808510598</v>
      </c>
      <c r="P6196" t="s">
        <v>4358</v>
      </c>
      <c r="Q6196" t="s">
        <v>4359</v>
      </c>
      <c r="R6196" t="s">
        <v>319</v>
      </c>
      <c r="S6196" t="s">
        <v>320</v>
      </c>
      <c r="V6196" t="s">
        <v>12756</v>
      </c>
      <c r="W6196" t="s">
        <v>12757</v>
      </c>
      <c r="AF6196" t="s">
        <v>12758</v>
      </c>
    </row>
    <row r="6197" spans="1:32" hidden="1" x14ac:dyDescent="0.35">
      <c r="A6197">
        <v>6196</v>
      </c>
      <c r="B6197" t="s">
        <v>12754</v>
      </c>
      <c r="C6197" t="s">
        <v>68</v>
      </c>
      <c r="D6197" t="s">
        <v>45</v>
      </c>
      <c r="E6197">
        <v>2293</v>
      </c>
      <c r="F6197">
        <v>3</v>
      </c>
      <c r="G6197">
        <v>3</v>
      </c>
      <c r="H6197">
        <v>1</v>
      </c>
      <c r="I6197">
        <v>0</v>
      </c>
      <c r="J6197">
        <v>0.84709709709709702</v>
      </c>
      <c r="K6197">
        <v>0.94664670568131604</v>
      </c>
      <c r="L6197">
        <v>0.89410948778423105</v>
      </c>
      <c r="M6197">
        <v>0.64042553191489404</v>
      </c>
      <c r="N6197">
        <v>0.99574468085106405</v>
      </c>
      <c r="O6197">
        <v>0.75957446808510598</v>
      </c>
      <c r="P6197" t="s">
        <v>4358</v>
      </c>
      <c r="Q6197" t="s">
        <v>4359</v>
      </c>
      <c r="R6197" t="s">
        <v>319</v>
      </c>
      <c r="S6197" t="s">
        <v>320</v>
      </c>
      <c r="V6197" t="s">
        <v>12756</v>
      </c>
      <c r="W6197" t="s">
        <v>12757</v>
      </c>
      <c r="AF6197" t="s">
        <v>12759</v>
      </c>
    </row>
    <row r="6198" spans="1:32" hidden="1" x14ac:dyDescent="0.35">
      <c r="A6198">
        <v>6197</v>
      </c>
      <c r="B6198" t="s">
        <v>12760</v>
      </c>
      <c r="C6198" t="s">
        <v>68</v>
      </c>
      <c r="D6198" t="s">
        <v>34</v>
      </c>
      <c r="E6198">
        <v>1147</v>
      </c>
      <c r="F6198">
        <v>2</v>
      </c>
      <c r="G6198">
        <v>3</v>
      </c>
      <c r="H6198">
        <v>2</v>
      </c>
      <c r="I6198">
        <v>0</v>
      </c>
      <c r="J6198">
        <v>0.73934837092731798</v>
      </c>
      <c r="K6198">
        <v>0.94425379394494002</v>
      </c>
      <c r="L6198">
        <v>0.82933191565253295</v>
      </c>
      <c r="M6198">
        <v>0.53191489361702105</v>
      </c>
      <c r="N6198">
        <v>0.75531914893617003</v>
      </c>
      <c r="O6198">
        <v>0.63120567375886505</v>
      </c>
      <c r="AF6198" t="s">
        <v>12761</v>
      </c>
    </row>
    <row r="6199" spans="1:32" hidden="1" x14ac:dyDescent="0.35">
      <c r="A6199">
        <v>6198</v>
      </c>
      <c r="B6199" t="s">
        <v>12760</v>
      </c>
      <c r="C6199" t="s">
        <v>68</v>
      </c>
      <c r="D6199" t="s">
        <v>34</v>
      </c>
      <c r="E6199">
        <v>1148</v>
      </c>
      <c r="F6199">
        <v>2</v>
      </c>
      <c r="G6199">
        <v>3</v>
      </c>
      <c r="H6199">
        <v>2</v>
      </c>
      <c r="I6199">
        <v>0</v>
      </c>
      <c r="J6199">
        <v>0.73934837092731798</v>
      </c>
      <c r="K6199">
        <v>0.94425379394494002</v>
      </c>
      <c r="L6199">
        <v>0.82933191565253295</v>
      </c>
      <c r="M6199">
        <v>0.53191489361702105</v>
      </c>
      <c r="N6199">
        <v>0.75531914893617003</v>
      </c>
      <c r="O6199">
        <v>0.63120567375886505</v>
      </c>
      <c r="AF6199" t="s">
        <v>12762</v>
      </c>
    </row>
    <row r="6200" spans="1:32" hidden="1" x14ac:dyDescent="0.35">
      <c r="A6200">
        <v>6199</v>
      </c>
      <c r="B6200" t="s">
        <v>12760</v>
      </c>
      <c r="C6200" t="s">
        <v>68</v>
      </c>
      <c r="D6200" t="s">
        <v>45</v>
      </c>
      <c r="E6200">
        <v>2392</v>
      </c>
      <c r="F6200">
        <v>2</v>
      </c>
      <c r="G6200">
        <v>3</v>
      </c>
      <c r="H6200">
        <v>2</v>
      </c>
      <c r="I6200">
        <v>0</v>
      </c>
      <c r="J6200">
        <v>0.73934837092731798</v>
      </c>
      <c r="K6200">
        <v>0.94425379394494002</v>
      </c>
      <c r="L6200">
        <v>0.82933191565253295</v>
      </c>
      <c r="M6200">
        <v>0.53191489361702105</v>
      </c>
      <c r="N6200">
        <v>0.75531914893617003</v>
      </c>
      <c r="O6200">
        <v>0.63120567375886505</v>
      </c>
      <c r="AF6200" t="s">
        <v>12763</v>
      </c>
    </row>
    <row r="6201" spans="1:32" hidden="1" x14ac:dyDescent="0.35">
      <c r="A6201">
        <v>6200</v>
      </c>
      <c r="B6201" t="s">
        <v>12764</v>
      </c>
      <c r="C6201" t="s">
        <v>68</v>
      </c>
      <c r="D6201" t="s">
        <v>34</v>
      </c>
      <c r="E6201">
        <v>1257</v>
      </c>
      <c r="F6201">
        <v>2</v>
      </c>
      <c r="G6201">
        <v>3</v>
      </c>
      <c r="H6201">
        <v>2</v>
      </c>
      <c r="I6201">
        <v>0</v>
      </c>
      <c r="J6201">
        <v>0.824104234527687</v>
      </c>
      <c r="K6201">
        <v>0.55291750113681704</v>
      </c>
      <c r="L6201">
        <v>0.66180749690407903</v>
      </c>
      <c r="M6201">
        <v>0.11787072243346</v>
      </c>
      <c r="N6201">
        <v>0.52091254752851701</v>
      </c>
      <c r="O6201">
        <v>0.33333333333333298</v>
      </c>
      <c r="P6201" t="s">
        <v>12765</v>
      </c>
      <c r="Q6201" t="s">
        <v>12766</v>
      </c>
      <c r="AF6201" t="s">
        <v>12767</v>
      </c>
    </row>
    <row r="6202" spans="1:32" hidden="1" x14ac:dyDescent="0.35">
      <c r="A6202">
        <v>6201</v>
      </c>
      <c r="B6202" t="s">
        <v>12764</v>
      </c>
      <c r="C6202" t="s">
        <v>68</v>
      </c>
      <c r="D6202" t="s">
        <v>45</v>
      </c>
      <c r="E6202">
        <v>2497</v>
      </c>
      <c r="F6202">
        <v>2</v>
      </c>
      <c r="G6202">
        <v>3</v>
      </c>
      <c r="H6202">
        <v>2</v>
      </c>
      <c r="I6202">
        <v>0</v>
      </c>
      <c r="J6202">
        <v>0.824104234527687</v>
      </c>
      <c r="K6202">
        <v>0.55291750113681704</v>
      </c>
      <c r="L6202">
        <v>0.66180749690407903</v>
      </c>
      <c r="M6202">
        <v>0.11787072243346</v>
      </c>
      <c r="N6202">
        <v>0.52091254752851701</v>
      </c>
      <c r="O6202">
        <v>0.33333333333333298</v>
      </c>
      <c r="P6202" t="s">
        <v>12765</v>
      </c>
      <c r="Q6202" t="s">
        <v>12766</v>
      </c>
      <c r="AF6202" t="s">
        <v>12768</v>
      </c>
    </row>
    <row r="6203" spans="1:32" hidden="1" x14ac:dyDescent="0.35">
      <c r="A6203">
        <v>6202</v>
      </c>
      <c r="B6203" t="s">
        <v>12764</v>
      </c>
      <c r="C6203" t="s">
        <v>68</v>
      </c>
      <c r="D6203" t="s">
        <v>45</v>
      </c>
      <c r="E6203">
        <v>2498</v>
      </c>
      <c r="F6203">
        <v>2</v>
      </c>
      <c r="G6203">
        <v>3</v>
      </c>
      <c r="H6203">
        <v>2</v>
      </c>
      <c r="I6203">
        <v>0</v>
      </c>
      <c r="J6203">
        <v>0.824104234527687</v>
      </c>
      <c r="K6203">
        <v>0.55291750113681704</v>
      </c>
      <c r="L6203">
        <v>0.66180749690407903</v>
      </c>
      <c r="M6203">
        <v>0.11787072243346</v>
      </c>
      <c r="N6203">
        <v>0.52091254752851701</v>
      </c>
      <c r="O6203">
        <v>0.33333333333333298</v>
      </c>
      <c r="AF6203" t="s">
        <v>12769</v>
      </c>
    </row>
    <row r="6204" spans="1:32" hidden="1" x14ac:dyDescent="0.35">
      <c r="A6204">
        <v>6203</v>
      </c>
      <c r="B6204" t="s">
        <v>12770</v>
      </c>
      <c r="C6204" t="s">
        <v>68</v>
      </c>
      <c r="D6204" t="s">
        <v>34</v>
      </c>
      <c r="E6204">
        <v>48</v>
      </c>
      <c r="F6204">
        <v>2</v>
      </c>
      <c r="G6204">
        <v>3</v>
      </c>
      <c r="H6204">
        <v>2</v>
      </c>
      <c r="I6204">
        <v>0</v>
      </c>
      <c r="J6204">
        <v>0.94133333333333302</v>
      </c>
      <c r="K6204">
        <v>0.54904810278984995</v>
      </c>
      <c r="L6204">
        <v>0.69356376593621805</v>
      </c>
      <c r="M6204">
        <v>0.129973474801061</v>
      </c>
      <c r="N6204">
        <v>0.68435013262599498</v>
      </c>
      <c r="O6204">
        <v>0.34394341290892999</v>
      </c>
      <c r="P6204" t="s">
        <v>911</v>
      </c>
      <c r="Q6204" t="s">
        <v>912</v>
      </c>
      <c r="R6204" t="s">
        <v>96</v>
      </c>
      <c r="S6204" t="s">
        <v>97</v>
      </c>
      <c r="V6204" t="s">
        <v>915</v>
      </c>
      <c r="W6204" t="s">
        <v>916</v>
      </c>
      <c r="AF6204" t="s">
        <v>12771</v>
      </c>
    </row>
    <row r="6205" spans="1:32" hidden="1" x14ac:dyDescent="0.35">
      <c r="A6205">
        <v>6204</v>
      </c>
      <c r="B6205" t="s">
        <v>12770</v>
      </c>
      <c r="C6205" t="s">
        <v>68</v>
      </c>
      <c r="D6205" t="s">
        <v>45</v>
      </c>
      <c r="E6205">
        <v>1305</v>
      </c>
      <c r="F6205">
        <v>2</v>
      </c>
      <c r="G6205">
        <v>3</v>
      </c>
      <c r="H6205">
        <v>2</v>
      </c>
      <c r="I6205">
        <v>0</v>
      </c>
      <c r="J6205">
        <v>0.94133333333333302</v>
      </c>
      <c r="K6205">
        <v>0.54904810278984995</v>
      </c>
      <c r="L6205">
        <v>0.69356376593621805</v>
      </c>
      <c r="M6205">
        <v>0.129973474801061</v>
      </c>
      <c r="N6205">
        <v>0.68435013262599498</v>
      </c>
      <c r="O6205">
        <v>0.34394341290892999</v>
      </c>
      <c r="P6205" t="s">
        <v>911</v>
      </c>
      <c r="Q6205" t="s">
        <v>912</v>
      </c>
      <c r="R6205" t="s">
        <v>96</v>
      </c>
      <c r="S6205" t="s">
        <v>97</v>
      </c>
      <c r="V6205" t="s">
        <v>915</v>
      </c>
      <c r="W6205" t="s">
        <v>916</v>
      </c>
      <c r="AF6205" t="s">
        <v>12772</v>
      </c>
    </row>
    <row r="6206" spans="1:32" hidden="1" x14ac:dyDescent="0.35">
      <c r="A6206">
        <v>6205</v>
      </c>
      <c r="B6206" t="s">
        <v>12770</v>
      </c>
      <c r="C6206" t="s">
        <v>68</v>
      </c>
      <c r="D6206" t="s">
        <v>45</v>
      </c>
      <c r="E6206">
        <v>1306</v>
      </c>
      <c r="F6206">
        <v>2</v>
      </c>
      <c r="G6206">
        <v>3</v>
      </c>
      <c r="H6206">
        <v>2</v>
      </c>
      <c r="I6206">
        <v>0</v>
      </c>
      <c r="J6206">
        <v>0.94133333333333302</v>
      </c>
      <c r="K6206">
        <v>0.54904810278984995</v>
      </c>
      <c r="L6206">
        <v>0.69356376593621805</v>
      </c>
      <c r="M6206">
        <v>0.129973474801061</v>
      </c>
      <c r="N6206">
        <v>0.68435013262599498</v>
      </c>
      <c r="O6206">
        <v>0.34394341290892999</v>
      </c>
      <c r="AF6206" t="s">
        <v>12773</v>
      </c>
    </row>
    <row r="6207" spans="1:32" hidden="1" x14ac:dyDescent="0.35">
      <c r="A6207">
        <v>6206</v>
      </c>
      <c r="B6207" t="s">
        <v>12774</v>
      </c>
      <c r="C6207" t="s">
        <v>68</v>
      </c>
      <c r="D6207" t="s">
        <v>58</v>
      </c>
      <c r="E6207">
        <v>311</v>
      </c>
      <c r="F6207">
        <v>3</v>
      </c>
      <c r="G6207">
        <v>3</v>
      </c>
      <c r="H6207">
        <v>1</v>
      </c>
      <c r="I6207">
        <v>0</v>
      </c>
      <c r="J6207">
        <v>0.77015643802647404</v>
      </c>
      <c r="K6207">
        <v>0.99283154121863804</v>
      </c>
      <c r="L6207">
        <v>0.86743144292190499</v>
      </c>
      <c r="M6207">
        <v>0.52688172043010795</v>
      </c>
      <c r="N6207">
        <v>0.989247311827957</v>
      </c>
      <c r="O6207">
        <v>0.681003584229391</v>
      </c>
      <c r="P6207" t="s">
        <v>12775</v>
      </c>
      <c r="Q6207" t="s">
        <v>12776</v>
      </c>
      <c r="AF6207" t="s">
        <v>12777</v>
      </c>
    </row>
    <row r="6208" spans="1:32" hidden="1" x14ac:dyDescent="0.35">
      <c r="A6208">
        <v>6207</v>
      </c>
      <c r="B6208" t="s">
        <v>12774</v>
      </c>
      <c r="C6208" t="s">
        <v>68</v>
      </c>
      <c r="D6208" t="s">
        <v>34</v>
      </c>
      <c r="E6208">
        <v>2404</v>
      </c>
      <c r="F6208">
        <v>3</v>
      </c>
      <c r="G6208">
        <v>3</v>
      </c>
      <c r="H6208">
        <v>1</v>
      </c>
      <c r="I6208">
        <v>0</v>
      </c>
      <c r="J6208">
        <v>0.77015643802647404</v>
      </c>
      <c r="K6208">
        <v>0.99283154121863804</v>
      </c>
      <c r="L6208">
        <v>0.86743144292190499</v>
      </c>
      <c r="M6208">
        <v>0.52688172043010795</v>
      </c>
      <c r="N6208">
        <v>0.989247311827957</v>
      </c>
      <c r="O6208">
        <v>0.681003584229391</v>
      </c>
      <c r="P6208" t="s">
        <v>12775</v>
      </c>
      <c r="Q6208" t="s">
        <v>12776</v>
      </c>
      <c r="AF6208" t="s">
        <v>12778</v>
      </c>
    </row>
    <row r="6209" spans="1:32" hidden="1" x14ac:dyDescent="0.35">
      <c r="A6209">
        <v>6208</v>
      </c>
      <c r="B6209" t="s">
        <v>12774</v>
      </c>
      <c r="C6209" t="s">
        <v>68</v>
      </c>
      <c r="D6209" t="s">
        <v>45</v>
      </c>
      <c r="E6209">
        <v>494</v>
      </c>
      <c r="F6209">
        <v>3</v>
      </c>
      <c r="G6209">
        <v>3</v>
      </c>
      <c r="H6209">
        <v>1</v>
      </c>
      <c r="I6209">
        <v>0</v>
      </c>
      <c r="J6209">
        <v>0.77015643802647404</v>
      </c>
      <c r="K6209">
        <v>0.99283154121863804</v>
      </c>
      <c r="L6209">
        <v>0.86743144292190499</v>
      </c>
      <c r="M6209">
        <v>0.52688172043010795</v>
      </c>
      <c r="N6209">
        <v>0.989247311827957</v>
      </c>
      <c r="O6209">
        <v>0.681003584229391</v>
      </c>
      <c r="P6209" t="s">
        <v>12775</v>
      </c>
      <c r="Q6209" t="s">
        <v>12776</v>
      </c>
      <c r="AF6209" t="s">
        <v>12779</v>
      </c>
    </row>
    <row r="6210" spans="1:32" hidden="1" x14ac:dyDescent="0.35">
      <c r="A6210">
        <v>6209</v>
      </c>
      <c r="B6210" t="s">
        <v>12780</v>
      </c>
      <c r="C6210" t="s">
        <v>68</v>
      </c>
      <c r="D6210" t="s">
        <v>34</v>
      </c>
      <c r="E6210">
        <v>1014</v>
      </c>
      <c r="F6210">
        <v>2</v>
      </c>
      <c r="G6210">
        <v>3</v>
      </c>
      <c r="H6210">
        <v>2</v>
      </c>
      <c r="I6210">
        <v>0</v>
      </c>
      <c r="J6210">
        <v>0.911163522012579</v>
      </c>
      <c r="K6210">
        <v>0.51059702064372803</v>
      </c>
      <c r="L6210">
        <v>0.65445251250207703</v>
      </c>
      <c r="M6210">
        <v>9.3607305936073096E-2</v>
      </c>
      <c r="N6210">
        <v>0.45205479452054798</v>
      </c>
      <c r="O6210">
        <v>0.31582952815829501</v>
      </c>
      <c r="P6210" t="s">
        <v>12781</v>
      </c>
      <c r="Q6210" t="s">
        <v>12782</v>
      </c>
      <c r="R6210" t="s">
        <v>288</v>
      </c>
      <c r="S6210" t="s">
        <v>289</v>
      </c>
      <c r="T6210" t="s">
        <v>12783</v>
      </c>
      <c r="U6210" t="s">
        <v>407</v>
      </c>
      <c r="V6210" t="s">
        <v>12784</v>
      </c>
      <c r="W6210" t="s">
        <v>12785</v>
      </c>
      <c r="AD6210" t="s">
        <v>410</v>
      </c>
      <c r="AE6210" t="s">
        <v>411</v>
      </c>
      <c r="AF6210" t="s">
        <v>12786</v>
      </c>
    </row>
    <row r="6211" spans="1:32" hidden="1" x14ac:dyDescent="0.35">
      <c r="A6211">
        <v>6210</v>
      </c>
      <c r="B6211" t="s">
        <v>12780</v>
      </c>
      <c r="C6211" t="s">
        <v>68</v>
      </c>
      <c r="D6211" t="s">
        <v>45</v>
      </c>
      <c r="E6211">
        <v>2268</v>
      </c>
      <c r="F6211">
        <v>2</v>
      </c>
      <c r="G6211">
        <v>3</v>
      </c>
      <c r="H6211">
        <v>2</v>
      </c>
      <c r="I6211">
        <v>0</v>
      </c>
      <c r="J6211">
        <v>0.911163522012579</v>
      </c>
      <c r="K6211">
        <v>0.51059702064372803</v>
      </c>
      <c r="L6211">
        <v>0.65445251250207703</v>
      </c>
      <c r="M6211">
        <v>9.3607305936073096E-2</v>
      </c>
      <c r="N6211">
        <v>0.45205479452054798</v>
      </c>
      <c r="O6211">
        <v>0.31582952815829501</v>
      </c>
      <c r="P6211" t="s">
        <v>12781</v>
      </c>
      <c r="Q6211" t="s">
        <v>12782</v>
      </c>
      <c r="R6211" t="s">
        <v>288</v>
      </c>
      <c r="S6211" t="s">
        <v>289</v>
      </c>
      <c r="T6211" t="s">
        <v>12783</v>
      </c>
      <c r="U6211" t="s">
        <v>407</v>
      </c>
      <c r="V6211" t="s">
        <v>12784</v>
      </c>
      <c r="W6211" t="s">
        <v>12785</v>
      </c>
      <c r="AD6211" t="s">
        <v>410</v>
      </c>
      <c r="AE6211" t="s">
        <v>411</v>
      </c>
      <c r="AF6211" t="e">
        <f>-----------------------------------------------------------------------------------------------------------------------------------------------------------------------------------------------------------------------------------------------------------MSTSIDMQMGEFRTKNGKLYAVSHGDHSGKGNPEVKYVRFRHRGSQDHEYFLDWHQESQGTRKIIMLLPLLWIAARSPGDLILLVDELDNSLHTQLAKALIQGFLDTCTNRTRAQLIFTTHDLLLMDCNELLRRDEIWITDKSIDGESTLIGLPEYRGIMHDEDIRKSYLEGRFGGIPQLDSFTLEK</f>
        <v>#NAME?</v>
      </c>
    </row>
    <row r="6212" spans="1:32" hidden="1" x14ac:dyDescent="0.35">
      <c r="A6212">
        <v>6211</v>
      </c>
      <c r="B6212" t="s">
        <v>12780</v>
      </c>
      <c r="C6212" t="s">
        <v>68</v>
      </c>
      <c r="D6212" t="s">
        <v>45</v>
      </c>
      <c r="E6212">
        <v>2267</v>
      </c>
      <c r="F6212">
        <v>2</v>
      </c>
      <c r="G6212">
        <v>3</v>
      </c>
      <c r="H6212">
        <v>2</v>
      </c>
      <c r="I6212">
        <v>0</v>
      </c>
      <c r="J6212">
        <v>0.911163522012579</v>
      </c>
      <c r="K6212">
        <v>0.51059702064372803</v>
      </c>
      <c r="L6212">
        <v>0.65445251250207703</v>
      </c>
      <c r="M6212">
        <v>9.3607305936073096E-2</v>
      </c>
      <c r="N6212">
        <v>0.45205479452054798</v>
      </c>
      <c r="O6212">
        <v>0.31582952815829501</v>
      </c>
      <c r="P6212" t="s">
        <v>12781</v>
      </c>
      <c r="Q6212" t="s">
        <v>12782</v>
      </c>
      <c r="R6212" t="s">
        <v>288</v>
      </c>
      <c r="S6212" t="s">
        <v>289</v>
      </c>
      <c r="T6212" t="s">
        <v>12783</v>
      </c>
      <c r="U6212" t="s">
        <v>407</v>
      </c>
      <c r="V6212" t="s">
        <v>12784</v>
      </c>
      <c r="W6212" t="s">
        <v>12785</v>
      </c>
      <c r="AD6212" t="s">
        <v>410</v>
      </c>
      <c r="AE6212" t="s">
        <v>411</v>
      </c>
      <c r="AF6212" t="s">
        <v>12787</v>
      </c>
    </row>
    <row r="6213" spans="1:32" hidden="1" x14ac:dyDescent="0.35">
      <c r="A6213">
        <v>6422</v>
      </c>
      <c r="B6213" t="s">
        <v>13228</v>
      </c>
      <c r="C6213" t="s">
        <v>68</v>
      </c>
      <c r="D6213" t="s">
        <v>58</v>
      </c>
      <c r="E6213">
        <v>166</v>
      </c>
      <c r="F6213">
        <v>3</v>
      </c>
      <c r="G6213">
        <v>3</v>
      </c>
      <c r="H6213">
        <v>1</v>
      </c>
      <c r="I6213">
        <v>0</v>
      </c>
      <c r="J6213">
        <v>0.76783143567595902</v>
      </c>
      <c r="K6213">
        <v>0.92342396332496701</v>
      </c>
      <c r="L6213">
        <v>0.83847057980272</v>
      </c>
      <c r="M6213">
        <v>0.49729144095341299</v>
      </c>
      <c r="N6213">
        <v>0.99566630552545998</v>
      </c>
      <c r="O6213">
        <v>0.66341639581076195</v>
      </c>
      <c r="P6213" t="s">
        <v>13229</v>
      </c>
      <c r="Q6213" t="s">
        <v>13230</v>
      </c>
      <c r="R6213" t="s">
        <v>516</v>
      </c>
      <c r="S6213" t="s">
        <v>517</v>
      </c>
      <c r="T6213" t="s">
        <v>13231</v>
      </c>
      <c r="U6213" t="s">
        <v>13232</v>
      </c>
      <c r="V6213" t="s">
        <v>13233</v>
      </c>
      <c r="W6213" t="s">
        <v>13234</v>
      </c>
      <c r="AD6213" t="s">
        <v>166</v>
      </c>
      <c r="AE6213" t="s">
        <v>167</v>
      </c>
      <c r="AF6213" t="s">
        <v>13235</v>
      </c>
    </row>
    <row r="6214" spans="1:32" hidden="1" x14ac:dyDescent="0.35">
      <c r="A6214">
        <v>6213</v>
      </c>
      <c r="B6214" t="s">
        <v>12788</v>
      </c>
      <c r="C6214" t="s">
        <v>68</v>
      </c>
      <c r="D6214" t="s">
        <v>60</v>
      </c>
      <c r="E6214">
        <v>1830</v>
      </c>
      <c r="F6214">
        <v>3</v>
      </c>
      <c r="G6214">
        <v>3</v>
      </c>
      <c r="H6214">
        <v>1</v>
      </c>
      <c r="I6214">
        <v>0</v>
      </c>
      <c r="J6214">
        <v>0.84536610343062002</v>
      </c>
      <c r="K6214">
        <v>0.85757447792557795</v>
      </c>
      <c r="L6214">
        <v>0.85142652978313804</v>
      </c>
      <c r="M6214">
        <v>0.58527131782945696</v>
      </c>
      <c r="N6214">
        <v>0.99224806201550397</v>
      </c>
      <c r="O6214">
        <v>0.72093023255814004</v>
      </c>
      <c r="P6214" t="s">
        <v>12789</v>
      </c>
      <c r="Q6214" t="s">
        <v>12790</v>
      </c>
      <c r="R6214" t="s">
        <v>869</v>
      </c>
      <c r="S6214" t="s">
        <v>870</v>
      </c>
      <c r="T6214" t="s">
        <v>12791</v>
      </c>
      <c r="U6214" t="s">
        <v>12792</v>
      </c>
      <c r="V6214" t="s">
        <v>12793</v>
      </c>
      <c r="W6214" t="s">
        <v>12794</v>
      </c>
      <c r="AD6214" t="s">
        <v>219</v>
      </c>
      <c r="AE6214" t="s">
        <v>12795</v>
      </c>
      <c r="AF6214" t="e">
        <f>--------------------------------------MTTATDTRESLSAALKTSTAEAHDKAEHSVFMDDLLAGKLSVADFIALQEQSWLFYSALEDAARAVADHPLASGIVDPALERVNALEHDLDHLHGSTEWRTTVTPLPATAEYIARLNDIEETKDVARLLAHHYVRYLGDLSGGQVIGRMMQRHYGVSDECVTFYRFAEIPKTKPYKDNYRAALDALPIDAADRERLLAEATDAFLLNLNLFNALG---AR</f>
        <v>#NAME?</v>
      </c>
    </row>
    <row r="6215" spans="1:32" hidden="1" x14ac:dyDescent="0.35">
      <c r="A6215">
        <v>6214</v>
      </c>
      <c r="B6215" t="s">
        <v>12788</v>
      </c>
      <c r="C6215" t="s">
        <v>68</v>
      </c>
      <c r="D6215" t="s">
        <v>62</v>
      </c>
      <c r="E6215">
        <v>1868</v>
      </c>
      <c r="F6215">
        <v>3</v>
      </c>
      <c r="G6215">
        <v>3</v>
      </c>
      <c r="H6215">
        <v>1</v>
      </c>
      <c r="I6215">
        <v>0</v>
      </c>
      <c r="J6215">
        <v>0.84536610343062002</v>
      </c>
      <c r="K6215">
        <v>0.85757447792557795</v>
      </c>
      <c r="L6215">
        <v>0.85142652978313804</v>
      </c>
      <c r="M6215">
        <v>0.58527131782945696</v>
      </c>
      <c r="N6215">
        <v>0.99224806201550397</v>
      </c>
      <c r="O6215">
        <v>0.72093023255814004</v>
      </c>
      <c r="P6215" t="s">
        <v>12789</v>
      </c>
      <c r="Q6215" t="s">
        <v>12790</v>
      </c>
      <c r="R6215" t="s">
        <v>869</v>
      </c>
      <c r="S6215" t="s">
        <v>870</v>
      </c>
      <c r="T6215" t="s">
        <v>12791</v>
      </c>
      <c r="U6215" t="s">
        <v>12792</v>
      </c>
      <c r="V6215" t="s">
        <v>12793</v>
      </c>
      <c r="W6215" t="s">
        <v>12794</v>
      </c>
      <c r="AD6215" t="s">
        <v>219</v>
      </c>
      <c r="AE6215" t="s">
        <v>12795</v>
      </c>
      <c r="AF6215" t="e">
        <f>--------------------------------------MTTATDTRESLSAALKTSTAEAHDKAEHSVFMDDLLAGKLSVADFIALQEQSWLFYSALEDAARAVADHPLASGIVDPALERVNALEHDLDHLHGSTEWRTTVTPLPATAEYIARLNDIEETKDVARLLAHHYVRYLGDLSGGQVIGRMMQRHYGVSDECVTFYRFAEIPKTKPYKDNYRAALDALPIDAADCERLLAEAADAFLLNLNLFNALG---AR</f>
        <v>#NAME?</v>
      </c>
    </row>
    <row r="6216" spans="1:32" hidden="1" x14ac:dyDescent="0.35">
      <c r="A6216">
        <v>6215</v>
      </c>
      <c r="B6216" t="s">
        <v>12797</v>
      </c>
      <c r="C6216" t="s">
        <v>68</v>
      </c>
      <c r="D6216" t="s">
        <v>60</v>
      </c>
      <c r="E6216">
        <v>500</v>
      </c>
      <c r="F6216">
        <v>2</v>
      </c>
      <c r="G6216">
        <v>3</v>
      </c>
      <c r="H6216">
        <v>2</v>
      </c>
      <c r="I6216">
        <v>0</v>
      </c>
      <c r="J6216">
        <v>0.76554536187563704</v>
      </c>
      <c r="K6216">
        <v>0.59555948521465696</v>
      </c>
      <c r="L6216">
        <v>0.66993781206757697</v>
      </c>
      <c r="M6216">
        <v>0.26819923371647503</v>
      </c>
      <c r="N6216">
        <v>0.55172413793103403</v>
      </c>
      <c r="O6216">
        <v>0.37164750957854398</v>
      </c>
      <c r="P6216" t="s">
        <v>12798</v>
      </c>
      <c r="Q6216" t="s">
        <v>12799</v>
      </c>
      <c r="R6216" t="s">
        <v>2071</v>
      </c>
      <c r="S6216" t="s">
        <v>2072</v>
      </c>
      <c r="V6216" t="s">
        <v>12800</v>
      </c>
      <c r="W6216" t="s">
        <v>12801</v>
      </c>
      <c r="AF6216" t="s">
        <v>12802</v>
      </c>
    </row>
    <row r="6217" spans="1:32" hidden="1" x14ac:dyDescent="0.35">
      <c r="A6217">
        <v>6216</v>
      </c>
      <c r="B6217" t="s">
        <v>12797</v>
      </c>
      <c r="C6217" t="s">
        <v>68</v>
      </c>
      <c r="D6217" t="s">
        <v>62</v>
      </c>
      <c r="E6217">
        <v>584</v>
      </c>
      <c r="F6217">
        <v>2</v>
      </c>
      <c r="G6217">
        <v>3</v>
      </c>
      <c r="H6217">
        <v>2</v>
      </c>
      <c r="I6217">
        <v>0</v>
      </c>
      <c r="J6217">
        <v>0.76554536187563704</v>
      </c>
      <c r="K6217">
        <v>0.59555948521465696</v>
      </c>
      <c r="L6217">
        <v>0.66993781206757697</v>
      </c>
      <c r="M6217">
        <v>0.26819923371647503</v>
      </c>
      <c r="N6217">
        <v>0.55172413793103403</v>
      </c>
      <c r="O6217">
        <v>0.37164750957854398</v>
      </c>
      <c r="P6217" t="s">
        <v>6852</v>
      </c>
      <c r="Q6217" t="s">
        <v>6853</v>
      </c>
      <c r="R6217" t="s">
        <v>2071</v>
      </c>
      <c r="S6217" t="s">
        <v>2072</v>
      </c>
      <c r="V6217" t="s">
        <v>12800</v>
      </c>
      <c r="W6217" t="s">
        <v>12801</v>
      </c>
      <c r="AF6217" t="s">
        <v>12803</v>
      </c>
    </row>
    <row r="6218" spans="1:32" hidden="1" x14ac:dyDescent="0.35">
      <c r="A6218">
        <v>6217</v>
      </c>
      <c r="B6218" t="s">
        <v>12797</v>
      </c>
      <c r="C6218" t="s">
        <v>68</v>
      </c>
      <c r="D6218" t="s">
        <v>62</v>
      </c>
      <c r="E6218">
        <v>583</v>
      </c>
      <c r="F6218">
        <v>2</v>
      </c>
      <c r="G6218">
        <v>3</v>
      </c>
      <c r="H6218">
        <v>2</v>
      </c>
      <c r="I6218">
        <v>0</v>
      </c>
      <c r="J6218">
        <v>0.76554536187563704</v>
      </c>
      <c r="K6218">
        <v>0.59555948521465696</v>
      </c>
      <c r="L6218">
        <v>0.66993781206757697</v>
      </c>
      <c r="M6218">
        <v>0.26819923371647503</v>
      </c>
      <c r="N6218">
        <v>0.55172413793103403</v>
      </c>
      <c r="O6218">
        <v>0.37164750957854398</v>
      </c>
      <c r="P6218" t="s">
        <v>12798</v>
      </c>
      <c r="Q6218" t="s">
        <v>12799</v>
      </c>
      <c r="R6218" t="s">
        <v>2071</v>
      </c>
      <c r="S6218" t="s">
        <v>2072</v>
      </c>
      <c r="V6218" t="s">
        <v>12800</v>
      </c>
      <c r="W6218" t="s">
        <v>12801</v>
      </c>
      <c r="AF6218" t="s">
        <v>12804</v>
      </c>
    </row>
    <row r="6219" spans="1:32" hidden="1" x14ac:dyDescent="0.35">
      <c r="A6219">
        <v>6218</v>
      </c>
      <c r="B6219" t="s">
        <v>12805</v>
      </c>
      <c r="C6219" t="s">
        <v>68</v>
      </c>
      <c r="D6219" t="s">
        <v>34</v>
      </c>
      <c r="E6219">
        <v>2469</v>
      </c>
      <c r="F6219">
        <v>2</v>
      </c>
      <c r="G6219">
        <v>3</v>
      </c>
      <c r="H6219">
        <v>2</v>
      </c>
      <c r="I6219">
        <v>0</v>
      </c>
      <c r="J6219">
        <v>0.79145299145299097</v>
      </c>
      <c r="K6219">
        <v>0.94373401534526802</v>
      </c>
      <c r="L6219">
        <v>0.86091136765617304</v>
      </c>
      <c r="M6219">
        <v>0.50724637681159401</v>
      </c>
      <c r="N6219">
        <v>0.97101449275362295</v>
      </c>
      <c r="O6219">
        <v>0.66183574879227003</v>
      </c>
      <c r="AF6219" t="s">
        <v>12806</v>
      </c>
    </row>
    <row r="6220" spans="1:32" hidden="1" x14ac:dyDescent="0.35">
      <c r="A6220">
        <v>6219</v>
      </c>
      <c r="B6220" t="s">
        <v>12805</v>
      </c>
      <c r="C6220" t="s">
        <v>68</v>
      </c>
      <c r="D6220" t="s">
        <v>45</v>
      </c>
      <c r="E6220">
        <v>432</v>
      </c>
      <c r="F6220">
        <v>2</v>
      </c>
      <c r="G6220">
        <v>3</v>
      </c>
      <c r="H6220">
        <v>2</v>
      </c>
      <c r="I6220">
        <v>0</v>
      </c>
      <c r="J6220">
        <v>0.79145299145299097</v>
      </c>
      <c r="K6220">
        <v>0.94373401534526802</v>
      </c>
      <c r="L6220">
        <v>0.86091136765617304</v>
      </c>
      <c r="M6220">
        <v>0.50724637681159401</v>
      </c>
      <c r="N6220">
        <v>0.97101449275362295</v>
      </c>
      <c r="O6220">
        <v>0.66183574879227003</v>
      </c>
      <c r="AF6220" t="s">
        <v>12807</v>
      </c>
    </row>
    <row r="6221" spans="1:32" hidden="1" x14ac:dyDescent="0.35">
      <c r="A6221">
        <v>6220</v>
      </c>
      <c r="B6221" t="s">
        <v>12805</v>
      </c>
      <c r="C6221" t="s">
        <v>68</v>
      </c>
      <c r="D6221" t="s">
        <v>45</v>
      </c>
      <c r="E6221">
        <v>6</v>
      </c>
      <c r="F6221">
        <v>2</v>
      </c>
      <c r="G6221">
        <v>3</v>
      </c>
      <c r="H6221">
        <v>2</v>
      </c>
      <c r="I6221">
        <v>0</v>
      </c>
      <c r="J6221">
        <v>0.79145299145299097</v>
      </c>
      <c r="K6221">
        <v>0.94373401534526802</v>
      </c>
      <c r="L6221">
        <v>0.86091136765617304</v>
      </c>
      <c r="M6221">
        <v>0.50724637681159401</v>
      </c>
      <c r="N6221">
        <v>0.97101449275362295</v>
      </c>
      <c r="O6221">
        <v>0.66183574879227003</v>
      </c>
      <c r="AF6221" t="s">
        <v>12808</v>
      </c>
    </row>
    <row r="6222" spans="1:32" hidden="1" x14ac:dyDescent="0.35">
      <c r="A6222">
        <v>6221</v>
      </c>
      <c r="B6222" t="s">
        <v>12809</v>
      </c>
      <c r="C6222" t="s">
        <v>68</v>
      </c>
      <c r="D6222" t="s">
        <v>58</v>
      </c>
      <c r="E6222">
        <v>107</v>
      </c>
      <c r="F6222">
        <v>3</v>
      </c>
      <c r="G6222">
        <v>3</v>
      </c>
      <c r="H6222">
        <v>1</v>
      </c>
      <c r="I6222">
        <v>0</v>
      </c>
      <c r="J6222">
        <v>0.79223985890652604</v>
      </c>
      <c r="K6222">
        <v>0.86015950303838395</v>
      </c>
      <c r="L6222">
        <v>0.82480380835072697</v>
      </c>
      <c r="M6222">
        <v>0.49193548387096803</v>
      </c>
      <c r="N6222">
        <v>0.99462365591397806</v>
      </c>
      <c r="O6222">
        <v>0.66039426523297495</v>
      </c>
      <c r="P6222" t="s">
        <v>1189</v>
      </c>
      <c r="Q6222" t="s">
        <v>1190</v>
      </c>
      <c r="R6222" t="s">
        <v>288</v>
      </c>
      <c r="S6222" t="s">
        <v>289</v>
      </c>
      <c r="T6222" t="s">
        <v>12810</v>
      </c>
      <c r="U6222" t="s">
        <v>407</v>
      </c>
      <c r="V6222" t="s">
        <v>12811</v>
      </c>
      <c r="W6222" t="s">
        <v>12812</v>
      </c>
      <c r="AD6222" t="s">
        <v>410</v>
      </c>
      <c r="AE6222" t="s">
        <v>411</v>
      </c>
      <c r="AF6222" t="s">
        <v>12813</v>
      </c>
    </row>
    <row r="6223" spans="1:32" hidden="1" x14ac:dyDescent="0.35">
      <c r="A6223">
        <v>6222</v>
      </c>
      <c r="B6223" t="s">
        <v>12809</v>
      </c>
      <c r="C6223" t="s">
        <v>68</v>
      </c>
      <c r="D6223" t="s">
        <v>34</v>
      </c>
      <c r="E6223">
        <v>1225</v>
      </c>
      <c r="F6223">
        <v>3</v>
      </c>
      <c r="G6223">
        <v>3</v>
      </c>
      <c r="H6223">
        <v>1</v>
      </c>
      <c r="I6223">
        <v>0</v>
      </c>
      <c r="J6223">
        <v>0.79223985890652604</v>
      </c>
      <c r="K6223">
        <v>0.86015950303838395</v>
      </c>
      <c r="L6223">
        <v>0.82480380835072697</v>
      </c>
      <c r="M6223">
        <v>0.49193548387096803</v>
      </c>
      <c r="N6223">
        <v>0.99462365591397806</v>
      </c>
      <c r="O6223">
        <v>0.66039426523297495</v>
      </c>
      <c r="P6223" t="s">
        <v>1189</v>
      </c>
      <c r="Q6223" t="s">
        <v>1190</v>
      </c>
      <c r="R6223" t="s">
        <v>288</v>
      </c>
      <c r="S6223" t="s">
        <v>289</v>
      </c>
      <c r="T6223" t="s">
        <v>12810</v>
      </c>
      <c r="U6223" t="s">
        <v>407</v>
      </c>
      <c r="V6223" t="s">
        <v>12811</v>
      </c>
      <c r="W6223" t="s">
        <v>12812</v>
      </c>
      <c r="AD6223" t="s">
        <v>410</v>
      </c>
      <c r="AE6223" t="s">
        <v>411</v>
      </c>
      <c r="AF6223" t="s">
        <v>12814</v>
      </c>
    </row>
    <row r="6224" spans="1:32" hidden="1" x14ac:dyDescent="0.35">
      <c r="A6224">
        <v>6223</v>
      </c>
      <c r="B6224" t="s">
        <v>12809</v>
      </c>
      <c r="C6224" t="s">
        <v>68</v>
      </c>
      <c r="D6224" t="s">
        <v>45</v>
      </c>
      <c r="E6224">
        <v>2468</v>
      </c>
      <c r="F6224">
        <v>3</v>
      </c>
      <c r="G6224">
        <v>3</v>
      </c>
      <c r="H6224">
        <v>1</v>
      </c>
      <c r="I6224">
        <v>0</v>
      </c>
      <c r="J6224">
        <v>0.79223985890652604</v>
      </c>
      <c r="K6224">
        <v>0.86015950303838395</v>
      </c>
      <c r="L6224">
        <v>0.82480380835072697</v>
      </c>
      <c r="M6224">
        <v>0.49193548387096803</v>
      </c>
      <c r="N6224">
        <v>0.99462365591397806</v>
      </c>
      <c r="O6224">
        <v>0.66039426523297495</v>
      </c>
      <c r="P6224" t="s">
        <v>1189</v>
      </c>
      <c r="Q6224" t="s">
        <v>1190</v>
      </c>
      <c r="R6224" t="s">
        <v>288</v>
      </c>
      <c r="S6224" t="s">
        <v>289</v>
      </c>
      <c r="T6224" t="s">
        <v>12810</v>
      </c>
      <c r="U6224" t="s">
        <v>407</v>
      </c>
      <c r="V6224" t="s">
        <v>12811</v>
      </c>
      <c r="W6224" t="s">
        <v>12812</v>
      </c>
      <c r="AD6224" t="s">
        <v>410</v>
      </c>
      <c r="AE6224" t="s">
        <v>411</v>
      </c>
      <c r="AF6224" t="s">
        <v>12815</v>
      </c>
    </row>
    <row r="6225" spans="1:32" hidden="1" x14ac:dyDescent="0.35">
      <c r="A6225">
        <v>6224</v>
      </c>
      <c r="B6225" t="s">
        <v>12816</v>
      </c>
      <c r="C6225" t="s">
        <v>68</v>
      </c>
      <c r="D6225" t="s">
        <v>58</v>
      </c>
      <c r="E6225">
        <v>706</v>
      </c>
      <c r="F6225">
        <v>3</v>
      </c>
      <c r="G6225">
        <v>3</v>
      </c>
      <c r="H6225">
        <v>1</v>
      </c>
      <c r="I6225">
        <v>0</v>
      </c>
      <c r="J6225">
        <v>0.90819542947202503</v>
      </c>
      <c r="K6225">
        <v>0.98443964412551199</v>
      </c>
      <c r="L6225">
        <v>0.94478179957471997</v>
      </c>
      <c r="M6225">
        <v>0.80802792321116901</v>
      </c>
      <c r="N6225">
        <v>0.99650959860383903</v>
      </c>
      <c r="O6225">
        <v>0.87085514834205902</v>
      </c>
      <c r="P6225" t="s">
        <v>169</v>
      </c>
      <c r="Q6225" t="s">
        <v>170</v>
      </c>
      <c r="R6225" t="s">
        <v>96</v>
      </c>
      <c r="S6225" t="s">
        <v>97</v>
      </c>
      <c r="T6225" t="s">
        <v>12817</v>
      </c>
      <c r="U6225" t="s">
        <v>12818</v>
      </c>
      <c r="V6225" t="s">
        <v>11799</v>
      </c>
      <c r="W6225" t="s">
        <v>11800</v>
      </c>
      <c r="AD6225" t="s">
        <v>439</v>
      </c>
      <c r="AE6225" t="s">
        <v>471</v>
      </c>
      <c r="AF6225" t="s">
        <v>12819</v>
      </c>
    </row>
    <row r="6226" spans="1:32" hidden="1" x14ac:dyDescent="0.35">
      <c r="A6226">
        <v>6225</v>
      </c>
      <c r="B6226" t="s">
        <v>12816</v>
      </c>
      <c r="C6226" t="s">
        <v>68</v>
      </c>
      <c r="D6226" t="s">
        <v>60</v>
      </c>
      <c r="E6226">
        <v>918</v>
      </c>
      <c r="F6226">
        <v>3</v>
      </c>
      <c r="G6226">
        <v>3</v>
      </c>
      <c r="H6226">
        <v>1</v>
      </c>
      <c r="I6226">
        <v>0</v>
      </c>
      <c r="J6226">
        <v>0.90819542947202503</v>
      </c>
      <c r="K6226">
        <v>0.98443964412551199</v>
      </c>
      <c r="L6226">
        <v>0.94478179957471997</v>
      </c>
      <c r="M6226">
        <v>0.80802792321116901</v>
      </c>
      <c r="N6226">
        <v>0.99650959860383903</v>
      </c>
      <c r="O6226">
        <v>0.87085514834205902</v>
      </c>
      <c r="P6226" t="s">
        <v>169</v>
      </c>
      <c r="Q6226" t="s">
        <v>170</v>
      </c>
      <c r="R6226" t="s">
        <v>96</v>
      </c>
      <c r="S6226" t="s">
        <v>97</v>
      </c>
      <c r="T6226" t="s">
        <v>12817</v>
      </c>
      <c r="U6226" t="s">
        <v>12818</v>
      </c>
      <c r="V6226" t="s">
        <v>11799</v>
      </c>
      <c r="W6226" t="s">
        <v>11800</v>
      </c>
      <c r="AD6226" t="s">
        <v>439</v>
      </c>
      <c r="AE6226" t="s">
        <v>471</v>
      </c>
      <c r="AF6226" t="s">
        <v>12820</v>
      </c>
    </row>
    <row r="6227" spans="1:32" hidden="1" x14ac:dyDescent="0.35">
      <c r="A6227">
        <v>6226</v>
      </c>
      <c r="B6227" t="s">
        <v>12816</v>
      </c>
      <c r="C6227" t="s">
        <v>68</v>
      </c>
      <c r="D6227" t="s">
        <v>62</v>
      </c>
      <c r="E6227">
        <v>954</v>
      </c>
      <c r="F6227">
        <v>3</v>
      </c>
      <c r="G6227">
        <v>3</v>
      </c>
      <c r="H6227">
        <v>1</v>
      </c>
      <c r="I6227">
        <v>0</v>
      </c>
      <c r="J6227">
        <v>0.90819542947202503</v>
      </c>
      <c r="K6227">
        <v>0.98443964412551199</v>
      </c>
      <c r="L6227">
        <v>0.94478179957471997</v>
      </c>
      <c r="M6227">
        <v>0.80802792321116901</v>
      </c>
      <c r="N6227">
        <v>0.99650959860383903</v>
      </c>
      <c r="O6227">
        <v>0.87085514834205902</v>
      </c>
      <c r="P6227" t="s">
        <v>169</v>
      </c>
      <c r="Q6227" t="s">
        <v>170</v>
      </c>
      <c r="R6227" t="s">
        <v>96</v>
      </c>
      <c r="S6227" t="s">
        <v>97</v>
      </c>
      <c r="T6227" t="s">
        <v>12817</v>
      </c>
      <c r="U6227" t="s">
        <v>12818</v>
      </c>
      <c r="V6227" t="s">
        <v>11799</v>
      </c>
      <c r="W6227" t="s">
        <v>11800</v>
      </c>
      <c r="AD6227" t="s">
        <v>439</v>
      </c>
      <c r="AE6227" t="s">
        <v>471</v>
      </c>
      <c r="AF6227" t="s">
        <v>12820</v>
      </c>
    </row>
    <row r="6228" spans="1:32" hidden="1" x14ac:dyDescent="0.35">
      <c r="A6228">
        <v>10876</v>
      </c>
      <c r="B6228" t="s">
        <v>21870</v>
      </c>
      <c r="C6228" t="s">
        <v>33</v>
      </c>
      <c r="D6228" t="s">
        <v>58</v>
      </c>
      <c r="E6228">
        <v>989</v>
      </c>
      <c r="F6228">
        <v>1</v>
      </c>
      <c r="G6228">
        <v>1</v>
      </c>
      <c r="H6228">
        <v>1</v>
      </c>
      <c r="I6228">
        <v>0</v>
      </c>
      <c r="J6228">
        <v>1</v>
      </c>
      <c r="K6228">
        <v>1</v>
      </c>
      <c r="L6228">
        <v>1</v>
      </c>
      <c r="M6228">
        <v>0</v>
      </c>
      <c r="N6228">
        <v>0</v>
      </c>
      <c r="O6228">
        <v>0</v>
      </c>
      <c r="P6228" t="s">
        <v>13229</v>
      </c>
      <c r="Q6228" t="s">
        <v>13230</v>
      </c>
      <c r="R6228" t="s">
        <v>516</v>
      </c>
      <c r="S6228" t="s">
        <v>517</v>
      </c>
      <c r="T6228" t="s">
        <v>13231</v>
      </c>
      <c r="U6228" t="s">
        <v>13232</v>
      </c>
      <c r="V6228" t="s">
        <v>13233</v>
      </c>
      <c r="W6228" t="s">
        <v>13234</v>
      </c>
      <c r="AD6228" t="s">
        <v>166</v>
      </c>
      <c r="AE6228" t="s">
        <v>167</v>
      </c>
      <c r="AF6228" t="s">
        <v>21871</v>
      </c>
    </row>
    <row r="6229" spans="1:32" hidden="1" x14ac:dyDescent="0.35">
      <c r="A6229">
        <v>6228</v>
      </c>
      <c r="B6229" t="s">
        <v>12821</v>
      </c>
      <c r="C6229" t="s">
        <v>68</v>
      </c>
      <c r="D6229" t="s">
        <v>60</v>
      </c>
      <c r="E6229">
        <v>827</v>
      </c>
      <c r="F6229">
        <v>3</v>
      </c>
      <c r="G6229">
        <v>3</v>
      </c>
      <c r="H6229">
        <v>1</v>
      </c>
      <c r="I6229">
        <v>0</v>
      </c>
      <c r="J6229">
        <v>0.79251074278698597</v>
      </c>
      <c r="K6229">
        <v>0.91548652352672499</v>
      </c>
      <c r="L6229">
        <v>0.84957150585787899</v>
      </c>
      <c r="M6229">
        <v>0.50753768844221103</v>
      </c>
      <c r="N6229">
        <v>0.98492462311557805</v>
      </c>
      <c r="O6229">
        <v>0.66834170854271402</v>
      </c>
      <c r="P6229" t="s">
        <v>12822</v>
      </c>
      <c r="Q6229" t="s">
        <v>12823</v>
      </c>
      <c r="R6229" t="s">
        <v>224</v>
      </c>
      <c r="S6229" t="s">
        <v>225</v>
      </c>
      <c r="T6229" t="s">
        <v>12824</v>
      </c>
      <c r="U6229" t="s">
        <v>12825</v>
      </c>
      <c r="V6229" t="s">
        <v>12826</v>
      </c>
      <c r="W6229" t="s">
        <v>12827</v>
      </c>
      <c r="X6229" t="s">
        <v>12826</v>
      </c>
      <c r="Y6229" t="s">
        <v>773</v>
      </c>
      <c r="AD6229" t="s">
        <v>12828</v>
      </c>
      <c r="AE6229" t="s">
        <v>12829</v>
      </c>
      <c r="AF6229" t="s">
        <v>12830</v>
      </c>
    </row>
    <row r="6230" spans="1:32" hidden="1" x14ac:dyDescent="0.35">
      <c r="A6230">
        <v>6229</v>
      </c>
      <c r="B6230" t="s">
        <v>12821</v>
      </c>
      <c r="C6230" t="s">
        <v>68</v>
      </c>
      <c r="D6230" t="s">
        <v>62</v>
      </c>
      <c r="E6230">
        <v>860</v>
      </c>
      <c r="F6230">
        <v>3</v>
      </c>
      <c r="G6230">
        <v>3</v>
      </c>
      <c r="H6230">
        <v>1</v>
      </c>
      <c r="I6230">
        <v>0</v>
      </c>
      <c r="J6230">
        <v>0.79251074278698597</v>
      </c>
      <c r="K6230">
        <v>0.91548652352672499</v>
      </c>
      <c r="L6230">
        <v>0.84957150585787899</v>
      </c>
      <c r="M6230">
        <v>0.50753768844221103</v>
      </c>
      <c r="N6230">
        <v>0.98492462311557805</v>
      </c>
      <c r="O6230">
        <v>0.66834170854271402</v>
      </c>
      <c r="P6230" t="s">
        <v>12822</v>
      </c>
      <c r="Q6230" t="s">
        <v>12823</v>
      </c>
      <c r="R6230" t="s">
        <v>224</v>
      </c>
      <c r="S6230" t="s">
        <v>225</v>
      </c>
      <c r="T6230" t="s">
        <v>12824</v>
      </c>
      <c r="U6230" t="s">
        <v>12825</v>
      </c>
      <c r="V6230" t="s">
        <v>12826</v>
      </c>
      <c r="W6230" t="s">
        <v>12827</v>
      </c>
      <c r="X6230" t="s">
        <v>12826</v>
      </c>
      <c r="Y6230" t="s">
        <v>773</v>
      </c>
      <c r="AD6230" t="s">
        <v>12828</v>
      </c>
      <c r="AE6230" t="s">
        <v>12829</v>
      </c>
      <c r="AF6230" t="s">
        <v>12831</v>
      </c>
    </row>
    <row r="6231" spans="1:32" hidden="1" x14ac:dyDescent="0.35">
      <c r="A6231">
        <v>6230</v>
      </c>
      <c r="B6231" t="s">
        <v>12832</v>
      </c>
      <c r="C6231" t="s">
        <v>68</v>
      </c>
      <c r="D6231" t="s">
        <v>60</v>
      </c>
      <c r="E6231">
        <v>758</v>
      </c>
      <c r="F6231">
        <v>2</v>
      </c>
      <c r="G6231">
        <v>3</v>
      </c>
      <c r="H6231">
        <v>2</v>
      </c>
      <c r="I6231">
        <v>0</v>
      </c>
      <c r="J6231">
        <v>0.91449275362318805</v>
      </c>
      <c r="K6231">
        <v>0.53534702529288603</v>
      </c>
      <c r="L6231">
        <v>0.67534493455557698</v>
      </c>
      <c r="M6231">
        <v>0.180555555555556</v>
      </c>
      <c r="N6231">
        <v>0.50694444444444398</v>
      </c>
      <c r="O6231">
        <v>0.358024691358025</v>
      </c>
      <c r="P6231" t="s">
        <v>4915</v>
      </c>
      <c r="Q6231" t="s">
        <v>4916</v>
      </c>
      <c r="R6231" t="s">
        <v>319</v>
      </c>
      <c r="S6231" t="s">
        <v>320</v>
      </c>
      <c r="T6231" t="s">
        <v>12833</v>
      </c>
      <c r="U6231" t="s">
        <v>12834</v>
      </c>
      <c r="V6231" t="s">
        <v>4360</v>
      </c>
      <c r="W6231" t="s">
        <v>4361</v>
      </c>
      <c r="AD6231" t="s">
        <v>166</v>
      </c>
      <c r="AE6231" t="s">
        <v>12835</v>
      </c>
      <c r="AF6231" t="s">
        <v>12836</v>
      </c>
    </row>
    <row r="6232" spans="1:32" hidden="1" x14ac:dyDescent="0.35">
      <c r="A6232">
        <v>6231</v>
      </c>
      <c r="B6232" t="s">
        <v>12832</v>
      </c>
      <c r="C6232" t="s">
        <v>68</v>
      </c>
      <c r="D6232" t="s">
        <v>62</v>
      </c>
      <c r="E6232">
        <v>790</v>
      </c>
      <c r="F6232">
        <v>2</v>
      </c>
      <c r="G6232">
        <v>3</v>
      </c>
      <c r="H6232">
        <v>2</v>
      </c>
      <c r="I6232">
        <v>0</v>
      </c>
      <c r="J6232">
        <v>0.91449275362318805</v>
      </c>
      <c r="K6232">
        <v>0.53534702529288603</v>
      </c>
      <c r="L6232">
        <v>0.67534493455557698</v>
      </c>
      <c r="M6232">
        <v>0.180555555555556</v>
      </c>
      <c r="N6232">
        <v>0.50694444444444398</v>
      </c>
      <c r="O6232">
        <v>0.358024691358025</v>
      </c>
      <c r="P6232" t="s">
        <v>4915</v>
      </c>
      <c r="Q6232" t="s">
        <v>4916</v>
      </c>
      <c r="R6232" t="s">
        <v>319</v>
      </c>
      <c r="S6232" t="s">
        <v>320</v>
      </c>
      <c r="T6232" t="s">
        <v>12833</v>
      </c>
      <c r="U6232" t="s">
        <v>12834</v>
      </c>
      <c r="V6232" t="s">
        <v>4360</v>
      </c>
      <c r="W6232" t="s">
        <v>4361</v>
      </c>
      <c r="AD6232" t="s">
        <v>166</v>
      </c>
      <c r="AE6232" t="s">
        <v>12835</v>
      </c>
      <c r="AF6232" t="e">
        <f>----------------------------------------------------------------------------------------------------------------------------------------------------MFAS--------------------------------------------------------------FRALFSRKVNITALIFLAAIYTFWNQAASQNGIFLPTILNSMGYDTTRSDLFAMLSWAFVIISTVIFMYLVDRVSYRWHYFAGGLLAIAAWILLVFGPSDAAWVAFGYAIIWGLSAGPSAQAFYSVWSPELFATPYRSGAQGIVFFIVRMASGAISLIFPVILMKPNGLLIDGLILIGFLVAATLIGTIFAPRTQGKSLEQIEIERYGTKVTNTTATQ</f>
        <v>#NAME?</v>
      </c>
    </row>
    <row r="6233" spans="1:32" hidden="1" x14ac:dyDescent="0.35">
      <c r="A6233">
        <v>6232</v>
      </c>
      <c r="B6233" t="s">
        <v>12832</v>
      </c>
      <c r="C6233" t="s">
        <v>68</v>
      </c>
      <c r="D6233" t="s">
        <v>62</v>
      </c>
      <c r="E6233">
        <v>791</v>
      </c>
      <c r="F6233">
        <v>2</v>
      </c>
      <c r="G6233">
        <v>3</v>
      </c>
      <c r="H6233">
        <v>2</v>
      </c>
      <c r="I6233">
        <v>0</v>
      </c>
      <c r="J6233">
        <v>0.91449275362318805</v>
      </c>
      <c r="K6233">
        <v>0.53534702529288603</v>
      </c>
      <c r="L6233">
        <v>0.67534493455557698</v>
      </c>
      <c r="M6233">
        <v>0.180555555555556</v>
      </c>
      <c r="N6233">
        <v>0.50694444444444398</v>
      </c>
      <c r="O6233">
        <v>0.358024691358025</v>
      </c>
      <c r="P6233" t="s">
        <v>4915</v>
      </c>
      <c r="Q6233" t="s">
        <v>4916</v>
      </c>
      <c r="R6233" t="s">
        <v>319</v>
      </c>
      <c r="S6233" t="s">
        <v>320</v>
      </c>
      <c r="T6233" t="s">
        <v>12833</v>
      </c>
      <c r="U6233" t="s">
        <v>12834</v>
      </c>
      <c r="V6233" t="s">
        <v>4360</v>
      </c>
      <c r="W6233" t="s">
        <v>4361</v>
      </c>
      <c r="AD6233" t="s">
        <v>166</v>
      </c>
      <c r="AE6233" t="s">
        <v>12835</v>
      </c>
      <c r="AF6233" t="s">
        <v>12837</v>
      </c>
    </row>
    <row r="6234" spans="1:32" hidden="1" x14ac:dyDescent="0.35">
      <c r="A6234">
        <v>10909</v>
      </c>
      <c r="B6234" t="s">
        <v>21962</v>
      </c>
      <c r="C6234" t="s">
        <v>33</v>
      </c>
      <c r="D6234" t="s">
        <v>58</v>
      </c>
      <c r="E6234">
        <v>92</v>
      </c>
      <c r="F6234">
        <v>1</v>
      </c>
      <c r="G6234">
        <v>1</v>
      </c>
      <c r="H6234">
        <v>1</v>
      </c>
      <c r="I6234">
        <v>0</v>
      </c>
      <c r="J6234">
        <v>1</v>
      </c>
      <c r="K6234">
        <v>1</v>
      </c>
      <c r="L6234">
        <v>1</v>
      </c>
      <c r="M6234">
        <v>0</v>
      </c>
      <c r="N6234">
        <v>0</v>
      </c>
      <c r="O6234">
        <v>0</v>
      </c>
      <c r="P6234" t="s">
        <v>18558</v>
      </c>
      <c r="Q6234" t="s">
        <v>18559</v>
      </c>
      <c r="R6234" t="s">
        <v>235</v>
      </c>
      <c r="S6234" t="s">
        <v>236</v>
      </c>
      <c r="T6234" t="s">
        <v>18560</v>
      </c>
      <c r="U6234" t="s">
        <v>17976</v>
      </c>
      <c r="V6234" t="s">
        <v>18561</v>
      </c>
      <c r="W6234" t="s">
        <v>18562</v>
      </c>
      <c r="AD6234" t="s">
        <v>166</v>
      </c>
      <c r="AE6234" t="s">
        <v>818</v>
      </c>
      <c r="AF6234" t="s">
        <v>21963</v>
      </c>
    </row>
    <row r="6235" spans="1:32" hidden="1" x14ac:dyDescent="0.35">
      <c r="A6235">
        <v>6234</v>
      </c>
      <c r="B6235" t="s">
        <v>12838</v>
      </c>
      <c r="C6235" t="s">
        <v>68</v>
      </c>
      <c r="D6235" t="s">
        <v>34</v>
      </c>
      <c r="E6235">
        <v>2145</v>
      </c>
      <c r="F6235">
        <v>3</v>
      </c>
      <c r="G6235">
        <v>3</v>
      </c>
      <c r="H6235">
        <v>1</v>
      </c>
      <c r="I6235">
        <v>0</v>
      </c>
      <c r="J6235">
        <v>0.759148369926813</v>
      </c>
      <c r="K6235">
        <v>0.955595579205891</v>
      </c>
      <c r="L6235">
        <v>0.84611912656736699</v>
      </c>
      <c r="M6235">
        <v>0.52571428571428602</v>
      </c>
      <c r="N6235">
        <v>0.99142857142857099</v>
      </c>
      <c r="O6235">
        <v>0.68190476190476201</v>
      </c>
      <c r="P6235" t="s">
        <v>4167</v>
      </c>
      <c r="Q6235" t="s">
        <v>4168</v>
      </c>
      <c r="R6235" t="s">
        <v>157</v>
      </c>
      <c r="S6235" t="s">
        <v>158</v>
      </c>
      <c r="T6235" t="s">
        <v>4169</v>
      </c>
      <c r="U6235" t="s">
        <v>4170</v>
      </c>
      <c r="V6235" t="s">
        <v>4171</v>
      </c>
      <c r="W6235" t="s">
        <v>4172</v>
      </c>
      <c r="AD6235" t="s">
        <v>4173</v>
      </c>
      <c r="AE6235" t="s">
        <v>4174</v>
      </c>
      <c r="AF6235" t="s">
        <v>12840</v>
      </c>
    </row>
    <row r="6236" spans="1:32" hidden="1" x14ac:dyDescent="0.35">
      <c r="A6236">
        <v>6235</v>
      </c>
      <c r="B6236" t="s">
        <v>12838</v>
      </c>
      <c r="C6236" t="s">
        <v>68</v>
      </c>
      <c r="D6236" t="s">
        <v>45</v>
      </c>
      <c r="E6236">
        <v>728</v>
      </c>
      <c r="F6236">
        <v>3</v>
      </c>
      <c r="G6236">
        <v>3</v>
      </c>
      <c r="H6236">
        <v>1</v>
      </c>
      <c r="I6236">
        <v>0</v>
      </c>
      <c r="J6236">
        <v>0.759148369926813</v>
      </c>
      <c r="K6236">
        <v>0.955595579205891</v>
      </c>
      <c r="L6236">
        <v>0.84611912656736699</v>
      </c>
      <c r="M6236">
        <v>0.52571428571428602</v>
      </c>
      <c r="N6236">
        <v>0.99142857142857099</v>
      </c>
      <c r="O6236">
        <v>0.68190476190476201</v>
      </c>
      <c r="P6236" t="s">
        <v>4167</v>
      </c>
      <c r="Q6236" t="s">
        <v>4168</v>
      </c>
      <c r="R6236" t="s">
        <v>157</v>
      </c>
      <c r="S6236" t="s">
        <v>158</v>
      </c>
      <c r="T6236" t="s">
        <v>4169</v>
      </c>
      <c r="U6236" t="s">
        <v>4170</v>
      </c>
      <c r="V6236" t="s">
        <v>4171</v>
      </c>
      <c r="W6236" t="s">
        <v>4172</v>
      </c>
      <c r="AD6236" t="s">
        <v>4173</v>
      </c>
      <c r="AE6236" t="s">
        <v>4174</v>
      </c>
      <c r="AF6236" t="s">
        <v>12841</v>
      </c>
    </row>
    <row r="6237" spans="1:32" hidden="1" x14ac:dyDescent="0.35">
      <c r="A6237">
        <v>6236</v>
      </c>
      <c r="B6237" t="s">
        <v>12842</v>
      </c>
      <c r="C6237" t="s">
        <v>68</v>
      </c>
      <c r="D6237" t="s">
        <v>58</v>
      </c>
      <c r="E6237">
        <v>705</v>
      </c>
      <c r="F6237">
        <v>3</v>
      </c>
      <c r="G6237">
        <v>3</v>
      </c>
      <c r="H6237">
        <v>1</v>
      </c>
      <c r="I6237">
        <v>0</v>
      </c>
      <c r="J6237">
        <v>0.89554854539081696</v>
      </c>
      <c r="K6237">
        <v>0.97284568192543497</v>
      </c>
      <c r="L6237">
        <v>0.93259818789901705</v>
      </c>
      <c r="M6237">
        <v>0.751533742331288</v>
      </c>
      <c r="N6237">
        <v>0.97546012269938698</v>
      </c>
      <c r="O6237">
        <v>0.82617586912065399</v>
      </c>
      <c r="P6237" t="s">
        <v>1247</v>
      </c>
      <c r="Q6237" t="s">
        <v>1248</v>
      </c>
      <c r="R6237" t="s">
        <v>12738</v>
      </c>
      <c r="S6237" t="s">
        <v>12739</v>
      </c>
      <c r="T6237" t="s">
        <v>12843</v>
      </c>
      <c r="U6237" t="s">
        <v>12844</v>
      </c>
      <c r="V6237" t="s">
        <v>12845</v>
      </c>
      <c r="W6237" t="s">
        <v>12846</v>
      </c>
      <c r="AD6237" t="s">
        <v>326</v>
      </c>
      <c r="AE6237" t="s">
        <v>467</v>
      </c>
      <c r="AF6237" t="s">
        <v>12847</v>
      </c>
    </row>
    <row r="6238" spans="1:32" hidden="1" x14ac:dyDescent="0.35">
      <c r="A6238">
        <v>6237</v>
      </c>
      <c r="B6238" t="s">
        <v>12842</v>
      </c>
      <c r="C6238" t="s">
        <v>68</v>
      </c>
      <c r="D6238" t="s">
        <v>60</v>
      </c>
      <c r="E6238">
        <v>917</v>
      </c>
      <c r="F6238">
        <v>3</v>
      </c>
      <c r="G6238">
        <v>3</v>
      </c>
      <c r="H6238">
        <v>1</v>
      </c>
      <c r="I6238">
        <v>0</v>
      </c>
      <c r="J6238">
        <v>0.89554854539081696</v>
      </c>
      <c r="K6238">
        <v>0.97284568192543497</v>
      </c>
      <c r="L6238">
        <v>0.93259818789901705</v>
      </c>
      <c r="M6238">
        <v>0.751533742331288</v>
      </c>
      <c r="N6238">
        <v>0.97546012269938698</v>
      </c>
      <c r="O6238">
        <v>0.82617586912065399</v>
      </c>
      <c r="P6238" t="s">
        <v>1247</v>
      </c>
      <c r="Q6238" t="s">
        <v>1248</v>
      </c>
      <c r="R6238" t="s">
        <v>12738</v>
      </c>
      <c r="S6238" t="s">
        <v>12739</v>
      </c>
      <c r="T6238" t="s">
        <v>12843</v>
      </c>
      <c r="U6238" t="s">
        <v>12844</v>
      </c>
      <c r="V6238" t="s">
        <v>12845</v>
      </c>
      <c r="W6238" t="s">
        <v>12846</v>
      </c>
      <c r="AD6238" t="s">
        <v>326</v>
      </c>
      <c r="AE6238" t="s">
        <v>467</v>
      </c>
      <c r="AF6238" t="s">
        <v>12848</v>
      </c>
    </row>
    <row r="6239" spans="1:32" hidden="1" x14ac:dyDescent="0.35">
      <c r="A6239">
        <v>6238</v>
      </c>
      <c r="B6239" t="s">
        <v>12842</v>
      </c>
      <c r="C6239" t="s">
        <v>68</v>
      </c>
      <c r="D6239" t="s">
        <v>62</v>
      </c>
      <c r="E6239">
        <v>953</v>
      </c>
      <c r="F6239">
        <v>3</v>
      </c>
      <c r="G6239">
        <v>3</v>
      </c>
      <c r="H6239">
        <v>1</v>
      </c>
      <c r="I6239">
        <v>0</v>
      </c>
      <c r="J6239">
        <v>0.89554854539081696</v>
      </c>
      <c r="K6239">
        <v>0.97284568192543497</v>
      </c>
      <c r="L6239">
        <v>0.93259818789901705</v>
      </c>
      <c r="M6239">
        <v>0.751533742331288</v>
      </c>
      <c r="N6239">
        <v>0.97546012269938698</v>
      </c>
      <c r="O6239">
        <v>0.82617586912065399</v>
      </c>
      <c r="P6239" t="s">
        <v>1247</v>
      </c>
      <c r="Q6239" t="s">
        <v>1248</v>
      </c>
      <c r="R6239" t="s">
        <v>12738</v>
      </c>
      <c r="S6239" t="s">
        <v>12739</v>
      </c>
      <c r="T6239" t="s">
        <v>12843</v>
      </c>
      <c r="U6239" t="s">
        <v>12844</v>
      </c>
      <c r="V6239" t="s">
        <v>12845</v>
      </c>
      <c r="W6239" t="s">
        <v>12846</v>
      </c>
      <c r="AD6239" t="s">
        <v>326</v>
      </c>
      <c r="AE6239" t="s">
        <v>467</v>
      </c>
      <c r="AF6239" t="s">
        <v>12849</v>
      </c>
    </row>
    <row r="6240" spans="1:32" hidden="1" x14ac:dyDescent="0.35">
      <c r="A6240">
        <v>11418</v>
      </c>
      <c r="B6240" t="s">
        <v>23271</v>
      </c>
      <c r="C6240" t="s">
        <v>33</v>
      </c>
      <c r="D6240" t="s">
        <v>58</v>
      </c>
      <c r="E6240">
        <v>437</v>
      </c>
      <c r="F6240">
        <v>1</v>
      </c>
      <c r="G6240">
        <v>1</v>
      </c>
      <c r="H6240">
        <v>1</v>
      </c>
      <c r="I6240">
        <v>0</v>
      </c>
      <c r="J6240">
        <v>1</v>
      </c>
      <c r="K6240">
        <v>1</v>
      </c>
      <c r="L6240">
        <v>1</v>
      </c>
      <c r="M6240">
        <v>0</v>
      </c>
      <c r="N6240">
        <v>0</v>
      </c>
      <c r="O6240">
        <v>0</v>
      </c>
      <c r="P6240" t="s">
        <v>19144</v>
      </c>
      <c r="Q6240" t="s">
        <v>17398</v>
      </c>
      <c r="R6240" t="s">
        <v>113</v>
      </c>
      <c r="S6240" t="s">
        <v>114</v>
      </c>
      <c r="V6240" t="s">
        <v>14052</v>
      </c>
      <c r="W6240" t="s">
        <v>14053</v>
      </c>
      <c r="AF6240" t="s">
        <v>23272</v>
      </c>
    </row>
    <row r="6241" spans="1:32" hidden="1" x14ac:dyDescent="0.35">
      <c r="A6241">
        <v>6240</v>
      </c>
      <c r="B6241" t="s">
        <v>12850</v>
      </c>
      <c r="C6241" t="s">
        <v>68</v>
      </c>
      <c r="D6241" t="s">
        <v>60</v>
      </c>
      <c r="E6241">
        <v>829</v>
      </c>
      <c r="F6241">
        <v>3</v>
      </c>
      <c r="G6241">
        <v>3</v>
      </c>
      <c r="H6241">
        <v>1</v>
      </c>
      <c r="I6241">
        <v>0</v>
      </c>
      <c r="J6241">
        <v>0.81023102310230999</v>
      </c>
      <c r="K6241">
        <v>0.95842924847664102</v>
      </c>
      <c r="L6241">
        <v>0.87812127975391396</v>
      </c>
      <c r="M6241">
        <v>0.59715639810426502</v>
      </c>
      <c r="N6241">
        <v>0.99052132701421802</v>
      </c>
      <c r="O6241">
        <v>0.72985781990521303</v>
      </c>
      <c r="P6241" t="s">
        <v>12860</v>
      </c>
      <c r="Q6241" t="s">
        <v>12861</v>
      </c>
      <c r="R6241" t="s">
        <v>224</v>
      </c>
      <c r="S6241" t="s">
        <v>225</v>
      </c>
      <c r="T6241" t="s">
        <v>12853</v>
      </c>
      <c r="U6241" t="s">
        <v>12854</v>
      </c>
      <c r="V6241" t="s">
        <v>12855</v>
      </c>
      <c r="W6241" t="s">
        <v>12856</v>
      </c>
      <c r="X6241" t="s">
        <v>12855</v>
      </c>
      <c r="Y6241" t="s">
        <v>749</v>
      </c>
      <c r="AD6241" t="s">
        <v>12857</v>
      </c>
      <c r="AE6241" t="s">
        <v>12858</v>
      </c>
      <c r="AF6241" t="s">
        <v>12862</v>
      </c>
    </row>
    <row r="6242" spans="1:32" hidden="1" x14ac:dyDescent="0.35">
      <c r="A6242">
        <v>6241</v>
      </c>
      <c r="B6242" t="s">
        <v>12850</v>
      </c>
      <c r="C6242" t="s">
        <v>68</v>
      </c>
      <c r="D6242" t="s">
        <v>62</v>
      </c>
      <c r="E6242">
        <v>862</v>
      </c>
      <c r="F6242">
        <v>3</v>
      </c>
      <c r="G6242">
        <v>3</v>
      </c>
      <c r="H6242">
        <v>1</v>
      </c>
      <c r="I6242">
        <v>0</v>
      </c>
      <c r="J6242">
        <v>0.81023102310230999</v>
      </c>
      <c r="K6242">
        <v>0.95842924847664102</v>
      </c>
      <c r="L6242">
        <v>0.87812127975391396</v>
      </c>
      <c r="M6242">
        <v>0.59715639810426502</v>
      </c>
      <c r="N6242">
        <v>0.99052132701421802</v>
      </c>
      <c r="O6242">
        <v>0.72985781990521303</v>
      </c>
      <c r="P6242" t="s">
        <v>12860</v>
      </c>
      <c r="Q6242" t="s">
        <v>12861</v>
      </c>
      <c r="R6242" t="s">
        <v>224</v>
      </c>
      <c r="S6242" t="s">
        <v>225</v>
      </c>
      <c r="T6242" t="s">
        <v>12853</v>
      </c>
      <c r="U6242" t="s">
        <v>12854</v>
      </c>
      <c r="V6242" t="s">
        <v>12855</v>
      </c>
      <c r="W6242" t="s">
        <v>12856</v>
      </c>
      <c r="X6242" t="s">
        <v>12855</v>
      </c>
      <c r="Y6242" t="s">
        <v>749</v>
      </c>
      <c r="AD6242" t="s">
        <v>12857</v>
      </c>
      <c r="AE6242" t="s">
        <v>12858</v>
      </c>
      <c r="AF6242" t="s">
        <v>12863</v>
      </c>
    </row>
    <row r="6243" spans="1:32" hidden="1" x14ac:dyDescent="0.35">
      <c r="A6243">
        <v>6242</v>
      </c>
      <c r="B6243" t="s">
        <v>12864</v>
      </c>
      <c r="C6243" t="s">
        <v>68</v>
      </c>
      <c r="D6243" t="s">
        <v>60</v>
      </c>
      <c r="E6243">
        <v>63</v>
      </c>
      <c r="F6243">
        <v>3</v>
      </c>
      <c r="G6243">
        <v>3</v>
      </c>
      <c r="H6243">
        <v>1</v>
      </c>
      <c r="I6243">
        <v>0</v>
      </c>
      <c r="J6243">
        <v>0.78849902534113103</v>
      </c>
      <c r="K6243">
        <v>0.94065231438968999</v>
      </c>
      <c r="L6243">
        <v>0.85788145437473595</v>
      </c>
      <c r="M6243">
        <v>0.57201646090534997</v>
      </c>
      <c r="N6243">
        <v>0.938271604938272</v>
      </c>
      <c r="O6243">
        <v>0.70096021947873799</v>
      </c>
      <c r="P6243" t="s">
        <v>12866</v>
      </c>
      <c r="Q6243" t="s">
        <v>2878</v>
      </c>
      <c r="R6243" t="s">
        <v>113</v>
      </c>
      <c r="S6243" t="s">
        <v>114</v>
      </c>
      <c r="V6243" t="s">
        <v>10757</v>
      </c>
      <c r="W6243" t="s">
        <v>10758</v>
      </c>
      <c r="AF6243" t="e">
        <f>---------------MNTRYFPEAVPDVSVLCDVLSDQSRAAMCAALMSGTAWTVGELGHYAGVSRSTATEHVNKLVKVDIAHDIRQGCHRYVTLAGSHVAEVIEALGVLSSDLLPTPQSLNAHRTTKALADARTCYSHLAGRLGVRLCTHFIEQGFIAPDWAVTTDGVNFFHSLGIDGSRQLMAKACLDCTERRFHVGGALGKHVCQQFFARQWITRVKGTRAVKLTPAGTTMLNDLNIDLD</f>
        <v>#NAME?</v>
      </c>
    </row>
    <row r="6244" spans="1:32" hidden="1" x14ac:dyDescent="0.35">
      <c r="A6244">
        <v>6243</v>
      </c>
      <c r="B6244" t="s">
        <v>12864</v>
      </c>
      <c r="C6244" t="s">
        <v>68</v>
      </c>
      <c r="D6244" t="s">
        <v>62</v>
      </c>
      <c r="E6244">
        <v>136</v>
      </c>
      <c r="F6244">
        <v>3</v>
      </c>
      <c r="G6244">
        <v>3</v>
      </c>
      <c r="H6244">
        <v>1</v>
      </c>
      <c r="I6244">
        <v>0</v>
      </c>
      <c r="J6244">
        <v>0.78849902534113103</v>
      </c>
      <c r="K6244">
        <v>0.94065231438968999</v>
      </c>
      <c r="L6244">
        <v>0.85788145437473595</v>
      </c>
      <c r="M6244">
        <v>0.57201646090534997</v>
      </c>
      <c r="N6244">
        <v>0.938271604938272</v>
      </c>
      <c r="O6244">
        <v>0.70096021947873799</v>
      </c>
      <c r="P6244" t="s">
        <v>12866</v>
      </c>
      <c r="Q6244" t="s">
        <v>2878</v>
      </c>
      <c r="R6244" t="s">
        <v>113</v>
      </c>
      <c r="S6244" t="s">
        <v>114</v>
      </c>
      <c r="V6244" t="s">
        <v>10757</v>
      </c>
      <c r="W6244" t="s">
        <v>10758</v>
      </c>
      <c r="AF6244" t="e">
        <f>---------------MNTRYFPEAVPDVSVLCDVLSDQSRAAMCAALMSGTAWTVGELGHYAGVSRSTATEHVNKLVKVDIAHDIRQGRHRYVTLAGSHVAEVIEALGVLSSDLLPTPQSLNAHRTTRALADARTCYSHLAGRLGVRLCTHFIEQEFIAPDWAVTTEGVNFFHSWGIDGSKRLMTKACLDCTERQFHVGGALGTYVCQQFFARQWITRVKGTRAVKLTPAGTMMLNELGISLD</f>
        <v>#NAME?</v>
      </c>
    </row>
    <row r="6245" spans="1:32" hidden="1" x14ac:dyDescent="0.35">
      <c r="A6245">
        <v>6244</v>
      </c>
      <c r="B6245" t="s">
        <v>12864</v>
      </c>
      <c r="C6245" t="s">
        <v>68</v>
      </c>
      <c r="D6245" t="s">
        <v>45</v>
      </c>
      <c r="E6245">
        <v>373</v>
      </c>
      <c r="F6245">
        <v>3</v>
      </c>
      <c r="G6245">
        <v>3</v>
      </c>
      <c r="H6245">
        <v>1</v>
      </c>
      <c r="I6245">
        <v>0</v>
      </c>
      <c r="J6245">
        <v>0.78849902534113103</v>
      </c>
      <c r="K6245">
        <v>0.94065231438968999</v>
      </c>
      <c r="L6245">
        <v>0.85788145437473595</v>
      </c>
      <c r="M6245">
        <v>0.57201646090534997</v>
      </c>
      <c r="N6245">
        <v>0.938271604938272</v>
      </c>
      <c r="O6245">
        <v>0.70096021947873799</v>
      </c>
      <c r="P6245" t="s">
        <v>12866</v>
      </c>
      <c r="Q6245" t="s">
        <v>2878</v>
      </c>
      <c r="R6245" t="s">
        <v>113</v>
      </c>
      <c r="S6245" t="s">
        <v>114</v>
      </c>
      <c r="V6245" t="s">
        <v>10757</v>
      </c>
      <c r="W6245" t="s">
        <v>10758</v>
      </c>
      <c r="AF6245" t="s">
        <v>12867</v>
      </c>
    </row>
    <row r="6246" spans="1:32" hidden="1" x14ac:dyDescent="0.35">
      <c r="A6246">
        <v>6245</v>
      </c>
      <c r="B6246" t="s">
        <v>12868</v>
      </c>
      <c r="C6246" t="s">
        <v>68</v>
      </c>
      <c r="D6246" t="s">
        <v>34</v>
      </c>
      <c r="E6246">
        <v>1193</v>
      </c>
      <c r="F6246">
        <v>2</v>
      </c>
      <c r="G6246">
        <v>3</v>
      </c>
      <c r="H6246">
        <v>2</v>
      </c>
      <c r="I6246">
        <v>0</v>
      </c>
      <c r="J6246">
        <v>0.95286195286195297</v>
      </c>
      <c r="K6246">
        <v>0.53863418235511296</v>
      </c>
      <c r="L6246">
        <v>0.688227085217889</v>
      </c>
      <c r="M6246">
        <v>4.6511627906976702E-2</v>
      </c>
      <c r="N6246">
        <v>0.66777408637873803</v>
      </c>
      <c r="O6246">
        <v>0.32225913621262497</v>
      </c>
      <c r="AF6246" t="s">
        <v>12869</v>
      </c>
    </row>
    <row r="6247" spans="1:32" hidden="1" x14ac:dyDescent="0.35">
      <c r="A6247">
        <v>6246</v>
      </c>
      <c r="B6247" t="s">
        <v>12868</v>
      </c>
      <c r="C6247" t="s">
        <v>68</v>
      </c>
      <c r="D6247" t="s">
        <v>34</v>
      </c>
      <c r="E6247">
        <v>1192</v>
      </c>
      <c r="F6247">
        <v>2</v>
      </c>
      <c r="G6247">
        <v>3</v>
      </c>
      <c r="H6247">
        <v>2</v>
      </c>
      <c r="I6247">
        <v>0</v>
      </c>
      <c r="J6247">
        <v>0.95286195286195297</v>
      </c>
      <c r="K6247">
        <v>0.53863418235511296</v>
      </c>
      <c r="L6247">
        <v>0.688227085217889</v>
      </c>
      <c r="M6247">
        <v>4.6511627906976702E-2</v>
      </c>
      <c r="N6247">
        <v>0.66777408637873803</v>
      </c>
      <c r="O6247">
        <v>0.32225913621262497</v>
      </c>
      <c r="AF6247" t="e">
        <f>-------------------------------------------------------------------------------------------------------------------------------------------------------------------------------------------------------------------------------MITGWHSWDTWVTVNYPKIVITIMADLPNMNLKPLQGPSTHLGVPDGWAMDTFTRLKRFYGAAAHRGDGVVIIAELRE</f>
        <v>#NAME?</v>
      </c>
    </row>
    <row r="6248" spans="1:32" hidden="1" x14ac:dyDescent="0.35">
      <c r="A6248">
        <v>6247</v>
      </c>
      <c r="B6248" t="s">
        <v>12868</v>
      </c>
      <c r="C6248" t="s">
        <v>68</v>
      </c>
      <c r="D6248" t="s">
        <v>45</v>
      </c>
      <c r="E6248">
        <v>2436</v>
      </c>
      <c r="F6248">
        <v>2</v>
      </c>
      <c r="G6248">
        <v>3</v>
      </c>
      <c r="H6248">
        <v>2</v>
      </c>
      <c r="I6248">
        <v>0</v>
      </c>
      <c r="J6248">
        <v>0.95286195286195297</v>
      </c>
      <c r="K6248">
        <v>0.53863418235511296</v>
      </c>
      <c r="L6248">
        <v>0.688227085217889</v>
      </c>
      <c r="M6248">
        <v>4.6511627906976702E-2</v>
      </c>
      <c r="N6248">
        <v>0.66777408637873803</v>
      </c>
      <c r="O6248">
        <v>0.32225913621262497</v>
      </c>
      <c r="AF6248" t="s">
        <v>12870</v>
      </c>
    </row>
    <row r="6249" spans="1:32" hidden="1" x14ac:dyDescent="0.35">
      <c r="A6249">
        <v>6248</v>
      </c>
      <c r="B6249" t="s">
        <v>12871</v>
      </c>
      <c r="C6249" t="s">
        <v>68</v>
      </c>
      <c r="D6249" t="s">
        <v>58</v>
      </c>
      <c r="E6249">
        <v>944</v>
      </c>
      <c r="F6249">
        <v>3</v>
      </c>
      <c r="G6249">
        <v>3</v>
      </c>
      <c r="H6249">
        <v>1</v>
      </c>
      <c r="I6249">
        <v>0</v>
      </c>
      <c r="J6249">
        <v>0.78122769450392604</v>
      </c>
      <c r="K6249">
        <v>0.97624258196802005</v>
      </c>
      <c r="L6249">
        <v>0.86791538018891801</v>
      </c>
      <c r="M6249">
        <v>0.57053291536050199</v>
      </c>
      <c r="N6249">
        <v>0.99686520376175503</v>
      </c>
      <c r="O6249">
        <v>0.712643678160919</v>
      </c>
      <c r="P6249" t="s">
        <v>9910</v>
      </c>
      <c r="Q6249" t="s">
        <v>9911</v>
      </c>
      <c r="R6249" t="s">
        <v>8647</v>
      </c>
      <c r="S6249" t="s">
        <v>8648</v>
      </c>
      <c r="V6249" t="s">
        <v>11549</v>
      </c>
      <c r="W6249" t="s">
        <v>11550</v>
      </c>
      <c r="AF6249" t="s">
        <v>12872</v>
      </c>
    </row>
    <row r="6250" spans="1:32" hidden="1" x14ac:dyDescent="0.35">
      <c r="A6250">
        <v>6249</v>
      </c>
      <c r="B6250" t="s">
        <v>12871</v>
      </c>
      <c r="C6250" t="s">
        <v>68</v>
      </c>
      <c r="D6250" t="s">
        <v>60</v>
      </c>
      <c r="E6250">
        <v>1269</v>
      </c>
      <c r="F6250">
        <v>3</v>
      </c>
      <c r="G6250">
        <v>3</v>
      </c>
      <c r="H6250">
        <v>1</v>
      </c>
      <c r="I6250">
        <v>0</v>
      </c>
      <c r="J6250">
        <v>0.78122769450392604</v>
      </c>
      <c r="K6250">
        <v>0.97624258196802005</v>
      </c>
      <c r="L6250">
        <v>0.86791538018891801</v>
      </c>
      <c r="M6250">
        <v>0.57053291536050199</v>
      </c>
      <c r="N6250">
        <v>0.99686520376175503</v>
      </c>
      <c r="O6250">
        <v>0.712643678160919</v>
      </c>
      <c r="P6250" t="s">
        <v>9910</v>
      </c>
      <c r="Q6250" t="s">
        <v>9911</v>
      </c>
      <c r="R6250" t="s">
        <v>8647</v>
      </c>
      <c r="S6250" t="s">
        <v>8648</v>
      </c>
      <c r="V6250" t="s">
        <v>11549</v>
      </c>
      <c r="W6250" t="s">
        <v>11550</v>
      </c>
      <c r="AF6250" t="e">
        <f>----MVGASGLRVSRLGLGTSTWGADTPEEDTATILRNFIDAGGTLIDASPAYAGGRAEGILGTLLSREVS---RTDLVISSAAGVDPTLPLGRRVDCSRRHLIASLDNTLSVLGTDYLDLWSVGFWDGKTPPEEVADTLDYAVRTGRVRYTGVRGYSGWQLAVTHAAANHAAASARPIVAAQNEYNLLVRRAEEELLPATQHLGVGFFAGAPLAQGVLTGKYQSHIPSASRGANGHRNAEVQGYLDERSLSIVDALCTAAEGLGISPATTALVWARDRAGVTAAIVGVRHPEQWNEIIDSEKVRLPRAILDALDDISS</f>
        <v>#NAME?</v>
      </c>
    </row>
    <row r="6251" spans="1:32" hidden="1" x14ac:dyDescent="0.35">
      <c r="A6251">
        <v>6250</v>
      </c>
      <c r="B6251" t="s">
        <v>12871</v>
      </c>
      <c r="C6251" t="s">
        <v>68</v>
      </c>
      <c r="D6251" t="s">
        <v>62</v>
      </c>
      <c r="E6251">
        <v>1305</v>
      </c>
      <c r="F6251">
        <v>3</v>
      </c>
      <c r="G6251">
        <v>3</v>
      </c>
      <c r="H6251">
        <v>1</v>
      </c>
      <c r="I6251">
        <v>0</v>
      </c>
      <c r="J6251">
        <v>0.78122769450392604</v>
      </c>
      <c r="K6251">
        <v>0.97624258196802005</v>
      </c>
      <c r="L6251">
        <v>0.86791538018891801</v>
      </c>
      <c r="M6251">
        <v>0.57053291536050199</v>
      </c>
      <c r="N6251">
        <v>0.99686520376175503</v>
      </c>
      <c r="O6251">
        <v>0.712643678160919</v>
      </c>
      <c r="P6251" t="s">
        <v>9910</v>
      </c>
      <c r="Q6251" t="s">
        <v>9911</v>
      </c>
      <c r="R6251" t="s">
        <v>8647</v>
      </c>
      <c r="S6251" t="s">
        <v>8648</v>
      </c>
      <c r="V6251" t="s">
        <v>11549</v>
      </c>
      <c r="W6251" t="s">
        <v>11550</v>
      </c>
      <c r="AF6251" t="e">
        <f>----MVGASGLRVSRLGLGTSTWGADTPEEDTATILRNFIDAGGTLIDASPAYAGGRAEGILGTLLSREVS---RTDLVISSAAGVDPTLPLGRRVDCSRRHLIASLDNTLSVLGTDYLDLWSVGFWDGKTPPEEVADTLDYAVRTGRVRYTGVRGYSGWQLAVTHAAANHAAASARPIVAAQNEYNLLVRRAEEELLPATQHLGVGFFAGAPLAQGVLTGKYQSHIPSTSRGANGHRNAEVQGYLDERSLSIVDALCTAAEGLGISPATTALVWARDRAGVTAAIVGVRHPEQWNEIIDSEKVRLPRAILDALDDISS</f>
        <v>#NAME?</v>
      </c>
    </row>
    <row r="6252" spans="1:32" hidden="1" x14ac:dyDescent="0.35">
      <c r="A6252">
        <v>6251</v>
      </c>
      <c r="B6252" t="s">
        <v>12873</v>
      </c>
      <c r="C6252" t="s">
        <v>68</v>
      </c>
      <c r="D6252" t="s">
        <v>34</v>
      </c>
      <c r="E6252">
        <v>107</v>
      </c>
      <c r="F6252">
        <v>2</v>
      </c>
      <c r="G6252">
        <v>3</v>
      </c>
      <c r="H6252">
        <v>2</v>
      </c>
      <c r="I6252">
        <v>0</v>
      </c>
      <c r="J6252">
        <v>0.87031082529474801</v>
      </c>
      <c r="K6252">
        <v>0.66599183453116195</v>
      </c>
      <c r="L6252">
        <v>0.75456473298830395</v>
      </c>
      <c r="M6252">
        <v>0.16629213483146099</v>
      </c>
      <c r="N6252">
        <v>0.86292134831460698</v>
      </c>
      <c r="O6252">
        <v>0.41573033707865198</v>
      </c>
      <c r="P6252" t="s">
        <v>12874</v>
      </c>
      <c r="Q6252" t="s">
        <v>12875</v>
      </c>
      <c r="AF6252" t="s">
        <v>12876</v>
      </c>
    </row>
    <row r="6253" spans="1:32" hidden="1" x14ac:dyDescent="0.35">
      <c r="A6253">
        <v>6252</v>
      </c>
      <c r="B6253" t="s">
        <v>12873</v>
      </c>
      <c r="C6253" t="s">
        <v>68</v>
      </c>
      <c r="D6253" t="s">
        <v>34</v>
      </c>
      <c r="E6253">
        <v>1744</v>
      </c>
      <c r="F6253">
        <v>2</v>
      </c>
      <c r="G6253">
        <v>3</v>
      </c>
      <c r="H6253">
        <v>2</v>
      </c>
      <c r="I6253">
        <v>0</v>
      </c>
      <c r="J6253">
        <v>0.87031082529474801</v>
      </c>
      <c r="K6253">
        <v>0.66599183453116195</v>
      </c>
      <c r="L6253">
        <v>0.75456473298830395</v>
      </c>
      <c r="M6253">
        <v>0.16629213483146099</v>
      </c>
      <c r="N6253">
        <v>0.86292134831460698</v>
      </c>
      <c r="O6253">
        <v>0.41573033707865198</v>
      </c>
      <c r="P6253" t="s">
        <v>12874</v>
      </c>
      <c r="Q6253" t="s">
        <v>12875</v>
      </c>
      <c r="AF6253" t="s">
        <v>12877</v>
      </c>
    </row>
    <row r="6254" spans="1:32" hidden="1" x14ac:dyDescent="0.35">
      <c r="A6254">
        <v>6253</v>
      </c>
      <c r="B6254" t="s">
        <v>12873</v>
      </c>
      <c r="C6254" t="s">
        <v>68</v>
      </c>
      <c r="D6254" t="s">
        <v>45</v>
      </c>
      <c r="E6254">
        <v>1129</v>
      </c>
      <c r="F6254">
        <v>2</v>
      </c>
      <c r="G6254">
        <v>3</v>
      </c>
      <c r="H6254">
        <v>2</v>
      </c>
      <c r="I6254">
        <v>0</v>
      </c>
      <c r="J6254">
        <v>0.87031082529474801</v>
      </c>
      <c r="K6254">
        <v>0.66599183453116195</v>
      </c>
      <c r="L6254">
        <v>0.75456473298830395</v>
      </c>
      <c r="M6254">
        <v>0.16629213483146099</v>
      </c>
      <c r="N6254">
        <v>0.86292134831460698</v>
      </c>
      <c r="O6254">
        <v>0.41573033707865198</v>
      </c>
      <c r="P6254" t="s">
        <v>12874</v>
      </c>
      <c r="Q6254" t="s">
        <v>12875</v>
      </c>
      <c r="AF6254" t="s">
        <v>12878</v>
      </c>
    </row>
    <row r="6255" spans="1:32" hidden="1" x14ac:dyDescent="0.35">
      <c r="A6255">
        <v>6254</v>
      </c>
      <c r="B6255" t="s">
        <v>12879</v>
      </c>
      <c r="C6255" t="s">
        <v>68</v>
      </c>
      <c r="D6255" t="s">
        <v>58</v>
      </c>
      <c r="E6255">
        <v>386</v>
      </c>
      <c r="F6255">
        <v>3</v>
      </c>
      <c r="G6255">
        <v>3</v>
      </c>
      <c r="H6255">
        <v>1</v>
      </c>
      <c r="I6255">
        <v>0</v>
      </c>
      <c r="J6255">
        <v>0.88174347981421897</v>
      </c>
      <c r="K6255">
        <v>0.96923026998961703</v>
      </c>
      <c r="L6255">
        <v>0.92341933114123398</v>
      </c>
      <c r="M6255">
        <v>0.69781931464174496</v>
      </c>
      <c r="N6255">
        <v>0.98442367601246095</v>
      </c>
      <c r="O6255">
        <v>0.79543094496365496</v>
      </c>
      <c r="P6255" t="s">
        <v>11639</v>
      </c>
      <c r="Q6255" t="s">
        <v>11640</v>
      </c>
      <c r="R6255" t="s">
        <v>1259</v>
      </c>
      <c r="S6255" t="s">
        <v>1260</v>
      </c>
      <c r="T6255" t="s">
        <v>11641</v>
      </c>
      <c r="U6255" t="s">
        <v>407</v>
      </c>
      <c r="V6255" t="s">
        <v>12880</v>
      </c>
      <c r="W6255" t="s">
        <v>12881</v>
      </c>
      <c r="AD6255" t="s">
        <v>410</v>
      </c>
      <c r="AE6255" t="s">
        <v>411</v>
      </c>
      <c r="AF6255" t="s">
        <v>12882</v>
      </c>
    </row>
    <row r="6256" spans="1:32" hidden="1" x14ac:dyDescent="0.35">
      <c r="A6256">
        <v>6255</v>
      </c>
      <c r="B6256" t="s">
        <v>12879</v>
      </c>
      <c r="C6256" t="s">
        <v>68</v>
      </c>
      <c r="D6256" t="s">
        <v>34</v>
      </c>
      <c r="E6256">
        <v>467</v>
      </c>
      <c r="F6256">
        <v>3</v>
      </c>
      <c r="G6256">
        <v>3</v>
      </c>
      <c r="H6256">
        <v>1</v>
      </c>
      <c r="I6256">
        <v>0</v>
      </c>
      <c r="J6256">
        <v>0.88174347981421897</v>
      </c>
      <c r="K6256">
        <v>0.96923026998961703</v>
      </c>
      <c r="L6256">
        <v>0.92341933114123398</v>
      </c>
      <c r="M6256">
        <v>0.69781931464174496</v>
      </c>
      <c r="N6256">
        <v>0.98442367601246095</v>
      </c>
      <c r="O6256">
        <v>0.79543094496365496</v>
      </c>
      <c r="P6256" t="s">
        <v>11639</v>
      </c>
      <c r="Q6256" t="s">
        <v>11640</v>
      </c>
      <c r="R6256" t="s">
        <v>1259</v>
      </c>
      <c r="S6256" t="s">
        <v>1260</v>
      </c>
      <c r="V6256" t="s">
        <v>12880</v>
      </c>
      <c r="W6256" t="s">
        <v>12881</v>
      </c>
      <c r="AF6256" t="s">
        <v>12883</v>
      </c>
    </row>
    <row r="6257" spans="1:32" hidden="1" x14ac:dyDescent="0.35">
      <c r="A6257">
        <v>6256</v>
      </c>
      <c r="B6257" t="s">
        <v>12879</v>
      </c>
      <c r="C6257" t="s">
        <v>68</v>
      </c>
      <c r="D6257" t="s">
        <v>45</v>
      </c>
      <c r="E6257">
        <v>1731</v>
      </c>
      <c r="F6257">
        <v>3</v>
      </c>
      <c r="G6257">
        <v>3</v>
      </c>
      <c r="H6257">
        <v>1</v>
      </c>
      <c r="I6257">
        <v>0</v>
      </c>
      <c r="J6257">
        <v>0.88174347981421897</v>
      </c>
      <c r="K6257">
        <v>0.96923026998961703</v>
      </c>
      <c r="L6257">
        <v>0.92341933114123398</v>
      </c>
      <c r="M6257">
        <v>0.69781931464174496</v>
      </c>
      <c r="N6257">
        <v>0.98442367601246095</v>
      </c>
      <c r="O6257">
        <v>0.79543094496365496</v>
      </c>
      <c r="P6257" t="s">
        <v>12884</v>
      </c>
      <c r="Q6257" t="s">
        <v>12885</v>
      </c>
      <c r="R6257" t="s">
        <v>1259</v>
      </c>
      <c r="S6257" t="s">
        <v>1260</v>
      </c>
      <c r="V6257" t="s">
        <v>11642</v>
      </c>
      <c r="W6257" t="s">
        <v>11643</v>
      </c>
      <c r="AF6257" t="s">
        <v>12886</v>
      </c>
    </row>
    <row r="6258" spans="1:32" hidden="1" x14ac:dyDescent="0.35">
      <c r="A6258">
        <v>6257</v>
      </c>
      <c r="B6258" t="s">
        <v>12887</v>
      </c>
      <c r="C6258" t="s">
        <v>68</v>
      </c>
      <c r="D6258" t="s">
        <v>34</v>
      </c>
      <c r="E6258">
        <v>2477</v>
      </c>
      <c r="F6258">
        <v>2</v>
      </c>
      <c r="G6258">
        <v>3</v>
      </c>
      <c r="H6258">
        <v>2</v>
      </c>
      <c r="I6258">
        <v>0</v>
      </c>
      <c r="J6258">
        <v>0.69585522475189698</v>
      </c>
      <c r="K6258">
        <v>0.60946646918139502</v>
      </c>
      <c r="L6258">
        <v>0.64980215813779096</v>
      </c>
      <c r="M6258">
        <v>8.9445438282647602E-2</v>
      </c>
      <c r="N6258">
        <v>0.55098389982110896</v>
      </c>
      <c r="O6258">
        <v>0.25879546809779402</v>
      </c>
      <c r="AF6258" t="s">
        <v>12888</v>
      </c>
    </row>
    <row r="6259" spans="1:32" hidden="1" x14ac:dyDescent="0.35">
      <c r="A6259">
        <v>6258</v>
      </c>
      <c r="B6259" t="s">
        <v>12887</v>
      </c>
      <c r="C6259" t="s">
        <v>68</v>
      </c>
      <c r="D6259" t="s">
        <v>34</v>
      </c>
      <c r="E6259">
        <v>2476</v>
      </c>
      <c r="F6259">
        <v>2</v>
      </c>
      <c r="G6259">
        <v>3</v>
      </c>
      <c r="H6259">
        <v>2</v>
      </c>
      <c r="I6259">
        <v>0</v>
      </c>
      <c r="J6259">
        <v>0.69585522475189698</v>
      </c>
      <c r="K6259">
        <v>0.60946646918139502</v>
      </c>
      <c r="L6259">
        <v>0.64980215813779096</v>
      </c>
      <c r="M6259">
        <v>8.9445438282647602E-2</v>
      </c>
      <c r="N6259">
        <v>0.55098389982110896</v>
      </c>
      <c r="O6259">
        <v>0.25879546809779402</v>
      </c>
      <c r="AF6259" t="e">
        <f>---------------------------------------MRTVQ--------------SMRSRIAAHAS-------GSSG-----------------------------------------------------------------------------------------------------------------------------------------------------------------------------------------------------------------------------------QKYLDEQ--------------------------------------------------------------------------------------------------------------------------------------------LN--------------------------------------------------------------------GKTTQEYFVLLLEKVVTMLDSLIAFAVDKAEQSKT</f>
        <v>#NAME?</v>
      </c>
    </row>
    <row r="6260" spans="1:32" hidden="1" x14ac:dyDescent="0.35">
      <c r="A6260">
        <v>6259</v>
      </c>
      <c r="B6260" t="s">
        <v>12887</v>
      </c>
      <c r="C6260" t="s">
        <v>68</v>
      </c>
      <c r="D6260" t="s">
        <v>45</v>
      </c>
      <c r="E6260">
        <v>424</v>
      </c>
      <c r="F6260">
        <v>2</v>
      </c>
      <c r="G6260">
        <v>3</v>
      </c>
      <c r="H6260">
        <v>2</v>
      </c>
      <c r="I6260">
        <v>0</v>
      </c>
      <c r="J6260">
        <v>0.69585522475189698</v>
      </c>
      <c r="K6260">
        <v>0.60946646918139502</v>
      </c>
      <c r="L6260">
        <v>0.64980215813779096</v>
      </c>
      <c r="M6260">
        <v>8.9445438282647602E-2</v>
      </c>
      <c r="N6260">
        <v>0.55098389982110896</v>
      </c>
      <c r="O6260">
        <v>0.25879546809779402</v>
      </c>
      <c r="AF6260" t="s">
        <v>12889</v>
      </c>
    </row>
    <row r="6261" spans="1:32" hidden="1" x14ac:dyDescent="0.35">
      <c r="A6261">
        <v>6260</v>
      </c>
      <c r="B6261" t="s">
        <v>12890</v>
      </c>
      <c r="C6261" t="s">
        <v>68</v>
      </c>
      <c r="D6261" t="s">
        <v>58</v>
      </c>
      <c r="E6261">
        <v>1064</v>
      </c>
      <c r="F6261">
        <v>3</v>
      </c>
      <c r="G6261">
        <v>3</v>
      </c>
      <c r="H6261">
        <v>1</v>
      </c>
      <c r="I6261">
        <v>0</v>
      </c>
      <c r="J6261">
        <v>0.78775620280474601</v>
      </c>
      <c r="K6261">
        <v>0.77459838114804602</v>
      </c>
      <c r="L6261">
        <v>0.78112188577330799</v>
      </c>
      <c r="M6261">
        <v>0.40773286467486802</v>
      </c>
      <c r="N6261">
        <v>0.99472759226713503</v>
      </c>
      <c r="O6261">
        <v>0.60339777387229099</v>
      </c>
      <c r="P6261" t="s">
        <v>12891</v>
      </c>
      <c r="Q6261" t="s">
        <v>12892</v>
      </c>
      <c r="T6261" t="s">
        <v>12893</v>
      </c>
      <c r="U6261" t="s">
        <v>12894</v>
      </c>
      <c r="AD6261" t="s">
        <v>360</v>
      </c>
      <c r="AE6261" t="s">
        <v>12895</v>
      </c>
      <c r="AF6261" t="s">
        <v>12896</v>
      </c>
    </row>
    <row r="6262" spans="1:32" hidden="1" x14ac:dyDescent="0.35">
      <c r="A6262">
        <v>6261</v>
      </c>
      <c r="B6262" t="s">
        <v>12890</v>
      </c>
      <c r="C6262" t="s">
        <v>68</v>
      </c>
      <c r="D6262" t="s">
        <v>60</v>
      </c>
      <c r="E6262">
        <v>1436</v>
      </c>
      <c r="F6262">
        <v>3</v>
      </c>
      <c r="G6262">
        <v>3</v>
      </c>
      <c r="H6262">
        <v>1</v>
      </c>
      <c r="I6262">
        <v>0</v>
      </c>
      <c r="J6262">
        <v>0.78775620280474601</v>
      </c>
      <c r="K6262">
        <v>0.77459838114804602</v>
      </c>
      <c r="L6262">
        <v>0.78112188577330799</v>
      </c>
      <c r="M6262">
        <v>0.40773286467486802</v>
      </c>
      <c r="N6262">
        <v>0.99472759226713503</v>
      </c>
      <c r="O6262">
        <v>0.60339777387229099</v>
      </c>
      <c r="P6262" t="s">
        <v>12891</v>
      </c>
      <c r="Q6262" t="s">
        <v>12892</v>
      </c>
      <c r="T6262" t="s">
        <v>12893</v>
      </c>
      <c r="U6262" t="s">
        <v>12894</v>
      </c>
      <c r="AD6262" t="s">
        <v>360</v>
      </c>
      <c r="AE6262" t="s">
        <v>12895</v>
      </c>
      <c r="AF6262" t="s">
        <v>12897</v>
      </c>
    </row>
    <row r="6263" spans="1:32" hidden="1" x14ac:dyDescent="0.35">
      <c r="A6263">
        <v>6262</v>
      </c>
      <c r="B6263" t="s">
        <v>12890</v>
      </c>
      <c r="C6263" t="s">
        <v>68</v>
      </c>
      <c r="D6263" t="s">
        <v>62</v>
      </c>
      <c r="E6263">
        <v>1471</v>
      </c>
      <c r="F6263">
        <v>3</v>
      </c>
      <c r="G6263">
        <v>3</v>
      </c>
      <c r="H6263">
        <v>1</v>
      </c>
      <c r="I6263">
        <v>0</v>
      </c>
      <c r="J6263">
        <v>0.78775620280474601</v>
      </c>
      <c r="K6263">
        <v>0.77459838114804602</v>
      </c>
      <c r="L6263">
        <v>0.78112188577330799</v>
      </c>
      <c r="M6263">
        <v>0.40773286467486802</v>
      </c>
      <c r="N6263">
        <v>0.99472759226713503</v>
      </c>
      <c r="O6263">
        <v>0.60339777387229099</v>
      </c>
      <c r="P6263" t="s">
        <v>12891</v>
      </c>
      <c r="Q6263" t="s">
        <v>12892</v>
      </c>
      <c r="T6263" t="s">
        <v>12893</v>
      </c>
      <c r="U6263" t="s">
        <v>12894</v>
      </c>
      <c r="AD6263" t="s">
        <v>360</v>
      </c>
      <c r="AE6263" t="s">
        <v>12895</v>
      </c>
      <c r="AF6263" t="s">
        <v>12898</v>
      </c>
    </row>
    <row r="6264" spans="1:32" hidden="1" x14ac:dyDescent="0.35">
      <c r="A6264">
        <v>11866</v>
      </c>
      <c r="B6264" t="s">
        <v>24411</v>
      </c>
      <c r="C6264" t="s">
        <v>33</v>
      </c>
      <c r="D6264" t="s">
        <v>58</v>
      </c>
      <c r="E6264">
        <v>919</v>
      </c>
      <c r="F6264">
        <v>1</v>
      </c>
      <c r="G6264">
        <v>1</v>
      </c>
      <c r="H6264">
        <v>1</v>
      </c>
      <c r="I6264">
        <v>0</v>
      </c>
      <c r="J6264">
        <v>1</v>
      </c>
      <c r="K6264">
        <v>1</v>
      </c>
      <c r="L6264">
        <v>1</v>
      </c>
      <c r="M6264">
        <v>0</v>
      </c>
      <c r="N6264">
        <v>0</v>
      </c>
      <c r="O6264">
        <v>0</v>
      </c>
      <c r="P6264" t="s">
        <v>14048</v>
      </c>
      <c r="Q6264" t="s">
        <v>14049</v>
      </c>
      <c r="R6264" t="s">
        <v>113</v>
      </c>
      <c r="S6264" t="s">
        <v>114</v>
      </c>
      <c r="T6264" t="s">
        <v>24412</v>
      </c>
      <c r="U6264" t="s">
        <v>24413</v>
      </c>
      <c r="V6264" t="s">
        <v>14052</v>
      </c>
      <c r="W6264" t="s">
        <v>14053</v>
      </c>
      <c r="AD6264" t="s">
        <v>14054</v>
      </c>
      <c r="AE6264" t="s">
        <v>14055</v>
      </c>
      <c r="AF6264" t="s">
        <v>24414</v>
      </c>
    </row>
    <row r="6265" spans="1:32" hidden="1" x14ac:dyDescent="0.35">
      <c r="A6265">
        <v>6264</v>
      </c>
      <c r="B6265" t="s">
        <v>12899</v>
      </c>
      <c r="C6265" t="s">
        <v>68</v>
      </c>
      <c r="D6265" t="s">
        <v>60</v>
      </c>
      <c r="E6265">
        <v>1198</v>
      </c>
      <c r="F6265">
        <v>3</v>
      </c>
      <c r="G6265">
        <v>3</v>
      </c>
      <c r="H6265">
        <v>1</v>
      </c>
      <c r="I6265">
        <v>0</v>
      </c>
      <c r="J6265">
        <v>0.81191222570532895</v>
      </c>
      <c r="K6265">
        <v>0.90514484914052395</v>
      </c>
      <c r="L6265">
        <v>0.85599736877397803</v>
      </c>
      <c r="M6265">
        <v>0.55084745762711895</v>
      </c>
      <c r="N6265">
        <v>0.97881355932203395</v>
      </c>
      <c r="O6265">
        <v>0.69491525423728795</v>
      </c>
      <c r="P6265" t="s">
        <v>12900</v>
      </c>
      <c r="Q6265" t="s">
        <v>370</v>
      </c>
      <c r="R6265" t="s">
        <v>869</v>
      </c>
      <c r="S6265" t="s">
        <v>870</v>
      </c>
      <c r="T6265" t="s">
        <v>12901</v>
      </c>
      <c r="U6265" t="s">
        <v>12902</v>
      </c>
      <c r="V6265" t="s">
        <v>12903</v>
      </c>
      <c r="W6265" t="s">
        <v>12904</v>
      </c>
      <c r="X6265" t="s">
        <v>12903</v>
      </c>
      <c r="Y6265" t="s">
        <v>2038</v>
      </c>
      <c r="Z6265" t="s">
        <v>8036</v>
      </c>
      <c r="AA6265" t="s">
        <v>8037</v>
      </c>
      <c r="AB6265" t="s">
        <v>8036</v>
      </c>
      <c r="AC6265" t="s">
        <v>1156</v>
      </c>
      <c r="AD6265" t="s">
        <v>219</v>
      </c>
      <c r="AE6265" t="s">
        <v>12905</v>
      </c>
      <c r="AF6265" t="e">
        <f>-MIIIVTGTNTDVGKTIATAALACQYRDAGYGVEVVKPAQTGDDSDIHDIEKLSGVVGR----------------EYAHYPEPLAPNIAARRAGMPQLELHTTAERIRHLDAEDTVVLVEGAGGLLVRMADTWTLVDLAVELAAPLIVVTSTGLGSLNLAELTVMAARARGITVLGLIGGSLPTNPDLATRLNLTEFPVVTGVPLLGCLPENC-GDCPPEHFKLIAQQITLPRSGQ</f>
        <v>#NAME?</v>
      </c>
    </row>
    <row r="6266" spans="1:32" hidden="1" x14ac:dyDescent="0.35">
      <c r="A6266">
        <v>6265</v>
      </c>
      <c r="B6266" t="s">
        <v>12899</v>
      </c>
      <c r="C6266" t="s">
        <v>68</v>
      </c>
      <c r="D6266" t="s">
        <v>62</v>
      </c>
      <c r="E6266">
        <v>1235</v>
      </c>
      <c r="F6266">
        <v>3</v>
      </c>
      <c r="G6266">
        <v>3</v>
      </c>
      <c r="H6266">
        <v>1</v>
      </c>
      <c r="I6266">
        <v>0</v>
      </c>
      <c r="J6266">
        <v>0.81191222570532895</v>
      </c>
      <c r="K6266">
        <v>0.90514484914052395</v>
      </c>
      <c r="L6266">
        <v>0.85599736877397803</v>
      </c>
      <c r="M6266">
        <v>0.55084745762711895</v>
      </c>
      <c r="N6266">
        <v>0.97881355932203395</v>
      </c>
      <c r="O6266">
        <v>0.69491525423728795</v>
      </c>
      <c r="P6266" t="s">
        <v>12900</v>
      </c>
      <c r="Q6266" t="s">
        <v>370</v>
      </c>
      <c r="R6266" t="s">
        <v>869</v>
      </c>
      <c r="S6266" t="s">
        <v>870</v>
      </c>
      <c r="T6266" t="s">
        <v>12901</v>
      </c>
      <c r="U6266" t="s">
        <v>12902</v>
      </c>
      <c r="V6266" t="s">
        <v>12903</v>
      </c>
      <c r="W6266" t="s">
        <v>12904</v>
      </c>
      <c r="X6266" t="s">
        <v>12903</v>
      </c>
      <c r="Y6266" t="s">
        <v>2038</v>
      </c>
      <c r="Z6266" t="s">
        <v>8036</v>
      </c>
      <c r="AA6266" t="s">
        <v>8037</v>
      </c>
      <c r="AB6266" t="s">
        <v>8036</v>
      </c>
      <c r="AC6266" t="s">
        <v>1156</v>
      </c>
      <c r="AD6266" t="s">
        <v>219</v>
      </c>
      <c r="AE6266" t="s">
        <v>12905</v>
      </c>
      <c r="AF6266" t="e">
        <f>-MIIIVTGTNTDVGKTIATAALACQYRDAGYGVEVVKPAQTGDDSDIRDIEKLSGVAGR----------------EYAHYPEPLAPNIAARRAGMPQLELHATAERIRHLDADDTVVLVEGAGGLLVRMADTWTLADLAVELAAPLIVVTSTGLGSLNLAELTVMAARARGITVLGLIGGSLPTNPDLATRLNLTEFPVVTGVPLLGCLPENC-GDCPPEHFKLIAQQITLPRSGQ</f>
        <v>#NAME?</v>
      </c>
    </row>
    <row r="6267" spans="1:32" hidden="1" x14ac:dyDescent="0.35">
      <c r="A6267">
        <v>6266</v>
      </c>
      <c r="B6267" t="s">
        <v>12907</v>
      </c>
      <c r="C6267" t="s">
        <v>68</v>
      </c>
      <c r="D6267" t="s">
        <v>60</v>
      </c>
      <c r="E6267">
        <v>2512</v>
      </c>
      <c r="F6267">
        <v>3</v>
      </c>
      <c r="G6267">
        <v>3</v>
      </c>
      <c r="H6267">
        <v>1</v>
      </c>
      <c r="I6267">
        <v>0</v>
      </c>
      <c r="J6267">
        <v>0.81261069783917805</v>
      </c>
      <c r="K6267">
        <v>0.92184150503335505</v>
      </c>
      <c r="L6267">
        <v>0.863786580525707</v>
      </c>
      <c r="M6267">
        <v>0.54385964912280704</v>
      </c>
      <c r="N6267">
        <v>0.99415204678362601</v>
      </c>
      <c r="O6267">
        <v>0.69493177387914196</v>
      </c>
      <c r="AF6267" t="s">
        <v>12908</v>
      </c>
    </row>
    <row r="6268" spans="1:32" hidden="1" x14ac:dyDescent="0.35">
      <c r="A6268">
        <v>6267</v>
      </c>
      <c r="B6268" t="s">
        <v>12907</v>
      </c>
      <c r="C6268" t="s">
        <v>68</v>
      </c>
      <c r="D6268" t="s">
        <v>62</v>
      </c>
      <c r="E6268">
        <v>40</v>
      </c>
      <c r="F6268">
        <v>3</v>
      </c>
      <c r="G6268">
        <v>3</v>
      </c>
      <c r="H6268">
        <v>1</v>
      </c>
      <c r="I6268">
        <v>0</v>
      </c>
      <c r="J6268">
        <v>0.81261069783917805</v>
      </c>
      <c r="K6268">
        <v>0.92184150503335505</v>
      </c>
      <c r="L6268">
        <v>0.863786580525707</v>
      </c>
      <c r="M6268">
        <v>0.54385964912280704</v>
      </c>
      <c r="N6268">
        <v>0.99415204678362601</v>
      </c>
      <c r="O6268">
        <v>0.69493177387914196</v>
      </c>
      <c r="AF6268" t="s">
        <v>12909</v>
      </c>
    </row>
    <row r="6269" spans="1:32" hidden="1" x14ac:dyDescent="0.35">
      <c r="A6269">
        <v>6268</v>
      </c>
      <c r="B6269" t="s">
        <v>12907</v>
      </c>
      <c r="C6269" t="s">
        <v>68</v>
      </c>
      <c r="D6269" t="s">
        <v>45</v>
      </c>
      <c r="E6269">
        <v>2381</v>
      </c>
      <c r="F6269">
        <v>3</v>
      </c>
      <c r="G6269">
        <v>3</v>
      </c>
      <c r="H6269">
        <v>1</v>
      </c>
      <c r="I6269">
        <v>0</v>
      </c>
      <c r="J6269">
        <v>0.81261069783917805</v>
      </c>
      <c r="K6269">
        <v>0.92184150503335505</v>
      </c>
      <c r="L6269">
        <v>0.863786580525707</v>
      </c>
      <c r="M6269">
        <v>0.54385964912280704</v>
      </c>
      <c r="N6269">
        <v>0.99415204678362601</v>
      </c>
      <c r="O6269">
        <v>0.69493177387914196</v>
      </c>
      <c r="AF6269" t="e">
        <f>-----------------------MPTIPDN----NQAQEHTRITVTTESGEPVTG-PVHRGDVLLVHGSGFDPQANKGGFPIPVPPGTPNGVFVVYSAFPEWWKPSENAPESHRKHPHDRGIAWMMPAGTLESIPSA---FRRSIARQTQTMNPDGTFTARLVVDPPAQTPGDRWGVYVYAGAGSVNPAEETFVPIPFSSDPGPNTPPAATPDFTIDAVTVTQVAHAAGGNVTTKNGAARDG-DRVTFSR--AADAGDGIIRYRGVAVAAVKYNVVEVAVADPWLEPRGNGMWAVTAEVSTGADVGPDSMVRRELGTIS-GTTGTFPL------LGSSVTVR</f>
        <v>#NAME?</v>
      </c>
    </row>
    <row r="6270" spans="1:32" hidden="1" x14ac:dyDescent="0.35">
      <c r="A6270">
        <v>11303</v>
      </c>
      <c r="B6270" t="s">
        <v>23015</v>
      </c>
      <c r="C6270" t="s">
        <v>33</v>
      </c>
      <c r="D6270" t="s">
        <v>58</v>
      </c>
      <c r="E6270">
        <v>1174</v>
      </c>
      <c r="F6270">
        <v>1</v>
      </c>
      <c r="G6270">
        <v>1</v>
      </c>
      <c r="H6270">
        <v>1</v>
      </c>
      <c r="I6270">
        <v>0</v>
      </c>
      <c r="J6270">
        <v>1</v>
      </c>
      <c r="K6270">
        <v>1</v>
      </c>
      <c r="L6270">
        <v>1</v>
      </c>
      <c r="M6270">
        <v>0</v>
      </c>
      <c r="N6270">
        <v>0</v>
      </c>
      <c r="O6270">
        <v>0</v>
      </c>
      <c r="P6270" t="s">
        <v>16975</v>
      </c>
      <c r="Q6270" t="s">
        <v>16976</v>
      </c>
      <c r="R6270" t="s">
        <v>371</v>
      </c>
      <c r="S6270" t="s">
        <v>372</v>
      </c>
      <c r="T6270" t="s">
        <v>16977</v>
      </c>
      <c r="U6270" t="s">
        <v>16978</v>
      </c>
      <c r="V6270" t="s">
        <v>16979</v>
      </c>
      <c r="W6270" t="s">
        <v>16980</v>
      </c>
      <c r="AD6270" t="s">
        <v>410</v>
      </c>
      <c r="AE6270" t="s">
        <v>1217</v>
      </c>
      <c r="AF6270" t="s">
        <v>23016</v>
      </c>
    </row>
    <row r="6271" spans="1:32" hidden="1" x14ac:dyDescent="0.35">
      <c r="A6271">
        <v>6270</v>
      </c>
      <c r="B6271" t="s">
        <v>12910</v>
      </c>
      <c r="C6271" t="s">
        <v>68</v>
      </c>
      <c r="D6271" t="s">
        <v>60</v>
      </c>
      <c r="E6271">
        <v>2144</v>
      </c>
      <c r="F6271">
        <v>3</v>
      </c>
      <c r="G6271">
        <v>3</v>
      </c>
      <c r="H6271">
        <v>1</v>
      </c>
      <c r="I6271">
        <v>0</v>
      </c>
      <c r="J6271">
        <v>0.78867403314917095</v>
      </c>
      <c r="K6271">
        <v>0.97727746508234403</v>
      </c>
      <c r="L6271">
        <v>0.87290433589387895</v>
      </c>
      <c r="M6271">
        <v>0.56680161943319796</v>
      </c>
      <c r="N6271">
        <v>0.99595141700404899</v>
      </c>
      <c r="O6271">
        <v>0.70985155195681504</v>
      </c>
      <c r="P6271" t="s">
        <v>7381</v>
      </c>
      <c r="Q6271" t="s">
        <v>7382</v>
      </c>
      <c r="R6271" t="s">
        <v>869</v>
      </c>
      <c r="S6271" t="s">
        <v>870</v>
      </c>
      <c r="T6271" t="s">
        <v>12911</v>
      </c>
      <c r="U6271" t="s">
        <v>12292</v>
      </c>
      <c r="V6271" t="s">
        <v>7385</v>
      </c>
      <c r="W6271" t="s">
        <v>7386</v>
      </c>
      <c r="AD6271" t="s">
        <v>12295</v>
      </c>
      <c r="AE6271" t="s">
        <v>12296</v>
      </c>
      <c r="AF6271" t="s">
        <v>12913</v>
      </c>
    </row>
    <row r="6272" spans="1:32" hidden="1" x14ac:dyDescent="0.35">
      <c r="A6272">
        <v>6271</v>
      </c>
      <c r="B6272" t="s">
        <v>12910</v>
      </c>
      <c r="C6272" t="s">
        <v>68</v>
      </c>
      <c r="D6272" t="s">
        <v>62</v>
      </c>
      <c r="E6272">
        <v>2178</v>
      </c>
      <c r="F6272">
        <v>3</v>
      </c>
      <c r="G6272">
        <v>3</v>
      </c>
      <c r="H6272">
        <v>1</v>
      </c>
      <c r="I6272">
        <v>0</v>
      </c>
      <c r="J6272">
        <v>0.78867403314917095</v>
      </c>
      <c r="K6272">
        <v>0.97727746508234403</v>
      </c>
      <c r="L6272">
        <v>0.87290433589387895</v>
      </c>
      <c r="M6272">
        <v>0.56680161943319796</v>
      </c>
      <c r="N6272">
        <v>0.99595141700404899</v>
      </c>
      <c r="O6272">
        <v>0.70985155195681504</v>
      </c>
      <c r="P6272" t="s">
        <v>7381</v>
      </c>
      <c r="Q6272" t="s">
        <v>7382</v>
      </c>
      <c r="R6272" t="s">
        <v>869</v>
      </c>
      <c r="S6272" t="s">
        <v>870</v>
      </c>
      <c r="T6272" t="s">
        <v>12911</v>
      </c>
      <c r="U6272" t="s">
        <v>12292</v>
      </c>
      <c r="V6272" t="s">
        <v>7385</v>
      </c>
      <c r="W6272" t="s">
        <v>7386</v>
      </c>
      <c r="AD6272" t="s">
        <v>12295</v>
      </c>
      <c r="AE6272" t="s">
        <v>12296</v>
      </c>
      <c r="AF6272" t="s">
        <v>12914</v>
      </c>
    </row>
    <row r="6273" spans="1:32" hidden="1" x14ac:dyDescent="0.35">
      <c r="A6273">
        <v>2294</v>
      </c>
      <c r="B6273" t="s">
        <v>4771</v>
      </c>
      <c r="C6273" t="s">
        <v>72</v>
      </c>
      <c r="D6273" t="s">
        <v>58</v>
      </c>
      <c r="E6273">
        <v>1389</v>
      </c>
      <c r="F6273">
        <v>5</v>
      </c>
      <c r="G6273">
        <v>5</v>
      </c>
      <c r="H6273">
        <v>1</v>
      </c>
      <c r="I6273">
        <v>1</v>
      </c>
      <c r="J6273">
        <v>0.78520573277854799</v>
      </c>
      <c r="K6273">
        <v>0.91243416533088995</v>
      </c>
      <c r="L6273">
        <v>0.84405242619319998</v>
      </c>
      <c r="M6273">
        <v>0.58438287153652402</v>
      </c>
      <c r="N6273">
        <v>1</v>
      </c>
      <c r="O6273">
        <v>0.68287153652392896</v>
      </c>
      <c r="P6273" t="s">
        <v>4772</v>
      </c>
      <c r="Q6273" t="s">
        <v>4773</v>
      </c>
      <c r="R6273" t="s">
        <v>342</v>
      </c>
      <c r="S6273" t="s">
        <v>343</v>
      </c>
      <c r="T6273" t="s">
        <v>4774</v>
      </c>
      <c r="U6273" t="s">
        <v>4775</v>
      </c>
      <c r="V6273" t="s">
        <v>4776</v>
      </c>
      <c r="W6273" t="s">
        <v>4777</v>
      </c>
      <c r="AD6273" t="s">
        <v>166</v>
      </c>
      <c r="AE6273" t="s">
        <v>818</v>
      </c>
      <c r="AF6273" t="s">
        <v>4778</v>
      </c>
    </row>
    <row r="6274" spans="1:32" hidden="1" x14ac:dyDescent="0.35">
      <c r="A6274">
        <v>6273</v>
      </c>
      <c r="B6274" t="s">
        <v>12915</v>
      </c>
      <c r="C6274" t="s">
        <v>68</v>
      </c>
      <c r="D6274" t="s">
        <v>60</v>
      </c>
      <c r="E6274">
        <v>490</v>
      </c>
      <c r="F6274">
        <v>3</v>
      </c>
      <c r="G6274">
        <v>3</v>
      </c>
      <c r="H6274">
        <v>1</v>
      </c>
      <c r="I6274">
        <v>0</v>
      </c>
      <c r="J6274">
        <v>0.82605177993527501</v>
      </c>
      <c r="K6274">
        <v>0.954381210478773</v>
      </c>
      <c r="L6274">
        <v>0.88559165315110699</v>
      </c>
      <c r="M6274">
        <v>0.62847222222222199</v>
      </c>
      <c r="N6274">
        <v>0.98958333333333304</v>
      </c>
      <c r="O6274">
        <v>0.75</v>
      </c>
      <c r="P6274" t="s">
        <v>169</v>
      </c>
      <c r="Q6274" t="s">
        <v>170</v>
      </c>
      <c r="R6274" t="s">
        <v>342</v>
      </c>
      <c r="S6274" t="s">
        <v>343</v>
      </c>
      <c r="T6274" t="s">
        <v>12916</v>
      </c>
      <c r="U6274" t="s">
        <v>12917</v>
      </c>
      <c r="V6274" t="s">
        <v>12918</v>
      </c>
      <c r="W6274" t="s">
        <v>12919</v>
      </c>
      <c r="AD6274" t="s">
        <v>12920</v>
      </c>
      <c r="AE6274" t="s">
        <v>12921</v>
      </c>
      <c r="AF6274" t="e">
        <f>--MPAEALLSATGITVVMGEKTLLNDVSVVARRGEVLGLIGPNGAGKSTLLSVLSGDLIPFSGSVSICGYDPVQASALELAKSRSVMLQDVSVSFAFLVRDVVSMGRRPWARTDQSVRDDAIIDAALAATEVSHLSDRDIMTLSGGERARVALSRVLAQQTPVVLLDEPTAALDIGHQEQALGLVRALAKNGAAVIVVLHDLNAAAAYCDRIVCLADGTVAAQGTVAEVYTKETLSAVYGWDIQVVLSPAG------DVQVFPKRGREAGVGDGLQETLSELFNLTFN</f>
        <v>#NAME?</v>
      </c>
    </row>
    <row r="6275" spans="1:32" hidden="1" x14ac:dyDescent="0.35">
      <c r="A6275">
        <v>6274</v>
      </c>
      <c r="B6275" t="s">
        <v>12915</v>
      </c>
      <c r="C6275" t="s">
        <v>68</v>
      </c>
      <c r="D6275" t="s">
        <v>62</v>
      </c>
      <c r="E6275">
        <v>573</v>
      </c>
      <c r="F6275">
        <v>3</v>
      </c>
      <c r="G6275">
        <v>3</v>
      </c>
      <c r="H6275">
        <v>1</v>
      </c>
      <c r="I6275">
        <v>0</v>
      </c>
      <c r="J6275">
        <v>0.82605177993527501</v>
      </c>
      <c r="K6275">
        <v>0.954381210478773</v>
      </c>
      <c r="L6275">
        <v>0.88559165315110699</v>
      </c>
      <c r="M6275">
        <v>0.62847222222222199</v>
      </c>
      <c r="N6275">
        <v>0.98958333333333304</v>
      </c>
      <c r="O6275">
        <v>0.75</v>
      </c>
      <c r="P6275" t="s">
        <v>169</v>
      </c>
      <c r="Q6275" t="s">
        <v>170</v>
      </c>
      <c r="R6275" t="s">
        <v>342</v>
      </c>
      <c r="S6275" t="s">
        <v>343</v>
      </c>
      <c r="T6275" t="s">
        <v>12916</v>
      </c>
      <c r="U6275" t="s">
        <v>12917</v>
      </c>
      <c r="V6275" t="s">
        <v>12918</v>
      </c>
      <c r="W6275" t="s">
        <v>12919</v>
      </c>
      <c r="AD6275" t="s">
        <v>12920</v>
      </c>
      <c r="AE6275" t="s">
        <v>12921</v>
      </c>
      <c r="AF6275" t="e">
        <f>--MPAEALLSATGITVVMGEKTLLNDVSVVARRGEVLGLIGPNGAGKSTLLSVLSGDLIPFSGSVSICGYDPAQASALELAKSRSVMLQDVSVSFAFLVRDVVSMGRRPWARTDQSVRDDAIIDAALAATEVSHLSDRDIMTLSGGERARVALSRVLAQQTPVVLLDEPTAALDIGHQEQALGLVRALAKNGAAVIVVLHDLNAAAAYCDRIVCLADGTVAAQGTVAEVYTKETLSAVYGWGIQVVLSPAG------DVQVFPKRGREAGVGDGLQETLSELFDLTFN</f>
        <v>#NAME?</v>
      </c>
    </row>
    <row r="6276" spans="1:32" s="1" customFormat="1" hidden="1" x14ac:dyDescent="0.35">
      <c r="A6276" s="1">
        <v>6275</v>
      </c>
      <c r="B6276" s="1" t="s">
        <v>12923</v>
      </c>
      <c r="C6276" s="1" t="s">
        <v>68</v>
      </c>
      <c r="D6276" s="1" t="s">
        <v>34</v>
      </c>
      <c r="E6276" s="1">
        <v>1265</v>
      </c>
      <c r="F6276" s="1">
        <v>2</v>
      </c>
      <c r="G6276" s="1">
        <v>3</v>
      </c>
      <c r="H6276" s="1">
        <v>2</v>
      </c>
      <c r="I6276" s="1">
        <v>0</v>
      </c>
      <c r="J6276" s="1">
        <v>0.79166666666666696</v>
      </c>
      <c r="K6276" s="1">
        <v>0.52153377065481699</v>
      </c>
      <c r="L6276" s="1">
        <v>0.62881627211538904</v>
      </c>
      <c r="M6276" s="1">
        <v>0.195592286501377</v>
      </c>
      <c r="N6276" s="1">
        <v>0.36914600550964199</v>
      </c>
      <c r="O6276" s="1">
        <v>0.28099173553718998</v>
      </c>
      <c r="P6276" s="1" t="s">
        <v>12924</v>
      </c>
      <c r="Q6276" s="1" t="s">
        <v>12925</v>
      </c>
      <c r="AF6276" s="1" t="s">
        <v>12926</v>
      </c>
    </row>
    <row r="6277" spans="1:32" hidden="1" x14ac:dyDescent="0.35">
      <c r="A6277">
        <v>6276</v>
      </c>
      <c r="B6277" t="s">
        <v>12923</v>
      </c>
      <c r="C6277" t="s">
        <v>68</v>
      </c>
      <c r="D6277" t="s">
        <v>45</v>
      </c>
      <c r="E6277">
        <v>2</v>
      </c>
      <c r="F6277">
        <v>2</v>
      </c>
      <c r="G6277">
        <v>3</v>
      </c>
      <c r="H6277">
        <v>2</v>
      </c>
      <c r="I6277">
        <v>0</v>
      </c>
      <c r="J6277">
        <v>0.79166666666666696</v>
      </c>
      <c r="K6277">
        <v>0.52153377065481699</v>
      </c>
      <c r="L6277">
        <v>0.62881627211538904</v>
      </c>
      <c r="M6277">
        <v>0.195592286501377</v>
      </c>
      <c r="N6277">
        <v>0.36914600550964199</v>
      </c>
      <c r="O6277">
        <v>0.28099173553718998</v>
      </c>
      <c r="AF6277" t="e">
        <f>------------------------------------------------------------------------------------------------------------------MVFFHYDKLITDVHQLVAPQIGKIKVEPDTITVEFAEFSPNYPREWHGDWEAITYKLKGDKLEQKTDPILDIRALDLDFGKNPPPSSHSVISPYGNVHQKPWDYEVKSGVLARVPMDDIQILCDIAHNLTRFTARTSRNP-----------------HGRSSPHPMMMRVPIVAMVTPTMP--------------------------------------TLFSEPQTSSTRPFRSPAIPPPVSSLPTRR</f>
        <v>#NAME?</v>
      </c>
    </row>
    <row r="6278" spans="1:32" hidden="1" x14ac:dyDescent="0.35">
      <c r="A6278">
        <v>6277</v>
      </c>
      <c r="B6278" t="s">
        <v>12923</v>
      </c>
      <c r="C6278" t="s">
        <v>68</v>
      </c>
      <c r="D6278" t="s">
        <v>45</v>
      </c>
      <c r="E6278">
        <v>1</v>
      </c>
      <c r="F6278">
        <v>2</v>
      </c>
      <c r="G6278">
        <v>3</v>
      </c>
      <c r="H6278">
        <v>2</v>
      </c>
      <c r="I6278">
        <v>0</v>
      </c>
      <c r="J6278">
        <v>0.79166666666666696</v>
      </c>
      <c r="K6278">
        <v>0.52153377065481699</v>
      </c>
      <c r="L6278">
        <v>0.62881627211538904</v>
      </c>
      <c r="M6278">
        <v>0.195592286501377</v>
      </c>
      <c r="N6278">
        <v>0.36914600550964199</v>
      </c>
      <c r="O6278">
        <v>0.28099173553718998</v>
      </c>
      <c r="AF6278" t="s">
        <v>12927</v>
      </c>
    </row>
    <row r="6279" spans="1:32" hidden="1" x14ac:dyDescent="0.35">
      <c r="A6279">
        <v>6278</v>
      </c>
      <c r="B6279" t="s">
        <v>12928</v>
      </c>
      <c r="C6279" t="s">
        <v>68</v>
      </c>
      <c r="D6279" t="s">
        <v>58</v>
      </c>
      <c r="E6279">
        <v>168</v>
      </c>
      <c r="F6279">
        <v>3</v>
      </c>
      <c r="G6279">
        <v>3</v>
      </c>
      <c r="H6279">
        <v>1</v>
      </c>
      <c r="I6279">
        <v>0</v>
      </c>
      <c r="J6279">
        <v>0.88461538461538503</v>
      </c>
      <c r="K6279">
        <v>0.94427660288687199</v>
      </c>
      <c r="L6279">
        <v>0.91347287423670098</v>
      </c>
      <c r="M6279">
        <v>0.72809667673716005</v>
      </c>
      <c r="N6279">
        <v>0.99697885196374603</v>
      </c>
      <c r="O6279">
        <v>0.81873111782477304</v>
      </c>
      <c r="P6279" t="s">
        <v>5921</v>
      </c>
      <c r="Q6279" t="s">
        <v>5922</v>
      </c>
      <c r="R6279" t="s">
        <v>5726</v>
      </c>
      <c r="S6279" t="s">
        <v>5727</v>
      </c>
      <c r="T6279" t="s">
        <v>5923</v>
      </c>
      <c r="U6279" t="s">
        <v>5924</v>
      </c>
      <c r="V6279" t="s">
        <v>5925</v>
      </c>
      <c r="W6279" t="s">
        <v>5926</v>
      </c>
      <c r="AD6279" t="s">
        <v>191</v>
      </c>
      <c r="AE6279" t="s">
        <v>5927</v>
      </c>
      <c r="AF6279" t="s">
        <v>12929</v>
      </c>
    </row>
    <row r="6280" spans="1:32" hidden="1" x14ac:dyDescent="0.35">
      <c r="A6280">
        <v>6279</v>
      </c>
      <c r="B6280" t="s">
        <v>12928</v>
      </c>
      <c r="C6280" t="s">
        <v>68</v>
      </c>
      <c r="D6280" t="s">
        <v>34</v>
      </c>
      <c r="E6280">
        <v>856</v>
      </c>
      <c r="F6280">
        <v>3</v>
      </c>
      <c r="G6280">
        <v>3</v>
      </c>
      <c r="H6280">
        <v>1</v>
      </c>
      <c r="I6280">
        <v>0</v>
      </c>
      <c r="J6280">
        <v>0.88461538461538503</v>
      </c>
      <c r="K6280">
        <v>0.94427660288687199</v>
      </c>
      <c r="L6280">
        <v>0.91347287423670098</v>
      </c>
      <c r="M6280">
        <v>0.72809667673716005</v>
      </c>
      <c r="N6280">
        <v>0.99697885196374603</v>
      </c>
      <c r="O6280">
        <v>0.81873111782477304</v>
      </c>
      <c r="P6280" t="s">
        <v>5921</v>
      </c>
      <c r="Q6280" t="s">
        <v>5922</v>
      </c>
      <c r="R6280" t="s">
        <v>5726</v>
      </c>
      <c r="S6280" t="s">
        <v>5727</v>
      </c>
      <c r="T6280" t="s">
        <v>5923</v>
      </c>
      <c r="U6280" t="s">
        <v>5924</v>
      </c>
      <c r="V6280" t="s">
        <v>5925</v>
      </c>
      <c r="W6280" t="s">
        <v>5926</v>
      </c>
      <c r="AD6280" t="s">
        <v>191</v>
      </c>
      <c r="AE6280" t="s">
        <v>5927</v>
      </c>
      <c r="AF6280" t="s">
        <v>12930</v>
      </c>
    </row>
    <row r="6281" spans="1:32" hidden="1" x14ac:dyDescent="0.35">
      <c r="A6281">
        <v>6280</v>
      </c>
      <c r="B6281" t="s">
        <v>12928</v>
      </c>
      <c r="C6281" t="s">
        <v>68</v>
      </c>
      <c r="D6281" t="s">
        <v>45</v>
      </c>
      <c r="E6281">
        <v>2113</v>
      </c>
      <c r="F6281">
        <v>3</v>
      </c>
      <c r="G6281">
        <v>3</v>
      </c>
      <c r="H6281">
        <v>1</v>
      </c>
      <c r="I6281">
        <v>0</v>
      </c>
      <c r="J6281">
        <v>0.88461538461538503</v>
      </c>
      <c r="K6281">
        <v>0.94427660288687199</v>
      </c>
      <c r="L6281">
        <v>0.91347287423670098</v>
      </c>
      <c r="M6281">
        <v>0.72809667673716005</v>
      </c>
      <c r="N6281">
        <v>0.99697885196374603</v>
      </c>
      <c r="O6281">
        <v>0.81873111782477304</v>
      </c>
      <c r="P6281" t="s">
        <v>5921</v>
      </c>
      <c r="Q6281" t="s">
        <v>5922</v>
      </c>
      <c r="R6281" t="s">
        <v>5726</v>
      </c>
      <c r="S6281" t="s">
        <v>5727</v>
      </c>
      <c r="T6281" t="s">
        <v>5923</v>
      </c>
      <c r="U6281" t="s">
        <v>5924</v>
      </c>
      <c r="V6281" t="s">
        <v>5925</v>
      </c>
      <c r="W6281" t="s">
        <v>5926</v>
      </c>
      <c r="AD6281" t="s">
        <v>191</v>
      </c>
      <c r="AE6281" t="s">
        <v>5927</v>
      </c>
      <c r="AF6281" t="s">
        <v>12931</v>
      </c>
    </row>
    <row r="6282" spans="1:32" hidden="1" x14ac:dyDescent="0.35">
      <c r="A6282">
        <v>11253</v>
      </c>
      <c r="B6282" t="s">
        <v>22884</v>
      </c>
      <c r="C6282" t="s">
        <v>33</v>
      </c>
      <c r="D6282" t="s">
        <v>58</v>
      </c>
      <c r="E6282">
        <v>1786</v>
      </c>
      <c r="F6282">
        <v>1</v>
      </c>
      <c r="G6282">
        <v>1</v>
      </c>
      <c r="H6282">
        <v>1</v>
      </c>
      <c r="I6282">
        <v>0</v>
      </c>
      <c r="J6282">
        <v>1</v>
      </c>
      <c r="K6282">
        <v>1</v>
      </c>
      <c r="L6282">
        <v>1</v>
      </c>
      <c r="M6282">
        <v>0</v>
      </c>
      <c r="N6282">
        <v>0</v>
      </c>
      <c r="O6282">
        <v>0</v>
      </c>
      <c r="P6282" t="s">
        <v>11944</v>
      </c>
      <c r="Q6282" t="s">
        <v>11945</v>
      </c>
      <c r="R6282" t="s">
        <v>157</v>
      </c>
      <c r="S6282" t="s">
        <v>158</v>
      </c>
      <c r="T6282" t="s">
        <v>11946</v>
      </c>
      <c r="U6282" t="s">
        <v>5771</v>
      </c>
      <c r="V6282" t="s">
        <v>11947</v>
      </c>
      <c r="W6282" t="s">
        <v>11948</v>
      </c>
      <c r="AD6282" t="s">
        <v>166</v>
      </c>
      <c r="AE6282" t="s">
        <v>10202</v>
      </c>
      <c r="AF6282" t="s">
        <v>22885</v>
      </c>
    </row>
    <row r="6283" spans="1:32" hidden="1" x14ac:dyDescent="0.35">
      <c r="A6283">
        <v>6282</v>
      </c>
      <c r="B6283" t="s">
        <v>12932</v>
      </c>
      <c r="C6283" t="s">
        <v>68</v>
      </c>
      <c r="D6283" t="s">
        <v>34</v>
      </c>
      <c r="E6283">
        <v>1092</v>
      </c>
      <c r="F6283">
        <v>3</v>
      </c>
      <c r="G6283">
        <v>3</v>
      </c>
      <c r="H6283">
        <v>1</v>
      </c>
      <c r="I6283">
        <v>0</v>
      </c>
      <c r="J6283">
        <v>0.793197278911565</v>
      </c>
      <c r="K6283">
        <v>0.87383351997013803</v>
      </c>
      <c r="L6283">
        <v>0.83156516451525297</v>
      </c>
      <c r="M6283">
        <v>0.43157894736842101</v>
      </c>
      <c r="N6283">
        <v>0.97894736842105301</v>
      </c>
      <c r="O6283">
        <v>0.61403508771929804</v>
      </c>
      <c r="P6283" t="s">
        <v>12933</v>
      </c>
      <c r="Q6283" t="s">
        <v>12934</v>
      </c>
      <c r="R6283" t="s">
        <v>157</v>
      </c>
      <c r="S6283" t="s">
        <v>158</v>
      </c>
      <c r="T6283" t="s">
        <v>12935</v>
      </c>
      <c r="U6283" t="s">
        <v>407</v>
      </c>
      <c r="V6283" t="s">
        <v>12936</v>
      </c>
      <c r="W6283" t="s">
        <v>12937</v>
      </c>
      <c r="AD6283" t="s">
        <v>410</v>
      </c>
      <c r="AE6283" t="s">
        <v>411</v>
      </c>
      <c r="AF6283" t="s">
        <v>12939</v>
      </c>
    </row>
    <row r="6284" spans="1:32" hidden="1" x14ac:dyDescent="0.35">
      <c r="A6284">
        <v>6283</v>
      </c>
      <c r="B6284" t="s">
        <v>12932</v>
      </c>
      <c r="C6284" t="s">
        <v>68</v>
      </c>
      <c r="D6284" t="s">
        <v>45</v>
      </c>
      <c r="E6284">
        <v>2346</v>
      </c>
      <c r="F6284">
        <v>3</v>
      </c>
      <c r="G6284">
        <v>3</v>
      </c>
      <c r="H6284">
        <v>1</v>
      </c>
      <c r="I6284">
        <v>0</v>
      </c>
      <c r="J6284">
        <v>0.793197278911565</v>
      </c>
      <c r="K6284">
        <v>0.87383351997013803</v>
      </c>
      <c r="L6284">
        <v>0.83156516451525297</v>
      </c>
      <c r="M6284">
        <v>0.43157894736842101</v>
      </c>
      <c r="N6284">
        <v>0.97894736842105301</v>
      </c>
      <c r="O6284">
        <v>0.61403508771929804</v>
      </c>
      <c r="P6284" t="s">
        <v>12933</v>
      </c>
      <c r="Q6284" t="s">
        <v>12934</v>
      </c>
      <c r="R6284" t="s">
        <v>157</v>
      </c>
      <c r="S6284" t="s">
        <v>158</v>
      </c>
      <c r="T6284" t="s">
        <v>12935</v>
      </c>
      <c r="U6284" t="s">
        <v>407</v>
      </c>
      <c r="V6284" t="s">
        <v>12936</v>
      </c>
      <c r="W6284" t="s">
        <v>12937</v>
      </c>
      <c r="AD6284" t="s">
        <v>410</v>
      </c>
      <c r="AE6284" t="s">
        <v>411</v>
      </c>
      <c r="AF6284" t="s">
        <v>12940</v>
      </c>
    </row>
    <row r="6285" spans="1:32" hidden="1" x14ac:dyDescent="0.35">
      <c r="A6285">
        <v>684</v>
      </c>
      <c r="B6285" t="s">
        <v>1400</v>
      </c>
      <c r="C6285" t="s">
        <v>72</v>
      </c>
      <c r="D6285" t="s">
        <v>58</v>
      </c>
      <c r="E6285">
        <v>709</v>
      </c>
      <c r="F6285">
        <v>5</v>
      </c>
      <c r="G6285">
        <v>5</v>
      </c>
      <c r="H6285">
        <v>1</v>
      </c>
      <c r="I6285">
        <v>1</v>
      </c>
      <c r="J6285">
        <v>0.92448284891332799</v>
      </c>
      <c r="K6285">
        <v>0.993001170046801</v>
      </c>
      <c r="L6285">
        <v>0.95751781144646197</v>
      </c>
      <c r="M6285">
        <v>0.84243369734789397</v>
      </c>
      <c r="N6285">
        <v>1</v>
      </c>
      <c r="O6285">
        <v>0.88705148205928197</v>
      </c>
      <c r="P6285" t="s">
        <v>1401</v>
      </c>
      <c r="Q6285" t="s">
        <v>1402</v>
      </c>
      <c r="R6285" t="s">
        <v>1191</v>
      </c>
      <c r="S6285" t="s">
        <v>1192</v>
      </c>
      <c r="T6285" t="s">
        <v>1403</v>
      </c>
      <c r="U6285" t="s">
        <v>1404</v>
      </c>
      <c r="V6285" t="s">
        <v>1405</v>
      </c>
      <c r="W6285" t="s">
        <v>1406</v>
      </c>
      <c r="AD6285" t="s">
        <v>410</v>
      </c>
      <c r="AE6285" t="s">
        <v>1407</v>
      </c>
      <c r="AF6285" t="s">
        <v>1408</v>
      </c>
    </row>
    <row r="6286" spans="1:32" hidden="1" x14ac:dyDescent="0.35">
      <c r="A6286">
        <v>6285</v>
      </c>
      <c r="B6286" t="s">
        <v>12941</v>
      </c>
      <c r="C6286" t="s">
        <v>68</v>
      </c>
      <c r="D6286" t="s">
        <v>34</v>
      </c>
      <c r="E6286">
        <v>1671</v>
      </c>
      <c r="F6286">
        <v>3</v>
      </c>
      <c r="G6286">
        <v>3</v>
      </c>
      <c r="H6286">
        <v>1</v>
      </c>
      <c r="I6286">
        <v>0</v>
      </c>
      <c r="J6286">
        <v>0.86651668541432303</v>
      </c>
      <c r="K6286">
        <v>0.78816416040100101</v>
      </c>
      <c r="L6286">
        <v>0.825485346688133</v>
      </c>
      <c r="M6286">
        <v>0.41499999999999998</v>
      </c>
      <c r="N6286">
        <v>0.99</v>
      </c>
      <c r="O6286">
        <v>0.60666666666666702</v>
      </c>
      <c r="P6286" t="s">
        <v>10923</v>
      </c>
      <c r="Q6286" t="s">
        <v>10924</v>
      </c>
      <c r="R6286" t="s">
        <v>235</v>
      </c>
      <c r="S6286" t="s">
        <v>236</v>
      </c>
      <c r="V6286" t="s">
        <v>12942</v>
      </c>
      <c r="W6286" t="s">
        <v>12943</v>
      </c>
      <c r="AF6286" t="s">
        <v>12945</v>
      </c>
    </row>
    <row r="6287" spans="1:32" hidden="1" x14ac:dyDescent="0.35">
      <c r="A6287">
        <v>6286</v>
      </c>
      <c r="B6287" t="s">
        <v>12941</v>
      </c>
      <c r="C6287" t="s">
        <v>68</v>
      </c>
      <c r="D6287" t="s">
        <v>45</v>
      </c>
      <c r="E6287">
        <v>1205</v>
      </c>
      <c r="F6287">
        <v>3</v>
      </c>
      <c r="G6287">
        <v>3</v>
      </c>
      <c r="H6287">
        <v>1</v>
      </c>
      <c r="I6287">
        <v>0</v>
      </c>
      <c r="J6287">
        <v>0.86651668541432303</v>
      </c>
      <c r="K6287">
        <v>0.78816416040100101</v>
      </c>
      <c r="L6287">
        <v>0.825485346688133</v>
      </c>
      <c r="M6287">
        <v>0.41499999999999998</v>
      </c>
      <c r="N6287">
        <v>0.99</v>
      </c>
      <c r="O6287">
        <v>0.60666666666666702</v>
      </c>
      <c r="P6287" t="s">
        <v>11398</v>
      </c>
      <c r="Q6287" t="s">
        <v>11399</v>
      </c>
      <c r="R6287" t="s">
        <v>235</v>
      </c>
      <c r="S6287" t="s">
        <v>236</v>
      </c>
      <c r="V6287" t="s">
        <v>12942</v>
      </c>
      <c r="W6287" t="s">
        <v>12943</v>
      </c>
      <c r="AF6287" t="s">
        <v>12946</v>
      </c>
    </row>
    <row r="6288" spans="1:32" hidden="1" x14ac:dyDescent="0.35">
      <c r="A6288">
        <v>11222</v>
      </c>
      <c r="B6288" t="s">
        <v>22799</v>
      </c>
      <c r="C6288" t="s">
        <v>33</v>
      </c>
      <c r="D6288" t="s">
        <v>58</v>
      </c>
      <c r="E6288">
        <v>1172</v>
      </c>
      <c r="F6288">
        <v>1</v>
      </c>
      <c r="G6288">
        <v>1</v>
      </c>
      <c r="H6288">
        <v>1</v>
      </c>
      <c r="I6288">
        <v>0</v>
      </c>
      <c r="J6288">
        <v>1</v>
      </c>
      <c r="K6288">
        <v>1</v>
      </c>
      <c r="L6288">
        <v>1</v>
      </c>
      <c r="M6288">
        <v>0</v>
      </c>
      <c r="N6288">
        <v>0</v>
      </c>
      <c r="O6288">
        <v>0</v>
      </c>
      <c r="P6288" t="s">
        <v>11332</v>
      </c>
      <c r="Q6288" t="s">
        <v>11333</v>
      </c>
      <c r="R6288" t="s">
        <v>371</v>
      </c>
      <c r="S6288" t="s">
        <v>372</v>
      </c>
      <c r="T6288" t="s">
        <v>11334</v>
      </c>
      <c r="U6288" t="s">
        <v>11335</v>
      </c>
      <c r="V6288" t="s">
        <v>11336</v>
      </c>
      <c r="W6288" t="s">
        <v>11337</v>
      </c>
      <c r="AD6288" t="s">
        <v>410</v>
      </c>
      <c r="AE6288" t="s">
        <v>1217</v>
      </c>
      <c r="AF6288" t="s">
        <v>22800</v>
      </c>
    </row>
    <row r="6289" spans="1:32" hidden="1" x14ac:dyDescent="0.35">
      <c r="A6289">
        <v>6288</v>
      </c>
      <c r="B6289" t="s">
        <v>12947</v>
      </c>
      <c r="C6289" t="s">
        <v>68</v>
      </c>
      <c r="D6289" t="s">
        <v>60</v>
      </c>
      <c r="E6289">
        <v>471</v>
      </c>
      <c r="F6289">
        <v>3</v>
      </c>
      <c r="G6289">
        <v>3</v>
      </c>
      <c r="H6289">
        <v>1</v>
      </c>
      <c r="I6289">
        <v>0</v>
      </c>
      <c r="J6289">
        <v>0.79537850271852795</v>
      </c>
      <c r="K6289">
        <v>0.95477795467633597</v>
      </c>
      <c r="L6289">
        <v>0.86781939615789105</v>
      </c>
      <c r="M6289">
        <v>0.58527827648114905</v>
      </c>
      <c r="N6289">
        <v>0.998204667863555</v>
      </c>
      <c r="O6289">
        <v>0.72321962896469205</v>
      </c>
      <c r="P6289" t="s">
        <v>9870</v>
      </c>
      <c r="Q6289" t="s">
        <v>9871</v>
      </c>
      <c r="R6289" t="s">
        <v>371</v>
      </c>
      <c r="S6289" t="s">
        <v>372</v>
      </c>
      <c r="T6289" t="s">
        <v>12948</v>
      </c>
      <c r="U6289" t="s">
        <v>12949</v>
      </c>
      <c r="V6289" t="s">
        <v>9874</v>
      </c>
      <c r="W6289" t="s">
        <v>9875</v>
      </c>
      <c r="AD6289" t="s">
        <v>8300</v>
      </c>
      <c r="AE6289" t="s">
        <v>12950</v>
      </c>
      <c r="AF6289" t="s">
        <v>12952</v>
      </c>
    </row>
    <row r="6290" spans="1:32" hidden="1" x14ac:dyDescent="0.35">
      <c r="A6290">
        <v>6289</v>
      </c>
      <c r="B6290" t="s">
        <v>12947</v>
      </c>
      <c r="C6290" t="s">
        <v>68</v>
      </c>
      <c r="D6290" t="s">
        <v>62</v>
      </c>
      <c r="E6290">
        <v>553</v>
      </c>
      <c r="F6290">
        <v>3</v>
      </c>
      <c r="G6290">
        <v>3</v>
      </c>
      <c r="H6290">
        <v>1</v>
      </c>
      <c r="I6290">
        <v>0</v>
      </c>
      <c r="J6290">
        <v>0.79537850271852795</v>
      </c>
      <c r="K6290">
        <v>0.95477795467633597</v>
      </c>
      <c r="L6290">
        <v>0.86781939615789105</v>
      </c>
      <c r="M6290">
        <v>0.58527827648114905</v>
      </c>
      <c r="N6290">
        <v>0.998204667863555</v>
      </c>
      <c r="O6290">
        <v>0.72321962896469205</v>
      </c>
      <c r="P6290" t="s">
        <v>9870</v>
      </c>
      <c r="Q6290" t="s">
        <v>9871</v>
      </c>
      <c r="R6290" t="s">
        <v>371</v>
      </c>
      <c r="S6290" t="s">
        <v>372</v>
      </c>
      <c r="T6290" t="s">
        <v>12948</v>
      </c>
      <c r="U6290" t="s">
        <v>12949</v>
      </c>
      <c r="V6290" t="s">
        <v>9874</v>
      </c>
      <c r="W6290" t="s">
        <v>9875</v>
      </c>
      <c r="AD6290" t="s">
        <v>8300</v>
      </c>
      <c r="AE6290" t="s">
        <v>12950</v>
      </c>
      <c r="AF6290" t="s">
        <v>12953</v>
      </c>
    </row>
    <row r="6291" spans="1:32" hidden="1" x14ac:dyDescent="0.35">
      <c r="A6291">
        <v>6290</v>
      </c>
      <c r="B6291" t="s">
        <v>12954</v>
      </c>
      <c r="C6291" t="s">
        <v>68</v>
      </c>
      <c r="D6291" t="s">
        <v>58</v>
      </c>
      <c r="E6291">
        <v>963</v>
      </c>
      <c r="F6291">
        <v>3</v>
      </c>
      <c r="G6291">
        <v>3</v>
      </c>
      <c r="H6291">
        <v>1</v>
      </c>
      <c r="I6291">
        <v>0</v>
      </c>
      <c r="J6291">
        <v>0.78231292517006801</v>
      </c>
      <c r="K6291">
        <v>0.93471299064426105</v>
      </c>
      <c r="L6291">
        <v>0.85174958300914405</v>
      </c>
      <c r="M6291">
        <v>0.51330798479087403</v>
      </c>
      <c r="N6291">
        <v>0.99239543726235702</v>
      </c>
      <c r="O6291">
        <v>0.67553865652724998</v>
      </c>
      <c r="P6291" t="s">
        <v>3484</v>
      </c>
      <c r="Q6291" t="s">
        <v>3485</v>
      </c>
      <c r="R6291" t="s">
        <v>213</v>
      </c>
      <c r="S6291" t="s">
        <v>214</v>
      </c>
      <c r="V6291" t="s">
        <v>11752</v>
      </c>
      <c r="W6291" t="s">
        <v>11753</v>
      </c>
      <c r="X6291" t="s">
        <v>11752</v>
      </c>
      <c r="Y6291" t="s">
        <v>710</v>
      </c>
      <c r="AF6291" t="s">
        <v>12955</v>
      </c>
    </row>
    <row r="6292" spans="1:32" hidden="1" x14ac:dyDescent="0.35">
      <c r="A6292">
        <v>6291</v>
      </c>
      <c r="B6292" t="s">
        <v>12954</v>
      </c>
      <c r="C6292" t="s">
        <v>68</v>
      </c>
      <c r="D6292" t="s">
        <v>60</v>
      </c>
      <c r="E6292">
        <v>1244</v>
      </c>
      <c r="F6292">
        <v>3</v>
      </c>
      <c r="G6292">
        <v>3</v>
      </c>
      <c r="H6292">
        <v>1</v>
      </c>
      <c r="I6292">
        <v>0</v>
      </c>
      <c r="J6292">
        <v>0.78231292517006801</v>
      </c>
      <c r="K6292">
        <v>0.93471299064426105</v>
      </c>
      <c r="L6292">
        <v>0.85174958300914405</v>
      </c>
      <c r="M6292">
        <v>0.51330798479087403</v>
      </c>
      <c r="N6292">
        <v>0.99239543726235702</v>
      </c>
      <c r="O6292">
        <v>0.67553865652724998</v>
      </c>
      <c r="P6292" t="s">
        <v>3484</v>
      </c>
      <c r="Q6292" t="s">
        <v>3485</v>
      </c>
      <c r="R6292" t="s">
        <v>213</v>
      </c>
      <c r="S6292" t="s">
        <v>214</v>
      </c>
      <c r="T6292" t="s">
        <v>8408</v>
      </c>
      <c r="U6292" t="s">
        <v>8409</v>
      </c>
      <c r="V6292" t="s">
        <v>11752</v>
      </c>
      <c r="W6292" t="s">
        <v>11753</v>
      </c>
      <c r="X6292" t="s">
        <v>11752</v>
      </c>
      <c r="Y6292" t="s">
        <v>710</v>
      </c>
      <c r="Z6292" t="s">
        <v>5732</v>
      </c>
      <c r="AA6292" t="s">
        <v>5733</v>
      </c>
      <c r="AB6292" t="s">
        <v>5732</v>
      </c>
      <c r="AC6292" t="s">
        <v>713</v>
      </c>
      <c r="AD6292" t="s">
        <v>3948</v>
      </c>
      <c r="AE6292" t="s">
        <v>8410</v>
      </c>
      <c r="AF6292" t="s">
        <v>12956</v>
      </c>
    </row>
    <row r="6293" spans="1:32" hidden="1" x14ac:dyDescent="0.35">
      <c r="A6293">
        <v>6292</v>
      </c>
      <c r="B6293" t="s">
        <v>12954</v>
      </c>
      <c r="C6293" t="s">
        <v>68</v>
      </c>
      <c r="D6293" t="s">
        <v>62</v>
      </c>
      <c r="E6293">
        <v>1281</v>
      </c>
      <c r="F6293">
        <v>3</v>
      </c>
      <c r="G6293">
        <v>3</v>
      </c>
      <c r="H6293">
        <v>1</v>
      </c>
      <c r="I6293">
        <v>0</v>
      </c>
      <c r="J6293">
        <v>0.78231292517006801</v>
      </c>
      <c r="K6293">
        <v>0.93471299064426105</v>
      </c>
      <c r="L6293">
        <v>0.85174958300914405</v>
      </c>
      <c r="M6293">
        <v>0.51330798479087403</v>
      </c>
      <c r="N6293">
        <v>0.99239543726235702</v>
      </c>
      <c r="O6293">
        <v>0.67553865652724998</v>
      </c>
      <c r="P6293" t="s">
        <v>3484</v>
      </c>
      <c r="Q6293" t="s">
        <v>3485</v>
      </c>
      <c r="R6293" t="s">
        <v>213</v>
      </c>
      <c r="S6293" t="s">
        <v>214</v>
      </c>
      <c r="T6293" t="s">
        <v>8408</v>
      </c>
      <c r="U6293" t="s">
        <v>8409</v>
      </c>
      <c r="V6293" t="s">
        <v>11752</v>
      </c>
      <c r="W6293" t="s">
        <v>11753</v>
      </c>
      <c r="X6293" t="s">
        <v>11752</v>
      </c>
      <c r="Y6293" t="s">
        <v>710</v>
      </c>
      <c r="Z6293" t="s">
        <v>5732</v>
      </c>
      <c r="AA6293" t="s">
        <v>5733</v>
      </c>
      <c r="AB6293" t="s">
        <v>5732</v>
      </c>
      <c r="AC6293" t="s">
        <v>713</v>
      </c>
      <c r="AD6293" t="s">
        <v>3948</v>
      </c>
      <c r="AE6293" t="s">
        <v>8410</v>
      </c>
      <c r="AF6293" t="s">
        <v>12957</v>
      </c>
    </row>
    <row r="6294" spans="1:32" hidden="1" x14ac:dyDescent="0.35">
      <c r="A6294">
        <v>6293</v>
      </c>
      <c r="B6294" t="s">
        <v>12958</v>
      </c>
      <c r="C6294" t="s">
        <v>68</v>
      </c>
      <c r="D6294" t="s">
        <v>34</v>
      </c>
      <c r="E6294">
        <v>381</v>
      </c>
      <c r="F6294">
        <v>2</v>
      </c>
      <c r="G6294">
        <v>3</v>
      </c>
      <c r="H6294">
        <v>2</v>
      </c>
      <c r="I6294">
        <v>0</v>
      </c>
      <c r="J6294">
        <v>0.88173731030873903</v>
      </c>
      <c r="K6294">
        <v>0.63157432194910801</v>
      </c>
      <c r="L6294">
        <v>0.73597880571975605</v>
      </c>
      <c r="M6294">
        <v>0.10034013605442201</v>
      </c>
      <c r="N6294">
        <v>0.81632653061224503</v>
      </c>
      <c r="O6294">
        <v>0.341269841269841</v>
      </c>
      <c r="P6294" t="s">
        <v>12959</v>
      </c>
      <c r="Q6294" t="s">
        <v>12960</v>
      </c>
      <c r="T6294" t="s">
        <v>12961</v>
      </c>
      <c r="U6294" t="s">
        <v>12962</v>
      </c>
      <c r="AD6294" t="s">
        <v>166</v>
      </c>
      <c r="AE6294" t="s">
        <v>3695</v>
      </c>
      <c r="AF6294" t="s">
        <v>12963</v>
      </c>
    </row>
    <row r="6295" spans="1:32" hidden="1" x14ac:dyDescent="0.35">
      <c r="A6295">
        <v>6294</v>
      </c>
      <c r="B6295" t="s">
        <v>12958</v>
      </c>
      <c r="C6295" t="s">
        <v>68</v>
      </c>
      <c r="D6295" t="s">
        <v>34</v>
      </c>
      <c r="E6295">
        <v>380</v>
      </c>
      <c r="F6295">
        <v>2</v>
      </c>
      <c r="G6295">
        <v>3</v>
      </c>
      <c r="H6295">
        <v>2</v>
      </c>
      <c r="I6295">
        <v>0</v>
      </c>
      <c r="J6295">
        <v>0.88173731030873903</v>
      </c>
      <c r="K6295">
        <v>0.63157432194910801</v>
      </c>
      <c r="L6295">
        <v>0.73597880571975605</v>
      </c>
      <c r="M6295">
        <v>0.10034013605442201</v>
      </c>
      <c r="N6295">
        <v>0.81632653061224503</v>
      </c>
      <c r="O6295">
        <v>0.341269841269841</v>
      </c>
      <c r="AF6295" t="e">
        <f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MKPDGGAVAASKGTDEDSWPDGASTAVKDAAGPEISAETETDGESDTDAAAAGEVEPGGKNH</f>
        <v>#NAME?</v>
      </c>
    </row>
    <row r="6296" spans="1:32" hidden="1" x14ac:dyDescent="0.35">
      <c r="A6296">
        <v>6295</v>
      </c>
      <c r="B6296" t="s">
        <v>12958</v>
      </c>
      <c r="C6296" t="s">
        <v>68</v>
      </c>
      <c r="D6296" t="s">
        <v>45</v>
      </c>
      <c r="E6296">
        <v>1642</v>
      </c>
      <c r="F6296">
        <v>2</v>
      </c>
      <c r="G6296">
        <v>3</v>
      </c>
      <c r="H6296">
        <v>2</v>
      </c>
      <c r="I6296">
        <v>0</v>
      </c>
      <c r="J6296">
        <v>0.88173731030873903</v>
      </c>
      <c r="K6296">
        <v>0.63157432194910801</v>
      </c>
      <c r="L6296">
        <v>0.73597880571975605</v>
      </c>
      <c r="M6296">
        <v>0.10034013605442201</v>
      </c>
      <c r="N6296">
        <v>0.81632653061224503</v>
      </c>
      <c r="O6296">
        <v>0.341269841269841</v>
      </c>
      <c r="P6296" t="s">
        <v>12959</v>
      </c>
      <c r="Q6296" t="s">
        <v>12960</v>
      </c>
      <c r="T6296" t="s">
        <v>12961</v>
      </c>
      <c r="U6296" t="s">
        <v>12962</v>
      </c>
      <c r="AD6296" t="s">
        <v>166</v>
      </c>
      <c r="AE6296" t="s">
        <v>3695</v>
      </c>
      <c r="AF6296" t="s">
        <v>12964</v>
      </c>
    </row>
    <row r="6297" spans="1:32" hidden="1" x14ac:dyDescent="0.35">
      <c r="A6297">
        <v>6296</v>
      </c>
      <c r="B6297" t="s">
        <v>12965</v>
      </c>
      <c r="C6297" t="s">
        <v>68</v>
      </c>
      <c r="D6297" t="s">
        <v>58</v>
      </c>
      <c r="E6297">
        <v>1766</v>
      </c>
      <c r="F6297">
        <v>3</v>
      </c>
      <c r="G6297">
        <v>3</v>
      </c>
      <c r="H6297">
        <v>1</v>
      </c>
      <c r="I6297">
        <v>0</v>
      </c>
      <c r="J6297">
        <v>0.77997076023391798</v>
      </c>
      <c r="K6297">
        <v>0.98706957530487105</v>
      </c>
      <c r="L6297">
        <v>0.87138407830352604</v>
      </c>
      <c r="M6297">
        <v>0.54545454545454497</v>
      </c>
      <c r="N6297">
        <v>0.993506493506494</v>
      </c>
      <c r="O6297">
        <v>0.69480519480519498</v>
      </c>
      <c r="P6297" t="s">
        <v>12966</v>
      </c>
      <c r="Q6297" t="s">
        <v>12967</v>
      </c>
      <c r="R6297" t="s">
        <v>288</v>
      </c>
      <c r="S6297" t="s">
        <v>289</v>
      </c>
      <c r="T6297" t="s">
        <v>12968</v>
      </c>
      <c r="U6297" t="s">
        <v>407</v>
      </c>
      <c r="V6297" t="s">
        <v>12969</v>
      </c>
      <c r="W6297" t="s">
        <v>12970</v>
      </c>
      <c r="AD6297" t="s">
        <v>410</v>
      </c>
      <c r="AE6297" t="s">
        <v>411</v>
      </c>
      <c r="AF6297" t="s">
        <v>12971</v>
      </c>
    </row>
    <row r="6298" spans="1:32" hidden="1" x14ac:dyDescent="0.35">
      <c r="A6298">
        <v>6297</v>
      </c>
      <c r="B6298" t="s">
        <v>12965</v>
      </c>
      <c r="C6298" t="s">
        <v>68</v>
      </c>
      <c r="D6298" t="s">
        <v>34</v>
      </c>
      <c r="E6298">
        <v>1226</v>
      </c>
      <c r="F6298">
        <v>3</v>
      </c>
      <c r="G6298">
        <v>3</v>
      </c>
      <c r="H6298">
        <v>1</v>
      </c>
      <c r="I6298">
        <v>0</v>
      </c>
      <c r="J6298">
        <v>0.77997076023391798</v>
      </c>
      <c r="K6298">
        <v>0.98706957530487105</v>
      </c>
      <c r="L6298">
        <v>0.87138407830352604</v>
      </c>
      <c r="M6298">
        <v>0.54545454545454497</v>
      </c>
      <c r="N6298">
        <v>0.993506493506494</v>
      </c>
      <c r="O6298">
        <v>0.69480519480519498</v>
      </c>
      <c r="P6298" t="s">
        <v>12966</v>
      </c>
      <c r="Q6298" t="s">
        <v>12967</v>
      </c>
      <c r="R6298" t="s">
        <v>288</v>
      </c>
      <c r="S6298" t="s">
        <v>289</v>
      </c>
      <c r="T6298" t="s">
        <v>12968</v>
      </c>
      <c r="U6298" t="s">
        <v>407</v>
      </c>
      <c r="V6298" t="s">
        <v>12969</v>
      </c>
      <c r="W6298" t="s">
        <v>12970</v>
      </c>
      <c r="AD6298" t="s">
        <v>410</v>
      </c>
      <c r="AE6298" t="s">
        <v>411</v>
      </c>
      <c r="AF6298" t="s">
        <v>12972</v>
      </c>
    </row>
    <row r="6299" spans="1:32" hidden="1" x14ac:dyDescent="0.35">
      <c r="A6299">
        <v>6298</v>
      </c>
      <c r="B6299" t="s">
        <v>12965</v>
      </c>
      <c r="C6299" t="s">
        <v>68</v>
      </c>
      <c r="D6299" t="s">
        <v>45</v>
      </c>
      <c r="E6299">
        <v>2469</v>
      </c>
      <c r="F6299">
        <v>3</v>
      </c>
      <c r="G6299">
        <v>3</v>
      </c>
      <c r="H6299">
        <v>1</v>
      </c>
      <c r="I6299">
        <v>0</v>
      </c>
      <c r="J6299">
        <v>0.77997076023391798</v>
      </c>
      <c r="K6299">
        <v>0.98706957530487105</v>
      </c>
      <c r="L6299">
        <v>0.87138407830352604</v>
      </c>
      <c r="M6299">
        <v>0.54545454545454497</v>
      </c>
      <c r="N6299">
        <v>0.993506493506494</v>
      </c>
      <c r="O6299">
        <v>0.69480519480519498</v>
      </c>
      <c r="P6299" t="s">
        <v>12966</v>
      </c>
      <c r="Q6299" t="s">
        <v>12967</v>
      </c>
      <c r="R6299" t="s">
        <v>288</v>
      </c>
      <c r="S6299" t="s">
        <v>289</v>
      </c>
      <c r="T6299" t="s">
        <v>12968</v>
      </c>
      <c r="U6299" t="s">
        <v>407</v>
      </c>
      <c r="V6299" t="s">
        <v>12969</v>
      </c>
      <c r="W6299" t="s">
        <v>12970</v>
      </c>
      <c r="AD6299" t="s">
        <v>410</v>
      </c>
      <c r="AE6299" t="s">
        <v>411</v>
      </c>
      <c r="AF6299" t="s">
        <v>12973</v>
      </c>
    </row>
    <row r="6300" spans="1:32" hidden="1" x14ac:dyDescent="0.35">
      <c r="A6300">
        <v>6299</v>
      </c>
      <c r="B6300" t="s">
        <v>12974</v>
      </c>
      <c r="C6300" t="s">
        <v>68</v>
      </c>
      <c r="D6300" t="s">
        <v>62</v>
      </c>
      <c r="E6300">
        <v>372</v>
      </c>
      <c r="F6300">
        <v>3</v>
      </c>
      <c r="G6300">
        <v>3</v>
      </c>
      <c r="H6300">
        <v>1</v>
      </c>
      <c r="I6300">
        <v>0</v>
      </c>
      <c r="J6300">
        <v>0.82792022792022801</v>
      </c>
      <c r="K6300">
        <v>0.91209157429544196</v>
      </c>
      <c r="L6300">
        <v>0.86797004837925196</v>
      </c>
      <c r="M6300">
        <v>0.581395348837209</v>
      </c>
      <c r="N6300">
        <v>0.99534883720930201</v>
      </c>
      <c r="O6300">
        <v>0.72093023255813904</v>
      </c>
      <c r="P6300" t="s">
        <v>12975</v>
      </c>
      <c r="Q6300" t="s">
        <v>12976</v>
      </c>
      <c r="R6300" t="s">
        <v>157</v>
      </c>
      <c r="S6300" t="s">
        <v>158</v>
      </c>
      <c r="T6300" t="s">
        <v>12977</v>
      </c>
      <c r="U6300" t="s">
        <v>12978</v>
      </c>
      <c r="V6300" t="s">
        <v>12979</v>
      </c>
      <c r="W6300" t="s">
        <v>12980</v>
      </c>
      <c r="AD6300" t="s">
        <v>658</v>
      </c>
      <c r="AE6300" t="s">
        <v>12981</v>
      </c>
      <c r="AF6300" t="e">
        <f>---------------------------MKEANFGGASSQLVPNGSSLGGGELPEISQGVDLERYAGKWYQVAAVPQPYTLQCVRDTTAEYAVIDDSTISVRNSCGTFLGRNSVIEGTATTRSAASLRVNFPGVPFQDPNGPTNYRITYLEDDYSLAIVGGPNRLSGFVLSRTPGLSAERWSKIRSVVEERGYNSCTFLTVPMQDGRGDITPLCRL</f>
        <v>#NAME?</v>
      </c>
    </row>
    <row r="6301" spans="1:32" hidden="1" x14ac:dyDescent="0.35">
      <c r="A6301">
        <v>6300</v>
      </c>
      <c r="B6301" t="s">
        <v>12974</v>
      </c>
      <c r="C6301" t="s">
        <v>68</v>
      </c>
      <c r="D6301" t="s">
        <v>34</v>
      </c>
      <c r="E6301">
        <v>695</v>
      </c>
      <c r="F6301">
        <v>3</v>
      </c>
      <c r="G6301">
        <v>3</v>
      </c>
      <c r="H6301">
        <v>1</v>
      </c>
      <c r="I6301">
        <v>0</v>
      </c>
      <c r="J6301">
        <v>0.82792022792022801</v>
      </c>
      <c r="K6301">
        <v>0.91209157429544196</v>
      </c>
      <c r="L6301">
        <v>0.86797004837925196</v>
      </c>
      <c r="M6301">
        <v>0.581395348837209</v>
      </c>
      <c r="N6301">
        <v>0.99534883720930201</v>
      </c>
      <c r="O6301">
        <v>0.72093023255813904</v>
      </c>
      <c r="P6301" t="s">
        <v>12975</v>
      </c>
      <c r="Q6301" t="s">
        <v>12976</v>
      </c>
      <c r="R6301" t="s">
        <v>157</v>
      </c>
      <c r="S6301" t="s">
        <v>158</v>
      </c>
      <c r="T6301" t="s">
        <v>12977</v>
      </c>
      <c r="U6301" t="s">
        <v>12978</v>
      </c>
      <c r="V6301" t="s">
        <v>12979</v>
      </c>
      <c r="W6301" t="s">
        <v>12980</v>
      </c>
      <c r="AD6301" t="s">
        <v>658</v>
      </c>
      <c r="AE6301" t="s">
        <v>12981</v>
      </c>
      <c r="AF6301" t="s">
        <v>12982</v>
      </c>
    </row>
    <row r="6302" spans="1:32" hidden="1" x14ac:dyDescent="0.35">
      <c r="A6302">
        <v>6301</v>
      </c>
      <c r="B6302" t="s">
        <v>12974</v>
      </c>
      <c r="C6302" t="s">
        <v>68</v>
      </c>
      <c r="D6302" t="s">
        <v>45</v>
      </c>
      <c r="E6302">
        <v>1961</v>
      </c>
      <c r="F6302">
        <v>3</v>
      </c>
      <c r="G6302">
        <v>3</v>
      </c>
      <c r="H6302">
        <v>1</v>
      </c>
      <c r="I6302">
        <v>0</v>
      </c>
      <c r="J6302">
        <v>0.82792022792022801</v>
      </c>
      <c r="K6302">
        <v>0.91209157429544196</v>
      </c>
      <c r="L6302">
        <v>0.86797004837925196</v>
      </c>
      <c r="M6302">
        <v>0.581395348837209</v>
      </c>
      <c r="N6302">
        <v>0.99534883720930201</v>
      </c>
      <c r="O6302">
        <v>0.72093023255813904</v>
      </c>
      <c r="P6302" t="s">
        <v>12975</v>
      </c>
      <c r="Q6302" t="s">
        <v>12976</v>
      </c>
      <c r="R6302" t="s">
        <v>157</v>
      </c>
      <c r="S6302" t="s">
        <v>158</v>
      </c>
      <c r="T6302" t="s">
        <v>12977</v>
      </c>
      <c r="U6302" t="s">
        <v>12978</v>
      </c>
      <c r="V6302" t="s">
        <v>12979</v>
      </c>
      <c r="W6302" t="s">
        <v>12980</v>
      </c>
      <c r="AD6302" t="s">
        <v>658</v>
      </c>
      <c r="AE6302" t="s">
        <v>12981</v>
      </c>
      <c r="AF6302" t="s">
        <v>12983</v>
      </c>
    </row>
    <row r="6303" spans="1:32" hidden="1" x14ac:dyDescent="0.35">
      <c r="A6303">
        <v>6302</v>
      </c>
      <c r="B6303" t="s">
        <v>12984</v>
      </c>
      <c r="C6303" t="s">
        <v>68</v>
      </c>
      <c r="D6303" t="s">
        <v>34</v>
      </c>
      <c r="E6303">
        <v>2134</v>
      </c>
      <c r="F6303">
        <v>2</v>
      </c>
      <c r="G6303">
        <v>3</v>
      </c>
      <c r="H6303">
        <v>2</v>
      </c>
      <c r="I6303">
        <v>0</v>
      </c>
      <c r="J6303">
        <v>0.84845173041894395</v>
      </c>
      <c r="K6303">
        <v>0.58693173857107805</v>
      </c>
      <c r="L6303">
        <v>0.693867889643213</v>
      </c>
      <c r="M6303">
        <v>0.17150063051702399</v>
      </c>
      <c r="N6303">
        <v>0.73139974779318995</v>
      </c>
      <c r="O6303">
        <v>0.36612021857923499</v>
      </c>
      <c r="P6303" t="s">
        <v>12985</v>
      </c>
      <c r="Q6303" t="s">
        <v>12986</v>
      </c>
      <c r="R6303" t="s">
        <v>12228</v>
      </c>
      <c r="S6303" t="s">
        <v>12229</v>
      </c>
      <c r="T6303" t="s">
        <v>12230</v>
      </c>
      <c r="U6303" t="s">
        <v>12231</v>
      </c>
      <c r="V6303" t="s">
        <v>12232</v>
      </c>
      <c r="W6303" t="s">
        <v>12233</v>
      </c>
      <c r="AD6303" t="s">
        <v>12234</v>
      </c>
      <c r="AE6303" t="s">
        <v>12235</v>
      </c>
      <c r="AF6303" t="s">
        <v>12987</v>
      </c>
    </row>
    <row r="6304" spans="1:32" hidden="1" x14ac:dyDescent="0.35">
      <c r="A6304">
        <v>6303</v>
      </c>
      <c r="B6304" t="s">
        <v>12984</v>
      </c>
      <c r="C6304" t="s">
        <v>68</v>
      </c>
      <c r="D6304" t="s">
        <v>34</v>
      </c>
      <c r="E6304">
        <v>2135</v>
      </c>
      <c r="F6304">
        <v>2</v>
      </c>
      <c r="G6304">
        <v>3</v>
      </c>
      <c r="H6304">
        <v>2</v>
      </c>
      <c r="I6304">
        <v>0</v>
      </c>
      <c r="J6304">
        <v>0.84845173041894395</v>
      </c>
      <c r="K6304">
        <v>0.58693173857107805</v>
      </c>
      <c r="L6304">
        <v>0.693867889643213</v>
      </c>
      <c r="M6304">
        <v>0.17150063051702399</v>
      </c>
      <c r="N6304">
        <v>0.73139974779318995</v>
      </c>
      <c r="O6304">
        <v>0.36612021857923499</v>
      </c>
      <c r="P6304" t="s">
        <v>12226</v>
      </c>
      <c r="Q6304" t="s">
        <v>12227</v>
      </c>
      <c r="R6304" t="s">
        <v>12228</v>
      </c>
      <c r="S6304" t="s">
        <v>12229</v>
      </c>
      <c r="V6304" t="s">
        <v>12232</v>
      </c>
      <c r="W6304" t="s">
        <v>12233</v>
      </c>
      <c r="AF6304" t="e">
        <f>------------------------------------------------------------------------------------------------------------------------------------------------------------------------------------------------MVNVNSTVTYHLSQGPAPVN----------------------------------------------------------------------------------------------------------------------------------------------------------------------------------------------------------------------------------------------------------------VPNVHNTKADEAKQQLQQLGFNVKVENKFDDSVKGNYAIGTSPDAGSQATRGSDITLYVSTA-VEIPDLAGVSEE-------AARDQLAKAGI----------RVESVTRS--------------------------------------------------------------------------------------------------------------------GDSDAVGKSANDVYITNPQAGTLIDSSQTTVTIELVNKVEVPNVIGKRLSEARTILQDAGFKVKAPSSANSNSRVIYQSPSFLSEESPETRVELRTLN</f>
        <v>#NAME?</v>
      </c>
    </row>
    <row r="6305" spans="1:32" hidden="1" x14ac:dyDescent="0.35">
      <c r="A6305">
        <v>6304</v>
      </c>
      <c r="B6305" t="s">
        <v>12984</v>
      </c>
      <c r="C6305" t="s">
        <v>68</v>
      </c>
      <c r="D6305" t="s">
        <v>45</v>
      </c>
      <c r="E6305">
        <v>738</v>
      </c>
      <c r="F6305">
        <v>2</v>
      </c>
      <c r="G6305">
        <v>3</v>
      </c>
      <c r="H6305">
        <v>2</v>
      </c>
      <c r="I6305">
        <v>0</v>
      </c>
      <c r="J6305">
        <v>0.84845173041894395</v>
      </c>
      <c r="K6305">
        <v>0.58693173857107805</v>
      </c>
      <c r="L6305">
        <v>0.693867889643213</v>
      </c>
      <c r="M6305">
        <v>0.17150063051702399</v>
      </c>
      <c r="N6305">
        <v>0.73139974779318995</v>
      </c>
      <c r="O6305">
        <v>0.36612021857923499</v>
      </c>
      <c r="P6305" t="s">
        <v>12985</v>
      </c>
      <c r="Q6305" t="s">
        <v>12986</v>
      </c>
      <c r="R6305" t="s">
        <v>12228</v>
      </c>
      <c r="S6305" t="s">
        <v>12229</v>
      </c>
      <c r="T6305" t="s">
        <v>12230</v>
      </c>
      <c r="U6305" t="s">
        <v>12231</v>
      </c>
      <c r="V6305" t="s">
        <v>12232</v>
      </c>
      <c r="W6305" t="s">
        <v>12233</v>
      </c>
      <c r="AD6305" t="s">
        <v>12234</v>
      </c>
      <c r="AE6305" t="s">
        <v>12235</v>
      </c>
      <c r="AF6305" t="s">
        <v>12988</v>
      </c>
    </row>
    <row r="6306" spans="1:32" hidden="1" x14ac:dyDescent="0.35">
      <c r="A6306">
        <v>6305</v>
      </c>
      <c r="B6306" t="s">
        <v>12989</v>
      </c>
      <c r="C6306" t="s">
        <v>68</v>
      </c>
      <c r="D6306" t="s">
        <v>60</v>
      </c>
      <c r="E6306">
        <v>2222</v>
      </c>
      <c r="F6306">
        <v>3</v>
      </c>
      <c r="G6306">
        <v>3</v>
      </c>
      <c r="H6306">
        <v>1</v>
      </c>
      <c r="I6306">
        <v>0</v>
      </c>
      <c r="J6306">
        <v>0.85709603408718404</v>
      </c>
      <c r="K6306">
        <v>0.94654611661816801</v>
      </c>
      <c r="L6306">
        <v>0.89960297536491796</v>
      </c>
      <c r="M6306">
        <v>0.61281337047353801</v>
      </c>
      <c r="N6306">
        <v>0.98885793871866301</v>
      </c>
      <c r="O6306">
        <v>0.74001857010213501</v>
      </c>
      <c r="P6306" t="s">
        <v>8909</v>
      </c>
      <c r="Q6306" t="s">
        <v>8910</v>
      </c>
      <c r="R6306" t="s">
        <v>342</v>
      </c>
      <c r="S6306" t="s">
        <v>343</v>
      </c>
      <c r="T6306" t="s">
        <v>12990</v>
      </c>
      <c r="U6306" t="s">
        <v>12566</v>
      </c>
      <c r="V6306" t="s">
        <v>12991</v>
      </c>
      <c r="W6306" t="s">
        <v>12992</v>
      </c>
      <c r="AD6306" t="s">
        <v>439</v>
      </c>
      <c r="AE6306" t="s">
        <v>11415</v>
      </c>
      <c r="AF6306" t="s">
        <v>12993</v>
      </c>
    </row>
    <row r="6307" spans="1:32" hidden="1" x14ac:dyDescent="0.35">
      <c r="A6307">
        <v>6306</v>
      </c>
      <c r="B6307" t="s">
        <v>12989</v>
      </c>
      <c r="C6307" t="s">
        <v>68</v>
      </c>
      <c r="D6307" t="s">
        <v>62</v>
      </c>
      <c r="E6307">
        <v>2252</v>
      </c>
      <c r="F6307">
        <v>3</v>
      </c>
      <c r="G6307">
        <v>3</v>
      </c>
      <c r="H6307">
        <v>1</v>
      </c>
      <c r="I6307">
        <v>0</v>
      </c>
      <c r="J6307">
        <v>0.85709603408718404</v>
      </c>
      <c r="K6307">
        <v>0.94654611661816801</v>
      </c>
      <c r="L6307">
        <v>0.89960297536491796</v>
      </c>
      <c r="M6307">
        <v>0.61281337047353801</v>
      </c>
      <c r="N6307">
        <v>0.98885793871866301</v>
      </c>
      <c r="O6307">
        <v>0.74001857010213501</v>
      </c>
      <c r="P6307" t="s">
        <v>8909</v>
      </c>
      <c r="Q6307" t="s">
        <v>8910</v>
      </c>
      <c r="R6307" t="s">
        <v>342</v>
      </c>
      <c r="S6307" t="s">
        <v>343</v>
      </c>
      <c r="T6307" t="s">
        <v>12990</v>
      </c>
      <c r="U6307" t="s">
        <v>12566</v>
      </c>
      <c r="V6307" t="s">
        <v>12991</v>
      </c>
      <c r="W6307" t="s">
        <v>12992</v>
      </c>
      <c r="AD6307" t="s">
        <v>439</v>
      </c>
      <c r="AE6307" t="s">
        <v>11415</v>
      </c>
      <c r="AF6307" t="s">
        <v>12994</v>
      </c>
    </row>
    <row r="6308" spans="1:32" hidden="1" x14ac:dyDescent="0.35">
      <c r="A6308">
        <v>6307</v>
      </c>
      <c r="B6308" t="s">
        <v>12989</v>
      </c>
      <c r="C6308" t="s">
        <v>68</v>
      </c>
      <c r="D6308" t="s">
        <v>34</v>
      </c>
      <c r="E6308">
        <v>1136</v>
      </c>
      <c r="F6308">
        <v>3</v>
      </c>
      <c r="G6308">
        <v>3</v>
      </c>
      <c r="H6308">
        <v>1</v>
      </c>
      <c r="I6308">
        <v>0</v>
      </c>
      <c r="J6308">
        <v>0.85709603408718404</v>
      </c>
      <c r="K6308">
        <v>0.94654611661816801</v>
      </c>
      <c r="L6308">
        <v>0.89960297536491796</v>
      </c>
      <c r="M6308">
        <v>0.61281337047353801</v>
      </c>
      <c r="N6308">
        <v>0.98885793871866301</v>
      </c>
      <c r="O6308">
        <v>0.74001857010213501</v>
      </c>
      <c r="P6308" t="s">
        <v>8909</v>
      </c>
      <c r="Q6308" t="s">
        <v>8910</v>
      </c>
      <c r="R6308" t="s">
        <v>342</v>
      </c>
      <c r="S6308" t="s">
        <v>343</v>
      </c>
      <c r="T6308" t="s">
        <v>12990</v>
      </c>
      <c r="U6308" t="s">
        <v>12566</v>
      </c>
      <c r="V6308" t="s">
        <v>12991</v>
      </c>
      <c r="W6308" t="s">
        <v>12992</v>
      </c>
      <c r="AD6308" t="s">
        <v>439</v>
      </c>
      <c r="AE6308" t="s">
        <v>11415</v>
      </c>
      <c r="AF6308" t="e">
        <f>-------------------MRVIHSRIIVVNVVLVLAAVLAFAASITIGDHPITLEKVFEVFMGGGTRLQRTVVLKWRLHRAVAAV----AVGLAGALTQSVTRNPLASPDVLGISQGASACAVTIIVLG----SGT---MGAVSLPVAALIGSTLAAVVIWLLGSRRGMDTFRLVLSGIMITALLQSYITWLLLRADISDAAIAKTWLTGSLVASSANRNLPVLLVLALIVPTIGYMAFQLRAMTLGDDMAAGLGVSVDKHKALFLLVSVVLTAVAVSAAGPIGFVAFVAPQLAMRLTETPTPPLVGSALCGAALLAVADLVARAGLPVELPVGLVTSAIGGAFLVYLLIQTNRKSTV</f>
        <v>#NAME?</v>
      </c>
    </row>
    <row r="6309" spans="1:32" hidden="1" x14ac:dyDescent="0.35">
      <c r="A6309">
        <v>6308</v>
      </c>
      <c r="B6309" t="s">
        <v>12995</v>
      </c>
      <c r="C6309" t="s">
        <v>68</v>
      </c>
      <c r="D6309" t="s">
        <v>58</v>
      </c>
      <c r="E6309">
        <v>144</v>
      </c>
      <c r="F6309">
        <v>3</v>
      </c>
      <c r="G6309">
        <v>3</v>
      </c>
      <c r="H6309">
        <v>1</v>
      </c>
      <c r="I6309">
        <v>0</v>
      </c>
      <c r="J6309">
        <v>0.82937450514647704</v>
      </c>
      <c r="K6309">
        <v>0.92231809030773704</v>
      </c>
      <c r="L6309">
        <v>0.87338053688383899</v>
      </c>
      <c r="M6309">
        <v>0.6</v>
      </c>
      <c r="N6309">
        <v>0.99344262295081998</v>
      </c>
      <c r="O6309">
        <v>0.73224043715846998</v>
      </c>
      <c r="P6309" t="s">
        <v>12996</v>
      </c>
      <c r="Q6309" t="s">
        <v>4868</v>
      </c>
      <c r="R6309" t="s">
        <v>96</v>
      </c>
      <c r="S6309" t="s">
        <v>97</v>
      </c>
      <c r="V6309" t="s">
        <v>12997</v>
      </c>
      <c r="W6309" t="s">
        <v>12998</v>
      </c>
      <c r="AF6309" t="s">
        <v>12999</v>
      </c>
    </row>
    <row r="6310" spans="1:32" hidden="1" x14ac:dyDescent="0.35">
      <c r="A6310">
        <v>6309</v>
      </c>
      <c r="B6310" t="s">
        <v>12995</v>
      </c>
      <c r="C6310" t="s">
        <v>68</v>
      </c>
      <c r="D6310" t="s">
        <v>60</v>
      </c>
      <c r="E6310">
        <v>234</v>
      </c>
      <c r="F6310">
        <v>3</v>
      </c>
      <c r="G6310">
        <v>3</v>
      </c>
      <c r="H6310">
        <v>1</v>
      </c>
      <c r="I6310">
        <v>0</v>
      </c>
      <c r="J6310">
        <v>0.82937450514647704</v>
      </c>
      <c r="K6310">
        <v>0.92231809030773704</v>
      </c>
      <c r="L6310">
        <v>0.87338053688383899</v>
      </c>
      <c r="M6310">
        <v>0.6</v>
      </c>
      <c r="N6310">
        <v>0.99344262295081998</v>
      </c>
      <c r="O6310">
        <v>0.73224043715846998</v>
      </c>
      <c r="P6310" t="s">
        <v>12996</v>
      </c>
      <c r="Q6310" t="s">
        <v>4868</v>
      </c>
      <c r="R6310" t="s">
        <v>96</v>
      </c>
      <c r="S6310" t="s">
        <v>97</v>
      </c>
      <c r="T6310" t="s">
        <v>13000</v>
      </c>
      <c r="U6310" t="s">
        <v>13001</v>
      </c>
      <c r="V6310" t="s">
        <v>12997</v>
      </c>
      <c r="W6310" t="s">
        <v>12998</v>
      </c>
      <c r="AD6310" t="s">
        <v>11327</v>
      </c>
      <c r="AE6310" t="s">
        <v>13002</v>
      </c>
      <c r="AF6310" t="s">
        <v>13003</v>
      </c>
    </row>
    <row r="6311" spans="1:32" hidden="1" x14ac:dyDescent="0.35">
      <c r="A6311">
        <v>6310</v>
      </c>
      <c r="B6311" t="s">
        <v>12995</v>
      </c>
      <c r="C6311" t="s">
        <v>68</v>
      </c>
      <c r="D6311" t="s">
        <v>62</v>
      </c>
      <c r="E6311">
        <v>311</v>
      </c>
      <c r="F6311">
        <v>3</v>
      </c>
      <c r="G6311">
        <v>3</v>
      </c>
      <c r="H6311">
        <v>1</v>
      </c>
      <c r="I6311">
        <v>0</v>
      </c>
      <c r="J6311">
        <v>0.82937450514647704</v>
      </c>
      <c r="K6311">
        <v>0.92231809030773704</v>
      </c>
      <c r="L6311">
        <v>0.87338053688383899</v>
      </c>
      <c r="M6311">
        <v>0.6</v>
      </c>
      <c r="N6311">
        <v>0.99344262295081998</v>
      </c>
      <c r="O6311">
        <v>0.73224043715846998</v>
      </c>
      <c r="P6311" t="s">
        <v>12996</v>
      </c>
      <c r="Q6311" t="s">
        <v>4868</v>
      </c>
      <c r="R6311" t="s">
        <v>96</v>
      </c>
      <c r="S6311" t="s">
        <v>97</v>
      </c>
      <c r="T6311" t="s">
        <v>13000</v>
      </c>
      <c r="U6311" t="s">
        <v>13001</v>
      </c>
      <c r="V6311" t="s">
        <v>12997</v>
      </c>
      <c r="W6311" t="s">
        <v>12998</v>
      </c>
      <c r="AD6311" t="s">
        <v>11327</v>
      </c>
      <c r="AE6311" t="s">
        <v>13002</v>
      </c>
      <c r="AF6311" t="s">
        <v>13004</v>
      </c>
    </row>
    <row r="6312" spans="1:32" hidden="1" x14ac:dyDescent="0.35">
      <c r="A6312">
        <v>6311</v>
      </c>
      <c r="B6312" t="s">
        <v>13005</v>
      </c>
      <c r="C6312" t="s">
        <v>68</v>
      </c>
      <c r="D6312" t="s">
        <v>58</v>
      </c>
      <c r="E6312">
        <v>1758</v>
      </c>
      <c r="F6312">
        <v>3</v>
      </c>
      <c r="G6312">
        <v>3</v>
      </c>
      <c r="H6312">
        <v>1</v>
      </c>
      <c r="I6312">
        <v>0</v>
      </c>
      <c r="J6312">
        <v>0.82773589216358201</v>
      </c>
      <c r="K6312">
        <v>0.84276999223044602</v>
      </c>
      <c r="L6312">
        <v>0.83518529078466897</v>
      </c>
      <c r="M6312">
        <v>0.49322033898305101</v>
      </c>
      <c r="N6312">
        <v>0.93559322033898296</v>
      </c>
      <c r="O6312">
        <v>0.65197740112994396</v>
      </c>
      <c r="P6312" t="s">
        <v>13006</v>
      </c>
      <c r="Q6312" t="s">
        <v>13007</v>
      </c>
      <c r="R6312" t="s">
        <v>1259</v>
      </c>
      <c r="S6312" t="s">
        <v>1260</v>
      </c>
      <c r="V6312" t="s">
        <v>13008</v>
      </c>
      <c r="W6312" t="s">
        <v>2923</v>
      </c>
      <c r="AF6312" t="s">
        <v>13009</v>
      </c>
    </row>
    <row r="6313" spans="1:32" hidden="1" x14ac:dyDescent="0.35">
      <c r="A6313">
        <v>6312</v>
      </c>
      <c r="B6313" t="s">
        <v>13005</v>
      </c>
      <c r="C6313" t="s">
        <v>68</v>
      </c>
      <c r="D6313" t="s">
        <v>60</v>
      </c>
      <c r="E6313">
        <v>2394</v>
      </c>
      <c r="F6313">
        <v>3</v>
      </c>
      <c r="G6313">
        <v>3</v>
      </c>
      <c r="H6313">
        <v>1</v>
      </c>
      <c r="I6313">
        <v>0</v>
      </c>
      <c r="J6313">
        <v>0.82773589216358201</v>
      </c>
      <c r="K6313">
        <v>0.84276999223044602</v>
      </c>
      <c r="L6313">
        <v>0.83518529078466897</v>
      </c>
      <c r="M6313">
        <v>0.49322033898305101</v>
      </c>
      <c r="N6313">
        <v>0.93559322033898296</v>
      </c>
      <c r="O6313">
        <v>0.65197740112994396</v>
      </c>
      <c r="P6313" t="s">
        <v>13006</v>
      </c>
      <c r="Q6313" t="s">
        <v>13007</v>
      </c>
      <c r="R6313" t="s">
        <v>1259</v>
      </c>
      <c r="S6313" t="s">
        <v>1260</v>
      </c>
      <c r="V6313" t="s">
        <v>13008</v>
      </c>
      <c r="W6313" t="s">
        <v>2923</v>
      </c>
      <c r="AF6313" t="s">
        <v>13010</v>
      </c>
    </row>
    <row r="6314" spans="1:32" hidden="1" x14ac:dyDescent="0.35">
      <c r="A6314">
        <v>6313</v>
      </c>
      <c r="B6314" t="s">
        <v>13005</v>
      </c>
      <c r="C6314" t="s">
        <v>68</v>
      </c>
      <c r="D6314" t="s">
        <v>62</v>
      </c>
      <c r="E6314">
        <v>2421</v>
      </c>
      <c r="F6314">
        <v>3</v>
      </c>
      <c r="G6314">
        <v>3</v>
      </c>
      <c r="H6314">
        <v>1</v>
      </c>
      <c r="I6314">
        <v>0</v>
      </c>
      <c r="J6314">
        <v>0.82773589216358201</v>
      </c>
      <c r="K6314">
        <v>0.84276999223044602</v>
      </c>
      <c r="L6314">
        <v>0.83518529078466897</v>
      </c>
      <c r="M6314">
        <v>0.49322033898305101</v>
      </c>
      <c r="N6314">
        <v>0.93559322033898296</v>
      </c>
      <c r="O6314">
        <v>0.65197740112994396</v>
      </c>
      <c r="P6314" t="s">
        <v>13006</v>
      </c>
      <c r="Q6314" t="s">
        <v>13007</v>
      </c>
      <c r="R6314" t="s">
        <v>1259</v>
      </c>
      <c r="S6314" t="s">
        <v>1260</v>
      </c>
      <c r="V6314" t="s">
        <v>13008</v>
      </c>
      <c r="W6314" t="s">
        <v>2923</v>
      </c>
      <c r="AF6314" t="s">
        <v>13011</v>
      </c>
    </row>
    <row r="6315" spans="1:32" hidden="1" x14ac:dyDescent="0.35">
      <c r="A6315">
        <v>6314</v>
      </c>
      <c r="B6315" t="s">
        <v>13012</v>
      </c>
      <c r="C6315" t="s">
        <v>68</v>
      </c>
      <c r="D6315" t="s">
        <v>34</v>
      </c>
      <c r="E6315">
        <v>1348</v>
      </c>
      <c r="F6315">
        <v>2</v>
      </c>
      <c r="G6315">
        <v>3</v>
      </c>
      <c r="H6315">
        <v>2</v>
      </c>
      <c r="I6315">
        <v>0</v>
      </c>
      <c r="J6315">
        <v>0.806026365348399</v>
      </c>
      <c r="K6315">
        <v>0.56625597682677498</v>
      </c>
      <c r="L6315">
        <v>0.66519437411842797</v>
      </c>
      <c r="M6315">
        <v>0.30817610062893103</v>
      </c>
      <c r="N6315">
        <v>0.42767295597484301</v>
      </c>
      <c r="O6315">
        <v>0.36268343815513598</v>
      </c>
      <c r="P6315" t="s">
        <v>13013</v>
      </c>
      <c r="Q6315" t="s">
        <v>4890</v>
      </c>
      <c r="R6315" t="s">
        <v>4891</v>
      </c>
      <c r="S6315" t="s">
        <v>4892</v>
      </c>
      <c r="V6315" t="s">
        <v>4895</v>
      </c>
      <c r="W6315" t="s">
        <v>4896</v>
      </c>
      <c r="AF6315" t="e">
        <f>----------------------------------------------------------------------------MPEQPV--------------------------------------------------------------------------------------------------------------------------EKFDCVLDLIGPSAIRYSFAVLKRGGIVCNTGLLGGQWTLENFDPIIDICGGYLTGYHSGDATADLLQEAITIIEDHAIDVTPHKVFPLKEAARAHILMESGAGYGKYVLLPEH</f>
        <v>#NAME?</v>
      </c>
    </row>
    <row r="6316" spans="1:32" hidden="1" x14ac:dyDescent="0.35">
      <c r="A6316">
        <v>6315</v>
      </c>
      <c r="B6316" t="s">
        <v>13012</v>
      </c>
      <c r="C6316" t="s">
        <v>68</v>
      </c>
      <c r="D6316" t="s">
        <v>34</v>
      </c>
      <c r="E6316">
        <v>1347</v>
      </c>
      <c r="F6316">
        <v>2</v>
      </c>
      <c r="G6316">
        <v>3</v>
      </c>
      <c r="H6316">
        <v>2</v>
      </c>
      <c r="I6316">
        <v>0</v>
      </c>
      <c r="J6316">
        <v>0.806026365348399</v>
      </c>
      <c r="K6316">
        <v>0.56625597682677498</v>
      </c>
      <c r="L6316">
        <v>0.66519437411842797</v>
      </c>
      <c r="M6316">
        <v>0.30817610062893103</v>
      </c>
      <c r="N6316">
        <v>0.42767295597484301</v>
      </c>
      <c r="O6316">
        <v>0.36268343815513598</v>
      </c>
      <c r="P6316" t="s">
        <v>10654</v>
      </c>
      <c r="Q6316" t="s">
        <v>10655</v>
      </c>
      <c r="R6316" t="s">
        <v>4891</v>
      </c>
      <c r="S6316" t="s">
        <v>4892</v>
      </c>
      <c r="V6316" t="s">
        <v>4895</v>
      </c>
      <c r="W6316" t="s">
        <v>4896</v>
      </c>
      <c r="AF6316" t="s">
        <v>13014</v>
      </c>
    </row>
    <row r="6317" spans="1:32" hidden="1" x14ac:dyDescent="0.35">
      <c r="A6317">
        <v>6316</v>
      </c>
      <c r="B6317" t="s">
        <v>13012</v>
      </c>
      <c r="C6317" t="s">
        <v>68</v>
      </c>
      <c r="D6317" t="s">
        <v>45</v>
      </c>
      <c r="E6317">
        <v>98</v>
      </c>
      <c r="F6317">
        <v>2</v>
      </c>
      <c r="G6317">
        <v>3</v>
      </c>
      <c r="H6317">
        <v>2</v>
      </c>
      <c r="I6317">
        <v>0</v>
      </c>
      <c r="J6317">
        <v>0.806026365348399</v>
      </c>
      <c r="K6317">
        <v>0.56625597682677498</v>
      </c>
      <c r="L6317">
        <v>0.66519437411842797</v>
      </c>
      <c r="M6317">
        <v>0.30817610062893103</v>
      </c>
      <c r="N6317">
        <v>0.42767295597484301</v>
      </c>
      <c r="O6317">
        <v>0.36268343815513598</v>
      </c>
      <c r="P6317" t="s">
        <v>13013</v>
      </c>
      <c r="Q6317" t="s">
        <v>4890</v>
      </c>
      <c r="R6317" t="s">
        <v>4891</v>
      </c>
      <c r="S6317" t="s">
        <v>4892</v>
      </c>
      <c r="T6317" t="s">
        <v>4893</v>
      </c>
      <c r="U6317" t="s">
        <v>4894</v>
      </c>
      <c r="V6317" t="s">
        <v>4895</v>
      </c>
      <c r="W6317" t="s">
        <v>4896</v>
      </c>
      <c r="AD6317" t="s">
        <v>219</v>
      </c>
      <c r="AE6317" t="s">
        <v>4897</v>
      </c>
      <c r="AF6317" t="s">
        <v>13015</v>
      </c>
    </row>
    <row r="6318" spans="1:32" hidden="1" x14ac:dyDescent="0.35">
      <c r="A6318">
        <v>3534</v>
      </c>
      <c r="B6318" t="s">
        <v>7256</v>
      </c>
      <c r="C6318" t="s">
        <v>72</v>
      </c>
      <c r="D6318" t="s">
        <v>58</v>
      </c>
      <c r="E6318">
        <v>863</v>
      </c>
      <c r="F6318">
        <v>5</v>
      </c>
      <c r="G6318">
        <v>5</v>
      </c>
      <c r="H6318">
        <v>1</v>
      </c>
      <c r="I6318">
        <v>1</v>
      </c>
      <c r="J6318">
        <v>0.78580201424711404</v>
      </c>
      <c r="K6318">
        <v>0.99417151475975096</v>
      </c>
      <c r="L6318">
        <v>0.87779055820138996</v>
      </c>
      <c r="M6318">
        <v>0.55677655677655702</v>
      </c>
      <c r="N6318">
        <v>1</v>
      </c>
      <c r="O6318">
        <v>0.70989010989011003</v>
      </c>
      <c r="P6318" t="s">
        <v>7257</v>
      </c>
      <c r="Q6318" t="s">
        <v>7258</v>
      </c>
      <c r="R6318" t="s">
        <v>224</v>
      </c>
      <c r="S6318" t="s">
        <v>225</v>
      </c>
      <c r="T6318" t="s">
        <v>7259</v>
      </c>
      <c r="U6318" t="s">
        <v>7260</v>
      </c>
      <c r="V6318" t="s">
        <v>7261</v>
      </c>
      <c r="W6318" t="s">
        <v>7262</v>
      </c>
      <c r="AD6318" t="s">
        <v>7263</v>
      </c>
      <c r="AE6318" t="s">
        <v>7264</v>
      </c>
      <c r="AF6318" t="e">
        <f>---MRRVDVVLVERGLCRSREAARSAVLEGRVRVDGLVVRKPSVKVLSGADV-CVEGQEDVWASRGAFKLLSAFEVFEPQGLSVRGRRVLDAGASTGGFTDVVLSKGAREVVAVDVGHDQLIPRLVGDPRVLNLEGTNLRGITPELCGGVCDAMVGDVSFISLRLVLPAIAECLEVGADALPMVKPQFEVGKDRVGAGGVVRDPALRHEAVMDVVRCAVSLGFECRGVVASAVPGPSGNVEFFLWLRKVSGSVQVDVAQIERQVATAIEEGPQ</f>
        <v>#NAME?</v>
      </c>
    </row>
    <row r="6319" spans="1:32" hidden="1" x14ac:dyDescent="0.35">
      <c r="A6319">
        <v>6318</v>
      </c>
      <c r="B6319" t="s">
        <v>13016</v>
      </c>
      <c r="C6319" t="s">
        <v>68</v>
      </c>
      <c r="D6319" t="s">
        <v>60</v>
      </c>
      <c r="E6319">
        <v>1131</v>
      </c>
      <c r="F6319">
        <v>3</v>
      </c>
      <c r="G6319">
        <v>3</v>
      </c>
      <c r="H6319">
        <v>1</v>
      </c>
      <c r="I6319">
        <v>0</v>
      </c>
      <c r="J6319">
        <v>0.896325459317585</v>
      </c>
      <c r="K6319">
        <v>0.99220792483660503</v>
      </c>
      <c r="L6319">
        <v>0.94183267442319896</v>
      </c>
      <c r="M6319">
        <v>0.80078125</v>
      </c>
      <c r="N6319">
        <v>0.98828125</v>
      </c>
      <c r="O6319">
        <v>0.86328125</v>
      </c>
      <c r="P6319" t="s">
        <v>169</v>
      </c>
      <c r="Q6319" t="s">
        <v>170</v>
      </c>
      <c r="R6319" t="s">
        <v>235</v>
      </c>
      <c r="S6319" t="s">
        <v>236</v>
      </c>
      <c r="T6319" t="s">
        <v>13017</v>
      </c>
      <c r="U6319" t="s">
        <v>13018</v>
      </c>
      <c r="V6319" t="s">
        <v>13019</v>
      </c>
      <c r="W6319" t="s">
        <v>13020</v>
      </c>
      <c r="AD6319" t="s">
        <v>12920</v>
      </c>
      <c r="AE6319" t="s">
        <v>13021</v>
      </c>
      <c r="AF6319" t="s">
        <v>13023</v>
      </c>
    </row>
    <row r="6320" spans="1:32" hidden="1" x14ac:dyDescent="0.35">
      <c r="A6320">
        <v>6319</v>
      </c>
      <c r="B6320" t="s">
        <v>13016</v>
      </c>
      <c r="C6320" t="s">
        <v>68</v>
      </c>
      <c r="D6320" t="s">
        <v>62</v>
      </c>
      <c r="E6320">
        <v>1167</v>
      </c>
      <c r="F6320">
        <v>3</v>
      </c>
      <c r="G6320">
        <v>3</v>
      </c>
      <c r="H6320">
        <v>1</v>
      </c>
      <c r="I6320">
        <v>0</v>
      </c>
      <c r="J6320">
        <v>0.896325459317585</v>
      </c>
      <c r="K6320">
        <v>0.99220792483660503</v>
      </c>
      <c r="L6320">
        <v>0.94183267442319896</v>
      </c>
      <c r="M6320">
        <v>0.80078125</v>
      </c>
      <c r="N6320">
        <v>0.98828125</v>
      </c>
      <c r="O6320">
        <v>0.86328125</v>
      </c>
      <c r="P6320" t="s">
        <v>169</v>
      </c>
      <c r="Q6320" t="s">
        <v>170</v>
      </c>
      <c r="R6320" t="s">
        <v>235</v>
      </c>
      <c r="S6320" t="s">
        <v>236</v>
      </c>
      <c r="T6320" t="s">
        <v>13017</v>
      </c>
      <c r="U6320" t="s">
        <v>13018</v>
      </c>
      <c r="V6320" t="s">
        <v>13019</v>
      </c>
      <c r="W6320" t="s">
        <v>13020</v>
      </c>
      <c r="AD6320" t="s">
        <v>12920</v>
      </c>
      <c r="AE6320" t="s">
        <v>13021</v>
      </c>
      <c r="AF6320" t="s">
        <v>13024</v>
      </c>
    </row>
    <row r="6321" spans="1:32" hidden="1" x14ac:dyDescent="0.35">
      <c r="A6321">
        <v>6320</v>
      </c>
      <c r="B6321" t="s">
        <v>13025</v>
      </c>
      <c r="C6321" t="s">
        <v>68</v>
      </c>
      <c r="D6321" t="s">
        <v>34</v>
      </c>
      <c r="E6321">
        <v>1284</v>
      </c>
      <c r="F6321">
        <v>2</v>
      </c>
      <c r="G6321">
        <v>3</v>
      </c>
      <c r="H6321">
        <v>2</v>
      </c>
      <c r="I6321">
        <v>0</v>
      </c>
      <c r="J6321">
        <v>0.77877428998505205</v>
      </c>
      <c r="K6321">
        <v>0.68178355317574302</v>
      </c>
      <c r="L6321">
        <v>0.727058507178167</v>
      </c>
      <c r="M6321">
        <v>0.41532258064516098</v>
      </c>
      <c r="N6321">
        <v>0.67741935483870996</v>
      </c>
      <c r="O6321">
        <v>0.54838709677419395</v>
      </c>
      <c r="P6321" t="s">
        <v>169</v>
      </c>
      <c r="Q6321" t="s">
        <v>170</v>
      </c>
      <c r="R6321" t="s">
        <v>157</v>
      </c>
      <c r="S6321" t="s">
        <v>158</v>
      </c>
      <c r="V6321" t="s">
        <v>161</v>
      </c>
      <c r="W6321" t="s">
        <v>162</v>
      </c>
      <c r="AF6321" t="e">
        <f>------------------------------------------------------------MFVTFRTILGYRKARKYRRDYVGYLFQDYALISDQTVYDNINLAARLNKN-PTKAMFTQIAQALDQVGLAGYERRQVCELSGGEQQRVAIARLLVRPPKVVLADEPTGALDHDNSLRVIGHPLRPCGRLHRPEWGYCRDEDGTDCWPCPCCPCAPAEFGTAAAGSPADTASLVEAGFSGKLMSLFFPS</f>
        <v>#NAME?</v>
      </c>
    </row>
    <row r="6322" spans="1:32" hidden="1" x14ac:dyDescent="0.35">
      <c r="A6322">
        <v>6321</v>
      </c>
      <c r="B6322" t="s">
        <v>13025</v>
      </c>
      <c r="C6322" t="s">
        <v>68</v>
      </c>
      <c r="D6322" t="s">
        <v>34</v>
      </c>
      <c r="E6322">
        <v>1026</v>
      </c>
      <c r="F6322">
        <v>2</v>
      </c>
      <c r="G6322">
        <v>3</v>
      </c>
      <c r="H6322">
        <v>2</v>
      </c>
      <c r="I6322">
        <v>0</v>
      </c>
      <c r="J6322">
        <v>0.77877428998505205</v>
      </c>
      <c r="K6322">
        <v>0.68178355317574302</v>
      </c>
      <c r="L6322">
        <v>0.727058507178167</v>
      </c>
      <c r="M6322">
        <v>0.41532258064516098</v>
      </c>
      <c r="N6322">
        <v>0.67741935483870996</v>
      </c>
      <c r="O6322">
        <v>0.54838709677419395</v>
      </c>
      <c r="P6322" t="s">
        <v>169</v>
      </c>
      <c r="Q6322" t="s">
        <v>170</v>
      </c>
      <c r="R6322" t="s">
        <v>157</v>
      </c>
      <c r="S6322" t="s">
        <v>158</v>
      </c>
      <c r="T6322" t="s">
        <v>159</v>
      </c>
      <c r="U6322" t="s">
        <v>160</v>
      </c>
      <c r="V6322" t="s">
        <v>161</v>
      </c>
      <c r="W6322" t="s">
        <v>162</v>
      </c>
      <c r="AD6322" t="s">
        <v>166</v>
      </c>
      <c r="AE6322" t="s">
        <v>167</v>
      </c>
      <c r="AF6322" t="s">
        <v>13026</v>
      </c>
    </row>
    <row r="6323" spans="1:32" hidden="1" x14ac:dyDescent="0.35">
      <c r="A6323">
        <v>6322</v>
      </c>
      <c r="B6323" t="s">
        <v>13025</v>
      </c>
      <c r="C6323" t="s">
        <v>68</v>
      </c>
      <c r="D6323" t="s">
        <v>45</v>
      </c>
      <c r="E6323">
        <v>36</v>
      </c>
      <c r="F6323">
        <v>2</v>
      </c>
      <c r="G6323">
        <v>3</v>
      </c>
      <c r="H6323">
        <v>2</v>
      </c>
      <c r="I6323">
        <v>0</v>
      </c>
      <c r="J6323">
        <v>0.77877428998505205</v>
      </c>
      <c r="K6323">
        <v>0.68178355317574302</v>
      </c>
      <c r="L6323">
        <v>0.727058507178167</v>
      </c>
      <c r="M6323">
        <v>0.41532258064516098</v>
      </c>
      <c r="N6323">
        <v>0.67741935483870996</v>
      </c>
      <c r="O6323">
        <v>0.54838709677419395</v>
      </c>
      <c r="P6323" t="s">
        <v>169</v>
      </c>
      <c r="Q6323" t="s">
        <v>170</v>
      </c>
      <c r="R6323" t="s">
        <v>157</v>
      </c>
      <c r="S6323" t="s">
        <v>158</v>
      </c>
      <c r="V6323" t="s">
        <v>161</v>
      </c>
      <c r="W6323" t="s">
        <v>162</v>
      </c>
      <c r="AF6323" t="s">
        <v>13027</v>
      </c>
    </row>
    <row r="6324" spans="1:32" hidden="1" x14ac:dyDescent="0.35">
      <c r="A6324">
        <v>6323</v>
      </c>
      <c r="B6324" t="s">
        <v>13028</v>
      </c>
      <c r="C6324" t="s">
        <v>68</v>
      </c>
      <c r="D6324" t="s">
        <v>58</v>
      </c>
      <c r="E6324">
        <v>1205</v>
      </c>
      <c r="F6324">
        <v>3</v>
      </c>
      <c r="G6324">
        <v>3</v>
      </c>
      <c r="H6324">
        <v>1</v>
      </c>
      <c r="I6324">
        <v>0</v>
      </c>
      <c r="J6324">
        <v>0.89838596491228095</v>
      </c>
      <c r="K6324">
        <v>0.99084486351464496</v>
      </c>
      <c r="L6324">
        <v>0.94235294638736899</v>
      </c>
      <c r="M6324">
        <v>0.79098873591990004</v>
      </c>
      <c r="N6324">
        <v>0.99874843554443005</v>
      </c>
      <c r="O6324">
        <v>0.86065915727993303</v>
      </c>
      <c r="P6324" t="s">
        <v>13029</v>
      </c>
      <c r="Q6324" t="s">
        <v>13030</v>
      </c>
      <c r="R6324" t="s">
        <v>319</v>
      </c>
      <c r="S6324" t="s">
        <v>320</v>
      </c>
      <c r="T6324" t="s">
        <v>13031</v>
      </c>
      <c r="U6324" t="s">
        <v>13032</v>
      </c>
      <c r="V6324" t="s">
        <v>13033</v>
      </c>
      <c r="W6324" t="s">
        <v>13034</v>
      </c>
      <c r="Z6324" t="s">
        <v>4406</v>
      </c>
      <c r="AA6324" t="s">
        <v>4407</v>
      </c>
      <c r="AB6324" t="s">
        <v>4406</v>
      </c>
      <c r="AC6324" t="s">
        <v>4023</v>
      </c>
      <c r="AD6324" t="s">
        <v>951</v>
      </c>
      <c r="AE6324" t="s">
        <v>13035</v>
      </c>
      <c r="AF6324" t="s">
        <v>13036</v>
      </c>
    </row>
    <row r="6325" spans="1:32" hidden="1" x14ac:dyDescent="0.35">
      <c r="A6325">
        <v>6324</v>
      </c>
      <c r="B6325" t="s">
        <v>13028</v>
      </c>
      <c r="C6325" t="s">
        <v>68</v>
      </c>
      <c r="D6325" t="s">
        <v>34</v>
      </c>
      <c r="E6325">
        <v>2062</v>
      </c>
      <c r="F6325">
        <v>3</v>
      </c>
      <c r="G6325">
        <v>3</v>
      </c>
      <c r="H6325">
        <v>1</v>
      </c>
      <c r="I6325">
        <v>0</v>
      </c>
      <c r="J6325">
        <v>0.89838596491228095</v>
      </c>
      <c r="K6325">
        <v>0.99084486351464496</v>
      </c>
      <c r="L6325">
        <v>0.94235294638736899</v>
      </c>
      <c r="M6325">
        <v>0.79098873591990004</v>
      </c>
      <c r="N6325">
        <v>0.99874843554443005</v>
      </c>
      <c r="O6325">
        <v>0.86065915727993303</v>
      </c>
      <c r="P6325" t="s">
        <v>13029</v>
      </c>
      <c r="Q6325" t="s">
        <v>13030</v>
      </c>
      <c r="R6325" t="s">
        <v>319</v>
      </c>
      <c r="S6325" t="s">
        <v>320</v>
      </c>
      <c r="T6325" t="s">
        <v>13031</v>
      </c>
      <c r="U6325" t="s">
        <v>13032</v>
      </c>
      <c r="V6325" t="s">
        <v>13033</v>
      </c>
      <c r="W6325" t="s">
        <v>13034</v>
      </c>
      <c r="Z6325" t="s">
        <v>4406</v>
      </c>
      <c r="AA6325" t="s">
        <v>4407</v>
      </c>
      <c r="AB6325" t="s">
        <v>4406</v>
      </c>
      <c r="AC6325" t="s">
        <v>4023</v>
      </c>
      <c r="AD6325" t="s">
        <v>951</v>
      </c>
      <c r="AE6325" t="s">
        <v>13035</v>
      </c>
      <c r="AF6325" t="s">
        <v>13037</v>
      </c>
    </row>
    <row r="6326" spans="1:32" hidden="1" x14ac:dyDescent="0.35">
      <c r="A6326">
        <v>6325</v>
      </c>
      <c r="B6326" t="s">
        <v>13028</v>
      </c>
      <c r="C6326" t="s">
        <v>68</v>
      </c>
      <c r="D6326" t="s">
        <v>45</v>
      </c>
      <c r="E6326">
        <v>810</v>
      </c>
      <c r="F6326">
        <v>3</v>
      </c>
      <c r="G6326">
        <v>3</v>
      </c>
      <c r="H6326">
        <v>1</v>
      </c>
      <c r="I6326">
        <v>0</v>
      </c>
      <c r="J6326">
        <v>0.89838596491228095</v>
      </c>
      <c r="K6326">
        <v>0.99084486351464496</v>
      </c>
      <c r="L6326">
        <v>0.94235294638736899</v>
      </c>
      <c r="M6326">
        <v>0.79098873591990004</v>
      </c>
      <c r="N6326">
        <v>0.99874843554443005</v>
      </c>
      <c r="O6326">
        <v>0.86065915727993303</v>
      </c>
      <c r="P6326" t="s">
        <v>13029</v>
      </c>
      <c r="Q6326" t="s">
        <v>13030</v>
      </c>
      <c r="R6326" t="s">
        <v>319</v>
      </c>
      <c r="S6326" t="s">
        <v>320</v>
      </c>
      <c r="T6326" t="s">
        <v>13031</v>
      </c>
      <c r="U6326" t="s">
        <v>13032</v>
      </c>
      <c r="V6326" t="s">
        <v>13033</v>
      </c>
      <c r="W6326" t="s">
        <v>13034</v>
      </c>
      <c r="Z6326" t="s">
        <v>4406</v>
      </c>
      <c r="AA6326" t="s">
        <v>4407</v>
      </c>
      <c r="AB6326" t="s">
        <v>4406</v>
      </c>
      <c r="AC6326" t="s">
        <v>4023</v>
      </c>
      <c r="AD6326" t="s">
        <v>951</v>
      </c>
      <c r="AE6326" t="s">
        <v>13035</v>
      </c>
      <c r="AF6326" t="s">
        <v>13038</v>
      </c>
    </row>
    <row r="6327" spans="1:32" hidden="1" x14ac:dyDescent="0.35">
      <c r="A6327">
        <v>11788</v>
      </c>
      <c r="B6327" t="s">
        <v>24220</v>
      </c>
      <c r="C6327" t="s">
        <v>33</v>
      </c>
      <c r="D6327" t="s">
        <v>58</v>
      </c>
      <c r="E6327">
        <v>382</v>
      </c>
      <c r="F6327">
        <v>1</v>
      </c>
      <c r="G6327">
        <v>1</v>
      </c>
      <c r="H6327">
        <v>1</v>
      </c>
      <c r="I6327">
        <v>0</v>
      </c>
      <c r="J6327">
        <v>1</v>
      </c>
      <c r="K6327">
        <v>1</v>
      </c>
      <c r="L6327">
        <v>1</v>
      </c>
      <c r="M6327">
        <v>0</v>
      </c>
      <c r="N6327">
        <v>0</v>
      </c>
      <c r="O6327">
        <v>0</v>
      </c>
      <c r="P6327" t="s">
        <v>10570</v>
      </c>
      <c r="Q6327" t="s">
        <v>10571</v>
      </c>
      <c r="R6327" t="s">
        <v>1191</v>
      </c>
      <c r="S6327" t="s">
        <v>1192</v>
      </c>
      <c r="T6327" t="s">
        <v>10572</v>
      </c>
      <c r="U6327" t="s">
        <v>10573</v>
      </c>
      <c r="V6327" t="s">
        <v>10574</v>
      </c>
      <c r="W6327" t="s">
        <v>10575</v>
      </c>
      <c r="AD6327" t="s">
        <v>7708</v>
      </c>
      <c r="AE6327" t="s">
        <v>10576</v>
      </c>
      <c r="AF6327" t="s">
        <v>24221</v>
      </c>
    </row>
    <row r="6328" spans="1:32" hidden="1" x14ac:dyDescent="0.35">
      <c r="A6328">
        <v>6327</v>
      </c>
      <c r="B6328" t="s">
        <v>13039</v>
      </c>
      <c r="C6328" t="s">
        <v>68</v>
      </c>
      <c r="D6328" t="s">
        <v>60</v>
      </c>
      <c r="E6328">
        <v>1079</v>
      </c>
      <c r="F6328">
        <v>3</v>
      </c>
      <c r="G6328">
        <v>3</v>
      </c>
      <c r="H6328">
        <v>1</v>
      </c>
      <c r="I6328">
        <v>0</v>
      </c>
      <c r="J6328">
        <v>0.78484848484848502</v>
      </c>
      <c r="K6328">
        <v>0.95376121463078001</v>
      </c>
      <c r="L6328">
        <v>0.86109958368968098</v>
      </c>
      <c r="M6328">
        <v>0.57575757575757602</v>
      </c>
      <c r="N6328">
        <v>0.99567099567099604</v>
      </c>
      <c r="O6328">
        <v>0.71717171717171702</v>
      </c>
      <c r="P6328" t="s">
        <v>5831</v>
      </c>
      <c r="Q6328" t="s">
        <v>5832</v>
      </c>
      <c r="R6328" t="s">
        <v>371</v>
      </c>
      <c r="S6328" t="s">
        <v>372</v>
      </c>
      <c r="T6328" t="s">
        <v>5833</v>
      </c>
      <c r="U6328" t="s">
        <v>5834</v>
      </c>
      <c r="V6328" t="s">
        <v>5835</v>
      </c>
      <c r="W6328" t="s">
        <v>5836</v>
      </c>
      <c r="AD6328" t="s">
        <v>3961</v>
      </c>
      <c r="AE6328" t="s">
        <v>3962</v>
      </c>
      <c r="AF6328" t="s">
        <v>13041</v>
      </c>
    </row>
    <row r="6329" spans="1:32" hidden="1" x14ac:dyDescent="0.35">
      <c r="A6329">
        <v>6328</v>
      </c>
      <c r="B6329" t="s">
        <v>13039</v>
      </c>
      <c r="C6329" t="s">
        <v>68</v>
      </c>
      <c r="D6329" t="s">
        <v>62</v>
      </c>
      <c r="E6329">
        <v>1115</v>
      </c>
      <c r="F6329">
        <v>3</v>
      </c>
      <c r="G6329">
        <v>3</v>
      </c>
      <c r="H6329">
        <v>1</v>
      </c>
      <c r="I6329">
        <v>0</v>
      </c>
      <c r="J6329">
        <v>0.78484848484848502</v>
      </c>
      <c r="K6329">
        <v>0.95376121463078001</v>
      </c>
      <c r="L6329">
        <v>0.86109958368968098</v>
      </c>
      <c r="M6329">
        <v>0.57575757575757602</v>
      </c>
      <c r="N6329">
        <v>0.99567099567099604</v>
      </c>
      <c r="O6329">
        <v>0.71717171717171702</v>
      </c>
      <c r="P6329" t="s">
        <v>5831</v>
      </c>
      <c r="Q6329" t="s">
        <v>5832</v>
      </c>
      <c r="R6329" t="s">
        <v>371</v>
      </c>
      <c r="S6329" t="s">
        <v>372</v>
      </c>
      <c r="T6329" t="s">
        <v>5833</v>
      </c>
      <c r="U6329" t="s">
        <v>5834</v>
      </c>
      <c r="V6329" t="s">
        <v>5835</v>
      </c>
      <c r="W6329" t="s">
        <v>5836</v>
      </c>
      <c r="AD6329" t="s">
        <v>3961</v>
      </c>
      <c r="AE6329" t="s">
        <v>3962</v>
      </c>
      <c r="AF6329" t="s">
        <v>13042</v>
      </c>
    </row>
    <row r="6330" spans="1:32" hidden="1" x14ac:dyDescent="0.35">
      <c r="A6330">
        <v>6329</v>
      </c>
      <c r="B6330" t="s">
        <v>13043</v>
      </c>
      <c r="C6330" t="s">
        <v>68</v>
      </c>
      <c r="D6330" t="s">
        <v>34</v>
      </c>
      <c r="E6330">
        <v>2029</v>
      </c>
      <c r="F6330">
        <v>2</v>
      </c>
      <c r="G6330">
        <v>3</v>
      </c>
      <c r="H6330">
        <v>2</v>
      </c>
      <c r="I6330">
        <v>0</v>
      </c>
      <c r="J6330">
        <v>0.87898363479758801</v>
      </c>
      <c r="K6330">
        <v>0.54447631204332203</v>
      </c>
      <c r="L6330">
        <v>0.67242604034367404</v>
      </c>
      <c r="M6330">
        <v>0.17671809256661999</v>
      </c>
      <c r="N6330">
        <v>0.52454417952314203</v>
      </c>
      <c r="O6330">
        <v>0.355306217858813</v>
      </c>
      <c r="R6330" t="s">
        <v>13044</v>
      </c>
      <c r="S6330" t="s">
        <v>13045</v>
      </c>
      <c r="V6330" t="s">
        <v>13046</v>
      </c>
      <c r="W6330" t="s">
        <v>13047</v>
      </c>
      <c r="AF6330" t="e">
        <f>---------------------------------------------------------------------------MAATLRLN--------------------------------------------------------------------------------------------------------------------------------------------------------------------------------------------------------------------------------------------------------------------------HHDASVVTTLVR---------------------------------------------------------------------------------------------------HHTLIPNLVAHRDVESDDAVTELLDAVGYDLLTVELMRVLVQADALATGTWTPTLRAGTAILCDRARARLTGSQPRPPRLDFPHDFTSRAGLPLDLIPGPEANNATVRWVGHYLRESIRVLALMAAKGWNINSAEFVVEPDHTRARFTVYNTLGTGFDQAEFAQAYKSGVYSALPDTTPTIAATTATFWFGNILEIRTTDRQAALGTLMEVLPELHWLTMSNPGATMIVQCSLRPGFDRAAVERDVTRVLTTS</f>
        <v>#NAME?</v>
      </c>
    </row>
    <row r="6331" spans="1:32" hidden="1" x14ac:dyDescent="0.35">
      <c r="A6331">
        <v>6330</v>
      </c>
      <c r="B6331" t="s">
        <v>13043</v>
      </c>
      <c r="C6331" t="s">
        <v>68</v>
      </c>
      <c r="D6331" t="s">
        <v>34</v>
      </c>
      <c r="E6331">
        <v>2030</v>
      </c>
      <c r="F6331">
        <v>2</v>
      </c>
      <c r="G6331">
        <v>3</v>
      </c>
      <c r="H6331">
        <v>2</v>
      </c>
      <c r="I6331">
        <v>0</v>
      </c>
      <c r="J6331">
        <v>0.87898363479758801</v>
      </c>
      <c r="K6331">
        <v>0.54447631204332203</v>
      </c>
      <c r="L6331">
        <v>0.67242604034367404</v>
      </c>
      <c r="M6331">
        <v>0.17671809256661999</v>
      </c>
      <c r="N6331">
        <v>0.52454417952314203</v>
      </c>
      <c r="O6331">
        <v>0.355306217858813</v>
      </c>
      <c r="P6331" t="s">
        <v>13048</v>
      </c>
      <c r="Q6331" t="s">
        <v>13049</v>
      </c>
      <c r="R6331" t="s">
        <v>13044</v>
      </c>
      <c r="S6331" t="s">
        <v>13045</v>
      </c>
      <c r="T6331" t="s">
        <v>13050</v>
      </c>
      <c r="U6331" t="s">
        <v>13051</v>
      </c>
      <c r="V6331" t="s">
        <v>13046</v>
      </c>
      <c r="W6331" t="s">
        <v>13047</v>
      </c>
      <c r="AD6331" t="s">
        <v>219</v>
      </c>
      <c r="AE6331" t="s">
        <v>13052</v>
      </c>
      <c r="AF6331" t="s">
        <v>13053</v>
      </c>
    </row>
    <row r="6332" spans="1:32" hidden="1" x14ac:dyDescent="0.35">
      <c r="A6332">
        <v>6331</v>
      </c>
      <c r="B6332" t="s">
        <v>13043</v>
      </c>
      <c r="C6332" t="s">
        <v>68</v>
      </c>
      <c r="D6332" t="s">
        <v>45</v>
      </c>
      <c r="E6332">
        <v>842</v>
      </c>
      <c r="F6332">
        <v>2</v>
      </c>
      <c r="G6332">
        <v>3</v>
      </c>
      <c r="H6332">
        <v>2</v>
      </c>
      <c r="I6332">
        <v>0</v>
      </c>
      <c r="J6332">
        <v>0.87898363479758801</v>
      </c>
      <c r="K6332">
        <v>0.54447631204332203</v>
      </c>
      <c r="L6332">
        <v>0.67242604034367404</v>
      </c>
      <c r="M6332">
        <v>0.17671809256661999</v>
      </c>
      <c r="N6332">
        <v>0.52454417952314203</v>
      </c>
      <c r="O6332">
        <v>0.355306217858813</v>
      </c>
      <c r="P6332" t="s">
        <v>13048</v>
      </c>
      <c r="Q6332" t="s">
        <v>13049</v>
      </c>
      <c r="R6332" t="s">
        <v>13044</v>
      </c>
      <c r="S6332" t="s">
        <v>13045</v>
      </c>
      <c r="T6332" t="s">
        <v>13050</v>
      </c>
      <c r="U6332" t="s">
        <v>13051</v>
      </c>
      <c r="V6332" t="s">
        <v>13046</v>
      </c>
      <c r="W6332" t="s">
        <v>13047</v>
      </c>
      <c r="AD6332" t="s">
        <v>219</v>
      </c>
      <c r="AE6332" t="s">
        <v>13052</v>
      </c>
      <c r="AF6332" t="s">
        <v>13054</v>
      </c>
    </row>
    <row r="6333" spans="1:32" hidden="1" x14ac:dyDescent="0.35">
      <c r="A6333">
        <v>2224</v>
      </c>
      <c r="B6333" t="s">
        <v>4624</v>
      </c>
      <c r="C6333" t="s">
        <v>72</v>
      </c>
      <c r="D6333" t="s">
        <v>58</v>
      </c>
      <c r="E6333">
        <v>977</v>
      </c>
      <c r="F6333">
        <v>5</v>
      </c>
      <c r="G6333">
        <v>5</v>
      </c>
      <c r="H6333">
        <v>1</v>
      </c>
      <c r="I6333">
        <v>1</v>
      </c>
      <c r="J6333">
        <v>0.738638056921472</v>
      </c>
      <c r="K6333">
        <v>0.89612186175931097</v>
      </c>
      <c r="L6333">
        <v>0.80979439631587802</v>
      </c>
      <c r="M6333">
        <v>0.46825396825396798</v>
      </c>
      <c r="N6333">
        <v>1</v>
      </c>
      <c r="O6333">
        <v>0.63015873015873003</v>
      </c>
      <c r="P6333" t="s">
        <v>4625</v>
      </c>
      <c r="Q6333" t="s">
        <v>4626</v>
      </c>
      <c r="R6333" t="s">
        <v>113</v>
      </c>
      <c r="S6333" t="s">
        <v>114</v>
      </c>
      <c r="V6333" t="s">
        <v>4627</v>
      </c>
      <c r="W6333" t="s">
        <v>4628</v>
      </c>
      <c r="AF6333" t="s">
        <v>4629</v>
      </c>
    </row>
    <row r="6334" spans="1:32" hidden="1" x14ac:dyDescent="0.35">
      <c r="A6334">
        <v>6333</v>
      </c>
      <c r="B6334" t="s">
        <v>13055</v>
      </c>
      <c r="C6334" t="s">
        <v>68</v>
      </c>
      <c r="D6334" t="s">
        <v>60</v>
      </c>
      <c r="E6334">
        <v>1990</v>
      </c>
      <c r="F6334">
        <v>3</v>
      </c>
      <c r="G6334">
        <v>3</v>
      </c>
      <c r="H6334">
        <v>1</v>
      </c>
      <c r="I6334">
        <v>0</v>
      </c>
      <c r="J6334">
        <v>0.80175195942830801</v>
      </c>
      <c r="K6334">
        <v>0.84365827466889298</v>
      </c>
      <c r="L6334">
        <v>0.82217146920180495</v>
      </c>
      <c r="M6334">
        <v>0.50689655172413794</v>
      </c>
      <c r="N6334">
        <v>0.99655172413793103</v>
      </c>
      <c r="O6334">
        <v>0.671264367816092</v>
      </c>
      <c r="P6334" t="s">
        <v>13056</v>
      </c>
      <c r="Q6334" t="s">
        <v>10345</v>
      </c>
      <c r="R6334" t="s">
        <v>113</v>
      </c>
      <c r="S6334" t="s">
        <v>114</v>
      </c>
      <c r="T6334" t="s">
        <v>7944</v>
      </c>
      <c r="U6334" t="s">
        <v>7945</v>
      </c>
      <c r="V6334" t="s">
        <v>2167</v>
      </c>
      <c r="W6334" t="s">
        <v>2168</v>
      </c>
      <c r="AD6334" t="s">
        <v>312</v>
      </c>
      <c r="AE6334" t="s">
        <v>2169</v>
      </c>
      <c r="AF6334" t="e">
        <f>------------------------------------MNRPAADQDTTTSNI---DKVVEVALETFARQGFEDTRLENIAHDSGMSKRMIHYHFGDKRGLYIRALRLAISQLRPEPQALELDSTVPVDGVRKVVEAIFRQMAAHPNAIRLLLLENLFGQADMANSNPLADQSSVLLQMDKLLMMGQDAGAFRPGISALDVYTIISSMCVFRIAYPAAFKNLYHINLKDEENNVGMQRLVVDAVLAFLTSNMRNSGGMSYLTVETSNDFNGHDGNGSGNIYNELDDATSFIE</f>
        <v>#NAME?</v>
      </c>
    </row>
    <row r="6335" spans="1:32" hidden="1" x14ac:dyDescent="0.35">
      <c r="A6335">
        <v>6334</v>
      </c>
      <c r="B6335" t="s">
        <v>13055</v>
      </c>
      <c r="C6335" t="s">
        <v>68</v>
      </c>
      <c r="D6335" t="s">
        <v>62</v>
      </c>
      <c r="E6335">
        <v>2031</v>
      </c>
      <c r="F6335">
        <v>3</v>
      </c>
      <c r="G6335">
        <v>3</v>
      </c>
      <c r="H6335">
        <v>1</v>
      </c>
      <c r="I6335">
        <v>0</v>
      </c>
      <c r="J6335">
        <v>0.80175195942830801</v>
      </c>
      <c r="K6335">
        <v>0.84365827466889298</v>
      </c>
      <c r="L6335">
        <v>0.82217146920180495</v>
      </c>
      <c r="M6335">
        <v>0.50689655172413794</v>
      </c>
      <c r="N6335">
        <v>0.99655172413793103</v>
      </c>
      <c r="O6335">
        <v>0.671264367816092</v>
      </c>
      <c r="P6335" t="s">
        <v>13056</v>
      </c>
      <c r="Q6335" t="s">
        <v>10345</v>
      </c>
      <c r="R6335" t="s">
        <v>113</v>
      </c>
      <c r="S6335" t="s">
        <v>114</v>
      </c>
      <c r="T6335" t="s">
        <v>7944</v>
      </c>
      <c r="U6335" t="s">
        <v>7945</v>
      </c>
      <c r="V6335" t="s">
        <v>2167</v>
      </c>
      <c r="W6335" t="s">
        <v>2168</v>
      </c>
      <c r="AD6335" t="s">
        <v>312</v>
      </c>
      <c r="AE6335" t="s">
        <v>2169</v>
      </c>
      <c r="AF6335" t="e">
        <f>------------------------------------MNRPTADQDTTTSNI---DKVVEVALETFARQGFEDTRLENIAHDSGMSKRMIHYHFGDKRGLYIRALRLAISQLRPEPQALELDSTVPVDGVRKVVEAIFRQMAAHPNAIRLLLLENLFGQADMANSNPLADQSSVLLQMDKLLMMGQDAGAFRPGISALDVYTIISSMCVFRIAYPAAFKNLYHINLKDEENNVGMQRLVVDAVLAFLTSNMRNSGGMSYLTVETSNDFNGHDGNGSGNIYNELDDATSFIE</f>
        <v>#NAME?</v>
      </c>
    </row>
    <row r="6336" spans="1:32" hidden="1" x14ac:dyDescent="0.35">
      <c r="A6336">
        <v>3954</v>
      </c>
      <c r="B6336" t="s">
        <v>8165</v>
      </c>
      <c r="C6336" t="s">
        <v>72</v>
      </c>
      <c r="D6336" t="s">
        <v>58</v>
      </c>
      <c r="E6336">
        <v>1813</v>
      </c>
      <c r="F6336">
        <v>5</v>
      </c>
      <c r="G6336">
        <v>5</v>
      </c>
      <c r="H6336">
        <v>1</v>
      </c>
      <c r="I6336">
        <v>1</v>
      </c>
      <c r="J6336">
        <v>0.75736160188457002</v>
      </c>
      <c r="K6336">
        <v>0.86810191315465002</v>
      </c>
      <c r="L6336">
        <v>0.80895947459023998</v>
      </c>
      <c r="M6336">
        <v>0.48209366391184599</v>
      </c>
      <c r="N6336">
        <v>0.99449035812672204</v>
      </c>
      <c r="O6336">
        <v>0.63415977961432501</v>
      </c>
      <c r="P6336" t="s">
        <v>8166</v>
      </c>
      <c r="Q6336" t="s">
        <v>8167</v>
      </c>
      <c r="R6336" t="s">
        <v>235</v>
      </c>
      <c r="S6336" t="s">
        <v>236</v>
      </c>
      <c r="T6336" t="s">
        <v>8168</v>
      </c>
      <c r="U6336" t="s">
        <v>8169</v>
      </c>
      <c r="V6336" t="s">
        <v>8170</v>
      </c>
      <c r="W6336" t="s">
        <v>8171</v>
      </c>
      <c r="X6336" t="s">
        <v>8170</v>
      </c>
      <c r="Y6336" t="s">
        <v>241</v>
      </c>
      <c r="Z6336" t="s">
        <v>8172</v>
      </c>
      <c r="AA6336" t="s">
        <v>8173</v>
      </c>
      <c r="AB6336" t="s">
        <v>8172</v>
      </c>
      <c r="AC6336" t="s">
        <v>244</v>
      </c>
      <c r="AD6336" t="s">
        <v>219</v>
      </c>
      <c r="AE6336" t="s">
        <v>8174</v>
      </c>
      <c r="AF6336" t="s">
        <v>8175</v>
      </c>
    </row>
    <row r="6337" spans="1:32" hidden="1" x14ac:dyDescent="0.35">
      <c r="A6337">
        <v>6336</v>
      </c>
      <c r="B6337" t="s">
        <v>13058</v>
      </c>
      <c r="C6337" t="s">
        <v>68</v>
      </c>
      <c r="D6337" t="s">
        <v>34</v>
      </c>
      <c r="E6337">
        <v>2379</v>
      </c>
      <c r="F6337">
        <v>3</v>
      </c>
      <c r="G6337">
        <v>3</v>
      </c>
      <c r="H6337">
        <v>1</v>
      </c>
      <c r="I6337">
        <v>0</v>
      </c>
      <c r="J6337">
        <v>0.78795766094048203</v>
      </c>
      <c r="K6337">
        <v>0.952809912969654</v>
      </c>
      <c r="L6337">
        <v>0.86257795882315802</v>
      </c>
      <c r="M6337">
        <v>0.54829123328380402</v>
      </c>
      <c r="N6337">
        <v>0.98216939078751897</v>
      </c>
      <c r="O6337">
        <v>0.69390787518573604</v>
      </c>
      <c r="P6337" t="s">
        <v>11715</v>
      </c>
      <c r="Q6337" t="s">
        <v>11716</v>
      </c>
      <c r="R6337" t="s">
        <v>342</v>
      </c>
      <c r="S6337" t="s">
        <v>343</v>
      </c>
      <c r="T6337" t="s">
        <v>13059</v>
      </c>
      <c r="U6337" t="s">
        <v>13060</v>
      </c>
      <c r="V6337" t="s">
        <v>11719</v>
      </c>
      <c r="W6337" t="s">
        <v>11720</v>
      </c>
      <c r="AD6337" t="s">
        <v>410</v>
      </c>
      <c r="AE6337" t="s">
        <v>563</v>
      </c>
      <c r="AF6337" t="s">
        <v>13062</v>
      </c>
    </row>
    <row r="6338" spans="1:32" hidden="1" x14ac:dyDescent="0.35">
      <c r="A6338">
        <v>6337</v>
      </c>
      <c r="B6338" t="s">
        <v>13058</v>
      </c>
      <c r="C6338" t="s">
        <v>68</v>
      </c>
      <c r="D6338" t="s">
        <v>45</v>
      </c>
      <c r="E6338">
        <v>499</v>
      </c>
      <c r="F6338">
        <v>3</v>
      </c>
      <c r="G6338">
        <v>3</v>
      </c>
      <c r="H6338">
        <v>1</v>
      </c>
      <c r="I6338">
        <v>0</v>
      </c>
      <c r="J6338">
        <v>0.78795766094048203</v>
      </c>
      <c r="K6338">
        <v>0.952809912969654</v>
      </c>
      <c r="L6338">
        <v>0.86257795882315802</v>
      </c>
      <c r="M6338">
        <v>0.54829123328380402</v>
      </c>
      <c r="N6338">
        <v>0.98216939078751897</v>
      </c>
      <c r="O6338">
        <v>0.69390787518573604</v>
      </c>
      <c r="P6338" t="s">
        <v>11715</v>
      </c>
      <c r="Q6338" t="s">
        <v>11716</v>
      </c>
      <c r="R6338" t="s">
        <v>342</v>
      </c>
      <c r="S6338" t="s">
        <v>343</v>
      </c>
      <c r="T6338" t="s">
        <v>13059</v>
      </c>
      <c r="U6338" t="s">
        <v>13060</v>
      </c>
      <c r="V6338" t="s">
        <v>11719</v>
      </c>
      <c r="W6338" t="s">
        <v>11720</v>
      </c>
      <c r="AD6338" t="s">
        <v>410</v>
      </c>
      <c r="AE6338" t="s">
        <v>563</v>
      </c>
      <c r="AF6338" t="s">
        <v>13063</v>
      </c>
    </row>
    <row r="6339" spans="1:32" hidden="1" x14ac:dyDescent="0.35">
      <c r="A6339">
        <v>4399</v>
      </c>
      <c r="B6339" t="s">
        <v>9162</v>
      </c>
      <c r="C6339" t="s">
        <v>72</v>
      </c>
      <c r="D6339" t="s">
        <v>58</v>
      </c>
      <c r="E6339">
        <v>74</v>
      </c>
      <c r="F6339">
        <v>5</v>
      </c>
      <c r="G6339">
        <v>5</v>
      </c>
      <c r="H6339">
        <v>1</v>
      </c>
      <c r="I6339">
        <v>1</v>
      </c>
      <c r="J6339">
        <v>0.80293685756240796</v>
      </c>
      <c r="K6339">
        <v>0.92775071081625404</v>
      </c>
      <c r="L6339">
        <v>0.86084311686823101</v>
      </c>
      <c r="M6339">
        <v>0.61956521739130399</v>
      </c>
      <c r="N6339">
        <v>0.99456521739130399</v>
      </c>
      <c r="O6339">
        <v>0.71385869565217397</v>
      </c>
      <c r="P6339" t="s">
        <v>9163</v>
      </c>
      <c r="Q6339" t="s">
        <v>9164</v>
      </c>
      <c r="R6339" t="s">
        <v>235</v>
      </c>
      <c r="S6339" t="s">
        <v>236</v>
      </c>
      <c r="T6339" t="s">
        <v>9165</v>
      </c>
      <c r="U6339" t="s">
        <v>9166</v>
      </c>
      <c r="V6339" t="s">
        <v>9167</v>
      </c>
      <c r="W6339" t="s">
        <v>9168</v>
      </c>
      <c r="X6339" t="s">
        <v>9167</v>
      </c>
      <c r="Y6339" t="s">
        <v>241</v>
      </c>
      <c r="Z6339" t="s">
        <v>9169</v>
      </c>
      <c r="AA6339" t="s">
        <v>9170</v>
      </c>
      <c r="AB6339" t="s">
        <v>9169</v>
      </c>
      <c r="AC6339" t="s">
        <v>244</v>
      </c>
      <c r="AD6339" t="s">
        <v>245</v>
      </c>
      <c r="AE6339" t="s">
        <v>9171</v>
      </c>
      <c r="AF6339" t="s">
        <v>9172</v>
      </c>
    </row>
    <row r="6340" spans="1:32" hidden="1" x14ac:dyDescent="0.35">
      <c r="A6340">
        <v>6339</v>
      </c>
      <c r="B6340" t="s">
        <v>13064</v>
      </c>
      <c r="C6340" t="s">
        <v>68</v>
      </c>
      <c r="D6340" t="s">
        <v>60</v>
      </c>
      <c r="E6340">
        <v>164</v>
      </c>
      <c r="F6340">
        <v>3</v>
      </c>
      <c r="G6340">
        <v>3</v>
      </c>
      <c r="H6340">
        <v>1</v>
      </c>
      <c r="I6340">
        <v>0</v>
      </c>
      <c r="J6340">
        <v>0.81594202898550705</v>
      </c>
      <c r="K6340">
        <v>0.92416512898440595</v>
      </c>
      <c r="L6340">
        <v>0.86668820021511295</v>
      </c>
      <c r="M6340">
        <v>0.59759759759759801</v>
      </c>
      <c r="N6340">
        <v>0.95495495495495497</v>
      </c>
      <c r="O6340">
        <v>0.71971971971972004</v>
      </c>
      <c r="P6340" t="s">
        <v>8800</v>
      </c>
      <c r="Q6340" t="s">
        <v>8801</v>
      </c>
      <c r="R6340" t="s">
        <v>342</v>
      </c>
      <c r="S6340" t="s">
        <v>343</v>
      </c>
      <c r="T6340" t="s">
        <v>13065</v>
      </c>
      <c r="U6340" t="s">
        <v>13066</v>
      </c>
      <c r="V6340" t="s">
        <v>8804</v>
      </c>
      <c r="W6340" t="s">
        <v>8805</v>
      </c>
      <c r="AD6340" t="s">
        <v>410</v>
      </c>
      <c r="AE6340" t="s">
        <v>563</v>
      </c>
      <c r="AF6340" t="s">
        <v>13068</v>
      </c>
    </row>
    <row r="6341" spans="1:32" hidden="1" x14ac:dyDescent="0.35">
      <c r="A6341">
        <v>6340</v>
      </c>
      <c r="B6341" t="s">
        <v>13064</v>
      </c>
      <c r="C6341" t="s">
        <v>68</v>
      </c>
      <c r="D6341" t="s">
        <v>62</v>
      </c>
      <c r="E6341">
        <v>240</v>
      </c>
      <c r="F6341">
        <v>3</v>
      </c>
      <c r="G6341">
        <v>3</v>
      </c>
      <c r="H6341">
        <v>1</v>
      </c>
      <c r="I6341">
        <v>0</v>
      </c>
      <c r="J6341">
        <v>0.81594202898550705</v>
      </c>
      <c r="K6341">
        <v>0.92416512898440595</v>
      </c>
      <c r="L6341">
        <v>0.86668820021511295</v>
      </c>
      <c r="M6341">
        <v>0.59759759759759801</v>
      </c>
      <c r="N6341">
        <v>0.95495495495495497</v>
      </c>
      <c r="O6341">
        <v>0.71971971971972004</v>
      </c>
      <c r="P6341" t="s">
        <v>8800</v>
      </c>
      <c r="Q6341" t="s">
        <v>8801</v>
      </c>
      <c r="R6341" t="s">
        <v>342</v>
      </c>
      <c r="S6341" t="s">
        <v>343</v>
      </c>
      <c r="T6341" t="s">
        <v>13065</v>
      </c>
      <c r="U6341" t="s">
        <v>13066</v>
      </c>
      <c r="V6341" t="s">
        <v>8804</v>
      </c>
      <c r="W6341" t="s">
        <v>8805</v>
      </c>
      <c r="AD6341" t="s">
        <v>410</v>
      </c>
      <c r="AE6341" t="s">
        <v>563</v>
      </c>
      <c r="AF6341" t="s">
        <v>13069</v>
      </c>
    </row>
    <row r="6342" spans="1:32" hidden="1" x14ac:dyDescent="0.35">
      <c r="A6342">
        <v>6341</v>
      </c>
      <c r="B6342" t="s">
        <v>13070</v>
      </c>
      <c r="C6342" t="s">
        <v>68</v>
      </c>
      <c r="D6342" t="s">
        <v>34</v>
      </c>
      <c r="E6342">
        <v>1667</v>
      </c>
      <c r="F6342">
        <v>2</v>
      </c>
      <c r="G6342">
        <v>3</v>
      </c>
      <c r="H6342">
        <v>2</v>
      </c>
      <c r="I6342">
        <v>0</v>
      </c>
      <c r="J6342">
        <v>0.83152173913043503</v>
      </c>
      <c r="K6342">
        <v>0.55579121008601595</v>
      </c>
      <c r="L6342">
        <v>0.66625554654435404</v>
      </c>
      <c r="M6342">
        <v>0.25203252032520301</v>
      </c>
      <c r="N6342">
        <v>0.47967479674796698</v>
      </c>
      <c r="O6342">
        <v>0.35862691960252902</v>
      </c>
      <c r="P6342" t="s">
        <v>10026</v>
      </c>
      <c r="Q6342" t="s">
        <v>10027</v>
      </c>
      <c r="R6342" t="s">
        <v>13071</v>
      </c>
      <c r="S6342" t="s">
        <v>13072</v>
      </c>
      <c r="V6342" t="s">
        <v>13073</v>
      </c>
      <c r="W6342" t="s">
        <v>13074</v>
      </c>
      <c r="AF6342" t="s">
        <v>13075</v>
      </c>
    </row>
    <row r="6343" spans="1:32" hidden="1" x14ac:dyDescent="0.35">
      <c r="A6343">
        <v>6342</v>
      </c>
      <c r="B6343" t="s">
        <v>13070</v>
      </c>
      <c r="C6343" t="s">
        <v>68</v>
      </c>
      <c r="D6343" t="s">
        <v>45</v>
      </c>
      <c r="E6343">
        <v>1209</v>
      </c>
      <c r="F6343">
        <v>2</v>
      </c>
      <c r="G6343">
        <v>3</v>
      </c>
      <c r="H6343">
        <v>2</v>
      </c>
      <c r="I6343">
        <v>0</v>
      </c>
      <c r="J6343">
        <v>0.83152173913043503</v>
      </c>
      <c r="K6343">
        <v>0.55579121008601595</v>
      </c>
      <c r="L6343">
        <v>0.66625554654435404</v>
      </c>
      <c r="M6343">
        <v>0.25203252032520301</v>
      </c>
      <c r="N6343">
        <v>0.47967479674796698</v>
      </c>
      <c r="O6343">
        <v>0.35862691960252902</v>
      </c>
      <c r="P6343" t="s">
        <v>10026</v>
      </c>
      <c r="Q6343" t="s">
        <v>10027</v>
      </c>
      <c r="R6343" t="s">
        <v>13071</v>
      </c>
      <c r="S6343" t="s">
        <v>13072</v>
      </c>
      <c r="V6343" t="s">
        <v>13073</v>
      </c>
      <c r="W6343" t="s">
        <v>13074</v>
      </c>
      <c r="AF6343" t="s">
        <v>13076</v>
      </c>
    </row>
    <row r="6344" spans="1:32" hidden="1" x14ac:dyDescent="0.35">
      <c r="A6344">
        <v>6343</v>
      </c>
      <c r="B6344" t="s">
        <v>13070</v>
      </c>
      <c r="C6344" t="s">
        <v>68</v>
      </c>
      <c r="D6344" t="s">
        <v>45</v>
      </c>
      <c r="E6344">
        <v>1210</v>
      </c>
      <c r="F6344">
        <v>2</v>
      </c>
      <c r="G6344">
        <v>3</v>
      </c>
      <c r="H6344">
        <v>2</v>
      </c>
      <c r="I6344">
        <v>0</v>
      </c>
      <c r="J6344">
        <v>0.83152173913043503</v>
      </c>
      <c r="K6344">
        <v>0.55579121008601595</v>
      </c>
      <c r="L6344">
        <v>0.66625554654435404</v>
      </c>
      <c r="M6344">
        <v>0.25203252032520301</v>
      </c>
      <c r="N6344">
        <v>0.47967479674796698</v>
      </c>
      <c r="O6344">
        <v>0.35862691960252902</v>
      </c>
      <c r="P6344" t="s">
        <v>10026</v>
      </c>
      <c r="Q6344" t="s">
        <v>10027</v>
      </c>
      <c r="R6344" t="s">
        <v>13071</v>
      </c>
      <c r="S6344" t="s">
        <v>13072</v>
      </c>
      <c r="V6344" t="s">
        <v>13073</v>
      </c>
      <c r="W6344" t="s">
        <v>13074</v>
      </c>
      <c r="AF6344" t="e">
        <f>---------------------------------------------------------------------------------------------------------------------------------------------------------------------------------------------MVKGIFSGLGSLTVALIIANPIPPIATILATMILGFVAYGLSINFYILAQKDLGAAKTSGYYAIAPFLGVLFSMVLLRELPAWNFWLALAIMAAATYLMIKDSIGLQHTHEHGHTHTHPHSHISGGRIITHNHEHTHHHVHAHTHAAGTDPNSHDHDHEFLHAEHSHDDHTHEHPELLGL</f>
        <v>#NAME?</v>
      </c>
    </row>
    <row r="6345" spans="1:32" hidden="1" x14ac:dyDescent="0.35">
      <c r="A6345">
        <v>6344</v>
      </c>
      <c r="B6345" t="s">
        <v>13077</v>
      </c>
      <c r="C6345" t="s">
        <v>68</v>
      </c>
      <c r="D6345" t="s">
        <v>58</v>
      </c>
      <c r="E6345">
        <v>1230</v>
      </c>
      <c r="F6345">
        <v>3</v>
      </c>
      <c r="G6345">
        <v>3</v>
      </c>
      <c r="H6345">
        <v>1</v>
      </c>
      <c r="I6345">
        <v>0</v>
      </c>
      <c r="J6345">
        <v>0.80227882037533504</v>
      </c>
      <c r="K6345">
        <v>0.96622719202145801</v>
      </c>
      <c r="L6345">
        <v>0.87665363464495005</v>
      </c>
      <c r="M6345">
        <v>0.55728155339805796</v>
      </c>
      <c r="N6345">
        <v>0.96504854368932003</v>
      </c>
      <c r="O6345">
        <v>0.69644012944983802</v>
      </c>
      <c r="P6345" t="s">
        <v>4358</v>
      </c>
      <c r="Q6345" t="s">
        <v>4359</v>
      </c>
      <c r="R6345" t="s">
        <v>319</v>
      </c>
      <c r="S6345" t="s">
        <v>320</v>
      </c>
      <c r="T6345" t="s">
        <v>13078</v>
      </c>
      <c r="U6345" t="s">
        <v>6729</v>
      </c>
      <c r="V6345" t="s">
        <v>4360</v>
      </c>
      <c r="W6345" t="s">
        <v>4361</v>
      </c>
      <c r="Z6345" t="s">
        <v>13079</v>
      </c>
      <c r="AA6345" t="s">
        <v>13080</v>
      </c>
      <c r="AB6345" t="s">
        <v>13079</v>
      </c>
      <c r="AC6345" t="s">
        <v>3240</v>
      </c>
      <c r="AD6345" t="s">
        <v>13081</v>
      </c>
      <c r="AE6345" t="s">
        <v>13082</v>
      </c>
      <c r="AF6345" t="s">
        <v>13083</v>
      </c>
    </row>
    <row r="6346" spans="1:32" hidden="1" x14ac:dyDescent="0.35">
      <c r="A6346">
        <v>6345</v>
      </c>
      <c r="B6346" t="s">
        <v>13077</v>
      </c>
      <c r="C6346" t="s">
        <v>68</v>
      </c>
      <c r="D6346" t="s">
        <v>60</v>
      </c>
      <c r="E6346">
        <v>1713</v>
      </c>
      <c r="F6346">
        <v>3</v>
      </c>
      <c r="G6346">
        <v>3</v>
      </c>
      <c r="H6346">
        <v>1</v>
      </c>
      <c r="I6346">
        <v>0</v>
      </c>
      <c r="J6346">
        <v>0.80227882037533504</v>
      </c>
      <c r="K6346">
        <v>0.96622719202145801</v>
      </c>
      <c r="L6346">
        <v>0.87665363464495005</v>
      </c>
      <c r="M6346">
        <v>0.55728155339805796</v>
      </c>
      <c r="N6346">
        <v>0.96504854368932003</v>
      </c>
      <c r="O6346">
        <v>0.69644012944983802</v>
      </c>
      <c r="P6346" t="s">
        <v>4358</v>
      </c>
      <c r="Q6346" t="s">
        <v>4359</v>
      </c>
      <c r="R6346" t="s">
        <v>319</v>
      </c>
      <c r="S6346" t="s">
        <v>320</v>
      </c>
      <c r="T6346" t="s">
        <v>13078</v>
      </c>
      <c r="U6346" t="s">
        <v>6729</v>
      </c>
      <c r="V6346" t="s">
        <v>4360</v>
      </c>
      <c r="W6346" t="s">
        <v>4361</v>
      </c>
      <c r="Z6346" t="s">
        <v>13079</v>
      </c>
      <c r="AA6346" t="s">
        <v>13080</v>
      </c>
      <c r="AB6346" t="s">
        <v>13079</v>
      </c>
      <c r="AC6346" t="s">
        <v>3240</v>
      </c>
      <c r="AD6346" t="s">
        <v>13081</v>
      </c>
      <c r="AE6346" t="s">
        <v>13082</v>
      </c>
      <c r="AF6346" t="s">
        <v>13084</v>
      </c>
    </row>
    <row r="6347" spans="1:32" hidden="1" x14ac:dyDescent="0.35">
      <c r="A6347">
        <v>6346</v>
      </c>
      <c r="B6347" t="s">
        <v>13077</v>
      </c>
      <c r="C6347" t="s">
        <v>68</v>
      </c>
      <c r="D6347" t="s">
        <v>62</v>
      </c>
      <c r="E6347">
        <v>1748</v>
      </c>
      <c r="F6347">
        <v>3</v>
      </c>
      <c r="G6347">
        <v>3</v>
      </c>
      <c r="H6347">
        <v>1</v>
      </c>
      <c r="I6347">
        <v>0</v>
      </c>
      <c r="J6347">
        <v>0.80227882037533504</v>
      </c>
      <c r="K6347">
        <v>0.96622719202145801</v>
      </c>
      <c r="L6347">
        <v>0.87665363464495005</v>
      </c>
      <c r="M6347">
        <v>0.55728155339805796</v>
      </c>
      <c r="N6347">
        <v>0.96504854368932003</v>
      </c>
      <c r="O6347">
        <v>0.69644012944983802</v>
      </c>
      <c r="P6347" t="s">
        <v>4358</v>
      </c>
      <c r="Q6347" t="s">
        <v>4359</v>
      </c>
      <c r="R6347" t="s">
        <v>319</v>
      </c>
      <c r="S6347" t="s">
        <v>320</v>
      </c>
      <c r="T6347" t="s">
        <v>13078</v>
      </c>
      <c r="U6347" t="s">
        <v>6729</v>
      </c>
      <c r="V6347" t="s">
        <v>4360</v>
      </c>
      <c r="W6347" t="s">
        <v>4361</v>
      </c>
      <c r="Z6347" t="s">
        <v>13079</v>
      </c>
      <c r="AA6347" t="s">
        <v>13080</v>
      </c>
      <c r="AB6347" t="s">
        <v>13079</v>
      </c>
      <c r="AC6347" t="s">
        <v>3240</v>
      </c>
      <c r="AD6347" t="s">
        <v>13081</v>
      </c>
      <c r="AE6347" t="s">
        <v>13082</v>
      </c>
      <c r="AF6347" t="s">
        <v>13085</v>
      </c>
    </row>
    <row r="6348" spans="1:32" hidden="1" x14ac:dyDescent="0.35">
      <c r="A6348">
        <v>3124</v>
      </c>
      <c r="B6348" t="s">
        <v>6432</v>
      </c>
      <c r="C6348" t="s">
        <v>72</v>
      </c>
      <c r="D6348" t="s">
        <v>58</v>
      </c>
      <c r="E6348">
        <v>355</v>
      </c>
      <c r="F6348">
        <v>5</v>
      </c>
      <c r="G6348">
        <v>5</v>
      </c>
      <c r="H6348">
        <v>1</v>
      </c>
      <c r="I6348">
        <v>1</v>
      </c>
      <c r="J6348">
        <v>0.86299100804543305</v>
      </c>
      <c r="K6348">
        <v>0.96670179797318301</v>
      </c>
      <c r="L6348">
        <v>0.91190713147912095</v>
      </c>
      <c r="M6348">
        <v>0.70857142857142896</v>
      </c>
      <c r="N6348">
        <v>1</v>
      </c>
      <c r="O6348">
        <v>0.80914285714285705</v>
      </c>
      <c r="P6348" t="s">
        <v>6433</v>
      </c>
      <c r="Q6348" t="s">
        <v>6434</v>
      </c>
      <c r="R6348" t="s">
        <v>540</v>
      </c>
      <c r="S6348" t="s">
        <v>541</v>
      </c>
      <c r="T6348" t="s">
        <v>6435</v>
      </c>
      <c r="U6348" t="s">
        <v>6436</v>
      </c>
      <c r="V6348" t="s">
        <v>6437</v>
      </c>
      <c r="W6348" t="s">
        <v>6438</v>
      </c>
      <c r="AD6348" t="s">
        <v>6439</v>
      </c>
      <c r="AE6348" t="s">
        <v>6440</v>
      </c>
      <c r="AF6348" t="s">
        <v>6441</v>
      </c>
    </row>
    <row r="6349" spans="1:32" hidden="1" x14ac:dyDescent="0.35">
      <c r="A6349">
        <v>6348</v>
      </c>
      <c r="B6349" t="s">
        <v>13086</v>
      </c>
      <c r="C6349" t="s">
        <v>68</v>
      </c>
      <c r="D6349" t="s">
        <v>60</v>
      </c>
      <c r="E6349">
        <v>489</v>
      </c>
      <c r="F6349">
        <v>3</v>
      </c>
      <c r="G6349">
        <v>3</v>
      </c>
      <c r="H6349">
        <v>1</v>
      </c>
      <c r="I6349">
        <v>0</v>
      </c>
      <c r="J6349">
        <v>0.86579683131407303</v>
      </c>
      <c r="K6349">
        <v>0.98018465552711898</v>
      </c>
      <c r="L6349">
        <v>0.919446673661103</v>
      </c>
      <c r="M6349">
        <v>0.693150684931507</v>
      </c>
      <c r="N6349">
        <v>0.98356164383561595</v>
      </c>
      <c r="O6349">
        <v>0.78995433789954295</v>
      </c>
      <c r="P6349" t="s">
        <v>8909</v>
      </c>
      <c r="Q6349" t="s">
        <v>8910</v>
      </c>
      <c r="R6349" t="s">
        <v>342</v>
      </c>
      <c r="S6349" t="s">
        <v>343</v>
      </c>
      <c r="T6349" t="s">
        <v>13087</v>
      </c>
      <c r="U6349" t="s">
        <v>13088</v>
      </c>
      <c r="V6349" t="s">
        <v>8913</v>
      </c>
      <c r="W6349" t="s">
        <v>8914</v>
      </c>
      <c r="AD6349" t="s">
        <v>166</v>
      </c>
      <c r="AE6349" t="s">
        <v>12674</v>
      </c>
      <c r="AF6349" t="s">
        <v>13090</v>
      </c>
    </row>
    <row r="6350" spans="1:32" hidden="1" x14ac:dyDescent="0.35">
      <c r="A6350">
        <v>6349</v>
      </c>
      <c r="B6350" t="s">
        <v>13086</v>
      </c>
      <c r="C6350" t="s">
        <v>68</v>
      </c>
      <c r="D6350" t="s">
        <v>62</v>
      </c>
      <c r="E6350">
        <v>572</v>
      </c>
      <c r="F6350">
        <v>3</v>
      </c>
      <c r="G6350">
        <v>3</v>
      </c>
      <c r="H6350">
        <v>1</v>
      </c>
      <c r="I6350">
        <v>0</v>
      </c>
      <c r="J6350">
        <v>0.86579683131407303</v>
      </c>
      <c r="K6350">
        <v>0.98018465552711898</v>
      </c>
      <c r="L6350">
        <v>0.919446673661103</v>
      </c>
      <c r="M6350">
        <v>0.693150684931507</v>
      </c>
      <c r="N6350">
        <v>0.98356164383561595</v>
      </c>
      <c r="O6350">
        <v>0.78995433789954295</v>
      </c>
      <c r="P6350" t="s">
        <v>8909</v>
      </c>
      <c r="Q6350" t="s">
        <v>8910</v>
      </c>
      <c r="R6350" t="s">
        <v>342</v>
      </c>
      <c r="S6350" t="s">
        <v>343</v>
      </c>
      <c r="T6350" t="s">
        <v>13087</v>
      </c>
      <c r="U6350" t="s">
        <v>13088</v>
      </c>
      <c r="V6350" t="s">
        <v>8913</v>
      </c>
      <c r="W6350" t="s">
        <v>8914</v>
      </c>
      <c r="AD6350" t="s">
        <v>166</v>
      </c>
      <c r="AE6350" t="s">
        <v>12674</v>
      </c>
      <c r="AF6350" t="s">
        <v>13091</v>
      </c>
    </row>
    <row r="6351" spans="1:32" hidden="1" x14ac:dyDescent="0.35">
      <c r="A6351">
        <v>6350</v>
      </c>
      <c r="B6351" t="s">
        <v>13092</v>
      </c>
      <c r="C6351" t="s">
        <v>68</v>
      </c>
      <c r="D6351" t="s">
        <v>58</v>
      </c>
      <c r="E6351">
        <v>1414</v>
      </c>
      <c r="F6351">
        <v>3</v>
      </c>
      <c r="G6351">
        <v>3</v>
      </c>
      <c r="H6351">
        <v>1</v>
      </c>
      <c r="I6351">
        <v>0</v>
      </c>
      <c r="J6351">
        <v>0.828629856850716</v>
      </c>
      <c r="K6351">
        <v>0.98099025096356596</v>
      </c>
      <c r="L6351">
        <v>0.89839608624785705</v>
      </c>
      <c r="M6351">
        <v>0.62093862815884504</v>
      </c>
      <c r="N6351">
        <v>0.99638989169675096</v>
      </c>
      <c r="O6351">
        <v>0.74608904933814701</v>
      </c>
      <c r="P6351" t="s">
        <v>1247</v>
      </c>
      <c r="Q6351" t="s">
        <v>1248</v>
      </c>
      <c r="R6351" t="s">
        <v>12738</v>
      </c>
      <c r="S6351" t="s">
        <v>12739</v>
      </c>
      <c r="T6351" t="s">
        <v>13093</v>
      </c>
      <c r="U6351" t="s">
        <v>12741</v>
      </c>
      <c r="V6351" t="s">
        <v>12845</v>
      </c>
      <c r="W6351" t="s">
        <v>12846</v>
      </c>
      <c r="AD6351" t="s">
        <v>439</v>
      </c>
      <c r="AE6351" t="s">
        <v>471</v>
      </c>
      <c r="AF6351" t="s">
        <v>13094</v>
      </c>
    </row>
    <row r="6352" spans="1:32" hidden="1" x14ac:dyDescent="0.35">
      <c r="A6352">
        <v>6351</v>
      </c>
      <c r="B6352" t="s">
        <v>13092</v>
      </c>
      <c r="C6352" t="s">
        <v>68</v>
      </c>
      <c r="D6352" t="s">
        <v>34</v>
      </c>
      <c r="E6352">
        <v>2287</v>
      </c>
      <c r="F6352">
        <v>3</v>
      </c>
      <c r="G6352">
        <v>3</v>
      </c>
      <c r="H6352">
        <v>1</v>
      </c>
      <c r="I6352">
        <v>0</v>
      </c>
      <c r="J6352">
        <v>0.828629856850716</v>
      </c>
      <c r="K6352">
        <v>0.98099025096356596</v>
      </c>
      <c r="L6352">
        <v>0.89839608624785705</v>
      </c>
      <c r="M6352">
        <v>0.62093862815884504</v>
      </c>
      <c r="N6352">
        <v>0.99638989169675096</v>
      </c>
      <c r="O6352">
        <v>0.74608904933814701</v>
      </c>
      <c r="P6352" t="s">
        <v>1247</v>
      </c>
      <c r="Q6352" t="s">
        <v>1248</v>
      </c>
      <c r="R6352" t="s">
        <v>12738</v>
      </c>
      <c r="S6352" t="s">
        <v>12739</v>
      </c>
      <c r="T6352" t="s">
        <v>13093</v>
      </c>
      <c r="U6352" t="s">
        <v>12741</v>
      </c>
      <c r="V6352" t="s">
        <v>12845</v>
      </c>
      <c r="W6352" t="s">
        <v>12846</v>
      </c>
      <c r="AD6352" t="s">
        <v>439</v>
      </c>
      <c r="AE6352" t="s">
        <v>471</v>
      </c>
      <c r="AF6352" t="s">
        <v>13095</v>
      </c>
    </row>
    <row r="6353" spans="1:32" hidden="1" x14ac:dyDescent="0.35">
      <c r="A6353">
        <v>6352</v>
      </c>
      <c r="B6353" t="s">
        <v>13092</v>
      </c>
      <c r="C6353" t="s">
        <v>68</v>
      </c>
      <c r="D6353" t="s">
        <v>45</v>
      </c>
      <c r="E6353">
        <v>590</v>
      </c>
      <c r="F6353">
        <v>3</v>
      </c>
      <c r="G6353">
        <v>3</v>
      </c>
      <c r="H6353">
        <v>1</v>
      </c>
      <c r="I6353">
        <v>0</v>
      </c>
      <c r="J6353">
        <v>0.828629856850716</v>
      </c>
      <c r="K6353">
        <v>0.98099025096356596</v>
      </c>
      <c r="L6353">
        <v>0.89839608624785705</v>
      </c>
      <c r="M6353">
        <v>0.62093862815884504</v>
      </c>
      <c r="N6353">
        <v>0.99638989169675096</v>
      </c>
      <c r="O6353">
        <v>0.74608904933814701</v>
      </c>
      <c r="P6353" t="s">
        <v>1247</v>
      </c>
      <c r="Q6353" t="s">
        <v>1248</v>
      </c>
      <c r="R6353" t="s">
        <v>12738</v>
      </c>
      <c r="S6353" t="s">
        <v>12739</v>
      </c>
      <c r="T6353" t="s">
        <v>13093</v>
      </c>
      <c r="U6353" t="s">
        <v>12741</v>
      </c>
      <c r="V6353" t="s">
        <v>12845</v>
      </c>
      <c r="W6353" t="s">
        <v>12846</v>
      </c>
      <c r="AD6353" t="s">
        <v>439</v>
      </c>
      <c r="AE6353" t="s">
        <v>471</v>
      </c>
      <c r="AF6353" t="s">
        <v>13096</v>
      </c>
    </row>
    <row r="6354" spans="1:32" hidden="1" x14ac:dyDescent="0.35">
      <c r="A6354">
        <v>6353</v>
      </c>
      <c r="B6354" t="s">
        <v>13097</v>
      </c>
      <c r="C6354" t="s">
        <v>68</v>
      </c>
      <c r="D6354" t="s">
        <v>34</v>
      </c>
      <c r="E6354">
        <v>1472</v>
      </c>
      <c r="F6354">
        <v>2</v>
      </c>
      <c r="G6354">
        <v>3</v>
      </c>
      <c r="H6354">
        <v>2</v>
      </c>
      <c r="I6354">
        <v>0</v>
      </c>
      <c r="J6354">
        <v>0.82217422606191504</v>
      </c>
      <c r="K6354">
        <v>0.58319419782860105</v>
      </c>
      <c r="L6354">
        <v>0.68236517925477902</v>
      </c>
      <c r="M6354">
        <v>0.21079691516709501</v>
      </c>
      <c r="N6354">
        <v>0.62982005141388198</v>
      </c>
      <c r="O6354">
        <v>0.373607540702656</v>
      </c>
      <c r="P6354" t="s">
        <v>4358</v>
      </c>
      <c r="Q6354" t="s">
        <v>4359</v>
      </c>
      <c r="R6354" t="s">
        <v>319</v>
      </c>
      <c r="S6354" t="s">
        <v>320</v>
      </c>
      <c r="T6354" t="s">
        <v>11374</v>
      </c>
      <c r="U6354" t="s">
        <v>9714</v>
      </c>
      <c r="V6354" t="s">
        <v>4360</v>
      </c>
      <c r="W6354" t="s">
        <v>4361</v>
      </c>
      <c r="AD6354" t="s">
        <v>166</v>
      </c>
      <c r="AE6354" t="s">
        <v>9717</v>
      </c>
      <c r="AF6354" t="s">
        <v>13098</v>
      </c>
    </row>
    <row r="6355" spans="1:32" hidden="1" x14ac:dyDescent="0.35">
      <c r="A6355">
        <v>6354</v>
      </c>
      <c r="B6355" t="s">
        <v>13097</v>
      </c>
      <c r="C6355" t="s">
        <v>68</v>
      </c>
      <c r="D6355" t="s">
        <v>34</v>
      </c>
      <c r="E6355">
        <v>1473</v>
      </c>
      <c r="F6355">
        <v>2</v>
      </c>
      <c r="G6355">
        <v>3</v>
      </c>
      <c r="H6355">
        <v>2</v>
      </c>
      <c r="I6355">
        <v>0</v>
      </c>
      <c r="J6355">
        <v>0.82217422606191504</v>
      </c>
      <c r="K6355">
        <v>0.58319419782860105</v>
      </c>
      <c r="L6355">
        <v>0.68236517925477902</v>
      </c>
      <c r="M6355">
        <v>0.21079691516709501</v>
      </c>
      <c r="N6355">
        <v>0.62982005141388198</v>
      </c>
      <c r="O6355">
        <v>0.373607540702656</v>
      </c>
      <c r="R6355" t="s">
        <v>319</v>
      </c>
      <c r="S6355" t="s">
        <v>320</v>
      </c>
      <c r="V6355" t="s">
        <v>4360</v>
      </c>
      <c r="W6355" t="s">
        <v>4361</v>
      </c>
      <c r="AF6355" t="e">
        <f>-----------------------------------MMGGALNTR----------------------LLDRF-------PAAAILKIALIIMTVAATI-VLVCA-----------------------------------------------------------------LTGLPRIPFFLALFF-------------------------AVMPLSLVMG----------NATALAVAAV--------------------------------------------------------------------------------------------RTRAGSASSVMGFGQFLLAGLVSPLVGMVGGSQAVGMGVCMVGAAVVAVMMFVLARRAD</f>
        <v>#NAME?</v>
      </c>
    </row>
    <row r="6356" spans="1:32" hidden="1" x14ac:dyDescent="0.35">
      <c r="A6356">
        <v>6355</v>
      </c>
      <c r="B6356" t="s">
        <v>13097</v>
      </c>
      <c r="C6356" t="s">
        <v>68</v>
      </c>
      <c r="D6356" t="s">
        <v>45</v>
      </c>
      <c r="E6356">
        <v>223</v>
      </c>
      <c r="F6356">
        <v>2</v>
      </c>
      <c r="G6356">
        <v>3</v>
      </c>
      <c r="H6356">
        <v>2</v>
      </c>
      <c r="I6356">
        <v>0</v>
      </c>
      <c r="J6356">
        <v>0.82217422606191504</v>
      </c>
      <c r="K6356">
        <v>0.58319419782860105</v>
      </c>
      <c r="L6356">
        <v>0.68236517925477902</v>
      </c>
      <c r="M6356">
        <v>0.21079691516709501</v>
      </c>
      <c r="N6356">
        <v>0.62982005141388198</v>
      </c>
      <c r="O6356">
        <v>0.373607540702656</v>
      </c>
      <c r="P6356" t="s">
        <v>4358</v>
      </c>
      <c r="Q6356" t="s">
        <v>4359</v>
      </c>
      <c r="R6356" t="s">
        <v>319</v>
      </c>
      <c r="S6356" t="s">
        <v>320</v>
      </c>
      <c r="T6356" t="s">
        <v>11374</v>
      </c>
      <c r="U6356" t="s">
        <v>9714</v>
      </c>
      <c r="V6356" t="s">
        <v>4360</v>
      </c>
      <c r="W6356" t="s">
        <v>4361</v>
      </c>
      <c r="AD6356" t="s">
        <v>166</v>
      </c>
      <c r="AE6356" t="s">
        <v>9717</v>
      </c>
      <c r="AF6356" t="s">
        <v>13099</v>
      </c>
    </row>
    <row r="6357" spans="1:32" hidden="1" x14ac:dyDescent="0.35">
      <c r="A6357">
        <v>6356</v>
      </c>
      <c r="B6357" t="s">
        <v>13100</v>
      </c>
      <c r="C6357" t="s">
        <v>68</v>
      </c>
      <c r="D6357" t="s">
        <v>60</v>
      </c>
      <c r="E6357">
        <v>1718</v>
      </c>
      <c r="F6357">
        <v>2</v>
      </c>
      <c r="G6357">
        <v>3</v>
      </c>
      <c r="H6357">
        <v>2</v>
      </c>
      <c r="I6357">
        <v>0</v>
      </c>
      <c r="J6357">
        <v>0.74561403508771895</v>
      </c>
      <c r="K6357">
        <v>0.97448344535723097</v>
      </c>
      <c r="L6357">
        <v>0.84482250811859305</v>
      </c>
      <c r="M6357">
        <v>0.5</v>
      </c>
      <c r="N6357">
        <v>0.88461538461538503</v>
      </c>
      <c r="O6357">
        <v>0.63461538461538503</v>
      </c>
      <c r="AF6357" t="e">
        <f>--MRKLPSPRNKYEAASLWCSAAIVIFPFVGDSLFHLFPKGSLSAITWTIPLGIIPGMLAWLGRSLRCGILAFFAAFSPVFLLWVSYYVFMILYIVSGGKIKSV</f>
        <v>#NAME?</v>
      </c>
    </row>
    <row r="6358" spans="1:32" hidden="1" x14ac:dyDescent="0.35">
      <c r="A6358">
        <v>6357</v>
      </c>
      <c r="B6358" t="s">
        <v>13100</v>
      </c>
      <c r="C6358" t="s">
        <v>68</v>
      </c>
      <c r="D6358" t="s">
        <v>62</v>
      </c>
      <c r="E6358">
        <v>1753</v>
      </c>
      <c r="F6358">
        <v>2</v>
      </c>
      <c r="G6358">
        <v>3</v>
      </c>
      <c r="H6358">
        <v>2</v>
      </c>
      <c r="I6358">
        <v>0</v>
      </c>
      <c r="J6358">
        <v>0.74561403508771895</v>
      </c>
      <c r="K6358">
        <v>0.97448344535723097</v>
      </c>
      <c r="L6358">
        <v>0.84482250811859305</v>
      </c>
      <c r="M6358">
        <v>0.5</v>
      </c>
      <c r="N6358">
        <v>0.88461538461538503</v>
      </c>
      <c r="O6358">
        <v>0.63461538461538503</v>
      </c>
      <c r="AF6358" t="e">
        <f>--MRKLPRLRNKYEAASLWCSVAIIIFPFIGESVFHLFPKGTLSAITWTIPLGIIPGVLAWLGRSLRCGILAFFAAFSPVFLLWISYYVFMILYIVSGGKIKPM</f>
        <v>#NAME?</v>
      </c>
    </row>
    <row r="6359" spans="1:32" hidden="1" x14ac:dyDescent="0.35">
      <c r="A6359">
        <v>6358</v>
      </c>
      <c r="B6359" t="s">
        <v>13100</v>
      </c>
      <c r="C6359" t="s">
        <v>68</v>
      </c>
      <c r="D6359" t="s">
        <v>62</v>
      </c>
      <c r="E6359">
        <v>1171</v>
      </c>
      <c r="F6359">
        <v>2</v>
      </c>
      <c r="G6359">
        <v>3</v>
      </c>
      <c r="H6359">
        <v>2</v>
      </c>
      <c r="I6359">
        <v>0</v>
      </c>
      <c r="J6359">
        <v>0.74561403508771895</v>
      </c>
      <c r="K6359">
        <v>0.97448344535723097</v>
      </c>
      <c r="L6359">
        <v>0.84482250811859305</v>
      </c>
      <c r="M6359">
        <v>0.5</v>
      </c>
      <c r="N6359">
        <v>0.88461538461538503</v>
      </c>
      <c r="O6359">
        <v>0.63461538461538503</v>
      </c>
      <c r="AF6359" t="s">
        <v>13101</v>
      </c>
    </row>
    <row r="6360" spans="1:32" hidden="1" x14ac:dyDescent="0.35">
      <c r="A6360">
        <v>6359</v>
      </c>
      <c r="B6360" t="s">
        <v>13102</v>
      </c>
      <c r="C6360" t="s">
        <v>68</v>
      </c>
      <c r="D6360" t="s">
        <v>60</v>
      </c>
      <c r="E6360">
        <v>2508</v>
      </c>
      <c r="F6360">
        <v>2</v>
      </c>
      <c r="G6360">
        <v>3</v>
      </c>
      <c r="H6360">
        <v>2</v>
      </c>
      <c r="I6360">
        <v>0</v>
      </c>
      <c r="J6360">
        <v>0.82882882882882902</v>
      </c>
      <c r="K6360">
        <v>0.57954777259960299</v>
      </c>
      <c r="L6360">
        <v>0.68212706903380704</v>
      </c>
      <c r="M6360">
        <v>0.14041095890411001</v>
      </c>
      <c r="N6360">
        <v>0.647260273972603</v>
      </c>
      <c r="O6360">
        <v>0.35388127853881302</v>
      </c>
      <c r="P6360" t="s">
        <v>169</v>
      </c>
      <c r="Q6360" t="s">
        <v>170</v>
      </c>
      <c r="R6360" t="s">
        <v>138</v>
      </c>
      <c r="S6360" t="s">
        <v>139</v>
      </c>
      <c r="T6360" t="s">
        <v>12133</v>
      </c>
      <c r="U6360" t="s">
        <v>12134</v>
      </c>
      <c r="V6360" t="s">
        <v>3693</v>
      </c>
      <c r="W6360" t="s">
        <v>3694</v>
      </c>
      <c r="AD6360" t="s">
        <v>166</v>
      </c>
      <c r="AE6360" t="s">
        <v>11435</v>
      </c>
      <c r="AF6360" t="s">
        <v>13103</v>
      </c>
    </row>
    <row r="6361" spans="1:32" hidden="1" x14ac:dyDescent="0.35">
      <c r="A6361">
        <v>6360</v>
      </c>
      <c r="B6361" t="s">
        <v>13102</v>
      </c>
      <c r="C6361" t="s">
        <v>68</v>
      </c>
      <c r="D6361" t="s">
        <v>62</v>
      </c>
      <c r="E6361">
        <v>35</v>
      </c>
      <c r="F6361">
        <v>2</v>
      </c>
      <c r="G6361">
        <v>3</v>
      </c>
      <c r="H6361">
        <v>2</v>
      </c>
      <c r="I6361">
        <v>0</v>
      </c>
      <c r="J6361">
        <v>0.82882882882882902</v>
      </c>
      <c r="K6361">
        <v>0.57954777259960299</v>
      </c>
      <c r="L6361">
        <v>0.68212706903380704</v>
      </c>
      <c r="M6361">
        <v>0.14041095890411001</v>
      </c>
      <c r="N6361">
        <v>0.647260273972603</v>
      </c>
      <c r="O6361">
        <v>0.35388127853881302</v>
      </c>
      <c r="AF6361" t="s">
        <v>13104</v>
      </c>
    </row>
    <row r="6362" spans="1:32" hidden="1" x14ac:dyDescent="0.35">
      <c r="A6362">
        <v>6361</v>
      </c>
      <c r="B6362" t="s">
        <v>13102</v>
      </c>
      <c r="C6362" t="s">
        <v>68</v>
      </c>
      <c r="D6362" t="s">
        <v>62</v>
      </c>
      <c r="E6362">
        <v>36</v>
      </c>
      <c r="F6362">
        <v>2</v>
      </c>
      <c r="G6362">
        <v>3</v>
      </c>
      <c r="H6362">
        <v>2</v>
      </c>
      <c r="I6362">
        <v>0</v>
      </c>
      <c r="J6362">
        <v>0.82882882882882902</v>
      </c>
      <c r="K6362">
        <v>0.57954777259960299</v>
      </c>
      <c r="L6362">
        <v>0.68212706903380704</v>
      </c>
      <c r="M6362">
        <v>0.14041095890411001</v>
      </c>
      <c r="N6362">
        <v>0.647260273972603</v>
      </c>
      <c r="O6362">
        <v>0.35388127853881302</v>
      </c>
      <c r="P6362" t="s">
        <v>12781</v>
      </c>
      <c r="Q6362" t="s">
        <v>12782</v>
      </c>
      <c r="R6362" t="s">
        <v>138</v>
      </c>
      <c r="S6362" t="s">
        <v>139</v>
      </c>
      <c r="V6362" t="s">
        <v>3693</v>
      </c>
      <c r="W6362" t="s">
        <v>3694</v>
      </c>
      <c r="AF6362" t="e">
        <f>------------MNALESLRG-----------------------------------------------------------------------------------WTVNLRRRAELIDAFDLDPSKKARDYSTGNRRKVLLVSALSADADVLILDEPTAGLDPLMEQVFMEQVQIEQQRGATVLLSSHIMSEVERLCSHVTVIKRGVAVESGRIDSLKHLSAYTVTATFPYGIPPELAVLPNATVAPPVLTVTTTHDNVSALLLHIITRSGQNISSTPATLEELFLSHYEADT</f>
        <v>#NAME?</v>
      </c>
    </row>
    <row r="6363" spans="1:32" hidden="1" x14ac:dyDescent="0.35">
      <c r="A6363">
        <v>6362</v>
      </c>
      <c r="B6363" t="s">
        <v>13105</v>
      </c>
      <c r="C6363" t="s">
        <v>68</v>
      </c>
      <c r="D6363" t="s">
        <v>34</v>
      </c>
      <c r="E6363">
        <v>1625</v>
      </c>
      <c r="F6363">
        <v>2</v>
      </c>
      <c r="G6363">
        <v>3</v>
      </c>
      <c r="H6363">
        <v>2</v>
      </c>
      <c r="I6363">
        <v>0</v>
      </c>
      <c r="J6363">
        <v>0.86906019007391799</v>
      </c>
      <c r="K6363">
        <v>0.50845167144432801</v>
      </c>
      <c r="L6363">
        <v>0.64155542841103297</v>
      </c>
      <c r="M6363">
        <v>0.121121121121121</v>
      </c>
      <c r="N6363">
        <v>0.41041041041040999</v>
      </c>
      <c r="O6363">
        <v>0.30530530530530497</v>
      </c>
      <c r="AF6363" t="s">
        <v>221</v>
      </c>
    </row>
    <row r="6364" spans="1:32" hidden="1" x14ac:dyDescent="0.35">
      <c r="A6364">
        <v>6363</v>
      </c>
      <c r="B6364" t="s">
        <v>13105</v>
      </c>
      <c r="C6364" t="s">
        <v>68</v>
      </c>
      <c r="D6364" t="s">
        <v>34</v>
      </c>
      <c r="E6364">
        <v>1628</v>
      </c>
      <c r="F6364">
        <v>2</v>
      </c>
      <c r="G6364">
        <v>3</v>
      </c>
      <c r="H6364">
        <v>2</v>
      </c>
      <c r="I6364">
        <v>0</v>
      </c>
      <c r="J6364">
        <v>0.86906019007391799</v>
      </c>
      <c r="K6364">
        <v>0.50845167144432801</v>
      </c>
      <c r="L6364">
        <v>0.64155542841103297</v>
      </c>
      <c r="M6364">
        <v>0.121121121121121</v>
      </c>
      <c r="N6364">
        <v>0.41041041041040999</v>
      </c>
      <c r="O6364">
        <v>0.30530530530530497</v>
      </c>
      <c r="P6364" t="s">
        <v>13106</v>
      </c>
      <c r="Q6364" t="s">
        <v>13107</v>
      </c>
      <c r="AF6364" t="s">
        <v>13108</v>
      </c>
    </row>
    <row r="6365" spans="1:32" hidden="1" x14ac:dyDescent="0.35">
      <c r="A6365">
        <v>6364</v>
      </c>
      <c r="B6365" t="s">
        <v>13105</v>
      </c>
      <c r="C6365" t="s">
        <v>68</v>
      </c>
      <c r="D6365" t="s">
        <v>45</v>
      </c>
      <c r="E6365">
        <v>375</v>
      </c>
      <c r="F6365">
        <v>2</v>
      </c>
      <c r="G6365">
        <v>3</v>
      </c>
      <c r="H6365">
        <v>2</v>
      </c>
      <c r="I6365">
        <v>0</v>
      </c>
      <c r="J6365">
        <v>0.86906019007391799</v>
      </c>
      <c r="K6365">
        <v>0.50845167144432801</v>
      </c>
      <c r="L6365">
        <v>0.64155542841103297</v>
      </c>
      <c r="M6365">
        <v>0.121121121121121</v>
      </c>
      <c r="N6365">
        <v>0.41041041041040999</v>
      </c>
      <c r="O6365">
        <v>0.30530530530530497</v>
      </c>
      <c r="P6365" t="s">
        <v>13106</v>
      </c>
      <c r="Q6365" t="s">
        <v>13107</v>
      </c>
      <c r="AF6365" t="s">
        <v>13109</v>
      </c>
    </row>
    <row r="6366" spans="1:32" hidden="1" x14ac:dyDescent="0.35">
      <c r="A6366">
        <v>6365</v>
      </c>
      <c r="B6366" t="s">
        <v>13110</v>
      </c>
      <c r="C6366" t="s">
        <v>68</v>
      </c>
      <c r="D6366" t="s">
        <v>58</v>
      </c>
      <c r="E6366">
        <v>71</v>
      </c>
      <c r="F6366">
        <v>3</v>
      </c>
      <c r="G6366">
        <v>3</v>
      </c>
      <c r="H6366">
        <v>1</v>
      </c>
      <c r="I6366">
        <v>0</v>
      </c>
      <c r="J6366">
        <v>0.80569514237855899</v>
      </c>
      <c r="K6366">
        <v>0.99004975124378103</v>
      </c>
      <c r="L6366">
        <v>0.88840934825787499</v>
      </c>
      <c r="M6366">
        <v>0.59701492537313405</v>
      </c>
      <c r="N6366">
        <v>0.98507462686567204</v>
      </c>
      <c r="O6366">
        <v>0.73134328358209</v>
      </c>
      <c r="P6366" t="s">
        <v>13111</v>
      </c>
      <c r="Q6366" t="s">
        <v>13112</v>
      </c>
      <c r="R6366" t="s">
        <v>1259</v>
      </c>
      <c r="S6366" t="s">
        <v>1260</v>
      </c>
      <c r="V6366" t="s">
        <v>13113</v>
      </c>
      <c r="W6366" t="s">
        <v>13114</v>
      </c>
      <c r="AF6366" t="s">
        <v>13115</v>
      </c>
    </row>
    <row r="6367" spans="1:32" hidden="1" x14ac:dyDescent="0.35">
      <c r="A6367">
        <v>6366</v>
      </c>
      <c r="B6367" t="s">
        <v>13110</v>
      </c>
      <c r="C6367" t="s">
        <v>68</v>
      </c>
      <c r="D6367" t="s">
        <v>60</v>
      </c>
      <c r="E6367">
        <v>133</v>
      </c>
      <c r="F6367">
        <v>3</v>
      </c>
      <c r="G6367">
        <v>3</v>
      </c>
      <c r="H6367">
        <v>1</v>
      </c>
      <c r="I6367">
        <v>0</v>
      </c>
      <c r="J6367">
        <v>0.80569514237855899</v>
      </c>
      <c r="K6367">
        <v>0.99004975124378103</v>
      </c>
      <c r="L6367">
        <v>0.88840934825787499</v>
      </c>
      <c r="M6367">
        <v>0.59701492537313405</v>
      </c>
      <c r="N6367">
        <v>0.98507462686567204</v>
      </c>
      <c r="O6367">
        <v>0.73134328358209</v>
      </c>
      <c r="P6367" t="s">
        <v>13111</v>
      </c>
      <c r="Q6367" t="s">
        <v>13112</v>
      </c>
      <c r="R6367" t="s">
        <v>1259</v>
      </c>
      <c r="S6367" t="s">
        <v>1260</v>
      </c>
      <c r="V6367" t="s">
        <v>13113</v>
      </c>
      <c r="W6367" t="s">
        <v>13114</v>
      </c>
      <c r="AF6367" t="s">
        <v>13116</v>
      </c>
    </row>
    <row r="6368" spans="1:32" hidden="1" x14ac:dyDescent="0.35">
      <c r="A6368">
        <v>6367</v>
      </c>
      <c r="B6368" t="s">
        <v>13110</v>
      </c>
      <c r="C6368" t="s">
        <v>68</v>
      </c>
      <c r="D6368" t="s">
        <v>62</v>
      </c>
      <c r="E6368">
        <v>205</v>
      </c>
      <c r="F6368">
        <v>3</v>
      </c>
      <c r="G6368">
        <v>3</v>
      </c>
      <c r="H6368">
        <v>1</v>
      </c>
      <c r="I6368">
        <v>0</v>
      </c>
      <c r="J6368">
        <v>0.80569514237855899</v>
      </c>
      <c r="K6368">
        <v>0.99004975124378103</v>
      </c>
      <c r="L6368">
        <v>0.88840934825787499</v>
      </c>
      <c r="M6368">
        <v>0.59701492537313405</v>
      </c>
      <c r="N6368">
        <v>0.98507462686567204</v>
      </c>
      <c r="O6368">
        <v>0.73134328358209</v>
      </c>
      <c r="P6368" t="s">
        <v>13111</v>
      </c>
      <c r="Q6368" t="s">
        <v>13112</v>
      </c>
      <c r="R6368" t="s">
        <v>1259</v>
      </c>
      <c r="S6368" t="s">
        <v>1260</v>
      </c>
      <c r="V6368" t="s">
        <v>13113</v>
      </c>
      <c r="W6368" t="s">
        <v>13114</v>
      </c>
      <c r="AF6368" t="s">
        <v>13117</v>
      </c>
    </row>
    <row r="6369" spans="1:32" hidden="1" x14ac:dyDescent="0.35">
      <c r="A6369">
        <v>4629</v>
      </c>
      <c r="B6369" t="s">
        <v>9682</v>
      </c>
      <c r="C6369" t="s">
        <v>10127</v>
      </c>
      <c r="D6369" t="s">
        <v>58</v>
      </c>
      <c r="E6369">
        <v>880</v>
      </c>
      <c r="F6369">
        <v>5</v>
      </c>
      <c r="G6369">
        <v>5</v>
      </c>
      <c r="H6369">
        <v>1</v>
      </c>
      <c r="I6369">
        <v>1</v>
      </c>
      <c r="J6369">
        <v>0.83687757066596702</v>
      </c>
      <c r="K6369">
        <v>0.99582178421105805</v>
      </c>
      <c r="L6369">
        <v>0.90945731319114198</v>
      </c>
      <c r="M6369">
        <v>0.70065359477124201</v>
      </c>
      <c r="N6369">
        <v>0.99738562091503302</v>
      </c>
      <c r="O6369">
        <v>0.79503267973856195</v>
      </c>
      <c r="P6369" t="s">
        <v>6433</v>
      </c>
      <c r="Q6369" t="s">
        <v>6434</v>
      </c>
      <c r="R6369" t="s">
        <v>540</v>
      </c>
      <c r="S6369" t="s">
        <v>541</v>
      </c>
      <c r="T6369" t="s">
        <v>6435</v>
      </c>
      <c r="U6369" t="s">
        <v>6436</v>
      </c>
      <c r="V6369" t="s">
        <v>6437</v>
      </c>
      <c r="W6369" t="s">
        <v>6438</v>
      </c>
      <c r="AD6369" t="s">
        <v>6439</v>
      </c>
      <c r="AE6369" t="s">
        <v>6440</v>
      </c>
      <c r="AF6369" t="s">
        <v>9683</v>
      </c>
    </row>
    <row r="6370" spans="1:32" hidden="1" x14ac:dyDescent="0.35">
      <c r="A6370">
        <v>6369</v>
      </c>
      <c r="B6370" t="s">
        <v>13118</v>
      </c>
      <c r="C6370" t="s">
        <v>68</v>
      </c>
      <c r="D6370" t="s">
        <v>60</v>
      </c>
      <c r="E6370">
        <v>1078</v>
      </c>
      <c r="F6370">
        <v>3</v>
      </c>
      <c r="G6370">
        <v>3</v>
      </c>
      <c r="H6370">
        <v>1</v>
      </c>
      <c r="I6370">
        <v>0</v>
      </c>
      <c r="J6370">
        <v>0.82523398128149705</v>
      </c>
      <c r="K6370">
        <v>0.98780512820513</v>
      </c>
      <c r="L6370">
        <v>0.89923085984595197</v>
      </c>
      <c r="M6370">
        <v>0.66879999999999995</v>
      </c>
      <c r="N6370">
        <v>0.99360000000000004</v>
      </c>
      <c r="O6370">
        <v>0.77759999999999996</v>
      </c>
      <c r="P6370" t="s">
        <v>13119</v>
      </c>
      <c r="Q6370" t="s">
        <v>13120</v>
      </c>
      <c r="R6370" t="s">
        <v>1191</v>
      </c>
      <c r="S6370" t="s">
        <v>1192</v>
      </c>
      <c r="T6370" t="s">
        <v>13121</v>
      </c>
      <c r="U6370" t="s">
        <v>13122</v>
      </c>
      <c r="V6370" t="s">
        <v>13123</v>
      </c>
      <c r="W6370" t="s">
        <v>13124</v>
      </c>
      <c r="AD6370" t="s">
        <v>410</v>
      </c>
      <c r="AE6370" t="s">
        <v>1407</v>
      </c>
      <c r="AF6370" t="s">
        <v>13126</v>
      </c>
    </row>
    <row r="6371" spans="1:32" hidden="1" x14ac:dyDescent="0.35">
      <c r="A6371">
        <v>6370</v>
      </c>
      <c r="B6371" t="s">
        <v>13118</v>
      </c>
      <c r="C6371" t="s">
        <v>68</v>
      </c>
      <c r="D6371" t="s">
        <v>62</v>
      </c>
      <c r="E6371">
        <v>1114</v>
      </c>
      <c r="F6371">
        <v>3</v>
      </c>
      <c r="G6371">
        <v>3</v>
      </c>
      <c r="H6371">
        <v>1</v>
      </c>
      <c r="I6371">
        <v>0</v>
      </c>
      <c r="J6371">
        <v>0.82523398128149705</v>
      </c>
      <c r="K6371">
        <v>0.98780512820513</v>
      </c>
      <c r="L6371">
        <v>0.89923085984595197</v>
      </c>
      <c r="M6371">
        <v>0.66879999999999995</v>
      </c>
      <c r="N6371">
        <v>0.99360000000000004</v>
      </c>
      <c r="O6371">
        <v>0.77759999999999996</v>
      </c>
      <c r="P6371" t="s">
        <v>13119</v>
      </c>
      <c r="Q6371" t="s">
        <v>13120</v>
      </c>
      <c r="R6371" t="s">
        <v>1191</v>
      </c>
      <c r="S6371" t="s">
        <v>1192</v>
      </c>
      <c r="T6371" t="s">
        <v>13121</v>
      </c>
      <c r="U6371" t="s">
        <v>13122</v>
      </c>
      <c r="V6371" t="s">
        <v>13123</v>
      </c>
      <c r="W6371" t="s">
        <v>13124</v>
      </c>
      <c r="AD6371" t="s">
        <v>410</v>
      </c>
      <c r="AE6371" t="s">
        <v>1407</v>
      </c>
      <c r="AF6371" t="s">
        <v>13127</v>
      </c>
    </row>
    <row r="6372" spans="1:32" hidden="1" x14ac:dyDescent="0.35">
      <c r="A6372">
        <v>2089</v>
      </c>
      <c r="B6372" t="s">
        <v>4346</v>
      </c>
      <c r="C6372" t="s">
        <v>72</v>
      </c>
      <c r="D6372" t="s">
        <v>58</v>
      </c>
      <c r="E6372">
        <v>1047</v>
      </c>
      <c r="F6372">
        <v>5</v>
      </c>
      <c r="G6372">
        <v>5</v>
      </c>
      <c r="H6372">
        <v>1</v>
      </c>
      <c r="I6372">
        <v>1</v>
      </c>
      <c r="J6372">
        <v>0.75379217273954102</v>
      </c>
      <c r="K6372">
        <v>0.93652684179159096</v>
      </c>
      <c r="L6372">
        <v>0.83528209389373997</v>
      </c>
      <c r="M6372">
        <v>0.54614220877458397</v>
      </c>
      <c r="N6372">
        <v>1</v>
      </c>
      <c r="O6372">
        <v>0.67004538577912298</v>
      </c>
      <c r="P6372" t="s">
        <v>4347</v>
      </c>
      <c r="Q6372" t="s">
        <v>4348</v>
      </c>
      <c r="R6372" t="s">
        <v>540</v>
      </c>
      <c r="S6372" t="s">
        <v>541</v>
      </c>
      <c r="T6372" t="s">
        <v>4349</v>
      </c>
      <c r="U6372" t="s">
        <v>4350</v>
      </c>
      <c r="V6372" t="s">
        <v>4351</v>
      </c>
      <c r="W6372" t="s">
        <v>4352</v>
      </c>
      <c r="AD6372" t="s">
        <v>1321</v>
      </c>
      <c r="AE6372" t="s">
        <v>4353</v>
      </c>
      <c r="AF6372" t="s">
        <v>4354</v>
      </c>
    </row>
    <row r="6373" spans="1:32" hidden="1" x14ac:dyDescent="0.35">
      <c r="A6373">
        <v>6372</v>
      </c>
      <c r="B6373" t="s">
        <v>13128</v>
      </c>
      <c r="C6373" t="s">
        <v>68</v>
      </c>
      <c r="D6373" t="s">
        <v>60</v>
      </c>
      <c r="E6373">
        <v>726</v>
      </c>
      <c r="F6373">
        <v>3</v>
      </c>
      <c r="G6373">
        <v>3</v>
      </c>
      <c r="H6373">
        <v>1</v>
      </c>
      <c r="I6373">
        <v>0</v>
      </c>
      <c r="J6373">
        <v>0.79041487839771096</v>
      </c>
      <c r="K6373">
        <v>0.94763475040353495</v>
      </c>
      <c r="L6373">
        <v>0.86191394491107398</v>
      </c>
      <c r="M6373">
        <v>0.54811205846528599</v>
      </c>
      <c r="N6373">
        <v>0.980511571254568</v>
      </c>
      <c r="O6373">
        <v>0.69346325619163596</v>
      </c>
      <c r="P6373" t="s">
        <v>11715</v>
      </c>
      <c r="Q6373" t="s">
        <v>11716</v>
      </c>
      <c r="R6373" t="s">
        <v>342</v>
      </c>
      <c r="S6373" t="s">
        <v>343</v>
      </c>
      <c r="T6373" t="s">
        <v>13129</v>
      </c>
      <c r="U6373" t="s">
        <v>13130</v>
      </c>
      <c r="V6373" t="s">
        <v>11453</v>
      </c>
      <c r="W6373" t="s">
        <v>11454</v>
      </c>
      <c r="AD6373" t="s">
        <v>410</v>
      </c>
      <c r="AE6373" t="s">
        <v>563</v>
      </c>
      <c r="AF6373" t="s">
        <v>13132</v>
      </c>
    </row>
    <row r="6374" spans="1:32" hidden="1" x14ac:dyDescent="0.35">
      <c r="A6374">
        <v>6373</v>
      </c>
      <c r="B6374" t="s">
        <v>13128</v>
      </c>
      <c r="C6374" t="s">
        <v>68</v>
      </c>
      <c r="D6374" t="s">
        <v>62</v>
      </c>
      <c r="E6374">
        <v>757</v>
      </c>
      <c r="F6374">
        <v>3</v>
      </c>
      <c r="G6374">
        <v>3</v>
      </c>
      <c r="H6374">
        <v>1</v>
      </c>
      <c r="I6374">
        <v>0</v>
      </c>
      <c r="J6374">
        <v>0.79041487839771096</v>
      </c>
      <c r="K6374">
        <v>0.94763475040353495</v>
      </c>
      <c r="L6374">
        <v>0.86191394491107398</v>
      </c>
      <c r="M6374">
        <v>0.54811205846528599</v>
      </c>
      <c r="N6374">
        <v>0.980511571254568</v>
      </c>
      <c r="O6374">
        <v>0.69346325619163596</v>
      </c>
      <c r="P6374" t="s">
        <v>11715</v>
      </c>
      <c r="Q6374" t="s">
        <v>11716</v>
      </c>
      <c r="R6374" t="s">
        <v>342</v>
      </c>
      <c r="S6374" t="s">
        <v>343</v>
      </c>
      <c r="T6374" t="s">
        <v>13129</v>
      </c>
      <c r="U6374" t="s">
        <v>13130</v>
      </c>
      <c r="V6374" t="s">
        <v>11453</v>
      </c>
      <c r="W6374" t="s">
        <v>11454</v>
      </c>
      <c r="AD6374" t="s">
        <v>410</v>
      </c>
      <c r="AE6374" t="s">
        <v>563</v>
      </c>
      <c r="AF6374" t="s">
        <v>13132</v>
      </c>
    </row>
    <row r="6375" spans="1:32" hidden="1" x14ac:dyDescent="0.35">
      <c r="A6375">
        <v>6374</v>
      </c>
      <c r="B6375" t="s">
        <v>13133</v>
      </c>
      <c r="C6375" t="s">
        <v>68</v>
      </c>
      <c r="D6375" t="s">
        <v>34</v>
      </c>
      <c r="E6375">
        <v>408</v>
      </c>
      <c r="F6375">
        <v>2</v>
      </c>
      <c r="G6375">
        <v>3</v>
      </c>
      <c r="H6375">
        <v>2</v>
      </c>
      <c r="I6375">
        <v>0</v>
      </c>
      <c r="J6375">
        <v>0.859213250517598</v>
      </c>
      <c r="K6375">
        <v>0.60050805509438798</v>
      </c>
      <c r="L6375">
        <v>0.70693559927637395</v>
      </c>
      <c r="M6375">
        <v>0.14148681055155901</v>
      </c>
      <c r="N6375">
        <v>0.73621103117506004</v>
      </c>
      <c r="O6375">
        <v>0.36370903277378103</v>
      </c>
      <c r="P6375" t="s">
        <v>5977</v>
      </c>
      <c r="Q6375" t="s">
        <v>5978</v>
      </c>
      <c r="R6375" t="s">
        <v>342</v>
      </c>
      <c r="S6375" t="s">
        <v>343</v>
      </c>
      <c r="V6375" t="s">
        <v>13134</v>
      </c>
      <c r="W6375" t="s">
        <v>13135</v>
      </c>
      <c r="AF6375" t="s">
        <v>13136</v>
      </c>
    </row>
    <row r="6376" spans="1:32" hidden="1" x14ac:dyDescent="0.35">
      <c r="A6376">
        <v>6375</v>
      </c>
      <c r="B6376" t="s">
        <v>13133</v>
      </c>
      <c r="C6376" t="s">
        <v>68</v>
      </c>
      <c r="D6376" t="s">
        <v>45</v>
      </c>
      <c r="E6376">
        <v>1670</v>
      </c>
      <c r="F6376">
        <v>2</v>
      </c>
      <c r="G6376">
        <v>3</v>
      </c>
      <c r="H6376">
        <v>2</v>
      </c>
      <c r="I6376">
        <v>0</v>
      </c>
      <c r="J6376">
        <v>0.859213250517598</v>
      </c>
      <c r="K6376">
        <v>0.60050805509438798</v>
      </c>
      <c r="L6376">
        <v>0.70693559927637395</v>
      </c>
      <c r="M6376">
        <v>0.14148681055155901</v>
      </c>
      <c r="N6376">
        <v>0.73621103117506004</v>
      </c>
      <c r="O6376">
        <v>0.36370903277378103</v>
      </c>
      <c r="R6376" t="s">
        <v>342</v>
      </c>
      <c r="S6376" t="s">
        <v>343</v>
      </c>
      <c r="V6376" t="s">
        <v>13134</v>
      </c>
      <c r="W6376" t="s">
        <v>13135</v>
      </c>
      <c r="AF6376" t="e">
        <f>----------------------------------------------MPLIYVVRGLPVLIRE----------------------LFFTTGSQLTN--VREK---------------------------------------------------------------------------------------------------------------------------------------IQLSLYAATALPIIAAVTEV-----------------------AVESQL--------------------------------------------------------------------------------------------LSEENASLLVAAGSVTVLIFPFIANMIQPAETPATSLRTS</f>
        <v>#NAME?</v>
      </c>
    </row>
    <row r="6377" spans="1:32" hidden="1" x14ac:dyDescent="0.35">
      <c r="A6377">
        <v>6376</v>
      </c>
      <c r="B6377" t="s">
        <v>13133</v>
      </c>
      <c r="C6377" t="s">
        <v>68</v>
      </c>
      <c r="D6377" t="s">
        <v>45</v>
      </c>
      <c r="E6377">
        <v>1669</v>
      </c>
      <c r="F6377">
        <v>2</v>
      </c>
      <c r="G6377">
        <v>3</v>
      </c>
      <c r="H6377">
        <v>2</v>
      </c>
      <c r="I6377">
        <v>0</v>
      </c>
      <c r="J6377">
        <v>0.859213250517598</v>
      </c>
      <c r="K6377">
        <v>0.60050805509438798</v>
      </c>
      <c r="L6377">
        <v>0.70693559927637395</v>
      </c>
      <c r="M6377">
        <v>0.14148681055155901</v>
      </c>
      <c r="N6377">
        <v>0.73621103117506004</v>
      </c>
      <c r="O6377">
        <v>0.36370903277378103</v>
      </c>
      <c r="P6377" t="s">
        <v>5977</v>
      </c>
      <c r="Q6377" t="s">
        <v>5978</v>
      </c>
      <c r="R6377" t="s">
        <v>342</v>
      </c>
      <c r="S6377" t="s">
        <v>343</v>
      </c>
      <c r="V6377" t="s">
        <v>13134</v>
      </c>
      <c r="W6377" t="s">
        <v>13135</v>
      </c>
      <c r="AF6377" t="s">
        <v>13137</v>
      </c>
    </row>
    <row r="6378" spans="1:32" hidden="1" x14ac:dyDescent="0.35">
      <c r="A6378">
        <v>2614</v>
      </c>
      <c r="B6378" t="s">
        <v>5409</v>
      </c>
      <c r="C6378" t="s">
        <v>72</v>
      </c>
      <c r="D6378" t="s">
        <v>58</v>
      </c>
      <c r="E6378">
        <v>210</v>
      </c>
      <c r="F6378">
        <v>5</v>
      </c>
      <c r="G6378">
        <v>5</v>
      </c>
      <c r="H6378">
        <v>1</v>
      </c>
      <c r="I6378">
        <v>1</v>
      </c>
      <c r="J6378">
        <v>0.74366197183098603</v>
      </c>
      <c r="K6378">
        <v>0.93647725508461499</v>
      </c>
      <c r="L6378">
        <v>0.82900572873307199</v>
      </c>
      <c r="M6378">
        <v>0.52631578947368396</v>
      </c>
      <c r="N6378">
        <v>1</v>
      </c>
      <c r="O6378">
        <v>0.66403508771929798</v>
      </c>
      <c r="P6378" t="s">
        <v>5410</v>
      </c>
      <c r="Q6378" t="s">
        <v>5411</v>
      </c>
      <c r="R6378" t="s">
        <v>540</v>
      </c>
      <c r="S6378" t="s">
        <v>541</v>
      </c>
      <c r="T6378" t="s">
        <v>5412</v>
      </c>
      <c r="U6378" t="s">
        <v>5413</v>
      </c>
      <c r="V6378" t="s">
        <v>5414</v>
      </c>
      <c r="W6378" t="s">
        <v>5415</v>
      </c>
      <c r="AD6378" t="s">
        <v>1079</v>
      </c>
      <c r="AE6378" t="s">
        <v>1080</v>
      </c>
      <c r="AF6378" t="s">
        <v>5416</v>
      </c>
    </row>
    <row r="6379" spans="1:32" hidden="1" x14ac:dyDescent="0.35">
      <c r="A6379">
        <v>6378</v>
      </c>
      <c r="B6379" t="s">
        <v>13138</v>
      </c>
      <c r="C6379" t="s">
        <v>68</v>
      </c>
      <c r="D6379" t="s">
        <v>34</v>
      </c>
      <c r="E6379">
        <v>887</v>
      </c>
      <c r="F6379">
        <v>3</v>
      </c>
      <c r="G6379">
        <v>3</v>
      </c>
      <c r="H6379">
        <v>1</v>
      </c>
      <c r="I6379">
        <v>0</v>
      </c>
      <c r="J6379">
        <v>0.86652314316469303</v>
      </c>
      <c r="K6379">
        <v>0.98325750682438595</v>
      </c>
      <c r="L6379">
        <v>0.92120693916738405</v>
      </c>
      <c r="M6379">
        <v>0.73333333333333295</v>
      </c>
      <c r="N6379">
        <v>0.97777777777777797</v>
      </c>
      <c r="O6379">
        <v>0.81798941798941804</v>
      </c>
      <c r="P6379" t="s">
        <v>416</v>
      </c>
      <c r="Q6379" t="s">
        <v>417</v>
      </c>
      <c r="R6379" t="s">
        <v>157</v>
      </c>
      <c r="S6379" t="s">
        <v>158</v>
      </c>
      <c r="V6379" t="s">
        <v>10388</v>
      </c>
      <c r="W6379" t="s">
        <v>10389</v>
      </c>
      <c r="AF6379" t="s">
        <v>13140</v>
      </c>
    </row>
    <row r="6380" spans="1:32" hidden="1" x14ac:dyDescent="0.35">
      <c r="A6380">
        <v>6379</v>
      </c>
      <c r="B6380" t="s">
        <v>13138</v>
      </c>
      <c r="C6380" t="s">
        <v>68</v>
      </c>
      <c r="D6380" t="s">
        <v>45</v>
      </c>
      <c r="E6380">
        <v>2144</v>
      </c>
      <c r="F6380">
        <v>3</v>
      </c>
      <c r="G6380">
        <v>3</v>
      </c>
      <c r="H6380">
        <v>1</v>
      </c>
      <c r="I6380">
        <v>0</v>
      </c>
      <c r="J6380">
        <v>0.86652314316469303</v>
      </c>
      <c r="K6380">
        <v>0.98325750682438595</v>
      </c>
      <c r="L6380">
        <v>0.92120693916738405</v>
      </c>
      <c r="M6380">
        <v>0.73333333333333295</v>
      </c>
      <c r="N6380">
        <v>0.97777777777777797</v>
      </c>
      <c r="O6380">
        <v>0.81798941798941804</v>
      </c>
      <c r="P6380" t="s">
        <v>416</v>
      </c>
      <c r="Q6380" t="s">
        <v>417</v>
      </c>
      <c r="R6380" t="s">
        <v>157</v>
      </c>
      <c r="S6380" t="s">
        <v>158</v>
      </c>
      <c r="V6380" t="s">
        <v>10388</v>
      </c>
      <c r="W6380" t="s">
        <v>10389</v>
      </c>
      <c r="AF6380" t="s">
        <v>13141</v>
      </c>
    </row>
    <row r="6381" spans="1:32" hidden="1" x14ac:dyDescent="0.35">
      <c r="A6381">
        <v>6380</v>
      </c>
      <c r="B6381" t="s">
        <v>13142</v>
      </c>
      <c r="C6381" t="s">
        <v>68</v>
      </c>
      <c r="D6381" t="s">
        <v>58</v>
      </c>
      <c r="E6381">
        <v>1400</v>
      </c>
      <c r="F6381">
        <v>3</v>
      </c>
      <c r="G6381">
        <v>3</v>
      </c>
      <c r="H6381">
        <v>1</v>
      </c>
      <c r="I6381">
        <v>0</v>
      </c>
      <c r="J6381">
        <v>0.78248175182481705</v>
      </c>
      <c r="K6381">
        <v>0.96436148656702003</v>
      </c>
      <c r="L6381">
        <v>0.86395304262795303</v>
      </c>
      <c r="M6381">
        <v>0.54852320675105504</v>
      </c>
      <c r="N6381">
        <v>0.99578059071729996</v>
      </c>
      <c r="O6381">
        <v>0.69760900140646998</v>
      </c>
      <c r="AF6381" t="s">
        <v>13143</v>
      </c>
    </row>
    <row r="6382" spans="1:32" hidden="1" x14ac:dyDescent="0.35">
      <c r="A6382">
        <v>6381</v>
      </c>
      <c r="B6382" t="s">
        <v>13142</v>
      </c>
      <c r="C6382" t="s">
        <v>68</v>
      </c>
      <c r="D6382" t="s">
        <v>60</v>
      </c>
      <c r="E6382">
        <v>1905</v>
      </c>
      <c r="F6382">
        <v>3</v>
      </c>
      <c r="G6382">
        <v>3</v>
      </c>
      <c r="H6382">
        <v>1</v>
      </c>
      <c r="I6382">
        <v>0</v>
      </c>
      <c r="J6382">
        <v>0.78248175182481705</v>
      </c>
      <c r="K6382">
        <v>0.96436148656702003</v>
      </c>
      <c r="L6382">
        <v>0.86395304262795303</v>
      </c>
      <c r="M6382">
        <v>0.54852320675105504</v>
      </c>
      <c r="N6382">
        <v>0.99578059071729996</v>
      </c>
      <c r="O6382">
        <v>0.69760900140646998</v>
      </c>
      <c r="AF6382" t="s">
        <v>13144</v>
      </c>
    </row>
    <row r="6383" spans="1:32" hidden="1" x14ac:dyDescent="0.35">
      <c r="A6383">
        <v>6382</v>
      </c>
      <c r="B6383" t="s">
        <v>13142</v>
      </c>
      <c r="C6383" t="s">
        <v>68</v>
      </c>
      <c r="D6383" t="s">
        <v>62</v>
      </c>
      <c r="E6383">
        <v>1945</v>
      </c>
      <c r="F6383">
        <v>3</v>
      </c>
      <c r="G6383">
        <v>3</v>
      </c>
      <c r="H6383">
        <v>1</v>
      </c>
      <c r="I6383">
        <v>0</v>
      </c>
      <c r="J6383">
        <v>0.78248175182481705</v>
      </c>
      <c r="K6383">
        <v>0.96436148656702003</v>
      </c>
      <c r="L6383">
        <v>0.86395304262795303</v>
      </c>
      <c r="M6383">
        <v>0.54852320675105504</v>
      </c>
      <c r="N6383">
        <v>0.99578059071729996</v>
      </c>
      <c r="O6383">
        <v>0.69760900140646998</v>
      </c>
      <c r="AF6383" t="s">
        <v>13145</v>
      </c>
    </row>
    <row r="6384" spans="1:32" hidden="1" x14ac:dyDescent="0.35">
      <c r="A6384">
        <v>6383</v>
      </c>
      <c r="B6384" t="s">
        <v>13146</v>
      </c>
      <c r="C6384" t="s">
        <v>68</v>
      </c>
      <c r="D6384" t="s">
        <v>34</v>
      </c>
      <c r="E6384">
        <v>785</v>
      </c>
      <c r="F6384">
        <v>2</v>
      </c>
      <c r="G6384">
        <v>3</v>
      </c>
      <c r="H6384">
        <v>2</v>
      </c>
      <c r="I6384">
        <v>0</v>
      </c>
      <c r="J6384">
        <v>0.82301845819761099</v>
      </c>
      <c r="K6384">
        <v>0.81172411134243105</v>
      </c>
      <c r="L6384">
        <v>0.81733226875818499</v>
      </c>
      <c r="M6384">
        <v>0.43181818181818199</v>
      </c>
      <c r="N6384">
        <v>0.69696969696969702</v>
      </c>
      <c r="O6384">
        <v>0.59343434343434298</v>
      </c>
      <c r="AF6384" t="s">
        <v>13147</v>
      </c>
    </row>
    <row r="6385" spans="1:32" hidden="1" x14ac:dyDescent="0.35">
      <c r="A6385">
        <v>6384</v>
      </c>
      <c r="B6385" t="s">
        <v>13146</v>
      </c>
      <c r="C6385" t="s">
        <v>68</v>
      </c>
      <c r="D6385" t="s">
        <v>34</v>
      </c>
      <c r="E6385">
        <v>2410</v>
      </c>
      <c r="F6385">
        <v>2</v>
      </c>
      <c r="G6385">
        <v>3</v>
      </c>
      <c r="H6385">
        <v>2</v>
      </c>
      <c r="I6385">
        <v>0</v>
      </c>
      <c r="J6385">
        <v>0.82301845819761099</v>
      </c>
      <c r="K6385">
        <v>0.81172411134243105</v>
      </c>
      <c r="L6385">
        <v>0.81733226875818499</v>
      </c>
      <c r="M6385">
        <v>0.43181818181818199</v>
      </c>
      <c r="N6385">
        <v>0.69696969696969702</v>
      </c>
      <c r="O6385">
        <v>0.59343434343434298</v>
      </c>
      <c r="AF6385" t="s">
        <v>13148</v>
      </c>
    </row>
    <row r="6386" spans="1:32" hidden="1" x14ac:dyDescent="0.35">
      <c r="A6386">
        <v>6385</v>
      </c>
      <c r="B6386" t="s">
        <v>13146</v>
      </c>
      <c r="C6386" t="s">
        <v>68</v>
      </c>
      <c r="D6386" t="s">
        <v>45</v>
      </c>
      <c r="E6386">
        <v>487</v>
      </c>
      <c r="F6386">
        <v>2</v>
      </c>
      <c r="G6386">
        <v>3</v>
      </c>
      <c r="H6386">
        <v>2</v>
      </c>
      <c r="I6386">
        <v>0</v>
      </c>
      <c r="J6386">
        <v>0.82301845819761099</v>
      </c>
      <c r="K6386">
        <v>0.81172411134243105</v>
      </c>
      <c r="L6386">
        <v>0.81733226875818499</v>
      </c>
      <c r="M6386">
        <v>0.43181818181818199</v>
      </c>
      <c r="N6386">
        <v>0.69696969696969702</v>
      </c>
      <c r="O6386">
        <v>0.59343434343434298</v>
      </c>
      <c r="AF6386" t="s">
        <v>13149</v>
      </c>
    </row>
    <row r="6387" spans="1:32" hidden="1" x14ac:dyDescent="0.35">
      <c r="A6387">
        <v>6386</v>
      </c>
      <c r="B6387" t="s">
        <v>13150</v>
      </c>
      <c r="C6387" t="s">
        <v>68</v>
      </c>
      <c r="D6387" t="s">
        <v>58</v>
      </c>
      <c r="E6387">
        <v>1102</v>
      </c>
      <c r="F6387">
        <v>3</v>
      </c>
      <c r="G6387">
        <v>3</v>
      </c>
      <c r="H6387">
        <v>1</v>
      </c>
      <c r="I6387">
        <v>0</v>
      </c>
      <c r="J6387">
        <v>0.78922558922558905</v>
      </c>
      <c r="K6387">
        <v>0.98807204867373599</v>
      </c>
      <c r="L6387">
        <v>0.87752521376617798</v>
      </c>
      <c r="M6387">
        <v>0.56886227544910195</v>
      </c>
      <c r="N6387">
        <v>0.99401197604790403</v>
      </c>
      <c r="O6387">
        <v>0.71057884231536905</v>
      </c>
      <c r="P6387" t="s">
        <v>13151</v>
      </c>
      <c r="Q6387" t="s">
        <v>13152</v>
      </c>
      <c r="R6387" t="s">
        <v>96</v>
      </c>
      <c r="S6387" t="s">
        <v>97</v>
      </c>
      <c r="T6387" t="s">
        <v>13153</v>
      </c>
      <c r="U6387" t="s">
        <v>12219</v>
      </c>
      <c r="V6387" t="s">
        <v>13154</v>
      </c>
      <c r="W6387" t="s">
        <v>13155</v>
      </c>
      <c r="AD6387" t="s">
        <v>219</v>
      </c>
      <c r="AE6387" t="s">
        <v>12222</v>
      </c>
      <c r="AF6387" t="s">
        <v>13156</v>
      </c>
    </row>
    <row r="6388" spans="1:32" hidden="1" x14ac:dyDescent="0.35">
      <c r="A6388">
        <v>6387</v>
      </c>
      <c r="B6388" t="s">
        <v>13150</v>
      </c>
      <c r="C6388" t="s">
        <v>68</v>
      </c>
      <c r="D6388" t="s">
        <v>34</v>
      </c>
      <c r="E6388">
        <v>1837</v>
      </c>
      <c r="F6388">
        <v>3</v>
      </c>
      <c r="G6388">
        <v>3</v>
      </c>
      <c r="H6388">
        <v>1</v>
      </c>
      <c r="I6388">
        <v>0</v>
      </c>
      <c r="J6388">
        <v>0.78922558922558905</v>
      </c>
      <c r="K6388">
        <v>0.98807204867373599</v>
      </c>
      <c r="L6388">
        <v>0.87752521376617798</v>
      </c>
      <c r="M6388">
        <v>0.56886227544910195</v>
      </c>
      <c r="N6388">
        <v>0.99401197604790403</v>
      </c>
      <c r="O6388">
        <v>0.71057884231536905</v>
      </c>
      <c r="P6388" t="s">
        <v>13151</v>
      </c>
      <c r="Q6388" t="s">
        <v>13152</v>
      </c>
      <c r="R6388" t="s">
        <v>96</v>
      </c>
      <c r="S6388" t="s">
        <v>97</v>
      </c>
      <c r="T6388" t="s">
        <v>13153</v>
      </c>
      <c r="U6388" t="s">
        <v>12219</v>
      </c>
      <c r="V6388" t="s">
        <v>13154</v>
      </c>
      <c r="W6388" t="s">
        <v>13155</v>
      </c>
      <c r="AD6388" t="s">
        <v>219</v>
      </c>
      <c r="AE6388" t="s">
        <v>12222</v>
      </c>
      <c r="AF6388" t="s">
        <v>13157</v>
      </c>
    </row>
    <row r="6389" spans="1:32" hidden="1" x14ac:dyDescent="0.35">
      <c r="A6389">
        <v>6388</v>
      </c>
      <c r="B6389" t="s">
        <v>13150</v>
      </c>
      <c r="C6389" t="s">
        <v>68</v>
      </c>
      <c r="D6389" t="s">
        <v>45</v>
      </c>
      <c r="E6389">
        <v>1036</v>
      </c>
      <c r="F6389">
        <v>3</v>
      </c>
      <c r="G6389">
        <v>3</v>
      </c>
      <c r="H6389">
        <v>1</v>
      </c>
      <c r="I6389">
        <v>0</v>
      </c>
      <c r="J6389">
        <v>0.78922558922558905</v>
      </c>
      <c r="K6389">
        <v>0.98807204867373599</v>
      </c>
      <c r="L6389">
        <v>0.87752521376617798</v>
      </c>
      <c r="M6389">
        <v>0.56886227544910195</v>
      </c>
      <c r="N6389">
        <v>0.99401197604790403</v>
      </c>
      <c r="O6389">
        <v>0.71057884231536905</v>
      </c>
      <c r="P6389" t="s">
        <v>13151</v>
      </c>
      <c r="Q6389" t="s">
        <v>13152</v>
      </c>
      <c r="R6389" t="s">
        <v>96</v>
      </c>
      <c r="S6389" t="s">
        <v>97</v>
      </c>
      <c r="T6389" t="s">
        <v>13153</v>
      </c>
      <c r="U6389" t="s">
        <v>12219</v>
      </c>
      <c r="V6389" t="s">
        <v>13154</v>
      </c>
      <c r="W6389" t="s">
        <v>13155</v>
      </c>
      <c r="AD6389" t="s">
        <v>219</v>
      </c>
      <c r="AE6389" t="s">
        <v>12222</v>
      </c>
      <c r="AF6389" t="s">
        <v>13158</v>
      </c>
    </row>
    <row r="6390" spans="1:32" hidden="1" x14ac:dyDescent="0.35">
      <c r="A6390">
        <v>6389</v>
      </c>
      <c r="B6390" t="s">
        <v>13159</v>
      </c>
      <c r="C6390" t="s">
        <v>68</v>
      </c>
      <c r="D6390" t="s">
        <v>58</v>
      </c>
      <c r="E6390">
        <v>387</v>
      </c>
      <c r="F6390">
        <v>3</v>
      </c>
      <c r="G6390">
        <v>3</v>
      </c>
      <c r="H6390">
        <v>1</v>
      </c>
      <c r="I6390">
        <v>0</v>
      </c>
      <c r="J6390">
        <v>0.81723577235772404</v>
      </c>
      <c r="K6390">
        <v>0.96074009600675403</v>
      </c>
      <c r="L6390">
        <v>0.883196660163174</v>
      </c>
      <c r="M6390">
        <v>0.61797752808988804</v>
      </c>
      <c r="N6390">
        <v>0.98595505617977497</v>
      </c>
      <c r="O6390">
        <v>0.74157303370786498</v>
      </c>
      <c r="P6390" t="s">
        <v>13160</v>
      </c>
      <c r="Q6390" t="s">
        <v>13161</v>
      </c>
      <c r="R6390" t="s">
        <v>96</v>
      </c>
      <c r="S6390" t="s">
        <v>97</v>
      </c>
      <c r="V6390" t="s">
        <v>13162</v>
      </c>
      <c r="W6390" t="s">
        <v>13163</v>
      </c>
      <c r="AF6390" t="s">
        <v>13164</v>
      </c>
    </row>
    <row r="6391" spans="1:32" hidden="1" x14ac:dyDescent="0.35">
      <c r="A6391">
        <v>6390</v>
      </c>
      <c r="B6391" t="s">
        <v>13159</v>
      </c>
      <c r="C6391" t="s">
        <v>68</v>
      </c>
      <c r="D6391" t="s">
        <v>34</v>
      </c>
      <c r="E6391">
        <v>466</v>
      </c>
      <c r="F6391">
        <v>3</v>
      </c>
      <c r="G6391">
        <v>3</v>
      </c>
      <c r="H6391">
        <v>1</v>
      </c>
      <c r="I6391">
        <v>0</v>
      </c>
      <c r="J6391">
        <v>0.81723577235772404</v>
      </c>
      <c r="K6391">
        <v>0.96074009600675403</v>
      </c>
      <c r="L6391">
        <v>0.883196660163174</v>
      </c>
      <c r="M6391">
        <v>0.61797752808988804</v>
      </c>
      <c r="N6391">
        <v>0.98595505617977497</v>
      </c>
      <c r="O6391">
        <v>0.74157303370786498</v>
      </c>
      <c r="P6391" t="s">
        <v>13160</v>
      </c>
      <c r="Q6391" t="s">
        <v>13161</v>
      </c>
      <c r="R6391" t="s">
        <v>96</v>
      </c>
      <c r="S6391" t="s">
        <v>97</v>
      </c>
      <c r="V6391" t="s">
        <v>13162</v>
      </c>
      <c r="W6391" t="s">
        <v>13163</v>
      </c>
      <c r="AF6391" t="s">
        <v>13165</v>
      </c>
    </row>
    <row r="6392" spans="1:32" hidden="1" x14ac:dyDescent="0.35">
      <c r="A6392">
        <v>6391</v>
      </c>
      <c r="B6392" t="s">
        <v>13159</v>
      </c>
      <c r="C6392" t="s">
        <v>68</v>
      </c>
      <c r="D6392" t="s">
        <v>45</v>
      </c>
      <c r="E6392">
        <v>1730</v>
      </c>
      <c r="F6392">
        <v>3</v>
      </c>
      <c r="G6392">
        <v>3</v>
      </c>
      <c r="H6392">
        <v>1</v>
      </c>
      <c r="I6392">
        <v>0</v>
      </c>
      <c r="J6392">
        <v>0.81723577235772404</v>
      </c>
      <c r="K6392">
        <v>0.96074009600675403</v>
      </c>
      <c r="L6392">
        <v>0.883196660163174</v>
      </c>
      <c r="M6392">
        <v>0.61797752808988804</v>
      </c>
      <c r="N6392">
        <v>0.98595505617977497</v>
      </c>
      <c r="O6392">
        <v>0.74157303370786498</v>
      </c>
      <c r="P6392" t="s">
        <v>13160</v>
      </c>
      <c r="Q6392" t="s">
        <v>13161</v>
      </c>
      <c r="R6392" t="s">
        <v>96</v>
      </c>
      <c r="S6392" t="s">
        <v>97</v>
      </c>
      <c r="V6392" t="s">
        <v>13162</v>
      </c>
      <c r="W6392" t="s">
        <v>13163</v>
      </c>
      <c r="AF6392" t="s">
        <v>13166</v>
      </c>
    </row>
    <row r="6393" spans="1:32" hidden="1" x14ac:dyDescent="0.35">
      <c r="A6393">
        <v>6392</v>
      </c>
      <c r="B6393" t="s">
        <v>13167</v>
      </c>
      <c r="C6393" t="s">
        <v>68</v>
      </c>
      <c r="D6393" t="s">
        <v>58</v>
      </c>
      <c r="E6393">
        <v>1415</v>
      </c>
      <c r="F6393">
        <v>3</v>
      </c>
      <c r="G6393">
        <v>3</v>
      </c>
      <c r="H6393">
        <v>1</v>
      </c>
      <c r="I6393">
        <v>0</v>
      </c>
      <c r="J6393">
        <v>0.77800877800877799</v>
      </c>
      <c r="K6393">
        <v>0.91269512905565597</v>
      </c>
      <c r="L6393">
        <v>0.83998720187980602</v>
      </c>
      <c r="M6393">
        <v>0.49622641509434001</v>
      </c>
      <c r="N6393">
        <v>0.99245283018867902</v>
      </c>
      <c r="O6393">
        <v>0.66226415094339597</v>
      </c>
      <c r="P6393" t="s">
        <v>169</v>
      </c>
      <c r="Q6393" t="s">
        <v>170</v>
      </c>
      <c r="R6393" t="s">
        <v>96</v>
      </c>
      <c r="S6393" t="s">
        <v>97</v>
      </c>
      <c r="T6393" t="s">
        <v>12817</v>
      </c>
      <c r="U6393" t="s">
        <v>12818</v>
      </c>
      <c r="V6393" t="s">
        <v>11799</v>
      </c>
      <c r="W6393" t="s">
        <v>11800</v>
      </c>
      <c r="AD6393" t="s">
        <v>439</v>
      </c>
      <c r="AE6393" t="s">
        <v>471</v>
      </c>
      <c r="AF6393" t="s">
        <v>13168</v>
      </c>
    </row>
    <row r="6394" spans="1:32" hidden="1" x14ac:dyDescent="0.35">
      <c r="A6394">
        <v>6393</v>
      </c>
      <c r="B6394" t="s">
        <v>13167</v>
      </c>
      <c r="C6394" t="s">
        <v>68</v>
      </c>
      <c r="D6394" t="s">
        <v>34</v>
      </c>
      <c r="E6394">
        <v>2288</v>
      </c>
      <c r="F6394">
        <v>3</v>
      </c>
      <c r="G6394">
        <v>3</v>
      </c>
      <c r="H6394">
        <v>1</v>
      </c>
      <c r="I6394">
        <v>0</v>
      </c>
      <c r="J6394">
        <v>0.77800877800877799</v>
      </c>
      <c r="K6394">
        <v>0.91269512905565597</v>
      </c>
      <c r="L6394">
        <v>0.83998720187980602</v>
      </c>
      <c r="M6394">
        <v>0.49622641509434001</v>
      </c>
      <c r="N6394">
        <v>0.99245283018867902</v>
      </c>
      <c r="O6394">
        <v>0.66226415094339597</v>
      </c>
      <c r="P6394" t="s">
        <v>169</v>
      </c>
      <c r="Q6394" t="s">
        <v>170</v>
      </c>
      <c r="R6394" t="s">
        <v>96</v>
      </c>
      <c r="S6394" t="s">
        <v>97</v>
      </c>
      <c r="T6394" t="s">
        <v>12817</v>
      </c>
      <c r="U6394" t="s">
        <v>12818</v>
      </c>
      <c r="V6394" t="s">
        <v>11799</v>
      </c>
      <c r="W6394" t="s">
        <v>11800</v>
      </c>
      <c r="AD6394" t="s">
        <v>439</v>
      </c>
      <c r="AE6394" t="s">
        <v>471</v>
      </c>
      <c r="AF6394" t="s">
        <v>13169</v>
      </c>
    </row>
    <row r="6395" spans="1:32" hidden="1" x14ac:dyDescent="0.35">
      <c r="A6395">
        <v>6394</v>
      </c>
      <c r="B6395" t="s">
        <v>13167</v>
      </c>
      <c r="C6395" t="s">
        <v>68</v>
      </c>
      <c r="D6395" t="s">
        <v>45</v>
      </c>
      <c r="E6395">
        <v>589</v>
      </c>
      <c r="F6395">
        <v>3</v>
      </c>
      <c r="G6395">
        <v>3</v>
      </c>
      <c r="H6395">
        <v>1</v>
      </c>
      <c r="I6395">
        <v>0</v>
      </c>
      <c r="J6395">
        <v>0.77800877800877799</v>
      </c>
      <c r="K6395">
        <v>0.91269512905565597</v>
      </c>
      <c r="L6395">
        <v>0.83998720187980602</v>
      </c>
      <c r="M6395">
        <v>0.49622641509434001</v>
      </c>
      <c r="N6395">
        <v>0.99245283018867902</v>
      </c>
      <c r="O6395">
        <v>0.66226415094339597</v>
      </c>
      <c r="P6395" t="s">
        <v>169</v>
      </c>
      <c r="Q6395" t="s">
        <v>170</v>
      </c>
      <c r="R6395" t="s">
        <v>96</v>
      </c>
      <c r="S6395" t="s">
        <v>97</v>
      </c>
      <c r="T6395" t="s">
        <v>12817</v>
      </c>
      <c r="U6395" t="s">
        <v>12818</v>
      </c>
      <c r="V6395" t="s">
        <v>11799</v>
      </c>
      <c r="W6395" t="s">
        <v>11800</v>
      </c>
      <c r="AD6395" t="s">
        <v>439</v>
      </c>
      <c r="AE6395" t="s">
        <v>471</v>
      </c>
      <c r="AF6395" t="s">
        <v>13170</v>
      </c>
    </row>
    <row r="6396" spans="1:32" hidden="1" x14ac:dyDescent="0.35">
      <c r="A6396">
        <v>6395</v>
      </c>
      <c r="B6396" t="s">
        <v>13171</v>
      </c>
      <c r="C6396" t="s">
        <v>68</v>
      </c>
      <c r="D6396" t="s">
        <v>58</v>
      </c>
      <c r="E6396">
        <v>704</v>
      </c>
      <c r="F6396">
        <v>3</v>
      </c>
      <c r="G6396">
        <v>3</v>
      </c>
      <c r="H6396">
        <v>1</v>
      </c>
      <c r="I6396">
        <v>0</v>
      </c>
      <c r="J6396">
        <v>0.93109668109668098</v>
      </c>
      <c r="K6396">
        <v>1</v>
      </c>
      <c r="L6396">
        <v>0.96431907341677603</v>
      </c>
      <c r="M6396">
        <v>0.83441558441558406</v>
      </c>
      <c r="N6396">
        <v>0.98701298701298701</v>
      </c>
      <c r="O6396">
        <v>0.88636363636363602</v>
      </c>
      <c r="P6396" t="s">
        <v>1247</v>
      </c>
      <c r="Q6396" t="s">
        <v>1248</v>
      </c>
      <c r="R6396" t="s">
        <v>12738</v>
      </c>
      <c r="S6396" t="s">
        <v>12739</v>
      </c>
      <c r="T6396" t="s">
        <v>13172</v>
      </c>
      <c r="U6396" t="s">
        <v>12844</v>
      </c>
      <c r="V6396" t="s">
        <v>12742</v>
      </c>
      <c r="W6396" t="s">
        <v>12743</v>
      </c>
      <c r="AD6396" t="s">
        <v>326</v>
      </c>
      <c r="AE6396" t="s">
        <v>467</v>
      </c>
      <c r="AF6396" t="s">
        <v>13173</v>
      </c>
    </row>
    <row r="6397" spans="1:32" hidden="1" x14ac:dyDescent="0.35">
      <c r="A6397">
        <v>6396</v>
      </c>
      <c r="B6397" t="s">
        <v>13171</v>
      </c>
      <c r="C6397" t="s">
        <v>68</v>
      </c>
      <c r="D6397" t="s">
        <v>60</v>
      </c>
      <c r="E6397">
        <v>916</v>
      </c>
      <c r="F6397">
        <v>3</v>
      </c>
      <c r="G6397">
        <v>3</v>
      </c>
      <c r="H6397">
        <v>1</v>
      </c>
      <c r="I6397">
        <v>0</v>
      </c>
      <c r="J6397">
        <v>0.93109668109668098</v>
      </c>
      <c r="K6397">
        <v>1</v>
      </c>
      <c r="L6397">
        <v>0.96431907341677603</v>
      </c>
      <c r="M6397">
        <v>0.83441558441558406</v>
      </c>
      <c r="N6397">
        <v>0.98701298701298701</v>
      </c>
      <c r="O6397">
        <v>0.88636363636363602</v>
      </c>
      <c r="P6397" t="s">
        <v>1247</v>
      </c>
      <c r="Q6397" t="s">
        <v>1248</v>
      </c>
      <c r="R6397" t="s">
        <v>12738</v>
      </c>
      <c r="S6397" t="s">
        <v>12739</v>
      </c>
      <c r="T6397" t="s">
        <v>13172</v>
      </c>
      <c r="U6397" t="s">
        <v>12844</v>
      </c>
      <c r="V6397" t="s">
        <v>12742</v>
      </c>
      <c r="W6397" t="s">
        <v>12743</v>
      </c>
      <c r="AD6397" t="s">
        <v>326</v>
      </c>
      <c r="AE6397" t="s">
        <v>467</v>
      </c>
      <c r="AF6397" t="s">
        <v>13174</v>
      </c>
    </row>
    <row r="6398" spans="1:32" hidden="1" x14ac:dyDescent="0.35">
      <c r="A6398">
        <v>6397</v>
      </c>
      <c r="B6398" t="s">
        <v>13171</v>
      </c>
      <c r="C6398" t="s">
        <v>68</v>
      </c>
      <c r="D6398" t="s">
        <v>62</v>
      </c>
      <c r="E6398">
        <v>952</v>
      </c>
      <c r="F6398">
        <v>3</v>
      </c>
      <c r="G6398">
        <v>3</v>
      </c>
      <c r="H6398">
        <v>1</v>
      </c>
      <c r="I6398">
        <v>0</v>
      </c>
      <c r="J6398">
        <v>0.93109668109668098</v>
      </c>
      <c r="K6398">
        <v>1</v>
      </c>
      <c r="L6398">
        <v>0.96431907341677603</v>
      </c>
      <c r="M6398">
        <v>0.83441558441558406</v>
      </c>
      <c r="N6398">
        <v>0.98701298701298701</v>
      </c>
      <c r="O6398">
        <v>0.88636363636363602</v>
      </c>
      <c r="P6398" t="s">
        <v>1247</v>
      </c>
      <c r="Q6398" t="s">
        <v>1248</v>
      </c>
      <c r="R6398" t="s">
        <v>12738</v>
      </c>
      <c r="S6398" t="s">
        <v>12739</v>
      </c>
      <c r="T6398" t="s">
        <v>13172</v>
      </c>
      <c r="U6398" t="s">
        <v>12844</v>
      </c>
      <c r="V6398" t="s">
        <v>12742</v>
      </c>
      <c r="W6398" t="s">
        <v>12743</v>
      </c>
      <c r="AD6398" t="s">
        <v>326</v>
      </c>
      <c r="AE6398" t="s">
        <v>467</v>
      </c>
      <c r="AF6398" t="s">
        <v>13175</v>
      </c>
    </row>
    <row r="6399" spans="1:32" hidden="1" x14ac:dyDescent="0.35">
      <c r="A6399">
        <v>3709</v>
      </c>
      <c r="B6399" t="s">
        <v>7648</v>
      </c>
      <c r="C6399" t="s">
        <v>72</v>
      </c>
      <c r="D6399" t="s">
        <v>58</v>
      </c>
      <c r="E6399">
        <v>1046</v>
      </c>
      <c r="F6399">
        <v>5</v>
      </c>
      <c r="G6399">
        <v>5</v>
      </c>
      <c r="H6399">
        <v>1</v>
      </c>
      <c r="I6399">
        <v>1</v>
      </c>
      <c r="J6399">
        <v>0.77157045313469896</v>
      </c>
      <c r="K6399">
        <v>0.96685659767312604</v>
      </c>
      <c r="L6399">
        <v>0.85824479415028798</v>
      </c>
      <c r="M6399">
        <v>0.58868894601542399</v>
      </c>
      <c r="N6399">
        <v>0.99742930591259604</v>
      </c>
      <c r="O6399">
        <v>0.68791773778920295</v>
      </c>
      <c r="P6399" t="s">
        <v>7649</v>
      </c>
      <c r="Q6399" t="s">
        <v>7650</v>
      </c>
      <c r="R6399" t="s">
        <v>540</v>
      </c>
      <c r="S6399" t="s">
        <v>541</v>
      </c>
      <c r="T6399" t="s">
        <v>7651</v>
      </c>
      <c r="U6399" t="s">
        <v>7652</v>
      </c>
      <c r="V6399" t="s">
        <v>7653</v>
      </c>
      <c r="W6399" t="s">
        <v>7654</v>
      </c>
      <c r="AD6399" t="s">
        <v>1321</v>
      </c>
      <c r="AE6399" t="s">
        <v>4353</v>
      </c>
      <c r="AF6399" t="s">
        <v>7655</v>
      </c>
    </row>
    <row r="6400" spans="1:32" hidden="1" x14ac:dyDescent="0.35">
      <c r="A6400">
        <v>6399</v>
      </c>
      <c r="B6400" t="s">
        <v>13176</v>
      </c>
      <c r="C6400" t="s">
        <v>68</v>
      </c>
      <c r="D6400" t="s">
        <v>60</v>
      </c>
      <c r="E6400">
        <v>430</v>
      </c>
      <c r="F6400">
        <v>3</v>
      </c>
      <c r="G6400">
        <v>3</v>
      </c>
      <c r="H6400">
        <v>1</v>
      </c>
      <c r="I6400">
        <v>0</v>
      </c>
      <c r="J6400">
        <v>0.79585798816567999</v>
      </c>
      <c r="K6400">
        <v>0.94429403560587599</v>
      </c>
      <c r="L6400">
        <v>0.86374516840811599</v>
      </c>
      <c r="M6400">
        <v>0.57322175732217595</v>
      </c>
      <c r="N6400">
        <v>0.99581589958159</v>
      </c>
      <c r="O6400">
        <v>0.71548117154811697</v>
      </c>
      <c r="P6400" t="s">
        <v>13177</v>
      </c>
      <c r="Q6400" t="s">
        <v>13178</v>
      </c>
      <c r="R6400" t="s">
        <v>157</v>
      </c>
      <c r="S6400" t="s">
        <v>158</v>
      </c>
      <c r="V6400" t="s">
        <v>1383</v>
      </c>
      <c r="W6400" t="s">
        <v>1384</v>
      </c>
      <c r="AF6400" t="s">
        <v>13180</v>
      </c>
    </row>
    <row r="6401" spans="1:32" hidden="1" x14ac:dyDescent="0.35">
      <c r="A6401">
        <v>6400</v>
      </c>
      <c r="B6401" t="s">
        <v>13176</v>
      </c>
      <c r="C6401" t="s">
        <v>68</v>
      </c>
      <c r="D6401" t="s">
        <v>62</v>
      </c>
      <c r="E6401">
        <v>511</v>
      </c>
      <c r="F6401">
        <v>3</v>
      </c>
      <c r="G6401">
        <v>3</v>
      </c>
      <c r="H6401">
        <v>1</v>
      </c>
      <c r="I6401">
        <v>0</v>
      </c>
      <c r="J6401">
        <v>0.79585798816567999</v>
      </c>
      <c r="K6401">
        <v>0.94429403560587599</v>
      </c>
      <c r="L6401">
        <v>0.86374516840811599</v>
      </c>
      <c r="M6401">
        <v>0.57322175732217595</v>
      </c>
      <c r="N6401">
        <v>0.99581589958159</v>
      </c>
      <c r="O6401">
        <v>0.71548117154811697</v>
      </c>
      <c r="P6401" t="s">
        <v>13177</v>
      </c>
      <c r="Q6401" t="s">
        <v>13178</v>
      </c>
      <c r="R6401" t="s">
        <v>157</v>
      </c>
      <c r="S6401" t="s">
        <v>158</v>
      </c>
      <c r="V6401" t="s">
        <v>1383</v>
      </c>
      <c r="W6401" t="s">
        <v>1384</v>
      </c>
      <c r="AF6401" t="s">
        <v>13181</v>
      </c>
    </row>
    <row r="6402" spans="1:32" hidden="1" x14ac:dyDescent="0.35">
      <c r="A6402">
        <v>6401</v>
      </c>
      <c r="B6402" t="s">
        <v>13182</v>
      </c>
      <c r="C6402" t="s">
        <v>68</v>
      </c>
      <c r="D6402" t="s">
        <v>58</v>
      </c>
      <c r="E6402">
        <v>599</v>
      </c>
      <c r="F6402">
        <v>3</v>
      </c>
      <c r="G6402">
        <v>3</v>
      </c>
      <c r="H6402">
        <v>1</v>
      </c>
      <c r="I6402">
        <v>0</v>
      </c>
      <c r="J6402">
        <v>0.79833770778652702</v>
      </c>
      <c r="K6402">
        <v>0.94539384860086395</v>
      </c>
      <c r="L6402">
        <v>0.86566484993957504</v>
      </c>
      <c r="M6402">
        <v>0.57620817843866201</v>
      </c>
      <c r="N6402">
        <v>0.99628252788104099</v>
      </c>
      <c r="O6402">
        <v>0.71623296158612104</v>
      </c>
      <c r="P6402" t="s">
        <v>169</v>
      </c>
      <c r="Q6402" t="s">
        <v>170</v>
      </c>
      <c r="R6402" t="s">
        <v>257</v>
      </c>
      <c r="S6402" t="s">
        <v>258</v>
      </c>
      <c r="T6402" t="s">
        <v>259</v>
      </c>
      <c r="U6402" t="s">
        <v>260</v>
      </c>
      <c r="V6402" t="s">
        <v>261</v>
      </c>
      <c r="W6402" t="s">
        <v>262</v>
      </c>
      <c r="AD6402" t="s">
        <v>166</v>
      </c>
      <c r="AE6402" t="s">
        <v>263</v>
      </c>
      <c r="AF6402" t="s">
        <v>13183</v>
      </c>
    </row>
    <row r="6403" spans="1:32" hidden="1" x14ac:dyDescent="0.35">
      <c r="A6403">
        <v>6402</v>
      </c>
      <c r="B6403" t="s">
        <v>13182</v>
      </c>
      <c r="C6403" t="s">
        <v>68</v>
      </c>
      <c r="D6403" t="s">
        <v>60</v>
      </c>
      <c r="E6403">
        <v>2234</v>
      </c>
      <c r="F6403">
        <v>3</v>
      </c>
      <c r="G6403">
        <v>3</v>
      </c>
      <c r="H6403">
        <v>1</v>
      </c>
      <c r="I6403">
        <v>0</v>
      </c>
      <c r="J6403">
        <v>0.79833770778652702</v>
      </c>
      <c r="K6403">
        <v>0.94539384860086395</v>
      </c>
      <c r="L6403">
        <v>0.86566484993957504</v>
      </c>
      <c r="M6403">
        <v>0.57620817843866201</v>
      </c>
      <c r="N6403">
        <v>0.99628252788104099</v>
      </c>
      <c r="O6403">
        <v>0.71623296158612104</v>
      </c>
      <c r="P6403" t="s">
        <v>169</v>
      </c>
      <c r="Q6403" t="s">
        <v>170</v>
      </c>
      <c r="R6403" t="s">
        <v>257</v>
      </c>
      <c r="S6403" t="s">
        <v>258</v>
      </c>
      <c r="T6403" t="s">
        <v>259</v>
      </c>
      <c r="U6403" t="s">
        <v>260</v>
      </c>
      <c r="V6403" t="s">
        <v>261</v>
      </c>
      <c r="W6403" t="s">
        <v>262</v>
      </c>
      <c r="AD6403" t="s">
        <v>166</v>
      </c>
      <c r="AE6403" t="s">
        <v>263</v>
      </c>
      <c r="AF6403" t="s">
        <v>13184</v>
      </c>
    </row>
    <row r="6404" spans="1:32" hidden="1" x14ac:dyDescent="0.35">
      <c r="A6404">
        <v>6403</v>
      </c>
      <c r="B6404" t="s">
        <v>13182</v>
      </c>
      <c r="C6404" t="s">
        <v>68</v>
      </c>
      <c r="D6404" t="s">
        <v>62</v>
      </c>
      <c r="E6404">
        <v>2264</v>
      </c>
      <c r="F6404">
        <v>3</v>
      </c>
      <c r="G6404">
        <v>3</v>
      </c>
      <c r="H6404">
        <v>1</v>
      </c>
      <c r="I6404">
        <v>0</v>
      </c>
      <c r="J6404">
        <v>0.79833770778652702</v>
      </c>
      <c r="K6404">
        <v>0.94539384860086395</v>
      </c>
      <c r="L6404">
        <v>0.86566484993957504</v>
      </c>
      <c r="M6404">
        <v>0.57620817843866201</v>
      </c>
      <c r="N6404">
        <v>0.99628252788104099</v>
      </c>
      <c r="O6404">
        <v>0.71623296158612104</v>
      </c>
      <c r="P6404" t="s">
        <v>169</v>
      </c>
      <c r="Q6404" t="s">
        <v>170</v>
      </c>
      <c r="R6404" t="s">
        <v>257</v>
      </c>
      <c r="S6404" t="s">
        <v>258</v>
      </c>
      <c r="T6404" t="s">
        <v>259</v>
      </c>
      <c r="U6404" t="s">
        <v>260</v>
      </c>
      <c r="V6404" t="s">
        <v>261</v>
      </c>
      <c r="W6404" t="s">
        <v>262</v>
      </c>
      <c r="AD6404" t="s">
        <v>166</v>
      </c>
      <c r="AE6404" t="s">
        <v>263</v>
      </c>
      <c r="AF6404" t="s">
        <v>13185</v>
      </c>
    </row>
    <row r="6405" spans="1:32" hidden="1" x14ac:dyDescent="0.35">
      <c r="A6405">
        <v>2399</v>
      </c>
      <c r="B6405" t="s">
        <v>4985</v>
      </c>
      <c r="C6405" t="s">
        <v>72</v>
      </c>
      <c r="D6405" t="s">
        <v>58</v>
      </c>
      <c r="E6405">
        <v>279</v>
      </c>
      <c r="F6405">
        <v>5</v>
      </c>
      <c r="G6405">
        <v>5</v>
      </c>
      <c r="H6405">
        <v>1</v>
      </c>
      <c r="I6405">
        <v>1</v>
      </c>
      <c r="J6405">
        <v>0.90386363636363598</v>
      </c>
      <c r="K6405">
        <v>1</v>
      </c>
      <c r="L6405">
        <v>0.949504595917393</v>
      </c>
      <c r="M6405">
        <v>0.79090909090909101</v>
      </c>
      <c r="N6405">
        <v>1</v>
      </c>
      <c r="O6405">
        <v>0.85522727272727295</v>
      </c>
      <c r="P6405" t="s">
        <v>4986</v>
      </c>
      <c r="Q6405" t="s">
        <v>4987</v>
      </c>
      <c r="R6405" t="s">
        <v>540</v>
      </c>
      <c r="S6405" t="s">
        <v>541</v>
      </c>
      <c r="T6405" t="s">
        <v>4988</v>
      </c>
      <c r="U6405" t="s">
        <v>4989</v>
      </c>
      <c r="V6405" t="s">
        <v>4990</v>
      </c>
      <c r="W6405" t="s">
        <v>4991</v>
      </c>
      <c r="AD6405" t="s">
        <v>1079</v>
      </c>
      <c r="AE6405" t="s">
        <v>1080</v>
      </c>
      <c r="AF6405" t="s">
        <v>4992</v>
      </c>
    </row>
    <row r="6406" spans="1:32" hidden="1" x14ac:dyDescent="0.35">
      <c r="A6406">
        <v>6405</v>
      </c>
      <c r="B6406" t="s">
        <v>13186</v>
      </c>
      <c r="C6406" t="s">
        <v>68</v>
      </c>
      <c r="D6406" t="s">
        <v>60</v>
      </c>
      <c r="E6406">
        <v>2014</v>
      </c>
      <c r="F6406">
        <v>3</v>
      </c>
      <c r="G6406">
        <v>3</v>
      </c>
      <c r="H6406">
        <v>1</v>
      </c>
      <c r="I6406">
        <v>0</v>
      </c>
      <c r="J6406">
        <v>0.87359307359307403</v>
      </c>
      <c r="K6406">
        <v>0.92541618878809895</v>
      </c>
      <c r="L6406">
        <v>0.89875821055655303</v>
      </c>
      <c r="M6406">
        <v>0.66187050359712196</v>
      </c>
      <c r="N6406">
        <v>0.99280575539568305</v>
      </c>
      <c r="O6406">
        <v>0.77458033573141505</v>
      </c>
      <c r="P6406" t="s">
        <v>13187</v>
      </c>
      <c r="Q6406" t="s">
        <v>13188</v>
      </c>
      <c r="R6406" t="s">
        <v>342</v>
      </c>
      <c r="S6406" t="s">
        <v>343</v>
      </c>
      <c r="T6406" t="s">
        <v>13189</v>
      </c>
      <c r="U6406" t="s">
        <v>13190</v>
      </c>
      <c r="V6406" t="s">
        <v>13191</v>
      </c>
      <c r="W6406" t="s">
        <v>13192</v>
      </c>
      <c r="AD6406" t="s">
        <v>410</v>
      </c>
      <c r="AE6406" t="s">
        <v>603</v>
      </c>
      <c r="AF6406" t="s">
        <v>13193</v>
      </c>
    </row>
    <row r="6407" spans="1:32" hidden="1" x14ac:dyDescent="0.35">
      <c r="A6407">
        <v>6406</v>
      </c>
      <c r="B6407" t="s">
        <v>13186</v>
      </c>
      <c r="C6407" t="s">
        <v>68</v>
      </c>
      <c r="D6407" t="s">
        <v>62</v>
      </c>
      <c r="E6407">
        <v>2054</v>
      </c>
      <c r="F6407">
        <v>3</v>
      </c>
      <c r="G6407">
        <v>3</v>
      </c>
      <c r="H6407">
        <v>1</v>
      </c>
      <c r="I6407">
        <v>0</v>
      </c>
      <c r="J6407">
        <v>0.87359307359307403</v>
      </c>
      <c r="K6407">
        <v>0.92541618878809895</v>
      </c>
      <c r="L6407">
        <v>0.89875821055655303</v>
      </c>
      <c r="M6407">
        <v>0.66187050359712196</v>
      </c>
      <c r="N6407">
        <v>0.99280575539568305</v>
      </c>
      <c r="O6407">
        <v>0.77458033573141505</v>
      </c>
      <c r="P6407" t="s">
        <v>13187</v>
      </c>
      <c r="Q6407" t="s">
        <v>13188</v>
      </c>
      <c r="R6407" t="s">
        <v>342</v>
      </c>
      <c r="S6407" t="s">
        <v>343</v>
      </c>
      <c r="T6407" t="s">
        <v>13189</v>
      </c>
      <c r="U6407" t="s">
        <v>13190</v>
      </c>
      <c r="V6407" t="s">
        <v>13191</v>
      </c>
      <c r="W6407" t="s">
        <v>13192</v>
      </c>
      <c r="AD6407" t="s">
        <v>410</v>
      </c>
      <c r="AE6407" t="s">
        <v>603</v>
      </c>
      <c r="AF6407" t="s">
        <v>13194</v>
      </c>
    </row>
    <row r="6408" spans="1:32" hidden="1" x14ac:dyDescent="0.35">
      <c r="A6408">
        <v>3944</v>
      </c>
      <c r="B6408" t="s">
        <v>8140</v>
      </c>
      <c r="C6408" t="s">
        <v>72</v>
      </c>
      <c r="D6408" t="s">
        <v>58</v>
      </c>
      <c r="E6408">
        <v>1005</v>
      </c>
      <c r="F6408">
        <v>5</v>
      </c>
      <c r="G6408">
        <v>5</v>
      </c>
      <c r="H6408">
        <v>1</v>
      </c>
      <c r="I6408">
        <v>1</v>
      </c>
      <c r="J6408">
        <v>0.76232829330961605</v>
      </c>
      <c r="K6408">
        <v>0.95406827607700795</v>
      </c>
      <c r="L6408">
        <v>0.84748857411495204</v>
      </c>
      <c r="M6408">
        <v>0.56497175141242895</v>
      </c>
      <c r="N6408">
        <v>0.99717514124293805</v>
      </c>
      <c r="O6408">
        <v>0.67514124293785305</v>
      </c>
      <c r="P6408" t="s">
        <v>8141</v>
      </c>
      <c r="Q6408" t="s">
        <v>8142</v>
      </c>
      <c r="R6408" t="s">
        <v>371</v>
      </c>
      <c r="S6408" t="s">
        <v>372</v>
      </c>
      <c r="T6408" t="s">
        <v>8143</v>
      </c>
      <c r="U6408" t="s">
        <v>8144</v>
      </c>
      <c r="V6408" t="s">
        <v>8145</v>
      </c>
      <c r="W6408" t="s">
        <v>8146</v>
      </c>
      <c r="AD6408" t="s">
        <v>1437</v>
      </c>
      <c r="AE6408" t="s">
        <v>8147</v>
      </c>
      <c r="AF6408" t="s">
        <v>8148</v>
      </c>
    </row>
    <row r="6409" spans="1:32" hidden="1" x14ac:dyDescent="0.35">
      <c r="A6409">
        <v>6408</v>
      </c>
      <c r="B6409" t="s">
        <v>13195</v>
      </c>
      <c r="C6409" t="s">
        <v>68</v>
      </c>
      <c r="D6409" t="s">
        <v>60</v>
      </c>
      <c r="E6409">
        <v>98</v>
      </c>
      <c r="F6409">
        <v>3</v>
      </c>
      <c r="G6409">
        <v>3</v>
      </c>
      <c r="H6409">
        <v>1</v>
      </c>
      <c r="I6409">
        <v>0</v>
      </c>
      <c r="J6409">
        <v>0.75669570829299804</v>
      </c>
      <c r="K6409">
        <v>0.93022996041864103</v>
      </c>
      <c r="L6409">
        <v>0.83453708936914095</v>
      </c>
      <c r="M6409">
        <v>0.48247978436657701</v>
      </c>
      <c r="N6409">
        <v>0.99191374663072795</v>
      </c>
      <c r="O6409">
        <v>0.65318957771788</v>
      </c>
      <c r="P6409" t="s">
        <v>13196</v>
      </c>
      <c r="Q6409" t="s">
        <v>13197</v>
      </c>
      <c r="R6409" t="s">
        <v>157</v>
      </c>
      <c r="S6409" t="s">
        <v>158</v>
      </c>
      <c r="T6409" t="s">
        <v>13198</v>
      </c>
      <c r="U6409" t="s">
        <v>13199</v>
      </c>
      <c r="V6409" t="s">
        <v>13200</v>
      </c>
      <c r="W6409" t="s">
        <v>13201</v>
      </c>
      <c r="AD6409" t="s">
        <v>410</v>
      </c>
      <c r="AE6409" t="s">
        <v>5489</v>
      </c>
      <c r="AF6409" t="s">
        <v>13202</v>
      </c>
    </row>
    <row r="6410" spans="1:32" hidden="1" x14ac:dyDescent="0.35">
      <c r="A6410">
        <v>6409</v>
      </c>
      <c r="B6410" t="s">
        <v>13195</v>
      </c>
      <c r="C6410" t="s">
        <v>68</v>
      </c>
      <c r="D6410" t="s">
        <v>62</v>
      </c>
      <c r="E6410">
        <v>170</v>
      </c>
      <c r="F6410">
        <v>3</v>
      </c>
      <c r="G6410">
        <v>3</v>
      </c>
      <c r="H6410">
        <v>1</v>
      </c>
      <c r="I6410">
        <v>0</v>
      </c>
      <c r="J6410">
        <v>0.75669570829299804</v>
      </c>
      <c r="K6410">
        <v>0.93022996041864103</v>
      </c>
      <c r="L6410">
        <v>0.83453708936914095</v>
      </c>
      <c r="M6410">
        <v>0.48247978436657701</v>
      </c>
      <c r="N6410">
        <v>0.99191374663072795</v>
      </c>
      <c r="O6410">
        <v>0.65318957771788</v>
      </c>
      <c r="P6410" t="s">
        <v>13196</v>
      </c>
      <c r="Q6410" t="s">
        <v>13197</v>
      </c>
      <c r="R6410" t="s">
        <v>157</v>
      </c>
      <c r="S6410" t="s">
        <v>158</v>
      </c>
      <c r="T6410" t="s">
        <v>13198</v>
      </c>
      <c r="U6410" t="s">
        <v>13199</v>
      </c>
      <c r="V6410" t="s">
        <v>13200</v>
      </c>
      <c r="W6410" t="s">
        <v>13201</v>
      </c>
      <c r="AD6410" t="s">
        <v>410</v>
      </c>
      <c r="AE6410" t="s">
        <v>5489</v>
      </c>
      <c r="AF6410" t="s">
        <v>13203</v>
      </c>
    </row>
    <row r="6411" spans="1:32" hidden="1" x14ac:dyDescent="0.35">
      <c r="A6411">
        <v>6410</v>
      </c>
      <c r="B6411" t="s">
        <v>13204</v>
      </c>
      <c r="C6411" t="s">
        <v>68</v>
      </c>
      <c r="D6411" t="s">
        <v>58</v>
      </c>
      <c r="E6411">
        <v>1555</v>
      </c>
      <c r="F6411">
        <v>3</v>
      </c>
      <c r="G6411">
        <v>3</v>
      </c>
      <c r="H6411">
        <v>1</v>
      </c>
      <c r="I6411">
        <v>0</v>
      </c>
      <c r="J6411">
        <v>0.80579710144927497</v>
      </c>
      <c r="K6411">
        <v>0.95945663531870595</v>
      </c>
      <c r="L6411">
        <v>0.87593908977823598</v>
      </c>
      <c r="M6411">
        <v>0.609375</v>
      </c>
      <c r="N6411">
        <v>0.97499999999999998</v>
      </c>
      <c r="O6411">
        <v>0.73333333333333295</v>
      </c>
      <c r="P6411" t="s">
        <v>13205</v>
      </c>
      <c r="Q6411" t="s">
        <v>13206</v>
      </c>
      <c r="R6411" t="s">
        <v>288</v>
      </c>
      <c r="S6411" t="s">
        <v>289</v>
      </c>
      <c r="V6411" t="s">
        <v>13207</v>
      </c>
      <c r="W6411" t="s">
        <v>13208</v>
      </c>
      <c r="AF6411" t="s">
        <v>13209</v>
      </c>
    </row>
    <row r="6412" spans="1:32" hidden="1" x14ac:dyDescent="0.35">
      <c r="A6412">
        <v>6411</v>
      </c>
      <c r="B6412" t="s">
        <v>13204</v>
      </c>
      <c r="C6412" t="s">
        <v>68</v>
      </c>
      <c r="D6412" t="s">
        <v>60</v>
      </c>
      <c r="E6412">
        <v>467</v>
      </c>
      <c r="F6412">
        <v>3</v>
      </c>
      <c r="G6412">
        <v>3</v>
      </c>
      <c r="H6412">
        <v>1</v>
      </c>
      <c r="I6412">
        <v>0</v>
      </c>
      <c r="J6412">
        <v>0.80579710144927497</v>
      </c>
      <c r="K6412">
        <v>0.95945663531870595</v>
      </c>
      <c r="L6412">
        <v>0.87593908977823598</v>
      </c>
      <c r="M6412">
        <v>0.609375</v>
      </c>
      <c r="N6412">
        <v>0.97499999999999998</v>
      </c>
      <c r="O6412">
        <v>0.73333333333333295</v>
      </c>
      <c r="P6412" t="s">
        <v>13205</v>
      </c>
      <c r="Q6412" t="s">
        <v>13206</v>
      </c>
      <c r="R6412" t="s">
        <v>288</v>
      </c>
      <c r="S6412" t="s">
        <v>289</v>
      </c>
      <c r="V6412" t="s">
        <v>13207</v>
      </c>
      <c r="W6412" t="s">
        <v>13208</v>
      </c>
      <c r="AF6412" t="s">
        <v>13210</v>
      </c>
    </row>
    <row r="6413" spans="1:32" hidden="1" x14ac:dyDescent="0.35">
      <c r="A6413">
        <v>6412</v>
      </c>
      <c r="B6413" t="s">
        <v>13204</v>
      </c>
      <c r="C6413" t="s">
        <v>68</v>
      </c>
      <c r="D6413" t="s">
        <v>62</v>
      </c>
      <c r="E6413">
        <v>549</v>
      </c>
      <c r="F6413">
        <v>3</v>
      </c>
      <c r="G6413">
        <v>3</v>
      </c>
      <c r="H6413">
        <v>1</v>
      </c>
      <c r="I6413">
        <v>0</v>
      </c>
      <c r="J6413">
        <v>0.80579710144927497</v>
      </c>
      <c r="K6413">
        <v>0.95945663531870595</v>
      </c>
      <c r="L6413">
        <v>0.87593908977823598</v>
      </c>
      <c r="M6413">
        <v>0.609375</v>
      </c>
      <c r="N6413">
        <v>0.97499999999999998</v>
      </c>
      <c r="O6413">
        <v>0.73333333333333295</v>
      </c>
      <c r="P6413" t="s">
        <v>13205</v>
      </c>
      <c r="Q6413" t="s">
        <v>13206</v>
      </c>
      <c r="R6413" t="s">
        <v>288</v>
      </c>
      <c r="S6413" t="s">
        <v>289</v>
      </c>
      <c r="V6413" t="s">
        <v>13207</v>
      </c>
      <c r="W6413" t="s">
        <v>13208</v>
      </c>
      <c r="AF6413" t="s">
        <v>13211</v>
      </c>
    </row>
    <row r="6414" spans="1:32" hidden="1" x14ac:dyDescent="0.35">
      <c r="A6414">
        <v>3714</v>
      </c>
      <c r="B6414" t="s">
        <v>7659</v>
      </c>
      <c r="C6414" t="s">
        <v>72</v>
      </c>
      <c r="D6414" t="s">
        <v>58</v>
      </c>
      <c r="E6414">
        <v>1207</v>
      </c>
      <c r="F6414">
        <v>5</v>
      </c>
      <c r="G6414">
        <v>5</v>
      </c>
      <c r="H6414">
        <v>1</v>
      </c>
      <c r="I6414">
        <v>1</v>
      </c>
      <c r="J6414">
        <v>0.78265341103873798</v>
      </c>
      <c r="K6414">
        <v>0.97593544477116501</v>
      </c>
      <c r="L6414">
        <v>0.86867285924200899</v>
      </c>
      <c r="M6414">
        <v>0.551839464882943</v>
      </c>
      <c r="N6414">
        <v>0.99665551839464905</v>
      </c>
      <c r="O6414">
        <v>0.67491638795986597</v>
      </c>
      <c r="P6414" t="s">
        <v>7660</v>
      </c>
      <c r="Q6414" t="s">
        <v>7661</v>
      </c>
      <c r="R6414" t="s">
        <v>157</v>
      </c>
      <c r="S6414" t="s">
        <v>158</v>
      </c>
      <c r="T6414" t="s">
        <v>7662</v>
      </c>
      <c r="U6414" t="s">
        <v>7663</v>
      </c>
      <c r="V6414" t="s">
        <v>7664</v>
      </c>
      <c r="W6414" t="s">
        <v>7665</v>
      </c>
      <c r="AD6414" t="s">
        <v>219</v>
      </c>
      <c r="AE6414" t="s">
        <v>7666</v>
      </c>
      <c r="AF6414" t="s">
        <v>7667</v>
      </c>
    </row>
    <row r="6415" spans="1:32" hidden="1" x14ac:dyDescent="0.35">
      <c r="A6415">
        <v>6414</v>
      </c>
      <c r="B6415" t="s">
        <v>13212</v>
      </c>
      <c r="C6415" t="s">
        <v>68</v>
      </c>
      <c r="D6415" t="s">
        <v>60</v>
      </c>
      <c r="E6415">
        <v>1132</v>
      </c>
      <c r="F6415">
        <v>3</v>
      </c>
      <c r="G6415">
        <v>3</v>
      </c>
      <c r="H6415">
        <v>1</v>
      </c>
      <c r="I6415">
        <v>0</v>
      </c>
      <c r="J6415">
        <v>0.873699318263366</v>
      </c>
      <c r="K6415">
        <v>0.98941863957838505</v>
      </c>
      <c r="L6415">
        <v>0.92796528232500297</v>
      </c>
      <c r="M6415">
        <v>0.72843450479233196</v>
      </c>
      <c r="N6415">
        <v>0.996805111821086</v>
      </c>
      <c r="O6415">
        <v>0.81895633652822097</v>
      </c>
      <c r="P6415" t="s">
        <v>1247</v>
      </c>
      <c r="Q6415" t="s">
        <v>1248</v>
      </c>
      <c r="R6415" t="s">
        <v>235</v>
      </c>
      <c r="S6415" t="s">
        <v>236</v>
      </c>
      <c r="T6415" t="s">
        <v>13213</v>
      </c>
      <c r="U6415" t="s">
        <v>13214</v>
      </c>
      <c r="V6415" t="s">
        <v>13215</v>
      </c>
      <c r="W6415" t="s">
        <v>13216</v>
      </c>
      <c r="AD6415" t="s">
        <v>166</v>
      </c>
      <c r="AE6415" t="s">
        <v>10941</v>
      </c>
      <c r="AF6415" t="s">
        <v>13218</v>
      </c>
    </row>
    <row r="6416" spans="1:32" hidden="1" x14ac:dyDescent="0.35">
      <c r="A6416">
        <v>6415</v>
      </c>
      <c r="B6416" t="s">
        <v>13212</v>
      </c>
      <c r="C6416" t="s">
        <v>68</v>
      </c>
      <c r="D6416" t="s">
        <v>62</v>
      </c>
      <c r="E6416">
        <v>1168</v>
      </c>
      <c r="F6416">
        <v>3</v>
      </c>
      <c r="G6416">
        <v>3</v>
      </c>
      <c r="H6416">
        <v>1</v>
      </c>
      <c r="I6416">
        <v>0</v>
      </c>
      <c r="J6416">
        <v>0.873699318263366</v>
      </c>
      <c r="K6416">
        <v>0.98941863957838505</v>
      </c>
      <c r="L6416">
        <v>0.92796528232500297</v>
      </c>
      <c r="M6416">
        <v>0.72843450479233196</v>
      </c>
      <c r="N6416">
        <v>0.996805111821086</v>
      </c>
      <c r="O6416">
        <v>0.81895633652822097</v>
      </c>
      <c r="P6416" t="s">
        <v>1247</v>
      </c>
      <c r="Q6416" t="s">
        <v>1248</v>
      </c>
      <c r="R6416" t="s">
        <v>235</v>
      </c>
      <c r="S6416" t="s">
        <v>236</v>
      </c>
      <c r="T6416" t="s">
        <v>13213</v>
      </c>
      <c r="U6416" t="s">
        <v>13214</v>
      </c>
      <c r="V6416" t="s">
        <v>13215</v>
      </c>
      <c r="W6416" t="s">
        <v>13216</v>
      </c>
      <c r="AD6416" t="s">
        <v>166</v>
      </c>
      <c r="AE6416" t="s">
        <v>10941</v>
      </c>
      <c r="AF6416" t="s">
        <v>13219</v>
      </c>
    </row>
    <row r="6417" spans="1:32" hidden="1" x14ac:dyDescent="0.35">
      <c r="A6417">
        <v>1759</v>
      </c>
      <c r="B6417" t="s">
        <v>3657</v>
      </c>
      <c r="C6417" t="s">
        <v>72</v>
      </c>
      <c r="D6417" t="s">
        <v>58</v>
      </c>
      <c r="E6417">
        <v>1138</v>
      </c>
      <c r="F6417">
        <v>5</v>
      </c>
      <c r="G6417">
        <v>5</v>
      </c>
      <c r="H6417">
        <v>1</v>
      </c>
      <c r="I6417">
        <v>1</v>
      </c>
      <c r="J6417">
        <v>0.85619581845996895</v>
      </c>
      <c r="K6417">
        <v>0.96072780390025003</v>
      </c>
      <c r="L6417">
        <v>0.90545482292655499</v>
      </c>
      <c r="M6417">
        <v>0.71778140293637804</v>
      </c>
      <c r="N6417">
        <v>1</v>
      </c>
      <c r="O6417">
        <v>0.78140293637846703</v>
      </c>
      <c r="P6417" t="s">
        <v>3336</v>
      </c>
      <c r="Q6417" t="s">
        <v>3337</v>
      </c>
      <c r="R6417" t="s">
        <v>224</v>
      </c>
      <c r="S6417" t="s">
        <v>225</v>
      </c>
      <c r="T6417" t="s">
        <v>3658</v>
      </c>
      <c r="U6417" t="s">
        <v>3659</v>
      </c>
      <c r="V6417" t="s">
        <v>3660</v>
      </c>
      <c r="W6417" t="s">
        <v>3661</v>
      </c>
      <c r="X6417" t="s">
        <v>3660</v>
      </c>
      <c r="Y6417" t="s">
        <v>589</v>
      </c>
      <c r="AD6417" t="s">
        <v>997</v>
      </c>
      <c r="AE6417" t="s">
        <v>3662</v>
      </c>
      <c r="AF6417" t="s">
        <v>3663</v>
      </c>
    </row>
    <row r="6418" spans="1:32" hidden="1" x14ac:dyDescent="0.35">
      <c r="A6418">
        <v>6417</v>
      </c>
      <c r="B6418" t="s">
        <v>13220</v>
      </c>
      <c r="C6418" t="s">
        <v>68</v>
      </c>
      <c r="D6418" t="s">
        <v>60</v>
      </c>
      <c r="E6418">
        <v>2236</v>
      </c>
      <c r="F6418">
        <v>3</v>
      </c>
      <c r="G6418">
        <v>3</v>
      </c>
      <c r="H6418">
        <v>1</v>
      </c>
      <c r="I6418">
        <v>0</v>
      </c>
      <c r="J6418">
        <v>0.77533783783783805</v>
      </c>
      <c r="K6418">
        <v>0.99412682662053398</v>
      </c>
      <c r="L6418">
        <v>0.87120603171184596</v>
      </c>
      <c r="M6418">
        <v>0.579345088161209</v>
      </c>
      <c r="N6418">
        <v>0.99496221662468498</v>
      </c>
      <c r="O6418">
        <v>0.71788413098236803</v>
      </c>
      <c r="P6418" t="s">
        <v>340</v>
      </c>
      <c r="Q6418" t="s">
        <v>341</v>
      </c>
      <c r="R6418" t="s">
        <v>342</v>
      </c>
      <c r="S6418" t="s">
        <v>343</v>
      </c>
      <c r="T6418" t="s">
        <v>344</v>
      </c>
      <c r="U6418" t="s">
        <v>345</v>
      </c>
      <c r="V6418" t="s">
        <v>346</v>
      </c>
      <c r="W6418" t="s">
        <v>347</v>
      </c>
      <c r="AD6418" t="s">
        <v>166</v>
      </c>
      <c r="AE6418" t="s">
        <v>263</v>
      </c>
      <c r="AF6418" t="s">
        <v>13222</v>
      </c>
    </row>
    <row r="6419" spans="1:32" hidden="1" x14ac:dyDescent="0.35">
      <c r="A6419">
        <v>6418</v>
      </c>
      <c r="B6419" t="s">
        <v>13220</v>
      </c>
      <c r="C6419" t="s">
        <v>68</v>
      </c>
      <c r="D6419" t="s">
        <v>62</v>
      </c>
      <c r="E6419">
        <v>2266</v>
      </c>
      <c r="F6419">
        <v>3</v>
      </c>
      <c r="G6419">
        <v>3</v>
      </c>
      <c r="H6419">
        <v>1</v>
      </c>
      <c r="I6419">
        <v>0</v>
      </c>
      <c r="J6419">
        <v>0.77533783783783805</v>
      </c>
      <c r="K6419">
        <v>0.99412682662053398</v>
      </c>
      <c r="L6419">
        <v>0.87120603171184596</v>
      </c>
      <c r="M6419">
        <v>0.579345088161209</v>
      </c>
      <c r="N6419">
        <v>0.99496221662468498</v>
      </c>
      <c r="O6419">
        <v>0.71788413098236803</v>
      </c>
      <c r="P6419" t="s">
        <v>340</v>
      </c>
      <c r="Q6419" t="s">
        <v>341</v>
      </c>
      <c r="R6419" t="s">
        <v>342</v>
      </c>
      <c r="S6419" t="s">
        <v>343</v>
      </c>
      <c r="T6419" t="s">
        <v>344</v>
      </c>
      <c r="U6419" t="s">
        <v>345</v>
      </c>
      <c r="V6419" t="s">
        <v>346</v>
      </c>
      <c r="W6419" t="s">
        <v>347</v>
      </c>
      <c r="AD6419" t="s">
        <v>166</v>
      </c>
      <c r="AE6419" t="s">
        <v>263</v>
      </c>
      <c r="AF6419" t="s">
        <v>13223</v>
      </c>
    </row>
    <row r="6420" spans="1:32" hidden="1" x14ac:dyDescent="0.35">
      <c r="A6420">
        <v>6419</v>
      </c>
      <c r="B6420" t="s">
        <v>13224</v>
      </c>
      <c r="C6420" t="s">
        <v>68</v>
      </c>
      <c r="D6420" t="s">
        <v>34</v>
      </c>
      <c r="E6420">
        <v>1176</v>
      </c>
      <c r="F6420">
        <v>2</v>
      </c>
      <c r="G6420">
        <v>3</v>
      </c>
      <c r="H6420">
        <v>2</v>
      </c>
      <c r="I6420">
        <v>0</v>
      </c>
      <c r="J6420">
        <v>0.77547495682210699</v>
      </c>
      <c r="K6420">
        <v>0.70520721686316501</v>
      </c>
      <c r="L6420">
        <v>0.73867376235981097</v>
      </c>
      <c r="M6420">
        <v>0.27564102564102599</v>
      </c>
      <c r="N6420">
        <v>0.80128205128205099</v>
      </c>
      <c r="O6420">
        <v>0.48931623931623902</v>
      </c>
      <c r="AF6420" t="s">
        <v>13225</v>
      </c>
    </row>
    <row r="6421" spans="1:32" hidden="1" x14ac:dyDescent="0.35">
      <c r="A6421">
        <v>6420</v>
      </c>
      <c r="B6421" t="s">
        <v>13224</v>
      </c>
      <c r="C6421" t="s">
        <v>68</v>
      </c>
      <c r="D6421" t="s">
        <v>34</v>
      </c>
      <c r="E6421">
        <v>1262</v>
      </c>
      <c r="F6421">
        <v>2</v>
      </c>
      <c r="G6421">
        <v>3</v>
      </c>
      <c r="H6421">
        <v>2</v>
      </c>
      <c r="I6421">
        <v>0</v>
      </c>
      <c r="J6421">
        <v>0.77547495682210699</v>
      </c>
      <c r="K6421">
        <v>0.70520721686316501</v>
      </c>
      <c r="L6421">
        <v>0.73867376235981097</v>
      </c>
      <c r="M6421">
        <v>0.27564102564102599</v>
      </c>
      <c r="N6421">
        <v>0.80128205128205099</v>
      </c>
      <c r="O6421">
        <v>0.48931623931623902</v>
      </c>
      <c r="AF6421" t="s">
        <v>13226</v>
      </c>
    </row>
    <row r="6422" spans="1:32" hidden="1" x14ac:dyDescent="0.35">
      <c r="A6422">
        <v>6421</v>
      </c>
      <c r="B6422" t="s">
        <v>13224</v>
      </c>
      <c r="C6422" t="s">
        <v>68</v>
      </c>
      <c r="D6422" t="s">
        <v>45</v>
      </c>
      <c r="E6422">
        <v>2421</v>
      </c>
      <c r="F6422">
        <v>2</v>
      </c>
      <c r="G6422">
        <v>3</v>
      </c>
      <c r="H6422">
        <v>2</v>
      </c>
      <c r="I6422">
        <v>0</v>
      </c>
      <c r="J6422">
        <v>0.77547495682210699</v>
      </c>
      <c r="K6422">
        <v>0.70520721686316501</v>
      </c>
      <c r="L6422">
        <v>0.73867376235981097</v>
      </c>
      <c r="M6422">
        <v>0.27564102564102599</v>
      </c>
      <c r="N6422">
        <v>0.80128205128205099</v>
      </c>
      <c r="O6422">
        <v>0.48931623931623902</v>
      </c>
      <c r="AF6422" t="s">
        <v>13227</v>
      </c>
    </row>
    <row r="6423" spans="1:32" hidden="1" x14ac:dyDescent="0.35">
      <c r="A6423">
        <v>3224</v>
      </c>
      <c r="B6423" t="s">
        <v>6625</v>
      </c>
      <c r="C6423" t="s">
        <v>72</v>
      </c>
      <c r="D6423" t="s">
        <v>58</v>
      </c>
      <c r="E6423">
        <v>1623</v>
      </c>
      <c r="F6423">
        <v>5</v>
      </c>
      <c r="G6423">
        <v>5</v>
      </c>
      <c r="H6423">
        <v>1</v>
      </c>
      <c r="I6423">
        <v>1</v>
      </c>
      <c r="J6423">
        <v>0.92495049504950499</v>
      </c>
      <c r="K6423">
        <v>1</v>
      </c>
      <c r="L6423">
        <v>0.96101224153893605</v>
      </c>
      <c r="M6423">
        <v>0.83366336633663396</v>
      </c>
      <c r="N6423">
        <v>1</v>
      </c>
      <c r="O6423">
        <v>0.89603960396039595</v>
      </c>
      <c r="P6423" t="s">
        <v>6626</v>
      </c>
      <c r="Q6423" t="s">
        <v>6627</v>
      </c>
      <c r="R6423" t="s">
        <v>652</v>
      </c>
      <c r="S6423" t="s">
        <v>653</v>
      </c>
      <c r="T6423" t="s">
        <v>6628</v>
      </c>
      <c r="U6423" t="s">
        <v>6629</v>
      </c>
      <c r="V6423" t="s">
        <v>6630</v>
      </c>
      <c r="W6423" t="s">
        <v>6631</v>
      </c>
      <c r="Z6423" t="s">
        <v>6632</v>
      </c>
      <c r="AA6423" t="s">
        <v>6633</v>
      </c>
      <c r="AB6423" t="s">
        <v>6632</v>
      </c>
      <c r="AC6423" t="s">
        <v>6027</v>
      </c>
      <c r="AD6423" t="s">
        <v>951</v>
      </c>
      <c r="AE6423" t="s">
        <v>6634</v>
      </c>
      <c r="AF6423" t="s">
        <v>6635</v>
      </c>
    </row>
    <row r="6424" spans="1:32" hidden="1" x14ac:dyDescent="0.35">
      <c r="A6424">
        <v>6423</v>
      </c>
      <c r="B6424" t="s">
        <v>13228</v>
      </c>
      <c r="C6424" t="s">
        <v>68</v>
      </c>
      <c r="D6424" t="s">
        <v>60</v>
      </c>
      <c r="E6424">
        <v>299</v>
      </c>
      <c r="F6424">
        <v>3</v>
      </c>
      <c r="G6424">
        <v>3</v>
      </c>
      <c r="H6424">
        <v>1</v>
      </c>
      <c r="I6424">
        <v>0</v>
      </c>
      <c r="J6424">
        <v>0.76783143567595902</v>
      </c>
      <c r="K6424">
        <v>0.92342396332496701</v>
      </c>
      <c r="L6424">
        <v>0.83847057980272</v>
      </c>
      <c r="M6424">
        <v>0.49729144095341299</v>
      </c>
      <c r="N6424">
        <v>0.99566630552545998</v>
      </c>
      <c r="O6424">
        <v>0.66341639581076195</v>
      </c>
      <c r="P6424" t="s">
        <v>13229</v>
      </c>
      <c r="Q6424" t="s">
        <v>13230</v>
      </c>
      <c r="R6424" t="s">
        <v>516</v>
      </c>
      <c r="S6424" t="s">
        <v>517</v>
      </c>
      <c r="T6424" t="s">
        <v>13231</v>
      </c>
      <c r="U6424" t="s">
        <v>13232</v>
      </c>
      <c r="V6424" t="s">
        <v>13233</v>
      </c>
      <c r="W6424" t="s">
        <v>13234</v>
      </c>
      <c r="AD6424" t="s">
        <v>166</v>
      </c>
      <c r="AE6424" t="s">
        <v>167</v>
      </c>
      <c r="AF6424" t="s">
        <v>13236</v>
      </c>
    </row>
    <row r="6425" spans="1:32" hidden="1" x14ac:dyDescent="0.35">
      <c r="A6425">
        <v>6424</v>
      </c>
      <c r="B6425" t="s">
        <v>13228</v>
      </c>
      <c r="C6425" t="s">
        <v>68</v>
      </c>
      <c r="D6425" t="s">
        <v>62</v>
      </c>
      <c r="E6425">
        <v>379</v>
      </c>
      <c r="F6425">
        <v>3</v>
      </c>
      <c r="G6425">
        <v>3</v>
      </c>
      <c r="H6425">
        <v>1</v>
      </c>
      <c r="I6425">
        <v>0</v>
      </c>
      <c r="J6425">
        <v>0.76783143567595902</v>
      </c>
      <c r="K6425">
        <v>0.92342396332496701</v>
      </c>
      <c r="L6425">
        <v>0.83847057980272</v>
      </c>
      <c r="M6425">
        <v>0.49729144095341299</v>
      </c>
      <c r="N6425">
        <v>0.99566630552545998</v>
      </c>
      <c r="O6425">
        <v>0.66341639581076195</v>
      </c>
      <c r="P6425" t="s">
        <v>13229</v>
      </c>
      <c r="Q6425" t="s">
        <v>13230</v>
      </c>
      <c r="R6425" t="s">
        <v>516</v>
      </c>
      <c r="S6425" t="s">
        <v>517</v>
      </c>
      <c r="T6425" t="s">
        <v>13231</v>
      </c>
      <c r="U6425" t="s">
        <v>13232</v>
      </c>
      <c r="V6425" t="s">
        <v>13233</v>
      </c>
      <c r="W6425" t="s">
        <v>13234</v>
      </c>
      <c r="AD6425" t="s">
        <v>166</v>
      </c>
      <c r="AE6425" t="s">
        <v>167</v>
      </c>
      <c r="AF6425" t="s">
        <v>13237</v>
      </c>
    </row>
    <row r="6426" spans="1:32" hidden="1" x14ac:dyDescent="0.35">
      <c r="A6426">
        <v>6425</v>
      </c>
      <c r="B6426" t="s">
        <v>13238</v>
      </c>
      <c r="C6426" t="s">
        <v>68</v>
      </c>
      <c r="D6426" t="s">
        <v>34</v>
      </c>
      <c r="E6426">
        <v>100</v>
      </c>
      <c r="F6426">
        <v>2</v>
      </c>
      <c r="G6426">
        <v>3</v>
      </c>
      <c r="H6426">
        <v>2</v>
      </c>
      <c r="I6426">
        <v>0</v>
      </c>
      <c r="J6426">
        <v>0.82499646742970201</v>
      </c>
      <c r="K6426">
        <v>0.98483868824638099</v>
      </c>
      <c r="L6426">
        <v>0.89785905223821605</v>
      </c>
      <c r="M6426">
        <v>0.69004383218534704</v>
      </c>
      <c r="N6426">
        <v>0.94552285535378799</v>
      </c>
      <c r="O6426">
        <v>0.77687330411187605</v>
      </c>
      <c r="AF6426" t="s">
        <v>13239</v>
      </c>
    </row>
    <row r="6427" spans="1:32" hidden="1" x14ac:dyDescent="0.35">
      <c r="A6427">
        <v>6426</v>
      </c>
      <c r="B6427" t="s">
        <v>13238</v>
      </c>
      <c r="C6427" t="s">
        <v>68</v>
      </c>
      <c r="D6427" t="s">
        <v>45</v>
      </c>
      <c r="E6427">
        <v>1361</v>
      </c>
      <c r="F6427">
        <v>2</v>
      </c>
      <c r="G6427">
        <v>3</v>
      </c>
      <c r="H6427">
        <v>2</v>
      </c>
      <c r="I6427">
        <v>0</v>
      </c>
      <c r="J6427">
        <v>0.82499646742970201</v>
      </c>
      <c r="K6427">
        <v>0.98483868824638099</v>
      </c>
      <c r="L6427">
        <v>0.89785905223821605</v>
      </c>
      <c r="M6427">
        <v>0.69004383218534704</v>
      </c>
      <c r="N6427">
        <v>0.94552285535378799</v>
      </c>
      <c r="O6427">
        <v>0.77687330411187605</v>
      </c>
      <c r="AF6427" t="s">
        <v>13240</v>
      </c>
    </row>
    <row r="6428" spans="1:32" hidden="1" x14ac:dyDescent="0.35">
      <c r="A6428">
        <v>6427</v>
      </c>
      <c r="B6428" t="s">
        <v>13238</v>
      </c>
      <c r="C6428" t="s">
        <v>68</v>
      </c>
      <c r="D6428" t="s">
        <v>45</v>
      </c>
      <c r="E6428">
        <v>1360</v>
      </c>
      <c r="F6428">
        <v>2</v>
      </c>
      <c r="G6428">
        <v>3</v>
      </c>
      <c r="H6428">
        <v>2</v>
      </c>
      <c r="I6428">
        <v>0</v>
      </c>
      <c r="J6428">
        <v>0.82499646742970201</v>
      </c>
      <c r="K6428">
        <v>0.98483868824638099</v>
      </c>
      <c r="L6428">
        <v>0.89785905223821605</v>
      </c>
      <c r="M6428">
        <v>0.69004383218534704</v>
      </c>
      <c r="N6428">
        <v>0.94552285535378799</v>
      </c>
      <c r="O6428">
        <v>0.77687330411187605</v>
      </c>
      <c r="AF6428" t="s">
        <v>13241</v>
      </c>
    </row>
    <row r="6429" spans="1:32" hidden="1" x14ac:dyDescent="0.35">
      <c r="A6429">
        <v>4624</v>
      </c>
      <c r="B6429" t="s">
        <v>9669</v>
      </c>
      <c r="C6429" t="s">
        <v>10127</v>
      </c>
      <c r="D6429" t="s">
        <v>58</v>
      </c>
      <c r="E6429">
        <v>1647</v>
      </c>
      <c r="F6429">
        <v>5</v>
      </c>
      <c r="G6429">
        <v>5</v>
      </c>
      <c r="H6429">
        <v>1</v>
      </c>
      <c r="I6429">
        <v>1</v>
      </c>
      <c r="J6429">
        <v>0.77722584918156901</v>
      </c>
      <c r="K6429">
        <v>0.95603100535754304</v>
      </c>
      <c r="L6429">
        <v>0.85740553460036295</v>
      </c>
      <c r="M6429">
        <v>0.57588075880758804</v>
      </c>
      <c r="N6429">
        <v>0.99186991869918695</v>
      </c>
      <c r="O6429">
        <v>0.70040650406504101</v>
      </c>
      <c r="P6429" t="s">
        <v>9670</v>
      </c>
      <c r="Q6429" t="s">
        <v>9671</v>
      </c>
      <c r="R6429" t="s">
        <v>235</v>
      </c>
      <c r="S6429" t="s">
        <v>236</v>
      </c>
      <c r="T6429" t="s">
        <v>9672</v>
      </c>
      <c r="U6429" t="s">
        <v>9673</v>
      </c>
      <c r="V6429" t="s">
        <v>9674</v>
      </c>
      <c r="W6429" t="s">
        <v>9675</v>
      </c>
      <c r="AD6429" t="s">
        <v>5476</v>
      </c>
      <c r="AE6429" t="s">
        <v>9676</v>
      </c>
      <c r="AF6429" t="s">
        <v>9677</v>
      </c>
    </row>
    <row r="6430" spans="1:32" hidden="1" x14ac:dyDescent="0.35">
      <c r="A6430">
        <v>6429</v>
      </c>
      <c r="B6430" t="s">
        <v>13242</v>
      </c>
      <c r="C6430" t="s">
        <v>68</v>
      </c>
      <c r="D6430" t="s">
        <v>60</v>
      </c>
      <c r="E6430">
        <v>1197</v>
      </c>
      <c r="F6430">
        <v>3</v>
      </c>
      <c r="G6430">
        <v>3</v>
      </c>
      <c r="H6430">
        <v>1</v>
      </c>
      <c r="I6430">
        <v>0</v>
      </c>
      <c r="J6430">
        <v>0.81045751633986896</v>
      </c>
      <c r="K6430">
        <v>0.95185642198613596</v>
      </c>
      <c r="L6430">
        <v>0.87548441273501598</v>
      </c>
      <c r="M6430">
        <v>0.61968680089485495</v>
      </c>
      <c r="N6430">
        <v>0.98434004474272896</v>
      </c>
      <c r="O6430">
        <v>0.74123788217747899</v>
      </c>
      <c r="P6430" t="s">
        <v>1734</v>
      </c>
      <c r="Q6430" t="s">
        <v>1735</v>
      </c>
      <c r="R6430" t="s">
        <v>869</v>
      </c>
      <c r="S6430" t="s">
        <v>870</v>
      </c>
      <c r="T6430" t="s">
        <v>13243</v>
      </c>
      <c r="U6430" t="s">
        <v>13244</v>
      </c>
      <c r="V6430" t="s">
        <v>13245</v>
      </c>
      <c r="W6430" t="s">
        <v>13246</v>
      </c>
      <c r="X6430" t="s">
        <v>13245</v>
      </c>
      <c r="Y6430" t="s">
        <v>2038</v>
      </c>
      <c r="Z6430" t="s">
        <v>13247</v>
      </c>
      <c r="AA6430" t="s">
        <v>13248</v>
      </c>
      <c r="AB6430" t="s">
        <v>13247</v>
      </c>
      <c r="AC6430" t="s">
        <v>878</v>
      </c>
      <c r="AD6430" t="s">
        <v>1743</v>
      </c>
      <c r="AE6430" t="s">
        <v>13249</v>
      </c>
      <c r="AF6430" t="s">
        <v>13251</v>
      </c>
    </row>
    <row r="6431" spans="1:32" hidden="1" x14ac:dyDescent="0.35">
      <c r="A6431">
        <v>6430</v>
      </c>
      <c r="B6431" t="s">
        <v>13242</v>
      </c>
      <c r="C6431" t="s">
        <v>68</v>
      </c>
      <c r="D6431" t="s">
        <v>62</v>
      </c>
      <c r="E6431">
        <v>1234</v>
      </c>
      <c r="F6431">
        <v>3</v>
      </c>
      <c r="G6431">
        <v>3</v>
      </c>
      <c r="H6431">
        <v>1</v>
      </c>
      <c r="I6431">
        <v>0</v>
      </c>
      <c r="J6431">
        <v>0.81045751633986896</v>
      </c>
      <c r="K6431">
        <v>0.95185642198613596</v>
      </c>
      <c r="L6431">
        <v>0.87548441273501598</v>
      </c>
      <c r="M6431">
        <v>0.61968680089485495</v>
      </c>
      <c r="N6431">
        <v>0.98434004474272896</v>
      </c>
      <c r="O6431">
        <v>0.74123788217747899</v>
      </c>
      <c r="P6431" t="s">
        <v>1734</v>
      </c>
      <c r="Q6431" t="s">
        <v>1735</v>
      </c>
      <c r="R6431" t="s">
        <v>869</v>
      </c>
      <c r="S6431" t="s">
        <v>870</v>
      </c>
      <c r="T6431" t="s">
        <v>13243</v>
      </c>
      <c r="U6431" t="s">
        <v>13244</v>
      </c>
      <c r="V6431" t="s">
        <v>13245</v>
      </c>
      <c r="W6431" t="s">
        <v>13246</v>
      </c>
      <c r="X6431" t="s">
        <v>13245</v>
      </c>
      <c r="Y6431" t="s">
        <v>2038</v>
      </c>
      <c r="Z6431" t="s">
        <v>13247</v>
      </c>
      <c r="AA6431" t="s">
        <v>13248</v>
      </c>
      <c r="AB6431" t="s">
        <v>13247</v>
      </c>
      <c r="AC6431" t="s">
        <v>878</v>
      </c>
      <c r="AD6431" t="s">
        <v>1743</v>
      </c>
      <c r="AE6431" t="s">
        <v>13249</v>
      </c>
      <c r="AF6431" t="s">
        <v>13252</v>
      </c>
    </row>
    <row r="6432" spans="1:32" hidden="1" x14ac:dyDescent="0.35">
      <c r="A6432">
        <v>6431</v>
      </c>
      <c r="B6432" t="s">
        <v>13253</v>
      </c>
      <c r="C6432" t="s">
        <v>68</v>
      </c>
      <c r="D6432" t="s">
        <v>34</v>
      </c>
      <c r="E6432">
        <v>2303</v>
      </c>
      <c r="F6432">
        <v>2</v>
      </c>
      <c r="G6432">
        <v>3</v>
      </c>
      <c r="H6432">
        <v>2</v>
      </c>
      <c r="I6432">
        <v>0</v>
      </c>
      <c r="J6432">
        <v>0.96354166666666696</v>
      </c>
      <c r="K6432">
        <v>0.51971176197117597</v>
      </c>
      <c r="L6432">
        <v>0.67522370438861201</v>
      </c>
      <c r="M6432">
        <v>8.3333333333333297E-3</v>
      </c>
      <c r="N6432">
        <v>0.63333333333333297</v>
      </c>
      <c r="O6432">
        <v>0.33888888888888902</v>
      </c>
      <c r="R6432" t="s">
        <v>540</v>
      </c>
      <c r="S6432" t="s">
        <v>541</v>
      </c>
      <c r="T6432" t="s">
        <v>13254</v>
      </c>
      <c r="U6432" t="s">
        <v>407</v>
      </c>
      <c r="V6432" t="s">
        <v>13255</v>
      </c>
      <c r="W6432" t="s">
        <v>13256</v>
      </c>
      <c r="AD6432" t="s">
        <v>410</v>
      </c>
      <c r="AE6432" t="s">
        <v>411</v>
      </c>
      <c r="AF6432" t="s">
        <v>13257</v>
      </c>
    </row>
    <row r="6433" spans="1:32" hidden="1" x14ac:dyDescent="0.35">
      <c r="A6433">
        <v>6432</v>
      </c>
      <c r="B6433" t="s">
        <v>13253</v>
      </c>
      <c r="C6433" t="s">
        <v>68</v>
      </c>
      <c r="D6433" t="s">
        <v>34</v>
      </c>
      <c r="E6433">
        <v>2304</v>
      </c>
      <c r="F6433">
        <v>2</v>
      </c>
      <c r="G6433">
        <v>3</v>
      </c>
      <c r="H6433">
        <v>2</v>
      </c>
      <c r="I6433">
        <v>0</v>
      </c>
      <c r="J6433">
        <v>0.96354166666666696</v>
      </c>
      <c r="K6433">
        <v>0.51971176197117597</v>
      </c>
      <c r="L6433">
        <v>0.67522370438861201</v>
      </c>
      <c r="M6433">
        <v>8.3333333333333297E-3</v>
      </c>
      <c r="N6433">
        <v>0.63333333333333297</v>
      </c>
      <c r="O6433">
        <v>0.33888888888888902</v>
      </c>
      <c r="AF6433" t="e">
        <f>------------------------------------MDSRG------------------------------------------------------------------------------------------------------------ENPLKKGRLCIALNFVEIDEATITSMTKTLLTEQLTKVDLGDGAIAGAAPLVVPPGMPPIPIMPPTPVVVADPRIREDVARVVELAIRSNS</f>
        <v>#NAME?</v>
      </c>
    </row>
    <row r="6434" spans="1:32" hidden="1" x14ac:dyDescent="0.35">
      <c r="A6434">
        <v>6433</v>
      </c>
      <c r="B6434" t="s">
        <v>13253</v>
      </c>
      <c r="C6434" t="s">
        <v>68</v>
      </c>
      <c r="D6434" t="s">
        <v>45</v>
      </c>
      <c r="E6434">
        <v>574</v>
      </c>
      <c r="F6434">
        <v>2</v>
      </c>
      <c r="G6434">
        <v>3</v>
      </c>
      <c r="H6434">
        <v>2</v>
      </c>
      <c r="I6434">
        <v>0</v>
      </c>
      <c r="J6434">
        <v>0.96354166666666696</v>
      </c>
      <c r="K6434">
        <v>0.51971176197117597</v>
      </c>
      <c r="L6434">
        <v>0.67522370438861201</v>
      </c>
      <c r="M6434">
        <v>8.3333333333333297E-3</v>
      </c>
      <c r="N6434">
        <v>0.63333333333333297</v>
      </c>
      <c r="O6434">
        <v>0.33888888888888902</v>
      </c>
      <c r="P6434" t="s">
        <v>13258</v>
      </c>
      <c r="Q6434" t="s">
        <v>13259</v>
      </c>
      <c r="R6434" t="s">
        <v>540</v>
      </c>
      <c r="S6434" t="s">
        <v>541</v>
      </c>
      <c r="T6434" t="s">
        <v>13254</v>
      </c>
      <c r="U6434" t="s">
        <v>407</v>
      </c>
      <c r="V6434" t="s">
        <v>13255</v>
      </c>
      <c r="W6434" t="s">
        <v>13256</v>
      </c>
      <c r="AD6434" t="s">
        <v>410</v>
      </c>
      <c r="AE6434" t="s">
        <v>411</v>
      </c>
      <c r="AF6434" t="s">
        <v>13260</v>
      </c>
    </row>
    <row r="6435" spans="1:32" hidden="1" x14ac:dyDescent="0.35">
      <c r="A6435">
        <v>3004</v>
      </c>
      <c r="B6435" t="s">
        <v>6205</v>
      </c>
      <c r="C6435" t="s">
        <v>72</v>
      </c>
      <c r="D6435" t="s">
        <v>58</v>
      </c>
      <c r="E6435">
        <v>409</v>
      </c>
      <c r="F6435">
        <v>5</v>
      </c>
      <c r="G6435">
        <v>5</v>
      </c>
      <c r="H6435">
        <v>1</v>
      </c>
      <c r="I6435">
        <v>1</v>
      </c>
      <c r="J6435">
        <v>0.88031624863685898</v>
      </c>
      <c r="K6435">
        <v>0.97335910604435805</v>
      </c>
      <c r="L6435">
        <v>0.92450259388257705</v>
      </c>
      <c r="M6435">
        <v>0.77718832891246703</v>
      </c>
      <c r="N6435">
        <v>1</v>
      </c>
      <c r="O6435">
        <v>0.82944297082228102</v>
      </c>
      <c r="P6435" t="s">
        <v>2564</v>
      </c>
      <c r="Q6435" t="s">
        <v>2565</v>
      </c>
      <c r="R6435" t="s">
        <v>224</v>
      </c>
      <c r="S6435" t="s">
        <v>225</v>
      </c>
      <c r="T6435" t="s">
        <v>6206</v>
      </c>
      <c r="U6435" t="s">
        <v>6207</v>
      </c>
      <c r="V6435" t="s">
        <v>6208</v>
      </c>
      <c r="W6435" t="s">
        <v>6209</v>
      </c>
      <c r="X6435" t="s">
        <v>6208</v>
      </c>
      <c r="Y6435" t="s">
        <v>773</v>
      </c>
      <c r="AD6435" t="s">
        <v>774</v>
      </c>
      <c r="AE6435" t="s">
        <v>4223</v>
      </c>
      <c r="AF6435" t="s">
        <v>6210</v>
      </c>
    </row>
    <row r="6436" spans="1:32" hidden="1" x14ac:dyDescent="0.35">
      <c r="A6436">
        <v>6435</v>
      </c>
      <c r="B6436" t="s">
        <v>13261</v>
      </c>
      <c r="C6436" t="s">
        <v>68</v>
      </c>
      <c r="D6436" t="s">
        <v>34</v>
      </c>
      <c r="E6436">
        <v>2445</v>
      </c>
      <c r="F6436">
        <v>3</v>
      </c>
      <c r="G6436">
        <v>3</v>
      </c>
      <c r="H6436">
        <v>1</v>
      </c>
      <c r="I6436">
        <v>0</v>
      </c>
      <c r="J6436">
        <v>0.79180151024811196</v>
      </c>
      <c r="K6436">
        <v>0.93812594025360097</v>
      </c>
      <c r="L6436">
        <v>0.85877536203070504</v>
      </c>
      <c r="M6436">
        <v>0.54242424242424203</v>
      </c>
      <c r="N6436">
        <v>0.98181818181818203</v>
      </c>
      <c r="O6436">
        <v>0.68989898989899001</v>
      </c>
      <c r="P6436" t="s">
        <v>13262</v>
      </c>
      <c r="Q6436" t="s">
        <v>13263</v>
      </c>
      <c r="R6436" t="s">
        <v>235</v>
      </c>
      <c r="S6436" t="s">
        <v>236</v>
      </c>
      <c r="V6436" t="s">
        <v>13264</v>
      </c>
      <c r="W6436" t="s">
        <v>13265</v>
      </c>
      <c r="AF6436" t="s">
        <v>13267</v>
      </c>
    </row>
    <row r="6437" spans="1:32" hidden="1" x14ac:dyDescent="0.35">
      <c r="A6437">
        <v>6436</v>
      </c>
      <c r="B6437" t="s">
        <v>13261</v>
      </c>
      <c r="C6437" t="s">
        <v>68</v>
      </c>
      <c r="D6437" t="s">
        <v>45</v>
      </c>
      <c r="E6437">
        <v>457</v>
      </c>
      <c r="F6437">
        <v>3</v>
      </c>
      <c r="G6437">
        <v>3</v>
      </c>
      <c r="H6437">
        <v>1</v>
      </c>
      <c r="I6437">
        <v>0</v>
      </c>
      <c r="J6437">
        <v>0.79180151024811196</v>
      </c>
      <c r="K6437">
        <v>0.93812594025360097</v>
      </c>
      <c r="L6437">
        <v>0.85877536203070504</v>
      </c>
      <c r="M6437">
        <v>0.54242424242424203</v>
      </c>
      <c r="N6437">
        <v>0.98181818181818203</v>
      </c>
      <c r="O6437">
        <v>0.68989898989899001</v>
      </c>
      <c r="P6437" t="s">
        <v>13262</v>
      </c>
      <c r="Q6437" t="s">
        <v>13263</v>
      </c>
      <c r="R6437" t="s">
        <v>235</v>
      </c>
      <c r="S6437" t="s">
        <v>236</v>
      </c>
      <c r="V6437" t="s">
        <v>13264</v>
      </c>
      <c r="W6437" t="s">
        <v>13265</v>
      </c>
      <c r="AF6437" t="s">
        <v>13268</v>
      </c>
    </row>
    <row r="6438" spans="1:32" hidden="1" x14ac:dyDescent="0.35">
      <c r="A6438">
        <v>6437</v>
      </c>
      <c r="B6438" t="s">
        <v>13269</v>
      </c>
      <c r="C6438" t="s">
        <v>68</v>
      </c>
      <c r="D6438" t="s">
        <v>34</v>
      </c>
      <c r="E6438">
        <v>1062</v>
      </c>
      <c r="F6438">
        <v>2</v>
      </c>
      <c r="G6438">
        <v>3</v>
      </c>
      <c r="H6438">
        <v>2</v>
      </c>
      <c r="I6438">
        <v>0</v>
      </c>
      <c r="J6438">
        <v>0.78712357217030104</v>
      </c>
      <c r="K6438">
        <v>0.77716306910937905</v>
      </c>
      <c r="L6438">
        <v>0.782111609181528</v>
      </c>
      <c r="M6438">
        <v>0.288590604026846</v>
      </c>
      <c r="N6438">
        <v>0.97315436241610698</v>
      </c>
      <c r="O6438">
        <v>0.519015659955257</v>
      </c>
      <c r="AF6438" t="s">
        <v>13270</v>
      </c>
    </row>
    <row r="6439" spans="1:32" hidden="1" x14ac:dyDescent="0.35">
      <c r="A6439">
        <v>6438</v>
      </c>
      <c r="B6439" t="s">
        <v>13269</v>
      </c>
      <c r="C6439" t="s">
        <v>68</v>
      </c>
      <c r="D6439" t="s">
        <v>45</v>
      </c>
      <c r="E6439">
        <v>2317</v>
      </c>
      <c r="F6439">
        <v>2</v>
      </c>
      <c r="G6439">
        <v>3</v>
      </c>
      <c r="H6439">
        <v>2</v>
      </c>
      <c r="I6439">
        <v>0</v>
      </c>
      <c r="J6439">
        <v>0.78712357217030104</v>
      </c>
      <c r="K6439">
        <v>0.77716306910937905</v>
      </c>
      <c r="L6439">
        <v>0.782111609181528</v>
      </c>
      <c r="M6439">
        <v>0.288590604026846</v>
      </c>
      <c r="N6439">
        <v>0.97315436241610698</v>
      </c>
      <c r="O6439">
        <v>0.519015659955257</v>
      </c>
      <c r="AF6439" t="s">
        <v>13271</v>
      </c>
    </row>
    <row r="6440" spans="1:32" hidden="1" x14ac:dyDescent="0.35">
      <c r="A6440">
        <v>6439</v>
      </c>
      <c r="B6440" t="s">
        <v>13269</v>
      </c>
      <c r="C6440" t="s">
        <v>68</v>
      </c>
      <c r="D6440" t="s">
        <v>45</v>
      </c>
      <c r="E6440">
        <v>2318</v>
      </c>
      <c r="F6440">
        <v>2</v>
      </c>
      <c r="G6440">
        <v>3</v>
      </c>
      <c r="H6440">
        <v>2</v>
      </c>
      <c r="I6440">
        <v>0</v>
      </c>
      <c r="J6440">
        <v>0.78712357217030104</v>
      </c>
      <c r="K6440">
        <v>0.77716306910937905</v>
      </c>
      <c r="L6440">
        <v>0.782111609181528</v>
      </c>
      <c r="M6440">
        <v>0.288590604026846</v>
      </c>
      <c r="N6440">
        <v>0.97315436241610698</v>
      </c>
      <c r="O6440">
        <v>0.519015659955257</v>
      </c>
      <c r="AF6440" t="e">
        <f>------------------------------------------------------------MLFELLLKEIVAFGEPLSEEEKEEYSTFMVNTIVSVPKDDN---DDAAWGLIDLLEMDYADEFPAVFPSHTRVITMSPTGQETPGFTFQ</f>
        <v>#NAME?</v>
      </c>
    </row>
    <row r="6441" spans="1:32" hidden="1" x14ac:dyDescent="0.35">
      <c r="A6441">
        <v>6440</v>
      </c>
      <c r="B6441" t="s">
        <v>13272</v>
      </c>
      <c r="C6441" t="s">
        <v>68</v>
      </c>
      <c r="D6441" t="s">
        <v>58</v>
      </c>
      <c r="E6441">
        <v>902</v>
      </c>
      <c r="F6441">
        <v>3</v>
      </c>
      <c r="G6441">
        <v>3</v>
      </c>
      <c r="H6441">
        <v>1</v>
      </c>
      <c r="I6441">
        <v>0</v>
      </c>
      <c r="J6441">
        <v>0.80323054331864896</v>
      </c>
      <c r="K6441">
        <v>0.98283455674760101</v>
      </c>
      <c r="L6441">
        <v>0.88400219564162197</v>
      </c>
      <c r="M6441">
        <v>0.614718614718615</v>
      </c>
      <c r="N6441">
        <v>0.98701298701298701</v>
      </c>
      <c r="O6441">
        <v>0.74025974025973995</v>
      </c>
      <c r="P6441" t="s">
        <v>13273</v>
      </c>
      <c r="Q6441" t="s">
        <v>13274</v>
      </c>
      <c r="R6441" t="s">
        <v>288</v>
      </c>
      <c r="S6441" t="s">
        <v>289</v>
      </c>
      <c r="V6441" t="s">
        <v>13275</v>
      </c>
      <c r="W6441" t="s">
        <v>13276</v>
      </c>
      <c r="AF6441" t="s">
        <v>13277</v>
      </c>
    </row>
    <row r="6442" spans="1:32" hidden="1" x14ac:dyDescent="0.35">
      <c r="A6442">
        <v>6441</v>
      </c>
      <c r="B6442" t="s">
        <v>13272</v>
      </c>
      <c r="C6442" t="s">
        <v>68</v>
      </c>
      <c r="D6442" t="s">
        <v>60</v>
      </c>
      <c r="E6442">
        <v>1292</v>
      </c>
      <c r="F6442">
        <v>3</v>
      </c>
      <c r="G6442">
        <v>3</v>
      </c>
      <c r="H6442">
        <v>1</v>
      </c>
      <c r="I6442">
        <v>0</v>
      </c>
      <c r="J6442">
        <v>0.80323054331864896</v>
      </c>
      <c r="K6442">
        <v>0.98283455674760101</v>
      </c>
      <c r="L6442">
        <v>0.88400219564162197</v>
      </c>
      <c r="M6442">
        <v>0.614718614718615</v>
      </c>
      <c r="N6442">
        <v>0.98701298701298701</v>
      </c>
      <c r="O6442">
        <v>0.74025974025973995</v>
      </c>
      <c r="P6442" t="s">
        <v>13273</v>
      </c>
      <c r="Q6442" t="s">
        <v>13274</v>
      </c>
      <c r="R6442" t="s">
        <v>288</v>
      </c>
      <c r="S6442" t="s">
        <v>289</v>
      </c>
      <c r="V6442" t="s">
        <v>13275</v>
      </c>
      <c r="W6442" t="s">
        <v>13276</v>
      </c>
      <c r="AF6442" t="e">
        <f>----MKKPFVALTVVAIIVLALASVGPIVYKALTDPGIKTGGLHTGDASAATTDINGTWTIIPNAGDNTTSVGYTFHELLPGESRSTSGTTHDVTGEVTVDGGTLTAGNVTVDVNGLQTDVEKRDINVRRTILHTDDYPTATFTVNTPVDITGVPDNGEPGTVTVTGMLNLHGIEKEVTAEFDVLRTGNRLVIAGTVPINRIDFGVETPDFVAAKVDEDGELNIRLAMEKH</f>
        <v>#NAME?</v>
      </c>
    </row>
    <row r="6443" spans="1:32" hidden="1" x14ac:dyDescent="0.35">
      <c r="A6443">
        <v>6442</v>
      </c>
      <c r="B6443" t="s">
        <v>13272</v>
      </c>
      <c r="C6443" t="s">
        <v>68</v>
      </c>
      <c r="D6443" t="s">
        <v>62</v>
      </c>
      <c r="E6443">
        <v>1328</v>
      </c>
      <c r="F6443">
        <v>3</v>
      </c>
      <c r="G6443">
        <v>3</v>
      </c>
      <c r="H6443">
        <v>1</v>
      </c>
      <c r="I6443">
        <v>0</v>
      </c>
      <c r="J6443">
        <v>0.80323054331864896</v>
      </c>
      <c r="K6443">
        <v>0.98283455674760101</v>
      </c>
      <c r="L6443">
        <v>0.88400219564162197</v>
      </c>
      <c r="M6443">
        <v>0.614718614718615</v>
      </c>
      <c r="N6443">
        <v>0.98701298701298701</v>
      </c>
      <c r="O6443">
        <v>0.74025974025973995</v>
      </c>
      <c r="P6443" t="s">
        <v>13273</v>
      </c>
      <c r="Q6443" t="s">
        <v>13274</v>
      </c>
      <c r="R6443" t="s">
        <v>288</v>
      </c>
      <c r="S6443" t="s">
        <v>289</v>
      </c>
      <c r="V6443" t="s">
        <v>13275</v>
      </c>
      <c r="W6443" t="s">
        <v>13276</v>
      </c>
      <c r="AF6443" t="e">
        <f>----MKKPFVALTVVAIIVLALASVGPIVYKALTDPGIKTGGLHTGDASAATTDVNGTWTIIPNAGDNTTSVGYTFHELLPGESRSTSGTTHDVTGEVTVDGGTLTAGNVTVDVNGLQTDVEKRDINVRRTILHTDDYPTATFTVSTPVDITGVPDNGEPGTVTVTGMLNLHGVEKEVTAEFDVLRTGNRLVIAGTVPINRIDFGVETPDFVAAKVDEDGELNIRLAMEKH</f>
        <v>#NAME?</v>
      </c>
    </row>
    <row r="6444" spans="1:32" hidden="1" x14ac:dyDescent="0.35">
      <c r="A6444">
        <v>6443</v>
      </c>
      <c r="B6444" t="s">
        <v>13278</v>
      </c>
      <c r="C6444" t="s">
        <v>68</v>
      </c>
      <c r="D6444" t="s">
        <v>60</v>
      </c>
      <c r="E6444">
        <v>735</v>
      </c>
      <c r="F6444">
        <v>2</v>
      </c>
      <c r="G6444">
        <v>3</v>
      </c>
      <c r="H6444">
        <v>2</v>
      </c>
      <c r="I6444">
        <v>0</v>
      </c>
      <c r="J6444">
        <v>0.88367314683104203</v>
      </c>
      <c r="K6444">
        <v>0.94048392509085399</v>
      </c>
      <c r="L6444">
        <v>0.91119389050574995</v>
      </c>
      <c r="M6444">
        <v>0.723631508678238</v>
      </c>
      <c r="N6444">
        <v>0.99465954606141505</v>
      </c>
      <c r="O6444">
        <v>0.81486426346239405</v>
      </c>
      <c r="AF6444" t="s">
        <v>13279</v>
      </c>
    </row>
    <row r="6445" spans="1:32" hidden="1" x14ac:dyDescent="0.35">
      <c r="A6445">
        <v>6444</v>
      </c>
      <c r="B6445" t="s">
        <v>13278</v>
      </c>
      <c r="C6445" t="s">
        <v>68</v>
      </c>
      <c r="D6445" t="s">
        <v>60</v>
      </c>
      <c r="E6445">
        <v>1343</v>
      </c>
      <c r="F6445">
        <v>2</v>
      </c>
      <c r="G6445">
        <v>3</v>
      </c>
      <c r="H6445">
        <v>2</v>
      </c>
      <c r="I6445">
        <v>0</v>
      </c>
      <c r="J6445">
        <v>0.88367314683104203</v>
      </c>
      <c r="K6445">
        <v>0.94048392509085399</v>
      </c>
      <c r="L6445">
        <v>0.91119389050574995</v>
      </c>
      <c r="M6445">
        <v>0.723631508678238</v>
      </c>
      <c r="N6445">
        <v>0.99465954606141505</v>
      </c>
      <c r="O6445">
        <v>0.81486426346239405</v>
      </c>
      <c r="AF6445" t="s">
        <v>13280</v>
      </c>
    </row>
    <row r="6446" spans="1:32" hidden="1" x14ac:dyDescent="0.35">
      <c r="A6446">
        <v>6445</v>
      </c>
      <c r="B6446" t="s">
        <v>13278</v>
      </c>
      <c r="C6446" t="s">
        <v>68</v>
      </c>
      <c r="D6446" t="s">
        <v>62</v>
      </c>
      <c r="E6446">
        <v>1379</v>
      </c>
      <c r="F6446">
        <v>2</v>
      </c>
      <c r="G6446">
        <v>3</v>
      </c>
      <c r="H6446">
        <v>2</v>
      </c>
      <c r="I6446">
        <v>0</v>
      </c>
      <c r="J6446">
        <v>0.88367314683104203</v>
      </c>
      <c r="K6446">
        <v>0.94048392509085399</v>
      </c>
      <c r="L6446">
        <v>0.91119389050574995</v>
      </c>
      <c r="M6446">
        <v>0.723631508678238</v>
      </c>
      <c r="N6446">
        <v>0.99465954606141505</v>
      </c>
      <c r="O6446">
        <v>0.81486426346239405</v>
      </c>
      <c r="AF6446" t="s">
        <v>13281</v>
      </c>
    </row>
    <row r="6447" spans="1:32" hidden="1" x14ac:dyDescent="0.35">
      <c r="A6447">
        <v>6446</v>
      </c>
      <c r="B6447" t="s">
        <v>13282</v>
      </c>
      <c r="C6447" t="s">
        <v>68</v>
      </c>
      <c r="D6447" t="s">
        <v>58</v>
      </c>
      <c r="E6447">
        <v>145</v>
      </c>
      <c r="F6447">
        <v>3</v>
      </c>
      <c r="G6447">
        <v>3</v>
      </c>
      <c r="H6447">
        <v>1</v>
      </c>
      <c r="I6447">
        <v>0</v>
      </c>
      <c r="J6447">
        <v>0.82041969330104902</v>
      </c>
      <c r="K6447">
        <v>0.91117335417752099</v>
      </c>
      <c r="L6447">
        <v>0.86341830127689001</v>
      </c>
      <c r="M6447">
        <v>0.55263157894736803</v>
      </c>
      <c r="N6447">
        <v>0.99671052631578905</v>
      </c>
      <c r="O6447">
        <v>0.70065789473684204</v>
      </c>
      <c r="P6447" t="s">
        <v>5365</v>
      </c>
      <c r="Q6447" t="s">
        <v>5366</v>
      </c>
      <c r="R6447" t="s">
        <v>1869</v>
      </c>
      <c r="S6447" t="s">
        <v>1870</v>
      </c>
      <c r="T6447" t="s">
        <v>5359</v>
      </c>
      <c r="U6447" t="s">
        <v>5360</v>
      </c>
      <c r="V6447" t="s">
        <v>5361</v>
      </c>
      <c r="W6447" t="s">
        <v>5362</v>
      </c>
      <c r="AD6447" t="s">
        <v>166</v>
      </c>
      <c r="AE6447" t="s">
        <v>5363</v>
      </c>
      <c r="AF6447" t="s">
        <v>13283</v>
      </c>
    </row>
    <row r="6448" spans="1:32" hidden="1" x14ac:dyDescent="0.35">
      <c r="A6448">
        <v>6447</v>
      </c>
      <c r="B6448" t="s">
        <v>13282</v>
      </c>
      <c r="C6448" t="s">
        <v>68</v>
      </c>
      <c r="D6448" t="s">
        <v>60</v>
      </c>
      <c r="E6448">
        <v>233</v>
      </c>
      <c r="F6448">
        <v>3</v>
      </c>
      <c r="G6448">
        <v>3</v>
      </c>
      <c r="H6448">
        <v>1</v>
      </c>
      <c r="I6448">
        <v>0</v>
      </c>
      <c r="J6448">
        <v>0.82041969330104902</v>
      </c>
      <c r="K6448">
        <v>0.91117335417752099</v>
      </c>
      <c r="L6448">
        <v>0.86341830127689001</v>
      </c>
      <c r="M6448">
        <v>0.55263157894736803</v>
      </c>
      <c r="N6448">
        <v>0.99671052631578905</v>
      </c>
      <c r="O6448">
        <v>0.70065789473684204</v>
      </c>
      <c r="P6448" t="s">
        <v>5365</v>
      </c>
      <c r="Q6448" t="s">
        <v>5366</v>
      </c>
      <c r="R6448" t="s">
        <v>1869</v>
      </c>
      <c r="S6448" t="s">
        <v>1870</v>
      </c>
      <c r="T6448" t="s">
        <v>5359</v>
      </c>
      <c r="U6448" t="s">
        <v>5360</v>
      </c>
      <c r="V6448" t="s">
        <v>5361</v>
      </c>
      <c r="W6448" t="s">
        <v>5362</v>
      </c>
      <c r="AD6448" t="s">
        <v>166</v>
      </c>
      <c r="AE6448" t="s">
        <v>5363</v>
      </c>
      <c r="AF6448" t="s">
        <v>13284</v>
      </c>
    </row>
    <row r="6449" spans="1:32" hidden="1" x14ac:dyDescent="0.35">
      <c r="A6449">
        <v>6448</v>
      </c>
      <c r="B6449" t="s">
        <v>13282</v>
      </c>
      <c r="C6449" t="s">
        <v>68</v>
      </c>
      <c r="D6449" t="s">
        <v>62</v>
      </c>
      <c r="E6449">
        <v>310</v>
      </c>
      <c r="F6449">
        <v>3</v>
      </c>
      <c r="G6449">
        <v>3</v>
      </c>
      <c r="H6449">
        <v>1</v>
      </c>
      <c r="I6449">
        <v>0</v>
      </c>
      <c r="J6449">
        <v>0.82041969330104902</v>
      </c>
      <c r="K6449">
        <v>0.91117335417752099</v>
      </c>
      <c r="L6449">
        <v>0.86341830127689001</v>
      </c>
      <c r="M6449">
        <v>0.55263157894736803</v>
      </c>
      <c r="N6449">
        <v>0.99671052631578905</v>
      </c>
      <c r="O6449">
        <v>0.70065789473684204</v>
      </c>
      <c r="P6449" t="s">
        <v>5365</v>
      </c>
      <c r="Q6449" t="s">
        <v>5366</v>
      </c>
      <c r="R6449" t="s">
        <v>1869</v>
      </c>
      <c r="S6449" t="s">
        <v>1870</v>
      </c>
      <c r="T6449" t="s">
        <v>5359</v>
      </c>
      <c r="U6449" t="s">
        <v>5360</v>
      </c>
      <c r="V6449" t="s">
        <v>5361</v>
      </c>
      <c r="W6449" t="s">
        <v>5362</v>
      </c>
      <c r="AD6449" t="s">
        <v>166</v>
      </c>
      <c r="AE6449" t="s">
        <v>5363</v>
      </c>
      <c r="AF6449" t="s">
        <v>13285</v>
      </c>
    </row>
    <row r="6450" spans="1:32" hidden="1" x14ac:dyDescent="0.35">
      <c r="A6450">
        <v>6449</v>
      </c>
      <c r="B6450" t="s">
        <v>13286</v>
      </c>
      <c r="C6450" t="s">
        <v>68</v>
      </c>
      <c r="D6450" t="s">
        <v>58</v>
      </c>
      <c r="E6450">
        <v>91</v>
      </c>
      <c r="F6450">
        <v>3</v>
      </c>
      <c r="G6450">
        <v>3</v>
      </c>
      <c r="H6450">
        <v>1</v>
      </c>
      <c r="I6450">
        <v>0</v>
      </c>
      <c r="J6450">
        <v>0.80598189689098798</v>
      </c>
      <c r="K6450">
        <v>0.92027652043938701</v>
      </c>
      <c r="L6450">
        <v>0.85934551647839597</v>
      </c>
      <c r="M6450">
        <v>0.52597402597402598</v>
      </c>
      <c r="N6450">
        <v>0.99025974025973995</v>
      </c>
      <c r="O6450">
        <v>0.68073593073593097</v>
      </c>
      <c r="AF6450" t="s">
        <v>13287</v>
      </c>
    </row>
    <row r="6451" spans="1:32" hidden="1" x14ac:dyDescent="0.35">
      <c r="A6451">
        <v>6450</v>
      </c>
      <c r="B6451" t="s">
        <v>13286</v>
      </c>
      <c r="C6451" t="s">
        <v>68</v>
      </c>
      <c r="D6451" t="s">
        <v>60</v>
      </c>
      <c r="E6451">
        <v>178</v>
      </c>
      <c r="F6451">
        <v>3</v>
      </c>
      <c r="G6451">
        <v>3</v>
      </c>
      <c r="H6451">
        <v>1</v>
      </c>
      <c r="I6451">
        <v>0</v>
      </c>
      <c r="J6451">
        <v>0.80598189689098798</v>
      </c>
      <c r="K6451">
        <v>0.92027652043938701</v>
      </c>
      <c r="L6451">
        <v>0.85934551647839597</v>
      </c>
      <c r="M6451">
        <v>0.52597402597402598</v>
      </c>
      <c r="N6451">
        <v>0.99025974025973995</v>
      </c>
      <c r="O6451">
        <v>0.68073593073593097</v>
      </c>
      <c r="AF6451" t="s">
        <v>13288</v>
      </c>
    </row>
    <row r="6452" spans="1:32" hidden="1" x14ac:dyDescent="0.35">
      <c r="A6452">
        <v>6451</v>
      </c>
      <c r="B6452" t="s">
        <v>13286</v>
      </c>
      <c r="C6452" t="s">
        <v>68</v>
      </c>
      <c r="D6452" t="s">
        <v>62</v>
      </c>
      <c r="E6452">
        <v>254</v>
      </c>
      <c r="F6452">
        <v>3</v>
      </c>
      <c r="G6452">
        <v>3</v>
      </c>
      <c r="H6452">
        <v>1</v>
      </c>
      <c r="I6452">
        <v>0</v>
      </c>
      <c r="J6452">
        <v>0.80598189689098798</v>
      </c>
      <c r="K6452">
        <v>0.92027652043938701</v>
      </c>
      <c r="L6452">
        <v>0.85934551647839597</v>
      </c>
      <c r="M6452">
        <v>0.52597402597402598</v>
      </c>
      <c r="N6452">
        <v>0.99025974025973995</v>
      </c>
      <c r="O6452">
        <v>0.68073593073593097</v>
      </c>
      <c r="AF6452" t="s">
        <v>13289</v>
      </c>
    </row>
    <row r="6453" spans="1:32" hidden="1" x14ac:dyDescent="0.35">
      <c r="A6453">
        <v>1239</v>
      </c>
      <c r="B6453" t="s">
        <v>2563</v>
      </c>
      <c r="C6453" t="s">
        <v>72</v>
      </c>
      <c r="D6453" t="s">
        <v>58</v>
      </c>
      <c r="E6453">
        <v>1253</v>
      </c>
      <c r="F6453">
        <v>5</v>
      </c>
      <c r="G6453">
        <v>5</v>
      </c>
      <c r="H6453">
        <v>1</v>
      </c>
      <c r="I6453">
        <v>1</v>
      </c>
      <c r="J6453">
        <v>0.91859923628574103</v>
      </c>
      <c r="K6453">
        <v>0.99144967682364005</v>
      </c>
      <c r="L6453">
        <v>0.953635176246176</v>
      </c>
      <c r="M6453">
        <v>0.83933518005540197</v>
      </c>
      <c r="N6453">
        <v>1</v>
      </c>
      <c r="O6453">
        <v>0.880332409972299</v>
      </c>
      <c r="P6453" t="s">
        <v>2564</v>
      </c>
      <c r="Q6453" t="s">
        <v>2565</v>
      </c>
      <c r="R6453" t="s">
        <v>224</v>
      </c>
      <c r="S6453" t="s">
        <v>225</v>
      </c>
      <c r="T6453" t="s">
        <v>2566</v>
      </c>
      <c r="U6453" t="s">
        <v>2567</v>
      </c>
      <c r="V6453" t="s">
        <v>2568</v>
      </c>
      <c r="W6453" t="s">
        <v>2569</v>
      </c>
      <c r="X6453" t="s">
        <v>2568</v>
      </c>
      <c r="Y6453" t="s">
        <v>773</v>
      </c>
      <c r="AD6453" t="s">
        <v>1050</v>
      </c>
      <c r="AE6453" t="s">
        <v>1051</v>
      </c>
      <c r="AF6453" t="s">
        <v>2570</v>
      </c>
    </row>
    <row r="6454" spans="1:32" hidden="1" x14ac:dyDescent="0.35">
      <c r="A6454">
        <v>6453</v>
      </c>
      <c r="B6454" t="s">
        <v>13290</v>
      </c>
      <c r="C6454" t="s">
        <v>68</v>
      </c>
      <c r="D6454" t="s">
        <v>34</v>
      </c>
      <c r="E6454">
        <v>413</v>
      </c>
      <c r="F6454">
        <v>3</v>
      </c>
      <c r="G6454">
        <v>3</v>
      </c>
      <c r="H6454">
        <v>1</v>
      </c>
      <c r="I6454">
        <v>0</v>
      </c>
      <c r="J6454">
        <v>0.733723196881092</v>
      </c>
      <c r="K6454">
        <v>0.96363948694457102</v>
      </c>
      <c r="L6454">
        <v>0.83310968449975298</v>
      </c>
      <c r="M6454">
        <v>0.45270270270270302</v>
      </c>
      <c r="N6454">
        <v>0.99324324324324298</v>
      </c>
      <c r="O6454">
        <v>0.63400900900900903</v>
      </c>
      <c r="P6454" t="s">
        <v>9910</v>
      </c>
      <c r="Q6454" t="s">
        <v>9911</v>
      </c>
      <c r="R6454" t="s">
        <v>516</v>
      </c>
      <c r="S6454" t="s">
        <v>517</v>
      </c>
      <c r="T6454" t="s">
        <v>9912</v>
      </c>
      <c r="U6454" t="s">
        <v>9913</v>
      </c>
      <c r="V6454" t="s">
        <v>9914</v>
      </c>
      <c r="W6454" t="s">
        <v>9915</v>
      </c>
      <c r="AD6454" t="s">
        <v>219</v>
      </c>
      <c r="AE6454" t="s">
        <v>9916</v>
      </c>
      <c r="AF6454" t="s">
        <v>13292</v>
      </c>
    </row>
    <row r="6455" spans="1:32" hidden="1" x14ac:dyDescent="0.35">
      <c r="A6455">
        <v>6454</v>
      </c>
      <c r="B6455" t="s">
        <v>13290</v>
      </c>
      <c r="C6455" t="s">
        <v>68</v>
      </c>
      <c r="D6455" t="s">
        <v>45</v>
      </c>
      <c r="E6455">
        <v>1675</v>
      </c>
      <c r="F6455">
        <v>3</v>
      </c>
      <c r="G6455">
        <v>3</v>
      </c>
      <c r="H6455">
        <v>1</v>
      </c>
      <c r="I6455">
        <v>0</v>
      </c>
      <c r="J6455">
        <v>0.733723196881092</v>
      </c>
      <c r="K6455">
        <v>0.96363948694457102</v>
      </c>
      <c r="L6455">
        <v>0.83310968449975298</v>
      </c>
      <c r="M6455">
        <v>0.45270270270270302</v>
      </c>
      <c r="N6455">
        <v>0.99324324324324298</v>
      </c>
      <c r="O6455">
        <v>0.63400900900900903</v>
      </c>
      <c r="P6455" t="s">
        <v>9910</v>
      </c>
      <c r="Q6455" t="s">
        <v>9911</v>
      </c>
      <c r="R6455" t="s">
        <v>516</v>
      </c>
      <c r="S6455" t="s">
        <v>517</v>
      </c>
      <c r="T6455" t="s">
        <v>9912</v>
      </c>
      <c r="U6455" t="s">
        <v>9913</v>
      </c>
      <c r="V6455" t="s">
        <v>9914</v>
      </c>
      <c r="W6455" t="s">
        <v>9915</v>
      </c>
      <c r="AD6455" t="s">
        <v>219</v>
      </c>
      <c r="AE6455" t="s">
        <v>9916</v>
      </c>
      <c r="AF6455" t="s">
        <v>13293</v>
      </c>
    </row>
    <row r="6456" spans="1:32" hidden="1" x14ac:dyDescent="0.35">
      <c r="A6456">
        <v>6455</v>
      </c>
      <c r="B6456" t="s">
        <v>13294</v>
      </c>
      <c r="C6456" t="s">
        <v>68</v>
      </c>
      <c r="D6456" t="s">
        <v>60</v>
      </c>
      <c r="E6456">
        <v>698</v>
      </c>
      <c r="F6456">
        <v>1</v>
      </c>
      <c r="G6456">
        <v>3</v>
      </c>
      <c r="H6456">
        <v>3</v>
      </c>
      <c r="I6456">
        <v>0</v>
      </c>
      <c r="J6456">
        <v>0.89995189995189995</v>
      </c>
      <c r="K6456">
        <v>0.96296490004649204</v>
      </c>
      <c r="L6456">
        <v>0.93039269535234204</v>
      </c>
      <c r="M6456">
        <v>0.80833333333333302</v>
      </c>
      <c r="N6456">
        <v>0.91249999999999998</v>
      </c>
      <c r="O6456">
        <v>0.85</v>
      </c>
      <c r="AF6456" t="s">
        <v>13296</v>
      </c>
    </row>
    <row r="6457" spans="1:32" hidden="1" x14ac:dyDescent="0.35">
      <c r="A6457">
        <v>6456</v>
      </c>
      <c r="B6457" t="s">
        <v>13294</v>
      </c>
      <c r="C6457" t="s">
        <v>68</v>
      </c>
      <c r="D6457" t="s">
        <v>60</v>
      </c>
      <c r="E6457">
        <v>2476</v>
      </c>
      <c r="F6457">
        <v>1</v>
      </c>
      <c r="G6457">
        <v>3</v>
      </c>
      <c r="H6457">
        <v>3</v>
      </c>
      <c r="I6457">
        <v>0</v>
      </c>
      <c r="J6457">
        <v>0.89995189995189995</v>
      </c>
      <c r="K6457">
        <v>0.96296490004649204</v>
      </c>
      <c r="L6457">
        <v>0.93039269535234204</v>
      </c>
      <c r="M6457">
        <v>0.80833333333333302</v>
      </c>
      <c r="N6457">
        <v>0.91249999999999998</v>
      </c>
      <c r="O6457">
        <v>0.85</v>
      </c>
      <c r="AF6457" t="s">
        <v>13297</v>
      </c>
    </row>
    <row r="6458" spans="1:32" hidden="1" x14ac:dyDescent="0.35">
      <c r="A6458">
        <v>6457</v>
      </c>
      <c r="B6458" t="s">
        <v>13294</v>
      </c>
      <c r="C6458" t="s">
        <v>68</v>
      </c>
      <c r="D6458" t="s">
        <v>60</v>
      </c>
      <c r="E6458">
        <v>1176</v>
      </c>
      <c r="F6458">
        <v>1</v>
      </c>
      <c r="G6458">
        <v>3</v>
      </c>
      <c r="H6458">
        <v>3</v>
      </c>
      <c r="I6458">
        <v>0</v>
      </c>
      <c r="J6458">
        <v>0.89995189995189995</v>
      </c>
      <c r="K6458">
        <v>0.96296490004649204</v>
      </c>
      <c r="L6458">
        <v>0.93039269535234204</v>
      </c>
      <c r="M6458">
        <v>0.80833333333333302</v>
      </c>
      <c r="N6458">
        <v>0.91249999999999998</v>
      </c>
      <c r="O6458">
        <v>0.85</v>
      </c>
      <c r="AF6458" t="s">
        <v>13298</v>
      </c>
    </row>
    <row r="6459" spans="1:32" s="1" customFormat="1" hidden="1" x14ac:dyDescent="0.35">
      <c r="A6459" s="1">
        <v>6458</v>
      </c>
      <c r="B6459" s="1" t="s">
        <v>13299</v>
      </c>
      <c r="C6459" s="1" t="s">
        <v>68</v>
      </c>
      <c r="D6459" s="1" t="s">
        <v>58</v>
      </c>
      <c r="E6459" s="1">
        <v>821</v>
      </c>
      <c r="F6459" s="1">
        <v>3</v>
      </c>
      <c r="G6459" s="1">
        <v>3</v>
      </c>
      <c r="H6459" s="1">
        <v>1</v>
      </c>
      <c r="I6459" s="1">
        <v>0</v>
      </c>
      <c r="J6459" s="1">
        <v>0.79353233830845804</v>
      </c>
      <c r="K6459" s="1">
        <v>0.95996853861884801</v>
      </c>
      <c r="L6459" s="1">
        <v>0.86885166603124298</v>
      </c>
      <c r="M6459" s="1">
        <v>0.56441717791410995</v>
      </c>
      <c r="N6459" s="1">
        <v>0.98159509202453998</v>
      </c>
      <c r="O6459" s="1">
        <v>0.70449897750511203</v>
      </c>
      <c r="P6459" s="1" t="s">
        <v>10935</v>
      </c>
      <c r="Q6459" s="1" t="s">
        <v>10936</v>
      </c>
      <c r="R6459" s="1" t="s">
        <v>8445</v>
      </c>
      <c r="S6459" s="1" t="s">
        <v>8446</v>
      </c>
      <c r="T6459" s="1" t="s">
        <v>10937</v>
      </c>
      <c r="U6459" s="1" t="s">
        <v>10938</v>
      </c>
      <c r="V6459" s="1" t="s">
        <v>10939</v>
      </c>
      <c r="W6459" s="1" t="s">
        <v>10940</v>
      </c>
      <c r="AD6459" s="1" t="s">
        <v>166</v>
      </c>
      <c r="AE6459" s="1" t="s">
        <v>10941</v>
      </c>
      <c r="AF6459" s="1" t="s">
        <v>13300</v>
      </c>
    </row>
    <row r="6460" spans="1:32" s="1" customFormat="1" hidden="1" x14ac:dyDescent="0.35">
      <c r="A6460" s="1">
        <v>6459</v>
      </c>
      <c r="B6460" s="1" t="s">
        <v>13299</v>
      </c>
      <c r="C6460" s="1" t="s">
        <v>68</v>
      </c>
      <c r="D6460" s="1" t="s">
        <v>60</v>
      </c>
      <c r="E6460" s="1">
        <v>1133</v>
      </c>
      <c r="F6460" s="1">
        <v>3</v>
      </c>
      <c r="G6460" s="1">
        <v>3</v>
      </c>
      <c r="H6460" s="1">
        <v>1</v>
      </c>
      <c r="I6460" s="1">
        <v>0</v>
      </c>
      <c r="J6460" s="1">
        <v>0.79353233830845804</v>
      </c>
      <c r="K6460" s="1">
        <v>0.95996853861884801</v>
      </c>
      <c r="L6460" s="1">
        <v>0.86885166603124298</v>
      </c>
      <c r="M6460" s="1">
        <v>0.56441717791410995</v>
      </c>
      <c r="N6460" s="1">
        <v>0.98159509202453998</v>
      </c>
      <c r="O6460" s="1">
        <v>0.70449897750511203</v>
      </c>
      <c r="P6460" s="1" t="s">
        <v>10935</v>
      </c>
      <c r="Q6460" s="1" t="s">
        <v>10936</v>
      </c>
      <c r="R6460" s="1" t="s">
        <v>8445</v>
      </c>
      <c r="S6460" s="1" t="s">
        <v>8446</v>
      </c>
      <c r="T6460" s="1" t="s">
        <v>10937</v>
      </c>
      <c r="U6460" s="1" t="s">
        <v>10938</v>
      </c>
      <c r="V6460" s="1" t="s">
        <v>10939</v>
      </c>
      <c r="W6460" s="1" t="s">
        <v>10940</v>
      </c>
      <c r="AD6460" s="1" t="s">
        <v>166</v>
      </c>
      <c r="AE6460" s="1" t="s">
        <v>10941</v>
      </c>
      <c r="AF6460" s="1" t="s">
        <v>13301</v>
      </c>
    </row>
    <row r="6461" spans="1:32" s="1" customFormat="1" hidden="1" x14ac:dyDescent="0.35">
      <c r="A6461" s="1">
        <v>6460</v>
      </c>
      <c r="B6461" s="1" t="s">
        <v>13299</v>
      </c>
      <c r="C6461" s="1" t="s">
        <v>68</v>
      </c>
      <c r="D6461" s="1" t="s">
        <v>62</v>
      </c>
      <c r="E6461" s="1">
        <v>1169</v>
      </c>
      <c r="F6461" s="1">
        <v>3</v>
      </c>
      <c r="G6461" s="1">
        <v>3</v>
      </c>
      <c r="H6461" s="1">
        <v>1</v>
      </c>
      <c r="I6461" s="1">
        <v>0</v>
      </c>
      <c r="J6461" s="1">
        <v>0.79353233830845804</v>
      </c>
      <c r="K6461" s="1">
        <v>0.95996853861884801</v>
      </c>
      <c r="L6461" s="1">
        <v>0.86885166603124298</v>
      </c>
      <c r="M6461" s="1">
        <v>0.56441717791410995</v>
      </c>
      <c r="N6461" s="1">
        <v>0.98159509202453998</v>
      </c>
      <c r="O6461" s="1">
        <v>0.70449897750511203</v>
      </c>
      <c r="P6461" s="1" t="s">
        <v>10935</v>
      </c>
      <c r="Q6461" s="1" t="s">
        <v>10936</v>
      </c>
      <c r="R6461" s="1" t="s">
        <v>8445</v>
      </c>
      <c r="S6461" s="1" t="s">
        <v>8446</v>
      </c>
      <c r="T6461" s="1" t="s">
        <v>10937</v>
      </c>
      <c r="U6461" s="1" t="s">
        <v>10938</v>
      </c>
      <c r="V6461" s="1" t="s">
        <v>10939</v>
      </c>
      <c r="W6461" s="1" t="s">
        <v>10940</v>
      </c>
      <c r="AD6461" s="1" t="s">
        <v>166</v>
      </c>
      <c r="AE6461" s="1" t="s">
        <v>10941</v>
      </c>
      <c r="AF6461" s="1" t="s">
        <v>13302</v>
      </c>
    </row>
    <row r="6462" spans="1:32" hidden="1" x14ac:dyDescent="0.35">
      <c r="A6462">
        <v>6461</v>
      </c>
      <c r="B6462" t="s">
        <v>13303</v>
      </c>
      <c r="C6462" t="s">
        <v>68</v>
      </c>
      <c r="D6462" t="s">
        <v>58</v>
      </c>
      <c r="E6462">
        <v>1511</v>
      </c>
      <c r="F6462">
        <v>3</v>
      </c>
      <c r="G6462">
        <v>3</v>
      </c>
      <c r="H6462">
        <v>1</v>
      </c>
      <c r="I6462">
        <v>0</v>
      </c>
      <c r="J6462">
        <v>0.79982363315696603</v>
      </c>
      <c r="K6462">
        <v>0.96970781156827801</v>
      </c>
      <c r="L6462">
        <v>0.87661084210872298</v>
      </c>
      <c r="M6462">
        <v>0.57692307692307698</v>
      </c>
      <c r="N6462">
        <v>0.984615384615385</v>
      </c>
      <c r="O6462">
        <v>0.71538461538461495</v>
      </c>
      <c r="AF6462" t="s">
        <v>13304</v>
      </c>
    </row>
    <row r="6463" spans="1:32" hidden="1" x14ac:dyDescent="0.35">
      <c r="A6463">
        <v>6462</v>
      </c>
      <c r="B6463" t="s">
        <v>13303</v>
      </c>
      <c r="C6463" t="s">
        <v>68</v>
      </c>
      <c r="D6463" t="s">
        <v>60</v>
      </c>
      <c r="E6463">
        <v>529</v>
      </c>
      <c r="F6463">
        <v>3</v>
      </c>
      <c r="G6463">
        <v>3</v>
      </c>
      <c r="H6463">
        <v>1</v>
      </c>
      <c r="I6463">
        <v>0</v>
      </c>
      <c r="J6463">
        <v>0.79982363315696603</v>
      </c>
      <c r="K6463">
        <v>0.96970781156827801</v>
      </c>
      <c r="L6463">
        <v>0.87661084210872298</v>
      </c>
      <c r="M6463">
        <v>0.57692307692307698</v>
      </c>
      <c r="N6463">
        <v>0.984615384615385</v>
      </c>
      <c r="O6463">
        <v>0.71538461538461495</v>
      </c>
      <c r="R6463" t="s">
        <v>10224</v>
      </c>
      <c r="S6463" t="s">
        <v>10225</v>
      </c>
      <c r="V6463" t="s">
        <v>10228</v>
      </c>
      <c r="W6463" t="s">
        <v>10229</v>
      </c>
      <c r="AF6463" t="e">
        <f>---MDINGGRFYVRPLHDDNRIDDRPALSVIHNHPIPEDYVEKRRQEWASESTYSWAACEQTSVEMLALITLTPQ-GDGTAHIEALPAGDPERQLPNDPVLEQKTVGDAVAEGRDTVQRWAESYLGLKVI</f>
        <v>#NAME?</v>
      </c>
    </row>
    <row r="6464" spans="1:32" hidden="1" x14ac:dyDescent="0.35">
      <c r="A6464">
        <v>6463</v>
      </c>
      <c r="B6464" t="s">
        <v>13303</v>
      </c>
      <c r="C6464" t="s">
        <v>68</v>
      </c>
      <c r="D6464" t="s">
        <v>62</v>
      </c>
      <c r="E6464">
        <v>613</v>
      </c>
      <c r="F6464">
        <v>3</v>
      </c>
      <c r="G6464">
        <v>3</v>
      </c>
      <c r="H6464">
        <v>1</v>
      </c>
      <c r="I6464">
        <v>0</v>
      </c>
      <c r="J6464">
        <v>0.79982363315696603</v>
      </c>
      <c r="K6464">
        <v>0.96970781156827801</v>
      </c>
      <c r="L6464">
        <v>0.87661084210872298</v>
      </c>
      <c r="M6464">
        <v>0.57692307692307698</v>
      </c>
      <c r="N6464">
        <v>0.984615384615385</v>
      </c>
      <c r="O6464">
        <v>0.71538461538461495</v>
      </c>
      <c r="R6464" t="s">
        <v>10224</v>
      </c>
      <c r="S6464" t="s">
        <v>10225</v>
      </c>
      <c r="V6464" t="s">
        <v>10228</v>
      </c>
      <c r="W6464" t="s">
        <v>10229</v>
      </c>
      <c r="AF6464" t="e">
        <f>---MDINGGRFYVRPLHDDNRIDDRPALSLIHNHPIPEDYVEKRRQEWASESTYSWAACEQTSVEMLALITLTPQ-GDGTARIEALPAGDPERQLPNDPVLEQKTVGDAVAEGRDTVQRWAESYLGLKVI</f>
        <v>#NAME?</v>
      </c>
    </row>
    <row r="6465" spans="1:32" hidden="1" x14ac:dyDescent="0.35">
      <c r="A6465">
        <v>549</v>
      </c>
      <c r="B6465" t="s">
        <v>1072</v>
      </c>
      <c r="C6465" t="s">
        <v>72</v>
      </c>
      <c r="D6465" t="s">
        <v>58</v>
      </c>
      <c r="E6465">
        <v>991</v>
      </c>
      <c r="F6465">
        <v>5</v>
      </c>
      <c r="G6465">
        <v>5</v>
      </c>
      <c r="H6465">
        <v>1</v>
      </c>
      <c r="I6465">
        <v>1</v>
      </c>
      <c r="J6465">
        <v>0.90142671854734102</v>
      </c>
      <c r="K6465">
        <v>0.98846153846153895</v>
      </c>
      <c r="L6465">
        <v>0.94294002592075499</v>
      </c>
      <c r="M6465">
        <v>0.76923076923076905</v>
      </c>
      <c r="N6465">
        <v>1</v>
      </c>
      <c r="O6465">
        <v>0.82820512820512804</v>
      </c>
      <c r="P6465" t="s">
        <v>1073</v>
      </c>
      <c r="Q6465" t="s">
        <v>1074</v>
      </c>
      <c r="R6465" t="s">
        <v>540</v>
      </c>
      <c r="S6465" t="s">
        <v>541</v>
      </c>
      <c r="T6465" t="s">
        <v>1075</v>
      </c>
      <c r="U6465" t="s">
        <v>1076</v>
      </c>
      <c r="V6465" t="s">
        <v>1077</v>
      </c>
      <c r="W6465" t="s">
        <v>1078</v>
      </c>
      <c r="AD6465" t="s">
        <v>1079</v>
      </c>
      <c r="AE6465" t="s">
        <v>1080</v>
      </c>
      <c r="AF6465" t="s">
        <v>1081</v>
      </c>
    </row>
    <row r="6466" spans="1:32" hidden="1" x14ac:dyDescent="0.35">
      <c r="A6466">
        <v>6465</v>
      </c>
      <c r="B6466" t="s">
        <v>13305</v>
      </c>
      <c r="C6466" t="s">
        <v>68</v>
      </c>
      <c r="D6466" t="s">
        <v>60</v>
      </c>
      <c r="E6466">
        <v>2235</v>
      </c>
      <c r="F6466">
        <v>3</v>
      </c>
      <c r="G6466">
        <v>3</v>
      </c>
      <c r="H6466">
        <v>1</v>
      </c>
      <c r="I6466">
        <v>0</v>
      </c>
      <c r="J6466">
        <v>0.87177063642092001</v>
      </c>
      <c r="K6466">
        <v>0.97468154247205396</v>
      </c>
      <c r="L6466">
        <v>0.92035825059711796</v>
      </c>
      <c r="M6466">
        <v>0.69060773480662996</v>
      </c>
      <c r="N6466">
        <v>0.98895027624309395</v>
      </c>
      <c r="O6466">
        <v>0.79097605893185996</v>
      </c>
      <c r="P6466" t="s">
        <v>8909</v>
      </c>
      <c r="Q6466" t="s">
        <v>8910</v>
      </c>
      <c r="R6466" t="s">
        <v>342</v>
      </c>
      <c r="S6466" t="s">
        <v>343</v>
      </c>
      <c r="V6466" t="s">
        <v>8913</v>
      </c>
      <c r="W6466" t="s">
        <v>8914</v>
      </c>
      <c r="AF6466" t="s">
        <v>13307</v>
      </c>
    </row>
    <row r="6467" spans="1:32" hidden="1" x14ac:dyDescent="0.35">
      <c r="A6467">
        <v>6466</v>
      </c>
      <c r="B6467" t="s">
        <v>13305</v>
      </c>
      <c r="C6467" t="s">
        <v>68</v>
      </c>
      <c r="D6467" t="s">
        <v>62</v>
      </c>
      <c r="E6467">
        <v>2265</v>
      </c>
      <c r="F6467">
        <v>3</v>
      </c>
      <c r="G6467">
        <v>3</v>
      </c>
      <c r="H6467">
        <v>1</v>
      </c>
      <c r="I6467">
        <v>0</v>
      </c>
      <c r="J6467">
        <v>0.87177063642092001</v>
      </c>
      <c r="K6467">
        <v>0.97468154247205396</v>
      </c>
      <c r="L6467">
        <v>0.92035825059711796</v>
      </c>
      <c r="M6467">
        <v>0.69060773480662996</v>
      </c>
      <c r="N6467">
        <v>0.98895027624309395</v>
      </c>
      <c r="O6467">
        <v>0.79097605893185996</v>
      </c>
      <c r="P6467" t="s">
        <v>8909</v>
      </c>
      <c r="Q6467" t="s">
        <v>8910</v>
      </c>
      <c r="R6467" t="s">
        <v>342</v>
      </c>
      <c r="S6467" t="s">
        <v>343</v>
      </c>
      <c r="V6467" t="s">
        <v>8913</v>
      </c>
      <c r="W6467" t="s">
        <v>8914</v>
      </c>
      <c r="AF6467" t="s">
        <v>13308</v>
      </c>
    </row>
    <row r="6468" spans="1:32" hidden="1" x14ac:dyDescent="0.35">
      <c r="A6468">
        <v>6467</v>
      </c>
      <c r="B6468" t="s">
        <v>13309</v>
      </c>
      <c r="C6468" t="s">
        <v>68</v>
      </c>
      <c r="D6468" t="s">
        <v>60</v>
      </c>
      <c r="E6468">
        <v>1040</v>
      </c>
      <c r="F6468">
        <v>2</v>
      </c>
      <c r="G6468">
        <v>2</v>
      </c>
      <c r="H6468">
        <v>1</v>
      </c>
      <c r="I6468">
        <v>0</v>
      </c>
      <c r="J6468">
        <v>1</v>
      </c>
      <c r="K6468">
        <v>1</v>
      </c>
      <c r="L6468">
        <v>1</v>
      </c>
      <c r="M6468">
        <v>1</v>
      </c>
      <c r="N6468">
        <v>1</v>
      </c>
      <c r="O6468">
        <v>1</v>
      </c>
      <c r="P6468" t="s">
        <v>4358</v>
      </c>
      <c r="Q6468" t="s">
        <v>4359</v>
      </c>
      <c r="R6468" t="s">
        <v>319</v>
      </c>
      <c r="S6468" t="s">
        <v>320</v>
      </c>
      <c r="T6468" t="s">
        <v>11819</v>
      </c>
      <c r="U6468" t="s">
        <v>11820</v>
      </c>
      <c r="V6468" t="s">
        <v>11821</v>
      </c>
      <c r="W6468" t="s">
        <v>11822</v>
      </c>
      <c r="AD6468" t="s">
        <v>11823</v>
      </c>
      <c r="AE6468" t="s">
        <v>11824</v>
      </c>
      <c r="AF6468" t="s">
        <v>13310</v>
      </c>
    </row>
    <row r="6469" spans="1:32" hidden="1" x14ac:dyDescent="0.35">
      <c r="A6469">
        <v>6468</v>
      </c>
      <c r="B6469" t="s">
        <v>13309</v>
      </c>
      <c r="C6469" t="s">
        <v>68</v>
      </c>
      <c r="D6469" t="s">
        <v>62</v>
      </c>
      <c r="E6469">
        <v>1076</v>
      </c>
      <c r="F6469">
        <v>2</v>
      </c>
      <c r="G6469">
        <v>2</v>
      </c>
      <c r="H6469">
        <v>1</v>
      </c>
      <c r="I6469">
        <v>0</v>
      </c>
      <c r="J6469">
        <v>1</v>
      </c>
      <c r="K6469">
        <v>1</v>
      </c>
      <c r="L6469">
        <v>1</v>
      </c>
      <c r="M6469">
        <v>1</v>
      </c>
      <c r="N6469">
        <v>1</v>
      </c>
      <c r="O6469">
        <v>1</v>
      </c>
      <c r="P6469" t="s">
        <v>4358</v>
      </c>
      <c r="Q6469" t="s">
        <v>4359</v>
      </c>
      <c r="R6469" t="s">
        <v>319</v>
      </c>
      <c r="S6469" t="s">
        <v>320</v>
      </c>
      <c r="T6469" t="s">
        <v>11819</v>
      </c>
      <c r="U6469" t="s">
        <v>11820</v>
      </c>
      <c r="V6469" t="s">
        <v>11821</v>
      </c>
      <c r="W6469" t="s">
        <v>11822</v>
      </c>
      <c r="AD6469" t="s">
        <v>11823</v>
      </c>
      <c r="AE6469" t="s">
        <v>11824</v>
      </c>
      <c r="AF6469" t="s">
        <v>13310</v>
      </c>
    </row>
    <row r="6470" spans="1:32" hidden="1" x14ac:dyDescent="0.35">
      <c r="A6470">
        <v>6469</v>
      </c>
      <c r="B6470" t="s">
        <v>13311</v>
      </c>
      <c r="C6470" t="s">
        <v>68</v>
      </c>
      <c r="D6470" t="s">
        <v>60</v>
      </c>
      <c r="E6470">
        <v>1926</v>
      </c>
      <c r="F6470">
        <v>2</v>
      </c>
      <c r="G6470">
        <v>2</v>
      </c>
      <c r="H6470">
        <v>1</v>
      </c>
      <c r="I6470">
        <v>0</v>
      </c>
      <c r="J6470">
        <v>1</v>
      </c>
      <c r="K6470">
        <v>1</v>
      </c>
      <c r="L6470">
        <v>1</v>
      </c>
      <c r="M6470">
        <v>1</v>
      </c>
      <c r="N6470">
        <v>1</v>
      </c>
      <c r="O6470">
        <v>1</v>
      </c>
      <c r="AF6470" t="s">
        <v>13312</v>
      </c>
    </row>
    <row r="6471" spans="1:32" hidden="1" x14ac:dyDescent="0.35">
      <c r="A6471">
        <v>6470</v>
      </c>
      <c r="B6471" t="s">
        <v>13311</v>
      </c>
      <c r="C6471" t="s">
        <v>68</v>
      </c>
      <c r="D6471" t="s">
        <v>62</v>
      </c>
      <c r="E6471">
        <v>1966</v>
      </c>
      <c r="F6471">
        <v>2</v>
      </c>
      <c r="G6471">
        <v>2</v>
      </c>
      <c r="H6471">
        <v>1</v>
      </c>
      <c r="I6471">
        <v>0</v>
      </c>
      <c r="J6471">
        <v>1</v>
      </c>
      <c r="K6471">
        <v>1</v>
      </c>
      <c r="L6471">
        <v>1</v>
      </c>
      <c r="M6471">
        <v>1</v>
      </c>
      <c r="N6471">
        <v>1</v>
      </c>
      <c r="O6471">
        <v>1</v>
      </c>
      <c r="AF6471" t="s">
        <v>13312</v>
      </c>
    </row>
    <row r="6472" spans="1:32" hidden="1" x14ac:dyDescent="0.35">
      <c r="A6472">
        <v>6471</v>
      </c>
      <c r="B6472" t="s">
        <v>13313</v>
      </c>
      <c r="C6472" t="s">
        <v>68</v>
      </c>
      <c r="D6472" t="s">
        <v>60</v>
      </c>
      <c r="E6472">
        <v>1273</v>
      </c>
      <c r="F6472">
        <v>2</v>
      </c>
      <c r="G6472">
        <v>2</v>
      </c>
      <c r="H6472">
        <v>1</v>
      </c>
      <c r="I6472">
        <v>0</v>
      </c>
      <c r="J6472">
        <v>1</v>
      </c>
      <c r="K6472">
        <v>1</v>
      </c>
      <c r="L6472">
        <v>1</v>
      </c>
      <c r="M6472">
        <v>1</v>
      </c>
      <c r="N6472">
        <v>1</v>
      </c>
      <c r="O6472">
        <v>1</v>
      </c>
      <c r="P6472" t="s">
        <v>13314</v>
      </c>
      <c r="Q6472" t="s">
        <v>13315</v>
      </c>
      <c r="R6472" t="s">
        <v>288</v>
      </c>
      <c r="S6472" t="s">
        <v>289</v>
      </c>
      <c r="V6472" t="s">
        <v>628</v>
      </c>
      <c r="W6472" t="s">
        <v>629</v>
      </c>
      <c r="AF6472" t="s">
        <v>13316</v>
      </c>
    </row>
    <row r="6473" spans="1:32" hidden="1" x14ac:dyDescent="0.35">
      <c r="A6473">
        <v>6472</v>
      </c>
      <c r="B6473" t="s">
        <v>13313</v>
      </c>
      <c r="C6473" t="s">
        <v>68</v>
      </c>
      <c r="D6473" t="s">
        <v>62</v>
      </c>
      <c r="E6473">
        <v>1309</v>
      </c>
      <c r="F6473">
        <v>2</v>
      </c>
      <c r="G6473">
        <v>2</v>
      </c>
      <c r="H6473">
        <v>1</v>
      </c>
      <c r="I6473">
        <v>0</v>
      </c>
      <c r="J6473">
        <v>1</v>
      </c>
      <c r="K6473">
        <v>1</v>
      </c>
      <c r="L6473">
        <v>1</v>
      </c>
      <c r="M6473">
        <v>1</v>
      </c>
      <c r="N6473">
        <v>1</v>
      </c>
      <c r="O6473">
        <v>1</v>
      </c>
      <c r="P6473" t="s">
        <v>13314</v>
      </c>
      <c r="Q6473" t="s">
        <v>13315</v>
      </c>
      <c r="R6473" t="s">
        <v>288</v>
      </c>
      <c r="S6473" t="s">
        <v>289</v>
      </c>
      <c r="V6473" t="s">
        <v>628</v>
      </c>
      <c r="W6473" t="s">
        <v>629</v>
      </c>
      <c r="AF6473" t="s">
        <v>13316</v>
      </c>
    </row>
    <row r="6474" spans="1:32" hidden="1" x14ac:dyDescent="0.35">
      <c r="A6474">
        <v>6473</v>
      </c>
      <c r="B6474" t="s">
        <v>13317</v>
      </c>
      <c r="C6474" t="s">
        <v>68</v>
      </c>
      <c r="D6474" t="s">
        <v>60</v>
      </c>
      <c r="E6474">
        <v>593</v>
      </c>
      <c r="F6474">
        <v>2</v>
      </c>
      <c r="G6474">
        <v>2</v>
      </c>
      <c r="H6474">
        <v>1</v>
      </c>
      <c r="I6474">
        <v>0</v>
      </c>
      <c r="J6474">
        <v>1</v>
      </c>
      <c r="K6474">
        <v>1</v>
      </c>
      <c r="L6474">
        <v>1</v>
      </c>
      <c r="M6474">
        <v>1</v>
      </c>
      <c r="N6474">
        <v>1</v>
      </c>
      <c r="O6474">
        <v>1</v>
      </c>
      <c r="P6474" t="s">
        <v>13318</v>
      </c>
      <c r="Q6474" t="s">
        <v>13319</v>
      </c>
      <c r="R6474" t="s">
        <v>157</v>
      </c>
      <c r="S6474" t="s">
        <v>158</v>
      </c>
      <c r="V6474" t="s">
        <v>13320</v>
      </c>
      <c r="W6474" t="s">
        <v>13321</v>
      </c>
      <c r="AF6474" t="s">
        <v>13322</v>
      </c>
    </row>
    <row r="6475" spans="1:32" hidden="1" x14ac:dyDescent="0.35">
      <c r="A6475">
        <v>6474</v>
      </c>
      <c r="B6475" t="s">
        <v>13317</v>
      </c>
      <c r="C6475" t="s">
        <v>68</v>
      </c>
      <c r="D6475" t="s">
        <v>62</v>
      </c>
      <c r="E6475">
        <v>677</v>
      </c>
      <c r="F6475">
        <v>2</v>
      </c>
      <c r="G6475">
        <v>2</v>
      </c>
      <c r="H6475">
        <v>1</v>
      </c>
      <c r="I6475">
        <v>0</v>
      </c>
      <c r="J6475">
        <v>1</v>
      </c>
      <c r="K6475">
        <v>1</v>
      </c>
      <c r="L6475">
        <v>1</v>
      </c>
      <c r="M6475">
        <v>1</v>
      </c>
      <c r="N6475">
        <v>1</v>
      </c>
      <c r="O6475">
        <v>1</v>
      </c>
      <c r="P6475" t="s">
        <v>13318</v>
      </c>
      <c r="Q6475" t="s">
        <v>13319</v>
      </c>
      <c r="R6475" t="s">
        <v>157</v>
      </c>
      <c r="S6475" t="s">
        <v>158</v>
      </c>
      <c r="V6475" t="s">
        <v>13320</v>
      </c>
      <c r="W6475" t="s">
        <v>13321</v>
      </c>
      <c r="AF6475" t="s">
        <v>13322</v>
      </c>
    </row>
    <row r="6476" spans="1:32" hidden="1" x14ac:dyDescent="0.35">
      <c r="A6476">
        <v>6475</v>
      </c>
      <c r="B6476" t="s">
        <v>13323</v>
      </c>
      <c r="C6476" t="s">
        <v>68</v>
      </c>
      <c r="D6476" t="s">
        <v>60</v>
      </c>
      <c r="E6476">
        <v>575</v>
      </c>
      <c r="F6476">
        <v>2</v>
      </c>
      <c r="G6476">
        <v>2</v>
      </c>
      <c r="H6476">
        <v>1</v>
      </c>
      <c r="I6476">
        <v>0</v>
      </c>
      <c r="J6476">
        <v>1</v>
      </c>
      <c r="K6476">
        <v>1</v>
      </c>
      <c r="L6476">
        <v>1</v>
      </c>
      <c r="M6476">
        <v>1</v>
      </c>
      <c r="N6476">
        <v>1</v>
      </c>
      <c r="O6476">
        <v>1</v>
      </c>
      <c r="P6476" t="s">
        <v>13324</v>
      </c>
      <c r="Q6476" t="s">
        <v>13325</v>
      </c>
      <c r="AF6476" t="s">
        <v>13326</v>
      </c>
    </row>
    <row r="6477" spans="1:32" hidden="1" x14ac:dyDescent="0.35">
      <c r="A6477">
        <v>6476</v>
      </c>
      <c r="B6477" t="s">
        <v>13323</v>
      </c>
      <c r="C6477" t="s">
        <v>68</v>
      </c>
      <c r="D6477" t="s">
        <v>62</v>
      </c>
      <c r="E6477">
        <v>659</v>
      </c>
      <c r="F6477">
        <v>2</v>
      </c>
      <c r="G6477">
        <v>2</v>
      </c>
      <c r="H6477">
        <v>1</v>
      </c>
      <c r="I6477">
        <v>0</v>
      </c>
      <c r="J6477">
        <v>1</v>
      </c>
      <c r="K6477">
        <v>1</v>
      </c>
      <c r="L6477">
        <v>1</v>
      </c>
      <c r="M6477">
        <v>1</v>
      </c>
      <c r="N6477">
        <v>1</v>
      </c>
      <c r="O6477">
        <v>1</v>
      </c>
      <c r="P6477" t="s">
        <v>13324</v>
      </c>
      <c r="Q6477" t="s">
        <v>13325</v>
      </c>
      <c r="AF6477" t="s">
        <v>13326</v>
      </c>
    </row>
    <row r="6478" spans="1:32" hidden="1" x14ac:dyDescent="0.35">
      <c r="A6478">
        <v>6477</v>
      </c>
      <c r="B6478" t="s">
        <v>13327</v>
      </c>
      <c r="C6478" t="s">
        <v>68</v>
      </c>
      <c r="D6478" t="s">
        <v>60</v>
      </c>
      <c r="E6478">
        <v>252</v>
      </c>
      <c r="F6478">
        <v>2</v>
      </c>
      <c r="G6478">
        <v>2</v>
      </c>
      <c r="H6478">
        <v>1</v>
      </c>
      <c r="I6478">
        <v>0</v>
      </c>
      <c r="J6478">
        <v>1</v>
      </c>
      <c r="K6478">
        <v>1</v>
      </c>
      <c r="L6478">
        <v>1</v>
      </c>
      <c r="M6478">
        <v>1</v>
      </c>
      <c r="N6478">
        <v>1</v>
      </c>
      <c r="O6478">
        <v>1</v>
      </c>
      <c r="P6478" t="s">
        <v>13328</v>
      </c>
      <c r="Q6478" t="s">
        <v>13329</v>
      </c>
      <c r="R6478" t="s">
        <v>13330</v>
      </c>
      <c r="S6478" t="s">
        <v>13331</v>
      </c>
      <c r="V6478" t="s">
        <v>13332</v>
      </c>
      <c r="W6478" t="s">
        <v>13333</v>
      </c>
      <c r="AF6478" t="s">
        <v>13334</v>
      </c>
    </row>
    <row r="6479" spans="1:32" hidden="1" x14ac:dyDescent="0.35">
      <c r="A6479">
        <v>6478</v>
      </c>
      <c r="B6479" t="s">
        <v>13327</v>
      </c>
      <c r="C6479" t="s">
        <v>68</v>
      </c>
      <c r="D6479" t="s">
        <v>62</v>
      </c>
      <c r="E6479">
        <v>330</v>
      </c>
      <c r="F6479">
        <v>2</v>
      </c>
      <c r="G6479">
        <v>2</v>
      </c>
      <c r="H6479">
        <v>1</v>
      </c>
      <c r="I6479">
        <v>0</v>
      </c>
      <c r="J6479">
        <v>1</v>
      </c>
      <c r="K6479">
        <v>1</v>
      </c>
      <c r="L6479">
        <v>1</v>
      </c>
      <c r="M6479">
        <v>1</v>
      </c>
      <c r="N6479">
        <v>1</v>
      </c>
      <c r="O6479">
        <v>1</v>
      </c>
      <c r="P6479" t="s">
        <v>13328</v>
      </c>
      <c r="Q6479" t="s">
        <v>13329</v>
      </c>
      <c r="R6479" t="s">
        <v>13330</v>
      </c>
      <c r="S6479" t="s">
        <v>13331</v>
      </c>
      <c r="V6479" t="s">
        <v>13332</v>
      </c>
      <c r="W6479" t="s">
        <v>13333</v>
      </c>
      <c r="AF6479" t="s">
        <v>13334</v>
      </c>
    </row>
    <row r="6480" spans="1:32" hidden="1" x14ac:dyDescent="0.35">
      <c r="A6480">
        <v>6479</v>
      </c>
      <c r="B6480" t="s">
        <v>13335</v>
      </c>
      <c r="C6480" t="s">
        <v>68</v>
      </c>
      <c r="D6480" t="s">
        <v>60</v>
      </c>
      <c r="E6480">
        <v>874</v>
      </c>
      <c r="F6480">
        <v>2</v>
      </c>
      <c r="G6480">
        <v>2</v>
      </c>
      <c r="H6480">
        <v>1</v>
      </c>
      <c r="I6480">
        <v>0</v>
      </c>
      <c r="J6480">
        <v>1</v>
      </c>
      <c r="K6480">
        <v>1</v>
      </c>
      <c r="L6480">
        <v>1</v>
      </c>
      <c r="M6480">
        <v>1</v>
      </c>
      <c r="N6480">
        <v>1</v>
      </c>
      <c r="O6480">
        <v>1</v>
      </c>
      <c r="P6480" t="s">
        <v>13336</v>
      </c>
      <c r="Q6480" t="s">
        <v>13337</v>
      </c>
      <c r="AF6480" t="s">
        <v>13338</v>
      </c>
    </row>
    <row r="6481" spans="1:32" hidden="1" x14ac:dyDescent="0.35">
      <c r="A6481">
        <v>6480</v>
      </c>
      <c r="B6481" t="s">
        <v>13335</v>
      </c>
      <c r="C6481" t="s">
        <v>68</v>
      </c>
      <c r="D6481" t="s">
        <v>62</v>
      </c>
      <c r="E6481">
        <v>908</v>
      </c>
      <c r="F6481">
        <v>2</v>
      </c>
      <c r="G6481">
        <v>2</v>
      </c>
      <c r="H6481">
        <v>1</v>
      </c>
      <c r="I6481">
        <v>0</v>
      </c>
      <c r="J6481">
        <v>1</v>
      </c>
      <c r="K6481">
        <v>1</v>
      </c>
      <c r="L6481">
        <v>1</v>
      </c>
      <c r="M6481">
        <v>1</v>
      </c>
      <c r="N6481">
        <v>1</v>
      </c>
      <c r="O6481">
        <v>1</v>
      </c>
      <c r="P6481" t="s">
        <v>13336</v>
      </c>
      <c r="Q6481" t="s">
        <v>13337</v>
      </c>
      <c r="AF6481" t="s">
        <v>13338</v>
      </c>
    </row>
    <row r="6482" spans="1:32" hidden="1" x14ac:dyDescent="0.35">
      <c r="A6482">
        <v>6481</v>
      </c>
      <c r="B6482" t="s">
        <v>13339</v>
      </c>
      <c r="C6482" t="s">
        <v>68</v>
      </c>
      <c r="D6482" t="s">
        <v>60</v>
      </c>
      <c r="E6482">
        <v>1072</v>
      </c>
      <c r="F6482">
        <v>2</v>
      </c>
      <c r="G6482">
        <v>2</v>
      </c>
      <c r="H6482">
        <v>1</v>
      </c>
      <c r="I6482">
        <v>0</v>
      </c>
      <c r="J6482">
        <v>1</v>
      </c>
      <c r="K6482">
        <v>1</v>
      </c>
      <c r="L6482">
        <v>1</v>
      </c>
      <c r="M6482">
        <v>1</v>
      </c>
      <c r="N6482">
        <v>1</v>
      </c>
      <c r="O6482">
        <v>1</v>
      </c>
      <c r="AF6482" t="s">
        <v>13340</v>
      </c>
    </row>
    <row r="6483" spans="1:32" hidden="1" x14ac:dyDescent="0.35">
      <c r="A6483">
        <v>6482</v>
      </c>
      <c r="B6483" t="s">
        <v>13339</v>
      </c>
      <c r="C6483" t="s">
        <v>68</v>
      </c>
      <c r="D6483" t="s">
        <v>62</v>
      </c>
      <c r="E6483">
        <v>1108</v>
      </c>
      <c r="F6483">
        <v>2</v>
      </c>
      <c r="G6483">
        <v>2</v>
      </c>
      <c r="H6483">
        <v>1</v>
      </c>
      <c r="I6483">
        <v>0</v>
      </c>
      <c r="J6483">
        <v>1</v>
      </c>
      <c r="K6483">
        <v>1</v>
      </c>
      <c r="L6483">
        <v>1</v>
      </c>
      <c r="M6483">
        <v>1</v>
      </c>
      <c r="N6483">
        <v>1</v>
      </c>
      <c r="O6483">
        <v>1</v>
      </c>
      <c r="AF6483" t="s">
        <v>13340</v>
      </c>
    </row>
    <row r="6484" spans="1:32" hidden="1" x14ac:dyDescent="0.35">
      <c r="A6484">
        <v>6483</v>
      </c>
      <c r="B6484" t="s">
        <v>13341</v>
      </c>
      <c r="C6484" t="s">
        <v>68</v>
      </c>
      <c r="D6484" t="s">
        <v>60</v>
      </c>
      <c r="E6484">
        <v>511</v>
      </c>
      <c r="F6484">
        <v>2</v>
      </c>
      <c r="G6484">
        <v>2</v>
      </c>
      <c r="H6484">
        <v>1</v>
      </c>
      <c r="I6484">
        <v>0</v>
      </c>
      <c r="J6484">
        <v>1</v>
      </c>
      <c r="K6484">
        <v>1</v>
      </c>
      <c r="L6484">
        <v>1</v>
      </c>
      <c r="M6484">
        <v>1</v>
      </c>
      <c r="N6484">
        <v>1</v>
      </c>
      <c r="O6484">
        <v>1</v>
      </c>
      <c r="AF6484" t="s">
        <v>13342</v>
      </c>
    </row>
    <row r="6485" spans="1:32" hidden="1" x14ac:dyDescent="0.35">
      <c r="A6485">
        <v>6484</v>
      </c>
      <c r="B6485" t="s">
        <v>13341</v>
      </c>
      <c r="C6485" t="s">
        <v>68</v>
      </c>
      <c r="D6485" t="s">
        <v>62</v>
      </c>
      <c r="E6485">
        <v>595</v>
      </c>
      <c r="F6485">
        <v>2</v>
      </c>
      <c r="G6485">
        <v>2</v>
      </c>
      <c r="H6485">
        <v>1</v>
      </c>
      <c r="I6485">
        <v>0</v>
      </c>
      <c r="J6485">
        <v>1</v>
      </c>
      <c r="K6485">
        <v>1</v>
      </c>
      <c r="L6485">
        <v>1</v>
      </c>
      <c r="M6485">
        <v>1</v>
      </c>
      <c r="N6485">
        <v>1</v>
      </c>
      <c r="O6485">
        <v>1</v>
      </c>
      <c r="AF6485" t="s">
        <v>13342</v>
      </c>
    </row>
    <row r="6486" spans="1:32" hidden="1" x14ac:dyDescent="0.35">
      <c r="A6486">
        <v>6485</v>
      </c>
      <c r="B6486" t="s">
        <v>13343</v>
      </c>
      <c r="C6486" t="s">
        <v>68</v>
      </c>
      <c r="D6486" t="s">
        <v>60</v>
      </c>
      <c r="E6486">
        <v>2212</v>
      </c>
      <c r="F6486">
        <v>2</v>
      </c>
      <c r="G6486">
        <v>2</v>
      </c>
      <c r="H6486">
        <v>1</v>
      </c>
      <c r="I6486">
        <v>0</v>
      </c>
      <c r="J6486">
        <v>1</v>
      </c>
      <c r="K6486">
        <v>1</v>
      </c>
      <c r="L6486">
        <v>1</v>
      </c>
      <c r="M6486">
        <v>1</v>
      </c>
      <c r="N6486">
        <v>1</v>
      </c>
      <c r="O6486">
        <v>1</v>
      </c>
      <c r="P6486" t="s">
        <v>1247</v>
      </c>
      <c r="Q6486" t="s">
        <v>1248</v>
      </c>
      <c r="R6486" t="s">
        <v>319</v>
      </c>
      <c r="S6486" t="s">
        <v>320</v>
      </c>
      <c r="T6486" t="s">
        <v>13344</v>
      </c>
      <c r="U6486" t="s">
        <v>13345</v>
      </c>
      <c r="V6486" t="s">
        <v>7750</v>
      </c>
      <c r="W6486" t="s">
        <v>7751</v>
      </c>
      <c r="AD6486" t="s">
        <v>166</v>
      </c>
      <c r="AE6486" t="s">
        <v>13346</v>
      </c>
      <c r="AF6486" t="s">
        <v>13347</v>
      </c>
    </row>
    <row r="6487" spans="1:32" hidden="1" x14ac:dyDescent="0.35">
      <c r="A6487">
        <v>6486</v>
      </c>
      <c r="B6487" t="s">
        <v>13343</v>
      </c>
      <c r="C6487" t="s">
        <v>68</v>
      </c>
      <c r="D6487" t="s">
        <v>62</v>
      </c>
      <c r="E6487">
        <v>2244</v>
      </c>
      <c r="F6487">
        <v>2</v>
      </c>
      <c r="G6487">
        <v>2</v>
      </c>
      <c r="H6487">
        <v>1</v>
      </c>
      <c r="I6487">
        <v>0</v>
      </c>
      <c r="J6487">
        <v>1</v>
      </c>
      <c r="K6487">
        <v>1</v>
      </c>
      <c r="L6487">
        <v>1</v>
      </c>
      <c r="M6487">
        <v>1</v>
      </c>
      <c r="N6487">
        <v>1</v>
      </c>
      <c r="O6487">
        <v>1</v>
      </c>
      <c r="P6487" t="s">
        <v>1247</v>
      </c>
      <c r="Q6487" t="s">
        <v>1248</v>
      </c>
      <c r="R6487" t="s">
        <v>319</v>
      </c>
      <c r="S6487" t="s">
        <v>320</v>
      </c>
      <c r="T6487" t="s">
        <v>13344</v>
      </c>
      <c r="U6487" t="s">
        <v>13345</v>
      </c>
      <c r="V6487" t="s">
        <v>7750</v>
      </c>
      <c r="W6487" t="s">
        <v>7751</v>
      </c>
      <c r="AD6487" t="s">
        <v>166</v>
      </c>
      <c r="AE6487" t="s">
        <v>13346</v>
      </c>
      <c r="AF6487" t="s">
        <v>13347</v>
      </c>
    </row>
    <row r="6488" spans="1:32" hidden="1" x14ac:dyDescent="0.35">
      <c r="A6488">
        <v>6487</v>
      </c>
      <c r="B6488" t="s">
        <v>13348</v>
      </c>
      <c r="C6488" t="s">
        <v>68</v>
      </c>
      <c r="D6488" t="s">
        <v>60</v>
      </c>
      <c r="E6488">
        <v>1964</v>
      </c>
      <c r="F6488">
        <v>2</v>
      </c>
      <c r="G6488">
        <v>2</v>
      </c>
      <c r="H6488">
        <v>1</v>
      </c>
      <c r="I6488">
        <v>0</v>
      </c>
      <c r="J6488">
        <v>1</v>
      </c>
      <c r="K6488">
        <v>1</v>
      </c>
      <c r="L6488">
        <v>1</v>
      </c>
      <c r="M6488">
        <v>1</v>
      </c>
      <c r="N6488">
        <v>1</v>
      </c>
      <c r="O6488">
        <v>1</v>
      </c>
      <c r="AF6488" t="s">
        <v>13349</v>
      </c>
    </row>
    <row r="6489" spans="1:32" hidden="1" x14ac:dyDescent="0.35">
      <c r="A6489">
        <v>6488</v>
      </c>
      <c r="B6489" t="s">
        <v>13348</v>
      </c>
      <c r="C6489" t="s">
        <v>68</v>
      </c>
      <c r="D6489" t="s">
        <v>62</v>
      </c>
      <c r="E6489">
        <v>2005</v>
      </c>
      <c r="F6489">
        <v>2</v>
      </c>
      <c r="G6489">
        <v>2</v>
      </c>
      <c r="H6489">
        <v>1</v>
      </c>
      <c r="I6489">
        <v>0</v>
      </c>
      <c r="J6489">
        <v>1</v>
      </c>
      <c r="K6489">
        <v>1</v>
      </c>
      <c r="L6489">
        <v>1</v>
      </c>
      <c r="M6489">
        <v>1</v>
      </c>
      <c r="N6489">
        <v>1</v>
      </c>
      <c r="O6489">
        <v>1</v>
      </c>
      <c r="AF6489" t="s">
        <v>13349</v>
      </c>
    </row>
    <row r="6490" spans="1:32" hidden="1" x14ac:dyDescent="0.35">
      <c r="A6490">
        <v>6489</v>
      </c>
      <c r="B6490" t="s">
        <v>13350</v>
      </c>
      <c r="C6490" t="s">
        <v>68</v>
      </c>
      <c r="D6490" t="s">
        <v>60</v>
      </c>
      <c r="E6490">
        <v>1833</v>
      </c>
      <c r="F6490">
        <v>2</v>
      </c>
      <c r="G6490">
        <v>2</v>
      </c>
      <c r="H6490">
        <v>1</v>
      </c>
      <c r="I6490">
        <v>0</v>
      </c>
      <c r="J6490">
        <v>1</v>
      </c>
      <c r="K6490">
        <v>1</v>
      </c>
      <c r="L6490">
        <v>1</v>
      </c>
      <c r="M6490">
        <v>1</v>
      </c>
      <c r="N6490">
        <v>1</v>
      </c>
      <c r="O6490">
        <v>1</v>
      </c>
      <c r="P6490" t="s">
        <v>13351</v>
      </c>
      <c r="Q6490" t="s">
        <v>13352</v>
      </c>
      <c r="R6490" t="s">
        <v>869</v>
      </c>
      <c r="S6490" t="s">
        <v>870</v>
      </c>
      <c r="T6490" t="s">
        <v>13353</v>
      </c>
      <c r="U6490" t="s">
        <v>13354</v>
      </c>
      <c r="V6490" t="s">
        <v>13355</v>
      </c>
      <c r="W6490" t="s">
        <v>13356</v>
      </c>
      <c r="X6490" t="s">
        <v>13355</v>
      </c>
      <c r="Y6490" t="s">
        <v>3682</v>
      </c>
      <c r="Z6490" t="s">
        <v>13357</v>
      </c>
      <c r="AA6490" t="s">
        <v>13358</v>
      </c>
      <c r="AB6490" t="s">
        <v>13357</v>
      </c>
      <c r="AC6490" t="s">
        <v>1742</v>
      </c>
      <c r="AD6490" t="s">
        <v>219</v>
      </c>
      <c r="AE6490" t="s">
        <v>13359</v>
      </c>
      <c r="AF6490" t="s">
        <v>13360</v>
      </c>
    </row>
    <row r="6491" spans="1:32" hidden="1" x14ac:dyDescent="0.35">
      <c r="A6491">
        <v>6490</v>
      </c>
      <c r="B6491" t="s">
        <v>13350</v>
      </c>
      <c r="C6491" t="s">
        <v>68</v>
      </c>
      <c r="D6491" t="s">
        <v>62</v>
      </c>
      <c r="E6491">
        <v>1871</v>
      </c>
      <c r="F6491">
        <v>2</v>
      </c>
      <c r="G6491">
        <v>2</v>
      </c>
      <c r="H6491">
        <v>1</v>
      </c>
      <c r="I6491">
        <v>0</v>
      </c>
      <c r="J6491">
        <v>1</v>
      </c>
      <c r="K6491">
        <v>1</v>
      </c>
      <c r="L6491">
        <v>1</v>
      </c>
      <c r="M6491">
        <v>1</v>
      </c>
      <c r="N6491">
        <v>1</v>
      </c>
      <c r="O6491">
        <v>1</v>
      </c>
      <c r="P6491" t="s">
        <v>13351</v>
      </c>
      <c r="Q6491" t="s">
        <v>13352</v>
      </c>
      <c r="R6491" t="s">
        <v>869</v>
      </c>
      <c r="S6491" t="s">
        <v>870</v>
      </c>
      <c r="T6491" t="s">
        <v>13353</v>
      </c>
      <c r="U6491" t="s">
        <v>13354</v>
      </c>
      <c r="V6491" t="s">
        <v>13355</v>
      </c>
      <c r="W6491" t="s">
        <v>13356</v>
      </c>
      <c r="X6491" t="s">
        <v>13355</v>
      </c>
      <c r="Y6491" t="s">
        <v>3682</v>
      </c>
      <c r="Z6491" t="s">
        <v>13357</v>
      </c>
      <c r="AA6491" t="s">
        <v>13358</v>
      </c>
      <c r="AB6491" t="s">
        <v>13357</v>
      </c>
      <c r="AC6491" t="s">
        <v>1742</v>
      </c>
      <c r="AD6491" t="s">
        <v>219</v>
      </c>
      <c r="AE6491" t="s">
        <v>13359</v>
      </c>
      <c r="AF6491" t="s">
        <v>13360</v>
      </c>
    </row>
    <row r="6492" spans="1:32" hidden="1" x14ac:dyDescent="0.35">
      <c r="A6492">
        <v>6491</v>
      </c>
      <c r="B6492" t="s">
        <v>13361</v>
      </c>
      <c r="C6492" t="s">
        <v>68</v>
      </c>
      <c r="D6492" t="s">
        <v>34</v>
      </c>
      <c r="E6492">
        <v>2466</v>
      </c>
      <c r="F6492">
        <v>2</v>
      </c>
      <c r="G6492">
        <v>2</v>
      </c>
      <c r="H6492">
        <v>1</v>
      </c>
      <c r="I6492">
        <v>0</v>
      </c>
      <c r="J6492">
        <v>1</v>
      </c>
      <c r="K6492">
        <v>1</v>
      </c>
      <c r="L6492">
        <v>1</v>
      </c>
      <c r="M6492">
        <v>1</v>
      </c>
      <c r="N6492">
        <v>1</v>
      </c>
      <c r="O6492">
        <v>1</v>
      </c>
      <c r="P6492" t="s">
        <v>13362</v>
      </c>
      <c r="Q6492" t="s">
        <v>13363</v>
      </c>
      <c r="AF6492" t="s">
        <v>13364</v>
      </c>
    </row>
    <row r="6493" spans="1:32" hidden="1" x14ac:dyDescent="0.35">
      <c r="A6493">
        <v>6492</v>
      </c>
      <c r="B6493" t="s">
        <v>13361</v>
      </c>
      <c r="C6493" t="s">
        <v>68</v>
      </c>
      <c r="D6493" t="s">
        <v>45</v>
      </c>
      <c r="E6493">
        <v>435</v>
      </c>
      <c r="F6493">
        <v>2</v>
      </c>
      <c r="G6493">
        <v>2</v>
      </c>
      <c r="H6493">
        <v>1</v>
      </c>
      <c r="I6493">
        <v>0</v>
      </c>
      <c r="J6493">
        <v>1</v>
      </c>
      <c r="K6493">
        <v>1</v>
      </c>
      <c r="L6493">
        <v>1</v>
      </c>
      <c r="M6493">
        <v>1</v>
      </c>
      <c r="N6493">
        <v>1</v>
      </c>
      <c r="O6493">
        <v>1</v>
      </c>
      <c r="P6493" t="s">
        <v>13362</v>
      </c>
      <c r="Q6493" t="s">
        <v>13363</v>
      </c>
      <c r="AF6493" t="s">
        <v>13364</v>
      </c>
    </row>
    <row r="6494" spans="1:32" hidden="1" x14ac:dyDescent="0.35">
      <c r="A6494">
        <v>6493</v>
      </c>
      <c r="B6494" t="s">
        <v>13365</v>
      </c>
      <c r="C6494" t="s">
        <v>68</v>
      </c>
      <c r="D6494" t="s">
        <v>34</v>
      </c>
      <c r="E6494">
        <v>447</v>
      </c>
      <c r="F6494">
        <v>2</v>
      </c>
      <c r="G6494">
        <v>2</v>
      </c>
      <c r="H6494">
        <v>1</v>
      </c>
      <c r="I6494">
        <v>0</v>
      </c>
      <c r="J6494">
        <v>1</v>
      </c>
      <c r="K6494">
        <v>1</v>
      </c>
      <c r="L6494">
        <v>1</v>
      </c>
      <c r="M6494">
        <v>1</v>
      </c>
      <c r="N6494">
        <v>1</v>
      </c>
      <c r="O6494">
        <v>1</v>
      </c>
      <c r="AF6494" t="s">
        <v>13366</v>
      </c>
    </row>
    <row r="6495" spans="1:32" hidden="1" x14ac:dyDescent="0.35">
      <c r="A6495">
        <v>6494</v>
      </c>
      <c r="B6495" t="s">
        <v>13365</v>
      </c>
      <c r="C6495" t="s">
        <v>68</v>
      </c>
      <c r="D6495" t="s">
        <v>45</v>
      </c>
      <c r="E6495">
        <v>1710</v>
      </c>
      <c r="F6495">
        <v>2</v>
      </c>
      <c r="G6495">
        <v>2</v>
      </c>
      <c r="H6495">
        <v>1</v>
      </c>
      <c r="I6495">
        <v>0</v>
      </c>
      <c r="J6495">
        <v>1</v>
      </c>
      <c r="K6495">
        <v>1</v>
      </c>
      <c r="L6495">
        <v>1</v>
      </c>
      <c r="M6495">
        <v>1</v>
      </c>
      <c r="N6495">
        <v>1</v>
      </c>
      <c r="O6495">
        <v>1</v>
      </c>
      <c r="AF6495" t="s">
        <v>13366</v>
      </c>
    </row>
    <row r="6496" spans="1:32" hidden="1" x14ac:dyDescent="0.35">
      <c r="A6496">
        <v>6495</v>
      </c>
      <c r="B6496" t="s">
        <v>13367</v>
      </c>
      <c r="C6496" t="s">
        <v>68</v>
      </c>
      <c r="D6496" t="s">
        <v>34</v>
      </c>
      <c r="E6496">
        <v>604</v>
      </c>
      <c r="F6496">
        <v>2</v>
      </c>
      <c r="G6496">
        <v>2</v>
      </c>
      <c r="H6496">
        <v>1</v>
      </c>
      <c r="I6496">
        <v>0</v>
      </c>
      <c r="J6496">
        <v>1</v>
      </c>
      <c r="K6496">
        <v>1</v>
      </c>
      <c r="L6496">
        <v>1</v>
      </c>
      <c r="M6496">
        <v>1</v>
      </c>
      <c r="N6496">
        <v>1</v>
      </c>
      <c r="O6496">
        <v>1</v>
      </c>
      <c r="AF6496" t="s">
        <v>13368</v>
      </c>
    </row>
    <row r="6497" spans="1:32" hidden="1" x14ac:dyDescent="0.35">
      <c r="A6497">
        <v>6496</v>
      </c>
      <c r="B6497" t="s">
        <v>13367</v>
      </c>
      <c r="C6497" t="s">
        <v>68</v>
      </c>
      <c r="D6497" t="s">
        <v>45</v>
      </c>
      <c r="E6497">
        <v>1871</v>
      </c>
      <c r="F6497">
        <v>2</v>
      </c>
      <c r="G6497">
        <v>2</v>
      </c>
      <c r="H6497">
        <v>1</v>
      </c>
      <c r="I6497">
        <v>0</v>
      </c>
      <c r="J6497">
        <v>1</v>
      </c>
      <c r="K6497">
        <v>1</v>
      </c>
      <c r="L6497">
        <v>1</v>
      </c>
      <c r="M6497">
        <v>1</v>
      </c>
      <c r="N6497">
        <v>1</v>
      </c>
      <c r="O6497">
        <v>1</v>
      </c>
      <c r="AF6497" t="s">
        <v>13368</v>
      </c>
    </row>
    <row r="6498" spans="1:32" hidden="1" x14ac:dyDescent="0.35">
      <c r="A6498">
        <v>6497</v>
      </c>
      <c r="B6498" t="s">
        <v>13369</v>
      </c>
      <c r="C6498" t="s">
        <v>68</v>
      </c>
      <c r="D6498" t="s">
        <v>34</v>
      </c>
      <c r="E6498">
        <v>243</v>
      </c>
      <c r="F6498">
        <v>2</v>
      </c>
      <c r="G6498">
        <v>2</v>
      </c>
      <c r="H6498">
        <v>1</v>
      </c>
      <c r="I6498">
        <v>0</v>
      </c>
      <c r="J6498">
        <v>1</v>
      </c>
      <c r="K6498">
        <v>1</v>
      </c>
      <c r="L6498">
        <v>1</v>
      </c>
      <c r="M6498">
        <v>1</v>
      </c>
      <c r="N6498">
        <v>1</v>
      </c>
      <c r="O6498">
        <v>1</v>
      </c>
      <c r="P6498" t="s">
        <v>13160</v>
      </c>
      <c r="Q6498" t="s">
        <v>13161</v>
      </c>
      <c r="R6498" t="s">
        <v>96</v>
      </c>
      <c r="S6498" t="s">
        <v>97</v>
      </c>
      <c r="V6498" t="s">
        <v>13162</v>
      </c>
      <c r="W6498" t="s">
        <v>13163</v>
      </c>
      <c r="AF6498" t="s">
        <v>13370</v>
      </c>
    </row>
    <row r="6499" spans="1:32" hidden="1" x14ac:dyDescent="0.35">
      <c r="A6499">
        <v>6498</v>
      </c>
      <c r="B6499" t="s">
        <v>13369</v>
      </c>
      <c r="C6499" t="s">
        <v>68</v>
      </c>
      <c r="D6499" t="s">
        <v>45</v>
      </c>
      <c r="E6499">
        <v>1506</v>
      </c>
      <c r="F6499">
        <v>2</v>
      </c>
      <c r="G6499">
        <v>2</v>
      </c>
      <c r="H6499">
        <v>1</v>
      </c>
      <c r="I6499">
        <v>0</v>
      </c>
      <c r="J6499">
        <v>1</v>
      </c>
      <c r="K6499">
        <v>1</v>
      </c>
      <c r="L6499">
        <v>1</v>
      </c>
      <c r="M6499">
        <v>1</v>
      </c>
      <c r="N6499">
        <v>1</v>
      </c>
      <c r="O6499">
        <v>1</v>
      </c>
      <c r="P6499" t="s">
        <v>13160</v>
      </c>
      <c r="Q6499" t="s">
        <v>13161</v>
      </c>
      <c r="R6499" t="s">
        <v>96</v>
      </c>
      <c r="S6499" t="s">
        <v>97</v>
      </c>
      <c r="V6499" t="s">
        <v>13162</v>
      </c>
      <c r="W6499" t="s">
        <v>13163</v>
      </c>
      <c r="AF6499" t="s">
        <v>13370</v>
      </c>
    </row>
    <row r="6500" spans="1:32" hidden="1" x14ac:dyDescent="0.35">
      <c r="A6500">
        <v>6499</v>
      </c>
      <c r="B6500" t="s">
        <v>13371</v>
      </c>
      <c r="C6500" t="s">
        <v>68</v>
      </c>
      <c r="D6500" t="s">
        <v>60</v>
      </c>
      <c r="E6500">
        <v>1810</v>
      </c>
      <c r="F6500">
        <v>2</v>
      </c>
      <c r="G6500">
        <v>2</v>
      </c>
      <c r="H6500">
        <v>1</v>
      </c>
      <c r="I6500">
        <v>0</v>
      </c>
      <c r="J6500">
        <v>1</v>
      </c>
      <c r="K6500">
        <v>1</v>
      </c>
      <c r="L6500">
        <v>1</v>
      </c>
      <c r="M6500">
        <v>1</v>
      </c>
      <c r="N6500">
        <v>1</v>
      </c>
      <c r="O6500">
        <v>1</v>
      </c>
      <c r="P6500" t="s">
        <v>13372</v>
      </c>
      <c r="Q6500" t="s">
        <v>13373</v>
      </c>
      <c r="R6500" t="s">
        <v>235</v>
      </c>
      <c r="S6500" t="s">
        <v>236</v>
      </c>
      <c r="T6500" t="s">
        <v>13374</v>
      </c>
      <c r="U6500" t="s">
        <v>13375</v>
      </c>
      <c r="V6500" t="s">
        <v>13376</v>
      </c>
      <c r="W6500" t="s">
        <v>13377</v>
      </c>
      <c r="AD6500" t="s">
        <v>951</v>
      </c>
      <c r="AE6500" t="s">
        <v>13378</v>
      </c>
      <c r="AF6500" t="s">
        <v>13379</v>
      </c>
    </row>
    <row r="6501" spans="1:32" hidden="1" x14ac:dyDescent="0.35">
      <c r="A6501">
        <v>6500</v>
      </c>
      <c r="B6501" t="s">
        <v>13371</v>
      </c>
      <c r="C6501" t="s">
        <v>68</v>
      </c>
      <c r="D6501" t="s">
        <v>62</v>
      </c>
      <c r="E6501">
        <v>1848</v>
      </c>
      <c r="F6501">
        <v>2</v>
      </c>
      <c r="G6501">
        <v>2</v>
      </c>
      <c r="H6501">
        <v>1</v>
      </c>
      <c r="I6501">
        <v>0</v>
      </c>
      <c r="J6501">
        <v>1</v>
      </c>
      <c r="K6501">
        <v>1</v>
      </c>
      <c r="L6501">
        <v>1</v>
      </c>
      <c r="M6501">
        <v>1</v>
      </c>
      <c r="N6501">
        <v>1</v>
      </c>
      <c r="O6501">
        <v>1</v>
      </c>
      <c r="P6501" t="s">
        <v>13372</v>
      </c>
      <c r="Q6501" t="s">
        <v>13373</v>
      </c>
      <c r="R6501" t="s">
        <v>235</v>
      </c>
      <c r="S6501" t="s">
        <v>236</v>
      </c>
      <c r="T6501" t="s">
        <v>13374</v>
      </c>
      <c r="U6501" t="s">
        <v>13375</v>
      </c>
      <c r="V6501" t="s">
        <v>13376</v>
      </c>
      <c r="W6501" t="s">
        <v>13377</v>
      </c>
      <c r="AD6501" t="s">
        <v>951</v>
      </c>
      <c r="AE6501" t="s">
        <v>13378</v>
      </c>
      <c r="AF6501" t="s">
        <v>13379</v>
      </c>
    </row>
    <row r="6502" spans="1:32" hidden="1" x14ac:dyDescent="0.35">
      <c r="A6502">
        <v>6501</v>
      </c>
      <c r="B6502" t="s">
        <v>13380</v>
      </c>
      <c r="C6502" t="s">
        <v>68</v>
      </c>
      <c r="D6502" t="s">
        <v>60</v>
      </c>
      <c r="E6502">
        <v>599</v>
      </c>
      <c r="F6502">
        <v>2</v>
      </c>
      <c r="G6502">
        <v>2</v>
      </c>
      <c r="H6502">
        <v>1</v>
      </c>
      <c r="I6502">
        <v>0</v>
      </c>
      <c r="J6502">
        <v>1</v>
      </c>
      <c r="K6502">
        <v>1</v>
      </c>
      <c r="L6502">
        <v>1</v>
      </c>
      <c r="M6502">
        <v>1</v>
      </c>
      <c r="N6502">
        <v>1</v>
      </c>
      <c r="O6502">
        <v>1</v>
      </c>
      <c r="AF6502" t="s">
        <v>13381</v>
      </c>
    </row>
    <row r="6503" spans="1:32" hidden="1" x14ac:dyDescent="0.35">
      <c r="A6503">
        <v>6502</v>
      </c>
      <c r="B6503" t="s">
        <v>13380</v>
      </c>
      <c r="C6503" t="s">
        <v>68</v>
      </c>
      <c r="D6503" t="s">
        <v>62</v>
      </c>
      <c r="E6503">
        <v>683</v>
      </c>
      <c r="F6503">
        <v>2</v>
      </c>
      <c r="G6503">
        <v>2</v>
      </c>
      <c r="H6503">
        <v>1</v>
      </c>
      <c r="I6503">
        <v>0</v>
      </c>
      <c r="J6503">
        <v>1</v>
      </c>
      <c r="K6503">
        <v>1</v>
      </c>
      <c r="L6503">
        <v>1</v>
      </c>
      <c r="M6503">
        <v>1</v>
      </c>
      <c r="N6503">
        <v>1</v>
      </c>
      <c r="O6503">
        <v>1</v>
      </c>
      <c r="AF6503" t="s">
        <v>13381</v>
      </c>
    </row>
    <row r="6504" spans="1:32" hidden="1" x14ac:dyDescent="0.35">
      <c r="A6504">
        <v>6503</v>
      </c>
      <c r="B6504" t="s">
        <v>13382</v>
      </c>
      <c r="C6504" t="s">
        <v>68</v>
      </c>
      <c r="D6504" t="s">
        <v>34</v>
      </c>
      <c r="E6504">
        <v>736</v>
      </c>
      <c r="F6504">
        <v>2</v>
      </c>
      <c r="G6504">
        <v>2</v>
      </c>
      <c r="H6504">
        <v>1</v>
      </c>
      <c r="I6504">
        <v>0</v>
      </c>
      <c r="J6504">
        <v>1</v>
      </c>
      <c r="K6504">
        <v>1</v>
      </c>
      <c r="L6504">
        <v>1</v>
      </c>
      <c r="M6504">
        <v>1</v>
      </c>
      <c r="N6504">
        <v>1</v>
      </c>
      <c r="O6504">
        <v>1</v>
      </c>
      <c r="P6504" t="s">
        <v>1247</v>
      </c>
      <c r="Q6504" t="s">
        <v>1248</v>
      </c>
      <c r="R6504" t="s">
        <v>12738</v>
      </c>
      <c r="S6504" t="s">
        <v>12739</v>
      </c>
      <c r="T6504" t="s">
        <v>13383</v>
      </c>
      <c r="U6504" t="s">
        <v>13384</v>
      </c>
      <c r="V6504" t="s">
        <v>12742</v>
      </c>
      <c r="W6504" t="s">
        <v>12743</v>
      </c>
      <c r="AD6504" t="s">
        <v>439</v>
      </c>
      <c r="AE6504" t="s">
        <v>440</v>
      </c>
      <c r="AF6504" t="s">
        <v>13385</v>
      </c>
    </row>
    <row r="6505" spans="1:32" hidden="1" x14ac:dyDescent="0.35">
      <c r="A6505">
        <v>6504</v>
      </c>
      <c r="B6505" t="s">
        <v>13382</v>
      </c>
      <c r="C6505" t="s">
        <v>68</v>
      </c>
      <c r="D6505" t="s">
        <v>45</v>
      </c>
      <c r="E6505">
        <v>2002</v>
      </c>
      <c r="F6505">
        <v>2</v>
      </c>
      <c r="G6505">
        <v>2</v>
      </c>
      <c r="H6505">
        <v>1</v>
      </c>
      <c r="I6505">
        <v>0</v>
      </c>
      <c r="J6505">
        <v>1</v>
      </c>
      <c r="K6505">
        <v>1</v>
      </c>
      <c r="L6505">
        <v>1</v>
      </c>
      <c r="M6505">
        <v>1</v>
      </c>
      <c r="N6505">
        <v>1</v>
      </c>
      <c r="O6505">
        <v>1</v>
      </c>
      <c r="P6505" t="s">
        <v>1247</v>
      </c>
      <c r="Q6505" t="s">
        <v>1248</v>
      </c>
      <c r="R6505" t="s">
        <v>12738</v>
      </c>
      <c r="S6505" t="s">
        <v>12739</v>
      </c>
      <c r="T6505" t="s">
        <v>13383</v>
      </c>
      <c r="U6505" t="s">
        <v>13384</v>
      </c>
      <c r="V6505" t="s">
        <v>12742</v>
      </c>
      <c r="W6505" t="s">
        <v>12743</v>
      </c>
      <c r="AD6505" t="s">
        <v>439</v>
      </c>
      <c r="AE6505" t="s">
        <v>440</v>
      </c>
      <c r="AF6505" t="s">
        <v>13385</v>
      </c>
    </row>
    <row r="6506" spans="1:32" hidden="1" x14ac:dyDescent="0.35">
      <c r="A6506">
        <v>6505</v>
      </c>
      <c r="B6506" t="s">
        <v>13386</v>
      </c>
      <c r="C6506" t="s">
        <v>68</v>
      </c>
      <c r="D6506" t="s">
        <v>60</v>
      </c>
      <c r="E6506">
        <v>284</v>
      </c>
      <c r="F6506">
        <v>2</v>
      </c>
      <c r="G6506">
        <v>2</v>
      </c>
      <c r="H6506">
        <v>1</v>
      </c>
      <c r="I6506">
        <v>0</v>
      </c>
      <c r="J6506">
        <v>1</v>
      </c>
      <c r="K6506">
        <v>1</v>
      </c>
      <c r="L6506">
        <v>1</v>
      </c>
      <c r="M6506">
        <v>1</v>
      </c>
      <c r="N6506">
        <v>1</v>
      </c>
      <c r="O6506">
        <v>1</v>
      </c>
      <c r="AF6506" t="s">
        <v>13387</v>
      </c>
    </row>
    <row r="6507" spans="1:32" hidden="1" x14ac:dyDescent="0.35">
      <c r="A6507">
        <v>6506</v>
      </c>
      <c r="B6507" t="s">
        <v>13386</v>
      </c>
      <c r="C6507" t="s">
        <v>68</v>
      </c>
      <c r="D6507" t="s">
        <v>62</v>
      </c>
      <c r="E6507">
        <v>362</v>
      </c>
      <c r="F6507">
        <v>2</v>
      </c>
      <c r="G6507">
        <v>2</v>
      </c>
      <c r="H6507">
        <v>1</v>
      </c>
      <c r="I6507">
        <v>0</v>
      </c>
      <c r="J6507">
        <v>1</v>
      </c>
      <c r="K6507">
        <v>1</v>
      </c>
      <c r="L6507">
        <v>1</v>
      </c>
      <c r="M6507">
        <v>1</v>
      </c>
      <c r="N6507">
        <v>1</v>
      </c>
      <c r="O6507">
        <v>1</v>
      </c>
      <c r="AF6507" t="s">
        <v>13387</v>
      </c>
    </row>
    <row r="6508" spans="1:32" hidden="1" x14ac:dyDescent="0.35">
      <c r="A6508">
        <v>6507</v>
      </c>
      <c r="B6508" t="s">
        <v>13388</v>
      </c>
      <c r="C6508" t="s">
        <v>68</v>
      </c>
      <c r="D6508" t="s">
        <v>60</v>
      </c>
      <c r="E6508">
        <v>1927</v>
      </c>
      <c r="F6508">
        <v>2</v>
      </c>
      <c r="G6508">
        <v>2</v>
      </c>
      <c r="H6508">
        <v>1</v>
      </c>
      <c r="I6508">
        <v>0</v>
      </c>
      <c r="J6508">
        <v>1</v>
      </c>
      <c r="K6508">
        <v>1</v>
      </c>
      <c r="L6508">
        <v>1</v>
      </c>
      <c r="M6508">
        <v>1</v>
      </c>
      <c r="N6508">
        <v>1</v>
      </c>
      <c r="O6508">
        <v>1</v>
      </c>
      <c r="P6508" t="s">
        <v>11639</v>
      </c>
      <c r="Q6508" t="s">
        <v>11640</v>
      </c>
      <c r="R6508" t="s">
        <v>1259</v>
      </c>
      <c r="S6508" t="s">
        <v>1260</v>
      </c>
      <c r="T6508" t="s">
        <v>11641</v>
      </c>
      <c r="U6508" t="s">
        <v>407</v>
      </c>
      <c r="V6508" t="s">
        <v>12880</v>
      </c>
      <c r="W6508" t="s">
        <v>12881</v>
      </c>
      <c r="AD6508" t="s">
        <v>410</v>
      </c>
      <c r="AE6508" t="s">
        <v>411</v>
      </c>
      <c r="AF6508" t="s">
        <v>13389</v>
      </c>
    </row>
    <row r="6509" spans="1:32" hidden="1" x14ac:dyDescent="0.35">
      <c r="A6509">
        <v>6508</v>
      </c>
      <c r="B6509" t="s">
        <v>13388</v>
      </c>
      <c r="C6509" t="s">
        <v>68</v>
      </c>
      <c r="D6509" t="s">
        <v>62</v>
      </c>
      <c r="E6509">
        <v>1967</v>
      </c>
      <c r="F6509">
        <v>2</v>
      </c>
      <c r="G6509">
        <v>2</v>
      </c>
      <c r="H6509">
        <v>1</v>
      </c>
      <c r="I6509">
        <v>0</v>
      </c>
      <c r="J6509">
        <v>1</v>
      </c>
      <c r="K6509">
        <v>1</v>
      </c>
      <c r="L6509">
        <v>1</v>
      </c>
      <c r="M6509">
        <v>1</v>
      </c>
      <c r="N6509">
        <v>1</v>
      </c>
      <c r="O6509">
        <v>1</v>
      </c>
      <c r="P6509" t="s">
        <v>11639</v>
      </c>
      <c r="Q6509" t="s">
        <v>11640</v>
      </c>
      <c r="R6509" t="s">
        <v>1259</v>
      </c>
      <c r="S6509" t="s">
        <v>1260</v>
      </c>
      <c r="T6509" t="s">
        <v>11641</v>
      </c>
      <c r="U6509" t="s">
        <v>407</v>
      </c>
      <c r="V6509" t="s">
        <v>12880</v>
      </c>
      <c r="W6509" t="s">
        <v>12881</v>
      </c>
      <c r="AD6509" t="s">
        <v>410</v>
      </c>
      <c r="AE6509" t="s">
        <v>411</v>
      </c>
      <c r="AF6509" t="s">
        <v>13389</v>
      </c>
    </row>
    <row r="6510" spans="1:32" hidden="1" x14ac:dyDescent="0.35">
      <c r="A6510">
        <v>6509</v>
      </c>
      <c r="B6510" t="s">
        <v>13390</v>
      </c>
      <c r="C6510" t="s">
        <v>68</v>
      </c>
      <c r="D6510" t="s">
        <v>60</v>
      </c>
      <c r="E6510">
        <v>713</v>
      </c>
      <c r="F6510">
        <v>2</v>
      </c>
      <c r="G6510">
        <v>2</v>
      </c>
      <c r="H6510">
        <v>1</v>
      </c>
      <c r="I6510">
        <v>0</v>
      </c>
      <c r="J6510">
        <v>1</v>
      </c>
      <c r="K6510">
        <v>1</v>
      </c>
      <c r="L6510">
        <v>1</v>
      </c>
      <c r="M6510">
        <v>1</v>
      </c>
      <c r="N6510">
        <v>1</v>
      </c>
      <c r="O6510">
        <v>1</v>
      </c>
      <c r="P6510" t="s">
        <v>13391</v>
      </c>
      <c r="Q6510" t="s">
        <v>13392</v>
      </c>
      <c r="AF6510" t="s">
        <v>13393</v>
      </c>
    </row>
    <row r="6511" spans="1:32" hidden="1" x14ac:dyDescent="0.35">
      <c r="A6511">
        <v>6510</v>
      </c>
      <c r="B6511" t="s">
        <v>13390</v>
      </c>
      <c r="C6511" t="s">
        <v>68</v>
      </c>
      <c r="D6511" t="s">
        <v>62</v>
      </c>
      <c r="E6511">
        <v>744</v>
      </c>
      <c r="F6511">
        <v>2</v>
      </c>
      <c r="G6511">
        <v>2</v>
      </c>
      <c r="H6511">
        <v>1</v>
      </c>
      <c r="I6511">
        <v>0</v>
      </c>
      <c r="J6511">
        <v>1</v>
      </c>
      <c r="K6511">
        <v>1</v>
      </c>
      <c r="L6511">
        <v>1</v>
      </c>
      <c r="M6511">
        <v>1</v>
      </c>
      <c r="N6511">
        <v>1</v>
      </c>
      <c r="O6511">
        <v>1</v>
      </c>
      <c r="P6511" t="s">
        <v>13391</v>
      </c>
      <c r="Q6511" t="s">
        <v>13392</v>
      </c>
      <c r="AF6511" t="s">
        <v>13393</v>
      </c>
    </row>
    <row r="6512" spans="1:32" hidden="1" x14ac:dyDescent="0.35">
      <c r="A6512">
        <v>6511</v>
      </c>
      <c r="B6512" t="s">
        <v>13394</v>
      </c>
      <c r="C6512" t="s">
        <v>68</v>
      </c>
      <c r="D6512" t="s">
        <v>60</v>
      </c>
      <c r="E6512">
        <v>1172</v>
      </c>
      <c r="F6512">
        <v>2</v>
      </c>
      <c r="G6512">
        <v>2</v>
      </c>
      <c r="H6512">
        <v>1</v>
      </c>
      <c r="I6512">
        <v>0</v>
      </c>
      <c r="J6512">
        <v>1</v>
      </c>
      <c r="K6512">
        <v>1</v>
      </c>
      <c r="L6512">
        <v>1</v>
      </c>
      <c r="M6512">
        <v>1</v>
      </c>
      <c r="N6512">
        <v>1</v>
      </c>
      <c r="O6512">
        <v>1</v>
      </c>
      <c r="P6512" t="s">
        <v>5779</v>
      </c>
      <c r="Q6512" t="s">
        <v>5780</v>
      </c>
      <c r="R6512" t="s">
        <v>235</v>
      </c>
      <c r="S6512" t="s">
        <v>236</v>
      </c>
      <c r="T6512" t="s">
        <v>13395</v>
      </c>
      <c r="U6512" t="s">
        <v>13396</v>
      </c>
      <c r="V6512" t="s">
        <v>5783</v>
      </c>
      <c r="W6512" t="s">
        <v>5784</v>
      </c>
      <c r="AD6512" t="s">
        <v>410</v>
      </c>
      <c r="AE6512" t="s">
        <v>532</v>
      </c>
      <c r="AF6512" t="s">
        <v>13397</v>
      </c>
    </row>
    <row r="6513" spans="1:32" hidden="1" x14ac:dyDescent="0.35">
      <c r="A6513">
        <v>6512</v>
      </c>
      <c r="B6513" t="s">
        <v>13394</v>
      </c>
      <c r="C6513" t="s">
        <v>68</v>
      </c>
      <c r="D6513" t="s">
        <v>62</v>
      </c>
      <c r="E6513">
        <v>1209</v>
      </c>
      <c r="F6513">
        <v>2</v>
      </c>
      <c r="G6513">
        <v>2</v>
      </c>
      <c r="H6513">
        <v>1</v>
      </c>
      <c r="I6513">
        <v>0</v>
      </c>
      <c r="J6513">
        <v>1</v>
      </c>
      <c r="K6513">
        <v>1</v>
      </c>
      <c r="L6513">
        <v>1</v>
      </c>
      <c r="M6513">
        <v>1</v>
      </c>
      <c r="N6513">
        <v>1</v>
      </c>
      <c r="O6513">
        <v>1</v>
      </c>
      <c r="P6513" t="s">
        <v>5779</v>
      </c>
      <c r="Q6513" t="s">
        <v>5780</v>
      </c>
      <c r="R6513" t="s">
        <v>235</v>
      </c>
      <c r="S6513" t="s">
        <v>236</v>
      </c>
      <c r="T6513" t="s">
        <v>13395</v>
      </c>
      <c r="U6513" t="s">
        <v>13396</v>
      </c>
      <c r="V6513" t="s">
        <v>5783</v>
      </c>
      <c r="W6513" t="s">
        <v>5784</v>
      </c>
      <c r="AD6513" t="s">
        <v>410</v>
      </c>
      <c r="AE6513" t="s">
        <v>532</v>
      </c>
      <c r="AF6513" t="s">
        <v>13397</v>
      </c>
    </row>
    <row r="6514" spans="1:32" hidden="1" x14ac:dyDescent="0.35">
      <c r="A6514">
        <v>6513</v>
      </c>
      <c r="B6514" t="s">
        <v>13398</v>
      </c>
      <c r="C6514" t="s">
        <v>68</v>
      </c>
      <c r="D6514" t="s">
        <v>60</v>
      </c>
      <c r="E6514">
        <v>1917</v>
      </c>
      <c r="F6514">
        <v>2</v>
      </c>
      <c r="G6514">
        <v>2</v>
      </c>
      <c r="H6514">
        <v>1</v>
      </c>
      <c r="I6514">
        <v>0</v>
      </c>
      <c r="J6514">
        <v>1</v>
      </c>
      <c r="K6514">
        <v>1</v>
      </c>
      <c r="L6514">
        <v>1</v>
      </c>
      <c r="M6514">
        <v>1</v>
      </c>
      <c r="N6514">
        <v>1</v>
      </c>
      <c r="O6514">
        <v>1</v>
      </c>
      <c r="AF6514" t="s">
        <v>13399</v>
      </c>
    </row>
    <row r="6515" spans="1:32" hidden="1" x14ac:dyDescent="0.35">
      <c r="A6515">
        <v>6514</v>
      </c>
      <c r="B6515" t="s">
        <v>13398</v>
      </c>
      <c r="C6515" t="s">
        <v>68</v>
      </c>
      <c r="D6515" t="s">
        <v>62</v>
      </c>
      <c r="E6515">
        <v>1957</v>
      </c>
      <c r="F6515">
        <v>2</v>
      </c>
      <c r="G6515">
        <v>2</v>
      </c>
      <c r="H6515">
        <v>1</v>
      </c>
      <c r="I6515">
        <v>0</v>
      </c>
      <c r="J6515">
        <v>1</v>
      </c>
      <c r="K6515">
        <v>1</v>
      </c>
      <c r="L6515">
        <v>1</v>
      </c>
      <c r="M6515">
        <v>1</v>
      </c>
      <c r="N6515">
        <v>1</v>
      </c>
      <c r="O6515">
        <v>1</v>
      </c>
      <c r="AF6515" t="s">
        <v>13399</v>
      </c>
    </row>
    <row r="6516" spans="1:32" hidden="1" x14ac:dyDescent="0.35">
      <c r="A6516">
        <v>6515</v>
      </c>
      <c r="B6516" t="s">
        <v>13400</v>
      </c>
      <c r="C6516" t="s">
        <v>68</v>
      </c>
      <c r="D6516" t="s">
        <v>60</v>
      </c>
      <c r="E6516">
        <v>1850</v>
      </c>
      <c r="F6516">
        <v>2</v>
      </c>
      <c r="G6516">
        <v>2</v>
      </c>
      <c r="H6516">
        <v>1</v>
      </c>
      <c r="I6516">
        <v>0</v>
      </c>
      <c r="J6516">
        <v>1</v>
      </c>
      <c r="K6516">
        <v>1</v>
      </c>
      <c r="L6516">
        <v>1</v>
      </c>
      <c r="M6516">
        <v>1</v>
      </c>
      <c r="N6516">
        <v>1</v>
      </c>
      <c r="O6516">
        <v>1</v>
      </c>
      <c r="P6516" t="s">
        <v>13401</v>
      </c>
      <c r="Q6516" t="s">
        <v>13402</v>
      </c>
      <c r="R6516" t="s">
        <v>516</v>
      </c>
      <c r="S6516" t="s">
        <v>517</v>
      </c>
      <c r="V6516" t="s">
        <v>2706</v>
      </c>
      <c r="W6516" t="s">
        <v>2707</v>
      </c>
      <c r="AF6516" t="s">
        <v>13403</v>
      </c>
    </row>
    <row r="6517" spans="1:32" hidden="1" x14ac:dyDescent="0.35">
      <c r="A6517">
        <v>6516</v>
      </c>
      <c r="B6517" t="s">
        <v>13400</v>
      </c>
      <c r="C6517" t="s">
        <v>68</v>
      </c>
      <c r="D6517" t="s">
        <v>62</v>
      </c>
      <c r="E6517">
        <v>1888</v>
      </c>
      <c r="F6517">
        <v>2</v>
      </c>
      <c r="G6517">
        <v>2</v>
      </c>
      <c r="H6517">
        <v>1</v>
      </c>
      <c r="I6517">
        <v>0</v>
      </c>
      <c r="J6517">
        <v>1</v>
      </c>
      <c r="K6517">
        <v>1</v>
      </c>
      <c r="L6517">
        <v>1</v>
      </c>
      <c r="M6517">
        <v>1</v>
      </c>
      <c r="N6517">
        <v>1</v>
      </c>
      <c r="O6517">
        <v>1</v>
      </c>
      <c r="P6517" t="s">
        <v>13401</v>
      </c>
      <c r="Q6517" t="s">
        <v>13402</v>
      </c>
      <c r="R6517" t="s">
        <v>516</v>
      </c>
      <c r="S6517" t="s">
        <v>517</v>
      </c>
      <c r="V6517" t="s">
        <v>2706</v>
      </c>
      <c r="W6517" t="s">
        <v>2707</v>
      </c>
      <c r="AF6517" t="s">
        <v>13403</v>
      </c>
    </row>
    <row r="6518" spans="1:32" hidden="1" x14ac:dyDescent="0.35">
      <c r="A6518">
        <v>6517</v>
      </c>
      <c r="B6518" t="s">
        <v>13404</v>
      </c>
      <c r="C6518" t="s">
        <v>68</v>
      </c>
      <c r="D6518" t="s">
        <v>60</v>
      </c>
      <c r="E6518">
        <v>506</v>
      </c>
      <c r="F6518">
        <v>2</v>
      </c>
      <c r="G6518">
        <v>2</v>
      </c>
      <c r="H6518">
        <v>1</v>
      </c>
      <c r="I6518">
        <v>0</v>
      </c>
      <c r="J6518">
        <v>1</v>
      </c>
      <c r="K6518">
        <v>1</v>
      </c>
      <c r="L6518">
        <v>1</v>
      </c>
      <c r="M6518">
        <v>1</v>
      </c>
      <c r="N6518">
        <v>1</v>
      </c>
      <c r="O6518">
        <v>1</v>
      </c>
      <c r="P6518" t="s">
        <v>2732</v>
      </c>
      <c r="Q6518" t="s">
        <v>2733</v>
      </c>
      <c r="R6518" t="s">
        <v>652</v>
      </c>
      <c r="S6518" t="s">
        <v>653</v>
      </c>
      <c r="V6518" t="s">
        <v>11737</v>
      </c>
      <c r="W6518" t="s">
        <v>11738</v>
      </c>
      <c r="AF6518" t="s">
        <v>13405</v>
      </c>
    </row>
    <row r="6519" spans="1:32" hidden="1" x14ac:dyDescent="0.35">
      <c r="A6519">
        <v>6518</v>
      </c>
      <c r="B6519" t="s">
        <v>13404</v>
      </c>
      <c r="C6519" t="s">
        <v>68</v>
      </c>
      <c r="D6519" t="s">
        <v>62</v>
      </c>
      <c r="E6519">
        <v>590</v>
      </c>
      <c r="F6519">
        <v>2</v>
      </c>
      <c r="G6519">
        <v>2</v>
      </c>
      <c r="H6519">
        <v>1</v>
      </c>
      <c r="I6519">
        <v>0</v>
      </c>
      <c r="J6519">
        <v>1</v>
      </c>
      <c r="K6519">
        <v>1</v>
      </c>
      <c r="L6519">
        <v>1</v>
      </c>
      <c r="M6519">
        <v>1</v>
      </c>
      <c r="N6519">
        <v>1</v>
      </c>
      <c r="O6519">
        <v>1</v>
      </c>
      <c r="P6519" t="s">
        <v>2732</v>
      </c>
      <c r="Q6519" t="s">
        <v>2733</v>
      </c>
      <c r="R6519" t="s">
        <v>652</v>
      </c>
      <c r="S6519" t="s">
        <v>653</v>
      </c>
      <c r="V6519" t="s">
        <v>11737</v>
      </c>
      <c r="W6519" t="s">
        <v>11738</v>
      </c>
      <c r="AF6519" t="s">
        <v>13405</v>
      </c>
    </row>
    <row r="6520" spans="1:32" hidden="1" x14ac:dyDescent="0.35">
      <c r="A6520">
        <v>6519</v>
      </c>
      <c r="B6520" t="s">
        <v>13406</v>
      </c>
      <c r="C6520" t="s">
        <v>68</v>
      </c>
      <c r="D6520" t="s">
        <v>34</v>
      </c>
      <c r="E6520">
        <v>2331</v>
      </c>
      <c r="F6520">
        <v>2</v>
      </c>
      <c r="G6520">
        <v>2</v>
      </c>
      <c r="H6520">
        <v>1</v>
      </c>
      <c r="I6520">
        <v>0</v>
      </c>
      <c r="J6520">
        <v>1</v>
      </c>
      <c r="K6520">
        <v>1</v>
      </c>
      <c r="L6520">
        <v>1</v>
      </c>
      <c r="M6520">
        <v>1</v>
      </c>
      <c r="N6520">
        <v>1</v>
      </c>
      <c r="O6520">
        <v>1</v>
      </c>
      <c r="AF6520" t="s">
        <v>13407</v>
      </c>
    </row>
    <row r="6521" spans="1:32" hidden="1" x14ac:dyDescent="0.35">
      <c r="A6521">
        <v>6520</v>
      </c>
      <c r="B6521" t="s">
        <v>13406</v>
      </c>
      <c r="C6521" t="s">
        <v>68</v>
      </c>
      <c r="D6521" t="s">
        <v>45</v>
      </c>
      <c r="E6521">
        <v>548</v>
      </c>
      <c r="F6521">
        <v>2</v>
      </c>
      <c r="G6521">
        <v>2</v>
      </c>
      <c r="H6521">
        <v>1</v>
      </c>
      <c r="I6521">
        <v>0</v>
      </c>
      <c r="J6521">
        <v>1</v>
      </c>
      <c r="K6521">
        <v>1</v>
      </c>
      <c r="L6521">
        <v>1</v>
      </c>
      <c r="M6521">
        <v>1</v>
      </c>
      <c r="N6521">
        <v>1</v>
      </c>
      <c r="O6521">
        <v>1</v>
      </c>
      <c r="AF6521" t="s">
        <v>13407</v>
      </c>
    </row>
    <row r="6522" spans="1:32" hidden="1" x14ac:dyDescent="0.35">
      <c r="A6522">
        <v>6521</v>
      </c>
      <c r="B6522" t="s">
        <v>13408</v>
      </c>
      <c r="C6522" t="s">
        <v>68</v>
      </c>
      <c r="D6522" t="s">
        <v>60</v>
      </c>
      <c r="E6522">
        <v>957</v>
      </c>
      <c r="F6522">
        <v>2</v>
      </c>
      <c r="G6522">
        <v>2</v>
      </c>
      <c r="H6522">
        <v>1</v>
      </c>
      <c r="I6522">
        <v>0</v>
      </c>
      <c r="J6522">
        <v>1</v>
      </c>
      <c r="K6522">
        <v>1</v>
      </c>
      <c r="L6522">
        <v>1</v>
      </c>
      <c r="M6522">
        <v>1</v>
      </c>
      <c r="N6522">
        <v>1</v>
      </c>
      <c r="O6522">
        <v>1</v>
      </c>
      <c r="P6522" t="s">
        <v>13409</v>
      </c>
      <c r="Q6522" t="s">
        <v>13410</v>
      </c>
      <c r="R6522" t="s">
        <v>342</v>
      </c>
      <c r="S6522" t="s">
        <v>343</v>
      </c>
      <c r="V6522" t="s">
        <v>13411</v>
      </c>
      <c r="W6522" t="s">
        <v>13412</v>
      </c>
      <c r="AF6522" t="s">
        <v>13413</v>
      </c>
    </row>
    <row r="6523" spans="1:32" hidden="1" x14ac:dyDescent="0.35">
      <c r="A6523">
        <v>6522</v>
      </c>
      <c r="B6523" t="s">
        <v>13408</v>
      </c>
      <c r="C6523" t="s">
        <v>68</v>
      </c>
      <c r="D6523" t="s">
        <v>62</v>
      </c>
      <c r="E6523">
        <v>993</v>
      </c>
      <c r="F6523">
        <v>2</v>
      </c>
      <c r="G6523">
        <v>2</v>
      </c>
      <c r="H6523">
        <v>1</v>
      </c>
      <c r="I6523">
        <v>0</v>
      </c>
      <c r="J6523">
        <v>1</v>
      </c>
      <c r="K6523">
        <v>1</v>
      </c>
      <c r="L6523">
        <v>1</v>
      </c>
      <c r="M6523">
        <v>1</v>
      </c>
      <c r="N6523">
        <v>1</v>
      </c>
      <c r="O6523">
        <v>1</v>
      </c>
      <c r="P6523" t="s">
        <v>13409</v>
      </c>
      <c r="Q6523" t="s">
        <v>13410</v>
      </c>
      <c r="R6523" t="s">
        <v>342</v>
      </c>
      <c r="S6523" t="s">
        <v>343</v>
      </c>
      <c r="V6523" t="s">
        <v>13411</v>
      </c>
      <c r="W6523" t="s">
        <v>13412</v>
      </c>
      <c r="AF6523" t="s">
        <v>13413</v>
      </c>
    </row>
    <row r="6524" spans="1:32" hidden="1" x14ac:dyDescent="0.35">
      <c r="A6524">
        <v>6523</v>
      </c>
      <c r="B6524" t="s">
        <v>13414</v>
      </c>
      <c r="C6524" t="s">
        <v>68</v>
      </c>
      <c r="D6524" t="s">
        <v>60</v>
      </c>
      <c r="E6524">
        <v>337</v>
      </c>
      <c r="F6524">
        <v>2</v>
      </c>
      <c r="G6524">
        <v>2</v>
      </c>
      <c r="H6524">
        <v>1</v>
      </c>
      <c r="I6524">
        <v>0</v>
      </c>
      <c r="J6524">
        <v>1</v>
      </c>
      <c r="K6524">
        <v>1</v>
      </c>
      <c r="L6524">
        <v>1</v>
      </c>
      <c r="M6524">
        <v>1</v>
      </c>
      <c r="N6524">
        <v>1</v>
      </c>
      <c r="O6524">
        <v>1</v>
      </c>
      <c r="P6524" t="s">
        <v>13415</v>
      </c>
      <c r="Q6524" t="s">
        <v>13416</v>
      </c>
      <c r="AF6524" t="s">
        <v>13417</v>
      </c>
    </row>
    <row r="6525" spans="1:32" hidden="1" x14ac:dyDescent="0.35">
      <c r="A6525">
        <v>6524</v>
      </c>
      <c r="B6525" t="s">
        <v>13414</v>
      </c>
      <c r="C6525" t="s">
        <v>68</v>
      </c>
      <c r="D6525" t="s">
        <v>62</v>
      </c>
      <c r="E6525">
        <v>417</v>
      </c>
      <c r="F6525">
        <v>2</v>
      </c>
      <c r="G6525">
        <v>2</v>
      </c>
      <c r="H6525">
        <v>1</v>
      </c>
      <c r="I6525">
        <v>0</v>
      </c>
      <c r="J6525">
        <v>1</v>
      </c>
      <c r="K6525">
        <v>1</v>
      </c>
      <c r="L6525">
        <v>1</v>
      </c>
      <c r="M6525">
        <v>1</v>
      </c>
      <c r="N6525">
        <v>1</v>
      </c>
      <c r="O6525">
        <v>1</v>
      </c>
      <c r="P6525" t="s">
        <v>13415</v>
      </c>
      <c r="Q6525" t="s">
        <v>13416</v>
      </c>
      <c r="AF6525" t="s">
        <v>13417</v>
      </c>
    </row>
    <row r="6526" spans="1:32" hidden="1" x14ac:dyDescent="0.35">
      <c r="A6526">
        <v>6525</v>
      </c>
      <c r="B6526" t="s">
        <v>13418</v>
      </c>
      <c r="C6526" t="s">
        <v>68</v>
      </c>
      <c r="D6526" t="s">
        <v>60</v>
      </c>
      <c r="E6526">
        <v>1842</v>
      </c>
      <c r="F6526">
        <v>2</v>
      </c>
      <c r="G6526">
        <v>2</v>
      </c>
      <c r="H6526">
        <v>1</v>
      </c>
      <c r="I6526">
        <v>0</v>
      </c>
      <c r="J6526">
        <v>1</v>
      </c>
      <c r="K6526">
        <v>1</v>
      </c>
      <c r="L6526">
        <v>1</v>
      </c>
      <c r="M6526">
        <v>1</v>
      </c>
      <c r="N6526">
        <v>1</v>
      </c>
      <c r="O6526">
        <v>1</v>
      </c>
      <c r="P6526" t="s">
        <v>13419</v>
      </c>
      <c r="Q6526" t="s">
        <v>13420</v>
      </c>
      <c r="R6526" t="s">
        <v>288</v>
      </c>
      <c r="S6526" t="s">
        <v>289</v>
      </c>
      <c r="T6526" t="s">
        <v>13421</v>
      </c>
      <c r="U6526" t="s">
        <v>407</v>
      </c>
      <c r="V6526" t="s">
        <v>13422</v>
      </c>
      <c r="W6526" t="s">
        <v>13423</v>
      </c>
      <c r="AD6526" t="s">
        <v>410</v>
      </c>
      <c r="AE6526" t="s">
        <v>411</v>
      </c>
      <c r="AF6526" t="s">
        <v>13424</v>
      </c>
    </row>
    <row r="6527" spans="1:32" hidden="1" x14ac:dyDescent="0.35">
      <c r="A6527">
        <v>6526</v>
      </c>
      <c r="B6527" t="s">
        <v>13418</v>
      </c>
      <c r="C6527" t="s">
        <v>68</v>
      </c>
      <c r="D6527" t="s">
        <v>62</v>
      </c>
      <c r="E6527">
        <v>1880</v>
      </c>
      <c r="F6527">
        <v>2</v>
      </c>
      <c r="G6527">
        <v>2</v>
      </c>
      <c r="H6527">
        <v>1</v>
      </c>
      <c r="I6527">
        <v>0</v>
      </c>
      <c r="J6527">
        <v>1</v>
      </c>
      <c r="K6527">
        <v>1</v>
      </c>
      <c r="L6527">
        <v>1</v>
      </c>
      <c r="M6527">
        <v>1</v>
      </c>
      <c r="N6527">
        <v>1</v>
      </c>
      <c r="O6527">
        <v>1</v>
      </c>
      <c r="P6527" t="s">
        <v>13419</v>
      </c>
      <c r="Q6527" t="s">
        <v>13420</v>
      </c>
      <c r="R6527" t="s">
        <v>288</v>
      </c>
      <c r="S6527" t="s">
        <v>289</v>
      </c>
      <c r="T6527" t="s">
        <v>13421</v>
      </c>
      <c r="U6527" t="s">
        <v>407</v>
      </c>
      <c r="V6527" t="s">
        <v>13422</v>
      </c>
      <c r="W6527" t="s">
        <v>13423</v>
      </c>
      <c r="AD6527" t="s">
        <v>410</v>
      </c>
      <c r="AE6527" t="s">
        <v>411</v>
      </c>
      <c r="AF6527" t="s">
        <v>13424</v>
      </c>
    </row>
    <row r="6528" spans="1:32" hidden="1" x14ac:dyDescent="0.35">
      <c r="A6528">
        <v>6527</v>
      </c>
      <c r="B6528" t="s">
        <v>13425</v>
      </c>
      <c r="C6528" t="s">
        <v>68</v>
      </c>
      <c r="D6528" t="s">
        <v>60</v>
      </c>
      <c r="E6528">
        <v>860</v>
      </c>
      <c r="F6528">
        <v>2</v>
      </c>
      <c r="G6528">
        <v>2</v>
      </c>
      <c r="H6528">
        <v>1</v>
      </c>
      <c r="I6528">
        <v>0</v>
      </c>
      <c r="J6528">
        <v>1</v>
      </c>
      <c r="K6528">
        <v>1</v>
      </c>
      <c r="L6528">
        <v>1</v>
      </c>
      <c r="M6528">
        <v>1</v>
      </c>
      <c r="N6528">
        <v>1</v>
      </c>
      <c r="O6528">
        <v>1</v>
      </c>
      <c r="AF6528" t="s">
        <v>13426</v>
      </c>
    </row>
    <row r="6529" spans="1:32" hidden="1" x14ac:dyDescent="0.35">
      <c r="A6529">
        <v>6528</v>
      </c>
      <c r="B6529" t="s">
        <v>13425</v>
      </c>
      <c r="C6529" t="s">
        <v>68</v>
      </c>
      <c r="D6529" t="s">
        <v>62</v>
      </c>
      <c r="E6529">
        <v>894</v>
      </c>
      <c r="F6529">
        <v>2</v>
      </c>
      <c r="G6529">
        <v>2</v>
      </c>
      <c r="H6529">
        <v>1</v>
      </c>
      <c r="I6529">
        <v>0</v>
      </c>
      <c r="J6529">
        <v>1</v>
      </c>
      <c r="K6529">
        <v>1</v>
      </c>
      <c r="L6529">
        <v>1</v>
      </c>
      <c r="M6529">
        <v>1</v>
      </c>
      <c r="N6529">
        <v>1</v>
      </c>
      <c r="O6529">
        <v>1</v>
      </c>
      <c r="AF6529" t="s">
        <v>13426</v>
      </c>
    </row>
    <row r="6530" spans="1:32" hidden="1" x14ac:dyDescent="0.35">
      <c r="A6530">
        <v>6529</v>
      </c>
      <c r="B6530" t="s">
        <v>13427</v>
      </c>
      <c r="C6530" t="s">
        <v>68</v>
      </c>
      <c r="D6530" t="s">
        <v>60</v>
      </c>
      <c r="E6530">
        <v>298</v>
      </c>
      <c r="F6530">
        <v>2</v>
      </c>
      <c r="G6530">
        <v>2</v>
      </c>
      <c r="H6530">
        <v>1</v>
      </c>
      <c r="I6530">
        <v>0</v>
      </c>
      <c r="J6530">
        <v>1</v>
      </c>
      <c r="K6530">
        <v>1</v>
      </c>
      <c r="L6530">
        <v>1</v>
      </c>
      <c r="M6530">
        <v>1</v>
      </c>
      <c r="N6530">
        <v>1</v>
      </c>
      <c r="O6530">
        <v>1</v>
      </c>
      <c r="P6530" t="s">
        <v>2574</v>
      </c>
      <c r="Q6530" t="s">
        <v>2575</v>
      </c>
      <c r="R6530" t="s">
        <v>1498</v>
      </c>
      <c r="S6530" t="s">
        <v>1499</v>
      </c>
      <c r="T6530" t="s">
        <v>13428</v>
      </c>
      <c r="U6530" t="s">
        <v>13429</v>
      </c>
      <c r="V6530" t="s">
        <v>2578</v>
      </c>
      <c r="W6530" t="s">
        <v>2579</v>
      </c>
      <c r="AD6530" t="s">
        <v>1829</v>
      </c>
      <c r="AE6530" t="s">
        <v>13430</v>
      </c>
      <c r="AF6530" t="s">
        <v>13431</v>
      </c>
    </row>
    <row r="6531" spans="1:32" hidden="1" x14ac:dyDescent="0.35">
      <c r="A6531">
        <v>6530</v>
      </c>
      <c r="B6531" t="s">
        <v>13427</v>
      </c>
      <c r="C6531" t="s">
        <v>68</v>
      </c>
      <c r="D6531" t="s">
        <v>62</v>
      </c>
      <c r="E6531">
        <v>378</v>
      </c>
      <c r="F6531">
        <v>2</v>
      </c>
      <c r="G6531">
        <v>2</v>
      </c>
      <c r="H6531">
        <v>1</v>
      </c>
      <c r="I6531">
        <v>0</v>
      </c>
      <c r="J6531">
        <v>1</v>
      </c>
      <c r="K6531">
        <v>1</v>
      </c>
      <c r="L6531">
        <v>1</v>
      </c>
      <c r="M6531">
        <v>1</v>
      </c>
      <c r="N6531">
        <v>1</v>
      </c>
      <c r="O6531">
        <v>1</v>
      </c>
      <c r="P6531" t="s">
        <v>2574</v>
      </c>
      <c r="Q6531" t="s">
        <v>2575</v>
      </c>
      <c r="R6531" t="s">
        <v>1498</v>
      </c>
      <c r="S6531" t="s">
        <v>1499</v>
      </c>
      <c r="T6531" t="s">
        <v>13428</v>
      </c>
      <c r="U6531" t="s">
        <v>13429</v>
      </c>
      <c r="V6531" t="s">
        <v>2578</v>
      </c>
      <c r="W6531" t="s">
        <v>2579</v>
      </c>
      <c r="AD6531" t="s">
        <v>1829</v>
      </c>
      <c r="AE6531" t="s">
        <v>13430</v>
      </c>
      <c r="AF6531" t="s">
        <v>13431</v>
      </c>
    </row>
    <row r="6532" spans="1:32" hidden="1" x14ac:dyDescent="0.35">
      <c r="A6532">
        <v>6531</v>
      </c>
      <c r="B6532" t="s">
        <v>13432</v>
      </c>
      <c r="C6532" t="s">
        <v>68</v>
      </c>
      <c r="D6532" t="s">
        <v>60</v>
      </c>
      <c r="E6532">
        <v>557</v>
      </c>
      <c r="F6532">
        <v>2</v>
      </c>
      <c r="G6532">
        <v>2</v>
      </c>
      <c r="H6532">
        <v>1</v>
      </c>
      <c r="I6532">
        <v>0</v>
      </c>
      <c r="J6532">
        <v>1</v>
      </c>
      <c r="K6532">
        <v>1</v>
      </c>
      <c r="L6532">
        <v>1</v>
      </c>
      <c r="M6532">
        <v>1</v>
      </c>
      <c r="N6532">
        <v>1</v>
      </c>
      <c r="O6532">
        <v>1</v>
      </c>
      <c r="P6532" t="s">
        <v>13433</v>
      </c>
      <c r="Q6532" t="s">
        <v>13434</v>
      </c>
      <c r="R6532" t="s">
        <v>96</v>
      </c>
      <c r="S6532" t="s">
        <v>97</v>
      </c>
      <c r="T6532" t="s">
        <v>13435</v>
      </c>
      <c r="U6532" t="s">
        <v>13436</v>
      </c>
      <c r="V6532" t="s">
        <v>13437</v>
      </c>
      <c r="W6532" t="s">
        <v>13438</v>
      </c>
      <c r="AD6532" t="s">
        <v>941</v>
      </c>
      <c r="AE6532" t="s">
        <v>13439</v>
      </c>
      <c r="AF6532" t="s">
        <v>13440</v>
      </c>
    </row>
    <row r="6533" spans="1:32" hidden="1" x14ac:dyDescent="0.35">
      <c r="A6533">
        <v>6532</v>
      </c>
      <c r="B6533" t="s">
        <v>13432</v>
      </c>
      <c r="C6533" t="s">
        <v>68</v>
      </c>
      <c r="D6533" t="s">
        <v>62</v>
      </c>
      <c r="E6533">
        <v>641</v>
      </c>
      <c r="F6533">
        <v>2</v>
      </c>
      <c r="G6533">
        <v>2</v>
      </c>
      <c r="H6533">
        <v>1</v>
      </c>
      <c r="I6533">
        <v>0</v>
      </c>
      <c r="J6533">
        <v>1</v>
      </c>
      <c r="K6533">
        <v>1</v>
      </c>
      <c r="L6533">
        <v>1</v>
      </c>
      <c r="M6533">
        <v>1</v>
      </c>
      <c r="N6533">
        <v>1</v>
      </c>
      <c r="O6533">
        <v>1</v>
      </c>
      <c r="P6533" t="s">
        <v>13433</v>
      </c>
      <c r="Q6533" t="s">
        <v>13434</v>
      </c>
      <c r="R6533" t="s">
        <v>96</v>
      </c>
      <c r="S6533" t="s">
        <v>97</v>
      </c>
      <c r="T6533" t="s">
        <v>13435</v>
      </c>
      <c r="U6533" t="s">
        <v>13436</v>
      </c>
      <c r="V6533" t="s">
        <v>13437</v>
      </c>
      <c r="W6533" t="s">
        <v>13438</v>
      </c>
      <c r="AD6533" t="s">
        <v>941</v>
      </c>
      <c r="AE6533" t="s">
        <v>13439</v>
      </c>
      <c r="AF6533" t="s">
        <v>13440</v>
      </c>
    </row>
    <row r="6534" spans="1:32" hidden="1" x14ac:dyDescent="0.35">
      <c r="A6534">
        <v>6533</v>
      </c>
      <c r="B6534" t="s">
        <v>13441</v>
      </c>
      <c r="C6534" t="s">
        <v>68</v>
      </c>
      <c r="D6534" t="s">
        <v>60</v>
      </c>
      <c r="E6534">
        <v>1644</v>
      </c>
      <c r="F6534">
        <v>2</v>
      </c>
      <c r="G6534">
        <v>2</v>
      </c>
      <c r="H6534">
        <v>1</v>
      </c>
      <c r="I6534">
        <v>0</v>
      </c>
      <c r="J6534">
        <v>1</v>
      </c>
      <c r="K6534">
        <v>1</v>
      </c>
      <c r="L6534">
        <v>1</v>
      </c>
      <c r="M6534">
        <v>1</v>
      </c>
      <c r="N6534">
        <v>1</v>
      </c>
      <c r="O6534">
        <v>1</v>
      </c>
      <c r="P6534" t="s">
        <v>3495</v>
      </c>
      <c r="Q6534" t="s">
        <v>3188</v>
      </c>
      <c r="R6534" t="s">
        <v>319</v>
      </c>
      <c r="S6534" t="s">
        <v>320</v>
      </c>
      <c r="T6534" t="s">
        <v>13442</v>
      </c>
      <c r="U6534" t="s">
        <v>13443</v>
      </c>
      <c r="V6534" t="s">
        <v>12535</v>
      </c>
      <c r="W6534" t="s">
        <v>12536</v>
      </c>
      <c r="AD6534" t="s">
        <v>9397</v>
      </c>
      <c r="AE6534" t="s">
        <v>13444</v>
      </c>
      <c r="AF6534" t="s">
        <v>13445</v>
      </c>
    </row>
    <row r="6535" spans="1:32" hidden="1" x14ac:dyDescent="0.35">
      <c r="A6535">
        <v>6534</v>
      </c>
      <c r="B6535" t="s">
        <v>13441</v>
      </c>
      <c r="C6535" t="s">
        <v>68</v>
      </c>
      <c r="D6535" t="s">
        <v>62</v>
      </c>
      <c r="E6535">
        <v>1679</v>
      </c>
      <c r="F6535">
        <v>2</v>
      </c>
      <c r="G6535">
        <v>2</v>
      </c>
      <c r="H6535">
        <v>1</v>
      </c>
      <c r="I6535">
        <v>0</v>
      </c>
      <c r="J6535">
        <v>1</v>
      </c>
      <c r="K6535">
        <v>1</v>
      </c>
      <c r="L6535">
        <v>1</v>
      </c>
      <c r="M6535">
        <v>1</v>
      </c>
      <c r="N6535">
        <v>1</v>
      </c>
      <c r="O6535">
        <v>1</v>
      </c>
      <c r="P6535" t="s">
        <v>3495</v>
      </c>
      <c r="Q6535" t="s">
        <v>3188</v>
      </c>
      <c r="R6535" t="s">
        <v>319</v>
      </c>
      <c r="S6535" t="s">
        <v>320</v>
      </c>
      <c r="T6535" t="s">
        <v>13442</v>
      </c>
      <c r="U6535" t="s">
        <v>13443</v>
      </c>
      <c r="V6535" t="s">
        <v>12535</v>
      </c>
      <c r="W6535" t="s">
        <v>12536</v>
      </c>
      <c r="AD6535" t="s">
        <v>9397</v>
      </c>
      <c r="AE6535" t="s">
        <v>13444</v>
      </c>
      <c r="AF6535" t="s">
        <v>13445</v>
      </c>
    </row>
    <row r="6536" spans="1:32" hidden="1" x14ac:dyDescent="0.35">
      <c r="A6536">
        <v>6535</v>
      </c>
      <c r="B6536" t="s">
        <v>13446</v>
      </c>
      <c r="C6536" t="s">
        <v>68</v>
      </c>
      <c r="D6536" t="s">
        <v>60</v>
      </c>
      <c r="E6536">
        <v>1734</v>
      </c>
      <c r="F6536">
        <v>2</v>
      </c>
      <c r="G6536">
        <v>2</v>
      </c>
      <c r="H6536">
        <v>1</v>
      </c>
      <c r="I6536">
        <v>0</v>
      </c>
      <c r="J6536">
        <v>1</v>
      </c>
      <c r="K6536">
        <v>1</v>
      </c>
      <c r="L6536">
        <v>1</v>
      </c>
      <c r="M6536">
        <v>1</v>
      </c>
      <c r="N6536">
        <v>1</v>
      </c>
      <c r="O6536">
        <v>1</v>
      </c>
      <c r="P6536" t="s">
        <v>363</v>
      </c>
      <c r="Q6536" t="s">
        <v>364</v>
      </c>
      <c r="R6536" t="s">
        <v>157</v>
      </c>
      <c r="S6536" t="s">
        <v>158</v>
      </c>
      <c r="V6536" t="s">
        <v>358</v>
      </c>
      <c r="W6536" t="s">
        <v>359</v>
      </c>
      <c r="AF6536" t="s">
        <v>13447</v>
      </c>
    </row>
    <row r="6537" spans="1:32" hidden="1" x14ac:dyDescent="0.35">
      <c r="A6537">
        <v>6536</v>
      </c>
      <c r="B6537" t="s">
        <v>13446</v>
      </c>
      <c r="C6537" t="s">
        <v>68</v>
      </c>
      <c r="D6537" t="s">
        <v>62</v>
      </c>
      <c r="E6537">
        <v>1771</v>
      </c>
      <c r="F6537">
        <v>2</v>
      </c>
      <c r="G6537">
        <v>2</v>
      </c>
      <c r="H6537">
        <v>1</v>
      </c>
      <c r="I6537">
        <v>0</v>
      </c>
      <c r="J6537">
        <v>1</v>
      </c>
      <c r="K6537">
        <v>1</v>
      </c>
      <c r="L6537">
        <v>1</v>
      </c>
      <c r="M6537">
        <v>1</v>
      </c>
      <c r="N6537">
        <v>1</v>
      </c>
      <c r="O6537">
        <v>1</v>
      </c>
      <c r="P6537" t="s">
        <v>363</v>
      </c>
      <c r="Q6537" t="s">
        <v>364</v>
      </c>
      <c r="R6537" t="s">
        <v>157</v>
      </c>
      <c r="S6537" t="s">
        <v>158</v>
      </c>
      <c r="V6537" t="s">
        <v>358</v>
      </c>
      <c r="W6537" t="s">
        <v>359</v>
      </c>
      <c r="AF6537" t="s">
        <v>13447</v>
      </c>
    </row>
    <row r="6538" spans="1:32" hidden="1" x14ac:dyDescent="0.35">
      <c r="A6538">
        <v>6537</v>
      </c>
      <c r="B6538" t="s">
        <v>13448</v>
      </c>
      <c r="C6538" t="s">
        <v>68</v>
      </c>
      <c r="D6538" t="s">
        <v>60</v>
      </c>
      <c r="E6538">
        <v>1544</v>
      </c>
      <c r="F6538">
        <v>2</v>
      </c>
      <c r="G6538">
        <v>2</v>
      </c>
      <c r="H6538">
        <v>1</v>
      </c>
      <c r="I6538">
        <v>0</v>
      </c>
      <c r="J6538">
        <v>1</v>
      </c>
      <c r="K6538">
        <v>1</v>
      </c>
      <c r="L6538">
        <v>1</v>
      </c>
      <c r="M6538">
        <v>1</v>
      </c>
      <c r="N6538">
        <v>1</v>
      </c>
      <c r="O6538">
        <v>1</v>
      </c>
      <c r="P6538" t="s">
        <v>9895</v>
      </c>
      <c r="Q6538" t="s">
        <v>9896</v>
      </c>
      <c r="R6538" t="s">
        <v>9897</v>
      </c>
      <c r="S6538" t="s">
        <v>9898</v>
      </c>
      <c r="T6538" t="s">
        <v>9899</v>
      </c>
      <c r="U6538" t="s">
        <v>9900</v>
      </c>
      <c r="V6538" t="s">
        <v>9901</v>
      </c>
      <c r="W6538" t="s">
        <v>9902</v>
      </c>
      <c r="X6538" t="s">
        <v>9901</v>
      </c>
      <c r="Y6538" t="s">
        <v>1136</v>
      </c>
      <c r="Z6538" t="s">
        <v>5274</v>
      </c>
      <c r="AA6538" t="s">
        <v>5275</v>
      </c>
      <c r="AB6538" t="s">
        <v>5274</v>
      </c>
      <c r="AC6538" t="s">
        <v>5276</v>
      </c>
      <c r="AD6538" t="s">
        <v>245</v>
      </c>
      <c r="AE6538" t="s">
        <v>9903</v>
      </c>
      <c r="AF6538" t="s">
        <v>13449</v>
      </c>
    </row>
    <row r="6539" spans="1:32" hidden="1" x14ac:dyDescent="0.35">
      <c r="A6539">
        <v>6538</v>
      </c>
      <c r="B6539" t="s">
        <v>13448</v>
      </c>
      <c r="C6539" t="s">
        <v>68</v>
      </c>
      <c r="D6539" t="s">
        <v>62</v>
      </c>
      <c r="E6539">
        <v>1579</v>
      </c>
      <c r="F6539">
        <v>2</v>
      </c>
      <c r="G6539">
        <v>2</v>
      </c>
      <c r="H6539">
        <v>1</v>
      </c>
      <c r="I6539">
        <v>0</v>
      </c>
      <c r="J6539">
        <v>1</v>
      </c>
      <c r="K6539">
        <v>1</v>
      </c>
      <c r="L6539">
        <v>1</v>
      </c>
      <c r="M6539">
        <v>1</v>
      </c>
      <c r="N6539">
        <v>1</v>
      </c>
      <c r="O6539">
        <v>1</v>
      </c>
      <c r="P6539" t="s">
        <v>9895</v>
      </c>
      <c r="Q6539" t="s">
        <v>9896</v>
      </c>
      <c r="R6539" t="s">
        <v>9897</v>
      </c>
      <c r="S6539" t="s">
        <v>9898</v>
      </c>
      <c r="T6539" t="s">
        <v>9899</v>
      </c>
      <c r="U6539" t="s">
        <v>9900</v>
      </c>
      <c r="V6539" t="s">
        <v>9901</v>
      </c>
      <c r="W6539" t="s">
        <v>9902</v>
      </c>
      <c r="X6539" t="s">
        <v>9901</v>
      </c>
      <c r="Y6539" t="s">
        <v>1136</v>
      </c>
      <c r="Z6539" t="s">
        <v>5274</v>
      </c>
      <c r="AA6539" t="s">
        <v>5275</v>
      </c>
      <c r="AB6539" t="s">
        <v>5274</v>
      </c>
      <c r="AC6539" t="s">
        <v>5276</v>
      </c>
      <c r="AD6539" t="s">
        <v>245</v>
      </c>
      <c r="AE6539" t="s">
        <v>9903</v>
      </c>
      <c r="AF6539" t="s">
        <v>13449</v>
      </c>
    </row>
    <row r="6540" spans="1:32" hidden="1" x14ac:dyDescent="0.35">
      <c r="A6540">
        <v>6539</v>
      </c>
      <c r="B6540" t="s">
        <v>13450</v>
      </c>
      <c r="C6540" t="s">
        <v>68</v>
      </c>
      <c r="D6540" t="s">
        <v>60</v>
      </c>
      <c r="E6540">
        <v>1548</v>
      </c>
      <c r="F6540">
        <v>2</v>
      </c>
      <c r="G6540">
        <v>2</v>
      </c>
      <c r="H6540">
        <v>1</v>
      </c>
      <c r="I6540">
        <v>0</v>
      </c>
      <c r="J6540">
        <v>1</v>
      </c>
      <c r="K6540">
        <v>1</v>
      </c>
      <c r="L6540">
        <v>1</v>
      </c>
      <c r="M6540">
        <v>1</v>
      </c>
      <c r="N6540">
        <v>1</v>
      </c>
      <c r="O6540">
        <v>1</v>
      </c>
      <c r="P6540" t="s">
        <v>169</v>
      </c>
      <c r="Q6540" t="s">
        <v>170</v>
      </c>
      <c r="R6540" t="s">
        <v>6824</v>
      </c>
      <c r="S6540" t="s">
        <v>6825</v>
      </c>
      <c r="T6540" t="s">
        <v>13093</v>
      </c>
      <c r="U6540" t="s">
        <v>12741</v>
      </c>
      <c r="V6540" t="s">
        <v>13451</v>
      </c>
      <c r="W6540" t="s">
        <v>13452</v>
      </c>
      <c r="AD6540" t="s">
        <v>439</v>
      </c>
      <c r="AE6540" t="s">
        <v>471</v>
      </c>
      <c r="AF6540" t="s">
        <v>13453</v>
      </c>
    </row>
    <row r="6541" spans="1:32" hidden="1" x14ac:dyDescent="0.35">
      <c r="A6541">
        <v>6540</v>
      </c>
      <c r="B6541" t="s">
        <v>13450</v>
      </c>
      <c r="C6541" t="s">
        <v>68</v>
      </c>
      <c r="D6541" t="s">
        <v>62</v>
      </c>
      <c r="E6541">
        <v>1583</v>
      </c>
      <c r="F6541">
        <v>2</v>
      </c>
      <c r="G6541">
        <v>2</v>
      </c>
      <c r="H6541">
        <v>1</v>
      </c>
      <c r="I6541">
        <v>0</v>
      </c>
      <c r="J6541">
        <v>1</v>
      </c>
      <c r="K6541">
        <v>1</v>
      </c>
      <c r="L6541">
        <v>1</v>
      </c>
      <c r="M6541">
        <v>1</v>
      </c>
      <c r="N6541">
        <v>1</v>
      </c>
      <c r="O6541">
        <v>1</v>
      </c>
      <c r="P6541" t="s">
        <v>169</v>
      </c>
      <c r="Q6541" t="s">
        <v>170</v>
      </c>
      <c r="R6541" t="s">
        <v>6824</v>
      </c>
      <c r="S6541" t="s">
        <v>6825</v>
      </c>
      <c r="T6541" t="s">
        <v>13093</v>
      </c>
      <c r="U6541" t="s">
        <v>12741</v>
      </c>
      <c r="V6541" t="s">
        <v>13451</v>
      </c>
      <c r="W6541" t="s">
        <v>13452</v>
      </c>
      <c r="AD6541" t="s">
        <v>439</v>
      </c>
      <c r="AE6541" t="s">
        <v>471</v>
      </c>
      <c r="AF6541" t="s">
        <v>13453</v>
      </c>
    </row>
    <row r="6542" spans="1:32" hidden="1" x14ac:dyDescent="0.35">
      <c r="A6542">
        <v>6541</v>
      </c>
      <c r="B6542" t="s">
        <v>13454</v>
      </c>
      <c r="C6542" t="s">
        <v>68</v>
      </c>
      <c r="D6542" t="s">
        <v>60</v>
      </c>
      <c r="E6542">
        <v>390</v>
      </c>
      <c r="F6542">
        <v>2</v>
      </c>
      <c r="G6542">
        <v>2</v>
      </c>
      <c r="H6542">
        <v>1</v>
      </c>
      <c r="I6542">
        <v>0</v>
      </c>
      <c r="J6542">
        <v>1</v>
      </c>
      <c r="K6542">
        <v>1</v>
      </c>
      <c r="L6542">
        <v>1</v>
      </c>
      <c r="M6542">
        <v>1</v>
      </c>
      <c r="N6542">
        <v>1</v>
      </c>
      <c r="O6542">
        <v>1</v>
      </c>
      <c r="P6542" t="s">
        <v>12423</v>
      </c>
      <c r="Q6542" t="s">
        <v>12424</v>
      </c>
      <c r="AF6542" t="s">
        <v>13455</v>
      </c>
    </row>
    <row r="6543" spans="1:32" hidden="1" x14ac:dyDescent="0.35">
      <c r="A6543">
        <v>6542</v>
      </c>
      <c r="B6543" t="s">
        <v>13454</v>
      </c>
      <c r="C6543" t="s">
        <v>68</v>
      </c>
      <c r="D6543" t="s">
        <v>62</v>
      </c>
      <c r="E6543">
        <v>471</v>
      </c>
      <c r="F6543">
        <v>2</v>
      </c>
      <c r="G6543">
        <v>2</v>
      </c>
      <c r="H6543">
        <v>1</v>
      </c>
      <c r="I6543">
        <v>0</v>
      </c>
      <c r="J6543">
        <v>1</v>
      </c>
      <c r="K6543">
        <v>1</v>
      </c>
      <c r="L6543">
        <v>1</v>
      </c>
      <c r="M6543">
        <v>1</v>
      </c>
      <c r="N6543">
        <v>1</v>
      </c>
      <c r="O6543">
        <v>1</v>
      </c>
      <c r="P6543" t="s">
        <v>12423</v>
      </c>
      <c r="Q6543" t="s">
        <v>12424</v>
      </c>
      <c r="AF6543" t="s">
        <v>13455</v>
      </c>
    </row>
    <row r="6544" spans="1:32" hidden="1" x14ac:dyDescent="0.35">
      <c r="A6544">
        <v>6543</v>
      </c>
      <c r="B6544" t="s">
        <v>13456</v>
      </c>
      <c r="C6544" t="s">
        <v>68</v>
      </c>
      <c r="D6544" t="s">
        <v>60</v>
      </c>
      <c r="E6544">
        <v>951</v>
      </c>
      <c r="F6544">
        <v>2</v>
      </c>
      <c r="G6544">
        <v>2</v>
      </c>
      <c r="H6544">
        <v>1</v>
      </c>
      <c r="I6544">
        <v>0</v>
      </c>
      <c r="J6544">
        <v>1</v>
      </c>
      <c r="K6544">
        <v>1</v>
      </c>
      <c r="L6544">
        <v>1</v>
      </c>
      <c r="M6544">
        <v>1</v>
      </c>
      <c r="N6544">
        <v>1</v>
      </c>
      <c r="O6544">
        <v>1</v>
      </c>
      <c r="AF6544" t="s">
        <v>13457</v>
      </c>
    </row>
    <row r="6545" spans="1:32" hidden="1" x14ac:dyDescent="0.35">
      <c r="A6545">
        <v>6544</v>
      </c>
      <c r="B6545" t="s">
        <v>13456</v>
      </c>
      <c r="C6545" t="s">
        <v>68</v>
      </c>
      <c r="D6545" t="s">
        <v>62</v>
      </c>
      <c r="E6545">
        <v>987</v>
      </c>
      <c r="F6545">
        <v>2</v>
      </c>
      <c r="G6545">
        <v>2</v>
      </c>
      <c r="H6545">
        <v>1</v>
      </c>
      <c r="I6545">
        <v>0</v>
      </c>
      <c r="J6545">
        <v>1</v>
      </c>
      <c r="K6545">
        <v>1</v>
      </c>
      <c r="L6545">
        <v>1</v>
      </c>
      <c r="M6545">
        <v>1</v>
      </c>
      <c r="N6545">
        <v>1</v>
      </c>
      <c r="O6545">
        <v>1</v>
      </c>
      <c r="AF6545" t="s">
        <v>13457</v>
      </c>
    </row>
    <row r="6546" spans="1:32" hidden="1" x14ac:dyDescent="0.35">
      <c r="A6546">
        <v>6545</v>
      </c>
      <c r="B6546" t="s">
        <v>13458</v>
      </c>
      <c r="C6546" t="s">
        <v>68</v>
      </c>
      <c r="D6546" t="s">
        <v>60</v>
      </c>
      <c r="E6546">
        <v>1297</v>
      </c>
      <c r="F6546">
        <v>2</v>
      </c>
      <c r="G6546">
        <v>2</v>
      </c>
      <c r="H6546">
        <v>1</v>
      </c>
      <c r="I6546">
        <v>0</v>
      </c>
      <c r="J6546">
        <v>1</v>
      </c>
      <c r="K6546">
        <v>1</v>
      </c>
      <c r="L6546">
        <v>1</v>
      </c>
      <c r="M6546">
        <v>1</v>
      </c>
      <c r="N6546">
        <v>1</v>
      </c>
      <c r="O6546">
        <v>1</v>
      </c>
      <c r="P6546" t="s">
        <v>13459</v>
      </c>
      <c r="Q6546" t="s">
        <v>13460</v>
      </c>
      <c r="R6546" t="s">
        <v>288</v>
      </c>
      <c r="S6546" t="s">
        <v>289</v>
      </c>
      <c r="T6546" t="s">
        <v>13461</v>
      </c>
      <c r="U6546" t="s">
        <v>13462</v>
      </c>
      <c r="V6546" t="s">
        <v>13463</v>
      </c>
      <c r="W6546" t="s">
        <v>13464</v>
      </c>
      <c r="AD6546" t="s">
        <v>410</v>
      </c>
      <c r="AE6546" t="s">
        <v>603</v>
      </c>
      <c r="AF6546" t="s">
        <v>13465</v>
      </c>
    </row>
    <row r="6547" spans="1:32" hidden="1" x14ac:dyDescent="0.35">
      <c r="A6547">
        <v>6546</v>
      </c>
      <c r="B6547" t="s">
        <v>13458</v>
      </c>
      <c r="C6547" t="s">
        <v>68</v>
      </c>
      <c r="D6547" t="s">
        <v>62</v>
      </c>
      <c r="E6547">
        <v>1333</v>
      </c>
      <c r="F6547">
        <v>2</v>
      </c>
      <c r="G6547">
        <v>2</v>
      </c>
      <c r="H6547">
        <v>1</v>
      </c>
      <c r="I6547">
        <v>0</v>
      </c>
      <c r="J6547">
        <v>1</v>
      </c>
      <c r="K6547">
        <v>1</v>
      </c>
      <c r="L6547">
        <v>1</v>
      </c>
      <c r="M6547">
        <v>1</v>
      </c>
      <c r="N6547">
        <v>1</v>
      </c>
      <c r="O6547">
        <v>1</v>
      </c>
      <c r="P6547" t="s">
        <v>13459</v>
      </c>
      <c r="Q6547" t="s">
        <v>13460</v>
      </c>
      <c r="R6547" t="s">
        <v>288</v>
      </c>
      <c r="S6547" t="s">
        <v>289</v>
      </c>
      <c r="T6547" t="s">
        <v>13461</v>
      </c>
      <c r="U6547" t="s">
        <v>13462</v>
      </c>
      <c r="V6547" t="s">
        <v>13463</v>
      </c>
      <c r="W6547" t="s">
        <v>13464</v>
      </c>
      <c r="AD6547" t="s">
        <v>410</v>
      </c>
      <c r="AE6547" t="s">
        <v>603</v>
      </c>
      <c r="AF6547" t="s">
        <v>13465</v>
      </c>
    </row>
    <row r="6548" spans="1:32" hidden="1" x14ac:dyDescent="0.35">
      <c r="A6548">
        <v>6547</v>
      </c>
      <c r="B6548" t="s">
        <v>13466</v>
      </c>
      <c r="C6548" t="s">
        <v>68</v>
      </c>
      <c r="D6548" t="s">
        <v>60</v>
      </c>
      <c r="E6548">
        <v>1389</v>
      </c>
      <c r="F6548">
        <v>2</v>
      </c>
      <c r="G6548">
        <v>2</v>
      </c>
      <c r="H6548">
        <v>1</v>
      </c>
      <c r="I6548">
        <v>0</v>
      </c>
      <c r="J6548">
        <v>1</v>
      </c>
      <c r="K6548">
        <v>1</v>
      </c>
      <c r="L6548">
        <v>1</v>
      </c>
      <c r="M6548">
        <v>1</v>
      </c>
      <c r="N6548">
        <v>1</v>
      </c>
      <c r="O6548">
        <v>1</v>
      </c>
      <c r="AF6548" t="s">
        <v>13467</v>
      </c>
    </row>
    <row r="6549" spans="1:32" hidden="1" x14ac:dyDescent="0.35">
      <c r="A6549">
        <v>6548</v>
      </c>
      <c r="B6549" t="s">
        <v>13466</v>
      </c>
      <c r="C6549" t="s">
        <v>68</v>
      </c>
      <c r="D6549" t="s">
        <v>62</v>
      </c>
      <c r="E6549">
        <v>1424</v>
      </c>
      <c r="F6549">
        <v>2</v>
      </c>
      <c r="G6549">
        <v>2</v>
      </c>
      <c r="H6549">
        <v>1</v>
      </c>
      <c r="I6549">
        <v>0</v>
      </c>
      <c r="J6549">
        <v>1</v>
      </c>
      <c r="K6549">
        <v>1</v>
      </c>
      <c r="L6549">
        <v>1</v>
      </c>
      <c r="M6549">
        <v>1</v>
      </c>
      <c r="N6549">
        <v>1</v>
      </c>
      <c r="O6549">
        <v>1</v>
      </c>
      <c r="AF6549" t="s">
        <v>13467</v>
      </c>
    </row>
    <row r="6550" spans="1:32" hidden="1" x14ac:dyDescent="0.35">
      <c r="A6550">
        <v>6549</v>
      </c>
      <c r="B6550" t="s">
        <v>13468</v>
      </c>
      <c r="C6550" t="s">
        <v>68</v>
      </c>
      <c r="D6550" t="s">
        <v>34</v>
      </c>
      <c r="E6550">
        <v>737</v>
      </c>
      <c r="F6550">
        <v>2</v>
      </c>
      <c r="G6550">
        <v>2</v>
      </c>
      <c r="H6550">
        <v>1</v>
      </c>
      <c r="I6550">
        <v>0</v>
      </c>
      <c r="J6550">
        <v>1</v>
      </c>
      <c r="K6550">
        <v>1</v>
      </c>
      <c r="L6550">
        <v>1</v>
      </c>
      <c r="M6550">
        <v>1</v>
      </c>
      <c r="N6550">
        <v>1</v>
      </c>
      <c r="O6550">
        <v>1</v>
      </c>
      <c r="P6550" t="s">
        <v>1247</v>
      </c>
      <c r="Q6550" t="s">
        <v>1248</v>
      </c>
      <c r="R6550" t="s">
        <v>12738</v>
      </c>
      <c r="S6550" t="s">
        <v>12739</v>
      </c>
      <c r="T6550" t="s">
        <v>13469</v>
      </c>
      <c r="U6550" t="s">
        <v>13384</v>
      </c>
      <c r="V6550" t="s">
        <v>12845</v>
      </c>
      <c r="W6550" t="s">
        <v>12846</v>
      </c>
      <c r="AD6550" t="s">
        <v>439</v>
      </c>
      <c r="AE6550" t="s">
        <v>440</v>
      </c>
      <c r="AF6550" t="s">
        <v>13470</v>
      </c>
    </row>
    <row r="6551" spans="1:32" hidden="1" x14ac:dyDescent="0.35">
      <c r="A6551">
        <v>6550</v>
      </c>
      <c r="B6551" t="s">
        <v>13468</v>
      </c>
      <c r="C6551" t="s">
        <v>68</v>
      </c>
      <c r="D6551" t="s">
        <v>45</v>
      </c>
      <c r="E6551">
        <v>2003</v>
      </c>
      <c r="F6551">
        <v>2</v>
      </c>
      <c r="G6551">
        <v>2</v>
      </c>
      <c r="H6551">
        <v>1</v>
      </c>
      <c r="I6551">
        <v>0</v>
      </c>
      <c r="J6551">
        <v>1</v>
      </c>
      <c r="K6551">
        <v>1</v>
      </c>
      <c r="L6551">
        <v>1</v>
      </c>
      <c r="M6551">
        <v>1</v>
      </c>
      <c r="N6551">
        <v>1</v>
      </c>
      <c r="O6551">
        <v>1</v>
      </c>
      <c r="P6551" t="s">
        <v>1247</v>
      </c>
      <c r="Q6551" t="s">
        <v>1248</v>
      </c>
      <c r="R6551" t="s">
        <v>12738</v>
      </c>
      <c r="S6551" t="s">
        <v>12739</v>
      </c>
      <c r="T6551" t="s">
        <v>13469</v>
      </c>
      <c r="U6551" t="s">
        <v>13384</v>
      </c>
      <c r="V6551" t="s">
        <v>12845</v>
      </c>
      <c r="W6551" t="s">
        <v>12846</v>
      </c>
      <c r="AD6551" t="s">
        <v>439</v>
      </c>
      <c r="AE6551" t="s">
        <v>440</v>
      </c>
      <c r="AF6551" t="s">
        <v>13470</v>
      </c>
    </row>
    <row r="6552" spans="1:32" hidden="1" x14ac:dyDescent="0.35">
      <c r="A6552">
        <v>6551</v>
      </c>
      <c r="B6552" t="s">
        <v>13471</v>
      </c>
      <c r="C6552" t="s">
        <v>68</v>
      </c>
      <c r="D6552" t="s">
        <v>34</v>
      </c>
      <c r="E6552">
        <v>1430</v>
      </c>
      <c r="F6552">
        <v>2</v>
      </c>
      <c r="G6552">
        <v>2</v>
      </c>
      <c r="H6552">
        <v>1</v>
      </c>
      <c r="I6552">
        <v>0</v>
      </c>
      <c r="J6552">
        <v>1</v>
      </c>
      <c r="K6552">
        <v>1</v>
      </c>
      <c r="L6552">
        <v>1</v>
      </c>
      <c r="M6552">
        <v>1</v>
      </c>
      <c r="N6552">
        <v>1</v>
      </c>
      <c r="O6552">
        <v>1</v>
      </c>
      <c r="P6552" t="s">
        <v>13472</v>
      </c>
      <c r="Q6552" t="s">
        <v>13473</v>
      </c>
      <c r="AF6552" t="s">
        <v>13474</v>
      </c>
    </row>
    <row r="6553" spans="1:32" hidden="1" x14ac:dyDescent="0.35">
      <c r="A6553">
        <v>6552</v>
      </c>
      <c r="B6553" t="s">
        <v>13471</v>
      </c>
      <c r="C6553" t="s">
        <v>68</v>
      </c>
      <c r="D6553" t="s">
        <v>45</v>
      </c>
      <c r="E6553">
        <v>181</v>
      </c>
      <c r="F6553">
        <v>2</v>
      </c>
      <c r="G6553">
        <v>2</v>
      </c>
      <c r="H6553">
        <v>1</v>
      </c>
      <c r="I6553">
        <v>0</v>
      </c>
      <c r="J6553">
        <v>1</v>
      </c>
      <c r="K6553">
        <v>1</v>
      </c>
      <c r="L6553">
        <v>1</v>
      </c>
      <c r="M6553">
        <v>1</v>
      </c>
      <c r="N6553">
        <v>1</v>
      </c>
      <c r="O6553">
        <v>1</v>
      </c>
      <c r="P6553" t="s">
        <v>13472</v>
      </c>
      <c r="Q6553" t="s">
        <v>13473</v>
      </c>
      <c r="AF6553" t="s">
        <v>13474</v>
      </c>
    </row>
    <row r="6554" spans="1:32" hidden="1" x14ac:dyDescent="0.35">
      <c r="A6554">
        <v>6553</v>
      </c>
      <c r="B6554" t="s">
        <v>13475</v>
      </c>
      <c r="C6554" t="s">
        <v>68</v>
      </c>
      <c r="D6554" t="s">
        <v>60</v>
      </c>
      <c r="E6554">
        <v>782</v>
      </c>
      <c r="F6554">
        <v>2</v>
      </c>
      <c r="G6554">
        <v>2</v>
      </c>
      <c r="H6554">
        <v>1</v>
      </c>
      <c r="I6554">
        <v>0</v>
      </c>
      <c r="J6554">
        <v>1</v>
      </c>
      <c r="K6554">
        <v>1</v>
      </c>
      <c r="L6554">
        <v>1</v>
      </c>
      <c r="M6554">
        <v>1</v>
      </c>
      <c r="N6554">
        <v>1</v>
      </c>
      <c r="O6554">
        <v>1</v>
      </c>
      <c r="P6554" t="s">
        <v>13476</v>
      </c>
      <c r="Q6554" t="s">
        <v>13477</v>
      </c>
      <c r="R6554" t="s">
        <v>1191</v>
      </c>
      <c r="S6554" t="s">
        <v>1192</v>
      </c>
      <c r="V6554" t="s">
        <v>13478</v>
      </c>
      <c r="W6554" t="s">
        <v>13479</v>
      </c>
      <c r="AF6554" t="s">
        <v>13480</v>
      </c>
    </row>
    <row r="6555" spans="1:32" hidden="1" x14ac:dyDescent="0.35">
      <c r="A6555">
        <v>6554</v>
      </c>
      <c r="B6555" t="s">
        <v>13475</v>
      </c>
      <c r="C6555" t="s">
        <v>68</v>
      </c>
      <c r="D6555" t="s">
        <v>62</v>
      </c>
      <c r="E6555">
        <v>815</v>
      </c>
      <c r="F6555">
        <v>2</v>
      </c>
      <c r="G6555">
        <v>2</v>
      </c>
      <c r="H6555">
        <v>1</v>
      </c>
      <c r="I6555">
        <v>0</v>
      </c>
      <c r="J6555">
        <v>1</v>
      </c>
      <c r="K6555">
        <v>1</v>
      </c>
      <c r="L6555">
        <v>1</v>
      </c>
      <c r="M6555">
        <v>1</v>
      </c>
      <c r="N6555">
        <v>1</v>
      </c>
      <c r="O6555">
        <v>1</v>
      </c>
      <c r="P6555" t="s">
        <v>13476</v>
      </c>
      <c r="Q6555" t="s">
        <v>13477</v>
      </c>
      <c r="R6555" t="s">
        <v>1191</v>
      </c>
      <c r="S6555" t="s">
        <v>1192</v>
      </c>
      <c r="V6555" t="s">
        <v>13478</v>
      </c>
      <c r="W6555" t="s">
        <v>13479</v>
      </c>
      <c r="AF6555" t="s">
        <v>13480</v>
      </c>
    </row>
    <row r="6556" spans="1:32" hidden="1" x14ac:dyDescent="0.35">
      <c r="A6556">
        <v>6555</v>
      </c>
      <c r="B6556" t="s">
        <v>13481</v>
      </c>
      <c r="C6556" t="s">
        <v>68</v>
      </c>
      <c r="D6556" t="s">
        <v>34</v>
      </c>
      <c r="E6556">
        <v>870</v>
      </c>
      <c r="F6556">
        <v>2</v>
      </c>
      <c r="G6556">
        <v>2</v>
      </c>
      <c r="H6556">
        <v>1</v>
      </c>
      <c r="I6556">
        <v>0</v>
      </c>
      <c r="J6556">
        <v>1</v>
      </c>
      <c r="K6556">
        <v>1</v>
      </c>
      <c r="L6556">
        <v>1</v>
      </c>
      <c r="M6556">
        <v>1</v>
      </c>
      <c r="N6556">
        <v>1</v>
      </c>
      <c r="O6556">
        <v>1</v>
      </c>
      <c r="AF6556" t="s">
        <v>13482</v>
      </c>
    </row>
    <row r="6557" spans="1:32" hidden="1" x14ac:dyDescent="0.35">
      <c r="A6557">
        <v>6556</v>
      </c>
      <c r="B6557" t="s">
        <v>13481</v>
      </c>
      <c r="C6557" t="s">
        <v>68</v>
      </c>
      <c r="D6557" t="s">
        <v>45</v>
      </c>
      <c r="E6557">
        <v>2127</v>
      </c>
      <c r="F6557">
        <v>2</v>
      </c>
      <c r="G6557">
        <v>2</v>
      </c>
      <c r="H6557">
        <v>1</v>
      </c>
      <c r="I6557">
        <v>0</v>
      </c>
      <c r="J6557">
        <v>1</v>
      </c>
      <c r="K6557">
        <v>1</v>
      </c>
      <c r="L6557">
        <v>1</v>
      </c>
      <c r="M6557">
        <v>1</v>
      </c>
      <c r="N6557">
        <v>1</v>
      </c>
      <c r="O6557">
        <v>1</v>
      </c>
      <c r="AF6557" t="s">
        <v>13482</v>
      </c>
    </row>
    <row r="6558" spans="1:32" hidden="1" x14ac:dyDescent="0.35">
      <c r="A6558">
        <v>6557</v>
      </c>
      <c r="B6558" t="s">
        <v>13483</v>
      </c>
      <c r="C6558" t="s">
        <v>68</v>
      </c>
      <c r="D6558" t="s">
        <v>60</v>
      </c>
      <c r="E6558">
        <v>1453</v>
      </c>
      <c r="F6558">
        <v>2</v>
      </c>
      <c r="G6558">
        <v>2</v>
      </c>
      <c r="H6558">
        <v>1</v>
      </c>
      <c r="I6558">
        <v>0</v>
      </c>
      <c r="J6558">
        <v>1</v>
      </c>
      <c r="K6558">
        <v>1</v>
      </c>
      <c r="L6558">
        <v>1</v>
      </c>
      <c r="M6558">
        <v>1</v>
      </c>
      <c r="N6558">
        <v>1</v>
      </c>
      <c r="O6558">
        <v>1</v>
      </c>
      <c r="AF6558" t="s">
        <v>13484</v>
      </c>
    </row>
    <row r="6559" spans="1:32" hidden="1" x14ac:dyDescent="0.35">
      <c r="A6559">
        <v>6558</v>
      </c>
      <c r="B6559" t="s">
        <v>13483</v>
      </c>
      <c r="C6559" t="s">
        <v>68</v>
      </c>
      <c r="D6559" t="s">
        <v>62</v>
      </c>
      <c r="E6559">
        <v>1488</v>
      </c>
      <c r="F6559">
        <v>2</v>
      </c>
      <c r="G6559">
        <v>2</v>
      </c>
      <c r="H6559">
        <v>1</v>
      </c>
      <c r="I6559">
        <v>0</v>
      </c>
      <c r="J6559">
        <v>1</v>
      </c>
      <c r="K6559">
        <v>1</v>
      </c>
      <c r="L6559">
        <v>1</v>
      </c>
      <c r="M6559">
        <v>1</v>
      </c>
      <c r="N6559">
        <v>1</v>
      </c>
      <c r="O6559">
        <v>1</v>
      </c>
      <c r="AF6559" t="s">
        <v>13484</v>
      </c>
    </row>
    <row r="6560" spans="1:32" hidden="1" x14ac:dyDescent="0.35">
      <c r="A6560">
        <v>6559</v>
      </c>
      <c r="B6560" t="s">
        <v>13485</v>
      </c>
      <c r="C6560" t="s">
        <v>68</v>
      </c>
      <c r="D6560" t="s">
        <v>34</v>
      </c>
      <c r="E6560">
        <v>1760</v>
      </c>
      <c r="F6560">
        <v>2</v>
      </c>
      <c r="G6560">
        <v>2</v>
      </c>
      <c r="H6560">
        <v>1</v>
      </c>
      <c r="I6560">
        <v>0</v>
      </c>
      <c r="J6560">
        <v>1</v>
      </c>
      <c r="K6560">
        <v>1</v>
      </c>
      <c r="L6560">
        <v>1</v>
      </c>
      <c r="M6560">
        <v>1</v>
      </c>
      <c r="N6560">
        <v>1</v>
      </c>
      <c r="O6560">
        <v>1</v>
      </c>
      <c r="P6560" t="s">
        <v>13486</v>
      </c>
      <c r="Q6560" t="s">
        <v>8444</v>
      </c>
      <c r="R6560" t="s">
        <v>1191</v>
      </c>
      <c r="S6560" t="s">
        <v>1192</v>
      </c>
      <c r="T6560" t="s">
        <v>13487</v>
      </c>
      <c r="U6560" t="s">
        <v>13488</v>
      </c>
      <c r="V6560" t="s">
        <v>13489</v>
      </c>
      <c r="W6560" t="s">
        <v>13490</v>
      </c>
      <c r="AD6560" t="s">
        <v>410</v>
      </c>
      <c r="AE6560" t="s">
        <v>1407</v>
      </c>
      <c r="AF6560" t="s">
        <v>13491</v>
      </c>
    </row>
    <row r="6561" spans="1:32" hidden="1" x14ac:dyDescent="0.35">
      <c r="A6561">
        <v>6560</v>
      </c>
      <c r="B6561" t="s">
        <v>13485</v>
      </c>
      <c r="C6561" t="s">
        <v>68</v>
      </c>
      <c r="D6561" t="s">
        <v>45</v>
      </c>
      <c r="E6561">
        <v>1113</v>
      </c>
      <c r="F6561">
        <v>2</v>
      </c>
      <c r="G6561">
        <v>2</v>
      </c>
      <c r="H6561">
        <v>1</v>
      </c>
      <c r="I6561">
        <v>0</v>
      </c>
      <c r="J6561">
        <v>1</v>
      </c>
      <c r="K6561">
        <v>1</v>
      </c>
      <c r="L6561">
        <v>1</v>
      </c>
      <c r="M6561">
        <v>1</v>
      </c>
      <c r="N6561">
        <v>1</v>
      </c>
      <c r="O6561">
        <v>1</v>
      </c>
      <c r="P6561" t="s">
        <v>13486</v>
      </c>
      <c r="Q6561" t="s">
        <v>8444</v>
      </c>
      <c r="R6561" t="s">
        <v>1191</v>
      </c>
      <c r="S6561" t="s">
        <v>1192</v>
      </c>
      <c r="T6561" t="s">
        <v>13487</v>
      </c>
      <c r="U6561" t="s">
        <v>13488</v>
      </c>
      <c r="V6561" t="s">
        <v>13489</v>
      </c>
      <c r="W6561" t="s">
        <v>13490</v>
      </c>
      <c r="AD6561" t="s">
        <v>410</v>
      </c>
      <c r="AE6561" t="s">
        <v>1407</v>
      </c>
      <c r="AF6561" t="s">
        <v>13491</v>
      </c>
    </row>
    <row r="6562" spans="1:32" hidden="1" x14ac:dyDescent="0.35">
      <c r="A6562">
        <v>6561</v>
      </c>
      <c r="B6562" t="s">
        <v>13492</v>
      </c>
      <c r="C6562" t="s">
        <v>68</v>
      </c>
      <c r="D6562" t="s">
        <v>60</v>
      </c>
      <c r="E6562">
        <v>2490</v>
      </c>
      <c r="F6562">
        <v>2</v>
      </c>
      <c r="G6562">
        <v>2</v>
      </c>
      <c r="H6562">
        <v>1</v>
      </c>
      <c r="I6562">
        <v>0</v>
      </c>
      <c r="J6562">
        <v>1</v>
      </c>
      <c r="K6562">
        <v>1</v>
      </c>
      <c r="L6562">
        <v>1</v>
      </c>
      <c r="M6562">
        <v>1</v>
      </c>
      <c r="N6562">
        <v>1</v>
      </c>
      <c r="O6562">
        <v>1</v>
      </c>
      <c r="AF6562" t="s">
        <v>13493</v>
      </c>
    </row>
    <row r="6563" spans="1:32" hidden="1" x14ac:dyDescent="0.35">
      <c r="A6563">
        <v>6562</v>
      </c>
      <c r="B6563" t="s">
        <v>13492</v>
      </c>
      <c r="C6563" t="s">
        <v>68</v>
      </c>
      <c r="D6563" t="s">
        <v>62</v>
      </c>
      <c r="E6563">
        <v>17</v>
      </c>
      <c r="F6563">
        <v>2</v>
      </c>
      <c r="G6563">
        <v>2</v>
      </c>
      <c r="H6563">
        <v>1</v>
      </c>
      <c r="I6563">
        <v>0</v>
      </c>
      <c r="J6563">
        <v>1</v>
      </c>
      <c r="K6563">
        <v>1</v>
      </c>
      <c r="L6563">
        <v>1</v>
      </c>
      <c r="M6563">
        <v>1</v>
      </c>
      <c r="N6563">
        <v>1</v>
      </c>
      <c r="O6563">
        <v>1</v>
      </c>
      <c r="AF6563" t="s">
        <v>13493</v>
      </c>
    </row>
    <row r="6564" spans="1:32" hidden="1" x14ac:dyDescent="0.35">
      <c r="A6564">
        <v>6563</v>
      </c>
      <c r="B6564" t="s">
        <v>13494</v>
      </c>
      <c r="C6564" t="s">
        <v>68</v>
      </c>
      <c r="D6564" t="s">
        <v>60</v>
      </c>
      <c r="E6564">
        <v>1834</v>
      </c>
      <c r="F6564">
        <v>2</v>
      </c>
      <c r="G6564">
        <v>2</v>
      </c>
      <c r="H6564">
        <v>1</v>
      </c>
      <c r="I6564">
        <v>0</v>
      </c>
      <c r="J6564">
        <v>1</v>
      </c>
      <c r="K6564">
        <v>1</v>
      </c>
      <c r="L6564">
        <v>1</v>
      </c>
      <c r="M6564">
        <v>1</v>
      </c>
      <c r="N6564">
        <v>1</v>
      </c>
      <c r="O6564">
        <v>1</v>
      </c>
      <c r="P6564" t="s">
        <v>13495</v>
      </c>
      <c r="Q6564" t="s">
        <v>2878</v>
      </c>
      <c r="R6564" t="s">
        <v>113</v>
      </c>
      <c r="S6564" t="s">
        <v>114</v>
      </c>
      <c r="V6564" t="s">
        <v>13496</v>
      </c>
      <c r="W6564" t="s">
        <v>13497</v>
      </c>
      <c r="AF6564" t="s">
        <v>13498</v>
      </c>
    </row>
    <row r="6565" spans="1:32" hidden="1" x14ac:dyDescent="0.35">
      <c r="A6565">
        <v>6564</v>
      </c>
      <c r="B6565" t="s">
        <v>13494</v>
      </c>
      <c r="C6565" t="s">
        <v>68</v>
      </c>
      <c r="D6565" t="s">
        <v>62</v>
      </c>
      <c r="E6565">
        <v>1872</v>
      </c>
      <c r="F6565">
        <v>2</v>
      </c>
      <c r="G6565">
        <v>2</v>
      </c>
      <c r="H6565">
        <v>1</v>
      </c>
      <c r="I6565">
        <v>0</v>
      </c>
      <c r="J6565">
        <v>1</v>
      </c>
      <c r="K6565">
        <v>1</v>
      </c>
      <c r="L6565">
        <v>1</v>
      </c>
      <c r="M6565">
        <v>1</v>
      </c>
      <c r="N6565">
        <v>1</v>
      </c>
      <c r="O6565">
        <v>1</v>
      </c>
      <c r="P6565" t="s">
        <v>13495</v>
      </c>
      <c r="Q6565" t="s">
        <v>2878</v>
      </c>
      <c r="R6565" t="s">
        <v>113</v>
      </c>
      <c r="S6565" t="s">
        <v>114</v>
      </c>
      <c r="V6565" t="s">
        <v>13496</v>
      </c>
      <c r="W6565" t="s">
        <v>13497</v>
      </c>
      <c r="AF6565" t="s">
        <v>13498</v>
      </c>
    </row>
    <row r="6566" spans="1:32" hidden="1" x14ac:dyDescent="0.35">
      <c r="A6566">
        <v>6565</v>
      </c>
      <c r="B6566" t="s">
        <v>13499</v>
      </c>
      <c r="C6566" t="s">
        <v>68</v>
      </c>
      <c r="D6566" t="s">
        <v>60</v>
      </c>
      <c r="E6566">
        <v>2334</v>
      </c>
      <c r="F6566">
        <v>2</v>
      </c>
      <c r="G6566">
        <v>2</v>
      </c>
      <c r="H6566">
        <v>1</v>
      </c>
      <c r="I6566">
        <v>0</v>
      </c>
      <c r="J6566">
        <v>1</v>
      </c>
      <c r="K6566">
        <v>1</v>
      </c>
      <c r="L6566">
        <v>1</v>
      </c>
      <c r="M6566">
        <v>1</v>
      </c>
      <c r="N6566">
        <v>1</v>
      </c>
      <c r="O6566">
        <v>1</v>
      </c>
      <c r="P6566" t="s">
        <v>12710</v>
      </c>
      <c r="Q6566" t="s">
        <v>12711</v>
      </c>
      <c r="R6566" t="s">
        <v>213</v>
      </c>
      <c r="S6566" t="s">
        <v>214</v>
      </c>
      <c r="T6566" t="s">
        <v>13500</v>
      </c>
      <c r="U6566" t="s">
        <v>13501</v>
      </c>
      <c r="V6566" t="s">
        <v>12714</v>
      </c>
      <c r="W6566" t="s">
        <v>12715</v>
      </c>
      <c r="X6566" t="s">
        <v>12714</v>
      </c>
      <c r="Y6566" t="s">
        <v>840</v>
      </c>
      <c r="AD6566" t="s">
        <v>219</v>
      </c>
      <c r="AE6566" t="s">
        <v>13502</v>
      </c>
      <c r="AF6566" t="s">
        <v>13503</v>
      </c>
    </row>
    <row r="6567" spans="1:32" hidden="1" x14ac:dyDescent="0.35">
      <c r="A6567">
        <v>6566</v>
      </c>
      <c r="B6567" t="s">
        <v>13499</v>
      </c>
      <c r="C6567" t="s">
        <v>68</v>
      </c>
      <c r="D6567" t="s">
        <v>62</v>
      </c>
      <c r="E6567">
        <v>2362</v>
      </c>
      <c r="F6567">
        <v>2</v>
      </c>
      <c r="G6567">
        <v>2</v>
      </c>
      <c r="H6567">
        <v>1</v>
      </c>
      <c r="I6567">
        <v>0</v>
      </c>
      <c r="J6567">
        <v>1</v>
      </c>
      <c r="K6567">
        <v>1</v>
      </c>
      <c r="L6567">
        <v>1</v>
      </c>
      <c r="M6567">
        <v>1</v>
      </c>
      <c r="N6567">
        <v>1</v>
      </c>
      <c r="O6567">
        <v>1</v>
      </c>
      <c r="P6567" t="s">
        <v>12710</v>
      </c>
      <c r="Q6567" t="s">
        <v>12711</v>
      </c>
      <c r="R6567" t="s">
        <v>213</v>
      </c>
      <c r="S6567" t="s">
        <v>214</v>
      </c>
      <c r="T6567" t="s">
        <v>13500</v>
      </c>
      <c r="U6567" t="s">
        <v>13501</v>
      </c>
      <c r="V6567" t="s">
        <v>12714</v>
      </c>
      <c r="W6567" t="s">
        <v>12715</v>
      </c>
      <c r="X6567" t="s">
        <v>12714</v>
      </c>
      <c r="Y6567" t="s">
        <v>840</v>
      </c>
      <c r="AD6567" t="s">
        <v>219</v>
      </c>
      <c r="AE6567" t="s">
        <v>13502</v>
      </c>
      <c r="AF6567" t="s">
        <v>13503</v>
      </c>
    </row>
    <row r="6568" spans="1:32" hidden="1" x14ac:dyDescent="0.35">
      <c r="A6568">
        <v>6567</v>
      </c>
      <c r="B6568" t="s">
        <v>13504</v>
      </c>
      <c r="C6568" t="s">
        <v>68</v>
      </c>
      <c r="D6568" t="s">
        <v>60</v>
      </c>
      <c r="E6568">
        <v>1182</v>
      </c>
      <c r="F6568">
        <v>2</v>
      </c>
      <c r="G6568">
        <v>2</v>
      </c>
      <c r="H6568">
        <v>1</v>
      </c>
      <c r="I6568">
        <v>0</v>
      </c>
      <c r="J6568">
        <v>1</v>
      </c>
      <c r="K6568">
        <v>1</v>
      </c>
      <c r="L6568">
        <v>1</v>
      </c>
      <c r="M6568">
        <v>1</v>
      </c>
      <c r="N6568">
        <v>1</v>
      </c>
      <c r="O6568">
        <v>1</v>
      </c>
      <c r="AF6568" t="s">
        <v>13505</v>
      </c>
    </row>
    <row r="6569" spans="1:32" hidden="1" x14ac:dyDescent="0.35">
      <c r="A6569">
        <v>6568</v>
      </c>
      <c r="B6569" t="s">
        <v>13504</v>
      </c>
      <c r="C6569" t="s">
        <v>68</v>
      </c>
      <c r="D6569" t="s">
        <v>62</v>
      </c>
      <c r="E6569">
        <v>1219</v>
      </c>
      <c r="F6569">
        <v>2</v>
      </c>
      <c r="G6569">
        <v>2</v>
      </c>
      <c r="H6569">
        <v>1</v>
      </c>
      <c r="I6569">
        <v>0</v>
      </c>
      <c r="J6569">
        <v>1</v>
      </c>
      <c r="K6569">
        <v>1</v>
      </c>
      <c r="L6569">
        <v>1</v>
      </c>
      <c r="M6569">
        <v>1</v>
      </c>
      <c r="N6569">
        <v>1</v>
      </c>
      <c r="O6569">
        <v>1</v>
      </c>
      <c r="AF6569" t="s">
        <v>13505</v>
      </c>
    </row>
    <row r="6570" spans="1:32" hidden="1" x14ac:dyDescent="0.35">
      <c r="A6570">
        <v>6569</v>
      </c>
      <c r="B6570" t="s">
        <v>13506</v>
      </c>
      <c r="C6570" t="s">
        <v>68</v>
      </c>
      <c r="D6570" t="s">
        <v>60</v>
      </c>
      <c r="E6570">
        <v>2173</v>
      </c>
      <c r="F6570">
        <v>2</v>
      </c>
      <c r="G6570">
        <v>2</v>
      </c>
      <c r="H6570">
        <v>1</v>
      </c>
      <c r="I6570">
        <v>0</v>
      </c>
      <c r="J6570">
        <v>1</v>
      </c>
      <c r="K6570">
        <v>1</v>
      </c>
      <c r="L6570">
        <v>1</v>
      </c>
      <c r="M6570">
        <v>1</v>
      </c>
      <c r="N6570">
        <v>1</v>
      </c>
      <c r="O6570">
        <v>1</v>
      </c>
      <c r="P6570" t="s">
        <v>12423</v>
      </c>
      <c r="Q6570" t="s">
        <v>12424</v>
      </c>
      <c r="R6570" t="s">
        <v>224</v>
      </c>
      <c r="S6570" t="s">
        <v>225</v>
      </c>
      <c r="V6570" t="s">
        <v>8738</v>
      </c>
      <c r="W6570" t="s">
        <v>8739</v>
      </c>
      <c r="AF6570" t="s">
        <v>13507</v>
      </c>
    </row>
    <row r="6571" spans="1:32" hidden="1" x14ac:dyDescent="0.35">
      <c r="A6571">
        <v>6570</v>
      </c>
      <c r="B6571" t="s">
        <v>13506</v>
      </c>
      <c r="C6571" t="s">
        <v>68</v>
      </c>
      <c r="D6571" t="s">
        <v>62</v>
      </c>
      <c r="E6571">
        <v>2207</v>
      </c>
      <c r="F6571">
        <v>2</v>
      </c>
      <c r="G6571">
        <v>2</v>
      </c>
      <c r="H6571">
        <v>1</v>
      </c>
      <c r="I6571">
        <v>0</v>
      </c>
      <c r="J6571">
        <v>1</v>
      </c>
      <c r="K6571">
        <v>1</v>
      </c>
      <c r="L6571">
        <v>1</v>
      </c>
      <c r="M6571">
        <v>1</v>
      </c>
      <c r="N6571">
        <v>1</v>
      </c>
      <c r="O6571">
        <v>1</v>
      </c>
      <c r="P6571" t="s">
        <v>12423</v>
      </c>
      <c r="Q6571" t="s">
        <v>12424</v>
      </c>
      <c r="R6571" t="s">
        <v>224</v>
      </c>
      <c r="S6571" t="s">
        <v>225</v>
      </c>
      <c r="V6571" t="s">
        <v>8738</v>
      </c>
      <c r="W6571" t="s">
        <v>8739</v>
      </c>
      <c r="AF6571" t="s">
        <v>13507</v>
      </c>
    </row>
    <row r="6572" spans="1:32" hidden="1" x14ac:dyDescent="0.35">
      <c r="A6572">
        <v>6571</v>
      </c>
      <c r="B6572" t="s">
        <v>13508</v>
      </c>
      <c r="C6572" t="s">
        <v>68</v>
      </c>
      <c r="D6572" t="s">
        <v>34</v>
      </c>
      <c r="E6572">
        <v>2203</v>
      </c>
      <c r="F6572">
        <v>2</v>
      </c>
      <c r="G6572">
        <v>2</v>
      </c>
      <c r="H6572">
        <v>1</v>
      </c>
      <c r="I6572">
        <v>0</v>
      </c>
      <c r="J6572">
        <v>1</v>
      </c>
      <c r="K6572">
        <v>1</v>
      </c>
      <c r="L6572">
        <v>1</v>
      </c>
      <c r="M6572">
        <v>1</v>
      </c>
      <c r="N6572">
        <v>1</v>
      </c>
      <c r="O6572">
        <v>1</v>
      </c>
      <c r="AF6572" t="s">
        <v>13509</v>
      </c>
    </row>
    <row r="6573" spans="1:32" hidden="1" x14ac:dyDescent="0.35">
      <c r="A6573">
        <v>6572</v>
      </c>
      <c r="B6573" t="s">
        <v>13508</v>
      </c>
      <c r="C6573" t="s">
        <v>68</v>
      </c>
      <c r="D6573" t="s">
        <v>45</v>
      </c>
      <c r="E6573">
        <v>671</v>
      </c>
      <c r="F6573">
        <v>2</v>
      </c>
      <c r="G6573">
        <v>2</v>
      </c>
      <c r="H6573">
        <v>1</v>
      </c>
      <c r="I6573">
        <v>0</v>
      </c>
      <c r="J6573">
        <v>1</v>
      </c>
      <c r="K6573">
        <v>1</v>
      </c>
      <c r="L6573">
        <v>1</v>
      </c>
      <c r="M6573">
        <v>1</v>
      </c>
      <c r="N6573">
        <v>1</v>
      </c>
      <c r="O6573">
        <v>1</v>
      </c>
      <c r="AF6573" t="s">
        <v>13509</v>
      </c>
    </row>
    <row r="6574" spans="1:32" hidden="1" x14ac:dyDescent="0.35">
      <c r="A6574">
        <v>6573</v>
      </c>
      <c r="B6574" t="s">
        <v>13510</v>
      </c>
      <c r="C6574" t="s">
        <v>68</v>
      </c>
      <c r="D6574" t="s">
        <v>60</v>
      </c>
      <c r="E6574">
        <v>507</v>
      </c>
      <c r="F6574">
        <v>2</v>
      </c>
      <c r="G6574">
        <v>2</v>
      </c>
      <c r="H6574">
        <v>1</v>
      </c>
      <c r="I6574">
        <v>0</v>
      </c>
      <c r="J6574">
        <v>1</v>
      </c>
      <c r="K6574">
        <v>1</v>
      </c>
      <c r="L6574">
        <v>1</v>
      </c>
      <c r="M6574">
        <v>1</v>
      </c>
      <c r="N6574">
        <v>1</v>
      </c>
      <c r="O6574">
        <v>1</v>
      </c>
      <c r="P6574" t="s">
        <v>13511</v>
      </c>
      <c r="Q6574" t="s">
        <v>13512</v>
      </c>
      <c r="AF6574" t="s">
        <v>13513</v>
      </c>
    </row>
    <row r="6575" spans="1:32" hidden="1" x14ac:dyDescent="0.35">
      <c r="A6575">
        <v>6574</v>
      </c>
      <c r="B6575" t="s">
        <v>13510</v>
      </c>
      <c r="C6575" t="s">
        <v>68</v>
      </c>
      <c r="D6575" t="s">
        <v>62</v>
      </c>
      <c r="E6575">
        <v>591</v>
      </c>
      <c r="F6575">
        <v>2</v>
      </c>
      <c r="G6575">
        <v>2</v>
      </c>
      <c r="H6575">
        <v>1</v>
      </c>
      <c r="I6575">
        <v>0</v>
      </c>
      <c r="J6575">
        <v>1</v>
      </c>
      <c r="K6575">
        <v>1</v>
      </c>
      <c r="L6575">
        <v>1</v>
      </c>
      <c r="M6575">
        <v>1</v>
      </c>
      <c r="N6575">
        <v>1</v>
      </c>
      <c r="O6575">
        <v>1</v>
      </c>
      <c r="P6575" t="s">
        <v>13511</v>
      </c>
      <c r="Q6575" t="s">
        <v>13512</v>
      </c>
      <c r="AF6575" t="s">
        <v>13513</v>
      </c>
    </row>
    <row r="6576" spans="1:32" hidden="1" x14ac:dyDescent="0.35">
      <c r="A6576">
        <v>6575</v>
      </c>
      <c r="B6576" t="s">
        <v>13514</v>
      </c>
      <c r="C6576" t="s">
        <v>68</v>
      </c>
      <c r="D6576" t="s">
        <v>60</v>
      </c>
      <c r="E6576">
        <v>1241</v>
      </c>
      <c r="F6576">
        <v>2</v>
      </c>
      <c r="G6576">
        <v>2</v>
      </c>
      <c r="H6576">
        <v>1</v>
      </c>
      <c r="I6576">
        <v>0</v>
      </c>
      <c r="J6576">
        <v>1</v>
      </c>
      <c r="K6576">
        <v>1</v>
      </c>
      <c r="L6576">
        <v>1</v>
      </c>
      <c r="M6576">
        <v>1</v>
      </c>
      <c r="N6576">
        <v>1</v>
      </c>
      <c r="O6576">
        <v>1</v>
      </c>
      <c r="AF6576" t="s">
        <v>13515</v>
      </c>
    </row>
    <row r="6577" spans="1:32" hidden="1" x14ac:dyDescent="0.35">
      <c r="A6577">
        <v>6576</v>
      </c>
      <c r="B6577" t="s">
        <v>13514</v>
      </c>
      <c r="C6577" t="s">
        <v>68</v>
      </c>
      <c r="D6577" t="s">
        <v>62</v>
      </c>
      <c r="E6577">
        <v>1278</v>
      </c>
      <c r="F6577">
        <v>2</v>
      </c>
      <c r="G6577">
        <v>2</v>
      </c>
      <c r="H6577">
        <v>1</v>
      </c>
      <c r="I6577">
        <v>0</v>
      </c>
      <c r="J6577">
        <v>1</v>
      </c>
      <c r="K6577">
        <v>1</v>
      </c>
      <c r="L6577">
        <v>1</v>
      </c>
      <c r="M6577">
        <v>1</v>
      </c>
      <c r="N6577">
        <v>1</v>
      </c>
      <c r="O6577">
        <v>1</v>
      </c>
      <c r="AF6577" t="s">
        <v>13515</v>
      </c>
    </row>
    <row r="6578" spans="1:32" hidden="1" x14ac:dyDescent="0.35">
      <c r="A6578">
        <v>6577</v>
      </c>
      <c r="B6578" t="s">
        <v>13516</v>
      </c>
      <c r="C6578" t="s">
        <v>68</v>
      </c>
      <c r="D6578" t="s">
        <v>60</v>
      </c>
      <c r="E6578">
        <v>1488</v>
      </c>
      <c r="F6578">
        <v>2</v>
      </c>
      <c r="G6578">
        <v>2</v>
      </c>
      <c r="H6578">
        <v>1</v>
      </c>
      <c r="I6578">
        <v>0</v>
      </c>
      <c r="J6578">
        <v>1</v>
      </c>
      <c r="K6578">
        <v>1</v>
      </c>
      <c r="L6578">
        <v>1</v>
      </c>
      <c r="M6578">
        <v>1</v>
      </c>
      <c r="N6578">
        <v>1</v>
      </c>
      <c r="O6578">
        <v>1</v>
      </c>
      <c r="P6578" t="s">
        <v>13517</v>
      </c>
      <c r="Q6578" t="s">
        <v>13518</v>
      </c>
      <c r="AF6578" t="s">
        <v>13519</v>
      </c>
    </row>
    <row r="6579" spans="1:32" hidden="1" x14ac:dyDescent="0.35">
      <c r="A6579">
        <v>6578</v>
      </c>
      <c r="B6579" t="s">
        <v>13516</v>
      </c>
      <c r="C6579" t="s">
        <v>68</v>
      </c>
      <c r="D6579" t="s">
        <v>62</v>
      </c>
      <c r="E6579">
        <v>1523</v>
      </c>
      <c r="F6579">
        <v>2</v>
      </c>
      <c r="G6579">
        <v>2</v>
      </c>
      <c r="H6579">
        <v>1</v>
      </c>
      <c r="I6579">
        <v>0</v>
      </c>
      <c r="J6579">
        <v>1</v>
      </c>
      <c r="K6579">
        <v>1</v>
      </c>
      <c r="L6579">
        <v>1</v>
      </c>
      <c r="M6579">
        <v>1</v>
      </c>
      <c r="N6579">
        <v>1</v>
      </c>
      <c r="O6579">
        <v>1</v>
      </c>
      <c r="P6579" t="s">
        <v>13517</v>
      </c>
      <c r="Q6579" t="s">
        <v>13518</v>
      </c>
      <c r="AF6579" t="s">
        <v>13519</v>
      </c>
    </row>
    <row r="6580" spans="1:32" hidden="1" x14ac:dyDescent="0.35">
      <c r="A6580">
        <v>6579</v>
      </c>
      <c r="B6580" t="s">
        <v>13520</v>
      </c>
      <c r="C6580" t="s">
        <v>68</v>
      </c>
      <c r="D6580" t="s">
        <v>60</v>
      </c>
      <c r="E6580">
        <v>466</v>
      </c>
      <c r="F6580">
        <v>2</v>
      </c>
      <c r="G6580">
        <v>2</v>
      </c>
      <c r="H6580">
        <v>1</v>
      </c>
      <c r="I6580">
        <v>0</v>
      </c>
      <c r="J6580">
        <v>1</v>
      </c>
      <c r="K6580">
        <v>1</v>
      </c>
      <c r="L6580">
        <v>1</v>
      </c>
      <c r="M6580">
        <v>1</v>
      </c>
      <c r="N6580">
        <v>1</v>
      </c>
      <c r="O6580">
        <v>1</v>
      </c>
      <c r="P6580" t="s">
        <v>13521</v>
      </c>
      <c r="Q6580" t="s">
        <v>13522</v>
      </c>
      <c r="AF6580" t="s">
        <v>13523</v>
      </c>
    </row>
    <row r="6581" spans="1:32" hidden="1" x14ac:dyDescent="0.35">
      <c r="A6581">
        <v>6580</v>
      </c>
      <c r="B6581" t="s">
        <v>13520</v>
      </c>
      <c r="C6581" t="s">
        <v>68</v>
      </c>
      <c r="D6581" t="s">
        <v>62</v>
      </c>
      <c r="E6581">
        <v>548</v>
      </c>
      <c r="F6581">
        <v>2</v>
      </c>
      <c r="G6581">
        <v>2</v>
      </c>
      <c r="H6581">
        <v>1</v>
      </c>
      <c r="I6581">
        <v>0</v>
      </c>
      <c r="J6581">
        <v>1</v>
      </c>
      <c r="K6581">
        <v>1</v>
      </c>
      <c r="L6581">
        <v>1</v>
      </c>
      <c r="M6581">
        <v>1</v>
      </c>
      <c r="N6581">
        <v>1</v>
      </c>
      <c r="O6581">
        <v>1</v>
      </c>
      <c r="P6581" t="s">
        <v>13521</v>
      </c>
      <c r="Q6581" t="s">
        <v>13522</v>
      </c>
      <c r="AF6581" t="s">
        <v>13523</v>
      </c>
    </row>
    <row r="6582" spans="1:32" hidden="1" x14ac:dyDescent="0.35">
      <c r="A6582">
        <v>6581</v>
      </c>
      <c r="B6582" t="s">
        <v>13524</v>
      </c>
      <c r="C6582" t="s">
        <v>68</v>
      </c>
      <c r="D6582" t="s">
        <v>60</v>
      </c>
      <c r="E6582">
        <v>527</v>
      </c>
      <c r="F6582">
        <v>2</v>
      </c>
      <c r="G6582">
        <v>2</v>
      </c>
      <c r="H6582">
        <v>1</v>
      </c>
      <c r="I6582">
        <v>0</v>
      </c>
      <c r="J6582">
        <v>1</v>
      </c>
      <c r="K6582">
        <v>1</v>
      </c>
      <c r="L6582">
        <v>1</v>
      </c>
      <c r="M6582">
        <v>1</v>
      </c>
      <c r="N6582">
        <v>1</v>
      </c>
      <c r="O6582">
        <v>1</v>
      </c>
      <c r="P6582" t="s">
        <v>10786</v>
      </c>
      <c r="Q6582" t="s">
        <v>10787</v>
      </c>
      <c r="R6582" t="s">
        <v>516</v>
      </c>
      <c r="S6582" t="s">
        <v>517</v>
      </c>
      <c r="V6582" t="s">
        <v>13525</v>
      </c>
      <c r="W6582" t="s">
        <v>13526</v>
      </c>
      <c r="AF6582" t="s">
        <v>13527</v>
      </c>
    </row>
    <row r="6583" spans="1:32" hidden="1" x14ac:dyDescent="0.35">
      <c r="A6583">
        <v>6582</v>
      </c>
      <c r="B6583" t="s">
        <v>13524</v>
      </c>
      <c r="C6583" t="s">
        <v>68</v>
      </c>
      <c r="D6583" t="s">
        <v>62</v>
      </c>
      <c r="E6583">
        <v>611</v>
      </c>
      <c r="F6583">
        <v>2</v>
      </c>
      <c r="G6583">
        <v>2</v>
      </c>
      <c r="H6583">
        <v>1</v>
      </c>
      <c r="I6583">
        <v>0</v>
      </c>
      <c r="J6583">
        <v>1</v>
      </c>
      <c r="K6583">
        <v>1</v>
      </c>
      <c r="L6583">
        <v>1</v>
      </c>
      <c r="M6583">
        <v>1</v>
      </c>
      <c r="N6583">
        <v>1</v>
      </c>
      <c r="O6583">
        <v>1</v>
      </c>
      <c r="P6583" t="s">
        <v>10786</v>
      </c>
      <c r="Q6583" t="s">
        <v>10787</v>
      </c>
      <c r="R6583" t="s">
        <v>516</v>
      </c>
      <c r="S6583" t="s">
        <v>517</v>
      </c>
      <c r="V6583" t="s">
        <v>13525</v>
      </c>
      <c r="W6583" t="s">
        <v>13526</v>
      </c>
      <c r="AF6583" t="s">
        <v>13527</v>
      </c>
    </row>
    <row r="6584" spans="1:32" hidden="1" x14ac:dyDescent="0.35">
      <c r="A6584">
        <v>6583</v>
      </c>
      <c r="B6584" t="s">
        <v>13528</v>
      </c>
      <c r="C6584" t="s">
        <v>68</v>
      </c>
      <c r="D6584" t="s">
        <v>60</v>
      </c>
      <c r="E6584">
        <v>1581</v>
      </c>
      <c r="F6584">
        <v>2</v>
      </c>
      <c r="G6584">
        <v>2</v>
      </c>
      <c r="H6584">
        <v>1</v>
      </c>
      <c r="I6584">
        <v>0</v>
      </c>
      <c r="J6584">
        <v>1</v>
      </c>
      <c r="K6584">
        <v>1</v>
      </c>
      <c r="L6584">
        <v>1</v>
      </c>
      <c r="M6584">
        <v>1</v>
      </c>
      <c r="N6584">
        <v>1</v>
      </c>
      <c r="O6584">
        <v>1</v>
      </c>
      <c r="P6584" t="s">
        <v>13529</v>
      </c>
      <c r="Q6584" t="s">
        <v>13530</v>
      </c>
      <c r="R6584" t="s">
        <v>157</v>
      </c>
      <c r="S6584" t="s">
        <v>158</v>
      </c>
      <c r="V6584" t="s">
        <v>13531</v>
      </c>
      <c r="W6584" t="s">
        <v>13532</v>
      </c>
      <c r="AF6584" t="s">
        <v>13533</v>
      </c>
    </row>
    <row r="6585" spans="1:32" hidden="1" x14ac:dyDescent="0.35">
      <c r="A6585">
        <v>6584</v>
      </c>
      <c r="B6585" t="s">
        <v>13528</v>
      </c>
      <c r="C6585" t="s">
        <v>68</v>
      </c>
      <c r="D6585" t="s">
        <v>62</v>
      </c>
      <c r="E6585">
        <v>1617</v>
      </c>
      <c r="F6585">
        <v>2</v>
      </c>
      <c r="G6585">
        <v>2</v>
      </c>
      <c r="H6585">
        <v>1</v>
      </c>
      <c r="I6585">
        <v>0</v>
      </c>
      <c r="J6585">
        <v>1</v>
      </c>
      <c r="K6585">
        <v>1</v>
      </c>
      <c r="L6585">
        <v>1</v>
      </c>
      <c r="M6585">
        <v>1</v>
      </c>
      <c r="N6585">
        <v>1</v>
      </c>
      <c r="O6585">
        <v>1</v>
      </c>
      <c r="P6585" t="s">
        <v>13529</v>
      </c>
      <c r="Q6585" t="s">
        <v>13530</v>
      </c>
      <c r="R6585" t="s">
        <v>157</v>
      </c>
      <c r="S6585" t="s">
        <v>158</v>
      </c>
      <c r="V6585" t="s">
        <v>13531</v>
      </c>
      <c r="W6585" t="s">
        <v>13532</v>
      </c>
      <c r="AF6585" t="s">
        <v>13533</v>
      </c>
    </row>
    <row r="6586" spans="1:32" hidden="1" x14ac:dyDescent="0.35">
      <c r="A6586">
        <v>6585</v>
      </c>
      <c r="B6586" t="s">
        <v>13534</v>
      </c>
      <c r="C6586" t="s">
        <v>68</v>
      </c>
      <c r="D6586" t="s">
        <v>60</v>
      </c>
      <c r="E6586">
        <v>246</v>
      </c>
      <c r="F6586">
        <v>2</v>
      </c>
      <c r="G6586">
        <v>2</v>
      </c>
      <c r="H6586">
        <v>1</v>
      </c>
      <c r="I6586">
        <v>0</v>
      </c>
      <c r="J6586">
        <v>1</v>
      </c>
      <c r="K6586">
        <v>1</v>
      </c>
      <c r="L6586">
        <v>1</v>
      </c>
      <c r="M6586">
        <v>1</v>
      </c>
      <c r="N6586">
        <v>1</v>
      </c>
      <c r="O6586">
        <v>1</v>
      </c>
      <c r="P6586" t="s">
        <v>6606</v>
      </c>
      <c r="Q6586" t="s">
        <v>6607</v>
      </c>
      <c r="R6586" t="s">
        <v>1191</v>
      </c>
      <c r="S6586" t="s">
        <v>1192</v>
      </c>
      <c r="V6586" t="s">
        <v>6600</v>
      </c>
      <c r="W6586" t="s">
        <v>6601</v>
      </c>
      <c r="AF6586" t="s">
        <v>13535</v>
      </c>
    </row>
    <row r="6587" spans="1:32" hidden="1" x14ac:dyDescent="0.35">
      <c r="A6587">
        <v>6586</v>
      </c>
      <c r="B6587" t="s">
        <v>13534</v>
      </c>
      <c r="C6587" t="s">
        <v>68</v>
      </c>
      <c r="D6587" t="s">
        <v>62</v>
      </c>
      <c r="E6587">
        <v>324</v>
      </c>
      <c r="F6587">
        <v>2</v>
      </c>
      <c r="G6587">
        <v>2</v>
      </c>
      <c r="H6587">
        <v>1</v>
      </c>
      <c r="I6587">
        <v>0</v>
      </c>
      <c r="J6587">
        <v>1</v>
      </c>
      <c r="K6587">
        <v>1</v>
      </c>
      <c r="L6587">
        <v>1</v>
      </c>
      <c r="M6587">
        <v>1</v>
      </c>
      <c r="N6587">
        <v>1</v>
      </c>
      <c r="O6587">
        <v>1</v>
      </c>
      <c r="P6587" t="s">
        <v>6606</v>
      </c>
      <c r="Q6587" t="s">
        <v>6607</v>
      </c>
      <c r="R6587" t="s">
        <v>1191</v>
      </c>
      <c r="S6587" t="s">
        <v>1192</v>
      </c>
      <c r="V6587" t="s">
        <v>6600</v>
      </c>
      <c r="W6587" t="s">
        <v>6601</v>
      </c>
      <c r="AF6587" t="s">
        <v>13535</v>
      </c>
    </row>
    <row r="6588" spans="1:32" hidden="1" x14ac:dyDescent="0.35">
      <c r="A6588">
        <v>6587</v>
      </c>
      <c r="B6588" t="s">
        <v>13536</v>
      </c>
      <c r="C6588" t="s">
        <v>68</v>
      </c>
      <c r="D6588" t="s">
        <v>60</v>
      </c>
      <c r="E6588">
        <v>868</v>
      </c>
      <c r="F6588">
        <v>2</v>
      </c>
      <c r="G6588">
        <v>2</v>
      </c>
      <c r="H6588">
        <v>1</v>
      </c>
      <c r="I6588">
        <v>0</v>
      </c>
      <c r="J6588">
        <v>1</v>
      </c>
      <c r="K6588">
        <v>1</v>
      </c>
      <c r="L6588">
        <v>1</v>
      </c>
      <c r="M6588">
        <v>1</v>
      </c>
      <c r="N6588">
        <v>1</v>
      </c>
      <c r="O6588">
        <v>1</v>
      </c>
      <c r="P6588" t="s">
        <v>13537</v>
      </c>
      <c r="Q6588" t="s">
        <v>13538</v>
      </c>
      <c r="R6588" t="s">
        <v>235</v>
      </c>
      <c r="S6588" t="s">
        <v>236</v>
      </c>
      <c r="V6588" t="s">
        <v>13539</v>
      </c>
      <c r="W6588" t="s">
        <v>13540</v>
      </c>
      <c r="AF6588" t="s">
        <v>13541</v>
      </c>
    </row>
    <row r="6589" spans="1:32" hidden="1" x14ac:dyDescent="0.35">
      <c r="A6589">
        <v>6588</v>
      </c>
      <c r="B6589" t="s">
        <v>13536</v>
      </c>
      <c r="C6589" t="s">
        <v>68</v>
      </c>
      <c r="D6589" t="s">
        <v>62</v>
      </c>
      <c r="E6589">
        <v>902</v>
      </c>
      <c r="F6589">
        <v>2</v>
      </c>
      <c r="G6589">
        <v>2</v>
      </c>
      <c r="H6589">
        <v>1</v>
      </c>
      <c r="I6589">
        <v>0</v>
      </c>
      <c r="J6589">
        <v>1</v>
      </c>
      <c r="K6589">
        <v>1</v>
      </c>
      <c r="L6589">
        <v>1</v>
      </c>
      <c r="M6589">
        <v>1</v>
      </c>
      <c r="N6589">
        <v>1</v>
      </c>
      <c r="O6589">
        <v>1</v>
      </c>
      <c r="P6589" t="s">
        <v>13537</v>
      </c>
      <c r="Q6589" t="s">
        <v>13538</v>
      </c>
      <c r="R6589" t="s">
        <v>235</v>
      </c>
      <c r="S6589" t="s">
        <v>236</v>
      </c>
      <c r="V6589" t="s">
        <v>13539</v>
      </c>
      <c r="W6589" t="s">
        <v>13540</v>
      </c>
      <c r="AF6589" t="s">
        <v>13541</v>
      </c>
    </row>
    <row r="6590" spans="1:32" hidden="1" x14ac:dyDescent="0.35">
      <c r="A6590">
        <v>6589</v>
      </c>
      <c r="B6590" t="s">
        <v>13542</v>
      </c>
      <c r="C6590" t="s">
        <v>68</v>
      </c>
      <c r="D6590" t="s">
        <v>60</v>
      </c>
      <c r="E6590">
        <v>227</v>
      </c>
      <c r="F6590">
        <v>2</v>
      </c>
      <c r="G6590">
        <v>2</v>
      </c>
      <c r="H6590">
        <v>1</v>
      </c>
      <c r="I6590">
        <v>0</v>
      </c>
      <c r="J6590">
        <v>1</v>
      </c>
      <c r="K6590">
        <v>1</v>
      </c>
      <c r="L6590">
        <v>1</v>
      </c>
      <c r="M6590">
        <v>1</v>
      </c>
      <c r="N6590">
        <v>1</v>
      </c>
      <c r="O6590">
        <v>1</v>
      </c>
      <c r="AF6590" t="s">
        <v>13543</v>
      </c>
    </row>
    <row r="6591" spans="1:32" hidden="1" x14ac:dyDescent="0.35">
      <c r="A6591">
        <v>6590</v>
      </c>
      <c r="B6591" t="s">
        <v>13542</v>
      </c>
      <c r="C6591" t="s">
        <v>68</v>
      </c>
      <c r="D6591" t="s">
        <v>62</v>
      </c>
      <c r="E6591">
        <v>304</v>
      </c>
      <c r="F6591">
        <v>2</v>
      </c>
      <c r="G6591">
        <v>2</v>
      </c>
      <c r="H6591">
        <v>1</v>
      </c>
      <c r="I6591">
        <v>0</v>
      </c>
      <c r="J6591">
        <v>1</v>
      </c>
      <c r="K6591">
        <v>1</v>
      </c>
      <c r="L6591">
        <v>1</v>
      </c>
      <c r="M6591">
        <v>1</v>
      </c>
      <c r="N6591">
        <v>1</v>
      </c>
      <c r="O6591">
        <v>1</v>
      </c>
      <c r="AF6591" t="s">
        <v>13543</v>
      </c>
    </row>
    <row r="6592" spans="1:32" hidden="1" x14ac:dyDescent="0.35">
      <c r="A6592">
        <v>6591</v>
      </c>
      <c r="B6592" t="s">
        <v>13544</v>
      </c>
      <c r="C6592" t="s">
        <v>68</v>
      </c>
      <c r="D6592" t="s">
        <v>60</v>
      </c>
      <c r="E6592">
        <v>2153</v>
      </c>
      <c r="F6592">
        <v>2</v>
      </c>
      <c r="G6592">
        <v>2</v>
      </c>
      <c r="H6592">
        <v>1</v>
      </c>
      <c r="I6592">
        <v>0</v>
      </c>
      <c r="J6592">
        <v>1</v>
      </c>
      <c r="K6592">
        <v>1</v>
      </c>
      <c r="L6592">
        <v>1</v>
      </c>
      <c r="M6592">
        <v>1</v>
      </c>
      <c r="N6592">
        <v>1</v>
      </c>
      <c r="O6592">
        <v>1</v>
      </c>
      <c r="P6592" t="s">
        <v>1041</v>
      </c>
      <c r="Q6592" t="s">
        <v>1042</v>
      </c>
      <c r="R6592" t="s">
        <v>138</v>
      </c>
      <c r="S6592" t="s">
        <v>139</v>
      </c>
      <c r="V6592" t="s">
        <v>1038</v>
      </c>
      <c r="W6592" t="s">
        <v>1039</v>
      </c>
      <c r="AF6592" t="s">
        <v>13545</v>
      </c>
    </row>
    <row r="6593" spans="1:32" hidden="1" x14ac:dyDescent="0.35">
      <c r="A6593">
        <v>6592</v>
      </c>
      <c r="B6593" t="s">
        <v>13544</v>
      </c>
      <c r="C6593" t="s">
        <v>68</v>
      </c>
      <c r="D6593" t="s">
        <v>62</v>
      </c>
      <c r="E6593">
        <v>2187</v>
      </c>
      <c r="F6593">
        <v>2</v>
      </c>
      <c r="G6593">
        <v>2</v>
      </c>
      <c r="H6593">
        <v>1</v>
      </c>
      <c r="I6593">
        <v>0</v>
      </c>
      <c r="J6593">
        <v>1</v>
      </c>
      <c r="K6593">
        <v>1</v>
      </c>
      <c r="L6593">
        <v>1</v>
      </c>
      <c r="M6593">
        <v>1</v>
      </c>
      <c r="N6593">
        <v>1</v>
      </c>
      <c r="O6593">
        <v>1</v>
      </c>
      <c r="P6593" t="s">
        <v>1041</v>
      </c>
      <c r="Q6593" t="s">
        <v>1042</v>
      </c>
      <c r="R6593" t="s">
        <v>138</v>
      </c>
      <c r="S6593" t="s">
        <v>139</v>
      </c>
      <c r="V6593" t="s">
        <v>1038</v>
      </c>
      <c r="W6593" t="s">
        <v>1039</v>
      </c>
      <c r="AF6593" t="s">
        <v>13545</v>
      </c>
    </row>
    <row r="6594" spans="1:32" hidden="1" x14ac:dyDescent="0.35">
      <c r="A6594">
        <v>6593</v>
      </c>
      <c r="B6594" t="s">
        <v>13546</v>
      </c>
      <c r="C6594" t="s">
        <v>68</v>
      </c>
      <c r="D6594" t="s">
        <v>60</v>
      </c>
      <c r="E6594">
        <v>638</v>
      </c>
      <c r="F6594">
        <v>2</v>
      </c>
      <c r="G6594">
        <v>2</v>
      </c>
      <c r="H6594">
        <v>1</v>
      </c>
      <c r="I6594">
        <v>0</v>
      </c>
      <c r="J6594">
        <v>1</v>
      </c>
      <c r="K6594">
        <v>1</v>
      </c>
      <c r="L6594">
        <v>1</v>
      </c>
      <c r="M6594">
        <v>1</v>
      </c>
      <c r="N6594">
        <v>1</v>
      </c>
      <c r="O6594">
        <v>1</v>
      </c>
      <c r="P6594" t="s">
        <v>13547</v>
      </c>
      <c r="Q6594" t="s">
        <v>13548</v>
      </c>
      <c r="R6594" t="s">
        <v>1259</v>
      </c>
      <c r="S6594" t="s">
        <v>1260</v>
      </c>
      <c r="V6594" t="s">
        <v>13549</v>
      </c>
      <c r="W6594" t="s">
        <v>13550</v>
      </c>
      <c r="AF6594" t="s">
        <v>13551</v>
      </c>
    </row>
    <row r="6595" spans="1:32" hidden="1" x14ac:dyDescent="0.35">
      <c r="A6595">
        <v>6594</v>
      </c>
      <c r="B6595" t="s">
        <v>13546</v>
      </c>
      <c r="C6595" t="s">
        <v>68</v>
      </c>
      <c r="D6595" t="s">
        <v>62</v>
      </c>
      <c r="E6595">
        <v>722</v>
      </c>
      <c r="F6595">
        <v>2</v>
      </c>
      <c r="G6595">
        <v>2</v>
      </c>
      <c r="H6595">
        <v>1</v>
      </c>
      <c r="I6595">
        <v>0</v>
      </c>
      <c r="J6595">
        <v>1</v>
      </c>
      <c r="K6595">
        <v>1</v>
      </c>
      <c r="L6595">
        <v>1</v>
      </c>
      <c r="M6595">
        <v>1</v>
      </c>
      <c r="N6595">
        <v>1</v>
      </c>
      <c r="O6595">
        <v>1</v>
      </c>
      <c r="P6595" t="s">
        <v>13547</v>
      </c>
      <c r="Q6595" t="s">
        <v>13548</v>
      </c>
      <c r="R6595" t="s">
        <v>1259</v>
      </c>
      <c r="S6595" t="s">
        <v>1260</v>
      </c>
      <c r="V6595" t="s">
        <v>13549</v>
      </c>
      <c r="W6595" t="s">
        <v>13550</v>
      </c>
      <c r="AF6595" t="s">
        <v>13551</v>
      </c>
    </row>
    <row r="6596" spans="1:32" hidden="1" x14ac:dyDescent="0.35">
      <c r="A6596">
        <v>6595</v>
      </c>
      <c r="B6596" t="s">
        <v>13552</v>
      </c>
      <c r="C6596" t="s">
        <v>68</v>
      </c>
      <c r="D6596" t="s">
        <v>60</v>
      </c>
      <c r="E6596">
        <v>1583</v>
      </c>
      <c r="F6596">
        <v>2</v>
      </c>
      <c r="G6596">
        <v>2</v>
      </c>
      <c r="H6596">
        <v>1</v>
      </c>
      <c r="I6596">
        <v>0</v>
      </c>
      <c r="J6596">
        <v>1</v>
      </c>
      <c r="K6596">
        <v>1</v>
      </c>
      <c r="L6596">
        <v>1</v>
      </c>
      <c r="M6596">
        <v>1</v>
      </c>
      <c r="N6596">
        <v>1</v>
      </c>
      <c r="O6596">
        <v>1</v>
      </c>
      <c r="AF6596" t="s">
        <v>13553</v>
      </c>
    </row>
    <row r="6597" spans="1:32" hidden="1" x14ac:dyDescent="0.35">
      <c r="A6597">
        <v>6596</v>
      </c>
      <c r="B6597" t="s">
        <v>13552</v>
      </c>
      <c r="C6597" t="s">
        <v>68</v>
      </c>
      <c r="D6597" t="s">
        <v>62</v>
      </c>
      <c r="E6597">
        <v>1619</v>
      </c>
      <c r="F6597">
        <v>2</v>
      </c>
      <c r="G6597">
        <v>2</v>
      </c>
      <c r="H6597">
        <v>1</v>
      </c>
      <c r="I6597">
        <v>0</v>
      </c>
      <c r="J6597">
        <v>1</v>
      </c>
      <c r="K6597">
        <v>1</v>
      </c>
      <c r="L6597">
        <v>1</v>
      </c>
      <c r="M6597">
        <v>1</v>
      </c>
      <c r="N6597">
        <v>1</v>
      </c>
      <c r="O6597">
        <v>1</v>
      </c>
      <c r="AF6597" t="s">
        <v>13553</v>
      </c>
    </row>
    <row r="6598" spans="1:32" hidden="1" x14ac:dyDescent="0.35">
      <c r="A6598">
        <v>6597</v>
      </c>
      <c r="B6598" t="s">
        <v>13554</v>
      </c>
      <c r="C6598" t="s">
        <v>68</v>
      </c>
      <c r="D6598" t="s">
        <v>34</v>
      </c>
      <c r="E6598">
        <v>611</v>
      </c>
      <c r="F6598">
        <v>2</v>
      </c>
      <c r="G6598">
        <v>2</v>
      </c>
      <c r="H6598">
        <v>1</v>
      </c>
      <c r="I6598">
        <v>0</v>
      </c>
      <c r="J6598">
        <v>1</v>
      </c>
      <c r="K6598">
        <v>1</v>
      </c>
      <c r="L6598">
        <v>1</v>
      </c>
      <c r="M6598">
        <v>1</v>
      </c>
      <c r="N6598">
        <v>1</v>
      </c>
      <c r="O6598">
        <v>1</v>
      </c>
      <c r="AF6598" t="s">
        <v>13555</v>
      </c>
    </row>
    <row r="6599" spans="1:32" hidden="1" x14ac:dyDescent="0.35">
      <c r="A6599">
        <v>6598</v>
      </c>
      <c r="B6599" t="s">
        <v>13554</v>
      </c>
      <c r="C6599" t="s">
        <v>68</v>
      </c>
      <c r="D6599" t="s">
        <v>45</v>
      </c>
      <c r="E6599">
        <v>1878</v>
      </c>
      <c r="F6599">
        <v>2</v>
      </c>
      <c r="G6599">
        <v>2</v>
      </c>
      <c r="H6599">
        <v>1</v>
      </c>
      <c r="I6599">
        <v>0</v>
      </c>
      <c r="J6599">
        <v>1</v>
      </c>
      <c r="K6599">
        <v>1</v>
      </c>
      <c r="L6599">
        <v>1</v>
      </c>
      <c r="M6599">
        <v>1</v>
      </c>
      <c r="N6599">
        <v>1</v>
      </c>
      <c r="O6599">
        <v>1</v>
      </c>
      <c r="AF6599" t="s">
        <v>13555</v>
      </c>
    </row>
    <row r="6600" spans="1:32" hidden="1" x14ac:dyDescent="0.35">
      <c r="A6600">
        <v>6599</v>
      </c>
      <c r="B6600" t="s">
        <v>13556</v>
      </c>
      <c r="C6600" t="s">
        <v>68</v>
      </c>
      <c r="D6600" t="s">
        <v>60</v>
      </c>
      <c r="E6600">
        <v>2206</v>
      </c>
      <c r="F6600">
        <v>2</v>
      </c>
      <c r="G6600">
        <v>2</v>
      </c>
      <c r="H6600">
        <v>1</v>
      </c>
      <c r="I6600">
        <v>0</v>
      </c>
      <c r="J6600">
        <v>1</v>
      </c>
      <c r="K6600">
        <v>1</v>
      </c>
      <c r="L6600">
        <v>1</v>
      </c>
      <c r="M6600">
        <v>1</v>
      </c>
      <c r="N6600">
        <v>1</v>
      </c>
      <c r="O6600">
        <v>1</v>
      </c>
      <c r="AF6600" t="s">
        <v>13557</v>
      </c>
    </row>
    <row r="6601" spans="1:32" hidden="1" x14ac:dyDescent="0.35">
      <c r="A6601">
        <v>6600</v>
      </c>
      <c r="B6601" t="s">
        <v>13556</v>
      </c>
      <c r="C6601" t="s">
        <v>68</v>
      </c>
      <c r="D6601" t="s">
        <v>62</v>
      </c>
      <c r="E6601">
        <v>2238</v>
      </c>
      <c r="F6601">
        <v>2</v>
      </c>
      <c r="G6601">
        <v>2</v>
      </c>
      <c r="H6601">
        <v>1</v>
      </c>
      <c r="I6601">
        <v>0</v>
      </c>
      <c r="J6601">
        <v>1</v>
      </c>
      <c r="K6601">
        <v>1</v>
      </c>
      <c r="L6601">
        <v>1</v>
      </c>
      <c r="M6601">
        <v>1</v>
      </c>
      <c r="N6601">
        <v>1</v>
      </c>
      <c r="O6601">
        <v>1</v>
      </c>
      <c r="AF6601" t="s">
        <v>13557</v>
      </c>
    </row>
    <row r="6602" spans="1:32" hidden="1" x14ac:dyDescent="0.35">
      <c r="A6602">
        <v>6601</v>
      </c>
      <c r="B6602" t="s">
        <v>13558</v>
      </c>
      <c r="C6602" t="s">
        <v>68</v>
      </c>
      <c r="D6602" t="s">
        <v>34</v>
      </c>
      <c r="E6602">
        <v>645</v>
      </c>
      <c r="F6602">
        <v>2</v>
      </c>
      <c r="G6602">
        <v>2</v>
      </c>
      <c r="H6602">
        <v>1</v>
      </c>
      <c r="I6602">
        <v>0</v>
      </c>
      <c r="J6602">
        <v>1</v>
      </c>
      <c r="K6602">
        <v>1</v>
      </c>
      <c r="L6602">
        <v>1</v>
      </c>
      <c r="M6602">
        <v>1</v>
      </c>
      <c r="N6602">
        <v>1</v>
      </c>
      <c r="O6602">
        <v>1</v>
      </c>
      <c r="P6602" t="s">
        <v>13559</v>
      </c>
      <c r="Q6602" t="s">
        <v>13560</v>
      </c>
      <c r="T6602" t="s">
        <v>13561</v>
      </c>
      <c r="U6602" t="s">
        <v>13562</v>
      </c>
      <c r="AD6602" t="s">
        <v>4789</v>
      </c>
      <c r="AE6602" t="s">
        <v>4790</v>
      </c>
      <c r="AF6602" t="s">
        <v>13563</v>
      </c>
    </row>
    <row r="6603" spans="1:32" hidden="1" x14ac:dyDescent="0.35">
      <c r="A6603">
        <v>6602</v>
      </c>
      <c r="B6603" t="s">
        <v>13558</v>
      </c>
      <c r="C6603" t="s">
        <v>68</v>
      </c>
      <c r="D6603" t="s">
        <v>45</v>
      </c>
      <c r="E6603">
        <v>1911</v>
      </c>
      <c r="F6603">
        <v>2</v>
      </c>
      <c r="G6603">
        <v>2</v>
      </c>
      <c r="H6603">
        <v>1</v>
      </c>
      <c r="I6603">
        <v>0</v>
      </c>
      <c r="J6603">
        <v>1</v>
      </c>
      <c r="K6603">
        <v>1</v>
      </c>
      <c r="L6603">
        <v>1</v>
      </c>
      <c r="M6603">
        <v>1</v>
      </c>
      <c r="N6603">
        <v>1</v>
      </c>
      <c r="O6603">
        <v>1</v>
      </c>
      <c r="P6603" t="s">
        <v>13559</v>
      </c>
      <c r="Q6603" t="s">
        <v>13560</v>
      </c>
      <c r="T6603" t="s">
        <v>13561</v>
      </c>
      <c r="U6603" t="s">
        <v>13562</v>
      </c>
      <c r="AD6603" t="s">
        <v>4789</v>
      </c>
      <c r="AE6603" t="s">
        <v>4790</v>
      </c>
      <c r="AF6603" t="s">
        <v>13563</v>
      </c>
    </row>
    <row r="6604" spans="1:32" hidden="1" x14ac:dyDescent="0.35">
      <c r="A6604">
        <v>6603</v>
      </c>
      <c r="B6604" t="s">
        <v>13564</v>
      </c>
      <c r="C6604" t="s">
        <v>68</v>
      </c>
      <c r="D6604" t="s">
        <v>60</v>
      </c>
      <c r="E6604">
        <v>1582</v>
      </c>
      <c r="F6604">
        <v>2</v>
      </c>
      <c r="G6604">
        <v>2</v>
      </c>
      <c r="H6604">
        <v>1</v>
      </c>
      <c r="I6604">
        <v>0</v>
      </c>
      <c r="J6604">
        <v>1</v>
      </c>
      <c r="K6604">
        <v>1</v>
      </c>
      <c r="L6604">
        <v>1</v>
      </c>
      <c r="M6604">
        <v>1</v>
      </c>
      <c r="N6604">
        <v>1</v>
      </c>
      <c r="O6604">
        <v>1</v>
      </c>
      <c r="P6604" t="s">
        <v>13565</v>
      </c>
      <c r="Q6604" t="s">
        <v>13566</v>
      </c>
      <c r="R6604" t="s">
        <v>157</v>
      </c>
      <c r="S6604" t="s">
        <v>158</v>
      </c>
      <c r="V6604" t="s">
        <v>13567</v>
      </c>
      <c r="W6604" t="s">
        <v>13568</v>
      </c>
      <c r="AF6604" t="s">
        <v>13569</v>
      </c>
    </row>
    <row r="6605" spans="1:32" hidden="1" x14ac:dyDescent="0.35">
      <c r="A6605">
        <v>6604</v>
      </c>
      <c r="B6605" t="s">
        <v>13564</v>
      </c>
      <c r="C6605" t="s">
        <v>68</v>
      </c>
      <c r="D6605" t="s">
        <v>62</v>
      </c>
      <c r="E6605">
        <v>1618</v>
      </c>
      <c r="F6605">
        <v>2</v>
      </c>
      <c r="G6605">
        <v>2</v>
      </c>
      <c r="H6605">
        <v>1</v>
      </c>
      <c r="I6605">
        <v>0</v>
      </c>
      <c r="J6605">
        <v>1</v>
      </c>
      <c r="K6605">
        <v>1</v>
      </c>
      <c r="L6605">
        <v>1</v>
      </c>
      <c r="M6605">
        <v>1</v>
      </c>
      <c r="N6605">
        <v>1</v>
      </c>
      <c r="O6605">
        <v>1</v>
      </c>
      <c r="P6605" t="s">
        <v>13565</v>
      </c>
      <c r="Q6605" t="s">
        <v>13566</v>
      </c>
      <c r="R6605" t="s">
        <v>157</v>
      </c>
      <c r="S6605" t="s">
        <v>158</v>
      </c>
      <c r="V6605" t="s">
        <v>13567</v>
      </c>
      <c r="W6605" t="s">
        <v>13568</v>
      </c>
      <c r="AF6605" t="s">
        <v>13569</v>
      </c>
    </row>
    <row r="6606" spans="1:32" hidden="1" x14ac:dyDescent="0.35">
      <c r="A6606">
        <v>6605</v>
      </c>
      <c r="B6606" t="s">
        <v>13570</v>
      </c>
      <c r="C6606" t="s">
        <v>68</v>
      </c>
      <c r="D6606" t="s">
        <v>34</v>
      </c>
      <c r="E6606">
        <v>242</v>
      </c>
      <c r="F6606">
        <v>2</v>
      </c>
      <c r="G6606">
        <v>2</v>
      </c>
      <c r="H6606">
        <v>1</v>
      </c>
      <c r="I6606">
        <v>0</v>
      </c>
      <c r="J6606">
        <v>1</v>
      </c>
      <c r="K6606">
        <v>1</v>
      </c>
      <c r="L6606">
        <v>1</v>
      </c>
      <c r="M6606">
        <v>1</v>
      </c>
      <c r="N6606">
        <v>1</v>
      </c>
      <c r="O6606">
        <v>1</v>
      </c>
      <c r="P6606" t="s">
        <v>13571</v>
      </c>
      <c r="Q6606" t="s">
        <v>13572</v>
      </c>
      <c r="R6606" t="s">
        <v>342</v>
      </c>
      <c r="S6606" t="s">
        <v>343</v>
      </c>
      <c r="T6606" t="s">
        <v>13573</v>
      </c>
      <c r="U6606" t="s">
        <v>13574</v>
      </c>
      <c r="V6606" t="s">
        <v>13575</v>
      </c>
      <c r="W6606" t="s">
        <v>13576</v>
      </c>
      <c r="AD6606" t="s">
        <v>219</v>
      </c>
      <c r="AE6606" t="s">
        <v>13577</v>
      </c>
      <c r="AF6606" t="s">
        <v>13578</v>
      </c>
    </row>
    <row r="6607" spans="1:32" hidden="1" x14ac:dyDescent="0.35">
      <c r="A6607">
        <v>6606</v>
      </c>
      <c r="B6607" t="s">
        <v>13570</v>
      </c>
      <c r="C6607" t="s">
        <v>68</v>
      </c>
      <c r="D6607" t="s">
        <v>45</v>
      </c>
      <c r="E6607">
        <v>1505</v>
      </c>
      <c r="F6607">
        <v>2</v>
      </c>
      <c r="G6607">
        <v>2</v>
      </c>
      <c r="H6607">
        <v>1</v>
      </c>
      <c r="I6607">
        <v>0</v>
      </c>
      <c r="J6607">
        <v>1</v>
      </c>
      <c r="K6607">
        <v>1</v>
      </c>
      <c r="L6607">
        <v>1</v>
      </c>
      <c r="M6607">
        <v>1</v>
      </c>
      <c r="N6607">
        <v>1</v>
      </c>
      <c r="O6607">
        <v>1</v>
      </c>
      <c r="P6607" t="s">
        <v>13571</v>
      </c>
      <c r="Q6607" t="s">
        <v>13572</v>
      </c>
      <c r="R6607" t="s">
        <v>342</v>
      </c>
      <c r="S6607" t="s">
        <v>343</v>
      </c>
      <c r="T6607" t="s">
        <v>13573</v>
      </c>
      <c r="U6607" t="s">
        <v>13574</v>
      </c>
      <c r="V6607" t="s">
        <v>13575</v>
      </c>
      <c r="W6607" t="s">
        <v>13576</v>
      </c>
      <c r="AD6607" t="s">
        <v>219</v>
      </c>
      <c r="AE6607" t="s">
        <v>13577</v>
      </c>
      <c r="AF6607" t="s">
        <v>13578</v>
      </c>
    </row>
    <row r="6608" spans="1:32" hidden="1" x14ac:dyDescent="0.35">
      <c r="A6608">
        <v>6607</v>
      </c>
      <c r="B6608" t="s">
        <v>13579</v>
      </c>
      <c r="C6608" t="s">
        <v>68</v>
      </c>
      <c r="D6608" t="s">
        <v>60</v>
      </c>
      <c r="E6608">
        <v>1682</v>
      </c>
      <c r="F6608">
        <v>2</v>
      </c>
      <c r="G6608">
        <v>2</v>
      </c>
      <c r="H6608">
        <v>1</v>
      </c>
      <c r="I6608">
        <v>0</v>
      </c>
      <c r="J6608">
        <v>1</v>
      </c>
      <c r="K6608">
        <v>1</v>
      </c>
      <c r="L6608">
        <v>1</v>
      </c>
      <c r="M6608">
        <v>1</v>
      </c>
      <c r="N6608">
        <v>1</v>
      </c>
      <c r="O6608">
        <v>1</v>
      </c>
      <c r="AF6608" t="s">
        <v>13580</v>
      </c>
    </row>
    <row r="6609" spans="1:32" hidden="1" x14ac:dyDescent="0.35">
      <c r="A6609">
        <v>6608</v>
      </c>
      <c r="B6609" t="s">
        <v>13579</v>
      </c>
      <c r="C6609" t="s">
        <v>68</v>
      </c>
      <c r="D6609" t="s">
        <v>62</v>
      </c>
      <c r="E6609">
        <v>1717</v>
      </c>
      <c r="F6609">
        <v>2</v>
      </c>
      <c r="G6609">
        <v>2</v>
      </c>
      <c r="H6609">
        <v>1</v>
      </c>
      <c r="I6609">
        <v>0</v>
      </c>
      <c r="J6609">
        <v>1</v>
      </c>
      <c r="K6609">
        <v>1</v>
      </c>
      <c r="L6609">
        <v>1</v>
      </c>
      <c r="M6609">
        <v>1</v>
      </c>
      <c r="N6609">
        <v>1</v>
      </c>
      <c r="O6609">
        <v>1</v>
      </c>
      <c r="AF6609" t="s">
        <v>13580</v>
      </c>
    </row>
    <row r="6610" spans="1:32" hidden="1" x14ac:dyDescent="0.35">
      <c r="A6610">
        <v>6609</v>
      </c>
      <c r="B6610" t="s">
        <v>13581</v>
      </c>
      <c r="C6610" t="s">
        <v>68</v>
      </c>
      <c r="D6610" t="s">
        <v>60</v>
      </c>
      <c r="E6610">
        <v>2358</v>
      </c>
      <c r="F6610">
        <v>2</v>
      </c>
      <c r="G6610">
        <v>2</v>
      </c>
      <c r="H6610">
        <v>1</v>
      </c>
      <c r="I6610">
        <v>0</v>
      </c>
      <c r="J6610">
        <v>1</v>
      </c>
      <c r="K6610">
        <v>1</v>
      </c>
      <c r="L6610">
        <v>1</v>
      </c>
      <c r="M6610">
        <v>1</v>
      </c>
      <c r="N6610">
        <v>1</v>
      </c>
      <c r="O6610">
        <v>1</v>
      </c>
      <c r="P6610" t="s">
        <v>13582</v>
      </c>
      <c r="Q6610" t="s">
        <v>13583</v>
      </c>
      <c r="AF6610" t="s">
        <v>13584</v>
      </c>
    </row>
    <row r="6611" spans="1:32" hidden="1" x14ac:dyDescent="0.35">
      <c r="A6611">
        <v>6610</v>
      </c>
      <c r="B6611" t="s">
        <v>13581</v>
      </c>
      <c r="C6611" t="s">
        <v>68</v>
      </c>
      <c r="D6611" t="s">
        <v>62</v>
      </c>
      <c r="E6611">
        <v>2386</v>
      </c>
      <c r="F6611">
        <v>2</v>
      </c>
      <c r="G6611">
        <v>2</v>
      </c>
      <c r="H6611">
        <v>1</v>
      </c>
      <c r="I6611">
        <v>0</v>
      </c>
      <c r="J6611">
        <v>1</v>
      </c>
      <c r="K6611">
        <v>1</v>
      </c>
      <c r="L6611">
        <v>1</v>
      </c>
      <c r="M6611">
        <v>1</v>
      </c>
      <c r="N6611">
        <v>1</v>
      </c>
      <c r="O6611">
        <v>1</v>
      </c>
      <c r="P6611" t="s">
        <v>13582</v>
      </c>
      <c r="Q6611" t="s">
        <v>13583</v>
      </c>
      <c r="AF6611" t="s">
        <v>13584</v>
      </c>
    </row>
    <row r="6612" spans="1:32" hidden="1" x14ac:dyDescent="0.35">
      <c r="A6612">
        <v>6611</v>
      </c>
      <c r="B6612" t="s">
        <v>13585</v>
      </c>
      <c r="C6612" t="s">
        <v>68</v>
      </c>
      <c r="D6612" t="s">
        <v>60</v>
      </c>
      <c r="E6612">
        <v>2304</v>
      </c>
      <c r="F6612">
        <v>2</v>
      </c>
      <c r="G6612">
        <v>2</v>
      </c>
      <c r="H6612">
        <v>1</v>
      </c>
      <c r="I6612">
        <v>0</v>
      </c>
      <c r="J6612">
        <v>1</v>
      </c>
      <c r="K6612">
        <v>1</v>
      </c>
      <c r="L6612">
        <v>1</v>
      </c>
      <c r="M6612">
        <v>1</v>
      </c>
      <c r="N6612">
        <v>1</v>
      </c>
      <c r="O6612">
        <v>1</v>
      </c>
      <c r="AF6612" t="s">
        <v>13586</v>
      </c>
    </row>
    <row r="6613" spans="1:32" hidden="1" x14ac:dyDescent="0.35">
      <c r="A6613">
        <v>6612</v>
      </c>
      <c r="B6613" t="s">
        <v>13585</v>
      </c>
      <c r="C6613" t="s">
        <v>68</v>
      </c>
      <c r="D6613" t="s">
        <v>62</v>
      </c>
      <c r="E6613">
        <v>2333</v>
      </c>
      <c r="F6613">
        <v>2</v>
      </c>
      <c r="G6613">
        <v>2</v>
      </c>
      <c r="H6613">
        <v>1</v>
      </c>
      <c r="I6613">
        <v>0</v>
      </c>
      <c r="J6613">
        <v>1</v>
      </c>
      <c r="K6613">
        <v>1</v>
      </c>
      <c r="L6613">
        <v>1</v>
      </c>
      <c r="M6613">
        <v>1</v>
      </c>
      <c r="N6613">
        <v>1</v>
      </c>
      <c r="O6613">
        <v>1</v>
      </c>
      <c r="AF6613" t="s">
        <v>13586</v>
      </c>
    </row>
    <row r="6614" spans="1:32" hidden="1" x14ac:dyDescent="0.35">
      <c r="A6614">
        <v>6613</v>
      </c>
      <c r="B6614" t="s">
        <v>13587</v>
      </c>
      <c r="C6614" t="s">
        <v>68</v>
      </c>
      <c r="D6614" t="s">
        <v>60</v>
      </c>
      <c r="E6614">
        <v>1021</v>
      </c>
      <c r="F6614">
        <v>2</v>
      </c>
      <c r="G6614">
        <v>2</v>
      </c>
      <c r="H6614">
        <v>1</v>
      </c>
      <c r="I6614">
        <v>0</v>
      </c>
      <c r="J6614">
        <v>1</v>
      </c>
      <c r="K6614">
        <v>1</v>
      </c>
      <c r="L6614">
        <v>1</v>
      </c>
      <c r="M6614">
        <v>1</v>
      </c>
      <c r="N6614">
        <v>1</v>
      </c>
      <c r="O6614">
        <v>1</v>
      </c>
      <c r="P6614" t="s">
        <v>1189</v>
      </c>
      <c r="Q6614" t="s">
        <v>1190</v>
      </c>
      <c r="AF6614" t="s">
        <v>13588</v>
      </c>
    </row>
    <row r="6615" spans="1:32" hidden="1" x14ac:dyDescent="0.35">
      <c r="A6615">
        <v>6614</v>
      </c>
      <c r="B6615" t="s">
        <v>13587</v>
      </c>
      <c r="C6615" t="s">
        <v>68</v>
      </c>
      <c r="D6615" t="s">
        <v>62</v>
      </c>
      <c r="E6615">
        <v>1057</v>
      </c>
      <c r="F6615">
        <v>2</v>
      </c>
      <c r="G6615">
        <v>2</v>
      </c>
      <c r="H6615">
        <v>1</v>
      </c>
      <c r="I6615">
        <v>0</v>
      </c>
      <c r="J6615">
        <v>1</v>
      </c>
      <c r="K6615">
        <v>1</v>
      </c>
      <c r="L6615">
        <v>1</v>
      </c>
      <c r="M6615">
        <v>1</v>
      </c>
      <c r="N6615">
        <v>1</v>
      </c>
      <c r="O6615">
        <v>1</v>
      </c>
      <c r="P6615" t="s">
        <v>1189</v>
      </c>
      <c r="Q6615" t="s">
        <v>1190</v>
      </c>
      <c r="AF6615" t="s">
        <v>13588</v>
      </c>
    </row>
    <row r="6616" spans="1:32" hidden="1" x14ac:dyDescent="0.35">
      <c r="A6616">
        <v>6615</v>
      </c>
      <c r="B6616" t="s">
        <v>13589</v>
      </c>
      <c r="C6616" t="s">
        <v>68</v>
      </c>
      <c r="D6616" t="s">
        <v>60</v>
      </c>
      <c r="E6616">
        <v>1591</v>
      </c>
      <c r="F6616">
        <v>2</v>
      </c>
      <c r="G6616">
        <v>2</v>
      </c>
      <c r="H6616">
        <v>1</v>
      </c>
      <c r="I6616">
        <v>0</v>
      </c>
      <c r="J6616">
        <v>1</v>
      </c>
      <c r="K6616">
        <v>1</v>
      </c>
      <c r="L6616">
        <v>1</v>
      </c>
      <c r="M6616">
        <v>1</v>
      </c>
      <c r="N6616">
        <v>1</v>
      </c>
      <c r="O6616">
        <v>1</v>
      </c>
      <c r="AF6616" t="s">
        <v>13590</v>
      </c>
    </row>
    <row r="6617" spans="1:32" hidden="1" x14ac:dyDescent="0.35">
      <c r="A6617">
        <v>6616</v>
      </c>
      <c r="B6617" t="s">
        <v>13589</v>
      </c>
      <c r="C6617" t="s">
        <v>68</v>
      </c>
      <c r="D6617" t="s">
        <v>62</v>
      </c>
      <c r="E6617">
        <v>1627</v>
      </c>
      <c r="F6617">
        <v>2</v>
      </c>
      <c r="G6617">
        <v>2</v>
      </c>
      <c r="H6617">
        <v>1</v>
      </c>
      <c r="I6617">
        <v>0</v>
      </c>
      <c r="J6617">
        <v>1</v>
      </c>
      <c r="K6617">
        <v>1</v>
      </c>
      <c r="L6617">
        <v>1</v>
      </c>
      <c r="M6617">
        <v>1</v>
      </c>
      <c r="N6617">
        <v>1</v>
      </c>
      <c r="O6617">
        <v>1</v>
      </c>
      <c r="AF6617" t="s">
        <v>13590</v>
      </c>
    </row>
    <row r="6618" spans="1:32" hidden="1" x14ac:dyDescent="0.35">
      <c r="A6618">
        <v>6617</v>
      </c>
      <c r="B6618" t="s">
        <v>13591</v>
      </c>
      <c r="C6618" t="s">
        <v>68</v>
      </c>
      <c r="D6618" t="s">
        <v>60</v>
      </c>
      <c r="E6618">
        <v>724</v>
      </c>
      <c r="F6618">
        <v>2</v>
      </c>
      <c r="G6618">
        <v>2</v>
      </c>
      <c r="H6618">
        <v>1</v>
      </c>
      <c r="I6618">
        <v>0</v>
      </c>
      <c r="J6618">
        <v>1</v>
      </c>
      <c r="K6618">
        <v>1</v>
      </c>
      <c r="L6618">
        <v>1</v>
      </c>
      <c r="M6618">
        <v>1</v>
      </c>
      <c r="N6618">
        <v>1</v>
      </c>
      <c r="O6618">
        <v>1</v>
      </c>
      <c r="AF6618" t="s">
        <v>13592</v>
      </c>
    </row>
    <row r="6619" spans="1:32" hidden="1" x14ac:dyDescent="0.35">
      <c r="A6619">
        <v>6618</v>
      </c>
      <c r="B6619" t="s">
        <v>13591</v>
      </c>
      <c r="C6619" t="s">
        <v>68</v>
      </c>
      <c r="D6619" t="s">
        <v>62</v>
      </c>
      <c r="E6619">
        <v>755</v>
      </c>
      <c r="F6619">
        <v>2</v>
      </c>
      <c r="G6619">
        <v>2</v>
      </c>
      <c r="H6619">
        <v>1</v>
      </c>
      <c r="I6619">
        <v>0</v>
      </c>
      <c r="J6619">
        <v>1</v>
      </c>
      <c r="K6619">
        <v>1</v>
      </c>
      <c r="L6619">
        <v>1</v>
      </c>
      <c r="M6619">
        <v>1</v>
      </c>
      <c r="N6619">
        <v>1</v>
      </c>
      <c r="O6619">
        <v>1</v>
      </c>
      <c r="AF6619" t="s">
        <v>13592</v>
      </c>
    </row>
    <row r="6620" spans="1:32" hidden="1" x14ac:dyDescent="0.35">
      <c r="A6620">
        <v>6619</v>
      </c>
      <c r="B6620" t="s">
        <v>13593</v>
      </c>
      <c r="C6620" t="s">
        <v>68</v>
      </c>
      <c r="D6620" t="s">
        <v>60</v>
      </c>
      <c r="E6620">
        <v>2263</v>
      </c>
      <c r="F6620">
        <v>2</v>
      </c>
      <c r="G6620">
        <v>2</v>
      </c>
      <c r="H6620">
        <v>1</v>
      </c>
      <c r="I6620">
        <v>0</v>
      </c>
      <c r="J6620">
        <v>1</v>
      </c>
      <c r="K6620">
        <v>1</v>
      </c>
      <c r="L6620">
        <v>1</v>
      </c>
      <c r="M6620">
        <v>1</v>
      </c>
      <c r="N6620">
        <v>1</v>
      </c>
      <c r="O6620">
        <v>1</v>
      </c>
      <c r="AF6620" t="s">
        <v>13594</v>
      </c>
    </row>
    <row r="6621" spans="1:32" hidden="1" x14ac:dyDescent="0.35">
      <c r="A6621">
        <v>6620</v>
      </c>
      <c r="B6621" t="s">
        <v>13593</v>
      </c>
      <c r="C6621" t="s">
        <v>68</v>
      </c>
      <c r="D6621" t="s">
        <v>62</v>
      </c>
      <c r="E6621">
        <v>2292</v>
      </c>
      <c r="F6621">
        <v>2</v>
      </c>
      <c r="G6621">
        <v>2</v>
      </c>
      <c r="H6621">
        <v>1</v>
      </c>
      <c r="I6621">
        <v>0</v>
      </c>
      <c r="J6621">
        <v>1</v>
      </c>
      <c r="K6621">
        <v>1</v>
      </c>
      <c r="L6621">
        <v>1</v>
      </c>
      <c r="M6621">
        <v>1</v>
      </c>
      <c r="N6621">
        <v>1</v>
      </c>
      <c r="O6621">
        <v>1</v>
      </c>
      <c r="AF6621" t="s">
        <v>13594</v>
      </c>
    </row>
    <row r="6622" spans="1:32" hidden="1" x14ac:dyDescent="0.35">
      <c r="A6622">
        <v>6621</v>
      </c>
      <c r="B6622" t="s">
        <v>13595</v>
      </c>
      <c r="C6622" t="s">
        <v>68</v>
      </c>
      <c r="D6622" t="s">
        <v>34</v>
      </c>
      <c r="E6622">
        <v>859</v>
      </c>
      <c r="F6622">
        <v>2</v>
      </c>
      <c r="G6622">
        <v>2</v>
      </c>
      <c r="H6622">
        <v>1</v>
      </c>
      <c r="I6622">
        <v>0</v>
      </c>
      <c r="J6622">
        <v>1</v>
      </c>
      <c r="K6622">
        <v>1</v>
      </c>
      <c r="L6622">
        <v>1</v>
      </c>
      <c r="M6622">
        <v>1</v>
      </c>
      <c r="N6622">
        <v>1</v>
      </c>
      <c r="O6622">
        <v>1</v>
      </c>
      <c r="P6622" t="s">
        <v>11509</v>
      </c>
      <c r="Q6622" t="s">
        <v>11510</v>
      </c>
      <c r="R6622" t="s">
        <v>75</v>
      </c>
      <c r="S6622" t="s">
        <v>76</v>
      </c>
      <c r="V6622" t="s">
        <v>11511</v>
      </c>
      <c r="W6622" t="s">
        <v>11512</v>
      </c>
      <c r="X6622" t="s">
        <v>11511</v>
      </c>
      <c r="Y6622" t="s">
        <v>2750</v>
      </c>
      <c r="AF6622" t="s">
        <v>13596</v>
      </c>
    </row>
    <row r="6623" spans="1:32" hidden="1" x14ac:dyDescent="0.35">
      <c r="A6623">
        <v>6622</v>
      </c>
      <c r="B6623" t="s">
        <v>13595</v>
      </c>
      <c r="C6623" t="s">
        <v>68</v>
      </c>
      <c r="D6623" t="s">
        <v>45</v>
      </c>
      <c r="E6623">
        <v>2116</v>
      </c>
      <c r="F6623">
        <v>2</v>
      </c>
      <c r="G6623">
        <v>2</v>
      </c>
      <c r="H6623">
        <v>1</v>
      </c>
      <c r="I6623">
        <v>0</v>
      </c>
      <c r="J6623">
        <v>1</v>
      </c>
      <c r="K6623">
        <v>1</v>
      </c>
      <c r="L6623">
        <v>1</v>
      </c>
      <c r="M6623">
        <v>1</v>
      </c>
      <c r="N6623">
        <v>1</v>
      </c>
      <c r="O6623">
        <v>1</v>
      </c>
      <c r="P6623" t="s">
        <v>11509</v>
      </c>
      <c r="Q6623" t="s">
        <v>11510</v>
      </c>
      <c r="R6623" t="s">
        <v>75</v>
      </c>
      <c r="S6623" t="s">
        <v>76</v>
      </c>
      <c r="V6623" t="s">
        <v>11511</v>
      </c>
      <c r="W6623" t="s">
        <v>11512</v>
      </c>
      <c r="X6623" t="s">
        <v>11511</v>
      </c>
      <c r="Y6623" t="s">
        <v>2750</v>
      </c>
      <c r="AF6623" t="s">
        <v>13596</v>
      </c>
    </row>
    <row r="6624" spans="1:32" hidden="1" x14ac:dyDescent="0.35">
      <c r="A6624">
        <v>6623</v>
      </c>
      <c r="B6624" t="s">
        <v>13597</v>
      </c>
      <c r="C6624" t="s">
        <v>68</v>
      </c>
      <c r="D6624" t="s">
        <v>34</v>
      </c>
      <c r="E6624">
        <v>1483</v>
      </c>
      <c r="F6624">
        <v>2</v>
      </c>
      <c r="G6624">
        <v>2</v>
      </c>
      <c r="H6624">
        <v>1</v>
      </c>
      <c r="I6624">
        <v>0</v>
      </c>
      <c r="J6624">
        <v>1</v>
      </c>
      <c r="K6624">
        <v>1</v>
      </c>
      <c r="L6624">
        <v>1</v>
      </c>
      <c r="M6624">
        <v>1</v>
      </c>
      <c r="N6624">
        <v>1</v>
      </c>
      <c r="O6624">
        <v>1</v>
      </c>
      <c r="AF6624" t="s">
        <v>13598</v>
      </c>
    </row>
    <row r="6625" spans="1:32" hidden="1" x14ac:dyDescent="0.35">
      <c r="A6625">
        <v>6624</v>
      </c>
      <c r="B6625" t="s">
        <v>13597</v>
      </c>
      <c r="C6625" t="s">
        <v>68</v>
      </c>
      <c r="D6625" t="s">
        <v>45</v>
      </c>
      <c r="E6625">
        <v>233</v>
      </c>
      <c r="F6625">
        <v>2</v>
      </c>
      <c r="G6625">
        <v>2</v>
      </c>
      <c r="H6625">
        <v>1</v>
      </c>
      <c r="I6625">
        <v>0</v>
      </c>
      <c r="J6625">
        <v>1</v>
      </c>
      <c r="K6625">
        <v>1</v>
      </c>
      <c r="L6625">
        <v>1</v>
      </c>
      <c r="M6625">
        <v>1</v>
      </c>
      <c r="N6625">
        <v>1</v>
      </c>
      <c r="O6625">
        <v>1</v>
      </c>
      <c r="AF6625" t="s">
        <v>13598</v>
      </c>
    </row>
    <row r="6626" spans="1:32" hidden="1" x14ac:dyDescent="0.35">
      <c r="A6626">
        <v>6625</v>
      </c>
      <c r="B6626" t="s">
        <v>13599</v>
      </c>
      <c r="C6626" t="s">
        <v>68</v>
      </c>
      <c r="D6626" t="s">
        <v>60</v>
      </c>
      <c r="E6626">
        <v>804</v>
      </c>
      <c r="F6626">
        <v>2</v>
      </c>
      <c r="G6626">
        <v>2</v>
      </c>
      <c r="H6626">
        <v>1</v>
      </c>
      <c r="I6626">
        <v>0</v>
      </c>
      <c r="J6626">
        <v>1</v>
      </c>
      <c r="K6626">
        <v>1</v>
      </c>
      <c r="L6626">
        <v>1</v>
      </c>
      <c r="M6626">
        <v>1</v>
      </c>
      <c r="N6626">
        <v>1</v>
      </c>
      <c r="O6626">
        <v>1</v>
      </c>
      <c r="P6626" t="s">
        <v>2163</v>
      </c>
      <c r="Q6626" t="s">
        <v>2164</v>
      </c>
      <c r="R6626" t="s">
        <v>113</v>
      </c>
      <c r="S6626" t="s">
        <v>114</v>
      </c>
      <c r="V6626" t="s">
        <v>2167</v>
      </c>
      <c r="W6626" t="s">
        <v>2168</v>
      </c>
      <c r="AF6626" t="s">
        <v>13600</v>
      </c>
    </row>
    <row r="6627" spans="1:32" hidden="1" x14ac:dyDescent="0.35">
      <c r="A6627">
        <v>6626</v>
      </c>
      <c r="B6627" t="s">
        <v>13599</v>
      </c>
      <c r="C6627" t="s">
        <v>68</v>
      </c>
      <c r="D6627" t="s">
        <v>62</v>
      </c>
      <c r="E6627">
        <v>837</v>
      </c>
      <c r="F6627">
        <v>2</v>
      </c>
      <c r="G6627">
        <v>2</v>
      </c>
      <c r="H6627">
        <v>1</v>
      </c>
      <c r="I6627">
        <v>0</v>
      </c>
      <c r="J6627">
        <v>1</v>
      </c>
      <c r="K6627">
        <v>1</v>
      </c>
      <c r="L6627">
        <v>1</v>
      </c>
      <c r="M6627">
        <v>1</v>
      </c>
      <c r="N6627">
        <v>1</v>
      </c>
      <c r="O6627">
        <v>1</v>
      </c>
      <c r="P6627" t="s">
        <v>2163</v>
      </c>
      <c r="Q6627" t="s">
        <v>2164</v>
      </c>
      <c r="R6627" t="s">
        <v>113</v>
      </c>
      <c r="S6627" t="s">
        <v>114</v>
      </c>
      <c r="V6627" t="s">
        <v>2167</v>
      </c>
      <c r="W6627" t="s">
        <v>2168</v>
      </c>
      <c r="AF6627" t="s">
        <v>13600</v>
      </c>
    </row>
    <row r="6628" spans="1:32" hidden="1" x14ac:dyDescent="0.35">
      <c r="A6628">
        <v>6627</v>
      </c>
      <c r="B6628" t="s">
        <v>13601</v>
      </c>
      <c r="C6628" t="s">
        <v>68</v>
      </c>
      <c r="D6628" t="s">
        <v>60</v>
      </c>
      <c r="E6628">
        <v>1272</v>
      </c>
      <c r="F6628">
        <v>2</v>
      </c>
      <c r="G6628">
        <v>2</v>
      </c>
      <c r="H6628">
        <v>1</v>
      </c>
      <c r="I6628">
        <v>0</v>
      </c>
      <c r="J6628">
        <v>1</v>
      </c>
      <c r="K6628">
        <v>1</v>
      </c>
      <c r="L6628">
        <v>1</v>
      </c>
      <c r="M6628">
        <v>1</v>
      </c>
      <c r="N6628">
        <v>1</v>
      </c>
      <c r="O6628">
        <v>1</v>
      </c>
      <c r="AF6628" t="s">
        <v>13602</v>
      </c>
    </row>
    <row r="6629" spans="1:32" hidden="1" x14ac:dyDescent="0.35">
      <c r="A6629">
        <v>6628</v>
      </c>
      <c r="B6629" t="s">
        <v>13601</v>
      </c>
      <c r="C6629" t="s">
        <v>68</v>
      </c>
      <c r="D6629" t="s">
        <v>62</v>
      </c>
      <c r="E6629">
        <v>1308</v>
      </c>
      <c r="F6629">
        <v>2</v>
      </c>
      <c r="G6629">
        <v>2</v>
      </c>
      <c r="H6629">
        <v>1</v>
      </c>
      <c r="I6629">
        <v>0</v>
      </c>
      <c r="J6629">
        <v>1</v>
      </c>
      <c r="K6629">
        <v>1</v>
      </c>
      <c r="L6629">
        <v>1</v>
      </c>
      <c r="M6629">
        <v>1</v>
      </c>
      <c r="N6629">
        <v>1</v>
      </c>
      <c r="O6629">
        <v>1</v>
      </c>
      <c r="AF6629" t="s">
        <v>13602</v>
      </c>
    </row>
    <row r="6630" spans="1:32" hidden="1" x14ac:dyDescent="0.35">
      <c r="A6630">
        <v>6629</v>
      </c>
      <c r="B6630" t="s">
        <v>13603</v>
      </c>
      <c r="C6630" t="s">
        <v>68</v>
      </c>
      <c r="D6630" t="s">
        <v>60</v>
      </c>
      <c r="E6630">
        <v>625</v>
      </c>
      <c r="F6630">
        <v>2</v>
      </c>
      <c r="G6630">
        <v>2</v>
      </c>
      <c r="H6630">
        <v>1</v>
      </c>
      <c r="I6630">
        <v>0</v>
      </c>
      <c r="J6630">
        <v>1</v>
      </c>
      <c r="K6630">
        <v>1</v>
      </c>
      <c r="L6630">
        <v>1</v>
      </c>
      <c r="M6630">
        <v>1</v>
      </c>
      <c r="N6630">
        <v>1</v>
      </c>
      <c r="O6630">
        <v>1</v>
      </c>
      <c r="P6630" t="s">
        <v>9910</v>
      </c>
      <c r="Q6630" t="s">
        <v>9911</v>
      </c>
      <c r="R6630" t="s">
        <v>8647</v>
      </c>
      <c r="S6630" t="s">
        <v>8648</v>
      </c>
      <c r="V6630" t="s">
        <v>11549</v>
      </c>
      <c r="W6630" t="s">
        <v>11550</v>
      </c>
      <c r="AF6630" t="s">
        <v>13604</v>
      </c>
    </row>
    <row r="6631" spans="1:32" hidden="1" x14ac:dyDescent="0.35">
      <c r="A6631">
        <v>6630</v>
      </c>
      <c r="B6631" t="s">
        <v>13603</v>
      </c>
      <c r="C6631" t="s">
        <v>68</v>
      </c>
      <c r="D6631" t="s">
        <v>62</v>
      </c>
      <c r="E6631">
        <v>709</v>
      </c>
      <c r="F6631">
        <v>2</v>
      </c>
      <c r="G6631">
        <v>2</v>
      </c>
      <c r="H6631">
        <v>1</v>
      </c>
      <c r="I6631">
        <v>0</v>
      </c>
      <c r="J6631">
        <v>1</v>
      </c>
      <c r="K6631">
        <v>1</v>
      </c>
      <c r="L6631">
        <v>1</v>
      </c>
      <c r="M6631">
        <v>1</v>
      </c>
      <c r="N6631">
        <v>1</v>
      </c>
      <c r="O6631">
        <v>1</v>
      </c>
      <c r="P6631" t="s">
        <v>9910</v>
      </c>
      <c r="Q6631" t="s">
        <v>9911</v>
      </c>
      <c r="R6631" t="s">
        <v>8647</v>
      </c>
      <c r="S6631" t="s">
        <v>8648</v>
      </c>
      <c r="V6631" t="s">
        <v>11549</v>
      </c>
      <c r="W6631" t="s">
        <v>11550</v>
      </c>
      <c r="AF6631" t="s">
        <v>13604</v>
      </c>
    </row>
    <row r="6632" spans="1:32" hidden="1" x14ac:dyDescent="0.35">
      <c r="A6632">
        <v>6631</v>
      </c>
      <c r="B6632" t="s">
        <v>13605</v>
      </c>
      <c r="C6632" t="s">
        <v>68</v>
      </c>
      <c r="D6632" t="s">
        <v>60</v>
      </c>
      <c r="E6632">
        <v>1771</v>
      </c>
      <c r="F6632">
        <v>2</v>
      </c>
      <c r="G6632">
        <v>2</v>
      </c>
      <c r="H6632">
        <v>1</v>
      </c>
      <c r="I6632">
        <v>0</v>
      </c>
      <c r="J6632">
        <v>1</v>
      </c>
      <c r="K6632">
        <v>1</v>
      </c>
      <c r="L6632">
        <v>1</v>
      </c>
      <c r="M6632">
        <v>1</v>
      </c>
      <c r="N6632">
        <v>1</v>
      </c>
      <c r="O6632">
        <v>1</v>
      </c>
      <c r="P6632" t="s">
        <v>12884</v>
      </c>
      <c r="Q6632" t="s">
        <v>12885</v>
      </c>
      <c r="R6632" t="s">
        <v>1259</v>
      </c>
      <c r="S6632" t="s">
        <v>1260</v>
      </c>
      <c r="V6632" t="s">
        <v>13606</v>
      </c>
      <c r="W6632" t="s">
        <v>13607</v>
      </c>
      <c r="AF6632" t="s">
        <v>13608</v>
      </c>
    </row>
    <row r="6633" spans="1:32" hidden="1" x14ac:dyDescent="0.35">
      <c r="A6633">
        <v>6632</v>
      </c>
      <c r="B6633" t="s">
        <v>13605</v>
      </c>
      <c r="C6633" t="s">
        <v>68</v>
      </c>
      <c r="D6633" t="s">
        <v>62</v>
      </c>
      <c r="E6633">
        <v>1807</v>
      </c>
      <c r="F6633">
        <v>2</v>
      </c>
      <c r="G6633">
        <v>2</v>
      </c>
      <c r="H6633">
        <v>1</v>
      </c>
      <c r="I6633">
        <v>0</v>
      </c>
      <c r="J6633">
        <v>1</v>
      </c>
      <c r="K6633">
        <v>1</v>
      </c>
      <c r="L6633">
        <v>1</v>
      </c>
      <c r="M6633">
        <v>1</v>
      </c>
      <c r="N6633">
        <v>1</v>
      </c>
      <c r="O6633">
        <v>1</v>
      </c>
      <c r="P6633" t="s">
        <v>12884</v>
      </c>
      <c r="Q6633" t="s">
        <v>12885</v>
      </c>
      <c r="R6633" t="s">
        <v>1259</v>
      </c>
      <c r="S6633" t="s">
        <v>1260</v>
      </c>
      <c r="V6633" t="s">
        <v>13606</v>
      </c>
      <c r="W6633" t="s">
        <v>13607</v>
      </c>
      <c r="AF6633" t="s">
        <v>13608</v>
      </c>
    </row>
    <row r="6634" spans="1:32" hidden="1" x14ac:dyDescent="0.35">
      <c r="A6634">
        <v>6633</v>
      </c>
      <c r="B6634" t="s">
        <v>13609</v>
      </c>
      <c r="C6634" t="s">
        <v>68</v>
      </c>
      <c r="D6634" t="s">
        <v>60</v>
      </c>
      <c r="E6634">
        <v>326</v>
      </c>
      <c r="F6634">
        <v>2</v>
      </c>
      <c r="G6634">
        <v>2</v>
      </c>
      <c r="H6634">
        <v>1</v>
      </c>
      <c r="I6634">
        <v>0</v>
      </c>
      <c r="J6634">
        <v>1</v>
      </c>
      <c r="K6634">
        <v>1</v>
      </c>
      <c r="L6634">
        <v>1</v>
      </c>
      <c r="M6634">
        <v>1</v>
      </c>
      <c r="N6634">
        <v>1</v>
      </c>
      <c r="O6634">
        <v>1</v>
      </c>
      <c r="AF6634" t="s">
        <v>13610</v>
      </c>
    </row>
    <row r="6635" spans="1:32" hidden="1" x14ac:dyDescent="0.35">
      <c r="A6635">
        <v>6634</v>
      </c>
      <c r="B6635" t="s">
        <v>13609</v>
      </c>
      <c r="C6635" t="s">
        <v>68</v>
      </c>
      <c r="D6635" t="s">
        <v>62</v>
      </c>
      <c r="E6635">
        <v>406</v>
      </c>
      <c r="F6635">
        <v>2</v>
      </c>
      <c r="G6635">
        <v>2</v>
      </c>
      <c r="H6635">
        <v>1</v>
      </c>
      <c r="I6635">
        <v>0</v>
      </c>
      <c r="J6635">
        <v>1</v>
      </c>
      <c r="K6635">
        <v>1</v>
      </c>
      <c r="L6635">
        <v>1</v>
      </c>
      <c r="M6635">
        <v>1</v>
      </c>
      <c r="N6635">
        <v>1</v>
      </c>
      <c r="O6635">
        <v>1</v>
      </c>
      <c r="AF6635" t="s">
        <v>13610</v>
      </c>
    </row>
    <row r="6636" spans="1:32" hidden="1" x14ac:dyDescent="0.35">
      <c r="A6636">
        <v>6635</v>
      </c>
      <c r="B6636" t="s">
        <v>13611</v>
      </c>
      <c r="C6636" t="s">
        <v>68</v>
      </c>
      <c r="D6636" t="s">
        <v>60</v>
      </c>
      <c r="E6636">
        <v>2154</v>
      </c>
      <c r="F6636">
        <v>2</v>
      </c>
      <c r="G6636">
        <v>2</v>
      </c>
      <c r="H6636">
        <v>1</v>
      </c>
      <c r="I6636">
        <v>0</v>
      </c>
      <c r="J6636">
        <v>1</v>
      </c>
      <c r="K6636">
        <v>1</v>
      </c>
      <c r="L6636">
        <v>1</v>
      </c>
      <c r="M6636">
        <v>1</v>
      </c>
      <c r="N6636">
        <v>1</v>
      </c>
      <c r="O6636">
        <v>1</v>
      </c>
      <c r="P6636" t="s">
        <v>6606</v>
      </c>
      <c r="Q6636" t="s">
        <v>6607</v>
      </c>
      <c r="R6636" t="s">
        <v>1191</v>
      </c>
      <c r="S6636" t="s">
        <v>1192</v>
      </c>
      <c r="T6636" t="s">
        <v>6602</v>
      </c>
      <c r="U6636" t="s">
        <v>6603</v>
      </c>
      <c r="V6636" t="s">
        <v>6600</v>
      </c>
      <c r="W6636" t="s">
        <v>6601</v>
      </c>
      <c r="AD6636" t="s">
        <v>1998</v>
      </c>
      <c r="AE6636" t="s">
        <v>6604</v>
      </c>
      <c r="AF6636" t="s">
        <v>13612</v>
      </c>
    </row>
    <row r="6637" spans="1:32" hidden="1" x14ac:dyDescent="0.35">
      <c r="A6637">
        <v>6636</v>
      </c>
      <c r="B6637" t="s">
        <v>13611</v>
      </c>
      <c r="C6637" t="s">
        <v>68</v>
      </c>
      <c r="D6637" t="s">
        <v>62</v>
      </c>
      <c r="E6637">
        <v>2188</v>
      </c>
      <c r="F6637">
        <v>2</v>
      </c>
      <c r="G6637">
        <v>2</v>
      </c>
      <c r="H6637">
        <v>1</v>
      </c>
      <c r="I6637">
        <v>0</v>
      </c>
      <c r="J6637">
        <v>1</v>
      </c>
      <c r="K6637">
        <v>1</v>
      </c>
      <c r="L6637">
        <v>1</v>
      </c>
      <c r="M6637">
        <v>1</v>
      </c>
      <c r="N6637">
        <v>1</v>
      </c>
      <c r="O6637">
        <v>1</v>
      </c>
      <c r="P6637" t="s">
        <v>6606</v>
      </c>
      <c r="Q6637" t="s">
        <v>6607</v>
      </c>
      <c r="R6637" t="s">
        <v>1191</v>
      </c>
      <c r="S6637" t="s">
        <v>1192</v>
      </c>
      <c r="T6637" t="s">
        <v>6602</v>
      </c>
      <c r="U6637" t="s">
        <v>6603</v>
      </c>
      <c r="V6637" t="s">
        <v>6600</v>
      </c>
      <c r="W6637" t="s">
        <v>6601</v>
      </c>
      <c r="AD6637" t="s">
        <v>1998</v>
      </c>
      <c r="AE6637" t="s">
        <v>6604</v>
      </c>
      <c r="AF6637" t="s">
        <v>13612</v>
      </c>
    </row>
    <row r="6638" spans="1:32" hidden="1" x14ac:dyDescent="0.35">
      <c r="A6638">
        <v>6637</v>
      </c>
      <c r="B6638" t="s">
        <v>13613</v>
      </c>
      <c r="C6638" t="s">
        <v>68</v>
      </c>
      <c r="D6638" t="s">
        <v>60</v>
      </c>
      <c r="E6638">
        <v>1547</v>
      </c>
      <c r="F6638">
        <v>2</v>
      </c>
      <c r="G6638">
        <v>2</v>
      </c>
      <c r="H6638">
        <v>1</v>
      </c>
      <c r="I6638">
        <v>0</v>
      </c>
      <c r="J6638">
        <v>1</v>
      </c>
      <c r="K6638">
        <v>1</v>
      </c>
      <c r="L6638">
        <v>1</v>
      </c>
      <c r="M6638">
        <v>1</v>
      </c>
      <c r="N6638">
        <v>1</v>
      </c>
      <c r="O6638">
        <v>1</v>
      </c>
      <c r="P6638" t="s">
        <v>1247</v>
      </c>
      <c r="Q6638" t="s">
        <v>1248</v>
      </c>
      <c r="R6638" t="s">
        <v>12738</v>
      </c>
      <c r="S6638" t="s">
        <v>12739</v>
      </c>
      <c r="T6638" t="s">
        <v>12740</v>
      </c>
      <c r="U6638" t="s">
        <v>12741</v>
      </c>
      <c r="V6638" t="s">
        <v>12742</v>
      </c>
      <c r="W6638" t="s">
        <v>12743</v>
      </c>
      <c r="AD6638" t="s">
        <v>439</v>
      </c>
      <c r="AE6638" t="s">
        <v>471</v>
      </c>
      <c r="AF6638" t="s">
        <v>13614</v>
      </c>
    </row>
    <row r="6639" spans="1:32" hidden="1" x14ac:dyDescent="0.35">
      <c r="A6639">
        <v>6638</v>
      </c>
      <c r="B6639" t="s">
        <v>13613</v>
      </c>
      <c r="C6639" t="s">
        <v>68</v>
      </c>
      <c r="D6639" t="s">
        <v>62</v>
      </c>
      <c r="E6639">
        <v>1582</v>
      </c>
      <c r="F6639">
        <v>2</v>
      </c>
      <c r="G6639">
        <v>2</v>
      </c>
      <c r="H6639">
        <v>1</v>
      </c>
      <c r="I6639">
        <v>0</v>
      </c>
      <c r="J6639">
        <v>1</v>
      </c>
      <c r="K6639">
        <v>1</v>
      </c>
      <c r="L6639">
        <v>1</v>
      </c>
      <c r="M6639">
        <v>1</v>
      </c>
      <c r="N6639">
        <v>1</v>
      </c>
      <c r="O6639">
        <v>1</v>
      </c>
      <c r="P6639" t="s">
        <v>1247</v>
      </c>
      <c r="Q6639" t="s">
        <v>1248</v>
      </c>
      <c r="R6639" t="s">
        <v>12738</v>
      </c>
      <c r="S6639" t="s">
        <v>12739</v>
      </c>
      <c r="T6639" t="s">
        <v>12740</v>
      </c>
      <c r="U6639" t="s">
        <v>12741</v>
      </c>
      <c r="V6639" t="s">
        <v>12742</v>
      </c>
      <c r="W6639" t="s">
        <v>12743</v>
      </c>
      <c r="AD6639" t="s">
        <v>439</v>
      </c>
      <c r="AE6639" t="s">
        <v>471</v>
      </c>
      <c r="AF6639" t="s">
        <v>13614</v>
      </c>
    </row>
    <row r="6640" spans="1:32" hidden="1" x14ac:dyDescent="0.35">
      <c r="A6640">
        <v>6639</v>
      </c>
      <c r="B6640" t="s">
        <v>13615</v>
      </c>
      <c r="C6640" t="s">
        <v>68</v>
      </c>
      <c r="D6640" t="s">
        <v>34</v>
      </c>
      <c r="E6640">
        <v>617</v>
      </c>
      <c r="F6640">
        <v>2</v>
      </c>
      <c r="G6640">
        <v>2</v>
      </c>
      <c r="H6640">
        <v>1</v>
      </c>
      <c r="I6640">
        <v>0</v>
      </c>
      <c r="J6640">
        <v>1</v>
      </c>
      <c r="K6640">
        <v>1</v>
      </c>
      <c r="L6640">
        <v>1</v>
      </c>
      <c r="M6640">
        <v>1</v>
      </c>
      <c r="N6640">
        <v>1</v>
      </c>
      <c r="O6640">
        <v>1</v>
      </c>
      <c r="AF6640" t="s">
        <v>13616</v>
      </c>
    </row>
    <row r="6641" spans="1:32" hidden="1" x14ac:dyDescent="0.35">
      <c r="A6641">
        <v>6640</v>
      </c>
      <c r="B6641" t="s">
        <v>13615</v>
      </c>
      <c r="C6641" t="s">
        <v>68</v>
      </c>
      <c r="D6641" t="s">
        <v>45</v>
      </c>
      <c r="E6641">
        <v>1884</v>
      </c>
      <c r="F6641">
        <v>2</v>
      </c>
      <c r="G6641">
        <v>2</v>
      </c>
      <c r="H6641">
        <v>1</v>
      </c>
      <c r="I6641">
        <v>0</v>
      </c>
      <c r="J6641">
        <v>1</v>
      </c>
      <c r="K6641">
        <v>1</v>
      </c>
      <c r="L6641">
        <v>1</v>
      </c>
      <c r="M6641">
        <v>1</v>
      </c>
      <c r="N6641">
        <v>1</v>
      </c>
      <c r="O6641">
        <v>1</v>
      </c>
      <c r="AF6641" t="s">
        <v>13616</v>
      </c>
    </row>
    <row r="6642" spans="1:32" hidden="1" x14ac:dyDescent="0.35">
      <c r="A6642">
        <v>6641</v>
      </c>
      <c r="B6642" t="s">
        <v>13617</v>
      </c>
      <c r="C6642" t="s">
        <v>68</v>
      </c>
      <c r="D6642" t="s">
        <v>60</v>
      </c>
      <c r="E6642">
        <v>2165</v>
      </c>
      <c r="F6642">
        <v>2</v>
      </c>
      <c r="G6642">
        <v>2</v>
      </c>
      <c r="H6642">
        <v>1</v>
      </c>
      <c r="I6642">
        <v>0</v>
      </c>
      <c r="J6642">
        <v>1</v>
      </c>
      <c r="K6642">
        <v>1</v>
      </c>
      <c r="L6642">
        <v>1</v>
      </c>
      <c r="M6642">
        <v>1</v>
      </c>
      <c r="N6642">
        <v>1</v>
      </c>
      <c r="O6642">
        <v>1</v>
      </c>
      <c r="P6642" t="s">
        <v>13618</v>
      </c>
      <c r="Q6642" t="s">
        <v>13619</v>
      </c>
      <c r="R6642" t="s">
        <v>138</v>
      </c>
      <c r="S6642" t="s">
        <v>139</v>
      </c>
      <c r="V6642" t="s">
        <v>13620</v>
      </c>
      <c r="W6642" t="s">
        <v>13621</v>
      </c>
      <c r="AF6642" t="s">
        <v>13622</v>
      </c>
    </row>
    <row r="6643" spans="1:32" hidden="1" x14ac:dyDescent="0.35">
      <c r="A6643">
        <v>6642</v>
      </c>
      <c r="B6643" t="s">
        <v>13617</v>
      </c>
      <c r="C6643" t="s">
        <v>68</v>
      </c>
      <c r="D6643" t="s">
        <v>62</v>
      </c>
      <c r="E6643">
        <v>2199</v>
      </c>
      <c r="F6643">
        <v>2</v>
      </c>
      <c r="G6643">
        <v>2</v>
      </c>
      <c r="H6643">
        <v>1</v>
      </c>
      <c r="I6643">
        <v>0</v>
      </c>
      <c r="J6643">
        <v>1</v>
      </c>
      <c r="K6643">
        <v>1</v>
      </c>
      <c r="L6643">
        <v>1</v>
      </c>
      <c r="M6643">
        <v>1</v>
      </c>
      <c r="N6643">
        <v>1</v>
      </c>
      <c r="O6643">
        <v>1</v>
      </c>
      <c r="P6643" t="s">
        <v>13618</v>
      </c>
      <c r="Q6643" t="s">
        <v>13619</v>
      </c>
      <c r="R6643" t="s">
        <v>138</v>
      </c>
      <c r="S6643" t="s">
        <v>139</v>
      </c>
      <c r="V6643" t="s">
        <v>13620</v>
      </c>
      <c r="W6643" t="s">
        <v>13621</v>
      </c>
      <c r="AF6643" t="s">
        <v>13622</v>
      </c>
    </row>
    <row r="6644" spans="1:32" hidden="1" x14ac:dyDescent="0.35">
      <c r="A6644">
        <v>6643</v>
      </c>
      <c r="B6644" t="s">
        <v>13623</v>
      </c>
      <c r="C6644" t="s">
        <v>68</v>
      </c>
      <c r="D6644" t="s">
        <v>60</v>
      </c>
      <c r="E6644">
        <v>1492</v>
      </c>
      <c r="F6644">
        <v>2</v>
      </c>
      <c r="G6644">
        <v>2</v>
      </c>
      <c r="H6644">
        <v>1</v>
      </c>
      <c r="I6644">
        <v>0</v>
      </c>
      <c r="J6644">
        <v>1</v>
      </c>
      <c r="K6644">
        <v>1</v>
      </c>
      <c r="L6644">
        <v>1</v>
      </c>
      <c r="M6644">
        <v>1</v>
      </c>
      <c r="N6644">
        <v>1</v>
      </c>
      <c r="O6644">
        <v>1</v>
      </c>
      <c r="AF6644" t="s">
        <v>13624</v>
      </c>
    </row>
    <row r="6645" spans="1:32" hidden="1" x14ac:dyDescent="0.35">
      <c r="A6645">
        <v>6644</v>
      </c>
      <c r="B6645" t="s">
        <v>13623</v>
      </c>
      <c r="C6645" t="s">
        <v>68</v>
      </c>
      <c r="D6645" t="s">
        <v>62</v>
      </c>
      <c r="E6645">
        <v>1527</v>
      </c>
      <c r="F6645">
        <v>2</v>
      </c>
      <c r="G6645">
        <v>2</v>
      </c>
      <c r="H6645">
        <v>1</v>
      </c>
      <c r="I6645">
        <v>0</v>
      </c>
      <c r="J6645">
        <v>1</v>
      </c>
      <c r="K6645">
        <v>1</v>
      </c>
      <c r="L6645">
        <v>1</v>
      </c>
      <c r="M6645">
        <v>1</v>
      </c>
      <c r="N6645">
        <v>1</v>
      </c>
      <c r="O6645">
        <v>1</v>
      </c>
      <c r="AF6645" t="s">
        <v>13624</v>
      </c>
    </row>
    <row r="6646" spans="1:32" hidden="1" x14ac:dyDescent="0.35">
      <c r="A6646">
        <v>6645</v>
      </c>
      <c r="B6646" t="s">
        <v>13625</v>
      </c>
      <c r="C6646" t="s">
        <v>68</v>
      </c>
      <c r="D6646" t="s">
        <v>60</v>
      </c>
      <c r="E6646">
        <v>1748</v>
      </c>
      <c r="F6646">
        <v>2</v>
      </c>
      <c r="G6646">
        <v>2</v>
      </c>
      <c r="H6646">
        <v>1</v>
      </c>
      <c r="I6646">
        <v>0</v>
      </c>
      <c r="J6646">
        <v>1</v>
      </c>
      <c r="K6646">
        <v>1</v>
      </c>
      <c r="L6646">
        <v>1</v>
      </c>
      <c r="M6646">
        <v>1</v>
      </c>
      <c r="N6646">
        <v>1</v>
      </c>
      <c r="O6646">
        <v>1</v>
      </c>
      <c r="P6646" t="s">
        <v>13626</v>
      </c>
      <c r="Q6646" t="s">
        <v>13627</v>
      </c>
      <c r="R6646" t="s">
        <v>1474</v>
      </c>
      <c r="S6646" t="s">
        <v>1475</v>
      </c>
      <c r="T6646" t="s">
        <v>13628</v>
      </c>
      <c r="U6646" t="s">
        <v>13629</v>
      </c>
      <c r="V6646" t="s">
        <v>13630</v>
      </c>
      <c r="W6646" t="s">
        <v>13631</v>
      </c>
      <c r="AD6646" t="s">
        <v>13632</v>
      </c>
      <c r="AE6646" t="s">
        <v>13633</v>
      </c>
      <c r="AF6646" t="s">
        <v>13634</v>
      </c>
    </row>
    <row r="6647" spans="1:32" hidden="1" x14ac:dyDescent="0.35">
      <c r="A6647">
        <v>6646</v>
      </c>
      <c r="B6647" t="s">
        <v>13625</v>
      </c>
      <c r="C6647" t="s">
        <v>68</v>
      </c>
      <c r="D6647" t="s">
        <v>62</v>
      </c>
      <c r="E6647">
        <v>1784</v>
      </c>
      <c r="F6647">
        <v>2</v>
      </c>
      <c r="G6647">
        <v>2</v>
      </c>
      <c r="H6647">
        <v>1</v>
      </c>
      <c r="I6647">
        <v>0</v>
      </c>
      <c r="J6647">
        <v>1</v>
      </c>
      <c r="K6647">
        <v>1</v>
      </c>
      <c r="L6647">
        <v>1</v>
      </c>
      <c r="M6647">
        <v>1</v>
      </c>
      <c r="N6647">
        <v>1</v>
      </c>
      <c r="O6647">
        <v>1</v>
      </c>
      <c r="P6647" t="s">
        <v>13626</v>
      </c>
      <c r="Q6647" t="s">
        <v>13627</v>
      </c>
      <c r="R6647" t="s">
        <v>1474</v>
      </c>
      <c r="S6647" t="s">
        <v>1475</v>
      </c>
      <c r="T6647" t="s">
        <v>13628</v>
      </c>
      <c r="U6647" t="s">
        <v>13629</v>
      </c>
      <c r="V6647" t="s">
        <v>13630</v>
      </c>
      <c r="W6647" t="s">
        <v>13631</v>
      </c>
      <c r="AD6647" t="s">
        <v>13632</v>
      </c>
      <c r="AE6647" t="s">
        <v>13633</v>
      </c>
      <c r="AF6647" t="s">
        <v>13634</v>
      </c>
    </row>
    <row r="6648" spans="1:32" hidden="1" x14ac:dyDescent="0.35">
      <c r="A6648">
        <v>6647</v>
      </c>
      <c r="B6648" t="s">
        <v>13635</v>
      </c>
      <c r="C6648" t="s">
        <v>68</v>
      </c>
      <c r="D6648" t="s">
        <v>60</v>
      </c>
      <c r="E6648">
        <v>2004</v>
      </c>
      <c r="F6648">
        <v>2</v>
      </c>
      <c r="G6648">
        <v>2</v>
      </c>
      <c r="H6648">
        <v>1</v>
      </c>
      <c r="I6648">
        <v>0</v>
      </c>
      <c r="J6648">
        <v>1</v>
      </c>
      <c r="K6648">
        <v>1</v>
      </c>
      <c r="L6648">
        <v>1</v>
      </c>
      <c r="M6648">
        <v>1</v>
      </c>
      <c r="N6648">
        <v>1</v>
      </c>
      <c r="O6648">
        <v>1</v>
      </c>
      <c r="AF6648" t="s">
        <v>13636</v>
      </c>
    </row>
    <row r="6649" spans="1:32" hidden="1" x14ac:dyDescent="0.35">
      <c r="A6649">
        <v>6648</v>
      </c>
      <c r="B6649" t="s">
        <v>13635</v>
      </c>
      <c r="C6649" t="s">
        <v>68</v>
      </c>
      <c r="D6649" t="s">
        <v>62</v>
      </c>
      <c r="E6649">
        <v>2044</v>
      </c>
      <c r="F6649">
        <v>2</v>
      </c>
      <c r="G6649">
        <v>2</v>
      </c>
      <c r="H6649">
        <v>1</v>
      </c>
      <c r="I6649">
        <v>0</v>
      </c>
      <c r="J6649">
        <v>1</v>
      </c>
      <c r="K6649">
        <v>1</v>
      </c>
      <c r="L6649">
        <v>1</v>
      </c>
      <c r="M6649">
        <v>1</v>
      </c>
      <c r="N6649">
        <v>1</v>
      </c>
      <c r="O6649">
        <v>1</v>
      </c>
      <c r="AF6649" t="s">
        <v>13636</v>
      </c>
    </row>
    <row r="6650" spans="1:32" hidden="1" x14ac:dyDescent="0.35">
      <c r="A6650">
        <v>6649</v>
      </c>
      <c r="B6650" t="s">
        <v>13637</v>
      </c>
      <c r="C6650" t="s">
        <v>68</v>
      </c>
      <c r="D6650" t="s">
        <v>60</v>
      </c>
      <c r="E6650">
        <v>1737</v>
      </c>
      <c r="F6650">
        <v>2</v>
      </c>
      <c r="G6650">
        <v>2</v>
      </c>
      <c r="H6650">
        <v>1</v>
      </c>
      <c r="I6650">
        <v>0</v>
      </c>
      <c r="J6650">
        <v>1</v>
      </c>
      <c r="K6650">
        <v>1</v>
      </c>
      <c r="L6650">
        <v>1</v>
      </c>
      <c r="M6650">
        <v>1</v>
      </c>
      <c r="N6650">
        <v>1</v>
      </c>
      <c r="O6650">
        <v>1</v>
      </c>
      <c r="P6650" t="s">
        <v>13638</v>
      </c>
      <c r="Q6650" t="s">
        <v>13639</v>
      </c>
      <c r="R6650" t="s">
        <v>157</v>
      </c>
      <c r="S6650" t="s">
        <v>158</v>
      </c>
      <c r="V6650" t="s">
        <v>358</v>
      </c>
      <c r="W6650" t="s">
        <v>359</v>
      </c>
      <c r="AF6650" t="s">
        <v>13640</v>
      </c>
    </row>
    <row r="6651" spans="1:32" hidden="1" x14ac:dyDescent="0.35">
      <c r="A6651">
        <v>6650</v>
      </c>
      <c r="B6651" t="s">
        <v>13637</v>
      </c>
      <c r="C6651" t="s">
        <v>68</v>
      </c>
      <c r="D6651" t="s">
        <v>62</v>
      </c>
      <c r="E6651">
        <v>1774</v>
      </c>
      <c r="F6651">
        <v>2</v>
      </c>
      <c r="G6651">
        <v>2</v>
      </c>
      <c r="H6651">
        <v>1</v>
      </c>
      <c r="I6651">
        <v>0</v>
      </c>
      <c r="J6651">
        <v>1</v>
      </c>
      <c r="K6651">
        <v>1</v>
      </c>
      <c r="L6651">
        <v>1</v>
      </c>
      <c r="M6651">
        <v>1</v>
      </c>
      <c r="N6651">
        <v>1</v>
      </c>
      <c r="O6651">
        <v>1</v>
      </c>
      <c r="P6651" t="s">
        <v>13638</v>
      </c>
      <c r="Q6651" t="s">
        <v>13639</v>
      </c>
      <c r="R6651" t="s">
        <v>157</v>
      </c>
      <c r="S6651" t="s">
        <v>158</v>
      </c>
      <c r="V6651" t="s">
        <v>358</v>
      </c>
      <c r="W6651" t="s">
        <v>359</v>
      </c>
      <c r="AF6651" t="s">
        <v>13640</v>
      </c>
    </row>
    <row r="6652" spans="1:32" hidden="1" x14ac:dyDescent="0.35">
      <c r="A6652">
        <v>6651</v>
      </c>
      <c r="B6652" t="s">
        <v>13641</v>
      </c>
      <c r="C6652" t="s">
        <v>68</v>
      </c>
      <c r="D6652" t="s">
        <v>60</v>
      </c>
      <c r="E6652">
        <v>2320</v>
      </c>
      <c r="F6652">
        <v>2</v>
      </c>
      <c r="G6652">
        <v>2</v>
      </c>
      <c r="H6652">
        <v>1</v>
      </c>
      <c r="I6652">
        <v>0</v>
      </c>
      <c r="J6652">
        <v>1</v>
      </c>
      <c r="K6652">
        <v>1</v>
      </c>
      <c r="L6652">
        <v>1</v>
      </c>
      <c r="M6652">
        <v>1</v>
      </c>
      <c r="N6652">
        <v>1</v>
      </c>
      <c r="O6652">
        <v>1</v>
      </c>
      <c r="P6652" t="s">
        <v>4358</v>
      </c>
      <c r="Q6652" t="s">
        <v>4359</v>
      </c>
      <c r="R6652" t="s">
        <v>319</v>
      </c>
      <c r="S6652" t="s">
        <v>320</v>
      </c>
      <c r="T6652" t="s">
        <v>11374</v>
      </c>
      <c r="U6652" t="s">
        <v>9714</v>
      </c>
      <c r="V6652" t="s">
        <v>4360</v>
      </c>
      <c r="W6652" t="s">
        <v>4361</v>
      </c>
      <c r="AD6652" t="s">
        <v>166</v>
      </c>
      <c r="AE6652" t="s">
        <v>9717</v>
      </c>
      <c r="AF6652" t="s">
        <v>13642</v>
      </c>
    </row>
    <row r="6653" spans="1:32" hidden="1" x14ac:dyDescent="0.35">
      <c r="A6653">
        <v>6652</v>
      </c>
      <c r="B6653" t="s">
        <v>13641</v>
      </c>
      <c r="C6653" t="s">
        <v>68</v>
      </c>
      <c r="D6653" t="s">
        <v>62</v>
      </c>
      <c r="E6653">
        <v>2348</v>
      </c>
      <c r="F6653">
        <v>2</v>
      </c>
      <c r="G6653">
        <v>2</v>
      </c>
      <c r="H6653">
        <v>1</v>
      </c>
      <c r="I6653">
        <v>0</v>
      </c>
      <c r="J6653">
        <v>1</v>
      </c>
      <c r="K6653">
        <v>1</v>
      </c>
      <c r="L6653">
        <v>1</v>
      </c>
      <c r="M6653">
        <v>1</v>
      </c>
      <c r="N6653">
        <v>1</v>
      </c>
      <c r="O6653">
        <v>1</v>
      </c>
      <c r="P6653" t="s">
        <v>4358</v>
      </c>
      <c r="Q6653" t="s">
        <v>4359</v>
      </c>
      <c r="R6653" t="s">
        <v>319</v>
      </c>
      <c r="S6653" t="s">
        <v>320</v>
      </c>
      <c r="T6653" t="s">
        <v>11374</v>
      </c>
      <c r="U6653" t="s">
        <v>9714</v>
      </c>
      <c r="V6653" t="s">
        <v>4360</v>
      </c>
      <c r="W6653" t="s">
        <v>4361</v>
      </c>
      <c r="AD6653" t="s">
        <v>166</v>
      </c>
      <c r="AE6653" t="s">
        <v>9717</v>
      </c>
      <c r="AF6653" t="s">
        <v>13642</v>
      </c>
    </row>
    <row r="6654" spans="1:32" hidden="1" x14ac:dyDescent="0.35">
      <c r="A6654">
        <v>6653</v>
      </c>
      <c r="B6654" t="s">
        <v>13643</v>
      </c>
      <c r="C6654" t="s">
        <v>68</v>
      </c>
      <c r="D6654" t="s">
        <v>60</v>
      </c>
      <c r="E6654">
        <v>259</v>
      </c>
      <c r="F6654">
        <v>2</v>
      </c>
      <c r="G6654">
        <v>2</v>
      </c>
      <c r="H6654">
        <v>1</v>
      </c>
      <c r="I6654">
        <v>0</v>
      </c>
      <c r="J6654">
        <v>1</v>
      </c>
      <c r="K6654">
        <v>1</v>
      </c>
      <c r="L6654">
        <v>1</v>
      </c>
      <c r="M6654">
        <v>1</v>
      </c>
      <c r="N6654">
        <v>1</v>
      </c>
      <c r="O6654">
        <v>1</v>
      </c>
      <c r="P6654" t="s">
        <v>13644</v>
      </c>
      <c r="Q6654" t="s">
        <v>13645</v>
      </c>
      <c r="R6654" t="s">
        <v>8647</v>
      </c>
      <c r="S6654" t="s">
        <v>8648</v>
      </c>
      <c r="V6654" t="s">
        <v>9316</v>
      </c>
      <c r="W6654" t="s">
        <v>9317</v>
      </c>
      <c r="X6654" t="s">
        <v>9316</v>
      </c>
      <c r="Y6654" t="s">
        <v>875</v>
      </c>
      <c r="AF6654" t="s">
        <v>13646</v>
      </c>
    </row>
    <row r="6655" spans="1:32" hidden="1" x14ac:dyDescent="0.35">
      <c r="A6655">
        <v>6654</v>
      </c>
      <c r="B6655" t="s">
        <v>13643</v>
      </c>
      <c r="C6655" t="s">
        <v>68</v>
      </c>
      <c r="D6655" t="s">
        <v>62</v>
      </c>
      <c r="E6655">
        <v>337</v>
      </c>
      <c r="F6655">
        <v>2</v>
      </c>
      <c r="G6655">
        <v>2</v>
      </c>
      <c r="H6655">
        <v>1</v>
      </c>
      <c r="I6655">
        <v>0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v>1</v>
      </c>
      <c r="P6655" t="s">
        <v>13644</v>
      </c>
      <c r="Q6655" t="s">
        <v>13645</v>
      </c>
      <c r="R6655" t="s">
        <v>8647</v>
      </c>
      <c r="S6655" t="s">
        <v>8648</v>
      </c>
      <c r="V6655" t="s">
        <v>9316</v>
      </c>
      <c r="W6655" t="s">
        <v>9317</v>
      </c>
      <c r="X6655" t="s">
        <v>9316</v>
      </c>
      <c r="Y6655" t="s">
        <v>875</v>
      </c>
      <c r="AF6655" t="s">
        <v>13646</v>
      </c>
    </row>
    <row r="6656" spans="1:32" hidden="1" x14ac:dyDescent="0.35">
      <c r="A6656">
        <v>6655</v>
      </c>
      <c r="B6656" t="s">
        <v>13647</v>
      </c>
      <c r="C6656" t="s">
        <v>68</v>
      </c>
      <c r="D6656" t="s">
        <v>34</v>
      </c>
      <c r="E6656">
        <v>2448</v>
      </c>
      <c r="F6656">
        <v>2</v>
      </c>
      <c r="G6656">
        <v>2</v>
      </c>
      <c r="H6656">
        <v>1</v>
      </c>
      <c r="I6656">
        <v>0</v>
      </c>
      <c r="J6656">
        <v>1</v>
      </c>
      <c r="K6656">
        <v>1</v>
      </c>
      <c r="L6656">
        <v>1</v>
      </c>
      <c r="M6656">
        <v>1</v>
      </c>
      <c r="N6656">
        <v>1</v>
      </c>
      <c r="O6656">
        <v>1</v>
      </c>
      <c r="P6656" t="s">
        <v>13648</v>
      </c>
      <c r="Q6656" t="s">
        <v>13649</v>
      </c>
      <c r="AF6656" t="s">
        <v>13650</v>
      </c>
    </row>
    <row r="6657" spans="1:32" hidden="1" x14ac:dyDescent="0.35">
      <c r="A6657">
        <v>6656</v>
      </c>
      <c r="B6657" t="s">
        <v>13647</v>
      </c>
      <c r="C6657" t="s">
        <v>68</v>
      </c>
      <c r="D6657" t="s">
        <v>45</v>
      </c>
      <c r="E6657">
        <v>454</v>
      </c>
      <c r="F6657">
        <v>2</v>
      </c>
      <c r="G6657">
        <v>2</v>
      </c>
      <c r="H6657">
        <v>1</v>
      </c>
      <c r="I6657">
        <v>0</v>
      </c>
      <c r="J6657">
        <v>1</v>
      </c>
      <c r="K6657">
        <v>1</v>
      </c>
      <c r="L6657">
        <v>1</v>
      </c>
      <c r="M6657">
        <v>1</v>
      </c>
      <c r="N6657">
        <v>1</v>
      </c>
      <c r="O6657">
        <v>1</v>
      </c>
      <c r="P6657" t="s">
        <v>13648</v>
      </c>
      <c r="Q6657" t="s">
        <v>13649</v>
      </c>
      <c r="AF6657" t="s">
        <v>13650</v>
      </c>
    </row>
    <row r="6658" spans="1:32" hidden="1" x14ac:dyDescent="0.35">
      <c r="A6658">
        <v>6657</v>
      </c>
      <c r="B6658" t="s">
        <v>13651</v>
      </c>
      <c r="C6658" t="s">
        <v>68</v>
      </c>
      <c r="D6658" t="s">
        <v>60</v>
      </c>
      <c r="E6658">
        <v>310</v>
      </c>
      <c r="F6658">
        <v>2</v>
      </c>
      <c r="G6658">
        <v>2</v>
      </c>
      <c r="H6658">
        <v>1</v>
      </c>
      <c r="I6658">
        <v>0</v>
      </c>
      <c r="J6658">
        <v>1</v>
      </c>
      <c r="K6658">
        <v>1</v>
      </c>
      <c r="L6658">
        <v>1</v>
      </c>
      <c r="M6658">
        <v>1</v>
      </c>
      <c r="N6658">
        <v>1</v>
      </c>
      <c r="O6658">
        <v>1</v>
      </c>
      <c r="P6658" t="s">
        <v>13652</v>
      </c>
      <c r="Q6658" t="s">
        <v>13653</v>
      </c>
      <c r="R6658" t="s">
        <v>113</v>
      </c>
      <c r="S6658" t="s">
        <v>114</v>
      </c>
      <c r="V6658" t="s">
        <v>13654</v>
      </c>
      <c r="W6658" t="s">
        <v>13655</v>
      </c>
      <c r="AF6658" t="s">
        <v>13656</v>
      </c>
    </row>
    <row r="6659" spans="1:32" hidden="1" x14ac:dyDescent="0.35">
      <c r="A6659">
        <v>6658</v>
      </c>
      <c r="B6659" t="s">
        <v>13651</v>
      </c>
      <c r="C6659" t="s">
        <v>68</v>
      </c>
      <c r="D6659" t="s">
        <v>62</v>
      </c>
      <c r="E6659">
        <v>390</v>
      </c>
      <c r="F6659">
        <v>2</v>
      </c>
      <c r="G6659">
        <v>2</v>
      </c>
      <c r="H6659">
        <v>1</v>
      </c>
      <c r="I6659">
        <v>0</v>
      </c>
      <c r="J6659">
        <v>1</v>
      </c>
      <c r="K6659">
        <v>1</v>
      </c>
      <c r="L6659">
        <v>1</v>
      </c>
      <c r="M6659">
        <v>1</v>
      </c>
      <c r="N6659">
        <v>1</v>
      </c>
      <c r="O6659">
        <v>1</v>
      </c>
      <c r="P6659" t="s">
        <v>13652</v>
      </c>
      <c r="Q6659" t="s">
        <v>13653</v>
      </c>
      <c r="R6659" t="s">
        <v>113</v>
      </c>
      <c r="S6659" t="s">
        <v>114</v>
      </c>
      <c r="V6659" t="s">
        <v>13654</v>
      </c>
      <c r="W6659" t="s">
        <v>13655</v>
      </c>
      <c r="AF6659" t="s">
        <v>13656</v>
      </c>
    </row>
    <row r="6660" spans="1:32" hidden="1" x14ac:dyDescent="0.35">
      <c r="A6660">
        <v>6659</v>
      </c>
      <c r="B6660" t="s">
        <v>13657</v>
      </c>
      <c r="C6660" t="s">
        <v>68</v>
      </c>
      <c r="D6660" t="s">
        <v>60</v>
      </c>
      <c r="E6660">
        <v>1580</v>
      </c>
      <c r="F6660">
        <v>2</v>
      </c>
      <c r="G6660">
        <v>2</v>
      </c>
      <c r="H6660">
        <v>1</v>
      </c>
      <c r="I6660">
        <v>0</v>
      </c>
      <c r="J6660">
        <v>1</v>
      </c>
      <c r="K6660">
        <v>1</v>
      </c>
      <c r="L6660">
        <v>1</v>
      </c>
      <c r="M6660">
        <v>1</v>
      </c>
      <c r="N6660">
        <v>1</v>
      </c>
      <c r="O6660">
        <v>1</v>
      </c>
      <c r="P6660" t="s">
        <v>13658</v>
      </c>
      <c r="Q6660" t="s">
        <v>13659</v>
      </c>
      <c r="R6660" t="s">
        <v>157</v>
      </c>
      <c r="S6660" t="s">
        <v>158</v>
      </c>
      <c r="V6660" t="s">
        <v>13531</v>
      </c>
      <c r="W6660" t="s">
        <v>13532</v>
      </c>
      <c r="AF6660" t="s">
        <v>13660</v>
      </c>
    </row>
    <row r="6661" spans="1:32" hidden="1" x14ac:dyDescent="0.35">
      <c r="A6661">
        <v>6660</v>
      </c>
      <c r="B6661" t="s">
        <v>13657</v>
      </c>
      <c r="C6661" t="s">
        <v>68</v>
      </c>
      <c r="D6661" t="s">
        <v>62</v>
      </c>
      <c r="E6661">
        <v>1616</v>
      </c>
      <c r="F6661">
        <v>2</v>
      </c>
      <c r="G6661">
        <v>2</v>
      </c>
      <c r="H6661">
        <v>1</v>
      </c>
      <c r="I6661">
        <v>0</v>
      </c>
      <c r="J6661">
        <v>1</v>
      </c>
      <c r="K6661">
        <v>1</v>
      </c>
      <c r="L6661">
        <v>1</v>
      </c>
      <c r="M6661">
        <v>1</v>
      </c>
      <c r="N6661">
        <v>1</v>
      </c>
      <c r="O6661">
        <v>1</v>
      </c>
      <c r="P6661" t="s">
        <v>13658</v>
      </c>
      <c r="Q6661" t="s">
        <v>13659</v>
      </c>
      <c r="R6661" t="s">
        <v>157</v>
      </c>
      <c r="S6661" t="s">
        <v>158</v>
      </c>
      <c r="V6661" t="s">
        <v>13531</v>
      </c>
      <c r="W6661" t="s">
        <v>13532</v>
      </c>
      <c r="AF6661" t="s">
        <v>13660</v>
      </c>
    </row>
    <row r="6662" spans="1:32" hidden="1" x14ac:dyDescent="0.35">
      <c r="A6662">
        <v>6661</v>
      </c>
      <c r="B6662" t="s">
        <v>13661</v>
      </c>
      <c r="C6662" t="s">
        <v>68</v>
      </c>
      <c r="D6662" t="s">
        <v>60</v>
      </c>
      <c r="E6662">
        <v>811</v>
      </c>
      <c r="F6662">
        <v>2</v>
      </c>
      <c r="G6662">
        <v>2</v>
      </c>
      <c r="H6662">
        <v>1</v>
      </c>
      <c r="I6662">
        <v>0</v>
      </c>
      <c r="J6662">
        <v>1</v>
      </c>
      <c r="K6662">
        <v>1</v>
      </c>
      <c r="L6662">
        <v>1</v>
      </c>
      <c r="M6662">
        <v>1</v>
      </c>
      <c r="N6662">
        <v>1</v>
      </c>
      <c r="O6662">
        <v>1</v>
      </c>
      <c r="AF6662" t="s">
        <v>13662</v>
      </c>
    </row>
    <row r="6663" spans="1:32" hidden="1" x14ac:dyDescent="0.35">
      <c r="A6663">
        <v>6662</v>
      </c>
      <c r="B6663" t="s">
        <v>13661</v>
      </c>
      <c r="C6663" t="s">
        <v>68</v>
      </c>
      <c r="D6663" t="s">
        <v>62</v>
      </c>
      <c r="E6663">
        <v>844</v>
      </c>
      <c r="F6663">
        <v>2</v>
      </c>
      <c r="G6663">
        <v>2</v>
      </c>
      <c r="H6663">
        <v>1</v>
      </c>
      <c r="I6663">
        <v>0</v>
      </c>
      <c r="J6663">
        <v>1</v>
      </c>
      <c r="K6663">
        <v>1</v>
      </c>
      <c r="L6663">
        <v>1</v>
      </c>
      <c r="M6663">
        <v>1</v>
      </c>
      <c r="N6663">
        <v>1</v>
      </c>
      <c r="O6663">
        <v>1</v>
      </c>
      <c r="AF6663" t="s">
        <v>13662</v>
      </c>
    </row>
    <row r="6664" spans="1:32" hidden="1" x14ac:dyDescent="0.35">
      <c r="A6664">
        <v>6663</v>
      </c>
      <c r="B6664" t="s">
        <v>13663</v>
      </c>
      <c r="C6664" t="s">
        <v>68</v>
      </c>
      <c r="D6664" t="s">
        <v>60</v>
      </c>
      <c r="E6664">
        <v>395</v>
      </c>
      <c r="F6664">
        <v>2</v>
      </c>
      <c r="G6664">
        <v>2</v>
      </c>
      <c r="H6664">
        <v>1</v>
      </c>
      <c r="I6664">
        <v>0</v>
      </c>
      <c r="J6664">
        <v>1</v>
      </c>
      <c r="K6664">
        <v>1</v>
      </c>
      <c r="L6664">
        <v>1</v>
      </c>
      <c r="M6664">
        <v>1</v>
      </c>
      <c r="N6664">
        <v>1</v>
      </c>
      <c r="O6664">
        <v>1</v>
      </c>
      <c r="P6664" t="s">
        <v>1486</v>
      </c>
      <c r="Q6664" t="s">
        <v>1487</v>
      </c>
      <c r="R6664" t="s">
        <v>113</v>
      </c>
      <c r="S6664" t="s">
        <v>114</v>
      </c>
      <c r="V6664" t="s">
        <v>1490</v>
      </c>
      <c r="W6664" t="s">
        <v>1491</v>
      </c>
      <c r="AF6664" t="s">
        <v>13664</v>
      </c>
    </row>
    <row r="6665" spans="1:32" hidden="1" x14ac:dyDescent="0.35">
      <c r="A6665">
        <v>6664</v>
      </c>
      <c r="B6665" t="s">
        <v>13663</v>
      </c>
      <c r="C6665" t="s">
        <v>68</v>
      </c>
      <c r="D6665" t="s">
        <v>62</v>
      </c>
      <c r="E6665">
        <v>476</v>
      </c>
      <c r="F6665">
        <v>2</v>
      </c>
      <c r="G6665">
        <v>2</v>
      </c>
      <c r="H6665">
        <v>1</v>
      </c>
      <c r="I6665">
        <v>0</v>
      </c>
      <c r="J6665">
        <v>1</v>
      </c>
      <c r="K6665">
        <v>1</v>
      </c>
      <c r="L6665">
        <v>1</v>
      </c>
      <c r="M6665">
        <v>1</v>
      </c>
      <c r="N6665">
        <v>1</v>
      </c>
      <c r="O6665">
        <v>1</v>
      </c>
      <c r="P6665" t="s">
        <v>1486</v>
      </c>
      <c r="Q6665" t="s">
        <v>1487</v>
      </c>
      <c r="R6665" t="s">
        <v>113</v>
      </c>
      <c r="S6665" t="s">
        <v>114</v>
      </c>
      <c r="V6665" t="s">
        <v>1490</v>
      </c>
      <c r="W6665" t="s">
        <v>1491</v>
      </c>
      <c r="AF6665" t="s">
        <v>13664</v>
      </c>
    </row>
    <row r="6666" spans="1:32" hidden="1" x14ac:dyDescent="0.35">
      <c r="A6666">
        <v>6665</v>
      </c>
      <c r="B6666" t="s">
        <v>13665</v>
      </c>
      <c r="C6666" t="s">
        <v>68</v>
      </c>
      <c r="D6666" t="s">
        <v>60</v>
      </c>
      <c r="E6666">
        <v>1974</v>
      </c>
      <c r="F6666">
        <v>2</v>
      </c>
      <c r="G6666">
        <v>2</v>
      </c>
      <c r="H6666">
        <v>1</v>
      </c>
      <c r="I6666">
        <v>0</v>
      </c>
      <c r="J6666">
        <v>1</v>
      </c>
      <c r="K6666">
        <v>1</v>
      </c>
      <c r="L6666">
        <v>1</v>
      </c>
      <c r="M6666">
        <v>1</v>
      </c>
      <c r="N6666">
        <v>1</v>
      </c>
      <c r="O6666">
        <v>1</v>
      </c>
      <c r="AF6666" t="s">
        <v>13666</v>
      </c>
    </row>
    <row r="6667" spans="1:32" hidden="1" x14ac:dyDescent="0.35">
      <c r="A6667">
        <v>6666</v>
      </c>
      <c r="B6667" t="s">
        <v>13665</v>
      </c>
      <c r="C6667" t="s">
        <v>68</v>
      </c>
      <c r="D6667" t="s">
        <v>62</v>
      </c>
      <c r="E6667">
        <v>2015</v>
      </c>
      <c r="F6667">
        <v>2</v>
      </c>
      <c r="G6667">
        <v>2</v>
      </c>
      <c r="H6667">
        <v>1</v>
      </c>
      <c r="I6667">
        <v>0</v>
      </c>
      <c r="J6667">
        <v>1</v>
      </c>
      <c r="K6667">
        <v>1</v>
      </c>
      <c r="L6667">
        <v>1</v>
      </c>
      <c r="M6667">
        <v>1</v>
      </c>
      <c r="N6667">
        <v>1</v>
      </c>
      <c r="O6667">
        <v>1</v>
      </c>
      <c r="AF6667" t="s">
        <v>13666</v>
      </c>
    </row>
    <row r="6668" spans="1:32" hidden="1" x14ac:dyDescent="0.35">
      <c r="A6668">
        <v>6667</v>
      </c>
      <c r="B6668" t="s">
        <v>13667</v>
      </c>
      <c r="C6668" t="s">
        <v>68</v>
      </c>
      <c r="D6668" t="s">
        <v>34</v>
      </c>
      <c r="E6668">
        <v>1907</v>
      </c>
      <c r="F6668">
        <v>2</v>
      </c>
      <c r="G6668">
        <v>2</v>
      </c>
      <c r="H6668">
        <v>1</v>
      </c>
      <c r="I6668">
        <v>0</v>
      </c>
      <c r="J6668">
        <v>1</v>
      </c>
      <c r="K6668">
        <v>1</v>
      </c>
      <c r="L6668">
        <v>1</v>
      </c>
      <c r="M6668">
        <v>1</v>
      </c>
      <c r="N6668">
        <v>1</v>
      </c>
      <c r="O6668">
        <v>1</v>
      </c>
      <c r="P6668" t="s">
        <v>304</v>
      </c>
      <c r="Q6668" t="s">
        <v>305</v>
      </c>
      <c r="R6668" t="s">
        <v>306</v>
      </c>
      <c r="S6668" t="s">
        <v>307</v>
      </c>
      <c r="V6668" t="s">
        <v>310</v>
      </c>
      <c r="W6668" t="s">
        <v>311</v>
      </c>
      <c r="AF6668" t="s">
        <v>13668</v>
      </c>
    </row>
    <row r="6669" spans="1:32" hidden="1" x14ac:dyDescent="0.35">
      <c r="A6669">
        <v>6668</v>
      </c>
      <c r="B6669" t="s">
        <v>13667</v>
      </c>
      <c r="C6669" t="s">
        <v>68</v>
      </c>
      <c r="D6669" t="s">
        <v>45</v>
      </c>
      <c r="E6669">
        <v>967</v>
      </c>
      <c r="F6669">
        <v>2</v>
      </c>
      <c r="G6669">
        <v>2</v>
      </c>
      <c r="H6669">
        <v>1</v>
      </c>
      <c r="I6669">
        <v>0</v>
      </c>
      <c r="J6669">
        <v>1</v>
      </c>
      <c r="K6669">
        <v>1</v>
      </c>
      <c r="L6669">
        <v>1</v>
      </c>
      <c r="M6669">
        <v>1</v>
      </c>
      <c r="N6669">
        <v>1</v>
      </c>
      <c r="O6669">
        <v>1</v>
      </c>
      <c r="P6669" t="s">
        <v>304</v>
      </c>
      <c r="Q6669" t="s">
        <v>305</v>
      </c>
      <c r="R6669" t="s">
        <v>306</v>
      </c>
      <c r="S6669" t="s">
        <v>307</v>
      </c>
      <c r="V6669" t="s">
        <v>310</v>
      </c>
      <c r="W6669" t="s">
        <v>311</v>
      </c>
      <c r="AF6669" t="s">
        <v>13668</v>
      </c>
    </row>
    <row r="6670" spans="1:32" hidden="1" x14ac:dyDescent="0.35">
      <c r="A6670">
        <v>6669</v>
      </c>
      <c r="B6670" t="s">
        <v>13669</v>
      </c>
      <c r="C6670" t="s">
        <v>68</v>
      </c>
      <c r="D6670" t="s">
        <v>60</v>
      </c>
      <c r="E6670">
        <v>2362</v>
      </c>
      <c r="F6670">
        <v>2</v>
      </c>
      <c r="G6670">
        <v>2</v>
      </c>
      <c r="H6670">
        <v>1</v>
      </c>
      <c r="I6670">
        <v>0</v>
      </c>
      <c r="J6670">
        <v>1</v>
      </c>
      <c r="K6670">
        <v>1</v>
      </c>
      <c r="L6670">
        <v>1</v>
      </c>
      <c r="M6670">
        <v>1</v>
      </c>
      <c r="N6670">
        <v>1</v>
      </c>
      <c r="O6670">
        <v>1</v>
      </c>
      <c r="AF6670" t="s">
        <v>13670</v>
      </c>
    </row>
    <row r="6671" spans="1:32" hidden="1" x14ac:dyDescent="0.35">
      <c r="A6671">
        <v>6670</v>
      </c>
      <c r="B6671" t="s">
        <v>13669</v>
      </c>
      <c r="C6671" t="s">
        <v>68</v>
      </c>
      <c r="D6671" t="s">
        <v>62</v>
      </c>
      <c r="E6671">
        <v>2390</v>
      </c>
      <c r="F6671">
        <v>2</v>
      </c>
      <c r="G6671">
        <v>2</v>
      </c>
      <c r="H6671">
        <v>1</v>
      </c>
      <c r="I6671">
        <v>0</v>
      </c>
      <c r="J6671">
        <v>1</v>
      </c>
      <c r="K6671">
        <v>1</v>
      </c>
      <c r="L6671">
        <v>1</v>
      </c>
      <c r="M6671">
        <v>1</v>
      </c>
      <c r="N6671">
        <v>1</v>
      </c>
      <c r="O6671">
        <v>1</v>
      </c>
      <c r="AF6671" t="s">
        <v>13670</v>
      </c>
    </row>
    <row r="6672" spans="1:32" hidden="1" x14ac:dyDescent="0.35">
      <c r="A6672">
        <v>6671</v>
      </c>
      <c r="B6672" t="s">
        <v>13671</v>
      </c>
      <c r="C6672" t="s">
        <v>68</v>
      </c>
      <c r="D6672" t="s">
        <v>60</v>
      </c>
      <c r="E6672">
        <v>892</v>
      </c>
      <c r="F6672">
        <v>2</v>
      </c>
      <c r="G6672">
        <v>2</v>
      </c>
      <c r="H6672">
        <v>1</v>
      </c>
      <c r="I6672">
        <v>0</v>
      </c>
      <c r="J6672">
        <v>1</v>
      </c>
      <c r="K6672">
        <v>1</v>
      </c>
      <c r="L6672">
        <v>1</v>
      </c>
      <c r="M6672">
        <v>1</v>
      </c>
      <c r="N6672">
        <v>1</v>
      </c>
      <c r="O6672">
        <v>1</v>
      </c>
      <c r="AF6672" t="s">
        <v>13672</v>
      </c>
    </row>
    <row r="6673" spans="1:32" hidden="1" x14ac:dyDescent="0.35">
      <c r="A6673">
        <v>6672</v>
      </c>
      <c r="B6673" t="s">
        <v>13671</v>
      </c>
      <c r="C6673" t="s">
        <v>68</v>
      </c>
      <c r="D6673" t="s">
        <v>62</v>
      </c>
      <c r="E6673">
        <v>926</v>
      </c>
      <c r="F6673">
        <v>2</v>
      </c>
      <c r="G6673">
        <v>2</v>
      </c>
      <c r="H6673">
        <v>1</v>
      </c>
      <c r="I6673">
        <v>0</v>
      </c>
      <c r="J6673">
        <v>1</v>
      </c>
      <c r="K6673">
        <v>1</v>
      </c>
      <c r="L6673">
        <v>1</v>
      </c>
      <c r="M6673">
        <v>1</v>
      </c>
      <c r="N6673">
        <v>1</v>
      </c>
      <c r="O6673">
        <v>1</v>
      </c>
      <c r="AF6673" t="s">
        <v>13672</v>
      </c>
    </row>
    <row r="6674" spans="1:32" hidden="1" x14ac:dyDescent="0.35">
      <c r="A6674">
        <v>6673</v>
      </c>
      <c r="B6674" t="s">
        <v>13673</v>
      </c>
      <c r="C6674" t="s">
        <v>68</v>
      </c>
      <c r="D6674" t="s">
        <v>34</v>
      </c>
      <c r="E6674">
        <v>2260</v>
      </c>
      <c r="F6674">
        <v>2</v>
      </c>
      <c r="G6674">
        <v>2</v>
      </c>
      <c r="H6674">
        <v>1</v>
      </c>
      <c r="I6674">
        <v>0</v>
      </c>
      <c r="J6674">
        <v>1</v>
      </c>
      <c r="K6674">
        <v>1</v>
      </c>
      <c r="L6674">
        <v>1</v>
      </c>
      <c r="M6674">
        <v>1</v>
      </c>
      <c r="N6674">
        <v>1</v>
      </c>
      <c r="O6674">
        <v>1</v>
      </c>
      <c r="AF6674" t="s">
        <v>13674</v>
      </c>
    </row>
    <row r="6675" spans="1:32" hidden="1" x14ac:dyDescent="0.35">
      <c r="A6675">
        <v>6674</v>
      </c>
      <c r="B6675" t="s">
        <v>13673</v>
      </c>
      <c r="C6675" t="s">
        <v>68</v>
      </c>
      <c r="D6675" t="s">
        <v>45</v>
      </c>
      <c r="E6675">
        <v>617</v>
      </c>
      <c r="F6675">
        <v>2</v>
      </c>
      <c r="G6675">
        <v>2</v>
      </c>
      <c r="H6675">
        <v>1</v>
      </c>
      <c r="I6675">
        <v>0</v>
      </c>
      <c r="J6675">
        <v>1</v>
      </c>
      <c r="K6675">
        <v>1</v>
      </c>
      <c r="L6675">
        <v>1</v>
      </c>
      <c r="M6675">
        <v>1</v>
      </c>
      <c r="N6675">
        <v>1</v>
      </c>
      <c r="O6675">
        <v>1</v>
      </c>
      <c r="AF6675" t="s">
        <v>13674</v>
      </c>
    </row>
    <row r="6676" spans="1:32" hidden="1" x14ac:dyDescent="0.35">
      <c r="A6676">
        <v>6675</v>
      </c>
      <c r="B6676" t="s">
        <v>13675</v>
      </c>
      <c r="C6676" t="s">
        <v>68</v>
      </c>
      <c r="D6676" t="s">
        <v>34</v>
      </c>
      <c r="E6676">
        <v>559</v>
      </c>
      <c r="F6676">
        <v>2</v>
      </c>
      <c r="G6676">
        <v>2</v>
      </c>
      <c r="H6676">
        <v>1</v>
      </c>
      <c r="I6676">
        <v>0</v>
      </c>
      <c r="J6676">
        <v>1</v>
      </c>
      <c r="K6676">
        <v>1</v>
      </c>
      <c r="L6676">
        <v>1</v>
      </c>
      <c r="M6676">
        <v>1</v>
      </c>
      <c r="N6676">
        <v>1</v>
      </c>
      <c r="O6676">
        <v>1</v>
      </c>
      <c r="P6676" t="s">
        <v>11964</v>
      </c>
      <c r="Q6676" t="s">
        <v>11965</v>
      </c>
      <c r="AF6676" t="s">
        <v>13676</v>
      </c>
    </row>
    <row r="6677" spans="1:32" hidden="1" x14ac:dyDescent="0.35">
      <c r="A6677">
        <v>6676</v>
      </c>
      <c r="B6677" t="s">
        <v>13675</v>
      </c>
      <c r="C6677" t="s">
        <v>68</v>
      </c>
      <c r="D6677" t="s">
        <v>45</v>
      </c>
      <c r="E6677">
        <v>1825</v>
      </c>
      <c r="F6677">
        <v>2</v>
      </c>
      <c r="G6677">
        <v>2</v>
      </c>
      <c r="H6677">
        <v>1</v>
      </c>
      <c r="I6677">
        <v>0</v>
      </c>
      <c r="J6677">
        <v>1</v>
      </c>
      <c r="K6677">
        <v>1</v>
      </c>
      <c r="L6677">
        <v>1</v>
      </c>
      <c r="M6677">
        <v>1</v>
      </c>
      <c r="N6677">
        <v>1</v>
      </c>
      <c r="O6677">
        <v>1</v>
      </c>
      <c r="P6677" t="s">
        <v>11964</v>
      </c>
      <c r="Q6677" t="s">
        <v>11965</v>
      </c>
      <c r="AF6677" t="s">
        <v>13676</v>
      </c>
    </row>
    <row r="6678" spans="1:32" hidden="1" x14ac:dyDescent="0.35">
      <c r="A6678">
        <v>6677</v>
      </c>
      <c r="B6678" t="s">
        <v>13677</v>
      </c>
      <c r="C6678" t="s">
        <v>68</v>
      </c>
      <c r="D6678" t="s">
        <v>60</v>
      </c>
      <c r="E6678">
        <v>2398</v>
      </c>
      <c r="F6678">
        <v>2</v>
      </c>
      <c r="G6678">
        <v>2</v>
      </c>
      <c r="H6678">
        <v>1</v>
      </c>
      <c r="I6678">
        <v>0</v>
      </c>
      <c r="J6678">
        <v>1</v>
      </c>
      <c r="K6678">
        <v>1</v>
      </c>
      <c r="L6678">
        <v>1</v>
      </c>
      <c r="M6678">
        <v>1</v>
      </c>
      <c r="N6678">
        <v>1</v>
      </c>
      <c r="O6678">
        <v>1</v>
      </c>
      <c r="P6678" t="s">
        <v>13678</v>
      </c>
      <c r="Q6678" t="s">
        <v>13679</v>
      </c>
      <c r="R6678" t="s">
        <v>113</v>
      </c>
      <c r="S6678" t="s">
        <v>114</v>
      </c>
      <c r="V6678" t="s">
        <v>13680</v>
      </c>
      <c r="W6678" t="s">
        <v>13681</v>
      </c>
      <c r="AF6678" t="s">
        <v>13682</v>
      </c>
    </row>
    <row r="6679" spans="1:32" hidden="1" x14ac:dyDescent="0.35">
      <c r="A6679">
        <v>6678</v>
      </c>
      <c r="B6679" t="s">
        <v>13677</v>
      </c>
      <c r="C6679" t="s">
        <v>68</v>
      </c>
      <c r="D6679" t="s">
        <v>62</v>
      </c>
      <c r="E6679">
        <v>2425</v>
      </c>
      <c r="F6679">
        <v>2</v>
      </c>
      <c r="G6679">
        <v>2</v>
      </c>
      <c r="H6679">
        <v>1</v>
      </c>
      <c r="I6679">
        <v>0</v>
      </c>
      <c r="J6679">
        <v>1</v>
      </c>
      <c r="K6679">
        <v>1</v>
      </c>
      <c r="L6679">
        <v>1</v>
      </c>
      <c r="M6679">
        <v>1</v>
      </c>
      <c r="N6679">
        <v>1</v>
      </c>
      <c r="O6679">
        <v>1</v>
      </c>
      <c r="P6679" t="s">
        <v>13678</v>
      </c>
      <c r="Q6679" t="s">
        <v>13679</v>
      </c>
      <c r="R6679" t="s">
        <v>113</v>
      </c>
      <c r="S6679" t="s">
        <v>114</v>
      </c>
      <c r="V6679" t="s">
        <v>13680</v>
      </c>
      <c r="W6679" t="s">
        <v>13681</v>
      </c>
      <c r="AF6679" t="s">
        <v>13682</v>
      </c>
    </row>
    <row r="6680" spans="1:32" hidden="1" x14ac:dyDescent="0.35">
      <c r="A6680">
        <v>6679</v>
      </c>
      <c r="B6680" t="s">
        <v>13683</v>
      </c>
      <c r="C6680" t="s">
        <v>68</v>
      </c>
      <c r="D6680" t="s">
        <v>60</v>
      </c>
      <c r="E6680">
        <v>223</v>
      </c>
      <c r="F6680">
        <v>2</v>
      </c>
      <c r="G6680">
        <v>2</v>
      </c>
      <c r="H6680">
        <v>1</v>
      </c>
      <c r="I6680">
        <v>0</v>
      </c>
      <c r="J6680">
        <v>1</v>
      </c>
      <c r="K6680">
        <v>1</v>
      </c>
      <c r="L6680">
        <v>1</v>
      </c>
      <c r="M6680">
        <v>1</v>
      </c>
      <c r="N6680">
        <v>1</v>
      </c>
      <c r="O6680">
        <v>1</v>
      </c>
      <c r="P6680" t="s">
        <v>13684</v>
      </c>
      <c r="Q6680" t="s">
        <v>13685</v>
      </c>
      <c r="AF6680" t="s">
        <v>13686</v>
      </c>
    </row>
    <row r="6681" spans="1:32" hidden="1" x14ac:dyDescent="0.35">
      <c r="A6681">
        <v>6680</v>
      </c>
      <c r="B6681" t="s">
        <v>13683</v>
      </c>
      <c r="C6681" t="s">
        <v>68</v>
      </c>
      <c r="D6681" t="s">
        <v>62</v>
      </c>
      <c r="E6681">
        <v>300</v>
      </c>
      <c r="F6681">
        <v>2</v>
      </c>
      <c r="G6681">
        <v>2</v>
      </c>
      <c r="H6681">
        <v>1</v>
      </c>
      <c r="I6681">
        <v>0</v>
      </c>
      <c r="J6681">
        <v>1</v>
      </c>
      <c r="K6681">
        <v>1</v>
      </c>
      <c r="L6681">
        <v>1</v>
      </c>
      <c r="M6681">
        <v>1</v>
      </c>
      <c r="N6681">
        <v>1</v>
      </c>
      <c r="O6681">
        <v>1</v>
      </c>
      <c r="P6681" t="s">
        <v>13684</v>
      </c>
      <c r="Q6681" t="s">
        <v>13685</v>
      </c>
      <c r="AF6681" t="s">
        <v>13686</v>
      </c>
    </row>
    <row r="6682" spans="1:32" hidden="1" x14ac:dyDescent="0.35">
      <c r="A6682">
        <v>6681</v>
      </c>
      <c r="B6682" t="s">
        <v>13687</v>
      </c>
      <c r="C6682" t="s">
        <v>68</v>
      </c>
      <c r="D6682" t="s">
        <v>60</v>
      </c>
      <c r="E6682">
        <v>612</v>
      </c>
      <c r="F6682">
        <v>2</v>
      </c>
      <c r="G6682">
        <v>2</v>
      </c>
      <c r="H6682">
        <v>1</v>
      </c>
      <c r="I6682">
        <v>0</v>
      </c>
      <c r="J6682">
        <v>1</v>
      </c>
      <c r="K6682">
        <v>1</v>
      </c>
      <c r="L6682">
        <v>1</v>
      </c>
      <c r="M6682">
        <v>1</v>
      </c>
      <c r="N6682">
        <v>1</v>
      </c>
      <c r="O6682">
        <v>1</v>
      </c>
      <c r="AF6682" t="s">
        <v>13688</v>
      </c>
    </row>
    <row r="6683" spans="1:32" hidden="1" x14ac:dyDescent="0.35">
      <c r="A6683">
        <v>6682</v>
      </c>
      <c r="B6683" t="s">
        <v>13687</v>
      </c>
      <c r="C6683" t="s">
        <v>68</v>
      </c>
      <c r="D6683" t="s">
        <v>62</v>
      </c>
      <c r="E6683">
        <v>696</v>
      </c>
      <c r="F6683">
        <v>2</v>
      </c>
      <c r="G6683">
        <v>2</v>
      </c>
      <c r="H6683">
        <v>1</v>
      </c>
      <c r="I6683">
        <v>0</v>
      </c>
      <c r="J6683">
        <v>1</v>
      </c>
      <c r="K6683">
        <v>1</v>
      </c>
      <c r="L6683">
        <v>1</v>
      </c>
      <c r="M6683">
        <v>1</v>
      </c>
      <c r="N6683">
        <v>1</v>
      </c>
      <c r="O6683">
        <v>1</v>
      </c>
      <c r="AF6683" t="s">
        <v>13688</v>
      </c>
    </row>
    <row r="6684" spans="1:32" s="1" customFormat="1" hidden="1" x14ac:dyDescent="0.35">
      <c r="A6684" s="1">
        <v>6683</v>
      </c>
      <c r="B6684" s="1" t="s">
        <v>13689</v>
      </c>
      <c r="C6684" s="1" t="s">
        <v>68</v>
      </c>
      <c r="D6684" s="1" t="s">
        <v>60</v>
      </c>
      <c r="E6684" s="1">
        <v>1086</v>
      </c>
      <c r="F6684" s="1">
        <v>2</v>
      </c>
      <c r="G6684" s="1">
        <v>2</v>
      </c>
      <c r="H6684" s="1">
        <v>1</v>
      </c>
      <c r="I6684" s="1">
        <v>0</v>
      </c>
      <c r="J6684" s="1">
        <v>1</v>
      </c>
      <c r="K6684" s="1">
        <v>1</v>
      </c>
      <c r="L6684" s="1">
        <v>1</v>
      </c>
      <c r="M6684" s="1">
        <v>1</v>
      </c>
      <c r="N6684" s="1">
        <v>1</v>
      </c>
      <c r="O6684" s="1">
        <v>1</v>
      </c>
      <c r="P6684" s="1" t="s">
        <v>13690</v>
      </c>
      <c r="Q6684" s="1" t="s">
        <v>8704</v>
      </c>
      <c r="R6684" s="1" t="s">
        <v>342</v>
      </c>
      <c r="S6684" s="1" t="s">
        <v>343</v>
      </c>
      <c r="T6684" s="1" t="s">
        <v>13691</v>
      </c>
      <c r="U6684" s="1" t="s">
        <v>13692</v>
      </c>
      <c r="V6684" s="1" t="s">
        <v>13693</v>
      </c>
      <c r="W6684" s="1" t="s">
        <v>13694</v>
      </c>
      <c r="X6684" s="1" t="s">
        <v>13693</v>
      </c>
      <c r="Y6684" s="1" t="s">
        <v>2116</v>
      </c>
      <c r="AD6684" s="1" t="s">
        <v>439</v>
      </c>
      <c r="AE6684" s="1" t="s">
        <v>13695</v>
      </c>
      <c r="AF6684" s="1" t="s">
        <v>13696</v>
      </c>
    </row>
    <row r="6685" spans="1:32" s="1" customFormat="1" hidden="1" x14ac:dyDescent="0.35">
      <c r="A6685" s="1">
        <v>6684</v>
      </c>
      <c r="B6685" s="1" t="s">
        <v>13689</v>
      </c>
      <c r="C6685" s="1" t="s">
        <v>68</v>
      </c>
      <c r="D6685" s="1" t="s">
        <v>62</v>
      </c>
      <c r="E6685" s="1">
        <v>1122</v>
      </c>
      <c r="F6685" s="1">
        <v>2</v>
      </c>
      <c r="G6685" s="1">
        <v>2</v>
      </c>
      <c r="H6685" s="1">
        <v>1</v>
      </c>
      <c r="I6685" s="1">
        <v>0</v>
      </c>
      <c r="J6685" s="1">
        <v>1</v>
      </c>
      <c r="K6685" s="1">
        <v>1</v>
      </c>
      <c r="L6685" s="1">
        <v>1</v>
      </c>
      <c r="M6685" s="1">
        <v>1</v>
      </c>
      <c r="N6685" s="1">
        <v>1</v>
      </c>
      <c r="O6685" s="1">
        <v>1</v>
      </c>
      <c r="P6685" s="1" t="s">
        <v>13690</v>
      </c>
      <c r="Q6685" s="1" t="s">
        <v>8704</v>
      </c>
      <c r="R6685" s="1" t="s">
        <v>342</v>
      </c>
      <c r="S6685" s="1" t="s">
        <v>343</v>
      </c>
      <c r="T6685" s="1" t="s">
        <v>13691</v>
      </c>
      <c r="U6685" s="1" t="s">
        <v>13692</v>
      </c>
      <c r="V6685" s="1" t="s">
        <v>13693</v>
      </c>
      <c r="W6685" s="1" t="s">
        <v>13694</v>
      </c>
      <c r="X6685" s="1" t="s">
        <v>13693</v>
      </c>
      <c r="Y6685" s="1" t="s">
        <v>2116</v>
      </c>
      <c r="AD6685" s="1" t="s">
        <v>439</v>
      </c>
      <c r="AE6685" s="1" t="s">
        <v>13695</v>
      </c>
      <c r="AF6685" s="1" t="s">
        <v>13696</v>
      </c>
    </row>
    <row r="6686" spans="1:32" hidden="1" x14ac:dyDescent="0.35">
      <c r="A6686">
        <v>6685</v>
      </c>
      <c r="B6686" t="s">
        <v>13697</v>
      </c>
      <c r="C6686" t="s">
        <v>68</v>
      </c>
      <c r="D6686" t="s">
        <v>34</v>
      </c>
      <c r="E6686">
        <v>226</v>
      </c>
      <c r="F6686">
        <v>2</v>
      </c>
      <c r="G6686">
        <v>2</v>
      </c>
      <c r="H6686">
        <v>1</v>
      </c>
      <c r="I6686">
        <v>0</v>
      </c>
      <c r="J6686">
        <v>1</v>
      </c>
      <c r="K6686">
        <v>1</v>
      </c>
      <c r="L6686">
        <v>1</v>
      </c>
      <c r="M6686">
        <v>1</v>
      </c>
      <c r="N6686">
        <v>1</v>
      </c>
      <c r="O6686">
        <v>1</v>
      </c>
      <c r="AF6686" t="s">
        <v>13698</v>
      </c>
    </row>
    <row r="6687" spans="1:32" hidden="1" x14ac:dyDescent="0.35">
      <c r="A6687">
        <v>6686</v>
      </c>
      <c r="B6687" t="s">
        <v>13697</v>
      </c>
      <c r="C6687" t="s">
        <v>68</v>
      </c>
      <c r="D6687" t="s">
        <v>45</v>
      </c>
      <c r="E6687">
        <v>1489</v>
      </c>
      <c r="F6687">
        <v>2</v>
      </c>
      <c r="G6687">
        <v>2</v>
      </c>
      <c r="H6687">
        <v>1</v>
      </c>
      <c r="I6687">
        <v>0</v>
      </c>
      <c r="J6687">
        <v>1</v>
      </c>
      <c r="K6687">
        <v>1</v>
      </c>
      <c r="L6687">
        <v>1</v>
      </c>
      <c r="M6687">
        <v>1</v>
      </c>
      <c r="N6687">
        <v>1</v>
      </c>
      <c r="O6687">
        <v>1</v>
      </c>
      <c r="AF6687" t="s">
        <v>13698</v>
      </c>
    </row>
    <row r="6688" spans="1:32" hidden="1" x14ac:dyDescent="0.35">
      <c r="A6688">
        <v>6687</v>
      </c>
      <c r="B6688" t="s">
        <v>13699</v>
      </c>
      <c r="C6688" t="s">
        <v>68</v>
      </c>
      <c r="D6688" t="s">
        <v>34</v>
      </c>
      <c r="E6688">
        <v>393</v>
      </c>
      <c r="F6688">
        <v>2</v>
      </c>
      <c r="G6688">
        <v>2</v>
      </c>
      <c r="H6688">
        <v>1</v>
      </c>
      <c r="I6688">
        <v>0</v>
      </c>
      <c r="J6688">
        <v>1</v>
      </c>
      <c r="K6688">
        <v>1</v>
      </c>
      <c r="L6688">
        <v>1</v>
      </c>
      <c r="M6688">
        <v>1</v>
      </c>
      <c r="N6688">
        <v>1</v>
      </c>
      <c r="O6688">
        <v>1</v>
      </c>
      <c r="P6688" t="s">
        <v>11564</v>
      </c>
      <c r="Q6688" t="s">
        <v>11565</v>
      </c>
      <c r="R6688" t="s">
        <v>288</v>
      </c>
      <c r="S6688" t="s">
        <v>289</v>
      </c>
      <c r="V6688" t="s">
        <v>11566</v>
      </c>
      <c r="W6688" t="s">
        <v>11567</v>
      </c>
      <c r="AF6688" t="s">
        <v>13700</v>
      </c>
    </row>
    <row r="6689" spans="1:32" hidden="1" x14ac:dyDescent="0.35">
      <c r="A6689">
        <v>6688</v>
      </c>
      <c r="B6689" t="s">
        <v>13699</v>
      </c>
      <c r="C6689" t="s">
        <v>68</v>
      </c>
      <c r="D6689" t="s">
        <v>45</v>
      </c>
      <c r="E6689">
        <v>1654</v>
      </c>
      <c r="F6689">
        <v>2</v>
      </c>
      <c r="G6689">
        <v>2</v>
      </c>
      <c r="H6689">
        <v>1</v>
      </c>
      <c r="I6689">
        <v>0</v>
      </c>
      <c r="J6689">
        <v>1</v>
      </c>
      <c r="K6689">
        <v>1</v>
      </c>
      <c r="L6689">
        <v>1</v>
      </c>
      <c r="M6689">
        <v>1</v>
      </c>
      <c r="N6689">
        <v>1</v>
      </c>
      <c r="O6689">
        <v>1</v>
      </c>
      <c r="P6689" t="s">
        <v>11564</v>
      </c>
      <c r="Q6689" t="s">
        <v>11565</v>
      </c>
      <c r="R6689" t="s">
        <v>288</v>
      </c>
      <c r="S6689" t="s">
        <v>289</v>
      </c>
      <c r="V6689" t="s">
        <v>11566</v>
      </c>
      <c r="W6689" t="s">
        <v>11567</v>
      </c>
      <c r="AF6689" t="s">
        <v>13700</v>
      </c>
    </row>
    <row r="6690" spans="1:32" hidden="1" x14ac:dyDescent="0.35">
      <c r="A6690">
        <v>6689</v>
      </c>
      <c r="B6690" t="s">
        <v>13701</v>
      </c>
      <c r="C6690" t="s">
        <v>68</v>
      </c>
      <c r="D6690" t="s">
        <v>34</v>
      </c>
      <c r="E6690">
        <v>2073</v>
      </c>
      <c r="F6690">
        <v>2</v>
      </c>
      <c r="G6690">
        <v>2</v>
      </c>
      <c r="H6690">
        <v>1</v>
      </c>
      <c r="I6690">
        <v>0</v>
      </c>
      <c r="J6690">
        <v>1</v>
      </c>
      <c r="K6690">
        <v>1</v>
      </c>
      <c r="L6690">
        <v>1</v>
      </c>
      <c r="M6690">
        <v>1</v>
      </c>
      <c r="N6690">
        <v>1</v>
      </c>
      <c r="O6690">
        <v>1</v>
      </c>
      <c r="AF6690" t="s">
        <v>13702</v>
      </c>
    </row>
    <row r="6691" spans="1:32" hidden="1" x14ac:dyDescent="0.35">
      <c r="A6691">
        <v>6690</v>
      </c>
      <c r="B6691" t="s">
        <v>13701</v>
      </c>
      <c r="C6691" t="s">
        <v>68</v>
      </c>
      <c r="D6691" t="s">
        <v>45</v>
      </c>
      <c r="E6691">
        <v>799</v>
      </c>
      <c r="F6691">
        <v>2</v>
      </c>
      <c r="G6691">
        <v>2</v>
      </c>
      <c r="H6691">
        <v>1</v>
      </c>
      <c r="I6691">
        <v>0</v>
      </c>
      <c r="J6691">
        <v>1</v>
      </c>
      <c r="K6691">
        <v>1</v>
      </c>
      <c r="L6691">
        <v>1</v>
      </c>
      <c r="M6691">
        <v>1</v>
      </c>
      <c r="N6691">
        <v>1</v>
      </c>
      <c r="O6691">
        <v>1</v>
      </c>
      <c r="AF6691" t="s">
        <v>13702</v>
      </c>
    </row>
    <row r="6692" spans="1:32" hidden="1" x14ac:dyDescent="0.35">
      <c r="A6692">
        <v>6691</v>
      </c>
      <c r="B6692" t="s">
        <v>13703</v>
      </c>
      <c r="C6692" t="s">
        <v>68</v>
      </c>
      <c r="D6692" t="s">
        <v>60</v>
      </c>
      <c r="E6692">
        <v>1590</v>
      </c>
      <c r="F6692">
        <v>2</v>
      </c>
      <c r="G6692">
        <v>2</v>
      </c>
      <c r="H6692">
        <v>1</v>
      </c>
      <c r="I6692">
        <v>0</v>
      </c>
      <c r="J6692">
        <v>1</v>
      </c>
      <c r="K6692">
        <v>1</v>
      </c>
      <c r="L6692">
        <v>1</v>
      </c>
      <c r="M6692">
        <v>1</v>
      </c>
      <c r="N6692">
        <v>1</v>
      </c>
      <c r="O6692">
        <v>1</v>
      </c>
      <c r="P6692" t="s">
        <v>12615</v>
      </c>
      <c r="Q6692" t="s">
        <v>12616</v>
      </c>
      <c r="R6692" t="s">
        <v>96</v>
      </c>
      <c r="S6692" t="s">
        <v>97</v>
      </c>
      <c r="T6692" t="s">
        <v>12608</v>
      </c>
      <c r="U6692" t="s">
        <v>12609</v>
      </c>
      <c r="V6692" t="s">
        <v>12610</v>
      </c>
      <c r="W6692" t="s">
        <v>12611</v>
      </c>
      <c r="AD6692" t="s">
        <v>12612</v>
      </c>
      <c r="AE6692" t="s">
        <v>12613</v>
      </c>
      <c r="AF6692" t="s">
        <v>13704</v>
      </c>
    </row>
    <row r="6693" spans="1:32" hidden="1" x14ac:dyDescent="0.35">
      <c r="A6693">
        <v>6692</v>
      </c>
      <c r="B6693" t="s">
        <v>13703</v>
      </c>
      <c r="C6693" t="s">
        <v>68</v>
      </c>
      <c r="D6693" t="s">
        <v>62</v>
      </c>
      <c r="E6693">
        <v>1626</v>
      </c>
      <c r="F6693">
        <v>2</v>
      </c>
      <c r="G6693">
        <v>2</v>
      </c>
      <c r="H6693">
        <v>1</v>
      </c>
      <c r="I6693">
        <v>0</v>
      </c>
      <c r="J6693">
        <v>1</v>
      </c>
      <c r="K6693">
        <v>1</v>
      </c>
      <c r="L6693">
        <v>1</v>
      </c>
      <c r="M6693">
        <v>1</v>
      </c>
      <c r="N6693">
        <v>1</v>
      </c>
      <c r="O6693">
        <v>1</v>
      </c>
      <c r="P6693" t="s">
        <v>12615</v>
      </c>
      <c r="Q6693" t="s">
        <v>12616</v>
      </c>
      <c r="R6693" t="s">
        <v>96</v>
      </c>
      <c r="S6693" t="s">
        <v>97</v>
      </c>
      <c r="T6693" t="s">
        <v>12608</v>
      </c>
      <c r="U6693" t="s">
        <v>12609</v>
      </c>
      <c r="V6693" t="s">
        <v>12610</v>
      </c>
      <c r="W6693" t="s">
        <v>12611</v>
      </c>
      <c r="AD6693" t="s">
        <v>12612</v>
      </c>
      <c r="AE6693" t="s">
        <v>12613</v>
      </c>
      <c r="AF6693" t="s">
        <v>13704</v>
      </c>
    </row>
    <row r="6694" spans="1:32" hidden="1" x14ac:dyDescent="0.35">
      <c r="A6694">
        <v>6693</v>
      </c>
      <c r="B6694" t="s">
        <v>13705</v>
      </c>
      <c r="C6694" t="s">
        <v>68</v>
      </c>
      <c r="D6694" t="s">
        <v>60</v>
      </c>
      <c r="E6694">
        <v>2081</v>
      </c>
      <c r="F6694">
        <v>2</v>
      </c>
      <c r="G6694">
        <v>2</v>
      </c>
      <c r="H6694">
        <v>1</v>
      </c>
      <c r="I6694">
        <v>0</v>
      </c>
      <c r="J6694">
        <v>1</v>
      </c>
      <c r="K6694">
        <v>1</v>
      </c>
      <c r="L6694">
        <v>1</v>
      </c>
      <c r="M6694">
        <v>1</v>
      </c>
      <c r="N6694">
        <v>1</v>
      </c>
      <c r="O6694">
        <v>1</v>
      </c>
      <c r="AF6694" t="s">
        <v>13706</v>
      </c>
    </row>
    <row r="6695" spans="1:32" hidden="1" x14ac:dyDescent="0.35">
      <c r="A6695">
        <v>6694</v>
      </c>
      <c r="B6695" t="s">
        <v>13705</v>
      </c>
      <c r="C6695" t="s">
        <v>68</v>
      </c>
      <c r="D6695" t="s">
        <v>62</v>
      </c>
      <c r="E6695">
        <v>2116</v>
      </c>
      <c r="F6695">
        <v>2</v>
      </c>
      <c r="G6695">
        <v>2</v>
      </c>
      <c r="H6695">
        <v>1</v>
      </c>
      <c r="I6695">
        <v>0</v>
      </c>
      <c r="J6695">
        <v>1</v>
      </c>
      <c r="K6695">
        <v>1</v>
      </c>
      <c r="L6695">
        <v>1</v>
      </c>
      <c r="M6695">
        <v>1</v>
      </c>
      <c r="N6695">
        <v>1</v>
      </c>
      <c r="O6695">
        <v>1</v>
      </c>
      <c r="AF6695" t="s">
        <v>13706</v>
      </c>
    </row>
    <row r="6696" spans="1:32" hidden="1" x14ac:dyDescent="0.35">
      <c r="A6696">
        <v>6695</v>
      </c>
      <c r="B6696" t="s">
        <v>13707</v>
      </c>
      <c r="C6696" t="s">
        <v>68</v>
      </c>
      <c r="D6696" t="s">
        <v>34</v>
      </c>
      <c r="E6696">
        <v>2102</v>
      </c>
      <c r="F6696">
        <v>2</v>
      </c>
      <c r="G6696">
        <v>2</v>
      </c>
      <c r="H6696">
        <v>1</v>
      </c>
      <c r="I6696">
        <v>0</v>
      </c>
      <c r="J6696">
        <v>1</v>
      </c>
      <c r="K6696">
        <v>1</v>
      </c>
      <c r="L6696">
        <v>1</v>
      </c>
      <c r="M6696">
        <v>1</v>
      </c>
      <c r="N6696">
        <v>1</v>
      </c>
      <c r="O6696">
        <v>1</v>
      </c>
      <c r="AF6696" t="s">
        <v>13708</v>
      </c>
    </row>
    <row r="6697" spans="1:32" hidden="1" x14ac:dyDescent="0.35">
      <c r="A6697">
        <v>6696</v>
      </c>
      <c r="B6697" t="s">
        <v>13707</v>
      </c>
      <c r="C6697" t="s">
        <v>68</v>
      </c>
      <c r="D6697" t="s">
        <v>45</v>
      </c>
      <c r="E6697">
        <v>770</v>
      </c>
      <c r="F6697">
        <v>2</v>
      </c>
      <c r="G6697">
        <v>2</v>
      </c>
      <c r="H6697">
        <v>1</v>
      </c>
      <c r="I6697">
        <v>0</v>
      </c>
      <c r="J6697">
        <v>1</v>
      </c>
      <c r="K6697">
        <v>1</v>
      </c>
      <c r="L6697">
        <v>1</v>
      </c>
      <c r="M6697">
        <v>1</v>
      </c>
      <c r="N6697">
        <v>1</v>
      </c>
      <c r="O6697">
        <v>1</v>
      </c>
      <c r="AF6697" t="s">
        <v>13708</v>
      </c>
    </row>
    <row r="6698" spans="1:32" hidden="1" x14ac:dyDescent="0.35">
      <c r="A6698">
        <v>6697</v>
      </c>
      <c r="B6698" t="s">
        <v>13709</v>
      </c>
      <c r="C6698" t="s">
        <v>68</v>
      </c>
      <c r="D6698" t="s">
        <v>34</v>
      </c>
      <c r="E6698">
        <v>240</v>
      </c>
      <c r="F6698">
        <v>2</v>
      </c>
      <c r="G6698">
        <v>2</v>
      </c>
      <c r="H6698">
        <v>1</v>
      </c>
      <c r="I6698">
        <v>0</v>
      </c>
      <c r="J6698">
        <v>1</v>
      </c>
      <c r="K6698">
        <v>1</v>
      </c>
      <c r="L6698">
        <v>1</v>
      </c>
      <c r="M6698">
        <v>1</v>
      </c>
      <c r="N6698">
        <v>1</v>
      </c>
      <c r="O6698">
        <v>1</v>
      </c>
      <c r="AF6698" t="s">
        <v>13710</v>
      </c>
    </row>
    <row r="6699" spans="1:32" hidden="1" x14ac:dyDescent="0.35">
      <c r="A6699">
        <v>6698</v>
      </c>
      <c r="B6699" t="s">
        <v>13709</v>
      </c>
      <c r="C6699" t="s">
        <v>68</v>
      </c>
      <c r="D6699" t="s">
        <v>45</v>
      </c>
      <c r="E6699">
        <v>1503</v>
      </c>
      <c r="F6699">
        <v>2</v>
      </c>
      <c r="G6699">
        <v>2</v>
      </c>
      <c r="H6699">
        <v>1</v>
      </c>
      <c r="I6699">
        <v>0</v>
      </c>
      <c r="J6699">
        <v>1</v>
      </c>
      <c r="K6699">
        <v>1</v>
      </c>
      <c r="L6699">
        <v>1</v>
      </c>
      <c r="M6699">
        <v>1</v>
      </c>
      <c r="N6699">
        <v>1</v>
      </c>
      <c r="O6699">
        <v>1</v>
      </c>
      <c r="AF6699" t="s">
        <v>13710</v>
      </c>
    </row>
    <row r="6700" spans="1:32" hidden="1" x14ac:dyDescent="0.35">
      <c r="A6700">
        <v>6699</v>
      </c>
      <c r="B6700" t="s">
        <v>13711</v>
      </c>
      <c r="C6700" t="s">
        <v>68</v>
      </c>
      <c r="D6700" t="s">
        <v>34</v>
      </c>
      <c r="E6700">
        <v>1435</v>
      </c>
      <c r="F6700">
        <v>2</v>
      </c>
      <c r="G6700">
        <v>2</v>
      </c>
      <c r="H6700">
        <v>1</v>
      </c>
      <c r="I6700">
        <v>0</v>
      </c>
      <c r="J6700">
        <v>1</v>
      </c>
      <c r="K6700">
        <v>1</v>
      </c>
      <c r="L6700">
        <v>1</v>
      </c>
      <c r="M6700">
        <v>1</v>
      </c>
      <c r="N6700">
        <v>1</v>
      </c>
      <c r="O6700">
        <v>1</v>
      </c>
      <c r="AF6700" t="s">
        <v>13712</v>
      </c>
    </row>
    <row r="6701" spans="1:32" hidden="1" x14ac:dyDescent="0.35">
      <c r="A6701">
        <v>6700</v>
      </c>
      <c r="B6701" t="s">
        <v>13711</v>
      </c>
      <c r="C6701" t="s">
        <v>68</v>
      </c>
      <c r="D6701" t="s">
        <v>45</v>
      </c>
      <c r="E6701">
        <v>186</v>
      </c>
      <c r="F6701">
        <v>2</v>
      </c>
      <c r="G6701">
        <v>2</v>
      </c>
      <c r="H6701">
        <v>1</v>
      </c>
      <c r="I6701">
        <v>0</v>
      </c>
      <c r="J6701">
        <v>1</v>
      </c>
      <c r="K6701">
        <v>1</v>
      </c>
      <c r="L6701">
        <v>1</v>
      </c>
      <c r="M6701">
        <v>1</v>
      </c>
      <c r="N6701">
        <v>1</v>
      </c>
      <c r="O6701">
        <v>1</v>
      </c>
      <c r="AF6701" t="s">
        <v>13712</v>
      </c>
    </row>
    <row r="6702" spans="1:32" hidden="1" x14ac:dyDescent="0.35">
      <c r="A6702">
        <v>6701</v>
      </c>
      <c r="B6702" t="s">
        <v>13713</v>
      </c>
      <c r="C6702" t="s">
        <v>68</v>
      </c>
      <c r="D6702" t="s">
        <v>34</v>
      </c>
      <c r="E6702">
        <v>888</v>
      </c>
      <c r="F6702">
        <v>2</v>
      </c>
      <c r="G6702">
        <v>2</v>
      </c>
      <c r="H6702">
        <v>1</v>
      </c>
      <c r="I6702">
        <v>0</v>
      </c>
      <c r="J6702">
        <v>1</v>
      </c>
      <c r="K6702">
        <v>1</v>
      </c>
      <c r="L6702">
        <v>1</v>
      </c>
      <c r="M6702">
        <v>1</v>
      </c>
      <c r="N6702">
        <v>1</v>
      </c>
      <c r="O6702">
        <v>1</v>
      </c>
      <c r="P6702" t="s">
        <v>13714</v>
      </c>
      <c r="Q6702" t="s">
        <v>13715</v>
      </c>
      <c r="AF6702" t="s">
        <v>13716</v>
      </c>
    </row>
    <row r="6703" spans="1:32" hidden="1" x14ac:dyDescent="0.35">
      <c r="A6703">
        <v>6702</v>
      </c>
      <c r="B6703" t="s">
        <v>13713</v>
      </c>
      <c r="C6703" t="s">
        <v>68</v>
      </c>
      <c r="D6703" t="s">
        <v>45</v>
      </c>
      <c r="E6703">
        <v>2145</v>
      </c>
      <c r="F6703">
        <v>2</v>
      </c>
      <c r="G6703">
        <v>2</v>
      </c>
      <c r="H6703">
        <v>1</v>
      </c>
      <c r="I6703">
        <v>0</v>
      </c>
      <c r="J6703">
        <v>1</v>
      </c>
      <c r="K6703">
        <v>1</v>
      </c>
      <c r="L6703">
        <v>1</v>
      </c>
      <c r="M6703">
        <v>1</v>
      </c>
      <c r="N6703">
        <v>1</v>
      </c>
      <c r="O6703">
        <v>1</v>
      </c>
      <c r="P6703" t="s">
        <v>13714</v>
      </c>
      <c r="Q6703" t="s">
        <v>13715</v>
      </c>
      <c r="AF6703" t="s">
        <v>13716</v>
      </c>
    </row>
    <row r="6704" spans="1:32" hidden="1" x14ac:dyDescent="0.35">
      <c r="A6704">
        <v>6703</v>
      </c>
      <c r="B6704" t="s">
        <v>13717</v>
      </c>
      <c r="C6704" t="s">
        <v>68</v>
      </c>
      <c r="D6704" t="s">
        <v>60</v>
      </c>
      <c r="E6704">
        <v>2037</v>
      </c>
      <c r="F6704">
        <v>2</v>
      </c>
      <c r="G6704">
        <v>2</v>
      </c>
      <c r="H6704">
        <v>1</v>
      </c>
      <c r="I6704">
        <v>0</v>
      </c>
      <c r="J6704">
        <v>1</v>
      </c>
      <c r="K6704">
        <v>1</v>
      </c>
      <c r="L6704">
        <v>1</v>
      </c>
      <c r="M6704">
        <v>1</v>
      </c>
      <c r="N6704">
        <v>1</v>
      </c>
      <c r="O6704">
        <v>1</v>
      </c>
      <c r="AF6704" t="s">
        <v>13718</v>
      </c>
    </row>
    <row r="6705" spans="1:32" hidden="1" x14ac:dyDescent="0.35">
      <c r="A6705">
        <v>6704</v>
      </c>
      <c r="B6705" t="s">
        <v>13717</v>
      </c>
      <c r="C6705" t="s">
        <v>68</v>
      </c>
      <c r="D6705" t="s">
        <v>62</v>
      </c>
      <c r="E6705">
        <v>2076</v>
      </c>
      <c r="F6705">
        <v>2</v>
      </c>
      <c r="G6705">
        <v>2</v>
      </c>
      <c r="H6705">
        <v>1</v>
      </c>
      <c r="I6705">
        <v>0</v>
      </c>
      <c r="J6705">
        <v>1</v>
      </c>
      <c r="K6705">
        <v>1</v>
      </c>
      <c r="L6705">
        <v>1</v>
      </c>
      <c r="M6705">
        <v>1</v>
      </c>
      <c r="N6705">
        <v>1</v>
      </c>
      <c r="O6705">
        <v>1</v>
      </c>
      <c r="AF6705" t="s">
        <v>13718</v>
      </c>
    </row>
    <row r="6706" spans="1:32" hidden="1" x14ac:dyDescent="0.35">
      <c r="A6706">
        <v>6705</v>
      </c>
      <c r="B6706" t="s">
        <v>13719</v>
      </c>
      <c r="C6706" t="s">
        <v>68</v>
      </c>
      <c r="D6706" t="s">
        <v>34</v>
      </c>
      <c r="E6706">
        <v>1620</v>
      </c>
      <c r="F6706">
        <v>2</v>
      </c>
      <c r="G6706">
        <v>2</v>
      </c>
      <c r="H6706">
        <v>1</v>
      </c>
      <c r="I6706">
        <v>0</v>
      </c>
      <c r="J6706">
        <v>1</v>
      </c>
      <c r="K6706">
        <v>1</v>
      </c>
      <c r="L6706">
        <v>1</v>
      </c>
      <c r="M6706">
        <v>1</v>
      </c>
      <c r="N6706">
        <v>1</v>
      </c>
      <c r="O6706">
        <v>1</v>
      </c>
      <c r="AF6706" t="s">
        <v>13720</v>
      </c>
    </row>
    <row r="6707" spans="1:32" hidden="1" x14ac:dyDescent="0.35">
      <c r="A6707">
        <v>6706</v>
      </c>
      <c r="B6707" t="s">
        <v>13719</v>
      </c>
      <c r="C6707" t="s">
        <v>68</v>
      </c>
      <c r="D6707" t="s">
        <v>45</v>
      </c>
      <c r="E6707">
        <v>370</v>
      </c>
      <c r="F6707">
        <v>2</v>
      </c>
      <c r="G6707">
        <v>2</v>
      </c>
      <c r="H6707">
        <v>1</v>
      </c>
      <c r="I6707">
        <v>0</v>
      </c>
      <c r="J6707">
        <v>1</v>
      </c>
      <c r="K6707">
        <v>1</v>
      </c>
      <c r="L6707">
        <v>1</v>
      </c>
      <c r="M6707">
        <v>1</v>
      </c>
      <c r="N6707">
        <v>1</v>
      </c>
      <c r="O6707">
        <v>1</v>
      </c>
      <c r="AF6707" t="s">
        <v>13720</v>
      </c>
    </row>
    <row r="6708" spans="1:32" hidden="1" x14ac:dyDescent="0.35">
      <c r="A6708">
        <v>6707</v>
      </c>
      <c r="B6708" t="s">
        <v>13721</v>
      </c>
      <c r="C6708" t="s">
        <v>68</v>
      </c>
      <c r="D6708" t="s">
        <v>60</v>
      </c>
      <c r="E6708">
        <v>2226</v>
      </c>
      <c r="F6708">
        <v>2</v>
      </c>
      <c r="G6708">
        <v>2</v>
      </c>
      <c r="H6708">
        <v>1</v>
      </c>
      <c r="I6708">
        <v>0</v>
      </c>
      <c r="J6708">
        <v>1</v>
      </c>
      <c r="K6708">
        <v>1</v>
      </c>
      <c r="L6708">
        <v>1</v>
      </c>
      <c r="M6708">
        <v>1</v>
      </c>
      <c r="N6708">
        <v>1</v>
      </c>
      <c r="O6708">
        <v>1</v>
      </c>
      <c r="P6708" t="s">
        <v>13160</v>
      </c>
      <c r="Q6708" t="s">
        <v>13161</v>
      </c>
      <c r="R6708" t="s">
        <v>96</v>
      </c>
      <c r="S6708" t="s">
        <v>97</v>
      </c>
      <c r="T6708" t="s">
        <v>13722</v>
      </c>
      <c r="U6708" t="s">
        <v>13723</v>
      </c>
      <c r="V6708" t="s">
        <v>13724</v>
      </c>
      <c r="W6708" t="s">
        <v>13725</v>
      </c>
      <c r="AD6708" t="s">
        <v>546</v>
      </c>
      <c r="AE6708" t="s">
        <v>13726</v>
      </c>
      <c r="AF6708" t="s">
        <v>13727</v>
      </c>
    </row>
    <row r="6709" spans="1:32" hidden="1" x14ac:dyDescent="0.35">
      <c r="A6709">
        <v>6708</v>
      </c>
      <c r="B6709" t="s">
        <v>13721</v>
      </c>
      <c r="C6709" t="s">
        <v>68</v>
      </c>
      <c r="D6709" t="s">
        <v>62</v>
      </c>
      <c r="E6709">
        <v>2256</v>
      </c>
      <c r="F6709">
        <v>2</v>
      </c>
      <c r="G6709">
        <v>2</v>
      </c>
      <c r="H6709">
        <v>1</v>
      </c>
      <c r="I6709">
        <v>0</v>
      </c>
      <c r="J6709">
        <v>1</v>
      </c>
      <c r="K6709">
        <v>1</v>
      </c>
      <c r="L6709">
        <v>1</v>
      </c>
      <c r="M6709">
        <v>1</v>
      </c>
      <c r="N6709">
        <v>1</v>
      </c>
      <c r="O6709">
        <v>1</v>
      </c>
      <c r="P6709" t="s">
        <v>13160</v>
      </c>
      <c r="Q6709" t="s">
        <v>13161</v>
      </c>
      <c r="R6709" t="s">
        <v>96</v>
      </c>
      <c r="S6709" t="s">
        <v>97</v>
      </c>
      <c r="T6709" t="s">
        <v>13722</v>
      </c>
      <c r="U6709" t="s">
        <v>13723</v>
      </c>
      <c r="V6709" t="s">
        <v>13724</v>
      </c>
      <c r="W6709" t="s">
        <v>13725</v>
      </c>
      <c r="AD6709" t="s">
        <v>546</v>
      </c>
      <c r="AE6709" t="s">
        <v>13726</v>
      </c>
      <c r="AF6709" t="s">
        <v>13727</v>
      </c>
    </row>
    <row r="6710" spans="1:32" hidden="1" x14ac:dyDescent="0.35">
      <c r="A6710">
        <v>6709</v>
      </c>
      <c r="B6710" t="s">
        <v>13728</v>
      </c>
      <c r="C6710" t="s">
        <v>68</v>
      </c>
      <c r="D6710" t="s">
        <v>60</v>
      </c>
      <c r="E6710">
        <v>2083</v>
      </c>
      <c r="F6710">
        <v>2</v>
      </c>
      <c r="G6710">
        <v>2</v>
      </c>
      <c r="H6710">
        <v>1</v>
      </c>
      <c r="I6710">
        <v>0</v>
      </c>
      <c r="J6710">
        <v>1</v>
      </c>
      <c r="K6710">
        <v>1</v>
      </c>
      <c r="L6710">
        <v>1</v>
      </c>
      <c r="M6710">
        <v>1</v>
      </c>
      <c r="N6710">
        <v>1</v>
      </c>
      <c r="O6710">
        <v>1</v>
      </c>
      <c r="P6710" t="s">
        <v>13729</v>
      </c>
      <c r="Q6710" t="s">
        <v>13730</v>
      </c>
      <c r="R6710" t="s">
        <v>113</v>
      </c>
      <c r="S6710" t="s">
        <v>114</v>
      </c>
      <c r="T6710" t="s">
        <v>13731</v>
      </c>
      <c r="U6710" t="s">
        <v>10727</v>
      </c>
      <c r="V6710" t="s">
        <v>13732</v>
      </c>
      <c r="W6710" t="s">
        <v>13733</v>
      </c>
      <c r="AD6710" t="s">
        <v>312</v>
      </c>
      <c r="AE6710" t="s">
        <v>1656</v>
      </c>
      <c r="AF6710" t="s">
        <v>13734</v>
      </c>
    </row>
    <row r="6711" spans="1:32" hidden="1" x14ac:dyDescent="0.35">
      <c r="A6711">
        <v>6710</v>
      </c>
      <c r="B6711" t="s">
        <v>13728</v>
      </c>
      <c r="C6711" t="s">
        <v>68</v>
      </c>
      <c r="D6711" t="s">
        <v>62</v>
      </c>
      <c r="E6711">
        <v>2118</v>
      </c>
      <c r="F6711">
        <v>2</v>
      </c>
      <c r="G6711">
        <v>2</v>
      </c>
      <c r="H6711">
        <v>1</v>
      </c>
      <c r="I6711">
        <v>0</v>
      </c>
      <c r="J6711">
        <v>1</v>
      </c>
      <c r="K6711">
        <v>1</v>
      </c>
      <c r="L6711">
        <v>1</v>
      </c>
      <c r="M6711">
        <v>1</v>
      </c>
      <c r="N6711">
        <v>1</v>
      </c>
      <c r="O6711">
        <v>1</v>
      </c>
      <c r="P6711" t="s">
        <v>13729</v>
      </c>
      <c r="Q6711" t="s">
        <v>13730</v>
      </c>
      <c r="R6711" t="s">
        <v>113</v>
      </c>
      <c r="S6711" t="s">
        <v>114</v>
      </c>
      <c r="T6711" t="s">
        <v>13731</v>
      </c>
      <c r="U6711" t="s">
        <v>10727</v>
      </c>
      <c r="V6711" t="s">
        <v>13732</v>
      </c>
      <c r="W6711" t="s">
        <v>13733</v>
      </c>
      <c r="AD6711" t="s">
        <v>312</v>
      </c>
      <c r="AE6711" t="s">
        <v>1656</v>
      </c>
      <c r="AF6711" t="s">
        <v>13734</v>
      </c>
    </row>
    <row r="6712" spans="1:32" hidden="1" x14ac:dyDescent="0.35">
      <c r="A6712">
        <v>6711</v>
      </c>
      <c r="B6712" t="s">
        <v>13735</v>
      </c>
      <c r="C6712" t="s">
        <v>68</v>
      </c>
      <c r="D6712" t="s">
        <v>34</v>
      </c>
      <c r="E6712">
        <v>327</v>
      </c>
      <c r="F6712">
        <v>2</v>
      </c>
      <c r="G6712">
        <v>2</v>
      </c>
      <c r="H6712">
        <v>1</v>
      </c>
      <c r="I6712">
        <v>0</v>
      </c>
      <c r="J6712">
        <v>1</v>
      </c>
      <c r="K6712">
        <v>1</v>
      </c>
      <c r="L6712">
        <v>1</v>
      </c>
      <c r="M6712">
        <v>1</v>
      </c>
      <c r="N6712">
        <v>1</v>
      </c>
      <c r="O6712">
        <v>1</v>
      </c>
      <c r="AF6712" t="s">
        <v>13736</v>
      </c>
    </row>
    <row r="6713" spans="1:32" hidden="1" x14ac:dyDescent="0.35">
      <c r="A6713">
        <v>6712</v>
      </c>
      <c r="B6713" t="s">
        <v>13735</v>
      </c>
      <c r="C6713" t="s">
        <v>68</v>
      </c>
      <c r="D6713" t="s">
        <v>45</v>
      </c>
      <c r="E6713">
        <v>1589</v>
      </c>
      <c r="F6713">
        <v>2</v>
      </c>
      <c r="G6713">
        <v>2</v>
      </c>
      <c r="H6713">
        <v>1</v>
      </c>
      <c r="I6713">
        <v>0</v>
      </c>
      <c r="J6713">
        <v>1</v>
      </c>
      <c r="K6713">
        <v>1</v>
      </c>
      <c r="L6713">
        <v>1</v>
      </c>
      <c r="M6713">
        <v>1</v>
      </c>
      <c r="N6713">
        <v>1</v>
      </c>
      <c r="O6713">
        <v>1</v>
      </c>
      <c r="AF6713" t="s">
        <v>13736</v>
      </c>
    </row>
    <row r="6714" spans="1:32" hidden="1" x14ac:dyDescent="0.35">
      <c r="A6714">
        <v>6713</v>
      </c>
      <c r="B6714" t="s">
        <v>13737</v>
      </c>
      <c r="C6714" t="s">
        <v>68</v>
      </c>
      <c r="D6714" t="s">
        <v>34</v>
      </c>
      <c r="E6714">
        <v>2013</v>
      </c>
      <c r="F6714">
        <v>2</v>
      </c>
      <c r="G6714">
        <v>2</v>
      </c>
      <c r="H6714">
        <v>1</v>
      </c>
      <c r="I6714">
        <v>0</v>
      </c>
      <c r="J6714">
        <v>1</v>
      </c>
      <c r="K6714">
        <v>1</v>
      </c>
      <c r="L6714">
        <v>1</v>
      </c>
      <c r="M6714">
        <v>1</v>
      </c>
      <c r="N6714">
        <v>1</v>
      </c>
      <c r="O6714">
        <v>1</v>
      </c>
      <c r="P6714" t="s">
        <v>13738</v>
      </c>
      <c r="Q6714" t="s">
        <v>13739</v>
      </c>
      <c r="AF6714" t="s">
        <v>13740</v>
      </c>
    </row>
    <row r="6715" spans="1:32" hidden="1" x14ac:dyDescent="0.35">
      <c r="A6715">
        <v>6714</v>
      </c>
      <c r="B6715" t="s">
        <v>13737</v>
      </c>
      <c r="C6715" t="s">
        <v>68</v>
      </c>
      <c r="D6715" t="s">
        <v>45</v>
      </c>
      <c r="E6715">
        <v>858</v>
      </c>
      <c r="F6715">
        <v>2</v>
      </c>
      <c r="G6715">
        <v>2</v>
      </c>
      <c r="H6715">
        <v>1</v>
      </c>
      <c r="I6715">
        <v>0</v>
      </c>
      <c r="J6715">
        <v>1</v>
      </c>
      <c r="K6715">
        <v>1</v>
      </c>
      <c r="L6715">
        <v>1</v>
      </c>
      <c r="M6715">
        <v>1</v>
      </c>
      <c r="N6715">
        <v>1</v>
      </c>
      <c r="O6715">
        <v>1</v>
      </c>
      <c r="P6715" t="s">
        <v>13738</v>
      </c>
      <c r="Q6715" t="s">
        <v>13739</v>
      </c>
      <c r="AF6715" t="s">
        <v>13740</v>
      </c>
    </row>
    <row r="6716" spans="1:32" hidden="1" x14ac:dyDescent="0.35">
      <c r="A6716">
        <v>6715</v>
      </c>
      <c r="B6716" t="s">
        <v>13741</v>
      </c>
      <c r="C6716" t="s">
        <v>68</v>
      </c>
      <c r="D6716" t="s">
        <v>60</v>
      </c>
      <c r="E6716">
        <v>1688</v>
      </c>
      <c r="F6716">
        <v>2</v>
      </c>
      <c r="G6716">
        <v>2</v>
      </c>
      <c r="H6716">
        <v>1</v>
      </c>
      <c r="I6716">
        <v>0</v>
      </c>
      <c r="J6716">
        <v>1</v>
      </c>
      <c r="K6716">
        <v>1</v>
      </c>
      <c r="L6716">
        <v>1</v>
      </c>
      <c r="M6716">
        <v>1</v>
      </c>
      <c r="N6716">
        <v>1</v>
      </c>
      <c r="O6716">
        <v>1</v>
      </c>
      <c r="P6716" t="s">
        <v>4358</v>
      </c>
      <c r="Q6716" t="s">
        <v>4359</v>
      </c>
      <c r="R6716" t="s">
        <v>319</v>
      </c>
      <c r="S6716" t="s">
        <v>320</v>
      </c>
      <c r="V6716" t="s">
        <v>4360</v>
      </c>
      <c r="W6716" t="s">
        <v>4361</v>
      </c>
      <c r="AF6716" t="s">
        <v>13742</v>
      </c>
    </row>
    <row r="6717" spans="1:32" hidden="1" x14ac:dyDescent="0.35">
      <c r="A6717">
        <v>6716</v>
      </c>
      <c r="B6717" t="s">
        <v>13741</v>
      </c>
      <c r="C6717" t="s">
        <v>68</v>
      </c>
      <c r="D6717" t="s">
        <v>62</v>
      </c>
      <c r="E6717">
        <v>1723</v>
      </c>
      <c r="F6717">
        <v>2</v>
      </c>
      <c r="G6717">
        <v>2</v>
      </c>
      <c r="H6717">
        <v>1</v>
      </c>
      <c r="I6717">
        <v>0</v>
      </c>
      <c r="J6717">
        <v>1</v>
      </c>
      <c r="K6717">
        <v>1</v>
      </c>
      <c r="L6717">
        <v>1</v>
      </c>
      <c r="M6717">
        <v>1</v>
      </c>
      <c r="N6717">
        <v>1</v>
      </c>
      <c r="O6717">
        <v>1</v>
      </c>
      <c r="P6717" t="s">
        <v>4358</v>
      </c>
      <c r="Q6717" t="s">
        <v>4359</v>
      </c>
      <c r="R6717" t="s">
        <v>319</v>
      </c>
      <c r="S6717" t="s">
        <v>320</v>
      </c>
      <c r="V6717" t="s">
        <v>4360</v>
      </c>
      <c r="W6717" t="s">
        <v>4361</v>
      </c>
      <c r="AF6717" t="s">
        <v>13742</v>
      </c>
    </row>
    <row r="6718" spans="1:32" hidden="1" x14ac:dyDescent="0.35">
      <c r="A6718">
        <v>6717</v>
      </c>
      <c r="B6718" t="s">
        <v>13743</v>
      </c>
      <c r="C6718" t="s">
        <v>68</v>
      </c>
      <c r="D6718" t="s">
        <v>34</v>
      </c>
      <c r="E6718">
        <v>996</v>
      </c>
      <c r="F6718">
        <v>2</v>
      </c>
      <c r="G6718">
        <v>2</v>
      </c>
      <c r="H6718">
        <v>1</v>
      </c>
      <c r="I6718">
        <v>0</v>
      </c>
      <c r="J6718">
        <v>1</v>
      </c>
      <c r="K6718">
        <v>1</v>
      </c>
      <c r="L6718">
        <v>1</v>
      </c>
      <c r="M6718">
        <v>1</v>
      </c>
      <c r="N6718">
        <v>1</v>
      </c>
      <c r="O6718">
        <v>1</v>
      </c>
      <c r="AF6718" t="s">
        <v>13744</v>
      </c>
    </row>
    <row r="6719" spans="1:32" hidden="1" x14ac:dyDescent="0.35">
      <c r="A6719">
        <v>6718</v>
      </c>
      <c r="B6719" t="s">
        <v>13743</v>
      </c>
      <c r="C6719" t="s">
        <v>68</v>
      </c>
      <c r="D6719" t="s">
        <v>45</v>
      </c>
      <c r="E6719">
        <v>2250</v>
      </c>
      <c r="F6719">
        <v>2</v>
      </c>
      <c r="G6719">
        <v>2</v>
      </c>
      <c r="H6719">
        <v>1</v>
      </c>
      <c r="I6719">
        <v>0</v>
      </c>
      <c r="J6719">
        <v>1</v>
      </c>
      <c r="K6719">
        <v>1</v>
      </c>
      <c r="L6719">
        <v>1</v>
      </c>
      <c r="M6719">
        <v>1</v>
      </c>
      <c r="N6719">
        <v>1</v>
      </c>
      <c r="O6719">
        <v>1</v>
      </c>
      <c r="AF6719" t="s">
        <v>13744</v>
      </c>
    </row>
    <row r="6720" spans="1:32" hidden="1" x14ac:dyDescent="0.35">
      <c r="A6720">
        <v>6719</v>
      </c>
      <c r="B6720" t="s">
        <v>13745</v>
      </c>
      <c r="C6720" t="s">
        <v>68</v>
      </c>
      <c r="D6720" t="s">
        <v>34</v>
      </c>
      <c r="E6720">
        <v>1586</v>
      </c>
      <c r="F6720">
        <v>2</v>
      </c>
      <c r="G6720">
        <v>2</v>
      </c>
      <c r="H6720">
        <v>1</v>
      </c>
      <c r="I6720">
        <v>0</v>
      </c>
      <c r="J6720">
        <v>1</v>
      </c>
      <c r="K6720">
        <v>1</v>
      </c>
      <c r="L6720">
        <v>1</v>
      </c>
      <c r="M6720">
        <v>1</v>
      </c>
      <c r="N6720">
        <v>1</v>
      </c>
      <c r="O6720">
        <v>1</v>
      </c>
      <c r="AF6720" t="s">
        <v>13746</v>
      </c>
    </row>
    <row r="6721" spans="1:32" hidden="1" x14ac:dyDescent="0.35">
      <c r="A6721">
        <v>6720</v>
      </c>
      <c r="B6721" t="s">
        <v>13745</v>
      </c>
      <c r="C6721" t="s">
        <v>68</v>
      </c>
      <c r="D6721" t="s">
        <v>45</v>
      </c>
      <c r="E6721">
        <v>336</v>
      </c>
      <c r="F6721">
        <v>2</v>
      </c>
      <c r="G6721">
        <v>2</v>
      </c>
      <c r="H6721">
        <v>1</v>
      </c>
      <c r="I6721">
        <v>0</v>
      </c>
      <c r="J6721">
        <v>1</v>
      </c>
      <c r="K6721">
        <v>1</v>
      </c>
      <c r="L6721">
        <v>1</v>
      </c>
      <c r="M6721">
        <v>1</v>
      </c>
      <c r="N6721">
        <v>1</v>
      </c>
      <c r="O6721">
        <v>1</v>
      </c>
      <c r="AF6721" t="s">
        <v>13746</v>
      </c>
    </row>
    <row r="6722" spans="1:32" hidden="1" x14ac:dyDescent="0.35">
      <c r="A6722">
        <v>6721</v>
      </c>
      <c r="B6722" t="s">
        <v>13747</v>
      </c>
      <c r="C6722" t="s">
        <v>68</v>
      </c>
      <c r="D6722" t="s">
        <v>60</v>
      </c>
      <c r="E6722">
        <v>388</v>
      </c>
      <c r="F6722">
        <v>2</v>
      </c>
      <c r="G6722">
        <v>2</v>
      </c>
      <c r="H6722">
        <v>1</v>
      </c>
      <c r="I6722">
        <v>0</v>
      </c>
      <c r="J6722">
        <v>1</v>
      </c>
      <c r="K6722">
        <v>1</v>
      </c>
      <c r="L6722">
        <v>1</v>
      </c>
      <c r="M6722">
        <v>1</v>
      </c>
      <c r="N6722">
        <v>1</v>
      </c>
      <c r="O6722">
        <v>1</v>
      </c>
      <c r="P6722" t="s">
        <v>13748</v>
      </c>
      <c r="Q6722" t="s">
        <v>13749</v>
      </c>
      <c r="R6722" t="s">
        <v>75</v>
      </c>
      <c r="S6722" t="s">
        <v>76</v>
      </c>
      <c r="T6722" t="s">
        <v>13750</v>
      </c>
      <c r="U6722" t="s">
        <v>13751</v>
      </c>
      <c r="V6722" t="s">
        <v>13752</v>
      </c>
      <c r="W6722" t="s">
        <v>13753</v>
      </c>
      <c r="Z6722" t="s">
        <v>13754</v>
      </c>
      <c r="AA6722" t="s">
        <v>13755</v>
      </c>
      <c r="AB6722" t="s">
        <v>13754</v>
      </c>
      <c r="AC6722" t="s">
        <v>3240</v>
      </c>
      <c r="AD6722" t="s">
        <v>13756</v>
      </c>
      <c r="AE6722" t="s">
        <v>13757</v>
      </c>
      <c r="AF6722" t="s">
        <v>13758</v>
      </c>
    </row>
    <row r="6723" spans="1:32" hidden="1" x14ac:dyDescent="0.35">
      <c r="A6723">
        <v>6722</v>
      </c>
      <c r="B6723" t="s">
        <v>13747</v>
      </c>
      <c r="C6723" t="s">
        <v>68</v>
      </c>
      <c r="D6723" t="s">
        <v>62</v>
      </c>
      <c r="E6723">
        <v>469</v>
      </c>
      <c r="F6723">
        <v>2</v>
      </c>
      <c r="G6723">
        <v>2</v>
      </c>
      <c r="H6723">
        <v>1</v>
      </c>
      <c r="I6723">
        <v>0</v>
      </c>
      <c r="J6723">
        <v>1</v>
      </c>
      <c r="K6723">
        <v>1</v>
      </c>
      <c r="L6723">
        <v>1</v>
      </c>
      <c r="M6723">
        <v>1</v>
      </c>
      <c r="N6723">
        <v>1</v>
      </c>
      <c r="O6723">
        <v>1</v>
      </c>
      <c r="P6723" t="s">
        <v>13748</v>
      </c>
      <c r="Q6723" t="s">
        <v>13749</v>
      </c>
      <c r="R6723" t="s">
        <v>75</v>
      </c>
      <c r="S6723" t="s">
        <v>76</v>
      </c>
      <c r="T6723" t="s">
        <v>13750</v>
      </c>
      <c r="U6723" t="s">
        <v>13751</v>
      </c>
      <c r="V6723" t="s">
        <v>13752</v>
      </c>
      <c r="W6723" t="s">
        <v>13753</v>
      </c>
      <c r="Z6723" t="s">
        <v>13754</v>
      </c>
      <c r="AA6723" t="s">
        <v>13755</v>
      </c>
      <c r="AB6723" t="s">
        <v>13754</v>
      </c>
      <c r="AC6723" t="s">
        <v>3240</v>
      </c>
      <c r="AD6723" t="s">
        <v>13756</v>
      </c>
      <c r="AE6723" t="s">
        <v>13757</v>
      </c>
      <c r="AF6723" t="s">
        <v>13758</v>
      </c>
    </row>
    <row r="6724" spans="1:32" hidden="1" x14ac:dyDescent="0.35">
      <c r="A6724">
        <v>6723</v>
      </c>
      <c r="B6724" t="s">
        <v>13759</v>
      </c>
      <c r="C6724" t="s">
        <v>68</v>
      </c>
      <c r="D6724" t="s">
        <v>60</v>
      </c>
      <c r="E6724">
        <v>639</v>
      </c>
      <c r="F6724">
        <v>2</v>
      </c>
      <c r="G6724">
        <v>2</v>
      </c>
      <c r="H6724">
        <v>1</v>
      </c>
      <c r="I6724">
        <v>0</v>
      </c>
      <c r="J6724">
        <v>1</v>
      </c>
      <c r="K6724">
        <v>1</v>
      </c>
      <c r="L6724">
        <v>1</v>
      </c>
      <c r="M6724">
        <v>1</v>
      </c>
      <c r="N6724">
        <v>1</v>
      </c>
      <c r="O6724">
        <v>1</v>
      </c>
      <c r="AF6724" t="s">
        <v>13760</v>
      </c>
    </row>
    <row r="6725" spans="1:32" hidden="1" x14ac:dyDescent="0.35">
      <c r="A6725">
        <v>6724</v>
      </c>
      <c r="B6725" t="s">
        <v>13759</v>
      </c>
      <c r="C6725" t="s">
        <v>68</v>
      </c>
      <c r="D6725" t="s">
        <v>62</v>
      </c>
      <c r="E6725">
        <v>723</v>
      </c>
      <c r="F6725">
        <v>2</v>
      </c>
      <c r="G6725">
        <v>2</v>
      </c>
      <c r="H6725">
        <v>1</v>
      </c>
      <c r="I6725">
        <v>0</v>
      </c>
      <c r="J6725">
        <v>1</v>
      </c>
      <c r="K6725">
        <v>1</v>
      </c>
      <c r="L6725">
        <v>1</v>
      </c>
      <c r="M6725">
        <v>1</v>
      </c>
      <c r="N6725">
        <v>1</v>
      </c>
      <c r="O6725">
        <v>1</v>
      </c>
      <c r="AF6725" t="s">
        <v>13760</v>
      </c>
    </row>
    <row r="6726" spans="1:32" hidden="1" x14ac:dyDescent="0.35">
      <c r="A6726">
        <v>6725</v>
      </c>
      <c r="B6726" t="s">
        <v>13761</v>
      </c>
      <c r="C6726" t="s">
        <v>68</v>
      </c>
      <c r="D6726" t="s">
        <v>60</v>
      </c>
      <c r="E6726">
        <v>551</v>
      </c>
      <c r="F6726">
        <v>2</v>
      </c>
      <c r="G6726">
        <v>2</v>
      </c>
      <c r="H6726">
        <v>1</v>
      </c>
      <c r="I6726">
        <v>0</v>
      </c>
      <c r="J6726">
        <v>1</v>
      </c>
      <c r="K6726">
        <v>1</v>
      </c>
      <c r="L6726">
        <v>1</v>
      </c>
      <c r="M6726">
        <v>1</v>
      </c>
      <c r="N6726">
        <v>1</v>
      </c>
      <c r="O6726">
        <v>1</v>
      </c>
      <c r="P6726" t="s">
        <v>13762</v>
      </c>
      <c r="Q6726" t="s">
        <v>13763</v>
      </c>
      <c r="R6726" t="s">
        <v>96</v>
      </c>
      <c r="S6726" t="s">
        <v>97</v>
      </c>
      <c r="T6726" t="s">
        <v>13764</v>
      </c>
      <c r="U6726" t="s">
        <v>13765</v>
      </c>
      <c r="V6726" t="s">
        <v>13766</v>
      </c>
      <c r="W6726" t="s">
        <v>13767</v>
      </c>
      <c r="AD6726" t="s">
        <v>410</v>
      </c>
      <c r="AE6726" t="s">
        <v>1637</v>
      </c>
      <c r="AF6726" t="s">
        <v>13768</v>
      </c>
    </row>
    <row r="6727" spans="1:32" hidden="1" x14ac:dyDescent="0.35">
      <c r="A6727">
        <v>6726</v>
      </c>
      <c r="B6727" t="s">
        <v>13761</v>
      </c>
      <c r="C6727" t="s">
        <v>68</v>
      </c>
      <c r="D6727" t="s">
        <v>62</v>
      </c>
      <c r="E6727">
        <v>635</v>
      </c>
      <c r="F6727">
        <v>2</v>
      </c>
      <c r="G6727">
        <v>2</v>
      </c>
      <c r="H6727">
        <v>1</v>
      </c>
      <c r="I6727">
        <v>0</v>
      </c>
      <c r="J6727">
        <v>1</v>
      </c>
      <c r="K6727">
        <v>1</v>
      </c>
      <c r="L6727">
        <v>1</v>
      </c>
      <c r="M6727">
        <v>1</v>
      </c>
      <c r="N6727">
        <v>1</v>
      </c>
      <c r="O6727">
        <v>1</v>
      </c>
      <c r="P6727" t="s">
        <v>13762</v>
      </c>
      <c r="Q6727" t="s">
        <v>13763</v>
      </c>
      <c r="R6727" t="s">
        <v>96</v>
      </c>
      <c r="S6727" t="s">
        <v>97</v>
      </c>
      <c r="T6727" t="s">
        <v>13764</v>
      </c>
      <c r="U6727" t="s">
        <v>13765</v>
      </c>
      <c r="V6727" t="s">
        <v>13766</v>
      </c>
      <c r="W6727" t="s">
        <v>13767</v>
      </c>
      <c r="AD6727" t="s">
        <v>410</v>
      </c>
      <c r="AE6727" t="s">
        <v>1637</v>
      </c>
      <c r="AF6727" t="s">
        <v>13768</v>
      </c>
    </row>
    <row r="6728" spans="1:32" hidden="1" x14ac:dyDescent="0.35">
      <c r="A6728">
        <v>6727</v>
      </c>
      <c r="B6728" t="s">
        <v>13769</v>
      </c>
      <c r="C6728" t="s">
        <v>68</v>
      </c>
      <c r="D6728" t="s">
        <v>60</v>
      </c>
      <c r="E6728">
        <v>1075</v>
      </c>
      <c r="F6728">
        <v>2</v>
      </c>
      <c r="G6728">
        <v>2</v>
      </c>
      <c r="H6728">
        <v>1</v>
      </c>
      <c r="I6728">
        <v>0</v>
      </c>
      <c r="J6728">
        <v>1</v>
      </c>
      <c r="K6728">
        <v>1</v>
      </c>
      <c r="L6728">
        <v>1</v>
      </c>
      <c r="M6728">
        <v>1</v>
      </c>
      <c r="N6728">
        <v>1</v>
      </c>
      <c r="O6728">
        <v>1</v>
      </c>
      <c r="P6728" t="s">
        <v>11244</v>
      </c>
      <c r="Q6728" t="s">
        <v>11245</v>
      </c>
      <c r="R6728" t="s">
        <v>11664</v>
      </c>
      <c r="S6728" t="s">
        <v>11665</v>
      </c>
      <c r="T6728" t="s">
        <v>13770</v>
      </c>
      <c r="U6728" t="s">
        <v>13771</v>
      </c>
      <c r="V6728" t="s">
        <v>13772</v>
      </c>
      <c r="W6728" t="s">
        <v>13773</v>
      </c>
      <c r="AD6728" t="s">
        <v>10157</v>
      </c>
      <c r="AE6728" t="s">
        <v>13774</v>
      </c>
      <c r="AF6728" t="s">
        <v>13775</v>
      </c>
    </row>
    <row r="6729" spans="1:32" hidden="1" x14ac:dyDescent="0.35">
      <c r="A6729">
        <v>6728</v>
      </c>
      <c r="B6729" t="s">
        <v>13769</v>
      </c>
      <c r="C6729" t="s">
        <v>68</v>
      </c>
      <c r="D6729" t="s">
        <v>62</v>
      </c>
      <c r="E6729">
        <v>1111</v>
      </c>
      <c r="F6729">
        <v>2</v>
      </c>
      <c r="G6729">
        <v>2</v>
      </c>
      <c r="H6729">
        <v>1</v>
      </c>
      <c r="I6729">
        <v>0</v>
      </c>
      <c r="J6729">
        <v>1</v>
      </c>
      <c r="K6729">
        <v>1</v>
      </c>
      <c r="L6729">
        <v>1</v>
      </c>
      <c r="M6729">
        <v>1</v>
      </c>
      <c r="N6729">
        <v>1</v>
      </c>
      <c r="O6729">
        <v>1</v>
      </c>
      <c r="P6729" t="s">
        <v>11244</v>
      </c>
      <c r="Q6729" t="s">
        <v>11245</v>
      </c>
      <c r="R6729" t="s">
        <v>11664</v>
      </c>
      <c r="S6729" t="s">
        <v>11665</v>
      </c>
      <c r="T6729" t="s">
        <v>13770</v>
      </c>
      <c r="U6729" t="s">
        <v>13771</v>
      </c>
      <c r="V6729" t="s">
        <v>13772</v>
      </c>
      <c r="W6729" t="s">
        <v>13773</v>
      </c>
      <c r="AD6729" t="s">
        <v>10157</v>
      </c>
      <c r="AE6729" t="s">
        <v>13774</v>
      </c>
      <c r="AF6729" t="s">
        <v>13775</v>
      </c>
    </row>
    <row r="6730" spans="1:32" hidden="1" x14ac:dyDescent="0.35">
      <c r="A6730">
        <v>6729</v>
      </c>
      <c r="B6730" t="s">
        <v>13776</v>
      </c>
      <c r="C6730" t="s">
        <v>68</v>
      </c>
      <c r="D6730" t="s">
        <v>34</v>
      </c>
      <c r="E6730">
        <v>1215</v>
      </c>
      <c r="F6730">
        <v>2</v>
      </c>
      <c r="G6730">
        <v>2</v>
      </c>
      <c r="H6730">
        <v>1</v>
      </c>
      <c r="I6730">
        <v>0</v>
      </c>
      <c r="J6730">
        <v>1</v>
      </c>
      <c r="K6730">
        <v>1</v>
      </c>
      <c r="L6730">
        <v>1</v>
      </c>
      <c r="M6730">
        <v>1</v>
      </c>
      <c r="N6730">
        <v>1</v>
      </c>
      <c r="O6730">
        <v>1</v>
      </c>
      <c r="P6730" t="s">
        <v>13777</v>
      </c>
      <c r="Q6730" t="s">
        <v>13778</v>
      </c>
      <c r="T6730" t="s">
        <v>13779</v>
      </c>
      <c r="U6730" t="s">
        <v>13780</v>
      </c>
      <c r="AD6730" t="s">
        <v>1480</v>
      </c>
      <c r="AE6730" t="s">
        <v>13781</v>
      </c>
      <c r="AF6730" t="s">
        <v>13782</v>
      </c>
    </row>
    <row r="6731" spans="1:32" hidden="1" x14ac:dyDescent="0.35">
      <c r="A6731">
        <v>6730</v>
      </c>
      <c r="B6731" t="s">
        <v>13776</v>
      </c>
      <c r="C6731" t="s">
        <v>68</v>
      </c>
      <c r="D6731" t="s">
        <v>45</v>
      </c>
      <c r="E6731">
        <v>2458</v>
      </c>
      <c r="F6731">
        <v>2</v>
      </c>
      <c r="G6731">
        <v>2</v>
      </c>
      <c r="H6731">
        <v>1</v>
      </c>
      <c r="I6731">
        <v>0</v>
      </c>
      <c r="J6731">
        <v>1</v>
      </c>
      <c r="K6731">
        <v>1</v>
      </c>
      <c r="L6731">
        <v>1</v>
      </c>
      <c r="M6731">
        <v>1</v>
      </c>
      <c r="N6731">
        <v>1</v>
      </c>
      <c r="O6731">
        <v>1</v>
      </c>
      <c r="P6731" t="s">
        <v>13777</v>
      </c>
      <c r="Q6731" t="s">
        <v>13778</v>
      </c>
      <c r="T6731" t="s">
        <v>13779</v>
      </c>
      <c r="U6731" t="s">
        <v>13780</v>
      </c>
      <c r="AD6731" t="s">
        <v>1480</v>
      </c>
      <c r="AE6731" t="s">
        <v>13781</v>
      </c>
      <c r="AF6731" t="s">
        <v>13782</v>
      </c>
    </row>
    <row r="6732" spans="1:32" hidden="1" x14ac:dyDescent="0.35">
      <c r="A6732">
        <v>6731</v>
      </c>
      <c r="B6732" t="s">
        <v>13783</v>
      </c>
      <c r="C6732" t="s">
        <v>68</v>
      </c>
      <c r="D6732" t="s">
        <v>34</v>
      </c>
      <c r="E6732">
        <v>2462</v>
      </c>
      <c r="F6732">
        <v>2</v>
      </c>
      <c r="G6732">
        <v>2</v>
      </c>
      <c r="H6732">
        <v>1</v>
      </c>
      <c r="I6732">
        <v>0</v>
      </c>
      <c r="J6732">
        <v>1</v>
      </c>
      <c r="K6732">
        <v>1</v>
      </c>
      <c r="L6732">
        <v>1</v>
      </c>
      <c r="M6732">
        <v>1</v>
      </c>
      <c r="N6732">
        <v>1</v>
      </c>
      <c r="O6732">
        <v>1</v>
      </c>
      <c r="P6732" t="s">
        <v>13784</v>
      </c>
      <c r="Q6732" t="s">
        <v>13785</v>
      </c>
      <c r="R6732" t="s">
        <v>138</v>
      </c>
      <c r="S6732" t="s">
        <v>139</v>
      </c>
      <c r="T6732" t="s">
        <v>13786</v>
      </c>
      <c r="U6732" t="s">
        <v>407</v>
      </c>
      <c r="V6732" t="s">
        <v>13787</v>
      </c>
      <c r="W6732" t="s">
        <v>13788</v>
      </c>
      <c r="AD6732" t="s">
        <v>410</v>
      </c>
      <c r="AE6732" t="s">
        <v>411</v>
      </c>
      <c r="AF6732" t="s">
        <v>13789</v>
      </c>
    </row>
    <row r="6733" spans="1:32" hidden="1" x14ac:dyDescent="0.35">
      <c r="A6733">
        <v>6732</v>
      </c>
      <c r="B6733" t="s">
        <v>13783</v>
      </c>
      <c r="C6733" t="s">
        <v>68</v>
      </c>
      <c r="D6733" t="s">
        <v>45</v>
      </c>
      <c r="E6733">
        <v>439</v>
      </c>
      <c r="F6733">
        <v>2</v>
      </c>
      <c r="G6733">
        <v>2</v>
      </c>
      <c r="H6733">
        <v>1</v>
      </c>
      <c r="I6733">
        <v>0</v>
      </c>
      <c r="J6733">
        <v>1</v>
      </c>
      <c r="K6733">
        <v>1</v>
      </c>
      <c r="L6733">
        <v>1</v>
      </c>
      <c r="M6733">
        <v>1</v>
      </c>
      <c r="N6733">
        <v>1</v>
      </c>
      <c r="O6733">
        <v>1</v>
      </c>
      <c r="P6733" t="s">
        <v>13784</v>
      </c>
      <c r="Q6733" t="s">
        <v>13785</v>
      </c>
      <c r="R6733" t="s">
        <v>138</v>
      </c>
      <c r="S6733" t="s">
        <v>139</v>
      </c>
      <c r="T6733" t="s">
        <v>13786</v>
      </c>
      <c r="U6733" t="s">
        <v>407</v>
      </c>
      <c r="V6733" t="s">
        <v>13787</v>
      </c>
      <c r="W6733" t="s">
        <v>13788</v>
      </c>
      <c r="AD6733" t="s">
        <v>410</v>
      </c>
      <c r="AE6733" t="s">
        <v>411</v>
      </c>
      <c r="AF6733" t="s">
        <v>13789</v>
      </c>
    </row>
    <row r="6734" spans="1:32" hidden="1" x14ac:dyDescent="0.35">
      <c r="A6734">
        <v>6733</v>
      </c>
      <c r="B6734" t="s">
        <v>13790</v>
      </c>
      <c r="C6734" t="s">
        <v>68</v>
      </c>
      <c r="D6734" t="s">
        <v>60</v>
      </c>
      <c r="E6734">
        <v>2359</v>
      </c>
      <c r="F6734">
        <v>2</v>
      </c>
      <c r="G6734">
        <v>2</v>
      </c>
      <c r="H6734">
        <v>1</v>
      </c>
      <c r="I6734">
        <v>0</v>
      </c>
      <c r="J6734">
        <v>1</v>
      </c>
      <c r="K6734">
        <v>1</v>
      </c>
      <c r="L6734">
        <v>1</v>
      </c>
      <c r="M6734">
        <v>1</v>
      </c>
      <c r="N6734">
        <v>1</v>
      </c>
      <c r="O6734">
        <v>1</v>
      </c>
      <c r="AF6734" t="s">
        <v>13791</v>
      </c>
    </row>
    <row r="6735" spans="1:32" hidden="1" x14ac:dyDescent="0.35">
      <c r="A6735">
        <v>6734</v>
      </c>
      <c r="B6735" t="s">
        <v>13790</v>
      </c>
      <c r="C6735" t="s">
        <v>68</v>
      </c>
      <c r="D6735" t="s">
        <v>62</v>
      </c>
      <c r="E6735">
        <v>2387</v>
      </c>
      <c r="F6735">
        <v>2</v>
      </c>
      <c r="G6735">
        <v>2</v>
      </c>
      <c r="H6735">
        <v>1</v>
      </c>
      <c r="I6735">
        <v>0</v>
      </c>
      <c r="J6735">
        <v>1</v>
      </c>
      <c r="K6735">
        <v>1</v>
      </c>
      <c r="L6735">
        <v>1</v>
      </c>
      <c r="M6735">
        <v>1</v>
      </c>
      <c r="N6735">
        <v>1</v>
      </c>
      <c r="O6735">
        <v>1</v>
      </c>
      <c r="AF6735" t="s">
        <v>13791</v>
      </c>
    </row>
    <row r="6736" spans="1:32" hidden="1" x14ac:dyDescent="0.35">
      <c r="A6736">
        <v>6735</v>
      </c>
      <c r="B6736" t="s">
        <v>13792</v>
      </c>
      <c r="C6736" t="s">
        <v>68</v>
      </c>
      <c r="D6736" t="s">
        <v>34</v>
      </c>
      <c r="E6736">
        <v>1439</v>
      </c>
      <c r="F6736">
        <v>2</v>
      </c>
      <c r="G6736">
        <v>2</v>
      </c>
      <c r="H6736">
        <v>1</v>
      </c>
      <c r="I6736">
        <v>0</v>
      </c>
      <c r="J6736">
        <v>1</v>
      </c>
      <c r="K6736">
        <v>1</v>
      </c>
      <c r="L6736">
        <v>1</v>
      </c>
      <c r="M6736">
        <v>1</v>
      </c>
      <c r="N6736">
        <v>1</v>
      </c>
      <c r="O6736">
        <v>1</v>
      </c>
      <c r="P6736" t="s">
        <v>8528</v>
      </c>
      <c r="Q6736" t="s">
        <v>8529</v>
      </c>
      <c r="R6736" t="s">
        <v>8530</v>
      </c>
      <c r="S6736" t="s">
        <v>8531</v>
      </c>
      <c r="V6736" t="s">
        <v>8534</v>
      </c>
      <c r="W6736" t="s">
        <v>8535</v>
      </c>
      <c r="AF6736" t="s">
        <v>13793</v>
      </c>
    </row>
    <row r="6737" spans="1:32" hidden="1" x14ac:dyDescent="0.35">
      <c r="A6737">
        <v>6736</v>
      </c>
      <c r="B6737" t="s">
        <v>13792</v>
      </c>
      <c r="C6737" t="s">
        <v>68</v>
      </c>
      <c r="D6737" t="s">
        <v>45</v>
      </c>
      <c r="E6737">
        <v>190</v>
      </c>
      <c r="F6737">
        <v>2</v>
      </c>
      <c r="G6737">
        <v>2</v>
      </c>
      <c r="H6737">
        <v>1</v>
      </c>
      <c r="I6737">
        <v>0</v>
      </c>
      <c r="J6737">
        <v>1</v>
      </c>
      <c r="K6737">
        <v>1</v>
      </c>
      <c r="L6737">
        <v>1</v>
      </c>
      <c r="M6737">
        <v>1</v>
      </c>
      <c r="N6737">
        <v>1</v>
      </c>
      <c r="O6737">
        <v>1</v>
      </c>
      <c r="P6737" t="s">
        <v>8528</v>
      </c>
      <c r="Q6737" t="s">
        <v>8529</v>
      </c>
      <c r="R6737" t="s">
        <v>8530</v>
      </c>
      <c r="S6737" t="s">
        <v>8531</v>
      </c>
      <c r="V6737" t="s">
        <v>8534</v>
      </c>
      <c r="W6737" t="s">
        <v>8535</v>
      </c>
      <c r="AF6737" t="s">
        <v>13793</v>
      </c>
    </row>
    <row r="6738" spans="1:32" hidden="1" x14ac:dyDescent="0.35">
      <c r="A6738">
        <v>6737</v>
      </c>
      <c r="B6738" t="s">
        <v>13794</v>
      </c>
      <c r="C6738" t="s">
        <v>68</v>
      </c>
      <c r="D6738" t="s">
        <v>60</v>
      </c>
      <c r="E6738">
        <v>287</v>
      </c>
      <c r="F6738">
        <v>2</v>
      </c>
      <c r="G6738">
        <v>2</v>
      </c>
      <c r="H6738">
        <v>1</v>
      </c>
      <c r="I6738">
        <v>0</v>
      </c>
      <c r="J6738">
        <v>1</v>
      </c>
      <c r="K6738">
        <v>1</v>
      </c>
      <c r="L6738">
        <v>1</v>
      </c>
      <c r="M6738">
        <v>1</v>
      </c>
      <c r="N6738">
        <v>1</v>
      </c>
      <c r="O6738">
        <v>1</v>
      </c>
      <c r="P6738" t="s">
        <v>13795</v>
      </c>
      <c r="Q6738" t="s">
        <v>13796</v>
      </c>
      <c r="R6738" t="s">
        <v>1191</v>
      </c>
      <c r="S6738" t="s">
        <v>1192</v>
      </c>
      <c r="V6738" t="s">
        <v>13797</v>
      </c>
      <c r="W6738" t="s">
        <v>13798</v>
      </c>
      <c r="AF6738" t="s">
        <v>13799</v>
      </c>
    </row>
    <row r="6739" spans="1:32" hidden="1" x14ac:dyDescent="0.35">
      <c r="A6739">
        <v>6738</v>
      </c>
      <c r="B6739" t="s">
        <v>13794</v>
      </c>
      <c r="C6739" t="s">
        <v>68</v>
      </c>
      <c r="D6739" t="s">
        <v>62</v>
      </c>
      <c r="E6739">
        <v>365</v>
      </c>
      <c r="F6739">
        <v>2</v>
      </c>
      <c r="G6739">
        <v>2</v>
      </c>
      <c r="H6739">
        <v>1</v>
      </c>
      <c r="I6739">
        <v>0</v>
      </c>
      <c r="J6739">
        <v>1</v>
      </c>
      <c r="K6739">
        <v>1</v>
      </c>
      <c r="L6739">
        <v>1</v>
      </c>
      <c r="M6739">
        <v>1</v>
      </c>
      <c r="N6739">
        <v>1</v>
      </c>
      <c r="O6739">
        <v>1</v>
      </c>
      <c r="P6739" t="s">
        <v>13795</v>
      </c>
      <c r="Q6739" t="s">
        <v>13796</v>
      </c>
      <c r="R6739" t="s">
        <v>1191</v>
      </c>
      <c r="S6739" t="s">
        <v>1192</v>
      </c>
      <c r="V6739" t="s">
        <v>13797</v>
      </c>
      <c r="W6739" t="s">
        <v>13798</v>
      </c>
      <c r="AF6739" t="s">
        <v>13799</v>
      </c>
    </row>
    <row r="6740" spans="1:32" hidden="1" x14ac:dyDescent="0.35">
      <c r="A6740">
        <v>6739</v>
      </c>
      <c r="B6740" t="s">
        <v>13800</v>
      </c>
      <c r="C6740" t="s">
        <v>68</v>
      </c>
      <c r="D6740" t="s">
        <v>60</v>
      </c>
      <c r="E6740">
        <v>2332</v>
      </c>
      <c r="F6740">
        <v>2</v>
      </c>
      <c r="G6740">
        <v>2</v>
      </c>
      <c r="H6740">
        <v>1</v>
      </c>
      <c r="I6740">
        <v>0</v>
      </c>
      <c r="J6740">
        <v>1</v>
      </c>
      <c r="K6740">
        <v>1</v>
      </c>
      <c r="L6740">
        <v>1</v>
      </c>
      <c r="M6740">
        <v>1</v>
      </c>
      <c r="N6740">
        <v>1</v>
      </c>
      <c r="O6740">
        <v>1</v>
      </c>
      <c r="P6740" t="s">
        <v>7381</v>
      </c>
      <c r="Q6740" t="s">
        <v>7382</v>
      </c>
      <c r="AF6740" t="s">
        <v>13801</v>
      </c>
    </row>
    <row r="6741" spans="1:32" hidden="1" x14ac:dyDescent="0.35">
      <c r="A6741">
        <v>6740</v>
      </c>
      <c r="B6741" t="s">
        <v>13800</v>
      </c>
      <c r="C6741" t="s">
        <v>68</v>
      </c>
      <c r="D6741" t="s">
        <v>62</v>
      </c>
      <c r="E6741">
        <v>2360</v>
      </c>
      <c r="F6741">
        <v>2</v>
      </c>
      <c r="G6741">
        <v>2</v>
      </c>
      <c r="H6741">
        <v>1</v>
      </c>
      <c r="I6741">
        <v>0</v>
      </c>
      <c r="J6741">
        <v>1</v>
      </c>
      <c r="K6741">
        <v>1</v>
      </c>
      <c r="L6741">
        <v>1</v>
      </c>
      <c r="M6741">
        <v>1</v>
      </c>
      <c r="N6741">
        <v>1</v>
      </c>
      <c r="O6741">
        <v>1</v>
      </c>
      <c r="P6741" t="s">
        <v>7381</v>
      </c>
      <c r="Q6741" t="s">
        <v>7382</v>
      </c>
      <c r="AF6741" t="s">
        <v>13801</v>
      </c>
    </row>
    <row r="6742" spans="1:32" hidden="1" x14ac:dyDescent="0.35">
      <c r="A6742">
        <v>6741</v>
      </c>
      <c r="B6742" t="s">
        <v>13802</v>
      </c>
      <c r="C6742" t="s">
        <v>68</v>
      </c>
      <c r="D6742" t="s">
        <v>60</v>
      </c>
      <c r="E6742">
        <v>250</v>
      </c>
      <c r="F6742">
        <v>2</v>
      </c>
      <c r="G6742">
        <v>2</v>
      </c>
      <c r="H6742">
        <v>1</v>
      </c>
      <c r="I6742">
        <v>0</v>
      </c>
      <c r="J6742">
        <v>1</v>
      </c>
      <c r="K6742">
        <v>1</v>
      </c>
      <c r="L6742">
        <v>1</v>
      </c>
      <c r="M6742">
        <v>1</v>
      </c>
      <c r="N6742">
        <v>1</v>
      </c>
      <c r="O6742">
        <v>1</v>
      </c>
      <c r="AF6742" t="s">
        <v>13803</v>
      </c>
    </row>
    <row r="6743" spans="1:32" hidden="1" x14ac:dyDescent="0.35">
      <c r="A6743">
        <v>6742</v>
      </c>
      <c r="B6743" t="s">
        <v>13802</v>
      </c>
      <c r="C6743" t="s">
        <v>68</v>
      </c>
      <c r="D6743" t="s">
        <v>62</v>
      </c>
      <c r="E6743">
        <v>328</v>
      </c>
      <c r="F6743">
        <v>2</v>
      </c>
      <c r="G6743">
        <v>2</v>
      </c>
      <c r="H6743">
        <v>1</v>
      </c>
      <c r="I6743">
        <v>0</v>
      </c>
      <c r="J6743">
        <v>1</v>
      </c>
      <c r="K6743">
        <v>1</v>
      </c>
      <c r="L6743">
        <v>1</v>
      </c>
      <c r="M6743">
        <v>1</v>
      </c>
      <c r="N6743">
        <v>1</v>
      </c>
      <c r="O6743">
        <v>1</v>
      </c>
      <c r="AF6743" t="s">
        <v>13803</v>
      </c>
    </row>
    <row r="6744" spans="1:32" hidden="1" x14ac:dyDescent="0.35">
      <c r="A6744">
        <v>6743</v>
      </c>
      <c r="B6744" t="s">
        <v>13804</v>
      </c>
      <c r="C6744" t="s">
        <v>68</v>
      </c>
      <c r="D6744" t="s">
        <v>34</v>
      </c>
      <c r="E6744">
        <v>1387</v>
      </c>
      <c r="F6744">
        <v>2</v>
      </c>
      <c r="G6744">
        <v>2</v>
      </c>
      <c r="H6744">
        <v>1</v>
      </c>
      <c r="I6744">
        <v>0</v>
      </c>
      <c r="J6744">
        <v>1</v>
      </c>
      <c r="K6744">
        <v>1</v>
      </c>
      <c r="L6744">
        <v>1</v>
      </c>
      <c r="M6744">
        <v>1</v>
      </c>
      <c r="N6744">
        <v>1</v>
      </c>
      <c r="O6744">
        <v>1</v>
      </c>
      <c r="AF6744" t="s">
        <v>13805</v>
      </c>
    </row>
    <row r="6745" spans="1:32" hidden="1" x14ac:dyDescent="0.35">
      <c r="A6745">
        <v>6744</v>
      </c>
      <c r="B6745" t="s">
        <v>13804</v>
      </c>
      <c r="C6745" t="s">
        <v>68</v>
      </c>
      <c r="D6745" t="s">
        <v>45</v>
      </c>
      <c r="E6745">
        <v>137</v>
      </c>
      <c r="F6745">
        <v>2</v>
      </c>
      <c r="G6745">
        <v>2</v>
      </c>
      <c r="H6745">
        <v>1</v>
      </c>
      <c r="I6745">
        <v>0</v>
      </c>
      <c r="J6745">
        <v>1</v>
      </c>
      <c r="K6745">
        <v>1</v>
      </c>
      <c r="L6745">
        <v>1</v>
      </c>
      <c r="M6745">
        <v>1</v>
      </c>
      <c r="N6745">
        <v>1</v>
      </c>
      <c r="O6745">
        <v>1</v>
      </c>
      <c r="AF6745" t="s">
        <v>13805</v>
      </c>
    </row>
    <row r="6746" spans="1:32" hidden="1" x14ac:dyDescent="0.35">
      <c r="A6746">
        <v>6745</v>
      </c>
      <c r="B6746" t="s">
        <v>13806</v>
      </c>
      <c r="C6746" t="s">
        <v>68</v>
      </c>
      <c r="D6746" t="s">
        <v>34</v>
      </c>
      <c r="E6746">
        <v>495</v>
      </c>
      <c r="F6746">
        <v>2</v>
      </c>
      <c r="G6746">
        <v>2</v>
      </c>
      <c r="H6746">
        <v>1</v>
      </c>
      <c r="I6746">
        <v>0</v>
      </c>
      <c r="J6746">
        <v>1</v>
      </c>
      <c r="K6746">
        <v>1</v>
      </c>
      <c r="L6746">
        <v>1</v>
      </c>
      <c r="M6746">
        <v>1</v>
      </c>
      <c r="N6746">
        <v>1</v>
      </c>
      <c r="O6746">
        <v>1</v>
      </c>
      <c r="AF6746" t="s">
        <v>13807</v>
      </c>
    </row>
    <row r="6747" spans="1:32" hidden="1" x14ac:dyDescent="0.35">
      <c r="A6747">
        <v>6746</v>
      </c>
      <c r="B6747" t="s">
        <v>13806</v>
      </c>
      <c r="C6747" t="s">
        <v>68</v>
      </c>
      <c r="D6747" t="s">
        <v>45</v>
      </c>
      <c r="E6747">
        <v>1760</v>
      </c>
      <c r="F6747">
        <v>2</v>
      </c>
      <c r="G6747">
        <v>2</v>
      </c>
      <c r="H6747">
        <v>1</v>
      </c>
      <c r="I6747">
        <v>0</v>
      </c>
      <c r="J6747">
        <v>1</v>
      </c>
      <c r="K6747">
        <v>1</v>
      </c>
      <c r="L6747">
        <v>1</v>
      </c>
      <c r="M6747">
        <v>1</v>
      </c>
      <c r="N6747">
        <v>1</v>
      </c>
      <c r="O6747">
        <v>1</v>
      </c>
      <c r="AF6747" t="s">
        <v>13807</v>
      </c>
    </row>
    <row r="6748" spans="1:32" hidden="1" x14ac:dyDescent="0.35">
      <c r="A6748">
        <v>6747</v>
      </c>
      <c r="B6748" t="s">
        <v>13808</v>
      </c>
      <c r="C6748" t="s">
        <v>68</v>
      </c>
      <c r="D6748" t="s">
        <v>60</v>
      </c>
      <c r="E6748">
        <v>280</v>
      </c>
      <c r="F6748">
        <v>2</v>
      </c>
      <c r="G6748">
        <v>2</v>
      </c>
      <c r="H6748">
        <v>1</v>
      </c>
      <c r="I6748">
        <v>0</v>
      </c>
      <c r="J6748">
        <v>1</v>
      </c>
      <c r="K6748">
        <v>1</v>
      </c>
      <c r="L6748">
        <v>1</v>
      </c>
      <c r="M6748">
        <v>1</v>
      </c>
      <c r="N6748">
        <v>1</v>
      </c>
      <c r="O6748">
        <v>1</v>
      </c>
      <c r="AF6748" t="s">
        <v>13809</v>
      </c>
    </row>
    <row r="6749" spans="1:32" hidden="1" x14ac:dyDescent="0.35">
      <c r="A6749">
        <v>6748</v>
      </c>
      <c r="B6749" t="s">
        <v>13808</v>
      </c>
      <c r="C6749" t="s">
        <v>68</v>
      </c>
      <c r="D6749" t="s">
        <v>62</v>
      </c>
      <c r="E6749">
        <v>358</v>
      </c>
      <c r="F6749">
        <v>2</v>
      </c>
      <c r="G6749">
        <v>2</v>
      </c>
      <c r="H6749">
        <v>1</v>
      </c>
      <c r="I6749">
        <v>0</v>
      </c>
      <c r="J6749">
        <v>1</v>
      </c>
      <c r="K6749">
        <v>1</v>
      </c>
      <c r="L6749">
        <v>1</v>
      </c>
      <c r="M6749">
        <v>1</v>
      </c>
      <c r="N6749">
        <v>1</v>
      </c>
      <c r="O6749">
        <v>1</v>
      </c>
      <c r="AF6749" t="s">
        <v>13809</v>
      </c>
    </row>
    <row r="6750" spans="1:32" hidden="1" x14ac:dyDescent="0.35">
      <c r="A6750">
        <v>6749</v>
      </c>
      <c r="B6750" t="s">
        <v>13810</v>
      </c>
      <c r="C6750" t="s">
        <v>68</v>
      </c>
      <c r="D6750" t="s">
        <v>34</v>
      </c>
      <c r="E6750">
        <v>637</v>
      </c>
      <c r="F6750">
        <v>2</v>
      </c>
      <c r="G6750">
        <v>2</v>
      </c>
      <c r="H6750">
        <v>1</v>
      </c>
      <c r="I6750">
        <v>0</v>
      </c>
      <c r="J6750">
        <v>1</v>
      </c>
      <c r="K6750">
        <v>1</v>
      </c>
      <c r="L6750">
        <v>1</v>
      </c>
      <c r="M6750">
        <v>1</v>
      </c>
      <c r="N6750">
        <v>1</v>
      </c>
      <c r="O6750">
        <v>1</v>
      </c>
      <c r="P6750" t="s">
        <v>136</v>
      </c>
      <c r="Q6750" t="s">
        <v>137</v>
      </c>
      <c r="R6750" t="s">
        <v>138</v>
      </c>
      <c r="S6750" t="s">
        <v>139</v>
      </c>
      <c r="T6750" t="s">
        <v>140</v>
      </c>
      <c r="U6750" t="s">
        <v>141</v>
      </c>
      <c r="V6750" t="s">
        <v>142</v>
      </c>
      <c r="W6750" t="s">
        <v>143</v>
      </c>
      <c r="Z6750" t="s">
        <v>144</v>
      </c>
      <c r="AA6750" t="s">
        <v>145</v>
      </c>
      <c r="AB6750" t="s">
        <v>144</v>
      </c>
      <c r="AC6750" t="s">
        <v>146</v>
      </c>
      <c r="AD6750" t="s">
        <v>147</v>
      </c>
      <c r="AE6750" t="s">
        <v>148</v>
      </c>
      <c r="AF6750" t="s">
        <v>13811</v>
      </c>
    </row>
    <row r="6751" spans="1:32" hidden="1" x14ac:dyDescent="0.35">
      <c r="A6751">
        <v>6750</v>
      </c>
      <c r="B6751" t="s">
        <v>13810</v>
      </c>
      <c r="C6751" t="s">
        <v>68</v>
      </c>
      <c r="D6751" t="s">
        <v>45</v>
      </c>
      <c r="E6751">
        <v>1903</v>
      </c>
      <c r="F6751">
        <v>2</v>
      </c>
      <c r="G6751">
        <v>2</v>
      </c>
      <c r="H6751">
        <v>1</v>
      </c>
      <c r="I6751">
        <v>0</v>
      </c>
      <c r="J6751">
        <v>1</v>
      </c>
      <c r="K6751">
        <v>1</v>
      </c>
      <c r="L6751">
        <v>1</v>
      </c>
      <c r="M6751">
        <v>1</v>
      </c>
      <c r="N6751">
        <v>1</v>
      </c>
      <c r="O6751">
        <v>1</v>
      </c>
      <c r="P6751" t="s">
        <v>136</v>
      </c>
      <c r="Q6751" t="s">
        <v>137</v>
      </c>
      <c r="R6751" t="s">
        <v>138</v>
      </c>
      <c r="S6751" t="s">
        <v>139</v>
      </c>
      <c r="T6751" t="s">
        <v>140</v>
      </c>
      <c r="U6751" t="s">
        <v>141</v>
      </c>
      <c r="V6751" t="s">
        <v>142</v>
      </c>
      <c r="W6751" t="s">
        <v>143</v>
      </c>
      <c r="Z6751" t="s">
        <v>144</v>
      </c>
      <c r="AA6751" t="s">
        <v>145</v>
      </c>
      <c r="AB6751" t="s">
        <v>144</v>
      </c>
      <c r="AC6751" t="s">
        <v>146</v>
      </c>
      <c r="AD6751" t="s">
        <v>147</v>
      </c>
      <c r="AE6751" t="s">
        <v>148</v>
      </c>
      <c r="AF6751" t="s">
        <v>13811</v>
      </c>
    </row>
    <row r="6752" spans="1:32" hidden="1" x14ac:dyDescent="0.35">
      <c r="A6752">
        <v>6751</v>
      </c>
      <c r="B6752" t="s">
        <v>13812</v>
      </c>
      <c r="C6752" t="s">
        <v>68</v>
      </c>
      <c r="D6752" t="s">
        <v>34</v>
      </c>
      <c r="E6752">
        <v>2269</v>
      </c>
      <c r="F6752">
        <v>2</v>
      </c>
      <c r="G6752">
        <v>2</v>
      </c>
      <c r="H6752">
        <v>1</v>
      </c>
      <c r="I6752">
        <v>0</v>
      </c>
      <c r="J6752">
        <v>1</v>
      </c>
      <c r="K6752">
        <v>1</v>
      </c>
      <c r="L6752">
        <v>1</v>
      </c>
      <c r="M6752">
        <v>1</v>
      </c>
      <c r="N6752">
        <v>1</v>
      </c>
      <c r="O6752">
        <v>1</v>
      </c>
      <c r="AF6752" t="s">
        <v>13813</v>
      </c>
    </row>
    <row r="6753" spans="1:32" hidden="1" x14ac:dyDescent="0.35">
      <c r="A6753">
        <v>6752</v>
      </c>
      <c r="B6753" t="s">
        <v>13812</v>
      </c>
      <c r="C6753" t="s">
        <v>68</v>
      </c>
      <c r="D6753" t="s">
        <v>45</v>
      </c>
      <c r="E6753">
        <v>606</v>
      </c>
      <c r="F6753">
        <v>2</v>
      </c>
      <c r="G6753">
        <v>2</v>
      </c>
      <c r="H6753">
        <v>1</v>
      </c>
      <c r="I6753">
        <v>0</v>
      </c>
      <c r="J6753">
        <v>1</v>
      </c>
      <c r="K6753">
        <v>1</v>
      </c>
      <c r="L6753">
        <v>1</v>
      </c>
      <c r="M6753">
        <v>1</v>
      </c>
      <c r="N6753">
        <v>1</v>
      </c>
      <c r="O6753">
        <v>1</v>
      </c>
      <c r="AF6753" t="s">
        <v>13813</v>
      </c>
    </row>
    <row r="6754" spans="1:32" hidden="1" x14ac:dyDescent="0.35">
      <c r="A6754">
        <v>6753</v>
      </c>
      <c r="B6754" t="s">
        <v>13814</v>
      </c>
      <c r="C6754" t="s">
        <v>68</v>
      </c>
      <c r="D6754" t="s">
        <v>34</v>
      </c>
      <c r="E6754">
        <v>683</v>
      </c>
      <c r="F6754">
        <v>2</v>
      </c>
      <c r="G6754">
        <v>2</v>
      </c>
      <c r="H6754">
        <v>1</v>
      </c>
      <c r="I6754">
        <v>0</v>
      </c>
      <c r="J6754">
        <v>1</v>
      </c>
      <c r="K6754">
        <v>1</v>
      </c>
      <c r="L6754">
        <v>1</v>
      </c>
      <c r="M6754">
        <v>1</v>
      </c>
      <c r="N6754">
        <v>1</v>
      </c>
      <c r="O6754">
        <v>1</v>
      </c>
      <c r="P6754" t="s">
        <v>13815</v>
      </c>
      <c r="Q6754" t="s">
        <v>13816</v>
      </c>
      <c r="R6754" t="s">
        <v>138</v>
      </c>
      <c r="S6754" t="s">
        <v>139</v>
      </c>
      <c r="T6754" t="s">
        <v>13231</v>
      </c>
      <c r="U6754" t="s">
        <v>13232</v>
      </c>
      <c r="V6754" t="s">
        <v>13817</v>
      </c>
      <c r="W6754" t="s">
        <v>13818</v>
      </c>
      <c r="AD6754" t="s">
        <v>166</v>
      </c>
      <c r="AE6754" t="s">
        <v>167</v>
      </c>
      <c r="AF6754" t="s">
        <v>13819</v>
      </c>
    </row>
    <row r="6755" spans="1:32" hidden="1" x14ac:dyDescent="0.35">
      <c r="A6755">
        <v>6754</v>
      </c>
      <c r="B6755" t="s">
        <v>13814</v>
      </c>
      <c r="C6755" t="s">
        <v>68</v>
      </c>
      <c r="D6755" t="s">
        <v>45</v>
      </c>
      <c r="E6755">
        <v>1949</v>
      </c>
      <c r="F6755">
        <v>2</v>
      </c>
      <c r="G6755">
        <v>2</v>
      </c>
      <c r="H6755">
        <v>1</v>
      </c>
      <c r="I6755">
        <v>0</v>
      </c>
      <c r="J6755">
        <v>1</v>
      </c>
      <c r="K6755">
        <v>1</v>
      </c>
      <c r="L6755">
        <v>1</v>
      </c>
      <c r="M6755">
        <v>1</v>
      </c>
      <c r="N6755">
        <v>1</v>
      </c>
      <c r="O6755">
        <v>1</v>
      </c>
      <c r="P6755" t="s">
        <v>13815</v>
      </c>
      <c r="Q6755" t="s">
        <v>13816</v>
      </c>
      <c r="R6755" t="s">
        <v>138</v>
      </c>
      <c r="S6755" t="s">
        <v>139</v>
      </c>
      <c r="T6755" t="s">
        <v>13231</v>
      </c>
      <c r="U6755" t="s">
        <v>13232</v>
      </c>
      <c r="V6755" t="s">
        <v>13817</v>
      </c>
      <c r="W6755" t="s">
        <v>13818</v>
      </c>
      <c r="AD6755" t="s">
        <v>166</v>
      </c>
      <c r="AE6755" t="s">
        <v>167</v>
      </c>
      <c r="AF6755" t="s">
        <v>13819</v>
      </c>
    </row>
    <row r="6756" spans="1:32" hidden="1" x14ac:dyDescent="0.35">
      <c r="A6756">
        <v>6755</v>
      </c>
      <c r="B6756" t="s">
        <v>13820</v>
      </c>
      <c r="C6756" t="s">
        <v>68</v>
      </c>
      <c r="D6756" t="s">
        <v>34</v>
      </c>
      <c r="E6756">
        <v>347</v>
      </c>
      <c r="F6756">
        <v>2</v>
      </c>
      <c r="G6756">
        <v>2</v>
      </c>
      <c r="H6756">
        <v>1</v>
      </c>
      <c r="I6756">
        <v>0</v>
      </c>
      <c r="J6756">
        <v>1</v>
      </c>
      <c r="K6756">
        <v>1</v>
      </c>
      <c r="L6756">
        <v>1</v>
      </c>
      <c r="M6756">
        <v>1</v>
      </c>
      <c r="N6756">
        <v>1</v>
      </c>
      <c r="O6756">
        <v>1</v>
      </c>
      <c r="R6756" t="s">
        <v>1259</v>
      </c>
      <c r="S6756" t="s">
        <v>1260</v>
      </c>
      <c r="V6756" t="s">
        <v>13821</v>
      </c>
      <c r="W6756" t="s">
        <v>13822</v>
      </c>
      <c r="AF6756" t="s">
        <v>13823</v>
      </c>
    </row>
    <row r="6757" spans="1:32" hidden="1" x14ac:dyDescent="0.35">
      <c r="A6757">
        <v>6756</v>
      </c>
      <c r="B6757" t="s">
        <v>13820</v>
      </c>
      <c r="C6757" t="s">
        <v>68</v>
      </c>
      <c r="D6757" t="s">
        <v>45</v>
      </c>
      <c r="E6757">
        <v>1609</v>
      </c>
      <c r="F6757">
        <v>2</v>
      </c>
      <c r="G6757">
        <v>2</v>
      </c>
      <c r="H6757">
        <v>1</v>
      </c>
      <c r="I6757">
        <v>0</v>
      </c>
      <c r="J6757">
        <v>1</v>
      </c>
      <c r="K6757">
        <v>1</v>
      </c>
      <c r="L6757">
        <v>1</v>
      </c>
      <c r="M6757">
        <v>1</v>
      </c>
      <c r="N6757">
        <v>1</v>
      </c>
      <c r="O6757">
        <v>1</v>
      </c>
      <c r="R6757" t="s">
        <v>1259</v>
      </c>
      <c r="S6757" t="s">
        <v>1260</v>
      </c>
      <c r="V6757" t="s">
        <v>13821</v>
      </c>
      <c r="W6757" t="s">
        <v>13822</v>
      </c>
      <c r="AF6757" t="s">
        <v>13823</v>
      </c>
    </row>
    <row r="6758" spans="1:32" hidden="1" x14ac:dyDescent="0.35">
      <c r="A6758">
        <v>6757</v>
      </c>
      <c r="B6758" t="s">
        <v>13824</v>
      </c>
      <c r="C6758" t="s">
        <v>68</v>
      </c>
      <c r="D6758" t="s">
        <v>60</v>
      </c>
      <c r="E6758">
        <v>1838</v>
      </c>
      <c r="F6758">
        <v>2</v>
      </c>
      <c r="G6758">
        <v>2</v>
      </c>
      <c r="H6758">
        <v>1</v>
      </c>
      <c r="I6758">
        <v>0</v>
      </c>
      <c r="J6758">
        <v>1</v>
      </c>
      <c r="K6758">
        <v>1</v>
      </c>
      <c r="L6758">
        <v>1</v>
      </c>
      <c r="M6758">
        <v>1</v>
      </c>
      <c r="N6758">
        <v>1</v>
      </c>
      <c r="O6758">
        <v>1</v>
      </c>
      <c r="AF6758" t="s">
        <v>13825</v>
      </c>
    </row>
    <row r="6759" spans="1:32" hidden="1" x14ac:dyDescent="0.35">
      <c r="A6759">
        <v>6758</v>
      </c>
      <c r="B6759" t="s">
        <v>13824</v>
      </c>
      <c r="C6759" t="s">
        <v>68</v>
      </c>
      <c r="D6759" t="s">
        <v>62</v>
      </c>
      <c r="E6759">
        <v>1876</v>
      </c>
      <c r="F6759">
        <v>2</v>
      </c>
      <c r="G6759">
        <v>2</v>
      </c>
      <c r="H6759">
        <v>1</v>
      </c>
      <c r="I6759">
        <v>0</v>
      </c>
      <c r="J6759">
        <v>1</v>
      </c>
      <c r="K6759">
        <v>1</v>
      </c>
      <c r="L6759">
        <v>1</v>
      </c>
      <c r="M6759">
        <v>1</v>
      </c>
      <c r="N6759">
        <v>1</v>
      </c>
      <c r="O6759">
        <v>1</v>
      </c>
      <c r="AF6759" t="s">
        <v>13825</v>
      </c>
    </row>
    <row r="6760" spans="1:32" hidden="1" x14ac:dyDescent="0.35">
      <c r="A6760">
        <v>6759</v>
      </c>
      <c r="B6760" t="s">
        <v>13826</v>
      </c>
      <c r="C6760" t="s">
        <v>68</v>
      </c>
      <c r="D6760" t="s">
        <v>60</v>
      </c>
      <c r="E6760">
        <v>902</v>
      </c>
      <c r="F6760">
        <v>2</v>
      </c>
      <c r="G6760">
        <v>2</v>
      </c>
      <c r="H6760">
        <v>1</v>
      </c>
      <c r="I6760">
        <v>0</v>
      </c>
      <c r="J6760">
        <v>1</v>
      </c>
      <c r="K6760">
        <v>1</v>
      </c>
      <c r="L6760">
        <v>1</v>
      </c>
      <c r="M6760">
        <v>1</v>
      </c>
      <c r="N6760">
        <v>1</v>
      </c>
      <c r="O6760">
        <v>1</v>
      </c>
      <c r="P6760" t="s">
        <v>13827</v>
      </c>
      <c r="Q6760" t="s">
        <v>13828</v>
      </c>
      <c r="R6760" t="s">
        <v>13829</v>
      </c>
      <c r="S6760" t="s">
        <v>13830</v>
      </c>
      <c r="V6760" t="s">
        <v>13831</v>
      </c>
      <c r="W6760" t="s">
        <v>13832</v>
      </c>
      <c r="AF6760" t="s">
        <v>13833</v>
      </c>
    </row>
    <row r="6761" spans="1:32" hidden="1" x14ac:dyDescent="0.35">
      <c r="A6761">
        <v>6760</v>
      </c>
      <c r="B6761" t="s">
        <v>13826</v>
      </c>
      <c r="C6761" t="s">
        <v>68</v>
      </c>
      <c r="D6761" t="s">
        <v>62</v>
      </c>
      <c r="E6761">
        <v>936</v>
      </c>
      <c r="F6761">
        <v>2</v>
      </c>
      <c r="G6761">
        <v>2</v>
      </c>
      <c r="H6761">
        <v>1</v>
      </c>
      <c r="I6761">
        <v>0</v>
      </c>
      <c r="J6761">
        <v>1</v>
      </c>
      <c r="K6761">
        <v>1</v>
      </c>
      <c r="L6761">
        <v>1</v>
      </c>
      <c r="M6761">
        <v>1</v>
      </c>
      <c r="N6761">
        <v>1</v>
      </c>
      <c r="O6761">
        <v>1</v>
      </c>
      <c r="P6761" t="s">
        <v>13827</v>
      </c>
      <c r="Q6761" t="s">
        <v>13828</v>
      </c>
      <c r="R6761" t="s">
        <v>13829</v>
      </c>
      <c r="S6761" t="s">
        <v>13830</v>
      </c>
      <c r="V6761" t="s">
        <v>13831</v>
      </c>
      <c r="W6761" t="s">
        <v>13832</v>
      </c>
      <c r="AF6761" t="s">
        <v>13833</v>
      </c>
    </row>
    <row r="6762" spans="1:32" hidden="1" x14ac:dyDescent="0.35">
      <c r="A6762">
        <v>6761</v>
      </c>
      <c r="B6762" t="s">
        <v>13834</v>
      </c>
      <c r="C6762" t="s">
        <v>68</v>
      </c>
      <c r="D6762" t="s">
        <v>60</v>
      </c>
      <c r="E6762">
        <v>1301</v>
      </c>
      <c r="F6762">
        <v>2</v>
      </c>
      <c r="G6762">
        <v>2</v>
      </c>
      <c r="H6762">
        <v>1</v>
      </c>
      <c r="I6762">
        <v>0</v>
      </c>
      <c r="J6762">
        <v>1</v>
      </c>
      <c r="K6762">
        <v>1</v>
      </c>
      <c r="L6762">
        <v>1</v>
      </c>
      <c r="M6762">
        <v>1</v>
      </c>
      <c r="N6762">
        <v>1</v>
      </c>
      <c r="O6762">
        <v>1</v>
      </c>
      <c r="P6762" t="s">
        <v>13835</v>
      </c>
      <c r="Q6762" t="s">
        <v>13836</v>
      </c>
      <c r="AF6762" t="s">
        <v>13837</v>
      </c>
    </row>
    <row r="6763" spans="1:32" hidden="1" x14ac:dyDescent="0.35">
      <c r="A6763">
        <v>6762</v>
      </c>
      <c r="B6763" t="s">
        <v>13834</v>
      </c>
      <c r="C6763" t="s">
        <v>68</v>
      </c>
      <c r="D6763" t="s">
        <v>62</v>
      </c>
      <c r="E6763">
        <v>1337</v>
      </c>
      <c r="F6763">
        <v>2</v>
      </c>
      <c r="G6763">
        <v>2</v>
      </c>
      <c r="H6763">
        <v>1</v>
      </c>
      <c r="I6763">
        <v>0</v>
      </c>
      <c r="J6763">
        <v>1</v>
      </c>
      <c r="K6763">
        <v>1</v>
      </c>
      <c r="L6763">
        <v>1</v>
      </c>
      <c r="M6763">
        <v>1</v>
      </c>
      <c r="N6763">
        <v>1</v>
      </c>
      <c r="O6763">
        <v>1</v>
      </c>
      <c r="P6763" t="s">
        <v>13835</v>
      </c>
      <c r="Q6763" t="s">
        <v>13836</v>
      </c>
      <c r="AF6763" t="s">
        <v>13837</v>
      </c>
    </row>
    <row r="6764" spans="1:32" hidden="1" x14ac:dyDescent="0.35">
      <c r="A6764">
        <v>6763</v>
      </c>
      <c r="B6764" t="s">
        <v>13838</v>
      </c>
      <c r="C6764" t="s">
        <v>68</v>
      </c>
      <c r="D6764" t="s">
        <v>60</v>
      </c>
      <c r="E6764">
        <v>1529</v>
      </c>
      <c r="F6764">
        <v>2</v>
      </c>
      <c r="G6764">
        <v>2</v>
      </c>
      <c r="H6764">
        <v>1</v>
      </c>
      <c r="I6764">
        <v>0</v>
      </c>
      <c r="J6764">
        <v>1</v>
      </c>
      <c r="K6764">
        <v>1</v>
      </c>
      <c r="L6764">
        <v>1</v>
      </c>
      <c r="M6764">
        <v>1</v>
      </c>
      <c r="N6764">
        <v>1</v>
      </c>
      <c r="O6764">
        <v>1</v>
      </c>
      <c r="AF6764" t="s">
        <v>13839</v>
      </c>
    </row>
    <row r="6765" spans="1:32" hidden="1" x14ac:dyDescent="0.35">
      <c r="A6765">
        <v>6764</v>
      </c>
      <c r="B6765" t="s">
        <v>13838</v>
      </c>
      <c r="C6765" t="s">
        <v>68</v>
      </c>
      <c r="D6765" t="s">
        <v>62</v>
      </c>
      <c r="E6765">
        <v>1564</v>
      </c>
      <c r="F6765">
        <v>2</v>
      </c>
      <c r="G6765">
        <v>2</v>
      </c>
      <c r="H6765">
        <v>1</v>
      </c>
      <c r="I6765">
        <v>0</v>
      </c>
      <c r="J6765">
        <v>1</v>
      </c>
      <c r="K6765">
        <v>1</v>
      </c>
      <c r="L6765">
        <v>1</v>
      </c>
      <c r="M6765">
        <v>1</v>
      </c>
      <c r="N6765">
        <v>1</v>
      </c>
      <c r="O6765">
        <v>1</v>
      </c>
      <c r="AF6765" t="s">
        <v>13839</v>
      </c>
    </row>
    <row r="6766" spans="1:32" hidden="1" x14ac:dyDescent="0.35">
      <c r="A6766">
        <v>6765</v>
      </c>
      <c r="B6766" t="s">
        <v>13840</v>
      </c>
      <c r="C6766" t="s">
        <v>68</v>
      </c>
      <c r="D6766" t="s">
        <v>34</v>
      </c>
      <c r="E6766">
        <v>428</v>
      </c>
      <c r="F6766">
        <v>2</v>
      </c>
      <c r="G6766">
        <v>2</v>
      </c>
      <c r="H6766">
        <v>1</v>
      </c>
      <c r="I6766">
        <v>0</v>
      </c>
      <c r="J6766">
        <v>1</v>
      </c>
      <c r="K6766">
        <v>1</v>
      </c>
      <c r="L6766">
        <v>1</v>
      </c>
      <c r="M6766">
        <v>1</v>
      </c>
      <c r="N6766">
        <v>1</v>
      </c>
      <c r="O6766">
        <v>1</v>
      </c>
      <c r="P6766" t="s">
        <v>13841</v>
      </c>
      <c r="Q6766" t="s">
        <v>13842</v>
      </c>
      <c r="AF6766" t="s">
        <v>13843</v>
      </c>
    </row>
    <row r="6767" spans="1:32" hidden="1" x14ac:dyDescent="0.35">
      <c r="A6767">
        <v>6766</v>
      </c>
      <c r="B6767" t="s">
        <v>13840</v>
      </c>
      <c r="C6767" t="s">
        <v>68</v>
      </c>
      <c r="D6767" t="s">
        <v>45</v>
      </c>
      <c r="E6767">
        <v>1690</v>
      </c>
      <c r="F6767">
        <v>2</v>
      </c>
      <c r="G6767">
        <v>2</v>
      </c>
      <c r="H6767">
        <v>1</v>
      </c>
      <c r="I6767">
        <v>0</v>
      </c>
      <c r="J6767">
        <v>1</v>
      </c>
      <c r="K6767">
        <v>1</v>
      </c>
      <c r="L6767">
        <v>1</v>
      </c>
      <c r="M6767">
        <v>1</v>
      </c>
      <c r="N6767">
        <v>1</v>
      </c>
      <c r="O6767">
        <v>1</v>
      </c>
      <c r="P6767" t="s">
        <v>13841</v>
      </c>
      <c r="Q6767" t="s">
        <v>13842</v>
      </c>
      <c r="AF6767" t="s">
        <v>13843</v>
      </c>
    </row>
    <row r="6768" spans="1:32" hidden="1" x14ac:dyDescent="0.35">
      <c r="A6768">
        <v>6767</v>
      </c>
      <c r="B6768" t="s">
        <v>13844</v>
      </c>
      <c r="C6768" t="s">
        <v>68</v>
      </c>
      <c r="D6768" t="s">
        <v>34</v>
      </c>
      <c r="E6768">
        <v>897</v>
      </c>
      <c r="F6768">
        <v>2</v>
      </c>
      <c r="G6768">
        <v>2</v>
      </c>
      <c r="H6768">
        <v>1</v>
      </c>
      <c r="I6768">
        <v>0</v>
      </c>
      <c r="J6768">
        <v>1</v>
      </c>
      <c r="K6768">
        <v>1</v>
      </c>
      <c r="L6768">
        <v>1</v>
      </c>
      <c r="M6768">
        <v>1</v>
      </c>
      <c r="N6768">
        <v>1</v>
      </c>
      <c r="O6768">
        <v>1</v>
      </c>
      <c r="P6768" t="s">
        <v>13845</v>
      </c>
      <c r="Q6768" t="s">
        <v>13846</v>
      </c>
      <c r="R6768" t="s">
        <v>288</v>
      </c>
      <c r="S6768" t="s">
        <v>289</v>
      </c>
      <c r="V6768" t="s">
        <v>13847</v>
      </c>
      <c r="W6768" t="s">
        <v>13848</v>
      </c>
      <c r="AF6768" t="s">
        <v>13849</v>
      </c>
    </row>
    <row r="6769" spans="1:32" hidden="1" x14ac:dyDescent="0.35">
      <c r="A6769">
        <v>6768</v>
      </c>
      <c r="B6769" t="s">
        <v>13844</v>
      </c>
      <c r="C6769" t="s">
        <v>68</v>
      </c>
      <c r="D6769" t="s">
        <v>45</v>
      </c>
      <c r="E6769">
        <v>2153</v>
      </c>
      <c r="F6769">
        <v>2</v>
      </c>
      <c r="G6769">
        <v>2</v>
      </c>
      <c r="H6769">
        <v>1</v>
      </c>
      <c r="I6769">
        <v>0</v>
      </c>
      <c r="J6769">
        <v>1</v>
      </c>
      <c r="K6769">
        <v>1</v>
      </c>
      <c r="L6769">
        <v>1</v>
      </c>
      <c r="M6769">
        <v>1</v>
      </c>
      <c r="N6769">
        <v>1</v>
      </c>
      <c r="O6769">
        <v>1</v>
      </c>
      <c r="P6769" t="s">
        <v>13845</v>
      </c>
      <c r="Q6769" t="s">
        <v>13846</v>
      </c>
      <c r="R6769" t="s">
        <v>288</v>
      </c>
      <c r="S6769" t="s">
        <v>289</v>
      </c>
      <c r="V6769" t="s">
        <v>13847</v>
      </c>
      <c r="W6769" t="s">
        <v>13848</v>
      </c>
      <c r="AF6769" t="s">
        <v>13849</v>
      </c>
    </row>
    <row r="6770" spans="1:32" hidden="1" x14ac:dyDescent="0.35">
      <c r="A6770">
        <v>6769</v>
      </c>
      <c r="B6770" t="s">
        <v>13850</v>
      </c>
      <c r="C6770" t="s">
        <v>68</v>
      </c>
      <c r="D6770" t="s">
        <v>60</v>
      </c>
      <c r="E6770">
        <v>232</v>
      </c>
      <c r="F6770">
        <v>2</v>
      </c>
      <c r="G6770">
        <v>2</v>
      </c>
      <c r="H6770">
        <v>1</v>
      </c>
      <c r="I6770">
        <v>0</v>
      </c>
      <c r="J6770">
        <v>1</v>
      </c>
      <c r="K6770">
        <v>1</v>
      </c>
      <c r="L6770">
        <v>1</v>
      </c>
      <c r="M6770">
        <v>1</v>
      </c>
      <c r="N6770">
        <v>1</v>
      </c>
      <c r="O6770">
        <v>1</v>
      </c>
      <c r="P6770" t="s">
        <v>13851</v>
      </c>
      <c r="Q6770" t="s">
        <v>13852</v>
      </c>
      <c r="R6770" t="s">
        <v>13853</v>
      </c>
      <c r="S6770" t="s">
        <v>13854</v>
      </c>
      <c r="V6770" t="s">
        <v>13855</v>
      </c>
      <c r="W6770" t="s">
        <v>13856</v>
      </c>
      <c r="AF6770" t="s">
        <v>13857</v>
      </c>
    </row>
    <row r="6771" spans="1:32" hidden="1" x14ac:dyDescent="0.35">
      <c r="A6771">
        <v>6770</v>
      </c>
      <c r="B6771" t="s">
        <v>13850</v>
      </c>
      <c r="C6771" t="s">
        <v>68</v>
      </c>
      <c r="D6771" t="s">
        <v>62</v>
      </c>
      <c r="E6771">
        <v>309</v>
      </c>
      <c r="F6771">
        <v>2</v>
      </c>
      <c r="G6771">
        <v>2</v>
      </c>
      <c r="H6771">
        <v>1</v>
      </c>
      <c r="I6771">
        <v>0</v>
      </c>
      <c r="J6771">
        <v>1</v>
      </c>
      <c r="K6771">
        <v>1</v>
      </c>
      <c r="L6771">
        <v>1</v>
      </c>
      <c r="M6771">
        <v>1</v>
      </c>
      <c r="N6771">
        <v>1</v>
      </c>
      <c r="O6771">
        <v>1</v>
      </c>
      <c r="P6771" t="s">
        <v>13851</v>
      </c>
      <c r="Q6771" t="s">
        <v>13852</v>
      </c>
      <c r="R6771" t="s">
        <v>13853</v>
      </c>
      <c r="S6771" t="s">
        <v>13854</v>
      </c>
      <c r="V6771" t="s">
        <v>13855</v>
      </c>
      <c r="W6771" t="s">
        <v>13856</v>
      </c>
      <c r="AF6771" t="s">
        <v>13857</v>
      </c>
    </row>
    <row r="6772" spans="1:32" hidden="1" x14ac:dyDescent="0.35">
      <c r="A6772">
        <v>6771</v>
      </c>
      <c r="B6772" t="s">
        <v>13858</v>
      </c>
      <c r="C6772" t="s">
        <v>68</v>
      </c>
      <c r="D6772" t="s">
        <v>34</v>
      </c>
      <c r="E6772">
        <v>1408</v>
      </c>
      <c r="F6772">
        <v>2</v>
      </c>
      <c r="G6772">
        <v>2</v>
      </c>
      <c r="H6772">
        <v>1</v>
      </c>
      <c r="I6772">
        <v>0</v>
      </c>
      <c r="J6772">
        <v>1</v>
      </c>
      <c r="K6772">
        <v>1</v>
      </c>
      <c r="L6772">
        <v>1</v>
      </c>
      <c r="M6772">
        <v>1</v>
      </c>
      <c r="N6772">
        <v>1</v>
      </c>
      <c r="O6772">
        <v>1</v>
      </c>
      <c r="P6772" t="s">
        <v>169</v>
      </c>
      <c r="Q6772" t="s">
        <v>170</v>
      </c>
      <c r="R6772" t="s">
        <v>138</v>
      </c>
      <c r="S6772" t="s">
        <v>139</v>
      </c>
      <c r="T6772" t="s">
        <v>3691</v>
      </c>
      <c r="U6772" t="s">
        <v>3692</v>
      </c>
      <c r="V6772" t="s">
        <v>3693</v>
      </c>
      <c r="W6772" t="s">
        <v>3694</v>
      </c>
      <c r="AD6772" t="s">
        <v>166</v>
      </c>
      <c r="AE6772" t="s">
        <v>3695</v>
      </c>
      <c r="AF6772" t="s">
        <v>13859</v>
      </c>
    </row>
    <row r="6773" spans="1:32" hidden="1" x14ac:dyDescent="0.35">
      <c r="A6773">
        <v>6772</v>
      </c>
      <c r="B6773" t="s">
        <v>13858</v>
      </c>
      <c r="C6773" t="s">
        <v>68</v>
      </c>
      <c r="D6773" t="s">
        <v>45</v>
      </c>
      <c r="E6773">
        <v>159</v>
      </c>
      <c r="F6773">
        <v>2</v>
      </c>
      <c r="G6773">
        <v>2</v>
      </c>
      <c r="H6773">
        <v>1</v>
      </c>
      <c r="I6773">
        <v>0</v>
      </c>
      <c r="J6773">
        <v>1</v>
      </c>
      <c r="K6773">
        <v>1</v>
      </c>
      <c r="L6773">
        <v>1</v>
      </c>
      <c r="M6773">
        <v>1</v>
      </c>
      <c r="N6773">
        <v>1</v>
      </c>
      <c r="O6773">
        <v>1</v>
      </c>
      <c r="P6773" t="s">
        <v>169</v>
      </c>
      <c r="Q6773" t="s">
        <v>170</v>
      </c>
      <c r="R6773" t="s">
        <v>138</v>
      </c>
      <c r="S6773" t="s">
        <v>139</v>
      </c>
      <c r="T6773" t="s">
        <v>3691</v>
      </c>
      <c r="U6773" t="s">
        <v>3692</v>
      </c>
      <c r="V6773" t="s">
        <v>3693</v>
      </c>
      <c r="W6773" t="s">
        <v>3694</v>
      </c>
      <c r="AD6773" t="s">
        <v>166</v>
      </c>
      <c r="AE6773" t="s">
        <v>3695</v>
      </c>
      <c r="AF6773" t="s">
        <v>13859</v>
      </c>
    </row>
    <row r="6774" spans="1:32" hidden="1" x14ac:dyDescent="0.35">
      <c r="A6774">
        <v>6773</v>
      </c>
      <c r="B6774" t="s">
        <v>13860</v>
      </c>
      <c r="C6774" t="s">
        <v>68</v>
      </c>
      <c r="D6774" t="s">
        <v>60</v>
      </c>
      <c r="E6774">
        <v>817</v>
      </c>
      <c r="F6774">
        <v>2</v>
      </c>
      <c r="G6774">
        <v>2</v>
      </c>
      <c r="H6774">
        <v>1</v>
      </c>
      <c r="I6774">
        <v>0</v>
      </c>
      <c r="J6774">
        <v>1</v>
      </c>
      <c r="K6774">
        <v>1</v>
      </c>
      <c r="L6774">
        <v>1</v>
      </c>
      <c r="M6774">
        <v>1</v>
      </c>
      <c r="N6774">
        <v>1</v>
      </c>
      <c r="O6774">
        <v>1</v>
      </c>
      <c r="AF6774" t="s">
        <v>13861</v>
      </c>
    </row>
    <row r="6775" spans="1:32" hidden="1" x14ac:dyDescent="0.35">
      <c r="A6775">
        <v>6774</v>
      </c>
      <c r="B6775" t="s">
        <v>13860</v>
      </c>
      <c r="C6775" t="s">
        <v>68</v>
      </c>
      <c r="D6775" t="s">
        <v>62</v>
      </c>
      <c r="E6775">
        <v>850</v>
      </c>
      <c r="F6775">
        <v>2</v>
      </c>
      <c r="G6775">
        <v>2</v>
      </c>
      <c r="H6775">
        <v>1</v>
      </c>
      <c r="I6775">
        <v>0</v>
      </c>
      <c r="J6775">
        <v>1</v>
      </c>
      <c r="K6775">
        <v>1</v>
      </c>
      <c r="L6775">
        <v>1</v>
      </c>
      <c r="M6775">
        <v>1</v>
      </c>
      <c r="N6775">
        <v>1</v>
      </c>
      <c r="O6775">
        <v>1</v>
      </c>
      <c r="AF6775" t="s">
        <v>13861</v>
      </c>
    </row>
    <row r="6776" spans="1:32" hidden="1" x14ac:dyDescent="0.35">
      <c r="A6776">
        <v>6775</v>
      </c>
      <c r="B6776" t="s">
        <v>13862</v>
      </c>
      <c r="C6776" t="s">
        <v>68</v>
      </c>
      <c r="D6776" t="s">
        <v>60</v>
      </c>
      <c r="E6776">
        <v>2331</v>
      </c>
      <c r="F6776">
        <v>2</v>
      </c>
      <c r="G6776">
        <v>2</v>
      </c>
      <c r="H6776">
        <v>1</v>
      </c>
      <c r="I6776">
        <v>0</v>
      </c>
      <c r="J6776">
        <v>1</v>
      </c>
      <c r="K6776">
        <v>1</v>
      </c>
      <c r="L6776">
        <v>1</v>
      </c>
      <c r="M6776">
        <v>1</v>
      </c>
      <c r="N6776">
        <v>1</v>
      </c>
      <c r="O6776">
        <v>1</v>
      </c>
      <c r="P6776" t="s">
        <v>169</v>
      </c>
      <c r="Q6776" t="s">
        <v>170</v>
      </c>
      <c r="R6776" t="s">
        <v>224</v>
      </c>
      <c r="S6776" t="s">
        <v>225</v>
      </c>
      <c r="V6776" t="s">
        <v>13863</v>
      </c>
      <c r="W6776" t="s">
        <v>13864</v>
      </c>
      <c r="AF6776" t="s">
        <v>13865</v>
      </c>
    </row>
    <row r="6777" spans="1:32" hidden="1" x14ac:dyDescent="0.35">
      <c r="A6777">
        <v>6776</v>
      </c>
      <c r="B6777" t="s">
        <v>13862</v>
      </c>
      <c r="C6777" t="s">
        <v>68</v>
      </c>
      <c r="D6777" t="s">
        <v>62</v>
      </c>
      <c r="E6777">
        <v>2359</v>
      </c>
      <c r="F6777">
        <v>2</v>
      </c>
      <c r="G6777">
        <v>2</v>
      </c>
      <c r="H6777">
        <v>1</v>
      </c>
      <c r="I6777">
        <v>0</v>
      </c>
      <c r="J6777">
        <v>1</v>
      </c>
      <c r="K6777">
        <v>1</v>
      </c>
      <c r="L6777">
        <v>1</v>
      </c>
      <c r="M6777">
        <v>1</v>
      </c>
      <c r="N6777">
        <v>1</v>
      </c>
      <c r="O6777">
        <v>1</v>
      </c>
      <c r="P6777" t="s">
        <v>169</v>
      </c>
      <c r="Q6777" t="s">
        <v>170</v>
      </c>
      <c r="R6777" t="s">
        <v>224</v>
      </c>
      <c r="S6777" t="s">
        <v>225</v>
      </c>
      <c r="V6777" t="s">
        <v>13863</v>
      </c>
      <c r="W6777" t="s">
        <v>13864</v>
      </c>
      <c r="AF6777" t="s">
        <v>13865</v>
      </c>
    </row>
    <row r="6778" spans="1:32" hidden="1" x14ac:dyDescent="0.35">
      <c r="A6778">
        <v>6777</v>
      </c>
      <c r="B6778" t="s">
        <v>13866</v>
      </c>
      <c r="C6778" t="s">
        <v>68</v>
      </c>
      <c r="D6778" t="s">
        <v>34</v>
      </c>
      <c r="E6778">
        <v>2060</v>
      </c>
      <c r="F6778">
        <v>2</v>
      </c>
      <c r="G6778">
        <v>2</v>
      </c>
      <c r="H6778">
        <v>1</v>
      </c>
      <c r="I6778">
        <v>0</v>
      </c>
      <c r="J6778">
        <v>1</v>
      </c>
      <c r="K6778">
        <v>1</v>
      </c>
      <c r="L6778">
        <v>1</v>
      </c>
      <c r="M6778">
        <v>1</v>
      </c>
      <c r="N6778">
        <v>1</v>
      </c>
      <c r="O6778">
        <v>1</v>
      </c>
      <c r="P6778" t="s">
        <v>13867</v>
      </c>
      <c r="Q6778" t="s">
        <v>13868</v>
      </c>
      <c r="R6778" t="s">
        <v>516</v>
      </c>
      <c r="S6778" t="s">
        <v>517</v>
      </c>
      <c r="T6778" t="s">
        <v>13869</v>
      </c>
      <c r="U6778" t="s">
        <v>13870</v>
      </c>
      <c r="V6778" t="s">
        <v>13871</v>
      </c>
      <c r="W6778" t="s">
        <v>13872</v>
      </c>
      <c r="AD6778" t="s">
        <v>245</v>
      </c>
      <c r="AE6778" t="s">
        <v>13873</v>
      </c>
      <c r="AF6778" t="s">
        <v>13874</v>
      </c>
    </row>
    <row r="6779" spans="1:32" hidden="1" x14ac:dyDescent="0.35">
      <c r="A6779">
        <v>6778</v>
      </c>
      <c r="B6779" t="s">
        <v>13866</v>
      </c>
      <c r="C6779" t="s">
        <v>68</v>
      </c>
      <c r="D6779" t="s">
        <v>45</v>
      </c>
      <c r="E6779">
        <v>812</v>
      </c>
      <c r="F6779">
        <v>2</v>
      </c>
      <c r="G6779">
        <v>2</v>
      </c>
      <c r="H6779">
        <v>1</v>
      </c>
      <c r="I6779">
        <v>0</v>
      </c>
      <c r="J6779">
        <v>1</v>
      </c>
      <c r="K6779">
        <v>1</v>
      </c>
      <c r="L6779">
        <v>1</v>
      </c>
      <c r="M6779">
        <v>1</v>
      </c>
      <c r="N6779">
        <v>1</v>
      </c>
      <c r="O6779">
        <v>1</v>
      </c>
      <c r="P6779" t="s">
        <v>13867</v>
      </c>
      <c r="Q6779" t="s">
        <v>13868</v>
      </c>
      <c r="R6779" t="s">
        <v>516</v>
      </c>
      <c r="S6779" t="s">
        <v>517</v>
      </c>
      <c r="T6779" t="s">
        <v>13869</v>
      </c>
      <c r="U6779" t="s">
        <v>13870</v>
      </c>
      <c r="V6779" t="s">
        <v>13871</v>
      </c>
      <c r="W6779" t="s">
        <v>13872</v>
      </c>
      <c r="AD6779" t="s">
        <v>245</v>
      </c>
      <c r="AE6779" t="s">
        <v>13873</v>
      </c>
      <c r="AF6779" t="s">
        <v>13874</v>
      </c>
    </row>
    <row r="6780" spans="1:32" hidden="1" x14ac:dyDescent="0.35">
      <c r="A6780">
        <v>6779</v>
      </c>
      <c r="B6780" t="s">
        <v>13875</v>
      </c>
      <c r="C6780" t="s">
        <v>68</v>
      </c>
      <c r="D6780" t="s">
        <v>60</v>
      </c>
      <c r="E6780">
        <v>2448</v>
      </c>
      <c r="F6780">
        <v>2</v>
      </c>
      <c r="G6780">
        <v>2</v>
      </c>
      <c r="H6780">
        <v>1</v>
      </c>
      <c r="I6780">
        <v>0</v>
      </c>
      <c r="J6780">
        <v>1</v>
      </c>
      <c r="K6780">
        <v>1</v>
      </c>
      <c r="L6780">
        <v>1</v>
      </c>
      <c r="M6780">
        <v>1</v>
      </c>
      <c r="N6780">
        <v>1</v>
      </c>
      <c r="O6780">
        <v>1</v>
      </c>
      <c r="P6780" t="s">
        <v>13876</v>
      </c>
      <c r="Q6780" t="s">
        <v>13877</v>
      </c>
      <c r="R6780" t="s">
        <v>75</v>
      </c>
      <c r="S6780" t="s">
        <v>76</v>
      </c>
      <c r="T6780" t="s">
        <v>13878</v>
      </c>
      <c r="U6780" t="s">
        <v>13879</v>
      </c>
      <c r="V6780" t="s">
        <v>13880</v>
      </c>
      <c r="W6780" t="s">
        <v>13881</v>
      </c>
      <c r="AD6780" t="s">
        <v>219</v>
      </c>
      <c r="AE6780" t="s">
        <v>13882</v>
      </c>
      <c r="AF6780" t="s">
        <v>13883</v>
      </c>
    </row>
    <row r="6781" spans="1:32" hidden="1" x14ac:dyDescent="0.35">
      <c r="A6781">
        <v>6780</v>
      </c>
      <c r="B6781" t="s">
        <v>13875</v>
      </c>
      <c r="C6781" t="s">
        <v>68</v>
      </c>
      <c r="D6781" t="s">
        <v>62</v>
      </c>
      <c r="E6781">
        <v>2474</v>
      </c>
      <c r="F6781">
        <v>2</v>
      </c>
      <c r="G6781">
        <v>2</v>
      </c>
      <c r="H6781">
        <v>1</v>
      </c>
      <c r="I6781">
        <v>0</v>
      </c>
      <c r="J6781">
        <v>1</v>
      </c>
      <c r="K6781">
        <v>1</v>
      </c>
      <c r="L6781">
        <v>1</v>
      </c>
      <c r="M6781">
        <v>1</v>
      </c>
      <c r="N6781">
        <v>1</v>
      </c>
      <c r="O6781">
        <v>1</v>
      </c>
      <c r="P6781" t="s">
        <v>13876</v>
      </c>
      <c r="Q6781" t="s">
        <v>13877</v>
      </c>
      <c r="R6781" t="s">
        <v>75</v>
      </c>
      <c r="S6781" t="s">
        <v>76</v>
      </c>
      <c r="T6781" t="s">
        <v>13878</v>
      </c>
      <c r="U6781" t="s">
        <v>13879</v>
      </c>
      <c r="V6781" t="s">
        <v>13880</v>
      </c>
      <c r="W6781" t="s">
        <v>13881</v>
      </c>
      <c r="AD6781" t="s">
        <v>219</v>
      </c>
      <c r="AE6781" t="s">
        <v>13882</v>
      </c>
      <c r="AF6781" t="s">
        <v>13883</v>
      </c>
    </row>
    <row r="6782" spans="1:32" hidden="1" x14ac:dyDescent="0.35">
      <c r="A6782">
        <v>6781</v>
      </c>
      <c r="B6782" t="s">
        <v>13884</v>
      </c>
      <c r="C6782" t="s">
        <v>68</v>
      </c>
      <c r="D6782" t="s">
        <v>60</v>
      </c>
      <c r="E6782">
        <v>855</v>
      </c>
      <c r="F6782">
        <v>2</v>
      </c>
      <c r="G6782">
        <v>2</v>
      </c>
      <c r="H6782">
        <v>1</v>
      </c>
      <c r="I6782">
        <v>0</v>
      </c>
      <c r="J6782">
        <v>1</v>
      </c>
      <c r="K6782">
        <v>1</v>
      </c>
      <c r="L6782">
        <v>1</v>
      </c>
      <c r="M6782">
        <v>1</v>
      </c>
      <c r="N6782">
        <v>1</v>
      </c>
      <c r="O6782">
        <v>1</v>
      </c>
      <c r="P6782" t="s">
        <v>13885</v>
      </c>
      <c r="Q6782" t="s">
        <v>13886</v>
      </c>
      <c r="T6782" t="s">
        <v>13887</v>
      </c>
      <c r="U6782" t="s">
        <v>13888</v>
      </c>
      <c r="Z6782" t="s">
        <v>2355</v>
      </c>
      <c r="AA6782" t="s">
        <v>2356</v>
      </c>
      <c r="AB6782" t="s">
        <v>2355</v>
      </c>
      <c r="AC6782" t="s">
        <v>1094</v>
      </c>
      <c r="AD6782" t="s">
        <v>219</v>
      </c>
      <c r="AE6782" t="s">
        <v>13889</v>
      </c>
      <c r="AF6782" t="s">
        <v>13890</v>
      </c>
    </row>
    <row r="6783" spans="1:32" hidden="1" x14ac:dyDescent="0.35">
      <c r="A6783">
        <v>6782</v>
      </c>
      <c r="B6783" t="s">
        <v>13884</v>
      </c>
      <c r="C6783" t="s">
        <v>68</v>
      </c>
      <c r="D6783" t="s">
        <v>62</v>
      </c>
      <c r="E6783">
        <v>889</v>
      </c>
      <c r="F6783">
        <v>2</v>
      </c>
      <c r="G6783">
        <v>2</v>
      </c>
      <c r="H6783">
        <v>1</v>
      </c>
      <c r="I6783">
        <v>0</v>
      </c>
      <c r="J6783">
        <v>1</v>
      </c>
      <c r="K6783">
        <v>1</v>
      </c>
      <c r="L6783">
        <v>1</v>
      </c>
      <c r="M6783">
        <v>1</v>
      </c>
      <c r="N6783">
        <v>1</v>
      </c>
      <c r="O6783">
        <v>1</v>
      </c>
      <c r="P6783" t="s">
        <v>13885</v>
      </c>
      <c r="Q6783" t="s">
        <v>13886</v>
      </c>
      <c r="T6783" t="s">
        <v>13887</v>
      </c>
      <c r="U6783" t="s">
        <v>13888</v>
      </c>
      <c r="Z6783" t="s">
        <v>2355</v>
      </c>
      <c r="AA6783" t="s">
        <v>2356</v>
      </c>
      <c r="AB6783" t="s">
        <v>2355</v>
      </c>
      <c r="AC6783" t="s">
        <v>1094</v>
      </c>
      <c r="AD6783" t="s">
        <v>219</v>
      </c>
      <c r="AE6783" t="s">
        <v>13889</v>
      </c>
      <c r="AF6783" t="s">
        <v>13890</v>
      </c>
    </row>
    <row r="6784" spans="1:32" hidden="1" x14ac:dyDescent="0.35">
      <c r="A6784">
        <v>6783</v>
      </c>
      <c r="B6784" t="s">
        <v>13891</v>
      </c>
      <c r="C6784" t="s">
        <v>68</v>
      </c>
      <c r="D6784" t="s">
        <v>60</v>
      </c>
      <c r="E6784">
        <v>614</v>
      </c>
      <c r="F6784">
        <v>2</v>
      </c>
      <c r="G6784">
        <v>2</v>
      </c>
      <c r="H6784">
        <v>1</v>
      </c>
      <c r="I6784">
        <v>0</v>
      </c>
      <c r="J6784">
        <v>1</v>
      </c>
      <c r="K6784">
        <v>1</v>
      </c>
      <c r="L6784">
        <v>1</v>
      </c>
      <c r="M6784">
        <v>1</v>
      </c>
      <c r="N6784">
        <v>1</v>
      </c>
      <c r="O6784">
        <v>1</v>
      </c>
      <c r="AF6784" t="s">
        <v>13892</v>
      </c>
    </row>
    <row r="6785" spans="1:32" hidden="1" x14ac:dyDescent="0.35">
      <c r="A6785">
        <v>6784</v>
      </c>
      <c r="B6785" t="s">
        <v>13891</v>
      </c>
      <c r="C6785" t="s">
        <v>68</v>
      </c>
      <c r="D6785" t="s">
        <v>62</v>
      </c>
      <c r="E6785">
        <v>698</v>
      </c>
      <c r="F6785">
        <v>2</v>
      </c>
      <c r="G6785">
        <v>2</v>
      </c>
      <c r="H6785">
        <v>1</v>
      </c>
      <c r="I6785">
        <v>0</v>
      </c>
      <c r="J6785">
        <v>1</v>
      </c>
      <c r="K6785">
        <v>1</v>
      </c>
      <c r="L6785">
        <v>1</v>
      </c>
      <c r="M6785">
        <v>1</v>
      </c>
      <c r="N6785">
        <v>1</v>
      </c>
      <c r="O6785">
        <v>1</v>
      </c>
      <c r="AF6785" t="s">
        <v>13892</v>
      </c>
    </row>
    <row r="6786" spans="1:32" hidden="1" x14ac:dyDescent="0.35">
      <c r="A6786">
        <v>6785</v>
      </c>
      <c r="B6786" t="s">
        <v>13893</v>
      </c>
      <c r="C6786" t="s">
        <v>68</v>
      </c>
      <c r="D6786" t="s">
        <v>60</v>
      </c>
      <c r="E6786">
        <v>1564</v>
      </c>
      <c r="F6786">
        <v>2</v>
      </c>
      <c r="G6786">
        <v>2</v>
      </c>
      <c r="H6786">
        <v>1</v>
      </c>
      <c r="I6786">
        <v>0</v>
      </c>
      <c r="J6786">
        <v>1</v>
      </c>
      <c r="K6786">
        <v>1</v>
      </c>
      <c r="L6786">
        <v>1</v>
      </c>
      <c r="M6786">
        <v>1</v>
      </c>
      <c r="N6786">
        <v>1</v>
      </c>
      <c r="O6786">
        <v>1</v>
      </c>
      <c r="P6786" t="s">
        <v>13229</v>
      </c>
      <c r="Q6786" t="s">
        <v>13230</v>
      </c>
      <c r="R6786" t="s">
        <v>157</v>
      </c>
      <c r="S6786" t="s">
        <v>158</v>
      </c>
      <c r="T6786" t="s">
        <v>13894</v>
      </c>
      <c r="U6786" t="s">
        <v>13895</v>
      </c>
      <c r="V6786" t="s">
        <v>13896</v>
      </c>
      <c r="W6786" t="s">
        <v>13897</v>
      </c>
      <c r="AD6786" t="s">
        <v>439</v>
      </c>
      <c r="AE6786" t="s">
        <v>13898</v>
      </c>
      <c r="AF6786" t="s">
        <v>13899</v>
      </c>
    </row>
    <row r="6787" spans="1:32" hidden="1" x14ac:dyDescent="0.35">
      <c r="A6787">
        <v>6786</v>
      </c>
      <c r="B6787" t="s">
        <v>13893</v>
      </c>
      <c r="C6787" t="s">
        <v>68</v>
      </c>
      <c r="D6787" t="s">
        <v>62</v>
      </c>
      <c r="E6787">
        <v>1600</v>
      </c>
      <c r="F6787">
        <v>2</v>
      </c>
      <c r="G6787">
        <v>2</v>
      </c>
      <c r="H6787">
        <v>1</v>
      </c>
      <c r="I6787">
        <v>0</v>
      </c>
      <c r="J6787">
        <v>1</v>
      </c>
      <c r="K6787">
        <v>1</v>
      </c>
      <c r="L6787">
        <v>1</v>
      </c>
      <c r="M6787">
        <v>1</v>
      </c>
      <c r="N6787">
        <v>1</v>
      </c>
      <c r="O6787">
        <v>1</v>
      </c>
      <c r="P6787" t="s">
        <v>13229</v>
      </c>
      <c r="Q6787" t="s">
        <v>13230</v>
      </c>
      <c r="R6787" t="s">
        <v>157</v>
      </c>
      <c r="S6787" t="s">
        <v>158</v>
      </c>
      <c r="T6787" t="s">
        <v>13894</v>
      </c>
      <c r="U6787" t="s">
        <v>13895</v>
      </c>
      <c r="V6787" t="s">
        <v>13896</v>
      </c>
      <c r="W6787" t="s">
        <v>13897</v>
      </c>
      <c r="AD6787" t="s">
        <v>439</v>
      </c>
      <c r="AE6787" t="s">
        <v>13898</v>
      </c>
      <c r="AF6787" t="s">
        <v>13899</v>
      </c>
    </row>
    <row r="6788" spans="1:32" hidden="1" x14ac:dyDescent="0.35">
      <c r="A6788">
        <v>6787</v>
      </c>
      <c r="B6788" t="s">
        <v>13900</v>
      </c>
      <c r="C6788" t="s">
        <v>68</v>
      </c>
      <c r="D6788" t="s">
        <v>34</v>
      </c>
      <c r="E6788">
        <v>895</v>
      </c>
      <c r="F6788">
        <v>2</v>
      </c>
      <c r="G6788">
        <v>2</v>
      </c>
      <c r="H6788">
        <v>1</v>
      </c>
      <c r="I6788">
        <v>0</v>
      </c>
      <c r="J6788">
        <v>1</v>
      </c>
      <c r="K6788">
        <v>1</v>
      </c>
      <c r="L6788">
        <v>1</v>
      </c>
      <c r="M6788">
        <v>1</v>
      </c>
      <c r="N6788">
        <v>1</v>
      </c>
      <c r="O6788">
        <v>1</v>
      </c>
      <c r="P6788" t="s">
        <v>12327</v>
      </c>
      <c r="Q6788" t="s">
        <v>12328</v>
      </c>
      <c r="R6788" t="s">
        <v>371</v>
      </c>
      <c r="S6788" t="s">
        <v>372</v>
      </c>
      <c r="T6788" t="s">
        <v>12329</v>
      </c>
      <c r="U6788" t="s">
        <v>12330</v>
      </c>
      <c r="V6788" t="s">
        <v>12331</v>
      </c>
      <c r="W6788" t="s">
        <v>12332</v>
      </c>
      <c r="AD6788" t="s">
        <v>3961</v>
      </c>
      <c r="AE6788" t="s">
        <v>3962</v>
      </c>
      <c r="AF6788" t="s">
        <v>13901</v>
      </c>
    </row>
    <row r="6789" spans="1:32" hidden="1" x14ac:dyDescent="0.35">
      <c r="A6789">
        <v>6788</v>
      </c>
      <c r="B6789" t="s">
        <v>13900</v>
      </c>
      <c r="C6789" t="s">
        <v>68</v>
      </c>
      <c r="D6789" t="s">
        <v>45</v>
      </c>
      <c r="E6789">
        <v>2151</v>
      </c>
      <c r="F6789">
        <v>2</v>
      </c>
      <c r="G6789">
        <v>2</v>
      </c>
      <c r="H6789">
        <v>1</v>
      </c>
      <c r="I6789">
        <v>0</v>
      </c>
      <c r="J6789">
        <v>1</v>
      </c>
      <c r="K6789">
        <v>1</v>
      </c>
      <c r="L6789">
        <v>1</v>
      </c>
      <c r="M6789">
        <v>1</v>
      </c>
      <c r="N6789">
        <v>1</v>
      </c>
      <c r="O6789">
        <v>1</v>
      </c>
      <c r="P6789" t="s">
        <v>12327</v>
      </c>
      <c r="Q6789" t="s">
        <v>12328</v>
      </c>
      <c r="R6789" t="s">
        <v>371</v>
      </c>
      <c r="S6789" t="s">
        <v>372</v>
      </c>
      <c r="T6789" t="s">
        <v>12329</v>
      </c>
      <c r="U6789" t="s">
        <v>12330</v>
      </c>
      <c r="V6789" t="s">
        <v>12331</v>
      </c>
      <c r="W6789" t="s">
        <v>12332</v>
      </c>
      <c r="AD6789" t="s">
        <v>3961</v>
      </c>
      <c r="AE6789" t="s">
        <v>3962</v>
      </c>
      <c r="AF6789" t="s">
        <v>13901</v>
      </c>
    </row>
    <row r="6790" spans="1:32" hidden="1" x14ac:dyDescent="0.35">
      <c r="A6790">
        <v>6789</v>
      </c>
      <c r="B6790" t="s">
        <v>13902</v>
      </c>
      <c r="C6790" t="s">
        <v>68</v>
      </c>
      <c r="D6790" t="s">
        <v>34</v>
      </c>
      <c r="E6790">
        <v>846</v>
      </c>
      <c r="F6790">
        <v>2</v>
      </c>
      <c r="G6790">
        <v>2</v>
      </c>
      <c r="H6790">
        <v>1</v>
      </c>
      <c r="I6790">
        <v>0</v>
      </c>
      <c r="J6790">
        <v>1</v>
      </c>
      <c r="K6790">
        <v>1</v>
      </c>
      <c r="L6790">
        <v>1</v>
      </c>
      <c r="M6790">
        <v>1</v>
      </c>
      <c r="N6790">
        <v>1</v>
      </c>
      <c r="O6790">
        <v>1</v>
      </c>
      <c r="AF6790" t="s">
        <v>13903</v>
      </c>
    </row>
    <row r="6791" spans="1:32" hidden="1" x14ac:dyDescent="0.35">
      <c r="A6791">
        <v>6790</v>
      </c>
      <c r="B6791" t="s">
        <v>13902</v>
      </c>
      <c r="C6791" t="s">
        <v>68</v>
      </c>
      <c r="D6791" t="s">
        <v>45</v>
      </c>
      <c r="E6791">
        <v>2103</v>
      </c>
      <c r="F6791">
        <v>2</v>
      </c>
      <c r="G6791">
        <v>2</v>
      </c>
      <c r="H6791">
        <v>1</v>
      </c>
      <c r="I6791">
        <v>0</v>
      </c>
      <c r="J6791">
        <v>1</v>
      </c>
      <c r="K6791">
        <v>1</v>
      </c>
      <c r="L6791">
        <v>1</v>
      </c>
      <c r="M6791">
        <v>1</v>
      </c>
      <c r="N6791">
        <v>1</v>
      </c>
      <c r="O6791">
        <v>1</v>
      </c>
      <c r="AF6791" t="s">
        <v>13903</v>
      </c>
    </row>
    <row r="6792" spans="1:32" hidden="1" x14ac:dyDescent="0.35">
      <c r="A6792">
        <v>6791</v>
      </c>
      <c r="B6792" t="s">
        <v>13904</v>
      </c>
      <c r="C6792" t="s">
        <v>68</v>
      </c>
      <c r="D6792" t="s">
        <v>34</v>
      </c>
      <c r="E6792">
        <v>2467</v>
      </c>
      <c r="F6792">
        <v>2</v>
      </c>
      <c r="G6792">
        <v>2</v>
      </c>
      <c r="H6792">
        <v>1</v>
      </c>
      <c r="I6792">
        <v>0</v>
      </c>
      <c r="J6792">
        <v>1</v>
      </c>
      <c r="K6792">
        <v>1</v>
      </c>
      <c r="L6792">
        <v>1</v>
      </c>
      <c r="M6792">
        <v>1</v>
      </c>
      <c r="N6792">
        <v>1</v>
      </c>
      <c r="O6792">
        <v>1</v>
      </c>
      <c r="P6792" t="s">
        <v>7094</v>
      </c>
      <c r="Q6792" t="s">
        <v>7095</v>
      </c>
      <c r="R6792" t="s">
        <v>652</v>
      </c>
      <c r="S6792" t="s">
        <v>653</v>
      </c>
      <c r="V6792" t="s">
        <v>7098</v>
      </c>
      <c r="W6792" t="s">
        <v>7099</v>
      </c>
      <c r="X6792" t="s">
        <v>7098</v>
      </c>
      <c r="Y6792" t="s">
        <v>3395</v>
      </c>
      <c r="AF6792" t="s">
        <v>13905</v>
      </c>
    </row>
    <row r="6793" spans="1:32" hidden="1" x14ac:dyDescent="0.35">
      <c r="A6793">
        <v>6792</v>
      </c>
      <c r="B6793" t="s">
        <v>13904</v>
      </c>
      <c r="C6793" t="s">
        <v>68</v>
      </c>
      <c r="D6793" t="s">
        <v>45</v>
      </c>
      <c r="E6793">
        <v>434</v>
      </c>
      <c r="F6793">
        <v>2</v>
      </c>
      <c r="G6793">
        <v>2</v>
      </c>
      <c r="H6793">
        <v>1</v>
      </c>
      <c r="I6793">
        <v>0</v>
      </c>
      <c r="J6793">
        <v>1</v>
      </c>
      <c r="K6793">
        <v>1</v>
      </c>
      <c r="L6793">
        <v>1</v>
      </c>
      <c r="M6793">
        <v>1</v>
      </c>
      <c r="N6793">
        <v>1</v>
      </c>
      <c r="O6793">
        <v>1</v>
      </c>
      <c r="P6793" t="s">
        <v>7094</v>
      </c>
      <c r="Q6793" t="s">
        <v>7095</v>
      </c>
      <c r="R6793" t="s">
        <v>652</v>
      </c>
      <c r="S6793" t="s">
        <v>653</v>
      </c>
      <c r="V6793" t="s">
        <v>7098</v>
      </c>
      <c r="W6793" t="s">
        <v>7099</v>
      </c>
      <c r="X6793" t="s">
        <v>7098</v>
      </c>
      <c r="Y6793" t="s">
        <v>3395</v>
      </c>
      <c r="AF6793" t="s">
        <v>13905</v>
      </c>
    </row>
    <row r="6794" spans="1:32" hidden="1" x14ac:dyDescent="0.35">
      <c r="A6794">
        <v>6793</v>
      </c>
      <c r="B6794" t="s">
        <v>13906</v>
      </c>
      <c r="C6794" t="s">
        <v>68</v>
      </c>
      <c r="D6794" t="s">
        <v>34</v>
      </c>
      <c r="E6794">
        <v>915</v>
      </c>
      <c r="F6794">
        <v>2</v>
      </c>
      <c r="G6794">
        <v>2</v>
      </c>
      <c r="H6794">
        <v>1</v>
      </c>
      <c r="I6794">
        <v>0</v>
      </c>
      <c r="J6794">
        <v>1</v>
      </c>
      <c r="K6794">
        <v>1</v>
      </c>
      <c r="L6794">
        <v>1</v>
      </c>
      <c r="M6794">
        <v>1</v>
      </c>
      <c r="N6794">
        <v>1</v>
      </c>
      <c r="O6794">
        <v>1</v>
      </c>
      <c r="AF6794" t="s">
        <v>13907</v>
      </c>
    </row>
    <row r="6795" spans="1:32" hidden="1" x14ac:dyDescent="0.35">
      <c r="A6795">
        <v>6794</v>
      </c>
      <c r="B6795" t="s">
        <v>13906</v>
      </c>
      <c r="C6795" t="s">
        <v>68</v>
      </c>
      <c r="D6795" t="s">
        <v>45</v>
      </c>
      <c r="E6795">
        <v>2171</v>
      </c>
      <c r="F6795">
        <v>2</v>
      </c>
      <c r="G6795">
        <v>2</v>
      </c>
      <c r="H6795">
        <v>1</v>
      </c>
      <c r="I6795">
        <v>0</v>
      </c>
      <c r="J6795">
        <v>1</v>
      </c>
      <c r="K6795">
        <v>1</v>
      </c>
      <c r="L6795">
        <v>1</v>
      </c>
      <c r="M6795">
        <v>1</v>
      </c>
      <c r="N6795">
        <v>1</v>
      </c>
      <c r="O6795">
        <v>1</v>
      </c>
      <c r="AF6795" t="s">
        <v>13907</v>
      </c>
    </row>
    <row r="6796" spans="1:32" hidden="1" x14ac:dyDescent="0.35">
      <c r="A6796">
        <v>6795</v>
      </c>
      <c r="B6796" t="s">
        <v>13908</v>
      </c>
      <c r="C6796" t="s">
        <v>68</v>
      </c>
      <c r="D6796" t="s">
        <v>60</v>
      </c>
      <c r="E6796">
        <v>1109</v>
      </c>
      <c r="F6796">
        <v>2</v>
      </c>
      <c r="G6796">
        <v>2</v>
      </c>
      <c r="H6796">
        <v>1</v>
      </c>
      <c r="I6796">
        <v>0</v>
      </c>
      <c r="J6796">
        <v>1</v>
      </c>
      <c r="K6796">
        <v>1</v>
      </c>
      <c r="L6796">
        <v>1</v>
      </c>
      <c r="M6796">
        <v>1</v>
      </c>
      <c r="N6796">
        <v>1</v>
      </c>
      <c r="O6796">
        <v>1</v>
      </c>
      <c r="AF6796" t="s">
        <v>13909</v>
      </c>
    </row>
    <row r="6797" spans="1:32" hidden="1" x14ac:dyDescent="0.35">
      <c r="A6797">
        <v>6796</v>
      </c>
      <c r="B6797" t="s">
        <v>13908</v>
      </c>
      <c r="C6797" t="s">
        <v>68</v>
      </c>
      <c r="D6797" t="s">
        <v>62</v>
      </c>
      <c r="E6797">
        <v>1145</v>
      </c>
      <c r="F6797">
        <v>2</v>
      </c>
      <c r="G6797">
        <v>2</v>
      </c>
      <c r="H6797">
        <v>1</v>
      </c>
      <c r="I6797">
        <v>0</v>
      </c>
      <c r="J6797">
        <v>1</v>
      </c>
      <c r="K6797">
        <v>1</v>
      </c>
      <c r="L6797">
        <v>1</v>
      </c>
      <c r="M6797">
        <v>1</v>
      </c>
      <c r="N6797">
        <v>1</v>
      </c>
      <c r="O6797">
        <v>1</v>
      </c>
      <c r="AF6797" t="s">
        <v>13909</v>
      </c>
    </row>
    <row r="6798" spans="1:32" hidden="1" x14ac:dyDescent="0.35">
      <c r="A6798">
        <v>6797</v>
      </c>
      <c r="B6798" t="s">
        <v>13910</v>
      </c>
      <c r="C6798" t="s">
        <v>68</v>
      </c>
      <c r="D6798" t="s">
        <v>34</v>
      </c>
      <c r="E6798">
        <v>1352</v>
      </c>
      <c r="F6798">
        <v>2</v>
      </c>
      <c r="G6798">
        <v>2</v>
      </c>
      <c r="H6798">
        <v>1</v>
      </c>
      <c r="I6798">
        <v>0</v>
      </c>
      <c r="J6798">
        <v>1</v>
      </c>
      <c r="K6798">
        <v>1</v>
      </c>
      <c r="L6798">
        <v>1</v>
      </c>
      <c r="M6798">
        <v>1</v>
      </c>
      <c r="N6798">
        <v>1</v>
      </c>
      <c r="O6798">
        <v>1</v>
      </c>
      <c r="P6798" t="s">
        <v>13006</v>
      </c>
      <c r="Q6798" t="s">
        <v>13007</v>
      </c>
      <c r="R6798" t="s">
        <v>1259</v>
      </c>
      <c r="S6798" t="s">
        <v>1260</v>
      </c>
      <c r="V6798" t="s">
        <v>13008</v>
      </c>
      <c r="W6798" t="s">
        <v>2923</v>
      </c>
      <c r="AF6798" t="s">
        <v>13911</v>
      </c>
    </row>
    <row r="6799" spans="1:32" hidden="1" x14ac:dyDescent="0.35">
      <c r="A6799">
        <v>6798</v>
      </c>
      <c r="B6799" t="s">
        <v>13910</v>
      </c>
      <c r="C6799" t="s">
        <v>68</v>
      </c>
      <c r="D6799" t="s">
        <v>45</v>
      </c>
      <c r="E6799">
        <v>102</v>
      </c>
      <c r="F6799">
        <v>2</v>
      </c>
      <c r="G6799">
        <v>2</v>
      </c>
      <c r="H6799">
        <v>1</v>
      </c>
      <c r="I6799">
        <v>0</v>
      </c>
      <c r="J6799">
        <v>1</v>
      </c>
      <c r="K6799">
        <v>1</v>
      </c>
      <c r="L6799">
        <v>1</v>
      </c>
      <c r="M6799">
        <v>1</v>
      </c>
      <c r="N6799">
        <v>1</v>
      </c>
      <c r="O6799">
        <v>1</v>
      </c>
      <c r="P6799" t="s">
        <v>13006</v>
      </c>
      <c r="Q6799" t="s">
        <v>13007</v>
      </c>
      <c r="R6799" t="s">
        <v>1259</v>
      </c>
      <c r="S6799" t="s">
        <v>1260</v>
      </c>
      <c r="V6799" t="s">
        <v>13008</v>
      </c>
      <c r="W6799" t="s">
        <v>2923</v>
      </c>
      <c r="AF6799" t="s">
        <v>13911</v>
      </c>
    </row>
    <row r="6800" spans="1:32" hidden="1" x14ac:dyDescent="0.35">
      <c r="A6800">
        <v>6799</v>
      </c>
      <c r="B6800" t="s">
        <v>13912</v>
      </c>
      <c r="C6800" t="s">
        <v>68</v>
      </c>
      <c r="D6800" t="s">
        <v>34</v>
      </c>
      <c r="E6800">
        <v>659</v>
      </c>
      <c r="F6800">
        <v>2</v>
      </c>
      <c r="G6800">
        <v>2</v>
      </c>
      <c r="H6800">
        <v>1</v>
      </c>
      <c r="I6800">
        <v>0</v>
      </c>
      <c r="J6800">
        <v>1</v>
      </c>
      <c r="K6800">
        <v>1</v>
      </c>
      <c r="L6800">
        <v>1</v>
      </c>
      <c r="M6800">
        <v>1</v>
      </c>
      <c r="N6800">
        <v>1</v>
      </c>
      <c r="O6800">
        <v>1</v>
      </c>
      <c r="P6800" t="s">
        <v>13177</v>
      </c>
      <c r="Q6800" t="s">
        <v>13178</v>
      </c>
      <c r="R6800" t="s">
        <v>157</v>
      </c>
      <c r="S6800" t="s">
        <v>158</v>
      </c>
      <c r="V6800" t="s">
        <v>1383</v>
      </c>
      <c r="W6800" t="s">
        <v>1384</v>
      </c>
      <c r="AF6800" t="s">
        <v>13913</v>
      </c>
    </row>
    <row r="6801" spans="1:32" hidden="1" x14ac:dyDescent="0.35">
      <c r="A6801">
        <v>6800</v>
      </c>
      <c r="B6801" t="s">
        <v>13912</v>
      </c>
      <c r="C6801" t="s">
        <v>68</v>
      </c>
      <c r="D6801" t="s">
        <v>45</v>
      </c>
      <c r="E6801">
        <v>1925</v>
      </c>
      <c r="F6801">
        <v>2</v>
      </c>
      <c r="G6801">
        <v>2</v>
      </c>
      <c r="H6801">
        <v>1</v>
      </c>
      <c r="I6801">
        <v>0</v>
      </c>
      <c r="J6801">
        <v>1</v>
      </c>
      <c r="K6801">
        <v>1</v>
      </c>
      <c r="L6801">
        <v>1</v>
      </c>
      <c r="M6801">
        <v>1</v>
      </c>
      <c r="N6801">
        <v>1</v>
      </c>
      <c r="O6801">
        <v>1</v>
      </c>
      <c r="P6801" t="s">
        <v>13177</v>
      </c>
      <c r="Q6801" t="s">
        <v>13178</v>
      </c>
      <c r="R6801" t="s">
        <v>157</v>
      </c>
      <c r="S6801" t="s">
        <v>158</v>
      </c>
      <c r="V6801" t="s">
        <v>1383</v>
      </c>
      <c r="W6801" t="s">
        <v>1384</v>
      </c>
      <c r="AF6801" t="s">
        <v>13913</v>
      </c>
    </row>
    <row r="6802" spans="1:32" hidden="1" x14ac:dyDescent="0.35">
      <c r="A6802">
        <v>6801</v>
      </c>
      <c r="B6802" t="s">
        <v>13914</v>
      </c>
      <c r="C6802" t="s">
        <v>68</v>
      </c>
      <c r="D6802" t="s">
        <v>60</v>
      </c>
      <c r="E6802">
        <v>172</v>
      </c>
      <c r="F6802">
        <v>2</v>
      </c>
      <c r="G6802">
        <v>2</v>
      </c>
      <c r="H6802">
        <v>1</v>
      </c>
      <c r="I6802">
        <v>0</v>
      </c>
      <c r="J6802">
        <v>1</v>
      </c>
      <c r="K6802">
        <v>1</v>
      </c>
      <c r="L6802">
        <v>1</v>
      </c>
      <c r="M6802">
        <v>1</v>
      </c>
      <c r="N6802">
        <v>1</v>
      </c>
      <c r="O6802">
        <v>1</v>
      </c>
      <c r="P6802" t="s">
        <v>1452</v>
      </c>
      <c r="Q6802" t="s">
        <v>1453</v>
      </c>
      <c r="R6802" t="s">
        <v>113</v>
      </c>
      <c r="S6802" t="s">
        <v>114</v>
      </c>
      <c r="T6802" t="s">
        <v>1454</v>
      </c>
      <c r="U6802" t="s">
        <v>1455</v>
      </c>
      <c r="V6802" t="s">
        <v>807</v>
      </c>
      <c r="W6802" t="s">
        <v>808</v>
      </c>
      <c r="X6802" t="s">
        <v>807</v>
      </c>
      <c r="Y6802" t="s">
        <v>119</v>
      </c>
      <c r="AD6802" t="s">
        <v>125</v>
      </c>
      <c r="AE6802" t="s">
        <v>126</v>
      </c>
      <c r="AF6802" t="s">
        <v>13915</v>
      </c>
    </row>
    <row r="6803" spans="1:32" hidden="1" x14ac:dyDescent="0.35">
      <c r="A6803">
        <v>6802</v>
      </c>
      <c r="B6803" t="s">
        <v>13914</v>
      </c>
      <c r="C6803" t="s">
        <v>68</v>
      </c>
      <c r="D6803" t="s">
        <v>62</v>
      </c>
      <c r="E6803">
        <v>248</v>
      </c>
      <c r="F6803">
        <v>2</v>
      </c>
      <c r="G6803">
        <v>2</v>
      </c>
      <c r="H6803">
        <v>1</v>
      </c>
      <c r="I6803">
        <v>0</v>
      </c>
      <c r="J6803">
        <v>1</v>
      </c>
      <c r="K6803">
        <v>1</v>
      </c>
      <c r="L6803">
        <v>1</v>
      </c>
      <c r="M6803">
        <v>1</v>
      </c>
      <c r="N6803">
        <v>1</v>
      </c>
      <c r="O6803">
        <v>1</v>
      </c>
      <c r="P6803" t="s">
        <v>1452</v>
      </c>
      <c r="Q6803" t="s">
        <v>1453</v>
      </c>
      <c r="R6803" t="s">
        <v>113</v>
      </c>
      <c r="S6803" t="s">
        <v>114</v>
      </c>
      <c r="T6803" t="s">
        <v>1454</v>
      </c>
      <c r="U6803" t="s">
        <v>1455</v>
      </c>
      <c r="V6803" t="s">
        <v>807</v>
      </c>
      <c r="W6803" t="s">
        <v>808</v>
      </c>
      <c r="X6803" t="s">
        <v>807</v>
      </c>
      <c r="Y6803" t="s">
        <v>119</v>
      </c>
      <c r="AD6803" t="s">
        <v>125</v>
      </c>
      <c r="AE6803" t="s">
        <v>126</v>
      </c>
      <c r="AF6803" t="s">
        <v>13915</v>
      </c>
    </row>
    <row r="6804" spans="1:32" hidden="1" x14ac:dyDescent="0.35">
      <c r="A6804">
        <v>6803</v>
      </c>
      <c r="B6804" t="s">
        <v>13916</v>
      </c>
      <c r="C6804" t="s">
        <v>68</v>
      </c>
      <c r="D6804" t="s">
        <v>60</v>
      </c>
      <c r="E6804">
        <v>343</v>
      </c>
      <c r="F6804">
        <v>2</v>
      </c>
      <c r="G6804">
        <v>2</v>
      </c>
      <c r="H6804">
        <v>1</v>
      </c>
      <c r="I6804">
        <v>0</v>
      </c>
      <c r="J6804">
        <v>1</v>
      </c>
      <c r="K6804">
        <v>1</v>
      </c>
      <c r="L6804">
        <v>1</v>
      </c>
      <c r="M6804">
        <v>1</v>
      </c>
      <c r="N6804">
        <v>1</v>
      </c>
      <c r="O6804">
        <v>1</v>
      </c>
      <c r="P6804" t="s">
        <v>10340</v>
      </c>
      <c r="Q6804" t="s">
        <v>10341</v>
      </c>
      <c r="AF6804" t="s">
        <v>13917</v>
      </c>
    </row>
    <row r="6805" spans="1:32" hidden="1" x14ac:dyDescent="0.35">
      <c r="A6805">
        <v>6804</v>
      </c>
      <c r="B6805" t="s">
        <v>13916</v>
      </c>
      <c r="C6805" t="s">
        <v>68</v>
      </c>
      <c r="D6805" t="s">
        <v>62</v>
      </c>
      <c r="E6805">
        <v>423</v>
      </c>
      <c r="F6805">
        <v>2</v>
      </c>
      <c r="G6805">
        <v>2</v>
      </c>
      <c r="H6805">
        <v>1</v>
      </c>
      <c r="I6805">
        <v>0</v>
      </c>
      <c r="J6805">
        <v>1</v>
      </c>
      <c r="K6805">
        <v>1</v>
      </c>
      <c r="L6805">
        <v>1</v>
      </c>
      <c r="M6805">
        <v>1</v>
      </c>
      <c r="N6805">
        <v>1</v>
      </c>
      <c r="O6805">
        <v>1</v>
      </c>
      <c r="P6805" t="s">
        <v>10340</v>
      </c>
      <c r="Q6805" t="s">
        <v>10341</v>
      </c>
      <c r="AF6805" t="s">
        <v>13917</v>
      </c>
    </row>
    <row r="6806" spans="1:32" hidden="1" x14ac:dyDescent="0.35">
      <c r="A6806">
        <v>6805</v>
      </c>
      <c r="B6806" t="s">
        <v>13918</v>
      </c>
      <c r="C6806" t="s">
        <v>68</v>
      </c>
      <c r="D6806" t="s">
        <v>60</v>
      </c>
      <c r="E6806">
        <v>867</v>
      </c>
      <c r="F6806">
        <v>2</v>
      </c>
      <c r="G6806">
        <v>2</v>
      </c>
      <c r="H6806">
        <v>1</v>
      </c>
      <c r="I6806">
        <v>0</v>
      </c>
      <c r="J6806">
        <v>1</v>
      </c>
      <c r="K6806">
        <v>1</v>
      </c>
      <c r="L6806">
        <v>1</v>
      </c>
      <c r="M6806">
        <v>1</v>
      </c>
      <c r="N6806">
        <v>1</v>
      </c>
      <c r="O6806">
        <v>1</v>
      </c>
      <c r="P6806" t="s">
        <v>13919</v>
      </c>
      <c r="Q6806" t="s">
        <v>13920</v>
      </c>
      <c r="R6806" t="s">
        <v>235</v>
      </c>
      <c r="S6806" t="s">
        <v>236</v>
      </c>
      <c r="T6806" t="s">
        <v>13921</v>
      </c>
      <c r="U6806" t="s">
        <v>13922</v>
      </c>
      <c r="V6806" t="s">
        <v>13923</v>
      </c>
      <c r="W6806" t="s">
        <v>13924</v>
      </c>
      <c r="AD6806" t="s">
        <v>219</v>
      </c>
      <c r="AE6806" t="s">
        <v>12470</v>
      </c>
      <c r="AF6806" t="s">
        <v>13925</v>
      </c>
    </row>
    <row r="6807" spans="1:32" hidden="1" x14ac:dyDescent="0.35">
      <c r="A6807">
        <v>6806</v>
      </c>
      <c r="B6807" t="s">
        <v>13918</v>
      </c>
      <c r="C6807" t="s">
        <v>68</v>
      </c>
      <c r="D6807" t="s">
        <v>62</v>
      </c>
      <c r="E6807">
        <v>901</v>
      </c>
      <c r="F6807">
        <v>2</v>
      </c>
      <c r="G6807">
        <v>2</v>
      </c>
      <c r="H6807">
        <v>1</v>
      </c>
      <c r="I6807">
        <v>0</v>
      </c>
      <c r="J6807">
        <v>1</v>
      </c>
      <c r="K6807">
        <v>1</v>
      </c>
      <c r="L6807">
        <v>1</v>
      </c>
      <c r="M6807">
        <v>1</v>
      </c>
      <c r="N6807">
        <v>1</v>
      </c>
      <c r="O6807">
        <v>1</v>
      </c>
      <c r="P6807" t="s">
        <v>13919</v>
      </c>
      <c r="Q6807" t="s">
        <v>13920</v>
      </c>
      <c r="R6807" t="s">
        <v>235</v>
      </c>
      <c r="S6807" t="s">
        <v>236</v>
      </c>
      <c r="T6807" t="s">
        <v>13921</v>
      </c>
      <c r="U6807" t="s">
        <v>13922</v>
      </c>
      <c r="V6807" t="s">
        <v>13923</v>
      </c>
      <c r="W6807" t="s">
        <v>13924</v>
      </c>
      <c r="AD6807" t="s">
        <v>219</v>
      </c>
      <c r="AE6807" t="s">
        <v>12470</v>
      </c>
      <c r="AF6807" t="s">
        <v>13925</v>
      </c>
    </row>
    <row r="6808" spans="1:32" hidden="1" x14ac:dyDescent="0.35">
      <c r="A6808">
        <v>6807</v>
      </c>
      <c r="B6808" t="s">
        <v>13926</v>
      </c>
      <c r="C6808" t="s">
        <v>68</v>
      </c>
      <c r="D6808" t="s">
        <v>60</v>
      </c>
      <c r="E6808">
        <v>1385</v>
      </c>
      <c r="F6808">
        <v>2</v>
      </c>
      <c r="G6808">
        <v>2</v>
      </c>
      <c r="H6808">
        <v>1</v>
      </c>
      <c r="I6808">
        <v>0</v>
      </c>
      <c r="J6808">
        <v>1</v>
      </c>
      <c r="K6808">
        <v>1</v>
      </c>
      <c r="L6808">
        <v>1</v>
      </c>
      <c r="M6808">
        <v>1</v>
      </c>
      <c r="N6808">
        <v>1</v>
      </c>
      <c r="O6808">
        <v>1</v>
      </c>
      <c r="AF6808" t="s">
        <v>13927</v>
      </c>
    </row>
    <row r="6809" spans="1:32" hidden="1" x14ac:dyDescent="0.35">
      <c r="A6809">
        <v>6808</v>
      </c>
      <c r="B6809" t="s">
        <v>13926</v>
      </c>
      <c r="C6809" t="s">
        <v>68</v>
      </c>
      <c r="D6809" t="s">
        <v>62</v>
      </c>
      <c r="E6809">
        <v>1420</v>
      </c>
      <c r="F6809">
        <v>2</v>
      </c>
      <c r="G6809">
        <v>2</v>
      </c>
      <c r="H6809">
        <v>1</v>
      </c>
      <c r="I6809">
        <v>0</v>
      </c>
      <c r="J6809">
        <v>1</v>
      </c>
      <c r="K6809">
        <v>1</v>
      </c>
      <c r="L6809">
        <v>1</v>
      </c>
      <c r="M6809">
        <v>1</v>
      </c>
      <c r="N6809">
        <v>1</v>
      </c>
      <c r="O6809">
        <v>1</v>
      </c>
      <c r="AF6809" t="s">
        <v>13927</v>
      </c>
    </row>
    <row r="6810" spans="1:32" hidden="1" x14ac:dyDescent="0.35">
      <c r="A6810">
        <v>6809</v>
      </c>
      <c r="B6810" t="s">
        <v>13928</v>
      </c>
      <c r="C6810" t="s">
        <v>68</v>
      </c>
      <c r="D6810" t="s">
        <v>60</v>
      </c>
      <c r="E6810">
        <v>885</v>
      </c>
      <c r="F6810">
        <v>2</v>
      </c>
      <c r="G6810">
        <v>2</v>
      </c>
      <c r="H6810">
        <v>1</v>
      </c>
      <c r="I6810">
        <v>0</v>
      </c>
      <c r="J6810">
        <v>1</v>
      </c>
      <c r="K6810">
        <v>1</v>
      </c>
      <c r="L6810">
        <v>1</v>
      </c>
      <c r="M6810">
        <v>1</v>
      </c>
      <c r="N6810">
        <v>1</v>
      </c>
      <c r="O6810">
        <v>1</v>
      </c>
      <c r="AF6810" t="s">
        <v>13929</v>
      </c>
    </row>
    <row r="6811" spans="1:32" hidden="1" x14ac:dyDescent="0.35">
      <c r="A6811">
        <v>6810</v>
      </c>
      <c r="B6811" t="s">
        <v>13928</v>
      </c>
      <c r="C6811" t="s">
        <v>68</v>
      </c>
      <c r="D6811" t="s">
        <v>62</v>
      </c>
      <c r="E6811">
        <v>919</v>
      </c>
      <c r="F6811">
        <v>2</v>
      </c>
      <c r="G6811">
        <v>2</v>
      </c>
      <c r="H6811">
        <v>1</v>
      </c>
      <c r="I6811">
        <v>0</v>
      </c>
      <c r="J6811">
        <v>1</v>
      </c>
      <c r="K6811">
        <v>1</v>
      </c>
      <c r="L6811">
        <v>1</v>
      </c>
      <c r="M6811">
        <v>1</v>
      </c>
      <c r="N6811">
        <v>1</v>
      </c>
      <c r="O6811">
        <v>1</v>
      </c>
      <c r="AF6811" t="s">
        <v>13929</v>
      </c>
    </row>
    <row r="6812" spans="1:32" hidden="1" x14ac:dyDescent="0.35">
      <c r="A6812">
        <v>6811</v>
      </c>
      <c r="B6812" t="s">
        <v>13930</v>
      </c>
      <c r="C6812" t="s">
        <v>68</v>
      </c>
      <c r="D6812" t="s">
        <v>60</v>
      </c>
      <c r="E6812">
        <v>1084</v>
      </c>
      <c r="F6812">
        <v>2</v>
      </c>
      <c r="G6812">
        <v>2</v>
      </c>
      <c r="H6812">
        <v>1</v>
      </c>
      <c r="I6812">
        <v>0</v>
      </c>
      <c r="J6812">
        <v>1</v>
      </c>
      <c r="K6812">
        <v>1</v>
      </c>
      <c r="L6812">
        <v>1</v>
      </c>
      <c r="M6812">
        <v>1</v>
      </c>
      <c r="N6812">
        <v>1</v>
      </c>
      <c r="O6812">
        <v>1</v>
      </c>
      <c r="R6812" t="s">
        <v>113</v>
      </c>
      <c r="S6812" t="s">
        <v>114</v>
      </c>
      <c r="V6812" t="s">
        <v>4627</v>
      </c>
      <c r="W6812" t="s">
        <v>4628</v>
      </c>
      <c r="AF6812" t="s">
        <v>13931</v>
      </c>
    </row>
    <row r="6813" spans="1:32" hidden="1" x14ac:dyDescent="0.35">
      <c r="A6813">
        <v>6812</v>
      </c>
      <c r="B6813" t="s">
        <v>13930</v>
      </c>
      <c r="C6813" t="s">
        <v>68</v>
      </c>
      <c r="D6813" t="s">
        <v>62</v>
      </c>
      <c r="E6813">
        <v>1120</v>
      </c>
      <c r="F6813">
        <v>2</v>
      </c>
      <c r="G6813">
        <v>2</v>
      </c>
      <c r="H6813">
        <v>1</v>
      </c>
      <c r="I6813">
        <v>0</v>
      </c>
      <c r="J6813">
        <v>1</v>
      </c>
      <c r="K6813">
        <v>1</v>
      </c>
      <c r="L6813">
        <v>1</v>
      </c>
      <c r="M6813">
        <v>1</v>
      </c>
      <c r="N6813">
        <v>1</v>
      </c>
      <c r="O6813">
        <v>1</v>
      </c>
      <c r="R6813" t="s">
        <v>113</v>
      </c>
      <c r="S6813" t="s">
        <v>114</v>
      </c>
      <c r="V6813" t="s">
        <v>4627</v>
      </c>
      <c r="W6813" t="s">
        <v>4628</v>
      </c>
      <c r="AF6813" t="s">
        <v>13931</v>
      </c>
    </row>
    <row r="6814" spans="1:32" hidden="1" x14ac:dyDescent="0.35">
      <c r="A6814">
        <v>6813</v>
      </c>
      <c r="B6814" t="s">
        <v>13932</v>
      </c>
      <c r="C6814" t="s">
        <v>68</v>
      </c>
      <c r="D6814" t="s">
        <v>60</v>
      </c>
      <c r="E6814">
        <v>486</v>
      </c>
      <c r="F6814">
        <v>2</v>
      </c>
      <c r="G6814">
        <v>2</v>
      </c>
      <c r="H6814">
        <v>1</v>
      </c>
      <c r="I6814">
        <v>0</v>
      </c>
      <c r="J6814">
        <v>1</v>
      </c>
      <c r="K6814">
        <v>1</v>
      </c>
      <c r="L6814">
        <v>1</v>
      </c>
      <c r="M6814">
        <v>1</v>
      </c>
      <c r="N6814">
        <v>1</v>
      </c>
      <c r="O6814">
        <v>1</v>
      </c>
      <c r="AF6814" t="s">
        <v>13933</v>
      </c>
    </row>
    <row r="6815" spans="1:32" hidden="1" x14ac:dyDescent="0.35">
      <c r="A6815">
        <v>6814</v>
      </c>
      <c r="B6815" t="s">
        <v>13932</v>
      </c>
      <c r="C6815" t="s">
        <v>68</v>
      </c>
      <c r="D6815" t="s">
        <v>62</v>
      </c>
      <c r="E6815">
        <v>569</v>
      </c>
      <c r="F6815">
        <v>2</v>
      </c>
      <c r="G6815">
        <v>2</v>
      </c>
      <c r="H6815">
        <v>1</v>
      </c>
      <c r="I6815">
        <v>0</v>
      </c>
      <c r="J6815">
        <v>1</v>
      </c>
      <c r="K6815">
        <v>1</v>
      </c>
      <c r="L6815">
        <v>1</v>
      </c>
      <c r="M6815">
        <v>1</v>
      </c>
      <c r="N6815">
        <v>1</v>
      </c>
      <c r="O6815">
        <v>1</v>
      </c>
      <c r="AF6815" t="s">
        <v>13933</v>
      </c>
    </row>
    <row r="6816" spans="1:32" hidden="1" x14ac:dyDescent="0.35">
      <c r="A6816">
        <v>6815</v>
      </c>
      <c r="B6816" t="s">
        <v>13934</v>
      </c>
      <c r="C6816" t="s">
        <v>68</v>
      </c>
      <c r="D6816" t="s">
        <v>60</v>
      </c>
      <c r="E6816">
        <v>589</v>
      </c>
      <c r="F6816">
        <v>2</v>
      </c>
      <c r="G6816">
        <v>2</v>
      </c>
      <c r="H6816">
        <v>1</v>
      </c>
      <c r="I6816">
        <v>0</v>
      </c>
      <c r="J6816">
        <v>1</v>
      </c>
      <c r="K6816">
        <v>1</v>
      </c>
      <c r="L6816">
        <v>1</v>
      </c>
      <c r="M6816">
        <v>1</v>
      </c>
      <c r="N6816">
        <v>1</v>
      </c>
      <c r="O6816">
        <v>1</v>
      </c>
      <c r="AF6816" t="s">
        <v>13935</v>
      </c>
    </row>
    <row r="6817" spans="1:32" hidden="1" x14ac:dyDescent="0.35">
      <c r="A6817">
        <v>6816</v>
      </c>
      <c r="B6817" t="s">
        <v>13934</v>
      </c>
      <c r="C6817" t="s">
        <v>68</v>
      </c>
      <c r="D6817" t="s">
        <v>62</v>
      </c>
      <c r="E6817">
        <v>673</v>
      </c>
      <c r="F6817">
        <v>2</v>
      </c>
      <c r="G6817">
        <v>2</v>
      </c>
      <c r="H6817">
        <v>1</v>
      </c>
      <c r="I6817">
        <v>0</v>
      </c>
      <c r="J6817">
        <v>1</v>
      </c>
      <c r="K6817">
        <v>1</v>
      </c>
      <c r="L6817">
        <v>1</v>
      </c>
      <c r="M6817">
        <v>1</v>
      </c>
      <c r="N6817">
        <v>1</v>
      </c>
      <c r="O6817">
        <v>1</v>
      </c>
      <c r="AF6817" t="s">
        <v>13935</v>
      </c>
    </row>
    <row r="6818" spans="1:32" hidden="1" x14ac:dyDescent="0.35">
      <c r="A6818">
        <v>6817</v>
      </c>
      <c r="B6818" t="s">
        <v>13936</v>
      </c>
      <c r="C6818" t="s">
        <v>68</v>
      </c>
      <c r="D6818" t="s">
        <v>60</v>
      </c>
      <c r="E6818">
        <v>1111</v>
      </c>
      <c r="F6818">
        <v>2</v>
      </c>
      <c r="G6818">
        <v>2</v>
      </c>
      <c r="H6818">
        <v>1</v>
      </c>
      <c r="I6818">
        <v>0</v>
      </c>
      <c r="J6818">
        <v>1</v>
      </c>
      <c r="K6818">
        <v>1</v>
      </c>
      <c r="L6818">
        <v>1</v>
      </c>
      <c r="M6818">
        <v>1</v>
      </c>
      <c r="N6818">
        <v>1</v>
      </c>
      <c r="O6818">
        <v>1</v>
      </c>
      <c r="AF6818" t="s">
        <v>13937</v>
      </c>
    </row>
    <row r="6819" spans="1:32" hidden="1" x14ac:dyDescent="0.35">
      <c r="A6819">
        <v>6818</v>
      </c>
      <c r="B6819" t="s">
        <v>13936</v>
      </c>
      <c r="C6819" t="s">
        <v>68</v>
      </c>
      <c r="D6819" t="s">
        <v>62</v>
      </c>
      <c r="E6819">
        <v>1147</v>
      </c>
      <c r="F6819">
        <v>2</v>
      </c>
      <c r="G6819">
        <v>2</v>
      </c>
      <c r="H6819">
        <v>1</v>
      </c>
      <c r="I6819">
        <v>0</v>
      </c>
      <c r="J6819">
        <v>1</v>
      </c>
      <c r="K6819">
        <v>1</v>
      </c>
      <c r="L6819">
        <v>1</v>
      </c>
      <c r="M6819">
        <v>1</v>
      </c>
      <c r="N6819">
        <v>1</v>
      </c>
      <c r="O6819">
        <v>1</v>
      </c>
      <c r="AF6819" t="s">
        <v>13937</v>
      </c>
    </row>
    <row r="6820" spans="1:32" hidden="1" x14ac:dyDescent="0.35">
      <c r="A6820">
        <v>6819</v>
      </c>
      <c r="B6820" t="s">
        <v>13938</v>
      </c>
      <c r="C6820" t="s">
        <v>68</v>
      </c>
      <c r="D6820" t="s">
        <v>60</v>
      </c>
      <c r="E6820">
        <v>1108</v>
      </c>
      <c r="F6820">
        <v>2</v>
      </c>
      <c r="G6820">
        <v>2</v>
      </c>
      <c r="H6820">
        <v>1</v>
      </c>
      <c r="I6820">
        <v>0</v>
      </c>
      <c r="J6820">
        <v>1</v>
      </c>
      <c r="K6820">
        <v>1</v>
      </c>
      <c r="L6820">
        <v>1</v>
      </c>
      <c r="M6820">
        <v>1</v>
      </c>
      <c r="N6820">
        <v>1</v>
      </c>
      <c r="O6820">
        <v>1</v>
      </c>
      <c r="P6820" t="s">
        <v>5189</v>
      </c>
      <c r="Q6820" t="s">
        <v>5190</v>
      </c>
      <c r="R6820" t="s">
        <v>75</v>
      </c>
      <c r="S6820" t="s">
        <v>76</v>
      </c>
      <c r="T6820" t="s">
        <v>13939</v>
      </c>
      <c r="U6820" t="s">
        <v>13940</v>
      </c>
      <c r="V6820" t="s">
        <v>13941</v>
      </c>
      <c r="W6820" t="s">
        <v>13942</v>
      </c>
      <c r="AD6820" t="s">
        <v>219</v>
      </c>
      <c r="AE6820" t="s">
        <v>13943</v>
      </c>
      <c r="AF6820" t="s">
        <v>13944</v>
      </c>
    </row>
    <row r="6821" spans="1:32" hidden="1" x14ac:dyDescent="0.35">
      <c r="A6821">
        <v>6820</v>
      </c>
      <c r="B6821" t="s">
        <v>13938</v>
      </c>
      <c r="C6821" t="s">
        <v>68</v>
      </c>
      <c r="D6821" t="s">
        <v>62</v>
      </c>
      <c r="E6821">
        <v>1144</v>
      </c>
      <c r="F6821">
        <v>2</v>
      </c>
      <c r="G6821">
        <v>2</v>
      </c>
      <c r="H6821">
        <v>1</v>
      </c>
      <c r="I6821">
        <v>0</v>
      </c>
      <c r="J6821">
        <v>1</v>
      </c>
      <c r="K6821">
        <v>1</v>
      </c>
      <c r="L6821">
        <v>1</v>
      </c>
      <c r="M6821">
        <v>1</v>
      </c>
      <c r="N6821">
        <v>1</v>
      </c>
      <c r="O6821">
        <v>1</v>
      </c>
      <c r="P6821" t="s">
        <v>5189</v>
      </c>
      <c r="Q6821" t="s">
        <v>5190</v>
      </c>
      <c r="R6821" t="s">
        <v>75</v>
      </c>
      <c r="S6821" t="s">
        <v>76</v>
      </c>
      <c r="T6821" t="s">
        <v>13939</v>
      </c>
      <c r="U6821" t="s">
        <v>13940</v>
      </c>
      <c r="V6821" t="s">
        <v>13941</v>
      </c>
      <c r="W6821" t="s">
        <v>13942</v>
      </c>
      <c r="AD6821" t="s">
        <v>219</v>
      </c>
      <c r="AE6821" t="s">
        <v>13943</v>
      </c>
      <c r="AF6821" t="s">
        <v>13944</v>
      </c>
    </row>
    <row r="6822" spans="1:32" hidden="1" x14ac:dyDescent="0.35">
      <c r="A6822">
        <v>6821</v>
      </c>
      <c r="B6822" t="s">
        <v>13945</v>
      </c>
      <c r="C6822" t="s">
        <v>68</v>
      </c>
      <c r="D6822" t="s">
        <v>60</v>
      </c>
      <c r="E6822">
        <v>2404</v>
      </c>
      <c r="F6822">
        <v>2</v>
      </c>
      <c r="G6822">
        <v>2</v>
      </c>
      <c r="H6822">
        <v>1</v>
      </c>
      <c r="I6822">
        <v>0</v>
      </c>
      <c r="J6822">
        <v>1</v>
      </c>
      <c r="K6822">
        <v>1</v>
      </c>
      <c r="L6822">
        <v>1</v>
      </c>
      <c r="M6822">
        <v>1</v>
      </c>
      <c r="N6822">
        <v>1</v>
      </c>
      <c r="O6822">
        <v>1</v>
      </c>
      <c r="AF6822" t="s">
        <v>13946</v>
      </c>
    </row>
    <row r="6823" spans="1:32" hidden="1" x14ac:dyDescent="0.35">
      <c r="A6823">
        <v>6822</v>
      </c>
      <c r="B6823" t="s">
        <v>13945</v>
      </c>
      <c r="C6823" t="s">
        <v>68</v>
      </c>
      <c r="D6823" t="s">
        <v>62</v>
      </c>
      <c r="E6823">
        <v>2431</v>
      </c>
      <c r="F6823">
        <v>2</v>
      </c>
      <c r="G6823">
        <v>2</v>
      </c>
      <c r="H6823">
        <v>1</v>
      </c>
      <c r="I6823">
        <v>0</v>
      </c>
      <c r="J6823">
        <v>1</v>
      </c>
      <c r="K6823">
        <v>1</v>
      </c>
      <c r="L6823">
        <v>1</v>
      </c>
      <c r="M6823">
        <v>1</v>
      </c>
      <c r="N6823">
        <v>1</v>
      </c>
      <c r="O6823">
        <v>1</v>
      </c>
      <c r="AF6823" t="s">
        <v>13946</v>
      </c>
    </row>
    <row r="6824" spans="1:32" hidden="1" x14ac:dyDescent="0.35">
      <c r="A6824">
        <v>6823</v>
      </c>
      <c r="B6824" t="s">
        <v>13947</v>
      </c>
      <c r="C6824" t="s">
        <v>68</v>
      </c>
      <c r="D6824" t="s">
        <v>34</v>
      </c>
      <c r="E6824">
        <v>1420</v>
      </c>
      <c r="F6824">
        <v>2</v>
      </c>
      <c r="G6824">
        <v>2</v>
      </c>
      <c r="H6824">
        <v>1</v>
      </c>
      <c r="I6824">
        <v>0</v>
      </c>
      <c r="J6824">
        <v>1</v>
      </c>
      <c r="K6824">
        <v>1</v>
      </c>
      <c r="L6824">
        <v>1</v>
      </c>
      <c r="M6824">
        <v>1</v>
      </c>
      <c r="N6824">
        <v>1</v>
      </c>
      <c r="O6824">
        <v>1</v>
      </c>
      <c r="R6824" t="s">
        <v>342</v>
      </c>
      <c r="S6824" t="s">
        <v>343</v>
      </c>
      <c r="V6824" t="s">
        <v>11690</v>
      </c>
      <c r="W6824" t="s">
        <v>11691</v>
      </c>
      <c r="AF6824" t="s">
        <v>13948</v>
      </c>
    </row>
    <row r="6825" spans="1:32" hidden="1" x14ac:dyDescent="0.35">
      <c r="A6825">
        <v>6824</v>
      </c>
      <c r="B6825" t="s">
        <v>13947</v>
      </c>
      <c r="C6825" t="s">
        <v>68</v>
      </c>
      <c r="D6825" t="s">
        <v>45</v>
      </c>
      <c r="E6825">
        <v>171</v>
      </c>
      <c r="F6825">
        <v>2</v>
      </c>
      <c r="G6825">
        <v>2</v>
      </c>
      <c r="H6825">
        <v>1</v>
      </c>
      <c r="I6825">
        <v>0</v>
      </c>
      <c r="J6825">
        <v>1</v>
      </c>
      <c r="K6825">
        <v>1</v>
      </c>
      <c r="L6825">
        <v>1</v>
      </c>
      <c r="M6825">
        <v>1</v>
      </c>
      <c r="N6825">
        <v>1</v>
      </c>
      <c r="O6825">
        <v>1</v>
      </c>
      <c r="R6825" t="s">
        <v>342</v>
      </c>
      <c r="S6825" t="s">
        <v>343</v>
      </c>
      <c r="V6825" t="s">
        <v>11690</v>
      </c>
      <c r="W6825" t="s">
        <v>11691</v>
      </c>
      <c r="AF6825" t="s">
        <v>13948</v>
      </c>
    </row>
    <row r="6826" spans="1:32" hidden="1" x14ac:dyDescent="0.35">
      <c r="A6826">
        <v>6825</v>
      </c>
      <c r="B6826" t="s">
        <v>13949</v>
      </c>
      <c r="C6826" t="s">
        <v>68</v>
      </c>
      <c r="D6826" t="s">
        <v>60</v>
      </c>
      <c r="E6826">
        <v>2167</v>
      </c>
      <c r="F6826">
        <v>2</v>
      </c>
      <c r="G6826">
        <v>2</v>
      </c>
      <c r="H6826">
        <v>1</v>
      </c>
      <c r="I6826">
        <v>0</v>
      </c>
      <c r="J6826">
        <v>1</v>
      </c>
      <c r="K6826">
        <v>1</v>
      </c>
      <c r="L6826">
        <v>1</v>
      </c>
      <c r="M6826">
        <v>1</v>
      </c>
      <c r="N6826">
        <v>1</v>
      </c>
      <c r="O6826">
        <v>1</v>
      </c>
      <c r="P6826" t="s">
        <v>13950</v>
      </c>
      <c r="Q6826" t="s">
        <v>13951</v>
      </c>
      <c r="R6826" t="s">
        <v>371</v>
      </c>
      <c r="S6826" t="s">
        <v>372</v>
      </c>
      <c r="V6826" t="s">
        <v>13952</v>
      </c>
      <c r="W6826" t="s">
        <v>13953</v>
      </c>
      <c r="AF6826" t="s">
        <v>13954</v>
      </c>
    </row>
    <row r="6827" spans="1:32" hidden="1" x14ac:dyDescent="0.35">
      <c r="A6827">
        <v>6826</v>
      </c>
      <c r="B6827" t="s">
        <v>13949</v>
      </c>
      <c r="C6827" t="s">
        <v>68</v>
      </c>
      <c r="D6827" t="s">
        <v>62</v>
      </c>
      <c r="E6827">
        <v>2201</v>
      </c>
      <c r="F6827">
        <v>2</v>
      </c>
      <c r="G6827">
        <v>2</v>
      </c>
      <c r="H6827">
        <v>1</v>
      </c>
      <c r="I6827">
        <v>0</v>
      </c>
      <c r="J6827">
        <v>1</v>
      </c>
      <c r="K6827">
        <v>1</v>
      </c>
      <c r="L6827">
        <v>1</v>
      </c>
      <c r="M6827">
        <v>1</v>
      </c>
      <c r="N6827">
        <v>1</v>
      </c>
      <c r="O6827">
        <v>1</v>
      </c>
      <c r="P6827" t="s">
        <v>13950</v>
      </c>
      <c r="Q6827" t="s">
        <v>13951</v>
      </c>
      <c r="R6827" t="s">
        <v>371</v>
      </c>
      <c r="S6827" t="s">
        <v>372</v>
      </c>
      <c r="V6827" t="s">
        <v>13952</v>
      </c>
      <c r="W6827" t="s">
        <v>13953</v>
      </c>
      <c r="AF6827" t="s">
        <v>13954</v>
      </c>
    </row>
    <row r="6828" spans="1:32" hidden="1" x14ac:dyDescent="0.35">
      <c r="A6828">
        <v>6827</v>
      </c>
      <c r="B6828" t="s">
        <v>13955</v>
      </c>
      <c r="C6828" t="s">
        <v>68</v>
      </c>
      <c r="D6828" t="s">
        <v>60</v>
      </c>
      <c r="E6828">
        <v>893</v>
      </c>
      <c r="F6828">
        <v>2</v>
      </c>
      <c r="G6828">
        <v>2</v>
      </c>
      <c r="H6828">
        <v>1</v>
      </c>
      <c r="I6828">
        <v>0</v>
      </c>
      <c r="J6828">
        <v>1</v>
      </c>
      <c r="K6828">
        <v>1</v>
      </c>
      <c r="L6828">
        <v>1</v>
      </c>
      <c r="M6828">
        <v>1</v>
      </c>
      <c r="N6828">
        <v>1</v>
      </c>
      <c r="O6828">
        <v>1</v>
      </c>
      <c r="P6828" t="s">
        <v>13956</v>
      </c>
      <c r="Q6828" t="s">
        <v>13957</v>
      </c>
      <c r="R6828" t="s">
        <v>1259</v>
      </c>
      <c r="S6828" t="s">
        <v>1260</v>
      </c>
      <c r="V6828" t="s">
        <v>13958</v>
      </c>
      <c r="W6828" t="s">
        <v>13959</v>
      </c>
      <c r="AF6828" t="s">
        <v>13960</v>
      </c>
    </row>
    <row r="6829" spans="1:32" hidden="1" x14ac:dyDescent="0.35">
      <c r="A6829">
        <v>6828</v>
      </c>
      <c r="B6829" t="s">
        <v>13955</v>
      </c>
      <c r="C6829" t="s">
        <v>68</v>
      </c>
      <c r="D6829" t="s">
        <v>62</v>
      </c>
      <c r="E6829">
        <v>927</v>
      </c>
      <c r="F6829">
        <v>2</v>
      </c>
      <c r="G6829">
        <v>2</v>
      </c>
      <c r="H6829">
        <v>1</v>
      </c>
      <c r="I6829">
        <v>0</v>
      </c>
      <c r="J6829">
        <v>1</v>
      </c>
      <c r="K6829">
        <v>1</v>
      </c>
      <c r="L6829">
        <v>1</v>
      </c>
      <c r="M6829">
        <v>1</v>
      </c>
      <c r="N6829">
        <v>1</v>
      </c>
      <c r="O6829">
        <v>1</v>
      </c>
      <c r="P6829" t="s">
        <v>13956</v>
      </c>
      <c r="Q6829" t="s">
        <v>13957</v>
      </c>
      <c r="R6829" t="s">
        <v>1259</v>
      </c>
      <c r="S6829" t="s">
        <v>1260</v>
      </c>
      <c r="V6829" t="s">
        <v>13958</v>
      </c>
      <c r="W6829" t="s">
        <v>13959</v>
      </c>
      <c r="AF6829" t="s">
        <v>13960</v>
      </c>
    </row>
    <row r="6830" spans="1:32" hidden="1" x14ac:dyDescent="0.35">
      <c r="A6830">
        <v>6829</v>
      </c>
      <c r="B6830" t="s">
        <v>13961</v>
      </c>
      <c r="C6830" t="s">
        <v>68</v>
      </c>
      <c r="D6830" t="s">
        <v>60</v>
      </c>
      <c r="E6830">
        <v>142</v>
      </c>
      <c r="F6830">
        <v>2</v>
      </c>
      <c r="G6830">
        <v>2</v>
      </c>
      <c r="H6830">
        <v>1</v>
      </c>
      <c r="I6830">
        <v>0</v>
      </c>
      <c r="J6830">
        <v>1</v>
      </c>
      <c r="K6830">
        <v>1</v>
      </c>
      <c r="L6830">
        <v>1</v>
      </c>
      <c r="M6830">
        <v>1</v>
      </c>
      <c r="N6830">
        <v>1</v>
      </c>
      <c r="O6830">
        <v>1</v>
      </c>
      <c r="P6830" t="s">
        <v>13962</v>
      </c>
      <c r="Q6830" t="s">
        <v>13963</v>
      </c>
      <c r="AF6830" t="s">
        <v>13964</v>
      </c>
    </row>
    <row r="6831" spans="1:32" hidden="1" x14ac:dyDescent="0.35">
      <c r="A6831">
        <v>6830</v>
      </c>
      <c r="B6831" t="s">
        <v>13961</v>
      </c>
      <c r="C6831" t="s">
        <v>68</v>
      </c>
      <c r="D6831" t="s">
        <v>62</v>
      </c>
      <c r="E6831">
        <v>214</v>
      </c>
      <c r="F6831">
        <v>2</v>
      </c>
      <c r="G6831">
        <v>2</v>
      </c>
      <c r="H6831">
        <v>1</v>
      </c>
      <c r="I6831">
        <v>0</v>
      </c>
      <c r="J6831">
        <v>1</v>
      </c>
      <c r="K6831">
        <v>1</v>
      </c>
      <c r="L6831">
        <v>1</v>
      </c>
      <c r="M6831">
        <v>1</v>
      </c>
      <c r="N6831">
        <v>1</v>
      </c>
      <c r="O6831">
        <v>1</v>
      </c>
      <c r="P6831" t="s">
        <v>13962</v>
      </c>
      <c r="Q6831" t="s">
        <v>13963</v>
      </c>
      <c r="AF6831" t="s">
        <v>13964</v>
      </c>
    </row>
    <row r="6832" spans="1:32" hidden="1" x14ac:dyDescent="0.35">
      <c r="A6832">
        <v>6831</v>
      </c>
      <c r="B6832" t="s">
        <v>13965</v>
      </c>
      <c r="C6832" t="s">
        <v>68</v>
      </c>
      <c r="D6832" t="s">
        <v>34</v>
      </c>
      <c r="E6832">
        <v>1077</v>
      </c>
      <c r="F6832">
        <v>2</v>
      </c>
      <c r="G6832">
        <v>2</v>
      </c>
      <c r="H6832">
        <v>1</v>
      </c>
      <c r="I6832">
        <v>0</v>
      </c>
      <c r="J6832">
        <v>1</v>
      </c>
      <c r="K6832">
        <v>1</v>
      </c>
      <c r="L6832">
        <v>1</v>
      </c>
      <c r="M6832">
        <v>1</v>
      </c>
      <c r="N6832">
        <v>1</v>
      </c>
      <c r="O6832">
        <v>1</v>
      </c>
      <c r="P6832" t="s">
        <v>13966</v>
      </c>
      <c r="Q6832" t="s">
        <v>13967</v>
      </c>
      <c r="AF6832" t="s">
        <v>13968</v>
      </c>
    </row>
    <row r="6833" spans="1:32" hidden="1" x14ac:dyDescent="0.35">
      <c r="A6833">
        <v>6832</v>
      </c>
      <c r="B6833" t="s">
        <v>13965</v>
      </c>
      <c r="C6833" t="s">
        <v>68</v>
      </c>
      <c r="D6833" t="s">
        <v>45</v>
      </c>
      <c r="E6833">
        <v>2334</v>
      </c>
      <c r="F6833">
        <v>2</v>
      </c>
      <c r="G6833">
        <v>2</v>
      </c>
      <c r="H6833">
        <v>1</v>
      </c>
      <c r="I6833">
        <v>0</v>
      </c>
      <c r="J6833">
        <v>1</v>
      </c>
      <c r="K6833">
        <v>1</v>
      </c>
      <c r="L6833">
        <v>1</v>
      </c>
      <c r="M6833">
        <v>1</v>
      </c>
      <c r="N6833">
        <v>1</v>
      </c>
      <c r="O6833">
        <v>1</v>
      </c>
      <c r="P6833" t="s">
        <v>13966</v>
      </c>
      <c r="Q6833" t="s">
        <v>13967</v>
      </c>
      <c r="AF6833" t="s">
        <v>13968</v>
      </c>
    </row>
    <row r="6834" spans="1:32" hidden="1" x14ac:dyDescent="0.35">
      <c r="A6834">
        <v>6833</v>
      </c>
      <c r="B6834" t="s">
        <v>13969</v>
      </c>
      <c r="C6834" t="s">
        <v>68</v>
      </c>
      <c r="D6834" t="s">
        <v>34</v>
      </c>
      <c r="E6834">
        <v>1168</v>
      </c>
      <c r="F6834">
        <v>2</v>
      </c>
      <c r="G6834">
        <v>2</v>
      </c>
      <c r="H6834">
        <v>1</v>
      </c>
      <c r="I6834">
        <v>0</v>
      </c>
      <c r="J6834">
        <v>1</v>
      </c>
      <c r="K6834">
        <v>1</v>
      </c>
      <c r="L6834">
        <v>1</v>
      </c>
      <c r="M6834">
        <v>1</v>
      </c>
      <c r="N6834">
        <v>1</v>
      </c>
      <c r="O6834">
        <v>1</v>
      </c>
      <c r="P6834" t="s">
        <v>1494</v>
      </c>
      <c r="Q6834" t="s">
        <v>1487</v>
      </c>
      <c r="R6834" t="s">
        <v>113</v>
      </c>
      <c r="S6834" t="s">
        <v>114</v>
      </c>
      <c r="V6834" t="s">
        <v>1490</v>
      </c>
      <c r="W6834" t="s">
        <v>1491</v>
      </c>
      <c r="AF6834" t="s">
        <v>13970</v>
      </c>
    </row>
    <row r="6835" spans="1:32" hidden="1" x14ac:dyDescent="0.35">
      <c r="A6835">
        <v>6834</v>
      </c>
      <c r="B6835" t="s">
        <v>13969</v>
      </c>
      <c r="C6835" t="s">
        <v>68</v>
      </c>
      <c r="D6835" t="s">
        <v>45</v>
      </c>
      <c r="E6835">
        <v>2413</v>
      </c>
      <c r="F6835">
        <v>2</v>
      </c>
      <c r="G6835">
        <v>2</v>
      </c>
      <c r="H6835">
        <v>1</v>
      </c>
      <c r="I6835">
        <v>0</v>
      </c>
      <c r="J6835">
        <v>1</v>
      </c>
      <c r="K6835">
        <v>1</v>
      </c>
      <c r="L6835">
        <v>1</v>
      </c>
      <c r="M6835">
        <v>1</v>
      </c>
      <c r="N6835">
        <v>1</v>
      </c>
      <c r="O6835">
        <v>1</v>
      </c>
      <c r="P6835" t="s">
        <v>1494</v>
      </c>
      <c r="Q6835" t="s">
        <v>1487</v>
      </c>
      <c r="R6835" t="s">
        <v>113</v>
      </c>
      <c r="S6835" t="s">
        <v>114</v>
      </c>
      <c r="V6835" t="s">
        <v>1490</v>
      </c>
      <c r="W6835" t="s">
        <v>1491</v>
      </c>
      <c r="AF6835" t="s">
        <v>13970</v>
      </c>
    </row>
    <row r="6836" spans="1:32" hidden="1" x14ac:dyDescent="0.35">
      <c r="A6836">
        <v>6835</v>
      </c>
      <c r="B6836" t="s">
        <v>13971</v>
      </c>
      <c r="C6836" t="s">
        <v>68</v>
      </c>
      <c r="D6836" t="s">
        <v>34</v>
      </c>
      <c r="E6836">
        <v>1400</v>
      </c>
      <c r="F6836">
        <v>2</v>
      </c>
      <c r="G6836">
        <v>2</v>
      </c>
      <c r="H6836">
        <v>1</v>
      </c>
      <c r="I6836">
        <v>0</v>
      </c>
      <c r="J6836">
        <v>1</v>
      </c>
      <c r="K6836">
        <v>1</v>
      </c>
      <c r="L6836">
        <v>1</v>
      </c>
      <c r="M6836">
        <v>1</v>
      </c>
      <c r="N6836">
        <v>1</v>
      </c>
      <c r="O6836">
        <v>1</v>
      </c>
      <c r="AF6836" t="s">
        <v>13972</v>
      </c>
    </row>
    <row r="6837" spans="1:32" hidden="1" x14ac:dyDescent="0.35">
      <c r="A6837">
        <v>6836</v>
      </c>
      <c r="B6837" t="s">
        <v>13971</v>
      </c>
      <c r="C6837" t="s">
        <v>68</v>
      </c>
      <c r="D6837" t="s">
        <v>45</v>
      </c>
      <c r="E6837">
        <v>150</v>
      </c>
      <c r="F6837">
        <v>2</v>
      </c>
      <c r="G6837">
        <v>2</v>
      </c>
      <c r="H6837">
        <v>1</v>
      </c>
      <c r="I6837">
        <v>0</v>
      </c>
      <c r="J6837">
        <v>1</v>
      </c>
      <c r="K6837">
        <v>1</v>
      </c>
      <c r="L6837">
        <v>1</v>
      </c>
      <c r="M6837">
        <v>1</v>
      </c>
      <c r="N6837">
        <v>1</v>
      </c>
      <c r="O6837">
        <v>1</v>
      </c>
      <c r="AF6837" t="s">
        <v>13972</v>
      </c>
    </row>
    <row r="6838" spans="1:32" hidden="1" x14ac:dyDescent="0.35">
      <c r="A6838">
        <v>6837</v>
      </c>
      <c r="B6838" t="s">
        <v>13973</v>
      </c>
      <c r="C6838" t="s">
        <v>68</v>
      </c>
      <c r="D6838" t="s">
        <v>60</v>
      </c>
      <c r="E6838">
        <v>1032</v>
      </c>
      <c r="F6838">
        <v>2</v>
      </c>
      <c r="G6838">
        <v>2</v>
      </c>
      <c r="H6838">
        <v>1</v>
      </c>
      <c r="I6838">
        <v>0</v>
      </c>
      <c r="J6838">
        <v>1</v>
      </c>
      <c r="K6838">
        <v>1</v>
      </c>
      <c r="L6838">
        <v>1</v>
      </c>
      <c r="M6838">
        <v>1</v>
      </c>
      <c r="N6838">
        <v>1</v>
      </c>
      <c r="O6838">
        <v>1</v>
      </c>
      <c r="P6838" t="s">
        <v>13974</v>
      </c>
      <c r="Q6838" t="s">
        <v>13975</v>
      </c>
      <c r="AF6838" t="s">
        <v>13976</v>
      </c>
    </row>
    <row r="6839" spans="1:32" hidden="1" x14ac:dyDescent="0.35">
      <c r="A6839">
        <v>6838</v>
      </c>
      <c r="B6839" t="s">
        <v>13973</v>
      </c>
      <c r="C6839" t="s">
        <v>68</v>
      </c>
      <c r="D6839" t="s">
        <v>62</v>
      </c>
      <c r="E6839">
        <v>1068</v>
      </c>
      <c r="F6839">
        <v>2</v>
      </c>
      <c r="G6839">
        <v>2</v>
      </c>
      <c r="H6839">
        <v>1</v>
      </c>
      <c r="I6839">
        <v>0</v>
      </c>
      <c r="J6839">
        <v>1</v>
      </c>
      <c r="K6839">
        <v>1</v>
      </c>
      <c r="L6839">
        <v>1</v>
      </c>
      <c r="M6839">
        <v>1</v>
      </c>
      <c r="N6839">
        <v>1</v>
      </c>
      <c r="O6839">
        <v>1</v>
      </c>
      <c r="P6839" t="s">
        <v>13974</v>
      </c>
      <c r="Q6839" t="s">
        <v>13975</v>
      </c>
      <c r="AF6839" t="s">
        <v>13976</v>
      </c>
    </row>
    <row r="6840" spans="1:32" hidden="1" x14ac:dyDescent="0.35">
      <c r="A6840">
        <v>6839</v>
      </c>
      <c r="B6840" t="s">
        <v>13977</v>
      </c>
      <c r="C6840" t="s">
        <v>68</v>
      </c>
      <c r="D6840" t="s">
        <v>60</v>
      </c>
      <c r="E6840">
        <v>336</v>
      </c>
      <c r="F6840">
        <v>2</v>
      </c>
      <c r="G6840">
        <v>2</v>
      </c>
      <c r="H6840">
        <v>1</v>
      </c>
      <c r="I6840">
        <v>0</v>
      </c>
      <c r="J6840">
        <v>1</v>
      </c>
      <c r="K6840">
        <v>1</v>
      </c>
      <c r="L6840">
        <v>1</v>
      </c>
      <c r="M6840">
        <v>1</v>
      </c>
      <c r="N6840">
        <v>1</v>
      </c>
      <c r="O6840">
        <v>1</v>
      </c>
      <c r="AF6840" t="s">
        <v>13978</v>
      </c>
    </row>
    <row r="6841" spans="1:32" hidden="1" x14ac:dyDescent="0.35">
      <c r="A6841">
        <v>6840</v>
      </c>
      <c r="B6841" t="s">
        <v>13977</v>
      </c>
      <c r="C6841" t="s">
        <v>68</v>
      </c>
      <c r="D6841" t="s">
        <v>62</v>
      </c>
      <c r="E6841">
        <v>416</v>
      </c>
      <c r="F6841">
        <v>2</v>
      </c>
      <c r="G6841">
        <v>2</v>
      </c>
      <c r="H6841">
        <v>1</v>
      </c>
      <c r="I6841">
        <v>0</v>
      </c>
      <c r="J6841">
        <v>1</v>
      </c>
      <c r="K6841">
        <v>1</v>
      </c>
      <c r="L6841">
        <v>1</v>
      </c>
      <c r="M6841">
        <v>1</v>
      </c>
      <c r="N6841">
        <v>1</v>
      </c>
      <c r="O6841">
        <v>1</v>
      </c>
      <c r="AF6841" t="s">
        <v>13978</v>
      </c>
    </row>
    <row r="6842" spans="1:32" hidden="1" x14ac:dyDescent="0.35">
      <c r="A6842">
        <v>6841</v>
      </c>
      <c r="B6842" t="s">
        <v>13979</v>
      </c>
      <c r="C6842" t="s">
        <v>68</v>
      </c>
      <c r="D6842" t="s">
        <v>60</v>
      </c>
      <c r="E6842">
        <v>1071</v>
      </c>
      <c r="F6842">
        <v>2</v>
      </c>
      <c r="G6842">
        <v>2</v>
      </c>
      <c r="H6842">
        <v>1</v>
      </c>
      <c r="I6842">
        <v>0</v>
      </c>
      <c r="J6842">
        <v>1</v>
      </c>
      <c r="K6842">
        <v>1</v>
      </c>
      <c r="L6842">
        <v>1</v>
      </c>
      <c r="M6842">
        <v>1</v>
      </c>
      <c r="N6842">
        <v>1</v>
      </c>
      <c r="O6842">
        <v>1</v>
      </c>
      <c r="AF6842" t="s">
        <v>13980</v>
      </c>
    </row>
    <row r="6843" spans="1:32" hidden="1" x14ac:dyDescent="0.35">
      <c r="A6843">
        <v>6842</v>
      </c>
      <c r="B6843" t="s">
        <v>13979</v>
      </c>
      <c r="C6843" t="s">
        <v>68</v>
      </c>
      <c r="D6843" t="s">
        <v>62</v>
      </c>
      <c r="E6843">
        <v>1107</v>
      </c>
      <c r="F6843">
        <v>2</v>
      </c>
      <c r="G6843">
        <v>2</v>
      </c>
      <c r="H6843">
        <v>1</v>
      </c>
      <c r="I6843">
        <v>0</v>
      </c>
      <c r="J6843">
        <v>1</v>
      </c>
      <c r="K6843">
        <v>1</v>
      </c>
      <c r="L6843">
        <v>1</v>
      </c>
      <c r="M6843">
        <v>1</v>
      </c>
      <c r="N6843">
        <v>1</v>
      </c>
      <c r="O6843">
        <v>1</v>
      </c>
      <c r="AF6843" t="s">
        <v>13980</v>
      </c>
    </row>
    <row r="6844" spans="1:32" hidden="1" x14ac:dyDescent="0.35">
      <c r="A6844">
        <v>6843</v>
      </c>
      <c r="B6844" t="s">
        <v>13981</v>
      </c>
      <c r="C6844" t="s">
        <v>68</v>
      </c>
      <c r="D6844" t="s">
        <v>60</v>
      </c>
      <c r="E6844">
        <v>2068</v>
      </c>
      <c r="F6844">
        <v>2</v>
      </c>
      <c r="G6844">
        <v>2</v>
      </c>
      <c r="H6844">
        <v>1</v>
      </c>
      <c r="I6844">
        <v>0</v>
      </c>
      <c r="J6844">
        <v>1</v>
      </c>
      <c r="K6844">
        <v>1</v>
      </c>
      <c r="L6844">
        <v>1</v>
      </c>
      <c r="M6844">
        <v>1</v>
      </c>
      <c r="N6844">
        <v>1</v>
      </c>
      <c r="O6844">
        <v>1</v>
      </c>
      <c r="AF6844" t="s">
        <v>13982</v>
      </c>
    </row>
    <row r="6845" spans="1:32" hidden="1" x14ac:dyDescent="0.35">
      <c r="A6845">
        <v>6844</v>
      </c>
      <c r="B6845" t="s">
        <v>13981</v>
      </c>
      <c r="C6845" t="s">
        <v>68</v>
      </c>
      <c r="D6845" t="s">
        <v>62</v>
      </c>
      <c r="E6845">
        <v>2106</v>
      </c>
      <c r="F6845">
        <v>2</v>
      </c>
      <c r="G6845">
        <v>2</v>
      </c>
      <c r="H6845">
        <v>1</v>
      </c>
      <c r="I6845">
        <v>0</v>
      </c>
      <c r="J6845">
        <v>1</v>
      </c>
      <c r="K6845">
        <v>1</v>
      </c>
      <c r="L6845">
        <v>1</v>
      </c>
      <c r="M6845">
        <v>1</v>
      </c>
      <c r="N6845">
        <v>1</v>
      </c>
      <c r="O6845">
        <v>1</v>
      </c>
      <c r="AF6845" t="s">
        <v>13982</v>
      </c>
    </row>
    <row r="6846" spans="1:32" hidden="1" x14ac:dyDescent="0.35">
      <c r="A6846">
        <v>6845</v>
      </c>
      <c r="B6846" t="s">
        <v>13983</v>
      </c>
      <c r="C6846" t="s">
        <v>68</v>
      </c>
      <c r="D6846" t="s">
        <v>60</v>
      </c>
      <c r="E6846">
        <v>1420</v>
      </c>
      <c r="F6846">
        <v>2</v>
      </c>
      <c r="G6846">
        <v>2</v>
      </c>
      <c r="H6846">
        <v>1</v>
      </c>
      <c r="I6846">
        <v>0</v>
      </c>
      <c r="J6846">
        <v>1</v>
      </c>
      <c r="K6846">
        <v>1</v>
      </c>
      <c r="L6846">
        <v>1</v>
      </c>
      <c r="M6846">
        <v>1</v>
      </c>
      <c r="N6846">
        <v>1</v>
      </c>
      <c r="O6846">
        <v>1</v>
      </c>
      <c r="P6846" t="s">
        <v>12354</v>
      </c>
      <c r="Q6846" t="s">
        <v>12355</v>
      </c>
      <c r="R6846" t="s">
        <v>371</v>
      </c>
      <c r="S6846" t="s">
        <v>372</v>
      </c>
      <c r="T6846" t="s">
        <v>12356</v>
      </c>
      <c r="U6846" t="s">
        <v>12357</v>
      </c>
      <c r="V6846" t="s">
        <v>12358</v>
      </c>
      <c r="W6846" t="s">
        <v>12359</v>
      </c>
      <c r="AD6846" t="s">
        <v>3095</v>
      </c>
      <c r="AE6846" t="s">
        <v>12360</v>
      </c>
      <c r="AF6846" t="s">
        <v>13984</v>
      </c>
    </row>
    <row r="6847" spans="1:32" hidden="1" x14ac:dyDescent="0.35">
      <c r="A6847">
        <v>6846</v>
      </c>
      <c r="B6847" t="s">
        <v>13983</v>
      </c>
      <c r="C6847" t="s">
        <v>68</v>
      </c>
      <c r="D6847" t="s">
        <v>62</v>
      </c>
      <c r="E6847">
        <v>1455</v>
      </c>
      <c r="F6847">
        <v>2</v>
      </c>
      <c r="G6847">
        <v>2</v>
      </c>
      <c r="H6847">
        <v>1</v>
      </c>
      <c r="I6847">
        <v>0</v>
      </c>
      <c r="J6847">
        <v>1</v>
      </c>
      <c r="K6847">
        <v>1</v>
      </c>
      <c r="L6847">
        <v>1</v>
      </c>
      <c r="M6847">
        <v>1</v>
      </c>
      <c r="N6847">
        <v>1</v>
      </c>
      <c r="O6847">
        <v>1</v>
      </c>
      <c r="P6847" t="s">
        <v>12354</v>
      </c>
      <c r="Q6847" t="s">
        <v>12355</v>
      </c>
      <c r="R6847" t="s">
        <v>371</v>
      </c>
      <c r="S6847" t="s">
        <v>372</v>
      </c>
      <c r="T6847" t="s">
        <v>12356</v>
      </c>
      <c r="U6847" t="s">
        <v>12357</v>
      </c>
      <c r="V6847" t="s">
        <v>12358</v>
      </c>
      <c r="W6847" t="s">
        <v>12359</v>
      </c>
      <c r="AD6847" t="s">
        <v>3095</v>
      </c>
      <c r="AE6847" t="s">
        <v>12360</v>
      </c>
      <c r="AF6847" t="s">
        <v>13984</v>
      </c>
    </row>
    <row r="6848" spans="1:32" hidden="1" x14ac:dyDescent="0.35">
      <c r="A6848">
        <v>6847</v>
      </c>
      <c r="B6848" t="s">
        <v>13985</v>
      </c>
      <c r="C6848" t="s">
        <v>68</v>
      </c>
      <c r="D6848" t="s">
        <v>60</v>
      </c>
      <c r="E6848">
        <v>2383</v>
      </c>
      <c r="F6848">
        <v>2</v>
      </c>
      <c r="G6848">
        <v>2</v>
      </c>
      <c r="H6848">
        <v>1</v>
      </c>
      <c r="I6848">
        <v>0</v>
      </c>
      <c r="J6848">
        <v>1</v>
      </c>
      <c r="K6848">
        <v>1</v>
      </c>
      <c r="L6848">
        <v>1</v>
      </c>
      <c r="M6848">
        <v>1</v>
      </c>
      <c r="N6848">
        <v>1</v>
      </c>
      <c r="O6848">
        <v>1</v>
      </c>
      <c r="R6848" t="s">
        <v>184</v>
      </c>
      <c r="S6848" t="s">
        <v>185</v>
      </c>
      <c r="V6848" t="s">
        <v>188</v>
      </c>
      <c r="W6848" t="s">
        <v>189</v>
      </c>
      <c r="X6848" t="s">
        <v>188</v>
      </c>
      <c r="Y6848" t="s">
        <v>190</v>
      </c>
      <c r="AF6848" t="s">
        <v>13986</v>
      </c>
    </row>
    <row r="6849" spans="1:32" hidden="1" x14ac:dyDescent="0.35">
      <c r="A6849">
        <v>6848</v>
      </c>
      <c r="B6849" t="s">
        <v>13985</v>
      </c>
      <c r="C6849" t="s">
        <v>68</v>
      </c>
      <c r="D6849" t="s">
        <v>62</v>
      </c>
      <c r="E6849">
        <v>2411</v>
      </c>
      <c r="F6849">
        <v>2</v>
      </c>
      <c r="G6849">
        <v>2</v>
      </c>
      <c r="H6849">
        <v>1</v>
      </c>
      <c r="I6849">
        <v>0</v>
      </c>
      <c r="J6849">
        <v>1</v>
      </c>
      <c r="K6849">
        <v>1</v>
      </c>
      <c r="L6849">
        <v>1</v>
      </c>
      <c r="M6849">
        <v>1</v>
      </c>
      <c r="N6849">
        <v>1</v>
      </c>
      <c r="O6849">
        <v>1</v>
      </c>
      <c r="R6849" t="s">
        <v>184</v>
      </c>
      <c r="S6849" t="s">
        <v>185</v>
      </c>
      <c r="V6849" t="s">
        <v>188</v>
      </c>
      <c r="W6849" t="s">
        <v>189</v>
      </c>
      <c r="X6849" t="s">
        <v>188</v>
      </c>
      <c r="Y6849" t="s">
        <v>190</v>
      </c>
      <c r="AF6849" t="s">
        <v>13986</v>
      </c>
    </row>
    <row r="6850" spans="1:32" hidden="1" x14ac:dyDescent="0.35">
      <c r="A6850">
        <v>6849</v>
      </c>
      <c r="B6850" t="s">
        <v>13987</v>
      </c>
      <c r="C6850" t="s">
        <v>68</v>
      </c>
      <c r="D6850" t="s">
        <v>60</v>
      </c>
      <c r="E6850">
        <v>484</v>
      </c>
      <c r="F6850">
        <v>2</v>
      </c>
      <c r="G6850">
        <v>2</v>
      </c>
      <c r="H6850">
        <v>1</v>
      </c>
      <c r="I6850">
        <v>0</v>
      </c>
      <c r="J6850">
        <v>1</v>
      </c>
      <c r="K6850">
        <v>1</v>
      </c>
      <c r="L6850">
        <v>1</v>
      </c>
      <c r="M6850">
        <v>1</v>
      </c>
      <c r="N6850">
        <v>1</v>
      </c>
      <c r="O6850">
        <v>1</v>
      </c>
      <c r="P6850" t="s">
        <v>13988</v>
      </c>
      <c r="Q6850" t="s">
        <v>13989</v>
      </c>
      <c r="AF6850" t="s">
        <v>13990</v>
      </c>
    </row>
    <row r="6851" spans="1:32" hidden="1" x14ac:dyDescent="0.35">
      <c r="A6851">
        <v>6850</v>
      </c>
      <c r="B6851" t="s">
        <v>13987</v>
      </c>
      <c r="C6851" t="s">
        <v>68</v>
      </c>
      <c r="D6851" t="s">
        <v>62</v>
      </c>
      <c r="E6851">
        <v>567</v>
      </c>
      <c r="F6851">
        <v>2</v>
      </c>
      <c r="G6851">
        <v>2</v>
      </c>
      <c r="H6851">
        <v>1</v>
      </c>
      <c r="I6851">
        <v>0</v>
      </c>
      <c r="J6851">
        <v>1</v>
      </c>
      <c r="K6851">
        <v>1</v>
      </c>
      <c r="L6851">
        <v>1</v>
      </c>
      <c r="M6851">
        <v>1</v>
      </c>
      <c r="N6851">
        <v>1</v>
      </c>
      <c r="O6851">
        <v>1</v>
      </c>
      <c r="P6851" t="s">
        <v>13988</v>
      </c>
      <c r="Q6851" t="s">
        <v>13989</v>
      </c>
      <c r="AF6851" t="s">
        <v>13990</v>
      </c>
    </row>
    <row r="6852" spans="1:32" hidden="1" x14ac:dyDescent="0.35">
      <c r="A6852">
        <v>6851</v>
      </c>
      <c r="B6852" t="s">
        <v>13991</v>
      </c>
      <c r="C6852" t="s">
        <v>68</v>
      </c>
      <c r="D6852" t="s">
        <v>34</v>
      </c>
      <c r="E6852">
        <v>456</v>
      </c>
      <c r="F6852">
        <v>2</v>
      </c>
      <c r="G6852">
        <v>2</v>
      </c>
      <c r="H6852">
        <v>1</v>
      </c>
      <c r="I6852">
        <v>0</v>
      </c>
      <c r="J6852">
        <v>1</v>
      </c>
      <c r="K6852">
        <v>1</v>
      </c>
      <c r="L6852">
        <v>1</v>
      </c>
      <c r="M6852">
        <v>1</v>
      </c>
      <c r="N6852">
        <v>1</v>
      </c>
      <c r="O6852">
        <v>1</v>
      </c>
      <c r="AF6852" t="s">
        <v>13992</v>
      </c>
    </row>
    <row r="6853" spans="1:32" hidden="1" x14ac:dyDescent="0.35">
      <c r="A6853">
        <v>6852</v>
      </c>
      <c r="B6853" t="s">
        <v>13991</v>
      </c>
      <c r="C6853" t="s">
        <v>68</v>
      </c>
      <c r="D6853" t="s">
        <v>45</v>
      </c>
      <c r="E6853">
        <v>1719</v>
      </c>
      <c r="F6853">
        <v>2</v>
      </c>
      <c r="G6853">
        <v>2</v>
      </c>
      <c r="H6853">
        <v>1</v>
      </c>
      <c r="I6853">
        <v>0</v>
      </c>
      <c r="J6853">
        <v>1</v>
      </c>
      <c r="K6853">
        <v>1</v>
      </c>
      <c r="L6853">
        <v>1</v>
      </c>
      <c r="M6853">
        <v>1</v>
      </c>
      <c r="N6853">
        <v>1</v>
      </c>
      <c r="O6853">
        <v>1</v>
      </c>
      <c r="AF6853" t="s">
        <v>13992</v>
      </c>
    </row>
    <row r="6854" spans="1:32" hidden="1" x14ac:dyDescent="0.35">
      <c r="A6854">
        <v>6853</v>
      </c>
      <c r="B6854" t="s">
        <v>13993</v>
      </c>
      <c r="C6854" t="s">
        <v>68</v>
      </c>
      <c r="D6854" t="s">
        <v>60</v>
      </c>
      <c r="E6854">
        <v>209</v>
      </c>
      <c r="F6854">
        <v>2</v>
      </c>
      <c r="G6854">
        <v>2</v>
      </c>
      <c r="H6854">
        <v>1</v>
      </c>
      <c r="I6854">
        <v>0</v>
      </c>
      <c r="J6854">
        <v>1</v>
      </c>
      <c r="K6854">
        <v>1</v>
      </c>
      <c r="L6854">
        <v>1</v>
      </c>
      <c r="M6854">
        <v>1</v>
      </c>
      <c r="N6854">
        <v>1</v>
      </c>
      <c r="O6854">
        <v>1</v>
      </c>
      <c r="P6854" t="s">
        <v>1981</v>
      </c>
      <c r="Q6854" t="s">
        <v>1982</v>
      </c>
      <c r="R6854" t="s">
        <v>96</v>
      </c>
      <c r="S6854" t="s">
        <v>97</v>
      </c>
      <c r="T6854" t="s">
        <v>3381</v>
      </c>
      <c r="U6854" t="s">
        <v>3382</v>
      </c>
      <c r="V6854" t="s">
        <v>3383</v>
      </c>
      <c r="W6854" t="s">
        <v>3384</v>
      </c>
      <c r="AD6854" t="s">
        <v>941</v>
      </c>
      <c r="AE6854" t="s">
        <v>3385</v>
      </c>
      <c r="AF6854" t="s">
        <v>13994</v>
      </c>
    </row>
    <row r="6855" spans="1:32" hidden="1" x14ac:dyDescent="0.35">
      <c r="A6855">
        <v>6854</v>
      </c>
      <c r="B6855" t="s">
        <v>13993</v>
      </c>
      <c r="C6855" t="s">
        <v>68</v>
      </c>
      <c r="D6855" t="s">
        <v>62</v>
      </c>
      <c r="E6855">
        <v>286</v>
      </c>
      <c r="F6855">
        <v>2</v>
      </c>
      <c r="G6855">
        <v>2</v>
      </c>
      <c r="H6855">
        <v>1</v>
      </c>
      <c r="I6855">
        <v>0</v>
      </c>
      <c r="J6855">
        <v>1</v>
      </c>
      <c r="K6855">
        <v>1</v>
      </c>
      <c r="L6855">
        <v>1</v>
      </c>
      <c r="M6855">
        <v>1</v>
      </c>
      <c r="N6855">
        <v>1</v>
      </c>
      <c r="O6855">
        <v>1</v>
      </c>
      <c r="P6855" t="s">
        <v>1981</v>
      </c>
      <c r="Q6855" t="s">
        <v>1982</v>
      </c>
      <c r="R6855" t="s">
        <v>96</v>
      </c>
      <c r="S6855" t="s">
        <v>97</v>
      </c>
      <c r="T6855" t="s">
        <v>3381</v>
      </c>
      <c r="U6855" t="s">
        <v>3382</v>
      </c>
      <c r="V6855" t="s">
        <v>3383</v>
      </c>
      <c r="W6855" t="s">
        <v>3384</v>
      </c>
      <c r="AD6855" t="s">
        <v>941</v>
      </c>
      <c r="AE6855" t="s">
        <v>3385</v>
      </c>
      <c r="AF6855" t="s">
        <v>13994</v>
      </c>
    </row>
    <row r="6856" spans="1:32" hidden="1" x14ac:dyDescent="0.35">
      <c r="A6856">
        <v>6855</v>
      </c>
      <c r="B6856" t="s">
        <v>13995</v>
      </c>
      <c r="C6856" t="s">
        <v>68</v>
      </c>
      <c r="D6856" t="s">
        <v>34</v>
      </c>
      <c r="E6856">
        <v>523</v>
      </c>
      <c r="F6856">
        <v>2</v>
      </c>
      <c r="G6856">
        <v>2</v>
      </c>
      <c r="H6856">
        <v>1</v>
      </c>
      <c r="I6856">
        <v>0</v>
      </c>
      <c r="J6856">
        <v>1</v>
      </c>
      <c r="K6856">
        <v>1</v>
      </c>
      <c r="L6856">
        <v>1</v>
      </c>
      <c r="M6856">
        <v>1</v>
      </c>
      <c r="N6856">
        <v>1</v>
      </c>
      <c r="O6856">
        <v>1</v>
      </c>
      <c r="AF6856" t="s">
        <v>13996</v>
      </c>
    </row>
    <row r="6857" spans="1:32" hidden="1" x14ac:dyDescent="0.35">
      <c r="A6857">
        <v>6856</v>
      </c>
      <c r="B6857" t="s">
        <v>13995</v>
      </c>
      <c r="C6857" t="s">
        <v>68</v>
      </c>
      <c r="D6857" t="s">
        <v>45</v>
      </c>
      <c r="E6857">
        <v>1789</v>
      </c>
      <c r="F6857">
        <v>2</v>
      </c>
      <c r="G6857">
        <v>2</v>
      </c>
      <c r="H6857">
        <v>1</v>
      </c>
      <c r="I6857">
        <v>0</v>
      </c>
      <c r="J6857">
        <v>1</v>
      </c>
      <c r="K6857">
        <v>1</v>
      </c>
      <c r="L6857">
        <v>1</v>
      </c>
      <c r="M6857">
        <v>1</v>
      </c>
      <c r="N6857">
        <v>1</v>
      </c>
      <c r="O6857">
        <v>1</v>
      </c>
      <c r="AF6857" t="s">
        <v>13996</v>
      </c>
    </row>
    <row r="6858" spans="1:32" hidden="1" x14ac:dyDescent="0.35">
      <c r="A6858">
        <v>6857</v>
      </c>
      <c r="B6858" t="s">
        <v>13997</v>
      </c>
      <c r="C6858" t="s">
        <v>68</v>
      </c>
      <c r="D6858" t="s">
        <v>60</v>
      </c>
      <c r="E6858">
        <v>945</v>
      </c>
      <c r="F6858">
        <v>2</v>
      </c>
      <c r="G6858">
        <v>2</v>
      </c>
      <c r="H6858">
        <v>1</v>
      </c>
      <c r="I6858">
        <v>0</v>
      </c>
      <c r="J6858">
        <v>1</v>
      </c>
      <c r="K6858">
        <v>1</v>
      </c>
      <c r="L6858">
        <v>1</v>
      </c>
      <c r="M6858">
        <v>1</v>
      </c>
      <c r="N6858">
        <v>1</v>
      </c>
      <c r="O6858">
        <v>1</v>
      </c>
      <c r="P6858" t="s">
        <v>13476</v>
      </c>
      <c r="Q6858" t="s">
        <v>13477</v>
      </c>
      <c r="R6858" t="s">
        <v>113</v>
      </c>
      <c r="S6858" t="s">
        <v>114</v>
      </c>
      <c r="V6858" t="s">
        <v>13998</v>
      </c>
      <c r="W6858" t="s">
        <v>13999</v>
      </c>
      <c r="AF6858" t="s">
        <v>14000</v>
      </c>
    </row>
    <row r="6859" spans="1:32" hidden="1" x14ac:dyDescent="0.35">
      <c r="A6859">
        <v>6858</v>
      </c>
      <c r="B6859" t="s">
        <v>13997</v>
      </c>
      <c r="C6859" t="s">
        <v>68</v>
      </c>
      <c r="D6859" t="s">
        <v>62</v>
      </c>
      <c r="E6859">
        <v>981</v>
      </c>
      <c r="F6859">
        <v>2</v>
      </c>
      <c r="G6859">
        <v>2</v>
      </c>
      <c r="H6859">
        <v>1</v>
      </c>
      <c r="I6859">
        <v>0</v>
      </c>
      <c r="J6859">
        <v>1</v>
      </c>
      <c r="K6859">
        <v>1</v>
      </c>
      <c r="L6859">
        <v>1</v>
      </c>
      <c r="M6859">
        <v>1</v>
      </c>
      <c r="N6859">
        <v>1</v>
      </c>
      <c r="O6859">
        <v>1</v>
      </c>
      <c r="P6859" t="s">
        <v>13476</v>
      </c>
      <c r="Q6859" t="s">
        <v>13477</v>
      </c>
      <c r="R6859" t="s">
        <v>113</v>
      </c>
      <c r="S6859" t="s">
        <v>114</v>
      </c>
      <c r="V6859" t="s">
        <v>13998</v>
      </c>
      <c r="W6859" t="s">
        <v>13999</v>
      </c>
      <c r="AF6859" t="s">
        <v>14000</v>
      </c>
    </row>
    <row r="6860" spans="1:32" hidden="1" x14ac:dyDescent="0.35">
      <c r="A6860">
        <v>6859</v>
      </c>
      <c r="B6860" t="s">
        <v>14001</v>
      </c>
      <c r="C6860" t="s">
        <v>68</v>
      </c>
      <c r="D6860" t="s">
        <v>34</v>
      </c>
      <c r="E6860">
        <v>2420</v>
      </c>
      <c r="F6860">
        <v>2</v>
      </c>
      <c r="G6860">
        <v>2</v>
      </c>
      <c r="H6860">
        <v>1</v>
      </c>
      <c r="I6860">
        <v>0</v>
      </c>
      <c r="J6860">
        <v>1</v>
      </c>
      <c r="K6860">
        <v>1</v>
      </c>
      <c r="L6860">
        <v>1</v>
      </c>
      <c r="M6860">
        <v>1</v>
      </c>
      <c r="N6860">
        <v>1</v>
      </c>
      <c r="O6860">
        <v>1</v>
      </c>
      <c r="P6860" t="s">
        <v>14002</v>
      </c>
      <c r="Q6860" t="s">
        <v>14003</v>
      </c>
      <c r="R6860" t="s">
        <v>8778</v>
      </c>
      <c r="S6860" t="s">
        <v>8779</v>
      </c>
      <c r="T6860" t="s">
        <v>14004</v>
      </c>
      <c r="U6860" t="s">
        <v>14005</v>
      </c>
      <c r="V6860" t="s">
        <v>14006</v>
      </c>
      <c r="W6860" t="s">
        <v>14007</v>
      </c>
      <c r="AD6860" t="s">
        <v>14008</v>
      </c>
      <c r="AE6860" t="s">
        <v>14009</v>
      </c>
      <c r="AF6860" t="s">
        <v>14010</v>
      </c>
    </row>
    <row r="6861" spans="1:32" hidden="1" x14ac:dyDescent="0.35">
      <c r="A6861">
        <v>6860</v>
      </c>
      <c r="B6861" t="s">
        <v>14001</v>
      </c>
      <c r="C6861" t="s">
        <v>68</v>
      </c>
      <c r="D6861" t="s">
        <v>45</v>
      </c>
      <c r="E6861">
        <v>478</v>
      </c>
      <c r="F6861">
        <v>2</v>
      </c>
      <c r="G6861">
        <v>2</v>
      </c>
      <c r="H6861">
        <v>1</v>
      </c>
      <c r="I6861">
        <v>0</v>
      </c>
      <c r="J6861">
        <v>1</v>
      </c>
      <c r="K6861">
        <v>1</v>
      </c>
      <c r="L6861">
        <v>1</v>
      </c>
      <c r="M6861">
        <v>1</v>
      </c>
      <c r="N6861">
        <v>1</v>
      </c>
      <c r="O6861">
        <v>1</v>
      </c>
      <c r="P6861" t="s">
        <v>14002</v>
      </c>
      <c r="Q6861" t="s">
        <v>14003</v>
      </c>
      <c r="R6861" t="s">
        <v>8778</v>
      </c>
      <c r="S6861" t="s">
        <v>8779</v>
      </c>
      <c r="T6861" t="s">
        <v>14004</v>
      </c>
      <c r="U6861" t="s">
        <v>14005</v>
      </c>
      <c r="V6861" t="s">
        <v>14006</v>
      </c>
      <c r="W6861" t="s">
        <v>14007</v>
      </c>
      <c r="AD6861" t="s">
        <v>14008</v>
      </c>
      <c r="AE6861" t="s">
        <v>14009</v>
      </c>
      <c r="AF6861" t="s">
        <v>14010</v>
      </c>
    </row>
    <row r="6862" spans="1:32" hidden="1" x14ac:dyDescent="0.35">
      <c r="A6862">
        <v>6861</v>
      </c>
      <c r="B6862" t="s">
        <v>14011</v>
      </c>
      <c r="C6862" t="s">
        <v>68</v>
      </c>
      <c r="D6862" t="s">
        <v>60</v>
      </c>
      <c r="E6862">
        <v>1836</v>
      </c>
      <c r="F6862">
        <v>2</v>
      </c>
      <c r="G6862">
        <v>2</v>
      </c>
      <c r="H6862">
        <v>1</v>
      </c>
      <c r="I6862">
        <v>0</v>
      </c>
      <c r="J6862">
        <v>1</v>
      </c>
      <c r="K6862">
        <v>1</v>
      </c>
      <c r="L6862">
        <v>1</v>
      </c>
      <c r="M6862">
        <v>1</v>
      </c>
      <c r="N6862">
        <v>1</v>
      </c>
      <c r="O6862">
        <v>1</v>
      </c>
      <c r="P6862" t="s">
        <v>14012</v>
      </c>
      <c r="Q6862" t="s">
        <v>14013</v>
      </c>
      <c r="R6862" t="s">
        <v>516</v>
      </c>
      <c r="S6862" t="s">
        <v>517</v>
      </c>
      <c r="V6862" t="s">
        <v>14014</v>
      </c>
      <c r="W6862" t="s">
        <v>14015</v>
      </c>
      <c r="AF6862" t="s">
        <v>14016</v>
      </c>
    </row>
    <row r="6863" spans="1:32" hidden="1" x14ac:dyDescent="0.35">
      <c r="A6863">
        <v>6862</v>
      </c>
      <c r="B6863" t="s">
        <v>14011</v>
      </c>
      <c r="C6863" t="s">
        <v>68</v>
      </c>
      <c r="D6863" t="s">
        <v>62</v>
      </c>
      <c r="E6863">
        <v>1874</v>
      </c>
      <c r="F6863">
        <v>2</v>
      </c>
      <c r="G6863">
        <v>2</v>
      </c>
      <c r="H6863">
        <v>1</v>
      </c>
      <c r="I6863">
        <v>0</v>
      </c>
      <c r="J6863">
        <v>1</v>
      </c>
      <c r="K6863">
        <v>1</v>
      </c>
      <c r="L6863">
        <v>1</v>
      </c>
      <c r="M6863">
        <v>1</v>
      </c>
      <c r="N6863">
        <v>1</v>
      </c>
      <c r="O6863">
        <v>1</v>
      </c>
      <c r="P6863" t="s">
        <v>14012</v>
      </c>
      <c r="Q6863" t="s">
        <v>14013</v>
      </c>
      <c r="R6863" t="s">
        <v>516</v>
      </c>
      <c r="S6863" t="s">
        <v>517</v>
      </c>
      <c r="V6863" t="s">
        <v>14014</v>
      </c>
      <c r="W6863" t="s">
        <v>14015</v>
      </c>
      <c r="AF6863" t="s">
        <v>14016</v>
      </c>
    </row>
    <row r="6864" spans="1:32" hidden="1" x14ac:dyDescent="0.35">
      <c r="A6864">
        <v>6863</v>
      </c>
      <c r="B6864" t="s">
        <v>14017</v>
      </c>
      <c r="C6864" t="s">
        <v>68</v>
      </c>
      <c r="D6864" t="s">
        <v>60</v>
      </c>
      <c r="E6864">
        <v>2321</v>
      </c>
      <c r="F6864">
        <v>2</v>
      </c>
      <c r="G6864">
        <v>2</v>
      </c>
      <c r="H6864">
        <v>1</v>
      </c>
      <c r="I6864">
        <v>0</v>
      </c>
      <c r="J6864">
        <v>1</v>
      </c>
      <c r="K6864">
        <v>1</v>
      </c>
      <c r="L6864">
        <v>1</v>
      </c>
      <c r="M6864">
        <v>1</v>
      </c>
      <c r="N6864">
        <v>1</v>
      </c>
      <c r="O6864">
        <v>1</v>
      </c>
      <c r="AF6864" t="s">
        <v>14018</v>
      </c>
    </row>
    <row r="6865" spans="1:32" hidden="1" x14ac:dyDescent="0.35">
      <c r="A6865">
        <v>6864</v>
      </c>
      <c r="B6865" t="s">
        <v>14017</v>
      </c>
      <c r="C6865" t="s">
        <v>68</v>
      </c>
      <c r="D6865" t="s">
        <v>62</v>
      </c>
      <c r="E6865">
        <v>2349</v>
      </c>
      <c r="F6865">
        <v>2</v>
      </c>
      <c r="G6865">
        <v>2</v>
      </c>
      <c r="H6865">
        <v>1</v>
      </c>
      <c r="I6865">
        <v>0</v>
      </c>
      <c r="J6865">
        <v>1</v>
      </c>
      <c r="K6865">
        <v>1</v>
      </c>
      <c r="L6865">
        <v>1</v>
      </c>
      <c r="M6865">
        <v>1</v>
      </c>
      <c r="N6865">
        <v>1</v>
      </c>
      <c r="O6865">
        <v>1</v>
      </c>
      <c r="AF6865" t="s">
        <v>14018</v>
      </c>
    </row>
    <row r="6866" spans="1:32" hidden="1" x14ac:dyDescent="0.35">
      <c r="A6866">
        <v>6865</v>
      </c>
      <c r="B6866" t="s">
        <v>14019</v>
      </c>
      <c r="C6866" t="s">
        <v>68</v>
      </c>
      <c r="D6866" t="s">
        <v>60</v>
      </c>
      <c r="E6866">
        <v>1777</v>
      </c>
      <c r="F6866">
        <v>2</v>
      </c>
      <c r="G6866">
        <v>2</v>
      </c>
      <c r="H6866">
        <v>1</v>
      </c>
      <c r="I6866">
        <v>0</v>
      </c>
      <c r="J6866">
        <v>1</v>
      </c>
      <c r="K6866">
        <v>1</v>
      </c>
      <c r="L6866">
        <v>1</v>
      </c>
      <c r="M6866">
        <v>1</v>
      </c>
      <c r="N6866">
        <v>1</v>
      </c>
      <c r="O6866">
        <v>1</v>
      </c>
      <c r="P6866" t="s">
        <v>1504</v>
      </c>
      <c r="Q6866" t="s">
        <v>1505</v>
      </c>
      <c r="R6866" t="s">
        <v>1259</v>
      </c>
      <c r="S6866" t="s">
        <v>1260</v>
      </c>
      <c r="T6866" t="s">
        <v>1506</v>
      </c>
      <c r="U6866" t="s">
        <v>1507</v>
      </c>
      <c r="V6866" t="s">
        <v>1508</v>
      </c>
      <c r="W6866" t="s">
        <v>1509</v>
      </c>
      <c r="AD6866" t="s">
        <v>410</v>
      </c>
      <c r="AE6866" t="s">
        <v>1510</v>
      </c>
      <c r="AF6866" t="s">
        <v>14020</v>
      </c>
    </row>
    <row r="6867" spans="1:32" hidden="1" x14ac:dyDescent="0.35">
      <c r="A6867">
        <v>6866</v>
      </c>
      <c r="B6867" t="s">
        <v>14019</v>
      </c>
      <c r="C6867" t="s">
        <v>68</v>
      </c>
      <c r="D6867" t="s">
        <v>62</v>
      </c>
      <c r="E6867">
        <v>1813</v>
      </c>
      <c r="F6867">
        <v>2</v>
      </c>
      <c r="G6867">
        <v>2</v>
      </c>
      <c r="H6867">
        <v>1</v>
      </c>
      <c r="I6867">
        <v>0</v>
      </c>
      <c r="J6867">
        <v>1</v>
      </c>
      <c r="K6867">
        <v>1</v>
      </c>
      <c r="L6867">
        <v>1</v>
      </c>
      <c r="M6867">
        <v>1</v>
      </c>
      <c r="N6867">
        <v>1</v>
      </c>
      <c r="O6867">
        <v>1</v>
      </c>
      <c r="P6867" t="s">
        <v>1504</v>
      </c>
      <c r="Q6867" t="s">
        <v>1505</v>
      </c>
      <c r="R6867" t="s">
        <v>1259</v>
      </c>
      <c r="S6867" t="s">
        <v>1260</v>
      </c>
      <c r="T6867" t="s">
        <v>1506</v>
      </c>
      <c r="U6867" t="s">
        <v>1507</v>
      </c>
      <c r="V6867" t="s">
        <v>1508</v>
      </c>
      <c r="W6867" t="s">
        <v>1509</v>
      </c>
      <c r="AD6867" t="s">
        <v>410</v>
      </c>
      <c r="AE6867" t="s">
        <v>1510</v>
      </c>
      <c r="AF6867" t="s">
        <v>14020</v>
      </c>
    </row>
    <row r="6868" spans="1:32" hidden="1" x14ac:dyDescent="0.35">
      <c r="A6868">
        <v>6867</v>
      </c>
      <c r="B6868" t="s">
        <v>14021</v>
      </c>
      <c r="C6868" t="s">
        <v>68</v>
      </c>
      <c r="D6868" t="s">
        <v>34</v>
      </c>
      <c r="E6868">
        <v>355</v>
      </c>
      <c r="F6868">
        <v>2</v>
      </c>
      <c r="G6868">
        <v>2</v>
      </c>
      <c r="H6868">
        <v>1</v>
      </c>
      <c r="I6868">
        <v>0</v>
      </c>
      <c r="J6868">
        <v>1</v>
      </c>
      <c r="K6868">
        <v>1</v>
      </c>
      <c r="L6868">
        <v>1</v>
      </c>
      <c r="M6868">
        <v>1</v>
      </c>
      <c r="N6868">
        <v>1</v>
      </c>
      <c r="O6868">
        <v>1</v>
      </c>
      <c r="AF6868" t="s">
        <v>14022</v>
      </c>
    </row>
    <row r="6869" spans="1:32" hidden="1" x14ac:dyDescent="0.35">
      <c r="A6869">
        <v>6868</v>
      </c>
      <c r="B6869" t="s">
        <v>14021</v>
      </c>
      <c r="C6869" t="s">
        <v>68</v>
      </c>
      <c r="D6869" t="s">
        <v>45</v>
      </c>
      <c r="E6869">
        <v>1617</v>
      </c>
      <c r="F6869">
        <v>2</v>
      </c>
      <c r="G6869">
        <v>2</v>
      </c>
      <c r="H6869">
        <v>1</v>
      </c>
      <c r="I6869">
        <v>0</v>
      </c>
      <c r="J6869">
        <v>1</v>
      </c>
      <c r="K6869">
        <v>1</v>
      </c>
      <c r="L6869">
        <v>1</v>
      </c>
      <c r="M6869">
        <v>1</v>
      </c>
      <c r="N6869">
        <v>1</v>
      </c>
      <c r="O6869">
        <v>1</v>
      </c>
      <c r="AF6869" t="s">
        <v>14022</v>
      </c>
    </row>
    <row r="6870" spans="1:32" hidden="1" x14ac:dyDescent="0.35">
      <c r="A6870">
        <v>6869</v>
      </c>
      <c r="B6870" t="s">
        <v>14023</v>
      </c>
      <c r="C6870" t="s">
        <v>68</v>
      </c>
      <c r="D6870" t="s">
        <v>34</v>
      </c>
      <c r="E6870">
        <v>374</v>
      </c>
      <c r="F6870">
        <v>2</v>
      </c>
      <c r="G6870">
        <v>2</v>
      </c>
      <c r="H6870">
        <v>1</v>
      </c>
      <c r="I6870">
        <v>0</v>
      </c>
      <c r="J6870">
        <v>1</v>
      </c>
      <c r="K6870">
        <v>1</v>
      </c>
      <c r="L6870">
        <v>1</v>
      </c>
      <c r="M6870">
        <v>1</v>
      </c>
      <c r="N6870">
        <v>1</v>
      </c>
      <c r="O6870">
        <v>1</v>
      </c>
      <c r="P6870" t="s">
        <v>13827</v>
      </c>
      <c r="Q6870" t="s">
        <v>13828</v>
      </c>
      <c r="R6870" t="s">
        <v>13829</v>
      </c>
      <c r="S6870" t="s">
        <v>13830</v>
      </c>
      <c r="V6870" t="s">
        <v>13831</v>
      </c>
      <c r="W6870" t="s">
        <v>13832</v>
      </c>
      <c r="AF6870" t="s">
        <v>14024</v>
      </c>
    </row>
    <row r="6871" spans="1:32" hidden="1" x14ac:dyDescent="0.35">
      <c r="A6871">
        <v>6870</v>
      </c>
      <c r="B6871" t="s">
        <v>14023</v>
      </c>
      <c r="C6871" t="s">
        <v>68</v>
      </c>
      <c r="D6871" t="s">
        <v>45</v>
      </c>
      <c r="E6871">
        <v>1636</v>
      </c>
      <c r="F6871">
        <v>2</v>
      </c>
      <c r="G6871">
        <v>2</v>
      </c>
      <c r="H6871">
        <v>1</v>
      </c>
      <c r="I6871">
        <v>0</v>
      </c>
      <c r="J6871">
        <v>1</v>
      </c>
      <c r="K6871">
        <v>1</v>
      </c>
      <c r="L6871">
        <v>1</v>
      </c>
      <c r="M6871">
        <v>1</v>
      </c>
      <c r="N6871">
        <v>1</v>
      </c>
      <c r="O6871">
        <v>1</v>
      </c>
      <c r="P6871" t="s">
        <v>13827</v>
      </c>
      <c r="Q6871" t="s">
        <v>13828</v>
      </c>
      <c r="R6871" t="s">
        <v>13829</v>
      </c>
      <c r="S6871" t="s">
        <v>13830</v>
      </c>
      <c r="V6871" t="s">
        <v>13831</v>
      </c>
      <c r="W6871" t="s">
        <v>13832</v>
      </c>
      <c r="AF6871" t="s">
        <v>14024</v>
      </c>
    </row>
    <row r="6872" spans="1:32" hidden="1" x14ac:dyDescent="0.35">
      <c r="A6872">
        <v>6871</v>
      </c>
      <c r="B6872" t="s">
        <v>14025</v>
      </c>
      <c r="C6872" t="s">
        <v>68</v>
      </c>
      <c r="D6872" t="s">
        <v>34</v>
      </c>
      <c r="E6872">
        <v>1201</v>
      </c>
      <c r="F6872">
        <v>2</v>
      </c>
      <c r="G6872">
        <v>2</v>
      </c>
      <c r="H6872">
        <v>1</v>
      </c>
      <c r="I6872">
        <v>0</v>
      </c>
      <c r="J6872">
        <v>1</v>
      </c>
      <c r="K6872">
        <v>1</v>
      </c>
      <c r="L6872">
        <v>1</v>
      </c>
      <c r="M6872">
        <v>1</v>
      </c>
      <c r="N6872">
        <v>1</v>
      </c>
      <c r="O6872">
        <v>1</v>
      </c>
      <c r="AF6872" t="s">
        <v>14026</v>
      </c>
    </row>
    <row r="6873" spans="1:32" hidden="1" x14ac:dyDescent="0.35">
      <c r="A6873">
        <v>6872</v>
      </c>
      <c r="B6873" t="s">
        <v>14025</v>
      </c>
      <c r="C6873" t="s">
        <v>68</v>
      </c>
      <c r="D6873" t="s">
        <v>45</v>
      </c>
      <c r="E6873">
        <v>2444</v>
      </c>
      <c r="F6873">
        <v>2</v>
      </c>
      <c r="G6873">
        <v>2</v>
      </c>
      <c r="H6873">
        <v>1</v>
      </c>
      <c r="I6873">
        <v>0</v>
      </c>
      <c r="J6873">
        <v>1</v>
      </c>
      <c r="K6873">
        <v>1</v>
      </c>
      <c r="L6873">
        <v>1</v>
      </c>
      <c r="M6873">
        <v>1</v>
      </c>
      <c r="N6873">
        <v>1</v>
      </c>
      <c r="O6873">
        <v>1</v>
      </c>
      <c r="AF6873" t="s">
        <v>14026</v>
      </c>
    </row>
    <row r="6874" spans="1:32" hidden="1" x14ac:dyDescent="0.35">
      <c r="A6874">
        <v>6873</v>
      </c>
      <c r="B6874" t="s">
        <v>14027</v>
      </c>
      <c r="C6874" t="s">
        <v>68</v>
      </c>
      <c r="D6874" t="s">
        <v>60</v>
      </c>
      <c r="E6874">
        <v>891</v>
      </c>
      <c r="F6874">
        <v>2</v>
      </c>
      <c r="G6874">
        <v>2</v>
      </c>
      <c r="H6874">
        <v>1</v>
      </c>
      <c r="I6874">
        <v>0</v>
      </c>
      <c r="J6874">
        <v>1</v>
      </c>
      <c r="K6874">
        <v>1</v>
      </c>
      <c r="L6874">
        <v>1</v>
      </c>
      <c r="M6874">
        <v>1</v>
      </c>
      <c r="N6874">
        <v>1</v>
      </c>
      <c r="O6874">
        <v>1</v>
      </c>
      <c r="AF6874" t="s">
        <v>14028</v>
      </c>
    </row>
    <row r="6875" spans="1:32" hidden="1" x14ac:dyDescent="0.35">
      <c r="A6875">
        <v>6874</v>
      </c>
      <c r="B6875" t="s">
        <v>14027</v>
      </c>
      <c r="C6875" t="s">
        <v>68</v>
      </c>
      <c r="D6875" t="s">
        <v>62</v>
      </c>
      <c r="E6875">
        <v>925</v>
      </c>
      <c r="F6875">
        <v>2</v>
      </c>
      <c r="G6875">
        <v>2</v>
      </c>
      <c r="H6875">
        <v>1</v>
      </c>
      <c r="I6875">
        <v>0</v>
      </c>
      <c r="J6875">
        <v>1</v>
      </c>
      <c r="K6875">
        <v>1</v>
      </c>
      <c r="L6875">
        <v>1</v>
      </c>
      <c r="M6875">
        <v>1</v>
      </c>
      <c r="N6875">
        <v>1</v>
      </c>
      <c r="O6875">
        <v>1</v>
      </c>
      <c r="AF6875" t="s">
        <v>14028</v>
      </c>
    </row>
    <row r="6876" spans="1:32" hidden="1" x14ac:dyDescent="0.35">
      <c r="A6876">
        <v>6875</v>
      </c>
      <c r="B6876" t="s">
        <v>14029</v>
      </c>
      <c r="C6876" t="s">
        <v>68</v>
      </c>
      <c r="D6876" t="s">
        <v>60</v>
      </c>
      <c r="E6876">
        <v>1455</v>
      </c>
      <c r="F6876">
        <v>2</v>
      </c>
      <c r="G6876">
        <v>2</v>
      </c>
      <c r="H6876">
        <v>1</v>
      </c>
      <c r="I6876">
        <v>0</v>
      </c>
      <c r="J6876">
        <v>1</v>
      </c>
      <c r="K6876">
        <v>1</v>
      </c>
      <c r="L6876">
        <v>1</v>
      </c>
      <c r="M6876">
        <v>1</v>
      </c>
      <c r="N6876">
        <v>1</v>
      </c>
      <c r="O6876">
        <v>1</v>
      </c>
      <c r="P6876" t="s">
        <v>14030</v>
      </c>
      <c r="Q6876" t="s">
        <v>14031</v>
      </c>
      <c r="AF6876" t="s">
        <v>14032</v>
      </c>
    </row>
    <row r="6877" spans="1:32" hidden="1" x14ac:dyDescent="0.35">
      <c r="A6877">
        <v>6876</v>
      </c>
      <c r="B6877" t="s">
        <v>14029</v>
      </c>
      <c r="C6877" t="s">
        <v>68</v>
      </c>
      <c r="D6877" t="s">
        <v>62</v>
      </c>
      <c r="E6877">
        <v>1490</v>
      </c>
      <c r="F6877">
        <v>2</v>
      </c>
      <c r="G6877">
        <v>2</v>
      </c>
      <c r="H6877">
        <v>1</v>
      </c>
      <c r="I6877">
        <v>0</v>
      </c>
      <c r="J6877">
        <v>1</v>
      </c>
      <c r="K6877">
        <v>1</v>
      </c>
      <c r="L6877">
        <v>1</v>
      </c>
      <c r="M6877">
        <v>1</v>
      </c>
      <c r="N6877">
        <v>1</v>
      </c>
      <c r="O6877">
        <v>1</v>
      </c>
      <c r="P6877" t="s">
        <v>14030</v>
      </c>
      <c r="Q6877" t="s">
        <v>14031</v>
      </c>
      <c r="AF6877" t="s">
        <v>14032</v>
      </c>
    </row>
    <row r="6878" spans="1:32" hidden="1" x14ac:dyDescent="0.35">
      <c r="A6878">
        <v>6877</v>
      </c>
      <c r="B6878" t="s">
        <v>14033</v>
      </c>
      <c r="C6878" t="s">
        <v>68</v>
      </c>
      <c r="D6878" t="s">
        <v>34</v>
      </c>
      <c r="E6878">
        <v>1069</v>
      </c>
      <c r="F6878">
        <v>2</v>
      </c>
      <c r="G6878">
        <v>2</v>
      </c>
      <c r="H6878">
        <v>1</v>
      </c>
      <c r="I6878">
        <v>0</v>
      </c>
      <c r="J6878">
        <v>1</v>
      </c>
      <c r="K6878">
        <v>1</v>
      </c>
      <c r="L6878">
        <v>1</v>
      </c>
      <c r="M6878">
        <v>1</v>
      </c>
      <c r="N6878">
        <v>1</v>
      </c>
      <c r="O6878">
        <v>1</v>
      </c>
      <c r="P6878" t="s">
        <v>14034</v>
      </c>
      <c r="Q6878" t="s">
        <v>14035</v>
      </c>
      <c r="AF6878" t="s">
        <v>14036</v>
      </c>
    </row>
    <row r="6879" spans="1:32" hidden="1" x14ac:dyDescent="0.35">
      <c r="A6879">
        <v>6878</v>
      </c>
      <c r="B6879" t="s">
        <v>14033</v>
      </c>
      <c r="C6879" t="s">
        <v>68</v>
      </c>
      <c r="D6879" t="s">
        <v>45</v>
      </c>
      <c r="E6879">
        <v>2326</v>
      </c>
      <c r="F6879">
        <v>2</v>
      </c>
      <c r="G6879">
        <v>2</v>
      </c>
      <c r="H6879">
        <v>1</v>
      </c>
      <c r="I6879">
        <v>0</v>
      </c>
      <c r="J6879">
        <v>1</v>
      </c>
      <c r="K6879">
        <v>1</v>
      </c>
      <c r="L6879">
        <v>1</v>
      </c>
      <c r="M6879">
        <v>1</v>
      </c>
      <c r="N6879">
        <v>1</v>
      </c>
      <c r="O6879">
        <v>1</v>
      </c>
      <c r="P6879" t="s">
        <v>14034</v>
      </c>
      <c r="Q6879" t="s">
        <v>14035</v>
      </c>
      <c r="AF6879" t="s">
        <v>14036</v>
      </c>
    </row>
    <row r="6880" spans="1:32" hidden="1" x14ac:dyDescent="0.35">
      <c r="A6880">
        <v>6879</v>
      </c>
      <c r="B6880" t="s">
        <v>14037</v>
      </c>
      <c r="C6880" t="s">
        <v>68</v>
      </c>
      <c r="D6880" t="s">
        <v>34</v>
      </c>
      <c r="E6880">
        <v>613</v>
      </c>
      <c r="F6880">
        <v>2</v>
      </c>
      <c r="G6880">
        <v>2</v>
      </c>
      <c r="H6880">
        <v>1</v>
      </c>
      <c r="I6880">
        <v>0</v>
      </c>
      <c r="J6880">
        <v>1</v>
      </c>
      <c r="K6880">
        <v>1</v>
      </c>
      <c r="L6880">
        <v>1</v>
      </c>
      <c r="M6880">
        <v>1</v>
      </c>
      <c r="N6880">
        <v>1</v>
      </c>
      <c r="O6880">
        <v>1</v>
      </c>
      <c r="AF6880" t="s">
        <v>14038</v>
      </c>
    </row>
    <row r="6881" spans="1:32" hidden="1" x14ac:dyDescent="0.35">
      <c r="A6881">
        <v>6880</v>
      </c>
      <c r="B6881" t="s">
        <v>14037</v>
      </c>
      <c r="C6881" t="s">
        <v>68</v>
      </c>
      <c r="D6881" t="s">
        <v>45</v>
      </c>
      <c r="E6881">
        <v>1880</v>
      </c>
      <c r="F6881">
        <v>2</v>
      </c>
      <c r="G6881">
        <v>2</v>
      </c>
      <c r="H6881">
        <v>1</v>
      </c>
      <c r="I6881">
        <v>0</v>
      </c>
      <c r="J6881">
        <v>1</v>
      </c>
      <c r="K6881">
        <v>1</v>
      </c>
      <c r="L6881">
        <v>1</v>
      </c>
      <c r="M6881">
        <v>1</v>
      </c>
      <c r="N6881">
        <v>1</v>
      </c>
      <c r="O6881">
        <v>1</v>
      </c>
      <c r="AF6881" t="s">
        <v>14038</v>
      </c>
    </row>
    <row r="6882" spans="1:32" hidden="1" x14ac:dyDescent="0.35">
      <c r="A6882">
        <v>6881</v>
      </c>
      <c r="B6882" t="s">
        <v>14039</v>
      </c>
      <c r="C6882" t="s">
        <v>68</v>
      </c>
      <c r="D6882" t="s">
        <v>60</v>
      </c>
      <c r="E6882">
        <v>1840</v>
      </c>
      <c r="F6882">
        <v>2</v>
      </c>
      <c r="G6882">
        <v>2</v>
      </c>
      <c r="H6882">
        <v>1</v>
      </c>
      <c r="I6882">
        <v>0</v>
      </c>
      <c r="J6882">
        <v>1</v>
      </c>
      <c r="K6882">
        <v>1</v>
      </c>
      <c r="L6882">
        <v>1</v>
      </c>
      <c r="M6882">
        <v>1</v>
      </c>
      <c r="N6882">
        <v>1</v>
      </c>
      <c r="O6882">
        <v>1</v>
      </c>
      <c r="AF6882" t="s">
        <v>14040</v>
      </c>
    </row>
    <row r="6883" spans="1:32" hidden="1" x14ac:dyDescent="0.35">
      <c r="A6883">
        <v>6882</v>
      </c>
      <c r="B6883" t="s">
        <v>14039</v>
      </c>
      <c r="C6883" t="s">
        <v>68</v>
      </c>
      <c r="D6883" t="s">
        <v>62</v>
      </c>
      <c r="E6883">
        <v>1878</v>
      </c>
      <c r="F6883">
        <v>2</v>
      </c>
      <c r="G6883">
        <v>2</v>
      </c>
      <c r="H6883">
        <v>1</v>
      </c>
      <c r="I6883">
        <v>0</v>
      </c>
      <c r="J6883">
        <v>1</v>
      </c>
      <c r="K6883">
        <v>1</v>
      </c>
      <c r="L6883">
        <v>1</v>
      </c>
      <c r="M6883">
        <v>1</v>
      </c>
      <c r="N6883">
        <v>1</v>
      </c>
      <c r="O6883">
        <v>1</v>
      </c>
      <c r="AF6883" t="s">
        <v>14040</v>
      </c>
    </row>
    <row r="6884" spans="1:32" hidden="1" x14ac:dyDescent="0.35">
      <c r="A6884">
        <v>6883</v>
      </c>
      <c r="B6884" t="s">
        <v>14041</v>
      </c>
      <c r="C6884" t="s">
        <v>68</v>
      </c>
      <c r="D6884" t="s">
        <v>60</v>
      </c>
      <c r="E6884">
        <v>606</v>
      </c>
      <c r="F6884">
        <v>2</v>
      </c>
      <c r="G6884">
        <v>2</v>
      </c>
      <c r="H6884">
        <v>1</v>
      </c>
      <c r="I6884">
        <v>0</v>
      </c>
      <c r="J6884">
        <v>1</v>
      </c>
      <c r="K6884">
        <v>1</v>
      </c>
      <c r="L6884">
        <v>1</v>
      </c>
      <c r="M6884">
        <v>1</v>
      </c>
      <c r="N6884">
        <v>1</v>
      </c>
      <c r="O6884">
        <v>1</v>
      </c>
      <c r="R6884" t="s">
        <v>1191</v>
      </c>
      <c r="S6884" t="s">
        <v>1192</v>
      </c>
      <c r="V6884" t="s">
        <v>14042</v>
      </c>
      <c r="W6884" t="s">
        <v>14043</v>
      </c>
      <c r="X6884" t="s">
        <v>14042</v>
      </c>
      <c r="Y6884" t="s">
        <v>7046</v>
      </c>
      <c r="AF6884" t="s">
        <v>14044</v>
      </c>
    </row>
    <row r="6885" spans="1:32" hidden="1" x14ac:dyDescent="0.35">
      <c r="A6885">
        <v>6884</v>
      </c>
      <c r="B6885" t="s">
        <v>14041</v>
      </c>
      <c r="C6885" t="s">
        <v>68</v>
      </c>
      <c r="D6885" t="s">
        <v>62</v>
      </c>
      <c r="E6885">
        <v>690</v>
      </c>
      <c r="F6885">
        <v>2</v>
      </c>
      <c r="G6885">
        <v>2</v>
      </c>
      <c r="H6885">
        <v>1</v>
      </c>
      <c r="I6885">
        <v>0</v>
      </c>
      <c r="J6885">
        <v>1</v>
      </c>
      <c r="K6885">
        <v>1</v>
      </c>
      <c r="L6885">
        <v>1</v>
      </c>
      <c r="M6885">
        <v>1</v>
      </c>
      <c r="N6885">
        <v>1</v>
      </c>
      <c r="O6885">
        <v>1</v>
      </c>
      <c r="R6885" t="s">
        <v>1191</v>
      </c>
      <c r="S6885" t="s">
        <v>1192</v>
      </c>
      <c r="V6885" t="s">
        <v>14042</v>
      </c>
      <c r="W6885" t="s">
        <v>14043</v>
      </c>
      <c r="X6885" t="s">
        <v>14042</v>
      </c>
      <c r="Y6885" t="s">
        <v>7046</v>
      </c>
      <c r="AF6885" t="s">
        <v>14044</v>
      </c>
    </row>
    <row r="6886" spans="1:32" hidden="1" x14ac:dyDescent="0.35">
      <c r="A6886">
        <v>6885</v>
      </c>
      <c r="B6886" t="s">
        <v>14045</v>
      </c>
      <c r="C6886" t="s">
        <v>68</v>
      </c>
      <c r="D6886" t="s">
        <v>60</v>
      </c>
      <c r="E6886">
        <v>2374</v>
      </c>
      <c r="F6886">
        <v>2</v>
      </c>
      <c r="G6886">
        <v>2</v>
      </c>
      <c r="H6886">
        <v>1</v>
      </c>
      <c r="I6886">
        <v>0</v>
      </c>
      <c r="J6886">
        <v>1</v>
      </c>
      <c r="K6886">
        <v>1</v>
      </c>
      <c r="L6886">
        <v>1</v>
      </c>
      <c r="M6886">
        <v>1</v>
      </c>
      <c r="N6886">
        <v>1</v>
      </c>
      <c r="O6886">
        <v>1</v>
      </c>
      <c r="AF6886" t="s">
        <v>14046</v>
      </c>
    </row>
    <row r="6887" spans="1:32" hidden="1" x14ac:dyDescent="0.35">
      <c r="A6887">
        <v>6886</v>
      </c>
      <c r="B6887" t="s">
        <v>14045</v>
      </c>
      <c r="C6887" t="s">
        <v>68</v>
      </c>
      <c r="D6887" t="s">
        <v>62</v>
      </c>
      <c r="E6887">
        <v>2402</v>
      </c>
      <c r="F6887">
        <v>2</v>
      </c>
      <c r="G6887">
        <v>2</v>
      </c>
      <c r="H6887">
        <v>1</v>
      </c>
      <c r="I6887">
        <v>0</v>
      </c>
      <c r="J6887">
        <v>1</v>
      </c>
      <c r="K6887">
        <v>1</v>
      </c>
      <c r="L6887">
        <v>1</v>
      </c>
      <c r="M6887">
        <v>1</v>
      </c>
      <c r="N6887">
        <v>1</v>
      </c>
      <c r="O6887">
        <v>1</v>
      </c>
      <c r="AF6887" t="s">
        <v>14046</v>
      </c>
    </row>
    <row r="6888" spans="1:32" hidden="1" x14ac:dyDescent="0.35">
      <c r="A6888">
        <v>6887</v>
      </c>
      <c r="B6888" t="s">
        <v>14047</v>
      </c>
      <c r="C6888" t="s">
        <v>68</v>
      </c>
      <c r="D6888" t="s">
        <v>60</v>
      </c>
      <c r="E6888">
        <v>1315</v>
      </c>
      <c r="F6888">
        <v>2</v>
      </c>
      <c r="G6888">
        <v>2</v>
      </c>
      <c r="H6888">
        <v>1</v>
      </c>
      <c r="I6888">
        <v>0</v>
      </c>
      <c r="J6888">
        <v>1</v>
      </c>
      <c r="K6888">
        <v>1</v>
      </c>
      <c r="L6888">
        <v>1</v>
      </c>
      <c r="M6888">
        <v>1</v>
      </c>
      <c r="N6888">
        <v>1</v>
      </c>
      <c r="O6888">
        <v>1</v>
      </c>
      <c r="P6888" t="s">
        <v>14048</v>
      </c>
      <c r="Q6888" t="s">
        <v>14049</v>
      </c>
      <c r="R6888" t="s">
        <v>113</v>
      </c>
      <c r="S6888" t="s">
        <v>114</v>
      </c>
      <c r="T6888" t="s">
        <v>14050</v>
      </c>
      <c r="U6888" t="s">
        <v>14051</v>
      </c>
      <c r="V6888" t="s">
        <v>14052</v>
      </c>
      <c r="W6888" t="s">
        <v>14053</v>
      </c>
      <c r="AD6888" t="s">
        <v>14054</v>
      </c>
      <c r="AE6888" t="s">
        <v>14055</v>
      </c>
      <c r="AF6888" t="s">
        <v>14056</v>
      </c>
    </row>
    <row r="6889" spans="1:32" hidden="1" x14ac:dyDescent="0.35">
      <c r="A6889">
        <v>6888</v>
      </c>
      <c r="B6889" t="s">
        <v>14047</v>
      </c>
      <c r="C6889" t="s">
        <v>68</v>
      </c>
      <c r="D6889" t="s">
        <v>62</v>
      </c>
      <c r="E6889">
        <v>1351</v>
      </c>
      <c r="F6889">
        <v>2</v>
      </c>
      <c r="G6889">
        <v>2</v>
      </c>
      <c r="H6889">
        <v>1</v>
      </c>
      <c r="I6889">
        <v>0</v>
      </c>
      <c r="J6889">
        <v>1</v>
      </c>
      <c r="K6889">
        <v>1</v>
      </c>
      <c r="L6889">
        <v>1</v>
      </c>
      <c r="M6889">
        <v>1</v>
      </c>
      <c r="N6889">
        <v>1</v>
      </c>
      <c r="O6889">
        <v>1</v>
      </c>
      <c r="P6889" t="s">
        <v>14048</v>
      </c>
      <c r="Q6889" t="s">
        <v>14049</v>
      </c>
      <c r="R6889" t="s">
        <v>113</v>
      </c>
      <c r="S6889" t="s">
        <v>114</v>
      </c>
      <c r="T6889" t="s">
        <v>14050</v>
      </c>
      <c r="U6889" t="s">
        <v>14051</v>
      </c>
      <c r="V6889" t="s">
        <v>14052</v>
      </c>
      <c r="W6889" t="s">
        <v>14053</v>
      </c>
      <c r="AD6889" t="s">
        <v>14054</v>
      </c>
      <c r="AE6889" t="s">
        <v>14055</v>
      </c>
      <c r="AF6889" t="s">
        <v>14056</v>
      </c>
    </row>
    <row r="6890" spans="1:32" hidden="1" x14ac:dyDescent="0.35">
      <c r="A6890">
        <v>6889</v>
      </c>
      <c r="B6890" t="s">
        <v>14057</v>
      </c>
      <c r="C6890" t="s">
        <v>68</v>
      </c>
      <c r="D6890" t="s">
        <v>60</v>
      </c>
      <c r="E6890">
        <v>2434</v>
      </c>
      <c r="F6890">
        <v>2</v>
      </c>
      <c r="G6890">
        <v>2</v>
      </c>
      <c r="H6890">
        <v>1</v>
      </c>
      <c r="I6890">
        <v>0</v>
      </c>
      <c r="J6890">
        <v>1</v>
      </c>
      <c r="K6890">
        <v>1</v>
      </c>
      <c r="L6890">
        <v>1</v>
      </c>
      <c r="M6890">
        <v>1</v>
      </c>
      <c r="N6890">
        <v>1</v>
      </c>
      <c r="O6890">
        <v>1</v>
      </c>
      <c r="P6890" t="s">
        <v>14058</v>
      </c>
      <c r="Q6890" t="s">
        <v>3188</v>
      </c>
      <c r="R6890" t="s">
        <v>8647</v>
      </c>
      <c r="S6890" t="s">
        <v>8648</v>
      </c>
      <c r="T6890" t="s">
        <v>14059</v>
      </c>
      <c r="U6890" t="s">
        <v>14060</v>
      </c>
      <c r="V6890" t="s">
        <v>14061</v>
      </c>
      <c r="W6890" t="s">
        <v>14062</v>
      </c>
      <c r="Z6890" t="s">
        <v>3029</v>
      </c>
      <c r="AA6890" t="s">
        <v>3030</v>
      </c>
      <c r="AB6890" t="s">
        <v>3029</v>
      </c>
      <c r="AC6890" t="s">
        <v>1094</v>
      </c>
      <c r="AD6890" t="s">
        <v>219</v>
      </c>
      <c r="AE6890" t="s">
        <v>14063</v>
      </c>
      <c r="AF6890" t="s">
        <v>14064</v>
      </c>
    </row>
    <row r="6891" spans="1:32" hidden="1" x14ac:dyDescent="0.35">
      <c r="A6891">
        <v>6890</v>
      </c>
      <c r="B6891" t="s">
        <v>14057</v>
      </c>
      <c r="C6891" t="s">
        <v>68</v>
      </c>
      <c r="D6891" t="s">
        <v>62</v>
      </c>
      <c r="E6891">
        <v>2461</v>
      </c>
      <c r="F6891">
        <v>2</v>
      </c>
      <c r="G6891">
        <v>2</v>
      </c>
      <c r="H6891">
        <v>1</v>
      </c>
      <c r="I6891">
        <v>0</v>
      </c>
      <c r="J6891">
        <v>1</v>
      </c>
      <c r="K6891">
        <v>1</v>
      </c>
      <c r="L6891">
        <v>1</v>
      </c>
      <c r="M6891">
        <v>1</v>
      </c>
      <c r="N6891">
        <v>1</v>
      </c>
      <c r="O6891">
        <v>1</v>
      </c>
      <c r="P6891" t="s">
        <v>14058</v>
      </c>
      <c r="Q6891" t="s">
        <v>3188</v>
      </c>
      <c r="R6891" t="s">
        <v>8647</v>
      </c>
      <c r="S6891" t="s">
        <v>8648</v>
      </c>
      <c r="T6891" t="s">
        <v>14059</v>
      </c>
      <c r="U6891" t="s">
        <v>14060</v>
      </c>
      <c r="V6891" t="s">
        <v>14061</v>
      </c>
      <c r="W6891" t="s">
        <v>14062</v>
      </c>
      <c r="Z6891" t="s">
        <v>3029</v>
      </c>
      <c r="AA6891" t="s">
        <v>3030</v>
      </c>
      <c r="AB6891" t="s">
        <v>3029</v>
      </c>
      <c r="AC6891" t="s">
        <v>1094</v>
      </c>
      <c r="AD6891" t="s">
        <v>219</v>
      </c>
      <c r="AE6891" t="s">
        <v>14063</v>
      </c>
      <c r="AF6891" t="s">
        <v>14064</v>
      </c>
    </row>
    <row r="6892" spans="1:32" hidden="1" x14ac:dyDescent="0.35">
      <c r="A6892">
        <v>6891</v>
      </c>
      <c r="B6892" t="s">
        <v>14065</v>
      </c>
      <c r="C6892" t="s">
        <v>68</v>
      </c>
      <c r="D6892" t="s">
        <v>60</v>
      </c>
      <c r="E6892">
        <v>125</v>
      </c>
      <c r="F6892">
        <v>2</v>
      </c>
      <c r="G6892">
        <v>2</v>
      </c>
      <c r="H6892">
        <v>1</v>
      </c>
      <c r="I6892">
        <v>0</v>
      </c>
      <c r="J6892">
        <v>1</v>
      </c>
      <c r="K6892">
        <v>1</v>
      </c>
      <c r="L6892">
        <v>1</v>
      </c>
      <c r="M6892">
        <v>1</v>
      </c>
      <c r="N6892">
        <v>1</v>
      </c>
      <c r="O6892">
        <v>1</v>
      </c>
      <c r="AF6892" t="s">
        <v>14066</v>
      </c>
    </row>
    <row r="6893" spans="1:32" hidden="1" x14ac:dyDescent="0.35">
      <c r="A6893">
        <v>6892</v>
      </c>
      <c r="B6893" t="s">
        <v>14065</v>
      </c>
      <c r="C6893" t="s">
        <v>68</v>
      </c>
      <c r="D6893" t="s">
        <v>62</v>
      </c>
      <c r="E6893">
        <v>197</v>
      </c>
      <c r="F6893">
        <v>2</v>
      </c>
      <c r="G6893">
        <v>2</v>
      </c>
      <c r="H6893">
        <v>1</v>
      </c>
      <c r="I6893">
        <v>0</v>
      </c>
      <c r="J6893">
        <v>1</v>
      </c>
      <c r="K6893">
        <v>1</v>
      </c>
      <c r="L6893">
        <v>1</v>
      </c>
      <c r="M6893">
        <v>1</v>
      </c>
      <c r="N6893">
        <v>1</v>
      </c>
      <c r="O6893">
        <v>1</v>
      </c>
      <c r="AF6893" t="s">
        <v>14066</v>
      </c>
    </row>
    <row r="6894" spans="1:32" hidden="1" x14ac:dyDescent="0.35">
      <c r="A6894">
        <v>6893</v>
      </c>
      <c r="B6894" t="s">
        <v>14067</v>
      </c>
      <c r="C6894" t="s">
        <v>68</v>
      </c>
      <c r="D6894" t="s">
        <v>60</v>
      </c>
      <c r="E6894">
        <v>2368</v>
      </c>
      <c r="F6894">
        <v>2</v>
      </c>
      <c r="G6894">
        <v>2</v>
      </c>
      <c r="H6894">
        <v>1</v>
      </c>
      <c r="I6894">
        <v>0</v>
      </c>
      <c r="J6894">
        <v>1</v>
      </c>
      <c r="K6894">
        <v>1</v>
      </c>
      <c r="L6894">
        <v>1</v>
      </c>
      <c r="M6894">
        <v>1</v>
      </c>
      <c r="N6894">
        <v>1</v>
      </c>
      <c r="O6894">
        <v>1</v>
      </c>
      <c r="AF6894" t="s">
        <v>14068</v>
      </c>
    </row>
    <row r="6895" spans="1:32" hidden="1" x14ac:dyDescent="0.35">
      <c r="A6895">
        <v>6894</v>
      </c>
      <c r="B6895" t="s">
        <v>14067</v>
      </c>
      <c r="C6895" t="s">
        <v>68</v>
      </c>
      <c r="D6895" t="s">
        <v>62</v>
      </c>
      <c r="E6895">
        <v>2396</v>
      </c>
      <c r="F6895">
        <v>2</v>
      </c>
      <c r="G6895">
        <v>2</v>
      </c>
      <c r="H6895">
        <v>1</v>
      </c>
      <c r="I6895">
        <v>0</v>
      </c>
      <c r="J6895">
        <v>1</v>
      </c>
      <c r="K6895">
        <v>1</v>
      </c>
      <c r="L6895">
        <v>1</v>
      </c>
      <c r="M6895">
        <v>1</v>
      </c>
      <c r="N6895">
        <v>1</v>
      </c>
      <c r="O6895">
        <v>1</v>
      </c>
      <c r="AF6895" t="s">
        <v>14068</v>
      </c>
    </row>
    <row r="6896" spans="1:32" hidden="1" x14ac:dyDescent="0.35">
      <c r="A6896">
        <v>6895</v>
      </c>
      <c r="B6896" t="s">
        <v>14069</v>
      </c>
      <c r="C6896" t="s">
        <v>68</v>
      </c>
      <c r="D6896" t="s">
        <v>34</v>
      </c>
      <c r="E6896">
        <v>755</v>
      </c>
      <c r="F6896">
        <v>2</v>
      </c>
      <c r="G6896">
        <v>2</v>
      </c>
      <c r="H6896">
        <v>1</v>
      </c>
      <c r="I6896">
        <v>0</v>
      </c>
      <c r="J6896">
        <v>1</v>
      </c>
      <c r="K6896">
        <v>1</v>
      </c>
      <c r="L6896">
        <v>1</v>
      </c>
      <c r="M6896">
        <v>1</v>
      </c>
      <c r="N6896">
        <v>1</v>
      </c>
      <c r="O6896">
        <v>1</v>
      </c>
      <c r="P6896" t="s">
        <v>1247</v>
      </c>
      <c r="Q6896" t="s">
        <v>1248</v>
      </c>
      <c r="R6896" t="s">
        <v>319</v>
      </c>
      <c r="S6896" t="s">
        <v>320</v>
      </c>
      <c r="T6896" t="s">
        <v>14070</v>
      </c>
      <c r="U6896" t="s">
        <v>14071</v>
      </c>
      <c r="V6896" t="s">
        <v>14072</v>
      </c>
      <c r="W6896" t="s">
        <v>14073</v>
      </c>
      <c r="AD6896" t="s">
        <v>439</v>
      </c>
      <c r="AE6896" t="s">
        <v>14074</v>
      </c>
      <c r="AF6896" t="s">
        <v>14075</v>
      </c>
    </row>
    <row r="6897" spans="1:32" hidden="1" x14ac:dyDescent="0.35">
      <c r="A6897">
        <v>6896</v>
      </c>
      <c r="B6897" t="s">
        <v>14069</v>
      </c>
      <c r="C6897" t="s">
        <v>68</v>
      </c>
      <c r="D6897" t="s">
        <v>45</v>
      </c>
      <c r="E6897">
        <v>2021</v>
      </c>
      <c r="F6897">
        <v>2</v>
      </c>
      <c r="G6897">
        <v>2</v>
      </c>
      <c r="H6897">
        <v>1</v>
      </c>
      <c r="I6897">
        <v>0</v>
      </c>
      <c r="J6897">
        <v>1</v>
      </c>
      <c r="K6897">
        <v>1</v>
      </c>
      <c r="L6897">
        <v>1</v>
      </c>
      <c r="M6897">
        <v>1</v>
      </c>
      <c r="N6897">
        <v>1</v>
      </c>
      <c r="O6897">
        <v>1</v>
      </c>
      <c r="P6897" t="s">
        <v>1247</v>
      </c>
      <c r="Q6897" t="s">
        <v>1248</v>
      </c>
      <c r="R6897" t="s">
        <v>319</v>
      </c>
      <c r="S6897" t="s">
        <v>320</v>
      </c>
      <c r="T6897" t="s">
        <v>14070</v>
      </c>
      <c r="U6897" t="s">
        <v>14071</v>
      </c>
      <c r="V6897" t="s">
        <v>14072</v>
      </c>
      <c r="W6897" t="s">
        <v>14073</v>
      </c>
      <c r="AD6897" t="s">
        <v>439</v>
      </c>
      <c r="AE6897" t="s">
        <v>14074</v>
      </c>
      <c r="AF6897" t="s">
        <v>14075</v>
      </c>
    </row>
    <row r="6898" spans="1:32" hidden="1" x14ac:dyDescent="0.35">
      <c r="A6898">
        <v>6897</v>
      </c>
      <c r="B6898" t="s">
        <v>14076</v>
      </c>
      <c r="C6898" t="s">
        <v>68</v>
      </c>
      <c r="D6898" t="s">
        <v>34</v>
      </c>
      <c r="E6898">
        <v>515</v>
      </c>
      <c r="F6898">
        <v>2</v>
      </c>
      <c r="G6898">
        <v>2</v>
      </c>
      <c r="H6898">
        <v>1</v>
      </c>
      <c r="I6898">
        <v>0</v>
      </c>
      <c r="J6898">
        <v>1</v>
      </c>
      <c r="K6898">
        <v>1</v>
      </c>
      <c r="L6898">
        <v>1</v>
      </c>
      <c r="M6898">
        <v>1</v>
      </c>
      <c r="N6898">
        <v>1</v>
      </c>
      <c r="O6898">
        <v>1</v>
      </c>
      <c r="AF6898" t="s">
        <v>14077</v>
      </c>
    </row>
    <row r="6899" spans="1:32" hidden="1" x14ac:dyDescent="0.35">
      <c r="A6899">
        <v>6898</v>
      </c>
      <c r="B6899" t="s">
        <v>14076</v>
      </c>
      <c r="C6899" t="s">
        <v>68</v>
      </c>
      <c r="D6899" t="s">
        <v>45</v>
      </c>
      <c r="E6899">
        <v>1780</v>
      </c>
      <c r="F6899">
        <v>2</v>
      </c>
      <c r="G6899">
        <v>2</v>
      </c>
      <c r="H6899">
        <v>1</v>
      </c>
      <c r="I6899">
        <v>0</v>
      </c>
      <c r="J6899">
        <v>1</v>
      </c>
      <c r="K6899">
        <v>1</v>
      </c>
      <c r="L6899">
        <v>1</v>
      </c>
      <c r="M6899">
        <v>1</v>
      </c>
      <c r="N6899">
        <v>1</v>
      </c>
      <c r="O6899">
        <v>1</v>
      </c>
      <c r="AF6899" t="s">
        <v>14077</v>
      </c>
    </row>
    <row r="6900" spans="1:32" hidden="1" x14ac:dyDescent="0.35">
      <c r="A6900">
        <v>6899</v>
      </c>
      <c r="B6900" t="s">
        <v>14078</v>
      </c>
      <c r="C6900" t="s">
        <v>68</v>
      </c>
      <c r="D6900" t="s">
        <v>60</v>
      </c>
      <c r="E6900">
        <v>556</v>
      </c>
      <c r="F6900">
        <v>2</v>
      </c>
      <c r="G6900">
        <v>2</v>
      </c>
      <c r="H6900">
        <v>1</v>
      </c>
      <c r="I6900">
        <v>0</v>
      </c>
      <c r="J6900">
        <v>1</v>
      </c>
      <c r="K6900">
        <v>1</v>
      </c>
      <c r="L6900">
        <v>1</v>
      </c>
      <c r="M6900">
        <v>1</v>
      </c>
      <c r="N6900">
        <v>1</v>
      </c>
      <c r="O6900">
        <v>1</v>
      </c>
      <c r="P6900" t="s">
        <v>14079</v>
      </c>
      <c r="Q6900" t="s">
        <v>14080</v>
      </c>
      <c r="R6900" t="s">
        <v>96</v>
      </c>
      <c r="S6900" t="s">
        <v>97</v>
      </c>
      <c r="T6900" t="s">
        <v>14081</v>
      </c>
      <c r="U6900" t="s">
        <v>14082</v>
      </c>
      <c r="V6900" t="s">
        <v>14083</v>
      </c>
      <c r="W6900" t="s">
        <v>14084</v>
      </c>
      <c r="AD6900" t="s">
        <v>941</v>
      </c>
      <c r="AE6900" t="s">
        <v>13439</v>
      </c>
      <c r="AF6900" t="s">
        <v>14085</v>
      </c>
    </row>
    <row r="6901" spans="1:32" hidden="1" x14ac:dyDescent="0.35">
      <c r="A6901">
        <v>6900</v>
      </c>
      <c r="B6901" t="s">
        <v>14078</v>
      </c>
      <c r="C6901" t="s">
        <v>68</v>
      </c>
      <c r="D6901" t="s">
        <v>62</v>
      </c>
      <c r="E6901">
        <v>640</v>
      </c>
      <c r="F6901">
        <v>2</v>
      </c>
      <c r="G6901">
        <v>2</v>
      </c>
      <c r="H6901">
        <v>1</v>
      </c>
      <c r="I6901">
        <v>0</v>
      </c>
      <c r="J6901">
        <v>1</v>
      </c>
      <c r="K6901">
        <v>1</v>
      </c>
      <c r="L6901">
        <v>1</v>
      </c>
      <c r="M6901">
        <v>1</v>
      </c>
      <c r="N6901">
        <v>1</v>
      </c>
      <c r="O6901">
        <v>1</v>
      </c>
      <c r="P6901" t="s">
        <v>14079</v>
      </c>
      <c r="Q6901" t="s">
        <v>14080</v>
      </c>
      <c r="R6901" t="s">
        <v>96</v>
      </c>
      <c r="S6901" t="s">
        <v>97</v>
      </c>
      <c r="T6901" t="s">
        <v>14081</v>
      </c>
      <c r="U6901" t="s">
        <v>14082</v>
      </c>
      <c r="V6901" t="s">
        <v>14083</v>
      </c>
      <c r="W6901" t="s">
        <v>14084</v>
      </c>
      <c r="AD6901" t="s">
        <v>941</v>
      </c>
      <c r="AE6901" t="s">
        <v>13439</v>
      </c>
      <c r="AF6901" t="s">
        <v>14085</v>
      </c>
    </row>
    <row r="6902" spans="1:32" hidden="1" x14ac:dyDescent="0.35">
      <c r="A6902">
        <v>6901</v>
      </c>
      <c r="B6902" t="s">
        <v>14086</v>
      </c>
      <c r="C6902" t="s">
        <v>68</v>
      </c>
      <c r="D6902" t="s">
        <v>60</v>
      </c>
      <c r="E6902">
        <v>813</v>
      </c>
      <c r="F6902">
        <v>2</v>
      </c>
      <c r="G6902">
        <v>2</v>
      </c>
      <c r="H6902">
        <v>1</v>
      </c>
      <c r="I6902">
        <v>0</v>
      </c>
      <c r="J6902">
        <v>1</v>
      </c>
      <c r="K6902">
        <v>1</v>
      </c>
      <c r="L6902">
        <v>1</v>
      </c>
      <c r="M6902">
        <v>1</v>
      </c>
      <c r="N6902">
        <v>1</v>
      </c>
      <c r="O6902">
        <v>1</v>
      </c>
      <c r="P6902" t="s">
        <v>14087</v>
      </c>
      <c r="Q6902" t="s">
        <v>14088</v>
      </c>
      <c r="R6902" t="s">
        <v>14089</v>
      </c>
      <c r="S6902" t="s">
        <v>14090</v>
      </c>
      <c r="T6902" t="s">
        <v>14091</v>
      </c>
      <c r="U6902" t="s">
        <v>14092</v>
      </c>
      <c r="V6902" t="s">
        <v>14093</v>
      </c>
      <c r="W6902" t="s">
        <v>14094</v>
      </c>
      <c r="Z6902" t="s">
        <v>14095</v>
      </c>
      <c r="AA6902" t="s">
        <v>14096</v>
      </c>
      <c r="AB6902" t="s">
        <v>14095</v>
      </c>
      <c r="AC6902" t="s">
        <v>10156</v>
      </c>
      <c r="AD6902" t="s">
        <v>219</v>
      </c>
      <c r="AE6902" t="s">
        <v>14097</v>
      </c>
      <c r="AF6902" t="s">
        <v>14098</v>
      </c>
    </row>
    <row r="6903" spans="1:32" hidden="1" x14ac:dyDescent="0.35">
      <c r="A6903">
        <v>6902</v>
      </c>
      <c r="B6903" t="s">
        <v>14086</v>
      </c>
      <c r="C6903" t="s">
        <v>68</v>
      </c>
      <c r="D6903" t="s">
        <v>62</v>
      </c>
      <c r="E6903">
        <v>846</v>
      </c>
      <c r="F6903">
        <v>2</v>
      </c>
      <c r="G6903">
        <v>2</v>
      </c>
      <c r="H6903">
        <v>1</v>
      </c>
      <c r="I6903">
        <v>0</v>
      </c>
      <c r="J6903">
        <v>1</v>
      </c>
      <c r="K6903">
        <v>1</v>
      </c>
      <c r="L6903">
        <v>1</v>
      </c>
      <c r="M6903">
        <v>1</v>
      </c>
      <c r="N6903">
        <v>1</v>
      </c>
      <c r="O6903">
        <v>1</v>
      </c>
      <c r="P6903" t="s">
        <v>14087</v>
      </c>
      <c r="Q6903" t="s">
        <v>14088</v>
      </c>
      <c r="R6903" t="s">
        <v>14089</v>
      </c>
      <c r="S6903" t="s">
        <v>14090</v>
      </c>
      <c r="T6903" t="s">
        <v>14091</v>
      </c>
      <c r="U6903" t="s">
        <v>14092</v>
      </c>
      <c r="V6903" t="s">
        <v>14093</v>
      </c>
      <c r="W6903" t="s">
        <v>14094</v>
      </c>
      <c r="Z6903" t="s">
        <v>14095</v>
      </c>
      <c r="AA6903" t="s">
        <v>14096</v>
      </c>
      <c r="AB6903" t="s">
        <v>14095</v>
      </c>
      <c r="AC6903" t="s">
        <v>10156</v>
      </c>
      <c r="AD6903" t="s">
        <v>219</v>
      </c>
      <c r="AE6903" t="s">
        <v>14097</v>
      </c>
      <c r="AF6903" t="s">
        <v>14098</v>
      </c>
    </row>
    <row r="6904" spans="1:32" hidden="1" x14ac:dyDescent="0.35">
      <c r="A6904">
        <v>6903</v>
      </c>
      <c r="B6904" t="s">
        <v>14099</v>
      </c>
      <c r="C6904" t="s">
        <v>68</v>
      </c>
      <c r="D6904" t="s">
        <v>60</v>
      </c>
      <c r="E6904">
        <v>960</v>
      </c>
      <c r="F6904">
        <v>2</v>
      </c>
      <c r="G6904">
        <v>2</v>
      </c>
      <c r="H6904">
        <v>1</v>
      </c>
      <c r="I6904">
        <v>0</v>
      </c>
      <c r="J6904">
        <v>1</v>
      </c>
      <c r="K6904">
        <v>1</v>
      </c>
      <c r="L6904">
        <v>1</v>
      </c>
      <c r="M6904">
        <v>1</v>
      </c>
      <c r="N6904">
        <v>1</v>
      </c>
      <c r="O6904">
        <v>1</v>
      </c>
      <c r="P6904" t="s">
        <v>14100</v>
      </c>
      <c r="Q6904" t="s">
        <v>4552</v>
      </c>
      <c r="R6904" t="s">
        <v>75</v>
      </c>
      <c r="S6904" t="s">
        <v>76</v>
      </c>
      <c r="V6904" t="s">
        <v>677</v>
      </c>
      <c r="W6904" t="s">
        <v>678</v>
      </c>
      <c r="AF6904" t="s">
        <v>14101</v>
      </c>
    </row>
    <row r="6905" spans="1:32" hidden="1" x14ac:dyDescent="0.35">
      <c r="A6905">
        <v>6904</v>
      </c>
      <c r="B6905" t="s">
        <v>14099</v>
      </c>
      <c r="C6905" t="s">
        <v>68</v>
      </c>
      <c r="D6905" t="s">
        <v>62</v>
      </c>
      <c r="E6905">
        <v>996</v>
      </c>
      <c r="F6905">
        <v>2</v>
      </c>
      <c r="G6905">
        <v>2</v>
      </c>
      <c r="H6905">
        <v>1</v>
      </c>
      <c r="I6905">
        <v>0</v>
      </c>
      <c r="J6905">
        <v>1</v>
      </c>
      <c r="K6905">
        <v>1</v>
      </c>
      <c r="L6905">
        <v>1</v>
      </c>
      <c r="M6905">
        <v>1</v>
      </c>
      <c r="N6905">
        <v>1</v>
      </c>
      <c r="O6905">
        <v>1</v>
      </c>
      <c r="P6905" t="s">
        <v>14100</v>
      </c>
      <c r="Q6905" t="s">
        <v>4552</v>
      </c>
      <c r="R6905" t="s">
        <v>75</v>
      </c>
      <c r="S6905" t="s">
        <v>76</v>
      </c>
      <c r="V6905" t="s">
        <v>677</v>
      </c>
      <c r="W6905" t="s">
        <v>678</v>
      </c>
      <c r="AF6905" t="s">
        <v>14101</v>
      </c>
    </row>
    <row r="6906" spans="1:32" hidden="1" x14ac:dyDescent="0.35">
      <c r="A6906">
        <v>6905</v>
      </c>
      <c r="B6906" t="s">
        <v>14102</v>
      </c>
      <c r="C6906" t="s">
        <v>68</v>
      </c>
      <c r="D6906" t="s">
        <v>34</v>
      </c>
      <c r="E6906">
        <v>363</v>
      </c>
      <c r="F6906">
        <v>2</v>
      </c>
      <c r="G6906">
        <v>2</v>
      </c>
      <c r="H6906">
        <v>1</v>
      </c>
      <c r="I6906">
        <v>0</v>
      </c>
      <c r="J6906">
        <v>1</v>
      </c>
      <c r="K6906">
        <v>1</v>
      </c>
      <c r="L6906">
        <v>1</v>
      </c>
      <c r="M6906">
        <v>1</v>
      </c>
      <c r="N6906">
        <v>1</v>
      </c>
      <c r="O6906">
        <v>1</v>
      </c>
      <c r="P6906" t="s">
        <v>1992</v>
      </c>
      <c r="Q6906" t="s">
        <v>1993</v>
      </c>
      <c r="R6906" t="s">
        <v>1191</v>
      </c>
      <c r="S6906" t="s">
        <v>1192</v>
      </c>
      <c r="T6906" t="s">
        <v>12678</v>
      </c>
      <c r="U6906" t="s">
        <v>12679</v>
      </c>
      <c r="V6906" t="s">
        <v>12680</v>
      </c>
      <c r="W6906" t="s">
        <v>12681</v>
      </c>
      <c r="AD6906" t="s">
        <v>1998</v>
      </c>
      <c r="AE6906" t="s">
        <v>12682</v>
      </c>
      <c r="AF6906" t="s">
        <v>14103</v>
      </c>
    </row>
    <row r="6907" spans="1:32" hidden="1" x14ac:dyDescent="0.35">
      <c r="A6907">
        <v>6906</v>
      </c>
      <c r="B6907" t="s">
        <v>14102</v>
      </c>
      <c r="C6907" t="s">
        <v>68</v>
      </c>
      <c r="D6907" t="s">
        <v>45</v>
      </c>
      <c r="E6907">
        <v>1625</v>
      </c>
      <c r="F6907">
        <v>2</v>
      </c>
      <c r="G6907">
        <v>2</v>
      </c>
      <c r="H6907">
        <v>1</v>
      </c>
      <c r="I6907">
        <v>0</v>
      </c>
      <c r="J6907">
        <v>1</v>
      </c>
      <c r="K6907">
        <v>1</v>
      </c>
      <c r="L6907">
        <v>1</v>
      </c>
      <c r="M6907">
        <v>1</v>
      </c>
      <c r="N6907">
        <v>1</v>
      </c>
      <c r="O6907">
        <v>1</v>
      </c>
      <c r="P6907" t="s">
        <v>1992</v>
      </c>
      <c r="Q6907" t="s">
        <v>1993</v>
      </c>
      <c r="R6907" t="s">
        <v>1191</v>
      </c>
      <c r="S6907" t="s">
        <v>1192</v>
      </c>
      <c r="T6907" t="s">
        <v>12678</v>
      </c>
      <c r="U6907" t="s">
        <v>12679</v>
      </c>
      <c r="V6907" t="s">
        <v>12680</v>
      </c>
      <c r="W6907" t="s">
        <v>12681</v>
      </c>
      <c r="AD6907" t="s">
        <v>1998</v>
      </c>
      <c r="AE6907" t="s">
        <v>12682</v>
      </c>
      <c r="AF6907" t="s">
        <v>14103</v>
      </c>
    </row>
    <row r="6908" spans="1:32" hidden="1" x14ac:dyDescent="0.35">
      <c r="A6908">
        <v>6907</v>
      </c>
      <c r="B6908" t="s">
        <v>14104</v>
      </c>
      <c r="C6908" t="s">
        <v>68</v>
      </c>
      <c r="D6908" t="s">
        <v>60</v>
      </c>
      <c r="E6908">
        <v>2312</v>
      </c>
      <c r="F6908">
        <v>2</v>
      </c>
      <c r="G6908">
        <v>2</v>
      </c>
      <c r="H6908">
        <v>1</v>
      </c>
      <c r="I6908">
        <v>0</v>
      </c>
      <c r="J6908">
        <v>1</v>
      </c>
      <c r="K6908">
        <v>1</v>
      </c>
      <c r="L6908">
        <v>1</v>
      </c>
      <c r="M6908">
        <v>1</v>
      </c>
      <c r="N6908">
        <v>1</v>
      </c>
      <c r="O6908">
        <v>1</v>
      </c>
      <c r="P6908" t="s">
        <v>14105</v>
      </c>
      <c r="Q6908" t="s">
        <v>14106</v>
      </c>
      <c r="AF6908" t="s">
        <v>14107</v>
      </c>
    </row>
    <row r="6909" spans="1:32" hidden="1" x14ac:dyDescent="0.35">
      <c r="A6909">
        <v>6908</v>
      </c>
      <c r="B6909" t="s">
        <v>14104</v>
      </c>
      <c r="C6909" t="s">
        <v>68</v>
      </c>
      <c r="D6909" t="s">
        <v>62</v>
      </c>
      <c r="E6909">
        <v>2340</v>
      </c>
      <c r="F6909">
        <v>2</v>
      </c>
      <c r="G6909">
        <v>2</v>
      </c>
      <c r="H6909">
        <v>1</v>
      </c>
      <c r="I6909">
        <v>0</v>
      </c>
      <c r="J6909">
        <v>1</v>
      </c>
      <c r="K6909">
        <v>1</v>
      </c>
      <c r="L6909">
        <v>1</v>
      </c>
      <c r="M6909">
        <v>1</v>
      </c>
      <c r="N6909">
        <v>1</v>
      </c>
      <c r="O6909">
        <v>1</v>
      </c>
      <c r="P6909" t="s">
        <v>14105</v>
      </c>
      <c r="Q6909" t="s">
        <v>14106</v>
      </c>
      <c r="AF6909" t="s">
        <v>14107</v>
      </c>
    </row>
    <row r="6910" spans="1:32" hidden="1" x14ac:dyDescent="0.35">
      <c r="A6910">
        <v>6909</v>
      </c>
      <c r="B6910" t="s">
        <v>14108</v>
      </c>
      <c r="C6910" t="s">
        <v>68</v>
      </c>
      <c r="D6910" t="s">
        <v>60</v>
      </c>
      <c r="E6910">
        <v>2360</v>
      </c>
      <c r="F6910">
        <v>2</v>
      </c>
      <c r="G6910">
        <v>2</v>
      </c>
      <c r="H6910">
        <v>1</v>
      </c>
      <c r="I6910">
        <v>0</v>
      </c>
      <c r="J6910">
        <v>1</v>
      </c>
      <c r="K6910">
        <v>1</v>
      </c>
      <c r="L6910">
        <v>1</v>
      </c>
      <c r="M6910">
        <v>1</v>
      </c>
      <c r="N6910">
        <v>1</v>
      </c>
      <c r="O6910">
        <v>1</v>
      </c>
      <c r="AF6910" t="s">
        <v>14109</v>
      </c>
    </row>
    <row r="6911" spans="1:32" hidden="1" x14ac:dyDescent="0.35">
      <c r="A6911">
        <v>6910</v>
      </c>
      <c r="B6911" t="s">
        <v>14108</v>
      </c>
      <c r="C6911" t="s">
        <v>68</v>
      </c>
      <c r="D6911" t="s">
        <v>62</v>
      </c>
      <c r="E6911">
        <v>2388</v>
      </c>
      <c r="F6911">
        <v>2</v>
      </c>
      <c r="G6911">
        <v>2</v>
      </c>
      <c r="H6911">
        <v>1</v>
      </c>
      <c r="I6911">
        <v>0</v>
      </c>
      <c r="J6911">
        <v>1</v>
      </c>
      <c r="K6911">
        <v>1</v>
      </c>
      <c r="L6911">
        <v>1</v>
      </c>
      <c r="M6911">
        <v>1</v>
      </c>
      <c r="N6911">
        <v>1</v>
      </c>
      <c r="O6911">
        <v>1</v>
      </c>
      <c r="AF6911" t="s">
        <v>14109</v>
      </c>
    </row>
    <row r="6912" spans="1:32" hidden="1" x14ac:dyDescent="0.35">
      <c r="A6912">
        <v>6911</v>
      </c>
      <c r="B6912" t="s">
        <v>14110</v>
      </c>
      <c r="C6912" t="s">
        <v>68</v>
      </c>
      <c r="D6912" t="s">
        <v>60</v>
      </c>
      <c r="E6912">
        <v>1541</v>
      </c>
      <c r="F6912">
        <v>2</v>
      </c>
      <c r="G6912">
        <v>2</v>
      </c>
      <c r="H6912">
        <v>1</v>
      </c>
      <c r="I6912">
        <v>0</v>
      </c>
      <c r="J6912">
        <v>1</v>
      </c>
      <c r="K6912">
        <v>1</v>
      </c>
      <c r="L6912">
        <v>1</v>
      </c>
      <c r="M6912">
        <v>1</v>
      </c>
      <c r="N6912">
        <v>1</v>
      </c>
      <c r="O6912">
        <v>1</v>
      </c>
      <c r="P6912" t="s">
        <v>8484</v>
      </c>
      <c r="Q6912" t="s">
        <v>8485</v>
      </c>
      <c r="R6912" t="s">
        <v>319</v>
      </c>
      <c r="S6912" t="s">
        <v>320</v>
      </c>
      <c r="T6912" t="s">
        <v>14111</v>
      </c>
      <c r="U6912" t="s">
        <v>14112</v>
      </c>
      <c r="V6912" t="s">
        <v>14113</v>
      </c>
      <c r="W6912" t="s">
        <v>14114</v>
      </c>
      <c r="AD6912" t="s">
        <v>219</v>
      </c>
      <c r="AE6912" t="s">
        <v>14115</v>
      </c>
      <c r="AF6912" t="s">
        <v>14116</v>
      </c>
    </row>
    <row r="6913" spans="1:32" hidden="1" x14ac:dyDescent="0.35">
      <c r="A6913">
        <v>6912</v>
      </c>
      <c r="B6913" t="s">
        <v>14110</v>
      </c>
      <c r="C6913" t="s">
        <v>68</v>
      </c>
      <c r="D6913" t="s">
        <v>62</v>
      </c>
      <c r="E6913">
        <v>1576</v>
      </c>
      <c r="F6913">
        <v>2</v>
      </c>
      <c r="G6913">
        <v>2</v>
      </c>
      <c r="H6913">
        <v>1</v>
      </c>
      <c r="I6913">
        <v>0</v>
      </c>
      <c r="J6913">
        <v>1</v>
      </c>
      <c r="K6913">
        <v>1</v>
      </c>
      <c r="L6913">
        <v>1</v>
      </c>
      <c r="M6913">
        <v>1</v>
      </c>
      <c r="N6913">
        <v>1</v>
      </c>
      <c r="O6913">
        <v>1</v>
      </c>
      <c r="P6913" t="s">
        <v>8484</v>
      </c>
      <c r="Q6913" t="s">
        <v>8485</v>
      </c>
      <c r="R6913" t="s">
        <v>319</v>
      </c>
      <c r="S6913" t="s">
        <v>320</v>
      </c>
      <c r="T6913" t="s">
        <v>14111</v>
      </c>
      <c r="U6913" t="s">
        <v>14112</v>
      </c>
      <c r="V6913" t="s">
        <v>14113</v>
      </c>
      <c r="W6913" t="s">
        <v>14114</v>
      </c>
      <c r="AD6913" t="s">
        <v>219</v>
      </c>
      <c r="AE6913" t="s">
        <v>14115</v>
      </c>
      <c r="AF6913" t="s">
        <v>14116</v>
      </c>
    </row>
    <row r="6914" spans="1:32" hidden="1" x14ac:dyDescent="0.35">
      <c r="A6914">
        <v>6913</v>
      </c>
      <c r="B6914" t="s">
        <v>14117</v>
      </c>
      <c r="C6914" t="s">
        <v>68</v>
      </c>
      <c r="D6914" t="s">
        <v>60</v>
      </c>
      <c r="E6914">
        <v>890</v>
      </c>
      <c r="F6914">
        <v>2</v>
      </c>
      <c r="G6914">
        <v>2</v>
      </c>
      <c r="H6914">
        <v>1</v>
      </c>
      <c r="I6914">
        <v>0</v>
      </c>
      <c r="J6914">
        <v>1</v>
      </c>
      <c r="K6914">
        <v>1</v>
      </c>
      <c r="L6914">
        <v>1</v>
      </c>
      <c r="M6914">
        <v>1</v>
      </c>
      <c r="N6914">
        <v>1</v>
      </c>
      <c r="O6914">
        <v>1</v>
      </c>
      <c r="P6914" t="s">
        <v>14118</v>
      </c>
      <c r="Q6914" t="s">
        <v>14119</v>
      </c>
      <c r="AF6914" t="s">
        <v>14120</v>
      </c>
    </row>
    <row r="6915" spans="1:32" hidden="1" x14ac:dyDescent="0.35">
      <c r="A6915">
        <v>6914</v>
      </c>
      <c r="B6915" t="s">
        <v>14117</v>
      </c>
      <c r="C6915" t="s">
        <v>68</v>
      </c>
      <c r="D6915" t="s">
        <v>62</v>
      </c>
      <c r="E6915">
        <v>924</v>
      </c>
      <c r="F6915">
        <v>2</v>
      </c>
      <c r="G6915">
        <v>2</v>
      </c>
      <c r="H6915">
        <v>1</v>
      </c>
      <c r="I6915">
        <v>0</v>
      </c>
      <c r="J6915">
        <v>1</v>
      </c>
      <c r="K6915">
        <v>1</v>
      </c>
      <c r="L6915">
        <v>1</v>
      </c>
      <c r="M6915">
        <v>1</v>
      </c>
      <c r="N6915">
        <v>1</v>
      </c>
      <c r="O6915">
        <v>1</v>
      </c>
      <c r="P6915" t="s">
        <v>14118</v>
      </c>
      <c r="Q6915" t="s">
        <v>14119</v>
      </c>
      <c r="AF6915" t="s">
        <v>14120</v>
      </c>
    </row>
    <row r="6916" spans="1:32" hidden="1" x14ac:dyDescent="0.35">
      <c r="A6916">
        <v>6915</v>
      </c>
      <c r="B6916" t="s">
        <v>14121</v>
      </c>
      <c r="C6916" t="s">
        <v>68</v>
      </c>
      <c r="D6916" t="s">
        <v>60</v>
      </c>
      <c r="E6916">
        <v>56</v>
      </c>
      <c r="F6916">
        <v>2</v>
      </c>
      <c r="G6916">
        <v>2</v>
      </c>
      <c r="H6916">
        <v>1</v>
      </c>
      <c r="I6916">
        <v>0</v>
      </c>
      <c r="J6916">
        <v>1</v>
      </c>
      <c r="K6916">
        <v>1</v>
      </c>
      <c r="L6916">
        <v>1</v>
      </c>
      <c r="M6916">
        <v>1</v>
      </c>
      <c r="N6916">
        <v>1</v>
      </c>
      <c r="O6916">
        <v>1</v>
      </c>
      <c r="AF6916" t="s">
        <v>14122</v>
      </c>
    </row>
    <row r="6917" spans="1:32" hidden="1" x14ac:dyDescent="0.35">
      <c r="A6917">
        <v>6916</v>
      </c>
      <c r="B6917" t="s">
        <v>14121</v>
      </c>
      <c r="C6917" t="s">
        <v>68</v>
      </c>
      <c r="D6917" t="s">
        <v>62</v>
      </c>
      <c r="E6917">
        <v>129</v>
      </c>
      <c r="F6917">
        <v>2</v>
      </c>
      <c r="G6917">
        <v>2</v>
      </c>
      <c r="H6917">
        <v>1</v>
      </c>
      <c r="I6917">
        <v>0</v>
      </c>
      <c r="J6917">
        <v>1</v>
      </c>
      <c r="K6917">
        <v>1</v>
      </c>
      <c r="L6917">
        <v>1</v>
      </c>
      <c r="M6917">
        <v>1</v>
      </c>
      <c r="N6917">
        <v>1</v>
      </c>
      <c r="O6917">
        <v>1</v>
      </c>
      <c r="AF6917" t="s">
        <v>14122</v>
      </c>
    </row>
    <row r="6918" spans="1:32" hidden="1" x14ac:dyDescent="0.35">
      <c r="A6918">
        <v>6917</v>
      </c>
      <c r="B6918" t="s">
        <v>14123</v>
      </c>
      <c r="C6918" t="s">
        <v>68</v>
      </c>
      <c r="D6918" t="s">
        <v>60</v>
      </c>
      <c r="E6918">
        <v>1074</v>
      </c>
      <c r="F6918">
        <v>2</v>
      </c>
      <c r="G6918">
        <v>2</v>
      </c>
      <c r="H6918">
        <v>1</v>
      </c>
      <c r="I6918">
        <v>0</v>
      </c>
      <c r="J6918">
        <v>1</v>
      </c>
      <c r="K6918">
        <v>1</v>
      </c>
      <c r="L6918">
        <v>1</v>
      </c>
      <c r="M6918">
        <v>1</v>
      </c>
      <c r="N6918">
        <v>1</v>
      </c>
      <c r="O6918">
        <v>1</v>
      </c>
      <c r="P6918" t="s">
        <v>14124</v>
      </c>
      <c r="Q6918" t="s">
        <v>14125</v>
      </c>
      <c r="R6918" t="s">
        <v>319</v>
      </c>
      <c r="S6918" t="s">
        <v>320</v>
      </c>
      <c r="T6918" t="s">
        <v>14126</v>
      </c>
      <c r="U6918" t="s">
        <v>14127</v>
      </c>
      <c r="V6918" t="s">
        <v>14128</v>
      </c>
      <c r="W6918" t="s">
        <v>14129</v>
      </c>
      <c r="AD6918" t="s">
        <v>219</v>
      </c>
      <c r="AE6918" t="s">
        <v>14130</v>
      </c>
      <c r="AF6918" t="s">
        <v>14131</v>
      </c>
    </row>
    <row r="6919" spans="1:32" hidden="1" x14ac:dyDescent="0.35">
      <c r="A6919">
        <v>6918</v>
      </c>
      <c r="B6919" t="s">
        <v>14123</v>
      </c>
      <c r="C6919" t="s">
        <v>68</v>
      </c>
      <c r="D6919" t="s">
        <v>62</v>
      </c>
      <c r="E6919">
        <v>1110</v>
      </c>
      <c r="F6919">
        <v>2</v>
      </c>
      <c r="G6919">
        <v>2</v>
      </c>
      <c r="H6919">
        <v>1</v>
      </c>
      <c r="I6919">
        <v>0</v>
      </c>
      <c r="J6919">
        <v>1</v>
      </c>
      <c r="K6919">
        <v>1</v>
      </c>
      <c r="L6919">
        <v>1</v>
      </c>
      <c r="M6919">
        <v>1</v>
      </c>
      <c r="N6919">
        <v>1</v>
      </c>
      <c r="O6919">
        <v>1</v>
      </c>
      <c r="P6919" t="s">
        <v>14124</v>
      </c>
      <c r="Q6919" t="s">
        <v>14125</v>
      </c>
      <c r="R6919" t="s">
        <v>319</v>
      </c>
      <c r="S6919" t="s">
        <v>320</v>
      </c>
      <c r="T6919" t="s">
        <v>14126</v>
      </c>
      <c r="U6919" t="s">
        <v>14127</v>
      </c>
      <c r="V6919" t="s">
        <v>14128</v>
      </c>
      <c r="W6919" t="s">
        <v>14129</v>
      </c>
      <c r="AD6919" t="s">
        <v>219</v>
      </c>
      <c r="AE6919" t="s">
        <v>14130</v>
      </c>
      <c r="AF6919" t="s">
        <v>14131</v>
      </c>
    </row>
    <row r="6920" spans="1:32" hidden="1" x14ac:dyDescent="0.35">
      <c r="A6920">
        <v>6919</v>
      </c>
      <c r="B6920" t="s">
        <v>14132</v>
      </c>
      <c r="C6920" t="s">
        <v>68</v>
      </c>
      <c r="D6920" t="s">
        <v>60</v>
      </c>
      <c r="E6920">
        <v>537</v>
      </c>
      <c r="F6920">
        <v>2</v>
      </c>
      <c r="G6920">
        <v>2</v>
      </c>
      <c r="H6920">
        <v>1</v>
      </c>
      <c r="I6920">
        <v>0</v>
      </c>
      <c r="J6920">
        <v>1</v>
      </c>
      <c r="K6920">
        <v>1</v>
      </c>
      <c r="L6920">
        <v>1</v>
      </c>
      <c r="M6920">
        <v>1</v>
      </c>
      <c r="N6920">
        <v>1</v>
      </c>
      <c r="O6920">
        <v>1</v>
      </c>
      <c r="AF6920" t="s">
        <v>14133</v>
      </c>
    </row>
    <row r="6921" spans="1:32" hidden="1" x14ac:dyDescent="0.35">
      <c r="A6921">
        <v>6920</v>
      </c>
      <c r="B6921" t="s">
        <v>14132</v>
      </c>
      <c r="C6921" t="s">
        <v>68</v>
      </c>
      <c r="D6921" t="s">
        <v>62</v>
      </c>
      <c r="E6921">
        <v>621</v>
      </c>
      <c r="F6921">
        <v>2</v>
      </c>
      <c r="G6921">
        <v>2</v>
      </c>
      <c r="H6921">
        <v>1</v>
      </c>
      <c r="I6921">
        <v>0</v>
      </c>
      <c r="J6921">
        <v>1</v>
      </c>
      <c r="K6921">
        <v>1</v>
      </c>
      <c r="L6921">
        <v>1</v>
      </c>
      <c r="M6921">
        <v>1</v>
      </c>
      <c r="N6921">
        <v>1</v>
      </c>
      <c r="O6921">
        <v>1</v>
      </c>
      <c r="AF6921" t="s">
        <v>14133</v>
      </c>
    </row>
    <row r="6922" spans="1:32" hidden="1" x14ac:dyDescent="0.35">
      <c r="A6922">
        <v>6921</v>
      </c>
      <c r="B6922" t="s">
        <v>14134</v>
      </c>
      <c r="C6922" t="s">
        <v>68</v>
      </c>
      <c r="D6922" t="s">
        <v>34</v>
      </c>
      <c r="E6922">
        <v>1585</v>
      </c>
      <c r="F6922">
        <v>2</v>
      </c>
      <c r="G6922">
        <v>2</v>
      </c>
      <c r="H6922">
        <v>1</v>
      </c>
      <c r="I6922">
        <v>0</v>
      </c>
      <c r="J6922">
        <v>1</v>
      </c>
      <c r="K6922">
        <v>1</v>
      </c>
      <c r="L6922">
        <v>1</v>
      </c>
      <c r="M6922">
        <v>1</v>
      </c>
      <c r="N6922">
        <v>1</v>
      </c>
      <c r="O6922">
        <v>1</v>
      </c>
      <c r="AF6922" t="s">
        <v>14135</v>
      </c>
    </row>
    <row r="6923" spans="1:32" hidden="1" x14ac:dyDescent="0.35">
      <c r="A6923">
        <v>6922</v>
      </c>
      <c r="B6923" t="s">
        <v>14134</v>
      </c>
      <c r="C6923" t="s">
        <v>68</v>
      </c>
      <c r="D6923" t="s">
        <v>45</v>
      </c>
      <c r="E6923">
        <v>335</v>
      </c>
      <c r="F6923">
        <v>2</v>
      </c>
      <c r="G6923">
        <v>2</v>
      </c>
      <c r="H6923">
        <v>1</v>
      </c>
      <c r="I6923">
        <v>0</v>
      </c>
      <c r="J6923">
        <v>1</v>
      </c>
      <c r="K6923">
        <v>1</v>
      </c>
      <c r="L6923">
        <v>1</v>
      </c>
      <c r="M6923">
        <v>1</v>
      </c>
      <c r="N6923">
        <v>1</v>
      </c>
      <c r="O6923">
        <v>1</v>
      </c>
      <c r="AF6923" t="s">
        <v>14135</v>
      </c>
    </row>
    <row r="6924" spans="1:32" hidden="1" x14ac:dyDescent="0.35">
      <c r="A6924">
        <v>6923</v>
      </c>
      <c r="B6924" t="s">
        <v>14136</v>
      </c>
      <c r="C6924" t="s">
        <v>68</v>
      </c>
      <c r="D6924" t="s">
        <v>60</v>
      </c>
      <c r="E6924">
        <v>2274</v>
      </c>
      <c r="F6924">
        <v>2</v>
      </c>
      <c r="G6924">
        <v>2</v>
      </c>
      <c r="H6924">
        <v>1</v>
      </c>
      <c r="I6924">
        <v>0</v>
      </c>
      <c r="J6924">
        <v>1</v>
      </c>
      <c r="K6924">
        <v>1</v>
      </c>
      <c r="L6924">
        <v>1</v>
      </c>
      <c r="M6924">
        <v>1</v>
      </c>
      <c r="N6924">
        <v>1</v>
      </c>
      <c r="O6924">
        <v>1</v>
      </c>
      <c r="P6924" t="s">
        <v>14137</v>
      </c>
      <c r="Q6924" t="s">
        <v>10223</v>
      </c>
      <c r="R6924" t="s">
        <v>224</v>
      </c>
      <c r="S6924" t="s">
        <v>225</v>
      </c>
      <c r="V6924" t="s">
        <v>8738</v>
      </c>
      <c r="W6924" t="s">
        <v>8739</v>
      </c>
      <c r="AF6924" t="s">
        <v>14138</v>
      </c>
    </row>
    <row r="6925" spans="1:32" hidden="1" x14ac:dyDescent="0.35">
      <c r="A6925">
        <v>6924</v>
      </c>
      <c r="B6925" t="s">
        <v>14136</v>
      </c>
      <c r="C6925" t="s">
        <v>68</v>
      </c>
      <c r="D6925" t="s">
        <v>62</v>
      </c>
      <c r="E6925">
        <v>2303</v>
      </c>
      <c r="F6925">
        <v>2</v>
      </c>
      <c r="G6925">
        <v>2</v>
      </c>
      <c r="H6925">
        <v>1</v>
      </c>
      <c r="I6925">
        <v>0</v>
      </c>
      <c r="J6925">
        <v>1</v>
      </c>
      <c r="K6925">
        <v>1</v>
      </c>
      <c r="L6925">
        <v>1</v>
      </c>
      <c r="M6925">
        <v>1</v>
      </c>
      <c r="N6925">
        <v>1</v>
      </c>
      <c r="O6925">
        <v>1</v>
      </c>
      <c r="P6925" t="s">
        <v>14137</v>
      </c>
      <c r="Q6925" t="s">
        <v>10223</v>
      </c>
      <c r="R6925" t="s">
        <v>224</v>
      </c>
      <c r="S6925" t="s">
        <v>225</v>
      </c>
      <c r="V6925" t="s">
        <v>8738</v>
      </c>
      <c r="W6925" t="s">
        <v>8739</v>
      </c>
      <c r="AF6925" t="s">
        <v>14138</v>
      </c>
    </row>
    <row r="6926" spans="1:32" hidden="1" x14ac:dyDescent="0.35">
      <c r="A6926">
        <v>6925</v>
      </c>
      <c r="B6926" t="s">
        <v>14139</v>
      </c>
      <c r="C6926" t="s">
        <v>68</v>
      </c>
      <c r="D6926" t="s">
        <v>60</v>
      </c>
      <c r="E6926">
        <v>495</v>
      </c>
      <c r="F6926">
        <v>2</v>
      </c>
      <c r="G6926">
        <v>2</v>
      </c>
      <c r="H6926">
        <v>1</v>
      </c>
      <c r="I6926">
        <v>0</v>
      </c>
      <c r="J6926">
        <v>1</v>
      </c>
      <c r="K6926">
        <v>1</v>
      </c>
      <c r="L6926">
        <v>1</v>
      </c>
      <c r="M6926">
        <v>1</v>
      </c>
      <c r="N6926">
        <v>1</v>
      </c>
      <c r="O6926">
        <v>1</v>
      </c>
      <c r="P6926" t="s">
        <v>14140</v>
      </c>
      <c r="Q6926" t="s">
        <v>14141</v>
      </c>
      <c r="R6926" t="s">
        <v>1259</v>
      </c>
      <c r="S6926" t="s">
        <v>1260</v>
      </c>
      <c r="V6926" t="s">
        <v>14142</v>
      </c>
      <c r="W6926" t="s">
        <v>14143</v>
      </c>
      <c r="AF6926" t="s">
        <v>14144</v>
      </c>
    </row>
    <row r="6927" spans="1:32" hidden="1" x14ac:dyDescent="0.35">
      <c r="A6927">
        <v>6926</v>
      </c>
      <c r="B6927" t="s">
        <v>14139</v>
      </c>
      <c r="C6927" t="s">
        <v>68</v>
      </c>
      <c r="D6927" t="s">
        <v>62</v>
      </c>
      <c r="E6927">
        <v>578</v>
      </c>
      <c r="F6927">
        <v>2</v>
      </c>
      <c r="G6927">
        <v>2</v>
      </c>
      <c r="H6927">
        <v>1</v>
      </c>
      <c r="I6927">
        <v>0</v>
      </c>
      <c r="J6927">
        <v>1</v>
      </c>
      <c r="K6927">
        <v>1</v>
      </c>
      <c r="L6927">
        <v>1</v>
      </c>
      <c r="M6927">
        <v>1</v>
      </c>
      <c r="N6927">
        <v>1</v>
      </c>
      <c r="O6927">
        <v>1</v>
      </c>
      <c r="P6927" t="s">
        <v>14140</v>
      </c>
      <c r="Q6927" t="s">
        <v>14141</v>
      </c>
      <c r="R6927" t="s">
        <v>1259</v>
      </c>
      <c r="S6927" t="s">
        <v>1260</v>
      </c>
      <c r="V6927" t="s">
        <v>14142</v>
      </c>
      <c r="W6927" t="s">
        <v>14143</v>
      </c>
      <c r="AF6927" t="s">
        <v>14144</v>
      </c>
    </row>
    <row r="6928" spans="1:32" hidden="1" x14ac:dyDescent="0.35">
      <c r="A6928">
        <v>6927</v>
      </c>
      <c r="B6928" t="s">
        <v>14145</v>
      </c>
      <c r="C6928" t="s">
        <v>68</v>
      </c>
      <c r="D6928" t="s">
        <v>60</v>
      </c>
      <c r="E6928">
        <v>2543</v>
      </c>
      <c r="F6928">
        <v>2</v>
      </c>
      <c r="G6928">
        <v>2</v>
      </c>
      <c r="H6928">
        <v>1</v>
      </c>
      <c r="I6928">
        <v>0</v>
      </c>
      <c r="J6928">
        <v>1</v>
      </c>
      <c r="K6928">
        <v>1</v>
      </c>
      <c r="L6928">
        <v>1</v>
      </c>
      <c r="M6928">
        <v>1</v>
      </c>
      <c r="N6928">
        <v>1</v>
      </c>
      <c r="O6928">
        <v>1</v>
      </c>
      <c r="P6928" t="s">
        <v>1452</v>
      </c>
      <c r="Q6928" t="s">
        <v>1453</v>
      </c>
      <c r="R6928" t="s">
        <v>113</v>
      </c>
      <c r="S6928" t="s">
        <v>114</v>
      </c>
      <c r="T6928" t="s">
        <v>1454</v>
      </c>
      <c r="U6928" t="s">
        <v>1455</v>
      </c>
      <c r="V6928" t="s">
        <v>807</v>
      </c>
      <c r="W6928" t="s">
        <v>808</v>
      </c>
      <c r="X6928" t="s">
        <v>807</v>
      </c>
      <c r="Y6928" t="s">
        <v>119</v>
      </c>
      <c r="AD6928" t="s">
        <v>125</v>
      </c>
      <c r="AE6928" t="s">
        <v>126</v>
      </c>
      <c r="AF6928" t="s">
        <v>14146</v>
      </c>
    </row>
    <row r="6929" spans="1:32" hidden="1" x14ac:dyDescent="0.35">
      <c r="A6929">
        <v>6928</v>
      </c>
      <c r="B6929" t="s">
        <v>14145</v>
      </c>
      <c r="C6929" t="s">
        <v>68</v>
      </c>
      <c r="D6929" t="s">
        <v>62</v>
      </c>
      <c r="E6929">
        <v>68</v>
      </c>
      <c r="F6929">
        <v>2</v>
      </c>
      <c r="G6929">
        <v>2</v>
      </c>
      <c r="H6929">
        <v>1</v>
      </c>
      <c r="I6929">
        <v>0</v>
      </c>
      <c r="J6929">
        <v>1</v>
      </c>
      <c r="K6929">
        <v>1</v>
      </c>
      <c r="L6929">
        <v>1</v>
      </c>
      <c r="M6929">
        <v>1</v>
      </c>
      <c r="N6929">
        <v>1</v>
      </c>
      <c r="O6929">
        <v>1</v>
      </c>
      <c r="P6929" t="s">
        <v>1452</v>
      </c>
      <c r="Q6929" t="s">
        <v>1453</v>
      </c>
      <c r="R6929" t="s">
        <v>113</v>
      </c>
      <c r="S6929" t="s">
        <v>114</v>
      </c>
      <c r="T6929" t="s">
        <v>1454</v>
      </c>
      <c r="U6929" t="s">
        <v>1455</v>
      </c>
      <c r="V6929" t="s">
        <v>807</v>
      </c>
      <c r="W6929" t="s">
        <v>808</v>
      </c>
      <c r="X6929" t="s">
        <v>807</v>
      </c>
      <c r="Y6929" t="s">
        <v>119</v>
      </c>
      <c r="AD6929" t="s">
        <v>125</v>
      </c>
      <c r="AE6929" t="s">
        <v>126</v>
      </c>
      <c r="AF6929" t="s">
        <v>14146</v>
      </c>
    </row>
    <row r="6930" spans="1:32" hidden="1" x14ac:dyDescent="0.35">
      <c r="A6930">
        <v>6929</v>
      </c>
      <c r="B6930" t="s">
        <v>14147</v>
      </c>
      <c r="C6930" t="s">
        <v>68</v>
      </c>
      <c r="D6930" t="s">
        <v>60</v>
      </c>
      <c r="E6930">
        <v>1033</v>
      </c>
      <c r="F6930">
        <v>2</v>
      </c>
      <c r="G6930">
        <v>2</v>
      </c>
      <c r="H6930">
        <v>1</v>
      </c>
      <c r="I6930">
        <v>0</v>
      </c>
      <c r="J6930">
        <v>1</v>
      </c>
      <c r="K6930">
        <v>1</v>
      </c>
      <c r="L6930">
        <v>1</v>
      </c>
      <c r="M6930">
        <v>1</v>
      </c>
      <c r="N6930">
        <v>1</v>
      </c>
      <c r="O6930">
        <v>1</v>
      </c>
      <c r="P6930" t="s">
        <v>14148</v>
      </c>
      <c r="Q6930" t="s">
        <v>14149</v>
      </c>
      <c r="R6930" t="s">
        <v>113</v>
      </c>
      <c r="S6930" t="s">
        <v>114</v>
      </c>
      <c r="V6930" t="s">
        <v>14052</v>
      </c>
      <c r="W6930" t="s">
        <v>14053</v>
      </c>
      <c r="AF6930" t="s">
        <v>14150</v>
      </c>
    </row>
    <row r="6931" spans="1:32" hidden="1" x14ac:dyDescent="0.35">
      <c r="A6931">
        <v>6930</v>
      </c>
      <c r="B6931" t="s">
        <v>14147</v>
      </c>
      <c r="C6931" t="s">
        <v>68</v>
      </c>
      <c r="D6931" t="s">
        <v>62</v>
      </c>
      <c r="E6931">
        <v>1069</v>
      </c>
      <c r="F6931">
        <v>2</v>
      </c>
      <c r="G6931">
        <v>2</v>
      </c>
      <c r="H6931">
        <v>1</v>
      </c>
      <c r="I6931">
        <v>0</v>
      </c>
      <c r="J6931">
        <v>1</v>
      </c>
      <c r="K6931">
        <v>1</v>
      </c>
      <c r="L6931">
        <v>1</v>
      </c>
      <c r="M6931">
        <v>1</v>
      </c>
      <c r="N6931">
        <v>1</v>
      </c>
      <c r="O6931">
        <v>1</v>
      </c>
      <c r="P6931" t="s">
        <v>14148</v>
      </c>
      <c r="Q6931" t="s">
        <v>14149</v>
      </c>
      <c r="R6931" t="s">
        <v>113</v>
      </c>
      <c r="S6931" t="s">
        <v>114</v>
      </c>
      <c r="V6931" t="s">
        <v>14052</v>
      </c>
      <c r="W6931" t="s">
        <v>14053</v>
      </c>
      <c r="AF6931" t="s">
        <v>14150</v>
      </c>
    </row>
    <row r="6932" spans="1:32" hidden="1" x14ac:dyDescent="0.35">
      <c r="A6932">
        <v>6931</v>
      </c>
      <c r="B6932" t="s">
        <v>14151</v>
      </c>
      <c r="C6932" t="s">
        <v>68</v>
      </c>
      <c r="D6932" t="s">
        <v>60</v>
      </c>
      <c r="E6932">
        <v>1014</v>
      </c>
      <c r="F6932">
        <v>2</v>
      </c>
      <c r="G6932">
        <v>2</v>
      </c>
      <c r="H6932">
        <v>1</v>
      </c>
      <c r="I6932">
        <v>0</v>
      </c>
      <c r="J6932">
        <v>1</v>
      </c>
      <c r="K6932">
        <v>1</v>
      </c>
      <c r="L6932">
        <v>1</v>
      </c>
      <c r="M6932">
        <v>1</v>
      </c>
      <c r="N6932">
        <v>1</v>
      </c>
      <c r="O6932">
        <v>1</v>
      </c>
      <c r="AF6932" t="s">
        <v>14152</v>
      </c>
    </row>
    <row r="6933" spans="1:32" hidden="1" x14ac:dyDescent="0.35">
      <c r="A6933">
        <v>6932</v>
      </c>
      <c r="B6933" t="s">
        <v>14151</v>
      </c>
      <c r="C6933" t="s">
        <v>68</v>
      </c>
      <c r="D6933" t="s">
        <v>62</v>
      </c>
      <c r="E6933">
        <v>1050</v>
      </c>
      <c r="F6933">
        <v>2</v>
      </c>
      <c r="G6933">
        <v>2</v>
      </c>
      <c r="H6933">
        <v>1</v>
      </c>
      <c r="I6933">
        <v>0</v>
      </c>
      <c r="J6933">
        <v>1</v>
      </c>
      <c r="K6933">
        <v>1</v>
      </c>
      <c r="L6933">
        <v>1</v>
      </c>
      <c r="M6933">
        <v>1</v>
      </c>
      <c r="N6933">
        <v>1</v>
      </c>
      <c r="O6933">
        <v>1</v>
      </c>
      <c r="AF6933" t="s">
        <v>14152</v>
      </c>
    </row>
    <row r="6934" spans="1:32" hidden="1" x14ac:dyDescent="0.35">
      <c r="A6934">
        <v>6933</v>
      </c>
      <c r="B6934" t="s">
        <v>14153</v>
      </c>
      <c r="C6934" t="s">
        <v>68</v>
      </c>
      <c r="D6934" t="s">
        <v>60</v>
      </c>
      <c r="E6934">
        <v>1839</v>
      </c>
      <c r="F6934">
        <v>2</v>
      </c>
      <c r="G6934">
        <v>2</v>
      </c>
      <c r="H6934">
        <v>1</v>
      </c>
      <c r="I6934">
        <v>0</v>
      </c>
      <c r="J6934">
        <v>1</v>
      </c>
      <c r="K6934">
        <v>1</v>
      </c>
      <c r="L6934">
        <v>1</v>
      </c>
      <c r="M6934">
        <v>1</v>
      </c>
      <c r="N6934">
        <v>1</v>
      </c>
      <c r="O6934">
        <v>1</v>
      </c>
      <c r="P6934" t="s">
        <v>14154</v>
      </c>
      <c r="Q6934" t="s">
        <v>14155</v>
      </c>
      <c r="R6934" t="s">
        <v>319</v>
      </c>
      <c r="S6934" t="s">
        <v>320</v>
      </c>
      <c r="V6934" t="s">
        <v>14156</v>
      </c>
      <c r="W6934" t="s">
        <v>14157</v>
      </c>
      <c r="AF6934" t="s">
        <v>14158</v>
      </c>
    </row>
    <row r="6935" spans="1:32" hidden="1" x14ac:dyDescent="0.35">
      <c r="A6935">
        <v>6934</v>
      </c>
      <c r="B6935" t="s">
        <v>14153</v>
      </c>
      <c r="C6935" t="s">
        <v>68</v>
      </c>
      <c r="D6935" t="s">
        <v>62</v>
      </c>
      <c r="E6935">
        <v>1877</v>
      </c>
      <c r="F6935">
        <v>2</v>
      </c>
      <c r="G6935">
        <v>2</v>
      </c>
      <c r="H6935">
        <v>1</v>
      </c>
      <c r="I6935">
        <v>0</v>
      </c>
      <c r="J6935">
        <v>1</v>
      </c>
      <c r="K6935">
        <v>1</v>
      </c>
      <c r="L6935">
        <v>1</v>
      </c>
      <c r="M6935">
        <v>1</v>
      </c>
      <c r="N6935">
        <v>1</v>
      </c>
      <c r="O6935">
        <v>1</v>
      </c>
      <c r="P6935" t="s">
        <v>14154</v>
      </c>
      <c r="Q6935" t="s">
        <v>14155</v>
      </c>
      <c r="R6935" t="s">
        <v>319</v>
      </c>
      <c r="S6935" t="s">
        <v>320</v>
      </c>
      <c r="V6935" t="s">
        <v>14156</v>
      </c>
      <c r="W6935" t="s">
        <v>14157</v>
      </c>
      <c r="AF6935" t="s">
        <v>14158</v>
      </c>
    </row>
    <row r="6936" spans="1:32" hidden="1" x14ac:dyDescent="0.35">
      <c r="A6936">
        <v>6935</v>
      </c>
      <c r="B6936" t="s">
        <v>14159</v>
      </c>
      <c r="C6936" t="s">
        <v>68</v>
      </c>
      <c r="D6936" t="s">
        <v>60</v>
      </c>
      <c r="E6936">
        <v>983</v>
      </c>
      <c r="F6936">
        <v>2</v>
      </c>
      <c r="G6936">
        <v>2</v>
      </c>
      <c r="H6936">
        <v>1</v>
      </c>
      <c r="I6936">
        <v>0</v>
      </c>
      <c r="J6936">
        <v>1</v>
      </c>
      <c r="K6936">
        <v>1</v>
      </c>
      <c r="L6936">
        <v>1</v>
      </c>
      <c r="M6936">
        <v>1</v>
      </c>
      <c r="N6936">
        <v>1</v>
      </c>
      <c r="O6936">
        <v>1</v>
      </c>
      <c r="P6936" t="s">
        <v>14160</v>
      </c>
      <c r="Q6936" t="s">
        <v>14161</v>
      </c>
      <c r="R6936" t="s">
        <v>224</v>
      </c>
      <c r="S6936" t="s">
        <v>225</v>
      </c>
      <c r="T6936" t="s">
        <v>14162</v>
      </c>
      <c r="U6936" t="s">
        <v>14163</v>
      </c>
      <c r="V6936" t="s">
        <v>14164</v>
      </c>
      <c r="W6936" t="s">
        <v>14165</v>
      </c>
      <c r="AD6936" t="s">
        <v>12828</v>
      </c>
      <c r="AE6936" t="s">
        <v>14166</v>
      </c>
      <c r="AF6936" t="s">
        <v>14167</v>
      </c>
    </row>
    <row r="6937" spans="1:32" hidden="1" x14ac:dyDescent="0.35">
      <c r="A6937">
        <v>6936</v>
      </c>
      <c r="B6937" t="s">
        <v>14159</v>
      </c>
      <c r="C6937" t="s">
        <v>68</v>
      </c>
      <c r="D6937" t="s">
        <v>62</v>
      </c>
      <c r="E6937">
        <v>1019</v>
      </c>
      <c r="F6937">
        <v>2</v>
      </c>
      <c r="G6937">
        <v>2</v>
      </c>
      <c r="H6937">
        <v>1</v>
      </c>
      <c r="I6937">
        <v>0</v>
      </c>
      <c r="J6937">
        <v>1</v>
      </c>
      <c r="K6937">
        <v>1</v>
      </c>
      <c r="L6937">
        <v>1</v>
      </c>
      <c r="M6937">
        <v>1</v>
      </c>
      <c r="N6937">
        <v>1</v>
      </c>
      <c r="O6937">
        <v>1</v>
      </c>
      <c r="P6937" t="s">
        <v>14160</v>
      </c>
      <c r="Q6937" t="s">
        <v>14161</v>
      </c>
      <c r="R6937" t="s">
        <v>224</v>
      </c>
      <c r="S6937" t="s">
        <v>225</v>
      </c>
      <c r="T6937" t="s">
        <v>14162</v>
      </c>
      <c r="U6937" t="s">
        <v>14163</v>
      </c>
      <c r="V6937" t="s">
        <v>14164</v>
      </c>
      <c r="W6937" t="s">
        <v>14165</v>
      </c>
      <c r="AD6937" t="s">
        <v>12828</v>
      </c>
      <c r="AE6937" t="s">
        <v>14166</v>
      </c>
      <c r="AF6937" t="s">
        <v>14167</v>
      </c>
    </row>
    <row r="6938" spans="1:32" hidden="1" x14ac:dyDescent="0.35">
      <c r="A6938">
        <v>6937</v>
      </c>
      <c r="B6938" t="s">
        <v>14168</v>
      </c>
      <c r="C6938" t="s">
        <v>68</v>
      </c>
      <c r="D6938" t="s">
        <v>60</v>
      </c>
      <c r="E6938">
        <v>487</v>
      </c>
      <c r="F6938">
        <v>2</v>
      </c>
      <c r="G6938">
        <v>2</v>
      </c>
      <c r="H6938">
        <v>1</v>
      </c>
      <c r="I6938">
        <v>0</v>
      </c>
      <c r="J6938">
        <v>1</v>
      </c>
      <c r="K6938">
        <v>1</v>
      </c>
      <c r="L6938">
        <v>1</v>
      </c>
      <c r="M6938">
        <v>1</v>
      </c>
      <c r="N6938">
        <v>1</v>
      </c>
      <c r="O6938">
        <v>1</v>
      </c>
      <c r="P6938" t="s">
        <v>14169</v>
      </c>
      <c r="Q6938" t="s">
        <v>14170</v>
      </c>
      <c r="R6938" t="s">
        <v>113</v>
      </c>
      <c r="S6938" t="s">
        <v>114</v>
      </c>
      <c r="V6938" t="s">
        <v>14171</v>
      </c>
      <c r="W6938" t="s">
        <v>14172</v>
      </c>
      <c r="AF6938" t="s">
        <v>14173</v>
      </c>
    </row>
    <row r="6939" spans="1:32" hidden="1" x14ac:dyDescent="0.35">
      <c r="A6939">
        <v>6938</v>
      </c>
      <c r="B6939" t="s">
        <v>14168</v>
      </c>
      <c r="C6939" t="s">
        <v>68</v>
      </c>
      <c r="D6939" t="s">
        <v>62</v>
      </c>
      <c r="E6939">
        <v>570</v>
      </c>
      <c r="F6939">
        <v>2</v>
      </c>
      <c r="G6939">
        <v>2</v>
      </c>
      <c r="H6939">
        <v>1</v>
      </c>
      <c r="I6939">
        <v>0</v>
      </c>
      <c r="J6939">
        <v>1</v>
      </c>
      <c r="K6939">
        <v>1</v>
      </c>
      <c r="L6939">
        <v>1</v>
      </c>
      <c r="M6939">
        <v>1</v>
      </c>
      <c r="N6939">
        <v>1</v>
      </c>
      <c r="O6939">
        <v>1</v>
      </c>
      <c r="P6939" t="s">
        <v>14169</v>
      </c>
      <c r="Q6939" t="s">
        <v>14170</v>
      </c>
      <c r="R6939" t="s">
        <v>113</v>
      </c>
      <c r="S6939" t="s">
        <v>114</v>
      </c>
      <c r="V6939" t="s">
        <v>14171</v>
      </c>
      <c r="W6939" t="s">
        <v>14172</v>
      </c>
      <c r="AF6939" t="s">
        <v>14173</v>
      </c>
    </row>
    <row r="6940" spans="1:32" hidden="1" x14ac:dyDescent="0.35">
      <c r="A6940">
        <v>6939</v>
      </c>
      <c r="B6940" t="s">
        <v>14174</v>
      </c>
      <c r="C6940" t="s">
        <v>68</v>
      </c>
      <c r="D6940" t="s">
        <v>60</v>
      </c>
      <c r="E6940">
        <v>1242</v>
      </c>
      <c r="F6940">
        <v>2</v>
      </c>
      <c r="G6940">
        <v>2</v>
      </c>
      <c r="H6940">
        <v>1</v>
      </c>
      <c r="I6940">
        <v>0</v>
      </c>
      <c r="J6940">
        <v>1</v>
      </c>
      <c r="K6940">
        <v>1</v>
      </c>
      <c r="L6940">
        <v>1</v>
      </c>
      <c r="M6940">
        <v>1</v>
      </c>
      <c r="N6940">
        <v>1</v>
      </c>
      <c r="O6940">
        <v>1</v>
      </c>
      <c r="P6940" t="s">
        <v>11564</v>
      </c>
      <c r="Q6940" t="s">
        <v>11565</v>
      </c>
      <c r="R6940" t="s">
        <v>288</v>
      </c>
      <c r="S6940" t="s">
        <v>289</v>
      </c>
      <c r="V6940" t="s">
        <v>14175</v>
      </c>
      <c r="W6940" t="s">
        <v>14176</v>
      </c>
      <c r="AF6940" t="s">
        <v>14177</v>
      </c>
    </row>
    <row r="6941" spans="1:32" hidden="1" x14ac:dyDescent="0.35">
      <c r="A6941">
        <v>6940</v>
      </c>
      <c r="B6941" t="s">
        <v>14174</v>
      </c>
      <c r="C6941" t="s">
        <v>68</v>
      </c>
      <c r="D6941" t="s">
        <v>62</v>
      </c>
      <c r="E6941">
        <v>1279</v>
      </c>
      <c r="F6941">
        <v>2</v>
      </c>
      <c r="G6941">
        <v>2</v>
      </c>
      <c r="H6941">
        <v>1</v>
      </c>
      <c r="I6941">
        <v>0</v>
      </c>
      <c r="J6941">
        <v>1</v>
      </c>
      <c r="K6941">
        <v>1</v>
      </c>
      <c r="L6941">
        <v>1</v>
      </c>
      <c r="M6941">
        <v>1</v>
      </c>
      <c r="N6941">
        <v>1</v>
      </c>
      <c r="O6941">
        <v>1</v>
      </c>
      <c r="P6941" t="s">
        <v>11564</v>
      </c>
      <c r="Q6941" t="s">
        <v>11565</v>
      </c>
      <c r="R6941" t="s">
        <v>288</v>
      </c>
      <c r="S6941" t="s">
        <v>289</v>
      </c>
      <c r="V6941" t="s">
        <v>14175</v>
      </c>
      <c r="W6941" t="s">
        <v>14176</v>
      </c>
      <c r="AF6941" t="s">
        <v>14177</v>
      </c>
    </row>
    <row r="6942" spans="1:32" hidden="1" x14ac:dyDescent="0.35">
      <c r="A6942">
        <v>6941</v>
      </c>
      <c r="B6942" t="s">
        <v>14178</v>
      </c>
      <c r="C6942" t="s">
        <v>68</v>
      </c>
      <c r="D6942" t="s">
        <v>34</v>
      </c>
      <c r="E6942">
        <v>875</v>
      </c>
      <c r="F6942">
        <v>2</v>
      </c>
      <c r="G6942">
        <v>2</v>
      </c>
      <c r="H6942">
        <v>1</v>
      </c>
      <c r="I6942">
        <v>0</v>
      </c>
      <c r="J6942">
        <v>1</v>
      </c>
      <c r="K6942">
        <v>1</v>
      </c>
      <c r="L6942">
        <v>1</v>
      </c>
      <c r="M6942">
        <v>1</v>
      </c>
      <c r="N6942">
        <v>1</v>
      </c>
      <c r="O6942">
        <v>1</v>
      </c>
      <c r="AF6942" t="s">
        <v>14179</v>
      </c>
    </row>
    <row r="6943" spans="1:32" hidden="1" x14ac:dyDescent="0.35">
      <c r="A6943">
        <v>6942</v>
      </c>
      <c r="B6943" t="s">
        <v>14178</v>
      </c>
      <c r="C6943" t="s">
        <v>68</v>
      </c>
      <c r="D6943" t="s">
        <v>45</v>
      </c>
      <c r="E6943">
        <v>2132</v>
      </c>
      <c r="F6943">
        <v>2</v>
      </c>
      <c r="G6943">
        <v>2</v>
      </c>
      <c r="H6943">
        <v>1</v>
      </c>
      <c r="I6943">
        <v>0</v>
      </c>
      <c r="J6943">
        <v>1</v>
      </c>
      <c r="K6943">
        <v>1</v>
      </c>
      <c r="L6943">
        <v>1</v>
      </c>
      <c r="M6943">
        <v>1</v>
      </c>
      <c r="N6943">
        <v>1</v>
      </c>
      <c r="O6943">
        <v>1</v>
      </c>
      <c r="AF6943" t="s">
        <v>14179</v>
      </c>
    </row>
    <row r="6944" spans="1:32" hidden="1" x14ac:dyDescent="0.35">
      <c r="A6944">
        <v>6943</v>
      </c>
      <c r="B6944" t="s">
        <v>14180</v>
      </c>
      <c r="C6944" t="s">
        <v>68</v>
      </c>
      <c r="D6944" t="s">
        <v>60</v>
      </c>
      <c r="E6944">
        <v>968</v>
      </c>
      <c r="F6944">
        <v>2</v>
      </c>
      <c r="G6944">
        <v>2</v>
      </c>
      <c r="H6944">
        <v>1</v>
      </c>
      <c r="I6944">
        <v>0</v>
      </c>
      <c r="J6944">
        <v>1</v>
      </c>
      <c r="K6944">
        <v>1</v>
      </c>
      <c r="L6944">
        <v>1</v>
      </c>
      <c r="M6944">
        <v>1</v>
      </c>
      <c r="N6944">
        <v>1</v>
      </c>
      <c r="O6944">
        <v>1</v>
      </c>
      <c r="P6944" t="s">
        <v>1189</v>
      </c>
      <c r="Q6944" t="s">
        <v>1190</v>
      </c>
      <c r="R6944" t="s">
        <v>371</v>
      </c>
      <c r="S6944" t="s">
        <v>372</v>
      </c>
      <c r="T6944" t="s">
        <v>14181</v>
      </c>
      <c r="U6944" t="s">
        <v>14182</v>
      </c>
      <c r="V6944" t="s">
        <v>14183</v>
      </c>
      <c r="W6944" t="s">
        <v>14184</v>
      </c>
      <c r="AD6944" t="s">
        <v>454</v>
      </c>
      <c r="AE6944" t="s">
        <v>14185</v>
      </c>
      <c r="AF6944" t="s">
        <v>14186</v>
      </c>
    </row>
    <row r="6945" spans="1:32" hidden="1" x14ac:dyDescent="0.35">
      <c r="A6945">
        <v>6944</v>
      </c>
      <c r="B6945" t="s">
        <v>14180</v>
      </c>
      <c r="C6945" t="s">
        <v>68</v>
      </c>
      <c r="D6945" t="s">
        <v>62</v>
      </c>
      <c r="E6945">
        <v>1004</v>
      </c>
      <c r="F6945">
        <v>2</v>
      </c>
      <c r="G6945">
        <v>2</v>
      </c>
      <c r="H6945">
        <v>1</v>
      </c>
      <c r="I6945">
        <v>0</v>
      </c>
      <c r="J6945">
        <v>1</v>
      </c>
      <c r="K6945">
        <v>1</v>
      </c>
      <c r="L6945">
        <v>1</v>
      </c>
      <c r="M6945">
        <v>1</v>
      </c>
      <c r="N6945">
        <v>1</v>
      </c>
      <c r="O6945">
        <v>1</v>
      </c>
      <c r="P6945" t="s">
        <v>1189</v>
      </c>
      <c r="Q6945" t="s">
        <v>1190</v>
      </c>
      <c r="R6945" t="s">
        <v>371</v>
      </c>
      <c r="S6945" t="s">
        <v>372</v>
      </c>
      <c r="T6945" t="s">
        <v>14181</v>
      </c>
      <c r="U6945" t="s">
        <v>14182</v>
      </c>
      <c r="V6945" t="s">
        <v>14183</v>
      </c>
      <c r="W6945" t="s">
        <v>14184</v>
      </c>
      <c r="AD6945" t="s">
        <v>454</v>
      </c>
      <c r="AE6945" t="s">
        <v>14185</v>
      </c>
      <c r="AF6945" t="s">
        <v>14186</v>
      </c>
    </row>
    <row r="6946" spans="1:32" hidden="1" x14ac:dyDescent="0.35">
      <c r="A6946">
        <v>6945</v>
      </c>
      <c r="B6946" t="s">
        <v>14187</v>
      </c>
      <c r="C6946" t="s">
        <v>68</v>
      </c>
      <c r="D6946" t="s">
        <v>34</v>
      </c>
      <c r="E6946">
        <v>419</v>
      </c>
      <c r="F6946">
        <v>2</v>
      </c>
      <c r="G6946">
        <v>2</v>
      </c>
      <c r="H6946">
        <v>1</v>
      </c>
      <c r="I6946">
        <v>0</v>
      </c>
      <c r="J6946">
        <v>1</v>
      </c>
      <c r="K6946">
        <v>1</v>
      </c>
      <c r="L6946">
        <v>1</v>
      </c>
      <c r="M6946">
        <v>1</v>
      </c>
      <c r="N6946">
        <v>1</v>
      </c>
      <c r="O6946">
        <v>1</v>
      </c>
      <c r="P6946" t="s">
        <v>14188</v>
      </c>
      <c r="Q6946" t="s">
        <v>14189</v>
      </c>
      <c r="AF6946" t="s">
        <v>14190</v>
      </c>
    </row>
    <row r="6947" spans="1:32" hidden="1" x14ac:dyDescent="0.35">
      <c r="A6947">
        <v>6946</v>
      </c>
      <c r="B6947" t="s">
        <v>14187</v>
      </c>
      <c r="C6947" t="s">
        <v>68</v>
      </c>
      <c r="D6947" t="s">
        <v>45</v>
      </c>
      <c r="E6947">
        <v>1681</v>
      </c>
      <c r="F6947">
        <v>2</v>
      </c>
      <c r="G6947">
        <v>2</v>
      </c>
      <c r="H6947">
        <v>1</v>
      </c>
      <c r="I6947">
        <v>0</v>
      </c>
      <c r="J6947">
        <v>1</v>
      </c>
      <c r="K6947">
        <v>1</v>
      </c>
      <c r="L6947">
        <v>1</v>
      </c>
      <c r="M6947">
        <v>1</v>
      </c>
      <c r="N6947">
        <v>1</v>
      </c>
      <c r="O6947">
        <v>1</v>
      </c>
      <c r="P6947" t="s">
        <v>14188</v>
      </c>
      <c r="Q6947" t="s">
        <v>14189</v>
      </c>
      <c r="AF6947" t="s">
        <v>14190</v>
      </c>
    </row>
    <row r="6948" spans="1:32" hidden="1" x14ac:dyDescent="0.35">
      <c r="A6948">
        <v>6947</v>
      </c>
      <c r="B6948" t="s">
        <v>14191</v>
      </c>
      <c r="C6948" t="s">
        <v>68</v>
      </c>
      <c r="D6948" t="s">
        <v>60</v>
      </c>
      <c r="E6948">
        <v>2371</v>
      </c>
      <c r="F6948">
        <v>2</v>
      </c>
      <c r="G6948">
        <v>2</v>
      </c>
      <c r="H6948">
        <v>1</v>
      </c>
      <c r="I6948">
        <v>0</v>
      </c>
      <c r="J6948">
        <v>1</v>
      </c>
      <c r="K6948">
        <v>1</v>
      </c>
      <c r="L6948">
        <v>1</v>
      </c>
      <c r="M6948">
        <v>1</v>
      </c>
      <c r="N6948">
        <v>1</v>
      </c>
      <c r="O6948">
        <v>1</v>
      </c>
      <c r="P6948" t="s">
        <v>6505</v>
      </c>
      <c r="Q6948" t="s">
        <v>6506</v>
      </c>
      <c r="R6948" t="s">
        <v>75</v>
      </c>
      <c r="S6948" t="s">
        <v>76</v>
      </c>
      <c r="T6948" t="s">
        <v>14192</v>
      </c>
      <c r="U6948" t="s">
        <v>14193</v>
      </c>
      <c r="V6948" t="s">
        <v>11224</v>
      </c>
      <c r="W6948" t="s">
        <v>11225</v>
      </c>
      <c r="X6948" t="s">
        <v>11224</v>
      </c>
      <c r="Y6948" t="s">
        <v>11226</v>
      </c>
      <c r="AD6948" t="s">
        <v>14194</v>
      </c>
      <c r="AE6948" t="s">
        <v>14195</v>
      </c>
      <c r="AF6948" t="s">
        <v>14196</v>
      </c>
    </row>
    <row r="6949" spans="1:32" hidden="1" x14ac:dyDescent="0.35">
      <c r="A6949">
        <v>6948</v>
      </c>
      <c r="B6949" t="s">
        <v>14191</v>
      </c>
      <c r="C6949" t="s">
        <v>68</v>
      </c>
      <c r="D6949" t="s">
        <v>62</v>
      </c>
      <c r="E6949">
        <v>2399</v>
      </c>
      <c r="F6949">
        <v>2</v>
      </c>
      <c r="G6949">
        <v>2</v>
      </c>
      <c r="H6949">
        <v>1</v>
      </c>
      <c r="I6949">
        <v>0</v>
      </c>
      <c r="J6949">
        <v>1</v>
      </c>
      <c r="K6949">
        <v>1</v>
      </c>
      <c r="L6949">
        <v>1</v>
      </c>
      <c r="M6949">
        <v>1</v>
      </c>
      <c r="N6949">
        <v>1</v>
      </c>
      <c r="O6949">
        <v>1</v>
      </c>
      <c r="P6949" t="s">
        <v>6505</v>
      </c>
      <c r="Q6949" t="s">
        <v>6506</v>
      </c>
      <c r="R6949" t="s">
        <v>75</v>
      </c>
      <c r="S6949" t="s">
        <v>76</v>
      </c>
      <c r="T6949" t="s">
        <v>14192</v>
      </c>
      <c r="U6949" t="s">
        <v>14193</v>
      </c>
      <c r="V6949" t="s">
        <v>11224</v>
      </c>
      <c r="W6949" t="s">
        <v>11225</v>
      </c>
      <c r="X6949" t="s">
        <v>11224</v>
      </c>
      <c r="Y6949" t="s">
        <v>11226</v>
      </c>
      <c r="AD6949" t="s">
        <v>14194</v>
      </c>
      <c r="AE6949" t="s">
        <v>14195</v>
      </c>
      <c r="AF6949" t="s">
        <v>14196</v>
      </c>
    </row>
    <row r="6950" spans="1:32" hidden="1" x14ac:dyDescent="0.35">
      <c r="A6950">
        <v>6949</v>
      </c>
      <c r="B6950" t="s">
        <v>14197</v>
      </c>
      <c r="C6950" t="s">
        <v>68</v>
      </c>
      <c r="D6950" t="s">
        <v>60</v>
      </c>
      <c r="E6950">
        <v>2516</v>
      </c>
      <c r="F6950">
        <v>2</v>
      </c>
      <c r="G6950">
        <v>2</v>
      </c>
      <c r="H6950">
        <v>1</v>
      </c>
      <c r="I6950">
        <v>0</v>
      </c>
      <c r="J6950">
        <v>1</v>
      </c>
      <c r="K6950">
        <v>1</v>
      </c>
      <c r="L6950">
        <v>1</v>
      </c>
      <c r="M6950">
        <v>1</v>
      </c>
      <c r="N6950">
        <v>1</v>
      </c>
      <c r="O6950">
        <v>1</v>
      </c>
      <c r="P6950" t="s">
        <v>14198</v>
      </c>
      <c r="Q6950" t="s">
        <v>14199</v>
      </c>
      <c r="AF6950" t="s">
        <v>14200</v>
      </c>
    </row>
    <row r="6951" spans="1:32" hidden="1" x14ac:dyDescent="0.35">
      <c r="A6951">
        <v>6950</v>
      </c>
      <c r="B6951" t="s">
        <v>14197</v>
      </c>
      <c r="C6951" t="s">
        <v>68</v>
      </c>
      <c r="D6951" t="s">
        <v>62</v>
      </c>
      <c r="E6951">
        <v>42</v>
      </c>
      <c r="F6951">
        <v>2</v>
      </c>
      <c r="G6951">
        <v>2</v>
      </c>
      <c r="H6951">
        <v>1</v>
      </c>
      <c r="I6951">
        <v>0</v>
      </c>
      <c r="J6951">
        <v>1</v>
      </c>
      <c r="K6951">
        <v>1</v>
      </c>
      <c r="L6951">
        <v>1</v>
      </c>
      <c r="M6951">
        <v>1</v>
      </c>
      <c r="N6951">
        <v>1</v>
      </c>
      <c r="O6951">
        <v>1</v>
      </c>
      <c r="P6951" t="s">
        <v>14198</v>
      </c>
      <c r="Q6951" t="s">
        <v>14199</v>
      </c>
      <c r="AF6951" t="s">
        <v>14200</v>
      </c>
    </row>
    <row r="6952" spans="1:32" hidden="1" x14ac:dyDescent="0.35">
      <c r="A6952">
        <v>6951</v>
      </c>
      <c r="B6952" t="s">
        <v>14201</v>
      </c>
      <c r="C6952" t="s">
        <v>68</v>
      </c>
      <c r="D6952" t="s">
        <v>60</v>
      </c>
      <c r="E6952">
        <v>1823</v>
      </c>
      <c r="F6952">
        <v>2</v>
      </c>
      <c r="G6952">
        <v>2</v>
      </c>
      <c r="H6952">
        <v>1</v>
      </c>
      <c r="I6952">
        <v>0</v>
      </c>
      <c r="J6952">
        <v>1</v>
      </c>
      <c r="K6952">
        <v>1</v>
      </c>
      <c r="L6952">
        <v>1</v>
      </c>
      <c r="M6952">
        <v>1</v>
      </c>
      <c r="N6952">
        <v>1</v>
      </c>
      <c r="O6952">
        <v>1</v>
      </c>
      <c r="P6952" t="s">
        <v>1247</v>
      </c>
      <c r="Q6952" t="s">
        <v>1248</v>
      </c>
      <c r="R6952" t="s">
        <v>342</v>
      </c>
      <c r="S6952" t="s">
        <v>343</v>
      </c>
      <c r="T6952" t="s">
        <v>14202</v>
      </c>
      <c r="U6952" t="s">
        <v>14203</v>
      </c>
      <c r="V6952" t="s">
        <v>14204</v>
      </c>
      <c r="W6952" t="s">
        <v>14205</v>
      </c>
      <c r="Z6952" t="s">
        <v>11009</v>
      </c>
      <c r="AA6952" t="s">
        <v>11010</v>
      </c>
      <c r="AB6952" t="s">
        <v>11009</v>
      </c>
      <c r="AC6952" t="s">
        <v>11011</v>
      </c>
      <c r="AD6952" t="s">
        <v>326</v>
      </c>
      <c r="AE6952" t="s">
        <v>14206</v>
      </c>
      <c r="AF6952" t="s">
        <v>14207</v>
      </c>
    </row>
    <row r="6953" spans="1:32" hidden="1" x14ac:dyDescent="0.35">
      <c r="A6953">
        <v>6952</v>
      </c>
      <c r="B6953" t="s">
        <v>14201</v>
      </c>
      <c r="C6953" t="s">
        <v>68</v>
      </c>
      <c r="D6953" t="s">
        <v>62</v>
      </c>
      <c r="E6953">
        <v>1861</v>
      </c>
      <c r="F6953">
        <v>2</v>
      </c>
      <c r="G6953">
        <v>2</v>
      </c>
      <c r="H6953">
        <v>1</v>
      </c>
      <c r="I6953">
        <v>0</v>
      </c>
      <c r="J6953">
        <v>1</v>
      </c>
      <c r="K6953">
        <v>1</v>
      </c>
      <c r="L6953">
        <v>1</v>
      </c>
      <c r="M6953">
        <v>1</v>
      </c>
      <c r="N6953">
        <v>1</v>
      </c>
      <c r="O6953">
        <v>1</v>
      </c>
      <c r="P6953" t="s">
        <v>1247</v>
      </c>
      <c r="Q6953" t="s">
        <v>1248</v>
      </c>
      <c r="R6953" t="s">
        <v>342</v>
      </c>
      <c r="S6953" t="s">
        <v>343</v>
      </c>
      <c r="T6953" t="s">
        <v>14202</v>
      </c>
      <c r="U6953" t="s">
        <v>14203</v>
      </c>
      <c r="V6953" t="s">
        <v>14204</v>
      </c>
      <c r="W6953" t="s">
        <v>14205</v>
      </c>
      <c r="Z6953" t="s">
        <v>11009</v>
      </c>
      <c r="AA6953" t="s">
        <v>11010</v>
      </c>
      <c r="AB6953" t="s">
        <v>11009</v>
      </c>
      <c r="AC6953" t="s">
        <v>11011</v>
      </c>
      <c r="AD6953" t="s">
        <v>326</v>
      </c>
      <c r="AE6953" t="s">
        <v>14206</v>
      </c>
      <c r="AF6953" t="s">
        <v>14207</v>
      </c>
    </row>
    <row r="6954" spans="1:32" hidden="1" x14ac:dyDescent="0.35">
      <c r="A6954">
        <v>6953</v>
      </c>
      <c r="B6954" t="s">
        <v>14208</v>
      </c>
      <c r="C6954" t="s">
        <v>68</v>
      </c>
      <c r="D6954" t="s">
        <v>60</v>
      </c>
      <c r="E6954">
        <v>1429</v>
      </c>
      <c r="F6954">
        <v>2</v>
      </c>
      <c r="G6954">
        <v>2</v>
      </c>
      <c r="H6954">
        <v>1</v>
      </c>
      <c r="I6954">
        <v>0</v>
      </c>
      <c r="J6954">
        <v>1</v>
      </c>
      <c r="K6954">
        <v>1</v>
      </c>
      <c r="L6954">
        <v>1</v>
      </c>
      <c r="M6954">
        <v>1</v>
      </c>
      <c r="N6954">
        <v>1</v>
      </c>
      <c r="O6954">
        <v>1</v>
      </c>
      <c r="P6954" t="s">
        <v>14209</v>
      </c>
      <c r="Q6954" t="s">
        <v>14210</v>
      </c>
      <c r="R6954" t="s">
        <v>75</v>
      </c>
      <c r="S6954" t="s">
        <v>76</v>
      </c>
      <c r="T6954" t="s">
        <v>14211</v>
      </c>
      <c r="U6954" t="s">
        <v>14212</v>
      </c>
      <c r="V6954" t="s">
        <v>14213</v>
      </c>
      <c r="W6954" t="s">
        <v>14214</v>
      </c>
      <c r="X6954" t="s">
        <v>14213</v>
      </c>
      <c r="Y6954" t="s">
        <v>14215</v>
      </c>
      <c r="AD6954" t="s">
        <v>219</v>
      </c>
      <c r="AE6954" t="s">
        <v>14216</v>
      </c>
      <c r="AF6954" t="s">
        <v>14217</v>
      </c>
    </row>
    <row r="6955" spans="1:32" hidden="1" x14ac:dyDescent="0.35">
      <c r="A6955">
        <v>6954</v>
      </c>
      <c r="B6955" t="s">
        <v>14208</v>
      </c>
      <c r="C6955" t="s">
        <v>68</v>
      </c>
      <c r="D6955" t="s">
        <v>62</v>
      </c>
      <c r="E6955">
        <v>1464</v>
      </c>
      <c r="F6955">
        <v>2</v>
      </c>
      <c r="G6955">
        <v>2</v>
      </c>
      <c r="H6955">
        <v>1</v>
      </c>
      <c r="I6955">
        <v>0</v>
      </c>
      <c r="J6955">
        <v>1</v>
      </c>
      <c r="K6955">
        <v>1</v>
      </c>
      <c r="L6955">
        <v>1</v>
      </c>
      <c r="M6955">
        <v>1</v>
      </c>
      <c r="N6955">
        <v>1</v>
      </c>
      <c r="O6955">
        <v>1</v>
      </c>
      <c r="P6955" t="s">
        <v>14209</v>
      </c>
      <c r="Q6955" t="s">
        <v>14210</v>
      </c>
      <c r="R6955" t="s">
        <v>75</v>
      </c>
      <c r="S6955" t="s">
        <v>76</v>
      </c>
      <c r="T6955" t="s">
        <v>14211</v>
      </c>
      <c r="U6955" t="s">
        <v>14212</v>
      </c>
      <c r="V6955" t="s">
        <v>14213</v>
      </c>
      <c r="W6955" t="s">
        <v>14214</v>
      </c>
      <c r="X6955" t="s">
        <v>14213</v>
      </c>
      <c r="Y6955" t="s">
        <v>14215</v>
      </c>
      <c r="AD6955" t="s">
        <v>219</v>
      </c>
      <c r="AE6955" t="s">
        <v>14216</v>
      </c>
      <c r="AF6955" t="s">
        <v>14217</v>
      </c>
    </row>
    <row r="6956" spans="1:32" hidden="1" x14ac:dyDescent="0.35">
      <c r="A6956">
        <v>6955</v>
      </c>
      <c r="B6956" t="s">
        <v>14218</v>
      </c>
      <c r="C6956" t="s">
        <v>68</v>
      </c>
      <c r="D6956" t="s">
        <v>60</v>
      </c>
      <c r="E6956">
        <v>1983</v>
      </c>
      <c r="F6956">
        <v>2</v>
      </c>
      <c r="G6956">
        <v>2</v>
      </c>
      <c r="H6956">
        <v>1</v>
      </c>
      <c r="I6956">
        <v>0</v>
      </c>
      <c r="J6956">
        <v>1</v>
      </c>
      <c r="K6956">
        <v>1</v>
      </c>
      <c r="L6956">
        <v>1</v>
      </c>
      <c r="M6956">
        <v>1</v>
      </c>
      <c r="N6956">
        <v>1</v>
      </c>
      <c r="O6956">
        <v>1</v>
      </c>
      <c r="P6956" t="s">
        <v>13318</v>
      </c>
      <c r="Q6956" t="s">
        <v>13319</v>
      </c>
      <c r="R6956" t="s">
        <v>157</v>
      </c>
      <c r="S6956" t="s">
        <v>158</v>
      </c>
      <c r="V6956" t="s">
        <v>14219</v>
      </c>
      <c r="W6956" t="s">
        <v>14220</v>
      </c>
      <c r="AF6956" t="s">
        <v>14221</v>
      </c>
    </row>
    <row r="6957" spans="1:32" hidden="1" x14ac:dyDescent="0.35">
      <c r="A6957">
        <v>6956</v>
      </c>
      <c r="B6957" t="s">
        <v>14218</v>
      </c>
      <c r="C6957" t="s">
        <v>68</v>
      </c>
      <c r="D6957" t="s">
        <v>62</v>
      </c>
      <c r="E6957">
        <v>2024</v>
      </c>
      <c r="F6957">
        <v>2</v>
      </c>
      <c r="G6957">
        <v>2</v>
      </c>
      <c r="H6957">
        <v>1</v>
      </c>
      <c r="I6957">
        <v>0</v>
      </c>
      <c r="J6957">
        <v>1</v>
      </c>
      <c r="K6957">
        <v>1</v>
      </c>
      <c r="L6957">
        <v>1</v>
      </c>
      <c r="M6957">
        <v>1</v>
      </c>
      <c r="N6957">
        <v>1</v>
      </c>
      <c r="O6957">
        <v>1</v>
      </c>
      <c r="P6957" t="s">
        <v>13318</v>
      </c>
      <c r="Q6957" t="s">
        <v>13319</v>
      </c>
      <c r="R6957" t="s">
        <v>157</v>
      </c>
      <c r="S6957" t="s">
        <v>158</v>
      </c>
      <c r="V6957" t="s">
        <v>14219</v>
      </c>
      <c r="W6957" t="s">
        <v>14220</v>
      </c>
      <c r="AF6957" t="s">
        <v>14221</v>
      </c>
    </row>
    <row r="6958" spans="1:32" hidden="1" x14ac:dyDescent="0.35">
      <c r="A6958">
        <v>6957</v>
      </c>
      <c r="B6958" t="s">
        <v>14222</v>
      </c>
      <c r="C6958" t="s">
        <v>68</v>
      </c>
      <c r="D6958" t="s">
        <v>34</v>
      </c>
      <c r="E6958">
        <v>433</v>
      </c>
      <c r="F6958">
        <v>2</v>
      </c>
      <c r="G6958">
        <v>2</v>
      </c>
      <c r="H6958">
        <v>1</v>
      </c>
      <c r="I6958">
        <v>0</v>
      </c>
      <c r="J6958">
        <v>1</v>
      </c>
      <c r="K6958">
        <v>1</v>
      </c>
      <c r="L6958">
        <v>1</v>
      </c>
      <c r="M6958">
        <v>1</v>
      </c>
      <c r="N6958">
        <v>1</v>
      </c>
      <c r="O6958">
        <v>1</v>
      </c>
      <c r="P6958" t="s">
        <v>4358</v>
      </c>
      <c r="Q6958" t="s">
        <v>4359</v>
      </c>
      <c r="R6958" t="s">
        <v>319</v>
      </c>
      <c r="S6958" t="s">
        <v>320</v>
      </c>
      <c r="V6958" t="s">
        <v>4360</v>
      </c>
      <c r="W6958" t="s">
        <v>4361</v>
      </c>
      <c r="AF6958" t="s">
        <v>14223</v>
      </c>
    </row>
    <row r="6959" spans="1:32" hidden="1" x14ac:dyDescent="0.35">
      <c r="A6959">
        <v>6958</v>
      </c>
      <c r="B6959" t="s">
        <v>14222</v>
      </c>
      <c r="C6959" t="s">
        <v>68</v>
      </c>
      <c r="D6959" t="s">
        <v>45</v>
      </c>
      <c r="E6959">
        <v>1695</v>
      </c>
      <c r="F6959">
        <v>2</v>
      </c>
      <c r="G6959">
        <v>2</v>
      </c>
      <c r="H6959">
        <v>1</v>
      </c>
      <c r="I6959">
        <v>0</v>
      </c>
      <c r="J6959">
        <v>1</v>
      </c>
      <c r="K6959">
        <v>1</v>
      </c>
      <c r="L6959">
        <v>1</v>
      </c>
      <c r="M6959">
        <v>1</v>
      </c>
      <c r="N6959">
        <v>1</v>
      </c>
      <c r="O6959">
        <v>1</v>
      </c>
      <c r="P6959" t="s">
        <v>4358</v>
      </c>
      <c r="Q6959" t="s">
        <v>4359</v>
      </c>
      <c r="R6959" t="s">
        <v>319</v>
      </c>
      <c r="S6959" t="s">
        <v>320</v>
      </c>
      <c r="V6959" t="s">
        <v>4360</v>
      </c>
      <c r="W6959" t="s">
        <v>4361</v>
      </c>
      <c r="AF6959" t="s">
        <v>14223</v>
      </c>
    </row>
    <row r="6960" spans="1:32" hidden="1" x14ac:dyDescent="0.35">
      <c r="A6960">
        <v>6959</v>
      </c>
      <c r="B6960" t="s">
        <v>14224</v>
      </c>
      <c r="C6960" t="s">
        <v>68</v>
      </c>
      <c r="D6960" t="s">
        <v>60</v>
      </c>
      <c r="E6960">
        <v>1028</v>
      </c>
      <c r="F6960">
        <v>2</v>
      </c>
      <c r="G6960">
        <v>2</v>
      </c>
      <c r="H6960">
        <v>1</v>
      </c>
      <c r="I6960">
        <v>0</v>
      </c>
      <c r="J6960">
        <v>1</v>
      </c>
      <c r="K6960">
        <v>1</v>
      </c>
      <c r="L6960">
        <v>1</v>
      </c>
      <c r="M6960">
        <v>1</v>
      </c>
      <c r="N6960">
        <v>1</v>
      </c>
      <c r="O6960">
        <v>1</v>
      </c>
      <c r="P6960" t="s">
        <v>10654</v>
      </c>
      <c r="Q6960" t="s">
        <v>10655</v>
      </c>
      <c r="R6960" t="s">
        <v>319</v>
      </c>
      <c r="S6960" t="s">
        <v>320</v>
      </c>
      <c r="T6960" t="s">
        <v>14225</v>
      </c>
      <c r="U6960" t="s">
        <v>14226</v>
      </c>
      <c r="V6960" t="s">
        <v>14227</v>
      </c>
      <c r="W6960" t="s">
        <v>14228</v>
      </c>
      <c r="AD6960" t="s">
        <v>951</v>
      </c>
      <c r="AE6960" t="s">
        <v>14229</v>
      </c>
      <c r="AF6960" t="s">
        <v>14230</v>
      </c>
    </row>
    <row r="6961" spans="1:32" hidden="1" x14ac:dyDescent="0.35">
      <c r="A6961">
        <v>6960</v>
      </c>
      <c r="B6961" t="s">
        <v>14224</v>
      </c>
      <c r="C6961" t="s">
        <v>68</v>
      </c>
      <c r="D6961" t="s">
        <v>62</v>
      </c>
      <c r="E6961">
        <v>1064</v>
      </c>
      <c r="F6961">
        <v>2</v>
      </c>
      <c r="G6961">
        <v>2</v>
      </c>
      <c r="H6961">
        <v>1</v>
      </c>
      <c r="I6961">
        <v>0</v>
      </c>
      <c r="J6961">
        <v>1</v>
      </c>
      <c r="K6961">
        <v>1</v>
      </c>
      <c r="L6961">
        <v>1</v>
      </c>
      <c r="M6961">
        <v>1</v>
      </c>
      <c r="N6961">
        <v>1</v>
      </c>
      <c r="O6961">
        <v>1</v>
      </c>
      <c r="P6961" t="s">
        <v>10654</v>
      </c>
      <c r="Q6961" t="s">
        <v>10655</v>
      </c>
      <c r="R6961" t="s">
        <v>319</v>
      </c>
      <c r="S6961" t="s">
        <v>320</v>
      </c>
      <c r="T6961" t="s">
        <v>14225</v>
      </c>
      <c r="U6961" t="s">
        <v>14226</v>
      </c>
      <c r="V6961" t="s">
        <v>14227</v>
      </c>
      <c r="W6961" t="s">
        <v>14228</v>
      </c>
      <c r="AD6961" t="s">
        <v>951</v>
      </c>
      <c r="AE6961" t="s">
        <v>14229</v>
      </c>
      <c r="AF6961" t="s">
        <v>14230</v>
      </c>
    </row>
    <row r="6962" spans="1:32" hidden="1" x14ac:dyDescent="0.35">
      <c r="A6962">
        <v>6961</v>
      </c>
      <c r="B6962" t="s">
        <v>14231</v>
      </c>
      <c r="C6962" t="s">
        <v>68</v>
      </c>
      <c r="D6962" t="s">
        <v>60</v>
      </c>
      <c r="E6962">
        <v>1173</v>
      </c>
      <c r="F6962">
        <v>2</v>
      </c>
      <c r="G6962">
        <v>2</v>
      </c>
      <c r="H6962">
        <v>1</v>
      </c>
      <c r="I6962">
        <v>0</v>
      </c>
      <c r="J6962">
        <v>1</v>
      </c>
      <c r="K6962">
        <v>1</v>
      </c>
      <c r="L6962">
        <v>1</v>
      </c>
      <c r="M6962">
        <v>1</v>
      </c>
      <c r="N6962">
        <v>1</v>
      </c>
      <c r="O6962">
        <v>1</v>
      </c>
      <c r="AF6962" t="s">
        <v>14232</v>
      </c>
    </row>
    <row r="6963" spans="1:32" hidden="1" x14ac:dyDescent="0.35">
      <c r="A6963">
        <v>6962</v>
      </c>
      <c r="B6963" t="s">
        <v>14231</v>
      </c>
      <c r="C6963" t="s">
        <v>68</v>
      </c>
      <c r="D6963" t="s">
        <v>62</v>
      </c>
      <c r="E6963">
        <v>1210</v>
      </c>
      <c r="F6963">
        <v>2</v>
      </c>
      <c r="G6963">
        <v>2</v>
      </c>
      <c r="H6963">
        <v>1</v>
      </c>
      <c r="I6963">
        <v>0</v>
      </c>
      <c r="J6963">
        <v>1</v>
      </c>
      <c r="K6963">
        <v>1</v>
      </c>
      <c r="L6963">
        <v>1</v>
      </c>
      <c r="M6963">
        <v>1</v>
      </c>
      <c r="N6963">
        <v>1</v>
      </c>
      <c r="O6963">
        <v>1</v>
      </c>
      <c r="AF6963" t="s">
        <v>14232</v>
      </c>
    </row>
    <row r="6964" spans="1:32" hidden="1" x14ac:dyDescent="0.35">
      <c r="A6964">
        <v>6963</v>
      </c>
      <c r="B6964" t="s">
        <v>14233</v>
      </c>
      <c r="C6964" t="s">
        <v>68</v>
      </c>
      <c r="D6964" t="s">
        <v>60</v>
      </c>
      <c r="E6964">
        <v>2174</v>
      </c>
      <c r="F6964">
        <v>2</v>
      </c>
      <c r="G6964">
        <v>2</v>
      </c>
      <c r="H6964">
        <v>1</v>
      </c>
      <c r="I6964">
        <v>0</v>
      </c>
      <c r="J6964">
        <v>1</v>
      </c>
      <c r="K6964">
        <v>1</v>
      </c>
      <c r="L6964">
        <v>1</v>
      </c>
      <c r="M6964">
        <v>1</v>
      </c>
      <c r="N6964">
        <v>1</v>
      </c>
      <c r="O6964">
        <v>1</v>
      </c>
      <c r="AF6964" t="s">
        <v>14234</v>
      </c>
    </row>
    <row r="6965" spans="1:32" hidden="1" x14ac:dyDescent="0.35">
      <c r="A6965">
        <v>6964</v>
      </c>
      <c r="B6965" t="s">
        <v>14233</v>
      </c>
      <c r="C6965" t="s">
        <v>68</v>
      </c>
      <c r="D6965" t="s">
        <v>62</v>
      </c>
      <c r="E6965">
        <v>2208</v>
      </c>
      <c r="F6965">
        <v>2</v>
      </c>
      <c r="G6965">
        <v>2</v>
      </c>
      <c r="H6965">
        <v>1</v>
      </c>
      <c r="I6965">
        <v>0</v>
      </c>
      <c r="J6965">
        <v>1</v>
      </c>
      <c r="K6965">
        <v>1</v>
      </c>
      <c r="L6965">
        <v>1</v>
      </c>
      <c r="M6965">
        <v>1</v>
      </c>
      <c r="N6965">
        <v>1</v>
      </c>
      <c r="O6965">
        <v>1</v>
      </c>
      <c r="AF6965" t="s">
        <v>14234</v>
      </c>
    </row>
    <row r="6966" spans="1:32" hidden="1" x14ac:dyDescent="0.35">
      <c r="A6966">
        <v>6965</v>
      </c>
      <c r="B6966" t="s">
        <v>14235</v>
      </c>
      <c r="C6966" t="s">
        <v>68</v>
      </c>
      <c r="D6966" t="s">
        <v>60</v>
      </c>
      <c r="E6966">
        <v>859</v>
      </c>
      <c r="F6966">
        <v>2</v>
      </c>
      <c r="G6966">
        <v>2</v>
      </c>
      <c r="H6966">
        <v>1</v>
      </c>
      <c r="I6966">
        <v>0</v>
      </c>
      <c r="J6966">
        <v>1</v>
      </c>
      <c r="K6966">
        <v>1</v>
      </c>
      <c r="L6966">
        <v>1</v>
      </c>
      <c r="M6966">
        <v>1</v>
      </c>
      <c r="N6966">
        <v>1</v>
      </c>
      <c r="O6966">
        <v>1</v>
      </c>
      <c r="P6966" t="s">
        <v>12501</v>
      </c>
      <c r="Q6966" t="s">
        <v>12502</v>
      </c>
      <c r="R6966" t="s">
        <v>869</v>
      </c>
      <c r="S6966" t="s">
        <v>870</v>
      </c>
      <c r="T6966" t="s">
        <v>14236</v>
      </c>
      <c r="U6966" t="s">
        <v>14237</v>
      </c>
      <c r="V6966" t="s">
        <v>12032</v>
      </c>
      <c r="W6966" t="s">
        <v>12033</v>
      </c>
      <c r="AD6966" t="s">
        <v>166</v>
      </c>
      <c r="AE6966" t="s">
        <v>2843</v>
      </c>
      <c r="AF6966" t="s">
        <v>14238</v>
      </c>
    </row>
    <row r="6967" spans="1:32" hidden="1" x14ac:dyDescent="0.35">
      <c r="A6967">
        <v>6966</v>
      </c>
      <c r="B6967" t="s">
        <v>14235</v>
      </c>
      <c r="C6967" t="s">
        <v>68</v>
      </c>
      <c r="D6967" t="s">
        <v>62</v>
      </c>
      <c r="E6967">
        <v>893</v>
      </c>
      <c r="F6967">
        <v>2</v>
      </c>
      <c r="G6967">
        <v>2</v>
      </c>
      <c r="H6967">
        <v>1</v>
      </c>
      <c r="I6967">
        <v>0</v>
      </c>
      <c r="J6967">
        <v>1</v>
      </c>
      <c r="K6967">
        <v>1</v>
      </c>
      <c r="L6967">
        <v>1</v>
      </c>
      <c r="M6967">
        <v>1</v>
      </c>
      <c r="N6967">
        <v>1</v>
      </c>
      <c r="O6967">
        <v>1</v>
      </c>
      <c r="P6967" t="s">
        <v>12501</v>
      </c>
      <c r="Q6967" t="s">
        <v>12502</v>
      </c>
      <c r="R6967" t="s">
        <v>869</v>
      </c>
      <c r="S6967" t="s">
        <v>870</v>
      </c>
      <c r="T6967" t="s">
        <v>14236</v>
      </c>
      <c r="U6967" t="s">
        <v>14237</v>
      </c>
      <c r="V6967" t="s">
        <v>12032</v>
      </c>
      <c r="W6967" t="s">
        <v>12033</v>
      </c>
      <c r="AD6967" t="s">
        <v>166</v>
      </c>
      <c r="AE6967" t="s">
        <v>2843</v>
      </c>
      <c r="AF6967" t="s">
        <v>14238</v>
      </c>
    </row>
    <row r="6968" spans="1:32" hidden="1" x14ac:dyDescent="0.35">
      <c r="A6968">
        <v>6967</v>
      </c>
      <c r="B6968" t="s">
        <v>14239</v>
      </c>
      <c r="C6968" t="s">
        <v>68</v>
      </c>
      <c r="D6968" t="s">
        <v>60</v>
      </c>
      <c r="E6968">
        <v>261</v>
      </c>
      <c r="F6968">
        <v>2</v>
      </c>
      <c r="G6968">
        <v>2</v>
      </c>
      <c r="H6968">
        <v>1</v>
      </c>
      <c r="I6968">
        <v>0</v>
      </c>
      <c r="J6968">
        <v>1</v>
      </c>
      <c r="K6968">
        <v>1</v>
      </c>
      <c r="L6968">
        <v>1</v>
      </c>
      <c r="M6968">
        <v>1</v>
      </c>
      <c r="N6968">
        <v>1</v>
      </c>
      <c r="O6968">
        <v>1</v>
      </c>
      <c r="P6968" t="s">
        <v>169</v>
      </c>
      <c r="Q6968" t="s">
        <v>170</v>
      </c>
      <c r="R6968" t="s">
        <v>157</v>
      </c>
      <c r="S6968" t="s">
        <v>158</v>
      </c>
      <c r="V6968" t="s">
        <v>161</v>
      </c>
      <c r="W6968" t="s">
        <v>162</v>
      </c>
      <c r="AF6968" t="s">
        <v>14240</v>
      </c>
    </row>
    <row r="6969" spans="1:32" hidden="1" x14ac:dyDescent="0.35">
      <c r="A6969">
        <v>6968</v>
      </c>
      <c r="B6969" t="s">
        <v>14239</v>
      </c>
      <c r="C6969" t="s">
        <v>68</v>
      </c>
      <c r="D6969" t="s">
        <v>62</v>
      </c>
      <c r="E6969">
        <v>339</v>
      </c>
      <c r="F6969">
        <v>2</v>
      </c>
      <c r="G6969">
        <v>2</v>
      </c>
      <c r="H6969">
        <v>1</v>
      </c>
      <c r="I6969">
        <v>0</v>
      </c>
      <c r="J6969">
        <v>1</v>
      </c>
      <c r="K6969">
        <v>1</v>
      </c>
      <c r="L6969">
        <v>1</v>
      </c>
      <c r="M6969">
        <v>1</v>
      </c>
      <c r="N6969">
        <v>1</v>
      </c>
      <c r="O6969">
        <v>1</v>
      </c>
      <c r="P6969" t="s">
        <v>169</v>
      </c>
      <c r="Q6969" t="s">
        <v>170</v>
      </c>
      <c r="R6969" t="s">
        <v>157</v>
      </c>
      <c r="S6969" t="s">
        <v>158</v>
      </c>
      <c r="V6969" t="s">
        <v>161</v>
      </c>
      <c r="W6969" t="s">
        <v>162</v>
      </c>
      <c r="AF6969" t="s">
        <v>14240</v>
      </c>
    </row>
    <row r="6970" spans="1:32" hidden="1" x14ac:dyDescent="0.35">
      <c r="A6970">
        <v>6969</v>
      </c>
      <c r="B6970" t="s">
        <v>14241</v>
      </c>
      <c r="C6970" t="s">
        <v>68</v>
      </c>
      <c r="D6970" t="s">
        <v>34</v>
      </c>
      <c r="E6970">
        <v>1243</v>
      </c>
      <c r="F6970">
        <v>2</v>
      </c>
      <c r="G6970">
        <v>2</v>
      </c>
      <c r="H6970">
        <v>1</v>
      </c>
      <c r="I6970">
        <v>0</v>
      </c>
      <c r="J6970">
        <v>1</v>
      </c>
      <c r="K6970">
        <v>1</v>
      </c>
      <c r="L6970">
        <v>1</v>
      </c>
      <c r="M6970">
        <v>1</v>
      </c>
      <c r="N6970">
        <v>1</v>
      </c>
      <c r="O6970">
        <v>1</v>
      </c>
      <c r="P6970" t="s">
        <v>14242</v>
      </c>
      <c r="Q6970" t="s">
        <v>14243</v>
      </c>
      <c r="R6970" t="s">
        <v>9049</v>
      </c>
      <c r="S6970" t="s">
        <v>9050</v>
      </c>
      <c r="V6970" t="s">
        <v>14244</v>
      </c>
      <c r="W6970" t="s">
        <v>14245</v>
      </c>
      <c r="AF6970" t="s">
        <v>14246</v>
      </c>
    </row>
    <row r="6971" spans="1:32" hidden="1" x14ac:dyDescent="0.35">
      <c r="A6971">
        <v>6970</v>
      </c>
      <c r="B6971" t="s">
        <v>14241</v>
      </c>
      <c r="C6971" t="s">
        <v>68</v>
      </c>
      <c r="D6971" t="s">
        <v>45</v>
      </c>
      <c r="E6971">
        <v>2487</v>
      </c>
      <c r="F6971">
        <v>2</v>
      </c>
      <c r="G6971">
        <v>2</v>
      </c>
      <c r="H6971">
        <v>1</v>
      </c>
      <c r="I6971">
        <v>0</v>
      </c>
      <c r="J6971">
        <v>1</v>
      </c>
      <c r="K6971">
        <v>1</v>
      </c>
      <c r="L6971">
        <v>1</v>
      </c>
      <c r="M6971">
        <v>1</v>
      </c>
      <c r="N6971">
        <v>1</v>
      </c>
      <c r="O6971">
        <v>1</v>
      </c>
      <c r="P6971" t="s">
        <v>14242</v>
      </c>
      <c r="Q6971" t="s">
        <v>14243</v>
      </c>
      <c r="R6971" t="s">
        <v>9049</v>
      </c>
      <c r="S6971" t="s">
        <v>9050</v>
      </c>
      <c r="V6971" t="s">
        <v>14244</v>
      </c>
      <c r="W6971" t="s">
        <v>14245</v>
      </c>
      <c r="AF6971" t="s">
        <v>14246</v>
      </c>
    </row>
    <row r="6972" spans="1:32" hidden="1" x14ac:dyDescent="0.35">
      <c r="A6972">
        <v>6971</v>
      </c>
      <c r="B6972" t="s">
        <v>14247</v>
      </c>
      <c r="C6972" t="s">
        <v>68</v>
      </c>
      <c r="D6972" t="s">
        <v>34</v>
      </c>
      <c r="E6972">
        <v>298</v>
      </c>
      <c r="F6972">
        <v>2</v>
      </c>
      <c r="G6972">
        <v>2</v>
      </c>
      <c r="H6972">
        <v>1</v>
      </c>
      <c r="I6972">
        <v>0</v>
      </c>
      <c r="J6972">
        <v>1</v>
      </c>
      <c r="K6972">
        <v>1</v>
      </c>
      <c r="L6972">
        <v>1</v>
      </c>
      <c r="M6972">
        <v>1</v>
      </c>
      <c r="N6972">
        <v>1</v>
      </c>
      <c r="O6972">
        <v>1</v>
      </c>
      <c r="P6972" t="s">
        <v>13495</v>
      </c>
      <c r="Q6972" t="s">
        <v>2878</v>
      </c>
      <c r="R6972" t="s">
        <v>113</v>
      </c>
      <c r="S6972" t="s">
        <v>114</v>
      </c>
      <c r="V6972" t="s">
        <v>13496</v>
      </c>
      <c r="W6972" t="s">
        <v>13497</v>
      </c>
      <c r="AF6972" t="s">
        <v>14248</v>
      </c>
    </row>
    <row r="6973" spans="1:32" hidden="1" x14ac:dyDescent="0.35">
      <c r="A6973">
        <v>6972</v>
      </c>
      <c r="B6973" t="s">
        <v>14247</v>
      </c>
      <c r="C6973" t="s">
        <v>68</v>
      </c>
      <c r="D6973" t="s">
        <v>45</v>
      </c>
      <c r="E6973">
        <v>1560</v>
      </c>
      <c r="F6973">
        <v>2</v>
      </c>
      <c r="G6973">
        <v>2</v>
      </c>
      <c r="H6973">
        <v>1</v>
      </c>
      <c r="I6973">
        <v>0</v>
      </c>
      <c r="J6973">
        <v>1</v>
      </c>
      <c r="K6973">
        <v>1</v>
      </c>
      <c r="L6973">
        <v>1</v>
      </c>
      <c r="M6973">
        <v>1</v>
      </c>
      <c r="N6973">
        <v>1</v>
      </c>
      <c r="O6973">
        <v>1</v>
      </c>
      <c r="P6973" t="s">
        <v>13495</v>
      </c>
      <c r="Q6973" t="s">
        <v>2878</v>
      </c>
      <c r="R6973" t="s">
        <v>113</v>
      </c>
      <c r="S6973" t="s">
        <v>114</v>
      </c>
      <c r="V6973" t="s">
        <v>13496</v>
      </c>
      <c r="W6973" t="s">
        <v>13497</v>
      </c>
      <c r="AF6973" t="s">
        <v>14248</v>
      </c>
    </row>
    <row r="6974" spans="1:32" hidden="1" x14ac:dyDescent="0.35">
      <c r="A6974">
        <v>6973</v>
      </c>
      <c r="B6974" t="s">
        <v>14249</v>
      </c>
      <c r="C6974" t="s">
        <v>68</v>
      </c>
      <c r="D6974" t="s">
        <v>34</v>
      </c>
      <c r="E6974">
        <v>1612</v>
      </c>
      <c r="F6974">
        <v>2</v>
      </c>
      <c r="G6974">
        <v>2</v>
      </c>
      <c r="H6974">
        <v>1</v>
      </c>
      <c r="I6974">
        <v>0</v>
      </c>
      <c r="J6974">
        <v>1</v>
      </c>
      <c r="K6974">
        <v>1</v>
      </c>
      <c r="L6974">
        <v>1</v>
      </c>
      <c r="M6974">
        <v>1</v>
      </c>
      <c r="N6974">
        <v>1</v>
      </c>
      <c r="O6974">
        <v>1</v>
      </c>
      <c r="AF6974" t="s">
        <v>14250</v>
      </c>
    </row>
    <row r="6975" spans="1:32" hidden="1" x14ac:dyDescent="0.35">
      <c r="A6975">
        <v>6974</v>
      </c>
      <c r="B6975" t="s">
        <v>14249</v>
      </c>
      <c r="C6975" t="s">
        <v>68</v>
      </c>
      <c r="D6975" t="s">
        <v>45</v>
      </c>
      <c r="E6975">
        <v>363</v>
      </c>
      <c r="F6975">
        <v>2</v>
      </c>
      <c r="G6975">
        <v>2</v>
      </c>
      <c r="H6975">
        <v>1</v>
      </c>
      <c r="I6975">
        <v>0</v>
      </c>
      <c r="J6975">
        <v>1</v>
      </c>
      <c r="K6975">
        <v>1</v>
      </c>
      <c r="L6975">
        <v>1</v>
      </c>
      <c r="M6975">
        <v>1</v>
      </c>
      <c r="N6975">
        <v>1</v>
      </c>
      <c r="O6975">
        <v>1</v>
      </c>
      <c r="AF6975" t="s">
        <v>14250</v>
      </c>
    </row>
    <row r="6976" spans="1:32" hidden="1" x14ac:dyDescent="0.35">
      <c r="A6976">
        <v>6975</v>
      </c>
      <c r="B6976" t="s">
        <v>14251</v>
      </c>
      <c r="C6976" t="s">
        <v>68</v>
      </c>
      <c r="D6976" t="s">
        <v>34</v>
      </c>
      <c r="E6976">
        <v>503</v>
      </c>
      <c r="F6976">
        <v>2</v>
      </c>
      <c r="G6976">
        <v>2</v>
      </c>
      <c r="H6976">
        <v>1</v>
      </c>
      <c r="I6976">
        <v>0</v>
      </c>
      <c r="J6976">
        <v>1</v>
      </c>
      <c r="K6976">
        <v>1</v>
      </c>
      <c r="L6976">
        <v>1</v>
      </c>
      <c r="M6976">
        <v>1</v>
      </c>
      <c r="N6976">
        <v>1</v>
      </c>
      <c r="O6976">
        <v>1</v>
      </c>
      <c r="AF6976" t="s">
        <v>14252</v>
      </c>
    </row>
    <row r="6977" spans="1:32" hidden="1" x14ac:dyDescent="0.35">
      <c r="A6977">
        <v>6976</v>
      </c>
      <c r="B6977" t="s">
        <v>14251</v>
      </c>
      <c r="C6977" t="s">
        <v>68</v>
      </c>
      <c r="D6977" t="s">
        <v>45</v>
      </c>
      <c r="E6977">
        <v>1768</v>
      </c>
      <c r="F6977">
        <v>2</v>
      </c>
      <c r="G6977">
        <v>2</v>
      </c>
      <c r="H6977">
        <v>1</v>
      </c>
      <c r="I6977">
        <v>0</v>
      </c>
      <c r="J6977">
        <v>1</v>
      </c>
      <c r="K6977">
        <v>1</v>
      </c>
      <c r="L6977">
        <v>1</v>
      </c>
      <c r="M6977">
        <v>1</v>
      </c>
      <c r="N6977">
        <v>1</v>
      </c>
      <c r="O6977">
        <v>1</v>
      </c>
      <c r="AF6977" t="s">
        <v>14252</v>
      </c>
    </row>
    <row r="6978" spans="1:32" hidden="1" x14ac:dyDescent="0.35">
      <c r="A6978">
        <v>6977</v>
      </c>
      <c r="B6978" t="s">
        <v>14253</v>
      </c>
      <c r="C6978" t="s">
        <v>68</v>
      </c>
      <c r="D6978" t="s">
        <v>60</v>
      </c>
      <c r="E6978">
        <v>1117</v>
      </c>
      <c r="F6978">
        <v>2</v>
      </c>
      <c r="G6978">
        <v>2</v>
      </c>
      <c r="H6978">
        <v>1</v>
      </c>
      <c r="I6978">
        <v>0</v>
      </c>
      <c r="J6978">
        <v>1</v>
      </c>
      <c r="K6978">
        <v>1</v>
      </c>
      <c r="L6978">
        <v>1</v>
      </c>
      <c r="M6978">
        <v>1</v>
      </c>
      <c r="N6978">
        <v>1</v>
      </c>
      <c r="O6978">
        <v>1</v>
      </c>
      <c r="P6978" t="s">
        <v>8002</v>
      </c>
      <c r="Q6978" t="s">
        <v>8003</v>
      </c>
      <c r="R6978" t="s">
        <v>14254</v>
      </c>
      <c r="S6978" t="s">
        <v>14255</v>
      </c>
      <c r="T6978" t="s">
        <v>14256</v>
      </c>
      <c r="U6978" t="s">
        <v>14257</v>
      </c>
      <c r="V6978" t="s">
        <v>14258</v>
      </c>
      <c r="W6978" t="s">
        <v>14259</v>
      </c>
      <c r="AD6978" t="s">
        <v>8300</v>
      </c>
      <c r="AE6978" t="s">
        <v>14260</v>
      </c>
      <c r="AF6978" t="s">
        <v>14261</v>
      </c>
    </row>
    <row r="6979" spans="1:32" hidden="1" x14ac:dyDescent="0.35">
      <c r="A6979">
        <v>6978</v>
      </c>
      <c r="B6979" t="s">
        <v>14253</v>
      </c>
      <c r="C6979" t="s">
        <v>68</v>
      </c>
      <c r="D6979" t="s">
        <v>62</v>
      </c>
      <c r="E6979">
        <v>1153</v>
      </c>
      <c r="F6979">
        <v>2</v>
      </c>
      <c r="G6979">
        <v>2</v>
      </c>
      <c r="H6979">
        <v>1</v>
      </c>
      <c r="I6979">
        <v>0</v>
      </c>
      <c r="J6979">
        <v>1</v>
      </c>
      <c r="K6979">
        <v>1</v>
      </c>
      <c r="L6979">
        <v>1</v>
      </c>
      <c r="M6979">
        <v>1</v>
      </c>
      <c r="N6979">
        <v>1</v>
      </c>
      <c r="O6979">
        <v>1</v>
      </c>
      <c r="P6979" t="s">
        <v>8002</v>
      </c>
      <c r="Q6979" t="s">
        <v>8003</v>
      </c>
      <c r="R6979" t="s">
        <v>14254</v>
      </c>
      <c r="S6979" t="s">
        <v>14255</v>
      </c>
      <c r="T6979" t="s">
        <v>14256</v>
      </c>
      <c r="U6979" t="s">
        <v>14257</v>
      </c>
      <c r="V6979" t="s">
        <v>14258</v>
      </c>
      <c r="W6979" t="s">
        <v>14259</v>
      </c>
      <c r="AD6979" t="s">
        <v>8300</v>
      </c>
      <c r="AE6979" t="s">
        <v>14260</v>
      </c>
      <c r="AF6979" t="s">
        <v>14261</v>
      </c>
    </row>
    <row r="6980" spans="1:32" hidden="1" x14ac:dyDescent="0.35">
      <c r="A6980">
        <v>6979</v>
      </c>
      <c r="B6980" t="s">
        <v>14262</v>
      </c>
      <c r="C6980" t="s">
        <v>68</v>
      </c>
      <c r="D6980" t="s">
        <v>60</v>
      </c>
      <c r="E6980">
        <v>2229</v>
      </c>
      <c r="F6980">
        <v>2</v>
      </c>
      <c r="G6980">
        <v>2</v>
      </c>
      <c r="H6980">
        <v>1</v>
      </c>
      <c r="I6980">
        <v>0</v>
      </c>
      <c r="J6980">
        <v>1</v>
      </c>
      <c r="K6980">
        <v>1</v>
      </c>
      <c r="L6980">
        <v>1</v>
      </c>
      <c r="M6980">
        <v>1</v>
      </c>
      <c r="N6980">
        <v>1</v>
      </c>
      <c r="O6980">
        <v>1</v>
      </c>
      <c r="AF6980" t="s">
        <v>14263</v>
      </c>
    </row>
    <row r="6981" spans="1:32" hidden="1" x14ac:dyDescent="0.35">
      <c r="A6981">
        <v>6980</v>
      </c>
      <c r="B6981" t="s">
        <v>14262</v>
      </c>
      <c r="C6981" t="s">
        <v>68</v>
      </c>
      <c r="D6981" t="s">
        <v>62</v>
      </c>
      <c r="E6981">
        <v>2259</v>
      </c>
      <c r="F6981">
        <v>2</v>
      </c>
      <c r="G6981">
        <v>2</v>
      </c>
      <c r="H6981">
        <v>1</v>
      </c>
      <c r="I6981">
        <v>0</v>
      </c>
      <c r="J6981">
        <v>1</v>
      </c>
      <c r="K6981">
        <v>1</v>
      </c>
      <c r="L6981">
        <v>1</v>
      </c>
      <c r="M6981">
        <v>1</v>
      </c>
      <c r="N6981">
        <v>1</v>
      </c>
      <c r="O6981">
        <v>1</v>
      </c>
      <c r="AF6981" t="s">
        <v>14263</v>
      </c>
    </row>
    <row r="6982" spans="1:32" hidden="1" x14ac:dyDescent="0.35">
      <c r="A6982">
        <v>6981</v>
      </c>
      <c r="B6982" t="s">
        <v>14264</v>
      </c>
      <c r="C6982" t="s">
        <v>68</v>
      </c>
      <c r="D6982" t="s">
        <v>34</v>
      </c>
      <c r="E6982">
        <v>625</v>
      </c>
      <c r="F6982">
        <v>2</v>
      </c>
      <c r="G6982">
        <v>2</v>
      </c>
      <c r="H6982">
        <v>1</v>
      </c>
      <c r="I6982">
        <v>0</v>
      </c>
      <c r="J6982">
        <v>1</v>
      </c>
      <c r="K6982">
        <v>1</v>
      </c>
      <c r="L6982">
        <v>1</v>
      </c>
      <c r="M6982">
        <v>1</v>
      </c>
      <c r="N6982">
        <v>1</v>
      </c>
      <c r="O6982">
        <v>1</v>
      </c>
      <c r="AF6982" t="s">
        <v>14265</v>
      </c>
    </row>
    <row r="6983" spans="1:32" hidden="1" x14ac:dyDescent="0.35">
      <c r="A6983">
        <v>6982</v>
      </c>
      <c r="B6983" t="s">
        <v>14264</v>
      </c>
      <c r="C6983" t="s">
        <v>68</v>
      </c>
      <c r="D6983" t="s">
        <v>45</v>
      </c>
      <c r="E6983">
        <v>1892</v>
      </c>
      <c r="F6983">
        <v>2</v>
      </c>
      <c r="G6983">
        <v>2</v>
      </c>
      <c r="H6983">
        <v>1</v>
      </c>
      <c r="I6983">
        <v>0</v>
      </c>
      <c r="J6983">
        <v>1</v>
      </c>
      <c r="K6983">
        <v>1</v>
      </c>
      <c r="L6983">
        <v>1</v>
      </c>
      <c r="M6983">
        <v>1</v>
      </c>
      <c r="N6983">
        <v>1</v>
      </c>
      <c r="O6983">
        <v>1</v>
      </c>
      <c r="AF6983" t="s">
        <v>14265</v>
      </c>
    </row>
    <row r="6984" spans="1:32" hidden="1" x14ac:dyDescent="0.35">
      <c r="A6984">
        <v>6983</v>
      </c>
      <c r="B6984" t="s">
        <v>14266</v>
      </c>
      <c r="C6984" t="s">
        <v>68</v>
      </c>
      <c r="D6984" t="s">
        <v>60</v>
      </c>
      <c r="E6984">
        <v>1536</v>
      </c>
      <c r="F6984">
        <v>2</v>
      </c>
      <c r="G6984">
        <v>2</v>
      </c>
      <c r="H6984">
        <v>1</v>
      </c>
      <c r="I6984">
        <v>0</v>
      </c>
      <c r="J6984">
        <v>1</v>
      </c>
      <c r="K6984">
        <v>1</v>
      </c>
      <c r="L6984">
        <v>1</v>
      </c>
      <c r="M6984">
        <v>1</v>
      </c>
      <c r="N6984">
        <v>1</v>
      </c>
      <c r="O6984">
        <v>1</v>
      </c>
      <c r="P6984" t="s">
        <v>14267</v>
      </c>
      <c r="Q6984" t="s">
        <v>14268</v>
      </c>
      <c r="R6984" t="s">
        <v>288</v>
      </c>
      <c r="S6984" t="s">
        <v>289</v>
      </c>
      <c r="T6984" t="s">
        <v>14269</v>
      </c>
      <c r="U6984" t="s">
        <v>407</v>
      </c>
      <c r="V6984" t="s">
        <v>14270</v>
      </c>
      <c r="W6984" t="s">
        <v>14271</v>
      </c>
      <c r="AD6984" t="s">
        <v>410</v>
      </c>
      <c r="AE6984" t="s">
        <v>411</v>
      </c>
      <c r="AF6984" t="s">
        <v>14272</v>
      </c>
    </row>
    <row r="6985" spans="1:32" hidden="1" x14ac:dyDescent="0.35">
      <c r="A6985">
        <v>6984</v>
      </c>
      <c r="B6985" t="s">
        <v>14266</v>
      </c>
      <c r="C6985" t="s">
        <v>68</v>
      </c>
      <c r="D6985" t="s">
        <v>62</v>
      </c>
      <c r="E6985">
        <v>1571</v>
      </c>
      <c r="F6985">
        <v>2</v>
      </c>
      <c r="G6985">
        <v>2</v>
      </c>
      <c r="H6985">
        <v>1</v>
      </c>
      <c r="I6985">
        <v>0</v>
      </c>
      <c r="J6985">
        <v>1</v>
      </c>
      <c r="K6985">
        <v>1</v>
      </c>
      <c r="L6985">
        <v>1</v>
      </c>
      <c r="M6985">
        <v>1</v>
      </c>
      <c r="N6985">
        <v>1</v>
      </c>
      <c r="O6985">
        <v>1</v>
      </c>
      <c r="P6985" t="s">
        <v>14267</v>
      </c>
      <c r="Q6985" t="s">
        <v>14268</v>
      </c>
      <c r="R6985" t="s">
        <v>288</v>
      </c>
      <c r="S6985" t="s">
        <v>289</v>
      </c>
      <c r="T6985" t="s">
        <v>14269</v>
      </c>
      <c r="U6985" t="s">
        <v>407</v>
      </c>
      <c r="V6985" t="s">
        <v>14270</v>
      </c>
      <c r="W6985" t="s">
        <v>14271</v>
      </c>
      <c r="AD6985" t="s">
        <v>410</v>
      </c>
      <c r="AE6985" t="s">
        <v>411</v>
      </c>
      <c r="AF6985" t="s">
        <v>14272</v>
      </c>
    </row>
    <row r="6986" spans="1:32" hidden="1" x14ac:dyDescent="0.35">
      <c r="A6986">
        <v>6985</v>
      </c>
      <c r="B6986" t="s">
        <v>14273</v>
      </c>
      <c r="C6986" t="s">
        <v>68</v>
      </c>
      <c r="D6986" t="s">
        <v>34</v>
      </c>
      <c r="E6986">
        <v>2289</v>
      </c>
      <c r="F6986">
        <v>2</v>
      </c>
      <c r="G6986">
        <v>2</v>
      </c>
      <c r="H6986">
        <v>1</v>
      </c>
      <c r="I6986">
        <v>0</v>
      </c>
      <c r="J6986">
        <v>1</v>
      </c>
      <c r="K6986">
        <v>1</v>
      </c>
      <c r="L6986">
        <v>1</v>
      </c>
      <c r="M6986">
        <v>1</v>
      </c>
      <c r="N6986">
        <v>1</v>
      </c>
      <c r="O6986">
        <v>1</v>
      </c>
      <c r="AF6986" t="s">
        <v>14274</v>
      </c>
    </row>
    <row r="6987" spans="1:32" hidden="1" x14ac:dyDescent="0.35">
      <c r="A6987">
        <v>6986</v>
      </c>
      <c r="B6987" t="s">
        <v>14273</v>
      </c>
      <c r="C6987" t="s">
        <v>68</v>
      </c>
      <c r="D6987" t="s">
        <v>45</v>
      </c>
      <c r="E6987">
        <v>588</v>
      </c>
      <c r="F6987">
        <v>2</v>
      </c>
      <c r="G6987">
        <v>2</v>
      </c>
      <c r="H6987">
        <v>1</v>
      </c>
      <c r="I6987">
        <v>0</v>
      </c>
      <c r="J6987">
        <v>1</v>
      </c>
      <c r="K6987">
        <v>1</v>
      </c>
      <c r="L6987">
        <v>1</v>
      </c>
      <c r="M6987">
        <v>1</v>
      </c>
      <c r="N6987">
        <v>1</v>
      </c>
      <c r="O6987">
        <v>1</v>
      </c>
      <c r="AF6987" t="s">
        <v>14274</v>
      </c>
    </row>
    <row r="6988" spans="1:32" hidden="1" x14ac:dyDescent="0.35">
      <c r="A6988">
        <v>6987</v>
      </c>
      <c r="B6988" t="s">
        <v>14275</v>
      </c>
      <c r="C6988" t="s">
        <v>68</v>
      </c>
      <c r="D6988" t="s">
        <v>60</v>
      </c>
      <c r="E6988">
        <v>1207</v>
      </c>
      <c r="F6988">
        <v>2</v>
      </c>
      <c r="G6988">
        <v>2</v>
      </c>
      <c r="H6988">
        <v>1</v>
      </c>
      <c r="I6988">
        <v>0</v>
      </c>
      <c r="J6988">
        <v>1</v>
      </c>
      <c r="K6988">
        <v>1</v>
      </c>
      <c r="L6988">
        <v>1</v>
      </c>
      <c r="M6988">
        <v>1</v>
      </c>
      <c r="N6988">
        <v>1</v>
      </c>
      <c r="O6988">
        <v>1</v>
      </c>
      <c r="P6988" t="s">
        <v>14276</v>
      </c>
      <c r="Q6988" t="s">
        <v>14277</v>
      </c>
      <c r="R6988" t="s">
        <v>7230</v>
      </c>
      <c r="S6988" t="s">
        <v>7231</v>
      </c>
      <c r="T6988" t="s">
        <v>14278</v>
      </c>
      <c r="U6988" t="s">
        <v>14279</v>
      </c>
      <c r="V6988" t="s">
        <v>14280</v>
      </c>
      <c r="W6988" t="s">
        <v>14281</v>
      </c>
      <c r="X6988" t="s">
        <v>14280</v>
      </c>
      <c r="Y6988" t="s">
        <v>14282</v>
      </c>
      <c r="Z6988" t="s">
        <v>3029</v>
      </c>
      <c r="AA6988" t="s">
        <v>3030</v>
      </c>
      <c r="AB6988" t="s">
        <v>3029</v>
      </c>
      <c r="AC6988" t="s">
        <v>1094</v>
      </c>
      <c r="AD6988" t="s">
        <v>2870</v>
      </c>
      <c r="AE6988" t="s">
        <v>14283</v>
      </c>
      <c r="AF6988" t="s">
        <v>14284</v>
      </c>
    </row>
    <row r="6989" spans="1:32" hidden="1" x14ac:dyDescent="0.35">
      <c r="A6989">
        <v>6988</v>
      </c>
      <c r="B6989" t="s">
        <v>14275</v>
      </c>
      <c r="C6989" t="s">
        <v>68</v>
      </c>
      <c r="D6989" t="s">
        <v>62</v>
      </c>
      <c r="E6989">
        <v>1244</v>
      </c>
      <c r="F6989">
        <v>2</v>
      </c>
      <c r="G6989">
        <v>2</v>
      </c>
      <c r="H6989">
        <v>1</v>
      </c>
      <c r="I6989">
        <v>0</v>
      </c>
      <c r="J6989">
        <v>1</v>
      </c>
      <c r="K6989">
        <v>1</v>
      </c>
      <c r="L6989">
        <v>1</v>
      </c>
      <c r="M6989">
        <v>1</v>
      </c>
      <c r="N6989">
        <v>1</v>
      </c>
      <c r="O6989">
        <v>1</v>
      </c>
      <c r="P6989" t="s">
        <v>14276</v>
      </c>
      <c r="Q6989" t="s">
        <v>14277</v>
      </c>
      <c r="R6989" t="s">
        <v>7230</v>
      </c>
      <c r="S6989" t="s">
        <v>7231</v>
      </c>
      <c r="T6989" t="s">
        <v>14278</v>
      </c>
      <c r="U6989" t="s">
        <v>14279</v>
      </c>
      <c r="V6989" t="s">
        <v>14280</v>
      </c>
      <c r="W6989" t="s">
        <v>14281</v>
      </c>
      <c r="X6989" t="s">
        <v>14280</v>
      </c>
      <c r="Y6989" t="s">
        <v>14282</v>
      </c>
      <c r="Z6989" t="s">
        <v>3029</v>
      </c>
      <c r="AA6989" t="s">
        <v>3030</v>
      </c>
      <c r="AB6989" t="s">
        <v>3029</v>
      </c>
      <c r="AC6989" t="s">
        <v>1094</v>
      </c>
      <c r="AD6989" t="s">
        <v>2870</v>
      </c>
      <c r="AE6989" t="s">
        <v>14283</v>
      </c>
      <c r="AF6989" t="s">
        <v>14284</v>
      </c>
    </row>
    <row r="6990" spans="1:32" hidden="1" x14ac:dyDescent="0.35">
      <c r="A6990">
        <v>6989</v>
      </c>
      <c r="B6990" t="s">
        <v>14285</v>
      </c>
      <c r="C6990" t="s">
        <v>68</v>
      </c>
      <c r="D6990" t="s">
        <v>60</v>
      </c>
      <c r="E6990">
        <v>2417</v>
      </c>
      <c r="F6990">
        <v>2</v>
      </c>
      <c r="G6990">
        <v>2</v>
      </c>
      <c r="H6990">
        <v>1</v>
      </c>
      <c r="I6990">
        <v>0</v>
      </c>
      <c r="J6990">
        <v>1</v>
      </c>
      <c r="K6990">
        <v>1</v>
      </c>
      <c r="L6990">
        <v>1</v>
      </c>
      <c r="M6990">
        <v>1</v>
      </c>
      <c r="N6990">
        <v>1</v>
      </c>
      <c r="O6990">
        <v>1</v>
      </c>
      <c r="P6990" t="s">
        <v>14286</v>
      </c>
      <c r="Q6990" t="s">
        <v>14287</v>
      </c>
      <c r="AF6990" t="s">
        <v>14288</v>
      </c>
    </row>
    <row r="6991" spans="1:32" hidden="1" x14ac:dyDescent="0.35">
      <c r="A6991">
        <v>6990</v>
      </c>
      <c r="B6991" t="s">
        <v>14285</v>
      </c>
      <c r="C6991" t="s">
        <v>68</v>
      </c>
      <c r="D6991" t="s">
        <v>62</v>
      </c>
      <c r="E6991">
        <v>2444</v>
      </c>
      <c r="F6991">
        <v>2</v>
      </c>
      <c r="G6991">
        <v>2</v>
      </c>
      <c r="H6991">
        <v>1</v>
      </c>
      <c r="I6991">
        <v>0</v>
      </c>
      <c r="J6991">
        <v>1</v>
      </c>
      <c r="K6991">
        <v>1</v>
      </c>
      <c r="L6991">
        <v>1</v>
      </c>
      <c r="M6991">
        <v>1</v>
      </c>
      <c r="N6991">
        <v>1</v>
      </c>
      <c r="O6991">
        <v>1</v>
      </c>
      <c r="P6991" t="s">
        <v>14286</v>
      </c>
      <c r="Q6991" t="s">
        <v>14287</v>
      </c>
      <c r="AF6991" t="s">
        <v>14288</v>
      </c>
    </row>
    <row r="6992" spans="1:32" hidden="1" x14ac:dyDescent="0.35">
      <c r="A6992">
        <v>6991</v>
      </c>
      <c r="B6992" t="s">
        <v>14289</v>
      </c>
      <c r="C6992" t="s">
        <v>68</v>
      </c>
      <c r="D6992" t="s">
        <v>60</v>
      </c>
      <c r="E6992">
        <v>1513</v>
      </c>
      <c r="F6992">
        <v>2</v>
      </c>
      <c r="G6992">
        <v>2</v>
      </c>
      <c r="H6992">
        <v>1</v>
      </c>
      <c r="I6992">
        <v>0</v>
      </c>
      <c r="J6992">
        <v>1</v>
      </c>
      <c r="K6992">
        <v>1</v>
      </c>
      <c r="L6992">
        <v>1</v>
      </c>
      <c r="M6992">
        <v>1</v>
      </c>
      <c r="N6992">
        <v>1</v>
      </c>
      <c r="O6992">
        <v>1</v>
      </c>
      <c r="AF6992" t="s">
        <v>14290</v>
      </c>
    </row>
    <row r="6993" spans="1:32" hidden="1" x14ac:dyDescent="0.35">
      <c r="A6993">
        <v>6992</v>
      </c>
      <c r="B6993" t="s">
        <v>14289</v>
      </c>
      <c r="C6993" t="s">
        <v>68</v>
      </c>
      <c r="D6993" t="s">
        <v>62</v>
      </c>
      <c r="E6993">
        <v>1548</v>
      </c>
      <c r="F6993">
        <v>2</v>
      </c>
      <c r="G6993">
        <v>2</v>
      </c>
      <c r="H6993">
        <v>1</v>
      </c>
      <c r="I6993">
        <v>0</v>
      </c>
      <c r="J6993">
        <v>1</v>
      </c>
      <c r="K6993">
        <v>1</v>
      </c>
      <c r="L6993">
        <v>1</v>
      </c>
      <c r="M6993">
        <v>1</v>
      </c>
      <c r="N6993">
        <v>1</v>
      </c>
      <c r="O6993">
        <v>1</v>
      </c>
      <c r="AF6993" t="s">
        <v>14290</v>
      </c>
    </row>
    <row r="6994" spans="1:32" hidden="1" x14ac:dyDescent="0.35">
      <c r="A6994">
        <v>6993</v>
      </c>
      <c r="B6994" t="s">
        <v>14291</v>
      </c>
      <c r="C6994" t="s">
        <v>68</v>
      </c>
      <c r="D6994" t="s">
        <v>60</v>
      </c>
      <c r="E6994">
        <v>1456</v>
      </c>
      <c r="F6994">
        <v>2</v>
      </c>
      <c r="G6994">
        <v>2</v>
      </c>
      <c r="H6994">
        <v>1</v>
      </c>
      <c r="I6994">
        <v>0</v>
      </c>
      <c r="J6994">
        <v>1</v>
      </c>
      <c r="K6994">
        <v>1</v>
      </c>
      <c r="L6994">
        <v>1</v>
      </c>
      <c r="M6994">
        <v>1</v>
      </c>
      <c r="N6994">
        <v>1</v>
      </c>
      <c r="O6994">
        <v>1</v>
      </c>
      <c r="P6994" t="s">
        <v>14292</v>
      </c>
      <c r="Q6994" t="s">
        <v>14293</v>
      </c>
      <c r="R6994" t="s">
        <v>224</v>
      </c>
      <c r="S6994" t="s">
        <v>225</v>
      </c>
      <c r="V6994" t="s">
        <v>14164</v>
      </c>
      <c r="W6994" t="s">
        <v>14165</v>
      </c>
      <c r="AF6994" t="s">
        <v>14294</v>
      </c>
    </row>
    <row r="6995" spans="1:32" hidden="1" x14ac:dyDescent="0.35">
      <c r="A6995">
        <v>6994</v>
      </c>
      <c r="B6995" t="s">
        <v>14291</v>
      </c>
      <c r="C6995" t="s">
        <v>68</v>
      </c>
      <c r="D6995" t="s">
        <v>62</v>
      </c>
      <c r="E6995">
        <v>1491</v>
      </c>
      <c r="F6995">
        <v>2</v>
      </c>
      <c r="G6995">
        <v>2</v>
      </c>
      <c r="H6995">
        <v>1</v>
      </c>
      <c r="I6995">
        <v>0</v>
      </c>
      <c r="J6995">
        <v>1</v>
      </c>
      <c r="K6995">
        <v>1</v>
      </c>
      <c r="L6995">
        <v>1</v>
      </c>
      <c r="M6995">
        <v>1</v>
      </c>
      <c r="N6995">
        <v>1</v>
      </c>
      <c r="O6995">
        <v>1</v>
      </c>
      <c r="P6995" t="s">
        <v>14292</v>
      </c>
      <c r="Q6995" t="s">
        <v>14293</v>
      </c>
      <c r="R6995" t="s">
        <v>224</v>
      </c>
      <c r="S6995" t="s">
        <v>225</v>
      </c>
      <c r="V6995" t="s">
        <v>14164</v>
      </c>
      <c r="W6995" t="s">
        <v>14165</v>
      </c>
      <c r="AF6995" t="s">
        <v>14294</v>
      </c>
    </row>
    <row r="6996" spans="1:32" hidden="1" x14ac:dyDescent="0.35">
      <c r="A6996">
        <v>6995</v>
      </c>
      <c r="B6996" t="s">
        <v>14295</v>
      </c>
      <c r="C6996" t="s">
        <v>68</v>
      </c>
      <c r="D6996" t="s">
        <v>60</v>
      </c>
      <c r="E6996">
        <v>477</v>
      </c>
      <c r="F6996">
        <v>2</v>
      </c>
      <c r="G6996">
        <v>2</v>
      </c>
      <c r="H6996">
        <v>1</v>
      </c>
      <c r="I6996">
        <v>0</v>
      </c>
      <c r="J6996">
        <v>1</v>
      </c>
      <c r="K6996">
        <v>1</v>
      </c>
      <c r="L6996">
        <v>1</v>
      </c>
      <c r="M6996">
        <v>1</v>
      </c>
      <c r="N6996">
        <v>1</v>
      </c>
      <c r="O6996">
        <v>1</v>
      </c>
      <c r="P6996" t="s">
        <v>169</v>
      </c>
      <c r="Q6996" t="s">
        <v>170</v>
      </c>
      <c r="R6996" t="s">
        <v>342</v>
      </c>
      <c r="S6996" t="s">
        <v>343</v>
      </c>
      <c r="T6996" t="s">
        <v>259</v>
      </c>
      <c r="U6996" t="s">
        <v>260</v>
      </c>
      <c r="V6996" t="s">
        <v>11649</v>
      </c>
      <c r="W6996" t="s">
        <v>11650</v>
      </c>
      <c r="AD6996" t="s">
        <v>166</v>
      </c>
      <c r="AE6996" t="s">
        <v>263</v>
      </c>
      <c r="AF6996" t="s">
        <v>14296</v>
      </c>
    </row>
    <row r="6997" spans="1:32" hidden="1" x14ac:dyDescent="0.35">
      <c r="A6997">
        <v>6996</v>
      </c>
      <c r="B6997" t="s">
        <v>14295</v>
      </c>
      <c r="C6997" t="s">
        <v>68</v>
      </c>
      <c r="D6997" t="s">
        <v>62</v>
      </c>
      <c r="E6997">
        <v>560</v>
      </c>
      <c r="F6997">
        <v>2</v>
      </c>
      <c r="G6997">
        <v>2</v>
      </c>
      <c r="H6997">
        <v>1</v>
      </c>
      <c r="I6997">
        <v>0</v>
      </c>
      <c r="J6997">
        <v>1</v>
      </c>
      <c r="K6997">
        <v>1</v>
      </c>
      <c r="L6997">
        <v>1</v>
      </c>
      <c r="M6997">
        <v>1</v>
      </c>
      <c r="N6997">
        <v>1</v>
      </c>
      <c r="O6997">
        <v>1</v>
      </c>
      <c r="P6997" t="s">
        <v>169</v>
      </c>
      <c r="Q6997" t="s">
        <v>170</v>
      </c>
      <c r="R6997" t="s">
        <v>342</v>
      </c>
      <c r="S6997" t="s">
        <v>343</v>
      </c>
      <c r="T6997" t="s">
        <v>259</v>
      </c>
      <c r="U6997" t="s">
        <v>260</v>
      </c>
      <c r="V6997" t="s">
        <v>11649</v>
      </c>
      <c r="W6997" t="s">
        <v>11650</v>
      </c>
      <c r="AD6997" t="s">
        <v>166</v>
      </c>
      <c r="AE6997" t="s">
        <v>263</v>
      </c>
      <c r="AF6997" t="s">
        <v>14296</v>
      </c>
    </row>
    <row r="6998" spans="1:32" hidden="1" x14ac:dyDescent="0.35">
      <c r="A6998">
        <v>6997</v>
      </c>
      <c r="B6998" t="s">
        <v>14297</v>
      </c>
      <c r="C6998" t="s">
        <v>68</v>
      </c>
      <c r="D6998" t="s">
        <v>60</v>
      </c>
      <c r="E6998">
        <v>1786</v>
      </c>
      <c r="F6998">
        <v>2</v>
      </c>
      <c r="G6998">
        <v>2</v>
      </c>
      <c r="H6998">
        <v>1</v>
      </c>
      <c r="I6998">
        <v>0</v>
      </c>
      <c r="J6998">
        <v>1</v>
      </c>
      <c r="K6998">
        <v>1</v>
      </c>
      <c r="L6998">
        <v>1</v>
      </c>
      <c r="M6998">
        <v>1</v>
      </c>
      <c r="N6998">
        <v>1</v>
      </c>
      <c r="O6998">
        <v>1</v>
      </c>
      <c r="P6998" t="s">
        <v>14298</v>
      </c>
      <c r="Q6998" t="s">
        <v>14299</v>
      </c>
      <c r="R6998" t="s">
        <v>288</v>
      </c>
      <c r="S6998" t="s">
        <v>289</v>
      </c>
      <c r="T6998" t="s">
        <v>14300</v>
      </c>
      <c r="U6998" t="s">
        <v>6164</v>
      </c>
      <c r="V6998" t="s">
        <v>14301</v>
      </c>
      <c r="W6998" t="s">
        <v>14302</v>
      </c>
      <c r="AD6998" t="s">
        <v>219</v>
      </c>
      <c r="AE6998" t="s">
        <v>14303</v>
      </c>
      <c r="AF6998" t="s">
        <v>14304</v>
      </c>
    </row>
    <row r="6999" spans="1:32" hidden="1" x14ac:dyDescent="0.35">
      <c r="A6999">
        <v>6998</v>
      </c>
      <c r="B6999" t="s">
        <v>14297</v>
      </c>
      <c r="C6999" t="s">
        <v>68</v>
      </c>
      <c r="D6999" t="s">
        <v>62</v>
      </c>
      <c r="E6999">
        <v>1822</v>
      </c>
      <c r="F6999">
        <v>2</v>
      </c>
      <c r="G6999">
        <v>2</v>
      </c>
      <c r="H6999">
        <v>1</v>
      </c>
      <c r="I6999">
        <v>0</v>
      </c>
      <c r="J6999">
        <v>1</v>
      </c>
      <c r="K6999">
        <v>1</v>
      </c>
      <c r="L6999">
        <v>1</v>
      </c>
      <c r="M6999">
        <v>1</v>
      </c>
      <c r="N6999">
        <v>1</v>
      </c>
      <c r="O6999">
        <v>1</v>
      </c>
      <c r="P6999" t="s">
        <v>14298</v>
      </c>
      <c r="Q6999" t="s">
        <v>14299</v>
      </c>
      <c r="R6999" t="s">
        <v>288</v>
      </c>
      <c r="S6999" t="s">
        <v>289</v>
      </c>
      <c r="T6999" t="s">
        <v>14300</v>
      </c>
      <c r="U6999" t="s">
        <v>6164</v>
      </c>
      <c r="V6999" t="s">
        <v>14301</v>
      </c>
      <c r="W6999" t="s">
        <v>14302</v>
      </c>
      <c r="AD6999" t="s">
        <v>219</v>
      </c>
      <c r="AE6999" t="s">
        <v>14303</v>
      </c>
      <c r="AF6999" t="s">
        <v>14304</v>
      </c>
    </row>
    <row r="7000" spans="1:32" hidden="1" x14ac:dyDescent="0.35">
      <c r="A7000">
        <v>6999</v>
      </c>
      <c r="B7000" t="s">
        <v>14305</v>
      </c>
      <c r="C7000" t="s">
        <v>68</v>
      </c>
      <c r="D7000" t="s">
        <v>60</v>
      </c>
      <c r="E7000">
        <v>2211</v>
      </c>
      <c r="F7000">
        <v>2</v>
      </c>
      <c r="G7000">
        <v>2</v>
      </c>
      <c r="H7000">
        <v>1</v>
      </c>
      <c r="I7000">
        <v>0</v>
      </c>
      <c r="J7000">
        <v>1</v>
      </c>
      <c r="K7000">
        <v>1</v>
      </c>
      <c r="L7000">
        <v>1</v>
      </c>
      <c r="M7000">
        <v>1</v>
      </c>
      <c r="N7000">
        <v>1</v>
      </c>
      <c r="O7000">
        <v>1</v>
      </c>
      <c r="P7000" t="s">
        <v>1247</v>
      </c>
      <c r="Q7000" t="s">
        <v>1248</v>
      </c>
      <c r="R7000" t="s">
        <v>319</v>
      </c>
      <c r="S7000" t="s">
        <v>320</v>
      </c>
      <c r="T7000" t="s">
        <v>14306</v>
      </c>
      <c r="U7000" t="s">
        <v>13345</v>
      </c>
      <c r="V7000" t="s">
        <v>5037</v>
      </c>
      <c r="W7000" t="s">
        <v>5038</v>
      </c>
      <c r="AD7000" t="s">
        <v>166</v>
      </c>
      <c r="AE7000" t="s">
        <v>13346</v>
      </c>
      <c r="AF7000" t="s">
        <v>14307</v>
      </c>
    </row>
    <row r="7001" spans="1:32" hidden="1" x14ac:dyDescent="0.35">
      <c r="A7001">
        <v>7000</v>
      </c>
      <c r="B7001" t="s">
        <v>14305</v>
      </c>
      <c r="C7001" t="s">
        <v>68</v>
      </c>
      <c r="D7001" t="s">
        <v>62</v>
      </c>
      <c r="E7001">
        <v>2243</v>
      </c>
      <c r="F7001">
        <v>2</v>
      </c>
      <c r="G7001">
        <v>2</v>
      </c>
      <c r="H7001">
        <v>1</v>
      </c>
      <c r="I7001">
        <v>0</v>
      </c>
      <c r="J7001">
        <v>1</v>
      </c>
      <c r="K7001">
        <v>1</v>
      </c>
      <c r="L7001">
        <v>1</v>
      </c>
      <c r="M7001">
        <v>1</v>
      </c>
      <c r="N7001">
        <v>1</v>
      </c>
      <c r="O7001">
        <v>1</v>
      </c>
      <c r="P7001" t="s">
        <v>1247</v>
      </c>
      <c r="Q7001" t="s">
        <v>1248</v>
      </c>
      <c r="R7001" t="s">
        <v>319</v>
      </c>
      <c r="S7001" t="s">
        <v>320</v>
      </c>
      <c r="T7001" t="s">
        <v>14306</v>
      </c>
      <c r="U7001" t="s">
        <v>13345</v>
      </c>
      <c r="V7001" t="s">
        <v>5037</v>
      </c>
      <c r="W7001" t="s">
        <v>5038</v>
      </c>
      <c r="AD7001" t="s">
        <v>166</v>
      </c>
      <c r="AE7001" t="s">
        <v>13346</v>
      </c>
      <c r="AF7001" t="s">
        <v>14307</v>
      </c>
    </row>
    <row r="7002" spans="1:32" hidden="1" x14ac:dyDescent="0.35">
      <c r="A7002">
        <v>7001</v>
      </c>
      <c r="B7002" t="s">
        <v>14308</v>
      </c>
      <c r="C7002" t="s">
        <v>68</v>
      </c>
      <c r="D7002" t="s">
        <v>60</v>
      </c>
      <c r="E7002">
        <v>2370</v>
      </c>
      <c r="F7002">
        <v>2</v>
      </c>
      <c r="G7002">
        <v>2</v>
      </c>
      <c r="H7002">
        <v>1</v>
      </c>
      <c r="I7002">
        <v>0</v>
      </c>
      <c r="J7002">
        <v>1</v>
      </c>
      <c r="K7002">
        <v>1</v>
      </c>
      <c r="L7002">
        <v>1</v>
      </c>
      <c r="M7002">
        <v>1</v>
      </c>
      <c r="N7002">
        <v>1</v>
      </c>
      <c r="O7002">
        <v>1</v>
      </c>
      <c r="P7002" t="s">
        <v>4889</v>
      </c>
      <c r="Q7002" t="s">
        <v>4890</v>
      </c>
      <c r="R7002" t="s">
        <v>319</v>
      </c>
      <c r="S7002" t="s">
        <v>320</v>
      </c>
      <c r="T7002" t="s">
        <v>14309</v>
      </c>
      <c r="U7002" t="s">
        <v>14310</v>
      </c>
      <c r="V7002" t="s">
        <v>14227</v>
      </c>
      <c r="W7002" t="s">
        <v>14228</v>
      </c>
      <c r="AD7002" t="s">
        <v>14311</v>
      </c>
      <c r="AE7002" t="s">
        <v>14312</v>
      </c>
      <c r="AF7002" t="s">
        <v>14313</v>
      </c>
    </row>
    <row r="7003" spans="1:32" hidden="1" x14ac:dyDescent="0.35">
      <c r="A7003">
        <v>7002</v>
      </c>
      <c r="B7003" t="s">
        <v>14308</v>
      </c>
      <c r="C7003" t="s">
        <v>68</v>
      </c>
      <c r="D7003" t="s">
        <v>62</v>
      </c>
      <c r="E7003">
        <v>2398</v>
      </c>
      <c r="F7003">
        <v>2</v>
      </c>
      <c r="G7003">
        <v>2</v>
      </c>
      <c r="H7003">
        <v>1</v>
      </c>
      <c r="I7003">
        <v>0</v>
      </c>
      <c r="J7003">
        <v>1</v>
      </c>
      <c r="K7003">
        <v>1</v>
      </c>
      <c r="L7003">
        <v>1</v>
      </c>
      <c r="M7003">
        <v>1</v>
      </c>
      <c r="N7003">
        <v>1</v>
      </c>
      <c r="O7003">
        <v>1</v>
      </c>
      <c r="P7003" t="s">
        <v>4889</v>
      </c>
      <c r="Q7003" t="s">
        <v>4890</v>
      </c>
      <c r="R7003" t="s">
        <v>319</v>
      </c>
      <c r="S7003" t="s">
        <v>320</v>
      </c>
      <c r="T7003" t="s">
        <v>14309</v>
      </c>
      <c r="U7003" t="s">
        <v>14310</v>
      </c>
      <c r="V7003" t="s">
        <v>14227</v>
      </c>
      <c r="W7003" t="s">
        <v>14228</v>
      </c>
      <c r="AD7003" t="s">
        <v>14311</v>
      </c>
      <c r="AE7003" t="s">
        <v>14312</v>
      </c>
      <c r="AF7003" t="s">
        <v>14313</v>
      </c>
    </row>
    <row r="7004" spans="1:32" hidden="1" x14ac:dyDescent="0.35">
      <c r="A7004">
        <v>7003</v>
      </c>
      <c r="B7004" t="s">
        <v>14314</v>
      </c>
      <c r="C7004" t="s">
        <v>68</v>
      </c>
      <c r="D7004" t="s">
        <v>60</v>
      </c>
      <c r="E7004">
        <v>134</v>
      </c>
      <c r="F7004">
        <v>2</v>
      </c>
      <c r="G7004">
        <v>2</v>
      </c>
      <c r="H7004">
        <v>1</v>
      </c>
      <c r="I7004">
        <v>0</v>
      </c>
      <c r="J7004">
        <v>1</v>
      </c>
      <c r="K7004">
        <v>1</v>
      </c>
      <c r="L7004">
        <v>1</v>
      </c>
      <c r="M7004">
        <v>1</v>
      </c>
      <c r="N7004">
        <v>1</v>
      </c>
      <c r="O7004">
        <v>1</v>
      </c>
      <c r="P7004" t="s">
        <v>14315</v>
      </c>
      <c r="Q7004" t="s">
        <v>14316</v>
      </c>
      <c r="AF7004" t="s">
        <v>14317</v>
      </c>
    </row>
    <row r="7005" spans="1:32" hidden="1" x14ac:dyDescent="0.35">
      <c r="A7005">
        <v>7004</v>
      </c>
      <c r="B7005" t="s">
        <v>14314</v>
      </c>
      <c r="C7005" t="s">
        <v>68</v>
      </c>
      <c r="D7005" t="s">
        <v>62</v>
      </c>
      <c r="E7005">
        <v>206</v>
      </c>
      <c r="F7005">
        <v>2</v>
      </c>
      <c r="G7005">
        <v>2</v>
      </c>
      <c r="H7005">
        <v>1</v>
      </c>
      <c r="I7005">
        <v>0</v>
      </c>
      <c r="J7005">
        <v>1</v>
      </c>
      <c r="K7005">
        <v>1</v>
      </c>
      <c r="L7005">
        <v>1</v>
      </c>
      <c r="M7005">
        <v>1</v>
      </c>
      <c r="N7005">
        <v>1</v>
      </c>
      <c r="O7005">
        <v>1</v>
      </c>
      <c r="P7005" t="s">
        <v>14315</v>
      </c>
      <c r="Q7005" t="s">
        <v>14316</v>
      </c>
      <c r="AF7005" t="s">
        <v>14317</v>
      </c>
    </row>
    <row r="7006" spans="1:32" hidden="1" x14ac:dyDescent="0.35">
      <c r="A7006">
        <v>7005</v>
      </c>
      <c r="B7006" t="s">
        <v>14318</v>
      </c>
      <c r="C7006" t="s">
        <v>68</v>
      </c>
      <c r="D7006" t="s">
        <v>60</v>
      </c>
      <c r="E7006">
        <v>2157</v>
      </c>
      <c r="F7006">
        <v>2</v>
      </c>
      <c r="G7006">
        <v>2</v>
      </c>
      <c r="H7006">
        <v>1</v>
      </c>
      <c r="I7006">
        <v>0</v>
      </c>
      <c r="J7006">
        <v>1</v>
      </c>
      <c r="K7006">
        <v>1</v>
      </c>
      <c r="L7006">
        <v>1</v>
      </c>
      <c r="M7006">
        <v>1</v>
      </c>
      <c r="N7006">
        <v>1</v>
      </c>
      <c r="O7006">
        <v>1</v>
      </c>
      <c r="P7006" t="s">
        <v>14319</v>
      </c>
      <c r="Q7006" t="s">
        <v>2035</v>
      </c>
      <c r="R7006" t="s">
        <v>869</v>
      </c>
      <c r="S7006" t="s">
        <v>870</v>
      </c>
      <c r="V7006" t="s">
        <v>7964</v>
      </c>
      <c r="W7006" t="s">
        <v>7965</v>
      </c>
      <c r="X7006" t="s">
        <v>7964</v>
      </c>
      <c r="Y7006" t="s">
        <v>2190</v>
      </c>
      <c r="AF7006" t="s">
        <v>14320</v>
      </c>
    </row>
    <row r="7007" spans="1:32" hidden="1" x14ac:dyDescent="0.35">
      <c r="A7007">
        <v>7006</v>
      </c>
      <c r="B7007" t="s">
        <v>14318</v>
      </c>
      <c r="C7007" t="s">
        <v>68</v>
      </c>
      <c r="D7007" t="s">
        <v>62</v>
      </c>
      <c r="E7007">
        <v>2191</v>
      </c>
      <c r="F7007">
        <v>2</v>
      </c>
      <c r="G7007">
        <v>2</v>
      </c>
      <c r="H7007">
        <v>1</v>
      </c>
      <c r="I7007">
        <v>0</v>
      </c>
      <c r="J7007">
        <v>1</v>
      </c>
      <c r="K7007">
        <v>1</v>
      </c>
      <c r="L7007">
        <v>1</v>
      </c>
      <c r="M7007">
        <v>1</v>
      </c>
      <c r="N7007">
        <v>1</v>
      </c>
      <c r="O7007">
        <v>1</v>
      </c>
      <c r="P7007" t="s">
        <v>14319</v>
      </c>
      <c r="Q7007" t="s">
        <v>2035</v>
      </c>
      <c r="R7007" t="s">
        <v>869</v>
      </c>
      <c r="S7007" t="s">
        <v>870</v>
      </c>
      <c r="V7007" t="s">
        <v>7964</v>
      </c>
      <c r="W7007" t="s">
        <v>7965</v>
      </c>
      <c r="X7007" t="s">
        <v>7964</v>
      </c>
      <c r="Y7007" t="s">
        <v>2190</v>
      </c>
      <c r="AF7007" t="s">
        <v>14320</v>
      </c>
    </row>
    <row r="7008" spans="1:32" hidden="1" x14ac:dyDescent="0.35">
      <c r="A7008">
        <v>7007</v>
      </c>
      <c r="B7008" t="s">
        <v>14321</v>
      </c>
      <c r="C7008" t="s">
        <v>68</v>
      </c>
      <c r="D7008" t="s">
        <v>34</v>
      </c>
      <c r="E7008">
        <v>276</v>
      </c>
      <c r="F7008">
        <v>2</v>
      </c>
      <c r="G7008">
        <v>2</v>
      </c>
      <c r="H7008">
        <v>1</v>
      </c>
      <c r="I7008">
        <v>0</v>
      </c>
      <c r="J7008">
        <v>1</v>
      </c>
      <c r="K7008">
        <v>1</v>
      </c>
      <c r="L7008">
        <v>1</v>
      </c>
      <c r="M7008">
        <v>1</v>
      </c>
      <c r="N7008">
        <v>1</v>
      </c>
      <c r="O7008">
        <v>1</v>
      </c>
      <c r="AF7008" t="s">
        <v>14322</v>
      </c>
    </row>
    <row r="7009" spans="1:32" hidden="1" x14ac:dyDescent="0.35">
      <c r="A7009">
        <v>7008</v>
      </c>
      <c r="B7009" t="s">
        <v>14321</v>
      </c>
      <c r="C7009" t="s">
        <v>68</v>
      </c>
      <c r="D7009" t="s">
        <v>45</v>
      </c>
      <c r="E7009">
        <v>1538</v>
      </c>
      <c r="F7009">
        <v>2</v>
      </c>
      <c r="G7009">
        <v>2</v>
      </c>
      <c r="H7009">
        <v>1</v>
      </c>
      <c r="I7009">
        <v>0</v>
      </c>
      <c r="J7009">
        <v>1</v>
      </c>
      <c r="K7009">
        <v>1</v>
      </c>
      <c r="L7009">
        <v>1</v>
      </c>
      <c r="M7009">
        <v>1</v>
      </c>
      <c r="N7009">
        <v>1</v>
      </c>
      <c r="O7009">
        <v>1</v>
      </c>
      <c r="AF7009" t="s">
        <v>14322</v>
      </c>
    </row>
    <row r="7010" spans="1:32" hidden="1" x14ac:dyDescent="0.35">
      <c r="A7010">
        <v>7009</v>
      </c>
      <c r="B7010" t="s">
        <v>14323</v>
      </c>
      <c r="C7010" t="s">
        <v>68</v>
      </c>
      <c r="D7010" t="s">
        <v>34</v>
      </c>
      <c r="E7010">
        <v>1691</v>
      </c>
      <c r="F7010">
        <v>2</v>
      </c>
      <c r="G7010">
        <v>2</v>
      </c>
      <c r="H7010">
        <v>1</v>
      </c>
      <c r="I7010">
        <v>0</v>
      </c>
      <c r="J7010">
        <v>1</v>
      </c>
      <c r="K7010">
        <v>1</v>
      </c>
      <c r="L7010">
        <v>1</v>
      </c>
      <c r="M7010">
        <v>1</v>
      </c>
      <c r="N7010">
        <v>1</v>
      </c>
      <c r="O7010">
        <v>1</v>
      </c>
      <c r="AF7010" t="s">
        <v>14324</v>
      </c>
    </row>
    <row r="7011" spans="1:32" hidden="1" x14ac:dyDescent="0.35">
      <c r="A7011">
        <v>7010</v>
      </c>
      <c r="B7011" t="s">
        <v>14323</v>
      </c>
      <c r="C7011" t="s">
        <v>68</v>
      </c>
      <c r="D7011" t="s">
        <v>45</v>
      </c>
      <c r="E7011">
        <v>1185</v>
      </c>
      <c r="F7011">
        <v>2</v>
      </c>
      <c r="G7011">
        <v>2</v>
      </c>
      <c r="H7011">
        <v>1</v>
      </c>
      <c r="I7011">
        <v>0</v>
      </c>
      <c r="J7011">
        <v>1</v>
      </c>
      <c r="K7011">
        <v>1</v>
      </c>
      <c r="L7011">
        <v>1</v>
      </c>
      <c r="M7011">
        <v>1</v>
      </c>
      <c r="N7011">
        <v>1</v>
      </c>
      <c r="O7011">
        <v>1</v>
      </c>
      <c r="AF7011" t="s">
        <v>14324</v>
      </c>
    </row>
    <row r="7012" spans="1:32" hidden="1" x14ac:dyDescent="0.35">
      <c r="A7012">
        <v>7011</v>
      </c>
      <c r="B7012" t="s">
        <v>14325</v>
      </c>
      <c r="C7012" t="s">
        <v>68</v>
      </c>
      <c r="D7012" t="s">
        <v>60</v>
      </c>
      <c r="E7012">
        <v>1620</v>
      </c>
      <c r="F7012">
        <v>2</v>
      </c>
      <c r="G7012">
        <v>2</v>
      </c>
      <c r="H7012">
        <v>1</v>
      </c>
      <c r="I7012">
        <v>0</v>
      </c>
      <c r="J7012">
        <v>1</v>
      </c>
      <c r="K7012">
        <v>1</v>
      </c>
      <c r="L7012">
        <v>1</v>
      </c>
      <c r="M7012">
        <v>1</v>
      </c>
      <c r="N7012">
        <v>1</v>
      </c>
      <c r="O7012">
        <v>1</v>
      </c>
      <c r="P7012" t="s">
        <v>14326</v>
      </c>
      <c r="Q7012" t="s">
        <v>14327</v>
      </c>
      <c r="AF7012" t="s">
        <v>14328</v>
      </c>
    </row>
    <row r="7013" spans="1:32" hidden="1" x14ac:dyDescent="0.35">
      <c r="A7013">
        <v>7012</v>
      </c>
      <c r="B7013" t="s">
        <v>14325</v>
      </c>
      <c r="C7013" t="s">
        <v>68</v>
      </c>
      <c r="D7013" t="s">
        <v>62</v>
      </c>
      <c r="E7013">
        <v>1656</v>
      </c>
      <c r="F7013">
        <v>2</v>
      </c>
      <c r="G7013">
        <v>2</v>
      </c>
      <c r="H7013">
        <v>1</v>
      </c>
      <c r="I7013">
        <v>0</v>
      </c>
      <c r="J7013">
        <v>1</v>
      </c>
      <c r="K7013">
        <v>1</v>
      </c>
      <c r="L7013">
        <v>1</v>
      </c>
      <c r="M7013">
        <v>1</v>
      </c>
      <c r="N7013">
        <v>1</v>
      </c>
      <c r="O7013">
        <v>1</v>
      </c>
      <c r="P7013" t="s">
        <v>14326</v>
      </c>
      <c r="Q7013" t="s">
        <v>14327</v>
      </c>
      <c r="AF7013" t="s">
        <v>14328</v>
      </c>
    </row>
    <row r="7014" spans="1:32" hidden="1" x14ac:dyDescent="0.35">
      <c r="A7014">
        <v>7013</v>
      </c>
      <c r="B7014" t="s">
        <v>14329</v>
      </c>
      <c r="C7014" t="s">
        <v>68</v>
      </c>
      <c r="D7014" t="s">
        <v>60</v>
      </c>
      <c r="E7014">
        <v>1015</v>
      </c>
      <c r="F7014">
        <v>2</v>
      </c>
      <c r="G7014">
        <v>2</v>
      </c>
      <c r="H7014">
        <v>1</v>
      </c>
      <c r="I7014">
        <v>0</v>
      </c>
      <c r="J7014">
        <v>1</v>
      </c>
      <c r="K7014">
        <v>1</v>
      </c>
      <c r="L7014">
        <v>1</v>
      </c>
      <c r="M7014">
        <v>1</v>
      </c>
      <c r="N7014">
        <v>1</v>
      </c>
      <c r="O7014">
        <v>1</v>
      </c>
      <c r="P7014" t="s">
        <v>2496</v>
      </c>
      <c r="Q7014" t="s">
        <v>2497</v>
      </c>
      <c r="R7014" t="s">
        <v>138</v>
      </c>
      <c r="S7014" t="s">
        <v>139</v>
      </c>
      <c r="V7014" t="s">
        <v>2498</v>
      </c>
      <c r="W7014" t="s">
        <v>2499</v>
      </c>
      <c r="AF7014" t="s">
        <v>14330</v>
      </c>
    </row>
    <row r="7015" spans="1:32" hidden="1" x14ac:dyDescent="0.35">
      <c r="A7015">
        <v>7014</v>
      </c>
      <c r="B7015" t="s">
        <v>14329</v>
      </c>
      <c r="C7015" t="s">
        <v>68</v>
      </c>
      <c r="D7015" t="s">
        <v>62</v>
      </c>
      <c r="E7015">
        <v>1051</v>
      </c>
      <c r="F7015">
        <v>2</v>
      </c>
      <c r="G7015">
        <v>2</v>
      </c>
      <c r="H7015">
        <v>1</v>
      </c>
      <c r="I7015">
        <v>0</v>
      </c>
      <c r="J7015">
        <v>1</v>
      </c>
      <c r="K7015">
        <v>1</v>
      </c>
      <c r="L7015">
        <v>1</v>
      </c>
      <c r="M7015">
        <v>1</v>
      </c>
      <c r="N7015">
        <v>1</v>
      </c>
      <c r="O7015">
        <v>1</v>
      </c>
      <c r="P7015" t="s">
        <v>2496</v>
      </c>
      <c r="Q7015" t="s">
        <v>2497</v>
      </c>
      <c r="R7015" t="s">
        <v>138</v>
      </c>
      <c r="S7015" t="s">
        <v>139</v>
      </c>
      <c r="V7015" t="s">
        <v>2498</v>
      </c>
      <c r="W7015" t="s">
        <v>2499</v>
      </c>
      <c r="AF7015" t="s">
        <v>14330</v>
      </c>
    </row>
    <row r="7016" spans="1:32" hidden="1" x14ac:dyDescent="0.35">
      <c r="A7016">
        <v>7015</v>
      </c>
      <c r="B7016" t="s">
        <v>14331</v>
      </c>
      <c r="C7016" t="s">
        <v>68</v>
      </c>
      <c r="D7016" t="s">
        <v>34</v>
      </c>
      <c r="E7016">
        <v>1436</v>
      </c>
      <c r="F7016">
        <v>2</v>
      </c>
      <c r="G7016">
        <v>2</v>
      </c>
      <c r="H7016">
        <v>1</v>
      </c>
      <c r="I7016">
        <v>0</v>
      </c>
      <c r="J7016">
        <v>1</v>
      </c>
      <c r="K7016">
        <v>1</v>
      </c>
      <c r="L7016">
        <v>1</v>
      </c>
      <c r="M7016">
        <v>1</v>
      </c>
      <c r="N7016">
        <v>1</v>
      </c>
      <c r="O7016">
        <v>1</v>
      </c>
      <c r="AF7016" t="s">
        <v>14332</v>
      </c>
    </row>
    <row r="7017" spans="1:32" hidden="1" x14ac:dyDescent="0.35">
      <c r="A7017">
        <v>7016</v>
      </c>
      <c r="B7017" t="s">
        <v>14331</v>
      </c>
      <c r="C7017" t="s">
        <v>68</v>
      </c>
      <c r="D7017" t="s">
        <v>45</v>
      </c>
      <c r="E7017">
        <v>187</v>
      </c>
      <c r="F7017">
        <v>2</v>
      </c>
      <c r="G7017">
        <v>2</v>
      </c>
      <c r="H7017">
        <v>1</v>
      </c>
      <c r="I7017">
        <v>0</v>
      </c>
      <c r="J7017">
        <v>1</v>
      </c>
      <c r="K7017">
        <v>1</v>
      </c>
      <c r="L7017">
        <v>1</v>
      </c>
      <c r="M7017">
        <v>1</v>
      </c>
      <c r="N7017">
        <v>1</v>
      </c>
      <c r="O7017">
        <v>1</v>
      </c>
      <c r="AF7017" t="s">
        <v>14332</v>
      </c>
    </row>
    <row r="7018" spans="1:32" hidden="1" x14ac:dyDescent="0.35">
      <c r="A7018">
        <v>7017</v>
      </c>
      <c r="B7018" t="s">
        <v>14333</v>
      </c>
      <c r="C7018" t="s">
        <v>68</v>
      </c>
      <c r="D7018" t="s">
        <v>60</v>
      </c>
      <c r="E7018">
        <v>1674</v>
      </c>
      <c r="F7018">
        <v>2</v>
      </c>
      <c r="G7018">
        <v>2</v>
      </c>
      <c r="H7018">
        <v>1</v>
      </c>
      <c r="I7018">
        <v>0</v>
      </c>
      <c r="J7018">
        <v>1</v>
      </c>
      <c r="K7018">
        <v>1</v>
      </c>
      <c r="L7018">
        <v>1</v>
      </c>
      <c r="M7018">
        <v>1</v>
      </c>
      <c r="N7018">
        <v>1</v>
      </c>
      <c r="O7018">
        <v>1</v>
      </c>
      <c r="P7018" t="s">
        <v>3363</v>
      </c>
      <c r="Q7018" t="s">
        <v>3364</v>
      </c>
      <c r="R7018" t="s">
        <v>319</v>
      </c>
      <c r="S7018" t="s">
        <v>320</v>
      </c>
      <c r="T7018" t="s">
        <v>4019</v>
      </c>
      <c r="U7018" t="s">
        <v>4020</v>
      </c>
      <c r="V7018" t="s">
        <v>3367</v>
      </c>
      <c r="W7018" t="s">
        <v>3368</v>
      </c>
      <c r="X7018" t="s">
        <v>3367</v>
      </c>
      <c r="Y7018" t="s">
        <v>3369</v>
      </c>
      <c r="Z7018" t="s">
        <v>4021</v>
      </c>
      <c r="AA7018" t="s">
        <v>4022</v>
      </c>
      <c r="AB7018" t="s">
        <v>4021</v>
      </c>
      <c r="AC7018" t="s">
        <v>4023</v>
      </c>
      <c r="AD7018" t="s">
        <v>951</v>
      </c>
      <c r="AE7018" t="s">
        <v>4024</v>
      </c>
      <c r="AF7018" t="s">
        <v>14334</v>
      </c>
    </row>
    <row r="7019" spans="1:32" hidden="1" x14ac:dyDescent="0.35">
      <c r="A7019">
        <v>7018</v>
      </c>
      <c r="B7019" t="s">
        <v>14333</v>
      </c>
      <c r="C7019" t="s">
        <v>68</v>
      </c>
      <c r="D7019" t="s">
        <v>62</v>
      </c>
      <c r="E7019">
        <v>1709</v>
      </c>
      <c r="F7019">
        <v>2</v>
      </c>
      <c r="G7019">
        <v>2</v>
      </c>
      <c r="H7019">
        <v>1</v>
      </c>
      <c r="I7019">
        <v>0</v>
      </c>
      <c r="J7019">
        <v>1</v>
      </c>
      <c r="K7019">
        <v>1</v>
      </c>
      <c r="L7019">
        <v>1</v>
      </c>
      <c r="M7019">
        <v>1</v>
      </c>
      <c r="N7019">
        <v>1</v>
      </c>
      <c r="O7019">
        <v>1</v>
      </c>
      <c r="P7019" t="s">
        <v>3363</v>
      </c>
      <c r="Q7019" t="s">
        <v>3364</v>
      </c>
      <c r="R7019" t="s">
        <v>319</v>
      </c>
      <c r="S7019" t="s">
        <v>320</v>
      </c>
      <c r="T7019" t="s">
        <v>4019</v>
      </c>
      <c r="U7019" t="s">
        <v>4020</v>
      </c>
      <c r="V7019" t="s">
        <v>3367</v>
      </c>
      <c r="W7019" t="s">
        <v>3368</v>
      </c>
      <c r="X7019" t="s">
        <v>3367</v>
      </c>
      <c r="Y7019" t="s">
        <v>3369</v>
      </c>
      <c r="Z7019" t="s">
        <v>4021</v>
      </c>
      <c r="AA7019" t="s">
        <v>4022</v>
      </c>
      <c r="AB7019" t="s">
        <v>4021</v>
      </c>
      <c r="AC7019" t="s">
        <v>4023</v>
      </c>
      <c r="AD7019" t="s">
        <v>951</v>
      </c>
      <c r="AE7019" t="s">
        <v>4024</v>
      </c>
      <c r="AF7019" t="s">
        <v>14334</v>
      </c>
    </row>
    <row r="7020" spans="1:32" hidden="1" x14ac:dyDescent="0.35">
      <c r="A7020">
        <v>7019</v>
      </c>
      <c r="B7020" t="s">
        <v>14335</v>
      </c>
      <c r="C7020" t="s">
        <v>68</v>
      </c>
      <c r="D7020" t="s">
        <v>60</v>
      </c>
      <c r="E7020">
        <v>1561</v>
      </c>
      <c r="F7020">
        <v>2</v>
      </c>
      <c r="G7020">
        <v>2</v>
      </c>
      <c r="H7020">
        <v>1</v>
      </c>
      <c r="I7020">
        <v>0</v>
      </c>
      <c r="J7020">
        <v>1</v>
      </c>
      <c r="K7020">
        <v>1</v>
      </c>
      <c r="L7020">
        <v>1</v>
      </c>
      <c r="M7020">
        <v>1</v>
      </c>
      <c r="N7020">
        <v>1</v>
      </c>
      <c r="O7020">
        <v>1</v>
      </c>
      <c r="AF7020" t="s">
        <v>14336</v>
      </c>
    </row>
    <row r="7021" spans="1:32" hidden="1" x14ac:dyDescent="0.35">
      <c r="A7021">
        <v>7020</v>
      </c>
      <c r="B7021" t="s">
        <v>14335</v>
      </c>
      <c r="C7021" t="s">
        <v>68</v>
      </c>
      <c r="D7021" t="s">
        <v>62</v>
      </c>
      <c r="E7021">
        <v>1597</v>
      </c>
      <c r="F7021">
        <v>2</v>
      </c>
      <c r="G7021">
        <v>2</v>
      </c>
      <c r="H7021">
        <v>1</v>
      </c>
      <c r="I7021">
        <v>0</v>
      </c>
      <c r="J7021">
        <v>1</v>
      </c>
      <c r="K7021">
        <v>1</v>
      </c>
      <c r="L7021">
        <v>1</v>
      </c>
      <c r="M7021">
        <v>1</v>
      </c>
      <c r="N7021">
        <v>1</v>
      </c>
      <c r="O7021">
        <v>1</v>
      </c>
      <c r="AF7021" t="s">
        <v>14336</v>
      </c>
    </row>
    <row r="7022" spans="1:32" hidden="1" x14ac:dyDescent="0.35">
      <c r="A7022">
        <v>7021</v>
      </c>
      <c r="B7022" t="s">
        <v>14337</v>
      </c>
      <c r="C7022" t="s">
        <v>68</v>
      </c>
      <c r="D7022" t="s">
        <v>34</v>
      </c>
      <c r="E7022">
        <v>1044</v>
      </c>
      <c r="F7022">
        <v>2</v>
      </c>
      <c r="G7022">
        <v>2</v>
      </c>
      <c r="H7022">
        <v>1</v>
      </c>
      <c r="I7022">
        <v>0</v>
      </c>
      <c r="J7022">
        <v>1</v>
      </c>
      <c r="K7022">
        <v>1</v>
      </c>
      <c r="L7022">
        <v>1</v>
      </c>
      <c r="M7022">
        <v>1</v>
      </c>
      <c r="N7022">
        <v>1</v>
      </c>
      <c r="O7022">
        <v>1</v>
      </c>
      <c r="P7022" t="s">
        <v>14338</v>
      </c>
      <c r="Q7022" t="s">
        <v>14339</v>
      </c>
      <c r="R7022" t="s">
        <v>1191</v>
      </c>
      <c r="S7022" t="s">
        <v>1192</v>
      </c>
      <c r="T7022" t="s">
        <v>14340</v>
      </c>
      <c r="U7022" t="s">
        <v>14341</v>
      </c>
      <c r="V7022" t="s">
        <v>14342</v>
      </c>
      <c r="W7022" t="s">
        <v>14343</v>
      </c>
      <c r="AD7022" t="s">
        <v>14344</v>
      </c>
      <c r="AE7022" t="s">
        <v>14345</v>
      </c>
      <c r="AF7022" t="s">
        <v>14346</v>
      </c>
    </row>
    <row r="7023" spans="1:32" hidden="1" x14ac:dyDescent="0.35">
      <c r="A7023">
        <v>7022</v>
      </c>
      <c r="B7023" t="s">
        <v>14337</v>
      </c>
      <c r="C7023" t="s">
        <v>68</v>
      </c>
      <c r="D7023" t="s">
        <v>45</v>
      </c>
      <c r="E7023">
        <v>2299</v>
      </c>
      <c r="F7023">
        <v>2</v>
      </c>
      <c r="G7023">
        <v>2</v>
      </c>
      <c r="H7023">
        <v>1</v>
      </c>
      <c r="I7023">
        <v>0</v>
      </c>
      <c r="J7023">
        <v>1</v>
      </c>
      <c r="K7023">
        <v>1</v>
      </c>
      <c r="L7023">
        <v>1</v>
      </c>
      <c r="M7023">
        <v>1</v>
      </c>
      <c r="N7023">
        <v>1</v>
      </c>
      <c r="O7023">
        <v>1</v>
      </c>
      <c r="P7023" t="s">
        <v>14338</v>
      </c>
      <c r="Q7023" t="s">
        <v>14339</v>
      </c>
      <c r="R7023" t="s">
        <v>1191</v>
      </c>
      <c r="S7023" t="s">
        <v>1192</v>
      </c>
      <c r="T7023" t="s">
        <v>14340</v>
      </c>
      <c r="U7023" t="s">
        <v>14341</v>
      </c>
      <c r="V7023" t="s">
        <v>14342</v>
      </c>
      <c r="W7023" t="s">
        <v>14343</v>
      </c>
      <c r="AD7023" t="s">
        <v>14344</v>
      </c>
      <c r="AE7023" t="s">
        <v>14345</v>
      </c>
      <c r="AF7023" t="s">
        <v>14346</v>
      </c>
    </row>
    <row r="7024" spans="1:32" hidden="1" x14ac:dyDescent="0.35">
      <c r="A7024">
        <v>7023</v>
      </c>
      <c r="B7024" t="s">
        <v>14347</v>
      </c>
      <c r="C7024" t="s">
        <v>68</v>
      </c>
      <c r="D7024" t="s">
        <v>60</v>
      </c>
      <c r="E7024">
        <v>2180</v>
      </c>
      <c r="F7024">
        <v>2</v>
      </c>
      <c r="G7024">
        <v>2</v>
      </c>
      <c r="H7024">
        <v>1</v>
      </c>
      <c r="I7024">
        <v>0</v>
      </c>
      <c r="J7024">
        <v>1</v>
      </c>
      <c r="K7024">
        <v>1</v>
      </c>
      <c r="L7024">
        <v>1</v>
      </c>
      <c r="M7024">
        <v>1</v>
      </c>
      <c r="N7024">
        <v>1</v>
      </c>
      <c r="O7024">
        <v>1</v>
      </c>
      <c r="AF7024" t="s">
        <v>14348</v>
      </c>
    </row>
    <row r="7025" spans="1:32" hidden="1" x14ac:dyDescent="0.35">
      <c r="A7025">
        <v>7024</v>
      </c>
      <c r="B7025" t="s">
        <v>14347</v>
      </c>
      <c r="C7025" t="s">
        <v>68</v>
      </c>
      <c r="D7025" t="s">
        <v>62</v>
      </c>
      <c r="E7025">
        <v>2214</v>
      </c>
      <c r="F7025">
        <v>2</v>
      </c>
      <c r="G7025">
        <v>2</v>
      </c>
      <c r="H7025">
        <v>1</v>
      </c>
      <c r="I7025">
        <v>0</v>
      </c>
      <c r="J7025">
        <v>1</v>
      </c>
      <c r="K7025">
        <v>1</v>
      </c>
      <c r="L7025">
        <v>1</v>
      </c>
      <c r="M7025">
        <v>1</v>
      </c>
      <c r="N7025">
        <v>1</v>
      </c>
      <c r="O7025">
        <v>1</v>
      </c>
      <c r="AF7025" t="s">
        <v>14348</v>
      </c>
    </row>
    <row r="7026" spans="1:32" hidden="1" x14ac:dyDescent="0.35">
      <c r="A7026">
        <v>7025</v>
      </c>
      <c r="B7026" t="s">
        <v>14349</v>
      </c>
      <c r="C7026" t="s">
        <v>68</v>
      </c>
      <c r="D7026" t="s">
        <v>60</v>
      </c>
      <c r="E7026">
        <v>1477</v>
      </c>
      <c r="F7026">
        <v>2</v>
      </c>
      <c r="G7026">
        <v>2</v>
      </c>
      <c r="H7026">
        <v>1</v>
      </c>
      <c r="I7026">
        <v>0</v>
      </c>
      <c r="J7026">
        <v>1</v>
      </c>
      <c r="K7026">
        <v>1</v>
      </c>
      <c r="L7026">
        <v>1</v>
      </c>
      <c r="M7026">
        <v>1</v>
      </c>
      <c r="N7026">
        <v>1</v>
      </c>
      <c r="O7026">
        <v>1</v>
      </c>
      <c r="AF7026" t="s">
        <v>14350</v>
      </c>
    </row>
    <row r="7027" spans="1:32" hidden="1" x14ac:dyDescent="0.35">
      <c r="A7027">
        <v>7026</v>
      </c>
      <c r="B7027" t="s">
        <v>14349</v>
      </c>
      <c r="C7027" t="s">
        <v>68</v>
      </c>
      <c r="D7027" t="s">
        <v>62</v>
      </c>
      <c r="E7027">
        <v>1512</v>
      </c>
      <c r="F7027">
        <v>2</v>
      </c>
      <c r="G7027">
        <v>2</v>
      </c>
      <c r="H7027">
        <v>1</v>
      </c>
      <c r="I7027">
        <v>0</v>
      </c>
      <c r="J7027">
        <v>1</v>
      </c>
      <c r="K7027">
        <v>1</v>
      </c>
      <c r="L7027">
        <v>1</v>
      </c>
      <c r="M7027">
        <v>1</v>
      </c>
      <c r="N7027">
        <v>1</v>
      </c>
      <c r="O7027">
        <v>1</v>
      </c>
      <c r="AF7027" t="s">
        <v>14350</v>
      </c>
    </row>
    <row r="7028" spans="1:32" hidden="1" x14ac:dyDescent="0.35">
      <c r="A7028">
        <v>7027</v>
      </c>
      <c r="B7028" t="s">
        <v>14351</v>
      </c>
      <c r="C7028" t="s">
        <v>68</v>
      </c>
      <c r="D7028" t="s">
        <v>60</v>
      </c>
      <c r="E7028">
        <v>540</v>
      </c>
      <c r="F7028">
        <v>2</v>
      </c>
      <c r="G7028">
        <v>2</v>
      </c>
      <c r="H7028">
        <v>1</v>
      </c>
      <c r="I7028">
        <v>0</v>
      </c>
      <c r="J7028">
        <v>1</v>
      </c>
      <c r="K7028">
        <v>1</v>
      </c>
      <c r="L7028">
        <v>1</v>
      </c>
      <c r="M7028">
        <v>1</v>
      </c>
      <c r="N7028">
        <v>1</v>
      </c>
      <c r="O7028">
        <v>1</v>
      </c>
      <c r="P7028" t="s">
        <v>14352</v>
      </c>
      <c r="Q7028" t="s">
        <v>10345</v>
      </c>
      <c r="R7028" t="s">
        <v>113</v>
      </c>
      <c r="S7028" t="s">
        <v>114</v>
      </c>
      <c r="V7028" t="s">
        <v>2167</v>
      </c>
      <c r="W7028" t="s">
        <v>2168</v>
      </c>
      <c r="AF7028" t="s">
        <v>14353</v>
      </c>
    </row>
    <row r="7029" spans="1:32" hidden="1" x14ac:dyDescent="0.35">
      <c r="A7029">
        <v>7028</v>
      </c>
      <c r="B7029" t="s">
        <v>14351</v>
      </c>
      <c r="C7029" t="s">
        <v>68</v>
      </c>
      <c r="D7029" t="s">
        <v>62</v>
      </c>
      <c r="E7029">
        <v>624</v>
      </c>
      <c r="F7029">
        <v>2</v>
      </c>
      <c r="G7029">
        <v>2</v>
      </c>
      <c r="H7029">
        <v>1</v>
      </c>
      <c r="I7029">
        <v>0</v>
      </c>
      <c r="J7029">
        <v>1</v>
      </c>
      <c r="K7029">
        <v>1</v>
      </c>
      <c r="L7029">
        <v>1</v>
      </c>
      <c r="M7029">
        <v>1</v>
      </c>
      <c r="N7029">
        <v>1</v>
      </c>
      <c r="O7029">
        <v>1</v>
      </c>
      <c r="P7029" t="s">
        <v>14352</v>
      </c>
      <c r="Q7029" t="s">
        <v>10345</v>
      </c>
      <c r="R7029" t="s">
        <v>113</v>
      </c>
      <c r="S7029" t="s">
        <v>114</v>
      </c>
      <c r="V7029" t="s">
        <v>2167</v>
      </c>
      <c r="W7029" t="s">
        <v>2168</v>
      </c>
      <c r="AF7029" t="s">
        <v>14353</v>
      </c>
    </row>
    <row r="7030" spans="1:32" hidden="1" x14ac:dyDescent="0.35">
      <c r="A7030">
        <v>7029</v>
      </c>
      <c r="B7030" t="s">
        <v>14354</v>
      </c>
      <c r="C7030" t="s">
        <v>68</v>
      </c>
      <c r="D7030" t="s">
        <v>60</v>
      </c>
      <c r="E7030">
        <v>1837</v>
      </c>
      <c r="F7030">
        <v>2</v>
      </c>
      <c r="G7030">
        <v>2</v>
      </c>
      <c r="H7030">
        <v>1</v>
      </c>
      <c r="I7030">
        <v>0</v>
      </c>
      <c r="J7030">
        <v>1</v>
      </c>
      <c r="K7030">
        <v>1</v>
      </c>
      <c r="L7030">
        <v>1</v>
      </c>
      <c r="M7030">
        <v>1</v>
      </c>
      <c r="N7030">
        <v>1</v>
      </c>
      <c r="O7030">
        <v>1</v>
      </c>
      <c r="P7030" t="s">
        <v>14355</v>
      </c>
      <c r="Q7030" t="s">
        <v>14356</v>
      </c>
      <c r="R7030" t="s">
        <v>1259</v>
      </c>
      <c r="S7030" t="s">
        <v>1260</v>
      </c>
      <c r="V7030" t="s">
        <v>14357</v>
      </c>
      <c r="W7030" t="s">
        <v>14358</v>
      </c>
      <c r="AF7030" t="s">
        <v>14359</v>
      </c>
    </row>
    <row r="7031" spans="1:32" hidden="1" x14ac:dyDescent="0.35">
      <c r="A7031">
        <v>7030</v>
      </c>
      <c r="B7031" t="s">
        <v>14354</v>
      </c>
      <c r="C7031" t="s">
        <v>68</v>
      </c>
      <c r="D7031" t="s">
        <v>62</v>
      </c>
      <c r="E7031">
        <v>1875</v>
      </c>
      <c r="F7031">
        <v>2</v>
      </c>
      <c r="G7031">
        <v>2</v>
      </c>
      <c r="H7031">
        <v>1</v>
      </c>
      <c r="I7031">
        <v>0</v>
      </c>
      <c r="J7031">
        <v>1</v>
      </c>
      <c r="K7031">
        <v>1</v>
      </c>
      <c r="L7031">
        <v>1</v>
      </c>
      <c r="M7031">
        <v>1</v>
      </c>
      <c r="N7031">
        <v>1</v>
      </c>
      <c r="O7031">
        <v>1</v>
      </c>
      <c r="P7031" t="s">
        <v>14355</v>
      </c>
      <c r="Q7031" t="s">
        <v>14356</v>
      </c>
      <c r="R7031" t="s">
        <v>1259</v>
      </c>
      <c r="S7031" t="s">
        <v>1260</v>
      </c>
      <c r="V7031" t="s">
        <v>14357</v>
      </c>
      <c r="W7031" t="s">
        <v>14358</v>
      </c>
      <c r="AF7031" t="s">
        <v>14359</v>
      </c>
    </row>
    <row r="7032" spans="1:32" hidden="1" x14ac:dyDescent="0.35">
      <c r="A7032">
        <v>7031</v>
      </c>
      <c r="B7032" t="s">
        <v>14360</v>
      </c>
      <c r="C7032" t="s">
        <v>68</v>
      </c>
      <c r="D7032" t="s">
        <v>34</v>
      </c>
      <c r="E7032">
        <v>568</v>
      </c>
      <c r="F7032">
        <v>2</v>
      </c>
      <c r="G7032">
        <v>2</v>
      </c>
      <c r="H7032">
        <v>1</v>
      </c>
      <c r="I7032">
        <v>0</v>
      </c>
      <c r="J7032">
        <v>1</v>
      </c>
      <c r="K7032">
        <v>1</v>
      </c>
      <c r="L7032">
        <v>1</v>
      </c>
      <c r="M7032">
        <v>1</v>
      </c>
      <c r="N7032">
        <v>1</v>
      </c>
      <c r="O7032">
        <v>1</v>
      </c>
      <c r="AF7032" t="s">
        <v>14361</v>
      </c>
    </row>
    <row r="7033" spans="1:32" hidden="1" x14ac:dyDescent="0.35">
      <c r="A7033">
        <v>7032</v>
      </c>
      <c r="B7033" t="s">
        <v>14360</v>
      </c>
      <c r="C7033" t="s">
        <v>68</v>
      </c>
      <c r="D7033" t="s">
        <v>45</v>
      </c>
      <c r="E7033">
        <v>1834</v>
      </c>
      <c r="F7033">
        <v>2</v>
      </c>
      <c r="G7033">
        <v>2</v>
      </c>
      <c r="H7033">
        <v>1</v>
      </c>
      <c r="I7033">
        <v>0</v>
      </c>
      <c r="J7033">
        <v>1</v>
      </c>
      <c r="K7033">
        <v>1</v>
      </c>
      <c r="L7033">
        <v>1</v>
      </c>
      <c r="M7033">
        <v>1</v>
      </c>
      <c r="N7033">
        <v>1</v>
      </c>
      <c r="O7033">
        <v>1</v>
      </c>
      <c r="AF7033" t="s">
        <v>14361</v>
      </c>
    </row>
    <row r="7034" spans="1:32" hidden="1" x14ac:dyDescent="0.35">
      <c r="A7034">
        <v>7033</v>
      </c>
      <c r="B7034" t="s">
        <v>14362</v>
      </c>
      <c r="C7034" t="s">
        <v>68</v>
      </c>
      <c r="D7034" t="s">
        <v>34</v>
      </c>
      <c r="E7034">
        <v>661</v>
      </c>
      <c r="F7034">
        <v>2</v>
      </c>
      <c r="G7034">
        <v>2</v>
      </c>
      <c r="H7034">
        <v>1</v>
      </c>
      <c r="I7034">
        <v>0</v>
      </c>
      <c r="J7034">
        <v>1</v>
      </c>
      <c r="K7034">
        <v>1</v>
      </c>
      <c r="L7034">
        <v>1</v>
      </c>
      <c r="M7034">
        <v>1</v>
      </c>
      <c r="N7034">
        <v>1</v>
      </c>
      <c r="O7034">
        <v>1</v>
      </c>
      <c r="P7034" t="s">
        <v>14363</v>
      </c>
      <c r="Q7034" t="s">
        <v>14364</v>
      </c>
      <c r="R7034" t="s">
        <v>14365</v>
      </c>
      <c r="S7034" t="s">
        <v>14366</v>
      </c>
      <c r="T7034" t="s">
        <v>14367</v>
      </c>
      <c r="U7034" t="s">
        <v>14368</v>
      </c>
      <c r="V7034" t="s">
        <v>14369</v>
      </c>
      <c r="W7034" t="s">
        <v>14370</v>
      </c>
      <c r="AD7034" t="s">
        <v>410</v>
      </c>
      <c r="AE7034" t="s">
        <v>1217</v>
      </c>
      <c r="AF7034" t="s">
        <v>14371</v>
      </c>
    </row>
    <row r="7035" spans="1:32" hidden="1" x14ac:dyDescent="0.35">
      <c r="A7035">
        <v>7034</v>
      </c>
      <c r="B7035" t="s">
        <v>14362</v>
      </c>
      <c r="C7035" t="s">
        <v>68</v>
      </c>
      <c r="D7035" t="s">
        <v>45</v>
      </c>
      <c r="E7035">
        <v>1927</v>
      </c>
      <c r="F7035">
        <v>2</v>
      </c>
      <c r="G7035">
        <v>2</v>
      </c>
      <c r="H7035">
        <v>1</v>
      </c>
      <c r="I7035">
        <v>0</v>
      </c>
      <c r="J7035">
        <v>1</v>
      </c>
      <c r="K7035">
        <v>1</v>
      </c>
      <c r="L7035">
        <v>1</v>
      </c>
      <c r="M7035">
        <v>1</v>
      </c>
      <c r="N7035">
        <v>1</v>
      </c>
      <c r="O7035">
        <v>1</v>
      </c>
      <c r="P7035" t="s">
        <v>14363</v>
      </c>
      <c r="Q7035" t="s">
        <v>14364</v>
      </c>
      <c r="R7035" t="s">
        <v>14365</v>
      </c>
      <c r="S7035" t="s">
        <v>14366</v>
      </c>
      <c r="T7035" t="s">
        <v>14367</v>
      </c>
      <c r="U7035" t="s">
        <v>14368</v>
      </c>
      <c r="V7035" t="s">
        <v>14369</v>
      </c>
      <c r="W7035" t="s">
        <v>14370</v>
      </c>
      <c r="AD7035" t="s">
        <v>410</v>
      </c>
      <c r="AE7035" t="s">
        <v>1217</v>
      </c>
      <c r="AF7035" t="s">
        <v>14371</v>
      </c>
    </row>
    <row r="7036" spans="1:32" hidden="1" x14ac:dyDescent="0.35">
      <c r="A7036">
        <v>7035</v>
      </c>
      <c r="B7036" t="s">
        <v>14372</v>
      </c>
      <c r="C7036" t="s">
        <v>68</v>
      </c>
      <c r="D7036" t="s">
        <v>60</v>
      </c>
      <c r="E7036">
        <v>895</v>
      </c>
      <c r="F7036">
        <v>2</v>
      </c>
      <c r="G7036">
        <v>2</v>
      </c>
      <c r="H7036">
        <v>1</v>
      </c>
      <c r="I7036">
        <v>0</v>
      </c>
      <c r="J7036">
        <v>1</v>
      </c>
      <c r="K7036">
        <v>1</v>
      </c>
      <c r="L7036">
        <v>1</v>
      </c>
      <c r="M7036">
        <v>1</v>
      </c>
      <c r="N7036">
        <v>1</v>
      </c>
      <c r="O7036">
        <v>1</v>
      </c>
      <c r="P7036" t="s">
        <v>6505</v>
      </c>
      <c r="Q7036" t="s">
        <v>6506</v>
      </c>
      <c r="R7036" t="s">
        <v>75</v>
      </c>
      <c r="S7036" t="s">
        <v>76</v>
      </c>
      <c r="V7036" t="s">
        <v>11224</v>
      </c>
      <c r="W7036" t="s">
        <v>11225</v>
      </c>
      <c r="X7036" t="s">
        <v>11224</v>
      </c>
      <c r="Y7036" t="s">
        <v>11226</v>
      </c>
      <c r="AF7036" t="s">
        <v>14373</v>
      </c>
    </row>
    <row r="7037" spans="1:32" hidden="1" x14ac:dyDescent="0.35">
      <c r="A7037">
        <v>7036</v>
      </c>
      <c r="B7037" t="s">
        <v>14372</v>
      </c>
      <c r="C7037" t="s">
        <v>68</v>
      </c>
      <c r="D7037" t="s">
        <v>62</v>
      </c>
      <c r="E7037">
        <v>929</v>
      </c>
      <c r="F7037">
        <v>2</v>
      </c>
      <c r="G7037">
        <v>2</v>
      </c>
      <c r="H7037">
        <v>1</v>
      </c>
      <c r="I7037">
        <v>0</v>
      </c>
      <c r="J7037">
        <v>1</v>
      </c>
      <c r="K7037">
        <v>1</v>
      </c>
      <c r="L7037">
        <v>1</v>
      </c>
      <c r="M7037">
        <v>1</v>
      </c>
      <c r="N7037">
        <v>1</v>
      </c>
      <c r="O7037">
        <v>1</v>
      </c>
      <c r="P7037" t="s">
        <v>6505</v>
      </c>
      <c r="Q7037" t="s">
        <v>6506</v>
      </c>
      <c r="R7037" t="s">
        <v>75</v>
      </c>
      <c r="S7037" t="s">
        <v>76</v>
      </c>
      <c r="V7037" t="s">
        <v>11224</v>
      </c>
      <c r="W7037" t="s">
        <v>11225</v>
      </c>
      <c r="X7037" t="s">
        <v>11224</v>
      </c>
      <c r="Y7037" t="s">
        <v>11226</v>
      </c>
      <c r="AF7037" t="s">
        <v>14373</v>
      </c>
    </row>
    <row r="7038" spans="1:32" hidden="1" x14ac:dyDescent="0.35">
      <c r="A7038">
        <v>7037</v>
      </c>
      <c r="B7038" t="s">
        <v>14374</v>
      </c>
      <c r="C7038" t="s">
        <v>68</v>
      </c>
      <c r="D7038" t="s">
        <v>60</v>
      </c>
      <c r="E7038">
        <v>1011</v>
      </c>
      <c r="F7038">
        <v>2</v>
      </c>
      <c r="G7038">
        <v>2</v>
      </c>
      <c r="H7038">
        <v>1</v>
      </c>
      <c r="I7038">
        <v>0</v>
      </c>
      <c r="J7038">
        <v>1</v>
      </c>
      <c r="K7038">
        <v>1</v>
      </c>
      <c r="L7038">
        <v>1</v>
      </c>
      <c r="M7038">
        <v>1</v>
      </c>
      <c r="N7038">
        <v>1</v>
      </c>
      <c r="O7038">
        <v>1</v>
      </c>
      <c r="P7038" t="s">
        <v>626</v>
      </c>
      <c r="Q7038" t="s">
        <v>627</v>
      </c>
      <c r="AF7038" t="s">
        <v>14375</v>
      </c>
    </row>
    <row r="7039" spans="1:32" hidden="1" x14ac:dyDescent="0.35">
      <c r="A7039">
        <v>7038</v>
      </c>
      <c r="B7039" t="s">
        <v>14374</v>
      </c>
      <c r="C7039" t="s">
        <v>68</v>
      </c>
      <c r="D7039" t="s">
        <v>62</v>
      </c>
      <c r="E7039">
        <v>1047</v>
      </c>
      <c r="F7039">
        <v>2</v>
      </c>
      <c r="G7039">
        <v>2</v>
      </c>
      <c r="H7039">
        <v>1</v>
      </c>
      <c r="I7039">
        <v>0</v>
      </c>
      <c r="J7039">
        <v>1</v>
      </c>
      <c r="K7039">
        <v>1</v>
      </c>
      <c r="L7039">
        <v>1</v>
      </c>
      <c r="M7039">
        <v>1</v>
      </c>
      <c r="N7039">
        <v>1</v>
      </c>
      <c r="O7039">
        <v>1</v>
      </c>
      <c r="P7039" t="s">
        <v>626</v>
      </c>
      <c r="Q7039" t="s">
        <v>627</v>
      </c>
      <c r="AF7039" t="s">
        <v>14375</v>
      </c>
    </row>
    <row r="7040" spans="1:32" hidden="1" x14ac:dyDescent="0.35">
      <c r="A7040">
        <v>7039</v>
      </c>
      <c r="B7040" t="s">
        <v>14376</v>
      </c>
      <c r="C7040" t="s">
        <v>68</v>
      </c>
      <c r="D7040" t="s">
        <v>60</v>
      </c>
      <c r="E7040">
        <v>195</v>
      </c>
      <c r="F7040">
        <v>2</v>
      </c>
      <c r="G7040">
        <v>2</v>
      </c>
      <c r="H7040">
        <v>1</v>
      </c>
      <c r="I7040">
        <v>0</v>
      </c>
      <c r="J7040">
        <v>1</v>
      </c>
      <c r="K7040">
        <v>1</v>
      </c>
      <c r="L7040">
        <v>1</v>
      </c>
      <c r="M7040">
        <v>1</v>
      </c>
      <c r="N7040">
        <v>1</v>
      </c>
      <c r="O7040">
        <v>1</v>
      </c>
      <c r="P7040" t="s">
        <v>14377</v>
      </c>
      <c r="Q7040" t="s">
        <v>14378</v>
      </c>
      <c r="R7040" t="s">
        <v>342</v>
      </c>
      <c r="S7040" t="s">
        <v>343</v>
      </c>
      <c r="V7040" t="s">
        <v>14379</v>
      </c>
      <c r="W7040" t="s">
        <v>14380</v>
      </c>
      <c r="AF7040" t="s">
        <v>14381</v>
      </c>
    </row>
    <row r="7041" spans="1:32" hidden="1" x14ac:dyDescent="0.35">
      <c r="A7041">
        <v>7040</v>
      </c>
      <c r="B7041" t="s">
        <v>14376</v>
      </c>
      <c r="C7041" t="s">
        <v>68</v>
      </c>
      <c r="D7041" t="s">
        <v>62</v>
      </c>
      <c r="E7041">
        <v>272</v>
      </c>
      <c r="F7041">
        <v>2</v>
      </c>
      <c r="G7041">
        <v>2</v>
      </c>
      <c r="H7041">
        <v>1</v>
      </c>
      <c r="I7041">
        <v>0</v>
      </c>
      <c r="J7041">
        <v>1</v>
      </c>
      <c r="K7041">
        <v>1</v>
      </c>
      <c r="L7041">
        <v>1</v>
      </c>
      <c r="M7041">
        <v>1</v>
      </c>
      <c r="N7041">
        <v>1</v>
      </c>
      <c r="O7041">
        <v>1</v>
      </c>
      <c r="P7041" t="s">
        <v>14377</v>
      </c>
      <c r="Q7041" t="s">
        <v>14378</v>
      </c>
      <c r="R7041" t="s">
        <v>342</v>
      </c>
      <c r="S7041" t="s">
        <v>343</v>
      </c>
      <c r="V7041" t="s">
        <v>14379</v>
      </c>
      <c r="W7041" t="s">
        <v>14380</v>
      </c>
      <c r="AF7041" t="s">
        <v>14381</v>
      </c>
    </row>
    <row r="7042" spans="1:32" hidden="1" x14ac:dyDescent="0.35">
      <c r="A7042">
        <v>7041</v>
      </c>
      <c r="B7042" t="s">
        <v>14382</v>
      </c>
      <c r="C7042" t="s">
        <v>68</v>
      </c>
      <c r="D7042" t="s">
        <v>34</v>
      </c>
      <c r="E7042">
        <v>1324</v>
      </c>
      <c r="F7042">
        <v>2</v>
      </c>
      <c r="G7042">
        <v>2</v>
      </c>
      <c r="H7042">
        <v>1</v>
      </c>
      <c r="I7042">
        <v>0</v>
      </c>
      <c r="J7042">
        <v>1</v>
      </c>
      <c r="K7042">
        <v>1</v>
      </c>
      <c r="L7042">
        <v>1</v>
      </c>
      <c r="M7042">
        <v>1</v>
      </c>
      <c r="N7042">
        <v>1</v>
      </c>
      <c r="O7042">
        <v>1</v>
      </c>
      <c r="AF7042" t="s">
        <v>14383</v>
      </c>
    </row>
    <row r="7043" spans="1:32" hidden="1" x14ac:dyDescent="0.35">
      <c r="A7043">
        <v>7042</v>
      </c>
      <c r="B7043" t="s">
        <v>14382</v>
      </c>
      <c r="C7043" t="s">
        <v>68</v>
      </c>
      <c r="D7043" t="s">
        <v>45</v>
      </c>
      <c r="E7043">
        <v>75</v>
      </c>
      <c r="F7043">
        <v>2</v>
      </c>
      <c r="G7043">
        <v>2</v>
      </c>
      <c r="H7043">
        <v>1</v>
      </c>
      <c r="I7043">
        <v>0</v>
      </c>
      <c r="J7043">
        <v>1</v>
      </c>
      <c r="K7043">
        <v>1</v>
      </c>
      <c r="L7043">
        <v>1</v>
      </c>
      <c r="M7043">
        <v>1</v>
      </c>
      <c r="N7043">
        <v>1</v>
      </c>
      <c r="O7043">
        <v>1</v>
      </c>
      <c r="AF7043" t="s">
        <v>14383</v>
      </c>
    </row>
    <row r="7044" spans="1:32" hidden="1" x14ac:dyDescent="0.35">
      <c r="A7044">
        <v>7043</v>
      </c>
      <c r="B7044" t="s">
        <v>14384</v>
      </c>
      <c r="C7044" t="s">
        <v>68</v>
      </c>
      <c r="D7044" t="s">
        <v>60</v>
      </c>
      <c r="E7044">
        <v>508</v>
      </c>
      <c r="F7044">
        <v>2</v>
      </c>
      <c r="G7044">
        <v>2</v>
      </c>
      <c r="H7044">
        <v>1</v>
      </c>
      <c r="I7044">
        <v>0</v>
      </c>
      <c r="J7044">
        <v>1</v>
      </c>
      <c r="K7044">
        <v>1</v>
      </c>
      <c r="L7044">
        <v>1</v>
      </c>
      <c r="M7044">
        <v>1</v>
      </c>
      <c r="N7044">
        <v>1</v>
      </c>
      <c r="O7044">
        <v>1</v>
      </c>
      <c r="P7044" t="s">
        <v>2342</v>
      </c>
      <c r="Q7044" t="s">
        <v>2343</v>
      </c>
      <c r="AF7044" t="s">
        <v>14385</v>
      </c>
    </row>
    <row r="7045" spans="1:32" hidden="1" x14ac:dyDescent="0.35">
      <c r="A7045">
        <v>7044</v>
      </c>
      <c r="B7045" t="s">
        <v>14384</v>
      </c>
      <c r="C7045" t="s">
        <v>68</v>
      </c>
      <c r="D7045" t="s">
        <v>62</v>
      </c>
      <c r="E7045">
        <v>592</v>
      </c>
      <c r="F7045">
        <v>2</v>
      </c>
      <c r="G7045">
        <v>2</v>
      </c>
      <c r="H7045">
        <v>1</v>
      </c>
      <c r="I7045">
        <v>0</v>
      </c>
      <c r="J7045">
        <v>1</v>
      </c>
      <c r="K7045">
        <v>1</v>
      </c>
      <c r="L7045">
        <v>1</v>
      </c>
      <c r="M7045">
        <v>1</v>
      </c>
      <c r="N7045">
        <v>1</v>
      </c>
      <c r="O7045">
        <v>1</v>
      </c>
      <c r="P7045" t="s">
        <v>2342</v>
      </c>
      <c r="Q7045" t="s">
        <v>2343</v>
      </c>
      <c r="AF7045" t="s">
        <v>14385</v>
      </c>
    </row>
    <row r="7046" spans="1:32" hidden="1" x14ac:dyDescent="0.35">
      <c r="A7046">
        <v>7045</v>
      </c>
      <c r="B7046" t="s">
        <v>14386</v>
      </c>
      <c r="C7046" t="s">
        <v>68</v>
      </c>
      <c r="D7046" t="s">
        <v>34</v>
      </c>
      <c r="E7046">
        <v>1920</v>
      </c>
      <c r="F7046">
        <v>2</v>
      </c>
      <c r="G7046">
        <v>2</v>
      </c>
      <c r="H7046">
        <v>1</v>
      </c>
      <c r="I7046">
        <v>0</v>
      </c>
      <c r="J7046">
        <v>1</v>
      </c>
      <c r="K7046">
        <v>1</v>
      </c>
      <c r="L7046">
        <v>1</v>
      </c>
      <c r="M7046">
        <v>1</v>
      </c>
      <c r="N7046">
        <v>1</v>
      </c>
      <c r="O7046">
        <v>1</v>
      </c>
      <c r="AF7046" t="s">
        <v>14387</v>
      </c>
    </row>
    <row r="7047" spans="1:32" hidden="1" x14ac:dyDescent="0.35">
      <c r="A7047">
        <v>7046</v>
      </c>
      <c r="B7047" t="s">
        <v>14386</v>
      </c>
      <c r="C7047" t="s">
        <v>68</v>
      </c>
      <c r="D7047" t="s">
        <v>45</v>
      </c>
      <c r="E7047">
        <v>954</v>
      </c>
      <c r="F7047">
        <v>2</v>
      </c>
      <c r="G7047">
        <v>2</v>
      </c>
      <c r="H7047">
        <v>1</v>
      </c>
      <c r="I7047">
        <v>0</v>
      </c>
      <c r="J7047">
        <v>1</v>
      </c>
      <c r="K7047">
        <v>1</v>
      </c>
      <c r="L7047">
        <v>1</v>
      </c>
      <c r="M7047">
        <v>1</v>
      </c>
      <c r="N7047">
        <v>1</v>
      </c>
      <c r="O7047">
        <v>1</v>
      </c>
      <c r="AF7047" t="s">
        <v>14387</v>
      </c>
    </row>
    <row r="7048" spans="1:32" hidden="1" x14ac:dyDescent="0.35">
      <c r="A7048">
        <v>7047</v>
      </c>
      <c r="B7048" t="s">
        <v>14388</v>
      </c>
      <c r="C7048" t="s">
        <v>68</v>
      </c>
      <c r="D7048" t="s">
        <v>60</v>
      </c>
      <c r="E7048">
        <v>1434</v>
      </c>
      <c r="F7048">
        <v>2</v>
      </c>
      <c r="G7048">
        <v>2</v>
      </c>
      <c r="H7048">
        <v>1</v>
      </c>
      <c r="I7048">
        <v>0</v>
      </c>
      <c r="J7048">
        <v>1</v>
      </c>
      <c r="K7048">
        <v>1</v>
      </c>
      <c r="L7048">
        <v>1</v>
      </c>
      <c r="M7048">
        <v>1</v>
      </c>
      <c r="N7048">
        <v>1</v>
      </c>
      <c r="O7048">
        <v>1</v>
      </c>
      <c r="P7048" t="s">
        <v>14389</v>
      </c>
      <c r="Q7048" t="s">
        <v>14390</v>
      </c>
      <c r="R7048" t="s">
        <v>342</v>
      </c>
      <c r="S7048" t="s">
        <v>343</v>
      </c>
      <c r="T7048" t="s">
        <v>14391</v>
      </c>
      <c r="U7048" t="s">
        <v>14392</v>
      </c>
      <c r="V7048" t="s">
        <v>14393</v>
      </c>
      <c r="W7048" t="s">
        <v>14394</v>
      </c>
      <c r="AD7048" t="s">
        <v>941</v>
      </c>
      <c r="AE7048" t="s">
        <v>13439</v>
      </c>
      <c r="AF7048" t="s">
        <v>14395</v>
      </c>
    </row>
    <row r="7049" spans="1:32" hidden="1" x14ac:dyDescent="0.35">
      <c r="A7049">
        <v>7048</v>
      </c>
      <c r="B7049" t="s">
        <v>14388</v>
      </c>
      <c r="C7049" t="s">
        <v>68</v>
      </c>
      <c r="D7049" t="s">
        <v>62</v>
      </c>
      <c r="E7049">
        <v>1469</v>
      </c>
      <c r="F7049">
        <v>2</v>
      </c>
      <c r="G7049">
        <v>2</v>
      </c>
      <c r="H7049">
        <v>1</v>
      </c>
      <c r="I7049">
        <v>0</v>
      </c>
      <c r="J7049">
        <v>1</v>
      </c>
      <c r="K7049">
        <v>1</v>
      </c>
      <c r="L7049">
        <v>1</v>
      </c>
      <c r="M7049">
        <v>1</v>
      </c>
      <c r="N7049">
        <v>1</v>
      </c>
      <c r="O7049">
        <v>1</v>
      </c>
      <c r="P7049" t="s">
        <v>14389</v>
      </c>
      <c r="Q7049" t="s">
        <v>14390</v>
      </c>
      <c r="R7049" t="s">
        <v>342</v>
      </c>
      <c r="S7049" t="s">
        <v>343</v>
      </c>
      <c r="T7049" t="s">
        <v>14391</v>
      </c>
      <c r="U7049" t="s">
        <v>14392</v>
      </c>
      <c r="V7049" t="s">
        <v>14393</v>
      </c>
      <c r="W7049" t="s">
        <v>14394</v>
      </c>
      <c r="AD7049" t="s">
        <v>941</v>
      </c>
      <c r="AE7049" t="s">
        <v>13439</v>
      </c>
      <c r="AF7049" t="s">
        <v>14395</v>
      </c>
    </row>
    <row r="7050" spans="1:32" hidden="1" x14ac:dyDescent="0.35">
      <c r="A7050">
        <v>7049</v>
      </c>
      <c r="B7050" t="s">
        <v>14396</v>
      </c>
      <c r="C7050" t="s">
        <v>68</v>
      </c>
      <c r="D7050" t="s">
        <v>60</v>
      </c>
      <c r="E7050">
        <v>521</v>
      </c>
      <c r="F7050">
        <v>2</v>
      </c>
      <c r="G7050">
        <v>2</v>
      </c>
      <c r="H7050">
        <v>1</v>
      </c>
      <c r="I7050">
        <v>0</v>
      </c>
      <c r="J7050">
        <v>1</v>
      </c>
      <c r="K7050">
        <v>1</v>
      </c>
      <c r="L7050">
        <v>1</v>
      </c>
      <c r="M7050">
        <v>1</v>
      </c>
      <c r="N7050">
        <v>1</v>
      </c>
      <c r="O7050">
        <v>1</v>
      </c>
      <c r="P7050" t="s">
        <v>4167</v>
      </c>
      <c r="Q7050" t="s">
        <v>4168</v>
      </c>
      <c r="R7050" t="s">
        <v>157</v>
      </c>
      <c r="S7050" t="s">
        <v>158</v>
      </c>
      <c r="T7050" t="s">
        <v>4169</v>
      </c>
      <c r="U7050" t="s">
        <v>4170</v>
      </c>
      <c r="V7050" t="s">
        <v>4171</v>
      </c>
      <c r="W7050" t="s">
        <v>4172</v>
      </c>
      <c r="AD7050" t="s">
        <v>4173</v>
      </c>
      <c r="AE7050" t="s">
        <v>4174</v>
      </c>
      <c r="AF7050" t="s">
        <v>14397</v>
      </c>
    </row>
    <row r="7051" spans="1:32" hidden="1" x14ac:dyDescent="0.35">
      <c r="A7051">
        <v>7050</v>
      </c>
      <c r="B7051" t="s">
        <v>14396</v>
      </c>
      <c r="C7051" t="s">
        <v>68</v>
      </c>
      <c r="D7051" t="s">
        <v>62</v>
      </c>
      <c r="E7051">
        <v>605</v>
      </c>
      <c r="F7051">
        <v>2</v>
      </c>
      <c r="G7051">
        <v>2</v>
      </c>
      <c r="H7051">
        <v>1</v>
      </c>
      <c r="I7051">
        <v>0</v>
      </c>
      <c r="J7051">
        <v>1</v>
      </c>
      <c r="K7051">
        <v>1</v>
      </c>
      <c r="L7051">
        <v>1</v>
      </c>
      <c r="M7051">
        <v>1</v>
      </c>
      <c r="N7051">
        <v>1</v>
      </c>
      <c r="O7051">
        <v>1</v>
      </c>
      <c r="P7051" t="s">
        <v>4167</v>
      </c>
      <c r="Q7051" t="s">
        <v>4168</v>
      </c>
      <c r="R7051" t="s">
        <v>157</v>
      </c>
      <c r="S7051" t="s">
        <v>158</v>
      </c>
      <c r="T7051" t="s">
        <v>4169</v>
      </c>
      <c r="U7051" t="s">
        <v>4170</v>
      </c>
      <c r="V7051" t="s">
        <v>4171</v>
      </c>
      <c r="W7051" t="s">
        <v>4172</v>
      </c>
      <c r="AD7051" t="s">
        <v>4173</v>
      </c>
      <c r="AE7051" t="s">
        <v>4174</v>
      </c>
      <c r="AF7051" t="s">
        <v>14397</v>
      </c>
    </row>
    <row r="7052" spans="1:32" hidden="1" x14ac:dyDescent="0.35">
      <c r="A7052">
        <v>7051</v>
      </c>
      <c r="B7052" t="s">
        <v>14398</v>
      </c>
      <c r="C7052" t="s">
        <v>68</v>
      </c>
      <c r="D7052" t="s">
        <v>60</v>
      </c>
      <c r="E7052">
        <v>1331</v>
      </c>
      <c r="F7052">
        <v>2</v>
      </c>
      <c r="G7052">
        <v>2</v>
      </c>
      <c r="H7052">
        <v>1</v>
      </c>
      <c r="I7052">
        <v>0</v>
      </c>
      <c r="J7052">
        <v>1</v>
      </c>
      <c r="K7052">
        <v>1</v>
      </c>
      <c r="L7052">
        <v>1</v>
      </c>
      <c r="M7052">
        <v>1</v>
      </c>
      <c r="N7052">
        <v>1</v>
      </c>
      <c r="O7052">
        <v>1</v>
      </c>
      <c r="P7052" t="s">
        <v>8909</v>
      </c>
      <c r="Q7052" t="s">
        <v>8910</v>
      </c>
      <c r="R7052" t="s">
        <v>342</v>
      </c>
      <c r="S7052" t="s">
        <v>343</v>
      </c>
      <c r="V7052" t="s">
        <v>12991</v>
      </c>
      <c r="W7052" t="s">
        <v>12992</v>
      </c>
      <c r="AF7052" t="s">
        <v>14399</v>
      </c>
    </row>
    <row r="7053" spans="1:32" hidden="1" x14ac:dyDescent="0.35">
      <c r="A7053">
        <v>7052</v>
      </c>
      <c r="B7053" t="s">
        <v>14398</v>
      </c>
      <c r="C7053" t="s">
        <v>68</v>
      </c>
      <c r="D7053" t="s">
        <v>62</v>
      </c>
      <c r="E7053">
        <v>1367</v>
      </c>
      <c r="F7053">
        <v>2</v>
      </c>
      <c r="G7053">
        <v>2</v>
      </c>
      <c r="H7053">
        <v>1</v>
      </c>
      <c r="I7053">
        <v>0</v>
      </c>
      <c r="J7053">
        <v>1</v>
      </c>
      <c r="K7053">
        <v>1</v>
      </c>
      <c r="L7053">
        <v>1</v>
      </c>
      <c r="M7053">
        <v>1</v>
      </c>
      <c r="N7053">
        <v>1</v>
      </c>
      <c r="O7053">
        <v>1</v>
      </c>
      <c r="P7053" t="s">
        <v>8909</v>
      </c>
      <c r="Q7053" t="s">
        <v>8910</v>
      </c>
      <c r="R7053" t="s">
        <v>342</v>
      </c>
      <c r="S7053" t="s">
        <v>343</v>
      </c>
      <c r="V7053" t="s">
        <v>12991</v>
      </c>
      <c r="W7053" t="s">
        <v>12992</v>
      </c>
      <c r="AF7053" t="s">
        <v>14399</v>
      </c>
    </row>
    <row r="7054" spans="1:32" hidden="1" x14ac:dyDescent="0.35">
      <c r="A7054">
        <v>7053</v>
      </c>
      <c r="B7054" t="s">
        <v>14400</v>
      </c>
      <c r="C7054" t="s">
        <v>68</v>
      </c>
      <c r="D7054" t="s">
        <v>34</v>
      </c>
      <c r="E7054">
        <v>1447</v>
      </c>
      <c r="F7054">
        <v>2</v>
      </c>
      <c r="G7054">
        <v>2</v>
      </c>
      <c r="H7054">
        <v>1</v>
      </c>
      <c r="I7054">
        <v>0</v>
      </c>
      <c r="J7054">
        <v>1</v>
      </c>
      <c r="K7054">
        <v>1</v>
      </c>
      <c r="L7054">
        <v>1</v>
      </c>
      <c r="M7054">
        <v>1</v>
      </c>
      <c r="N7054">
        <v>1</v>
      </c>
      <c r="O7054">
        <v>1</v>
      </c>
      <c r="AF7054" t="s">
        <v>14401</v>
      </c>
    </row>
    <row r="7055" spans="1:32" hidden="1" x14ac:dyDescent="0.35">
      <c r="A7055">
        <v>7054</v>
      </c>
      <c r="B7055" t="s">
        <v>14400</v>
      </c>
      <c r="C7055" t="s">
        <v>68</v>
      </c>
      <c r="D7055" t="s">
        <v>45</v>
      </c>
      <c r="E7055">
        <v>198</v>
      </c>
      <c r="F7055">
        <v>2</v>
      </c>
      <c r="G7055">
        <v>2</v>
      </c>
      <c r="H7055">
        <v>1</v>
      </c>
      <c r="I7055">
        <v>0</v>
      </c>
      <c r="J7055">
        <v>1</v>
      </c>
      <c r="K7055">
        <v>1</v>
      </c>
      <c r="L7055">
        <v>1</v>
      </c>
      <c r="M7055">
        <v>1</v>
      </c>
      <c r="N7055">
        <v>1</v>
      </c>
      <c r="O7055">
        <v>1</v>
      </c>
      <c r="AF7055" t="s">
        <v>14401</v>
      </c>
    </row>
    <row r="7056" spans="1:32" hidden="1" x14ac:dyDescent="0.35">
      <c r="A7056">
        <v>7055</v>
      </c>
      <c r="B7056" t="s">
        <v>14402</v>
      </c>
      <c r="C7056" t="s">
        <v>68</v>
      </c>
      <c r="D7056" t="s">
        <v>34</v>
      </c>
      <c r="E7056">
        <v>165</v>
      </c>
      <c r="F7056">
        <v>2</v>
      </c>
      <c r="G7056">
        <v>2</v>
      </c>
      <c r="H7056">
        <v>1</v>
      </c>
      <c r="I7056">
        <v>0</v>
      </c>
      <c r="J7056">
        <v>1</v>
      </c>
      <c r="K7056">
        <v>1</v>
      </c>
      <c r="L7056">
        <v>1</v>
      </c>
      <c r="M7056">
        <v>1</v>
      </c>
      <c r="N7056">
        <v>1</v>
      </c>
      <c r="O7056">
        <v>1</v>
      </c>
      <c r="P7056" t="s">
        <v>4358</v>
      </c>
      <c r="Q7056" t="s">
        <v>4359</v>
      </c>
      <c r="R7056" t="s">
        <v>342</v>
      </c>
      <c r="S7056" t="s">
        <v>343</v>
      </c>
      <c r="T7056" t="s">
        <v>11007</v>
      </c>
      <c r="U7056" t="s">
        <v>11008</v>
      </c>
      <c r="V7056" t="s">
        <v>9715</v>
      </c>
      <c r="W7056" t="s">
        <v>9716</v>
      </c>
      <c r="Z7056" t="s">
        <v>11009</v>
      </c>
      <c r="AA7056" t="s">
        <v>11010</v>
      </c>
      <c r="AB7056" t="s">
        <v>11009</v>
      </c>
      <c r="AC7056" t="s">
        <v>11011</v>
      </c>
      <c r="AD7056" t="s">
        <v>439</v>
      </c>
      <c r="AE7056" t="s">
        <v>11012</v>
      </c>
      <c r="AF7056" t="s">
        <v>14403</v>
      </c>
    </row>
    <row r="7057" spans="1:32" hidden="1" x14ac:dyDescent="0.35">
      <c r="A7057">
        <v>7056</v>
      </c>
      <c r="B7057" t="s">
        <v>14402</v>
      </c>
      <c r="C7057" t="s">
        <v>68</v>
      </c>
      <c r="D7057" t="s">
        <v>45</v>
      </c>
      <c r="E7057">
        <v>1426</v>
      </c>
      <c r="F7057">
        <v>2</v>
      </c>
      <c r="G7057">
        <v>2</v>
      </c>
      <c r="H7057">
        <v>1</v>
      </c>
      <c r="I7057">
        <v>0</v>
      </c>
      <c r="J7057">
        <v>1</v>
      </c>
      <c r="K7057">
        <v>1</v>
      </c>
      <c r="L7057">
        <v>1</v>
      </c>
      <c r="M7057">
        <v>1</v>
      </c>
      <c r="N7057">
        <v>1</v>
      </c>
      <c r="O7057">
        <v>1</v>
      </c>
      <c r="P7057" t="s">
        <v>4358</v>
      </c>
      <c r="Q7057" t="s">
        <v>4359</v>
      </c>
      <c r="R7057" t="s">
        <v>342</v>
      </c>
      <c r="S7057" t="s">
        <v>343</v>
      </c>
      <c r="T7057" t="s">
        <v>11007</v>
      </c>
      <c r="U7057" t="s">
        <v>11008</v>
      </c>
      <c r="V7057" t="s">
        <v>9715</v>
      </c>
      <c r="W7057" t="s">
        <v>9716</v>
      </c>
      <c r="Z7057" t="s">
        <v>11009</v>
      </c>
      <c r="AA7057" t="s">
        <v>11010</v>
      </c>
      <c r="AB7057" t="s">
        <v>11009</v>
      </c>
      <c r="AC7057" t="s">
        <v>11011</v>
      </c>
      <c r="AD7057" t="s">
        <v>439</v>
      </c>
      <c r="AE7057" t="s">
        <v>11012</v>
      </c>
      <c r="AF7057" t="s">
        <v>14403</v>
      </c>
    </row>
    <row r="7058" spans="1:32" hidden="1" x14ac:dyDescent="0.35">
      <c r="A7058">
        <v>7057</v>
      </c>
      <c r="B7058" t="s">
        <v>14404</v>
      </c>
      <c r="C7058" t="s">
        <v>68</v>
      </c>
      <c r="D7058" t="s">
        <v>60</v>
      </c>
      <c r="E7058">
        <v>2276</v>
      </c>
      <c r="F7058">
        <v>2</v>
      </c>
      <c r="G7058">
        <v>2</v>
      </c>
      <c r="H7058">
        <v>1</v>
      </c>
      <c r="I7058">
        <v>0</v>
      </c>
      <c r="J7058">
        <v>1</v>
      </c>
      <c r="K7058">
        <v>1</v>
      </c>
      <c r="L7058">
        <v>1</v>
      </c>
      <c r="M7058">
        <v>1</v>
      </c>
      <c r="N7058">
        <v>1</v>
      </c>
      <c r="O7058">
        <v>1</v>
      </c>
      <c r="AF7058" t="s">
        <v>14405</v>
      </c>
    </row>
    <row r="7059" spans="1:32" hidden="1" x14ac:dyDescent="0.35">
      <c r="A7059">
        <v>7058</v>
      </c>
      <c r="B7059" t="s">
        <v>14404</v>
      </c>
      <c r="C7059" t="s">
        <v>68</v>
      </c>
      <c r="D7059" t="s">
        <v>62</v>
      </c>
      <c r="E7059">
        <v>2305</v>
      </c>
      <c r="F7059">
        <v>2</v>
      </c>
      <c r="G7059">
        <v>2</v>
      </c>
      <c r="H7059">
        <v>1</v>
      </c>
      <c r="I7059">
        <v>0</v>
      </c>
      <c r="J7059">
        <v>1</v>
      </c>
      <c r="K7059">
        <v>1</v>
      </c>
      <c r="L7059">
        <v>1</v>
      </c>
      <c r="M7059">
        <v>1</v>
      </c>
      <c r="N7059">
        <v>1</v>
      </c>
      <c r="O7059">
        <v>1</v>
      </c>
      <c r="AF7059" t="s">
        <v>14405</v>
      </c>
    </row>
    <row r="7060" spans="1:32" hidden="1" x14ac:dyDescent="0.35">
      <c r="A7060">
        <v>7059</v>
      </c>
      <c r="B7060" t="s">
        <v>14406</v>
      </c>
      <c r="C7060" t="s">
        <v>68</v>
      </c>
      <c r="D7060" t="s">
        <v>60</v>
      </c>
      <c r="E7060">
        <v>707</v>
      </c>
      <c r="F7060">
        <v>2</v>
      </c>
      <c r="G7060">
        <v>2</v>
      </c>
      <c r="H7060">
        <v>1</v>
      </c>
      <c r="I7060">
        <v>0</v>
      </c>
      <c r="J7060">
        <v>1</v>
      </c>
      <c r="K7060">
        <v>1</v>
      </c>
      <c r="L7060">
        <v>1</v>
      </c>
      <c r="M7060">
        <v>1</v>
      </c>
      <c r="N7060">
        <v>1</v>
      </c>
      <c r="O7060">
        <v>1</v>
      </c>
      <c r="P7060" t="s">
        <v>14407</v>
      </c>
      <c r="Q7060" t="s">
        <v>14408</v>
      </c>
      <c r="R7060" t="s">
        <v>1259</v>
      </c>
      <c r="S7060" t="s">
        <v>1260</v>
      </c>
      <c r="V7060" t="s">
        <v>14409</v>
      </c>
      <c r="W7060" t="s">
        <v>14410</v>
      </c>
      <c r="AF7060" t="s">
        <v>14411</v>
      </c>
    </row>
    <row r="7061" spans="1:32" hidden="1" x14ac:dyDescent="0.35">
      <c r="A7061">
        <v>7060</v>
      </c>
      <c r="B7061" t="s">
        <v>14406</v>
      </c>
      <c r="C7061" t="s">
        <v>68</v>
      </c>
      <c r="D7061" t="s">
        <v>62</v>
      </c>
      <c r="E7061">
        <v>738</v>
      </c>
      <c r="F7061">
        <v>2</v>
      </c>
      <c r="G7061">
        <v>2</v>
      </c>
      <c r="H7061">
        <v>1</v>
      </c>
      <c r="I7061">
        <v>0</v>
      </c>
      <c r="J7061">
        <v>1</v>
      </c>
      <c r="K7061">
        <v>1</v>
      </c>
      <c r="L7061">
        <v>1</v>
      </c>
      <c r="M7061">
        <v>1</v>
      </c>
      <c r="N7061">
        <v>1</v>
      </c>
      <c r="O7061">
        <v>1</v>
      </c>
      <c r="P7061" t="s">
        <v>14407</v>
      </c>
      <c r="Q7061" t="s">
        <v>14408</v>
      </c>
      <c r="R7061" t="s">
        <v>1259</v>
      </c>
      <c r="S7061" t="s">
        <v>1260</v>
      </c>
      <c r="V7061" t="s">
        <v>14409</v>
      </c>
      <c r="W7061" t="s">
        <v>14410</v>
      </c>
      <c r="AF7061" t="s">
        <v>14411</v>
      </c>
    </row>
    <row r="7062" spans="1:32" hidden="1" x14ac:dyDescent="0.35">
      <c r="A7062">
        <v>7061</v>
      </c>
      <c r="B7062" t="s">
        <v>14412</v>
      </c>
      <c r="C7062" t="s">
        <v>68</v>
      </c>
      <c r="D7062" t="s">
        <v>60</v>
      </c>
      <c r="E7062">
        <v>1418</v>
      </c>
      <c r="F7062">
        <v>2</v>
      </c>
      <c r="G7062">
        <v>2</v>
      </c>
      <c r="H7062">
        <v>1</v>
      </c>
      <c r="I7062">
        <v>0</v>
      </c>
      <c r="J7062">
        <v>1</v>
      </c>
      <c r="K7062">
        <v>1</v>
      </c>
      <c r="L7062">
        <v>1</v>
      </c>
      <c r="M7062">
        <v>1</v>
      </c>
      <c r="N7062">
        <v>1</v>
      </c>
      <c r="O7062">
        <v>1</v>
      </c>
      <c r="P7062" t="s">
        <v>14413</v>
      </c>
      <c r="Q7062" t="s">
        <v>14414</v>
      </c>
      <c r="R7062" t="s">
        <v>540</v>
      </c>
      <c r="S7062" t="s">
        <v>541</v>
      </c>
      <c r="T7062" t="s">
        <v>14415</v>
      </c>
      <c r="U7062" t="s">
        <v>14416</v>
      </c>
      <c r="V7062" t="s">
        <v>14417</v>
      </c>
      <c r="W7062" t="s">
        <v>14418</v>
      </c>
      <c r="AD7062" t="s">
        <v>1079</v>
      </c>
      <c r="AE7062" t="s">
        <v>1080</v>
      </c>
      <c r="AF7062" t="s">
        <v>14419</v>
      </c>
    </row>
    <row r="7063" spans="1:32" hidden="1" x14ac:dyDescent="0.35">
      <c r="A7063">
        <v>7062</v>
      </c>
      <c r="B7063" t="s">
        <v>14412</v>
      </c>
      <c r="C7063" t="s">
        <v>68</v>
      </c>
      <c r="D7063" t="s">
        <v>62</v>
      </c>
      <c r="E7063">
        <v>1453</v>
      </c>
      <c r="F7063">
        <v>2</v>
      </c>
      <c r="G7063">
        <v>2</v>
      </c>
      <c r="H7063">
        <v>1</v>
      </c>
      <c r="I7063">
        <v>0</v>
      </c>
      <c r="J7063">
        <v>1</v>
      </c>
      <c r="K7063">
        <v>1</v>
      </c>
      <c r="L7063">
        <v>1</v>
      </c>
      <c r="M7063">
        <v>1</v>
      </c>
      <c r="N7063">
        <v>1</v>
      </c>
      <c r="O7063">
        <v>1</v>
      </c>
      <c r="P7063" t="s">
        <v>14413</v>
      </c>
      <c r="Q7063" t="s">
        <v>14414</v>
      </c>
      <c r="R7063" t="s">
        <v>540</v>
      </c>
      <c r="S7063" t="s">
        <v>541</v>
      </c>
      <c r="T7063" t="s">
        <v>14415</v>
      </c>
      <c r="U7063" t="s">
        <v>14416</v>
      </c>
      <c r="V7063" t="s">
        <v>14417</v>
      </c>
      <c r="W7063" t="s">
        <v>14418</v>
      </c>
      <c r="AD7063" t="s">
        <v>1079</v>
      </c>
      <c r="AE7063" t="s">
        <v>1080</v>
      </c>
      <c r="AF7063" t="s">
        <v>14419</v>
      </c>
    </row>
    <row r="7064" spans="1:32" hidden="1" x14ac:dyDescent="0.35">
      <c r="A7064">
        <v>7063</v>
      </c>
      <c r="B7064" t="s">
        <v>14420</v>
      </c>
      <c r="C7064" t="s">
        <v>68</v>
      </c>
      <c r="D7064" t="s">
        <v>60</v>
      </c>
      <c r="E7064">
        <v>314</v>
      </c>
      <c r="F7064">
        <v>2</v>
      </c>
      <c r="G7064">
        <v>2</v>
      </c>
      <c r="H7064">
        <v>1</v>
      </c>
      <c r="I7064">
        <v>0</v>
      </c>
      <c r="J7064">
        <v>1</v>
      </c>
      <c r="K7064">
        <v>1</v>
      </c>
      <c r="L7064">
        <v>1</v>
      </c>
      <c r="M7064">
        <v>1</v>
      </c>
      <c r="N7064">
        <v>1</v>
      </c>
      <c r="O7064">
        <v>1</v>
      </c>
      <c r="AF7064" t="s">
        <v>14421</v>
      </c>
    </row>
    <row r="7065" spans="1:32" hidden="1" x14ac:dyDescent="0.35">
      <c r="A7065">
        <v>7064</v>
      </c>
      <c r="B7065" t="s">
        <v>14420</v>
      </c>
      <c r="C7065" t="s">
        <v>68</v>
      </c>
      <c r="D7065" t="s">
        <v>62</v>
      </c>
      <c r="E7065">
        <v>394</v>
      </c>
      <c r="F7065">
        <v>2</v>
      </c>
      <c r="G7065">
        <v>2</v>
      </c>
      <c r="H7065">
        <v>1</v>
      </c>
      <c r="I7065">
        <v>0</v>
      </c>
      <c r="J7065">
        <v>1</v>
      </c>
      <c r="K7065">
        <v>1</v>
      </c>
      <c r="L7065">
        <v>1</v>
      </c>
      <c r="M7065">
        <v>1</v>
      </c>
      <c r="N7065">
        <v>1</v>
      </c>
      <c r="O7065">
        <v>1</v>
      </c>
      <c r="AF7065" t="s">
        <v>14421</v>
      </c>
    </row>
    <row r="7066" spans="1:32" hidden="1" x14ac:dyDescent="0.35">
      <c r="A7066">
        <v>7065</v>
      </c>
      <c r="B7066" t="s">
        <v>14422</v>
      </c>
      <c r="C7066" t="s">
        <v>68</v>
      </c>
      <c r="D7066" t="s">
        <v>60</v>
      </c>
      <c r="E7066">
        <v>2215</v>
      </c>
      <c r="F7066">
        <v>2</v>
      </c>
      <c r="G7066">
        <v>2</v>
      </c>
      <c r="H7066">
        <v>1</v>
      </c>
      <c r="I7066">
        <v>0</v>
      </c>
      <c r="J7066">
        <v>1</v>
      </c>
      <c r="K7066">
        <v>1</v>
      </c>
      <c r="L7066">
        <v>1</v>
      </c>
      <c r="M7066">
        <v>1</v>
      </c>
      <c r="N7066">
        <v>1</v>
      </c>
      <c r="O7066">
        <v>1</v>
      </c>
      <c r="P7066" t="s">
        <v>14423</v>
      </c>
      <c r="Q7066" t="s">
        <v>14424</v>
      </c>
      <c r="R7066" t="s">
        <v>14425</v>
      </c>
      <c r="S7066" t="s">
        <v>14426</v>
      </c>
      <c r="T7066" t="s">
        <v>14427</v>
      </c>
      <c r="U7066" t="s">
        <v>14428</v>
      </c>
      <c r="V7066" t="s">
        <v>14429</v>
      </c>
      <c r="W7066" t="s">
        <v>14430</v>
      </c>
      <c r="AD7066" t="s">
        <v>219</v>
      </c>
      <c r="AE7066" t="s">
        <v>14431</v>
      </c>
      <c r="AF7066" t="s">
        <v>14432</v>
      </c>
    </row>
    <row r="7067" spans="1:32" hidden="1" x14ac:dyDescent="0.35">
      <c r="A7067">
        <v>7066</v>
      </c>
      <c r="B7067" t="s">
        <v>14422</v>
      </c>
      <c r="C7067" t="s">
        <v>68</v>
      </c>
      <c r="D7067" t="s">
        <v>62</v>
      </c>
      <c r="E7067">
        <v>2247</v>
      </c>
      <c r="F7067">
        <v>2</v>
      </c>
      <c r="G7067">
        <v>2</v>
      </c>
      <c r="H7067">
        <v>1</v>
      </c>
      <c r="I7067">
        <v>0</v>
      </c>
      <c r="J7067">
        <v>1</v>
      </c>
      <c r="K7067">
        <v>1</v>
      </c>
      <c r="L7067">
        <v>1</v>
      </c>
      <c r="M7067">
        <v>1</v>
      </c>
      <c r="N7067">
        <v>1</v>
      </c>
      <c r="O7067">
        <v>1</v>
      </c>
      <c r="P7067" t="s">
        <v>14423</v>
      </c>
      <c r="Q7067" t="s">
        <v>14424</v>
      </c>
      <c r="R7067" t="s">
        <v>14425</v>
      </c>
      <c r="S7067" t="s">
        <v>14426</v>
      </c>
      <c r="T7067" t="s">
        <v>14427</v>
      </c>
      <c r="U7067" t="s">
        <v>14428</v>
      </c>
      <c r="V7067" t="s">
        <v>14429</v>
      </c>
      <c r="W7067" t="s">
        <v>14430</v>
      </c>
      <c r="AD7067" t="s">
        <v>219</v>
      </c>
      <c r="AE7067" t="s">
        <v>14431</v>
      </c>
      <c r="AF7067" t="s">
        <v>14432</v>
      </c>
    </row>
    <row r="7068" spans="1:32" hidden="1" x14ac:dyDescent="0.35">
      <c r="A7068">
        <v>7067</v>
      </c>
      <c r="B7068" t="s">
        <v>14433</v>
      </c>
      <c r="C7068" t="s">
        <v>68</v>
      </c>
      <c r="D7068" t="s">
        <v>60</v>
      </c>
      <c r="E7068">
        <v>1817</v>
      </c>
      <c r="F7068">
        <v>2</v>
      </c>
      <c r="G7068">
        <v>2</v>
      </c>
      <c r="H7068">
        <v>1</v>
      </c>
      <c r="I7068">
        <v>0</v>
      </c>
      <c r="J7068">
        <v>1</v>
      </c>
      <c r="K7068">
        <v>1</v>
      </c>
      <c r="L7068">
        <v>1</v>
      </c>
      <c r="M7068">
        <v>1</v>
      </c>
      <c r="N7068">
        <v>1</v>
      </c>
      <c r="O7068">
        <v>1</v>
      </c>
      <c r="T7068" t="s">
        <v>14434</v>
      </c>
      <c r="U7068" t="s">
        <v>14435</v>
      </c>
      <c r="AD7068" t="s">
        <v>14436</v>
      </c>
      <c r="AE7068" t="s">
        <v>14437</v>
      </c>
      <c r="AF7068" t="s">
        <v>14438</v>
      </c>
    </row>
    <row r="7069" spans="1:32" hidden="1" x14ac:dyDescent="0.35">
      <c r="A7069">
        <v>7068</v>
      </c>
      <c r="B7069" t="s">
        <v>14433</v>
      </c>
      <c r="C7069" t="s">
        <v>68</v>
      </c>
      <c r="D7069" t="s">
        <v>62</v>
      </c>
      <c r="E7069">
        <v>1855</v>
      </c>
      <c r="F7069">
        <v>2</v>
      </c>
      <c r="G7069">
        <v>2</v>
      </c>
      <c r="H7069">
        <v>1</v>
      </c>
      <c r="I7069">
        <v>0</v>
      </c>
      <c r="J7069">
        <v>1</v>
      </c>
      <c r="K7069">
        <v>1</v>
      </c>
      <c r="L7069">
        <v>1</v>
      </c>
      <c r="M7069">
        <v>1</v>
      </c>
      <c r="N7069">
        <v>1</v>
      </c>
      <c r="O7069">
        <v>1</v>
      </c>
      <c r="T7069" t="s">
        <v>14434</v>
      </c>
      <c r="U7069" t="s">
        <v>14435</v>
      </c>
      <c r="AD7069" t="s">
        <v>14436</v>
      </c>
      <c r="AE7069" t="s">
        <v>14437</v>
      </c>
      <c r="AF7069" t="s">
        <v>14438</v>
      </c>
    </row>
    <row r="7070" spans="1:32" hidden="1" x14ac:dyDescent="0.35">
      <c r="A7070">
        <v>7069</v>
      </c>
      <c r="B7070" t="s">
        <v>14439</v>
      </c>
      <c r="C7070" t="s">
        <v>68</v>
      </c>
      <c r="D7070" t="s">
        <v>34</v>
      </c>
      <c r="E7070">
        <v>1312</v>
      </c>
      <c r="F7070">
        <v>2</v>
      </c>
      <c r="G7070">
        <v>2</v>
      </c>
      <c r="H7070">
        <v>1</v>
      </c>
      <c r="I7070">
        <v>0</v>
      </c>
      <c r="J7070">
        <v>1</v>
      </c>
      <c r="K7070">
        <v>1</v>
      </c>
      <c r="L7070">
        <v>1</v>
      </c>
      <c r="M7070">
        <v>1</v>
      </c>
      <c r="N7070">
        <v>1</v>
      </c>
      <c r="O7070">
        <v>1</v>
      </c>
      <c r="AF7070" t="s">
        <v>14440</v>
      </c>
    </row>
    <row r="7071" spans="1:32" hidden="1" x14ac:dyDescent="0.35">
      <c r="A7071">
        <v>7070</v>
      </c>
      <c r="B7071" t="s">
        <v>14439</v>
      </c>
      <c r="C7071" t="s">
        <v>68</v>
      </c>
      <c r="D7071" t="s">
        <v>45</v>
      </c>
      <c r="E7071">
        <v>64</v>
      </c>
      <c r="F7071">
        <v>2</v>
      </c>
      <c r="G7071">
        <v>2</v>
      </c>
      <c r="H7071">
        <v>1</v>
      </c>
      <c r="I7071">
        <v>0</v>
      </c>
      <c r="J7071">
        <v>1</v>
      </c>
      <c r="K7071">
        <v>1</v>
      </c>
      <c r="L7071">
        <v>1</v>
      </c>
      <c r="M7071">
        <v>1</v>
      </c>
      <c r="N7071">
        <v>1</v>
      </c>
      <c r="O7071">
        <v>1</v>
      </c>
      <c r="AF7071" t="s">
        <v>14440</v>
      </c>
    </row>
    <row r="7072" spans="1:32" hidden="1" x14ac:dyDescent="0.35">
      <c r="A7072">
        <v>7071</v>
      </c>
      <c r="B7072" t="s">
        <v>14441</v>
      </c>
      <c r="C7072" t="s">
        <v>68</v>
      </c>
      <c r="D7072" t="s">
        <v>34</v>
      </c>
      <c r="E7072">
        <v>2344</v>
      </c>
      <c r="F7072">
        <v>2</v>
      </c>
      <c r="G7072">
        <v>2</v>
      </c>
      <c r="H7072">
        <v>1</v>
      </c>
      <c r="I7072">
        <v>0</v>
      </c>
      <c r="J7072">
        <v>1</v>
      </c>
      <c r="K7072">
        <v>1</v>
      </c>
      <c r="L7072">
        <v>1</v>
      </c>
      <c r="M7072">
        <v>1</v>
      </c>
      <c r="N7072">
        <v>1</v>
      </c>
      <c r="O7072">
        <v>1</v>
      </c>
      <c r="P7072" t="s">
        <v>13056</v>
      </c>
      <c r="Q7072" t="s">
        <v>10345</v>
      </c>
      <c r="R7072" t="s">
        <v>113</v>
      </c>
      <c r="S7072" t="s">
        <v>114</v>
      </c>
      <c r="T7072" t="s">
        <v>7944</v>
      </c>
      <c r="U7072" t="s">
        <v>7945</v>
      </c>
      <c r="V7072" t="s">
        <v>2167</v>
      </c>
      <c r="W7072" t="s">
        <v>2168</v>
      </c>
      <c r="AD7072" t="s">
        <v>312</v>
      </c>
      <c r="AE7072" t="s">
        <v>2169</v>
      </c>
      <c r="AF7072" t="s">
        <v>14442</v>
      </c>
    </row>
    <row r="7073" spans="1:32" hidden="1" x14ac:dyDescent="0.35">
      <c r="A7073">
        <v>7072</v>
      </c>
      <c r="B7073" t="s">
        <v>14441</v>
      </c>
      <c r="C7073" t="s">
        <v>68</v>
      </c>
      <c r="D7073" t="s">
        <v>45</v>
      </c>
      <c r="E7073">
        <v>535</v>
      </c>
      <c r="F7073">
        <v>2</v>
      </c>
      <c r="G7073">
        <v>2</v>
      </c>
      <c r="H7073">
        <v>1</v>
      </c>
      <c r="I7073">
        <v>0</v>
      </c>
      <c r="J7073">
        <v>1</v>
      </c>
      <c r="K7073">
        <v>1</v>
      </c>
      <c r="L7073">
        <v>1</v>
      </c>
      <c r="M7073">
        <v>1</v>
      </c>
      <c r="N7073">
        <v>1</v>
      </c>
      <c r="O7073">
        <v>1</v>
      </c>
      <c r="P7073" t="s">
        <v>13056</v>
      </c>
      <c r="Q7073" t="s">
        <v>10345</v>
      </c>
      <c r="R7073" t="s">
        <v>113</v>
      </c>
      <c r="S7073" t="s">
        <v>114</v>
      </c>
      <c r="T7073" t="s">
        <v>7944</v>
      </c>
      <c r="U7073" t="s">
        <v>7945</v>
      </c>
      <c r="V7073" t="s">
        <v>2167</v>
      </c>
      <c r="W7073" t="s">
        <v>2168</v>
      </c>
      <c r="AD7073" t="s">
        <v>312</v>
      </c>
      <c r="AE7073" t="s">
        <v>2169</v>
      </c>
      <c r="AF7073" t="s">
        <v>14442</v>
      </c>
    </row>
    <row r="7074" spans="1:32" hidden="1" x14ac:dyDescent="0.35">
      <c r="A7074">
        <v>7073</v>
      </c>
      <c r="B7074" t="s">
        <v>14443</v>
      </c>
      <c r="C7074" t="s">
        <v>68</v>
      </c>
      <c r="D7074" t="s">
        <v>60</v>
      </c>
      <c r="E7074">
        <v>214</v>
      </c>
      <c r="F7074">
        <v>2</v>
      </c>
      <c r="G7074">
        <v>2</v>
      </c>
      <c r="H7074">
        <v>1</v>
      </c>
      <c r="I7074">
        <v>0</v>
      </c>
      <c r="J7074">
        <v>1</v>
      </c>
      <c r="K7074">
        <v>1</v>
      </c>
      <c r="L7074">
        <v>1</v>
      </c>
      <c r="M7074">
        <v>1</v>
      </c>
      <c r="N7074">
        <v>1</v>
      </c>
      <c r="O7074">
        <v>1</v>
      </c>
      <c r="AF7074" t="s">
        <v>14444</v>
      </c>
    </row>
    <row r="7075" spans="1:32" hidden="1" x14ac:dyDescent="0.35">
      <c r="A7075">
        <v>7074</v>
      </c>
      <c r="B7075" t="s">
        <v>14443</v>
      </c>
      <c r="C7075" t="s">
        <v>68</v>
      </c>
      <c r="D7075" t="s">
        <v>62</v>
      </c>
      <c r="E7075">
        <v>291</v>
      </c>
      <c r="F7075">
        <v>2</v>
      </c>
      <c r="G7075">
        <v>2</v>
      </c>
      <c r="H7075">
        <v>1</v>
      </c>
      <c r="I7075">
        <v>0</v>
      </c>
      <c r="J7075">
        <v>1</v>
      </c>
      <c r="K7075">
        <v>1</v>
      </c>
      <c r="L7075">
        <v>1</v>
      </c>
      <c r="M7075">
        <v>1</v>
      </c>
      <c r="N7075">
        <v>1</v>
      </c>
      <c r="O7075">
        <v>1</v>
      </c>
      <c r="AF7075" t="s">
        <v>14444</v>
      </c>
    </row>
    <row r="7076" spans="1:32" hidden="1" x14ac:dyDescent="0.35">
      <c r="A7076">
        <v>7075</v>
      </c>
      <c r="B7076" t="s">
        <v>14445</v>
      </c>
      <c r="C7076" t="s">
        <v>68</v>
      </c>
      <c r="D7076" t="s">
        <v>60</v>
      </c>
      <c r="E7076">
        <v>621</v>
      </c>
      <c r="F7076">
        <v>2</v>
      </c>
      <c r="G7076">
        <v>2</v>
      </c>
      <c r="H7076">
        <v>1</v>
      </c>
      <c r="I7076">
        <v>0</v>
      </c>
      <c r="J7076">
        <v>1</v>
      </c>
      <c r="K7076">
        <v>1</v>
      </c>
      <c r="L7076">
        <v>1</v>
      </c>
      <c r="M7076">
        <v>1</v>
      </c>
      <c r="N7076">
        <v>1</v>
      </c>
      <c r="O7076">
        <v>1</v>
      </c>
      <c r="AF7076" t="s">
        <v>14446</v>
      </c>
    </row>
    <row r="7077" spans="1:32" hidden="1" x14ac:dyDescent="0.35">
      <c r="A7077">
        <v>7076</v>
      </c>
      <c r="B7077" t="s">
        <v>14445</v>
      </c>
      <c r="C7077" t="s">
        <v>68</v>
      </c>
      <c r="D7077" t="s">
        <v>62</v>
      </c>
      <c r="E7077">
        <v>705</v>
      </c>
      <c r="F7077">
        <v>2</v>
      </c>
      <c r="G7077">
        <v>2</v>
      </c>
      <c r="H7077">
        <v>1</v>
      </c>
      <c r="I7077">
        <v>0</v>
      </c>
      <c r="J7077">
        <v>1</v>
      </c>
      <c r="K7077">
        <v>1</v>
      </c>
      <c r="L7077">
        <v>1</v>
      </c>
      <c r="M7077">
        <v>1</v>
      </c>
      <c r="N7077">
        <v>1</v>
      </c>
      <c r="O7077">
        <v>1</v>
      </c>
      <c r="AF7077" t="s">
        <v>14446</v>
      </c>
    </row>
    <row r="7078" spans="1:32" hidden="1" x14ac:dyDescent="0.35">
      <c r="A7078">
        <v>7077</v>
      </c>
      <c r="B7078" t="s">
        <v>14447</v>
      </c>
      <c r="C7078" t="s">
        <v>68</v>
      </c>
      <c r="D7078" t="s">
        <v>60</v>
      </c>
      <c r="E7078">
        <v>1542</v>
      </c>
      <c r="F7078">
        <v>2</v>
      </c>
      <c r="G7078">
        <v>2</v>
      </c>
      <c r="H7078">
        <v>1</v>
      </c>
      <c r="I7078">
        <v>0</v>
      </c>
      <c r="J7078">
        <v>1</v>
      </c>
      <c r="K7078">
        <v>1</v>
      </c>
      <c r="L7078">
        <v>1</v>
      </c>
      <c r="M7078">
        <v>1</v>
      </c>
      <c r="N7078">
        <v>1</v>
      </c>
      <c r="O7078">
        <v>1</v>
      </c>
      <c r="P7078" t="s">
        <v>14448</v>
      </c>
      <c r="Q7078" t="s">
        <v>14449</v>
      </c>
      <c r="R7078" t="s">
        <v>319</v>
      </c>
      <c r="S7078" t="s">
        <v>320</v>
      </c>
      <c r="T7078" t="s">
        <v>14450</v>
      </c>
      <c r="U7078" t="s">
        <v>14451</v>
      </c>
      <c r="V7078" t="s">
        <v>14452</v>
      </c>
      <c r="W7078" t="s">
        <v>14453</v>
      </c>
      <c r="AD7078" t="s">
        <v>219</v>
      </c>
      <c r="AE7078" t="s">
        <v>14454</v>
      </c>
      <c r="AF7078" t="s">
        <v>14455</v>
      </c>
    </row>
    <row r="7079" spans="1:32" hidden="1" x14ac:dyDescent="0.35">
      <c r="A7079">
        <v>7078</v>
      </c>
      <c r="B7079" t="s">
        <v>14447</v>
      </c>
      <c r="C7079" t="s">
        <v>68</v>
      </c>
      <c r="D7079" t="s">
        <v>62</v>
      </c>
      <c r="E7079">
        <v>1577</v>
      </c>
      <c r="F7079">
        <v>2</v>
      </c>
      <c r="G7079">
        <v>2</v>
      </c>
      <c r="H7079">
        <v>1</v>
      </c>
      <c r="I7079">
        <v>0</v>
      </c>
      <c r="J7079">
        <v>1</v>
      </c>
      <c r="K7079">
        <v>1</v>
      </c>
      <c r="L7079">
        <v>1</v>
      </c>
      <c r="M7079">
        <v>1</v>
      </c>
      <c r="N7079">
        <v>1</v>
      </c>
      <c r="O7079">
        <v>1</v>
      </c>
      <c r="P7079" t="s">
        <v>14448</v>
      </c>
      <c r="Q7079" t="s">
        <v>14449</v>
      </c>
      <c r="R7079" t="s">
        <v>319</v>
      </c>
      <c r="S7079" t="s">
        <v>320</v>
      </c>
      <c r="T7079" t="s">
        <v>14450</v>
      </c>
      <c r="U7079" t="s">
        <v>14451</v>
      </c>
      <c r="V7079" t="s">
        <v>14452</v>
      </c>
      <c r="W7079" t="s">
        <v>14453</v>
      </c>
      <c r="AD7079" t="s">
        <v>219</v>
      </c>
      <c r="AE7079" t="s">
        <v>14454</v>
      </c>
      <c r="AF7079" t="s">
        <v>14455</v>
      </c>
    </row>
    <row r="7080" spans="1:32" hidden="1" x14ac:dyDescent="0.35">
      <c r="A7080">
        <v>7079</v>
      </c>
      <c r="B7080" t="s">
        <v>14456</v>
      </c>
      <c r="C7080" t="s">
        <v>68</v>
      </c>
      <c r="D7080" t="s">
        <v>60</v>
      </c>
      <c r="E7080">
        <v>2337</v>
      </c>
      <c r="F7080">
        <v>2</v>
      </c>
      <c r="G7080">
        <v>2</v>
      </c>
      <c r="H7080">
        <v>1</v>
      </c>
      <c r="I7080">
        <v>0</v>
      </c>
      <c r="J7080">
        <v>1</v>
      </c>
      <c r="K7080">
        <v>1</v>
      </c>
      <c r="L7080">
        <v>1</v>
      </c>
      <c r="M7080">
        <v>1</v>
      </c>
      <c r="N7080">
        <v>1</v>
      </c>
      <c r="O7080">
        <v>1</v>
      </c>
      <c r="AF7080" t="s">
        <v>14457</v>
      </c>
    </row>
    <row r="7081" spans="1:32" hidden="1" x14ac:dyDescent="0.35">
      <c r="A7081">
        <v>7080</v>
      </c>
      <c r="B7081" t="s">
        <v>14456</v>
      </c>
      <c r="C7081" t="s">
        <v>68</v>
      </c>
      <c r="D7081" t="s">
        <v>62</v>
      </c>
      <c r="E7081">
        <v>2365</v>
      </c>
      <c r="F7081">
        <v>2</v>
      </c>
      <c r="G7081">
        <v>2</v>
      </c>
      <c r="H7081">
        <v>1</v>
      </c>
      <c r="I7081">
        <v>0</v>
      </c>
      <c r="J7081">
        <v>1</v>
      </c>
      <c r="K7081">
        <v>1</v>
      </c>
      <c r="L7081">
        <v>1</v>
      </c>
      <c r="M7081">
        <v>1</v>
      </c>
      <c r="N7081">
        <v>1</v>
      </c>
      <c r="O7081">
        <v>1</v>
      </c>
      <c r="AF7081" t="s">
        <v>14457</v>
      </c>
    </row>
    <row r="7082" spans="1:32" hidden="1" x14ac:dyDescent="0.35">
      <c r="A7082">
        <v>7081</v>
      </c>
      <c r="B7082" t="s">
        <v>14458</v>
      </c>
      <c r="C7082" t="s">
        <v>68</v>
      </c>
      <c r="D7082" t="s">
        <v>34</v>
      </c>
      <c r="E7082">
        <v>2079</v>
      </c>
      <c r="F7082">
        <v>2</v>
      </c>
      <c r="G7082">
        <v>2</v>
      </c>
      <c r="H7082">
        <v>1</v>
      </c>
      <c r="I7082">
        <v>0</v>
      </c>
      <c r="J7082">
        <v>1</v>
      </c>
      <c r="K7082">
        <v>1</v>
      </c>
      <c r="L7082">
        <v>1</v>
      </c>
      <c r="M7082">
        <v>1</v>
      </c>
      <c r="N7082">
        <v>1</v>
      </c>
      <c r="O7082">
        <v>1</v>
      </c>
      <c r="AF7082" t="s">
        <v>14459</v>
      </c>
    </row>
    <row r="7083" spans="1:32" hidden="1" x14ac:dyDescent="0.35">
      <c r="A7083">
        <v>7082</v>
      </c>
      <c r="B7083" t="s">
        <v>14458</v>
      </c>
      <c r="C7083" t="s">
        <v>68</v>
      </c>
      <c r="D7083" t="s">
        <v>45</v>
      </c>
      <c r="E7083">
        <v>793</v>
      </c>
      <c r="F7083">
        <v>2</v>
      </c>
      <c r="G7083">
        <v>2</v>
      </c>
      <c r="H7083">
        <v>1</v>
      </c>
      <c r="I7083">
        <v>0</v>
      </c>
      <c r="J7083">
        <v>1</v>
      </c>
      <c r="K7083">
        <v>1</v>
      </c>
      <c r="L7083">
        <v>1</v>
      </c>
      <c r="M7083">
        <v>1</v>
      </c>
      <c r="N7083">
        <v>1</v>
      </c>
      <c r="O7083">
        <v>1</v>
      </c>
      <c r="AF7083" t="s">
        <v>14459</v>
      </c>
    </row>
    <row r="7084" spans="1:32" hidden="1" x14ac:dyDescent="0.35">
      <c r="A7084">
        <v>7083</v>
      </c>
      <c r="B7084" t="s">
        <v>14460</v>
      </c>
      <c r="C7084" t="s">
        <v>68</v>
      </c>
      <c r="D7084" t="s">
        <v>60</v>
      </c>
      <c r="E7084">
        <v>412</v>
      </c>
      <c r="F7084">
        <v>2</v>
      </c>
      <c r="G7084">
        <v>2</v>
      </c>
      <c r="H7084">
        <v>1</v>
      </c>
      <c r="I7084">
        <v>0</v>
      </c>
      <c r="J7084">
        <v>1</v>
      </c>
      <c r="K7084">
        <v>1</v>
      </c>
      <c r="L7084">
        <v>1</v>
      </c>
      <c r="M7084">
        <v>1</v>
      </c>
      <c r="N7084">
        <v>1</v>
      </c>
      <c r="O7084">
        <v>1</v>
      </c>
      <c r="P7084" t="s">
        <v>6505</v>
      </c>
      <c r="Q7084" t="s">
        <v>6506</v>
      </c>
      <c r="R7084" t="s">
        <v>75</v>
      </c>
      <c r="S7084" t="s">
        <v>76</v>
      </c>
      <c r="T7084" t="s">
        <v>14461</v>
      </c>
      <c r="U7084" t="s">
        <v>14462</v>
      </c>
      <c r="V7084" t="s">
        <v>11224</v>
      </c>
      <c r="W7084" t="s">
        <v>11225</v>
      </c>
      <c r="X7084" t="s">
        <v>11224</v>
      </c>
      <c r="Y7084" t="s">
        <v>11226</v>
      </c>
      <c r="AD7084" t="s">
        <v>2870</v>
      </c>
      <c r="AE7084" t="s">
        <v>14463</v>
      </c>
      <c r="AF7084" t="s">
        <v>14464</v>
      </c>
    </row>
    <row r="7085" spans="1:32" hidden="1" x14ac:dyDescent="0.35">
      <c r="A7085">
        <v>7084</v>
      </c>
      <c r="B7085" t="s">
        <v>14460</v>
      </c>
      <c r="C7085" t="s">
        <v>68</v>
      </c>
      <c r="D7085" t="s">
        <v>62</v>
      </c>
      <c r="E7085">
        <v>493</v>
      </c>
      <c r="F7085">
        <v>2</v>
      </c>
      <c r="G7085">
        <v>2</v>
      </c>
      <c r="H7085">
        <v>1</v>
      </c>
      <c r="I7085">
        <v>0</v>
      </c>
      <c r="J7085">
        <v>1</v>
      </c>
      <c r="K7085">
        <v>1</v>
      </c>
      <c r="L7085">
        <v>1</v>
      </c>
      <c r="M7085">
        <v>1</v>
      </c>
      <c r="N7085">
        <v>1</v>
      </c>
      <c r="O7085">
        <v>1</v>
      </c>
      <c r="P7085" t="s">
        <v>6505</v>
      </c>
      <c r="Q7085" t="s">
        <v>6506</v>
      </c>
      <c r="R7085" t="s">
        <v>75</v>
      </c>
      <c r="S7085" t="s">
        <v>76</v>
      </c>
      <c r="T7085" t="s">
        <v>14461</v>
      </c>
      <c r="U7085" t="s">
        <v>14462</v>
      </c>
      <c r="V7085" t="s">
        <v>11224</v>
      </c>
      <c r="W7085" t="s">
        <v>11225</v>
      </c>
      <c r="X7085" t="s">
        <v>11224</v>
      </c>
      <c r="Y7085" t="s">
        <v>11226</v>
      </c>
      <c r="AD7085" t="s">
        <v>2870</v>
      </c>
      <c r="AE7085" t="s">
        <v>14463</v>
      </c>
      <c r="AF7085" t="s">
        <v>14464</v>
      </c>
    </row>
    <row r="7086" spans="1:32" hidden="1" x14ac:dyDescent="0.35">
      <c r="A7086">
        <v>7085</v>
      </c>
      <c r="B7086" t="s">
        <v>14465</v>
      </c>
      <c r="C7086" t="s">
        <v>68</v>
      </c>
      <c r="D7086" t="s">
        <v>60</v>
      </c>
      <c r="E7086">
        <v>935</v>
      </c>
      <c r="F7086">
        <v>2</v>
      </c>
      <c r="G7086">
        <v>2</v>
      </c>
      <c r="H7086">
        <v>1</v>
      </c>
      <c r="I7086">
        <v>0</v>
      </c>
      <c r="J7086">
        <v>1</v>
      </c>
      <c r="K7086">
        <v>1</v>
      </c>
      <c r="L7086">
        <v>1</v>
      </c>
      <c r="M7086">
        <v>1</v>
      </c>
      <c r="N7086">
        <v>1</v>
      </c>
      <c r="O7086">
        <v>1</v>
      </c>
      <c r="AF7086" t="s">
        <v>14466</v>
      </c>
    </row>
    <row r="7087" spans="1:32" hidden="1" x14ac:dyDescent="0.35">
      <c r="A7087">
        <v>7086</v>
      </c>
      <c r="B7087" t="s">
        <v>14465</v>
      </c>
      <c r="C7087" t="s">
        <v>68</v>
      </c>
      <c r="D7087" t="s">
        <v>62</v>
      </c>
      <c r="E7087">
        <v>971</v>
      </c>
      <c r="F7087">
        <v>2</v>
      </c>
      <c r="G7087">
        <v>2</v>
      </c>
      <c r="H7087">
        <v>1</v>
      </c>
      <c r="I7087">
        <v>0</v>
      </c>
      <c r="J7087">
        <v>1</v>
      </c>
      <c r="K7087">
        <v>1</v>
      </c>
      <c r="L7087">
        <v>1</v>
      </c>
      <c r="M7087">
        <v>1</v>
      </c>
      <c r="N7087">
        <v>1</v>
      </c>
      <c r="O7087">
        <v>1</v>
      </c>
      <c r="AF7087" t="s">
        <v>14466</v>
      </c>
    </row>
    <row r="7088" spans="1:32" hidden="1" x14ac:dyDescent="0.35">
      <c r="A7088">
        <v>7087</v>
      </c>
      <c r="B7088" t="s">
        <v>14467</v>
      </c>
      <c r="C7088" t="s">
        <v>68</v>
      </c>
      <c r="D7088" t="s">
        <v>60</v>
      </c>
      <c r="E7088">
        <v>1310</v>
      </c>
      <c r="F7088">
        <v>2</v>
      </c>
      <c r="G7088">
        <v>2</v>
      </c>
      <c r="H7088">
        <v>1</v>
      </c>
      <c r="I7088">
        <v>0</v>
      </c>
      <c r="J7088">
        <v>1</v>
      </c>
      <c r="K7088">
        <v>1</v>
      </c>
      <c r="L7088">
        <v>1</v>
      </c>
      <c r="M7088">
        <v>1</v>
      </c>
      <c r="N7088">
        <v>1</v>
      </c>
      <c r="O7088">
        <v>1</v>
      </c>
      <c r="P7088" t="s">
        <v>5019</v>
      </c>
      <c r="Q7088" t="s">
        <v>5020</v>
      </c>
      <c r="R7088" t="s">
        <v>288</v>
      </c>
      <c r="S7088" t="s">
        <v>289</v>
      </c>
      <c r="T7088" t="s">
        <v>5021</v>
      </c>
      <c r="U7088" t="s">
        <v>5022</v>
      </c>
      <c r="V7088" t="s">
        <v>5023</v>
      </c>
      <c r="W7088" t="s">
        <v>5024</v>
      </c>
      <c r="AD7088" t="s">
        <v>219</v>
      </c>
      <c r="AE7088" t="s">
        <v>5025</v>
      </c>
      <c r="AF7088" t="s">
        <v>14468</v>
      </c>
    </row>
    <row r="7089" spans="1:32" hidden="1" x14ac:dyDescent="0.35">
      <c r="A7089">
        <v>7088</v>
      </c>
      <c r="B7089" t="s">
        <v>14467</v>
      </c>
      <c r="C7089" t="s">
        <v>68</v>
      </c>
      <c r="D7089" t="s">
        <v>62</v>
      </c>
      <c r="E7089">
        <v>1346</v>
      </c>
      <c r="F7089">
        <v>2</v>
      </c>
      <c r="G7089">
        <v>2</v>
      </c>
      <c r="H7089">
        <v>1</v>
      </c>
      <c r="I7089">
        <v>0</v>
      </c>
      <c r="J7089">
        <v>1</v>
      </c>
      <c r="K7089">
        <v>1</v>
      </c>
      <c r="L7089">
        <v>1</v>
      </c>
      <c r="M7089">
        <v>1</v>
      </c>
      <c r="N7089">
        <v>1</v>
      </c>
      <c r="O7089">
        <v>1</v>
      </c>
      <c r="P7089" t="s">
        <v>5019</v>
      </c>
      <c r="Q7089" t="s">
        <v>5020</v>
      </c>
      <c r="R7089" t="s">
        <v>288</v>
      </c>
      <c r="S7089" t="s">
        <v>289</v>
      </c>
      <c r="T7089" t="s">
        <v>5021</v>
      </c>
      <c r="U7089" t="s">
        <v>5022</v>
      </c>
      <c r="V7089" t="s">
        <v>5023</v>
      </c>
      <c r="W7089" t="s">
        <v>5024</v>
      </c>
      <c r="AD7089" t="s">
        <v>219</v>
      </c>
      <c r="AE7089" t="s">
        <v>5025</v>
      </c>
      <c r="AF7089" t="s">
        <v>14468</v>
      </c>
    </row>
    <row r="7090" spans="1:32" hidden="1" x14ac:dyDescent="0.35">
      <c r="A7090">
        <v>7089</v>
      </c>
      <c r="B7090" t="s">
        <v>14469</v>
      </c>
      <c r="C7090" t="s">
        <v>68</v>
      </c>
      <c r="D7090" t="s">
        <v>60</v>
      </c>
      <c r="E7090">
        <v>878</v>
      </c>
      <c r="F7090">
        <v>2</v>
      </c>
      <c r="G7090">
        <v>2</v>
      </c>
      <c r="H7090">
        <v>1</v>
      </c>
      <c r="I7090">
        <v>0</v>
      </c>
      <c r="J7090">
        <v>1</v>
      </c>
      <c r="K7090">
        <v>1</v>
      </c>
      <c r="L7090">
        <v>1</v>
      </c>
      <c r="M7090">
        <v>1</v>
      </c>
      <c r="N7090">
        <v>1</v>
      </c>
      <c r="O7090">
        <v>1</v>
      </c>
      <c r="P7090" t="s">
        <v>14470</v>
      </c>
      <c r="Q7090" t="s">
        <v>14471</v>
      </c>
      <c r="R7090" t="s">
        <v>235</v>
      </c>
      <c r="S7090" t="s">
        <v>236</v>
      </c>
      <c r="V7090" t="s">
        <v>7742</v>
      </c>
      <c r="W7090" t="s">
        <v>7743</v>
      </c>
      <c r="AF7090" t="s">
        <v>14472</v>
      </c>
    </row>
    <row r="7091" spans="1:32" hidden="1" x14ac:dyDescent="0.35">
      <c r="A7091">
        <v>7090</v>
      </c>
      <c r="B7091" t="s">
        <v>14469</v>
      </c>
      <c r="C7091" t="s">
        <v>68</v>
      </c>
      <c r="D7091" t="s">
        <v>62</v>
      </c>
      <c r="E7091">
        <v>912</v>
      </c>
      <c r="F7091">
        <v>2</v>
      </c>
      <c r="G7091">
        <v>2</v>
      </c>
      <c r="H7091">
        <v>1</v>
      </c>
      <c r="I7091">
        <v>0</v>
      </c>
      <c r="J7091">
        <v>1</v>
      </c>
      <c r="K7091">
        <v>1</v>
      </c>
      <c r="L7091">
        <v>1</v>
      </c>
      <c r="M7091">
        <v>1</v>
      </c>
      <c r="N7091">
        <v>1</v>
      </c>
      <c r="O7091">
        <v>1</v>
      </c>
      <c r="P7091" t="s">
        <v>14470</v>
      </c>
      <c r="Q7091" t="s">
        <v>14471</v>
      </c>
      <c r="R7091" t="s">
        <v>235</v>
      </c>
      <c r="S7091" t="s">
        <v>236</v>
      </c>
      <c r="V7091" t="s">
        <v>7742</v>
      </c>
      <c r="W7091" t="s">
        <v>7743</v>
      </c>
      <c r="AF7091" t="s">
        <v>14472</v>
      </c>
    </row>
    <row r="7092" spans="1:32" hidden="1" x14ac:dyDescent="0.35">
      <c r="A7092">
        <v>7091</v>
      </c>
      <c r="B7092" t="s">
        <v>14473</v>
      </c>
      <c r="C7092" t="s">
        <v>68</v>
      </c>
      <c r="D7092" t="s">
        <v>60</v>
      </c>
      <c r="E7092">
        <v>2162</v>
      </c>
      <c r="F7092">
        <v>2</v>
      </c>
      <c r="G7092">
        <v>2</v>
      </c>
      <c r="H7092">
        <v>1</v>
      </c>
      <c r="I7092">
        <v>0</v>
      </c>
      <c r="J7092">
        <v>1</v>
      </c>
      <c r="K7092">
        <v>1</v>
      </c>
      <c r="L7092">
        <v>1</v>
      </c>
      <c r="M7092">
        <v>1</v>
      </c>
      <c r="N7092">
        <v>1</v>
      </c>
      <c r="O7092">
        <v>1</v>
      </c>
      <c r="P7092" t="s">
        <v>2041</v>
      </c>
      <c r="Q7092" t="s">
        <v>2035</v>
      </c>
      <c r="R7092" t="s">
        <v>869</v>
      </c>
      <c r="S7092" t="s">
        <v>870</v>
      </c>
      <c r="V7092" t="s">
        <v>2036</v>
      </c>
      <c r="W7092" t="s">
        <v>2037</v>
      </c>
      <c r="X7092" t="s">
        <v>2036</v>
      </c>
      <c r="Y7092" t="s">
        <v>2038</v>
      </c>
      <c r="AF7092" t="s">
        <v>14474</v>
      </c>
    </row>
    <row r="7093" spans="1:32" hidden="1" x14ac:dyDescent="0.35">
      <c r="A7093">
        <v>7092</v>
      </c>
      <c r="B7093" t="s">
        <v>14473</v>
      </c>
      <c r="C7093" t="s">
        <v>68</v>
      </c>
      <c r="D7093" t="s">
        <v>62</v>
      </c>
      <c r="E7093">
        <v>2196</v>
      </c>
      <c r="F7093">
        <v>2</v>
      </c>
      <c r="G7093">
        <v>2</v>
      </c>
      <c r="H7093">
        <v>1</v>
      </c>
      <c r="I7093">
        <v>0</v>
      </c>
      <c r="J7093">
        <v>1</v>
      </c>
      <c r="K7093">
        <v>1</v>
      </c>
      <c r="L7093">
        <v>1</v>
      </c>
      <c r="M7093">
        <v>1</v>
      </c>
      <c r="N7093">
        <v>1</v>
      </c>
      <c r="O7093">
        <v>1</v>
      </c>
      <c r="P7093" t="s">
        <v>2041</v>
      </c>
      <c r="Q7093" t="s">
        <v>2035</v>
      </c>
      <c r="R7093" t="s">
        <v>869</v>
      </c>
      <c r="S7093" t="s">
        <v>870</v>
      </c>
      <c r="V7093" t="s">
        <v>2036</v>
      </c>
      <c r="W7093" t="s">
        <v>2037</v>
      </c>
      <c r="X7093" t="s">
        <v>2036</v>
      </c>
      <c r="Y7093" t="s">
        <v>2038</v>
      </c>
      <c r="AF7093" t="s">
        <v>14474</v>
      </c>
    </row>
    <row r="7094" spans="1:32" hidden="1" x14ac:dyDescent="0.35">
      <c r="A7094">
        <v>7093</v>
      </c>
      <c r="B7094" t="s">
        <v>14475</v>
      </c>
      <c r="C7094" t="s">
        <v>68</v>
      </c>
      <c r="D7094" t="s">
        <v>34</v>
      </c>
      <c r="E7094">
        <v>2235</v>
      </c>
      <c r="F7094">
        <v>2</v>
      </c>
      <c r="G7094">
        <v>2</v>
      </c>
      <c r="H7094">
        <v>1</v>
      </c>
      <c r="I7094">
        <v>0</v>
      </c>
      <c r="J7094">
        <v>1</v>
      </c>
      <c r="K7094">
        <v>1</v>
      </c>
      <c r="L7094">
        <v>1</v>
      </c>
      <c r="M7094">
        <v>1</v>
      </c>
      <c r="N7094">
        <v>1</v>
      </c>
      <c r="O7094">
        <v>1</v>
      </c>
      <c r="P7094" t="s">
        <v>14476</v>
      </c>
      <c r="Q7094" t="s">
        <v>14477</v>
      </c>
      <c r="R7094" t="s">
        <v>157</v>
      </c>
      <c r="S7094" t="s">
        <v>158</v>
      </c>
      <c r="V7094" t="s">
        <v>14478</v>
      </c>
      <c r="W7094" t="s">
        <v>14479</v>
      </c>
      <c r="AF7094" t="s">
        <v>14480</v>
      </c>
    </row>
    <row r="7095" spans="1:32" hidden="1" x14ac:dyDescent="0.35">
      <c r="A7095">
        <v>7094</v>
      </c>
      <c r="B7095" t="s">
        <v>14475</v>
      </c>
      <c r="C7095" t="s">
        <v>68</v>
      </c>
      <c r="D7095" t="s">
        <v>45</v>
      </c>
      <c r="E7095">
        <v>642</v>
      </c>
      <c r="F7095">
        <v>2</v>
      </c>
      <c r="G7095">
        <v>2</v>
      </c>
      <c r="H7095">
        <v>1</v>
      </c>
      <c r="I7095">
        <v>0</v>
      </c>
      <c r="J7095">
        <v>1</v>
      </c>
      <c r="K7095">
        <v>1</v>
      </c>
      <c r="L7095">
        <v>1</v>
      </c>
      <c r="M7095">
        <v>1</v>
      </c>
      <c r="N7095">
        <v>1</v>
      </c>
      <c r="O7095">
        <v>1</v>
      </c>
      <c r="P7095" t="s">
        <v>14476</v>
      </c>
      <c r="Q7095" t="s">
        <v>14477</v>
      </c>
      <c r="R7095" t="s">
        <v>157</v>
      </c>
      <c r="S7095" t="s">
        <v>158</v>
      </c>
      <c r="V7095" t="s">
        <v>14478</v>
      </c>
      <c r="W7095" t="s">
        <v>14479</v>
      </c>
      <c r="AF7095" t="s">
        <v>14480</v>
      </c>
    </row>
    <row r="7096" spans="1:32" hidden="1" x14ac:dyDescent="0.35">
      <c r="A7096">
        <v>7095</v>
      </c>
      <c r="B7096" t="s">
        <v>14481</v>
      </c>
      <c r="C7096" t="s">
        <v>68</v>
      </c>
      <c r="D7096" t="s">
        <v>60</v>
      </c>
      <c r="E7096">
        <v>2338</v>
      </c>
      <c r="F7096">
        <v>2</v>
      </c>
      <c r="G7096">
        <v>2</v>
      </c>
      <c r="H7096">
        <v>1</v>
      </c>
      <c r="I7096">
        <v>0</v>
      </c>
      <c r="J7096">
        <v>1</v>
      </c>
      <c r="K7096">
        <v>1</v>
      </c>
      <c r="L7096">
        <v>1</v>
      </c>
      <c r="M7096">
        <v>1</v>
      </c>
      <c r="N7096">
        <v>1</v>
      </c>
      <c r="O7096">
        <v>1</v>
      </c>
      <c r="AF7096" t="s">
        <v>14482</v>
      </c>
    </row>
    <row r="7097" spans="1:32" hidden="1" x14ac:dyDescent="0.35">
      <c r="A7097">
        <v>7096</v>
      </c>
      <c r="B7097" t="s">
        <v>14481</v>
      </c>
      <c r="C7097" t="s">
        <v>68</v>
      </c>
      <c r="D7097" t="s">
        <v>62</v>
      </c>
      <c r="E7097">
        <v>2366</v>
      </c>
      <c r="F7097">
        <v>2</v>
      </c>
      <c r="G7097">
        <v>2</v>
      </c>
      <c r="H7097">
        <v>1</v>
      </c>
      <c r="I7097">
        <v>0</v>
      </c>
      <c r="J7097">
        <v>1</v>
      </c>
      <c r="K7097">
        <v>1</v>
      </c>
      <c r="L7097">
        <v>1</v>
      </c>
      <c r="M7097">
        <v>1</v>
      </c>
      <c r="N7097">
        <v>1</v>
      </c>
      <c r="O7097">
        <v>1</v>
      </c>
      <c r="AF7097" t="s">
        <v>14482</v>
      </c>
    </row>
    <row r="7098" spans="1:32" hidden="1" x14ac:dyDescent="0.35">
      <c r="A7098">
        <v>7097</v>
      </c>
      <c r="B7098" t="s">
        <v>14483</v>
      </c>
      <c r="C7098" t="s">
        <v>68</v>
      </c>
      <c r="D7098" t="s">
        <v>60</v>
      </c>
      <c r="E7098">
        <v>832</v>
      </c>
      <c r="F7098">
        <v>2</v>
      </c>
      <c r="G7098">
        <v>2</v>
      </c>
      <c r="H7098">
        <v>1</v>
      </c>
      <c r="I7098">
        <v>0</v>
      </c>
      <c r="J7098">
        <v>1</v>
      </c>
      <c r="K7098">
        <v>1</v>
      </c>
      <c r="L7098">
        <v>1</v>
      </c>
      <c r="M7098">
        <v>1</v>
      </c>
      <c r="N7098">
        <v>1</v>
      </c>
      <c r="O7098">
        <v>1</v>
      </c>
      <c r="P7098" t="s">
        <v>13648</v>
      </c>
      <c r="Q7098" t="s">
        <v>13649</v>
      </c>
      <c r="R7098" t="s">
        <v>14484</v>
      </c>
      <c r="S7098" t="s">
        <v>14485</v>
      </c>
      <c r="V7098" t="s">
        <v>14486</v>
      </c>
      <c r="W7098" t="s">
        <v>14487</v>
      </c>
      <c r="AF7098" t="s">
        <v>14488</v>
      </c>
    </row>
    <row r="7099" spans="1:32" hidden="1" x14ac:dyDescent="0.35">
      <c r="A7099">
        <v>7098</v>
      </c>
      <c r="B7099" t="s">
        <v>14483</v>
      </c>
      <c r="C7099" t="s">
        <v>68</v>
      </c>
      <c r="D7099" t="s">
        <v>62</v>
      </c>
      <c r="E7099">
        <v>865</v>
      </c>
      <c r="F7099">
        <v>2</v>
      </c>
      <c r="G7099">
        <v>2</v>
      </c>
      <c r="H7099">
        <v>1</v>
      </c>
      <c r="I7099">
        <v>0</v>
      </c>
      <c r="J7099">
        <v>1</v>
      </c>
      <c r="K7099">
        <v>1</v>
      </c>
      <c r="L7099">
        <v>1</v>
      </c>
      <c r="M7099">
        <v>1</v>
      </c>
      <c r="N7099">
        <v>1</v>
      </c>
      <c r="O7099">
        <v>1</v>
      </c>
      <c r="P7099" t="s">
        <v>13648</v>
      </c>
      <c r="Q7099" t="s">
        <v>13649</v>
      </c>
      <c r="R7099" t="s">
        <v>14484</v>
      </c>
      <c r="S7099" t="s">
        <v>14485</v>
      </c>
      <c r="V7099" t="s">
        <v>14486</v>
      </c>
      <c r="W7099" t="s">
        <v>14487</v>
      </c>
      <c r="AF7099" t="s">
        <v>14488</v>
      </c>
    </row>
    <row r="7100" spans="1:32" hidden="1" x14ac:dyDescent="0.35">
      <c r="A7100">
        <v>7099</v>
      </c>
      <c r="B7100" t="s">
        <v>14489</v>
      </c>
      <c r="C7100" t="s">
        <v>68</v>
      </c>
      <c r="D7100" t="s">
        <v>60</v>
      </c>
      <c r="E7100">
        <v>2323</v>
      </c>
      <c r="F7100">
        <v>2</v>
      </c>
      <c r="G7100">
        <v>2</v>
      </c>
      <c r="H7100">
        <v>1</v>
      </c>
      <c r="I7100">
        <v>0</v>
      </c>
      <c r="J7100">
        <v>1</v>
      </c>
      <c r="K7100">
        <v>1</v>
      </c>
      <c r="L7100">
        <v>1</v>
      </c>
      <c r="M7100">
        <v>1</v>
      </c>
      <c r="N7100">
        <v>1</v>
      </c>
      <c r="O7100">
        <v>1</v>
      </c>
      <c r="AF7100" t="s">
        <v>14490</v>
      </c>
    </row>
    <row r="7101" spans="1:32" hidden="1" x14ac:dyDescent="0.35">
      <c r="A7101">
        <v>7100</v>
      </c>
      <c r="B7101" t="s">
        <v>14489</v>
      </c>
      <c r="C7101" t="s">
        <v>68</v>
      </c>
      <c r="D7101" t="s">
        <v>62</v>
      </c>
      <c r="E7101">
        <v>2351</v>
      </c>
      <c r="F7101">
        <v>2</v>
      </c>
      <c r="G7101">
        <v>2</v>
      </c>
      <c r="H7101">
        <v>1</v>
      </c>
      <c r="I7101">
        <v>0</v>
      </c>
      <c r="J7101">
        <v>1</v>
      </c>
      <c r="K7101">
        <v>1</v>
      </c>
      <c r="L7101">
        <v>1</v>
      </c>
      <c r="M7101">
        <v>1</v>
      </c>
      <c r="N7101">
        <v>1</v>
      </c>
      <c r="O7101">
        <v>1</v>
      </c>
      <c r="AF7101" t="s">
        <v>14490</v>
      </c>
    </row>
    <row r="7102" spans="1:32" hidden="1" x14ac:dyDescent="0.35">
      <c r="A7102">
        <v>7101</v>
      </c>
      <c r="B7102" t="s">
        <v>14491</v>
      </c>
      <c r="C7102" t="s">
        <v>68</v>
      </c>
      <c r="D7102" t="s">
        <v>34</v>
      </c>
      <c r="E7102">
        <v>1427</v>
      </c>
      <c r="F7102">
        <v>2</v>
      </c>
      <c r="G7102">
        <v>2</v>
      </c>
      <c r="H7102">
        <v>1</v>
      </c>
      <c r="I7102">
        <v>0</v>
      </c>
      <c r="J7102">
        <v>1</v>
      </c>
      <c r="K7102">
        <v>1</v>
      </c>
      <c r="L7102">
        <v>1</v>
      </c>
      <c r="M7102">
        <v>1</v>
      </c>
      <c r="N7102">
        <v>1</v>
      </c>
      <c r="O7102">
        <v>1</v>
      </c>
      <c r="P7102" t="s">
        <v>13314</v>
      </c>
      <c r="Q7102" t="s">
        <v>13315</v>
      </c>
      <c r="AF7102" t="s">
        <v>14492</v>
      </c>
    </row>
    <row r="7103" spans="1:32" hidden="1" x14ac:dyDescent="0.35">
      <c r="A7103">
        <v>7102</v>
      </c>
      <c r="B7103" t="s">
        <v>14491</v>
      </c>
      <c r="C7103" t="s">
        <v>68</v>
      </c>
      <c r="D7103" t="s">
        <v>45</v>
      </c>
      <c r="E7103">
        <v>178</v>
      </c>
      <c r="F7103">
        <v>2</v>
      </c>
      <c r="G7103">
        <v>2</v>
      </c>
      <c r="H7103">
        <v>1</v>
      </c>
      <c r="I7103">
        <v>0</v>
      </c>
      <c r="J7103">
        <v>1</v>
      </c>
      <c r="K7103">
        <v>1</v>
      </c>
      <c r="L7103">
        <v>1</v>
      </c>
      <c r="M7103">
        <v>1</v>
      </c>
      <c r="N7103">
        <v>1</v>
      </c>
      <c r="O7103">
        <v>1</v>
      </c>
      <c r="P7103" t="s">
        <v>13314</v>
      </c>
      <c r="Q7103" t="s">
        <v>13315</v>
      </c>
      <c r="AF7103" t="s">
        <v>14492</v>
      </c>
    </row>
    <row r="7104" spans="1:32" hidden="1" x14ac:dyDescent="0.35">
      <c r="A7104">
        <v>7103</v>
      </c>
      <c r="B7104" t="s">
        <v>14493</v>
      </c>
      <c r="C7104" t="s">
        <v>68</v>
      </c>
      <c r="D7104" t="s">
        <v>34</v>
      </c>
      <c r="E7104">
        <v>2078</v>
      </c>
      <c r="F7104">
        <v>2</v>
      </c>
      <c r="G7104">
        <v>2</v>
      </c>
      <c r="H7104">
        <v>1</v>
      </c>
      <c r="I7104">
        <v>0</v>
      </c>
      <c r="J7104">
        <v>1</v>
      </c>
      <c r="K7104">
        <v>1</v>
      </c>
      <c r="L7104">
        <v>1</v>
      </c>
      <c r="M7104">
        <v>1</v>
      </c>
      <c r="N7104">
        <v>1</v>
      </c>
      <c r="O7104">
        <v>1</v>
      </c>
      <c r="AF7104" t="s">
        <v>14494</v>
      </c>
    </row>
    <row r="7105" spans="1:32" hidden="1" x14ac:dyDescent="0.35">
      <c r="A7105">
        <v>7104</v>
      </c>
      <c r="B7105" t="s">
        <v>14493</v>
      </c>
      <c r="C7105" t="s">
        <v>68</v>
      </c>
      <c r="D7105" t="s">
        <v>45</v>
      </c>
      <c r="E7105">
        <v>794</v>
      </c>
      <c r="F7105">
        <v>2</v>
      </c>
      <c r="G7105">
        <v>2</v>
      </c>
      <c r="H7105">
        <v>1</v>
      </c>
      <c r="I7105">
        <v>0</v>
      </c>
      <c r="J7105">
        <v>1</v>
      </c>
      <c r="K7105">
        <v>1</v>
      </c>
      <c r="L7105">
        <v>1</v>
      </c>
      <c r="M7105">
        <v>1</v>
      </c>
      <c r="N7105">
        <v>1</v>
      </c>
      <c r="O7105">
        <v>1</v>
      </c>
      <c r="AF7105" t="s">
        <v>14494</v>
      </c>
    </row>
    <row r="7106" spans="1:32" hidden="1" x14ac:dyDescent="0.35">
      <c r="A7106">
        <v>7105</v>
      </c>
      <c r="B7106" t="s">
        <v>14495</v>
      </c>
      <c r="C7106" t="s">
        <v>68</v>
      </c>
      <c r="D7106" t="s">
        <v>60</v>
      </c>
      <c r="E7106">
        <v>76</v>
      </c>
      <c r="F7106">
        <v>2</v>
      </c>
      <c r="G7106">
        <v>2</v>
      </c>
      <c r="H7106">
        <v>1</v>
      </c>
      <c r="I7106">
        <v>0</v>
      </c>
      <c r="J7106">
        <v>1</v>
      </c>
      <c r="K7106">
        <v>1</v>
      </c>
      <c r="L7106">
        <v>1</v>
      </c>
      <c r="M7106">
        <v>1</v>
      </c>
      <c r="N7106">
        <v>1</v>
      </c>
      <c r="O7106">
        <v>1</v>
      </c>
      <c r="P7106" t="s">
        <v>14496</v>
      </c>
      <c r="Q7106" t="s">
        <v>14497</v>
      </c>
      <c r="AF7106" t="s">
        <v>14498</v>
      </c>
    </row>
    <row r="7107" spans="1:32" hidden="1" x14ac:dyDescent="0.35">
      <c r="A7107">
        <v>7106</v>
      </c>
      <c r="B7107" t="s">
        <v>14495</v>
      </c>
      <c r="C7107" t="s">
        <v>68</v>
      </c>
      <c r="D7107" t="s">
        <v>62</v>
      </c>
      <c r="E7107">
        <v>149</v>
      </c>
      <c r="F7107">
        <v>2</v>
      </c>
      <c r="G7107">
        <v>2</v>
      </c>
      <c r="H7107">
        <v>1</v>
      </c>
      <c r="I7107">
        <v>0</v>
      </c>
      <c r="J7107">
        <v>1</v>
      </c>
      <c r="K7107">
        <v>1</v>
      </c>
      <c r="L7107">
        <v>1</v>
      </c>
      <c r="M7107">
        <v>1</v>
      </c>
      <c r="N7107">
        <v>1</v>
      </c>
      <c r="O7107">
        <v>1</v>
      </c>
      <c r="P7107" t="s">
        <v>14496</v>
      </c>
      <c r="Q7107" t="s">
        <v>14497</v>
      </c>
      <c r="AF7107" t="s">
        <v>14498</v>
      </c>
    </row>
    <row r="7108" spans="1:32" hidden="1" x14ac:dyDescent="0.35">
      <c r="A7108">
        <v>7107</v>
      </c>
      <c r="B7108" t="s">
        <v>14499</v>
      </c>
      <c r="C7108" t="s">
        <v>68</v>
      </c>
      <c r="D7108" t="s">
        <v>60</v>
      </c>
      <c r="E7108">
        <v>271</v>
      </c>
      <c r="F7108">
        <v>2</v>
      </c>
      <c r="G7108">
        <v>2</v>
      </c>
      <c r="H7108">
        <v>1</v>
      </c>
      <c r="I7108">
        <v>0</v>
      </c>
      <c r="J7108">
        <v>1</v>
      </c>
      <c r="K7108">
        <v>1</v>
      </c>
      <c r="L7108">
        <v>1</v>
      </c>
      <c r="M7108">
        <v>1</v>
      </c>
      <c r="N7108">
        <v>1</v>
      </c>
      <c r="O7108">
        <v>1</v>
      </c>
      <c r="P7108" t="s">
        <v>14500</v>
      </c>
      <c r="Q7108" t="s">
        <v>14501</v>
      </c>
      <c r="AF7108" t="s">
        <v>14502</v>
      </c>
    </row>
    <row r="7109" spans="1:32" hidden="1" x14ac:dyDescent="0.35">
      <c r="A7109">
        <v>7108</v>
      </c>
      <c r="B7109" t="s">
        <v>14499</v>
      </c>
      <c r="C7109" t="s">
        <v>68</v>
      </c>
      <c r="D7109" t="s">
        <v>62</v>
      </c>
      <c r="E7109">
        <v>349</v>
      </c>
      <c r="F7109">
        <v>2</v>
      </c>
      <c r="G7109">
        <v>2</v>
      </c>
      <c r="H7109">
        <v>1</v>
      </c>
      <c r="I7109">
        <v>0</v>
      </c>
      <c r="J7109">
        <v>1</v>
      </c>
      <c r="K7109">
        <v>1</v>
      </c>
      <c r="L7109">
        <v>1</v>
      </c>
      <c r="M7109">
        <v>1</v>
      </c>
      <c r="N7109">
        <v>1</v>
      </c>
      <c r="O7109">
        <v>1</v>
      </c>
      <c r="P7109" t="s">
        <v>14500</v>
      </c>
      <c r="Q7109" t="s">
        <v>14501</v>
      </c>
      <c r="AF7109" t="s">
        <v>14502</v>
      </c>
    </row>
    <row r="7110" spans="1:32" hidden="1" x14ac:dyDescent="0.35">
      <c r="A7110">
        <v>7109</v>
      </c>
      <c r="B7110" t="s">
        <v>14503</v>
      </c>
      <c r="C7110" t="s">
        <v>68</v>
      </c>
      <c r="D7110" t="s">
        <v>34</v>
      </c>
      <c r="E7110">
        <v>1103</v>
      </c>
      <c r="F7110">
        <v>2</v>
      </c>
      <c r="G7110">
        <v>2</v>
      </c>
      <c r="H7110">
        <v>1</v>
      </c>
      <c r="I7110">
        <v>0</v>
      </c>
      <c r="J7110">
        <v>1</v>
      </c>
      <c r="K7110">
        <v>1</v>
      </c>
      <c r="L7110">
        <v>1</v>
      </c>
      <c r="M7110">
        <v>1</v>
      </c>
      <c r="N7110">
        <v>1</v>
      </c>
      <c r="O7110">
        <v>1</v>
      </c>
      <c r="P7110" t="s">
        <v>14504</v>
      </c>
      <c r="Q7110" t="s">
        <v>14505</v>
      </c>
      <c r="R7110" t="s">
        <v>157</v>
      </c>
      <c r="S7110" t="s">
        <v>158</v>
      </c>
      <c r="T7110" t="s">
        <v>14506</v>
      </c>
      <c r="U7110" t="s">
        <v>14507</v>
      </c>
      <c r="V7110" t="s">
        <v>14508</v>
      </c>
      <c r="W7110" t="s">
        <v>14509</v>
      </c>
      <c r="AD7110" t="s">
        <v>14510</v>
      </c>
      <c r="AE7110" t="s">
        <v>14511</v>
      </c>
      <c r="AF7110" t="s">
        <v>14512</v>
      </c>
    </row>
    <row r="7111" spans="1:32" hidden="1" x14ac:dyDescent="0.35">
      <c r="A7111">
        <v>7110</v>
      </c>
      <c r="B7111" t="s">
        <v>14503</v>
      </c>
      <c r="C7111" t="s">
        <v>68</v>
      </c>
      <c r="D7111" t="s">
        <v>45</v>
      </c>
      <c r="E7111">
        <v>2357</v>
      </c>
      <c r="F7111">
        <v>2</v>
      </c>
      <c r="G7111">
        <v>2</v>
      </c>
      <c r="H7111">
        <v>1</v>
      </c>
      <c r="I7111">
        <v>0</v>
      </c>
      <c r="J7111">
        <v>1</v>
      </c>
      <c r="K7111">
        <v>1</v>
      </c>
      <c r="L7111">
        <v>1</v>
      </c>
      <c r="M7111">
        <v>1</v>
      </c>
      <c r="N7111">
        <v>1</v>
      </c>
      <c r="O7111">
        <v>1</v>
      </c>
      <c r="P7111" t="s">
        <v>14504</v>
      </c>
      <c r="Q7111" t="s">
        <v>14505</v>
      </c>
      <c r="R7111" t="s">
        <v>157</v>
      </c>
      <c r="S7111" t="s">
        <v>158</v>
      </c>
      <c r="T7111" t="s">
        <v>14506</v>
      </c>
      <c r="U7111" t="s">
        <v>14507</v>
      </c>
      <c r="V7111" t="s">
        <v>14508</v>
      </c>
      <c r="W7111" t="s">
        <v>14509</v>
      </c>
      <c r="AD7111" t="s">
        <v>14510</v>
      </c>
      <c r="AE7111" t="s">
        <v>14511</v>
      </c>
      <c r="AF7111" t="s">
        <v>14512</v>
      </c>
    </row>
    <row r="7112" spans="1:32" hidden="1" x14ac:dyDescent="0.35">
      <c r="A7112">
        <v>7111</v>
      </c>
      <c r="B7112" t="s">
        <v>14513</v>
      </c>
      <c r="C7112" t="s">
        <v>68</v>
      </c>
      <c r="D7112" t="s">
        <v>60</v>
      </c>
      <c r="E7112">
        <v>1460</v>
      </c>
      <c r="F7112">
        <v>2</v>
      </c>
      <c r="G7112">
        <v>2</v>
      </c>
      <c r="H7112">
        <v>1</v>
      </c>
      <c r="I7112">
        <v>0</v>
      </c>
      <c r="J7112">
        <v>1</v>
      </c>
      <c r="K7112">
        <v>1</v>
      </c>
      <c r="L7112">
        <v>1</v>
      </c>
      <c r="M7112">
        <v>1</v>
      </c>
      <c r="N7112">
        <v>1</v>
      </c>
      <c r="O7112">
        <v>1</v>
      </c>
      <c r="P7112" t="s">
        <v>14514</v>
      </c>
      <c r="Q7112" t="s">
        <v>14515</v>
      </c>
      <c r="AF7112" t="s">
        <v>14516</v>
      </c>
    </row>
    <row r="7113" spans="1:32" hidden="1" x14ac:dyDescent="0.35">
      <c r="A7113">
        <v>7112</v>
      </c>
      <c r="B7113" t="s">
        <v>14513</v>
      </c>
      <c r="C7113" t="s">
        <v>68</v>
      </c>
      <c r="D7113" t="s">
        <v>62</v>
      </c>
      <c r="E7113">
        <v>1495</v>
      </c>
      <c r="F7113">
        <v>2</v>
      </c>
      <c r="G7113">
        <v>2</v>
      </c>
      <c r="H7113">
        <v>1</v>
      </c>
      <c r="I7113">
        <v>0</v>
      </c>
      <c r="J7113">
        <v>1</v>
      </c>
      <c r="K7113">
        <v>1</v>
      </c>
      <c r="L7113">
        <v>1</v>
      </c>
      <c r="M7113">
        <v>1</v>
      </c>
      <c r="N7113">
        <v>1</v>
      </c>
      <c r="O7113">
        <v>1</v>
      </c>
      <c r="P7113" t="s">
        <v>14514</v>
      </c>
      <c r="Q7113" t="s">
        <v>14515</v>
      </c>
      <c r="AF7113" t="s">
        <v>14516</v>
      </c>
    </row>
    <row r="7114" spans="1:32" hidden="1" x14ac:dyDescent="0.35">
      <c r="A7114">
        <v>7113</v>
      </c>
      <c r="B7114" t="s">
        <v>14517</v>
      </c>
      <c r="C7114" t="s">
        <v>68</v>
      </c>
      <c r="D7114" t="s">
        <v>60</v>
      </c>
      <c r="E7114">
        <v>826</v>
      </c>
      <c r="F7114">
        <v>2</v>
      </c>
      <c r="G7114">
        <v>2</v>
      </c>
      <c r="H7114">
        <v>1</v>
      </c>
      <c r="I7114">
        <v>0</v>
      </c>
      <c r="J7114">
        <v>1</v>
      </c>
      <c r="K7114">
        <v>1</v>
      </c>
      <c r="L7114">
        <v>1</v>
      </c>
      <c r="M7114">
        <v>1</v>
      </c>
      <c r="N7114">
        <v>1</v>
      </c>
      <c r="O7114">
        <v>1</v>
      </c>
      <c r="P7114" t="s">
        <v>14518</v>
      </c>
      <c r="Q7114" t="s">
        <v>14519</v>
      </c>
      <c r="AF7114" t="s">
        <v>14520</v>
      </c>
    </row>
    <row r="7115" spans="1:32" hidden="1" x14ac:dyDescent="0.35">
      <c r="A7115">
        <v>7114</v>
      </c>
      <c r="B7115" t="s">
        <v>14517</v>
      </c>
      <c r="C7115" t="s">
        <v>68</v>
      </c>
      <c r="D7115" t="s">
        <v>62</v>
      </c>
      <c r="E7115">
        <v>859</v>
      </c>
      <c r="F7115">
        <v>2</v>
      </c>
      <c r="G7115">
        <v>2</v>
      </c>
      <c r="H7115">
        <v>1</v>
      </c>
      <c r="I7115">
        <v>0</v>
      </c>
      <c r="J7115">
        <v>1</v>
      </c>
      <c r="K7115">
        <v>1</v>
      </c>
      <c r="L7115">
        <v>1</v>
      </c>
      <c r="M7115">
        <v>1</v>
      </c>
      <c r="N7115">
        <v>1</v>
      </c>
      <c r="O7115">
        <v>1</v>
      </c>
      <c r="P7115" t="s">
        <v>14518</v>
      </c>
      <c r="Q7115" t="s">
        <v>14519</v>
      </c>
      <c r="AF7115" t="s">
        <v>14520</v>
      </c>
    </row>
    <row r="7116" spans="1:32" hidden="1" x14ac:dyDescent="0.35">
      <c r="A7116">
        <v>7115</v>
      </c>
      <c r="B7116" t="s">
        <v>14521</v>
      </c>
      <c r="C7116" t="s">
        <v>68</v>
      </c>
      <c r="D7116" t="s">
        <v>60</v>
      </c>
      <c r="E7116">
        <v>1844</v>
      </c>
      <c r="F7116">
        <v>2</v>
      </c>
      <c r="G7116">
        <v>2</v>
      </c>
      <c r="H7116">
        <v>1</v>
      </c>
      <c r="I7116">
        <v>0</v>
      </c>
      <c r="J7116">
        <v>1</v>
      </c>
      <c r="K7116">
        <v>1</v>
      </c>
      <c r="L7116">
        <v>1</v>
      </c>
      <c r="M7116">
        <v>1</v>
      </c>
      <c r="N7116">
        <v>1</v>
      </c>
      <c r="O7116">
        <v>1</v>
      </c>
      <c r="P7116" t="s">
        <v>3647</v>
      </c>
      <c r="Q7116" t="s">
        <v>3648</v>
      </c>
      <c r="R7116" t="s">
        <v>235</v>
      </c>
      <c r="S7116" t="s">
        <v>236</v>
      </c>
      <c r="V7116" t="s">
        <v>3651</v>
      </c>
      <c r="W7116" t="s">
        <v>3652</v>
      </c>
      <c r="X7116" t="s">
        <v>3651</v>
      </c>
      <c r="Y7116" t="s">
        <v>1091</v>
      </c>
      <c r="AF7116" t="s">
        <v>14522</v>
      </c>
    </row>
    <row r="7117" spans="1:32" hidden="1" x14ac:dyDescent="0.35">
      <c r="A7117">
        <v>7116</v>
      </c>
      <c r="B7117" t="s">
        <v>14521</v>
      </c>
      <c r="C7117" t="s">
        <v>68</v>
      </c>
      <c r="D7117" t="s">
        <v>62</v>
      </c>
      <c r="E7117">
        <v>1882</v>
      </c>
      <c r="F7117">
        <v>2</v>
      </c>
      <c r="G7117">
        <v>2</v>
      </c>
      <c r="H7117">
        <v>1</v>
      </c>
      <c r="I7117">
        <v>0</v>
      </c>
      <c r="J7117">
        <v>1</v>
      </c>
      <c r="K7117">
        <v>1</v>
      </c>
      <c r="L7117">
        <v>1</v>
      </c>
      <c r="M7117">
        <v>1</v>
      </c>
      <c r="N7117">
        <v>1</v>
      </c>
      <c r="O7117">
        <v>1</v>
      </c>
      <c r="P7117" t="s">
        <v>3647</v>
      </c>
      <c r="Q7117" t="s">
        <v>3648</v>
      </c>
      <c r="R7117" t="s">
        <v>235</v>
      </c>
      <c r="S7117" t="s">
        <v>236</v>
      </c>
      <c r="V7117" t="s">
        <v>3651</v>
      </c>
      <c r="W7117" t="s">
        <v>3652</v>
      </c>
      <c r="X7117" t="s">
        <v>3651</v>
      </c>
      <c r="Y7117" t="s">
        <v>1091</v>
      </c>
      <c r="AF7117" t="s">
        <v>14522</v>
      </c>
    </row>
    <row r="7118" spans="1:32" hidden="1" x14ac:dyDescent="0.35">
      <c r="A7118">
        <v>7117</v>
      </c>
      <c r="B7118" t="s">
        <v>14523</v>
      </c>
      <c r="C7118" t="s">
        <v>68</v>
      </c>
      <c r="D7118" t="s">
        <v>34</v>
      </c>
      <c r="E7118">
        <v>904</v>
      </c>
      <c r="F7118">
        <v>2</v>
      </c>
      <c r="G7118">
        <v>2</v>
      </c>
      <c r="H7118">
        <v>1</v>
      </c>
      <c r="I7118">
        <v>0</v>
      </c>
      <c r="J7118">
        <v>1</v>
      </c>
      <c r="K7118">
        <v>1</v>
      </c>
      <c r="L7118">
        <v>1</v>
      </c>
      <c r="M7118">
        <v>1</v>
      </c>
      <c r="N7118">
        <v>1</v>
      </c>
      <c r="O7118">
        <v>1</v>
      </c>
      <c r="P7118" t="s">
        <v>14524</v>
      </c>
      <c r="Q7118" t="s">
        <v>14525</v>
      </c>
      <c r="AF7118" t="s">
        <v>14526</v>
      </c>
    </row>
    <row r="7119" spans="1:32" hidden="1" x14ac:dyDescent="0.35">
      <c r="A7119">
        <v>7118</v>
      </c>
      <c r="B7119" t="s">
        <v>14523</v>
      </c>
      <c r="C7119" t="s">
        <v>68</v>
      </c>
      <c r="D7119" t="s">
        <v>45</v>
      </c>
      <c r="E7119">
        <v>2160</v>
      </c>
      <c r="F7119">
        <v>2</v>
      </c>
      <c r="G7119">
        <v>2</v>
      </c>
      <c r="H7119">
        <v>1</v>
      </c>
      <c r="I7119">
        <v>0</v>
      </c>
      <c r="J7119">
        <v>1</v>
      </c>
      <c r="K7119">
        <v>1</v>
      </c>
      <c r="L7119">
        <v>1</v>
      </c>
      <c r="M7119">
        <v>1</v>
      </c>
      <c r="N7119">
        <v>1</v>
      </c>
      <c r="O7119">
        <v>1</v>
      </c>
      <c r="P7119" t="s">
        <v>14524</v>
      </c>
      <c r="Q7119" t="s">
        <v>14525</v>
      </c>
      <c r="AF7119" t="s">
        <v>14526</v>
      </c>
    </row>
    <row r="7120" spans="1:32" s="1" customFormat="1" hidden="1" x14ac:dyDescent="0.35">
      <c r="A7120" s="1">
        <v>7119</v>
      </c>
      <c r="B7120" s="1" t="s">
        <v>14527</v>
      </c>
      <c r="C7120" s="1" t="s">
        <v>68</v>
      </c>
      <c r="D7120" s="1" t="s">
        <v>60</v>
      </c>
      <c r="E7120" s="1">
        <v>2213</v>
      </c>
      <c r="F7120" s="1">
        <v>2</v>
      </c>
      <c r="G7120" s="1">
        <v>2</v>
      </c>
      <c r="H7120" s="1">
        <v>1</v>
      </c>
      <c r="I7120" s="1">
        <v>0</v>
      </c>
      <c r="J7120" s="1">
        <v>1</v>
      </c>
      <c r="K7120" s="1">
        <v>1</v>
      </c>
      <c r="L7120" s="1">
        <v>1</v>
      </c>
      <c r="M7120" s="1">
        <v>1</v>
      </c>
      <c r="N7120" s="1">
        <v>1</v>
      </c>
      <c r="O7120" s="1">
        <v>1</v>
      </c>
      <c r="P7120" s="1" t="s">
        <v>14528</v>
      </c>
      <c r="Q7120" s="1" t="s">
        <v>8704</v>
      </c>
      <c r="R7120" s="1" t="s">
        <v>319</v>
      </c>
      <c r="S7120" s="1" t="s">
        <v>320</v>
      </c>
      <c r="T7120" s="1" t="s">
        <v>14529</v>
      </c>
      <c r="U7120" s="1" t="s">
        <v>14530</v>
      </c>
      <c r="V7120" s="1" t="s">
        <v>8707</v>
      </c>
      <c r="W7120" s="1" t="s">
        <v>8708</v>
      </c>
      <c r="AD7120" s="1" t="s">
        <v>166</v>
      </c>
      <c r="AE7120" s="1" t="s">
        <v>13346</v>
      </c>
      <c r="AF7120" s="1" t="s">
        <v>14531</v>
      </c>
    </row>
    <row r="7121" spans="1:32" s="1" customFormat="1" hidden="1" x14ac:dyDescent="0.35">
      <c r="A7121" s="1">
        <v>7120</v>
      </c>
      <c r="B7121" s="1" t="s">
        <v>14527</v>
      </c>
      <c r="C7121" s="1" t="s">
        <v>68</v>
      </c>
      <c r="D7121" s="1" t="s">
        <v>62</v>
      </c>
      <c r="E7121" s="1">
        <v>2245</v>
      </c>
      <c r="F7121" s="1">
        <v>2</v>
      </c>
      <c r="G7121" s="1">
        <v>2</v>
      </c>
      <c r="H7121" s="1">
        <v>1</v>
      </c>
      <c r="I7121" s="1">
        <v>0</v>
      </c>
      <c r="J7121" s="1">
        <v>1</v>
      </c>
      <c r="K7121" s="1">
        <v>1</v>
      </c>
      <c r="L7121" s="1">
        <v>1</v>
      </c>
      <c r="M7121" s="1">
        <v>1</v>
      </c>
      <c r="N7121" s="1">
        <v>1</v>
      </c>
      <c r="O7121" s="1">
        <v>1</v>
      </c>
      <c r="P7121" s="1" t="s">
        <v>14528</v>
      </c>
      <c r="Q7121" s="1" t="s">
        <v>8704</v>
      </c>
      <c r="R7121" s="1" t="s">
        <v>319</v>
      </c>
      <c r="S7121" s="1" t="s">
        <v>320</v>
      </c>
      <c r="T7121" s="1" t="s">
        <v>14529</v>
      </c>
      <c r="U7121" s="1" t="s">
        <v>14530</v>
      </c>
      <c r="V7121" s="1" t="s">
        <v>8707</v>
      </c>
      <c r="W7121" s="1" t="s">
        <v>8708</v>
      </c>
      <c r="AD7121" s="1" t="s">
        <v>166</v>
      </c>
      <c r="AE7121" s="1" t="s">
        <v>13346</v>
      </c>
      <c r="AF7121" s="1" t="s">
        <v>14531</v>
      </c>
    </row>
    <row r="7122" spans="1:32" hidden="1" x14ac:dyDescent="0.35">
      <c r="A7122">
        <v>7121</v>
      </c>
      <c r="B7122" t="s">
        <v>14532</v>
      </c>
      <c r="C7122" t="s">
        <v>68</v>
      </c>
      <c r="D7122" t="s">
        <v>34</v>
      </c>
      <c r="E7122">
        <v>1068</v>
      </c>
      <c r="F7122">
        <v>2</v>
      </c>
      <c r="G7122">
        <v>2</v>
      </c>
      <c r="H7122">
        <v>1</v>
      </c>
      <c r="I7122">
        <v>0</v>
      </c>
      <c r="J7122">
        <v>1</v>
      </c>
      <c r="K7122">
        <v>1</v>
      </c>
      <c r="L7122">
        <v>1</v>
      </c>
      <c r="M7122">
        <v>1</v>
      </c>
      <c r="N7122">
        <v>1</v>
      </c>
      <c r="O7122">
        <v>1</v>
      </c>
      <c r="AF7122" t="s">
        <v>14533</v>
      </c>
    </row>
    <row r="7123" spans="1:32" hidden="1" x14ac:dyDescent="0.35">
      <c r="A7123">
        <v>7122</v>
      </c>
      <c r="B7123" t="s">
        <v>14532</v>
      </c>
      <c r="C7123" t="s">
        <v>68</v>
      </c>
      <c r="D7123" t="s">
        <v>45</v>
      </c>
      <c r="E7123">
        <v>2325</v>
      </c>
      <c r="F7123">
        <v>2</v>
      </c>
      <c r="G7123">
        <v>2</v>
      </c>
      <c r="H7123">
        <v>1</v>
      </c>
      <c r="I7123">
        <v>0</v>
      </c>
      <c r="J7123">
        <v>1</v>
      </c>
      <c r="K7123">
        <v>1</v>
      </c>
      <c r="L7123">
        <v>1</v>
      </c>
      <c r="M7123">
        <v>1</v>
      </c>
      <c r="N7123">
        <v>1</v>
      </c>
      <c r="O7123">
        <v>1</v>
      </c>
      <c r="AF7123" t="s">
        <v>14533</v>
      </c>
    </row>
    <row r="7124" spans="1:32" hidden="1" x14ac:dyDescent="0.35">
      <c r="A7124">
        <v>7123</v>
      </c>
      <c r="B7124" t="s">
        <v>14534</v>
      </c>
      <c r="C7124" t="s">
        <v>68</v>
      </c>
      <c r="D7124" t="s">
        <v>60</v>
      </c>
      <c r="E7124">
        <v>862</v>
      </c>
      <c r="F7124">
        <v>2</v>
      </c>
      <c r="G7124">
        <v>2</v>
      </c>
      <c r="H7124">
        <v>1</v>
      </c>
      <c r="I7124">
        <v>0</v>
      </c>
      <c r="J7124">
        <v>1</v>
      </c>
      <c r="K7124">
        <v>1</v>
      </c>
      <c r="L7124">
        <v>1</v>
      </c>
      <c r="M7124">
        <v>1</v>
      </c>
      <c r="N7124">
        <v>1</v>
      </c>
      <c r="O7124">
        <v>1</v>
      </c>
      <c r="P7124" t="s">
        <v>4889</v>
      </c>
      <c r="Q7124" t="s">
        <v>4890</v>
      </c>
      <c r="R7124" t="s">
        <v>184</v>
      </c>
      <c r="S7124" t="s">
        <v>185</v>
      </c>
      <c r="T7124" t="s">
        <v>14535</v>
      </c>
      <c r="U7124" t="s">
        <v>14536</v>
      </c>
      <c r="V7124" t="s">
        <v>14537</v>
      </c>
      <c r="W7124" t="s">
        <v>14538</v>
      </c>
      <c r="X7124" t="s">
        <v>14537</v>
      </c>
      <c r="Y7124" t="s">
        <v>10466</v>
      </c>
      <c r="AD7124" t="s">
        <v>410</v>
      </c>
      <c r="AE7124" t="s">
        <v>14539</v>
      </c>
      <c r="AF7124" t="s">
        <v>14540</v>
      </c>
    </row>
    <row r="7125" spans="1:32" hidden="1" x14ac:dyDescent="0.35">
      <c r="A7125">
        <v>7124</v>
      </c>
      <c r="B7125" t="s">
        <v>14534</v>
      </c>
      <c r="C7125" t="s">
        <v>68</v>
      </c>
      <c r="D7125" t="s">
        <v>62</v>
      </c>
      <c r="E7125">
        <v>896</v>
      </c>
      <c r="F7125">
        <v>2</v>
      </c>
      <c r="G7125">
        <v>2</v>
      </c>
      <c r="H7125">
        <v>1</v>
      </c>
      <c r="I7125">
        <v>0</v>
      </c>
      <c r="J7125">
        <v>1</v>
      </c>
      <c r="K7125">
        <v>1</v>
      </c>
      <c r="L7125">
        <v>1</v>
      </c>
      <c r="M7125">
        <v>1</v>
      </c>
      <c r="N7125">
        <v>1</v>
      </c>
      <c r="O7125">
        <v>1</v>
      </c>
      <c r="P7125" t="s">
        <v>4889</v>
      </c>
      <c r="Q7125" t="s">
        <v>4890</v>
      </c>
      <c r="R7125" t="s">
        <v>184</v>
      </c>
      <c r="S7125" t="s">
        <v>185</v>
      </c>
      <c r="T7125" t="s">
        <v>14535</v>
      </c>
      <c r="U7125" t="s">
        <v>14536</v>
      </c>
      <c r="V7125" t="s">
        <v>14537</v>
      </c>
      <c r="W7125" t="s">
        <v>14538</v>
      </c>
      <c r="X7125" t="s">
        <v>14537</v>
      </c>
      <c r="Y7125" t="s">
        <v>10466</v>
      </c>
      <c r="AD7125" t="s">
        <v>410</v>
      </c>
      <c r="AE7125" t="s">
        <v>14539</v>
      </c>
      <c r="AF7125" t="s">
        <v>14540</v>
      </c>
    </row>
    <row r="7126" spans="1:32" hidden="1" x14ac:dyDescent="0.35">
      <c r="A7126">
        <v>7125</v>
      </c>
      <c r="B7126" t="s">
        <v>14541</v>
      </c>
      <c r="C7126" t="s">
        <v>68</v>
      </c>
      <c r="D7126" t="s">
        <v>60</v>
      </c>
      <c r="E7126">
        <v>1845</v>
      </c>
      <c r="F7126">
        <v>2</v>
      </c>
      <c r="G7126">
        <v>2</v>
      </c>
      <c r="H7126">
        <v>1</v>
      </c>
      <c r="I7126">
        <v>0</v>
      </c>
      <c r="J7126">
        <v>1</v>
      </c>
      <c r="K7126">
        <v>1</v>
      </c>
      <c r="L7126">
        <v>1</v>
      </c>
      <c r="M7126">
        <v>1</v>
      </c>
      <c r="N7126">
        <v>1</v>
      </c>
      <c r="O7126">
        <v>1</v>
      </c>
      <c r="P7126" t="s">
        <v>12538</v>
      </c>
      <c r="Q7126" t="s">
        <v>8516</v>
      </c>
      <c r="R7126" t="s">
        <v>652</v>
      </c>
      <c r="S7126" t="s">
        <v>653</v>
      </c>
      <c r="T7126" t="s">
        <v>12539</v>
      </c>
      <c r="U7126" t="s">
        <v>12540</v>
      </c>
      <c r="V7126" t="s">
        <v>14542</v>
      </c>
      <c r="W7126" t="s">
        <v>14543</v>
      </c>
      <c r="AD7126" t="s">
        <v>219</v>
      </c>
      <c r="AE7126" t="s">
        <v>12541</v>
      </c>
      <c r="AF7126" t="s">
        <v>14544</v>
      </c>
    </row>
    <row r="7127" spans="1:32" hidden="1" x14ac:dyDescent="0.35">
      <c r="A7127">
        <v>7126</v>
      </c>
      <c r="B7127" t="s">
        <v>14541</v>
      </c>
      <c r="C7127" t="s">
        <v>68</v>
      </c>
      <c r="D7127" t="s">
        <v>62</v>
      </c>
      <c r="E7127">
        <v>1883</v>
      </c>
      <c r="F7127">
        <v>2</v>
      </c>
      <c r="G7127">
        <v>2</v>
      </c>
      <c r="H7127">
        <v>1</v>
      </c>
      <c r="I7127">
        <v>0</v>
      </c>
      <c r="J7127">
        <v>1</v>
      </c>
      <c r="K7127">
        <v>1</v>
      </c>
      <c r="L7127">
        <v>1</v>
      </c>
      <c r="M7127">
        <v>1</v>
      </c>
      <c r="N7127">
        <v>1</v>
      </c>
      <c r="O7127">
        <v>1</v>
      </c>
      <c r="P7127" t="s">
        <v>12538</v>
      </c>
      <c r="Q7127" t="s">
        <v>8516</v>
      </c>
      <c r="R7127" t="s">
        <v>652</v>
      </c>
      <c r="S7127" t="s">
        <v>653</v>
      </c>
      <c r="T7127" t="s">
        <v>12539</v>
      </c>
      <c r="U7127" t="s">
        <v>12540</v>
      </c>
      <c r="V7127" t="s">
        <v>14542</v>
      </c>
      <c r="W7127" t="s">
        <v>14543</v>
      </c>
      <c r="AD7127" t="s">
        <v>219</v>
      </c>
      <c r="AE7127" t="s">
        <v>12541</v>
      </c>
      <c r="AF7127" t="s">
        <v>14544</v>
      </c>
    </row>
    <row r="7128" spans="1:32" hidden="1" x14ac:dyDescent="0.35">
      <c r="A7128">
        <v>7127</v>
      </c>
      <c r="B7128" t="s">
        <v>14545</v>
      </c>
      <c r="C7128" t="s">
        <v>68</v>
      </c>
      <c r="D7128" t="s">
        <v>60</v>
      </c>
      <c r="E7128">
        <v>2269</v>
      </c>
      <c r="F7128">
        <v>2</v>
      </c>
      <c r="G7128">
        <v>2</v>
      </c>
      <c r="H7128">
        <v>1</v>
      </c>
      <c r="I7128">
        <v>0</v>
      </c>
      <c r="J7128">
        <v>1</v>
      </c>
      <c r="K7128">
        <v>1</v>
      </c>
      <c r="L7128">
        <v>1</v>
      </c>
      <c r="M7128">
        <v>1</v>
      </c>
      <c r="N7128">
        <v>1</v>
      </c>
      <c r="O7128">
        <v>1</v>
      </c>
      <c r="AF7128" t="s">
        <v>14546</v>
      </c>
    </row>
    <row r="7129" spans="1:32" hidden="1" x14ac:dyDescent="0.35">
      <c r="A7129">
        <v>7128</v>
      </c>
      <c r="B7129" t="s">
        <v>14545</v>
      </c>
      <c r="C7129" t="s">
        <v>68</v>
      </c>
      <c r="D7129" t="s">
        <v>62</v>
      </c>
      <c r="E7129">
        <v>2298</v>
      </c>
      <c r="F7129">
        <v>2</v>
      </c>
      <c r="G7129">
        <v>2</v>
      </c>
      <c r="H7129">
        <v>1</v>
      </c>
      <c r="I7129">
        <v>0</v>
      </c>
      <c r="J7129">
        <v>1</v>
      </c>
      <c r="K7129">
        <v>1</v>
      </c>
      <c r="L7129">
        <v>1</v>
      </c>
      <c r="M7129">
        <v>1</v>
      </c>
      <c r="N7129">
        <v>1</v>
      </c>
      <c r="O7129">
        <v>1</v>
      </c>
      <c r="AF7129" t="s">
        <v>14546</v>
      </c>
    </row>
    <row r="7130" spans="1:32" hidden="1" x14ac:dyDescent="0.35">
      <c r="A7130">
        <v>7129</v>
      </c>
      <c r="B7130" t="s">
        <v>14547</v>
      </c>
      <c r="C7130" t="s">
        <v>68</v>
      </c>
      <c r="D7130" t="s">
        <v>60</v>
      </c>
      <c r="E7130">
        <v>275</v>
      </c>
      <c r="F7130">
        <v>2</v>
      </c>
      <c r="G7130">
        <v>2</v>
      </c>
      <c r="H7130">
        <v>1</v>
      </c>
      <c r="I7130">
        <v>0</v>
      </c>
      <c r="J7130">
        <v>1</v>
      </c>
      <c r="K7130">
        <v>1</v>
      </c>
      <c r="L7130">
        <v>1</v>
      </c>
      <c r="M7130">
        <v>1</v>
      </c>
      <c r="N7130">
        <v>1</v>
      </c>
      <c r="O7130">
        <v>1</v>
      </c>
      <c r="AF7130" t="s">
        <v>14548</v>
      </c>
    </row>
    <row r="7131" spans="1:32" hidden="1" x14ac:dyDescent="0.35">
      <c r="A7131">
        <v>7130</v>
      </c>
      <c r="B7131" t="s">
        <v>14547</v>
      </c>
      <c r="C7131" t="s">
        <v>68</v>
      </c>
      <c r="D7131" t="s">
        <v>62</v>
      </c>
      <c r="E7131">
        <v>353</v>
      </c>
      <c r="F7131">
        <v>2</v>
      </c>
      <c r="G7131">
        <v>2</v>
      </c>
      <c r="H7131">
        <v>1</v>
      </c>
      <c r="I7131">
        <v>0</v>
      </c>
      <c r="J7131">
        <v>1</v>
      </c>
      <c r="K7131">
        <v>1</v>
      </c>
      <c r="L7131">
        <v>1</v>
      </c>
      <c r="M7131">
        <v>1</v>
      </c>
      <c r="N7131">
        <v>1</v>
      </c>
      <c r="O7131">
        <v>1</v>
      </c>
      <c r="AF7131" t="s">
        <v>14548</v>
      </c>
    </row>
    <row r="7132" spans="1:32" hidden="1" x14ac:dyDescent="0.35">
      <c r="A7132">
        <v>7131</v>
      </c>
      <c r="B7132" t="s">
        <v>14549</v>
      </c>
      <c r="C7132" t="s">
        <v>68</v>
      </c>
      <c r="D7132" t="s">
        <v>60</v>
      </c>
      <c r="E7132">
        <v>1327</v>
      </c>
      <c r="F7132">
        <v>2</v>
      </c>
      <c r="G7132">
        <v>2</v>
      </c>
      <c r="H7132">
        <v>1</v>
      </c>
      <c r="I7132">
        <v>0</v>
      </c>
      <c r="J7132">
        <v>1</v>
      </c>
      <c r="K7132">
        <v>1</v>
      </c>
      <c r="L7132">
        <v>1</v>
      </c>
      <c r="M7132">
        <v>1</v>
      </c>
      <c r="N7132">
        <v>1</v>
      </c>
      <c r="O7132">
        <v>1</v>
      </c>
      <c r="AF7132" t="s">
        <v>14550</v>
      </c>
    </row>
    <row r="7133" spans="1:32" hidden="1" x14ac:dyDescent="0.35">
      <c r="A7133">
        <v>7132</v>
      </c>
      <c r="B7133" t="s">
        <v>14549</v>
      </c>
      <c r="C7133" t="s">
        <v>68</v>
      </c>
      <c r="D7133" t="s">
        <v>62</v>
      </c>
      <c r="E7133">
        <v>1363</v>
      </c>
      <c r="F7133">
        <v>2</v>
      </c>
      <c r="G7133">
        <v>2</v>
      </c>
      <c r="H7133">
        <v>1</v>
      </c>
      <c r="I7133">
        <v>0</v>
      </c>
      <c r="J7133">
        <v>1</v>
      </c>
      <c r="K7133">
        <v>1</v>
      </c>
      <c r="L7133">
        <v>1</v>
      </c>
      <c r="M7133">
        <v>1</v>
      </c>
      <c r="N7133">
        <v>1</v>
      </c>
      <c r="O7133">
        <v>1</v>
      </c>
      <c r="AF7133" t="s">
        <v>14550</v>
      </c>
    </row>
    <row r="7134" spans="1:32" hidden="1" x14ac:dyDescent="0.35">
      <c r="A7134">
        <v>7133</v>
      </c>
      <c r="B7134" t="s">
        <v>14551</v>
      </c>
      <c r="C7134" t="s">
        <v>68</v>
      </c>
      <c r="D7134" t="s">
        <v>60</v>
      </c>
      <c r="E7134">
        <v>263</v>
      </c>
      <c r="F7134">
        <v>2</v>
      </c>
      <c r="G7134">
        <v>2</v>
      </c>
      <c r="H7134">
        <v>1</v>
      </c>
      <c r="I7134">
        <v>0</v>
      </c>
      <c r="J7134">
        <v>1</v>
      </c>
      <c r="K7134">
        <v>1</v>
      </c>
      <c r="L7134">
        <v>1</v>
      </c>
      <c r="M7134">
        <v>1</v>
      </c>
      <c r="N7134">
        <v>1</v>
      </c>
      <c r="O7134">
        <v>1</v>
      </c>
      <c r="AF7134" t="s">
        <v>14552</v>
      </c>
    </row>
    <row r="7135" spans="1:32" hidden="1" x14ac:dyDescent="0.35">
      <c r="A7135">
        <v>7134</v>
      </c>
      <c r="B7135" t="s">
        <v>14551</v>
      </c>
      <c r="C7135" t="s">
        <v>68</v>
      </c>
      <c r="D7135" t="s">
        <v>62</v>
      </c>
      <c r="E7135">
        <v>341</v>
      </c>
      <c r="F7135">
        <v>2</v>
      </c>
      <c r="G7135">
        <v>2</v>
      </c>
      <c r="H7135">
        <v>1</v>
      </c>
      <c r="I7135">
        <v>0</v>
      </c>
      <c r="J7135">
        <v>1</v>
      </c>
      <c r="K7135">
        <v>1</v>
      </c>
      <c r="L7135">
        <v>1</v>
      </c>
      <c r="M7135">
        <v>1</v>
      </c>
      <c r="N7135">
        <v>1</v>
      </c>
      <c r="O7135">
        <v>1</v>
      </c>
      <c r="AF7135" t="s">
        <v>14552</v>
      </c>
    </row>
    <row r="7136" spans="1:32" hidden="1" x14ac:dyDescent="0.35">
      <c r="A7136">
        <v>7135</v>
      </c>
      <c r="B7136" t="s">
        <v>14553</v>
      </c>
      <c r="C7136" t="s">
        <v>68</v>
      </c>
      <c r="D7136" t="s">
        <v>60</v>
      </c>
      <c r="E7136">
        <v>2284</v>
      </c>
      <c r="F7136">
        <v>2</v>
      </c>
      <c r="G7136">
        <v>2</v>
      </c>
      <c r="H7136">
        <v>1</v>
      </c>
      <c r="I7136">
        <v>0</v>
      </c>
      <c r="J7136">
        <v>1</v>
      </c>
      <c r="K7136">
        <v>1</v>
      </c>
      <c r="L7136">
        <v>1</v>
      </c>
      <c r="M7136">
        <v>1</v>
      </c>
      <c r="N7136">
        <v>1</v>
      </c>
      <c r="O7136">
        <v>1</v>
      </c>
      <c r="P7136" t="s">
        <v>14554</v>
      </c>
      <c r="Q7136" t="s">
        <v>14555</v>
      </c>
      <c r="R7136" t="s">
        <v>6699</v>
      </c>
      <c r="S7136" t="s">
        <v>6700</v>
      </c>
      <c r="T7136" t="s">
        <v>14556</v>
      </c>
      <c r="U7136" t="s">
        <v>14557</v>
      </c>
      <c r="V7136" t="s">
        <v>14558</v>
      </c>
      <c r="W7136" t="s">
        <v>14559</v>
      </c>
      <c r="AD7136" t="s">
        <v>219</v>
      </c>
      <c r="AE7136" t="s">
        <v>14560</v>
      </c>
      <c r="AF7136" t="s">
        <v>14561</v>
      </c>
    </row>
    <row r="7137" spans="1:32" hidden="1" x14ac:dyDescent="0.35">
      <c r="A7137">
        <v>7136</v>
      </c>
      <c r="B7137" t="s">
        <v>14553</v>
      </c>
      <c r="C7137" t="s">
        <v>68</v>
      </c>
      <c r="D7137" t="s">
        <v>62</v>
      </c>
      <c r="E7137">
        <v>2313</v>
      </c>
      <c r="F7137">
        <v>2</v>
      </c>
      <c r="G7137">
        <v>2</v>
      </c>
      <c r="H7137">
        <v>1</v>
      </c>
      <c r="I7137">
        <v>0</v>
      </c>
      <c r="J7137">
        <v>1</v>
      </c>
      <c r="K7137">
        <v>1</v>
      </c>
      <c r="L7137">
        <v>1</v>
      </c>
      <c r="M7137">
        <v>1</v>
      </c>
      <c r="N7137">
        <v>1</v>
      </c>
      <c r="O7137">
        <v>1</v>
      </c>
      <c r="P7137" t="s">
        <v>14554</v>
      </c>
      <c r="Q7137" t="s">
        <v>14555</v>
      </c>
      <c r="R7137" t="s">
        <v>6699</v>
      </c>
      <c r="S7137" t="s">
        <v>6700</v>
      </c>
      <c r="T7137" t="s">
        <v>14556</v>
      </c>
      <c r="U7137" t="s">
        <v>14557</v>
      </c>
      <c r="V7137" t="s">
        <v>14558</v>
      </c>
      <c r="W7137" t="s">
        <v>14559</v>
      </c>
      <c r="AD7137" t="s">
        <v>219</v>
      </c>
      <c r="AE7137" t="s">
        <v>14560</v>
      </c>
      <c r="AF7137" t="s">
        <v>14561</v>
      </c>
    </row>
    <row r="7138" spans="1:32" hidden="1" x14ac:dyDescent="0.35">
      <c r="A7138">
        <v>7137</v>
      </c>
      <c r="B7138" t="s">
        <v>14562</v>
      </c>
      <c r="C7138" t="s">
        <v>68</v>
      </c>
      <c r="D7138" t="s">
        <v>60</v>
      </c>
      <c r="E7138">
        <v>623</v>
      </c>
      <c r="F7138">
        <v>2</v>
      </c>
      <c r="G7138">
        <v>2</v>
      </c>
      <c r="H7138">
        <v>1</v>
      </c>
      <c r="I7138">
        <v>0</v>
      </c>
      <c r="J7138">
        <v>1</v>
      </c>
      <c r="K7138">
        <v>1</v>
      </c>
      <c r="L7138">
        <v>1</v>
      </c>
      <c r="M7138">
        <v>1</v>
      </c>
      <c r="N7138">
        <v>1</v>
      </c>
      <c r="O7138">
        <v>1</v>
      </c>
      <c r="AF7138" t="s">
        <v>14563</v>
      </c>
    </row>
    <row r="7139" spans="1:32" hidden="1" x14ac:dyDescent="0.35">
      <c r="A7139">
        <v>7138</v>
      </c>
      <c r="B7139" t="s">
        <v>14562</v>
      </c>
      <c r="C7139" t="s">
        <v>68</v>
      </c>
      <c r="D7139" t="s">
        <v>62</v>
      </c>
      <c r="E7139">
        <v>707</v>
      </c>
      <c r="F7139">
        <v>2</v>
      </c>
      <c r="G7139">
        <v>2</v>
      </c>
      <c r="H7139">
        <v>1</v>
      </c>
      <c r="I7139">
        <v>0</v>
      </c>
      <c r="J7139">
        <v>1</v>
      </c>
      <c r="K7139">
        <v>1</v>
      </c>
      <c r="L7139">
        <v>1</v>
      </c>
      <c r="M7139">
        <v>1</v>
      </c>
      <c r="N7139">
        <v>1</v>
      </c>
      <c r="O7139">
        <v>1</v>
      </c>
      <c r="AF7139" t="s">
        <v>14563</v>
      </c>
    </row>
    <row r="7140" spans="1:32" hidden="1" x14ac:dyDescent="0.35">
      <c r="A7140">
        <v>7139</v>
      </c>
      <c r="B7140" t="s">
        <v>14564</v>
      </c>
      <c r="C7140" t="s">
        <v>68</v>
      </c>
      <c r="D7140" t="s">
        <v>34</v>
      </c>
      <c r="E7140">
        <v>432</v>
      </c>
      <c r="F7140">
        <v>2</v>
      </c>
      <c r="G7140">
        <v>2</v>
      </c>
      <c r="H7140">
        <v>1</v>
      </c>
      <c r="I7140">
        <v>0</v>
      </c>
      <c r="J7140">
        <v>1</v>
      </c>
      <c r="K7140">
        <v>1</v>
      </c>
      <c r="L7140">
        <v>1</v>
      </c>
      <c r="M7140">
        <v>1</v>
      </c>
      <c r="N7140">
        <v>1</v>
      </c>
      <c r="O7140">
        <v>1</v>
      </c>
      <c r="AF7140" t="s">
        <v>14565</v>
      </c>
    </row>
    <row r="7141" spans="1:32" hidden="1" x14ac:dyDescent="0.35">
      <c r="A7141">
        <v>7140</v>
      </c>
      <c r="B7141" t="s">
        <v>14564</v>
      </c>
      <c r="C7141" t="s">
        <v>68</v>
      </c>
      <c r="D7141" t="s">
        <v>45</v>
      </c>
      <c r="E7141">
        <v>1694</v>
      </c>
      <c r="F7141">
        <v>2</v>
      </c>
      <c r="G7141">
        <v>2</v>
      </c>
      <c r="H7141">
        <v>1</v>
      </c>
      <c r="I7141">
        <v>0</v>
      </c>
      <c r="J7141">
        <v>1</v>
      </c>
      <c r="K7141">
        <v>1</v>
      </c>
      <c r="L7141">
        <v>1</v>
      </c>
      <c r="M7141">
        <v>1</v>
      </c>
      <c r="N7141">
        <v>1</v>
      </c>
      <c r="O7141">
        <v>1</v>
      </c>
      <c r="AF7141" t="s">
        <v>14565</v>
      </c>
    </row>
    <row r="7142" spans="1:32" hidden="1" x14ac:dyDescent="0.35">
      <c r="A7142">
        <v>7141</v>
      </c>
      <c r="B7142" t="s">
        <v>14566</v>
      </c>
      <c r="C7142" t="s">
        <v>68</v>
      </c>
      <c r="D7142" t="s">
        <v>60</v>
      </c>
      <c r="E7142">
        <v>788</v>
      </c>
      <c r="F7142">
        <v>2</v>
      </c>
      <c r="G7142">
        <v>2</v>
      </c>
      <c r="H7142">
        <v>1</v>
      </c>
      <c r="I7142">
        <v>0</v>
      </c>
      <c r="J7142">
        <v>1</v>
      </c>
      <c r="K7142">
        <v>1</v>
      </c>
      <c r="L7142">
        <v>1</v>
      </c>
      <c r="M7142">
        <v>1</v>
      </c>
      <c r="N7142">
        <v>1</v>
      </c>
      <c r="O7142">
        <v>1</v>
      </c>
      <c r="AF7142" t="s">
        <v>14567</v>
      </c>
    </row>
    <row r="7143" spans="1:32" hidden="1" x14ac:dyDescent="0.35">
      <c r="A7143">
        <v>7142</v>
      </c>
      <c r="B7143" t="s">
        <v>14566</v>
      </c>
      <c r="C7143" t="s">
        <v>68</v>
      </c>
      <c r="D7143" t="s">
        <v>62</v>
      </c>
      <c r="E7143">
        <v>821</v>
      </c>
      <c r="F7143">
        <v>2</v>
      </c>
      <c r="G7143">
        <v>2</v>
      </c>
      <c r="H7143">
        <v>1</v>
      </c>
      <c r="I7143">
        <v>0</v>
      </c>
      <c r="J7143">
        <v>1</v>
      </c>
      <c r="K7143">
        <v>1</v>
      </c>
      <c r="L7143">
        <v>1</v>
      </c>
      <c r="M7143">
        <v>1</v>
      </c>
      <c r="N7143">
        <v>1</v>
      </c>
      <c r="O7143">
        <v>1</v>
      </c>
      <c r="AF7143" t="s">
        <v>14567</v>
      </c>
    </row>
    <row r="7144" spans="1:32" hidden="1" x14ac:dyDescent="0.35">
      <c r="A7144">
        <v>7143</v>
      </c>
      <c r="B7144" t="s">
        <v>14568</v>
      </c>
      <c r="C7144" t="s">
        <v>68</v>
      </c>
      <c r="D7144" t="s">
        <v>60</v>
      </c>
      <c r="E7144">
        <v>728</v>
      </c>
      <c r="F7144">
        <v>2</v>
      </c>
      <c r="G7144">
        <v>2</v>
      </c>
      <c r="H7144">
        <v>1</v>
      </c>
      <c r="I7144">
        <v>0</v>
      </c>
      <c r="J7144">
        <v>1</v>
      </c>
      <c r="K7144">
        <v>1</v>
      </c>
      <c r="L7144">
        <v>1</v>
      </c>
      <c r="M7144">
        <v>1</v>
      </c>
      <c r="N7144">
        <v>1</v>
      </c>
      <c r="O7144">
        <v>1</v>
      </c>
      <c r="P7144" t="s">
        <v>14569</v>
      </c>
      <c r="Q7144" t="s">
        <v>14570</v>
      </c>
      <c r="AF7144" t="s">
        <v>14571</v>
      </c>
    </row>
    <row r="7145" spans="1:32" hidden="1" x14ac:dyDescent="0.35">
      <c r="A7145">
        <v>7144</v>
      </c>
      <c r="B7145" t="s">
        <v>14568</v>
      </c>
      <c r="C7145" t="s">
        <v>68</v>
      </c>
      <c r="D7145" t="s">
        <v>62</v>
      </c>
      <c r="E7145">
        <v>759</v>
      </c>
      <c r="F7145">
        <v>2</v>
      </c>
      <c r="G7145">
        <v>2</v>
      </c>
      <c r="H7145">
        <v>1</v>
      </c>
      <c r="I7145">
        <v>0</v>
      </c>
      <c r="J7145">
        <v>1</v>
      </c>
      <c r="K7145">
        <v>1</v>
      </c>
      <c r="L7145">
        <v>1</v>
      </c>
      <c r="M7145">
        <v>1</v>
      </c>
      <c r="N7145">
        <v>1</v>
      </c>
      <c r="O7145">
        <v>1</v>
      </c>
      <c r="P7145" t="s">
        <v>14569</v>
      </c>
      <c r="Q7145" t="s">
        <v>14570</v>
      </c>
      <c r="AF7145" t="s">
        <v>14571</v>
      </c>
    </row>
    <row r="7146" spans="1:32" hidden="1" x14ac:dyDescent="0.35">
      <c r="A7146">
        <v>7145</v>
      </c>
      <c r="B7146" t="s">
        <v>14572</v>
      </c>
      <c r="C7146" t="s">
        <v>68</v>
      </c>
      <c r="D7146" t="s">
        <v>34</v>
      </c>
      <c r="E7146">
        <v>787</v>
      </c>
      <c r="F7146">
        <v>2</v>
      </c>
      <c r="G7146">
        <v>2</v>
      </c>
      <c r="H7146">
        <v>1</v>
      </c>
      <c r="I7146">
        <v>0</v>
      </c>
      <c r="J7146">
        <v>1</v>
      </c>
      <c r="K7146">
        <v>1</v>
      </c>
      <c r="L7146">
        <v>1</v>
      </c>
      <c r="M7146">
        <v>1</v>
      </c>
      <c r="N7146">
        <v>1</v>
      </c>
      <c r="O7146">
        <v>1</v>
      </c>
      <c r="P7146" t="s">
        <v>4358</v>
      </c>
      <c r="Q7146" t="s">
        <v>4359</v>
      </c>
      <c r="AF7146" t="s">
        <v>14573</v>
      </c>
    </row>
    <row r="7147" spans="1:32" hidden="1" x14ac:dyDescent="0.35">
      <c r="A7147">
        <v>7146</v>
      </c>
      <c r="B7147" t="s">
        <v>14572</v>
      </c>
      <c r="C7147" t="s">
        <v>68</v>
      </c>
      <c r="D7147" t="s">
        <v>45</v>
      </c>
      <c r="E7147">
        <v>2048</v>
      </c>
      <c r="F7147">
        <v>2</v>
      </c>
      <c r="G7147">
        <v>2</v>
      </c>
      <c r="H7147">
        <v>1</v>
      </c>
      <c r="I7147">
        <v>0</v>
      </c>
      <c r="J7147">
        <v>1</v>
      </c>
      <c r="K7147">
        <v>1</v>
      </c>
      <c r="L7147">
        <v>1</v>
      </c>
      <c r="M7147">
        <v>1</v>
      </c>
      <c r="N7147">
        <v>1</v>
      </c>
      <c r="O7147">
        <v>1</v>
      </c>
      <c r="P7147" t="s">
        <v>4358</v>
      </c>
      <c r="Q7147" t="s">
        <v>4359</v>
      </c>
      <c r="AF7147" t="s">
        <v>14573</v>
      </c>
    </row>
    <row r="7148" spans="1:32" hidden="1" x14ac:dyDescent="0.35">
      <c r="A7148">
        <v>7147</v>
      </c>
      <c r="B7148" t="s">
        <v>14574</v>
      </c>
      <c r="C7148" t="s">
        <v>68</v>
      </c>
      <c r="D7148" t="s">
        <v>34</v>
      </c>
      <c r="E7148">
        <v>438</v>
      </c>
      <c r="F7148">
        <v>2</v>
      </c>
      <c r="G7148">
        <v>2</v>
      </c>
      <c r="H7148">
        <v>1</v>
      </c>
      <c r="I7148">
        <v>0</v>
      </c>
      <c r="J7148">
        <v>1</v>
      </c>
      <c r="K7148">
        <v>1</v>
      </c>
      <c r="L7148">
        <v>1</v>
      </c>
      <c r="M7148">
        <v>1</v>
      </c>
      <c r="N7148">
        <v>1</v>
      </c>
      <c r="O7148">
        <v>1</v>
      </c>
      <c r="AF7148" t="s">
        <v>14575</v>
      </c>
    </row>
    <row r="7149" spans="1:32" hidden="1" x14ac:dyDescent="0.35">
      <c r="A7149">
        <v>7148</v>
      </c>
      <c r="B7149" t="s">
        <v>14574</v>
      </c>
      <c r="C7149" t="s">
        <v>68</v>
      </c>
      <c r="D7149" t="s">
        <v>45</v>
      </c>
      <c r="E7149">
        <v>1701</v>
      </c>
      <c r="F7149">
        <v>2</v>
      </c>
      <c r="G7149">
        <v>2</v>
      </c>
      <c r="H7149">
        <v>1</v>
      </c>
      <c r="I7149">
        <v>0</v>
      </c>
      <c r="J7149">
        <v>1</v>
      </c>
      <c r="K7149">
        <v>1</v>
      </c>
      <c r="L7149">
        <v>1</v>
      </c>
      <c r="M7149">
        <v>1</v>
      </c>
      <c r="N7149">
        <v>1</v>
      </c>
      <c r="O7149">
        <v>1</v>
      </c>
      <c r="AF7149" t="s">
        <v>14575</v>
      </c>
    </row>
    <row r="7150" spans="1:32" hidden="1" x14ac:dyDescent="0.35">
      <c r="A7150">
        <v>7149</v>
      </c>
      <c r="B7150" t="s">
        <v>14576</v>
      </c>
      <c r="C7150" t="s">
        <v>68</v>
      </c>
      <c r="D7150" t="s">
        <v>60</v>
      </c>
      <c r="E7150">
        <v>1770</v>
      </c>
      <c r="F7150">
        <v>2</v>
      </c>
      <c r="G7150">
        <v>2</v>
      </c>
      <c r="H7150">
        <v>1</v>
      </c>
      <c r="I7150">
        <v>0</v>
      </c>
      <c r="J7150">
        <v>1</v>
      </c>
      <c r="K7150">
        <v>1</v>
      </c>
      <c r="L7150">
        <v>1</v>
      </c>
      <c r="M7150">
        <v>1</v>
      </c>
      <c r="N7150">
        <v>1</v>
      </c>
      <c r="O7150">
        <v>1</v>
      </c>
      <c r="P7150" t="s">
        <v>12891</v>
      </c>
      <c r="Q7150" t="s">
        <v>12892</v>
      </c>
      <c r="R7150" t="s">
        <v>1259</v>
      </c>
      <c r="S7150" t="s">
        <v>1260</v>
      </c>
      <c r="T7150" t="s">
        <v>14577</v>
      </c>
      <c r="U7150" t="s">
        <v>14578</v>
      </c>
      <c r="V7150" t="s">
        <v>14579</v>
      </c>
      <c r="W7150" t="s">
        <v>2923</v>
      </c>
      <c r="AD7150" t="s">
        <v>5013</v>
      </c>
      <c r="AE7150" t="s">
        <v>5014</v>
      </c>
      <c r="AF7150" t="s">
        <v>14580</v>
      </c>
    </row>
    <row r="7151" spans="1:32" hidden="1" x14ac:dyDescent="0.35">
      <c r="A7151">
        <v>7150</v>
      </c>
      <c r="B7151" t="s">
        <v>14576</v>
      </c>
      <c r="C7151" t="s">
        <v>68</v>
      </c>
      <c r="D7151" t="s">
        <v>62</v>
      </c>
      <c r="E7151">
        <v>1806</v>
      </c>
      <c r="F7151">
        <v>2</v>
      </c>
      <c r="G7151">
        <v>2</v>
      </c>
      <c r="H7151">
        <v>1</v>
      </c>
      <c r="I7151">
        <v>0</v>
      </c>
      <c r="J7151">
        <v>1</v>
      </c>
      <c r="K7151">
        <v>1</v>
      </c>
      <c r="L7151">
        <v>1</v>
      </c>
      <c r="M7151">
        <v>1</v>
      </c>
      <c r="N7151">
        <v>1</v>
      </c>
      <c r="O7151">
        <v>1</v>
      </c>
      <c r="P7151" t="s">
        <v>12891</v>
      </c>
      <c r="Q7151" t="s">
        <v>12892</v>
      </c>
      <c r="R7151" t="s">
        <v>1259</v>
      </c>
      <c r="S7151" t="s">
        <v>1260</v>
      </c>
      <c r="T7151" t="s">
        <v>14577</v>
      </c>
      <c r="U7151" t="s">
        <v>14578</v>
      </c>
      <c r="V7151" t="s">
        <v>14579</v>
      </c>
      <c r="W7151" t="s">
        <v>2923</v>
      </c>
      <c r="AD7151" t="s">
        <v>5013</v>
      </c>
      <c r="AE7151" t="s">
        <v>5014</v>
      </c>
      <c r="AF7151" t="s">
        <v>14580</v>
      </c>
    </row>
    <row r="7152" spans="1:32" hidden="1" x14ac:dyDescent="0.35">
      <c r="A7152">
        <v>7151</v>
      </c>
      <c r="B7152" t="s">
        <v>14581</v>
      </c>
      <c r="C7152" t="s">
        <v>68</v>
      </c>
      <c r="D7152" t="s">
        <v>60</v>
      </c>
      <c r="E7152">
        <v>883</v>
      </c>
      <c r="F7152">
        <v>2</v>
      </c>
      <c r="G7152">
        <v>2</v>
      </c>
      <c r="H7152">
        <v>1</v>
      </c>
      <c r="I7152">
        <v>0</v>
      </c>
      <c r="J7152">
        <v>1</v>
      </c>
      <c r="K7152">
        <v>1</v>
      </c>
      <c r="L7152">
        <v>1</v>
      </c>
      <c r="M7152">
        <v>1</v>
      </c>
      <c r="N7152">
        <v>1</v>
      </c>
      <c r="O7152">
        <v>1</v>
      </c>
      <c r="AF7152" t="s">
        <v>14582</v>
      </c>
    </row>
    <row r="7153" spans="1:32" hidden="1" x14ac:dyDescent="0.35">
      <c r="A7153">
        <v>7152</v>
      </c>
      <c r="B7153" t="s">
        <v>14581</v>
      </c>
      <c r="C7153" t="s">
        <v>68</v>
      </c>
      <c r="D7153" t="s">
        <v>62</v>
      </c>
      <c r="E7153">
        <v>917</v>
      </c>
      <c r="F7153">
        <v>2</v>
      </c>
      <c r="G7153">
        <v>2</v>
      </c>
      <c r="H7153">
        <v>1</v>
      </c>
      <c r="I7153">
        <v>0</v>
      </c>
      <c r="J7153">
        <v>1</v>
      </c>
      <c r="K7153">
        <v>1</v>
      </c>
      <c r="L7153">
        <v>1</v>
      </c>
      <c r="M7153">
        <v>1</v>
      </c>
      <c r="N7153">
        <v>1</v>
      </c>
      <c r="O7153">
        <v>1</v>
      </c>
      <c r="AF7153" t="s">
        <v>14582</v>
      </c>
    </row>
    <row r="7154" spans="1:32" hidden="1" x14ac:dyDescent="0.35">
      <c r="A7154">
        <v>7153</v>
      </c>
      <c r="B7154" t="s">
        <v>14583</v>
      </c>
      <c r="C7154" t="s">
        <v>68</v>
      </c>
      <c r="D7154" t="s">
        <v>34</v>
      </c>
      <c r="E7154">
        <v>1597</v>
      </c>
      <c r="F7154">
        <v>2</v>
      </c>
      <c r="G7154">
        <v>2</v>
      </c>
      <c r="H7154">
        <v>1</v>
      </c>
      <c r="I7154">
        <v>0</v>
      </c>
      <c r="J7154">
        <v>1</v>
      </c>
      <c r="K7154">
        <v>1</v>
      </c>
      <c r="L7154">
        <v>1</v>
      </c>
      <c r="M7154">
        <v>1</v>
      </c>
      <c r="N7154">
        <v>1</v>
      </c>
      <c r="O7154">
        <v>1</v>
      </c>
      <c r="P7154" t="s">
        <v>4783</v>
      </c>
      <c r="Q7154" t="s">
        <v>4784</v>
      </c>
      <c r="T7154" t="s">
        <v>4785</v>
      </c>
      <c r="U7154" t="s">
        <v>4786</v>
      </c>
      <c r="AD7154" t="s">
        <v>4789</v>
      </c>
      <c r="AE7154" t="s">
        <v>4790</v>
      </c>
      <c r="AF7154" t="s">
        <v>14584</v>
      </c>
    </row>
    <row r="7155" spans="1:32" hidden="1" x14ac:dyDescent="0.35">
      <c r="A7155">
        <v>7154</v>
      </c>
      <c r="B7155" t="s">
        <v>14583</v>
      </c>
      <c r="C7155" t="s">
        <v>68</v>
      </c>
      <c r="D7155" t="s">
        <v>45</v>
      </c>
      <c r="E7155">
        <v>347</v>
      </c>
      <c r="F7155">
        <v>2</v>
      </c>
      <c r="G7155">
        <v>2</v>
      </c>
      <c r="H7155">
        <v>1</v>
      </c>
      <c r="I7155">
        <v>0</v>
      </c>
      <c r="J7155">
        <v>1</v>
      </c>
      <c r="K7155">
        <v>1</v>
      </c>
      <c r="L7155">
        <v>1</v>
      </c>
      <c r="M7155">
        <v>1</v>
      </c>
      <c r="N7155">
        <v>1</v>
      </c>
      <c r="O7155">
        <v>1</v>
      </c>
      <c r="P7155" t="s">
        <v>4783</v>
      </c>
      <c r="Q7155" t="s">
        <v>4784</v>
      </c>
      <c r="T7155" t="s">
        <v>4785</v>
      </c>
      <c r="U7155" t="s">
        <v>4786</v>
      </c>
      <c r="AD7155" t="s">
        <v>4789</v>
      </c>
      <c r="AE7155" t="s">
        <v>4790</v>
      </c>
      <c r="AF7155" t="s">
        <v>14584</v>
      </c>
    </row>
    <row r="7156" spans="1:32" hidden="1" x14ac:dyDescent="0.35">
      <c r="A7156">
        <v>7155</v>
      </c>
      <c r="B7156" t="s">
        <v>14585</v>
      </c>
      <c r="C7156" t="s">
        <v>68</v>
      </c>
      <c r="D7156" t="s">
        <v>60</v>
      </c>
      <c r="E7156">
        <v>1540</v>
      </c>
      <c r="F7156">
        <v>2</v>
      </c>
      <c r="G7156">
        <v>2</v>
      </c>
      <c r="H7156">
        <v>1</v>
      </c>
      <c r="I7156">
        <v>0</v>
      </c>
      <c r="J7156">
        <v>1</v>
      </c>
      <c r="K7156">
        <v>1</v>
      </c>
      <c r="L7156">
        <v>1</v>
      </c>
      <c r="M7156">
        <v>1</v>
      </c>
      <c r="N7156">
        <v>1</v>
      </c>
      <c r="O7156">
        <v>1</v>
      </c>
      <c r="P7156" t="s">
        <v>155</v>
      </c>
      <c r="Q7156" t="s">
        <v>156</v>
      </c>
      <c r="R7156" t="s">
        <v>319</v>
      </c>
      <c r="S7156" t="s">
        <v>320</v>
      </c>
      <c r="T7156" t="s">
        <v>14586</v>
      </c>
      <c r="U7156" t="s">
        <v>14587</v>
      </c>
      <c r="V7156" t="s">
        <v>11097</v>
      </c>
      <c r="W7156" t="s">
        <v>11098</v>
      </c>
      <c r="X7156" t="s">
        <v>11097</v>
      </c>
      <c r="Y7156" t="s">
        <v>5998</v>
      </c>
      <c r="AD7156" t="s">
        <v>219</v>
      </c>
      <c r="AE7156" t="s">
        <v>14588</v>
      </c>
      <c r="AF7156" t="s">
        <v>14589</v>
      </c>
    </row>
    <row r="7157" spans="1:32" hidden="1" x14ac:dyDescent="0.35">
      <c r="A7157">
        <v>7156</v>
      </c>
      <c r="B7157" t="s">
        <v>14585</v>
      </c>
      <c r="C7157" t="s">
        <v>68</v>
      </c>
      <c r="D7157" t="s">
        <v>62</v>
      </c>
      <c r="E7157">
        <v>1575</v>
      </c>
      <c r="F7157">
        <v>2</v>
      </c>
      <c r="G7157">
        <v>2</v>
      </c>
      <c r="H7157">
        <v>1</v>
      </c>
      <c r="I7157">
        <v>0</v>
      </c>
      <c r="J7157">
        <v>1</v>
      </c>
      <c r="K7157">
        <v>1</v>
      </c>
      <c r="L7157">
        <v>1</v>
      </c>
      <c r="M7157">
        <v>1</v>
      </c>
      <c r="N7157">
        <v>1</v>
      </c>
      <c r="O7157">
        <v>1</v>
      </c>
      <c r="P7157" t="s">
        <v>155</v>
      </c>
      <c r="Q7157" t="s">
        <v>156</v>
      </c>
      <c r="R7157" t="s">
        <v>319</v>
      </c>
      <c r="S7157" t="s">
        <v>320</v>
      </c>
      <c r="T7157" t="s">
        <v>14586</v>
      </c>
      <c r="U7157" t="s">
        <v>14587</v>
      </c>
      <c r="V7157" t="s">
        <v>11097</v>
      </c>
      <c r="W7157" t="s">
        <v>11098</v>
      </c>
      <c r="X7157" t="s">
        <v>11097</v>
      </c>
      <c r="Y7157" t="s">
        <v>5998</v>
      </c>
      <c r="AD7157" t="s">
        <v>219</v>
      </c>
      <c r="AE7157" t="s">
        <v>14588</v>
      </c>
      <c r="AF7157" t="s">
        <v>14589</v>
      </c>
    </row>
    <row r="7158" spans="1:32" hidden="1" x14ac:dyDescent="0.35">
      <c r="A7158">
        <v>7157</v>
      </c>
      <c r="B7158" t="s">
        <v>14590</v>
      </c>
      <c r="C7158" t="s">
        <v>68</v>
      </c>
      <c r="D7158" t="s">
        <v>34</v>
      </c>
      <c r="E7158">
        <v>2111</v>
      </c>
      <c r="F7158">
        <v>2</v>
      </c>
      <c r="G7158">
        <v>2</v>
      </c>
      <c r="H7158">
        <v>1</v>
      </c>
      <c r="I7158">
        <v>0</v>
      </c>
      <c r="J7158">
        <v>1</v>
      </c>
      <c r="K7158">
        <v>1</v>
      </c>
      <c r="L7158">
        <v>1</v>
      </c>
      <c r="M7158">
        <v>1</v>
      </c>
      <c r="N7158">
        <v>1</v>
      </c>
      <c r="O7158">
        <v>1</v>
      </c>
      <c r="P7158" t="s">
        <v>14591</v>
      </c>
      <c r="Q7158" t="s">
        <v>14592</v>
      </c>
      <c r="R7158" t="s">
        <v>96</v>
      </c>
      <c r="S7158" t="s">
        <v>97</v>
      </c>
      <c r="T7158" t="s">
        <v>14593</v>
      </c>
      <c r="U7158" t="s">
        <v>14594</v>
      </c>
      <c r="V7158" t="s">
        <v>14595</v>
      </c>
      <c r="W7158" t="s">
        <v>14596</v>
      </c>
      <c r="AD7158" t="s">
        <v>4789</v>
      </c>
      <c r="AE7158" t="s">
        <v>14597</v>
      </c>
      <c r="AF7158" t="s">
        <v>14598</v>
      </c>
    </row>
    <row r="7159" spans="1:32" hidden="1" x14ac:dyDescent="0.35">
      <c r="A7159">
        <v>7158</v>
      </c>
      <c r="B7159" t="s">
        <v>14590</v>
      </c>
      <c r="C7159" t="s">
        <v>68</v>
      </c>
      <c r="D7159" t="s">
        <v>45</v>
      </c>
      <c r="E7159">
        <v>761</v>
      </c>
      <c r="F7159">
        <v>2</v>
      </c>
      <c r="G7159">
        <v>2</v>
      </c>
      <c r="H7159">
        <v>1</v>
      </c>
      <c r="I7159">
        <v>0</v>
      </c>
      <c r="J7159">
        <v>1</v>
      </c>
      <c r="K7159">
        <v>1</v>
      </c>
      <c r="L7159">
        <v>1</v>
      </c>
      <c r="M7159">
        <v>1</v>
      </c>
      <c r="N7159">
        <v>1</v>
      </c>
      <c r="O7159">
        <v>1</v>
      </c>
      <c r="P7159" t="s">
        <v>14591</v>
      </c>
      <c r="Q7159" t="s">
        <v>14592</v>
      </c>
      <c r="R7159" t="s">
        <v>96</v>
      </c>
      <c r="S7159" t="s">
        <v>97</v>
      </c>
      <c r="T7159" t="s">
        <v>14593</v>
      </c>
      <c r="U7159" t="s">
        <v>14594</v>
      </c>
      <c r="V7159" t="s">
        <v>14595</v>
      </c>
      <c r="W7159" t="s">
        <v>14596</v>
      </c>
      <c r="AD7159" t="s">
        <v>4789</v>
      </c>
      <c r="AE7159" t="s">
        <v>14597</v>
      </c>
      <c r="AF7159" t="s">
        <v>14598</v>
      </c>
    </row>
    <row r="7160" spans="1:32" hidden="1" x14ac:dyDescent="0.35">
      <c r="A7160">
        <v>7159</v>
      </c>
      <c r="B7160" t="s">
        <v>14599</v>
      </c>
      <c r="C7160" t="s">
        <v>68</v>
      </c>
      <c r="D7160" t="s">
        <v>60</v>
      </c>
      <c r="E7160">
        <v>841</v>
      </c>
      <c r="F7160">
        <v>2</v>
      </c>
      <c r="G7160">
        <v>2</v>
      </c>
      <c r="H7160">
        <v>1</v>
      </c>
      <c r="I7160">
        <v>0</v>
      </c>
      <c r="J7160">
        <v>1</v>
      </c>
      <c r="K7160">
        <v>1</v>
      </c>
      <c r="L7160">
        <v>1</v>
      </c>
      <c r="M7160">
        <v>1</v>
      </c>
      <c r="N7160">
        <v>1</v>
      </c>
      <c r="O7160">
        <v>1</v>
      </c>
      <c r="P7160" t="s">
        <v>14600</v>
      </c>
      <c r="Q7160" t="s">
        <v>14601</v>
      </c>
      <c r="R7160" t="s">
        <v>288</v>
      </c>
      <c r="S7160" t="s">
        <v>289</v>
      </c>
      <c r="V7160" t="s">
        <v>14602</v>
      </c>
      <c r="W7160" t="s">
        <v>14603</v>
      </c>
      <c r="AF7160" t="s">
        <v>14604</v>
      </c>
    </row>
    <row r="7161" spans="1:32" hidden="1" x14ac:dyDescent="0.35">
      <c r="A7161">
        <v>7160</v>
      </c>
      <c r="B7161" t="s">
        <v>14599</v>
      </c>
      <c r="C7161" t="s">
        <v>68</v>
      </c>
      <c r="D7161" t="s">
        <v>62</v>
      </c>
      <c r="E7161">
        <v>875</v>
      </c>
      <c r="F7161">
        <v>2</v>
      </c>
      <c r="G7161">
        <v>2</v>
      </c>
      <c r="H7161">
        <v>1</v>
      </c>
      <c r="I7161">
        <v>0</v>
      </c>
      <c r="J7161">
        <v>1</v>
      </c>
      <c r="K7161">
        <v>1</v>
      </c>
      <c r="L7161">
        <v>1</v>
      </c>
      <c r="M7161">
        <v>1</v>
      </c>
      <c r="N7161">
        <v>1</v>
      </c>
      <c r="O7161">
        <v>1</v>
      </c>
      <c r="P7161" t="s">
        <v>14600</v>
      </c>
      <c r="Q7161" t="s">
        <v>14601</v>
      </c>
      <c r="R7161" t="s">
        <v>288</v>
      </c>
      <c r="S7161" t="s">
        <v>289</v>
      </c>
      <c r="V7161" t="s">
        <v>14602</v>
      </c>
      <c r="W7161" t="s">
        <v>14603</v>
      </c>
      <c r="AF7161" t="s">
        <v>14604</v>
      </c>
    </row>
    <row r="7162" spans="1:32" hidden="1" x14ac:dyDescent="0.35">
      <c r="A7162">
        <v>7161</v>
      </c>
      <c r="B7162" t="s">
        <v>14605</v>
      </c>
      <c r="C7162" t="s">
        <v>68</v>
      </c>
      <c r="D7162" t="s">
        <v>60</v>
      </c>
      <c r="E7162">
        <v>285</v>
      </c>
      <c r="F7162">
        <v>2</v>
      </c>
      <c r="G7162">
        <v>2</v>
      </c>
      <c r="H7162">
        <v>1</v>
      </c>
      <c r="I7162">
        <v>0</v>
      </c>
      <c r="J7162">
        <v>1</v>
      </c>
      <c r="K7162">
        <v>1</v>
      </c>
      <c r="L7162">
        <v>1</v>
      </c>
      <c r="M7162">
        <v>1</v>
      </c>
      <c r="N7162">
        <v>1</v>
      </c>
      <c r="O7162">
        <v>1</v>
      </c>
      <c r="P7162" t="s">
        <v>14606</v>
      </c>
      <c r="Q7162" t="s">
        <v>14607</v>
      </c>
      <c r="R7162" t="s">
        <v>1259</v>
      </c>
      <c r="S7162" t="s">
        <v>1260</v>
      </c>
      <c r="V7162" t="s">
        <v>14608</v>
      </c>
      <c r="W7162" t="s">
        <v>14609</v>
      </c>
      <c r="AF7162" t="s">
        <v>14610</v>
      </c>
    </row>
    <row r="7163" spans="1:32" hidden="1" x14ac:dyDescent="0.35">
      <c r="A7163">
        <v>7162</v>
      </c>
      <c r="B7163" t="s">
        <v>14605</v>
      </c>
      <c r="C7163" t="s">
        <v>68</v>
      </c>
      <c r="D7163" t="s">
        <v>62</v>
      </c>
      <c r="E7163">
        <v>363</v>
      </c>
      <c r="F7163">
        <v>2</v>
      </c>
      <c r="G7163">
        <v>2</v>
      </c>
      <c r="H7163">
        <v>1</v>
      </c>
      <c r="I7163">
        <v>0</v>
      </c>
      <c r="J7163">
        <v>1</v>
      </c>
      <c r="K7163">
        <v>1</v>
      </c>
      <c r="L7163">
        <v>1</v>
      </c>
      <c r="M7163">
        <v>1</v>
      </c>
      <c r="N7163">
        <v>1</v>
      </c>
      <c r="O7163">
        <v>1</v>
      </c>
      <c r="P7163" t="s">
        <v>14606</v>
      </c>
      <c r="Q7163" t="s">
        <v>14607</v>
      </c>
      <c r="R7163" t="s">
        <v>1259</v>
      </c>
      <c r="S7163" t="s">
        <v>1260</v>
      </c>
      <c r="V7163" t="s">
        <v>14608</v>
      </c>
      <c r="W7163" t="s">
        <v>14609</v>
      </c>
      <c r="AF7163" t="s">
        <v>14610</v>
      </c>
    </row>
    <row r="7164" spans="1:32" hidden="1" x14ac:dyDescent="0.35">
      <c r="A7164">
        <v>7163</v>
      </c>
      <c r="B7164" t="s">
        <v>14611</v>
      </c>
      <c r="C7164" t="s">
        <v>68</v>
      </c>
      <c r="D7164" t="s">
        <v>60</v>
      </c>
      <c r="E7164">
        <v>2181</v>
      </c>
      <c r="F7164">
        <v>2</v>
      </c>
      <c r="G7164">
        <v>2</v>
      </c>
      <c r="H7164">
        <v>1</v>
      </c>
      <c r="I7164">
        <v>0</v>
      </c>
      <c r="J7164">
        <v>1</v>
      </c>
      <c r="K7164">
        <v>1</v>
      </c>
      <c r="L7164">
        <v>1</v>
      </c>
      <c r="M7164">
        <v>1</v>
      </c>
      <c r="N7164">
        <v>1</v>
      </c>
      <c r="O7164">
        <v>1</v>
      </c>
      <c r="P7164" t="s">
        <v>4358</v>
      </c>
      <c r="Q7164" t="s">
        <v>4359</v>
      </c>
      <c r="AF7164" t="s">
        <v>14612</v>
      </c>
    </row>
    <row r="7165" spans="1:32" hidden="1" x14ac:dyDescent="0.35">
      <c r="A7165">
        <v>7164</v>
      </c>
      <c r="B7165" t="s">
        <v>14611</v>
      </c>
      <c r="C7165" t="s">
        <v>68</v>
      </c>
      <c r="D7165" t="s">
        <v>62</v>
      </c>
      <c r="E7165">
        <v>2215</v>
      </c>
      <c r="F7165">
        <v>2</v>
      </c>
      <c r="G7165">
        <v>2</v>
      </c>
      <c r="H7165">
        <v>1</v>
      </c>
      <c r="I7165">
        <v>0</v>
      </c>
      <c r="J7165">
        <v>1</v>
      </c>
      <c r="K7165">
        <v>1</v>
      </c>
      <c r="L7165">
        <v>1</v>
      </c>
      <c r="M7165">
        <v>1</v>
      </c>
      <c r="N7165">
        <v>1</v>
      </c>
      <c r="O7165">
        <v>1</v>
      </c>
      <c r="P7165" t="s">
        <v>4358</v>
      </c>
      <c r="Q7165" t="s">
        <v>4359</v>
      </c>
      <c r="AF7165" t="s">
        <v>14612</v>
      </c>
    </row>
    <row r="7166" spans="1:32" hidden="1" x14ac:dyDescent="0.35">
      <c r="A7166">
        <v>7165</v>
      </c>
      <c r="B7166" t="s">
        <v>14613</v>
      </c>
      <c r="C7166" t="s">
        <v>68</v>
      </c>
      <c r="D7166" t="s">
        <v>60</v>
      </c>
      <c r="E7166">
        <v>1306</v>
      </c>
      <c r="F7166">
        <v>2</v>
      </c>
      <c r="G7166">
        <v>2</v>
      </c>
      <c r="H7166">
        <v>1</v>
      </c>
      <c r="I7166">
        <v>0</v>
      </c>
      <c r="J7166">
        <v>1</v>
      </c>
      <c r="K7166">
        <v>1</v>
      </c>
      <c r="L7166">
        <v>1</v>
      </c>
      <c r="M7166">
        <v>1</v>
      </c>
      <c r="N7166">
        <v>1</v>
      </c>
      <c r="O7166">
        <v>1</v>
      </c>
      <c r="AF7166" t="s">
        <v>14614</v>
      </c>
    </row>
    <row r="7167" spans="1:32" hidden="1" x14ac:dyDescent="0.35">
      <c r="A7167">
        <v>7166</v>
      </c>
      <c r="B7167" t="s">
        <v>14613</v>
      </c>
      <c r="C7167" t="s">
        <v>68</v>
      </c>
      <c r="D7167" t="s">
        <v>62</v>
      </c>
      <c r="E7167">
        <v>1342</v>
      </c>
      <c r="F7167">
        <v>2</v>
      </c>
      <c r="G7167">
        <v>2</v>
      </c>
      <c r="H7167">
        <v>1</v>
      </c>
      <c r="I7167">
        <v>0</v>
      </c>
      <c r="J7167">
        <v>1</v>
      </c>
      <c r="K7167">
        <v>1</v>
      </c>
      <c r="L7167">
        <v>1</v>
      </c>
      <c r="M7167">
        <v>1</v>
      </c>
      <c r="N7167">
        <v>1</v>
      </c>
      <c r="O7167">
        <v>1</v>
      </c>
      <c r="AF7167" t="s">
        <v>14614</v>
      </c>
    </row>
    <row r="7168" spans="1:32" hidden="1" x14ac:dyDescent="0.35">
      <c r="A7168">
        <v>7167</v>
      </c>
      <c r="B7168" t="s">
        <v>14615</v>
      </c>
      <c r="C7168" t="s">
        <v>68</v>
      </c>
      <c r="D7168" t="s">
        <v>34</v>
      </c>
      <c r="E7168">
        <v>1491</v>
      </c>
      <c r="F7168">
        <v>2</v>
      </c>
      <c r="G7168">
        <v>2</v>
      </c>
      <c r="H7168">
        <v>1</v>
      </c>
      <c r="I7168">
        <v>0</v>
      </c>
      <c r="J7168">
        <v>1</v>
      </c>
      <c r="K7168">
        <v>1</v>
      </c>
      <c r="L7168">
        <v>1</v>
      </c>
      <c r="M7168">
        <v>1</v>
      </c>
      <c r="N7168">
        <v>1</v>
      </c>
      <c r="O7168">
        <v>1</v>
      </c>
      <c r="AF7168" t="s">
        <v>14616</v>
      </c>
    </row>
    <row r="7169" spans="1:32" hidden="1" x14ac:dyDescent="0.35">
      <c r="A7169">
        <v>7168</v>
      </c>
      <c r="B7169" t="s">
        <v>14615</v>
      </c>
      <c r="C7169" t="s">
        <v>68</v>
      </c>
      <c r="D7169" t="s">
        <v>45</v>
      </c>
      <c r="E7169">
        <v>241</v>
      </c>
      <c r="F7169">
        <v>2</v>
      </c>
      <c r="G7169">
        <v>2</v>
      </c>
      <c r="H7169">
        <v>1</v>
      </c>
      <c r="I7169">
        <v>0</v>
      </c>
      <c r="J7169">
        <v>1</v>
      </c>
      <c r="K7169">
        <v>1</v>
      </c>
      <c r="L7169">
        <v>1</v>
      </c>
      <c r="M7169">
        <v>1</v>
      </c>
      <c r="N7169">
        <v>1</v>
      </c>
      <c r="O7169">
        <v>1</v>
      </c>
      <c r="AF7169" t="s">
        <v>14616</v>
      </c>
    </row>
    <row r="7170" spans="1:32" hidden="1" x14ac:dyDescent="0.35">
      <c r="A7170">
        <v>7169</v>
      </c>
      <c r="B7170" t="s">
        <v>14617</v>
      </c>
      <c r="C7170" t="s">
        <v>68</v>
      </c>
      <c r="D7170" t="s">
        <v>60</v>
      </c>
      <c r="E7170">
        <v>268</v>
      </c>
      <c r="F7170">
        <v>2</v>
      </c>
      <c r="G7170">
        <v>2</v>
      </c>
      <c r="H7170">
        <v>1</v>
      </c>
      <c r="I7170">
        <v>0</v>
      </c>
      <c r="J7170">
        <v>1</v>
      </c>
      <c r="K7170">
        <v>1</v>
      </c>
      <c r="L7170">
        <v>1</v>
      </c>
      <c r="M7170">
        <v>1</v>
      </c>
      <c r="N7170">
        <v>1</v>
      </c>
      <c r="O7170">
        <v>1</v>
      </c>
      <c r="P7170" t="s">
        <v>2163</v>
      </c>
      <c r="Q7170" t="s">
        <v>2164</v>
      </c>
      <c r="R7170" t="s">
        <v>113</v>
      </c>
      <c r="S7170" t="s">
        <v>114</v>
      </c>
      <c r="V7170" t="s">
        <v>2167</v>
      </c>
      <c r="W7170" t="s">
        <v>2168</v>
      </c>
      <c r="AF7170" t="s">
        <v>14618</v>
      </c>
    </row>
    <row r="7171" spans="1:32" hidden="1" x14ac:dyDescent="0.35">
      <c r="A7171">
        <v>7170</v>
      </c>
      <c r="B7171" t="s">
        <v>14617</v>
      </c>
      <c r="C7171" t="s">
        <v>68</v>
      </c>
      <c r="D7171" t="s">
        <v>62</v>
      </c>
      <c r="E7171">
        <v>346</v>
      </c>
      <c r="F7171">
        <v>2</v>
      </c>
      <c r="G7171">
        <v>2</v>
      </c>
      <c r="H7171">
        <v>1</v>
      </c>
      <c r="I7171">
        <v>0</v>
      </c>
      <c r="J7171">
        <v>1</v>
      </c>
      <c r="K7171">
        <v>1</v>
      </c>
      <c r="L7171">
        <v>1</v>
      </c>
      <c r="M7171">
        <v>1</v>
      </c>
      <c r="N7171">
        <v>1</v>
      </c>
      <c r="O7171">
        <v>1</v>
      </c>
      <c r="P7171" t="s">
        <v>2163</v>
      </c>
      <c r="Q7171" t="s">
        <v>2164</v>
      </c>
      <c r="R7171" t="s">
        <v>113</v>
      </c>
      <c r="S7171" t="s">
        <v>114</v>
      </c>
      <c r="V7171" t="s">
        <v>2167</v>
      </c>
      <c r="W7171" t="s">
        <v>2168</v>
      </c>
      <c r="AF7171" t="s">
        <v>14618</v>
      </c>
    </row>
    <row r="7172" spans="1:32" hidden="1" x14ac:dyDescent="0.35">
      <c r="A7172">
        <v>7171</v>
      </c>
      <c r="B7172" t="s">
        <v>14619</v>
      </c>
      <c r="C7172" t="s">
        <v>68</v>
      </c>
      <c r="D7172" t="s">
        <v>60</v>
      </c>
      <c r="E7172">
        <v>452</v>
      </c>
      <c r="F7172">
        <v>2</v>
      </c>
      <c r="G7172">
        <v>2</v>
      </c>
      <c r="H7172">
        <v>1</v>
      </c>
      <c r="I7172">
        <v>0</v>
      </c>
      <c r="J7172">
        <v>1</v>
      </c>
      <c r="K7172">
        <v>1</v>
      </c>
      <c r="L7172">
        <v>1</v>
      </c>
      <c r="M7172">
        <v>1</v>
      </c>
      <c r="N7172">
        <v>1</v>
      </c>
      <c r="O7172">
        <v>1</v>
      </c>
      <c r="AF7172" t="s">
        <v>14620</v>
      </c>
    </row>
    <row r="7173" spans="1:32" hidden="1" x14ac:dyDescent="0.35">
      <c r="A7173">
        <v>7172</v>
      </c>
      <c r="B7173" t="s">
        <v>14619</v>
      </c>
      <c r="C7173" t="s">
        <v>68</v>
      </c>
      <c r="D7173" t="s">
        <v>62</v>
      </c>
      <c r="E7173">
        <v>533</v>
      </c>
      <c r="F7173">
        <v>2</v>
      </c>
      <c r="G7173">
        <v>2</v>
      </c>
      <c r="H7173">
        <v>1</v>
      </c>
      <c r="I7173">
        <v>0</v>
      </c>
      <c r="J7173">
        <v>1</v>
      </c>
      <c r="K7173">
        <v>1</v>
      </c>
      <c r="L7173">
        <v>1</v>
      </c>
      <c r="M7173">
        <v>1</v>
      </c>
      <c r="N7173">
        <v>1</v>
      </c>
      <c r="O7173">
        <v>1</v>
      </c>
      <c r="AF7173" t="s">
        <v>14620</v>
      </c>
    </row>
    <row r="7174" spans="1:32" hidden="1" x14ac:dyDescent="0.35">
      <c r="A7174">
        <v>7173</v>
      </c>
      <c r="B7174" t="s">
        <v>14621</v>
      </c>
      <c r="C7174" t="s">
        <v>68</v>
      </c>
      <c r="D7174" t="s">
        <v>60</v>
      </c>
      <c r="E7174">
        <v>620</v>
      </c>
      <c r="F7174">
        <v>2</v>
      </c>
      <c r="G7174">
        <v>2</v>
      </c>
      <c r="H7174">
        <v>1</v>
      </c>
      <c r="I7174">
        <v>0</v>
      </c>
      <c r="J7174">
        <v>1</v>
      </c>
      <c r="K7174">
        <v>1</v>
      </c>
      <c r="L7174">
        <v>1</v>
      </c>
      <c r="M7174">
        <v>1</v>
      </c>
      <c r="N7174">
        <v>1</v>
      </c>
      <c r="O7174">
        <v>1</v>
      </c>
      <c r="AF7174" t="s">
        <v>14622</v>
      </c>
    </row>
    <row r="7175" spans="1:32" hidden="1" x14ac:dyDescent="0.35">
      <c r="A7175">
        <v>7174</v>
      </c>
      <c r="B7175" t="s">
        <v>14621</v>
      </c>
      <c r="C7175" t="s">
        <v>68</v>
      </c>
      <c r="D7175" t="s">
        <v>62</v>
      </c>
      <c r="E7175">
        <v>704</v>
      </c>
      <c r="F7175">
        <v>2</v>
      </c>
      <c r="G7175">
        <v>2</v>
      </c>
      <c r="H7175">
        <v>1</v>
      </c>
      <c r="I7175">
        <v>0</v>
      </c>
      <c r="J7175">
        <v>1</v>
      </c>
      <c r="K7175">
        <v>1</v>
      </c>
      <c r="L7175">
        <v>1</v>
      </c>
      <c r="M7175">
        <v>1</v>
      </c>
      <c r="N7175">
        <v>1</v>
      </c>
      <c r="O7175">
        <v>1</v>
      </c>
      <c r="AF7175" t="s">
        <v>14622</v>
      </c>
    </row>
    <row r="7176" spans="1:32" hidden="1" x14ac:dyDescent="0.35">
      <c r="A7176">
        <v>7175</v>
      </c>
      <c r="B7176" t="s">
        <v>14623</v>
      </c>
      <c r="C7176" t="s">
        <v>68</v>
      </c>
      <c r="D7176" t="s">
        <v>34</v>
      </c>
      <c r="E7176">
        <v>2409</v>
      </c>
      <c r="F7176">
        <v>2</v>
      </c>
      <c r="G7176">
        <v>2</v>
      </c>
      <c r="H7176">
        <v>1</v>
      </c>
      <c r="I7176">
        <v>0</v>
      </c>
      <c r="J7176">
        <v>1</v>
      </c>
      <c r="K7176">
        <v>1</v>
      </c>
      <c r="L7176">
        <v>1</v>
      </c>
      <c r="M7176">
        <v>1</v>
      </c>
      <c r="N7176">
        <v>1</v>
      </c>
      <c r="O7176">
        <v>1</v>
      </c>
      <c r="P7176" t="s">
        <v>7993</v>
      </c>
      <c r="Q7176" t="s">
        <v>7994</v>
      </c>
      <c r="R7176" t="s">
        <v>1259</v>
      </c>
      <c r="S7176" t="s">
        <v>1260</v>
      </c>
      <c r="T7176" t="s">
        <v>14624</v>
      </c>
      <c r="U7176" t="s">
        <v>14625</v>
      </c>
      <c r="V7176" t="s">
        <v>14626</v>
      </c>
      <c r="W7176" t="s">
        <v>14627</v>
      </c>
      <c r="AD7176" t="s">
        <v>14628</v>
      </c>
      <c r="AE7176" t="s">
        <v>14629</v>
      </c>
      <c r="AF7176" t="s">
        <v>14630</v>
      </c>
    </row>
    <row r="7177" spans="1:32" hidden="1" x14ac:dyDescent="0.35">
      <c r="A7177">
        <v>7176</v>
      </c>
      <c r="B7177" t="s">
        <v>14623</v>
      </c>
      <c r="C7177" t="s">
        <v>68</v>
      </c>
      <c r="D7177" t="s">
        <v>45</v>
      </c>
      <c r="E7177">
        <v>489</v>
      </c>
      <c r="F7177">
        <v>2</v>
      </c>
      <c r="G7177">
        <v>2</v>
      </c>
      <c r="H7177">
        <v>1</v>
      </c>
      <c r="I7177">
        <v>0</v>
      </c>
      <c r="J7177">
        <v>1</v>
      </c>
      <c r="K7177">
        <v>1</v>
      </c>
      <c r="L7177">
        <v>1</v>
      </c>
      <c r="M7177">
        <v>1</v>
      </c>
      <c r="N7177">
        <v>1</v>
      </c>
      <c r="O7177">
        <v>1</v>
      </c>
      <c r="P7177" t="s">
        <v>7993</v>
      </c>
      <c r="Q7177" t="s">
        <v>7994</v>
      </c>
      <c r="R7177" t="s">
        <v>1259</v>
      </c>
      <c r="S7177" t="s">
        <v>1260</v>
      </c>
      <c r="T7177" t="s">
        <v>14624</v>
      </c>
      <c r="U7177" t="s">
        <v>14625</v>
      </c>
      <c r="V7177" t="s">
        <v>14626</v>
      </c>
      <c r="W7177" t="s">
        <v>14627</v>
      </c>
      <c r="AD7177" t="s">
        <v>14628</v>
      </c>
      <c r="AE7177" t="s">
        <v>14629</v>
      </c>
      <c r="AF7177" t="s">
        <v>14630</v>
      </c>
    </row>
    <row r="7178" spans="1:32" hidden="1" x14ac:dyDescent="0.35">
      <c r="A7178">
        <v>7177</v>
      </c>
      <c r="B7178" t="s">
        <v>14631</v>
      </c>
      <c r="C7178" t="s">
        <v>68</v>
      </c>
      <c r="D7178" t="s">
        <v>34</v>
      </c>
      <c r="E7178">
        <v>777</v>
      </c>
      <c r="F7178">
        <v>2</v>
      </c>
      <c r="G7178">
        <v>2</v>
      </c>
      <c r="H7178">
        <v>1</v>
      </c>
      <c r="I7178">
        <v>0</v>
      </c>
      <c r="J7178">
        <v>1</v>
      </c>
      <c r="K7178">
        <v>1</v>
      </c>
      <c r="L7178">
        <v>1</v>
      </c>
      <c r="M7178">
        <v>1</v>
      </c>
      <c r="N7178">
        <v>1</v>
      </c>
      <c r="O7178">
        <v>1</v>
      </c>
      <c r="AF7178" t="s">
        <v>14632</v>
      </c>
    </row>
    <row r="7179" spans="1:32" hidden="1" x14ac:dyDescent="0.35">
      <c r="A7179">
        <v>7178</v>
      </c>
      <c r="B7179" t="s">
        <v>14631</v>
      </c>
      <c r="C7179" t="s">
        <v>68</v>
      </c>
      <c r="D7179" t="s">
        <v>45</v>
      </c>
      <c r="E7179">
        <v>2043</v>
      </c>
      <c r="F7179">
        <v>2</v>
      </c>
      <c r="G7179">
        <v>2</v>
      </c>
      <c r="H7179">
        <v>1</v>
      </c>
      <c r="I7179">
        <v>0</v>
      </c>
      <c r="J7179">
        <v>1</v>
      </c>
      <c r="K7179">
        <v>1</v>
      </c>
      <c r="L7179">
        <v>1</v>
      </c>
      <c r="M7179">
        <v>1</v>
      </c>
      <c r="N7179">
        <v>1</v>
      </c>
      <c r="O7179">
        <v>1</v>
      </c>
      <c r="AF7179" t="s">
        <v>14632</v>
      </c>
    </row>
    <row r="7180" spans="1:32" hidden="1" x14ac:dyDescent="0.35">
      <c r="A7180">
        <v>7179</v>
      </c>
      <c r="B7180" t="s">
        <v>14633</v>
      </c>
      <c r="C7180" t="s">
        <v>68</v>
      </c>
      <c r="D7180" t="s">
        <v>60</v>
      </c>
      <c r="E7180">
        <v>1796</v>
      </c>
      <c r="F7180">
        <v>2</v>
      </c>
      <c r="G7180">
        <v>2</v>
      </c>
      <c r="H7180">
        <v>1</v>
      </c>
      <c r="I7180">
        <v>0</v>
      </c>
      <c r="J7180">
        <v>1</v>
      </c>
      <c r="K7180">
        <v>1</v>
      </c>
      <c r="L7180">
        <v>1</v>
      </c>
      <c r="M7180">
        <v>1</v>
      </c>
      <c r="N7180">
        <v>1</v>
      </c>
      <c r="O7180">
        <v>1</v>
      </c>
      <c r="R7180" t="s">
        <v>14634</v>
      </c>
      <c r="S7180" t="s">
        <v>14635</v>
      </c>
      <c r="V7180" t="s">
        <v>14636</v>
      </c>
      <c r="W7180" t="s">
        <v>14637</v>
      </c>
      <c r="AF7180" t="s">
        <v>14638</v>
      </c>
    </row>
    <row r="7181" spans="1:32" hidden="1" x14ac:dyDescent="0.35">
      <c r="A7181">
        <v>7180</v>
      </c>
      <c r="B7181" t="s">
        <v>14633</v>
      </c>
      <c r="C7181" t="s">
        <v>68</v>
      </c>
      <c r="D7181" t="s">
        <v>62</v>
      </c>
      <c r="E7181">
        <v>1832</v>
      </c>
      <c r="F7181">
        <v>2</v>
      </c>
      <c r="G7181">
        <v>2</v>
      </c>
      <c r="H7181">
        <v>1</v>
      </c>
      <c r="I7181">
        <v>0</v>
      </c>
      <c r="J7181">
        <v>1</v>
      </c>
      <c r="K7181">
        <v>1</v>
      </c>
      <c r="L7181">
        <v>1</v>
      </c>
      <c r="M7181">
        <v>1</v>
      </c>
      <c r="N7181">
        <v>1</v>
      </c>
      <c r="O7181">
        <v>1</v>
      </c>
      <c r="R7181" t="s">
        <v>14634</v>
      </c>
      <c r="S7181" t="s">
        <v>14635</v>
      </c>
      <c r="V7181" t="s">
        <v>14636</v>
      </c>
      <c r="W7181" t="s">
        <v>14637</v>
      </c>
      <c r="AF7181" t="s">
        <v>14638</v>
      </c>
    </row>
    <row r="7182" spans="1:32" hidden="1" x14ac:dyDescent="0.35">
      <c r="A7182">
        <v>7181</v>
      </c>
      <c r="B7182" t="s">
        <v>14639</v>
      </c>
      <c r="C7182" t="s">
        <v>68</v>
      </c>
      <c r="D7182" t="s">
        <v>60</v>
      </c>
      <c r="E7182">
        <v>394</v>
      </c>
      <c r="F7182">
        <v>2</v>
      </c>
      <c r="G7182">
        <v>2</v>
      </c>
      <c r="H7182">
        <v>1</v>
      </c>
      <c r="I7182">
        <v>0</v>
      </c>
      <c r="J7182">
        <v>1</v>
      </c>
      <c r="K7182">
        <v>1</v>
      </c>
      <c r="L7182">
        <v>1</v>
      </c>
      <c r="M7182">
        <v>1</v>
      </c>
      <c r="N7182">
        <v>1</v>
      </c>
      <c r="O7182">
        <v>1</v>
      </c>
      <c r="P7182" t="s">
        <v>10026</v>
      </c>
      <c r="Q7182" t="s">
        <v>10027</v>
      </c>
      <c r="R7182" t="s">
        <v>13071</v>
      </c>
      <c r="S7182" t="s">
        <v>13072</v>
      </c>
      <c r="T7182" t="s">
        <v>14640</v>
      </c>
      <c r="U7182" t="s">
        <v>14641</v>
      </c>
      <c r="V7182" t="s">
        <v>13073</v>
      </c>
      <c r="W7182" t="s">
        <v>13074</v>
      </c>
      <c r="AD7182" t="s">
        <v>166</v>
      </c>
      <c r="AE7182" t="s">
        <v>818</v>
      </c>
      <c r="AF7182" t="s">
        <v>14642</v>
      </c>
    </row>
    <row r="7183" spans="1:32" hidden="1" x14ac:dyDescent="0.35">
      <c r="A7183">
        <v>7182</v>
      </c>
      <c r="B7183" t="s">
        <v>14639</v>
      </c>
      <c r="C7183" t="s">
        <v>68</v>
      </c>
      <c r="D7183" t="s">
        <v>62</v>
      </c>
      <c r="E7183">
        <v>475</v>
      </c>
      <c r="F7183">
        <v>2</v>
      </c>
      <c r="G7183">
        <v>2</v>
      </c>
      <c r="H7183">
        <v>1</v>
      </c>
      <c r="I7183">
        <v>0</v>
      </c>
      <c r="J7183">
        <v>1</v>
      </c>
      <c r="K7183">
        <v>1</v>
      </c>
      <c r="L7183">
        <v>1</v>
      </c>
      <c r="M7183">
        <v>1</v>
      </c>
      <c r="N7183">
        <v>1</v>
      </c>
      <c r="O7183">
        <v>1</v>
      </c>
      <c r="P7183" t="s">
        <v>10026</v>
      </c>
      <c r="Q7183" t="s">
        <v>10027</v>
      </c>
      <c r="R7183" t="s">
        <v>13071</v>
      </c>
      <c r="S7183" t="s">
        <v>13072</v>
      </c>
      <c r="T7183" t="s">
        <v>14640</v>
      </c>
      <c r="U7183" t="s">
        <v>14641</v>
      </c>
      <c r="V7183" t="s">
        <v>13073</v>
      </c>
      <c r="W7183" t="s">
        <v>13074</v>
      </c>
      <c r="AD7183" t="s">
        <v>166</v>
      </c>
      <c r="AE7183" t="s">
        <v>818</v>
      </c>
      <c r="AF7183" t="s">
        <v>14642</v>
      </c>
    </row>
    <row r="7184" spans="1:32" hidden="1" x14ac:dyDescent="0.35">
      <c r="A7184">
        <v>7183</v>
      </c>
      <c r="B7184" t="s">
        <v>14643</v>
      </c>
      <c r="C7184" t="s">
        <v>68</v>
      </c>
      <c r="D7184" t="s">
        <v>34</v>
      </c>
      <c r="E7184">
        <v>945</v>
      </c>
      <c r="F7184">
        <v>2</v>
      </c>
      <c r="G7184">
        <v>2</v>
      </c>
      <c r="H7184">
        <v>1</v>
      </c>
      <c r="I7184">
        <v>0</v>
      </c>
      <c r="J7184">
        <v>1</v>
      </c>
      <c r="K7184">
        <v>1</v>
      </c>
      <c r="L7184">
        <v>1</v>
      </c>
      <c r="M7184">
        <v>1</v>
      </c>
      <c r="N7184">
        <v>1</v>
      </c>
      <c r="O7184">
        <v>1</v>
      </c>
      <c r="P7184" t="s">
        <v>14644</v>
      </c>
      <c r="Q7184" t="s">
        <v>14645</v>
      </c>
      <c r="R7184" t="s">
        <v>1259</v>
      </c>
      <c r="S7184" t="s">
        <v>1260</v>
      </c>
      <c r="T7184" t="s">
        <v>14646</v>
      </c>
      <c r="U7184" t="s">
        <v>2977</v>
      </c>
      <c r="V7184" t="s">
        <v>14647</v>
      </c>
      <c r="W7184" t="s">
        <v>14648</v>
      </c>
      <c r="AD7184" t="s">
        <v>410</v>
      </c>
      <c r="AE7184" t="s">
        <v>603</v>
      </c>
      <c r="AF7184" t="s">
        <v>14649</v>
      </c>
    </row>
    <row r="7185" spans="1:32" hidden="1" x14ac:dyDescent="0.35">
      <c r="A7185">
        <v>7184</v>
      </c>
      <c r="B7185" t="s">
        <v>14643</v>
      </c>
      <c r="C7185" t="s">
        <v>68</v>
      </c>
      <c r="D7185" t="s">
        <v>45</v>
      </c>
      <c r="E7185">
        <v>2202</v>
      </c>
      <c r="F7185">
        <v>2</v>
      </c>
      <c r="G7185">
        <v>2</v>
      </c>
      <c r="H7185">
        <v>1</v>
      </c>
      <c r="I7185">
        <v>0</v>
      </c>
      <c r="J7185">
        <v>1</v>
      </c>
      <c r="K7185">
        <v>1</v>
      </c>
      <c r="L7185">
        <v>1</v>
      </c>
      <c r="M7185">
        <v>1</v>
      </c>
      <c r="N7185">
        <v>1</v>
      </c>
      <c r="O7185">
        <v>1</v>
      </c>
      <c r="P7185" t="s">
        <v>14644</v>
      </c>
      <c r="Q7185" t="s">
        <v>14645</v>
      </c>
      <c r="R7185" t="s">
        <v>1259</v>
      </c>
      <c r="S7185" t="s">
        <v>1260</v>
      </c>
      <c r="T7185" t="s">
        <v>14646</v>
      </c>
      <c r="U7185" t="s">
        <v>2977</v>
      </c>
      <c r="V7185" t="s">
        <v>14647</v>
      </c>
      <c r="W7185" t="s">
        <v>14648</v>
      </c>
      <c r="AD7185" t="s">
        <v>410</v>
      </c>
      <c r="AE7185" t="s">
        <v>603</v>
      </c>
      <c r="AF7185" t="s">
        <v>14649</v>
      </c>
    </row>
    <row r="7186" spans="1:32" hidden="1" x14ac:dyDescent="0.35">
      <c r="A7186">
        <v>7185</v>
      </c>
      <c r="B7186" t="s">
        <v>14650</v>
      </c>
      <c r="C7186" t="s">
        <v>68</v>
      </c>
      <c r="D7186" t="s">
        <v>60</v>
      </c>
      <c r="E7186">
        <v>2493</v>
      </c>
      <c r="F7186">
        <v>2</v>
      </c>
      <c r="G7186">
        <v>2</v>
      </c>
      <c r="H7186">
        <v>1</v>
      </c>
      <c r="I7186">
        <v>0</v>
      </c>
      <c r="J7186">
        <v>1</v>
      </c>
      <c r="K7186">
        <v>1</v>
      </c>
      <c r="L7186">
        <v>1</v>
      </c>
      <c r="M7186">
        <v>1</v>
      </c>
      <c r="N7186">
        <v>1</v>
      </c>
      <c r="O7186">
        <v>1</v>
      </c>
      <c r="AF7186" t="s">
        <v>14651</v>
      </c>
    </row>
    <row r="7187" spans="1:32" hidden="1" x14ac:dyDescent="0.35">
      <c r="A7187">
        <v>7186</v>
      </c>
      <c r="B7187" t="s">
        <v>14650</v>
      </c>
      <c r="C7187" t="s">
        <v>68</v>
      </c>
      <c r="D7187" t="s">
        <v>62</v>
      </c>
      <c r="E7187">
        <v>20</v>
      </c>
      <c r="F7187">
        <v>2</v>
      </c>
      <c r="G7187">
        <v>2</v>
      </c>
      <c r="H7187">
        <v>1</v>
      </c>
      <c r="I7187">
        <v>0</v>
      </c>
      <c r="J7187">
        <v>1</v>
      </c>
      <c r="K7187">
        <v>1</v>
      </c>
      <c r="L7187">
        <v>1</v>
      </c>
      <c r="M7187">
        <v>1</v>
      </c>
      <c r="N7187">
        <v>1</v>
      </c>
      <c r="O7187">
        <v>1</v>
      </c>
      <c r="AF7187" t="s">
        <v>14651</v>
      </c>
    </row>
    <row r="7188" spans="1:32" hidden="1" x14ac:dyDescent="0.35">
      <c r="A7188">
        <v>7187</v>
      </c>
      <c r="B7188" t="s">
        <v>14652</v>
      </c>
      <c r="C7188" t="s">
        <v>68</v>
      </c>
      <c r="D7188" t="s">
        <v>60</v>
      </c>
      <c r="E7188">
        <v>1976</v>
      </c>
      <c r="F7188">
        <v>2</v>
      </c>
      <c r="G7188">
        <v>2</v>
      </c>
      <c r="H7188">
        <v>1</v>
      </c>
      <c r="I7188">
        <v>0</v>
      </c>
      <c r="J7188">
        <v>1</v>
      </c>
      <c r="K7188">
        <v>1</v>
      </c>
      <c r="L7188">
        <v>1</v>
      </c>
      <c r="M7188">
        <v>1</v>
      </c>
      <c r="N7188">
        <v>1</v>
      </c>
      <c r="O7188">
        <v>1</v>
      </c>
      <c r="AF7188" t="s">
        <v>14653</v>
      </c>
    </row>
    <row r="7189" spans="1:32" hidden="1" x14ac:dyDescent="0.35">
      <c r="A7189">
        <v>7188</v>
      </c>
      <c r="B7189" t="s">
        <v>14652</v>
      </c>
      <c r="C7189" t="s">
        <v>68</v>
      </c>
      <c r="D7189" t="s">
        <v>62</v>
      </c>
      <c r="E7189">
        <v>2017</v>
      </c>
      <c r="F7189">
        <v>2</v>
      </c>
      <c r="G7189">
        <v>2</v>
      </c>
      <c r="H7189">
        <v>1</v>
      </c>
      <c r="I7189">
        <v>0</v>
      </c>
      <c r="J7189">
        <v>1</v>
      </c>
      <c r="K7189">
        <v>1</v>
      </c>
      <c r="L7189">
        <v>1</v>
      </c>
      <c r="M7189">
        <v>1</v>
      </c>
      <c r="N7189">
        <v>1</v>
      </c>
      <c r="O7189">
        <v>1</v>
      </c>
      <c r="AF7189" t="s">
        <v>14653</v>
      </c>
    </row>
    <row r="7190" spans="1:32" hidden="1" x14ac:dyDescent="0.35">
      <c r="A7190">
        <v>7189</v>
      </c>
      <c r="B7190" t="s">
        <v>14654</v>
      </c>
      <c r="C7190" t="s">
        <v>68</v>
      </c>
      <c r="D7190" t="s">
        <v>60</v>
      </c>
      <c r="E7190">
        <v>1565</v>
      </c>
      <c r="F7190">
        <v>2</v>
      </c>
      <c r="G7190">
        <v>2</v>
      </c>
      <c r="H7190">
        <v>1</v>
      </c>
      <c r="I7190">
        <v>0</v>
      </c>
      <c r="J7190">
        <v>1</v>
      </c>
      <c r="K7190">
        <v>1</v>
      </c>
      <c r="L7190">
        <v>1</v>
      </c>
      <c r="M7190">
        <v>1</v>
      </c>
      <c r="N7190">
        <v>1</v>
      </c>
      <c r="O7190">
        <v>1</v>
      </c>
      <c r="P7190" t="s">
        <v>169</v>
      </c>
      <c r="Q7190" t="s">
        <v>170</v>
      </c>
      <c r="R7190" t="s">
        <v>157</v>
      </c>
      <c r="S7190" t="s">
        <v>158</v>
      </c>
      <c r="T7190" t="s">
        <v>14655</v>
      </c>
      <c r="U7190" t="s">
        <v>14656</v>
      </c>
      <c r="V7190" t="s">
        <v>161</v>
      </c>
      <c r="W7190" t="s">
        <v>162</v>
      </c>
      <c r="AD7190" t="s">
        <v>439</v>
      </c>
      <c r="AE7190" t="s">
        <v>13898</v>
      </c>
      <c r="AF7190" t="s">
        <v>14657</v>
      </c>
    </row>
    <row r="7191" spans="1:32" hidden="1" x14ac:dyDescent="0.35">
      <c r="A7191">
        <v>7190</v>
      </c>
      <c r="B7191" t="s">
        <v>14654</v>
      </c>
      <c r="C7191" t="s">
        <v>68</v>
      </c>
      <c r="D7191" t="s">
        <v>62</v>
      </c>
      <c r="E7191">
        <v>1601</v>
      </c>
      <c r="F7191">
        <v>2</v>
      </c>
      <c r="G7191">
        <v>2</v>
      </c>
      <c r="H7191">
        <v>1</v>
      </c>
      <c r="I7191">
        <v>0</v>
      </c>
      <c r="J7191">
        <v>1</v>
      </c>
      <c r="K7191">
        <v>1</v>
      </c>
      <c r="L7191">
        <v>1</v>
      </c>
      <c r="M7191">
        <v>1</v>
      </c>
      <c r="N7191">
        <v>1</v>
      </c>
      <c r="O7191">
        <v>1</v>
      </c>
      <c r="P7191" t="s">
        <v>169</v>
      </c>
      <c r="Q7191" t="s">
        <v>170</v>
      </c>
      <c r="R7191" t="s">
        <v>157</v>
      </c>
      <c r="S7191" t="s">
        <v>158</v>
      </c>
      <c r="T7191" t="s">
        <v>14655</v>
      </c>
      <c r="U7191" t="s">
        <v>14656</v>
      </c>
      <c r="V7191" t="s">
        <v>161</v>
      </c>
      <c r="W7191" t="s">
        <v>162</v>
      </c>
      <c r="AD7191" t="s">
        <v>439</v>
      </c>
      <c r="AE7191" t="s">
        <v>13898</v>
      </c>
      <c r="AF7191" t="s">
        <v>14657</v>
      </c>
    </row>
    <row r="7192" spans="1:32" hidden="1" x14ac:dyDescent="0.35">
      <c r="A7192">
        <v>7191</v>
      </c>
      <c r="B7192" t="s">
        <v>14658</v>
      </c>
      <c r="C7192" t="s">
        <v>68</v>
      </c>
      <c r="D7192" t="s">
        <v>60</v>
      </c>
      <c r="E7192">
        <v>186</v>
      </c>
      <c r="F7192">
        <v>2</v>
      </c>
      <c r="G7192">
        <v>2</v>
      </c>
      <c r="H7192">
        <v>1</v>
      </c>
      <c r="I7192">
        <v>0</v>
      </c>
      <c r="J7192">
        <v>1</v>
      </c>
      <c r="K7192">
        <v>1</v>
      </c>
      <c r="L7192">
        <v>1</v>
      </c>
      <c r="M7192">
        <v>1</v>
      </c>
      <c r="N7192">
        <v>1</v>
      </c>
      <c r="O7192">
        <v>1</v>
      </c>
      <c r="AF7192" t="s">
        <v>14659</v>
      </c>
    </row>
    <row r="7193" spans="1:32" hidden="1" x14ac:dyDescent="0.35">
      <c r="A7193">
        <v>7192</v>
      </c>
      <c r="B7193" t="s">
        <v>14658</v>
      </c>
      <c r="C7193" t="s">
        <v>68</v>
      </c>
      <c r="D7193" t="s">
        <v>62</v>
      </c>
      <c r="E7193">
        <v>262</v>
      </c>
      <c r="F7193">
        <v>2</v>
      </c>
      <c r="G7193">
        <v>2</v>
      </c>
      <c r="H7193">
        <v>1</v>
      </c>
      <c r="I7193">
        <v>0</v>
      </c>
      <c r="J7193">
        <v>1</v>
      </c>
      <c r="K7193">
        <v>1</v>
      </c>
      <c r="L7193">
        <v>1</v>
      </c>
      <c r="M7193">
        <v>1</v>
      </c>
      <c r="N7193">
        <v>1</v>
      </c>
      <c r="O7193">
        <v>1</v>
      </c>
      <c r="AF7193" t="s">
        <v>14659</v>
      </c>
    </row>
    <row r="7194" spans="1:32" hidden="1" x14ac:dyDescent="0.35">
      <c r="A7194">
        <v>7193</v>
      </c>
      <c r="B7194" t="s">
        <v>14660</v>
      </c>
      <c r="C7194" t="s">
        <v>68</v>
      </c>
      <c r="D7194" t="s">
        <v>60</v>
      </c>
      <c r="E7194">
        <v>481</v>
      </c>
      <c r="F7194">
        <v>2</v>
      </c>
      <c r="G7194">
        <v>2</v>
      </c>
      <c r="H7194">
        <v>1</v>
      </c>
      <c r="I7194">
        <v>0</v>
      </c>
      <c r="J7194">
        <v>1</v>
      </c>
      <c r="K7194">
        <v>1</v>
      </c>
      <c r="L7194">
        <v>1</v>
      </c>
      <c r="M7194">
        <v>1</v>
      </c>
      <c r="N7194">
        <v>1</v>
      </c>
      <c r="O7194">
        <v>1</v>
      </c>
      <c r="P7194" t="s">
        <v>10830</v>
      </c>
      <c r="Q7194" t="s">
        <v>10831</v>
      </c>
      <c r="R7194" t="s">
        <v>96</v>
      </c>
      <c r="S7194" t="s">
        <v>97</v>
      </c>
      <c r="T7194" t="s">
        <v>10832</v>
      </c>
      <c r="U7194" t="s">
        <v>10833</v>
      </c>
      <c r="V7194" t="s">
        <v>10834</v>
      </c>
      <c r="W7194" t="s">
        <v>10835</v>
      </c>
      <c r="AD7194" t="s">
        <v>7708</v>
      </c>
      <c r="AE7194" t="s">
        <v>10836</v>
      </c>
      <c r="AF7194" t="s">
        <v>14661</v>
      </c>
    </row>
    <row r="7195" spans="1:32" hidden="1" x14ac:dyDescent="0.35">
      <c r="A7195">
        <v>7194</v>
      </c>
      <c r="B7195" t="s">
        <v>14660</v>
      </c>
      <c r="C7195" t="s">
        <v>68</v>
      </c>
      <c r="D7195" t="s">
        <v>62</v>
      </c>
      <c r="E7195">
        <v>564</v>
      </c>
      <c r="F7195">
        <v>2</v>
      </c>
      <c r="G7195">
        <v>2</v>
      </c>
      <c r="H7195">
        <v>1</v>
      </c>
      <c r="I7195">
        <v>0</v>
      </c>
      <c r="J7195">
        <v>1</v>
      </c>
      <c r="K7195">
        <v>1</v>
      </c>
      <c r="L7195">
        <v>1</v>
      </c>
      <c r="M7195">
        <v>1</v>
      </c>
      <c r="N7195">
        <v>1</v>
      </c>
      <c r="O7195">
        <v>1</v>
      </c>
      <c r="P7195" t="s">
        <v>10830</v>
      </c>
      <c r="Q7195" t="s">
        <v>10831</v>
      </c>
      <c r="R7195" t="s">
        <v>96</v>
      </c>
      <c r="S7195" t="s">
        <v>97</v>
      </c>
      <c r="T7195" t="s">
        <v>10832</v>
      </c>
      <c r="U7195" t="s">
        <v>10833</v>
      </c>
      <c r="V7195" t="s">
        <v>10834</v>
      </c>
      <c r="W7195" t="s">
        <v>10835</v>
      </c>
      <c r="AD7195" t="s">
        <v>7708</v>
      </c>
      <c r="AE7195" t="s">
        <v>10836</v>
      </c>
      <c r="AF7195" t="s">
        <v>14661</v>
      </c>
    </row>
    <row r="7196" spans="1:32" hidden="1" x14ac:dyDescent="0.35">
      <c r="A7196">
        <v>7195</v>
      </c>
      <c r="B7196" t="s">
        <v>14662</v>
      </c>
      <c r="C7196" t="s">
        <v>68</v>
      </c>
      <c r="D7196" t="s">
        <v>60</v>
      </c>
      <c r="E7196">
        <v>577</v>
      </c>
      <c r="F7196">
        <v>2</v>
      </c>
      <c r="G7196">
        <v>2</v>
      </c>
      <c r="H7196">
        <v>1</v>
      </c>
      <c r="I7196">
        <v>0</v>
      </c>
      <c r="J7196">
        <v>1</v>
      </c>
      <c r="K7196">
        <v>1</v>
      </c>
      <c r="L7196">
        <v>1</v>
      </c>
      <c r="M7196">
        <v>1</v>
      </c>
      <c r="N7196">
        <v>1</v>
      </c>
      <c r="O7196">
        <v>1</v>
      </c>
      <c r="AF7196" t="s">
        <v>14663</v>
      </c>
    </row>
    <row r="7197" spans="1:32" hidden="1" x14ac:dyDescent="0.35">
      <c r="A7197">
        <v>7196</v>
      </c>
      <c r="B7197" t="s">
        <v>14662</v>
      </c>
      <c r="C7197" t="s">
        <v>68</v>
      </c>
      <c r="D7197" t="s">
        <v>62</v>
      </c>
      <c r="E7197">
        <v>661</v>
      </c>
      <c r="F7197">
        <v>2</v>
      </c>
      <c r="G7197">
        <v>2</v>
      </c>
      <c r="H7197">
        <v>1</v>
      </c>
      <c r="I7197">
        <v>0</v>
      </c>
      <c r="J7197">
        <v>1</v>
      </c>
      <c r="K7197">
        <v>1</v>
      </c>
      <c r="L7197">
        <v>1</v>
      </c>
      <c r="M7197">
        <v>1</v>
      </c>
      <c r="N7197">
        <v>1</v>
      </c>
      <c r="O7197">
        <v>1</v>
      </c>
      <c r="AF7197" t="s">
        <v>14663</v>
      </c>
    </row>
    <row r="7198" spans="1:32" hidden="1" x14ac:dyDescent="0.35">
      <c r="A7198">
        <v>7197</v>
      </c>
      <c r="B7198" t="s">
        <v>14664</v>
      </c>
      <c r="C7198" t="s">
        <v>68</v>
      </c>
      <c r="D7198" t="s">
        <v>34</v>
      </c>
      <c r="E7198">
        <v>500</v>
      </c>
      <c r="F7198">
        <v>2</v>
      </c>
      <c r="G7198">
        <v>2</v>
      </c>
      <c r="H7198">
        <v>1</v>
      </c>
      <c r="I7198">
        <v>0</v>
      </c>
      <c r="J7198">
        <v>1</v>
      </c>
      <c r="K7198">
        <v>1</v>
      </c>
      <c r="L7198">
        <v>1</v>
      </c>
      <c r="M7198">
        <v>1</v>
      </c>
      <c r="N7198">
        <v>1</v>
      </c>
      <c r="O7198">
        <v>1</v>
      </c>
      <c r="AF7198" t="s">
        <v>14665</v>
      </c>
    </row>
    <row r="7199" spans="1:32" hidden="1" x14ac:dyDescent="0.35">
      <c r="A7199">
        <v>7198</v>
      </c>
      <c r="B7199" t="s">
        <v>14664</v>
      </c>
      <c r="C7199" t="s">
        <v>68</v>
      </c>
      <c r="D7199" t="s">
        <v>45</v>
      </c>
      <c r="E7199">
        <v>1765</v>
      </c>
      <c r="F7199">
        <v>2</v>
      </c>
      <c r="G7199">
        <v>2</v>
      </c>
      <c r="H7199">
        <v>1</v>
      </c>
      <c r="I7199">
        <v>0</v>
      </c>
      <c r="J7199">
        <v>1</v>
      </c>
      <c r="K7199">
        <v>1</v>
      </c>
      <c r="L7199">
        <v>1</v>
      </c>
      <c r="M7199">
        <v>1</v>
      </c>
      <c r="N7199">
        <v>1</v>
      </c>
      <c r="O7199">
        <v>1</v>
      </c>
      <c r="AF7199" t="s">
        <v>14665</v>
      </c>
    </row>
    <row r="7200" spans="1:32" hidden="1" x14ac:dyDescent="0.35">
      <c r="A7200">
        <v>7199</v>
      </c>
      <c r="B7200" t="s">
        <v>14666</v>
      </c>
      <c r="C7200" t="s">
        <v>68</v>
      </c>
      <c r="D7200" t="s">
        <v>34</v>
      </c>
      <c r="E7200">
        <v>744</v>
      </c>
      <c r="F7200">
        <v>2</v>
      </c>
      <c r="G7200">
        <v>2</v>
      </c>
      <c r="H7200">
        <v>1</v>
      </c>
      <c r="I7200">
        <v>0</v>
      </c>
      <c r="J7200">
        <v>1</v>
      </c>
      <c r="K7200">
        <v>1</v>
      </c>
      <c r="L7200">
        <v>1</v>
      </c>
      <c r="M7200">
        <v>1</v>
      </c>
      <c r="N7200">
        <v>1</v>
      </c>
      <c r="O7200">
        <v>1</v>
      </c>
      <c r="P7200" t="s">
        <v>14667</v>
      </c>
      <c r="Q7200" t="s">
        <v>14668</v>
      </c>
      <c r="R7200" t="s">
        <v>1259</v>
      </c>
      <c r="S7200" t="s">
        <v>1260</v>
      </c>
      <c r="V7200" t="s">
        <v>14669</v>
      </c>
      <c r="W7200" t="s">
        <v>14670</v>
      </c>
      <c r="AF7200" t="s">
        <v>14671</v>
      </c>
    </row>
    <row r="7201" spans="1:32" hidden="1" x14ac:dyDescent="0.35">
      <c r="A7201">
        <v>7200</v>
      </c>
      <c r="B7201" t="s">
        <v>14666</v>
      </c>
      <c r="C7201" t="s">
        <v>68</v>
      </c>
      <c r="D7201" t="s">
        <v>45</v>
      </c>
      <c r="E7201">
        <v>2010</v>
      </c>
      <c r="F7201">
        <v>2</v>
      </c>
      <c r="G7201">
        <v>2</v>
      </c>
      <c r="H7201">
        <v>1</v>
      </c>
      <c r="I7201">
        <v>0</v>
      </c>
      <c r="J7201">
        <v>1</v>
      </c>
      <c r="K7201">
        <v>1</v>
      </c>
      <c r="L7201">
        <v>1</v>
      </c>
      <c r="M7201">
        <v>1</v>
      </c>
      <c r="N7201">
        <v>1</v>
      </c>
      <c r="O7201">
        <v>1</v>
      </c>
      <c r="P7201" t="s">
        <v>14667</v>
      </c>
      <c r="Q7201" t="s">
        <v>14668</v>
      </c>
      <c r="R7201" t="s">
        <v>1259</v>
      </c>
      <c r="S7201" t="s">
        <v>1260</v>
      </c>
      <c r="V7201" t="s">
        <v>14669</v>
      </c>
      <c r="W7201" t="s">
        <v>14670</v>
      </c>
      <c r="AF7201" t="s">
        <v>14671</v>
      </c>
    </row>
    <row r="7202" spans="1:32" hidden="1" x14ac:dyDescent="0.35">
      <c r="A7202">
        <v>7201</v>
      </c>
      <c r="B7202" t="s">
        <v>14672</v>
      </c>
      <c r="C7202" t="s">
        <v>68</v>
      </c>
      <c r="D7202" t="s">
        <v>34</v>
      </c>
      <c r="E7202">
        <v>332</v>
      </c>
      <c r="F7202">
        <v>2</v>
      </c>
      <c r="G7202">
        <v>2</v>
      </c>
      <c r="H7202">
        <v>1</v>
      </c>
      <c r="I7202">
        <v>0</v>
      </c>
      <c r="J7202">
        <v>1</v>
      </c>
      <c r="K7202">
        <v>1</v>
      </c>
      <c r="L7202">
        <v>1</v>
      </c>
      <c r="M7202">
        <v>1</v>
      </c>
      <c r="N7202">
        <v>1</v>
      </c>
      <c r="O7202">
        <v>1</v>
      </c>
      <c r="P7202" t="s">
        <v>2163</v>
      </c>
      <c r="Q7202" t="s">
        <v>2164</v>
      </c>
      <c r="R7202" t="s">
        <v>113</v>
      </c>
      <c r="S7202" t="s">
        <v>114</v>
      </c>
      <c r="V7202" t="s">
        <v>2167</v>
      </c>
      <c r="W7202" t="s">
        <v>2168</v>
      </c>
      <c r="AF7202" t="s">
        <v>14673</v>
      </c>
    </row>
    <row r="7203" spans="1:32" hidden="1" x14ac:dyDescent="0.35">
      <c r="A7203">
        <v>7202</v>
      </c>
      <c r="B7203" t="s">
        <v>14672</v>
      </c>
      <c r="C7203" t="s">
        <v>68</v>
      </c>
      <c r="D7203" t="s">
        <v>45</v>
      </c>
      <c r="E7203">
        <v>1594</v>
      </c>
      <c r="F7203">
        <v>2</v>
      </c>
      <c r="G7203">
        <v>2</v>
      </c>
      <c r="H7203">
        <v>1</v>
      </c>
      <c r="I7203">
        <v>0</v>
      </c>
      <c r="J7203">
        <v>1</v>
      </c>
      <c r="K7203">
        <v>1</v>
      </c>
      <c r="L7203">
        <v>1</v>
      </c>
      <c r="M7203">
        <v>1</v>
      </c>
      <c r="N7203">
        <v>1</v>
      </c>
      <c r="O7203">
        <v>1</v>
      </c>
      <c r="P7203" t="s">
        <v>2163</v>
      </c>
      <c r="Q7203" t="s">
        <v>2164</v>
      </c>
      <c r="R7203" t="s">
        <v>113</v>
      </c>
      <c r="S7203" t="s">
        <v>114</v>
      </c>
      <c r="V7203" t="s">
        <v>2167</v>
      </c>
      <c r="W7203" t="s">
        <v>2168</v>
      </c>
      <c r="AF7203" t="s">
        <v>14673</v>
      </c>
    </row>
    <row r="7204" spans="1:32" hidden="1" x14ac:dyDescent="0.35">
      <c r="A7204">
        <v>7203</v>
      </c>
      <c r="B7204" t="s">
        <v>14674</v>
      </c>
      <c r="C7204" t="s">
        <v>68</v>
      </c>
      <c r="D7204" t="s">
        <v>60</v>
      </c>
      <c r="E7204">
        <v>1018</v>
      </c>
      <c r="F7204">
        <v>2</v>
      </c>
      <c r="G7204">
        <v>2</v>
      </c>
      <c r="H7204">
        <v>1</v>
      </c>
      <c r="I7204">
        <v>0</v>
      </c>
      <c r="J7204">
        <v>1</v>
      </c>
      <c r="K7204">
        <v>1</v>
      </c>
      <c r="L7204">
        <v>1</v>
      </c>
      <c r="M7204">
        <v>1</v>
      </c>
      <c r="N7204">
        <v>1</v>
      </c>
      <c r="O7204">
        <v>1</v>
      </c>
      <c r="R7204" t="s">
        <v>235</v>
      </c>
      <c r="S7204" t="s">
        <v>236</v>
      </c>
      <c r="V7204" t="s">
        <v>14675</v>
      </c>
      <c r="W7204" t="s">
        <v>14676</v>
      </c>
      <c r="X7204" t="s">
        <v>14675</v>
      </c>
      <c r="Y7204" t="s">
        <v>2431</v>
      </c>
      <c r="AF7204" t="s">
        <v>14677</v>
      </c>
    </row>
    <row r="7205" spans="1:32" hidden="1" x14ac:dyDescent="0.35">
      <c r="A7205">
        <v>7204</v>
      </c>
      <c r="B7205" t="s">
        <v>14674</v>
      </c>
      <c r="C7205" t="s">
        <v>68</v>
      </c>
      <c r="D7205" t="s">
        <v>62</v>
      </c>
      <c r="E7205">
        <v>1054</v>
      </c>
      <c r="F7205">
        <v>2</v>
      </c>
      <c r="G7205">
        <v>2</v>
      </c>
      <c r="H7205">
        <v>1</v>
      </c>
      <c r="I7205">
        <v>0</v>
      </c>
      <c r="J7205">
        <v>1</v>
      </c>
      <c r="K7205">
        <v>1</v>
      </c>
      <c r="L7205">
        <v>1</v>
      </c>
      <c r="M7205">
        <v>1</v>
      </c>
      <c r="N7205">
        <v>1</v>
      </c>
      <c r="O7205">
        <v>1</v>
      </c>
      <c r="R7205" t="s">
        <v>235</v>
      </c>
      <c r="S7205" t="s">
        <v>236</v>
      </c>
      <c r="V7205" t="s">
        <v>14675</v>
      </c>
      <c r="W7205" t="s">
        <v>14676</v>
      </c>
      <c r="X7205" t="s">
        <v>14675</v>
      </c>
      <c r="Y7205" t="s">
        <v>2431</v>
      </c>
      <c r="AF7205" t="s">
        <v>14677</v>
      </c>
    </row>
    <row r="7206" spans="1:32" hidden="1" x14ac:dyDescent="0.35">
      <c r="A7206">
        <v>7205</v>
      </c>
      <c r="B7206" t="s">
        <v>14678</v>
      </c>
      <c r="C7206" t="s">
        <v>68</v>
      </c>
      <c r="D7206" t="s">
        <v>34</v>
      </c>
      <c r="E7206">
        <v>1337</v>
      </c>
      <c r="F7206">
        <v>2</v>
      </c>
      <c r="G7206">
        <v>2</v>
      </c>
      <c r="H7206">
        <v>1</v>
      </c>
      <c r="I7206">
        <v>0</v>
      </c>
      <c r="J7206">
        <v>1</v>
      </c>
      <c r="K7206">
        <v>1</v>
      </c>
      <c r="L7206">
        <v>1</v>
      </c>
      <c r="M7206">
        <v>1</v>
      </c>
      <c r="N7206">
        <v>1</v>
      </c>
      <c r="O7206">
        <v>1</v>
      </c>
      <c r="AF7206" t="s">
        <v>14679</v>
      </c>
    </row>
    <row r="7207" spans="1:32" hidden="1" x14ac:dyDescent="0.35">
      <c r="A7207">
        <v>7206</v>
      </c>
      <c r="B7207" t="s">
        <v>14678</v>
      </c>
      <c r="C7207" t="s">
        <v>68</v>
      </c>
      <c r="D7207" t="s">
        <v>45</v>
      </c>
      <c r="E7207">
        <v>88</v>
      </c>
      <c r="F7207">
        <v>2</v>
      </c>
      <c r="G7207">
        <v>2</v>
      </c>
      <c r="H7207">
        <v>1</v>
      </c>
      <c r="I7207">
        <v>0</v>
      </c>
      <c r="J7207">
        <v>1</v>
      </c>
      <c r="K7207">
        <v>1</v>
      </c>
      <c r="L7207">
        <v>1</v>
      </c>
      <c r="M7207">
        <v>1</v>
      </c>
      <c r="N7207">
        <v>1</v>
      </c>
      <c r="O7207">
        <v>1</v>
      </c>
      <c r="AF7207" t="s">
        <v>14679</v>
      </c>
    </row>
    <row r="7208" spans="1:32" hidden="1" x14ac:dyDescent="0.35">
      <c r="A7208">
        <v>7207</v>
      </c>
      <c r="B7208" t="s">
        <v>14680</v>
      </c>
      <c r="C7208" t="s">
        <v>68</v>
      </c>
      <c r="D7208" t="s">
        <v>60</v>
      </c>
      <c r="E7208">
        <v>1618</v>
      </c>
      <c r="F7208">
        <v>2</v>
      </c>
      <c r="G7208">
        <v>2</v>
      </c>
      <c r="H7208">
        <v>1</v>
      </c>
      <c r="I7208">
        <v>0</v>
      </c>
      <c r="J7208">
        <v>1</v>
      </c>
      <c r="K7208">
        <v>1</v>
      </c>
      <c r="L7208">
        <v>1</v>
      </c>
      <c r="M7208">
        <v>1</v>
      </c>
      <c r="N7208">
        <v>1</v>
      </c>
      <c r="O7208">
        <v>1</v>
      </c>
      <c r="P7208" t="s">
        <v>2163</v>
      </c>
      <c r="Q7208" t="s">
        <v>2164</v>
      </c>
      <c r="R7208" t="s">
        <v>113</v>
      </c>
      <c r="S7208" t="s">
        <v>114</v>
      </c>
      <c r="V7208" t="s">
        <v>2167</v>
      </c>
      <c r="W7208" t="s">
        <v>2168</v>
      </c>
      <c r="AF7208" t="s">
        <v>14681</v>
      </c>
    </row>
    <row r="7209" spans="1:32" hidden="1" x14ac:dyDescent="0.35">
      <c r="A7209">
        <v>7208</v>
      </c>
      <c r="B7209" t="s">
        <v>14680</v>
      </c>
      <c r="C7209" t="s">
        <v>68</v>
      </c>
      <c r="D7209" t="s">
        <v>62</v>
      </c>
      <c r="E7209">
        <v>1654</v>
      </c>
      <c r="F7209">
        <v>2</v>
      </c>
      <c r="G7209">
        <v>2</v>
      </c>
      <c r="H7209">
        <v>1</v>
      </c>
      <c r="I7209">
        <v>0</v>
      </c>
      <c r="J7209">
        <v>1</v>
      </c>
      <c r="K7209">
        <v>1</v>
      </c>
      <c r="L7209">
        <v>1</v>
      </c>
      <c r="M7209">
        <v>1</v>
      </c>
      <c r="N7209">
        <v>1</v>
      </c>
      <c r="O7209">
        <v>1</v>
      </c>
      <c r="P7209" t="s">
        <v>2163</v>
      </c>
      <c r="Q7209" t="s">
        <v>2164</v>
      </c>
      <c r="R7209" t="s">
        <v>113</v>
      </c>
      <c r="S7209" t="s">
        <v>114</v>
      </c>
      <c r="V7209" t="s">
        <v>2167</v>
      </c>
      <c r="W7209" t="s">
        <v>2168</v>
      </c>
      <c r="AF7209" t="s">
        <v>14681</v>
      </c>
    </row>
    <row r="7210" spans="1:32" hidden="1" x14ac:dyDescent="0.35">
      <c r="A7210">
        <v>7209</v>
      </c>
      <c r="B7210" t="s">
        <v>14682</v>
      </c>
      <c r="C7210" t="s">
        <v>68</v>
      </c>
      <c r="D7210" t="s">
        <v>60</v>
      </c>
      <c r="E7210">
        <v>1919</v>
      </c>
      <c r="F7210">
        <v>2</v>
      </c>
      <c r="G7210">
        <v>2</v>
      </c>
      <c r="H7210">
        <v>1</v>
      </c>
      <c r="I7210">
        <v>0</v>
      </c>
      <c r="J7210">
        <v>1</v>
      </c>
      <c r="K7210">
        <v>1</v>
      </c>
      <c r="L7210">
        <v>1</v>
      </c>
      <c r="M7210">
        <v>1</v>
      </c>
      <c r="N7210">
        <v>1</v>
      </c>
      <c r="O7210">
        <v>1</v>
      </c>
      <c r="AF7210" t="s">
        <v>14683</v>
      </c>
    </row>
    <row r="7211" spans="1:32" hidden="1" x14ac:dyDescent="0.35">
      <c r="A7211">
        <v>7210</v>
      </c>
      <c r="B7211" t="s">
        <v>14682</v>
      </c>
      <c r="C7211" t="s">
        <v>68</v>
      </c>
      <c r="D7211" t="s">
        <v>62</v>
      </c>
      <c r="E7211">
        <v>1959</v>
      </c>
      <c r="F7211">
        <v>2</v>
      </c>
      <c r="G7211">
        <v>2</v>
      </c>
      <c r="H7211">
        <v>1</v>
      </c>
      <c r="I7211">
        <v>0</v>
      </c>
      <c r="J7211">
        <v>1</v>
      </c>
      <c r="K7211">
        <v>1</v>
      </c>
      <c r="L7211">
        <v>1</v>
      </c>
      <c r="M7211">
        <v>1</v>
      </c>
      <c r="N7211">
        <v>1</v>
      </c>
      <c r="O7211">
        <v>1</v>
      </c>
      <c r="AF7211" t="s">
        <v>14683</v>
      </c>
    </row>
    <row r="7212" spans="1:32" hidden="1" x14ac:dyDescent="0.35">
      <c r="A7212">
        <v>7211</v>
      </c>
      <c r="B7212" t="s">
        <v>14684</v>
      </c>
      <c r="C7212" t="s">
        <v>68</v>
      </c>
      <c r="D7212" t="s">
        <v>34</v>
      </c>
      <c r="E7212">
        <v>2442</v>
      </c>
      <c r="F7212">
        <v>2</v>
      </c>
      <c r="G7212">
        <v>2</v>
      </c>
      <c r="H7212">
        <v>1</v>
      </c>
      <c r="I7212">
        <v>0</v>
      </c>
      <c r="J7212">
        <v>1</v>
      </c>
      <c r="K7212">
        <v>1</v>
      </c>
      <c r="L7212">
        <v>1</v>
      </c>
      <c r="M7212">
        <v>1</v>
      </c>
      <c r="N7212">
        <v>1</v>
      </c>
      <c r="O7212">
        <v>1</v>
      </c>
      <c r="P7212" t="s">
        <v>14685</v>
      </c>
      <c r="Q7212" t="s">
        <v>14686</v>
      </c>
      <c r="AF7212" t="s">
        <v>14687</v>
      </c>
    </row>
    <row r="7213" spans="1:32" hidden="1" x14ac:dyDescent="0.35">
      <c r="A7213">
        <v>7212</v>
      </c>
      <c r="B7213" t="s">
        <v>14684</v>
      </c>
      <c r="C7213" t="s">
        <v>68</v>
      </c>
      <c r="D7213" t="s">
        <v>45</v>
      </c>
      <c r="E7213">
        <v>460</v>
      </c>
      <c r="F7213">
        <v>2</v>
      </c>
      <c r="G7213">
        <v>2</v>
      </c>
      <c r="H7213">
        <v>1</v>
      </c>
      <c r="I7213">
        <v>0</v>
      </c>
      <c r="J7213">
        <v>1</v>
      </c>
      <c r="K7213">
        <v>1</v>
      </c>
      <c r="L7213">
        <v>1</v>
      </c>
      <c r="M7213">
        <v>1</v>
      </c>
      <c r="N7213">
        <v>1</v>
      </c>
      <c r="O7213">
        <v>1</v>
      </c>
      <c r="P7213" t="s">
        <v>14685</v>
      </c>
      <c r="Q7213" t="s">
        <v>14686</v>
      </c>
      <c r="AF7213" t="s">
        <v>14687</v>
      </c>
    </row>
    <row r="7214" spans="1:32" hidden="1" x14ac:dyDescent="0.35">
      <c r="A7214">
        <v>7213</v>
      </c>
      <c r="B7214" t="s">
        <v>14688</v>
      </c>
      <c r="C7214" t="s">
        <v>68</v>
      </c>
      <c r="D7214" t="s">
        <v>60</v>
      </c>
      <c r="E7214">
        <v>2288</v>
      </c>
      <c r="F7214">
        <v>2</v>
      </c>
      <c r="G7214">
        <v>2</v>
      </c>
      <c r="H7214">
        <v>1</v>
      </c>
      <c r="I7214">
        <v>0</v>
      </c>
      <c r="J7214">
        <v>1</v>
      </c>
      <c r="K7214">
        <v>1</v>
      </c>
      <c r="L7214">
        <v>1</v>
      </c>
      <c r="M7214">
        <v>1</v>
      </c>
      <c r="N7214">
        <v>1</v>
      </c>
      <c r="O7214">
        <v>1</v>
      </c>
      <c r="P7214" t="s">
        <v>14689</v>
      </c>
      <c r="Q7214" t="s">
        <v>14690</v>
      </c>
      <c r="R7214" t="s">
        <v>288</v>
      </c>
      <c r="S7214" t="s">
        <v>289</v>
      </c>
      <c r="V7214" t="s">
        <v>14691</v>
      </c>
      <c r="W7214" t="s">
        <v>14692</v>
      </c>
      <c r="AF7214" t="s">
        <v>14693</v>
      </c>
    </row>
    <row r="7215" spans="1:32" hidden="1" x14ac:dyDescent="0.35">
      <c r="A7215">
        <v>7214</v>
      </c>
      <c r="B7215" t="s">
        <v>14688</v>
      </c>
      <c r="C7215" t="s">
        <v>68</v>
      </c>
      <c r="D7215" t="s">
        <v>62</v>
      </c>
      <c r="E7215">
        <v>2317</v>
      </c>
      <c r="F7215">
        <v>2</v>
      </c>
      <c r="G7215">
        <v>2</v>
      </c>
      <c r="H7215">
        <v>1</v>
      </c>
      <c r="I7215">
        <v>0</v>
      </c>
      <c r="J7215">
        <v>1</v>
      </c>
      <c r="K7215">
        <v>1</v>
      </c>
      <c r="L7215">
        <v>1</v>
      </c>
      <c r="M7215">
        <v>1</v>
      </c>
      <c r="N7215">
        <v>1</v>
      </c>
      <c r="O7215">
        <v>1</v>
      </c>
      <c r="P7215" t="s">
        <v>14689</v>
      </c>
      <c r="Q7215" t="s">
        <v>14690</v>
      </c>
      <c r="R7215" t="s">
        <v>288</v>
      </c>
      <c r="S7215" t="s">
        <v>289</v>
      </c>
      <c r="V7215" t="s">
        <v>14691</v>
      </c>
      <c r="W7215" t="s">
        <v>14692</v>
      </c>
      <c r="AF7215" t="s">
        <v>14693</v>
      </c>
    </row>
    <row r="7216" spans="1:32" hidden="1" x14ac:dyDescent="0.35">
      <c r="A7216">
        <v>7215</v>
      </c>
      <c r="B7216" t="s">
        <v>14694</v>
      </c>
      <c r="C7216" t="s">
        <v>68</v>
      </c>
      <c r="D7216" t="s">
        <v>60</v>
      </c>
      <c r="E7216">
        <v>1680</v>
      </c>
      <c r="F7216">
        <v>2</v>
      </c>
      <c r="G7216">
        <v>2</v>
      </c>
      <c r="H7216">
        <v>1</v>
      </c>
      <c r="I7216">
        <v>0</v>
      </c>
      <c r="J7216">
        <v>1</v>
      </c>
      <c r="K7216">
        <v>1</v>
      </c>
      <c r="L7216">
        <v>1</v>
      </c>
      <c r="M7216">
        <v>1</v>
      </c>
      <c r="N7216">
        <v>1</v>
      </c>
      <c r="O7216">
        <v>1</v>
      </c>
      <c r="AF7216" t="s">
        <v>14695</v>
      </c>
    </row>
    <row r="7217" spans="1:32" hidden="1" x14ac:dyDescent="0.35">
      <c r="A7217">
        <v>7216</v>
      </c>
      <c r="B7217" t="s">
        <v>14694</v>
      </c>
      <c r="C7217" t="s">
        <v>68</v>
      </c>
      <c r="D7217" t="s">
        <v>62</v>
      </c>
      <c r="E7217">
        <v>1715</v>
      </c>
      <c r="F7217">
        <v>2</v>
      </c>
      <c r="G7217">
        <v>2</v>
      </c>
      <c r="H7217">
        <v>1</v>
      </c>
      <c r="I7217">
        <v>0</v>
      </c>
      <c r="J7217">
        <v>1</v>
      </c>
      <c r="K7217">
        <v>1</v>
      </c>
      <c r="L7217">
        <v>1</v>
      </c>
      <c r="M7217">
        <v>1</v>
      </c>
      <c r="N7217">
        <v>1</v>
      </c>
      <c r="O7217">
        <v>1</v>
      </c>
      <c r="AF7217" t="s">
        <v>14695</v>
      </c>
    </row>
    <row r="7218" spans="1:32" hidden="1" x14ac:dyDescent="0.35">
      <c r="A7218">
        <v>7217</v>
      </c>
      <c r="B7218" t="s">
        <v>14696</v>
      </c>
      <c r="C7218" t="s">
        <v>68</v>
      </c>
      <c r="D7218" t="s">
        <v>60</v>
      </c>
      <c r="E7218">
        <v>2285</v>
      </c>
      <c r="F7218">
        <v>2</v>
      </c>
      <c r="G7218">
        <v>2</v>
      </c>
      <c r="H7218">
        <v>1</v>
      </c>
      <c r="I7218">
        <v>0</v>
      </c>
      <c r="J7218">
        <v>1</v>
      </c>
      <c r="K7218">
        <v>1</v>
      </c>
      <c r="L7218">
        <v>1</v>
      </c>
      <c r="M7218">
        <v>1</v>
      </c>
      <c r="N7218">
        <v>1</v>
      </c>
      <c r="O7218">
        <v>1</v>
      </c>
      <c r="P7218" t="s">
        <v>14697</v>
      </c>
      <c r="Q7218" t="s">
        <v>14698</v>
      </c>
      <c r="R7218" t="s">
        <v>113</v>
      </c>
      <c r="S7218" t="s">
        <v>114</v>
      </c>
      <c r="T7218" t="s">
        <v>14699</v>
      </c>
      <c r="U7218" t="s">
        <v>14700</v>
      </c>
      <c r="V7218" t="s">
        <v>14701</v>
      </c>
      <c r="W7218" t="s">
        <v>14702</v>
      </c>
      <c r="AD7218" t="s">
        <v>312</v>
      </c>
      <c r="AE7218" t="s">
        <v>14703</v>
      </c>
      <c r="AF7218" t="s">
        <v>14704</v>
      </c>
    </row>
    <row r="7219" spans="1:32" hidden="1" x14ac:dyDescent="0.35">
      <c r="A7219">
        <v>7218</v>
      </c>
      <c r="B7219" t="s">
        <v>14696</v>
      </c>
      <c r="C7219" t="s">
        <v>68</v>
      </c>
      <c r="D7219" t="s">
        <v>62</v>
      </c>
      <c r="E7219">
        <v>2314</v>
      </c>
      <c r="F7219">
        <v>2</v>
      </c>
      <c r="G7219">
        <v>2</v>
      </c>
      <c r="H7219">
        <v>1</v>
      </c>
      <c r="I7219">
        <v>0</v>
      </c>
      <c r="J7219">
        <v>1</v>
      </c>
      <c r="K7219">
        <v>1</v>
      </c>
      <c r="L7219">
        <v>1</v>
      </c>
      <c r="M7219">
        <v>1</v>
      </c>
      <c r="N7219">
        <v>1</v>
      </c>
      <c r="O7219">
        <v>1</v>
      </c>
      <c r="P7219" t="s">
        <v>14697</v>
      </c>
      <c r="Q7219" t="s">
        <v>14698</v>
      </c>
      <c r="R7219" t="s">
        <v>113</v>
      </c>
      <c r="S7219" t="s">
        <v>114</v>
      </c>
      <c r="T7219" t="s">
        <v>14699</v>
      </c>
      <c r="U7219" t="s">
        <v>14700</v>
      </c>
      <c r="V7219" t="s">
        <v>14701</v>
      </c>
      <c r="W7219" t="s">
        <v>14702</v>
      </c>
      <c r="AD7219" t="s">
        <v>312</v>
      </c>
      <c r="AE7219" t="s">
        <v>14703</v>
      </c>
      <c r="AF7219" t="s">
        <v>14704</v>
      </c>
    </row>
    <row r="7220" spans="1:32" hidden="1" x14ac:dyDescent="0.35">
      <c r="A7220">
        <v>7219</v>
      </c>
      <c r="B7220" t="s">
        <v>14705</v>
      </c>
      <c r="C7220" t="s">
        <v>68</v>
      </c>
      <c r="D7220" t="s">
        <v>60</v>
      </c>
      <c r="E7220">
        <v>1119</v>
      </c>
      <c r="F7220">
        <v>2</v>
      </c>
      <c r="G7220">
        <v>2</v>
      </c>
      <c r="H7220">
        <v>1</v>
      </c>
      <c r="I7220">
        <v>0</v>
      </c>
      <c r="J7220">
        <v>1</v>
      </c>
      <c r="K7220">
        <v>1</v>
      </c>
      <c r="L7220">
        <v>1</v>
      </c>
      <c r="M7220">
        <v>1</v>
      </c>
      <c r="N7220">
        <v>1</v>
      </c>
      <c r="O7220">
        <v>1</v>
      </c>
      <c r="AF7220" t="s">
        <v>14706</v>
      </c>
    </row>
    <row r="7221" spans="1:32" hidden="1" x14ac:dyDescent="0.35">
      <c r="A7221">
        <v>7220</v>
      </c>
      <c r="B7221" t="s">
        <v>14705</v>
      </c>
      <c r="C7221" t="s">
        <v>68</v>
      </c>
      <c r="D7221" t="s">
        <v>62</v>
      </c>
      <c r="E7221">
        <v>1155</v>
      </c>
      <c r="F7221">
        <v>2</v>
      </c>
      <c r="G7221">
        <v>2</v>
      </c>
      <c r="H7221">
        <v>1</v>
      </c>
      <c r="I7221">
        <v>0</v>
      </c>
      <c r="J7221">
        <v>1</v>
      </c>
      <c r="K7221">
        <v>1</v>
      </c>
      <c r="L7221">
        <v>1</v>
      </c>
      <c r="M7221">
        <v>1</v>
      </c>
      <c r="N7221">
        <v>1</v>
      </c>
      <c r="O7221">
        <v>1</v>
      </c>
      <c r="AF7221" t="s">
        <v>14706</v>
      </c>
    </row>
    <row r="7222" spans="1:32" hidden="1" x14ac:dyDescent="0.35">
      <c r="A7222">
        <v>7221</v>
      </c>
      <c r="B7222" t="s">
        <v>14707</v>
      </c>
      <c r="C7222" t="s">
        <v>68</v>
      </c>
      <c r="D7222" t="s">
        <v>60</v>
      </c>
      <c r="E7222">
        <v>1925</v>
      </c>
      <c r="F7222">
        <v>2</v>
      </c>
      <c r="G7222">
        <v>2</v>
      </c>
      <c r="H7222">
        <v>1</v>
      </c>
      <c r="I7222">
        <v>0</v>
      </c>
      <c r="J7222">
        <v>1</v>
      </c>
      <c r="K7222">
        <v>1</v>
      </c>
      <c r="L7222">
        <v>1</v>
      </c>
      <c r="M7222">
        <v>1</v>
      </c>
      <c r="N7222">
        <v>1</v>
      </c>
      <c r="O7222">
        <v>1</v>
      </c>
      <c r="P7222" t="s">
        <v>14708</v>
      </c>
      <c r="Q7222" t="s">
        <v>14709</v>
      </c>
      <c r="AF7222" t="s">
        <v>14710</v>
      </c>
    </row>
    <row r="7223" spans="1:32" hidden="1" x14ac:dyDescent="0.35">
      <c r="A7223">
        <v>7222</v>
      </c>
      <c r="B7223" t="s">
        <v>14707</v>
      </c>
      <c r="C7223" t="s">
        <v>68</v>
      </c>
      <c r="D7223" t="s">
        <v>62</v>
      </c>
      <c r="E7223">
        <v>1965</v>
      </c>
      <c r="F7223">
        <v>2</v>
      </c>
      <c r="G7223">
        <v>2</v>
      </c>
      <c r="H7223">
        <v>1</v>
      </c>
      <c r="I7223">
        <v>0</v>
      </c>
      <c r="J7223">
        <v>1</v>
      </c>
      <c r="K7223">
        <v>1</v>
      </c>
      <c r="L7223">
        <v>1</v>
      </c>
      <c r="M7223">
        <v>1</v>
      </c>
      <c r="N7223">
        <v>1</v>
      </c>
      <c r="O7223">
        <v>1</v>
      </c>
      <c r="P7223" t="s">
        <v>14708</v>
      </c>
      <c r="Q7223" t="s">
        <v>14709</v>
      </c>
      <c r="AF7223" t="s">
        <v>14710</v>
      </c>
    </row>
    <row r="7224" spans="1:32" hidden="1" x14ac:dyDescent="0.35">
      <c r="A7224">
        <v>7223</v>
      </c>
      <c r="B7224" t="s">
        <v>14711</v>
      </c>
      <c r="C7224" t="s">
        <v>68</v>
      </c>
      <c r="D7224" t="s">
        <v>34</v>
      </c>
      <c r="E7224">
        <v>1354</v>
      </c>
      <c r="F7224">
        <v>2</v>
      </c>
      <c r="G7224">
        <v>2</v>
      </c>
      <c r="H7224">
        <v>1</v>
      </c>
      <c r="I7224">
        <v>0</v>
      </c>
      <c r="J7224">
        <v>1</v>
      </c>
      <c r="K7224">
        <v>1</v>
      </c>
      <c r="L7224">
        <v>1</v>
      </c>
      <c r="M7224">
        <v>1</v>
      </c>
      <c r="N7224">
        <v>1</v>
      </c>
      <c r="O7224">
        <v>1</v>
      </c>
      <c r="P7224" t="s">
        <v>626</v>
      </c>
      <c r="Q7224" t="s">
        <v>627</v>
      </c>
      <c r="AF7224" t="s">
        <v>14712</v>
      </c>
    </row>
    <row r="7225" spans="1:32" hidden="1" x14ac:dyDescent="0.35">
      <c r="A7225">
        <v>7224</v>
      </c>
      <c r="B7225" t="s">
        <v>14711</v>
      </c>
      <c r="C7225" t="s">
        <v>68</v>
      </c>
      <c r="D7225" t="s">
        <v>45</v>
      </c>
      <c r="E7225">
        <v>104</v>
      </c>
      <c r="F7225">
        <v>2</v>
      </c>
      <c r="G7225">
        <v>2</v>
      </c>
      <c r="H7225">
        <v>1</v>
      </c>
      <c r="I7225">
        <v>0</v>
      </c>
      <c r="J7225">
        <v>1</v>
      </c>
      <c r="K7225">
        <v>1</v>
      </c>
      <c r="L7225">
        <v>1</v>
      </c>
      <c r="M7225">
        <v>1</v>
      </c>
      <c r="N7225">
        <v>1</v>
      </c>
      <c r="O7225">
        <v>1</v>
      </c>
      <c r="P7225" t="s">
        <v>626</v>
      </c>
      <c r="Q7225" t="s">
        <v>627</v>
      </c>
      <c r="AF7225" t="s">
        <v>14712</v>
      </c>
    </row>
    <row r="7226" spans="1:32" hidden="1" x14ac:dyDescent="0.35">
      <c r="A7226">
        <v>7225</v>
      </c>
      <c r="B7226" t="s">
        <v>14713</v>
      </c>
      <c r="C7226" t="s">
        <v>68</v>
      </c>
      <c r="D7226" t="s">
        <v>60</v>
      </c>
      <c r="E7226">
        <v>1903</v>
      </c>
      <c r="F7226">
        <v>2</v>
      </c>
      <c r="G7226">
        <v>2</v>
      </c>
      <c r="H7226">
        <v>1</v>
      </c>
      <c r="I7226">
        <v>0</v>
      </c>
      <c r="J7226">
        <v>1</v>
      </c>
      <c r="K7226">
        <v>1</v>
      </c>
      <c r="L7226">
        <v>1</v>
      </c>
      <c r="M7226">
        <v>1</v>
      </c>
      <c r="N7226">
        <v>1</v>
      </c>
      <c r="O7226">
        <v>1</v>
      </c>
      <c r="AF7226" t="s">
        <v>14714</v>
      </c>
    </row>
    <row r="7227" spans="1:32" hidden="1" x14ac:dyDescent="0.35">
      <c r="A7227">
        <v>7226</v>
      </c>
      <c r="B7227" t="s">
        <v>14713</v>
      </c>
      <c r="C7227" t="s">
        <v>68</v>
      </c>
      <c r="D7227" t="s">
        <v>62</v>
      </c>
      <c r="E7227">
        <v>1943</v>
      </c>
      <c r="F7227">
        <v>2</v>
      </c>
      <c r="G7227">
        <v>2</v>
      </c>
      <c r="H7227">
        <v>1</v>
      </c>
      <c r="I7227">
        <v>0</v>
      </c>
      <c r="J7227">
        <v>1</v>
      </c>
      <c r="K7227">
        <v>1</v>
      </c>
      <c r="L7227">
        <v>1</v>
      </c>
      <c r="M7227">
        <v>1</v>
      </c>
      <c r="N7227">
        <v>1</v>
      </c>
      <c r="O7227">
        <v>1</v>
      </c>
      <c r="AF7227" t="s">
        <v>14714</v>
      </c>
    </row>
    <row r="7228" spans="1:32" hidden="1" x14ac:dyDescent="0.35">
      <c r="A7228">
        <v>7227</v>
      </c>
      <c r="B7228" t="s">
        <v>14715</v>
      </c>
      <c r="C7228" t="s">
        <v>68</v>
      </c>
      <c r="D7228" t="s">
        <v>60</v>
      </c>
      <c r="E7228">
        <v>630</v>
      </c>
      <c r="F7228">
        <v>2</v>
      </c>
      <c r="G7228">
        <v>2</v>
      </c>
      <c r="H7228">
        <v>1</v>
      </c>
      <c r="I7228">
        <v>0</v>
      </c>
      <c r="J7228">
        <v>1</v>
      </c>
      <c r="K7228">
        <v>1</v>
      </c>
      <c r="L7228">
        <v>1</v>
      </c>
      <c r="M7228">
        <v>1</v>
      </c>
      <c r="N7228">
        <v>1</v>
      </c>
      <c r="O7228">
        <v>1</v>
      </c>
      <c r="AF7228" t="s">
        <v>14716</v>
      </c>
    </row>
    <row r="7229" spans="1:32" hidden="1" x14ac:dyDescent="0.35">
      <c r="A7229">
        <v>7228</v>
      </c>
      <c r="B7229" t="s">
        <v>14715</v>
      </c>
      <c r="C7229" t="s">
        <v>68</v>
      </c>
      <c r="D7229" t="s">
        <v>62</v>
      </c>
      <c r="E7229">
        <v>714</v>
      </c>
      <c r="F7229">
        <v>2</v>
      </c>
      <c r="G7229">
        <v>2</v>
      </c>
      <c r="H7229">
        <v>1</v>
      </c>
      <c r="I7229">
        <v>0</v>
      </c>
      <c r="J7229">
        <v>1</v>
      </c>
      <c r="K7229">
        <v>1</v>
      </c>
      <c r="L7229">
        <v>1</v>
      </c>
      <c r="M7229">
        <v>1</v>
      </c>
      <c r="N7229">
        <v>1</v>
      </c>
      <c r="O7229">
        <v>1</v>
      </c>
      <c r="AF7229" t="s">
        <v>14716</v>
      </c>
    </row>
    <row r="7230" spans="1:32" hidden="1" x14ac:dyDescent="0.35">
      <c r="A7230">
        <v>7229</v>
      </c>
      <c r="B7230" t="s">
        <v>14717</v>
      </c>
      <c r="C7230" t="s">
        <v>68</v>
      </c>
      <c r="D7230" t="s">
        <v>60</v>
      </c>
      <c r="E7230">
        <v>1326</v>
      </c>
      <c r="F7230">
        <v>2</v>
      </c>
      <c r="G7230">
        <v>2</v>
      </c>
      <c r="H7230">
        <v>1</v>
      </c>
      <c r="I7230">
        <v>0</v>
      </c>
      <c r="J7230">
        <v>1</v>
      </c>
      <c r="K7230">
        <v>1</v>
      </c>
      <c r="L7230">
        <v>1</v>
      </c>
      <c r="M7230">
        <v>1</v>
      </c>
      <c r="N7230">
        <v>1</v>
      </c>
      <c r="O7230">
        <v>1</v>
      </c>
      <c r="AF7230" t="s">
        <v>14718</v>
      </c>
    </row>
    <row r="7231" spans="1:32" hidden="1" x14ac:dyDescent="0.35">
      <c r="A7231">
        <v>7230</v>
      </c>
      <c r="B7231" t="s">
        <v>14717</v>
      </c>
      <c r="C7231" t="s">
        <v>68</v>
      </c>
      <c r="D7231" t="s">
        <v>62</v>
      </c>
      <c r="E7231">
        <v>1362</v>
      </c>
      <c r="F7231">
        <v>2</v>
      </c>
      <c r="G7231">
        <v>2</v>
      </c>
      <c r="H7231">
        <v>1</v>
      </c>
      <c r="I7231">
        <v>0</v>
      </c>
      <c r="J7231">
        <v>1</v>
      </c>
      <c r="K7231">
        <v>1</v>
      </c>
      <c r="L7231">
        <v>1</v>
      </c>
      <c r="M7231">
        <v>1</v>
      </c>
      <c r="N7231">
        <v>1</v>
      </c>
      <c r="O7231">
        <v>1</v>
      </c>
      <c r="AF7231" t="s">
        <v>14718</v>
      </c>
    </row>
    <row r="7232" spans="1:32" hidden="1" x14ac:dyDescent="0.35">
      <c r="A7232">
        <v>7231</v>
      </c>
      <c r="B7232" t="s">
        <v>14719</v>
      </c>
      <c r="C7232" t="s">
        <v>68</v>
      </c>
      <c r="D7232" t="s">
        <v>60</v>
      </c>
      <c r="E7232">
        <v>1247</v>
      </c>
      <c r="F7232">
        <v>2</v>
      </c>
      <c r="G7232">
        <v>2</v>
      </c>
      <c r="H7232">
        <v>1</v>
      </c>
      <c r="I7232">
        <v>0</v>
      </c>
      <c r="J7232">
        <v>1</v>
      </c>
      <c r="K7232">
        <v>1</v>
      </c>
      <c r="L7232">
        <v>1</v>
      </c>
      <c r="M7232">
        <v>1</v>
      </c>
      <c r="N7232">
        <v>1</v>
      </c>
      <c r="O7232">
        <v>1</v>
      </c>
      <c r="P7232" t="s">
        <v>14720</v>
      </c>
      <c r="Q7232" t="s">
        <v>14721</v>
      </c>
      <c r="AF7232" t="s">
        <v>14722</v>
      </c>
    </row>
    <row r="7233" spans="1:32" hidden="1" x14ac:dyDescent="0.35">
      <c r="A7233">
        <v>7232</v>
      </c>
      <c r="B7233" t="s">
        <v>14719</v>
      </c>
      <c r="C7233" t="s">
        <v>68</v>
      </c>
      <c r="D7233" t="s">
        <v>62</v>
      </c>
      <c r="E7233">
        <v>1284</v>
      </c>
      <c r="F7233">
        <v>2</v>
      </c>
      <c r="G7233">
        <v>2</v>
      </c>
      <c r="H7233">
        <v>1</v>
      </c>
      <c r="I7233">
        <v>0</v>
      </c>
      <c r="J7233">
        <v>1</v>
      </c>
      <c r="K7233">
        <v>1</v>
      </c>
      <c r="L7233">
        <v>1</v>
      </c>
      <c r="M7233">
        <v>1</v>
      </c>
      <c r="N7233">
        <v>1</v>
      </c>
      <c r="O7233">
        <v>1</v>
      </c>
      <c r="P7233" t="s">
        <v>14720</v>
      </c>
      <c r="Q7233" t="s">
        <v>14721</v>
      </c>
      <c r="AF7233" t="s">
        <v>14722</v>
      </c>
    </row>
    <row r="7234" spans="1:32" hidden="1" x14ac:dyDescent="0.35">
      <c r="A7234">
        <v>7233</v>
      </c>
      <c r="B7234" t="s">
        <v>14723</v>
      </c>
      <c r="C7234" t="s">
        <v>68</v>
      </c>
      <c r="D7234" t="s">
        <v>34</v>
      </c>
      <c r="E7234">
        <v>1440</v>
      </c>
      <c r="F7234">
        <v>2</v>
      </c>
      <c r="G7234">
        <v>2</v>
      </c>
      <c r="H7234">
        <v>1</v>
      </c>
      <c r="I7234">
        <v>0</v>
      </c>
      <c r="J7234">
        <v>1</v>
      </c>
      <c r="K7234">
        <v>1</v>
      </c>
      <c r="L7234">
        <v>1</v>
      </c>
      <c r="M7234">
        <v>1</v>
      </c>
      <c r="N7234">
        <v>1</v>
      </c>
      <c r="O7234">
        <v>1</v>
      </c>
      <c r="P7234" t="s">
        <v>8528</v>
      </c>
      <c r="Q7234" t="s">
        <v>8529</v>
      </c>
      <c r="R7234" t="s">
        <v>8530</v>
      </c>
      <c r="S7234" t="s">
        <v>8531</v>
      </c>
      <c r="V7234" t="s">
        <v>8534</v>
      </c>
      <c r="W7234" t="s">
        <v>8535</v>
      </c>
      <c r="AF7234" t="s">
        <v>14724</v>
      </c>
    </row>
    <row r="7235" spans="1:32" hidden="1" x14ac:dyDescent="0.35">
      <c r="A7235">
        <v>7234</v>
      </c>
      <c r="B7235" t="s">
        <v>14723</v>
      </c>
      <c r="C7235" t="s">
        <v>68</v>
      </c>
      <c r="D7235" t="s">
        <v>45</v>
      </c>
      <c r="E7235">
        <v>191</v>
      </c>
      <c r="F7235">
        <v>2</v>
      </c>
      <c r="G7235">
        <v>2</v>
      </c>
      <c r="H7235">
        <v>1</v>
      </c>
      <c r="I7235">
        <v>0</v>
      </c>
      <c r="J7235">
        <v>1</v>
      </c>
      <c r="K7235">
        <v>1</v>
      </c>
      <c r="L7235">
        <v>1</v>
      </c>
      <c r="M7235">
        <v>1</v>
      </c>
      <c r="N7235">
        <v>1</v>
      </c>
      <c r="O7235">
        <v>1</v>
      </c>
      <c r="P7235" t="s">
        <v>8528</v>
      </c>
      <c r="Q7235" t="s">
        <v>8529</v>
      </c>
      <c r="R7235" t="s">
        <v>8530</v>
      </c>
      <c r="S7235" t="s">
        <v>8531</v>
      </c>
      <c r="V7235" t="s">
        <v>8534</v>
      </c>
      <c r="W7235" t="s">
        <v>8535</v>
      </c>
      <c r="AF7235" t="s">
        <v>14724</v>
      </c>
    </row>
    <row r="7236" spans="1:32" hidden="1" x14ac:dyDescent="0.35">
      <c r="A7236">
        <v>7235</v>
      </c>
      <c r="B7236" t="s">
        <v>14725</v>
      </c>
      <c r="C7236" t="s">
        <v>68</v>
      </c>
      <c r="D7236" t="s">
        <v>34</v>
      </c>
      <c r="E7236">
        <v>2284</v>
      </c>
      <c r="F7236">
        <v>2</v>
      </c>
      <c r="G7236">
        <v>2</v>
      </c>
      <c r="H7236">
        <v>1</v>
      </c>
      <c r="I7236">
        <v>0</v>
      </c>
      <c r="J7236">
        <v>1</v>
      </c>
      <c r="K7236">
        <v>1</v>
      </c>
      <c r="L7236">
        <v>1</v>
      </c>
      <c r="M7236">
        <v>1</v>
      </c>
      <c r="N7236">
        <v>1</v>
      </c>
      <c r="O7236">
        <v>1</v>
      </c>
      <c r="AF7236" t="s">
        <v>14726</v>
      </c>
    </row>
    <row r="7237" spans="1:32" hidden="1" x14ac:dyDescent="0.35">
      <c r="A7237">
        <v>7236</v>
      </c>
      <c r="B7237" t="s">
        <v>14725</v>
      </c>
      <c r="C7237" t="s">
        <v>68</v>
      </c>
      <c r="D7237" t="s">
        <v>45</v>
      </c>
      <c r="E7237">
        <v>593</v>
      </c>
      <c r="F7237">
        <v>2</v>
      </c>
      <c r="G7237">
        <v>2</v>
      </c>
      <c r="H7237">
        <v>1</v>
      </c>
      <c r="I7237">
        <v>0</v>
      </c>
      <c r="J7237">
        <v>1</v>
      </c>
      <c r="K7237">
        <v>1</v>
      </c>
      <c r="L7237">
        <v>1</v>
      </c>
      <c r="M7237">
        <v>1</v>
      </c>
      <c r="N7237">
        <v>1</v>
      </c>
      <c r="O7237">
        <v>1</v>
      </c>
      <c r="AF7237" t="s">
        <v>14726</v>
      </c>
    </row>
    <row r="7238" spans="1:32" hidden="1" x14ac:dyDescent="0.35">
      <c r="A7238">
        <v>7237</v>
      </c>
      <c r="B7238" t="s">
        <v>14727</v>
      </c>
      <c r="C7238" t="s">
        <v>68</v>
      </c>
      <c r="D7238" t="s">
        <v>60</v>
      </c>
      <c r="E7238">
        <v>1505</v>
      </c>
      <c r="F7238">
        <v>2</v>
      </c>
      <c r="G7238">
        <v>2</v>
      </c>
      <c r="H7238">
        <v>1</v>
      </c>
      <c r="I7238">
        <v>0</v>
      </c>
      <c r="J7238">
        <v>1</v>
      </c>
      <c r="K7238">
        <v>1</v>
      </c>
      <c r="L7238">
        <v>1</v>
      </c>
      <c r="M7238">
        <v>1</v>
      </c>
      <c r="N7238">
        <v>1</v>
      </c>
      <c r="O7238">
        <v>1</v>
      </c>
      <c r="P7238" t="s">
        <v>2163</v>
      </c>
      <c r="Q7238" t="s">
        <v>2164</v>
      </c>
      <c r="R7238" t="s">
        <v>113</v>
      </c>
      <c r="S7238" t="s">
        <v>114</v>
      </c>
      <c r="V7238" t="s">
        <v>2167</v>
      </c>
      <c r="W7238" t="s">
        <v>2168</v>
      </c>
      <c r="AF7238" t="s">
        <v>14728</v>
      </c>
    </row>
    <row r="7239" spans="1:32" hidden="1" x14ac:dyDescent="0.35">
      <c r="A7239">
        <v>7238</v>
      </c>
      <c r="B7239" t="s">
        <v>14727</v>
      </c>
      <c r="C7239" t="s">
        <v>68</v>
      </c>
      <c r="D7239" t="s">
        <v>62</v>
      </c>
      <c r="E7239">
        <v>1540</v>
      </c>
      <c r="F7239">
        <v>2</v>
      </c>
      <c r="G7239">
        <v>2</v>
      </c>
      <c r="H7239">
        <v>1</v>
      </c>
      <c r="I7239">
        <v>0</v>
      </c>
      <c r="J7239">
        <v>1</v>
      </c>
      <c r="K7239">
        <v>1</v>
      </c>
      <c r="L7239">
        <v>1</v>
      </c>
      <c r="M7239">
        <v>1</v>
      </c>
      <c r="N7239">
        <v>1</v>
      </c>
      <c r="O7239">
        <v>1</v>
      </c>
      <c r="P7239" t="s">
        <v>2163</v>
      </c>
      <c r="Q7239" t="s">
        <v>2164</v>
      </c>
      <c r="R7239" t="s">
        <v>113</v>
      </c>
      <c r="S7239" t="s">
        <v>114</v>
      </c>
      <c r="V7239" t="s">
        <v>2167</v>
      </c>
      <c r="W7239" t="s">
        <v>2168</v>
      </c>
      <c r="AF7239" t="s">
        <v>14728</v>
      </c>
    </row>
    <row r="7240" spans="1:32" hidden="1" x14ac:dyDescent="0.35">
      <c r="A7240">
        <v>7239</v>
      </c>
      <c r="B7240" t="s">
        <v>14729</v>
      </c>
      <c r="C7240" t="s">
        <v>68</v>
      </c>
      <c r="D7240" t="s">
        <v>60</v>
      </c>
      <c r="E7240">
        <v>1412</v>
      </c>
      <c r="F7240">
        <v>2</v>
      </c>
      <c r="G7240">
        <v>2</v>
      </c>
      <c r="H7240">
        <v>1</v>
      </c>
      <c r="I7240">
        <v>0</v>
      </c>
      <c r="J7240">
        <v>1</v>
      </c>
      <c r="K7240">
        <v>1</v>
      </c>
      <c r="L7240">
        <v>1</v>
      </c>
      <c r="M7240">
        <v>1</v>
      </c>
      <c r="N7240">
        <v>1</v>
      </c>
      <c r="O7240">
        <v>1</v>
      </c>
      <c r="AF7240" t="s">
        <v>14730</v>
      </c>
    </row>
    <row r="7241" spans="1:32" hidden="1" x14ac:dyDescent="0.35">
      <c r="A7241">
        <v>7240</v>
      </c>
      <c r="B7241" t="s">
        <v>14729</v>
      </c>
      <c r="C7241" t="s">
        <v>68</v>
      </c>
      <c r="D7241" t="s">
        <v>62</v>
      </c>
      <c r="E7241">
        <v>1447</v>
      </c>
      <c r="F7241">
        <v>2</v>
      </c>
      <c r="G7241">
        <v>2</v>
      </c>
      <c r="H7241">
        <v>1</v>
      </c>
      <c r="I7241">
        <v>0</v>
      </c>
      <c r="J7241">
        <v>1</v>
      </c>
      <c r="K7241">
        <v>1</v>
      </c>
      <c r="L7241">
        <v>1</v>
      </c>
      <c r="M7241">
        <v>1</v>
      </c>
      <c r="N7241">
        <v>1</v>
      </c>
      <c r="O7241">
        <v>1</v>
      </c>
      <c r="AF7241" t="s">
        <v>14730</v>
      </c>
    </row>
    <row r="7242" spans="1:32" s="1" customFormat="1" hidden="1" x14ac:dyDescent="0.35">
      <c r="A7242" s="1">
        <v>7241</v>
      </c>
      <c r="B7242" s="1" t="s">
        <v>14731</v>
      </c>
      <c r="C7242" s="1" t="s">
        <v>68</v>
      </c>
      <c r="D7242" s="1" t="s">
        <v>34</v>
      </c>
      <c r="E7242" s="1">
        <v>1967</v>
      </c>
      <c r="F7242" s="1">
        <v>2</v>
      </c>
      <c r="G7242" s="1">
        <v>2</v>
      </c>
      <c r="H7242" s="1">
        <v>1</v>
      </c>
      <c r="I7242" s="1">
        <v>0</v>
      </c>
      <c r="J7242" s="1">
        <v>1</v>
      </c>
      <c r="K7242" s="1">
        <v>1</v>
      </c>
      <c r="L7242" s="1">
        <v>1</v>
      </c>
      <c r="M7242" s="1">
        <v>1</v>
      </c>
      <c r="N7242" s="1">
        <v>1</v>
      </c>
      <c r="O7242" s="1">
        <v>1</v>
      </c>
      <c r="P7242" s="1" t="s">
        <v>12884</v>
      </c>
      <c r="Q7242" s="1" t="s">
        <v>12885</v>
      </c>
      <c r="R7242" s="1" t="s">
        <v>157</v>
      </c>
      <c r="S7242" s="1" t="s">
        <v>158</v>
      </c>
      <c r="T7242" s="1" t="s">
        <v>14732</v>
      </c>
      <c r="U7242" s="1" t="s">
        <v>14733</v>
      </c>
      <c r="V7242" s="1" t="s">
        <v>14734</v>
      </c>
      <c r="W7242" s="1" t="s">
        <v>14735</v>
      </c>
      <c r="AD7242" s="1" t="s">
        <v>410</v>
      </c>
      <c r="AE7242" s="1" t="s">
        <v>11283</v>
      </c>
      <c r="AF7242" s="1" t="s">
        <v>14736</v>
      </c>
    </row>
    <row r="7243" spans="1:32" s="1" customFormat="1" hidden="1" x14ac:dyDescent="0.35">
      <c r="A7243" s="1">
        <v>7242</v>
      </c>
      <c r="B7243" s="1" t="s">
        <v>14731</v>
      </c>
      <c r="C7243" s="1" t="s">
        <v>68</v>
      </c>
      <c r="D7243" s="1" t="s">
        <v>45</v>
      </c>
      <c r="E7243" s="1">
        <v>906</v>
      </c>
      <c r="F7243" s="1">
        <v>2</v>
      </c>
      <c r="G7243" s="1">
        <v>2</v>
      </c>
      <c r="H7243" s="1">
        <v>1</v>
      </c>
      <c r="I7243" s="1">
        <v>0</v>
      </c>
      <c r="J7243" s="1">
        <v>1</v>
      </c>
      <c r="K7243" s="1">
        <v>1</v>
      </c>
      <c r="L7243" s="1">
        <v>1</v>
      </c>
      <c r="M7243" s="1">
        <v>1</v>
      </c>
      <c r="N7243" s="1">
        <v>1</v>
      </c>
      <c r="O7243" s="1">
        <v>1</v>
      </c>
      <c r="P7243" s="1" t="s">
        <v>12884</v>
      </c>
      <c r="Q7243" s="1" t="s">
        <v>12885</v>
      </c>
      <c r="R7243" s="1" t="s">
        <v>157</v>
      </c>
      <c r="S7243" s="1" t="s">
        <v>158</v>
      </c>
      <c r="T7243" s="1" t="s">
        <v>14732</v>
      </c>
      <c r="U7243" s="1" t="s">
        <v>14733</v>
      </c>
      <c r="V7243" s="1" t="s">
        <v>14734</v>
      </c>
      <c r="W7243" s="1" t="s">
        <v>14735</v>
      </c>
      <c r="AD7243" s="1" t="s">
        <v>410</v>
      </c>
      <c r="AE7243" s="1" t="s">
        <v>11283</v>
      </c>
      <c r="AF7243" s="1" t="s">
        <v>14736</v>
      </c>
    </row>
    <row r="7244" spans="1:32" hidden="1" x14ac:dyDescent="0.35">
      <c r="A7244">
        <v>7243</v>
      </c>
      <c r="B7244" t="s">
        <v>14737</v>
      </c>
      <c r="C7244" t="s">
        <v>68</v>
      </c>
      <c r="D7244" t="s">
        <v>60</v>
      </c>
      <c r="E7244">
        <v>818</v>
      </c>
      <c r="F7244">
        <v>2</v>
      </c>
      <c r="G7244">
        <v>2</v>
      </c>
      <c r="H7244">
        <v>1</v>
      </c>
      <c r="I7244">
        <v>0</v>
      </c>
      <c r="J7244">
        <v>1</v>
      </c>
      <c r="K7244">
        <v>1</v>
      </c>
      <c r="L7244">
        <v>1</v>
      </c>
      <c r="M7244">
        <v>1</v>
      </c>
      <c r="N7244">
        <v>1</v>
      </c>
      <c r="O7244">
        <v>1</v>
      </c>
      <c r="P7244" t="s">
        <v>11143</v>
      </c>
      <c r="Q7244" t="s">
        <v>11144</v>
      </c>
      <c r="R7244" t="s">
        <v>288</v>
      </c>
      <c r="S7244" t="s">
        <v>289</v>
      </c>
      <c r="V7244" t="s">
        <v>11147</v>
      </c>
      <c r="W7244" t="s">
        <v>11148</v>
      </c>
      <c r="AF7244" t="s">
        <v>14738</v>
      </c>
    </row>
    <row r="7245" spans="1:32" hidden="1" x14ac:dyDescent="0.35">
      <c r="A7245">
        <v>7244</v>
      </c>
      <c r="B7245" t="s">
        <v>14737</v>
      </c>
      <c r="C7245" t="s">
        <v>68</v>
      </c>
      <c r="D7245" t="s">
        <v>62</v>
      </c>
      <c r="E7245">
        <v>851</v>
      </c>
      <c r="F7245">
        <v>2</v>
      </c>
      <c r="G7245">
        <v>2</v>
      </c>
      <c r="H7245">
        <v>1</v>
      </c>
      <c r="I7245">
        <v>0</v>
      </c>
      <c r="J7245">
        <v>1</v>
      </c>
      <c r="K7245">
        <v>1</v>
      </c>
      <c r="L7245">
        <v>1</v>
      </c>
      <c r="M7245">
        <v>1</v>
      </c>
      <c r="N7245">
        <v>1</v>
      </c>
      <c r="O7245">
        <v>1</v>
      </c>
      <c r="P7245" t="s">
        <v>11143</v>
      </c>
      <c r="Q7245" t="s">
        <v>11144</v>
      </c>
      <c r="R7245" t="s">
        <v>288</v>
      </c>
      <c r="S7245" t="s">
        <v>289</v>
      </c>
      <c r="V7245" t="s">
        <v>11147</v>
      </c>
      <c r="W7245" t="s">
        <v>11148</v>
      </c>
      <c r="AF7245" t="s">
        <v>14738</v>
      </c>
    </row>
    <row r="7246" spans="1:32" hidden="1" x14ac:dyDescent="0.35">
      <c r="A7246">
        <v>7245</v>
      </c>
      <c r="B7246" t="s">
        <v>14739</v>
      </c>
      <c r="C7246" t="s">
        <v>68</v>
      </c>
      <c r="D7246" t="s">
        <v>60</v>
      </c>
      <c r="E7246">
        <v>2467</v>
      </c>
      <c r="F7246">
        <v>2</v>
      </c>
      <c r="G7246">
        <v>2</v>
      </c>
      <c r="H7246">
        <v>1</v>
      </c>
      <c r="I7246">
        <v>0</v>
      </c>
      <c r="J7246">
        <v>1</v>
      </c>
      <c r="K7246">
        <v>1</v>
      </c>
      <c r="L7246">
        <v>1</v>
      </c>
      <c r="M7246">
        <v>1</v>
      </c>
      <c r="N7246">
        <v>1</v>
      </c>
      <c r="O7246">
        <v>1</v>
      </c>
      <c r="P7246" t="s">
        <v>1163</v>
      </c>
      <c r="Q7246" t="s">
        <v>1164</v>
      </c>
      <c r="R7246" t="s">
        <v>224</v>
      </c>
      <c r="S7246" t="s">
        <v>225</v>
      </c>
      <c r="T7246" t="s">
        <v>14740</v>
      </c>
      <c r="U7246" t="s">
        <v>14741</v>
      </c>
      <c r="V7246" t="s">
        <v>1167</v>
      </c>
      <c r="W7246" t="s">
        <v>1168</v>
      </c>
      <c r="X7246" t="s">
        <v>1167</v>
      </c>
      <c r="Y7246" t="s">
        <v>1169</v>
      </c>
      <c r="AD7246" t="s">
        <v>14742</v>
      </c>
      <c r="AE7246" t="s">
        <v>14743</v>
      </c>
      <c r="AF7246" t="s">
        <v>14744</v>
      </c>
    </row>
    <row r="7247" spans="1:32" hidden="1" x14ac:dyDescent="0.35">
      <c r="A7247">
        <v>7246</v>
      </c>
      <c r="B7247" t="s">
        <v>14739</v>
      </c>
      <c r="C7247" t="s">
        <v>68</v>
      </c>
      <c r="D7247" t="s">
        <v>62</v>
      </c>
      <c r="E7247">
        <v>2493</v>
      </c>
      <c r="F7247">
        <v>2</v>
      </c>
      <c r="G7247">
        <v>2</v>
      </c>
      <c r="H7247">
        <v>1</v>
      </c>
      <c r="I7247">
        <v>0</v>
      </c>
      <c r="J7247">
        <v>1</v>
      </c>
      <c r="K7247">
        <v>1</v>
      </c>
      <c r="L7247">
        <v>1</v>
      </c>
      <c r="M7247">
        <v>1</v>
      </c>
      <c r="N7247">
        <v>1</v>
      </c>
      <c r="O7247">
        <v>1</v>
      </c>
      <c r="P7247" t="s">
        <v>1163</v>
      </c>
      <c r="Q7247" t="s">
        <v>1164</v>
      </c>
      <c r="R7247" t="s">
        <v>224</v>
      </c>
      <c r="S7247" t="s">
        <v>225</v>
      </c>
      <c r="T7247" t="s">
        <v>14740</v>
      </c>
      <c r="U7247" t="s">
        <v>14741</v>
      </c>
      <c r="V7247" t="s">
        <v>1167</v>
      </c>
      <c r="W7247" t="s">
        <v>1168</v>
      </c>
      <c r="X7247" t="s">
        <v>1167</v>
      </c>
      <c r="Y7247" t="s">
        <v>1169</v>
      </c>
      <c r="AD7247" t="s">
        <v>14742</v>
      </c>
      <c r="AE7247" t="s">
        <v>14743</v>
      </c>
      <c r="AF7247" t="s">
        <v>14744</v>
      </c>
    </row>
    <row r="7248" spans="1:32" hidden="1" x14ac:dyDescent="0.35">
      <c r="A7248">
        <v>7247</v>
      </c>
      <c r="B7248" t="s">
        <v>14745</v>
      </c>
      <c r="C7248" t="s">
        <v>68</v>
      </c>
      <c r="D7248" t="s">
        <v>34</v>
      </c>
      <c r="E7248">
        <v>903</v>
      </c>
      <c r="F7248">
        <v>2</v>
      </c>
      <c r="G7248">
        <v>2</v>
      </c>
      <c r="H7248">
        <v>1</v>
      </c>
      <c r="I7248">
        <v>0</v>
      </c>
      <c r="J7248">
        <v>1</v>
      </c>
      <c r="K7248">
        <v>1</v>
      </c>
      <c r="L7248">
        <v>1</v>
      </c>
      <c r="M7248">
        <v>1</v>
      </c>
      <c r="N7248">
        <v>1</v>
      </c>
      <c r="O7248">
        <v>1</v>
      </c>
      <c r="R7248" t="s">
        <v>342</v>
      </c>
      <c r="S7248" t="s">
        <v>343</v>
      </c>
      <c r="V7248" t="s">
        <v>14379</v>
      </c>
      <c r="W7248" t="s">
        <v>14380</v>
      </c>
      <c r="AF7248" t="s">
        <v>14746</v>
      </c>
    </row>
    <row r="7249" spans="1:32" hidden="1" x14ac:dyDescent="0.35">
      <c r="A7249">
        <v>7248</v>
      </c>
      <c r="B7249" t="s">
        <v>14745</v>
      </c>
      <c r="C7249" t="s">
        <v>68</v>
      </c>
      <c r="D7249" t="s">
        <v>45</v>
      </c>
      <c r="E7249">
        <v>2159</v>
      </c>
      <c r="F7249">
        <v>2</v>
      </c>
      <c r="G7249">
        <v>2</v>
      </c>
      <c r="H7249">
        <v>1</v>
      </c>
      <c r="I7249">
        <v>0</v>
      </c>
      <c r="J7249">
        <v>1</v>
      </c>
      <c r="K7249">
        <v>1</v>
      </c>
      <c r="L7249">
        <v>1</v>
      </c>
      <c r="M7249">
        <v>1</v>
      </c>
      <c r="N7249">
        <v>1</v>
      </c>
      <c r="O7249">
        <v>1</v>
      </c>
      <c r="R7249" t="s">
        <v>342</v>
      </c>
      <c r="S7249" t="s">
        <v>343</v>
      </c>
      <c r="V7249" t="s">
        <v>14379</v>
      </c>
      <c r="W7249" t="s">
        <v>14380</v>
      </c>
      <c r="AF7249" t="s">
        <v>14746</v>
      </c>
    </row>
    <row r="7250" spans="1:32" hidden="1" x14ac:dyDescent="0.35">
      <c r="A7250">
        <v>7249</v>
      </c>
      <c r="B7250" t="s">
        <v>14747</v>
      </c>
      <c r="C7250" t="s">
        <v>68</v>
      </c>
      <c r="D7250" t="s">
        <v>60</v>
      </c>
      <c r="E7250">
        <v>2335</v>
      </c>
      <c r="F7250">
        <v>2</v>
      </c>
      <c r="G7250">
        <v>2</v>
      </c>
      <c r="H7250">
        <v>1</v>
      </c>
      <c r="I7250">
        <v>0</v>
      </c>
      <c r="J7250">
        <v>1</v>
      </c>
      <c r="K7250">
        <v>1</v>
      </c>
      <c r="L7250">
        <v>1</v>
      </c>
      <c r="M7250">
        <v>1</v>
      </c>
      <c r="N7250">
        <v>1</v>
      </c>
      <c r="O7250">
        <v>1</v>
      </c>
      <c r="R7250" t="s">
        <v>288</v>
      </c>
      <c r="S7250" t="s">
        <v>289</v>
      </c>
      <c r="V7250" t="s">
        <v>14748</v>
      </c>
      <c r="W7250" t="s">
        <v>14749</v>
      </c>
      <c r="AF7250" t="s">
        <v>14750</v>
      </c>
    </row>
    <row r="7251" spans="1:32" hidden="1" x14ac:dyDescent="0.35">
      <c r="A7251">
        <v>7250</v>
      </c>
      <c r="B7251" t="s">
        <v>14747</v>
      </c>
      <c r="C7251" t="s">
        <v>68</v>
      </c>
      <c r="D7251" t="s">
        <v>62</v>
      </c>
      <c r="E7251">
        <v>2363</v>
      </c>
      <c r="F7251">
        <v>2</v>
      </c>
      <c r="G7251">
        <v>2</v>
      </c>
      <c r="H7251">
        <v>1</v>
      </c>
      <c r="I7251">
        <v>0</v>
      </c>
      <c r="J7251">
        <v>1</v>
      </c>
      <c r="K7251">
        <v>1</v>
      </c>
      <c r="L7251">
        <v>1</v>
      </c>
      <c r="M7251">
        <v>1</v>
      </c>
      <c r="N7251">
        <v>1</v>
      </c>
      <c r="O7251">
        <v>1</v>
      </c>
      <c r="R7251" t="s">
        <v>288</v>
      </c>
      <c r="S7251" t="s">
        <v>289</v>
      </c>
      <c r="V7251" t="s">
        <v>14748</v>
      </c>
      <c r="W7251" t="s">
        <v>14749</v>
      </c>
      <c r="AF7251" t="s">
        <v>14750</v>
      </c>
    </row>
    <row r="7252" spans="1:32" hidden="1" x14ac:dyDescent="0.35">
      <c r="A7252">
        <v>7251</v>
      </c>
      <c r="B7252" t="s">
        <v>14751</v>
      </c>
      <c r="C7252" t="s">
        <v>68</v>
      </c>
      <c r="D7252" t="s">
        <v>60</v>
      </c>
      <c r="E7252">
        <v>281</v>
      </c>
      <c r="F7252">
        <v>2</v>
      </c>
      <c r="G7252">
        <v>2</v>
      </c>
      <c r="H7252">
        <v>1</v>
      </c>
      <c r="I7252">
        <v>0</v>
      </c>
      <c r="J7252">
        <v>1</v>
      </c>
      <c r="K7252">
        <v>1</v>
      </c>
      <c r="L7252">
        <v>1</v>
      </c>
      <c r="M7252">
        <v>1</v>
      </c>
      <c r="N7252">
        <v>1</v>
      </c>
      <c r="O7252">
        <v>1</v>
      </c>
      <c r="P7252" t="s">
        <v>4551</v>
      </c>
      <c r="Q7252" t="s">
        <v>4552</v>
      </c>
      <c r="R7252" t="s">
        <v>8647</v>
      </c>
      <c r="S7252" t="s">
        <v>8648</v>
      </c>
      <c r="V7252" t="s">
        <v>9316</v>
      </c>
      <c r="W7252" t="s">
        <v>9317</v>
      </c>
      <c r="X7252" t="s">
        <v>9316</v>
      </c>
      <c r="Y7252" t="s">
        <v>875</v>
      </c>
      <c r="AF7252" t="s">
        <v>14752</v>
      </c>
    </row>
    <row r="7253" spans="1:32" hidden="1" x14ac:dyDescent="0.35">
      <c r="A7253">
        <v>7252</v>
      </c>
      <c r="B7253" t="s">
        <v>14751</v>
      </c>
      <c r="C7253" t="s">
        <v>68</v>
      </c>
      <c r="D7253" t="s">
        <v>62</v>
      </c>
      <c r="E7253">
        <v>359</v>
      </c>
      <c r="F7253">
        <v>2</v>
      </c>
      <c r="G7253">
        <v>2</v>
      </c>
      <c r="H7253">
        <v>1</v>
      </c>
      <c r="I7253">
        <v>0</v>
      </c>
      <c r="J7253">
        <v>1</v>
      </c>
      <c r="K7253">
        <v>1</v>
      </c>
      <c r="L7253">
        <v>1</v>
      </c>
      <c r="M7253">
        <v>1</v>
      </c>
      <c r="N7253">
        <v>1</v>
      </c>
      <c r="O7253">
        <v>1</v>
      </c>
      <c r="P7253" t="s">
        <v>4551</v>
      </c>
      <c r="Q7253" t="s">
        <v>4552</v>
      </c>
      <c r="R7253" t="s">
        <v>8647</v>
      </c>
      <c r="S7253" t="s">
        <v>8648</v>
      </c>
      <c r="V7253" t="s">
        <v>9316</v>
      </c>
      <c r="W7253" t="s">
        <v>9317</v>
      </c>
      <c r="X7253" t="s">
        <v>9316</v>
      </c>
      <c r="Y7253" t="s">
        <v>875</v>
      </c>
      <c r="AF7253" t="s">
        <v>14752</v>
      </c>
    </row>
    <row r="7254" spans="1:32" hidden="1" x14ac:dyDescent="0.35">
      <c r="A7254">
        <v>7253</v>
      </c>
      <c r="B7254" t="s">
        <v>14753</v>
      </c>
      <c r="C7254" t="s">
        <v>68</v>
      </c>
      <c r="D7254" t="s">
        <v>34</v>
      </c>
      <c r="E7254">
        <v>1450</v>
      </c>
      <c r="F7254">
        <v>2</v>
      </c>
      <c r="G7254">
        <v>2</v>
      </c>
      <c r="H7254">
        <v>1</v>
      </c>
      <c r="I7254">
        <v>0</v>
      </c>
      <c r="J7254">
        <v>1</v>
      </c>
      <c r="K7254">
        <v>1</v>
      </c>
      <c r="L7254">
        <v>1</v>
      </c>
      <c r="M7254">
        <v>1</v>
      </c>
      <c r="N7254">
        <v>1</v>
      </c>
      <c r="O7254">
        <v>1</v>
      </c>
      <c r="AF7254" t="s">
        <v>14754</v>
      </c>
    </row>
    <row r="7255" spans="1:32" hidden="1" x14ac:dyDescent="0.35">
      <c r="A7255">
        <v>7254</v>
      </c>
      <c r="B7255" t="s">
        <v>14753</v>
      </c>
      <c r="C7255" t="s">
        <v>68</v>
      </c>
      <c r="D7255" t="s">
        <v>45</v>
      </c>
      <c r="E7255">
        <v>201</v>
      </c>
      <c r="F7255">
        <v>2</v>
      </c>
      <c r="G7255">
        <v>2</v>
      </c>
      <c r="H7255">
        <v>1</v>
      </c>
      <c r="I7255">
        <v>0</v>
      </c>
      <c r="J7255">
        <v>1</v>
      </c>
      <c r="K7255">
        <v>1</v>
      </c>
      <c r="L7255">
        <v>1</v>
      </c>
      <c r="M7255">
        <v>1</v>
      </c>
      <c r="N7255">
        <v>1</v>
      </c>
      <c r="O7255">
        <v>1</v>
      </c>
      <c r="AF7255" t="s">
        <v>14754</v>
      </c>
    </row>
    <row r="7256" spans="1:32" hidden="1" x14ac:dyDescent="0.35">
      <c r="A7256">
        <v>7255</v>
      </c>
      <c r="B7256" t="s">
        <v>14755</v>
      </c>
      <c r="C7256" t="s">
        <v>68</v>
      </c>
      <c r="D7256" t="s">
        <v>34</v>
      </c>
      <c r="E7256">
        <v>1109</v>
      </c>
      <c r="F7256">
        <v>2</v>
      </c>
      <c r="G7256">
        <v>2</v>
      </c>
      <c r="H7256">
        <v>1</v>
      </c>
      <c r="I7256">
        <v>0</v>
      </c>
      <c r="J7256">
        <v>1</v>
      </c>
      <c r="K7256">
        <v>1</v>
      </c>
      <c r="L7256">
        <v>1</v>
      </c>
      <c r="M7256">
        <v>1</v>
      </c>
      <c r="N7256">
        <v>1</v>
      </c>
      <c r="O7256">
        <v>1</v>
      </c>
      <c r="AF7256" t="s">
        <v>14756</v>
      </c>
    </row>
    <row r="7257" spans="1:32" hidden="1" x14ac:dyDescent="0.35">
      <c r="A7257">
        <v>7256</v>
      </c>
      <c r="B7257" t="s">
        <v>14755</v>
      </c>
      <c r="C7257" t="s">
        <v>68</v>
      </c>
      <c r="D7257" t="s">
        <v>45</v>
      </c>
      <c r="E7257">
        <v>2362</v>
      </c>
      <c r="F7257">
        <v>2</v>
      </c>
      <c r="G7257">
        <v>2</v>
      </c>
      <c r="H7257">
        <v>1</v>
      </c>
      <c r="I7257">
        <v>0</v>
      </c>
      <c r="J7257">
        <v>1</v>
      </c>
      <c r="K7257">
        <v>1</v>
      </c>
      <c r="L7257">
        <v>1</v>
      </c>
      <c r="M7257">
        <v>1</v>
      </c>
      <c r="N7257">
        <v>1</v>
      </c>
      <c r="O7257">
        <v>1</v>
      </c>
      <c r="AF7257" t="s">
        <v>14756</v>
      </c>
    </row>
    <row r="7258" spans="1:32" hidden="1" x14ac:dyDescent="0.35">
      <c r="A7258">
        <v>7257</v>
      </c>
      <c r="B7258" t="s">
        <v>14757</v>
      </c>
      <c r="C7258" t="s">
        <v>68</v>
      </c>
      <c r="D7258" t="s">
        <v>60</v>
      </c>
      <c r="E7258">
        <v>366</v>
      </c>
      <c r="F7258">
        <v>2</v>
      </c>
      <c r="G7258">
        <v>2</v>
      </c>
      <c r="H7258">
        <v>1</v>
      </c>
      <c r="I7258">
        <v>0</v>
      </c>
      <c r="J7258">
        <v>1</v>
      </c>
      <c r="K7258">
        <v>1</v>
      </c>
      <c r="L7258">
        <v>1</v>
      </c>
      <c r="M7258">
        <v>1</v>
      </c>
      <c r="N7258">
        <v>1</v>
      </c>
      <c r="O7258">
        <v>1</v>
      </c>
      <c r="P7258" t="s">
        <v>6505</v>
      </c>
      <c r="Q7258" t="s">
        <v>6506</v>
      </c>
      <c r="R7258" t="s">
        <v>75</v>
      </c>
      <c r="S7258" t="s">
        <v>76</v>
      </c>
      <c r="T7258" t="s">
        <v>14758</v>
      </c>
      <c r="U7258" t="s">
        <v>14759</v>
      </c>
      <c r="V7258" t="s">
        <v>11224</v>
      </c>
      <c r="W7258" t="s">
        <v>11225</v>
      </c>
      <c r="X7258" t="s">
        <v>11224</v>
      </c>
      <c r="Y7258" t="s">
        <v>11226</v>
      </c>
      <c r="Z7258" t="s">
        <v>14760</v>
      </c>
      <c r="AA7258" t="s">
        <v>14761</v>
      </c>
      <c r="AB7258" t="s">
        <v>14760</v>
      </c>
      <c r="AC7258" t="s">
        <v>7049</v>
      </c>
      <c r="AD7258" t="s">
        <v>245</v>
      </c>
      <c r="AE7258" t="s">
        <v>14762</v>
      </c>
      <c r="AF7258" t="s">
        <v>14763</v>
      </c>
    </row>
    <row r="7259" spans="1:32" hidden="1" x14ac:dyDescent="0.35">
      <c r="A7259">
        <v>7258</v>
      </c>
      <c r="B7259" t="s">
        <v>14757</v>
      </c>
      <c r="C7259" t="s">
        <v>68</v>
      </c>
      <c r="D7259" t="s">
        <v>62</v>
      </c>
      <c r="E7259">
        <v>446</v>
      </c>
      <c r="F7259">
        <v>2</v>
      </c>
      <c r="G7259">
        <v>2</v>
      </c>
      <c r="H7259">
        <v>1</v>
      </c>
      <c r="I7259">
        <v>0</v>
      </c>
      <c r="J7259">
        <v>1</v>
      </c>
      <c r="K7259">
        <v>1</v>
      </c>
      <c r="L7259">
        <v>1</v>
      </c>
      <c r="M7259">
        <v>1</v>
      </c>
      <c r="N7259">
        <v>1</v>
      </c>
      <c r="O7259">
        <v>1</v>
      </c>
      <c r="P7259" t="s">
        <v>6505</v>
      </c>
      <c r="Q7259" t="s">
        <v>6506</v>
      </c>
      <c r="R7259" t="s">
        <v>75</v>
      </c>
      <c r="S7259" t="s">
        <v>76</v>
      </c>
      <c r="T7259" t="s">
        <v>14758</v>
      </c>
      <c r="U7259" t="s">
        <v>14759</v>
      </c>
      <c r="V7259" t="s">
        <v>11224</v>
      </c>
      <c r="W7259" t="s">
        <v>11225</v>
      </c>
      <c r="X7259" t="s">
        <v>11224</v>
      </c>
      <c r="Y7259" t="s">
        <v>11226</v>
      </c>
      <c r="Z7259" t="s">
        <v>14760</v>
      </c>
      <c r="AA7259" t="s">
        <v>14761</v>
      </c>
      <c r="AB7259" t="s">
        <v>14760</v>
      </c>
      <c r="AC7259" t="s">
        <v>7049</v>
      </c>
      <c r="AD7259" t="s">
        <v>245</v>
      </c>
      <c r="AE7259" t="s">
        <v>14762</v>
      </c>
      <c r="AF7259" t="s">
        <v>14763</v>
      </c>
    </row>
    <row r="7260" spans="1:32" hidden="1" x14ac:dyDescent="0.35">
      <c r="A7260">
        <v>7259</v>
      </c>
      <c r="B7260" t="s">
        <v>14764</v>
      </c>
      <c r="C7260" t="s">
        <v>68</v>
      </c>
      <c r="D7260" t="s">
        <v>34</v>
      </c>
      <c r="E7260">
        <v>1563</v>
      </c>
      <c r="F7260">
        <v>2</v>
      </c>
      <c r="G7260">
        <v>2</v>
      </c>
      <c r="H7260">
        <v>1</v>
      </c>
      <c r="I7260">
        <v>0</v>
      </c>
      <c r="J7260">
        <v>1</v>
      </c>
      <c r="K7260">
        <v>1</v>
      </c>
      <c r="L7260">
        <v>1</v>
      </c>
      <c r="M7260">
        <v>1</v>
      </c>
      <c r="N7260">
        <v>1</v>
      </c>
      <c r="O7260">
        <v>1</v>
      </c>
      <c r="R7260" t="s">
        <v>14425</v>
      </c>
      <c r="S7260" t="s">
        <v>14426</v>
      </c>
      <c r="V7260" t="s">
        <v>14429</v>
      </c>
      <c r="W7260" t="s">
        <v>14430</v>
      </c>
      <c r="AF7260" t="s">
        <v>14765</v>
      </c>
    </row>
    <row r="7261" spans="1:32" hidden="1" x14ac:dyDescent="0.35">
      <c r="A7261">
        <v>7260</v>
      </c>
      <c r="B7261" t="s">
        <v>14764</v>
      </c>
      <c r="C7261" t="s">
        <v>68</v>
      </c>
      <c r="D7261" t="s">
        <v>45</v>
      </c>
      <c r="E7261">
        <v>313</v>
      </c>
      <c r="F7261">
        <v>2</v>
      </c>
      <c r="G7261">
        <v>2</v>
      </c>
      <c r="H7261">
        <v>1</v>
      </c>
      <c r="I7261">
        <v>0</v>
      </c>
      <c r="J7261">
        <v>1</v>
      </c>
      <c r="K7261">
        <v>1</v>
      </c>
      <c r="L7261">
        <v>1</v>
      </c>
      <c r="M7261">
        <v>1</v>
      </c>
      <c r="N7261">
        <v>1</v>
      </c>
      <c r="O7261">
        <v>1</v>
      </c>
      <c r="R7261" t="s">
        <v>14425</v>
      </c>
      <c r="S7261" t="s">
        <v>14426</v>
      </c>
      <c r="V7261" t="s">
        <v>14429</v>
      </c>
      <c r="W7261" t="s">
        <v>14430</v>
      </c>
      <c r="AF7261" t="s">
        <v>14765</v>
      </c>
    </row>
    <row r="7262" spans="1:32" hidden="1" x14ac:dyDescent="0.35">
      <c r="A7262">
        <v>7261</v>
      </c>
      <c r="B7262" t="s">
        <v>14766</v>
      </c>
      <c r="C7262" t="s">
        <v>68</v>
      </c>
      <c r="D7262" t="s">
        <v>60</v>
      </c>
      <c r="E7262">
        <v>522</v>
      </c>
      <c r="F7262">
        <v>2</v>
      </c>
      <c r="G7262">
        <v>2</v>
      </c>
      <c r="H7262">
        <v>1</v>
      </c>
      <c r="I7262">
        <v>0</v>
      </c>
      <c r="J7262">
        <v>1</v>
      </c>
      <c r="K7262">
        <v>1</v>
      </c>
      <c r="L7262">
        <v>1</v>
      </c>
      <c r="M7262">
        <v>1</v>
      </c>
      <c r="N7262">
        <v>1</v>
      </c>
      <c r="O7262">
        <v>1</v>
      </c>
      <c r="AF7262" t="s">
        <v>14767</v>
      </c>
    </row>
    <row r="7263" spans="1:32" hidden="1" x14ac:dyDescent="0.35">
      <c r="A7263">
        <v>7262</v>
      </c>
      <c r="B7263" t="s">
        <v>14766</v>
      </c>
      <c r="C7263" t="s">
        <v>68</v>
      </c>
      <c r="D7263" t="s">
        <v>62</v>
      </c>
      <c r="E7263">
        <v>606</v>
      </c>
      <c r="F7263">
        <v>2</v>
      </c>
      <c r="G7263">
        <v>2</v>
      </c>
      <c r="H7263">
        <v>1</v>
      </c>
      <c r="I7263">
        <v>0</v>
      </c>
      <c r="J7263">
        <v>1</v>
      </c>
      <c r="K7263">
        <v>1</v>
      </c>
      <c r="L7263">
        <v>1</v>
      </c>
      <c r="M7263">
        <v>1</v>
      </c>
      <c r="N7263">
        <v>1</v>
      </c>
      <c r="O7263">
        <v>1</v>
      </c>
      <c r="AF7263" t="s">
        <v>14767</v>
      </c>
    </row>
    <row r="7264" spans="1:32" hidden="1" x14ac:dyDescent="0.35">
      <c r="A7264">
        <v>7263</v>
      </c>
      <c r="B7264" t="s">
        <v>14768</v>
      </c>
      <c r="C7264" t="s">
        <v>68</v>
      </c>
      <c r="D7264" t="s">
        <v>60</v>
      </c>
      <c r="E7264">
        <v>624</v>
      </c>
      <c r="F7264">
        <v>2</v>
      </c>
      <c r="G7264">
        <v>2</v>
      </c>
      <c r="H7264">
        <v>1</v>
      </c>
      <c r="I7264">
        <v>0</v>
      </c>
      <c r="J7264">
        <v>1</v>
      </c>
      <c r="K7264">
        <v>1</v>
      </c>
      <c r="L7264">
        <v>1</v>
      </c>
      <c r="M7264">
        <v>1</v>
      </c>
      <c r="N7264">
        <v>1</v>
      </c>
      <c r="O7264">
        <v>1</v>
      </c>
      <c r="R7264" t="s">
        <v>8647</v>
      </c>
      <c r="S7264" t="s">
        <v>8648</v>
      </c>
      <c r="V7264" t="s">
        <v>11549</v>
      </c>
      <c r="W7264" t="s">
        <v>11550</v>
      </c>
      <c r="AF7264" t="s">
        <v>14769</v>
      </c>
    </row>
    <row r="7265" spans="1:32" hidden="1" x14ac:dyDescent="0.35">
      <c r="A7265">
        <v>7264</v>
      </c>
      <c r="B7265" t="s">
        <v>14768</v>
      </c>
      <c r="C7265" t="s">
        <v>68</v>
      </c>
      <c r="D7265" t="s">
        <v>62</v>
      </c>
      <c r="E7265">
        <v>708</v>
      </c>
      <c r="F7265">
        <v>2</v>
      </c>
      <c r="G7265">
        <v>2</v>
      </c>
      <c r="H7265">
        <v>1</v>
      </c>
      <c r="I7265">
        <v>0</v>
      </c>
      <c r="J7265">
        <v>1</v>
      </c>
      <c r="K7265">
        <v>1</v>
      </c>
      <c r="L7265">
        <v>1</v>
      </c>
      <c r="M7265">
        <v>1</v>
      </c>
      <c r="N7265">
        <v>1</v>
      </c>
      <c r="O7265">
        <v>1</v>
      </c>
      <c r="R7265" t="s">
        <v>8647</v>
      </c>
      <c r="S7265" t="s">
        <v>8648</v>
      </c>
      <c r="V7265" t="s">
        <v>11549</v>
      </c>
      <c r="W7265" t="s">
        <v>11550</v>
      </c>
      <c r="AF7265" t="s">
        <v>14769</v>
      </c>
    </row>
    <row r="7266" spans="1:32" hidden="1" x14ac:dyDescent="0.35">
      <c r="A7266">
        <v>7265</v>
      </c>
      <c r="B7266" t="s">
        <v>14770</v>
      </c>
      <c r="C7266" t="s">
        <v>68</v>
      </c>
      <c r="D7266" t="s">
        <v>60</v>
      </c>
      <c r="E7266">
        <v>2379</v>
      </c>
      <c r="F7266">
        <v>2</v>
      </c>
      <c r="G7266">
        <v>2</v>
      </c>
      <c r="H7266">
        <v>1</v>
      </c>
      <c r="I7266">
        <v>0</v>
      </c>
      <c r="J7266">
        <v>1</v>
      </c>
      <c r="K7266">
        <v>1</v>
      </c>
      <c r="L7266">
        <v>1</v>
      </c>
      <c r="M7266">
        <v>1</v>
      </c>
      <c r="N7266">
        <v>1</v>
      </c>
      <c r="O7266">
        <v>1</v>
      </c>
      <c r="AF7266" t="s">
        <v>14771</v>
      </c>
    </row>
    <row r="7267" spans="1:32" hidden="1" x14ac:dyDescent="0.35">
      <c r="A7267">
        <v>7266</v>
      </c>
      <c r="B7267" t="s">
        <v>14770</v>
      </c>
      <c r="C7267" t="s">
        <v>68</v>
      </c>
      <c r="D7267" t="s">
        <v>62</v>
      </c>
      <c r="E7267">
        <v>2407</v>
      </c>
      <c r="F7267">
        <v>2</v>
      </c>
      <c r="G7267">
        <v>2</v>
      </c>
      <c r="H7267">
        <v>1</v>
      </c>
      <c r="I7267">
        <v>0</v>
      </c>
      <c r="J7267">
        <v>1</v>
      </c>
      <c r="K7267">
        <v>1</v>
      </c>
      <c r="L7267">
        <v>1</v>
      </c>
      <c r="M7267">
        <v>1</v>
      </c>
      <c r="N7267">
        <v>1</v>
      </c>
      <c r="O7267">
        <v>1</v>
      </c>
      <c r="AF7267" t="s">
        <v>14771</v>
      </c>
    </row>
    <row r="7268" spans="1:32" hidden="1" x14ac:dyDescent="0.35">
      <c r="A7268">
        <v>7267</v>
      </c>
      <c r="B7268" t="s">
        <v>14772</v>
      </c>
      <c r="C7268" t="s">
        <v>68</v>
      </c>
      <c r="D7268" t="s">
        <v>34</v>
      </c>
      <c r="E7268">
        <v>564</v>
      </c>
      <c r="F7268">
        <v>2</v>
      </c>
      <c r="G7268">
        <v>2</v>
      </c>
      <c r="H7268">
        <v>1</v>
      </c>
      <c r="I7268">
        <v>0</v>
      </c>
      <c r="J7268">
        <v>1</v>
      </c>
      <c r="K7268">
        <v>1</v>
      </c>
      <c r="L7268">
        <v>1</v>
      </c>
      <c r="M7268">
        <v>1</v>
      </c>
      <c r="N7268">
        <v>1</v>
      </c>
      <c r="O7268">
        <v>1</v>
      </c>
      <c r="P7268" t="s">
        <v>14773</v>
      </c>
      <c r="Q7268" t="s">
        <v>14774</v>
      </c>
      <c r="R7268" t="s">
        <v>342</v>
      </c>
      <c r="S7268" t="s">
        <v>343</v>
      </c>
      <c r="T7268" t="s">
        <v>14775</v>
      </c>
      <c r="U7268" t="s">
        <v>14776</v>
      </c>
      <c r="V7268" t="s">
        <v>14777</v>
      </c>
      <c r="W7268" t="s">
        <v>14778</v>
      </c>
      <c r="AD7268" t="s">
        <v>166</v>
      </c>
      <c r="AE7268" t="s">
        <v>10202</v>
      </c>
      <c r="AF7268" t="s">
        <v>14779</v>
      </c>
    </row>
    <row r="7269" spans="1:32" hidden="1" x14ac:dyDescent="0.35">
      <c r="A7269">
        <v>7268</v>
      </c>
      <c r="B7269" t="s">
        <v>14772</v>
      </c>
      <c r="C7269" t="s">
        <v>68</v>
      </c>
      <c r="D7269" t="s">
        <v>45</v>
      </c>
      <c r="E7269">
        <v>1830</v>
      </c>
      <c r="F7269">
        <v>2</v>
      </c>
      <c r="G7269">
        <v>2</v>
      </c>
      <c r="H7269">
        <v>1</v>
      </c>
      <c r="I7269">
        <v>0</v>
      </c>
      <c r="J7269">
        <v>1</v>
      </c>
      <c r="K7269">
        <v>1</v>
      </c>
      <c r="L7269">
        <v>1</v>
      </c>
      <c r="M7269">
        <v>1</v>
      </c>
      <c r="N7269">
        <v>1</v>
      </c>
      <c r="O7269">
        <v>1</v>
      </c>
      <c r="P7269" t="s">
        <v>14773</v>
      </c>
      <c r="Q7269" t="s">
        <v>14774</v>
      </c>
      <c r="R7269" t="s">
        <v>342</v>
      </c>
      <c r="S7269" t="s">
        <v>343</v>
      </c>
      <c r="T7269" t="s">
        <v>14775</v>
      </c>
      <c r="U7269" t="s">
        <v>14776</v>
      </c>
      <c r="V7269" t="s">
        <v>14777</v>
      </c>
      <c r="W7269" t="s">
        <v>14778</v>
      </c>
      <c r="AD7269" t="s">
        <v>166</v>
      </c>
      <c r="AE7269" t="s">
        <v>10202</v>
      </c>
      <c r="AF7269" t="s">
        <v>14779</v>
      </c>
    </row>
    <row r="7270" spans="1:32" hidden="1" x14ac:dyDescent="0.35">
      <c r="A7270">
        <v>7269</v>
      </c>
      <c r="B7270" t="s">
        <v>14780</v>
      </c>
      <c r="C7270" t="s">
        <v>68</v>
      </c>
      <c r="D7270" t="s">
        <v>60</v>
      </c>
      <c r="E7270">
        <v>749</v>
      </c>
      <c r="F7270">
        <v>2</v>
      </c>
      <c r="G7270">
        <v>2</v>
      </c>
      <c r="H7270">
        <v>1</v>
      </c>
      <c r="I7270">
        <v>0</v>
      </c>
      <c r="J7270">
        <v>1</v>
      </c>
      <c r="K7270">
        <v>1</v>
      </c>
      <c r="L7270">
        <v>1</v>
      </c>
      <c r="M7270">
        <v>1</v>
      </c>
      <c r="N7270">
        <v>1</v>
      </c>
      <c r="O7270">
        <v>1</v>
      </c>
      <c r="R7270" t="s">
        <v>652</v>
      </c>
      <c r="S7270" t="s">
        <v>653</v>
      </c>
      <c r="V7270" t="s">
        <v>14781</v>
      </c>
      <c r="W7270" t="s">
        <v>14782</v>
      </c>
      <c r="X7270" t="s">
        <v>14781</v>
      </c>
      <c r="Y7270" t="s">
        <v>1153</v>
      </c>
      <c r="AF7270" t="s">
        <v>14783</v>
      </c>
    </row>
    <row r="7271" spans="1:32" hidden="1" x14ac:dyDescent="0.35">
      <c r="A7271">
        <v>7270</v>
      </c>
      <c r="B7271" t="s">
        <v>14780</v>
      </c>
      <c r="C7271" t="s">
        <v>68</v>
      </c>
      <c r="D7271" t="s">
        <v>62</v>
      </c>
      <c r="E7271">
        <v>781</v>
      </c>
      <c r="F7271">
        <v>2</v>
      </c>
      <c r="G7271">
        <v>2</v>
      </c>
      <c r="H7271">
        <v>1</v>
      </c>
      <c r="I7271">
        <v>0</v>
      </c>
      <c r="J7271">
        <v>1</v>
      </c>
      <c r="K7271">
        <v>1</v>
      </c>
      <c r="L7271">
        <v>1</v>
      </c>
      <c r="M7271">
        <v>1</v>
      </c>
      <c r="N7271">
        <v>1</v>
      </c>
      <c r="O7271">
        <v>1</v>
      </c>
      <c r="R7271" t="s">
        <v>652</v>
      </c>
      <c r="S7271" t="s">
        <v>653</v>
      </c>
      <c r="V7271" t="s">
        <v>14781</v>
      </c>
      <c r="W7271" t="s">
        <v>14782</v>
      </c>
      <c r="X7271" t="s">
        <v>14781</v>
      </c>
      <c r="Y7271" t="s">
        <v>1153</v>
      </c>
      <c r="AF7271" t="s">
        <v>14783</v>
      </c>
    </row>
    <row r="7272" spans="1:32" hidden="1" x14ac:dyDescent="0.35">
      <c r="A7272">
        <v>7271</v>
      </c>
      <c r="B7272" t="s">
        <v>14784</v>
      </c>
      <c r="C7272" t="s">
        <v>68</v>
      </c>
      <c r="D7272" t="s">
        <v>60</v>
      </c>
      <c r="E7272">
        <v>264</v>
      </c>
      <c r="F7272">
        <v>2</v>
      </c>
      <c r="G7272">
        <v>2</v>
      </c>
      <c r="H7272">
        <v>1</v>
      </c>
      <c r="I7272">
        <v>0</v>
      </c>
      <c r="J7272">
        <v>1</v>
      </c>
      <c r="K7272">
        <v>1</v>
      </c>
      <c r="L7272">
        <v>1</v>
      </c>
      <c r="M7272">
        <v>1</v>
      </c>
      <c r="N7272">
        <v>1</v>
      </c>
      <c r="O7272">
        <v>1</v>
      </c>
      <c r="P7272" t="s">
        <v>14785</v>
      </c>
      <c r="Q7272" t="s">
        <v>14786</v>
      </c>
      <c r="AF7272" t="s">
        <v>14787</v>
      </c>
    </row>
    <row r="7273" spans="1:32" hidden="1" x14ac:dyDescent="0.35">
      <c r="A7273">
        <v>7272</v>
      </c>
      <c r="B7273" t="s">
        <v>14784</v>
      </c>
      <c r="C7273" t="s">
        <v>68</v>
      </c>
      <c r="D7273" t="s">
        <v>62</v>
      </c>
      <c r="E7273">
        <v>342</v>
      </c>
      <c r="F7273">
        <v>2</v>
      </c>
      <c r="G7273">
        <v>2</v>
      </c>
      <c r="H7273">
        <v>1</v>
      </c>
      <c r="I7273">
        <v>0</v>
      </c>
      <c r="J7273">
        <v>1</v>
      </c>
      <c r="K7273">
        <v>1</v>
      </c>
      <c r="L7273">
        <v>1</v>
      </c>
      <c r="M7273">
        <v>1</v>
      </c>
      <c r="N7273">
        <v>1</v>
      </c>
      <c r="O7273">
        <v>1</v>
      </c>
      <c r="P7273" t="s">
        <v>14785</v>
      </c>
      <c r="Q7273" t="s">
        <v>14786</v>
      </c>
      <c r="AF7273" t="s">
        <v>14787</v>
      </c>
    </row>
    <row r="7274" spans="1:32" hidden="1" x14ac:dyDescent="0.35">
      <c r="A7274">
        <v>7273</v>
      </c>
      <c r="B7274" t="s">
        <v>14788</v>
      </c>
      <c r="C7274" t="s">
        <v>68</v>
      </c>
      <c r="D7274" t="s">
        <v>60</v>
      </c>
      <c r="E7274">
        <v>1975</v>
      </c>
      <c r="F7274">
        <v>2</v>
      </c>
      <c r="G7274">
        <v>2</v>
      </c>
      <c r="H7274">
        <v>1</v>
      </c>
      <c r="I7274">
        <v>0</v>
      </c>
      <c r="J7274">
        <v>1</v>
      </c>
      <c r="K7274">
        <v>1</v>
      </c>
      <c r="L7274">
        <v>1</v>
      </c>
      <c r="M7274">
        <v>1</v>
      </c>
      <c r="N7274">
        <v>1</v>
      </c>
      <c r="O7274">
        <v>1</v>
      </c>
      <c r="AF7274" t="s">
        <v>14789</v>
      </c>
    </row>
    <row r="7275" spans="1:32" hidden="1" x14ac:dyDescent="0.35">
      <c r="A7275">
        <v>7274</v>
      </c>
      <c r="B7275" t="s">
        <v>14788</v>
      </c>
      <c r="C7275" t="s">
        <v>68</v>
      </c>
      <c r="D7275" t="s">
        <v>62</v>
      </c>
      <c r="E7275">
        <v>2016</v>
      </c>
      <c r="F7275">
        <v>2</v>
      </c>
      <c r="G7275">
        <v>2</v>
      </c>
      <c r="H7275">
        <v>1</v>
      </c>
      <c r="I7275">
        <v>0</v>
      </c>
      <c r="J7275">
        <v>1</v>
      </c>
      <c r="K7275">
        <v>1</v>
      </c>
      <c r="L7275">
        <v>1</v>
      </c>
      <c r="M7275">
        <v>1</v>
      </c>
      <c r="N7275">
        <v>1</v>
      </c>
      <c r="O7275">
        <v>1</v>
      </c>
      <c r="AF7275" t="s">
        <v>14789</v>
      </c>
    </row>
    <row r="7276" spans="1:32" hidden="1" x14ac:dyDescent="0.35">
      <c r="A7276">
        <v>7275</v>
      </c>
      <c r="B7276" t="s">
        <v>14790</v>
      </c>
      <c r="C7276" t="s">
        <v>68</v>
      </c>
      <c r="D7276" t="s">
        <v>34</v>
      </c>
      <c r="E7276">
        <v>902</v>
      </c>
      <c r="F7276">
        <v>2</v>
      </c>
      <c r="G7276">
        <v>2</v>
      </c>
      <c r="H7276">
        <v>1</v>
      </c>
      <c r="I7276">
        <v>0</v>
      </c>
      <c r="J7276">
        <v>1</v>
      </c>
      <c r="K7276">
        <v>1</v>
      </c>
      <c r="L7276">
        <v>1</v>
      </c>
      <c r="M7276">
        <v>1</v>
      </c>
      <c r="N7276">
        <v>1</v>
      </c>
      <c r="O7276">
        <v>1</v>
      </c>
      <c r="P7276" t="s">
        <v>12363</v>
      </c>
      <c r="Q7276" t="s">
        <v>12364</v>
      </c>
      <c r="R7276" t="s">
        <v>342</v>
      </c>
      <c r="S7276" t="s">
        <v>343</v>
      </c>
      <c r="T7276" t="s">
        <v>12365</v>
      </c>
      <c r="U7276" t="s">
        <v>12366</v>
      </c>
      <c r="V7276" t="s">
        <v>12367</v>
      </c>
      <c r="W7276" t="s">
        <v>12368</v>
      </c>
      <c r="AD7276" t="s">
        <v>166</v>
      </c>
      <c r="AE7276" t="s">
        <v>818</v>
      </c>
      <c r="AF7276" t="s">
        <v>14791</v>
      </c>
    </row>
    <row r="7277" spans="1:32" hidden="1" x14ac:dyDescent="0.35">
      <c r="A7277">
        <v>7276</v>
      </c>
      <c r="B7277" t="s">
        <v>14790</v>
      </c>
      <c r="C7277" t="s">
        <v>68</v>
      </c>
      <c r="D7277" t="s">
        <v>45</v>
      </c>
      <c r="E7277">
        <v>2158</v>
      </c>
      <c r="F7277">
        <v>2</v>
      </c>
      <c r="G7277">
        <v>2</v>
      </c>
      <c r="H7277">
        <v>1</v>
      </c>
      <c r="I7277">
        <v>0</v>
      </c>
      <c r="J7277">
        <v>1</v>
      </c>
      <c r="K7277">
        <v>1</v>
      </c>
      <c r="L7277">
        <v>1</v>
      </c>
      <c r="M7277">
        <v>1</v>
      </c>
      <c r="N7277">
        <v>1</v>
      </c>
      <c r="O7277">
        <v>1</v>
      </c>
      <c r="P7277" t="s">
        <v>12363</v>
      </c>
      <c r="Q7277" t="s">
        <v>12364</v>
      </c>
      <c r="R7277" t="s">
        <v>342</v>
      </c>
      <c r="S7277" t="s">
        <v>343</v>
      </c>
      <c r="T7277" t="s">
        <v>12365</v>
      </c>
      <c r="U7277" t="s">
        <v>12366</v>
      </c>
      <c r="V7277" t="s">
        <v>12367</v>
      </c>
      <c r="W7277" t="s">
        <v>12368</v>
      </c>
      <c r="AD7277" t="s">
        <v>166</v>
      </c>
      <c r="AE7277" t="s">
        <v>818</v>
      </c>
      <c r="AF7277" t="s">
        <v>14791</v>
      </c>
    </row>
    <row r="7278" spans="1:32" hidden="1" x14ac:dyDescent="0.35">
      <c r="A7278">
        <v>7277</v>
      </c>
      <c r="B7278" t="s">
        <v>14792</v>
      </c>
      <c r="C7278" t="s">
        <v>68</v>
      </c>
      <c r="D7278" t="s">
        <v>60</v>
      </c>
      <c r="E7278">
        <v>2450</v>
      </c>
      <c r="F7278">
        <v>2</v>
      </c>
      <c r="G7278">
        <v>2</v>
      </c>
      <c r="H7278">
        <v>1</v>
      </c>
      <c r="I7278">
        <v>0</v>
      </c>
      <c r="J7278">
        <v>1</v>
      </c>
      <c r="K7278">
        <v>1</v>
      </c>
      <c r="L7278">
        <v>1</v>
      </c>
      <c r="M7278">
        <v>1</v>
      </c>
      <c r="N7278">
        <v>1</v>
      </c>
      <c r="O7278">
        <v>1</v>
      </c>
      <c r="P7278" t="s">
        <v>7145</v>
      </c>
      <c r="Q7278" t="s">
        <v>7146</v>
      </c>
      <c r="R7278" t="s">
        <v>75</v>
      </c>
      <c r="S7278" t="s">
        <v>76</v>
      </c>
      <c r="T7278" t="s">
        <v>14793</v>
      </c>
      <c r="U7278" t="s">
        <v>3223</v>
      </c>
      <c r="V7278" t="s">
        <v>7149</v>
      </c>
      <c r="W7278" t="s">
        <v>7150</v>
      </c>
      <c r="X7278" t="s">
        <v>7149</v>
      </c>
      <c r="Y7278" t="s">
        <v>2392</v>
      </c>
      <c r="AD7278" t="s">
        <v>2264</v>
      </c>
      <c r="AE7278" t="s">
        <v>3226</v>
      </c>
      <c r="AF7278" t="s">
        <v>14794</v>
      </c>
    </row>
    <row r="7279" spans="1:32" hidden="1" x14ac:dyDescent="0.35">
      <c r="A7279">
        <v>7278</v>
      </c>
      <c r="B7279" t="s">
        <v>14792</v>
      </c>
      <c r="C7279" t="s">
        <v>68</v>
      </c>
      <c r="D7279" t="s">
        <v>62</v>
      </c>
      <c r="E7279">
        <v>2476</v>
      </c>
      <c r="F7279">
        <v>2</v>
      </c>
      <c r="G7279">
        <v>2</v>
      </c>
      <c r="H7279">
        <v>1</v>
      </c>
      <c r="I7279">
        <v>0</v>
      </c>
      <c r="J7279">
        <v>1</v>
      </c>
      <c r="K7279">
        <v>1</v>
      </c>
      <c r="L7279">
        <v>1</v>
      </c>
      <c r="M7279">
        <v>1</v>
      </c>
      <c r="N7279">
        <v>1</v>
      </c>
      <c r="O7279">
        <v>1</v>
      </c>
      <c r="P7279" t="s">
        <v>7145</v>
      </c>
      <c r="Q7279" t="s">
        <v>7146</v>
      </c>
      <c r="R7279" t="s">
        <v>75</v>
      </c>
      <c r="S7279" t="s">
        <v>76</v>
      </c>
      <c r="T7279" t="s">
        <v>14793</v>
      </c>
      <c r="U7279" t="s">
        <v>3223</v>
      </c>
      <c r="V7279" t="s">
        <v>7149</v>
      </c>
      <c r="W7279" t="s">
        <v>7150</v>
      </c>
      <c r="X7279" t="s">
        <v>7149</v>
      </c>
      <c r="Y7279" t="s">
        <v>2392</v>
      </c>
      <c r="AD7279" t="s">
        <v>2264</v>
      </c>
      <c r="AE7279" t="s">
        <v>3226</v>
      </c>
      <c r="AF7279" t="s">
        <v>14794</v>
      </c>
    </row>
    <row r="7280" spans="1:32" hidden="1" x14ac:dyDescent="0.35">
      <c r="A7280">
        <v>7279</v>
      </c>
      <c r="B7280" t="s">
        <v>14795</v>
      </c>
      <c r="C7280" t="s">
        <v>68</v>
      </c>
      <c r="D7280" t="s">
        <v>34</v>
      </c>
      <c r="E7280">
        <v>1224</v>
      </c>
      <c r="F7280">
        <v>2</v>
      </c>
      <c r="G7280">
        <v>2</v>
      </c>
      <c r="H7280">
        <v>1</v>
      </c>
      <c r="I7280">
        <v>0</v>
      </c>
      <c r="J7280">
        <v>1</v>
      </c>
      <c r="K7280">
        <v>1</v>
      </c>
      <c r="L7280">
        <v>1</v>
      </c>
      <c r="M7280">
        <v>1</v>
      </c>
      <c r="N7280">
        <v>1</v>
      </c>
      <c r="O7280">
        <v>1</v>
      </c>
      <c r="AF7280" t="s">
        <v>14796</v>
      </c>
    </row>
    <row r="7281" spans="1:32" hidden="1" x14ac:dyDescent="0.35">
      <c r="A7281">
        <v>7280</v>
      </c>
      <c r="B7281" t="s">
        <v>14795</v>
      </c>
      <c r="C7281" t="s">
        <v>68</v>
      </c>
      <c r="D7281" t="s">
        <v>45</v>
      </c>
      <c r="E7281">
        <v>2467</v>
      </c>
      <c r="F7281">
        <v>2</v>
      </c>
      <c r="G7281">
        <v>2</v>
      </c>
      <c r="H7281">
        <v>1</v>
      </c>
      <c r="I7281">
        <v>0</v>
      </c>
      <c r="J7281">
        <v>1</v>
      </c>
      <c r="K7281">
        <v>1</v>
      </c>
      <c r="L7281">
        <v>1</v>
      </c>
      <c r="M7281">
        <v>1</v>
      </c>
      <c r="N7281">
        <v>1</v>
      </c>
      <c r="O7281">
        <v>1</v>
      </c>
      <c r="AF7281" t="s">
        <v>14796</v>
      </c>
    </row>
    <row r="7282" spans="1:32" hidden="1" x14ac:dyDescent="0.35">
      <c r="A7282">
        <v>7281</v>
      </c>
      <c r="B7282" t="s">
        <v>14797</v>
      </c>
      <c r="C7282" t="s">
        <v>68</v>
      </c>
      <c r="D7282" t="s">
        <v>60</v>
      </c>
      <c r="E7282">
        <v>1998</v>
      </c>
      <c r="F7282">
        <v>2</v>
      </c>
      <c r="G7282">
        <v>2</v>
      </c>
      <c r="H7282">
        <v>1</v>
      </c>
      <c r="I7282">
        <v>0</v>
      </c>
      <c r="J7282">
        <v>1</v>
      </c>
      <c r="K7282">
        <v>1</v>
      </c>
      <c r="L7282">
        <v>1</v>
      </c>
      <c r="M7282">
        <v>1</v>
      </c>
      <c r="N7282">
        <v>1</v>
      </c>
      <c r="O7282">
        <v>1</v>
      </c>
      <c r="P7282" t="s">
        <v>2848</v>
      </c>
      <c r="Q7282" t="s">
        <v>2849</v>
      </c>
      <c r="R7282" t="s">
        <v>14798</v>
      </c>
      <c r="S7282" t="s">
        <v>14799</v>
      </c>
      <c r="T7282" t="s">
        <v>14800</v>
      </c>
      <c r="U7282" t="s">
        <v>14801</v>
      </c>
      <c r="V7282" t="s">
        <v>14802</v>
      </c>
      <c r="W7282" t="s">
        <v>14803</v>
      </c>
      <c r="Z7282" t="s">
        <v>14804</v>
      </c>
      <c r="AA7282" t="s">
        <v>14805</v>
      </c>
      <c r="AB7282" t="s">
        <v>14804</v>
      </c>
      <c r="AC7282" t="s">
        <v>1094</v>
      </c>
      <c r="AD7282" t="s">
        <v>219</v>
      </c>
      <c r="AE7282" t="s">
        <v>14806</v>
      </c>
      <c r="AF7282" t="s">
        <v>14807</v>
      </c>
    </row>
    <row r="7283" spans="1:32" hidden="1" x14ac:dyDescent="0.35">
      <c r="A7283">
        <v>7282</v>
      </c>
      <c r="B7283" t="s">
        <v>14797</v>
      </c>
      <c r="C7283" t="s">
        <v>68</v>
      </c>
      <c r="D7283" t="s">
        <v>62</v>
      </c>
      <c r="E7283">
        <v>2039</v>
      </c>
      <c r="F7283">
        <v>2</v>
      </c>
      <c r="G7283">
        <v>2</v>
      </c>
      <c r="H7283">
        <v>1</v>
      </c>
      <c r="I7283">
        <v>0</v>
      </c>
      <c r="J7283">
        <v>1</v>
      </c>
      <c r="K7283">
        <v>1</v>
      </c>
      <c r="L7283">
        <v>1</v>
      </c>
      <c r="M7283">
        <v>1</v>
      </c>
      <c r="N7283">
        <v>1</v>
      </c>
      <c r="O7283">
        <v>1</v>
      </c>
      <c r="P7283" t="s">
        <v>2848</v>
      </c>
      <c r="Q7283" t="s">
        <v>2849</v>
      </c>
      <c r="R7283" t="s">
        <v>14798</v>
      </c>
      <c r="S7283" t="s">
        <v>14799</v>
      </c>
      <c r="T7283" t="s">
        <v>14800</v>
      </c>
      <c r="U7283" t="s">
        <v>14801</v>
      </c>
      <c r="V7283" t="s">
        <v>14802</v>
      </c>
      <c r="W7283" t="s">
        <v>14803</v>
      </c>
      <c r="Z7283" t="s">
        <v>14804</v>
      </c>
      <c r="AA7283" t="s">
        <v>14805</v>
      </c>
      <c r="AB7283" t="s">
        <v>14804</v>
      </c>
      <c r="AC7283" t="s">
        <v>1094</v>
      </c>
      <c r="AD7283" t="s">
        <v>219</v>
      </c>
      <c r="AE7283" t="s">
        <v>14806</v>
      </c>
      <c r="AF7283" t="s">
        <v>14807</v>
      </c>
    </row>
    <row r="7284" spans="1:32" hidden="1" x14ac:dyDescent="0.35">
      <c r="A7284">
        <v>7283</v>
      </c>
      <c r="B7284" t="s">
        <v>14808</v>
      </c>
      <c r="C7284" t="s">
        <v>68</v>
      </c>
      <c r="D7284" t="s">
        <v>34</v>
      </c>
      <c r="E7284">
        <v>2305</v>
      </c>
      <c r="F7284">
        <v>2</v>
      </c>
      <c r="G7284">
        <v>2</v>
      </c>
      <c r="H7284">
        <v>1</v>
      </c>
      <c r="I7284">
        <v>0</v>
      </c>
      <c r="J7284">
        <v>1</v>
      </c>
      <c r="K7284">
        <v>1</v>
      </c>
      <c r="L7284">
        <v>1</v>
      </c>
      <c r="M7284">
        <v>1</v>
      </c>
      <c r="N7284">
        <v>1</v>
      </c>
      <c r="O7284">
        <v>1</v>
      </c>
      <c r="AF7284" t="s">
        <v>14809</v>
      </c>
    </row>
    <row r="7285" spans="1:32" hidden="1" x14ac:dyDescent="0.35">
      <c r="A7285">
        <v>7284</v>
      </c>
      <c r="B7285" t="s">
        <v>14808</v>
      </c>
      <c r="C7285" t="s">
        <v>68</v>
      </c>
      <c r="D7285" t="s">
        <v>45</v>
      </c>
      <c r="E7285">
        <v>573</v>
      </c>
      <c r="F7285">
        <v>2</v>
      </c>
      <c r="G7285">
        <v>2</v>
      </c>
      <c r="H7285">
        <v>1</v>
      </c>
      <c r="I7285">
        <v>0</v>
      </c>
      <c r="J7285">
        <v>1</v>
      </c>
      <c r="K7285">
        <v>1</v>
      </c>
      <c r="L7285">
        <v>1</v>
      </c>
      <c r="M7285">
        <v>1</v>
      </c>
      <c r="N7285">
        <v>1</v>
      </c>
      <c r="O7285">
        <v>1</v>
      </c>
      <c r="AF7285" t="s">
        <v>14809</v>
      </c>
    </row>
    <row r="7286" spans="1:32" hidden="1" x14ac:dyDescent="0.35">
      <c r="A7286">
        <v>7285</v>
      </c>
      <c r="B7286" t="s">
        <v>14810</v>
      </c>
      <c r="C7286" t="s">
        <v>68</v>
      </c>
      <c r="D7286" t="s">
        <v>60</v>
      </c>
      <c r="E7286">
        <v>1571</v>
      </c>
      <c r="F7286">
        <v>2</v>
      </c>
      <c r="G7286">
        <v>2</v>
      </c>
      <c r="H7286">
        <v>1</v>
      </c>
      <c r="I7286">
        <v>0</v>
      </c>
      <c r="J7286">
        <v>1</v>
      </c>
      <c r="K7286">
        <v>1</v>
      </c>
      <c r="L7286">
        <v>1</v>
      </c>
      <c r="M7286">
        <v>1</v>
      </c>
      <c r="N7286">
        <v>1</v>
      </c>
      <c r="O7286">
        <v>1</v>
      </c>
      <c r="P7286" t="s">
        <v>10923</v>
      </c>
      <c r="Q7286" t="s">
        <v>10924</v>
      </c>
      <c r="R7286" t="s">
        <v>75</v>
      </c>
      <c r="S7286" t="s">
        <v>76</v>
      </c>
      <c r="V7286" t="s">
        <v>14811</v>
      </c>
      <c r="W7286" t="s">
        <v>14812</v>
      </c>
      <c r="AF7286" t="s">
        <v>14813</v>
      </c>
    </row>
    <row r="7287" spans="1:32" hidden="1" x14ac:dyDescent="0.35">
      <c r="A7287">
        <v>7286</v>
      </c>
      <c r="B7287" t="s">
        <v>14810</v>
      </c>
      <c r="C7287" t="s">
        <v>68</v>
      </c>
      <c r="D7287" t="s">
        <v>62</v>
      </c>
      <c r="E7287">
        <v>1607</v>
      </c>
      <c r="F7287">
        <v>2</v>
      </c>
      <c r="G7287">
        <v>2</v>
      </c>
      <c r="H7287">
        <v>1</v>
      </c>
      <c r="I7287">
        <v>0</v>
      </c>
      <c r="J7287">
        <v>1</v>
      </c>
      <c r="K7287">
        <v>1</v>
      </c>
      <c r="L7287">
        <v>1</v>
      </c>
      <c r="M7287">
        <v>1</v>
      </c>
      <c r="N7287">
        <v>1</v>
      </c>
      <c r="O7287">
        <v>1</v>
      </c>
      <c r="P7287" t="s">
        <v>10923</v>
      </c>
      <c r="Q7287" t="s">
        <v>10924</v>
      </c>
      <c r="R7287" t="s">
        <v>75</v>
      </c>
      <c r="S7287" t="s">
        <v>76</v>
      </c>
      <c r="V7287" t="s">
        <v>14811</v>
      </c>
      <c r="W7287" t="s">
        <v>14812</v>
      </c>
      <c r="AF7287" t="s">
        <v>14813</v>
      </c>
    </row>
    <row r="7288" spans="1:32" hidden="1" x14ac:dyDescent="0.35">
      <c r="A7288">
        <v>7287</v>
      </c>
      <c r="B7288" t="s">
        <v>14814</v>
      </c>
      <c r="C7288" t="s">
        <v>68</v>
      </c>
      <c r="D7288" t="s">
        <v>60</v>
      </c>
      <c r="E7288">
        <v>1681</v>
      </c>
      <c r="F7288">
        <v>2</v>
      </c>
      <c r="G7288">
        <v>2</v>
      </c>
      <c r="H7288">
        <v>1</v>
      </c>
      <c r="I7288">
        <v>0</v>
      </c>
      <c r="J7288">
        <v>1</v>
      </c>
      <c r="K7288">
        <v>1</v>
      </c>
      <c r="L7288">
        <v>1</v>
      </c>
      <c r="M7288">
        <v>1</v>
      </c>
      <c r="N7288">
        <v>1</v>
      </c>
      <c r="O7288">
        <v>1</v>
      </c>
      <c r="AF7288" t="s">
        <v>14815</v>
      </c>
    </row>
    <row r="7289" spans="1:32" hidden="1" x14ac:dyDescent="0.35">
      <c r="A7289">
        <v>7288</v>
      </c>
      <c r="B7289" t="s">
        <v>14814</v>
      </c>
      <c r="C7289" t="s">
        <v>68</v>
      </c>
      <c r="D7289" t="s">
        <v>62</v>
      </c>
      <c r="E7289">
        <v>1716</v>
      </c>
      <c r="F7289">
        <v>2</v>
      </c>
      <c r="G7289">
        <v>2</v>
      </c>
      <c r="H7289">
        <v>1</v>
      </c>
      <c r="I7289">
        <v>0</v>
      </c>
      <c r="J7289">
        <v>1</v>
      </c>
      <c r="K7289">
        <v>1</v>
      </c>
      <c r="L7289">
        <v>1</v>
      </c>
      <c r="M7289">
        <v>1</v>
      </c>
      <c r="N7289">
        <v>1</v>
      </c>
      <c r="O7289">
        <v>1</v>
      </c>
      <c r="AF7289" t="s">
        <v>14815</v>
      </c>
    </row>
    <row r="7290" spans="1:32" hidden="1" x14ac:dyDescent="0.35">
      <c r="A7290">
        <v>7289</v>
      </c>
      <c r="B7290" t="s">
        <v>14816</v>
      </c>
      <c r="C7290" t="s">
        <v>68</v>
      </c>
      <c r="D7290" t="s">
        <v>34</v>
      </c>
      <c r="E7290">
        <v>845</v>
      </c>
      <c r="F7290">
        <v>2</v>
      </c>
      <c r="G7290">
        <v>2</v>
      </c>
      <c r="H7290">
        <v>1</v>
      </c>
      <c r="I7290">
        <v>0</v>
      </c>
      <c r="J7290">
        <v>1</v>
      </c>
      <c r="K7290">
        <v>1</v>
      </c>
      <c r="L7290">
        <v>1</v>
      </c>
      <c r="M7290">
        <v>1</v>
      </c>
      <c r="N7290">
        <v>1</v>
      </c>
      <c r="O7290">
        <v>1</v>
      </c>
      <c r="P7290" t="s">
        <v>11715</v>
      </c>
      <c r="Q7290" t="s">
        <v>11716</v>
      </c>
      <c r="R7290" t="s">
        <v>342</v>
      </c>
      <c r="S7290" t="s">
        <v>343</v>
      </c>
      <c r="V7290" t="s">
        <v>11719</v>
      </c>
      <c r="W7290" t="s">
        <v>11720</v>
      </c>
      <c r="AF7290" t="s">
        <v>14817</v>
      </c>
    </row>
    <row r="7291" spans="1:32" hidden="1" x14ac:dyDescent="0.35">
      <c r="A7291">
        <v>7290</v>
      </c>
      <c r="B7291" t="s">
        <v>14816</v>
      </c>
      <c r="C7291" t="s">
        <v>68</v>
      </c>
      <c r="D7291" t="s">
        <v>45</v>
      </c>
      <c r="E7291">
        <v>2102</v>
      </c>
      <c r="F7291">
        <v>2</v>
      </c>
      <c r="G7291">
        <v>2</v>
      </c>
      <c r="H7291">
        <v>1</v>
      </c>
      <c r="I7291">
        <v>0</v>
      </c>
      <c r="J7291">
        <v>1</v>
      </c>
      <c r="K7291">
        <v>1</v>
      </c>
      <c r="L7291">
        <v>1</v>
      </c>
      <c r="M7291">
        <v>1</v>
      </c>
      <c r="N7291">
        <v>1</v>
      </c>
      <c r="O7291">
        <v>1</v>
      </c>
      <c r="P7291" t="s">
        <v>11715</v>
      </c>
      <c r="Q7291" t="s">
        <v>11716</v>
      </c>
      <c r="R7291" t="s">
        <v>342</v>
      </c>
      <c r="S7291" t="s">
        <v>343</v>
      </c>
      <c r="V7291" t="s">
        <v>11719</v>
      </c>
      <c r="W7291" t="s">
        <v>11720</v>
      </c>
      <c r="AF7291" t="s">
        <v>14817</v>
      </c>
    </row>
    <row r="7292" spans="1:32" hidden="1" x14ac:dyDescent="0.35">
      <c r="A7292">
        <v>7291</v>
      </c>
      <c r="B7292" t="s">
        <v>14818</v>
      </c>
      <c r="C7292" t="s">
        <v>68</v>
      </c>
      <c r="D7292" t="s">
        <v>60</v>
      </c>
      <c r="E7292">
        <v>601</v>
      </c>
      <c r="F7292">
        <v>2</v>
      </c>
      <c r="G7292">
        <v>2</v>
      </c>
      <c r="H7292">
        <v>1</v>
      </c>
      <c r="I7292">
        <v>0</v>
      </c>
      <c r="J7292">
        <v>1</v>
      </c>
      <c r="K7292">
        <v>1</v>
      </c>
      <c r="L7292">
        <v>1</v>
      </c>
      <c r="M7292">
        <v>1</v>
      </c>
      <c r="N7292">
        <v>1</v>
      </c>
      <c r="O7292">
        <v>1</v>
      </c>
      <c r="AF7292" t="s">
        <v>14819</v>
      </c>
    </row>
    <row r="7293" spans="1:32" hidden="1" x14ac:dyDescent="0.35">
      <c r="A7293">
        <v>7292</v>
      </c>
      <c r="B7293" t="s">
        <v>14818</v>
      </c>
      <c r="C7293" t="s">
        <v>68</v>
      </c>
      <c r="D7293" t="s">
        <v>62</v>
      </c>
      <c r="E7293">
        <v>685</v>
      </c>
      <c r="F7293">
        <v>2</v>
      </c>
      <c r="G7293">
        <v>2</v>
      </c>
      <c r="H7293">
        <v>1</v>
      </c>
      <c r="I7293">
        <v>0</v>
      </c>
      <c r="J7293">
        <v>1</v>
      </c>
      <c r="K7293">
        <v>1</v>
      </c>
      <c r="L7293">
        <v>1</v>
      </c>
      <c r="M7293">
        <v>1</v>
      </c>
      <c r="N7293">
        <v>1</v>
      </c>
      <c r="O7293">
        <v>1</v>
      </c>
      <c r="AF7293" t="s">
        <v>14819</v>
      </c>
    </row>
    <row r="7294" spans="1:32" hidden="1" x14ac:dyDescent="0.35">
      <c r="A7294">
        <v>7293</v>
      </c>
      <c r="B7294" t="s">
        <v>14820</v>
      </c>
      <c r="C7294" t="s">
        <v>68</v>
      </c>
      <c r="D7294" t="s">
        <v>60</v>
      </c>
      <c r="E7294">
        <v>1521</v>
      </c>
      <c r="F7294">
        <v>2</v>
      </c>
      <c r="G7294">
        <v>2</v>
      </c>
      <c r="H7294">
        <v>1</v>
      </c>
      <c r="I7294">
        <v>0</v>
      </c>
      <c r="J7294">
        <v>1</v>
      </c>
      <c r="K7294">
        <v>1</v>
      </c>
      <c r="L7294">
        <v>1</v>
      </c>
      <c r="M7294">
        <v>1</v>
      </c>
      <c r="N7294">
        <v>1</v>
      </c>
      <c r="O7294">
        <v>1</v>
      </c>
      <c r="P7294" t="s">
        <v>2163</v>
      </c>
      <c r="Q7294" t="s">
        <v>2164</v>
      </c>
      <c r="R7294" t="s">
        <v>113</v>
      </c>
      <c r="S7294" t="s">
        <v>114</v>
      </c>
      <c r="V7294" t="s">
        <v>2167</v>
      </c>
      <c r="W7294" t="s">
        <v>2168</v>
      </c>
      <c r="AF7294" t="s">
        <v>14821</v>
      </c>
    </row>
    <row r="7295" spans="1:32" hidden="1" x14ac:dyDescent="0.35">
      <c r="A7295">
        <v>7294</v>
      </c>
      <c r="B7295" t="s">
        <v>14820</v>
      </c>
      <c r="C7295" t="s">
        <v>68</v>
      </c>
      <c r="D7295" t="s">
        <v>62</v>
      </c>
      <c r="E7295">
        <v>1556</v>
      </c>
      <c r="F7295">
        <v>2</v>
      </c>
      <c r="G7295">
        <v>2</v>
      </c>
      <c r="H7295">
        <v>1</v>
      </c>
      <c r="I7295">
        <v>0</v>
      </c>
      <c r="J7295">
        <v>1</v>
      </c>
      <c r="K7295">
        <v>1</v>
      </c>
      <c r="L7295">
        <v>1</v>
      </c>
      <c r="M7295">
        <v>1</v>
      </c>
      <c r="N7295">
        <v>1</v>
      </c>
      <c r="O7295">
        <v>1</v>
      </c>
      <c r="P7295" t="s">
        <v>2163</v>
      </c>
      <c r="Q7295" t="s">
        <v>2164</v>
      </c>
      <c r="R7295" t="s">
        <v>113</v>
      </c>
      <c r="S7295" t="s">
        <v>114</v>
      </c>
      <c r="V7295" t="s">
        <v>2167</v>
      </c>
      <c r="W7295" t="s">
        <v>2168</v>
      </c>
      <c r="AF7295" t="s">
        <v>14821</v>
      </c>
    </row>
    <row r="7296" spans="1:32" hidden="1" x14ac:dyDescent="0.35">
      <c r="A7296">
        <v>7295</v>
      </c>
      <c r="B7296" t="s">
        <v>14822</v>
      </c>
      <c r="C7296" t="s">
        <v>68</v>
      </c>
      <c r="D7296" t="s">
        <v>60</v>
      </c>
      <c r="E7296">
        <v>1885</v>
      </c>
      <c r="F7296">
        <v>2</v>
      </c>
      <c r="G7296">
        <v>2</v>
      </c>
      <c r="H7296">
        <v>1</v>
      </c>
      <c r="I7296">
        <v>0</v>
      </c>
      <c r="J7296">
        <v>1</v>
      </c>
      <c r="K7296">
        <v>1</v>
      </c>
      <c r="L7296">
        <v>1</v>
      </c>
      <c r="M7296">
        <v>1</v>
      </c>
      <c r="N7296">
        <v>1</v>
      </c>
      <c r="O7296">
        <v>1</v>
      </c>
      <c r="P7296" t="s">
        <v>14823</v>
      </c>
      <c r="Q7296" t="s">
        <v>14824</v>
      </c>
      <c r="R7296" t="s">
        <v>138</v>
      </c>
      <c r="S7296" t="s">
        <v>139</v>
      </c>
      <c r="T7296" t="s">
        <v>14825</v>
      </c>
      <c r="U7296" t="s">
        <v>14826</v>
      </c>
      <c r="V7296" t="s">
        <v>14827</v>
      </c>
      <c r="W7296" t="s">
        <v>14828</v>
      </c>
      <c r="AD7296" t="s">
        <v>14829</v>
      </c>
      <c r="AE7296" t="s">
        <v>14830</v>
      </c>
      <c r="AF7296" t="s">
        <v>14831</v>
      </c>
    </row>
    <row r="7297" spans="1:32" hidden="1" x14ac:dyDescent="0.35">
      <c r="A7297">
        <v>7296</v>
      </c>
      <c r="B7297" t="s">
        <v>14822</v>
      </c>
      <c r="C7297" t="s">
        <v>68</v>
      </c>
      <c r="D7297" t="s">
        <v>62</v>
      </c>
      <c r="E7297">
        <v>1925</v>
      </c>
      <c r="F7297">
        <v>2</v>
      </c>
      <c r="G7297">
        <v>2</v>
      </c>
      <c r="H7297">
        <v>1</v>
      </c>
      <c r="I7297">
        <v>0</v>
      </c>
      <c r="J7297">
        <v>1</v>
      </c>
      <c r="K7297">
        <v>1</v>
      </c>
      <c r="L7297">
        <v>1</v>
      </c>
      <c r="M7297">
        <v>1</v>
      </c>
      <c r="N7297">
        <v>1</v>
      </c>
      <c r="O7297">
        <v>1</v>
      </c>
      <c r="P7297" t="s">
        <v>14823</v>
      </c>
      <c r="Q7297" t="s">
        <v>14824</v>
      </c>
      <c r="R7297" t="s">
        <v>138</v>
      </c>
      <c r="S7297" t="s">
        <v>139</v>
      </c>
      <c r="T7297" t="s">
        <v>14825</v>
      </c>
      <c r="U7297" t="s">
        <v>14826</v>
      </c>
      <c r="V7297" t="s">
        <v>14827</v>
      </c>
      <c r="W7297" t="s">
        <v>14828</v>
      </c>
      <c r="AD7297" t="s">
        <v>14829</v>
      </c>
      <c r="AE7297" t="s">
        <v>14830</v>
      </c>
      <c r="AF7297" t="s">
        <v>14831</v>
      </c>
    </row>
    <row r="7298" spans="1:32" hidden="1" x14ac:dyDescent="0.35">
      <c r="A7298">
        <v>7297</v>
      </c>
      <c r="B7298" t="s">
        <v>14832</v>
      </c>
      <c r="C7298" t="s">
        <v>68</v>
      </c>
      <c r="D7298" t="s">
        <v>60</v>
      </c>
      <c r="E7298">
        <v>1761</v>
      </c>
      <c r="F7298">
        <v>2</v>
      </c>
      <c r="G7298">
        <v>2</v>
      </c>
      <c r="H7298">
        <v>1</v>
      </c>
      <c r="I7298">
        <v>0</v>
      </c>
      <c r="J7298">
        <v>1</v>
      </c>
      <c r="K7298">
        <v>1</v>
      </c>
      <c r="L7298">
        <v>1</v>
      </c>
      <c r="M7298">
        <v>1</v>
      </c>
      <c r="N7298">
        <v>1</v>
      </c>
      <c r="O7298">
        <v>1</v>
      </c>
      <c r="P7298" t="s">
        <v>14833</v>
      </c>
      <c r="Q7298" t="s">
        <v>14834</v>
      </c>
      <c r="AF7298" t="s">
        <v>14835</v>
      </c>
    </row>
    <row r="7299" spans="1:32" hidden="1" x14ac:dyDescent="0.35">
      <c r="A7299">
        <v>7298</v>
      </c>
      <c r="B7299" t="s">
        <v>14832</v>
      </c>
      <c r="C7299" t="s">
        <v>68</v>
      </c>
      <c r="D7299" t="s">
        <v>62</v>
      </c>
      <c r="E7299">
        <v>1797</v>
      </c>
      <c r="F7299">
        <v>2</v>
      </c>
      <c r="G7299">
        <v>2</v>
      </c>
      <c r="H7299">
        <v>1</v>
      </c>
      <c r="I7299">
        <v>0</v>
      </c>
      <c r="J7299">
        <v>1</v>
      </c>
      <c r="K7299">
        <v>1</v>
      </c>
      <c r="L7299">
        <v>1</v>
      </c>
      <c r="M7299">
        <v>1</v>
      </c>
      <c r="N7299">
        <v>1</v>
      </c>
      <c r="O7299">
        <v>1</v>
      </c>
      <c r="P7299" t="s">
        <v>14833</v>
      </c>
      <c r="Q7299" t="s">
        <v>14834</v>
      </c>
      <c r="AF7299" t="s">
        <v>14835</v>
      </c>
    </row>
    <row r="7300" spans="1:32" hidden="1" x14ac:dyDescent="0.35">
      <c r="A7300">
        <v>7299</v>
      </c>
      <c r="B7300" t="s">
        <v>14836</v>
      </c>
      <c r="C7300" t="s">
        <v>68</v>
      </c>
      <c r="D7300" t="s">
        <v>60</v>
      </c>
      <c r="E7300">
        <v>360</v>
      </c>
      <c r="F7300">
        <v>2</v>
      </c>
      <c r="G7300">
        <v>2</v>
      </c>
      <c r="H7300">
        <v>1</v>
      </c>
      <c r="I7300">
        <v>0</v>
      </c>
      <c r="J7300">
        <v>1</v>
      </c>
      <c r="K7300">
        <v>1</v>
      </c>
      <c r="L7300">
        <v>1</v>
      </c>
      <c r="M7300">
        <v>1</v>
      </c>
      <c r="N7300">
        <v>1</v>
      </c>
      <c r="O7300">
        <v>1</v>
      </c>
      <c r="AF7300" t="s">
        <v>14837</v>
      </c>
    </row>
    <row r="7301" spans="1:32" hidden="1" x14ac:dyDescent="0.35">
      <c r="A7301">
        <v>7300</v>
      </c>
      <c r="B7301" t="s">
        <v>14836</v>
      </c>
      <c r="C7301" t="s">
        <v>68</v>
      </c>
      <c r="D7301" t="s">
        <v>62</v>
      </c>
      <c r="E7301">
        <v>440</v>
      </c>
      <c r="F7301">
        <v>2</v>
      </c>
      <c r="G7301">
        <v>2</v>
      </c>
      <c r="H7301">
        <v>1</v>
      </c>
      <c r="I7301">
        <v>0</v>
      </c>
      <c r="J7301">
        <v>1</v>
      </c>
      <c r="K7301">
        <v>1</v>
      </c>
      <c r="L7301">
        <v>1</v>
      </c>
      <c r="M7301">
        <v>1</v>
      </c>
      <c r="N7301">
        <v>1</v>
      </c>
      <c r="O7301">
        <v>1</v>
      </c>
      <c r="AF7301" t="s">
        <v>14837</v>
      </c>
    </row>
    <row r="7302" spans="1:32" hidden="1" x14ac:dyDescent="0.35">
      <c r="A7302">
        <v>7301</v>
      </c>
      <c r="B7302" t="s">
        <v>14838</v>
      </c>
      <c r="C7302" t="s">
        <v>68</v>
      </c>
      <c r="D7302" t="s">
        <v>34</v>
      </c>
      <c r="E7302">
        <v>937</v>
      </c>
      <c r="F7302">
        <v>2</v>
      </c>
      <c r="G7302">
        <v>2</v>
      </c>
      <c r="H7302">
        <v>1</v>
      </c>
      <c r="I7302">
        <v>0</v>
      </c>
      <c r="J7302">
        <v>1</v>
      </c>
      <c r="K7302">
        <v>1</v>
      </c>
      <c r="L7302">
        <v>1</v>
      </c>
      <c r="M7302">
        <v>1</v>
      </c>
      <c r="N7302">
        <v>1</v>
      </c>
      <c r="O7302">
        <v>1</v>
      </c>
      <c r="P7302" t="s">
        <v>13111</v>
      </c>
      <c r="Q7302" t="s">
        <v>13112</v>
      </c>
      <c r="R7302" t="s">
        <v>1259</v>
      </c>
      <c r="S7302" t="s">
        <v>1260</v>
      </c>
      <c r="V7302" t="s">
        <v>13113</v>
      </c>
      <c r="W7302" t="s">
        <v>13114</v>
      </c>
      <c r="AF7302" t="s">
        <v>14839</v>
      </c>
    </row>
    <row r="7303" spans="1:32" hidden="1" x14ac:dyDescent="0.35">
      <c r="A7303">
        <v>7302</v>
      </c>
      <c r="B7303" t="s">
        <v>14838</v>
      </c>
      <c r="C7303" t="s">
        <v>68</v>
      </c>
      <c r="D7303" t="s">
        <v>45</v>
      </c>
      <c r="E7303">
        <v>2194</v>
      </c>
      <c r="F7303">
        <v>2</v>
      </c>
      <c r="G7303">
        <v>2</v>
      </c>
      <c r="H7303">
        <v>1</v>
      </c>
      <c r="I7303">
        <v>0</v>
      </c>
      <c r="J7303">
        <v>1</v>
      </c>
      <c r="K7303">
        <v>1</v>
      </c>
      <c r="L7303">
        <v>1</v>
      </c>
      <c r="M7303">
        <v>1</v>
      </c>
      <c r="N7303">
        <v>1</v>
      </c>
      <c r="O7303">
        <v>1</v>
      </c>
      <c r="P7303" t="s">
        <v>13111</v>
      </c>
      <c r="Q7303" t="s">
        <v>13112</v>
      </c>
      <c r="R7303" t="s">
        <v>1259</v>
      </c>
      <c r="S7303" t="s">
        <v>1260</v>
      </c>
      <c r="V7303" t="s">
        <v>13113</v>
      </c>
      <c r="W7303" t="s">
        <v>13114</v>
      </c>
      <c r="AF7303" t="s">
        <v>14839</v>
      </c>
    </row>
    <row r="7304" spans="1:32" hidden="1" x14ac:dyDescent="0.35">
      <c r="A7304">
        <v>7303</v>
      </c>
      <c r="B7304" t="s">
        <v>14840</v>
      </c>
      <c r="C7304" t="s">
        <v>68</v>
      </c>
      <c r="D7304" t="s">
        <v>34</v>
      </c>
      <c r="E7304">
        <v>1487</v>
      </c>
      <c r="F7304">
        <v>2</v>
      </c>
      <c r="G7304">
        <v>2</v>
      </c>
      <c r="H7304">
        <v>1</v>
      </c>
      <c r="I7304">
        <v>0</v>
      </c>
      <c r="J7304">
        <v>1</v>
      </c>
      <c r="K7304">
        <v>1</v>
      </c>
      <c r="L7304">
        <v>1</v>
      </c>
      <c r="M7304">
        <v>1</v>
      </c>
      <c r="N7304">
        <v>1</v>
      </c>
      <c r="O7304">
        <v>1</v>
      </c>
      <c r="AF7304" t="s">
        <v>14841</v>
      </c>
    </row>
    <row r="7305" spans="1:32" hidden="1" x14ac:dyDescent="0.35">
      <c r="A7305">
        <v>7304</v>
      </c>
      <c r="B7305" t="s">
        <v>14840</v>
      </c>
      <c r="C7305" t="s">
        <v>68</v>
      </c>
      <c r="D7305" t="s">
        <v>45</v>
      </c>
      <c r="E7305">
        <v>237</v>
      </c>
      <c r="F7305">
        <v>2</v>
      </c>
      <c r="G7305">
        <v>2</v>
      </c>
      <c r="H7305">
        <v>1</v>
      </c>
      <c r="I7305">
        <v>0</v>
      </c>
      <c r="J7305">
        <v>1</v>
      </c>
      <c r="K7305">
        <v>1</v>
      </c>
      <c r="L7305">
        <v>1</v>
      </c>
      <c r="M7305">
        <v>1</v>
      </c>
      <c r="N7305">
        <v>1</v>
      </c>
      <c r="O7305">
        <v>1</v>
      </c>
      <c r="AF7305" t="s">
        <v>14841</v>
      </c>
    </row>
    <row r="7306" spans="1:32" hidden="1" x14ac:dyDescent="0.35">
      <c r="A7306">
        <v>7305</v>
      </c>
      <c r="B7306" t="s">
        <v>14842</v>
      </c>
      <c r="C7306" t="s">
        <v>68</v>
      </c>
      <c r="D7306" t="s">
        <v>34</v>
      </c>
      <c r="E7306">
        <v>1443</v>
      </c>
      <c r="F7306">
        <v>2</v>
      </c>
      <c r="G7306">
        <v>2</v>
      </c>
      <c r="H7306">
        <v>1</v>
      </c>
      <c r="I7306">
        <v>0</v>
      </c>
      <c r="J7306">
        <v>1</v>
      </c>
      <c r="K7306">
        <v>1</v>
      </c>
      <c r="L7306">
        <v>1</v>
      </c>
      <c r="M7306">
        <v>1</v>
      </c>
      <c r="N7306">
        <v>1</v>
      </c>
      <c r="O7306">
        <v>1</v>
      </c>
      <c r="AF7306" t="s">
        <v>14843</v>
      </c>
    </row>
    <row r="7307" spans="1:32" hidden="1" x14ac:dyDescent="0.35">
      <c r="A7307">
        <v>7306</v>
      </c>
      <c r="B7307" t="s">
        <v>14842</v>
      </c>
      <c r="C7307" t="s">
        <v>68</v>
      </c>
      <c r="D7307" t="s">
        <v>45</v>
      </c>
      <c r="E7307">
        <v>194</v>
      </c>
      <c r="F7307">
        <v>2</v>
      </c>
      <c r="G7307">
        <v>2</v>
      </c>
      <c r="H7307">
        <v>1</v>
      </c>
      <c r="I7307">
        <v>0</v>
      </c>
      <c r="J7307">
        <v>1</v>
      </c>
      <c r="K7307">
        <v>1</v>
      </c>
      <c r="L7307">
        <v>1</v>
      </c>
      <c r="M7307">
        <v>1</v>
      </c>
      <c r="N7307">
        <v>1</v>
      </c>
      <c r="O7307">
        <v>1</v>
      </c>
      <c r="AF7307" t="s">
        <v>14843</v>
      </c>
    </row>
    <row r="7308" spans="1:32" hidden="1" x14ac:dyDescent="0.35">
      <c r="A7308">
        <v>7307</v>
      </c>
      <c r="B7308" t="s">
        <v>14844</v>
      </c>
      <c r="C7308" t="s">
        <v>68</v>
      </c>
      <c r="D7308" t="s">
        <v>60</v>
      </c>
      <c r="E7308">
        <v>967</v>
      </c>
      <c r="F7308">
        <v>2</v>
      </c>
      <c r="G7308">
        <v>2</v>
      </c>
      <c r="H7308">
        <v>1</v>
      </c>
      <c r="I7308">
        <v>0</v>
      </c>
      <c r="J7308">
        <v>1</v>
      </c>
      <c r="K7308">
        <v>1</v>
      </c>
      <c r="L7308">
        <v>1</v>
      </c>
      <c r="M7308">
        <v>1</v>
      </c>
      <c r="N7308">
        <v>1</v>
      </c>
      <c r="O7308">
        <v>1</v>
      </c>
      <c r="R7308" t="s">
        <v>1259</v>
      </c>
      <c r="S7308" t="s">
        <v>1260</v>
      </c>
      <c r="V7308" t="s">
        <v>14845</v>
      </c>
      <c r="W7308" t="s">
        <v>14846</v>
      </c>
      <c r="AF7308" t="s">
        <v>14847</v>
      </c>
    </row>
    <row r="7309" spans="1:32" hidden="1" x14ac:dyDescent="0.35">
      <c r="A7309">
        <v>7308</v>
      </c>
      <c r="B7309" t="s">
        <v>14844</v>
      </c>
      <c r="C7309" t="s">
        <v>68</v>
      </c>
      <c r="D7309" t="s">
        <v>62</v>
      </c>
      <c r="E7309">
        <v>1003</v>
      </c>
      <c r="F7309">
        <v>2</v>
      </c>
      <c r="G7309">
        <v>2</v>
      </c>
      <c r="H7309">
        <v>1</v>
      </c>
      <c r="I7309">
        <v>0</v>
      </c>
      <c r="J7309">
        <v>1</v>
      </c>
      <c r="K7309">
        <v>1</v>
      </c>
      <c r="L7309">
        <v>1</v>
      </c>
      <c r="M7309">
        <v>1</v>
      </c>
      <c r="N7309">
        <v>1</v>
      </c>
      <c r="O7309">
        <v>1</v>
      </c>
      <c r="R7309" t="s">
        <v>1259</v>
      </c>
      <c r="S7309" t="s">
        <v>1260</v>
      </c>
      <c r="V7309" t="s">
        <v>14845</v>
      </c>
      <c r="W7309" t="s">
        <v>14846</v>
      </c>
      <c r="AF7309" t="s">
        <v>14847</v>
      </c>
    </row>
    <row r="7310" spans="1:32" hidden="1" x14ac:dyDescent="0.35">
      <c r="A7310">
        <v>7309</v>
      </c>
      <c r="B7310" t="s">
        <v>14848</v>
      </c>
      <c r="C7310" t="s">
        <v>68</v>
      </c>
      <c r="D7310" t="s">
        <v>60</v>
      </c>
      <c r="E7310">
        <v>407</v>
      </c>
      <c r="F7310">
        <v>2</v>
      </c>
      <c r="G7310">
        <v>2</v>
      </c>
      <c r="H7310">
        <v>1</v>
      </c>
      <c r="I7310">
        <v>0</v>
      </c>
      <c r="J7310">
        <v>1</v>
      </c>
      <c r="K7310">
        <v>1</v>
      </c>
      <c r="L7310">
        <v>1</v>
      </c>
      <c r="M7310">
        <v>1</v>
      </c>
      <c r="N7310">
        <v>1</v>
      </c>
      <c r="O7310">
        <v>1</v>
      </c>
      <c r="P7310" t="s">
        <v>14849</v>
      </c>
      <c r="Q7310" t="s">
        <v>14850</v>
      </c>
      <c r="AF7310" t="s">
        <v>14851</v>
      </c>
    </row>
    <row r="7311" spans="1:32" hidden="1" x14ac:dyDescent="0.35">
      <c r="A7311">
        <v>7310</v>
      </c>
      <c r="B7311" t="s">
        <v>14848</v>
      </c>
      <c r="C7311" t="s">
        <v>68</v>
      </c>
      <c r="D7311" t="s">
        <v>62</v>
      </c>
      <c r="E7311">
        <v>488</v>
      </c>
      <c r="F7311">
        <v>2</v>
      </c>
      <c r="G7311">
        <v>2</v>
      </c>
      <c r="H7311">
        <v>1</v>
      </c>
      <c r="I7311">
        <v>0</v>
      </c>
      <c r="J7311">
        <v>1</v>
      </c>
      <c r="K7311">
        <v>1</v>
      </c>
      <c r="L7311">
        <v>1</v>
      </c>
      <c r="M7311">
        <v>1</v>
      </c>
      <c r="N7311">
        <v>1</v>
      </c>
      <c r="O7311">
        <v>1</v>
      </c>
      <c r="P7311" t="s">
        <v>14849</v>
      </c>
      <c r="Q7311" t="s">
        <v>14850</v>
      </c>
      <c r="AF7311" t="s">
        <v>14851</v>
      </c>
    </row>
    <row r="7312" spans="1:32" hidden="1" x14ac:dyDescent="0.35">
      <c r="A7312">
        <v>7311</v>
      </c>
      <c r="B7312" t="s">
        <v>14852</v>
      </c>
      <c r="C7312" t="s">
        <v>68</v>
      </c>
      <c r="D7312" t="s">
        <v>60</v>
      </c>
      <c r="E7312">
        <v>1973</v>
      </c>
      <c r="F7312">
        <v>2</v>
      </c>
      <c r="G7312">
        <v>2</v>
      </c>
      <c r="H7312">
        <v>1</v>
      </c>
      <c r="I7312">
        <v>0</v>
      </c>
      <c r="J7312">
        <v>1</v>
      </c>
      <c r="K7312">
        <v>1</v>
      </c>
      <c r="L7312">
        <v>1</v>
      </c>
      <c r="M7312">
        <v>1</v>
      </c>
      <c r="N7312">
        <v>1</v>
      </c>
      <c r="O7312">
        <v>1</v>
      </c>
      <c r="P7312" t="s">
        <v>13644</v>
      </c>
      <c r="Q7312" t="s">
        <v>13645</v>
      </c>
      <c r="R7312" t="s">
        <v>8647</v>
      </c>
      <c r="S7312" t="s">
        <v>8648</v>
      </c>
      <c r="V7312" t="s">
        <v>9316</v>
      </c>
      <c r="W7312" t="s">
        <v>9317</v>
      </c>
      <c r="X7312" t="s">
        <v>9316</v>
      </c>
      <c r="Y7312" t="s">
        <v>875</v>
      </c>
      <c r="AF7312" t="s">
        <v>14853</v>
      </c>
    </row>
    <row r="7313" spans="1:32" hidden="1" x14ac:dyDescent="0.35">
      <c r="A7313">
        <v>7312</v>
      </c>
      <c r="B7313" t="s">
        <v>14852</v>
      </c>
      <c r="C7313" t="s">
        <v>68</v>
      </c>
      <c r="D7313" t="s">
        <v>62</v>
      </c>
      <c r="E7313">
        <v>2014</v>
      </c>
      <c r="F7313">
        <v>2</v>
      </c>
      <c r="G7313">
        <v>2</v>
      </c>
      <c r="H7313">
        <v>1</v>
      </c>
      <c r="I7313">
        <v>0</v>
      </c>
      <c r="J7313">
        <v>1</v>
      </c>
      <c r="K7313">
        <v>1</v>
      </c>
      <c r="L7313">
        <v>1</v>
      </c>
      <c r="M7313">
        <v>1</v>
      </c>
      <c r="N7313">
        <v>1</v>
      </c>
      <c r="O7313">
        <v>1</v>
      </c>
      <c r="P7313" t="s">
        <v>13644</v>
      </c>
      <c r="Q7313" t="s">
        <v>13645</v>
      </c>
      <c r="R7313" t="s">
        <v>8647</v>
      </c>
      <c r="S7313" t="s">
        <v>8648</v>
      </c>
      <c r="V7313" t="s">
        <v>9316</v>
      </c>
      <c r="W7313" t="s">
        <v>9317</v>
      </c>
      <c r="X7313" t="s">
        <v>9316</v>
      </c>
      <c r="Y7313" t="s">
        <v>875</v>
      </c>
      <c r="AF7313" t="s">
        <v>14853</v>
      </c>
    </row>
    <row r="7314" spans="1:32" hidden="1" x14ac:dyDescent="0.35">
      <c r="A7314">
        <v>7313</v>
      </c>
      <c r="B7314" t="s">
        <v>14854</v>
      </c>
      <c r="C7314" t="s">
        <v>68</v>
      </c>
      <c r="D7314" t="s">
        <v>60</v>
      </c>
      <c r="E7314">
        <v>592</v>
      </c>
      <c r="F7314">
        <v>2</v>
      </c>
      <c r="G7314">
        <v>2</v>
      </c>
      <c r="H7314">
        <v>1</v>
      </c>
      <c r="I7314">
        <v>0</v>
      </c>
      <c r="J7314">
        <v>1</v>
      </c>
      <c r="K7314">
        <v>1</v>
      </c>
      <c r="L7314">
        <v>1</v>
      </c>
      <c r="M7314">
        <v>1</v>
      </c>
      <c r="N7314">
        <v>1</v>
      </c>
      <c r="O7314">
        <v>1</v>
      </c>
      <c r="AF7314" t="s">
        <v>14855</v>
      </c>
    </row>
    <row r="7315" spans="1:32" hidden="1" x14ac:dyDescent="0.35">
      <c r="A7315">
        <v>7314</v>
      </c>
      <c r="B7315" t="s">
        <v>14854</v>
      </c>
      <c r="C7315" t="s">
        <v>68</v>
      </c>
      <c r="D7315" t="s">
        <v>62</v>
      </c>
      <c r="E7315">
        <v>676</v>
      </c>
      <c r="F7315">
        <v>2</v>
      </c>
      <c r="G7315">
        <v>2</v>
      </c>
      <c r="H7315">
        <v>1</v>
      </c>
      <c r="I7315">
        <v>0</v>
      </c>
      <c r="J7315">
        <v>1</v>
      </c>
      <c r="K7315">
        <v>1</v>
      </c>
      <c r="L7315">
        <v>1</v>
      </c>
      <c r="M7315">
        <v>1</v>
      </c>
      <c r="N7315">
        <v>1</v>
      </c>
      <c r="O7315">
        <v>1</v>
      </c>
      <c r="AF7315" t="s">
        <v>14855</v>
      </c>
    </row>
    <row r="7316" spans="1:32" hidden="1" x14ac:dyDescent="0.35">
      <c r="A7316">
        <v>7315</v>
      </c>
      <c r="B7316" t="s">
        <v>14856</v>
      </c>
      <c r="C7316" t="s">
        <v>68</v>
      </c>
      <c r="D7316" t="s">
        <v>60</v>
      </c>
      <c r="E7316">
        <v>2003</v>
      </c>
      <c r="F7316">
        <v>2</v>
      </c>
      <c r="G7316">
        <v>2</v>
      </c>
      <c r="H7316">
        <v>1</v>
      </c>
      <c r="I7316">
        <v>0</v>
      </c>
      <c r="J7316">
        <v>1</v>
      </c>
      <c r="K7316">
        <v>1</v>
      </c>
      <c r="L7316">
        <v>1</v>
      </c>
      <c r="M7316">
        <v>1</v>
      </c>
      <c r="N7316">
        <v>1</v>
      </c>
      <c r="O7316">
        <v>1</v>
      </c>
      <c r="P7316" t="s">
        <v>14857</v>
      </c>
      <c r="Q7316" t="s">
        <v>14858</v>
      </c>
      <c r="T7316" t="s">
        <v>14859</v>
      </c>
      <c r="U7316" t="s">
        <v>14860</v>
      </c>
      <c r="AF7316" t="s">
        <v>14861</v>
      </c>
    </row>
    <row r="7317" spans="1:32" hidden="1" x14ac:dyDescent="0.35">
      <c r="A7317">
        <v>7316</v>
      </c>
      <c r="B7317" t="s">
        <v>14856</v>
      </c>
      <c r="C7317" t="s">
        <v>68</v>
      </c>
      <c r="D7317" t="s">
        <v>62</v>
      </c>
      <c r="E7317">
        <v>2043</v>
      </c>
      <c r="F7317">
        <v>2</v>
      </c>
      <c r="G7317">
        <v>2</v>
      </c>
      <c r="H7317">
        <v>1</v>
      </c>
      <c r="I7317">
        <v>0</v>
      </c>
      <c r="J7317">
        <v>1</v>
      </c>
      <c r="K7317">
        <v>1</v>
      </c>
      <c r="L7317">
        <v>1</v>
      </c>
      <c r="M7317">
        <v>1</v>
      </c>
      <c r="N7317">
        <v>1</v>
      </c>
      <c r="O7317">
        <v>1</v>
      </c>
      <c r="P7317" t="s">
        <v>14857</v>
      </c>
      <c r="Q7317" t="s">
        <v>14858</v>
      </c>
      <c r="T7317" t="s">
        <v>14859</v>
      </c>
      <c r="U7317" t="s">
        <v>14860</v>
      </c>
      <c r="AF7317" t="s">
        <v>14861</v>
      </c>
    </row>
    <row r="7318" spans="1:32" hidden="1" x14ac:dyDescent="0.35">
      <c r="A7318">
        <v>7317</v>
      </c>
      <c r="B7318" t="s">
        <v>14862</v>
      </c>
      <c r="C7318" t="s">
        <v>68</v>
      </c>
      <c r="D7318" t="s">
        <v>60</v>
      </c>
      <c r="E7318">
        <v>1543</v>
      </c>
      <c r="F7318">
        <v>2</v>
      </c>
      <c r="G7318">
        <v>2</v>
      </c>
      <c r="H7318">
        <v>1</v>
      </c>
      <c r="I7318">
        <v>0</v>
      </c>
      <c r="J7318">
        <v>1</v>
      </c>
      <c r="K7318">
        <v>1</v>
      </c>
      <c r="L7318">
        <v>1</v>
      </c>
      <c r="M7318">
        <v>1</v>
      </c>
      <c r="N7318">
        <v>1</v>
      </c>
      <c r="O7318">
        <v>1</v>
      </c>
      <c r="P7318" t="s">
        <v>785</v>
      </c>
      <c r="Q7318" t="s">
        <v>786</v>
      </c>
      <c r="R7318" t="s">
        <v>787</v>
      </c>
      <c r="S7318" t="s">
        <v>788</v>
      </c>
      <c r="T7318" t="s">
        <v>789</v>
      </c>
      <c r="U7318" t="s">
        <v>790</v>
      </c>
      <c r="V7318" t="s">
        <v>791</v>
      </c>
      <c r="W7318" t="s">
        <v>792</v>
      </c>
      <c r="Z7318" t="s">
        <v>793</v>
      </c>
      <c r="AA7318" t="s">
        <v>794</v>
      </c>
      <c r="AB7318" t="s">
        <v>793</v>
      </c>
      <c r="AC7318" t="s">
        <v>795</v>
      </c>
      <c r="AD7318" t="s">
        <v>796</v>
      </c>
      <c r="AE7318" t="s">
        <v>797</v>
      </c>
      <c r="AF7318" t="s">
        <v>14863</v>
      </c>
    </row>
    <row r="7319" spans="1:32" hidden="1" x14ac:dyDescent="0.35">
      <c r="A7319">
        <v>7318</v>
      </c>
      <c r="B7319" t="s">
        <v>14862</v>
      </c>
      <c r="C7319" t="s">
        <v>68</v>
      </c>
      <c r="D7319" t="s">
        <v>62</v>
      </c>
      <c r="E7319">
        <v>1578</v>
      </c>
      <c r="F7319">
        <v>2</v>
      </c>
      <c r="G7319">
        <v>2</v>
      </c>
      <c r="H7319">
        <v>1</v>
      </c>
      <c r="I7319">
        <v>0</v>
      </c>
      <c r="J7319">
        <v>1</v>
      </c>
      <c r="K7319">
        <v>1</v>
      </c>
      <c r="L7319">
        <v>1</v>
      </c>
      <c r="M7319">
        <v>1</v>
      </c>
      <c r="N7319">
        <v>1</v>
      </c>
      <c r="O7319">
        <v>1</v>
      </c>
      <c r="P7319" t="s">
        <v>785</v>
      </c>
      <c r="Q7319" t="s">
        <v>786</v>
      </c>
      <c r="R7319" t="s">
        <v>787</v>
      </c>
      <c r="S7319" t="s">
        <v>788</v>
      </c>
      <c r="T7319" t="s">
        <v>789</v>
      </c>
      <c r="U7319" t="s">
        <v>790</v>
      </c>
      <c r="V7319" t="s">
        <v>791</v>
      </c>
      <c r="W7319" t="s">
        <v>792</v>
      </c>
      <c r="Z7319" t="s">
        <v>793</v>
      </c>
      <c r="AA7319" t="s">
        <v>794</v>
      </c>
      <c r="AB7319" t="s">
        <v>793</v>
      </c>
      <c r="AC7319" t="s">
        <v>795</v>
      </c>
      <c r="AD7319" t="s">
        <v>796</v>
      </c>
      <c r="AE7319" t="s">
        <v>797</v>
      </c>
      <c r="AF7319" t="s">
        <v>14863</v>
      </c>
    </row>
    <row r="7320" spans="1:32" hidden="1" x14ac:dyDescent="0.35">
      <c r="A7320">
        <v>7319</v>
      </c>
      <c r="B7320" t="s">
        <v>14864</v>
      </c>
      <c r="C7320" t="s">
        <v>68</v>
      </c>
      <c r="D7320" t="s">
        <v>60</v>
      </c>
      <c r="E7320">
        <v>2431</v>
      </c>
      <c r="F7320">
        <v>2</v>
      </c>
      <c r="G7320">
        <v>2</v>
      </c>
      <c r="H7320">
        <v>1</v>
      </c>
      <c r="I7320">
        <v>0</v>
      </c>
      <c r="J7320">
        <v>1</v>
      </c>
      <c r="K7320">
        <v>1</v>
      </c>
      <c r="L7320">
        <v>1</v>
      </c>
      <c r="M7320">
        <v>1</v>
      </c>
      <c r="N7320">
        <v>1</v>
      </c>
      <c r="O7320">
        <v>1</v>
      </c>
      <c r="AF7320" t="s">
        <v>14865</v>
      </c>
    </row>
    <row r="7321" spans="1:32" hidden="1" x14ac:dyDescent="0.35">
      <c r="A7321">
        <v>7320</v>
      </c>
      <c r="B7321" t="s">
        <v>14864</v>
      </c>
      <c r="C7321" t="s">
        <v>68</v>
      </c>
      <c r="D7321" t="s">
        <v>62</v>
      </c>
      <c r="E7321">
        <v>2458</v>
      </c>
      <c r="F7321">
        <v>2</v>
      </c>
      <c r="G7321">
        <v>2</v>
      </c>
      <c r="H7321">
        <v>1</v>
      </c>
      <c r="I7321">
        <v>0</v>
      </c>
      <c r="J7321">
        <v>1</v>
      </c>
      <c r="K7321">
        <v>1</v>
      </c>
      <c r="L7321">
        <v>1</v>
      </c>
      <c r="M7321">
        <v>1</v>
      </c>
      <c r="N7321">
        <v>1</v>
      </c>
      <c r="O7321">
        <v>1</v>
      </c>
      <c r="AF7321" t="s">
        <v>14865</v>
      </c>
    </row>
    <row r="7322" spans="1:32" hidden="1" x14ac:dyDescent="0.35">
      <c r="A7322">
        <v>7321</v>
      </c>
      <c r="B7322" t="s">
        <v>14866</v>
      </c>
      <c r="C7322" t="s">
        <v>68</v>
      </c>
      <c r="D7322" t="s">
        <v>60</v>
      </c>
      <c r="E7322">
        <v>1248</v>
      </c>
      <c r="F7322">
        <v>2</v>
      </c>
      <c r="G7322">
        <v>2</v>
      </c>
      <c r="H7322">
        <v>1</v>
      </c>
      <c r="I7322">
        <v>0</v>
      </c>
      <c r="J7322">
        <v>1</v>
      </c>
      <c r="K7322">
        <v>1</v>
      </c>
      <c r="L7322">
        <v>1</v>
      </c>
      <c r="M7322">
        <v>1</v>
      </c>
      <c r="N7322">
        <v>1</v>
      </c>
      <c r="O7322">
        <v>1</v>
      </c>
      <c r="AF7322" t="s">
        <v>14867</v>
      </c>
    </row>
    <row r="7323" spans="1:32" hidden="1" x14ac:dyDescent="0.35">
      <c r="A7323">
        <v>7322</v>
      </c>
      <c r="B7323" t="s">
        <v>14866</v>
      </c>
      <c r="C7323" t="s">
        <v>68</v>
      </c>
      <c r="D7323" t="s">
        <v>62</v>
      </c>
      <c r="E7323">
        <v>1285</v>
      </c>
      <c r="F7323">
        <v>2</v>
      </c>
      <c r="G7323">
        <v>2</v>
      </c>
      <c r="H7323">
        <v>1</v>
      </c>
      <c r="I7323">
        <v>0</v>
      </c>
      <c r="J7323">
        <v>1</v>
      </c>
      <c r="K7323">
        <v>1</v>
      </c>
      <c r="L7323">
        <v>1</v>
      </c>
      <c r="M7323">
        <v>1</v>
      </c>
      <c r="N7323">
        <v>1</v>
      </c>
      <c r="O7323">
        <v>1</v>
      </c>
      <c r="AF7323" t="s">
        <v>14867</v>
      </c>
    </row>
    <row r="7324" spans="1:32" hidden="1" x14ac:dyDescent="0.35">
      <c r="A7324">
        <v>7323</v>
      </c>
      <c r="B7324" t="s">
        <v>14868</v>
      </c>
      <c r="C7324" t="s">
        <v>68</v>
      </c>
      <c r="D7324" t="s">
        <v>60</v>
      </c>
      <c r="E7324">
        <v>1504</v>
      </c>
      <c r="F7324">
        <v>2</v>
      </c>
      <c r="G7324">
        <v>2</v>
      </c>
      <c r="H7324">
        <v>1</v>
      </c>
      <c r="I7324">
        <v>0</v>
      </c>
      <c r="J7324">
        <v>1</v>
      </c>
      <c r="K7324">
        <v>1</v>
      </c>
      <c r="L7324">
        <v>1</v>
      </c>
      <c r="M7324">
        <v>1</v>
      </c>
      <c r="N7324">
        <v>1</v>
      </c>
      <c r="O7324">
        <v>1</v>
      </c>
      <c r="P7324" t="s">
        <v>7906</v>
      </c>
      <c r="Q7324" t="s">
        <v>7907</v>
      </c>
      <c r="R7324" t="s">
        <v>319</v>
      </c>
      <c r="S7324" t="s">
        <v>320</v>
      </c>
      <c r="T7324" t="s">
        <v>14869</v>
      </c>
      <c r="U7324" t="s">
        <v>14870</v>
      </c>
      <c r="V7324" t="s">
        <v>9556</v>
      </c>
      <c r="W7324" t="s">
        <v>9557</v>
      </c>
      <c r="AD7324" t="s">
        <v>9397</v>
      </c>
      <c r="AE7324" t="s">
        <v>14871</v>
      </c>
      <c r="AF7324" t="s">
        <v>14872</v>
      </c>
    </row>
    <row r="7325" spans="1:32" hidden="1" x14ac:dyDescent="0.35">
      <c r="A7325">
        <v>7324</v>
      </c>
      <c r="B7325" t="s">
        <v>14868</v>
      </c>
      <c r="C7325" t="s">
        <v>68</v>
      </c>
      <c r="D7325" t="s">
        <v>62</v>
      </c>
      <c r="E7325">
        <v>1539</v>
      </c>
      <c r="F7325">
        <v>2</v>
      </c>
      <c r="G7325">
        <v>2</v>
      </c>
      <c r="H7325">
        <v>1</v>
      </c>
      <c r="I7325">
        <v>0</v>
      </c>
      <c r="J7325">
        <v>1</v>
      </c>
      <c r="K7325">
        <v>1</v>
      </c>
      <c r="L7325">
        <v>1</v>
      </c>
      <c r="M7325">
        <v>1</v>
      </c>
      <c r="N7325">
        <v>1</v>
      </c>
      <c r="O7325">
        <v>1</v>
      </c>
      <c r="P7325" t="s">
        <v>7906</v>
      </c>
      <c r="Q7325" t="s">
        <v>7907</v>
      </c>
      <c r="R7325" t="s">
        <v>319</v>
      </c>
      <c r="S7325" t="s">
        <v>320</v>
      </c>
      <c r="T7325" t="s">
        <v>14869</v>
      </c>
      <c r="U7325" t="s">
        <v>14870</v>
      </c>
      <c r="V7325" t="s">
        <v>9556</v>
      </c>
      <c r="W7325" t="s">
        <v>9557</v>
      </c>
      <c r="AD7325" t="s">
        <v>9397</v>
      </c>
      <c r="AE7325" t="s">
        <v>14871</v>
      </c>
      <c r="AF7325" t="s">
        <v>14872</v>
      </c>
    </row>
    <row r="7326" spans="1:32" hidden="1" x14ac:dyDescent="0.35">
      <c r="A7326">
        <v>7325</v>
      </c>
      <c r="B7326" t="s">
        <v>14873</v>
      </c>
      <c r="C7326" t="s">
        <v>68</v>
      </c>
      <c r="D7326" t="s">
        <v>60</v>
      </c>
      <c r="E7326">
        <v>1360</v>
      </c>
      <c r="F7326">
        <v>2</v>
      </c>
      <c r="G7326">
        <v>2</v>
      </c>
      <c r="H7326">
        <v>1</v>
      </c>
      <c r="I7326">
        <v>0</v>
      </c>
      <c r="J7326">
        <v>1</v>
      </c>
      <c r="K7326">
        <v>1</v>
      </c>
      <c r="L7326">
        <v>1</v>
      </c>
      <c r="M7326">
        <v>1</v>
      </c>
      <c r="N7326">
        <v>1</v>
      </c>
      <c r="O7326">
        <v>1</v>
      </c>
      <c r="P7326" t="s">
        <v>13876</v>
      </c>
      <c r="Q7326" t="s">
        <v>13877</v>
      </c>
      <c r="R7326" t="s">
        <v>75</v>
      </c>
      <c r="S7326" t="s">
        <v>76</v>
      </c>
      <c r="V7326" t="s">
        <v>13880</v>
      </c>
      <c r="W7326" t="s">
        <v>13881</v>
      </c>
      <c r="AF7326" t="s">
        <v>14874</v>
      </c>
    </row>
    <row r="7327" spans="1:32" hidden="1" x14ac:dyDescent="0.35">
      <c r="A7327">
        <v>7326</v>
      </c>
      <c r="B7327" t="s">
        <v>14873</v>
      </c>
      <c r="C7327" t="s">
        <v>68</v>
      </c>
      <c r="D7327" t="s">
        <v>62</v>
      </c>
      <c r="E7327">
        <v>1396</v>
      </c>
      <c r="F7327">
        <v>2</v>
      </c>
      <c r="G7327">
        <v>2</v>
      </c>
      <c r="H7327">
        <v>1</v>
      </c>
      <c r="I7327">
        <v>0</v>
      </c>
      <c r="J7327">
        <v>1</v>
      </c>
      <c r="K7327">
        <v>1</v>
      </c>
      <c r="L7327">
        <v>1</v>
      </c>
      <c r="M7327">
        <v>1</v>
      </c>
      <c r="N7327">
        <v>1</v>
      </c>
      <c r="O7327">
        <v>1</v>
      </c>
      <c r="P7327" t="s">
        <v>13876</v>
      </c>
      <c r="Q7327" t="s">
        <v>13877</v>
      </c>
      <c r="R7327" t="s">
        <v>75</v>
      </c>
      <c r="S7327" t="s">
        <v>76</v>
      </c>
      <c r="V7327" t="s">
        <v>13880</v>
      </c>
      <c r="W7327" t="s">
        <v>13881</v>
      </c>
      <c r="AF7327" t="s">
        <v>14874</v>
      </c>
    </row>
    <row r="7328" spans="1:32" hidden="1" x14ac:dyDescent="0.35">
      <c r="A7328">
        <v>7327</v>
      </c>
      <c r="B7328" t="s">
        <v>14875</v>
      </c>
      <c r="C7328" t="s">
        <v>68</v>
      </c>
      <c r="D7328" t="s">
        <v>34</v>
      </c>
      <c r="E7328">
        <v>1203</v>
      </c>
      <c r="F7328">
        <v>2</v>
      </c>
      <c r="G7328">
        <v>2</v>
      </c>
      <c r="H7328">
        <v>1</v>
      </c>
      <c r="I7328">
        <v>0</v>
      </c>
      <c r="J7328">
        <v>1</v>
      </c>
      <c r="K7328">
        <v>1</v>
      </c>
      <c r="L7328">
        <v>1</v>
      </c>
      <c r="M7328">
        <v>1</v>
      </c>
      <c r="N7328">
        <v>1</v>
      </c>
      <c r="O7328">
        <v>1</v>
      </c>
      <c r="AF7328" t="s">
        <v>14876</v>
      </c>
    </row>
    <row r="7329" spans="1:32" hidden="1" x14ac:dyDescent="0.35">
      <c r="A7329">
        <v>7328</v>
      </c>
      <c r="B7329" t="s">
        <v>14875</v>
      </c>
      <c r="C7329" t="s">
        <v>68</v>
      </c>
      <c r="D7329" t="s">
        <v>45</v>
      </c>
      <c r="E7329">
        <v>2446</v>
      </c>
      <c r="F7329">
        <v>2</v>
      </c>
      <c r="G7329">
        <v>2</v>
      </c>
      <c r="H7329">
        <v>1</v>
      </c>
      <c r="I7329">
        <v>0</v>
      </c>
      <c r="J7329">
        <v>1</v>
      </c>
      <c r="K7329">
        <v>1</v>
      </c>
      <c r="L7329">
        <v>1</v>
      </c>
      <c r="M7329">
        <v>1</v>
      </c>
      <c r="N7329">
        <v>1</v>
      </c>
      <c r="O7329">
        <v>1</v>
      </c>
      <c r="AF7329" t="s">
        <v>14876</v>
      </c>
    </row>
    <row r="7330" spans="1:32" hidden="1" x14ac:dyDescent="0.35">
      <c r="A7330">
        <v>7329</v>
      </c>
      <c r="B7330" t="s">
        <v>14877</v>
      </c>
      <c r="C7330" t="s">
        <v>68</v>
      </c>
      <c r="D7330" t="s">
        <v>34</v>
      </c>
      <c r="E7330">
        <v>1428</v>
      </c>
      <c r="F7330">
        <v>2</v>
      </c>
      <c r="G7330">
        <v>2</v>
      </c>
      <c r="H7330">
        <v>1</v>
      </c>
      <c r="I7330">
        <v>0</v>
      </c>
      <c r="J7330">
        <v>1</v>
      </c>
      <c r="K7330">
        <v>1</v>
      </c>
      <c r="L7330">
        <v>1</v>
      </c>
      <c r="M7330">
        <v>1</v>
      </c>
      <c r="N7330">
        <v>1</v>
      </c>
      <c r="O7330">
        <v>1</v>
      </c>
      <c r="AF7330" t="s">
        <v>14878</v>
      </c>
    </row>
    <row r="7331" spans="1:32" hidden="1" x14ac:dyDescent="0.35">
      <c r="A7331">
        <v>7330</v>
      </c>
      <c r="B7331" t="s">
        <v>14877</v>
      </c>
      <c r="C7331" t="s">
        <v>68</v>
      </c>
      <c r="D7331" t="s">
        <v>45</v>
      </c>
      <c r="E7331">
        <v>179</v>
      </c>
      <c r="F7331">
        <v>2</v>
      </c>
      <c r="G7331">
        <v>2</v>
      </c>
      <c r="H7331">
        <v>1</v>
      </c>
      <c r="I7331">
        <v>0</v>
      </c>
      <c r="J7331">
        <v>1</v>
      </c>
      <c r="K7331">
        <v>1</v>
      </c>
      <c r="L7331">
        <v>1</v>
      </c>
      <c r="M7331">
        <v>1</v>
      </c>
      <c r="N7331">
        <v>1</v>
      </c>
      <c r="O7331">
        <v>1</v>
      </c>
      <c r="AF7331" t="s">
        <v>14878</v>
      </c>
    </row>
    <row r="7332" spans="1:32" hidden="1" x14ac:dyDescent="0.35">
      <c r="A7332">
        <v>7331</v>
      </c>
      <c r="B7332" t="s">
        <v>14879</v>
      </c>
      <c r="C7332" t="s">
        <v>68</v>
      </c>
      <c r="D7332" t="s">
        <v>34</v>
      </c>
      <c r="E7332">
        <v>2526</v>
      </c>
      <c r="F7332">
        <v>2</v>
      </c>
      <c r="G7332">
        <v>2</v>
      </c>
      <c r="H7332">
        <v>1</v>
      </c>
      <c r="I7332">
        <v>0</v>
      </c>
      <c r="J7332">
        <v>1</v>
      </c>
      <c r="K7332">
        <v>1</v>
      </c>
      <c r="L7332">
        <v>1</v>
      </c>
      <c r="M7332">
        <v>1</v>
      </c>
      <c r="N7332">
        <v>1</v>
      </c>
      <c r="O7332">
        <v>1</v>
      </c>
      <c r="P7332" t="s">
        <v>1504</v>
      </c>
      <c r="Q7332" t="s">
        <v>1505</v>
      </c>
      <c r="R7332" t="s">
        <v>1259</v>
      </c>
      <c r="S7332" t="s">
        <v>1260</v>
      </c>
      <c r="V7332" t="s">
        <v>1508</v>
      </c>
      <c r="W7332" t="s">
        <v>1509</v>
      </c>
      <c r="AF7332" t="s">
        <v>14880</v>
      </c>
    </row>
    <row r="7333" spans="1:32" hidden="1" x14ac:dyDescent="0.35">
      <c r="A7333">
        <v>7332</v>
      </c>
      <c r="B7333" t="s">
        <v>14879</v>
      </c>
      <c r="C7333" t="s">
        <v>68</v>
      </c>
      <c r="D7333" t="s">
        <v>45</v>
      </c>
      <c r="E7333">
        <v>1252</v>
      </c>
      <c r="F7333">
        <v>2</v>
      </c>
      <c r="G7333">
        <v>2</v>
      </c>
      <c r="H7333">
        <v>1</v>
      </c>
      <c r="I7333">
        <v>0</v>
      </c>
      <c r="J7333">
        <v>1</v>
      </c>
      <c r="K7333">
        <v>1</v>
      </c>
      <c r="L7333">
        <v>1</v>
      </c>
      <c r="M7333">
        <v>1</v>
      </c>
      <c r="N7333">
        <v>1</v>
      </c>
      <c r="O7333">
        <v>1</v>
      </c>
      <c r="P7333" t="s">
        <v>1504</v>
      </c>
      <c r="Q7333" t="s">
        <v>1505</v>
      </c>
      <c r="R7333" t="s">
        <v>1259</v>
      </c>
      <c r="S7333" t="s">
        <v>1260</v>
      </c>
      <c r="V7333" t="s">
        <v>1508</v>
      </c>
      <c r="W7333" t="s">
        <v>1509</v>
      </c>
      <c r="AF7333" t="s">
        <v>14880</v>
      </c>
    </row>
    <row r="7334" spans="1:32" hidden="1" x14ac:dyDescent="0.35">
      <c r="A7334">
        <v>7333</v>
      </c>
      <c r="B7334" t="s">
        <v>14881</v>
      </c>
      <c r="C7334" t="s">
        <v>68</v>
      </c>
      <c r="D7334" t="s">
        <v>60</v>
      </c>
      <c r="E7334">
        <v>370</v>
      </c>
      <c r="F7334">
        <v>2</v>
      </c>
      <c r="G7334">
        <v>2</v>
      </c>
      <c r="H7334">
        <v>1</v>
      </c>
      <c r="I7334">
        <v>0</v>
      </c>
      <c r="J7334">
        <v>1</v>
      </c>
      <c r="K7334">
        <v>1</v>
      </c>
      <c r="L7334">
        <v>1</v>
      </c>
      <c r="M7334">
        <v>1</v>
      </c>
      <c r="N7334">
        <v>1</v>
      </c>
      <c r="O7334">
        <v>1</v>
      </c>
      <c r="R7334" t="s">
        <v>14882</v>
      </c>
      <c r="S7334" t="s">
        <v>14883</v>
      </c>
      <c r="V7334" t="s">
        <v>14884</v>
      </c>
      <c r="W7334" t="s">
        <v>14885</v>
      </c>
      <c r="AF7334" t="s">
        <v>14886</v>
      </c>
    </row>
    <row r="7335" spans="1:32" hidden="1" x14ac:dyDescent="0.35">
      <c r="A7335">
        <v>7334</v>
      </c>
      <c r="B7335" t="s">
        <v>14881</v>
      </c>
      <c r="C7335" t="s">
        <v>68</v>
      </c>
      <c r="D7335" t="s">
        <v>62</v>
      </c>
      <c r="E7335">
        <v>450</v>
      </c>
      <c r="F7335">
        <v>2</v>
      </c>
      <c r="G7335">
        <v>2</v>
      </c>
      <c r="H7335">
        <v>1</v>
      </c>
      <c r="I7335">
        <v>0</v>
      </c>
      <c r="J7335">
        <v>1</v>
      </c>
      <c r="K7335">
        <v>1</v>
      </c>
      <c r="L7335">
        <v>1</v>
      </c>
      <c r="M7335">
        <v>1</v>
      </c>
      <c r="N7335">
        <v>1</v>
      </c>
      <c r="O7335">
        <v>1</v>
      </c>
      <c r="R7335" t="s">
        <v>14882</v>
      </c>
      <c r="S7335" t="s">
        <v>14883</v>
      </c>
      <c r="V7335" t="s">
        <v>14884</v>
      </c>
      <c r="W7335" t="s">
        <v>14885</v>
      </c>
      <c r="AF7335" t="s">
        <v>14886</v>
      </c>
    </row>
    <row r="7336" spans="1:32" hidden="1" x14ac:dyDescent="0.35">
      <c r="A7336">
        <v>7335</v>
      </c>
      <c r="B7336" t="s">
        <v>14887</v>
      </c>
      <c r="C7336" t="s">
        <v>68</v>
      </c>
      <c r="D7336" t="s">
        <v>60</v>
      </c>
      <c r="E7336">
        <v>2186</v>
      </c>
      <c r="F7336">
        <v>2</v>
      </c>
      <c r="G7336">
        <v>2</v>
      </c>
      <c r="H7336">
        <v>1</v>
      </c>
      <c r="I7336">
        <v>0</v>
      </c>
      <c r="J7336">
        <v>1</v>
      </c>
      <c r="K7336">
        <v>1</v>
      </c>
      <c r="L7336">
        <v>1</v>
      </c>
      <c r="M7336">
        <v>1</v>
      </c>
      <c r="N7336">
        <v>1</v>
      </c>
      <c r="O7336">
        <v>1</v>
      </c>
      <c r="AF7336" t="s">
        <v>14888</v>
      </c>
    </row>
    <row r="7337" spans="1:32" hidden="1" x14ac:dyDescent="0.35">
      <c r="A7337">
        <v>7336</v>
      </c>
      <c r="B7337" t="s">
        <v>14887</v>
      </c>
      <c r="C7337" t="s">
        <v>68</v>
      </c>
      <c r="D7337" t="s">
        <v>62</v>
      </c>
      <c r="E7337">
        <v>2220</v>
      </c>
      <c r="F7337">
        <v>2</v>
      </c>
      <c r="G7337">
        <v>2</v>
      </c>
      <c r="H7337">
        <v>1</v>
      </c>
      <c r="I7337">
        <v>0</v>
      </c>
      <c r="J7337">
        <v>1</v>
      </c>
      <c r="K7337">
        <v>1</v>
      </c>
      <c r="L7337">
        <v>1</v>
      </c>
      <c r="M7337">
        <v>1</v>
      </c>
      <c r="N7337">
        <v>1</v>
      </c>
      <c r="O7337">
        <v>1</v>
      </c>
      <c r="AF7337" t="s">
        <v>14888</v>
      </c>
    </row>
    <row r="7338" spans="1:32" hidden="1" x14ac:dyDescent="0.35">
      <c r="A7338">
        <v>7337</v>
      </c>
      <c r="B7338" t="s">
        <v>14889</v>
      </c>
      <c r="C7338" t="s">
        <v>68</v>
      </c>
      <c r="D7338" t="s">
        <v>34</v>
      </c>
      <c r="E7338">
        <v>697</v>
      </c>
      <c r="F7338">
        <v>2</v>
      </c>
      <c r="G7338">
        <v>2</v>
      </c>
      <c r="H7338">
        <v>1</v>
      </c>
      <c r="I7338">
        <v>0</v>
      </c>
      <c r="J7338">
        <v>1</v>
      </c>
      <c r="K7338">
        <v>1</v>
      </c>
      <c r="L7338">
        <v>1</v>
      </c>
      <c r="M7338">
        <v>1</v>
      </c>
      <c r="N7338">
        <v>1</v>
      </c>
      <c r="O7338">
        <v>1</v>
      </c>
      <c r="P7338" t="s">
        <v>1189</v>
      </c>
      <c r="Q7338" t="s">
        <v>1190</v>
      </c>
      <c r="AF7338" t="s">
        <v>14890</v>
      </c>
    </row>
    <row r="7339" spans="1:32" hidden="1" x14ac:dyDescent="0.35">
      <c r="A7339">
        <v>7338</v>
      </c>
      <c r="B7339" t="s">
        <v>14889</v>
      </c>
      <c r="C7339" t="s">
        <v>68</v>
      </c>
      <c r="D7339" t="s">
        <v>45</v>
      </c>
      <c r="E7339">
        <v>1963</v>
      </c>
      <c r="F7339">
        <v>2</v>
      </c>
      <c r="G7339">
        <v>2</v>
      </c>
      <c r="H7339">
        <v>1</v>
      </c>
      <c r="I7339">
        <v>0</v>
      </c>
      <c r="J7339">
        <v>1</v>
      </c>
      <c r="K7339">
        <v>1</v>
      </c>
      <c r="L7339">
        <v>1</v>
      </c>
      <c r="M7339">
        <v>1</v>
      </c>
      <c r="N7339">
        <v>1</v>
      </c>
      <c r="O7339">
        <v>1</v>
      </c>
      <c r="P7339" t="s">
        <v>1189</v>
      </c>
      <c r="Q7339" t="s">
        <v>1190</v>
      </c>
      <c r="AF7339" t="s">
        <v>14890</v>
      </c>
    </row>
    <row r="7340" spans="1:32" hidden="1" x14ac:dyDescent="0.35">
      <c r="A7340">
        <v>7339</v>
      </c>
      <c r="B7340" t="s">
        <v>14891</v>
      </c>
      <c r="C7340" t="s">
        <v>68</v>
      </c>
      <c r="D7340" t="s">
        <v>34</v>
      </c>
      <c r="E7340">
        <v>1875</v>
      </c>
      <c r="F7340">
        <v>2</v>
      </c>
      <c r="G7340">
        <v>2</v>
      </c>
      <c r="H7340">
        <v>1</v>
      </c>
      <c r="I7340">
        <v>0</v>
      </c>
      <c r="J7340">
        <v>1</v>
      </c>
      <c r="K7340">
        <v>1</v>
      </c>
      <c r="L7340">
        <v>1</v>
      </c>
      <c r="M7340">
        <v>1</v>
      </c>
      <c r="N7340">
        <v>1</v>
      </c>
      <c r="O7340">
        <v>1</v>
      </c>
      <c r="P7340" t="s">
        <v>14892</v>
      </c>
      <c r="Q7340" t="s">
        <v>14893</v>
      </c>
      <c r="AF7340" t="s">
        <v>14894</v>
      </c>
    </row>
    <row r="7341" spans="1:32" hidden="1" x14ac:dyDescent="0.35">
      <c r="A7341">
        <v>7340</v>
      </c>
      <c r="B7341" t="s">
        <v>14891</v>
      </c>
      <c r="C7341" t="s">
        <v>68</v>
      </c>
      <c r="D7341" t="s">
        <v>45</v>
      </c>
      <c r="E7341">
        <v>998</v>
      </c>
      <c r="F7341">
        <v>2</v>
      </c>
      <c r="G7341">
        <v>2</v>
      </c>
      <c r="H7341">
        <v>1</v>
      </c>
      <c r="I7341">
        <v>0</v>
      </c>
      <c r="J7341">
        <v>1</v>
      </c>
      <c r="K7341">
        <v>1</v>
      </c>
      <c r="L7341">
        <v>1</v>
      </c>
      <c r="M7341">
        <v>1</v>
      </c>
      <c r="N7341">
        <v>1</v>
      </c>
      <c r="O7341">
        <v>1</v>
      </c>
      <c r="P7341" t="s">
        <v>14892</v>
      </c>
      <c r="Q7341" t="s">
        <v>14893</v>
      </c>
      <c r="AF7341" t="s">
        <v>14894</v>
      </c>
    </row>
    <row r="7342" spans="1:32" hidden="1" x14ac:dyDescent="0.35">
      <c r="A7342">
        <v>7341</v>
      </c>
      <c r="B7342" t="s">
        <v>14895</v>
      </c>
      <c r="C7342" t="s">
        <v>68</v>
      </c>
      <c r="D7342" t="s">
        <v>60</v>
      </c>
      <c r="E7342">
        <v>1560</v>
      </c>
      <c r="F7342">
        <v>2</v>
      </c>
      <c r="G7342">
        <v>2</v>
      </c>
      <c r="H7342">
        <v>1</v>
      </c>
      <c r="I7342">
        <v>0</v>
      </c>
      <c r="J7342">
        <v>1</v>
      </c>
      <c r="K7342">
        <v>1</v>
      </c>
      <c r="L7342">
        <v>1</v>
      </c>
      <c r="M7342">
        <v>1</v>
      </c>
      <c r="N7342">
        <v>1</v>
      </c>
      <c r="O7342">
        <v>1</v>
      </c>
      <c r="P7342" t="s">
        <v>6606</v>
      </c>
      <c r="Q7342" t="s">
        <v>6607</v>
      </c>
      <c r="R7342" t="s">
        <v>1191</v>
      </c>
      <c r="S7342" t="s">
        <v>1192</v>
      </c>
      <c r="T7342" t="s">
        <v>6602</v>
      </c>
      <c r="U7342" t="s">
        <v>6603</v>
      </c>
      <c r="V7342" t="s">
        <v>6600</v>
      </c>
      <c r="W7342" t="s">
        <v>6601</v>
      </c>
      <c r="AD7342" t="s">
        <v>1998</v>
      </c>
      <c r="AE7342" t="s">
        <v>6604</v>
      </c>
      <c r="AF7342" t="s">
        <v>14896</v>
      </c>
    </row>
    <row r="7343" spans="1:32" hidden="1" x14ac:dyDescent="0.35">
      <c r="A7343">
        <v>7342</v>
      </c>
      <c r="B7343" t="s">
        <v>14895</v>
      </c>
      <c r="C7343" t="s">
        <v>68</v>
      </c>
      <c r="D7343" t="s">
        <v>62</v>
      </c>
      <c r="E7343">
        <v>1596</v>
      </c>
      <c r="F7343">
        <v>2</v>
      </c>
      <c r="G7343">
        <v>2</v>
      </c>
      <c r="H7343">
        <v>1</v>
      </c>
      <c r="I7343">
        <v>0</v>
      </c>
      <c r="J7343">
        <v>1</v>
      </c>
      <c r="K7343">
        <v>1</v>
      </c>
      <c r="L7343">
        <v>1</v>
      </c>
      <c r="M7343">
        <v>1</v>
      </c>
      <c r="N7343">
        <v>1</v>
      </c>
      <c r="O7343">
        <v>1</v>
      </c>
      <c r="P7343" t="s">
        <v>6606</v>
      </c>
      <c r="Q7343" t="s">
        <v>6607</v>
      </c>
      <c r="R7343" t="s">
        <v>1191</v>
      </c>
      <c r="S7343" t="s">
        <v>1192</v>
      </c>
      <c r="T7343" t="s">
        <v>6602</v>
      </c>
      <c r="U7343" t="s">
        <v>6603</v>
      </c>
      <c r="V7343" t="s">
        <v>6600</v>
      </c>
      <c r="W7343" t="s">
        <v>6601</v>
      </c>
      <c r="AD7343" t="s">
        <v>1998</v>
      </c>
      <c r="AE7343" t="s">
        <v>6604</v>
      </c>
      <c r="AF7343" t="s">
        <v>14896</v>
      </c>
    </row>
    <row r="7344" spans="1:32" hidden="1" x14ac:dyDescent="0.35">
      <c r="A7344">
        <v>7343</v>
      </c>
      <c r="B7344" t="s">
        <v>14897</v>
      </c>
      <c r="C7344" t="s">
        <v>68</v>
      </c>
      <c r="D7344" t="s">
        <v>60</v>
      </c>
      <c r="E7344">
        <v>1316</v>
      </c>
      <c r="F7344">
        <v>2</v>
      </c>
      <c r="G7344">
        <v>2</v>
      </c>
      <c r="H7344">
        <v>1</v>
      </c>
      <c r="I7344">
        <v>0</v>
      </c>
      <c r="J7344">
        <v>1</v>
      </c>
      <c r="K7344">
        <v>1</v>
      </c>
      <c r="L7344">
        <v>1</v>
      </c>
      <c r="M7344">
        <v>1</v>
      </c>
      <c r="N7344">
        <v>1</v>
      </c>
      <c r="O7344">
        <v>1</v>
      </c>
      <c r="P7344" t="s">
        <v>14148</v>
      </c>
      <c r="Q7344" t="s">
        <v>14149</v>
      </c>
      <c r="R7344" t="s">
        <v>113</v>
      </c>
      <c r="S7344" t="s">
        <v>114</v>
      </c>
      <c r="T7344" t="s">
        <v>14898</v>
      </c>
      <c r="U7344" t="s">
        <v>14899</v>
      </c>
      <c r="V7344" t="s">
        <v>14052</v>
      </c>
      <c r="W7344" t="s">
        <v>14053</v>
      </c>
      <c r="AD7344" t="s">
        <v>14054</v>
      </c>
      <c r="AE7344" t="s">
        <v>14055</v>
      </c>
      <c r="AF7344" t="s">
        <v>14900</v>
      </c>
    </row>
    <row r="7345" spans="1:32" hidden="1" x14ac:dyDescent="0.35">
      <c r="A7345">
        <v>7344</v>
      </c>
      <c r="B7345" t="s">
        <v>14897</v>
      </c>
      <c r="C7345" t="s">
        <v>68</v>
      </c>
      <c r="D7345" t="s">
        <v>62</v>
      </c>
      <c r="E7345">
        <v>1352</v>
      </c>
      <c r="F7345">
        <v>2</v>
      </c>
      <c r="G7345">
        <v>2</v>
      </c>
      <c r="H7345">
        <v>1</v>
      </c>
      <c r="I7345">
        <v>0</v>
      </c>
      <c r="J7345">
        <v>1</v>
      </c>
      <c r="K7345">
        <v>1</v>
      </c>
      <c r="L7345">
        <v>1</v>
      </c>
      <c r="M7345">
        <v>1</v>
      </c>
      <c r="N7345">
        <v>1</v>
      </c>
      <c r="O7345">
        <v>1</v>
      </c>
      <c r="P7345" t="s">
        <v>14148</v>
      </c>
      <c r="Q7345" t="s">
        <v>14149</v>
      </c>
      <c r="R7345" t="s">
        <v>113</v>
      </c>
      <c r="S7345" t="s">
        <v>114</v>
      </c>
      <c r="T7345" t="s">
        <v>14898</v>
      </c>
      <c r="U7345" t="s">
        <v>14899</v>
      </c>
      <c r="V7345" t="s">
        <v>14052</v>
      </c>
      <c r="W7345" t="s">
        <v>14053</v>
      </c>
      <c r="AD7345" t="s">
        <v>14054</v>
      </c>
      <c r="AE7345" t="s">
        <v>14055</v>
      </c>
      <c r="AF7345" t="s">
        <v>14900</v>
      </c>
    </row>
    <row r="7346" spans="1:32" hidden="1" x14ac:dyDescent="0.35">
      <c r="A7346">
        <v>7345</v>
      </c>
      <c r="B7346" t="s">
        <v>14901</v>
      </c>
      <c r="C7346" t="s">
        <v>68</v>
      </c>
      <c r="D7346" t="s">
        <v>60</v>
      </c>
      <c r="E7346">
        <v>1678</v>
      </c>
      <c r="F7346">
        <v>2</v>
      </c>
      <c r="G7346">
        <v>2</v>
      </c>
      <c r="H7346">
        <v>1</v>
      </c>
      <c r="I7346">
        <v>0</v>
      </c>
      <c r="J7346">
        <v>1</v>
      </c>
      <c r="K7346">
        <v>1</v>
      </c>
      <c r="L7346">
        <v>1</v>
      </c>
      <c r="M7346">
        <v>1</v>
      </c>
      <c r="N7346">
        <v>1</v>
      </c>
      <c r="O7346">
        <v>1</v>
      </c>
      <c r="AF7346" t="s">
        <v>14902</v>
      </c>
    </row>
    <row r="7347" spans="1:32" hidden="1" x14ac:dyDescent="0.35">
      <c r="A7347">
        <v>7346</v>
      </c>
      <c r="B7347" t="s">
        <v>14901</v>
      </c>
      <c r="C7347" t="s">
        <v>68</v>
      </c>
      <c r="D7347" t="s">
        <v>62</v>
      </c>
      <c r="E7347">
        <v>1713</v>
      </c>
      <c r="F7347">
        <v>2</v>
      </c>
      <c r="G7347">
        <v>2</v>
      </c>
      <c r="H7347">
        <v>1</v>
      </c>
      <c r="I7347">
        <v>0</v>
      </c>
      <c r="J7347">
        <v>1</v>
      </c>
      <c r="K7347">
        <v>1</v>
      </c>
      <c r="L7347">
        <v>1</v>
      </c>
      <c r="M7347">
        <v>1</v>
      </c>
      <c r="N7347">
        <v>1</v>
      </c>
      <c r="O7347">
        <v>1</v>
      </c>
      <c r="AF7347" t="s">
        <v>14902</v>
      </c>
    </row>
    <row r="7348" spans="1:32" hidden="1" x14ac:dyDescent="0.35">
      <c r="A7348">
        <v>7347</v>
      </c>
      <c r="B7348" t="s">
        <v>14903</v>
      </c>
      <c r="C7348" t="s">
        <v>68</v>
      </c>
      <c r="D7348" t="s">
        <v>60</v>
      </c>
      <c r="E7348">
        <v>1347</v>
      </c>
      <c r="F7348">
        <v>2</v>
      </c>
      <c r="G7348">
        <v>2</v>
      </c>
      <c r="H7348">
        <v>1</v>
      </c>
      <c r="I7348">
        <v>0</v>
      </c>
      <c r="J7348">
        <v>1</v>
      </c>
      <c r="K7348">
        <v>1</v>
      </c>
      <c r="L7348">
        <v>1</v>
      </c>
      <c r="M7348">
        <v>1</v>
      </c>
      <c r="N7348">
        <v>1</v>
      </c>
      <c r="O7348">
        <v>1</v>
      </c>
      <c r="AF7348" t="s">
        <v>14904</v>
      </c>
    </row>
    <row r="7349" spans="1:32" hidden="1" x14ac:dyDescent="0.35">
      <c r="A7349">
        <v>7348</v>
      </c>
      <c r="B7349" t="s">
        <v>14903</v>
      </c>
      <c r="C7349" t="s">
        <v>68</v>
      </c>
      <c r="D7349" t="s">
        <v>62</v>
      </c>
      <c r="E7349">
        <v>1383</v>
      </c>
      <c r="F7349">
        <v>2</v>
      </c>
      <c r="G7349">
        <v>2</v>
      </c>
      <c r="H7349">
        <v>1</v>
      </c>
      <c r="I7349">
        <v>0</v>
      </c>
      <c r="J7349">
        <v>1</v>
      </c>
      <c r="K7349">
        <v>1</v>
      </c>
      <c r="L7349">
        <v>1</v>
      </c>
      <c r="M7349">
        <v>1</v>
      </c>
      <c r="N7349">
        <v>1</v>
      </c>
      <c r="O7349">
        <v>1</v>
      </c>
      <c r="AF7349" t="s">
        <v>14904</v>
      </c>
    </row>
    <row r="7350" spans="1:32" hidden="1" x14ac:dyDescent="0.35">
      <c r="A7350">
        <v>7349</v>
      </c>
      <c r="B7350" t="s">
        <v>14905</v>
      </c>
      <c r="C7350" t="s">
        <v>68</v>
      </c>
      <c r="D7350" t="s">
        <v>34</v>
      </c>
      <c r="E7350">
        <v>1726</v>
      </c>
      <c r="F7350">
        <v>2</v>
      </c>
      <c r="G7350">
        <v>2</v>
      </c>
      <c r="H7350">
        <v>1</v>
      </c>
      <c r="I7350">
        <v>0</v>
      </c>
      <c r="J7350">
        <v>1</v>
      </c>
      <c r="K7350">
        <v>1</v>
      </c>
      <c r="L7350">
        <v>1</v>
      </c>
      <c r="M7350">
        <v>1</v>
      </c>
      <c r="N7350">
        <v>1</v>
      </c>
      <c r="O7350">
        <v>1</v>
      </c>
      <c r="AF7350" t="s">
        <v>14906</v>
      </c>
    </row>
    <row r="7351" spans="1:32" hidden="1" x14ac:dyDescent="0.35">
      <c r="A7351">
        <v>7350</v>
      </c>
      <c r="B7351" t="s">
        <v>14905</v>
      </c>
      <c r="C7351" t="s">
        <v>68</v>
      </c>
      <c r="D7351" t="s">
        <v>45</v>
      </c>
      <c r="E7351">
        <v>1148</v>
      </c>
      <c r="F7351">
        <v>2</v>
      </c>
      <c r="G7351">
        <v>2</v>
      </c>
      <c r="H7351">
        <v>1</v>
      </c>
      <c r="I7351">
        <v>0</v>
      </c>
      <c r="J7351">
        <v>1</v>
      </c>
      <c r="K7351">
        <v>1</v>
      </c>
      <c r="L7351">
        <v>1</v>
      </c>
      <c r="M7351">
        <v>1</v>
      </c>
      <c r="N7351">
        <v>1</v>
      </c>
      <c r="O7351">
        <v>1</v>
      </c>
      <c r="AF7351" t="s">
        <v>14906</v>
      </c>
    </row>
    <row r="7352" spans="1:32" hidden="1" x14ac:dyDescent="0.35">
      <c r="A7352">
        <v>7351</v>
      </c>
      <c r="B7352" t="s">
        <v>14907</v>
      </c>
      <c r="C7352" t="s">
        <v>68</v>
      </c>
      <c r="D7352" t="s">
        <v>34</v>
      </c>
      <c r="E7352">
        <v>474</v>
      </c>
      <c r="F7352">
        <v>2</v>
      </c>
      <c r="G7352">
        <v>2</v>
      </c>
      <c r="H7352">
        <v>1</v>
      </c>
      <c r="I7352">
        <v>0</v>
      </c>
      <c r="J7352">
        <v>1</v>
      </c>
      <c r="K7352">
        <v>1</v>
      </c>
      <c r="L7352">
        <v>1</v>
      </c>
      <c r="M7352">
        <v>1</v>
      </c>
      <c r="N7352">
        <v>1</v>
      </c>
      <c r="O7352">
        <v>1</v>
      </c>
      <c r="P7352" t="s">
        <v>14908</v>
      </c>
      <c r="Q7352" t="s">
        <v>2083</v>
      </c>
      <c r="R7352" t="s">
        <v>96</v>
      </c>
      <c r="S7352" t="s">
        <v>97</v>
      </c>
      <c r="V7352" t="s">
        <v>14909</v>
      </c>
      <c r="W7352" t="s">
        <v>14910</v>
      </c>
      <c r="AF7352" t="s">
        <v>14911</v>
      </c>
    </row>
    <row r="7353" spans="1:32" hidden="1" x14ac:dyDescent="0.35">
      <c r="A7353">
        <v>7352</v>
      </c>
      <c r="B7353" t="s">
        <v>14907</v>
      </c>
      <c r="C7353" t="s">
        <v>68</v>
      </c>
      <c r="D7353" t="s">
        <v>45</v>
      </c>
      <c r="E7353">
        <v>1739</v>
      </c>
      <c r="F7353">
        <v>2</v>
      </c>
      <c r="G7353">
        <v>2</v>
      </c>
      <c r="H7353">
        <v>1</v>
      </c>
      <c r="I7353">
        <v>0</v>
      </c>
      <c r="J7353">
        <v>1</v>
      </c>
      <c r="K7353">
        <v>1</v>
      </c>
      <c r="L7353">
        <v>1</v>
      </c>
      <c r="M7353">
        <v>1</v>
      </c>
      <c r="N7353">
        <v>1</v>
      </c>
      <c r="O7353">
        <v>1</v>
      </c>
      <c r="P7353" t="s">
        <v>14908</v>
      </c>
      <c r="Q7353" t="s">
        <v>2083</v>
      </c>
      <c r="R7353" t="s">
        <v>96</v>
      </c>
      <c r="S7353" t="s">
        <v>97</v>
      </c>
      <c r="V7353" t="s">
        <v>14909</v>
      </c>
      <c r="W7353" t="s">
        <v>14910</v>
      </c>
      <c r="AF7353" t="s">
        <v>14911</v>
      </c>
    </row>
    <row r="7354" spans="1:32" hidden="1" x14ac:dyDescent="0.35">
      <c r="A7354">
        <v>7353</v>
      </c>
      <c r="B7354" t="s">
        <v>14912</v>
      </c>
      <c r="C7354" t="s">
        <v>68</v>
      </c>
      <c r="D7354" t="s">
        <v>60</v>
      </c>
      <c r="E7354">
        <v>120</v>
      </c>
      <c r="F7354">
        <v>2</v>
      </c>
      <c r="G7354">
        <v>2</v>
      </c>
      <c r="H7354">
        <v>1</v>
      </c>
      <c r="I7354">
        <v>0</v>
      </c>
      <c r="J7354">
        <v>1</v>
      </c>
      <c r="K7354">
        <v>1</v>
      </c>
      <c r="L7354">
        <v>1</v>
      </c>
      <c r="M7354">
        <v>1</v>
      </c>
      <c r="N7354">
        <v>1</v>
      </c>
      <c r="O7354">
        <v>1</v>
      </c>
      <c r="AF7354" t="s">
        <v>14913</v>
      </c>
    </row>
    <row r="7355" spans="1:32" hidden="1" x14ac:dyDescent="0.35">
      <c r="A7355">
        <v>7354</v>
      </c>
      <c r="B7355" t="s">
        <v>14912</v>
      </c>
      <c r="C7355" t="s">
        <v>68</v>
      </c>
      <c r="D7355" t="s">
        <v>62</v>
      </c>
      <c r="E7355">
        <v>192</v>
      </c>
      <c r="F7355">
        <v>2</v>
      </c>
      <c r="G7355">
        <v>2</v>
      </c>
      <c r="H7355">
        <v>1</v>
      </c>
      <c r="I7355">
        <v>0</v>
      </c>
      <c r="J7355">
        <v>1</v>
      </c>
      <c r="K7355">
        <v>1</v>
      </c>
      <c r="L7355">
        <v>1</v>
      </c>
      <c r="M7355">
        <v>1</v>
      </c>
      <c r="N7355">
        <v>1</v>
      </c>
      <c r="O7355">
        <v>1</v>
      </c>
      <c r="AF7355" t="s">
        <v>14913</v>
      </c>
    </row>
    <row r="7356" spans="1:32" hidden="1" x14ac:dyDescent="0.35">
      <c r="A7356">
        <v>7355</v>
      </c>
      <c r="B7356" t="s">
        <v>14914</v>
      </c>
      <c r="C7356" t="s">
        <v>68</v>
      </c>
      <c r="D7356" t="s">
        <v>60</v>
      </c>
      <c r="E7356">
        <v>2487</v>
      </c>
      <c r="F7356">
        <v>2</v>
      </c>
      <c r="G7356">
        <v>2</v>
      </c>
      <c r="H7356">
        <v>1</v>
      </c>
      <c r="I7356">
        <v>0</v>
      </c>
      <c r="J7356">
        <v>1</v>
      </c>
      <c r="K7356">
        <v>1</v>
      </c>
      <c r="L7356">
        <v>1</v>
      </c>
      <c r="M7356">
        <v>1</v>
      </c>
      <c r="N7356">
        <v>1</v>
      </c>
      <c r="O7356">
        <v>1</v>
      </c>
      <c r="AF7356" t="s">
        <v>14915</v>
      </c>
    </row>
    <row r="7357" spans="1:32" hidden="1" x14ac:dyDescent="0.35">
      <c r="A7357">
        <v>7356</v>
      </c>
      <c r="B7357" t="s">
        <v>14914</v>
      </c>
      <c r="C7357" t="s">
        <v>68</v>
      </c>
      <c r="D7357" t="s">
        <v>62</v>
      </c>
      <c r="E7357">
        <v>14</v>
      </c>
      <c r="F7357">
        <v>2</v>
      </c>
      <c r="G7357">
        <v>2</v>
      </c>
      <c r="H7357">
        <v>1</v>
      </c>
      <c r="I7357">
        <v>0</v>
      </c>
      <c r="J7357">
        <v>1</v>
      </c>
      <c r="K7357">
        <v>1</v>
      </c>
      <c r="L7357">
        <v>1</v>
      </c>
      <c r="M7357">
        <v>1</v>
      </c>
      <c r="N7357">
        <v>1</v>
      </c>
      <c r="O7357">
        <v>1</v>
      </c>
      <c r="AF7357" t="s">
        <v>14915</v>
      </c>
    </row>
    <row r="7358" spans="1:32" hidden="1" x14ac:dyDescent="0.35">
      <c r="A7358">
        <v>7357</v>
      </c>
      <c r="B7358" t="s">
        <v>14916</v>
      </c>
      <c r="C7358" t="s">
        <v>68</v>
      </c>
      <c r="D7358" t="s">
        <v>34</v>
      </c>
      <c r="E7358">
        <v>647</v>
      </c>
      <c r="F7358">
        <v>2</v>
      </c>
      <c r="G7358">
        <v>2</v>
      </c>
      <c r="H7358">
        <v>1</v>
      </c>
      <c r="I7358">
        <v>0</v>
      </c>
      <c r="J7358">
        <v>1</v>
      </c>
      <c r="K7358">
        <v>1</v>
      </c>
      <c r="L7358">
        <v>1</v>
      </c>
      <c r="M7358">
        <v>1</v>
      </c>
      <c r="N7358">
        <v>1</v>
      </c>
      <c r="O7358">
        <v>1</v>
      </c>
      <c r="P7358" t="s">
        <v>14917</v>
      </c>
      <c r="Q7358" t="s">
        <v>14918</v>
      </c>
      <c r="AF7358" t="s">
        <v>14919</v>
      </c>
    </row>
    <row r="7359" spans="1:32" hidden="1" x14ac:dyDescent="0.35">
      <c r="A7359">
        <v>7358</v>
      </c>
      <c r="B7359" t="s">
        <v>14916</v>
      </c>
      <c r="C7359" t="s">
        <v>68</v>
      </c>
      <c r="D7359" t="s">
        <v>45</v>
      </c>
      <c r="E7359">
        <v>1913</v>
      </c>
      <c r="F7359">
        <v>2</v>
      </c>
      <c r="G7359">
        <v>2</v>
      </c>
      <c r="H7359">
        <v>1</v>
      </c>
      <c r="I7359">
        <v>0</v>
      </c>
      <c r="J7359">
        <v>1</v>
      </c>
      <c r="K7359">
        <v>1</v>
      </c>
      <c r="L7359">
        <v>1</v>
      </c>
      <c r="M7359">
        <v>1</v>
      </c>
      <c r="N7359">
        <v>1</v>
      </c>
      <c r="O7359">
        <v>1</v>
      </c>
      <c r="P7359" t="s">
        <v>14917</v>
      </c>
      <c r="Q7359" t="s">
        <v>14918</v>
      </c>
      <c r="AF7359" t="s">
        <v>14919</v>
      </c>
    </row>
    <row r="7360" spans="1:32" hidden="1" x14ac:dyDescent="0.35">
      <c r="A7360">
        <v>7359</v>
      </c>
      <c r="B7360" t="s">
        <v>14920</v>
      </c>
      <c r="C7360" t="s">
        <v>68</v>
      </c>
      <c r="D7360" t="s">
        <v>60</v>
      </c>
      <c r="E7360">
        <v>1791</v>
      </c>
      <c r="F7360">
        <v>2</v>
      </c>
      <c r="G7360">
        <v>2</v>
      </c>
      <c r="H7360">
        <v>1</v>
      </c>
      <c r="I7360">
        <v>0</v>
      </c>
      <c r="J7360">
        <v>1</v>
      </c>
      <c r="K7360">
        <v>1</v>
      </c>
      <c r="L7360">
        <v>1</v>
      </c>
      <c r="M7360">
        <v>1</v>
      </c>
      <c r="N7360">
        <v>1</v>
      </c>
      <c r="O7360">
        <v>1</v>
      </c>
      <c r="P7360" t="s">
        <v>14921</v>
      </c>
      <c r="Q7360" t="s">
        <v>14922</v>
      </c>
      <c r="R7360" t="s">
        <v>869</v>
      </c>
      <c r="S7360" t="s">
        <v>870</v>
      </c>
      <c r="T7360" t="s">
        <v>14923</v>
      </c>
      <c r="U7360" t="s">
        <v>14924</v>
      </c>
      <c r="V7360" t="s">
        <v>14925</v>
      </c>
      <c r="W7360" t="s">
        <v>14926</v>
      </c>
      <c r="X7360" t="s">
        <v>14925</v>
      </c>
      <c r="Y7360" t="s">
        <v>1091</v>
      </c>
      <c r="Z7360" t="s">
        <v>1092</v>
      </c>
      <c r="AA7360" t="s">
        <v>1093</v>
      </c>
      <c r="AB7360" t="s">
        <v>1092</v>
      </c>
      <c r="AC7360" t="s">
        <v>1094</v>
      </c>
      <c r="AD7360" t="s">
        <v>219</v>
      </c>
      <c r="AE7360" t="s">
        <v>14927</v>
      </c>
      <c r="AF7360" t="s">
        <v>14928</v>
      </c>
    </row>
    <row r="7361" spans="1:32" hidden="1" x14ac:dyDescent="0.35">
      <c r="A7361">
        <v>7360</v>
      </c>
      <c r="B7361" t="s">
        <v>14920</v>
      </c>
      <c r="C7361" t="s">
        <v>68</v>
      </c>
      <c r="D7361" t="s">
        <v>62</v>
      </c>
      <c r="E7361">
        <v>1827</v>
      </c>
      <c r="F7361">
        <v>2</v>
      </c>
      <c r="G7361">
        <v>2</v>
      </c>
      <c r="H7361">
        <v>1</v>
      </c>
      <c r="I7361">
        <v>0</v>
      </c>
      <c r="J7361">
        <v>1</v>
      </c>
      <c r="K7361">
        <v>1</v>
      </c>
      <c r="L7361">
        <v>1</v>
      </c>
      <c r="M7361">
        <v>1</v>
      </c>
      <c r="N7361">
        <v>1</v>
      </c>
      <c r="O7361">
        <v>1</v>
      </c>
      <c r="P7361" t="s">
        <v>14921</v>
      </c>
      <c r="Q7361" t="s">
        <v>14922</v>
      </c>
      <c r="R7361" t="s">
        <v>869</v>
      </c>
      <c r="S7361" t="s">
        <v>870</v>
      </c>
      <c r="T7361" t="s">
        <v>14923</v>
      </c>
      <c r="U7361" t="s">
        <v>14924</v>
      </c>
      <c r="V7361" t="s">
        <v>14925</v>
      </c>
      <c r="W7361" t="s">
        <v>14926</v>
      </c>
      <c r="X7361" t="s">
        <v>14925</v>
      </c>
      <c r="Y7361" t="s">
        <v>1091</v>
      </c>
      <c r="Z7361" t="s">
        <v>1092</v>
      </c>
      <c r="AA7361" t="s">
        <v>1093</v>
      </c>
      <c r="AB7361" t="s">
        <v>1092</v>
      </c>
      <c r="AC7361" t="s">
        <v>1094</v>
      </c>
      <c r="AD7361" t="s">
        <v>219</v>
      </c>
      <c r="AE7361" t="s">
        <v>14927</v>
      </c>
      <c r="AF7361" t="s">
        <v>14928</v>
      </c>
    </row>
    <row r="7362" spans="1:32" hidden="1" x14ac:dyDescent="0.35">
      <c r="A7362">
        <v>7361</v>
      </c>
      <c r="B7362" t="s">
        <v>14929</v>
      </c>
      <c r="C7362" t="s">
        <v>68</v>
      </c>
      <c r="D7362" t="s">
        <v>34</v>
      </c>
      <c r="E7362">
        <v>2069</v>
      </c>
      <c r="F7362">
        <v>2</v>
      </c>
      <c r="G7362">
        <v>2</v>
      </c>
      <c r="H7362">
        <v>1</v>
      </c>
      <c r="I7362">
        <v>0</v>
      </c>
      <c r="J7362">
        <v>1</v>
      </c>
      <c r="K7362">
        <v>1</v>
      </c>
      <c r="L7362">
        <v>1</v>
      </c>
      <c r="M7362">
        <v>1</v>
      </c>
      <c r="N7362">
        <v>1</v>
      </c>
      <c r="O7362">
        <v>1</v>
      </c>
      <c r="P7362" t="s">
        <v>3363</v>
      </c>
      <c r="Q7362" t="s">
        <v>3364</v>
      </c>
      <c r="R7362" t="s">
        <v>319</v>
      </c>
      <c r="S7362" t="s">
        <v>320</v>
      </c>
      <c r="T7362" t="s">
        <v>4019</v>
      </c>
      <c r="U7362" t="s">
        <v>4020</v>
      </c>
      <c r="V7362" t="s">
        <v>3367</v>
      </c>
      <c r="W7362" t="s">
        <v>3368</v>
      </c>
      <c r="X7362" t="s">
        <v>3367</v>
      </c>
      <c r="Y7362" t="s">
        <v>3369</v>
      </c>
      <c r="Z7362" t="s">
        <v>4021</v>
      </c>
      <c r="AA7362" t="s">
        <v>4022</v>
      </c>
      <c r="AB7362" t="s">
        <v>4021</v>
      </c>
      <c r="AC7362" t="s">
        <v>4023</v>
      </c>
      <c r="AD7362" t="s">
        <v>951</v>
      </c>
      <c r="AE7362" t="s">
        <v>4024</v>
      </c>
      <c r="AF7362" t="s">
        <v>14930</v>
      </c>
    </row>
    <row r="7363" spans="1:32" hidden="1" x14ac:dyDescent="0.35">
      <c r="A7363">
        <v>7362</v>
      </c>
      <c r="B7363" t="s">
        <v>14929</v>
      </c>
      <c r="C7363" t="s">
        <v>68</v>
      </c>
      <c r="D7363" t="s">
        <v>45</v>
      </c>
      <c r="E7363">
        <v>803</v>
      </c>
      <c r="F7363">
        <v>2</v>
      </c>
      <c r="G7363">
        <v>2</v>
      </c>
      <c r="H7363">
        <v>1</v>
      </c>
      <c r="I7363">
        <v>0</v>
      </c>
      <c r="J7363">
        <v>1</v>
      </c>
      <c r="K7363">
        <v>1</v>
      </c>
      <c r="L7363">
        <v>1</v>
      </c>
      <c r="M7363">
        <v>1</v>
      </c>
      <c r="N7363">
        <v>1</v>
      </c>
      <c r="O7363">
        <v>1</v>
      </c>
      <c r="P7363" t="s">
        <v>3363</v>
      </c>
      <c r="Q7363" t="s">
        <v>3364</v>
      </c>
      <c r="R7363" t="s">
        <v>319</v>
      </c>
      <c r="S7363" t="s">
        <v>320</v>
      </c>
      <c r="T7363" t="s">
        <v>4019</v>
      </c>
      <c r="U7363" t="s">
        <v>4020</v>
      </c>
      <c r="V7363" t="s">
        <v>3367</v>
      </c>
      <c r="W7363" t="s">
        <v>3368</v>
      </c>
      <c r="X7363" t="s">
        <v>3367</v>
      </c>
      <c r="Y7363" t="s">
        <v>3369</v>
      </c>
      <c r="Z7363" t="s">
        <v>4021</v>
      </c>
      <c r="AA7363" t="s">
        <v>4022</v>
      </c>
      <c r="AB7363" t="s">
        <v>4021</v>
      </c>
      <c r="AC7363" t="s">
        <v>4023</v>
      </c>
      <c r="AD7363" t="s">
        <v>951</v>
      </c>
      <c r="AE7363" t="s">
        <v>4024</v>
      </c>
      <c r="AF7363" t="s">
        <v>14930</v>
      </c>
    </row>
    <row r="7364" spans="1:32" hidden="1" x14ac:dyDescent="0.35">
      <c r="A7364">
        <v>7363</v>
      </c>
      <c r="B7364" t="s">
        <v>14931</v>
      </c>
      <c r="C7364" t="s">
        <v>68</v>
      </c>
      <c r="D7364" t="s">
        <v>34</v>
      </c>
      <c r="E7364">
        <v>2240</v>
      </c>
      <c r="F7364">
        <v>2</v>
      </c>
      <c r="G7364">
        <v>2</v>
      </c>
      <c r="H7364">
        <v>1</v>
      </c>
      <c r="I7364">
        <v>0</v>
      </c>
      <c r="J7364">
        <v>1</v>
      </c>
      <c r="K7364">
        <v>1</v>
      </c>
      <c r="L7364">
        <v>1</v>
      </c>
      <c r="M7364">
        <v>1</v>
      </c>
      <c r="N7364">
        <v>1</v>
      </c>
      <c r="O7364">
        <v>1</v>
      </c>
      <c r="P7364" t="s">
        <v>4625</v>
      </c>
      <c r="Q7364" t="s">
        <v>4626</v>
      </c>
      <c r="R7364" t="s">
        <v>113</v>
      </c>
      <c r="S7364" t="s">
        <v>114</v>
      </c>
      <c r="T7364" t="s">
        <v>14932</v>
      </c>
      <c r="U7364" t="s">
        <v>14933</v>
      </c>
      <c r="V7364" t="s">
        <v>10757</v>
      </c>
      <c r="W7364" t="s">
        <v>10758</v>
      </c>
      <c r="AD7364" t="s">
        <v>312</v>
      </c>
      <c r="AE7364" t="s">
        <v>10759</v>
      </c>
      <c r="AF7364" t="s">
        <v>14934</v>
      </c>
    </row>
    <row r="7365" spans="1:32" hidden="1" x14ac:dyDescent="0.35">
      <c r="A7365">
        <v>7364</v>
      </c>
      <c r="B7365" t="s">
        <v>14931</v>
      </c>
      <c r="C7365" t="s">
        <v>68</v>
      </c>
      <c r="D7365" t="s">
        <v>45</v>
      </c>
      <c r="E7365">
        <v>637</v>
      </c>
      <c r="F7365">
        <v>2</v>
      </c>
      <c r="G7365">
        <v>2</v>
      </c>
      <c r="H7365">
        <v>1</v>
      </c>
      <c r="I7365">
        <v>0</v>
      </c>
      <c r="J7365">
        <v>1</v>
      </c>
      <c r="K7365">
        <v>1</v>
      </c>
      <c r="L7365">
        <v>1</v>
      </c>
      <c r="M7365">
        <v>1</v>
      </c>
      <c r="N7365">
        <v>1</v>
      </c>
      <c r="O7365">
        <v>1</v>
      </c>
      <c r="P7365" t="s">
        <v>4625</v>
      </c>
      <c r="Q7365" t="s">
        <v>4626</v>
      </c>
      <c r="R7365" t="s">
        <v>113</v>
      </c>
      <c r="S7365" t="s">
        <v>114</v>
      </c>
      <c r="T7365" t="s">
        <v>14932</v>
      </c>
      <c r="U7365" t="s">
        <v>14933</v>
      </c>
      <c r="V7365" t="s">
        <v>10757</v>
      </c>
      <c r="W7365" t="s">
        <v>10758</v>
      </c>
      <c r="AD7365" t="s">
        <v>312</v>
      </c>
      <c r="AE7365" t="s">
        <v>10759</v>
      </c>
      <c r="AF7365" t="s">
        <v>14934</v>
      </c>
    </row>
    <row r="7366" spans="1:32" hidden="1" x14ac:dyDescent="0.35">
      <c r="A7366">
        <v>7365</v>
      </c>
      <c r="B7366" t="s">
        <v>14935</v>
      </c>
      <c r="C7366" t="s">
        <v>68</v>
      </c>
      <c r="D7366" t="s">
        <v>60</v>
      </c>
      <c r="E7366">
        <v>1012</v>
      </c>
      <c r="F7366">
        <v>2</v>
      </c>
      <c r="G7366">
        <v>2</v>
      </c>
      <c r="H7366">
        <v>1</v>
      </c>
      <c r="I7366">
        <v>0</v>
      </c>
      <c r="J7366">
        <v>1</v>
      </c>
      <c r="K7366">
        <v>1</v>
      </c>
      <c r="L7366">
        <v>1</v>
      </c>
      <c r="M7366">
        <v>1</v>
      </c>
      <c r="N7366">
        <v>1</v>
      </c>
      <c r="O7366">
        <v>1</v>
      </c>
      <c r="P7366" t="s">
        <v>14936</v>
      </c>
      <c r="Q7366" t="s">
        <v>14937</v>
      </c>
      <c r="R7366" t="s">
        <v>224</v>
      </c>
      <c r="S7366" t="s">
        <v>225</v>
      </c>
      <c r="T7366" t="s">
        <v>14938</v>
      </c>
      <c r="U7366" t="s">
        <v>14939</v>
      </c>
      <c r="V7366" t="s">
        <v>14940</v>
      </c>
      <c r="W7366" t="s">
        <v>14941</v>
      </c>
      <c r="AD7366" t="s">
        <v>1717</v>
      </c>
      <c r="AE7366" t="s">
        <v>14942</v>
      </c>
      <c r="AF7366" t="s">
        <v>14943</v>
      </c>
    </row>
    <row r="7367" spans="1:32" hidden="1" x14ac:dyDescent="0.35">
      <c r="A7367">
        <v>7366</v>
      </c>
      <c r="B7367" t="s">
        <v>14935</v>
      </c>
      <c r="C7367" t="s">
        <v>68</v>
      </c>
      <c r="D7367" t="s">
        <v>62</v>
      </c>
      <c r="E7367">
        <v>1048</v>
      </c>
      <c r="F7367">
        <v>2</v>
      </c>
      <c r="G7367">
        <v>2</v>
      </c>
      <c r="H7367">
        <v>1</v>
      </c>
      <c r="I7367">
        <v>0</v>
      </c>
      <c r="J7367">
        <v>1</v>
      </c>
      <c r="K7367">
        <v>1</v>
      </c>
      <c r="L7367">
        <v>1</v>
      </c>
      <c r="M7367">
        <v>1</v>
      </c>
      <c r="N7367">
        <v>1</v>
      </c>
      <c r="O7367">
        <v>1</v>
      </c>
      <c r="P7367" t="s">
        <v>14936</v>
      </c>
      <c r="Q7367" t="s">
        <v>14937</v>
      </c>
      <c r="R7367" t="s">
        <v>224</v>
      </c>
      <c r="S7367" t="s">
        <v>225</v>
      </c>
      <c r="T7367" t="s">
        <v>14938</v>
      </c>
      <c r="U7367" t="s">
        <v>14939</v>
      </c>
      <c r="V7367" t="s">
        <v>14940</v>
      </c>
      <c r="W7367" t="s">
        <v>14941</v>
      </c>
      <c r="AD7367" t="s">
        <v>1717</v>
      </c>
      <c r="AE7367" t="s">
        <v>14942</v>
      </c>
      <c r="AF7367" t="s">
        <v>14943</v>
      </c>
    </row>
    <row r="7368" spans="1:32" hidden="1" x14ac:dyDescent="0.35">
      <c r="A7368">
        <v>7367</v>
      </c>
      <c r="B7368" t="s">
        <v>14944</v>
      </c>
      <c r="C7368" t="s">
        <v>68</v>
      </c>
      <c r="D7368" t="s">
        <v>34</v>
      </c>
      <c r="E7368">
        <v>1923</v>
      </c>
      <c r="F7368">
        <v>2</v>
      </c>
      <c r="G7368">
        <v>2</v>
      </c>
      <c r="H7368">
        <v>1</v>
      </c>
      <c r="I7368">
        <v>0</v>
      </c>
      <c r="J7368">
        <v>1</v>
      </c>
      <c r="K7368">
        <v>1</v>
      </c>
      <c r="L7368">
        <v>1</v>
      </c>
      <c r="M7368">
        <v>1</v>
      </c>
      <c r="N7368">
        <v>1</v>
      </c>
      <c r="O7368">
        <v>1</v>
      </c>
      <c r="P7368" t="s">
        <v>14945</v>
      </c>
      <c r="Q7368" t="s">
        <v>14946</v>
      </c>
      <c r="AF7368" t="s">
        <v>14947</v>
      </c>
    </row>
    <row r="7369" spans="1:32" hidden="1" x14ac:dyDescent="0.35">
      <c r="A7369">
        <v>7368</v>
      </c>
      <c r="B7369" t="s">
        <v>14944</v>
      </c>
      <c r="C7369" t="s">
        <v>68</v>
      </c>
      <c r="D7369" t="s">
        <v>45</v>
      </c>
      <c r="E7369">
        <v>950</v>
      </c>
      <c r="F7369">
        <v>2</v>
      </c>
      <c r="G7369">
        <v>2</v>
      </c>
      <c r="H7369">
        <v>1</v>
      </c>
      <c r="I7369">
        <v>0</v>
      </c>
      <c r="J7369">
        <v>1</v>
      </c>
      <c r="K7369">
        <v>1</v>
      </c>
      <c r="L7369">
        <v>1</v>
      </c>
      <c r="M7369">
        <v>1</v>
      </c>
      <c r="N7369">
        <v>1</v>
      </c>
      <c r="O7369">
        <v>1</v>
      </c>
      <c r="P7369" t="s">
        <v>14945</v>
      </c>
      <c r="Q7369" t="s">
        <v>14946</v>
      </c>
      <c r="AF7369" t="s">
        <v>14947</v>
      </c>
    </row>
    <row r="7370" spans="1:32" hidden="1" x14ac:dyDescent="0.35">
      <c r="A7370">
        <v>7369</v>
      </c>
      <c r="B7370" t="s">
        <v>14948</v>
      </c>
      <c r="C7370" t="s">
        <v>68</v>
      </c>
      <c r="D7370" t="s">
        <v>60</v>
      </c>
      <c r="E7370">
        <v>509</v>
      </c>
      <c r="F7370">
        <v>2</v>
      </c>
      <c r="G7370">
        <v>2</v>
      </c>
      <c r="H7370">
        <v>1</v>
      </c>
      <c r="I7370">
        <v>0</v>
      </c>
      <c r="J7370">
        <v>1</v>
      </c>
      <c r="K7370">
        <v>1</v>
      </c>
      <c r="L7370">
        <v>1</v>
      </c>
      <c r="M7370">
        <v>1</v>
      </c>
      <c r="N7370">
        <v>1</v>
      </c>
      <c r="O7370">
        <v>1</v>
      </c>
      <c r="P7370" t="s">
        <v>13511</v>
      </c>
      <c r="Q7370" t="s">
        <v>13512</v>
      </c>
      <c r="AF7370" t="s">
        <v>14949</v>
      </c>
    </row>
    <row r="7371" spans="1:32" hidden="1" x14ac:dyDescent="0.35">
      <c r="A7371">
        <v>7370</v>
      </c>
      <c r="B7371" t="s">
        <v>14948</v>
      </c>
      <c r="C7371" t="s">
        <v>68</v>
      </c>
      <c r="D7371" t="s">
        <v>62</v>
      </c>
      <c r="E7371">
        <v>593</v>
      </c>
      <c r="F7371">
        <v>2</v>
      </c>
      <c r="G7371">
        <v>2</v>
      </c>
      <c r="H7371">
        <v>1</v>
      </c>
      <c r="I7371">
        <v>0</v>
      </c>
      <c r="J7371">
        <v>1</v>
      </c>
      <c r="K7371">
        <v>1</v>
      </c>
      <c r="L7371">
        <v>1</v>
      </c>
      <c r="M7371">
        <v>1</v>
      </c>
      <c r="N7371">
        <v>1</v>
      </c>
      <c r="O7371">
        <v>1</v>
      </c>
      <c r="P7371" t="s">
        <v>13511</v>
      </c>
      <c r="Q7371" t="s">
        <v>13512</v>
      </c>
      <c r="AF7371" t="s">
        <v>14949</v>
      </c>
    </row>
    <row r="7372" spans="1:32" hidden="1" x14ac:dyDescent="0.35">
      <c r="A7372">
        <v>7371</v>
      </c>
      <c r="B7372" t="s">
        <v>14950</v>
      </c>
      <c r="C7372" t="s">
        <v>68</v>
      </c>
      <c r="D7372" t="s">
        <v>60</v>
      </c>
      <c r="E7372">
        <v>1782</v>
      </c>
      <c r="F7372">
        <v>2</v>
      </c>
      <c r="G7372">
        <v>2</v>
      </c>
      <c r="H7372">
        <v>1</v>
      </c>
      <c r="I7372">
        <v>0</v>
      </c>
      <c r="J7372">
        <v>1</v>
      </c>
      <c r="K7372">
        <v>1</v>
      </c>
      <c r="L7372">
        <v>1</v>
      </c>
      <c r="M7372">
        <v>1</v>
      </c>
      <c r="N7372">
        <v>1</v>
      </c>
      <c r="O7372">
        <v>1</v>
      </c>
      <c r="AF7372" t="s">
        <v>14951</v>
      </c>
    </row>
    <row r="7373" spans="1:32" hidden="1" x14ac:dyDescent="0.35">
      <c r="A7373">
        <v>7372</v>
      </c>
      <c r="B7373" t="s">
        <v>14950</v>
      </c>
      <c r="C7373" t="s">
        <v>68</v>
      </c>
      <c r="D7373" t="s">
        <v>62</v>
      </c>
      <c r="E7373">
        <v>1818</v>
      </c>
      <c r="F7373">
        <v>2</v>
      </c>
      <c r="G7373">
        <v>2</v>
      </c>
      <c r="H7373">
        <v>1</v>
      </c>
      <c r="I7373">
        <v>0</v>
      </c>
      <c r="J7373">
        <v>1</v>
      </c>
      <c r="K7373">
        <v>1</v>
      </c>
      <c r="L7373">
        <v>1</v>
      </c>
      <c r="M7373">
        <v>1</v>
      </c>
      <c r="N7373">
        <v>1</v>
      </c>
      <c r="O7373">
        <v>1</v>
      </c>
      <c r="AF7373" t="s">
        <v>14951</v>
      </c>
    </row>
    <row r="7374" spans="1:32" hidden="1" x14ac:dyDescent="0.35">
      <c r="A7374">
        <v>7373</v>
      </c>
      <c r="B7374" t="s">
        <v>14952</v>
      </c>
      <c r="C7374" t="s">
        <v>68</v>
      </c>
      <c r="D7374" t="s">
        <v>60</v>
      </c>
      <c r="E7374">
        <v>1740</v>
      </c>
      <c r="F7374">
        <v>2</v>
      </c>
      <c r="G7374">
        <v>2</v>
      </c>
      <c r="H7374">
        <v>1</v>
      </c>
      <c r="I7374">
        <v>0</v>
      </c>
      <c r="J7374">
        <v>1</v>
      </c>
      <c r="K7374">
        <v>1</v>
      </c>
      <c r="L7374">
        <v>1</v>
      </c>
      <c r="M7374">
        <v>1</v>
      </c>
      <c r="N7374">
        <v>1</v>
      </c>
      <c r="O7374">
        <v>1</v>
      </c>
      <c r="P7374" t="s">
        <v>12866</v>
      </c>
      <c r="Q7374" t="s">
        <v>2878</v>
      </c>
      <c r="R7374" t="s">
        <v>113</v>
      </c>
      <c r="S7374" t="s">
        <v>114</v>
      </c>
      <c r="V7374" t="s">
        <v>10757</v>
      </c>
      <c r="W7374" t="s">
        <v>10758</v>
      </c>
      <c r="AF7374" t="s">
        <v>14953</v>
      </c>
    </row>
    <row r="7375" spans="1:32" hidden="1" x14ac:dyDescent="0.35">
      <c r="A7375">
        <v>7374</v>
      </c>
      <c r="B7375" t="s">
        <v>14952</v>
      </c>
      <c r="C7375" t="s">
        <v>68</v>
      </c>
      <c r="D7375" t="s">
        <v>62</v>
      </c>
      <c r="E7375">
        <v>1776</v>
      </c>
      <c r="F7375">
        <v>2</v>
      </c>
      <c r="G7375">
        <v>2</v>
      </c>
      <c r="H7375">
        <v>1</v>
      </c>
      <c r="I7375">
        <v>0</v>
      </c>
      <c r="J7375">
        <v>1</v>
      </c>
      <c r="K7375">
        <v>1</v>
      </c>
      <c r="L7375">
        <v>1</v>
      </c>
      <c r="M7375">
        <v>1</v>
      </c>
      <c r="N7375">
        <v>1</v>
      </c>
      <c r="O7375">
        <v>1</v>
      </c>
      <c r="P7375" t="s">
        <v>12866</v>
      </c>
      <c r="Q7375" t="s">
        <v>2878</v>
      </c>
      <c r="R7375" t="s">
        <v>113</v>
      </c>
      <c r="S7375" t="s">
        <v>114</v>
      </c>
      <c r="V7375" t="s">
        <v>10757</v>
      </c>
      <c r="W7375" t="s">
        <v>10758</v>
      </c>
      <c r="AF7375" t="s">
        <v>14953</v>
      </c>
    </row>
    <row r="7376" spans="1:32" hidden="1" x14ac:dyDescent="0.35">
      <c r="A7376">
        <v>7375</v>
      </c>
      <c r="B7376" t="s">
        <v>14954</v>
      </c>
      <c r="C7376" t="s">
        <v>68</v>
      </c>
      <c r="D7376" t="s">
        <v>34</v>
      </c>
      <c r="E7376">
        <v>205</v>
      </c>
      <c r="F7376">
        <v>2</v>
      </c>
      <c r="G7376">
        <v>2</v>
      </c>
      <c r="H7376">
        <v>1</v>
      </c>
      <c r="I7376">
        <v>0</v>
      </c>
      <c r="J7376">
        <v>1</v>
      </c>
      <c r="K7376">
        <v>1</v>
      </c>
      <c r="L7376">
        <v>1</v>
      </c>
      <c r="M7376">
        <v>1</v>
      </c>
      <c r="N7376">
        <v>1</v>
      </c>
      <c r="O7376">
        <v>1</v>
      </c>
      <c r="T7376" t="s">
        <v>12466</v>
      </c>
      <c r="U7376" t="s">
        <v>12467</v>
      </c>
      <c r="AD7376" t="s">
        <v>219</v>
      </c>
      <c r="AE7376" t="s">
        <v>12470</v>
      </c>
      <c r="AF7376" t="s">
        <v>14955</v>
      </c>
    </row>
    <row r="7377" spans="1:32" hidden="1" x14ac:dyDescent="0.35">
      <c r="A7377">
        <v>7376</v>
      </c>
      <c r="B7377" t="s">
        <v>14954</v>
      </c>
      <c r="C7377" t="s">
        <v>68</v>
      </c>
      <c r="D7377" t="s">
        <v>45</v>
      </c>
      <c r="E7377">
        <v>1468</v>
      </c>
      <c r="F7377">
        <v>2</v>
      </c>
      <c r="G7377">
        <v>2</v>
      </c>
      <c r="H7377">
        <v>1</v>
      </c>
      <c r="I7377">
        <v>0</v>
      </c>
      <c r="J7377">
        <v>1</v>
      </c>
      <c r="K7377">
        <v>1</v>
      </c>
      <c r="L7377">
        <v>1</v>
      </c>
      <c r="M7377">
        <v>1</v>
      </c>
      <c r="N7377">
        <v>1</v>
      </c>
      <c r="O7377">
        <v>1</v>
      </c>
      <c r="T7377" t="s">
        <v>12466</v>
      </c>
      <c r="U7377" t="s">
        <v>12467</v>
      </c>
      <c r="AD7377" t="s">
        <v>219</v>
      </c>
      <c r="AE7377" t="s">
        <v>12470</v>
      </c>
      <c r="AF7377" t="s">
        <v>14955</v>
      </c>
    </row>
    <row r="7378" spans="1:32" hidden="1" x14ac:dyDescent="0.35">
      <c r="A7378">
        <v>7377</v>
      </c>
      <c r="B7378" t="s">
        <v>14956</v>
      </c>
      <c r="C7378" t="s">
        <v>68</v>
      </c>
      <c r="D7378" t="s">
        <v>60</v>
      </c>
      <c r="E7378">
        <v>282</v>
      </c>
      <c r="F7378">
        <v>2</v>
      </c>
      <c r="G7378">
        <v>2</v>
      </c>
      <c r="H7378">
        <v>1</v>
      </c>
      <c r="I7378">
        <v>0</v>
      </c>
      <c r="J7378">
        <v>1</v>
      </c>
      <c r="K7378">
        <v>1</v>
      </c>
      <c r="L7378">
        <v>1</v>
      </c>
      <c r="M7378">
        <v>1</v>
      </c>
      <c r="N7378">
        <v>1</v>
      </c>
      <c r="O7378">
        <v>1</v>
      </c>
      <c r="P7378" t="s">
        <v>6852</v>
      </c>
      <c r="Q7378" t="s">
        <v>6853</v>
      </c>
      <c r="R7378" t="s">
        <v>113</v>
      </c>
      <c r="S7378" t="s">
        <v>114</v>
      </c>
      <c r="V7378" t="s">
        <v>6856</v>
      </c>
      <c r="W7378" t="s">
        <v>6857</v>
      </c>
      <c r="AF7378" t="s">
        <v>14957</v>
      </c>
    </row>
    <row r="7379" spans="1:32" hidden="1" x14ac:dyDescent="0.35">
      <c r="A7379">
        <v>7378</v>
      </c>
      <c r="B7379" t="s">
        <v>14956</v>
      </c>
      <c r="C7379" t="s">
        <v>68</v>
      </c>
      <c r="D7379" t="s">
        <v>62</v>
      </c>
      <c r="E7379">
        <v>360</v>
      </c>
      <c r="F7379">
        <v>2</v>
      </c>
      <c r="G7379">
        <v>2</v>
      </c>
      <c r="H7379">
        <v>1</v>
      </c>
      <c r="I7379">
        <v>0</v>
      </c>
      <c r="J7379">
        <v>1</v>
      </c>
      <c r="K7379">
        <v>1</v>
      </c>
      <c r="L7379">
        <v>1</v>
      </c>
      <c r="M7379">
        <v>1</v>
      </c>
      <c r="N7379">
        <v>1</v>
      </c>
      <c r="O7379">
        <v>1</v>
      </c>
      <c r="P7379" t="s">
        <v>6852</v>
      </c>
      <c r="Q7379" t="s">
        <v>6853</v>
      </c>
      <c r="R7379" t="s">
        <v>113</v>
      </c>
      <c r="S7379" t="s">
        <v>114</v>
      </c>
      <c r="V7379" t="s">
        <v>6856</v>
      </c>
      <c r="W7379" t="s">
        <v>6857</v>
      </c>
      <c r="AF7379" t="s">
        <v>14957</v>
      </c>
    </row>
    <row r="7380" spans="1:32" hidden="1" x14ac:dyDescent="0.35">
      <c r="A7380">
        <v>7379</v>
      </c>
      <c r="B7380" t="s">
        <v>14958</v>
      </c>
      <c r="C7380" t="s">
        <v>68</v>
      </c>
      <c r="D7380" t="s">
        <v>60</v>
      </c>
      <c r="E7380">
        <v>1877</v>
      </c>
      <c r="F7380">
        <v>2</v>
      </c>
      <c r="G7380">
        <v>2</v>
      </c>
      <c r="H7380">
        <v>1</v>
      </c>
      <c r="I7380">
        <v>0</v>
      </c>
      <c r="J7380">
        <v>1</v>
      </c>
      <c r="K7380">
        <v>1</v>
      </c>
      <c r="L7380">
        <v>1</v>
      </c>
      <c r="M7380">
        <v>1</v>
      </c>
      <c r="N7380">
        <v>1</v>
      </c>
      <c r="O7380">
        <v>1</v>
      </c>
      <c r="P7380" t="s">
        <v>8280</v>
      </c>
      <c r="Q7380" t="s">
        <v>8281</v>
      </c>
      <c r="R7380" t="s">
        <v>652</v>
      </c>
      <c r="S7380" t="s">
        <v>653</v>
      </c>
      <c r="V7380" t="s">
        <v>8282</v>
      </c>
      <c r="W7380" t="s">
        <v>8283</v>
      </c>
      <c r="X7380" t="s">
        <v>8282</v>
      </c>
      <c r="Y7380" t="s">
        <v>5826</v>
      </c>
      <c r="AF7380" t="s">
        <v>14959</v>
      </c>
    </row>
    <row r="7381" spans="1:32" hidden="1" x14ac:dyDescent="0.35">
      <c r="A7381">
        <v>7380</v>
      </c>
      <c r="B7381" t="s">
        <v>14958</v>
      </c>
      <c r="C7381" t="s">
        <v>68</v>
      </c>
      <c r="D7381" t="s">
        <v>62</v>
      </c>
      <c r="E7381">
        <v>1916</v>
      </c>
      <c r="F7381">
        <v>2</v>
      </c>
      <c r="G7381">
        <v>2</v>
      </c>
      <c r="H7381">
        <v>1</v>
      </c>
      <c r="I7381">
        <v>0</v>
      </c>
      <c r="J7381">
        <v>1</v>
      </c>
      <c r="K7381">
        <v>1</v>
      </c>
      <c r="L7381">
        <v>1</v>
      </c>
      <c r="M7381">
        <v>1</v>
      </c>
      <c r="N7381">
        <v>1</v>
      </c>
      <c r="O7381">
        <v>1</v>
      </c>
      <c r="P7381" t="s">
        <v>8280</v>
      </c>
      <c r="Q7381" t="s">
        <v>8281</v>
      </c>
      <c r="R7381" t="s">
        <v>652</v>
      </c>
      <c r="S7381" t="s">
        <v>653</v>
      </c>
      <c r="V7381" t="s">
        <v>8282</v>
      </c>
      <c r="W7381" t="s">
        <v>8283</v>
      </c>
      <c r="X7381" t="s">
        <v>8282</v>
      </c>
      <c r="Y7381" t="s">
        <v>5826</v>
      </c>
      <c r="AF7381" t="s">
        <v>14959</v>
      </c>
    </row>
    <row r="7382" spans="1:32" hidden="1" x14ac:dyDescent="0.35">
      <c r="A7382">
        <v>7381</v>
      </c>
      <c r="B7382" t="s">
        <v>14960</v>
      </c>
      <c r="C7382" t="s">
        <v>68</v>
      </c>
      <c r="D7382" t="s">
        <v>60</v>
      </c>
      <c r="E7382">
        <v>1797</v>
      </c>
      <c r="F7382">
        <v>2</v>
      </c>
      <c r="G7382">
        <v>2</v>
      </c>
      <c r="H7382">
        <v>1</v>
      </c>
      <c r="I7382">
        <v>0</v>
      </c>
      <c r="J7382">
        <v>1</v>
      </c>
      <c r="K7382">
        <v>1</v>
      </c>
      <c r="L7382">
        <v>1</v>
      </c>
      <c r="M7382">
        <v>1</v>
      </c>
      <c r="N7382">
        <v>1</v>
      </c>
      <c r="O7382">
        <v>1</v>
      </c>
      <c r="AF7382" t="s">
        <v>14961</v>
      </c>
    </row>
    <row r="7383" spans="1:32" hidden="1" x14ac:dyDescent="0.35">
      <c r="A7383">
        <v>7382</v>
      </c>
      <c r="B7383" t="s">
        <v>14960</v>
      </c>
      <c r="C7383" t="s">
        <v>68</v>
      </c>
      <c r="D7383" t="s">
        <v>62</v>
      </c>
      <c r="E7383">
        <v>1833</v>
      </c>
      <c r="F7383">
        <v>2</v>
      </c>
      <c r="G7383">
        <v>2</v>
      </c>
      <c r="H7383">
        <v>1</v>
      </c>
      <c r="I7383">
        <v>0</v>
      </c>
      <c r="J7383">
        <v>1</v>
      </c>
      <c r="K7383">
        <v>1</v>
      </c>
      <c r="L7383">
        <v>1</v>
      </c>
      <c r="M7383">
        <v>1</v>
      </c>
      <c r="N7383">
        <v>1</v>
      </c>
      <c r="O7383">
        <v>1</v>
      </c>
      <c r="AF7383" t="s">
        <v>14961</v>
      </c>
    </row>
    <row r="7384" spans="1:32" hidden="1" x14ac:dyDescent="0.35">
      <c r="A7384">
        <v>7383</v>
      </c>
      <c r="B7384" t="s">
        <v>14962</v>
      </c>
      <c r="C7384" t="s">
        <v>68</v>
      </c>
      <c r="D7384" t="s">
        <v>60</v>
      </c>
      <c r="E7384">
        <v>2305</v>
      </c>
      <c r="F7384">
        <v>2</v>
      </c>
      <c r="G7384">
        <v>2</v>
      </c>
      <c r="H7384">
        <v>1</v>
      </c>
      <c r="I7384">
        <v>0</v>
      </c>
      <c r="J7384">
        <v>1</v>
      </c>
      <c r="K7384">
        <v>1</v>
      </c>
      <c r="L7384">
        <v>1</v>
      </c>
      <c r="M7384">
        <v>1</v>
      </c>
      <c r="N7384">
        <v>1</v>
      </c>
      <c r="O7384">
        <v>1</v>
      </c>
      <c r="AF7384" t="s">
        <v>14963</v>
      </c>
    </row>
    <row r="7385" spans="1:32" hidden="1" x14ac:dyDescent="0.35">
      <c r="A7385">
        <v>7384</v>
      </c>
      <c r="B7385" t="s">
        <v>14962</v>
      </c>
      <c r="C7385" t="s">
        <v>68</v>
      </c>
      <c r="D7385" t="s">
        <v>62</v>
      </c>
      <c r="E7385">
        <v>2334</v>
      </c>
      <c r="F7385">
        <v>2</v>
      </c>
      <c r="G7385">
        <v>2</v>
      </c>
      <c r="H7385">
        <v>1</v>
      </c>
      <c r="I7385">
        <v>0</v>
      </c>
      <c r="J7385">
        <v>1</v>
      </c>
      <c r="K7385">
        <v>1</v>
      </c>
      <c r="L7385">
        <v>1</v>
      </c>
      <c r="M7385">
        <v>1</v>
      </c>
      <c r="N7385">
        <v>1</v>
      </c>
      <c r="O7385">
        <v>1</v>
      </c>
      <c r="AF7385" t="s">
        <v>14963</v>
      </c>
    </row>
    <row r="7386" spans="1:32" hidden="1" x14ac:dyDescent="0.35">
      <c r="A7386">
        <v>7385</v>
      </c>
      <c r="B7386" t="s">
        <v>14964</v>
      </c>
      <c r="C7386" t="s">
        <v>68</v>
      </c>
      <c r="D7386" t="s">
        <v>34</v>
      </c>
      <c r="E7386">
        <v>1372</v>
      </c>
      <c r="F7386">
        <v>2</v>
      </c>
      <c r="G7386">
        <v>2</v>
      </c>
      <c r="H7386">
        <v>1</v>
      </c>
      <c r="I7386">
        <v>0</v>
      </c>
      <c r="J7386">
        <v>1</v>
      </c>
      <c r="K7386">
        <v>1</v>
      </c>
      <c r="L7386">
        <v>1</v>
      </c>
      <c r="M7386">
        <v>1</v>
      </c>
      <c r="N7386">
        <v>1</v>
      </c>
      <c r="O7386">
        <v>1</v>
      </c>
      <c r="AF7386" t="s">
        <v>14965</v>
      </c>
    </row>
    <row r="7387" spans="1:32" hidden="1" x14ac:dyDescent="0.35">
      <c r="A7387">
        <v>7386</v>
      </c>
      <c r="B7387" t="s">
        <v>14964</v>
      </c>
      <c r="C7387" t="s">
        <v>68</v>
      </c>
      <c r="D7387" t="s">
        <v>45</v>
      </c>
      <c r="E7387">
        <v>121</v>
      </c>
      <c r="F7387">
        <v>2</v>
      </c>
      <c r="G7387">
        <v>2</v>
      </c>
      <c r="H7387">
        <v>1</v>
      </c>
      <c r="I7387">
        <v>0</v>
      </c>
      <c r="J7387">
        <v>1</v>
      </c>
      <c r="K7387">
        <v>1</v>
      </c>
      <c r="L7387">
        <v>1</v>
      </c>
      <c r="M7387">
        <v>1</v>
      </c>
      <c r="N7387">
        <v>1</v>
      </c>
      <c r="O7387">
        <v>1</v>
      </c>
      <c r="AF7387" t="s">
        <v>14965</v>
      </c>
    </row>
    <row r="7388" spans="1:32" hidden="1" x14ac:dyDescent="0.35">
      <c r="A7388">
        <v>7387</v>
      </c>
      <c r="B7388" t="s">
        <v>14966</v>
      </c>
      <c r="C7388" t="s">
        <v>68</v>
      </c>
      <c r="D7388" t="s">
        <v>60</v>
      </c>
      <c r="E7388">
        <v>1474</v>
      </c>
      <c r="F7388">
        <v>2</v>
      </c>
      <c r="G7388">
        <v>2</v>
      </c>
      <c r="H7388">
        <v>1</v>
      </c>
      <c r="I7388">
        <v>0</v>
      </c>
      <c r="J7388">
        <v>1</v>
      </c>
      <c r="K7388">
        <v>1</v>
      </c>
      <c r="L7388">
        <v>1</v>
      </c>
      <c r="M7388">
        <v>1</v>
      </c>
      <c r="N7388">
        <v>1</v>
      </c>
      <c r="O7388">
        <v>1</v>
      </c>
      <c r="R7388" t="s">
        <v>1259</v>
      </c>
      <c r="S7388" t="s">
        <v>1260</v>
      </c>
      <c r="V7388" t="s">
        <v>14967</v>
      </c>
      <c r="W7388" t="s">
        <v>2923</v>
      </c>
      <c r="AF7388" t="s">
        <v>14968</v>
      </c>
    </row>
    <row r="7389" spans="1:32" hidden="1" x14ac:dyDescent="0.35">
      <c r="A7389">
        <v>7388</v>
      </c>
      <c r="B7389" t="s">
        <v>14966</v>
      </c>
      <c r="C7389" t="s">
        <v>68</v>
      </c>
      <c r="D7389" t="s">
        <v>62</v>
      </c>
      <c r="E7389">
        <v>1509</v>
      </c>
      <c r="F7389">
        <v>2</v>
      </c>
      <c r="G7389">
        <v>2</v>
      </c>
      <c r="H7389">
        <v>1</v>
      </c>
      <c r="I7389">
        <v>0</v>
      </c>
      <c r="J7389">
        <v>1</v>
      </c>
      <c r="K7389">
        <v>1</v>
      </c>
      <c r="L7389">
        <v>1</v>
      </c>
      <c r="M7389">
        <v>1</v>
      </c>
      <c r="N7389">
        <v>1</v>
      </c>
      <c r="O7389">
        <v>1</v>
      </c>
      <c r="R7389" t="s">
        <v>1259</v>
      </c>
      <c r="S7389" t="s">
        <v>1260</v>
      </c>
      <c r="V7389" t="s">
        <v>14967</v>
      </c>
      <c r="W7389" t="s">
        <v>2923</v>
      </c>
      <c r="AF7389" t="s">
        <v>14968</v>
      </c>
    </row>
    <row r="7390" spans="1:32" hidden="1" x14ac:dyDescent="0.35">
      <c r="A7390">
        <v>7389</v>
      </c>
      <c r="B7390" t="s">
        <v>14969</v>
      </c>
      <c r="C7390" t="s">
        <v>68</v>
      </c>
      <c r="D7390" t="s">
        <v>34</v>
      </c>
      <c r="E7390">
        <v>2207</v>
      </c>
      <c r="F7390">
        <v>2</v>
      </c>
      <c r="G7390">
        <v>2</v>
      </c>
      <c r="H7390">
        <v>1</v>
      </c>
      <c r="I7390">
        <v>0</v>
      </c>
      <c r="J7390">
        <v>1</v>
      </c>
      <c r="K7390">
        <v>1</v>
      </c>
      <c r="L7390">
        <v>1</v>
      </c>
      <c r="M7390">
        <v>1</v>
      </c>
      <c r="N7390">
        <v>1</v>
      </c>
      <c r="O7390">
        <v>1</v>
      </c>
      <c r="AF7390" t="s">
        <v>14970</v>
      </c>
    </row>
    <row r="7391" spans="1:32" hidden="1" x14ac:dyDescent="0.35">
      <c r="A7391">
        <v>7390</v>
      </c>
      <c r="B7391" t="s">
        <v>14969</v>
      </c>
      <c r="C7391" t="s">
        <v>68</v>
      </c>
      <c r="D7391" t="s">
        <v>45</v>
      </c>
      <c r="E7391">
        <v>667</v>
      </c>
      <c r="F7391">
        <v>2</v>
      </c>
      <c r="G7391">
        <v>2</v>
      </c>
      <c r="H7391">
        <v>1</v>
      </c>
      <c r="I7391">
        <v>0</v>
      </c>
      <c r="J7391">
        <v>1</v>
      </c>
      <c r="K7391">
        <v>1</v>
      </c>
      <c r="L7391">
        <v>1</v>
      </c>
      <c r="M7391">
        <v>1</v>
      </c>
      <c r="N7391">
        <v>1</v>
      </c>
      <c r="O7391">
        <v>1</v>
      </c>
      <c r="AF7391" t="s">
        <v>14970</v>
      </c>
    </row>
    <row r="7392" spans="1:32" hidden="1" x14ac:dyDescent="0.35">
      <c r="A7392">
        <v>7391</v>
      </c>
      <c r="B7392" t="s">
        <v>14971</v>
      </c>
      <c r="C7392" t="s">
        <v>68</v>
      </c>
      <c r="D7392" t="s">
        <v>60</v>
      </c>
      <c r="E7392">
        <v>2542</v>
      </c>
      <c r="F7392">
        <v>2</v>
      </c>
      <c r="G7392">
        <v>2</v>
      </c>
      <c r="H7392">
        <v>1</v>
      </c>
      <c r="I7392">
        <v>0</v>
      </c>
      <c r="J7392">
        <v>1</v>
      </c>
      <c r="K7392">
        <v>1</v>
      </c>
      <c r="L7392">
        <v>1</v>
      </c>
      <c r="M7392">
        <v>1</v>
      </c>
      <c r="N7392">
        <v>1</v>
      </c>
      <c r="O7392">
        <v>1</v>
      </c>
      <c r="P7392" t="s">
        <v>14504</v>
      </c>
      <c r="Q7392" t="s">
        <v>14505</v>
      </c>
      <c r="R7392" t="s">
        <v>157</v>
      </c>
      <c r="S7392" t="s">
        <v>158</v>
      </c>
      <c r="T7392" t="s">
        <v>14506</v>
      </c>
      <c r="U7392" t="s">
        <v>14507</v>
      </c>
      <c r="V7392" t="s">
        <v>14508</v>
      </c>
      <c r="W7392" t="s">
        <v>14509</v>
      </c>
      <c r="AD7392" t="s">
        <v>14510</v>
      </c>
      <c r="AE7392" t="s">
        <v>14511</v>
      </c>
      <c r="AF7392" t="s">
        <v>14972</v>
      </c>
    </row>
    <row r="7393" spans="1:32" hidden="1" x14ac:dyDescent="0.35">
      <c r="A7393">
        <v>7392</v>
      </c>
      <c r="B7393" t="s">
        <v>14971</v>
      </c>
      <c r="C7393" t="s">
        <v>68</v>
      </c>
      <c r="D7393" t="s">
        <v>62</v>
      </c>
      <c r="E7393">
        <v>67</v>
      </c>
      <c r="F7393">
        <v>2</v>
      </c>
      <c r="G7393">
        <v>2</v>
      </c>
      <c r="H7393">
        <v>1</v>
      </c>
      <c r="I7393">
        <v>0</v>
      </c>
      <c r="J7393">
        <v>1</v>
      </c>
      <c r="K7393">
        <v>1</v>
      </c>
      <c r="L7393">
        <v>1</v>
      </c>
      <c r="M7393">
        <v>1</v>
      </c>
      <c r="N7393">
        <v>1</v>
      </c>
      <c r="O7393">
        <v>1</v>
      </c>
      <c r="P7393" t="s">
        <v>14504</v>
      </c>
      <c r="Q7393" t="s">
        <v>14505</v>
      </c>
      <c r="R7393" t="s">
        <v>157</v>
      </c>
      <c r="S7393" t="s">
        <v>158</v>
      </c>
      <c r="T7393" t="s">
        <v>14506</v>
      </c>
      <c r="U7393" t="s">
        <v>14507</v>
      </c>
      <c r="V7393" t="s">
        <v>14508</v>
      </c>
      <c r="W7393" t="s">
        <v>14509</v>
      </c>
      <c r="AD7393" t="s">
        <v>14510</v>
      </c>
      <c r="AE7393" t="s">
        <v>14511</v>
      </c>
      <c r="AF7393" t="s">
        <v>14972</v>
      </c>
    </row>
    <row r="7394" spans="1:32" hidden="1" x14ac:dyDescent="0.35">
      <c r="A7394">
        <v>7393</v>
      </c>
      <c r="B7394" t="s">
        <v>14973</v>
      </c>
      <c r="C7394" t="s">
        <v>68</v>
      </c>
      <c r="D7394" t="s">
        <v>60</v>
      </c>
      <c r="E7394">
        <v>43</v>
      </c>
      <c r="F7394">
        <v>2</v>
      </c>
      <c r="G7394">
        <v>2</v>
      </c>
      <c r="H7394">
        <v>1</v>
      </c>
      <c r="I7394">
        <v>0</v>
      </c>
      <c r="J7394">
        <v>1</v>
      </c>
      <c r="K7394">
        <v>1</v>
      </c>
      <c r="L7394">
        <v>1</v>
      </c>
      <c r="M7394">
        <v>1</v>
      </c>
      <c r="N7394">
        <v>1</v>
      </c>
      <c r="O7394">
        <v>1</v>
      </c>
      <c r="P7394" t="s">
        <v>14974</v>
      </c>
      <c r="Q7394" t="s">
        <v>14975</v>
      </c>
      <c r="R7394" t="s">
        <v>516</v>
      </c>
      <c r="S7394" t="s">
        <v>517</v>
      </c>
      <c r="T7394" t="s">
        <v>14976</v>
      </c>
      <c r="U7394" t="s">
        <v>14977</v>
      </c>
      <c r="V7394" t="s">
        <v>14978</v>
      </c>
      <c r="W7394" t="s">
        <v>14979</v>
      </c>
      <c r="Z7394" t="s">
        <v>14980</v>
      </c>
      <c r="AA7394" t="s">
        <v>14981</v>
      </c>
      <c r="AB7394" t="s">
        <v>14980</v>
      </c>
      <c r="AC7394" t="s">
        <v>14982</v>
      </c>
      <c r="AD7394" t="s">
        <v>14983</v>
      </c>
      <c r="AE7394" t="s">
        <v>14984</v>
      </c>
      <c r="AF7394" t="s">
        <v>14985</v>
      </c>
    </row>
    <row r="7395" spans="1:32" hidden="1" x14ac:dyDescent="0.35">
      <c r="A7395">
        <v>7394</v>
      </c>
      <c r="B7395" t="s">
        <v>14973</v>
      </c>
      <c r="C7395" t="s">
        <v>68</v>
      </c>
      <c r="D7395" t="s">
        <v>62</v>
      </c>
      <c r="E7395">
        <v>116</v>
      </c>
      <c r="F7395">
        <v>2</v>
      </c>
      <c r="G7395">
        <v>2</v>
      </c>
      <c r="H7395">
        <v>1</v>
      </c>
      <c r="I7395">
        <v>0</v>
      </c>
      <c r="J7395">
        <v>1</v>
      </c>
      <c r="K7395">
        <v>1</v>
      </c>
      <c r="L7395">
        <v>1</v>
      </c>
      <c r="M7395">
        <v>1</v>
      </c>
      <c r="N7395">
        <v>1</v>
      </c>
      <c r="O7395">
        <v>1</v>
      </c>
      <c r="P7395" t="s">
        <v>14974</v>
      </c>
      <c r="Q7395" t="s">
        <v>14975</v>
      </c>
      <c r="R7395" t="s">
        <v>516</v>
      </c>
      <c r="S7395" t="s">
        <v>517</v>
      </c>
      <c r="T7395" t="s">
        <v>14976</v>
      </c>
      <c r="U7395" t="s">
        <v>14977</v>
      </c>
      <c r="V7395" t="s">
        <v>14978</v>
      </c>
      <c r="W7395" t="s">
        <v>14979</v>
      </c>
      <c r="Z7395" t="s">
        <v>14980</v>
      </c>
      <c r="AA7395" t="s">
        <v>14981</v>
      </c>
      <c r="AB7395" t="s">
        <v>14980</v>
      </c>
      <c r="AC7395" t="s">
        <v>14982</v>
      </c>
      <c r="AD7395" t="s">
        <v>14983</v>
      </c>
      <c r="AE7395" t="s">
        <v>14984</v>
      </c>
      <c r="AF7395" t="s">
        <v>14985</v>
      </c>
    </row>
    <row r="7396" spans="1:32" hidden="1" x14ac:dyDescent="0.35">
      <c r="A7396">
        <v>7395</v>
      </c>
      <c r="B7396" t="s">
        <v>14986</v>
      </c>
      <c r="C7396" t="s">
        <v>68</v>
      </c>
      <c r="D7396" t="s">
        <v>60</v>
      </c>
      <c r="E7396">
        <v>886</v>
      </c>
      <c r="F7396">
        <v>2</v>
      </c>
      <c r="G7396">
        <v>2</v>
      </c>
      <c r="H7396">
        <v>1</v>
      </c>
      <c r="I7396">
        <v>0</v>
      </c>
      <c r="J7396">
        <v>1</v>
      </c>
      <c r="K7396">
        <v>1</v>
      </c>
      <c r="L7396">
        <v>1</v>
      </c>
      <c r="M7396">
        <v>1</v>
      </c>
      <c r="N7396">
        <v>1</v>
      </c>
      <c r="O7396">
        <v>1</v>
      </c>
      <c r="AF7396" t="s">
        <v>14987</v>
      </c>
    </row>
    <row r="7397" spans="1:32" hidden="1" x14ac:dyDescent="0.35">
      <c r="A7397">
        <v>7396</v>
      </c>
      <c r="B7397" t="s">
        <v>14986</v>
      </c>
      <c r="C7397" t="s">
        <v>68</v>
      </c>
      <c r="D7397" t="s">
        <v>62</v>
      </c>
      <c r="E7397">
        <v>920</v>
      </c>
      <c r="F7397">
        <v>2</v>
      </c>
      <c r="G7397">
        <v>2</v>
      </c>
      <c r="H7397">
        <v>1</v>
      </c>
      <c r="I7397">
        <v>0</v>
      </c>
      <c r="J7397">
        <v>1</v>
      </c>
      <c r="K7397">
        <v>1</v>
      </c>
      <c r="L7397">
        <v>1</v>
      </c>
      <c r="M7397">
        <v>1</v>
      </c>
      <c r="N7397">
        <v>1</v>
      </c>
      <c r="O7397">
        <v>1</v>
      </c>
      <c r="AF7397" t="s">
        <v>14987</v>
      </c>
    </row>
    <row r="7398" spans="1:32" hidden="1" x14ac:dyDescent="0.35">
      <c r="A7398">
        <v>7397</v>
      </c>
      <c r="B7398" t="s">
        <v>14988</v>
      </c>
      <c r="C7398" t="s">
        <v>68</v>
      </c>
      <c r="D7398" t="s">
        <v>60</v>
      </c>
      <c r="E7398">
        <v>1684</v>
      </c>
      <c r="F7398">
        <v>2</v>
      </c>
      <c r="G7398">
        <v>2</v>
      </c>
      <c r="H7398">
        <v>1</v>
      </c>
      <c r="I7398">
        <v>0</v>
      </c>
      <c r="J7398">
        <v>1</v>
      </c>
      <c r="K7398">
        <v>1</v>
      </c>
      <c r="L7398">
        <v>1</v>
      </c>
      <c r="M7398">
        <v>1</v>
      </c>
      <c r="N7398">
        <v>1</v>
      </c>
      <c r="O7398">
        <v>1</v>
      </c>
      <c r="AF7398" t="s">
        <v>14989</v>
      </c>
    </row>
    <row r="7399" spans="1:32" hidden="1" x14ac:dyDescent="0.35">
      <c r="A7399">
        <v>7398</v>
      </c>
      <c r="B7399" t="s">
        <v>14988</v>
      </c>
      <c r="C7399" t="s">
        <v>68</v>
      </c>
      <c r="D7399" t="s">
        <v>62</v>
      </c>
      <c r="E7399">
        <v>1719</v>
      </c>
      <c r="F7399">
        <v>2</v>
      </c>
      <c r="G7399">
        <v>2</v>
      </c>
      <c r="H7399">
        <v>1</v>
      </c>
      <c r="I7399">
        <v>0</v>
      </c>
      <c r="J7399">
        <v>1</v>
      </c>
      <c r="K7399">
        <v>1</v>
      </c>
      <c r="L7399">
        <v>1</v>
      </c>
      <c r="M7399">
        <v>1</v>
      </c>
      <c r="N7399">
        <v>1</v>
      </c>
      <c r="O7399">
        <v>1</v>
      </c>
      <c r="AF7399" t="s">
        <v>14989</v>
      </c>
    </row>
    <row r="7400" spans="1:32" hidden="1" x14ac:dyDescent="0.35">
      <c r="A7400">
        <v>7399</v>
      </c>
      <c r="B7400" t="s">
        <v>14990</v>
      </c>
      <c r="C7400" t="s">
        <v>68</v>
      </c>
      <c r="D7400" t="s">
        <v>34</v>
      </c>
      <c r="E7400">
        <v>507</v>
      </c>
      <c r="F7400">
        <v>2</v>
      </c>
      <c r="G7400">
        <v>2</v>
      </c>
      <c r="H7400">
        <v>1</v>
      </c>
      <c r="I7400">
        <v>0</v>
      </c>
      <c r="J7400">
        <v>1</v>
      </c>
      <c r="K7400">
        <v>1</v>
      </c>
      <c r="L7400">
        <v>1</v>
      </c>
      <c r="M7400">
        <v>1</v>
      </c>
      <c r="N7400">
        <v>1</v>
      </c>
      <c r="O7400">
        <v>1</v>
      </c>
      <c r="P7400" t="s">
        <v>12459</v>
      </c>
      <c r="Q7400" t="s">
        <v>12460</v>
      </c>
      <c r="AF7400" t="s">
        <v>14991</v>
      </c>
    </row>
    <row r="7401" spans="1:32" hidden="1" x14ac:dyDescent="0.35">
      <c r="A7401">
        <v>7400</v>
      </c>
      <c r="B7401" t="s">
        <v>14990</v>
      </c>
      <c r="C7401" t="s">
        <v>68</v>
      </c>
      <c r="D7401" t="s">
        <v>45</v>
      </c>
      <c r="E7401">
        <v>1772</v>
      </c>
      <c r="F7401">
        <v>2</v>
      </c>
      <c r="G7401">
        <v>2</v>
      </c>
      <c r="H7401">
        <v>1</v>
      </c>
      <c r="I7401">
        <v>0</v>
      </c>
      <c r="J7401">
        <v>1</v>
      </c>
      <c r="K7401">
        <v>1</v>
      </c>
      <c r="L7401">
        <v>1</v>
      </c>
      <c r="M7401">
        <v>1</v>
      </c>
      <c r="N7401">
        <v>1</v>
      </c>
      <c r="O7401">
        <v>1</v>
      </c>
      <c r="P7401" t="s">
        <v>12459</v>
      </c>
      <c r="Q7401" t="s">
        <v>12460</v>
      </c>
      <c r="AF7401" t="s">
        <v>14991</v>
      </c>
    </row>
    <row r="7402" spans="1:32" hidden="1" x14ac:dyDescent="0.35">
      <c r="A7402">
        <v>7401</v>
      </c>
      <c r="B7402" t="s">
        <v>14992</v>
      </c>
      <c r="C7402" t="s">
        <v>68</v>
      </c>
      <c r="D7402" t="s">
        <v>34</v>
      </c>
      <c r="E7402">
        <v>181</v>
      </c>
      <c r="F7402">
        <v>2</v>
      </c>
      <c r="G7402">
        <v>2</v>
      </c>
      <c r="H7402">
        <v>1</v>
      </c>
      <c r="I7402">
        <v>0</v>
      </c>
      <c r="J7402">
        <v>1</v>
      </c>
      <c r="K7402">
        <v>1</v>
      </c>
      <c r="L7402">
        <v>1</v>
      </c>
      <c r="M7402">
        <v>1</v>
      </c>
      <c r="N7402">
        <v>1</v>
      </c>
      <c r="O7402">
        <v>1</v>
      </c>
      <c r="P7402" t="s">
        <v>10334</v>
      </c>
      <c r="Q7402" t="s">
        <v>10335</v>
      </c>
      <c r="R7402" t="s">
        <v>2071</v>
      </c>
      <c r="S7402" t="s">
        <v>2072</v>
      </c>
      <c r="V7402" t="s">
        <v>10336</v>
      </c>
      <c r="W7402" t="s">
        <v>10337</v>
      </c>
      <c r="AF7402" t="s">
        <v>14993</v>
      </c>
    </row>
    <row r="7403" spans="1:32" hidden="1" x14ac:dyDescent="0.35">
      <c r="A7403">
        <v>7402</v>
      </c>
      <c r="B7403" t="s">
        <v>14992</v>
      </c>
      <c r="C7403" t="s">
        <v>68</v>
      </c>
      <c r="D7403" t="s">
        <v>45</v>
      </c>
      <c r="E7403">
        <v>1444</v>
      </c>
      <c r="F7403">
        <v>2</v>
      </c>
      <c r="G7403">
        <v>2</v>
      </c>
      <c r="H7403">
        <v>1</v>
      </c>
      <c r="I7403">
        <v>0</v>
      </c>
      <c r="J7403">
        <v>1</v>
      </c>
      <c r="K7403">
        <v>1</v>
      </c>
      <c r="L7403">
        <v>1</v>
      </c>
      <c r="M7403">
        <v>1</v>
      </c>
      <c r="N7403">
        <v>1</v>
      </c>
      <c r="O7403">
        <v>1</v>
      </c>
      <c r="P7403" t="s">
        <v>10334</v>
      </c>
      <c r="Q7403" t="s">
        <v>10335</v>
      </c>
      <c r="R7403" t="s">
        <v>2071</v>
      </c>
      <c r="S7403" t="s">
        <v>2072</v>
      </c>
      <c r="V7403" t="s">
        <v>10336</v>
      </c>
      <c r="W7403" t="s">
        <v>10337</v>
      </c>
      <c r="AF7403" t="s">
        <v>14993</v>
      </c>
    </row>
    <row r="7404" spans="1:32" hidden="1" x14ac:dyDescent="0.35">
      <c r="A7404">
        <v>7403</v>
      </c>
      <c r="B7404" t="s">
        <v>14994</v>
      </c>
      <c r="C7404" t="s">
        <v>68</v>
      </c>
      <c r="D7404" t="s">
        <v>60</v>
      </c>
      <c r="E7404">
        <v>858</v>
      </c>
      <c r="F7404">
        <v>2</v>
      </c>
      <c r="G7404">
        <v>2</v>
      </c>
      <c r="H7404">
        <v>1</v>
      </c>
      <c r="I7404">
        <v>0</v>
      </c>
      <c r="J7404">
        <v>1</v>
      </c>
      <c r="K7404">
        <v>1</v>
      </c>
      <c r="L7404">
        <v>1</v>
      </c>
      <c r="M7404">
        <v>1</v>
      </c>
      <c r="N7404">
        <v>1</v>
      </c>
      <c r="O7404">
        <v>1</v>
      </c>
      <c r="R7404" t="s">
        <v>1259</v>
      </c>
      <c r="S7404" t="s">
        <v>1260</v>
      </c>
      <c r="V7404" t="s">
        <v>14995</v>
      </c>
      <c r="W7404" t="s">
        <v>2923</v>
      </c>
      <c r="AF7404" t="s">
        <v>14996</v>
      </c>
    </row>
    <row r="7405" spans="1:32" hidden="1" x14ac:dyDescent="0.35">
      <c r="A7405">
        <v>7404</v>
      </c>
      <c r="B7405" t="s">
        <v>14994</v>
      </c>
      <c r="C7405" t="s">
        <v>68</v>
      </c>
      <c r="D7405" t="s">
        <v>62</v>
      </c>
      <c r="E7405">
        <v>892</v>
      </c>
      <c r="F7405">
        <v>2</v>
      </c>
      <c r="G7405">
        <v>2</v>
      </c>
      <c r="H7405">
        <v>1</v>
      </c>
      <c r="I7405">
        <v>0</v>
      </c>
      <c r="J7405">
        <v>1</v>
      </c>
      <c r="K7405">
        <v>1</v>
      </c>
      <c r="L7405">
        <v>1</v>
      </c>
      <c r="M7405">
        <v>1</v>
      </c>
      <c r="N7405">
        <v>1</v>
      </c>
      <c r="O7405">
        <v>1</v>
      </c>
      <c r="R7405" t="s">
        <v>1259</v>
      </c>
      <c r="S7405" t="s">
        <v>1260</v>
      </c>
      <c r="V7405" t="s">
        <v>14995</v>
      </c>
      <c r="W7405" t="s">
        <v>2923</v>
      </c>
      <c r="AF7405" t="s">
        <v>14996</v>
      </c>
    </row>
    <row r="7406" spans="1:32" hidden="1" x14ac:dyDescent="0.35">
      <c r="A7406">
        <v>7405</v>
      </c>
      <c r="B7406" t="s">
        <v>14997</v>
      </c>
      <c r="C7406" t="s">
        <v>68</v>
      </c>
      <c r="D7406" t="s">
        <v>34</v>
      </c>
      <c r="E7406">
        <v>1404</v>
      </c>
      <c r="F7406">
        <v>2</v>
      </c>
      <c r="G7406">
        <v>2</v>
      </c>
      <c r="H7406">
        <v>1</v>
      </c>
      <c r="I7406">
        <v>0</v>
      </c>
      <c r="J7406">
        <v>1</v>
      </c>
      <c r="K7406">
        <v>1</v>
      </c>
      <c r="L7406">
        <v>1</v>
      </c>
      <c r="M7406">
        <v>1</v>
      </c>
      <c r="N7406">
        <v>1</v>
      </c>
      <c r="O7406">
        <v>1</v>
      </c>
      <c r="AF7406" t="s">
        <v>14998</v>
      </c>
    </row>
    <row r="7407" spans="1:32" hidden="1" x14ac:dyDescent="0.35">
      <c r="A7407">
        <v>7406</v>
      </c>
      <c r="B7407" t="s">
        <v>14997</v>
      </c>
      <c r="C7407" t="s">
        <v>68</v>
      </c>
      <c r="D7407" t="s">
        <v>45</v>
      </c>
      <c r="E7407">
        <v>155</v>
      </c>
      <c r="F7407">
        <v>2</v>
      </c>
      <c r="G7407">
        <v>2</v>
      </c>
      <c r="H7407">
        <v>1</v>
      </c>
      <c r="I7407">
        <v>0</v>
      </c>
      <c r="J7407">
        <v>1</v>
      </c>
      <c r="K7407">
        <v>1</v>
      </c>
      <c r="L7407">
        <v>1</v>
      </c>
      <c r="M7407">
        <v>1</v>
      </c>
      <c r="N7407">
        <v>1</v>
      </c>
      <c r="O7407">
        <v>1</v>
      </c>
      <c r="AF7407" t="s">
        <v>14998</v>
      </c>
    </row>
    <row r="7408" spans="1:32" hidden="1" x14ac:dyDescent="0.35">
      <c r="A7408">
        <v>7407</v>
      </c>
      <c r="B7408" t="s">
        <v>14999</v>
      </c>
      <c r="C7408" t="s">
        <v>68</v>
      </c>
      <c r="D7408" t="s">
        <v>60</v>
      </c>
      <c r="E7408">
        <v>1035</v>
      </c>
      <c r="F7408">
        <v>2</v>
      </c>
      <c r="G7408">
        <v>2</v>
      </c>
      <c r="H7408">
        <v>1</v>
      </c>
      <c r="I7408">
        <v>0</v>
      </c>
      <c r="J7408">
        <v>1</v>
      </c>
      <c r="K7408">
        <v>1</v>
      </c>
      <c r="L7408">
        <v>1</v>
      </c>
      <c r="M7408">
        <v>1</v>
      </c>
      <c r="N7408">
        <v>1</v>
      </c>
      <c r="O7408">
        <v>1</v>
      </c>
      <c r="AF7408" t="s">
        <v>15000</v>
      </c>
    </row>
    <row r="7409" spans="1:32" hidden="1" x14ac:dyDescent="0.35">
      <c r="A7409">
        <v>7408</v>
      </c>
      <c r="B7409" t="s">
        <v>14999</v>
      </c>
      <c r="C7409" t="s">
        <v>68</v>
      </c>
      <c r="D7409" t="s">
        <v>62</v>
      </c>
      <c r="E7409">
        <v>1071</v>
      </c>
      <c r="F7409">
        <v>2</v>
      </c>
      <c r="G7409">
        <v>2</v>
      </c>
      <c r="H7409">
        <v>1</v>
      </c>
      <c r="I7409">
        <v>0</v>
      </c>
      <c r="J7409">
        <v>1</v>
      </c>
      <c r="K7409">
        <v>1</v>
      </c>
      <c r="L7409">
        <v>1</v>
      </c>
      <c r="M7409">
        <v>1</v>
      </c>
      <c r="N7409">
        <v>1</v>
      </c>
      <c r="O7409">
        <v>1</v>
      </c>
      <c r="AF7409" t="s">
        <v>15000</v>
      </c>
    </row>
    <row r="7410" spans="1:32" hidden="1" x14ac:dyDescent="0.35">
      <c r="A7410">
        <v>7409</v>
      </c>
      <c r="B7410" t="s">
        <v>15001</v>
      </c>
      <c r="C7410" t="s">
        <v>68</v>
      </c>
      <c r="D7410" t="s">
        <v>60</v>
      </c>
      <c r="E7410">
        <v>1085</v>
      </c>
      <c r="F7410">
        <v>2</v>
      </c>
      <c r="G7410">
        <v>2</v>
      </c>
      <c r="H7410">
        <v>1</v>
      </c>
      <c r="I7410">
        <v>0</v>
      </c>
      <c r="J7410">
        <v>1</v>
      </c>
      <c r="K7410">
        <v>1</v>
      </c>
      <c r="L7410">
        <v>1</v>
      </c>
      <c r="M7410">
        <v>1</v>
      </c>
      <c r="N7410">
        <v>1</v>
      </c>
      <c r="O7410">
        <v>1</v>
      </c>
      <c r="P7410" t="s">
        <v>169</v>
      </c>
      <c r="Q7410" t="s">
        <v>170</v>
      </c>
      <c r="R7410" t="s">
        <v>15002</v>
      </c>
      <c r="S7410" t="s">
        <v>15003</v>
      </c>
      <c r="T7410" t="s">
        <v>15004</v>
      </c>
      <c r="U7410" t="s">
        <v>15005</v>
      </c>
      <c r="V7410" t="s">
        <v>15006</v>
      </c>
      <c r="W7410" t="s">
        <v>15007</v>
      </c>
      <c r="X7410" t="s">
        <v>15006</v>
      </c>
      <c r="Y7410" t="s">
        <v>10265</v>
      </c>
      <c r="AD7410" t="s">
        <v>439</v>
      </c>
      <c r="AE7410" t="s">
        <v>13695</v>
      </c>
      <c r="AF7410" t="s">
        <v>15008</v>
      </c>
    </row>
    <row r="7411" spans="1:32" hidden="1" x14ac:dyDescent="0.35">
      <c r="A7411">
        <v>7410</v>
      </c>
      <c r="B7411" t="s">
        <v>15001</v>
      </c>
      <c r="C7411" t="s">
        <v>68</v>
      </c>
      <c r="D7411" t="s">
        <v>62</v>
      </c>
      <c r="E7411">
        <v>1121</v>
      </c>
      <c r="F7411">
        <v>2</v>
      </c>
      <c r="G7411">
        <v>2</v>
      </c>
      <c r="H7411">
        <v>1</v>
      </c>
      <c r="I7411">
        <v>0</v>
      </c>
      <c r="J7411">
        <v>1</v>
      </c>
      <c r="K7411">
        <v>1</v>
      </c>
      <c r="L7411">
        <v>1</v>
      </c>
      <c r="M7411">
        <v>1</v>
      </c>
      <c r="N7411">
        <v>1</v>
      </c>
      <c r="O7411">
        <v>1</v>
      </c>
      <c r="P7411" t="s">
        <v>169</v>
      </c>
      <c r="Q7411" t="s">
        <v>170</v>
      </c>
      <c r="R7411" t="s">
        <v>15002</v>
      </c>
      <c r="S7411" t="s">
        <v>15003</v>
      </c>
      <c r="T7411" t="s">
        <v>15004</v>
      </c>
      <c r="U7411" t="s">
        <v>15005</v>
      </c>
      <c r="V7411" t="s">
        <v>15006</v>
      </c>
      <c r="W7411" t="s">
        <v>15007</v>
      </c>
      <c r="X7411" t="s">
        <v>15006</v>
      </c>
      <c r="Y7411" t="s">
        <v>10265</v>
      </c>
      <c r="AD7411" t="s">
        <v>439</v>
      </c>
      <c r="AE7411" t="s">
        <v>13695</v>
      </c>
      <c r="AF7411" t="s">
        <v>15008</v>
      </c>
    </row>
    <row r="7412" spans="1:32" hidden="1" x14ac:dyDescent="0.35">
      <c r="A7412">
        <v>7411</v>
      </c>
      <c r="B7412" t="s">
        <v>15009</v>
      </c>
      <c r="C7412" t="s">
        <v>68</v>
      </c>
      <c r="D7412" t="s">
        <v>34</v>
      </c>
      <c r="E7412">
        <v>581</v>
      </c>
      <c r="F7412">
        <v>2</v>
      </c>
      <c r="G7412">
        <v>2</v>
      </c>
      <c r="H7412">
        <v>1</v>
      </c>
      <c r="I7412">
        <v>0</v>
      </c>
      <c r="J7412">
        <v>1</v>
      </c>
      <c r="K7412">
        <v>1</v>
      </c>
      <c r="L7412">
        <v>1</v>
      </c>
      <c r="M7412">
        <v>1</v>
      </c>
      <c r="N7412">
        <v>1</v>
      </c>
      <c r="O7412">
        <v>1</v>
      </c>
      <c r="AF7412" t="s">
        <v>15010</v>
      </c>
    </row>
    <row r="7413" spans="1:32" hidden="1" x14ac:dyDescent="0.35">
      <c r="A7413">
        <v>7412</v>
      </c>
      <c r="B7413" t="s">
        <v>15009</v>
      </c>
      <c r="C7413" t="s">
        <v>68</v>
      </c>
      <c r="D7413" t="s">
        <v>45</v>
      </c>
      <c r="E7413">
        <v>1847</v>
      </c>
      <c r="F7413">
        <v>2</v>
      </c>
      <c r="G7413">
        <v>2</v>
      </c>
      <c r="H7413">
        <v>1</v>
      </c>
      <c r="I7413">
        <v>0</v>
      </c>
      <c r="J7413">
        <v>1</v>
      </c>
      <c r="K7413">
        <v>1</v>
      </c>
      <c r="L7413">
        <v>1</v>
      </c>
      <c r="M7413">
        <v>1</v>
      </c>
      <c r="N7413">
        <v>1</v>
      </c>
      <c r="O7413">
        <v>1</v>
      </c>
      <c r="AF7413" t="s">
        <v>15010</v>
      </c>
    </row>
    <row r="7414" spans="1:32" hidden="1" x14ac:dyDescent="0.35">
      <c r="A7414">
        <v>7413</v>
      </c>
      <c r="B7414" t="s">
        <v>15011</v>
      </c>
      <c r="C7414" t="s">
        <v>68</v>
      </c>
      <c r="D7414" t="s">
        <v>34</v>
      </c>
      <c r="E7414">
        <v>1486</v>
      </c>
      <c r="F7414">
        <v>2</v>
      </c>
      <c r="G7414">
        <v>2</v>
      </c>
      <c r="H7414">
        <v>1</v>
      </c>
      <c r="I7414">
        <v>0</v>
      </c>
      <c r="J7414">
        <v>1</v>
      </c>
      <c r="K7414">
        <v>1</v>
      </c>
      <c r="L7414">
        <v>1</v>
      </c>
      <c r="M7414">
        <v>1</v>
      </c>
      <c r="N7414">
        <v>1</v>
      </c>
      <c r="O7414">
        <v>1</v>
      </c>
      <c r="AF7414" t="s">
        <v>15012</v>
      </c>
    </row>
    <row r="7415" spans="1:32" hidden="1" x14ac:dyDescent="0.35">
      <c r="A7415">
        <v>7414</v>
      </c>
      <c r="B7415" t="s">
        <v>15011</v>
      </c>
      <c r="C7415" t="s">
        <v>68</v>
      </c>
      <c r="D7415" t="s">
        <v>45</v>
      </c>
      <c r="E7415">
        <v>236</v>
      </c>
      <c r="F7415">
        <v>2</v>
      </c>
      <c r="G7415">
        <v>2</v>
      </c>
      <c r="H7415">
        <v>1</v>
      </c>
      <c r="I7415">
        <v>0</v>
      </c>
      <c r="J7415">
        <v>1</v>
      </c>
      <c r="K7415">
        <v>1</v>
      </c>
      <c r="L7415">
        <v>1</v>
      </c>
      <c r="M7415">
        <v>1</v>
      </c>
      <c r="N7415">
        <v>1</v>
      </c>
      <c r="O7415">
        <v>1</v>
      </c>
      <c r="AF7415" t="s">
        <v>15012</v>
      </c>
    </row>
    <row r="7416" spans="1:32" hidden="1" x14ac:dyDescent="0.35">
      <c r="A7416">
        <v>7415</v>
      </c>
      <c r="B7416" t="s">
        <v>15013</v>
      </c>
      <c r="C7416" t="s">
        <v>68</v>
      </c>
      <c r="D7416" t="s">
        <v>60</v>
      </c>
      <c r="E7416">
        <v>2382</v>
      </c>
      <c r="F7416">
        <v>2</v>
      </c>
      <c r="G7416">
        <v>2</v>
      </c>
      <c r="H7416">
        <v>1</v>
      </c>
      <c r="I7416">
        <v>0</v>
      </c>
      <c r="J7416">
        <v>1</v>
      </c>
      <c r="K7416">
        <v>1</v>
      </c>
      <c r="L7416">
        <v>1</v>
      </c>
      <c r="M7416">
        <v>1</v>
      </c>
      <c r="N7416">
        <v>1</v>
      </c>
      <c r="O7416">
        <v>1</v>
      </c>
      <c r="P7416" t="s">
        <v>15014</v>
      </c>
      <c r="Q7416" t="s">
        <v>15015</v>
      </c>
      <c r="R7416" t="s">
        <v>11927</v>
      </c>
      <c r="S7416" t="s">
        <v>11928</v>
      </c>
      <c r="T7416" t="s">
        <v>15016</v>
      </c>
      <c r="U7416" t="s">
        <v>15017</v>
      </c>
      <c r="V7416" t="s">
        <v>11931</v>
      </c>
      <c r="W7416" t="s">
        <v>11932</v>
      </c>
      <c r="X7416" t="s">
        <v>11931</v>
      </c>
      <c r="Y7416" t="s">
        <v>875</v>
      </c>
      <c r="Z7416" t="s">
        <v>15018</v>
      </c>
      <c r="AA7416" t="s">
        <v>15019</v>
      </c>
      <c r="AB7416" t="s">
        <v>15018</v>
      </c>
      <c r="AC7416" t="s">
        <v>15020</v>
      </c>
      <c r="AD7416" t="s">
        <v>219</v>
      </c>
      <c r="AE7416" t="s">
        <v>15021</v>
      </c>
      <c r="AF7416" t="s">
        <v>15022</v>
      </c>
    </row>
    <row r="7417" spans="1:32" hidden="1" x14ac:dyDescent="0.35">
      <c r="A7417">
        <v>7416</v>
      </c>
      <c r="B7417" t="s">
        <v>15013</v>
      </c>
      <c r="C7417" t="s">
        <v>68</v>
      </c>
      <c r="D7417" t="s">
        <v>62</v>
      </c>
      <c r="E7417">
        <v>2410</v>
      </c>
      <c r="F7417">
        <v>2</v>
      </c>
      <c r="G7417">
        <v>2</v>
      </c>
      <c r="H7417">
        <v>1</v>
      </c>
      <c r="I7417">
        <v>0</v>
      </c>
      <c r="J7417">
        <v>1</v>
      </c>
      <c r="K7417">
        <v>1</v>
      </c>
      <c r="L7417">
        <v>1</v>
      </c>
      <c r="M7417">
        <v>1</v>
      </c>
      <c r="N7417">
        <v>1</v>
      </c>
      <c r="O7417">
        <v>1</v>
      </c>
      <c r="P7417" t="s">
        <v>15014</v>
      </c>
      <c r="Q7417" t="s">
        <v>15015</v>
      </c>
      <c r="R7417" t="s">
        <v>11927</v>
      </c>
      <c r="S7417" t="s">
        <v>11928</v>
      </c>
      <c r="T7417" t="s">
        <v>15016</v>
      </c>
      <c r="U7417" t="s">
        <v>15017</v>
      </c>
      <c r="V7417" t="s">
        <v>11931</v>
      </c>
      <c r="W7417" t="s">
        <v>11932</v>
      </c>
      <c r="X7417" t="s">
        <v>11931</v>
      </c>
      <c r="Y7417" t="s">
        <v>875</v>
      </c>
      <c r="Z7417" t="s">
        <v>15018</v>
      </c>
      <c r="AA7417" t="s">
        <v>15019</v>
      </c>
      <c r="AB7417" t="s">
        <v>15018</v>
      </c>
      <c r="AC7417" t="s">
        <v>15020</v>
      </c>
      <c r="AD7417" t="s">
        <v>219</v>
      </c>
      <c r="AE7417" t="s">
        <v>15021</v>
      </c>
      <c r="AF7417" t="s">
        <v>15022</v>
      </c>
    </row>
    <row r="7418" spans="1:32" hidden="1" x14ac:dyDescent="0.35">
      <c r="A7418">
        <v>7417</v>
      </c>
      <c r="B7418" t="s">
        <v>15023</v>
      </c>
      <c r="C7418" t="s">
        <v>68</v>
      </c>
      <c r="D7418" t="s">
        <v>34</v>
      </c>
      <c r="E7418">
        <v>256</v>
      </c>
      <c r="F7418">
        <v>2</v>
      </c>
      <c r="G7418">
        <v>2</v>
      </c>
      <c r="H7418">
        <v>1</v>
      </c>
      <c r="I7418">
        <v>0</v>
      </c>
      <c r="J7418">
        <v>1</v>
      </c>
      <c r="K7418">
        <v>1</v>
      </c>
      <c r="L7418">
        <v>1</v>
      </c>
      <c r="M7418">
        <v>1</v>
      </c>
      <c r="N7418">
        <v>1</v>
      </c>
      <c r="O7418">
        <v>1</v>
      </c>
      <c r="P7418" t="s">
        <v>14298</v>
      </c>
      <c r="Q7418" t="s">
        <v>14299</v>
      </c>
      <c r="R7418" t="s">
        <v>288</v>
      </c>
      <c r="S7418" t="s">
        <v>289</v>
      </c>
      <c r="V7418" t="s">
        <v>14301</v>
      </c>
      <c r="W7418" t="s">
        <v>14302</v>
      </c>
      <c r="AF7418" t="s">
        <v>15024</v>
      </c>
    </row>
    <row r="7419" spans="1:32" hidden="1" x14ac:dyDescent="0.35">
      <c r="A7419">
        <v>7418</v>
      </c>
      <c r="B7419" t="s">
        <v>15023</v>
      </c>
      <c r="C7419" t="s">
        <v>68</v>
      </c>
      <c r="D7419" t="s">
        <v>45</v>
      </c>
      <c r="E7419">
        <v>1519</v>
      </c>
      <c r="F7419">
        <v>2</v>
      </c>
      <c r="G7419">
        <v>2</v>
      </c>
      <c r="H7419">
        <v>1</v>
      </c>
      <c r="I7419">
        <v>0</v>
      </c>
      <c r="J7419">
        <v>1</v>
      </c>
      <c r="K7419">
        <v>1</v>
      </c>
      <c r="L7419">
        <v>1</v>
      </c>
      <c r="M7419">
        <v>1</v>
      </c>
      <c r="N7419">
        <v>1</v>
      </c>
      <c r="O7419">
        <v>1</v>
      </c>
      <c r="P7419" t="s">
        <v>14298</v>
      </c>
      <c r="Q7419" t="s">
        <v>14299</v>
      </c>
      <c r="R7419" t="s">
        <v>288</v>
      </c>
      <c r="S7419" t="s">
        <v>289</v>
      </c>
      <c r="V7419" t="s">
        <v>14301</v>
      </c>
      <c r="W7419" t="s">
        <v>14302</v>
      </c>
      <c r="AF7419" t="s">
        <v>15024</v>
      </c>
    </row>
    <row r="7420" spans="1:32" hidden="1" x14ac:dyDescent="0.35">
      <c r="A7420">
        <v>7419</v>
      </c>
      <c r="B7420" t="s">
        <v>15025</v>
      </c>
      <c r="C7420" t="s">
        <v>68</v>
      </c>
      <c r="D7420" t="s">
        <v>34</v>
      </c>
      <c r="E7420">
        <v>1345</v>
      </c>
      <c r="F7420">
        <v>2</v>
      </c>
      <c r="G7420">
        <v>2</v>
      </c>
      <c r="H7420">
        <v>1</v>
      </c>
      <c r="I7420">
        <v>0</v>
      </c>
      <c r="J7420">
        <v>1</v>
      </c>
      <c r="K7420">
        <v>1</v>
      </c>
      <c r="L7420">
        <v>1</v>
      </c>
      <c r="M7420">
        <v>1</v>
      </c>
      <c r="N7420">
        <v>1</v>
      </c>
      <c r="O7420">
        <v>1</v>
      </c>
      <c r="P7420" t="s">
        <v>1247</v>
      </c>
      <c r="Q7420" t="s">
        <v>1248</v>
      </c>
      <c r="R7420" t="s">
        <v>235</v>
      </c>
      <c r="S7420" t="s">
        <v>236</v>
      </c>
      <c r="T7420" t="s">
        <v>10188</v>
      </c>
      <c r="U7420" t="s">
        <v>10189</v>
      </c>
      <c r="V7420" t="s">
        <v>10190</v>
      </c>
      <c r="W7420" t="s">
        <v>10191</v>
      </c>
      <c r="AD7420" t="s">
        <v>439</v>
      </c>
      <c r="AE7420" t="s">
        <v>10192</v>
      </c>
      <c r="AF7420" t="s">
        <v>15026</v>
      </c>
    </row>
    <row r="7421" spans="1:32" hidden="1" x14ac:dyDescent="0.35">
      <c r="A7421">
        <v>7420</v>
      </c>
      <c r="B7421" t="s">
        <v>15025</v>
      </c>
      <c r="C7421" t="s">
        <v>68</v>
      </c>
      <c r="D7421" t="s">
        <v>45</v>
      </c>
      <c r="E7421">
        <v>96</v>
      </c>
      <c r="F7421">
        <v>2</v>
      </c>
      <c r="G7421">
        <v>2</v>
      </c>
      <c r="H7421">
        <v>1</v>
      </c>
      <c r="I7421">
        <v>0</v>
      </c>
      <c r="J7421">
        <v>1</v>
      </c>
      <c r="K7421">
        <v>1</v>
      </c>
      <c r="L7421">
        <v>1</v>
      </c>
      <c r="M7421">
        <v>1</v>
      </c>
      <c r="N7421">
        <v>1</v>
      </c>
      <c r="O7421">
        <v>1</v>
      </c>
      <c r="P7421" t="s">
        <v>1247</v>
      </c>
      <c r="Q7421" t="s">
        <v>1248</v>
      </c>
      <c r="R7421" t="s">
        <v>235</v>
      </c>
      <c r="S7421" t="s">
        <v>236</v>
      </c>
      <c r="T7421" t="s">
        <v>10188</v>
      </c>
      <c r="U7421" t="s">
        <v>10189</v>
      </c>
      <c r="V7421" t="s">
        <v>10190</v>
      </c>
      <c r="W7421" t="s">
        <v>10191</v>
      </c>
      <c r="AD7421" t="s">
        <v>439</v>
      </c>
      <c r="AE7421" t="s">
        <v>10192</v>
      </c>
      <c r="AF7421" t="s">
        <v>15026</v>
      </c>
    </row>
    <row r="7422" spans="1:32" hidden="1" x14ac:dyDescent="0.35">
      <c r="A7422">
        <v>7421</v>
      </c>
      <c r="B7422" t="s">
        <v>15027</v>
      </c>
      <c r="C7422" t="s">
        <v>68</v>
      </c>
      <c r="D7422" t="s">
        <v>60</v>
      </c>
      <c r="E7422">
        <v>808</v>
      </c>
      <c r="F7422">
        <v>2</v>
      </c>
      <c r="G7422">
        <v>2</v>
      </c>
      <c r="H7422">
        <v>1</v>
      </c>
      <c r="I7422">
        <v>0</v>
      </c>
      <c r="J7422">
        <v>1</v>
      </c>
      <c r="K7422">
        <v>1</v>
      </c>
      <c r="L7422">
        <v>1</v>
      </c>
      <c r="M7422">
        <v>1</v>
      </c>
      <c r="N7422">
        <v>1</v>
      </c>
      <c r="O7422">
        <v>1</v>
      </c>
      <c r="P7422" t="s">
        <v>10830</v>
      </c>
      <c r="Q7422" t="s">
        <v>10831</v>
      </c>
      <c r="T7422" t="s">
        <v>10832</v>
      </c>
      <c r="U7422" t="s">
        <v>10833</v>
      </c>
      <c r="AD7422" t="s">
        <v>7708</v>
      </c>
      <c r="AE7422" t="s">
        <v>10836</v>
      </c>
      <c r="AF7422" t="s">
        <v>15028</v>
      </c>
    </row>
    <row r="7423" spans="1:32" hidden="1" x14ac:dyDescent="0.35">
      <c r="A7423">
        <v>7422</v>
      </c>
      <c r="B7423" t="s">
        <v>15027</v>
      </c>
      <c r="C7423" t="s">
        <v>68</v>
      </c>
      <c r="D7423" t="s">
        <v>62</v>
      </c>
      <c r="E7423">
        <v>841</v>
      </c>
      <c r="F7423">
        <v>2</v>
      </c>
      <c r="G7423">
        <v>2</v>
      </c>
      <c r="H7423">
        <v>1</v>
      </c>
      <c r="I7423">
        <v>0</v>
      </c>
      <c r="J7423">
        <v>1</v>
      </c>
      <c r="K7423">
        <v>1</v>
      </c>
      <c r="L7423">
        <v>1</v>
      </c>
      <c r="M7423">
        <v>1</v>
      </c>
      <c r="N7423">
        <v>1</v>
      </c>
      <c r="O7423">
        <v>1</v>
      </c>
      <c r="P7423" t="s">
        <v>10830</v>
      </c>
      <c r="Q7423" t="s">
        <v>10831</v>
      </c>
      <c r="T7423" t="s">
        <v>10832</v>
      </c>
      <c r="U7423" t="s">
        <v>10833</v>
      </c>
      <c r="AD7423" t="s">
        <v>7708</v>
      </c>
      <c r="AE7423" t="s">
        <v>10836</v>
      </c>
      <c r="AF7423" t="s">
        <v>15028</v>
      </c>
    </row>
    <row r="7424" spans="1:32" hidden="1" x14ac:dyDescent="0.35">
      <c r="A7424">
        <v>7423</v>
      </c>
      <c r="B7424" t="s">
        <v>15029</v>
      </c>
      <c r="C7424" t="s">
        <v>68</v>
      </c>
      <c r="D7424" t="s">
        <v>60</v>
      </c>
      <c r="E7424">
        <v>1325</v>
      </c>
      <c r="F7424">
        <v>2</v>
      </c>
      <c r="G7424">
        <v>2</v>
      </c>
      <c r="H7424">
        <v>1</v>
      </c>
      <c r="I7424">
        <v>0</v>
      </c>
      <c r="J7424">
        <v>1</v>
      </c>
      <c r="K7424">
        <v>1</v>
      </c>
      <c r="L7424">
        <v>1</v>
      </c>
      <c r="M7424">
        <v>1</v>
      </c>
      <c r="N7424">
        <v>1</v>
      </c>
      <c r="O7424">
        <v>1</v>
      </c>
      <c r="AF7424" t="s">
        <v>15030</v>
      </c>
    </row>
    <row r="7425" spans="1:32" hidden="1" x14ac:dyDescent="0.35">
      <c r="A7425">
        <v>7424</v>
      </c>
      <c r="B7425" t="s">
        <v>15029</v>
      </c>
      <c r="C7425" t="s">
        <v>68</v>
      </c>
      <c r="D7425" t="s">
        <v>62</v>
      </c>
      <c r="E7425">
        <v>1361</v>
      </c>
      <c r="F7425">
        <v>2</v>
      </c>
      <c r="G7425">
        <v>2</v>
      </c>
      <c r="H7425">
        <v>1</v>
      </c>
      <c r="I7425">
        <v>0</v>
      </c>
      <c r="J7425">
        <v>1</v>
      </c>
      <c r="K7425">
        <v>1</v>
      </c>
      <c r="L7425">
        <v>1</v>
      </c>
      <c r="M7425">
        <v>1</v>
      </c>
      <c r="N7425">
        <v>1</v>
      </c>
      <c r="O7425">
        <v>1</v>
      </c>
      <c r="AF7425" t="s">
        <v>15030</v>
      </c>
    </row>
    <row r="7426" spans="1:32" hidden="1" x14ac:dyDescent="0.35">
      <c r="A7426">
        <v>7425</v>
      </c>
      <c r="B7426" t="s">
        <v>15031</v>
      </c>
      <c r="C7426" t="s">
        <v>68</v>
      </c>
      <c r="D7426" t="s">
        <v>34</v>
      </c>
      <c r="E7426">
        <v>993</v>
      </c>
      <c r="F7426">
        <v>2</v>
      </c>
      <c r="G7426">
        <v>2</v>
      </c>
      <c r="H7426">
        <v>1</v>
      </c>
      <c r="I7426">
        <v>0</v>
      </c>
      <c r="J7426">
        <v>1</v>
      </c>
      <c r="K7426">
        <v>1</v>
      </c>
      <c r="L7426">
        <v>1</v>
      </c>
      <c r="M7426">
        <v>1</v>
      </c>
      <c r="N7426">
        <v>1</v>
      </c>
      <c r="O7426">
        <v>1</v>
      </c>
      <c r="P7426" t="s">
        <v>12866</v>
      </c>
      <c r="Q7426" t="s">
        <v>2878</v>
      </c>
      <c r="R7426" t="s">
        <v>113</v>
      </c>
      <c r="S7426" t="s">
        <v>114</v>
      </c>
      <c r="V7426" t="s">
        <v>10757</v>
      </c>
      <c r="W7426" t="s">
        <v>10758</v>
      </c>
      <c r="AF7426" t="s">
        <v>15032</v>
      </c>
    </row>
    <row r="7427" spans="1:32" hidden="1" x14ac:dyDescent="0.35">
      <c r="A7427">
        <v>7426</v>
      </c>
      <c r="B7427" t="s">
        <v>15031</v>
      </c>
      <c r="C7427" t="s">
        <v>68</v>
      </c>
      <c r="D7427" t="s">
        <v>45</v>
      </c>
      <c r="E7427">
        <v>2247</v>
      </c>
      <c r="F7427">
        <v>2</v>
      </c>
      <c r="G7427">
        <v>2</v>
      </c>
      <c r="H7427">
        <v>1</v>
      </c>
      <c r="I7427">
        <v>0</v>
      </c>
      <c r="J7427">
        <v>1</v>
      </c>
      <c r="K7427">
        <v>1</v>
      </c>
      <c r="L7427">
        <v>1</v>
      </c>
      <c r="M7427">
        <v>1</v>
      </c>
      <c r="N7427">
        <v>1</v>
      </c>
      <c r="O7427">
        <v>1</v>
      </c>
      <c r="P7427" t="s">
        <v>12866</v>
      </c>
      <c r="Q7427" t="s">
        <v>2878</v>
      </c>
      <c r="R7427" t="s">
        <v>113</v>
      </c>
      <c r="S7427" t="s">
        <v>114</v>
      </c>
      <c r="V7427" t="s">
        <v>10757</v>
      </c>
      <c r="W7427" t="s">
        <v>10758</v>
      </c>
      <c r="AF7427" t="s">
        <v>15032</v>
      </c>
    </row>
    <row r="7428" spans="1:32" hidden="1" x14ac:dyDescent="0.35">
      <c r="A7428">
        <v>7427</v>
      </c>
      <c r="B7428" t="s">
        <v>15033</v>
      </c>
      <c r="C7428" t="s">
        <v>68</v>
      </c>
      <c r="D7428" t="s">
        <v>60</v>
      </c>
      <c r="E7428">
        <v>1016</v>
      </c>
      <c r="F7428">
        <v>2</v>
      </c>
      <c r="G7428">
        <v>2</v>
      </c>
      <c r="H7428">
        <v>1</v>
      </c>
      <c r="I7428">
        <v>0</v>
      </c>
      <c r="J7428">
        <v>1</v>
      </c>
      <c r="K7428">
        <v>1</v>
      </c>
      <c r="L7428">
        <v>1</v>
      </c>
      <c r="M7428">
        <v>1</v>
      </c>
      <c r="N7428">
        <v>1</v>
      </c>
      <c r="O7428">
        <v>1</v>
      </c>
      <c r="P7428" t="s">
        <v>12866</v>
      </c>
      <c r="Q7428" t="s">
        <v>2878</v>
      </c>
      <c r="R7428" t="s">
        <v>113</v>
      </c>
      <c r="S7428" t="s">
        <v>114</v>
      </c>
      <c r="V7428" t="s">
        <v>10757</v>
      </c>
      <c r="W7428" t="s">
        <v>10758</v>
      </c>
      <c r="AF7428" t="s">
        <v>15034</v>
      </c>
    </row>
    <row r="7429" spans="1:32" hidden="1" x14ac:dyDescent="0.35">
      <c r="A7429">
        <v>7428</v>
      </c>
      <c r="B7429" t="s">
        <v>15033</v>
      </c>
      <c r="C7429" t="s">
        <v>68</v>
      </c>
      <c r="D7429" t="s">
        <v>62</v>
      </c>
      <c r="E7429">
        <v>1052</v>
      </c>
      <c r="F7429">
        <v>2</v>
      </c>
      <c r="G7429">
        <v>2</v>
      </c>
      <c r="H7429">
        <v>1</v>
      </c>
      <c r="I7429">
        <v>0</v>
      </c>
      <c r="J7429">
        <v>1</v>
      </c>
      <c r="K7429">
        <v>1</v>
      </c>
      <c r="L7429">
        <v>1</v>
      </c>
      <c r="M7429">
        <v>1</v>
      </c>
      <c r="N7429">
        <v>1</v>
      </c>
      <c r="O7429">
        <v>1</v>
      </c>
      <c r="P7429" t="s">
        <v>12866</v>
      </c>
      <c r="Q7429" t="s">
        <v>2878</v>
      </c>
      <c r="R7429" t="s">
        <v>113</v>
      </c>
      <c r="S7429" t="s">
        <v>114</v>
      </c>
      <c r="V7429" t="s">
        <v>10757</v>
      </c>
      <c r="W7429" t="s">
        <v>10758</v>
      </c>
      <c r="AF7429" t="s">
        <v>15034</v>
      </c>
    </row>
    <row r="7430" spans="1:32" hidden="1" x14ac:dyDescent="0.35">
      <c r="A7430">
        <v>7429</v>
      </c>
      <c r="B7430" t="s">
        <v>15035</v>
      </c>
      <c r="C7430" t="s">
        <v>68</v>
      </c>
      <c r="D7430" t="s">
        <v>58</v>
      </c>
      <c r="E7430">
        <v>1706</v>
      </c>
      <c r="F7430">
        <v>1</v>
      </c>
      <c r="G7430">
        <v>2</v>
      </c>
      <c r="H7430">
        <v>2</v>
      </c>
      <c r="I7430">
        <v>0</v>
      </c>
      <c r="J7430">
        <v>1</v>
      </c>
      <c r="K7430">
        <v>1</v>
      </c>
      <c r="L7430">
        <v>1</v>
      </c>
      <c r="M7430">
        <v>1</v>
      </c>
      <c r="N7430">
        <v>1</v>
      </c>
      <c r="O7430">
        <v>1</v>
      </c>
      <c r="AF7430" t="s">
        <v>15036</v>
      </c>
    </row>
    <row r="7431" spans="1:32" hidden="1" x14ac:dyDescent="0.35">
      <c r="A7431">
        <v>7430</v>
      </c>
      <c r="B7431" t="s">
        <v>15035</v>
      </c>
      <c r="C7431" t="s">
        <v>68</v>
      </c>
      <c r="D7431" t="s">
        <v>58</v>
      </c>
      <c r="E7431">
        <v>1708</v>
      </c>
      <c r="F7431">
        <v>1</v>
      </c>
      <c r="G7431">
        <v>2</v>
      </c>
      <c r="H7431">
        <v>2</v>
      </c>
      <c r="I7431">
        <v>0</v>
      </c>
      <c r="J7431">
        <v>1</v>
      </c>
      <c r="K7431">
        <v>1</v>
      </c>
      <c r="L7431">
        <v>1</v>
      </c>
      <c r="M7431">
        <v>1</v>
      </c>
      <c r="N7431">
        <v>1</v>
      </c>
      <c r="O7431">
        <v>1</v>
      </c>
      <c r="AF7431" t="s">
        <v>15036</v>
      </c>
    </row>
    <row r="7432" spans="1:32" hidden="1" x14ac:dyDescent="0.35">
      <c r="A7432">
        <v>7431</v>
      </c>
      <c r="B7432" t="s">
        <v>15037</v>
      </c>
      <c r="C7432" t="s">
        <v>68</v>
      </c>
      <c r="D7432" t="s">
        <v>60</v>
      </c>
      <c r="E7432">
        <v>1757</v>
      </c>
      <c r="F7432">
        <v>2</v>
      </c>
      <c r="G7432">
        <v>2</v>
      </c>
      <c r="H7432">
        <v>1</v>
      </c>
      <c r="I7432">
        <v>0</v>
      </c>
      <c r="J7432">
        <v>1</v>
      </c>
      <c r="K7432">
        <v>1</v>
      </c>
      <c r="L7432">
        <v>1</v>
      </c>
      <c r="M7432">
        <v>1</v>
      </c>
      <c r="N7432">
        <v>1</v>
      </c>
      <c r="O7432">
        <v>1</v>
      </c>
      <c r="AF7432" t="s">
        <v>15038</v>
      </c>
    </row>
    <row r="7433" spans="1:32" hidden="1" x14ac:dyDescent="0.35">
      <c r="A7433">
        <v>7432</v>
      </c>
      <c r="B7433" t="s">
        <v>15037</v>
      </c>
      <c r="C7433" t="s">
        <v>68</v>
      </c>
      <c r="D7433" t="s">
        <v>62</v>
      </c>
      <c r="E7433">
        <v>1793</v>
      </c>
      <c r="F7433">
        <v>2</v>
      </c>
      <c r="G7433">
        <v>2</v>
      </c>
      <c r="H7433">
        <v>1</v>
      </c>
      <c r="I7433">
        <v>0</v>
      </c>
      <c r="J7433">
        <v>1</v>
      </c>
      <c r="K7433">
        <v>1</v>
      </c>
      <c r="L7433">
        <v>1</v>
      </c>
      <c r="M7433">
        <v>1</v>
      </c>
      <c r="N7433">
        <v>1</v>
      </c>
      <c r="O7433">
        <v>1</v>
      </c>
      <c r="AF7433" t="s">
        <v>15038</v>
      </c>
    </row>
    <row r="7434" spans="1:32" hidden="1" x14ac:dyDescent="0.35">
      <c r="A7434">
        <v>7433</v>
      </c>
      <c r="B7434" t="s">
        <v>15039</v>
      </c>
      <c r="C7434" t="s">
        <v>68</v>
      </c>
      <c r="D7434" t="s">
        <v>60</v>
      </c>
      <c r="E7434">
        <v>2464</v>
      </c>
      <c r="F7434">
        <v>2</v>
      </c>
      <c r="G7434">
        <v>2</v>
      </c>
      <c r="H7434">
        <v>1</v>
      </c>
      <c r="I7434">
        <v>0</v>
      </c>
      <c r="J7434">
        <v>1</v>
      </c>
      <c r="K7434">
        <v>1</v>
      </c>
      <c r="L7434">
        <v>1</v>
      </c>
      <c r="M7434">
        <v>1</v>
      </c>
      <c r="N7434">
        <v>1</v>
      </c>
      <c r="O7434">
        <v>1</v>
      </c>
      <c r="P7434" t="s">
        <v>4854</v>
      </c>
      <c r="Q7434" t="s">
        <v>4855</v>
      </c>
      <c r="R7434" t="s">
        <v>157</v>
      </c>
      <c r="S7434" t="s">
        <v>158</v>
      </c>
      <c r="T7434" t="s">
        <v>4856</v>
      </c>
      <c r="U7434" t="s">
        <v>4857</v>
      </c>
      <c r="V7434" t="s">
        <v>4858</v>
      </c>
      <c r="W7434" t="s">
        <v>4859</v>
      </c>
      <c r="AD7434" t="s">
        <v>4860</v>
      </c>
      <c r="AE7434" t="s">
        <v>4861</v>
      </c>
      <c r="AF7434" t="s">
        <v>15040</v>
      </c>
    </row>
    <row r="7435" spans="1:32" hidden="1" x14ac:dyDescent="0.35">
      <c r="A7435">
        <v>7434</v>
      </c>
      <c r="B7435" t="s">
        <v>15039</v>
      </c>
      <c r="C7435" t="s">
        <v>68</v>
      </c>
      <c r="D7435" t="s">
        <v>62</v>
      </c>
      <c r="E7435">
        <v>2490</v>
      </c>
      <c r="F7435">
        <v>2</v>
      </c>
      <c r="G7435">
        <v>2</v>
      </c>
      <c r="H7435">
        <v>1</v>
      </c>
      <c r="I7435">
        <v>0</v>
      </c>
      <c r="J7435">
        <v>1</v>
      </c>
      <c r="K7435">
        <v>1</v>
      </c>
      <c r="L7435">
        <v>1</v>
      </c>
      <c r="M7435">
        <v>1</v>
      </c>
      <c r="N7435">
        <v>1</v>
      </c>
      <c r="O7435">
        <v>1</v>
      </c>
      <c r="P7435" t="s">
        <v>4854</v>
      </c>
      <c r="Q7435" t="s">
        <v>4855</v>
      </c>
      <c r="R7435" t="s">
        <v>157</v>
      </c>
      <c r="S7435" t="s">
        <v>158</v>
      </c>
      <c r="T7435" t="s">
        <v>4856</v>
      </c>
      <c r="U7435" t="s">
        <v>4857</v>
      </c>
      <c r="V7435" t="s">
        <v>4858</v>
      </c>
      <c r="W7435" t="s">
        <v>4859</v>
      </c>
      <c r="AD7435" t="s">
        <v>4860</v>
      </c>
      <c r="AE7435" t="s">
        <v>4861</v>
      </c>
      <c r="AF7435" t="s">
        <v>15040</v>
      </c>
    </row>
    <row r="7436" spans="1:32" hidden="1" x14ac:dyDescent="0.35">
      <c r="A7436">
        <v>7435</v>
      </c>
      <c r="B7436" t="s">
        <v>15041</v>
      </c>
      <c r="C7436" t="s">
        <v>68</v>
      </c>
      <c r="D7436" t="s">
        <v>60</v>
      </c>
      <c r="E7436">
        <v>212</v>
      </c>
      <c r="F7436">
        <v>2</v>
      </c>
      <c r="G7436">
        <v>2</v>
      </c>
      <c r="H7436">
        <v>1</v>
      </c>
      <c r="I7436">
        <v>0</v>
      </c>
      <c r="J7436">
        <v>1</v>
      </c>
      <c r="K7436">
        <v>1</v>
      </c>
      <c r="L7436">
        <v>1</v>
      </c>
      <c r="M7436">
        <v>1</v>
      </c>
      <c r="N7436">
        <v>1</v>
      </c>
      <c r="O7436">
        <v>1</v>
      </c>
      <c r="P7436" t="s">
        <v>4551</v>
      </c>
      <c r="Q7436" t="s">
        <v>4552</v>
      </c>
      <c r="R7436" t="s">
        <v>8647</v>
      </c>
      <c r="S7436" t="s">
        <v>8648</v>
      </c>
      <c r="V7436" t="s">
        <v>9316</v>
      </c>
      <c r="W7436" t="s">
        <v>9317</v>
      </c>
      <c r="X7436" t="s">
        <v>9316</v>
      </c>
      <c r="Y7436" t="s">
        <v>875</v>
      </c>
      <c r="AF7436" t="s">
        <v>15042</v>
      </c>
    </row>
    <row r="7437" spans="1:32" hidden="1" x14ac:dyDescent="0.35">
      <c r="A7437">
        <v>7436</v>
      </c>
      <c r="B7437" t="s">
        <v>15041</v>
      </c>
      <c r="C7437" t="s">
        <v>68</v>
      </c>
      <c r="D7437" t="s">
        <v>62</v>
      </c>
      <c r="E7437">
        <v>289</v>
      </c>
      <c r="F7437">
        <v>2</v>
      </c>
      <c r="G7437">
        <v>2</v>
      </c>
      <c r="H7437">
        <v>1</v>
      </c>
      <c r="I7437">
        <v>0</v>
      </c>
      <c r="J7437">
        <v>1</v>
      </c>
      <c r="K7437">
        <v>1</v>
      </c>
      <c r="L7437">
        <v>1</v>
      </c>
      <c r="M7437">
        <v>1</v>
      </c>
      <c r="N7437">
        <v>1</v>
      </c>
      <c r="O7437">
        <v>1</v>
      </c>
      <c r="P7437" t="s">
        <v>4551</v>
      </c>
      <c r="Q7437" t="s">
        <v>4552</v>
      </c>
      <c r="R7437" t="s">
        <v>8647</v>
      </c>
      <c r="S7437" t="s">
        <v>8648</v>
      </c>
      <c r="V7437" t="s">
        <v>9316</v>
      </c>
      <c r="W7437" t="s">
        <v>9317</v>
      </c>
      <c r="X7437" t="s">
        <v>9316</v>
      </c>
      <c r="Y7437" t="s">
        <v>875</v>
      </c>
      <c r="AF7437" t="s">
        <v>15042</v>
      </c>
    </row>
    <row r="7438" spans="1:32" hidden="1" x14ac:dyDescent="0.35">
      <c r="A7438">
        <v>7437</v>
      </c>
      <c r="B7438" t="s">
        <v>15043</v>
      </c>
      <c r="C7438" t="s">
        <v>68</v>
      </c>
      <c r="D7438" t="s">
        <v>34</v>
      </c>
      <c r="E7438">
        <v>561</v>
      </c>
      <c r="F7438">
        <v>2</v>
      </c>
      <c r="G7438">
        <v>2</v>
      </c>
      <c r="H7438">
        <v>1</v>
      </c>
      <c r="I7438">
        <v>0</v>
      </c>
      <c r="J7438">
        <v>1</v>
      </c>
      <c r="K7438">
        <v>1</v>
      </c>
      <c r="L7438">
        <v>1</v>
      </c>
      <c r="M7438">
        <v>1</v>
      </c>
      <c r="N7438">
        <v>1</v>
      </c>
      <c r="O7438">
        <v>1</v>
      </c>
      <c r="P7438" t="s">
        <v>15044</v>
      </c>
      <c r="Q7438" t="s">
        <v>15045</v>
      </c>
      <c r="AF7438" t="s">
        <v>15046</v>
      </c>
    </row>
    <row r="7439" spans="1:32" hidden="1" x14ac:dyDescent="0.35">
      <c r="A7439">
        <v>7438</v>
      </c>
      <c r="B7439" t="s">
        <v>15043</v>
      </c>
      <c r="C7439" t="s">
        <v>68</v>
      </c>
      <c r="D7439" t="s">
        <v>45</v>
      </c>
      <c r="E7439">
        <v>1827</v>
      </c>
      <c r="F7439">
        <v>2</v>
      </c>
      <c r="G7439">
        <v>2</v>
      </c>
      <c r="H7439">
        <v>1</v>
      </c>
      <c r="I7439">
        <v>0</v>
      </c>
      <c r="J7439">
        <v>1</v>
      </c>
      <c r="K7439">
        <v>1</v>
      </c>
      <c r="L7439">
        <v>1</v>
      </c>
      <c r="M7439">
        <v>1</v>
      </c>
      <c r="N7439">
        <v>1</v>
      </c>
      <c r="O7439">
        <v>1</v>
      </c>
      <c r="P7439" t="s">
        <v>15044</v>
      </c>
      <c r="Q7439" t="s">
        <v>15045</v>
      </c>
      <c r="AF7439" t="s">
        <v>15046</v>
      </c>
    </row>
    <row r="7440" spans="1:32" hidden="1" x14ac:dyDescent="0.35">
      <c r="A7440">
        <v>7439</v>
      </c>
      <c r="B7440" t="s">
        <v>15047</v>
      </c>
      <c r="C7440" t="s">
        <v>68</v>
      </c>
      <c r="D7440" t="s">
        <v>60</v>
      </c>
      <c r="E7440">
        <v>1685</v>
      </c>
      <c r="F7440">
        <v>2</v>
      </c>
      <c r="G7440">
        <v>2</v>
      </c>
      <c r="H7440">
        <v>1</v>
      </c>
      <c r="I7440">
        <v>0</v>
      </c>
      <c r="J7440">
        <v>1</v>
      </c>
      <c r="K7440">
        <v>1</v>
      </c>
      <c r="L7440">
        <v>1</v>
      </c>
      <c r="M7440">
        <v>1</v>
      </c>
      <c r="N7440">
        <v>1</v>
      </c>
      <c r="O7440">
        <v>1</v>
      </c>
      <c r="AF7440" t="s">
        <v>15048</v>
      </c>
    </row>
    <row r="7441" spans="1:32" hidden="1" x14ac:dyDescent="0.35">
      <c r="A7441">
        <v>7440</v>
      </c>
      <c r="B7441" t="s">
        <v>15047</v>
      </c>
      <c r="C7441" t="s">
        <v>68</v>
      </c>
      <c r="D7441" t="s">
        <v>62</v>
      </c>
      <c r="E7441">
        <v>1720</v>
      </c>
      <c r="F7441">
        <v>2</v>
      </c>
      <c r="G7441">
        <v>2</v>
      </c>
      <c r="H7441">
        <v>1</v>
      </c>
      <c r="I7441">
        <v>0</v>
      </c>
      <c r="J7441">
        <v>1</v>
      </c>
      <c r="K7441">
        <v>1</v>
      </c>
      <c r="L7441">
        <v>1</v>
      </c>
      <c r="M7441">
        <v>1</v>
      </c>
      <c r="N7441">
        <v>1</v>
      </c>
      <c r="O7441">
        <v>1</v>
      </c>
      <c r="AF7441" t="s">
        <v>15048</v>
      </c>
    </row>
    <row r="7442" spans="1:32" hidden="1" x14ac:dyDescent="0.35">
      <c r="A7442">
        <v>7441</v>
      </c>
      <c r="B7442" t="s">
        <v>15049</v>
      </c>
      <c r="C7442" t="s">
        <v>68</v>
      </c>
      <c r="D7442" t="s">
        <v>34</v>
      </c>
      <c r="E7442">
        <v>2223</v>
      </c>
      <c r="F7442">
        <v>2</v>
      </c>
      <c r="G7442">
        <v>2</v>
      </c>
      <c r="H7442">
        <v>1</v>
      </c>
      <c r="I7442">
        <v>0</v>
      </c>
      <c r="J7442">
        <v>1</v>
      </c>
      <c r="K7442">
        <v>1</v>
      </c>
      <c r="L7442">
        <v>1</v>
      </c>
      <c r="M7442">
        <v>1</v>
      </c>
      <c r="N7442">
        <v>1</v>
      </c>
      <c r="O7442">
        <v>1</v>
      </c>
      <c r="AF7442" t="s">
        <v>15050</v>
      </c>
    </row>
    <row r="7443" spans="1:32" hidden="1" x14ac:dyDescent="0.35">
      <c r="A7443">
        <v>7442</v>
      </c>
      <c r="B7443" t="s">
        <v>15049</v>
      </c>
      <c r="C7443" t="s">
        <v>68</v>
      </c>
      <c r="D7443" t="s">
        <v>45</v>
      </c>
      <c r="E7443">
        <v>653</v>
      </c>
      <c r="F7443">
        <v>2</v>
      </c>
      <c r="G7443">
        <v>2</v>
      </c>
      <c r="H7443">
        <v>1</v>
      </c>
      <c r="I7443">
        <v>0</v>
      </c>
      <c r="J7443">
        <v>1</v>
      </c>
      <c r="K7443">
        <v>1</v>
      </c>
      <c r="L7443">
        <v>1</v>
      </c>
      <c r="M7443">
        <v>1</v>
      </c>
      <c r="N7443">
        <v>1</v>
      </c>
      <c r="O7443">
        <v>1</v>
      </c>
      <c r="AF7443" t="s">
        <v>15050</v>
      </c>
    </row>
    <row r="7444" spans="1:32" hidden="1" x14ac:dyDescent="0.35">
      <c r="A7444">
        <v>7443</v>
      </c>
      <c r="B7444" t="s">
        <v>15051</v>
      </c>
      <c r="C7444" t="s">
        <v>68</v>
      </c>
      <c r="D7444" t="s">
        <v>60</v>
      </c>
      <c r="E7444">
        <v>995</v>
      </c>
      <c r="F7444">
        <v>2</v>
      </c>
      <c r="G7444">
        <v>2</v>
      </c>
      <c r="H7444">
        <v>1</v>
      </c>
      <c r="I7444">
        <v>0</v>
      </c>
      <c r="J7444">
        <v>1</v>
      </c>
      <c r="K7444">
        <v>1</v>
      </c>
      <c r="L7444">
        <v>1</v>
      </c>
      <c r="M7444">
        <v>1</v>
      </c>
      <c r="N7444">
        <v>1</v>
      </c>
      <c r="O7444">
        <v>1</v>
      </c>
      <c r="P7444" t="s">
        <v>15052</v>
      </c>
      <c r="Q7444" t="s">
        <v>15053</v>
      </c>
      <c r="AF7444" t="s">
        <v>15054</v>
      </c>
    </row>
    <row r="7445" spans="1:32" hidden="1" x14ac:dyDescent="0.35">
      <c r="A7445">
        <v>7444</v>
      </c>
      <c r="B7445" t="s">
        <v>15051</v>
      </c>
      <c r="C7445" t="s">
        <v>68</v>
      </c>
      <c r="D7445" t="s">
        <v>62</v>
      </c>
      <c r="E7445">
        <v>1031</v>
      </c>
      <c r="F7445">
        <v>2</v>
      </c>
      <c r="G7445">
        <v>2</v>
      </c>
      <c r="H7445">
        <v>1</v>
      </c>
      <c r="I7445">
        <v>0</v>
      </c>
      <c r="J7445">
        <v>1</v>
      </c>
      <c r="K7445">
        <v>1</v>
      </c>
      <c r="L7445">
        <v>1</v>
      </c>
      <c r="M7445">
        <v>1</v>
      </c>
      <c r="N7445">
        <v>1</v>
      </c>
      <c r="O7445">
        <v>1</v>
      </c>
      <c r="P7445" t="s">
        <v>15052</v>
      </c>
      <c r="Q7445" t="s">
        <v>15053</v>
      </c>
      <c r="AF7445" t="s">
        <v>15054</v>
      </c>
    </row>
    <row r="7446" spans="1:32" hidden="1" x14ac:dyDescent="0.35">
      <c r="A7446">
        <v>7445</v>
      </c>
      <c r="B7446" t="s">
        <v>15055</v>
      </c>
      <c r="C7446" t="s">
        <v>68</v>
      </c>
      <c r="D7446" t="s">
        <v>34</v>
      </c>
      <c r="E7446">
        <v>2178</v>
      </c>
      <c r="F7446">
        <v>2</v>
      </c>
      <c r="G7446">
        <v>2</v>
      </c>
      <c r="H7446">
        <v>1</v>
      </c>
      <c r="I7446">
        <v>0</v>
      </c>
      <c r="J7446">
        <v>1</v>
      </c>
      <c r="K7446">
        <v>1</v>
      </c>
      <c r="L7446">
        <v>1</v>
      </c>
      <c r="M7446">
        <v>1</v>
      </c>
      <c r="N7446">
        <v>1</v>
      </c>
      <c r="O7446">
        <v>1</v>
      </c>
      <c r="P7446" t="s">
        <v>15056</v>
      </c>
      <c r="Q7446" t="s">
        <v>15057</v>
      </c>
      <c r="R7446" t="s">
        <v>15058</v>
      </c>
      <c r="S7446" t="s">
        <v>15059</v>
      </c>
      <c r="V7446" t="s">
        <v>15060</v>
      </c>
      <c r="W7446" t="s">
        <v>15061</v>
      </c>
      <c r="AF7446" t="s">
        <v>15062</v>
      </c>
    </row>
    <row r="7447" spans="1:32" hidden="1" x14ac:dyDescent="0.35">
      <c r="A7447">
        <v>7446</v>
      </c>
      <c r="B7447" t="s">
        <v>15055</v>
      </c>
      <c r="C7447" t="s">
        <v>68</v>
      </c>
      <c r="D7447" t="s">
        <v>45</v>
      </c>
      <c r="E7447">
        <v>696</v>
      </c>
      <c r="F7447">
        <v>2</v>
      </c>
      <c r="G7447">
        <v>2</v>
      </c>
      <c r="H7447">
        <v>1</v>
      </c>
      <c r="I7447">
        <v>0</v>
      </c>
      <c r="J7447">
        <v>1</v>
      </c>
      <c r="K7447">
        <v>1</v>
      </c>
      <c r="L7447">
        <v>1</v>
      </c>
      <c r="M7447">
        <v>1</v>
      </c>
      <c r="N7447">
        <v>1</v>
      </c>
      <c r="O7447">
        <v>1</v>
      </c>
      <c r="P7447" t="s">
        <v>15056</v>
      </c>
      <c r="Q7447" t="s">
        <v>15057</v>
      </c>
      <c r="R7447" t="s">
        <v>15058</v>
      </c>
      <c r="S7447" t="s">
        <v>15059</v>
      </c>
      <c r="V7447" t="s">
        <v>15060</v>
      </c>
      <c r="W7447" t="s">
        <v>15061</v>
      </c>
      <c r="AF7447" t="s">
        <v>15062</v>
      </c>
    </row>
    <row r="7448" spans="1:32" hidden="1" x14ac:dyDescent="0.35">
      <c r="A7448">
        <v>7447</v>
      </c>
      <c r="B7448" t="s">
        <v>15063</v>
      </c>
      <c r="C7448" t="s">
        <v>68</v>
      </c>
      <c r="D7448" t="s">
        <v>34</v>
      </c>
      <c r="E7448">
        <v>1728</v>
      </c>
      <c r="F7448">
        <v>2</v>
      </c>
      <c r="G7448">
        <v>2</v>
      </c>
      <c r="H7448">
        <v>1</v>
      </c>
      <c r="I7448">
        <v>0</v>
      </c>
      <c r="J7448">
        <v>1</v>
      </c>
      <c r="K7448">
        <v>1</v>
      </c>
      <c r="L7448">
        <v>1</v>
      </c>
      <c r="M7448">
        <v>1</v>
      </c>
      <c r="N7448">
        <v>1</v>
      </c>
      <c r="O7448">
        <v>1</v>
      </c>
      <c r="AF7448" t="s">
        <v>15064</v>
      </c>
    </row>
    <row r="7449" spans="1:32" hidden="1" x14ac:dyDescent="0.35">
      <c r="A7449">
        <v>7448</v>
      </c>
      <c r="B7449" t="s">
        <v>15063</v>
      </c>
      <c r="C7449" t="s">
        <v>68</v>
      </c>
      <c r="D7449" t="s">
        <v>45</v>
      </c>
      <c r="E7449">
        <v>1146</v>
      </c>
      <c r="F7449">
        <v>2</v>
      </c>
      <c r="G7449">
        <v>2</v>
      </c>
      <c r="H7449">
        <v>1</v>
      </c>
      <c r="I7449">
        <v>0</v>
      </c>
      <c r="J7449">
        <v>1</v>
      </c>
      <c r="K7449">
        <v>1</v>
      </c>
      <c r="L7449">
        <v>1</v>
      </c>
      <c r="M7449">
        <v>1</v>
      </c>
      <c r="N7449">
        <v>1</v>
      </c>
      <c r="O7449">
        <v>1</v>
      </c>
      <c r="AF7449" t="s">
        <v>15064</v>
      </c>
    </row>
    <row r="7450" spans="1:32" hidden="1" x14ac:dyDescent="0.35">
      <c r="A7450">
        <v>7449</v>
      </c>
      <c r="B7450" t="s">
        <v>15065</v>
      </c>
      <c r="C7450" t="s">
        <v>68</v>
      </c>
      <c r="D7450" t="s">
        <v>34</v>
      </c>
      <c r="E7450">
        <v>2215</v>
      </c>
      <c r="F7450">
        <v>2</v>
      </c>
      <c r="G7450">
        <v>2</v>
      </c>
      <c r="H7450">
        <v>1</v>
      </c>
      <c r="I7450">
        <v>0</v>
      </c>
      <c r="J7450">
        <v>1</v>
      </c>
      <c r="K7450">
        <v>1</v>
      </c>
      <c r="L7450">
        <v>1</v>
      </c>
      <c r="M7450">
        <v>1</v>
      </c>
      <c r="N7450">
        <v>1</v>
      </c>
      <c r="O7450">
        <v>1</v>
      </c>
      <c r="P7450" t="s">
        <v>15066</v>
      </c>
      <c r="Q7450" t="s">
        <v>15067</v>
      </c>
      <c r="R7450" t="s">
        <v>75</v>
      </c>
      <c r="S7450" t="s">
        <v>76</v>
      </c>
      <c r="T7450" t="s">
        <v>15068</v>
      </c>
      <c r="U7450" t="s">
        <v>15069</v>
      </c>
      <c r="V7450" t="s">
        <v>15070</v>
      </c>
      <c r="W7450" t="s">
        <v>15071</v>
      </c>
      <c r="X7450" t="s">
        <v>15070</v>
      </c>
      <c r="Y7450" t="s">
        <v>2750</v>
      </c>
      <c r="Z7450" t="s">
        <v>15072</v>
      </c>
      <c r="AA7450" t="s">
        <v>15073</v>
      </c>
      <c r="AB7450" t="s">
        <v>15072</v>
      </c>
      <c r="AC7450" t="s">
        <v>15074</v>
      </c>
      <c r="AD7450" t="s">
        <v>15075</v>
      </c>
      <c r="AE7450" t="s">
        <v>15076</v>
      </c>
      <c r="AF7450" t="s">
        <v>15077</v>
      </c>
    </row>
    <row r="7451" spans="1:32" hidden="1" x14ac:dyDescent="0.35">
      <c r="A7451">
        <v>7450</v>
      </c>
      <c r="B7451" t="s">
        <v>15065</v>
      </c>
      <c r="C7451" t="s">
        <v>68</v>
      </c>
      <c r="D7451" t="s">
        <v>45</v>
      </c>
      <c r="E7451">
        <v>661</v>
      </c>
      <c r="F7451">
        <v>2</v>
      </c>
      <c r="G7451">
        <v>2</v>
      </c>
      <c r="H7451">
        <v>1</v>
      </c>
      <c r="I7451">
        <v>0</v>
      </c>
      <c r="J7451">
        <v>1</v>
      </c>
      <c r="K7451">
        <v>1</v>
      </c>
      <c r="L7451">
        <v>1</v>
      </c>
      <c r="M7451">
        <v>1</v>
      </c>
      <c r="N7451">
        <v>1</v>
      </c>
      <c r="O7451">
        <v>1</v>
      </c>
      <c r="P7451" t="s">
        <v>15066</v>
      </c>
      <c r="Q7451" t="s">
        <v>15067</v>
      </c>
      <c r="R7451" t="s">
        <v>75</v>
      </c>
      <c r="S7451" t="s">
        <v>76</v>
      </c>
      <c r="T7451" t="s">
        <v>15068</v>
      </c>
      <c r="U7451" t="s">
        <v>15069</v>
      </c>
      <c r="V7451" t="s">
        <v>15070</v>
      </c>
      <c r="W7451" t="s">
        <v>15071</v>
      </c>
      <c r="X7451" t="s">
        <v>15070</v>
      </c>
      <c r="Y7451" t="s">
        <v>2750</v>
      </c>
      <c r="Z7451" t="s">
        <v>15072</v>
      </c>
      <c r="AA7451" t="s">
        <v>15073</v>
      </c>
      <c r="AB7451" t="s">
        <v>15072</v>
      </c>
      <c r="AC7451" t="s">
        <v>15074</v>
      </c>
      <c r="AD7451" t="s">
        <v>15075</v>
      </c>
      <c r="AE7451" t="s">
        <v>15076</v>
      </c>
      <c r="AF7451" t="s">
        <v>15077</v>
      </c>
    </row>
    <row r="7452" spans="1:32" hidden="1" x14ac:dyDescent="0.35">
      <c r="A7452">
        <v>7451</v>
      </c>
      <c r="B7452" t="s">
        <v>15078</v>
      </c>
      <c r="C7452" t="s">
        <v>68</v>
      </c>
      <c r="D7452" t="s">
        <v>60</v>
      </c>
      <c r="E7452">
        <v>809</v>
      </c>
      <c r="F7452">
        <v>2</v>
      </c>
      <c r="G7452">
        <v>2</v>
      </c>
      <c r="H7452">
        <v>1</v>
      </c>
      <c r="I7452">
        <v>0</v>
      </c>
      <c r="J7452">
        <v>1</v>
      </c>
      <c r="K7452">
        <v>1</v>
      </c>
      <c r="L7452">
        <v>1</v>
      </c>
      <c r="M7452">
        <v>1</v>
      </c>
      <c r="N7452">
        <v>1</v>
      </c>
      <c r="O7452">
        <v>1</v>
      </c>
      <c r="P7452" t="s">
        <v>15079</v>
      </c>
      <c r="Q7452" t="s">
        <v>15080</v>
      </c>
      <c r="T7452" t="s">
        <v>15081</v>
      </c>
      <c r="U7452" t="s">
        <v>15082</v>
      </c>
      <c r="AD7452" t="s">
        <v>410</v>
      </c>
      <c r="AE7452" t="s">
        <v>15083</v>
      </c>
      <c r="AF7452" t="s">
        <v>15084</v>
      </c>
    </row>
    <row r="7453" spans="1:32" hidden="1" x14ac:dyDescent="0.35">
      <c r="A7453">
        <v>7452</v>
      </c>
      <c r="B7453" t="s">
        <v>15078</v>
      </c>
      <c r="C7453" t="s">
        <v>68</v>
      </c>
      <c r="D7453" t="s">
        <v>62</v>
      </c>
      <c r="E7453">
        <v>842</v>
      </c>
      <c r="F7453">
        <v>2</v>
      </c>
      <c r="G7453">
        <v>2</v>
      </c>
      <c r="H7453">
        <v>1</v>
      </c>
      <c r="I7453">
        <v>0</v>
      </c>
      <c r="J7453">
        <v>1</v>
      </c>
      <c r="K7453">
        <v>1</v>
      </c>
      <c r="L7453">
        <v>1</v>
      </c>
      <c r="M7453">
        <v>1</v>
      </c>
      <c r="N7453">
        <v>1</v>
      </c>
      <c r="O7453">
        <v>1</v>
      </c>
      <c r="P7453" t="s">
        <v>15079</v>
      </c>
      <c r="Q7453" t="s">
        <v>15080</v>
      </c>
      <c r="T7453" t="s">
        <v>15081</v>
      </c>
      <c r="U7453" t="s">
        <v>15082</v>
      </c>
      <c r="AD7453" t="s">
        <v>410</v>
      </c>
      <c r="AE7453" t="s">
        <v>15083</v>
      </c>
      <c r="AF7453" t="s">
        <v>15084</v>
      </c>
    </row>
    <row r="7454" spans="1:32" hidden="1" x14ac:dyDescent="0.35">
      <c r="A7454">
        <v>7453</v>
      </c>
      <c r="B7454" t="s">
        <v>15085</v>
      </c>
      <c r="C7454" t="s">
        <v>68</v>
      </c>
      <c r="D7454" t="s">
        <v>60</v>
      </c>
      <c r="E7454">
        <v>969</v>
      </c>
      <c r="F7454">
        <v>2</v>
      </c>
      <c r="G7454">
        <v>2</v>
      </c>
      <c r="H7454">
        <v>1</v>
      </c>
      <c r="I7454">
        <v>0</v>
      </c>
      <c r="J7454">
        <v>1</v>
      </c>
      <c r="K7454">
        <v>1</v>
      </c>
      <c r="L7454">
        <v>1</v>
      </c>
      <c r="M7454">
        <v>1</v>
      </c>
      <c r="N7454">
        <v>1</v>
      </c>
      <c r="O7454">
        <v>1</v>
      </c>
      <c r="P7454" t="s">
        <v>459</v>
      </c>
      <c r="Q7454" t="s">
        <v>370</v>
      </c>
      <c r="R7454" t="s">
        <v>371</v>
      </c>
      <c r="S7454" t="s">
        <v>372</v>
      </c>
      <c r="V7454" t="s">
        <v>15086</v>
      </c>
      <c r="W7454" t="s">
        <v>15087</v>
      </c>
      <c r="AF7454" t="s">
        <v>15088</v>
      </c>
    </row>
    <row r="7455" spans="1:32" hidden="1" x14ac:dyDescent="0.35">
      <c r="A7455">
        <v>7454</v>
      </c>
      <c r="B7455" t="s">
        <v>15085</v>
      </c>
      <c r="C7455" t="s">
        <v>68</v>
      </c>
      <c r="D7455" t="s">
        <v>62</v>
      </c>
      <c r="E7455">
        <v>1005</v>
      </c>
      <c r="F7455">
        <v>2</v>
      </c>
      <c r="G7455">
        <v>2</v>
      </c>
      <c r="H7455">
        <v>1</v>
      </c>
      <c r="I7455">
        <v>0</v>
      </c>
      <c r="J7455">
        <v>1</v>
      </c>
      <c r="K7455">
        <v>1</v>
      </c>
      <c r="L7455">
        <v>1</v>
      </c>
      <c r="M7455">
        <v>1</v>
      </c>
      <c r="N7455">
        <v>1</v>
      </c>
      <c r="O7455">
        <v>1</v>
      </c>
      <c r="P7455" t="s">
        <v>459</v>
      </c>
      <c r="Q7455" t="s">
        <v>370</v>
      </c>
      <c r="R7455" t="s">
        <v>371</v>
      </c>
      <c r="S7455" t="s">
        <v>372</v>
      </c>
      <c r="V7455" t="s">
        <v>15086</v>
      </c>
      <c r="W7455" t="s">
        <v>15087</v>
      </c>
      <c r="AF7455" t="s">
        <v>15088</v>
      </c>
    </row>
    <row r="7456" spans="1:32" hidden="1" x14ac:dyDescent="0.35">
      <c r="A7456">
        <v>7455</v>
      </c>
      <c r="B7456" t="s">
        <v>15089</v>
      </c>
      <c r="C7456" t="s">
        <v>68</v>
      </c>
      <c r="D7456" t="s">
        <v>60</v>
      </c>
      <c r="E7456">
        <v>328</v>
      </c>
      <c r="F7456">
        <v>2</v>
      </c>
      <c r="G7456">
        <v>2</v>
      </c>
      <c r="H7456">
        <v>1</v>
      </c>
      <c r="I7456">
        <v>0</v>
      </c>
      <c r="J7456">
        <v>1</v>
      </c>
      <c r="K7456">
        <v>1</v>
      </c>
      <c r="L7456">
        <v>1</v>
      </c>
      <c r="M7456">
        <v>1</v>
      </c>
      <c r="N7456">
        <v>1</v>
      </c>
      <c r="O7456">
        <v>1</v>
      </c>
      <c r="P7456" t="s">
        <v>15090</v>
      </c>
      <c r="Q7456" t="s">
        <v>15091</v>
      </c>
      <c r="R7456" t="s">
        <v>157</v>
      </c>
      <c r="S7456" t="s">
        <v>158</v>
      </c>
      <c r="T7456" t="s">
        <v>15092</v>
      </c>
      <c r="U7456" t="s">
        <v>15093</v>
      </c>
      <c r="V7456" t="s">
        <v>15094</v>
      </c>
      <c r="W7456" t="s">
        <v>15095</v>
      </c>
      <c r="Z7456" t="s">
        <v>6065</v>
      </c>
      <c r="AA7456" t="s">
        <v>6066</v>
      </c>
      <c r="AB7456" t="s">
        <v>6065</v>
      </c>
      <c r="AC7456" t="s">
        <v>4023</v>
      </c>
      <c r="AD7456" t="s">
        <v>951</v>
      </c>
      <c r="AE7456" t="s">
        <v>15096</v>
      </c>
      <c r="AF7456" t="s">
        <v>15097</v>
      </c>
    </row>
    <row r="7457" spans="1:32" hidden="1" x14ac:dyDescent="0.35">
      <c r="A7457">
        <v>7456</v>
      </c>
      <c r="B7457" t="s">
        <v>15089</v>
      </c>
      <c r="C7457" t="s">
        <v>68</v>
      </c>
      <c r="D7457" t="s">
        <v>62</v>
      </c>
      <c r="E7457">
        <v>408</v>
      </c>
      <c r="F7457">
        <v>2</v>
      </c>
      <c r="G7457">
        <v>2</v>
      </c>
      <c r="H7457">
        <v>1</v>
      </c>
      <c r="I7457">
        <v>0</v>
      </c>
      <c r="J7457">
        <v>1</v>
      </c>
      <c r="K7457">
        <v>1</v>
      </c>
      <c r="L7457">
        <v>1</v>
      </c>
      <c r="M7457">
        <v>1</v>
      </c>
      <c r="N7457">
        <v>1</v>
      </c>
      <c r="O7457">
        <v>1</v>
      </c>
      <c r="P7457" t="s">
        <v>15090</v>
      </c>
      <c r="Q7457" t="s">
        <v>15091</v>
      </c>
      <c r="R7457" t="s">
        <v>157</v>
      </c>
      <c r="S7457" t="s">
        <v>158</v>
      </c>
      <c r="T7457" t="s">
        <v>15092</v>
      </c>
      <c r="U7457" t="s">
        <v>15093</v>
      </c>
      <c r="V7457" t="s">
        <v>15094</v>
      </c>
      <c r="W7457" t="s">
        <v>15095</v>
      </c>
      <c r="Z7457" t="s">
        <v>6065</v>
      </c>
      <c r="AA7457" t="s">
        <v>6066</v>
      </c>
      <c r="AB7457" t="s">
        <v>6065</v>
      </c>
      <c r="AC7457" t="s">
        <v>4023</v>
      </c>
      <c r="AD7457" t="s">
        <v>951</v>
      </c>
      <c r="AE7457" t="s">
        <v>15096</v>
      </c>
      <c r="AF7457" t="s">
        <v>15097</v>
      </c>
    </row>
    <row r="7458" spans="1:32" hidden="1" x14ac:dyDescent="0.35">
      <c r="A7458">
        <v>7457</v>
      </c>
      <c r="B7458" t="s">
        <v>15098</v>
      </c>
      <c r="C7458" t="s">
        <v>68</v>
      </c>
      <c r="D7458" t="s">
        <v>60</v>
      </c>
      <c r="E7458">
        <v>2369</v>
      </c>
      <c r="F7458">
        <v>2</v>
      </c>
      <c r="G7458">
        <v>2</v>
      </c>
      <c r="H7458">
        <v>1</v>
      </c>
      <c r="I7458">
        <v>0</v>
      </c>
      <c r="J7458">
        <v>1</v>
      </c>
      <c r="K7458">
        <v>1</v>
      </c>
      <c r="L7458">
        <v>1</v>
      </c>
      <c r="M7458">
        <v>1</v>
      </c>
      <c r="N7458">
        <v>1</v>
      </c>
      <c r="O7458">
        <v>1</v>
      </c>
      <c r="P7458" t="s">
        <v>15099</v>
      </c>
      <c r="Q7458" t="s">
        <v>15100</v>
      </c>
      <c r="R7458" t="s">
        <v>1474</v>
      </c>
      <c r="S7458" t="s">
        <v>1475</v>
      </c>
      <c r="V7458" t="s">
        <v>15101</v>
      </c>
      <c r="W7458" t="s">
        <v>15102</v>
      </c>
      <c r="AF7458" t="s">
        <v>15103</v>
      </c>
    </row>
    <row r="7459" spans="1:32" hidden="1" x14ac:dyDescent="0.35">
      <c r="A7459">
        <v>7458</v>
      </c>
      <c r="B7459" t="s">
        <v>15098</v>
      </c>
      <c r="C7459" t="s">
        <v>68</v>
      </c>
      <c r="D7459" t="s">
        <v>62</v>
      </c>
      <c r="E7459">
        <v>2397</v>
      </c>
      <c r="F7459">
        <v>2</v>
      </c>
      <c r="G7459">
        <v>2</v>
      </c>
      <c r="H7459">
        <v>1</v>
      </c>
      <c r="I7459">
        <v>0</v>
      </c>
      <c r="J7459">
        <v>1</v>
      </c>
      <c r="K7459">
        <v>1</v>
      </c>
      <c r="L7459">
        <v>1</v>
      </c>
      <c r="M7459">
        <v>1</v>
      </c>
      <c r="N7459">
        <v>1</v>
      </c>
      <c r="O7459">
        <v>1</v>
      </c>
      <c r="P7459" t="s">
        <v>15099</v>
      </c>
      <c r="Q7459" t="s">
        <v>15100</v>
      </c>
      <c r="R7459" t="s">
        <v>1474</v>
      </c>
      <c r="S7459" t="s">
        <v>1475</v>
      </c>
      <c r="V7459" t="s">
        <v>15101</v>
      </c>
      <c r="W7459" t="s">
        <v>15102</v>
      </c>
      <c r="AF7459" t="s">
        <v>15103</v>
      </c>
    </row>
    <row r="7460" spans="1:32" hidden="1" x14ac:dyDescent="0.35">
      <c r="A7460">
        <v>7459</v>
      </c>
      <c r="B7460" t="s">
        <v>15104</v>
      </c>
      <c r="C7460" t="s">
        <v>68</v>
      </c>
      <c r="D7460" t="s">
        <v>60</v>
      </c>
      <c r="E7460">
        <v>258</v>
      </c>
      <c r="F7460">
        <v>2</v>
      </c>
      <c r="G7460">
        <v>2</v>
      </c>
      <c r="H7460">
        <v>1</v>
      </c>
      <c r="I7460">
        <v>0</v>
      </c>
      <c r="J7460">
        <v>1</v>
      </c>
      <c r="K7460">
        <v>1</v>
      </c>
      <c r="L7460">
        <v>1</v>
      </c>
      <c r="M7460">
        <v>1</v>
      </c>
      <c r="N7460">
        <v>1</v>
      </c>
      <c r="O7460">
        <v>1</v>
      </c>
      <c r="P7460" t="s">
        <v>15105</v>
      </c>
      <c r="Q7460" t="s">
        <v>15106</v>
      </c>
      <c r="AF7460" t="s">
        <v>15107</v>
      </c>
    </row>
    <row r="7461" spans="1:32" hidden="1" x14ac:dyDescent="0.35">
      <c r="A7461">
        <v>7460</v>
      </c>
      <c r="B7461" t="s">
        <v>15104</v>
      </c>
      <c r="C7461" t="s">
        <v>68</v>
      </c>
      <c r="D7461" t="s">
        <v>62</v>
      </c>
      <c r="E7461">
        <v>336</v>
      </c>
      <c r="F7461">
        <v>2</v>
      </c>
      <c r="G7461">
        <v>2</v>
      </c>
      <c r="H7461">
        <v>1</v>
      </c>
      <c r="I7461">
        <v>0</v>
      </c>
      <c r="J7461">
        <v>1</v>
      </c>
      <c r="K7461">
        <v>1</v>
      </c>
      <c r="L7461">
        <v>1</v>
      </c>
      <c r="M7461">
        <v>1</v>
      </c>
      <c r="N7461">
        <v>1</v>
      </c>
      <c r="O7461">
        <v>1</v>
      </c>
      <c r="P7461" t="s">
        <v>15105</v>
      </c>
      <c r="Q7461" t="s">
        <v>15106</v>
      </c>
      <c r="AF7461" t="s">
        <v>15107</v>
      </c>
    </row>
    <row r="7462" spans="1:32" hidden="1" x14ac:dyDescent="0.35">
      <c r="A7462">
        <v>7461</v>
      </c>
      <c r="B7462" t="s">
        <v>15108</v>
      </c>
      <c r="C7462" t="s">
        <v>68</v>
      </c>
      <c r="D7462" t="s">
        <v>34</v>
      </c>
      <c r="E7462">
        <v>1050</v>
      </c>
      <c r="F7462">
        <v>2</v>
      </c>
      <c r="G7462">
        <v>2</v>
      </c>
      <c r="H7462">
        <v>1</v>
      </c>
      <c r="I7462">
        <v>0</v>
      </c>
      <c r="J7462">
        <v>1</v>
      </c>
      <c r="K7462">
        <v>1</v>
      </c>
      <c r="L7462">
        <v>1</v>
      </c>
      <c r="M7462">
        <v>1</v>
      </c>
      <c r="N7462">
        <v>1</v>
      </c>
      <c r="O7462">
        <v>1</v>
      </c>
      <c r="P7462" t="s">
        <v>10904</v>
      </c>
      <c r="Q7462" t="s">
        <v>10905</v>
      </c>
      <c r="R7462" t="s">
        <v>96</v>
      </c>
      <c r="S7462" t="s">
        <v>97</v>
      </c>
      <c r="V7462" t="s">
        <v>10906</v>
      </c>
      <c r="W7462" t="s">
        <v>10907</v>
      </c>
      <c r="AF7462" t="s">
        <v>15109</v>
      </c>
    </row>
    <row r="7463" spans="1:32" hidden="1" x14ac:dyDescent="0.35">
      <c r="A7463">
        <v>7462</v>
      </c>
      <c r="B7463" t="s">
        <v>15108</v>
      </c>
      <c r="C7463" t="s">
        <v>68</v>
      </c>
      <c r="D7463" t="s">
        <v>45</v>
      </c>
      <c r="E7463">
        <v>2306</v>
      </c>
      <c r="F7463">
        <v>2</v>
      </c>
      <c r="G7463">
        <v>2</v>
      </c>
      <c r="H7463">
        <v>1</v>
      </c>
      <c r="I7463">
        <v>0</v>
      </c>
      <c r="J7463">
        <v>1</v>
      </c>
      <c r="K7463">
        <v>1</v>
      </c>
      <c r="L7463">
        <v>1</v>
      </c>
      <c r="M7463">
        <v>1</v>
      </c>
      <c r="N7463">
        <v>1</v>
      </c>
      <c r="O7463">
        <v>1</v>
      </c>
      <c r="P7463" t="s">
        <v>10904</v>
      </c>
      <c r="Q7463" t="s">
        <v>10905</v>
      </c>
      <c r="R7463" t="s">
        <v>96</v>
      </c>
      <c r="S7463" t="s">
        <v>97</v>
      </c>
      <c r="V7463" t="s">
        <v>10906</v>
      </c>
      <c r="W7463" t="s">
        <v>10907</v>
      </c>
      <c r="AF7463" t="s">
        <v>15109</v>
      </c>
    </row>
    <row r="7464" spans="1:32" hidden="1" x14ac:dyDescent="0.35">
      <c r="A7464">
        <v>7463</v>
      </c>
      <c r="B7464" t="s">
        <v>15110</v>
      </c>
      <c r="C7464" t="s">
        <v>68</v>
      </c>
      <c r="D7464" t="s">
        <v>60</v>
      </c>
      <c r="E7464">
        <v>2048</v>
      </c>
      <c r="F7464">
        <v>2</v>
      </c>
      <c r="G7464">
        <v>2</v>
      </c>
      <c r="H7464">
        <v>1</v>
      </c>
      <c r="I7464">
        <v>0</v>
      </c>
      <c r="J7464">
        <v>1</v>
      </c>
      <c r="K7464">
        <v>1</v>
      </c>
      <c r="L7464">
        <v>1</v>
      </c>
      <c r="M7464">
        <v>1</v>
      </c>
      <c r="N7464">
        <v>1</v>
      </c>
      <c r="O7464">
        <v>1</v>
      </c>
      <c r="P7464" t="s">
        <v>15111</v>
      </c>
      <c r="Q7464" t="s">
        <v>15112</v>
      </c>
      <c r="R7464" t="s">
        <v>113</v>
      </c>
      <c r="S7464" t="s">
        <v>114</v>
      </c>
      <c r="V7464" t="s">
        <v>1490</v>
      </c>
      <c r="W7464" t="s">
        <v>1491</v>
      </c>
      <c r="AF7464" t="s">
        <v>15113</v>
      </c>
    </row>
    <row r="7465" spans="1:32" hidden="1" x14ac:dyDescent="0.35">
      <c r="A7465">
        <v>7464</v>
      </c>
      <c r="B7465" t="s">
        <v>15110</v>
      </c>
      <c r="C7465" t="s">
        <v>68</v>
      </c>
      <c r="D7465" t="s">
        <v>62</v>
      </c>
      <c r="E7465">
        <v>2085</v>
      </c>
      <c r="F7465">
        <v>2</v>
      </c>
      <c r="G7465">
        <v>2</v>
      </c>
      <c r="H7465">
        <v>1</v>
      </c>
      <c r="I7465">
        <v>0</v>
      </c>
      <c r="J7465">
        <v>1</v>
      </c>
      <c r="K7465">
        <v>1</v>
      </c>
      <c r="L7465">
        <v>1</v>
      </c>
      <c r="M7465">
        <v>1</v>
      </c>
      <c r="N7465">
        <v>1</v>
      </c>
      <c r="O7465">
        <v>1</v>
      </c>
      <c r="P7465" t="s">
        <v>15111</v>
      </c>
      <c r="Q7465" t="s">
        <v>15112</v>
      </c>
      <c r="R7465" t="s">
        <v>113</v>
      </c>
      <c r="S7465" t="s">
        <v>114</v>
      </c>
      <c r="V7465" t="s">
        <v>1490</v>
      </c>
      <c r="W7465" t="s">
        <v>1491</v>
      </c>
      <c r="AF7465" t="s">
        <v>15113</v>
      </c>
    </row>
    <row r="7466" spans="1:32" hidden="1" x14ac:dyDescent="0.35">
      <c r="A7466">
        <v>7465</v>
      </c>
      <c r="B7466" t="s">
        <v>15114</v>
      </c>
      <c r="C7466" t="s">
        <v>68</v>
      </c>
      <c r="D7466" t="s">
        <v>60</v>
      </c>
      <c r="E7466">
        <v>398</v>
      </c>
      <c r="F7466">
        <v>2</v>
      </c>
      <c r="G7466">
        <v>2</v>
      </c>
      <c r="H7466">
        <v>1</v>
      </c>
      <c r="I7466">
        <v>0</v>
      </c>
      <c r="J7466">
        <v>1</v>
      </c>
      <c r="K7466">
        <v>1</v>
      </c>
      <c r="L7466">
        <v>1</v>
      </c>
      <c r="M7466">
        <v>1</v>
      </c>
      <c r="N7466">
        <v>1</v>
      </c>
      <c r="O7466">
        <v>1</v>
      </c>
      <c r="AF7466" t="s">
        <v>15115</v>
      </c>
    </row>
    <row r="7467" spans="1:32" hidden="1" x14ac:dyDescent="0.35">
      <c r="A7467">
        <v>7466</v>
      </c>
      <c r="B7467" t="s">
        <v>15114</v>
      </c>
      <c r="C7467" t="s">
        <v>68</v>
      </c>
      <c r="D7467" t="s">
        <v>62</v>
      </c>
      <c r="E7467">
        <v>479</v>
      </c>
      <c r="F7467">
        <v>2</v>
      </c>
      <c r="G7467">
        <v>2</v>
      </c>
      <c r="H7467">
        <v>1</v>
      </c>
      <c r="I7467">
        <v>0</v>
      </c>
      <c r="J7467">
        <v>1</v>
      </c>
      <c r="K7467">
        <v>1</v>
      </c>
      <c r="L7467">
        <v>1</v>
      </c>
      <c r="M7467">
        <v>1</v>
      </c>
      <c r="N7467">
        <v>1</v>
      </c>
      <c r="O7467">
        <v>1</v>
      </c>
      <c r="AF7467" t="s">
        <v>15115</v>
      </c>
    </row>
    <row r="7468" spans="1:32" hidden="1" x14ac:dyDescent="0.35">
      <c r="A7468">
        <v>7467</v>
      </c>
      <c r="B7468" t="s">
        <v>15116</v>
      </c>
      <c r="C7468" t="s">
        <v>68</v>
      </c>
      <c r="D7468" t="s">
        <v>60</v>
      </c>
      <c r="E7468">
        <v>1445</v>
      </c>
      <c r="F7468">
        <v>2</v>
      </c>
      <c r="G7468">
        <v>2</v>
      </c>
      <c r="H7468">
        <v>1</v>
      </c>
      <c r="I7468">
        <v>0</v>
      </c>
      <c r="J7468">
        <v>1</v>
      </c>
      <c r="K7468">
        <v>1</v>
      </c>
      <c r="L7468">
        <v>1</v>
      </c>
      <c r="M7468">
        <v>1</v>
      </c>
      <c r="N7468">
        <v>1</v>
      </c>
      <c r="O7468">
        <v>1</v>
      </c>
      <c r="P7468" t="s">
        <v>14892</v>
      </c>
      <c r="Q7468" t="s">
        <v>14893</v>
      </c>
      <c r="AF7468" t="s">
        <v>15117</v>
      </c>
    </row>
    <row r="7469" spans="1:32" hidden="1" x14ac:dyDescent="0.35">
      <c r="A7469">
        <v>7468</v>
      </c>
      <c r="B7469" t="s">
        <v>15116</v>
      </c>
      <c r="C7469" t="s">
        <v>68</v>
      </c>
      <c r="D7469" t="s">
        <v>62</v>
      </c>
      <c r="E7469">
        <v>1480</v>
      </c>
      <c r="F7469">
        <v>2</v>
      </c>
      <c r="G7469">
        <v>2</v>
      </c>
      <c r="H7469">
        <v>1</v>
      </c>
      <c r="I7469">
        <v>0</v>
      </c>
      <c r="J7469">
        <v>1</v>
      </c>
      <c r="K7469">
        <v>1</v>
      </c>
      <c r="L7469">
        <v>1</v>
      </c>
      <c r="M7469">
        <v>1</v>
      </c>
      <c r="N7469">
        <v>1</v>
      </c>
      <c r="O7469">
        <v>1</v>
      </c>
      <c r="P7469" t="s">
        <v>14892</v>
      </c>
      <c r="Q7469" t="s">
        <v>14893</v>
      </c>
      <c r="AF7469" t="s">
        <v>15117</v>
      </c>
    </row>
    <row r="7470" spans="1:32" hidden="1" x14ac:dyDescent="0.35">
      <c r="A7470">
        <v>7469</v>
      </c>
      <c r="B7470" t="s">
        <v>15118</v>
      </c>
      <c r="C7470" t="s">
        <v>68</v>
      </c>
      <c r="D7470" t="s">
        <v>60</v>
      </c>
      <c r="E7470">
        <v>871</v>
      </c>
      <c r="F7470">
        <v>2</v>
      </c>
      <c r="G7470">
        <v>2</v>
      </c>
      <c r="H7470">
        <v>1</v>
      </c>
      <c r="I7470">
        <v>0</v>
      </c>
      <c r="J7470">
        <v>1</v>
      </c>
      <c r="K7470">
        <v>1</v>
      </c>
      <c r="L7470">
        <v>1</v>
      </c>
      <c r="M7470">
        <v>1</v>
      </c>
      <c r="N7470">
        <v>1</v>
      </c>
      <c r="O7470">
        <v>1</v>
      </c>
      <c r="P7470" t="s">
        <v>15119</v>
      </c>
      <c r="Q7470" t="s">
        <v>15120</v>
      </c>
      <c r="R7470" t="s">
        <v>113</v>
      </c>
      <c r="S7470" t="s">
        <v>114</v>
      </c>
      <c r="V7470" t="s">
        <v>15121</v>
      </c>
      <c r="W7470" t="s">
        <v>15122</v>
      </c>
      <c r="AF7470" t="s">
        <v>15123</v>
      </c>
    </row>
    <row r="7471" spans="1:32" hidden="1" x14ac:dyDescent="0.35">
      <c r="A7471">
        <v>7470</v>
      </c>
      <c r="B7471" t="s">
        <v>15118</v>
      </c>
      <c r="C7471" t="s">
        <v>68</v>
      </c>
      <c r="D7471" t="s">
        <v>62</v>
      </c>
      <c r="E7471">
        <v>905</v>
      </c>
      <c r="F7471">
        <v>2</v>
      </c>
      <c r="G7471">
        <v>2</v>
      </c>
      <c r="H7471">
        <v>1</v>
      </c>
      <c r="I7471">
        <v>0</v>
      </c>
      <c r="J7471">
        <v>1</v>
      </c>
      <c r="K7471">
        <v>1</v>
      </c>
      <c r="L7471">
        <v>1</v>
      </c>
      <c r="M7471">
        <v>1</v>
      </c>
      <c r="N7471">
        <v>1</v>
      </c>
      <c r="O7471">
        <v>1</v>
      </c>
      <c r="P7471" t="s">
        <v>15119</v>
      </c>
      <c r="Q7471" t="s">
        <v>15120</v>
      </c>
      <c r="R7471" t="s">
        <v>113</v>
      </c>
      <c r="S7471" t="s">
        <v>114</v>
      </c>
      <c r="V7471" t="s">
        <v>15121</v>
      </c>
      <c r="W7471" t="s">
        <v>15122</v>
      </c>
      <c r="AF7471" t="s">
        <v>15123</v>
      </c>
    </row>
    <row r="7472" spans="1:32" hidden="1" x14ac:dyDescent="0.35">
      <c r="A7472">
        <v>7471</v>
      </c>
      <c r="B7472" t="s">
        <v>15124</v>
      </c>
      <c r="C7472" t="s">
        <v>68</v>
      </c>
      <c r="D7472" t="s">
        <v>60</v>
      </c>
      <c r="E7472">
        <v>1736</v>
      </c>
      <c r="F7472">
        <v>2</v>
      </c>
      <c r="G7472">
        <v>2</v>
      </c>
      <c r="H7472">
        <v>1</v>
      </c>
      <c r="I7472">
        <v>0</v>
      </c>
      <c r="J7472">
        <v>1</v>
      </c>
      <c r="K7472">
        <v>1</v>
      </c>
      <c r="L7472">
        <v>1</v>
      </c>
      <c r="M7472">
        <v>1</v>
      </c>
      <c r="N7472">
        <v>1</v>
      </c>
      <c r="O7472">
        <v>1</v>
      </c>
      <c r="AF7472" t="s">
        <v>15125</v>
      </c>
    </row>
    <row r="7473" spans="1:32" hidden="1" x14ac:dyDescent="0.35">
      <c r="A7473">
        <v>7472</v>
      </c>
      <c r="B7473" t="s">
        <v>15124</v>
      </c>
      <c r="C7473" t="s">
        <v>68</v>
      </c>
      <c r="D7473" t="s">
        <v>62</v>
      </c>
      <c r="E7473">
        <v>1773</v>
      </c>
      <c r="F7473">
        <v>2</v>
      </c>
      <c r="G7473">
        <v>2</v>
      </c>
      <c r="H7473">
        <v>1</v>
      </c>
      <c r="I7473">
        <v>0</v>
      </c>
      <c r="J7473">
        <v>1</v>
      </c>
      <c r="K7473">
        <v>1</v>
      </c>
      <c r="L7473">
        <v>1</v>
      </c>
      <c r="M7473">
        <v>1</v>
      </c>
      <c r="N7473">
        <v>1</v>
      </c>
      <c r="O7473">
        <v>1</v>
      </c>
      <c r="AF7473" t="s">
        <v>15125</v>
      </c>
    </row>
    <row r="7474" spans="1:32" hidden="1" x14ac:dyDescent="0.35">
      <c r="A7474">
        <v>7473</v>
      </c>
      <c r="B7474" t="s">
        <v>15126</v>
      </c>
      <c r="C7474" t="s">
        <v>68</v>
      </c>
      <c r="D7474" t="s">
        <v>60</v>
      </c>
      <c r="E7474">
        <v>2228</v>
      </c>
      <c r="F7474">
        <v>2</v>
      </c>
      <c r="G7474">
        <v>2</v>
      </c>
      <c r="H7474">
        <v>1</v>
      </c>
      <c r="I7474">
        <v>0</v>
      </c>
      <c r="J7474">
        <v>1</v>
      </c>
      <c r="K7474">
        <v>1</v>
      </c>
      <c r="L7474">
        <v>1</v>
      </c>
      <c r="M7474">
        <v>1</v>
      </c>
      <c r="N7474">
        <v>1</v>
      </c>
      <c r="O7474">
        <v>1</v>
      </c>
      <c r="AF7474" t="s">
        <v>15127</v>
      </c>
    </row>
    <row r="7475" spans="1:32" hidden="1" x14ac:dyDescent="0.35">
      <c r="A7475">
        <v>7474</v>
      </c>
      <c r="B7475" t="s">
        <v>15126</v>
      </c>
      <c r="C7475" t="s">
        <v>68</v>
      </c>
      <c r="D7475" t="s">
        <v>62</v>
      </c>
      <c r="E7475">
        <v>2258</v>
      </c>
      <c r="F7475">
        <v>2</v>
      </c>
      <c r="G7475">
        <v>2</v>
      </c>
      <c r="H7475">
        <v>1</v>
      </c>
      <c r="I7475">
        <v>0</v>
      </c>
      <c r="J7475">
        <v>1</v>
      </c>
      <c r="K7475">
        <v>1</v>
      </c>
      <c r="L7475">
        <v>1</v>
      </c>
      <c r="M7475">
        <v>1</v>
      </c>
      <c r="N7475">
        <v>1</v>
      </c>
      <c r="O7475">
        <v>1</v>
      </c>
      <c r="AF7475" t="s">
        <v>15127</v>
      </c>
    </row>
    <row r="7476" spans="1:32" hidden="1" x14ac:dyDescent="0.35">
      <c r="A7476">
        <v>7475</v>
      </c>
      <c r="B7476" t="s">
        <v>15128</v>
      </c>
      <c r="C7476" t="s">
        <v>68</v>
      </c>
      <c r="D7476" t="s">
        <v>60</v>
      </c>
      <c r="E7476">
        <v>283</v>
      </c>
      <c r="F7476">
        <v>2</v>
      </c>
      <c r="G7476">
        <v>2</v>
      </c>
      <c r="H7476">
        <v>1</v>
      </c>
      <c r="I7476">
        <v>0</v>
      </c>
      <c r="J7476">
        <v>1</v>
      </c>
      <c r="K7476">
        <v>1</v>
      </c>
      <c r="L7476">
        <v>1</v>
      </c>
      <c r="M7476">
        <v>1</v>
      </c>
      <c r="N7476">
        <v>1</v>
      </c>
      <c r="O7476">
        <v>1</v>
      </c>
      <c r="AF7476" t="s">
        <v>15129</v>
      </c>
    </row>
    <row r="7477" spans="1:32" hidden="1" x14ac:dyDescent="0.35">
      <c r="A7477">
        <v>7476</v>
      </c>
      <c r="B7477" t="s">
        <v>15128</v>
      </c>
      <c r="C7477" t="s">
        <v>68</v>
      </c>
      <c r="D7477" t="s">
        <v>62</v>
      </c>
      <c r="E7477">
        <v>361</v>
      </c>
      <c r="F7477">
        <v>2</v>
      </c>
      <c r="G7477">
        <v>2</v>
      </c>
      <c r="H7477">
        <v>1</v>
      </c>
      <c r="I7477">
        <v>0</v>
      </c>
      <c r="J7477">
        <v>1</v>
      </c>
      <c r="K7477">
        <v>1</v>
      </c>
      <c r="L7477">
        <v>1</v>
      </c>
      <c r="M7477">
        <v>1</v>
      </c>
      <c r="N7477">
        <v>1</v>
      </c>
      <c r="O7477">
        <v>1</v>
      </c>
      <c r="AF7477" t="s">
        <v>15129</v>
      </c>
    </row>
    <row r="7478" spans="1:32" hidden="1" x14ac:dyDescent="0.35">
      <c r="A7478">
        <v>7477</v>
      </c>
      <c r="B7478" t="s">
        <v>15130</v>
      </c>
      <c r="C7478" t="s">
        <v>68</v>
      </c>
      <c r="D7478" t="s">
        <v>60</v>
      </c>
      <c r="E7478">
        <v>1760</v>
      </c>
      <c r="F7478">
        <v>2</v>
      </c>
      <c r="G7478">
        <v>2</v>
      </c>
      <c r="H7478">
        <v>1</v>
      </c>
      <c r="I7478">
        <v>0</v>
      </c>
      <c r="J7478">
        <v>1</v>
      </c>
      <c r="K7478">
        <v>1</v>
      </c>
      <c r="L7478">
        <v>1</v>
      </c>
      <c r="M7478">
        <v>1</v>
      </c>
      <c r="N7478">
        <v>1</v>
      </c>
      <c r="O7478">
        <v>1</v>
      </c>
      <c r="P7478" t="s">
        <v>15131</v>
      </c>
      <c r="Q7478" t="s">
        <v>15132</v>
      </c>
      <c r="AF7478" t="s">
        <v>15133</v>
      </c>
    </row>
    <row r="7479" spans="1:32" hidden="1" x14ac:dyDescent="0.35">
      <c r="A7479">
        <v>7478</v>
      </c>
      <c r="B7479" t="s">
        <v>15130</v>
      </c>
      <c r="C7479" t="s">
        <v>68</v>
      </c>
      <c r="D7479" t="s">
        <v>62</v>
      </c>
      <c r="E7479">
        <v>1796</v>
      </c>
      <c r="F7479">
        <v>2</v>
      </c>
      <c r="G7479">
        <v>2</v>
      </c>
      <c r="H7479">
        <v>1</v>
      </c>
      <c r="I7479">
        <v>0</v>
      </c>
      <c r="J7479">
        <v>1</v>
      </c>
      <c r="K7479">
        <v>1</v>
      </c>
      <c r="L7479">
        <v>1</v>
      </c>
      <c r="M7479">
        <v>1</v>
      </c>
      <c r="N7479">
        <v>1</v>
      </c>
      <c r="O7479">
        <v>1</v>
      </c>
      <c r="P7479" t="s">
        <v>15131</v>
      </c>
      <c r="Q7479" t="s">
        <v>15132</v>
      </c>
      <c r="AF7479" t="s">
        <v>15133</v>
      </c>
    </row>
    <row r="7480" spans="1:32" hidden="1" x14ac:dyDescent="0.35">
      <c r="A7480">
        <v>7479</v>
      </c>
      <c r="B7480" t="s">
        <v>15134</v>
      </c>
      <c r="C7480" t="s">
        <v>68</v>
      </c>
      <c r="D7480" t="s">
        <v>60</v>
      </c>
      <c r="E7480">
        <v>493</v>
      </c>
      <c r="F7480">
        <v>2</v>
      </c>
      <c r="G7480">
        <v>2</v>
      </c>
      <c r="H7480">
        <v>1</v>
      </c>
      <c r="I7480">
        <v>0</v>
      </c>
      <c r="J7480">
        <v>1</v>
      </c>
      <c r="K7480">
        <v>1</v>
      </c>
      <c r="L7480">
        <v>1</v>
      </c>
      <c r="M7480">
        <v>1</v>
      </c>
      <c r="N7480">
        <v>1</v>
      </c>
      <c r="O7480">
        <v>1</v>
      </c>
      <c r="AF7480" t="s">
        <v>15135</v>
      </c>
    </row>
    <row r="7481" spans="1:32" hidden="1" x14ac:dyDescent="0.35">
      <c r="A7481">
        <v>7480</v>
      </c>
      <c r="B7481" t="s">
        <v>15134</v>
      </c>
      <c r="C7481" t="s">
        <v>68</v>
      </c>
      <c r="D7481" t="s">
        <v>62</v>
      </c>
      <c r="E7481">
        <v>576</v>
      </c>
      <c r="F7481">
        <v>2</v>
      </c>
      <c r="G7481">
        <v>2</v>
      </c>
      <c r="H7481">
        <v>1</v>
      </c>
      <c r="I7481">
        <v>0</v>
      </c>
      <c r="J7481">
        <v>1</v>
      </c>
      <c r="K7481">
        <v>1</v>
      </c>
      <c r="L7481">
        <v>1</v>
      </c>
      <c r="M7481">
        <v>1</v>
      </c>
      <c r="N7481">
        <v>1</v>
      </c>
      <c r="O7481">
        <v>1</v>
      </c>
      <c r="AF7481" t="s">
        <v>15135</v>
      </c>
    </row>
    <row r="7482" spans="1:32" hidden="1" x14ac:dyDescent="0.35">
      <c r="A7482">
        <v>7481</v>
      </c>
      <c r="B7482" t="s">
        <v>15136</v>
      </c>
      <c r="C7482" t="s">
        <v>68</v>
      </c>
      <c r="D7482" t="s">
        <v>60</v>
      </c>
      <c r="E7482">
        <v>961</v>
      </c>
      <c r="F7482">
        <v>2</v>
      </c>
      <c r="G7482">
        <v>2</v>
      </c>
      <c r="H7482">
        <v>1</v>
      </c>
      <c r="I7482">
        <v>0</v>
      </c>
      <c r="J7482">
        <v>1</v>
      </c>
      <c r="K7482">
        <v>1</v>
      </c>
      <c r="L7482">
        <v>1</v>
      </c>
      <c r="M7482">
        <v>1</v>
      </c>
      <c r="N7482">
        <v>1</v>
      </c>
      <c r="O7482">
        <v>1</v>
      </c>
      <c r="P7482" t="s">
        <v>7738</v>
      </c>
      <c r="Q7482" t="s">
        <v>7739</v>
      </c>
      <c r="R7482" t="s">
        <v>235</v>
      </c>
      <c r="S7482" t="s">
        <v>236</v>
      </c>
      <c r="V7482" t="s">
        <v>7742</v>
      </c>
      <c r="W7482" t="s">
        <v>7743</v>
      </c>
      <c r="AF7482" t="s">
        <v>15137</v>
      </c>
    </row>
    <row r="7483" spans="1:32" hidden="1" x14ac:dyDescent="0.35">
      <c r="A7483">
        <v>7482</v>
      </c>
      <c r="B7483" t="s">
        <v>15136</v>
      </c>
      <c r="C7483" t="s">
        <v>68</v>
      </c>
      <c r="D7483" t="s">
        <v>62</v>
      </c>
      <c r="E7483">
        <v>997</v>
      </c>
      <c r="F7483">
        <v>2</v>
      </c>
      <c r="G7483">
        <v>2</v>
      </c>
      <c r="H7483">
        <v>1</v>
      </c>
      <c r="I7483">
        <v>0</v>
      </c>
      <c r="J7483">
        <v>1</v>
      </c>
      <c r="K7483">
        <v>1</v>
      </c>
      <c r="L7483">
        <v>1</v>
      </c>
      <c r="M7483">
        <v>1</v>
      </c>
      <c r="N7483">
        <v>1</v>
      </c>
      <c r="O7483">
        <v>1</v>
      </c>
      <c r="P7483" t="s">
        <v>7738</v>
      </c>
      <c r="Q7483" t="s">
        <v>7739</v>
      </c>
      <c r="R7483" t="s">
        <v>235</v>
      </c>
      <c r="S7483" t="s">
        <v>236</v>
      </c>
      <c r="V7483" t="s">
        <v>7742</v>
      </c>
      <c r="W7483" t="s">
        <v>7743</v>
      </c>
      <c r="AF7483" t="s">
        <v>15137</v>
      </c>
    </row>
    <row r="7484" spans="1:32" hidden="1" x14ac:dyDescent="0.35">
      <c r="A7484">
        <v>7483</v>
      </c>
      <c r="B7484" t="s">
        <v>15138</v>
      </c>
      <c r="C7484" t="s">
        <v>68</v>
      </c>
      <c r="D7484" t="s">
        <v>60</v>
      </c>
      <c r="E7484">
        <v>2364</v>
      </c>
      <c r="F7484">
        <v>2</v>
      </c>
      <c r="G7484">
        <v>2</v>
      </c>
      <c r="H7484">
        <v>1</v>
      </c>
      <c r="I7484">
        <v>0</v>
      </c>
      <c r="J7484">
        <v>1</v>
      </c>
      <c r="K7484">
        <v>1</v>
      </c>
      <c r="L7484">
        <v>1</v>
      </c>
      <c r="M7484">
        <v>1</v>
      </c>
      <c r="N7484">
        <v>1</v>
      </c>
      <c r="O7484">
        <v>1</v>
      </c>
      <c r="P7484" t="s">
        <v>15139</v>
      </c>
      <c r="Q7484" t="s">
        <v>15140</v>
      </c>
      <c r="R7484" t="s">
        <v>15141</v>
      </c>
      <c r="S7484" t="s">
        <v>15142</v>
      </c>
      <c r="V7484" t="s">
        <v>15143</v>
      </c>
      <c r="W7484" t="s">
        <v>15144</v>
      </c>
      <c r="AF7484" t="s">
        <v>15145</v>
      </c>
    </row>
    <row r="7485" spans="1:32" hidden="1" x14ac:dyDescent="0.35">
      <c r="A7485">
        <v>7484</v>
      </c>
      <c r="B7485" t="s">
        <v>15138</v>
      </c>
      <c r="C7485" t="s">
        <v>68</v>
      </c>
      <c r="D7485" t="s">
        <v>62</v>
      </c>
      <c r="E7485">
        <v>2392</v>
      </c>
      <c r="F7485">
        <v>2</v>
      </c>
      <c r="G7485">
        <v>2</v>
      </c>
      <c r="H7485">
        <v>1</v>
      </c>
      <c r="I7485">
        <v>0</v>
      </c>
      <c r="J7485">
        <v>1</v>
      </c>
      <c r="K7485">
        <v>1</v>
      </c>
      <c r="L7485">
        <v>1</v>
      </c>
      <c r="M7485">
        <v>1</v>
      </c>
      <c r="N7485">
        <v>1</v>
      </c>
      <c r="O7485">
        <v>1</v>
      </c>
      <c r="P7485" t="s">
        <v>15139</v>
      </c>
      <c r="Q7485" t="s">
        <v>15140</v>
      </c>
      <c r="R7485" t="s">
        <v>15141</v>
      </c>
      <c r="S7485" t="s">
        <v>15142</v>
      </c>
      <c r="V7485" t="s">
        <v>15143</v>
      </c>
      <c r="W7485" t="s">
        <v>15144</v>
      </c>
      <c r="AF7485" t="s">
        <v>15145</v>
      </c>
    </row>
    <row r="7486" spans="1:32" hidden="1" x14ac:dyDescent="0.35">
      <c r="A7486">
        <v>7485</v>
      </c>
      <c r="B7486" t="s">
        <v>15146</v>
      </c>
      <c r="C7486" t="s">
        <v>68</v>
      </c>
      <c r="D7486" t="s">
        <v>60</v>
      </c>
      <c r="E7486">
        <v>1449</v>
      </c>
      <c r="F7486">
        <v>2</v>
      </c>
      <c r="G7486">
        <v>2</v>
      </c>
      <c r="H7486">
        <v>1</v>
      </c>
      <c r="I7486">
        <v>0</v>
      </c>
      <c r="J7486">
        <v>1</v>
      </c>
      <c r="K7486">
        <v>1</v>
      </c>
      <c r="L7486">
        <v>1</v>
      </c>
      <c r="M7486">
        <v>1</v>
      </c>
      <c r="N7486">
        <v>1</v>
      </c>
      <c r="O7486">
        <v>1</v>
      </c>
      <c r="P7486" t="s">
        <v>3363</v>
      </c>
      <c r="Q7486" t="s">
        <v>3364</v>
      </c>
      <c r="R7486" t="s">
        <v>319</v>
      </c>
      <c r="S7486" t="s">
        <v>320</v>
      </c>
      <c r="T7486" t="s">
        <v>4019</v>
      </c>
      <c r="U7486" t="s">
        <v>4020</v>
      </c>
      <c r="V7486" t="s">
        <v>3367</v>
      </c>
      <c r="W7486" t="s">
        <v>3368</v>
      </c>
      <c r="X7486" t="s">
        <v>3367</v>
      </c>
      <c r="Y7486" t="s">
        <v>3369</v>
      </c>
      <c r="Z7486" t="s">
        <v>4021</v>
      </c>
      <c r="AA7486" t="s">
        <v>4022</v>
      </c>
      <c r="AB7486" t="s">
        <v>4021</v>
      </c>
      <c r="AC7486" t="s">
        <v>4023</v>
      </c>
      <c r="AD7486" t="s">
        <v>951</v>
      </c>
      <c r="AE7486" t="s">
        <v>4024</v>
      </c>
      <c r="AF7486" t="s">
        <v>15147</v>
      </c>
    </row>
    <row r="7487" spans="1:32" hidden="1" x14ac:dyDescent="0.35">
      <c r="A7487">
        <v>7486</v>
      </c>
      <c r="B7487" t="s">
        <v>15146</v>
      </c>
      <c r="C7487" t="s">
        <v>68</v>
      </c>
      <c r="D7487" t="s">
        <v>62</v>
      </c>
      <c r="E7487">
        <v>1484</v>
      </c>
      <c r="F7487">
        <v>2</v>
      </c>
      <c r="G7487">
        <v>2</v>
      </c>
      <c r="H7487">
        <v>1</v>
      </c>
      <c r="I7487">
        <v>0</v>
      </c>
      <c r="J7487">
        <v>1</v>
      </c>
      <c r="K7487">
        <v>1</v>
      </c>
      <c r="L7487">
        <v>1</v>
      </c>
      <c r="M7487">
        <v>1</v>
      </c>
      <c r="N7487">
        <v>1</v>
      </c>
      <c r="O7487">
        <v>1</v>
      </c>
      <c r="P7487" t="s">
        <v>3363</v>
      </c>
      <c r="Q7487" t="s">
        <v>3364</v>
      </c>
      <c r="R7487" t="s">
        <v>319</v>
      </c>
      <c r="S7487" t="s">
        <v>320</v>
      </c>
      <c r="T7487" t="s">
        <v>4019</v>
      </c>
      <c r="U7487" t="s">
        <v>4020</v>
      </c>
      <c r="V7487" t="s">
        <v>3367</v>
      </c>
      <c r="W7487" t="s">
        <v>3368</v>
      </c>
      <c r="X7487" t="s">
        <v>3367</v>
      </c>
      <c r="Y7487" t="s">
        <v>3369</v>
      </c>
      <c r="Z7487" t="s">
        <v>4021</v>
      </c>
      <c r="AA7487" t="s">
        <v>4022</v>
      </c>
      <c r="AB7487" t="s">
        <v>4021</v>
      </c>
      <c r="AC7487" t="s">
        <v>4023</v>
      </c>
      <c r="AD7487" t="s">
        <v>951</v>
      </c>
      <c r="AE7487" t="s">
        <v>4024</v>
      </c>
      <c r="AF7487" t="s">
        <v>15147</v>
      </c>
    </row>
    <row r="7488" spans="1:32" hidden="1" x14ac:dyDescent="0.35">
      <c r="A7488">
        <v>7487</v>
      </c>
      <c r="B7488" t="s">
        <v>15148</v>
      </c>
      <c r="C7488" t="s">
        <v>68</v>
      </c>
      <c r="D7488" t="s">
        <v>60</v>
      </c>
      <c r="E7488">
        <v>844</v>
      </c>
      <c r="F7488">
        <v>2</v>
      </c>
      <c r="G7488">
        <v>2</v>
      </c>
      <c r="H7488">
        <v>1</v>
      </c>
      <c r="I7488">
        <v>0</v>
      </c>
      <c r="J7488">
        <v>1</v>
      </c>
      <c r="K7488">
        <v>1</v>
      </c>
      <c r="L7488">
        <v>1</v>
      </c>
      <c r="M7488">
        <v>1</v>
      </c>
      <c r="N7488">
        <v>1</v>
      </c>
      <c r="O7488">
        <v>1</v>
      </c>
      <c r="P7488" t="s">
        <v>15149</v>
      </c>
      <c r="Q7488" t="s">
        <v>15150</v>
      </c>
      <c r="R7488" t="s">
        <v>1474</v>
      </c>
      <c r="S7488" t="s">
        <v>1475</v>
      </c>
      <c r="T7488" t="s">
        <v>15151</v>
      </c>
      <c r="U7488" t="s">
        <v>15152</v>
      </c>
      <c r="V7488" t="s">
        <v>15153</v>
      </c>
      <c r="W7488" t="s">
        <v>15154</v>
      </c>
      <c r="AD7488" t="s">
        <v>1480</v>
      </c>
      <c r="AE7488" t="s">
        <v>6364</v>
      </c>
      <c r="AF7488" t="s">
        <v>15155</v>
      </c>
    </row>
    <row r="7489" spans="1:32" hidden="1" x14ac:dyDescent="0.35">
      <c r="A7489">
        <v>7488</v>
      </c>
      <c r="B7489" t="s">
        <v>15148</v>
      </c>
      <c r="C7489" t="s">
        <v>68</v>
      </c>
      <c r="D7489" t="s">
        <v>62</v>
      </c>
      <c r="E7489">
        <v>878</v>
      </c>
      <c r="F7489">
        <v>2</v>
      </c>
      <c r="G7489">
        <v>2</v>
      </c>
      <c r="H7489">
        <v>1</v>
      </c>
      <c r="I7489">
        <v>0</v>
      </c>
      <c r="J7489">
        <v>1</v>
      </c>
      <c r="K7489">
        <v>1</v>
      </c>
      <c r="L7489">
        <v>1</v>
      </c>
      <c r="M7489">
        <v>1</v>
      </c>
      <c r="N7489">
        <v>1</v>
      </c>
      <c r="O7489">
        <v>1</v>
      </c>
      <c r="P7489" t="s">
        <v>15149</v>
      </c>
      <c r="Q7489" t="s">
        <v>15150</v>
      </c>
      <c r="R7489" t="s">
        <v>1474</v>
      </c>
      <c r="S7489" t="s">
        <v>1475</v>
      </c>
      <c r="T7489" t="s">
        <v>15151</v>
      </c>
      <c r="U7489" t="s">
        <v>15152</v>
      </c>
      <c r="V7489" t="s">
        <v>15153</v>
      </c>
      <c r="W7489" t="s">
        <v>15154</v>
      </c>
      <c r="AD7489" t="s">
        <v>1480</v>
      </c>
      <c r="AE7489" t="s">
        <v>6364</v>
      </c>
      <c r="AF7489" t="s">
        <v>15155</v>
      </c>
    </row>
    <row r="7490" spans="1:32" hidden="1" x14ac:dyDescent="0.35">
      <c r="A7490">
        <v>7489</v>
      </c>
      <c r="B7490" t="s">
        <v>15156</v>
      </c>
      <c r="C7490" t="s">
        <v>68</v>
      </c>
      <c r="D7490" t="s">
        <v>60</v>
      </c>
      <c r="E7490">
        <v>604</v>
      </c>
      <c r="F7490">
        <v>2</v>
      </c>
      <c r="G7490">
        <v>2</v>
      </c>
      <c r="H7490">
        <v>1</v>
      </c>
      <c r="I7490">
        <v>0</v>
      </c>
      <c r="J7490">
        <v>1</v>
      </c>
      <c r="K7490">
        <v>1</v>
      </c>
      <c r="L7490">
        <v>1</v>
      </c>
      <c r="M7490">
        <v>1</v>
      </c>
      <c r="N7490">
        <v>1</v>
      </c>
      <c r="O7490">
        <v>1</v>
      </c>
      <c r="P7490" t="s">
        <v>15157</v>
      </c>
      <c r="Q7490" t="s">
        <v>15158</v>
      </c>
      <c r="AF7490" t="s">
        <v>15159</v>
      </c>
    </row>
    <row r="7491" spans="1:32" hidden="1" x14ac:dyDescent="0.35">
      <c r="A7491">
        <v>7490</v>
      </c>
      <c r="B7491" t="s">
        <v>15156</v>
      </c>
      <c r="C7491" t="s">
        <v>68</v>
      </c>
      <c r="D7491" t="s">
        <v>62</v>
      </c>
      <c r="E7491">
        <v>688</v>
      </c>
      <c r="F7491">
        <v>2</v>
      </c>
      <c r="G7491">
        <v>2</v>
      </c>
      <c r="H7491">
        <v>1</v>
      </c>
      <c r="I7491">
        <v>0</v>
      </c>
      <c r="J7491">
        <v>1</v>
      </c>
      <c r="K7491">
        <v>1</v>
      </c>
      <c r="L7491">
        <v>1</v>
      </c>
      <c r="M7491">
        <v>1</v>
      </c>
      <c r="N7491">
        <v>1</v>
      </c>
      <c r="O7491">
        <v>1</v>
      </c>
      <c r="P7491" t="s">
        <v>15157</v>
      </c>
      <c r="Q7491" t="s">
        <v>15158</v>
      </c>
      <c r="AF7491" t="s">
        <v>15159</v>
      </c>
    </row>
    <row r="7492" spans="1:32" hidden="1" x14ac:dyDescent="0.35">
      <c r="A7492">
        <v>7491</v>
      </c>
      <c r="B7492" t="s">
        <v>15160</v>
      </c>
      <c r="C7492" t="s">
        <v>68</v>
      </c>
      <c r="D7492" t="s">
        <v>60</v>
      </c>
      <c r="E7492">
        <v>450</v>
      </c>
      <c r="F7492">
        <v>2</v>
      </c>
      <c r="G7492">
        <v>2</v>
      </c>
      <c r="H7492">
        <v>1</v>
      </c>
      <c r="I7492">
        <v>0</v>
      </c>
      <c r="J7492">
        <v>1</v>
      </c>
      <c r="K7492">
        <v>1</v>
      </c>
      <c r="L7492">
        <v>1</v>
      </c>
      <c r="M7492">
        <v>1</v>
      </c>
      <c r="N7492">
        <v>1</v>
      </c>
      <c r="O7492">
        <v>1</v>
      </c>
      <c r="AF7492" t="s">
        <v>15161</v>
      </c>
    </row>
    <row r="7493" spans="1:32" hidden="1" x14ac:dyDescent="0.35">
      <c r="A7493">
        <v>7492</v>
      </c>
      <c r="B7493" t="s">
        <v>15160</v>
      </c>
      <c r="C7493" t="s">
        <v>68</v>
      </c>
      <c r="D7493" t="s">
        <v>62</v>
      </c>
      <c r="E7493">
        <v>531</v>
      </c>
      <c r="F7493">
        <v>2</v>
      </c>
      <c r="G7493">
        <v>2</v>
      </c>
      <c r="H7493">
        <v>1</v>
      </c>
      <c r="I7493">
        <v>0</v>
      </c>
      <c r="J7493">
        <v>1</v>
      </c>
      <c r="K7493">
        <v>1</v>
      </c>
      <c r="L7493">
        <v>1</v>
      </c>
      <c r="M7493">
        <v>1</v>
      </c>
      <c r="N7493">
        <v>1</v>
      </c>
      <c r="O7493">
        <v>1</v>
      </c>
      <c r="AF7493" t="s">
        <v>15161</v>
      </c>
    </row>
    <row r="7494" spans="1:32" hidden="1" x14ac:dyDescent="0.35">
      <c r="A7494">
        <v>7493</v>
      </c>
      <c r="B7494" t="s">
        <v>15162</v>
      </c>
      <c r="C7494" t="s">
        <v>68</v>
      </c>
      <c r="D7494" t="s">
        <v>60</v>
      </c>
      <c r="E7494">
        <v>499</v>
      </c>
      <c r="F7494">
        <v>2</v>
      </c>
      <c r="G7494">
        <v>2</v>
      </c>
      <c r="H7494">
        <v>1</v>
      </c>
      <c r="I7494">
        <v>0</v>
      </c>
      <c r="J7494">
        <v>1</v>
      </c>
      <c r="K7494">
        <v>1</v>
      </c>
      <c r="L7494">
        <v>1</v>
      </c>
      <c r="M7494">
        <v>1</v>
      </c>
      <c r="N7494">
        <v>1</v>
      </c>
      <c r="O7494">
        <v>1</v>
      </c>
      <c r="P7494" t="s">
        <v>15163</v>
      </c>
      <c r="Q7494" t="s">
        <v>15164</v>
      </c>
      <c r="R7494" t="s">
        <v>96</v>
      </c>
      <c r="S7494" t="s">
        <v>97</v>
      </c>
      <c r="V7494" t="s">
        <v>15165</v>
      </c>
      <c r="W7494" t="s">
        <v>15166</v>
      </c>
      <c r="AF7494" t="s">
        <v>15167</v>
      </c>
    </row>
    <row r="7495" spans="1:32" hidden="1" x14ac:dyDescent="0.35">
      <c r="A7495">
        <v>7494</v>
      </c>
      <c r="B7495" t="s">
        <v>15162</v>
      </c>
      <c r="C7495" t="s">
        <v>68</v>
      </c>
      <c r="D7495" t="s">
        <v>62</v>
      </c>
      <c r="E7495">
        <v>582</v>
      </c>
      <c r="F7495">
        <v>2</v>
      </c>
      <c r="G7495">
        <v>2</v>
      </c>
      <c r="H7495">
        <v>1</v>
      </c>
      <c r="I7495">
        <v>0</v>
      </c>
      <c r="J7495">
        <v>1</v>
      </c>
      <c r="K7495">
        <v>1</v>
      </c>
      <c r="L7495">
        <v>1</v>
      </c>
      <c r="M7495">
        <v>1</v>
      </c>
      <c r="N7495">
        <v>1</v>
      </c>
      <c r="O7495">
        <v>1</v>
      </c>
      <c r="P7495" t="s">
        <v>15163</v>
      </c>
      <c r="Q7495" t="s">
        <v>15164</v>
      </c>
      <c r="R7495" t="s">
        <v>96</v>
      </c>
      <c r="S7495" t="s">
        <v>97</v>
      </c>
      <c r="V7495" t="s">
        <v>15165</v>
      </c>
      <c r="W7495" t="s">
        <v>15166</v>
      </c>
      <c r="AF7495" t="s">
        <v>15167</v>
      </c>
    </row>
    <row r="7496" spans="1:32" hidden="1" x14ac:dyDescent="0.35">
      <c r="A7496">
        <v>7495</v>
      </c>
      <c r="B7496" t="s">
        <v>15168</v>
      </c>
      <c r="C7496" t="s">
        <v>68</v>
      </c>
      <c r="D7496" t="s">
        <v>60</v>
      </c>
      <c r="E7496">
        <v>357</v>
      </c>
      <c r="F7496">
        <v>2</v>
      </c>
      <c r="G7496">
        <v>2</v>
      </c>
      <c r="H7496">
        <v>1</v>
      </c>
      <c r="I7496">
        <v>0</v>
      </c>
      <c r="J7496">
        <v>1</v>
      </c>
      <c r="K7496">
        <v>1</v>
      </c>
      <c r="L7496">
        <v>1</v>
      </c>
      <c r="M7496">
        <v>1</v>
      </c>
      <c r="N7496">
        <v>1</v>
      </c>
      <c r="O7496">
        <v>1</v>
      </c>
      <c r="AF7496" t="s">
        <v>15169</v>
      </c>
    </row>
    <row r="7497" spans="1:32" hidden="1" x14ac:dyDescent="0.35">
      <c r="A7497">
        <v>7496</v>
      </c>
      <c r="B7497" t="s">
        <v>15168</v>
      </c>
      <c r="C7497" t="s">
        <v>68</v>
      </c>
      <c r="D7497" t="s">
        <v>62</v>
      </c>
      <c r="E7497">
        <v>437</v>
      </c>
      <c r="F7497">
        <v>2</v>
      </c>
      <c r="G7497">
        <v>2</v>
      </c>
      <c r="H7497">
        <v>1</v>
      </c>
      <c r="I7497">
        <v>0</v>
      </c>
      <c r="J7497">
        <v>1</v>
      </c>
      <c r="K7497">
        <v>1</v>
      </c>
      <c r="L7497">
        <v>1</v>
      </c>
      <c r="M7497">
        <v>1</v>
      </c>
      <c r="N7497">
        <v>1</v>
      </c>
      <c r="O7497">
        <v>1</v>
      </c>
      <c r="AF7497" t="s">
        <v>15169</v>
      </c>
    </row>
    <row r="7498" spans="1:32" hidden="1" x14ac:dyDescent="0.35">
      <c r="A7498">
        <v>7497</v>
      </c>
      <c r="B7498" t="s">
        <v>15170</v>
      </c>
      <c r="C7498" t="s">
        <v>68</v>
      </c>
      <c r="D7498" t="s">
        <v>34</v>
      </c>
      <c r="E7498">
        <v>1380</v>
      </c>
      <c r="F7498">
        <v>2</v>
      </c>
      <c r="G7498">
        <v>2</v>
      </c>
      <c r="H7498">
        <v>1</v>
      </c>
      <c r="I7498">
        <v>0</v>
      </c>
      <c r="J7498">
        <v>1</v>
      </c>
      <c r="K7498">
        <v>1</v>
      </c>
      <c r="L7498">
        <v>1</v>
      </c>
      <c r="M7498">
        <v>1</v>
      </c>
      <c r="N7498">
        <v>1</v>
      </c>
      <c r="O7498">
        <v>1</v>
      </c>
      <c r="P7498" t="s">
        <v>5768</v>
      </c>
      <c r="Q7498" t="s">
        <v>5769</v>
      </c>
      <c r="R7498" t="s">
        <v>288</v>
      </c>
      <c r="S7498" t="s">
        <v>289</v>
      </c>
      <c r="T7498" t="s">
        <v>5770</v>
      </c>
      <c r="U7498" t="s">
        <v>5771</v>
      </c>
      <c r="V7498" t="s">
        <v>5772</v>
      </c>
      <c r="W7498" t="s">
        <v>5773</v>
      </c>
      <c r="AD7498" t="s">
        <v>166</v>
      </c>
      <c r="AE7498" t="s">
        <v>818</v>
      </c>
      <c r="AF7498" t="s">
        <v>15171</v>
      </c>
    </row>
    <row r="7499" spans="1:32" hidden="1" x14ac:dyDescent="0.35">
      <c r="A7499">
        <v>7498</v>
      </c>
      <c r="B7499" t="s">
        <v>15170</v>
      </c>
      <c r="C7499" t="s">
        <v>68</v>
      </c>
      <c r="D7499" t="s">
        <v>45</v>
      </c>
      <c r="E7499">
        <v>130</v>
      </c>
      <c r="F7499">
        <v>2</v>
      </c>
      <c r="G7499">
        <v>2</v>
      </c>
      <c r="H7499">
        <v>1</v>
      </c>
      <c r="I7499">
        <v>0</v>
      </c>
      <c r="J7499">
        <v>1</v>
      </c>
      <c r="K7499">
        <v>1</v>
      </c>
      <c r="L7499">
        <v>1</v>
      </c>
      <c r="M7499">
        <v>1</v>
      </c>
      <c r="N7499">
        <v>1</v>
      </c>
      <c r="O7499">
        <v>1</v>
      </c>
      <c r="P7499" t="s">
        <v>5768</v>
      </c>
      <c r="Q7499" t="s">
        <v>5769</v>
      </c>
      <c r="R7499" t="s">
        <v>288</v>
      </c>
      <c r="S7499" t="s">
        <v>289</v>
      </c>
      <c r="T7499" t="s">
        <v>5770</v>
      </c>
      <c r="U7499" t="s">
        <v>5771</v>
      </c>
      <c r="V7499" t="s">
        <v>5772</v>
      </c>
      <c r="W7499" t="s">
        <v>5773</v>
      </c>
      <c r="AD7499" t="s">
        <v>166</v>
      </c>
      <c r="AE7499" t="s">
        <v>818</v>
      </c>
      <c r="AF7499" t="s">
        <v>15171</v>
      </c>
    </row>
    <row r="7500" spans="1:32" hidden="1" x14ac:dyDescent="0.35">
      <c r="A7500">
        <v>7499</v>
      </c>
      <c r="B7500" t="s">
        <v>15172</v>
      </c>
      <c r="C7500" t="s">
        <v>68</v>
      </c>
      <c r="D7500" t="s">
        <v>34</v>
      </c>
      <c r="E7500">
        <v>2127</v>
      </c>
      <c r="F7500">
        <v>2</v>
      </c>
      <c r="G7500">
        <v>2</v>
      </c>
      <c r="H7500">
        <v>1</v>
      </c>
      <c r="I7500">
        <v>0</v>
      </c>
      <c r="J7500">
        <v>1</v>
      </c>
      <c r="K7500">
        <v>1</v>
      </c>
      <c r="L7500">
        <v>1</v>
      </c>
      <c r="M7500">
        <v>1</v>
      </c>
      <c r="N7500">
        <v>1</v>
      </c>
      <c r="O7500">
        <v>1</v>
      </c>
      <c r="P7500" t="s">
        <v>15131</v>
      </c>
      <c r="Q7500" t="s">
        <v>15132</v>
      </c>
      <c r="AF7500" t="s">
        <v>15173</v>
      </c>
    </row>
    <row r="7501" spans="1:32" hidden="1" x14ac:dyDescent="0.35">
      <c r="A7501">
        <v>7500</v>
      </c>
      <c r="B7501" t="s">
        <v>15172</v>
      </c>
      <c r="C7501" t="s">
        <v>68</v>
      </c>
      <c r="D7501" t="s">
        <v>45</v>
      </c>
      <c r="E7501">
        <v>745</v>
      </c>
      <c r="F7501">
        <v>2</v>
      </c>
      <c r="G7501">
        <v>2</v>
      </c>
      <c r="H7501">
        <v>1</v>
      </c>
      <c r="I7501">
        <v>0</v>
      </c>
      <c r="J7501">
        <v>1</v>
      </c>
      <c r="K7501">
        <v>1</v>
      </c>
      <c r="L7501">
        <v>1</v>
      </c>
      <c r="M7501">
        <v>1</v>
      </c>
      <c r="N7501">
        <v>1</v>
      </c>
      <c r="O7501">
        <v>1</v>
      </c>
      <c r="P7501" t="s">
        <v>15131</v>
      </c>
      <c r="Q7501" t="s">
        <v>15132</v>
      </c>
      <c r="AF7501" t="s">
        <v>15173</v>
      </c>
    </row>
    <row r="7502" spans="1:32" hidden="1" x14ac:dyDescent="0.35">
      <c r="A7502">
        <v>7501</v>
      </c>
      <c r="B7502" t="s">
        <v>15174</v>
      </c>
      <c r="C7502" t="s">
        <v>68</v>
      </c>
      <c r="D7502" t="s">
        <v>60</v>
      </c>
      <c r="E7502">
        <v>2399</v>
      </c>
      <c r="F7502">
        <v>2</v>
      </c>
      <c r="G7502">
        <v>2</v>
      </c>
      <c r="H7502">
        <v>1</v>
      </c>
      <c r="I7502">
        <v>0</v>
      </c>
      <c r="J7502">
        <v>1</v>
      </c>
      <c r="K7502">
        <v>1</v>
      </c>
      <c r="L7502">
        <v>1</v>
      </c>
      <c r="M7502">
        <v>1</v>
      </c>
      <c r="N7502">
        <v>1</v>
      </c>
      <c r="O7502">
        <v>1</v>
      </c>
      <c r="P7502" t="s">
        <v>2877</v>
      </c>
      <c r="Q7502" t="s">
        <v>2878</v>
      </c>
      <c r="R7502" t="s">
        <v>113</v>
      </c>
      <c r="S7502" t="s">
        <v>114</v>
      </c>
      <c r="T7502" t="s">
        <v>15175</v>
      </c>
      <c r="U7502" t="s">
        <v>15176</v>
      </c>
      <c r="V7502" t="s">
        <v>15177</v>
      </c>
      <c r="W7502" t="s">
        <v>15178</v>
      </c>
      <c r="AD7502" t="s">
        <v>15179</v>
      </c>
      <c r="AE7502" t="s">
        <v>15180</v>
      </c>
      <c r="AF7502" t="s">
        <v>15181</v>
      </c>
    </row>
    <row r="7503" spans="1:32" hidden="1" x14ac:dyDescent="0.35">
      <c r="A7503">
        <v>7502</v>
      </c>
      <c r="B7503" t="s">
        <v>15174</v>
      </c>
      <c r="C7503" t="s">
        <v>68</v>
      </c>
      <c r="D7503" t="s">
        <v>62</v>
      </c>
      <c r="E7503">
        <v>2426</v>
      </c>
      <c r="F7503">
        <v>2</v>
      </c>
      <c r="G7503">
        <v>2</v>
      </c>
      <c r="H7503">
        <v>1</v>
      </c>
      <c r="I7503">
        <v>0</v>
      </c>
      <c r="J7503">
        <v>1</v>
      </c>
      <c r="K7503">
        <v>1</v>
      </c>
      <c r="L7503">
        <v>1</v>
      </c>
      <c r="M7503">
        <v>1</v>
      </c>
      <c r="N7503">
        <v>1</v>
      </c>
      <c r="O7503">
        <v>1</v>
      </c>
      <c r="P7503" t="s">
        <v>2877</v>
      </c>
      <c r="Q7503" t="s">
        <v>2878</v>
      </c>
      <c r="R7503" t="s">
        <v>113</v>
      </c>
      <c r="S7503" t="s">
        <v>114</v>
      </c>
      <c r="T7503" t="s">
        <v>15175</v>
      </c>
      <c r="U7503" t="s">
        <v>15176</v>
      </c>
      <c r="V7503" t="s">
        <v>15177</v>
      </c>
      <c r="W7503" t="s">
        <v>15178</v>
      </c>
      <c r="AD7503" t="s">
        <v>15179</v>
      </c>
      <c r="AE7503" t="s">
        <v>15180</v>
      </c>
      <c r="AF7503" t="s">
        <v>15181</v>
      </c>
    </row>
    <row r="7504" spans="1:32" hidden="1" x14ac:dyDescent="0.35">
      <c r="A7504">
        <v>7503</v>
      </c>
      <c r="B7504" t="s">
        <v>15182</v>
      </c>
      <c r="C7504" t="s">
        <v>68</v>
      </c>
      <c r="D7504" t="s">
        <v>60</v>
      </c>
      <c r="E7504">
        <v>2082</v>
      </c>
      <c r="F7504">
        <v>2</v>
      </c>
      <c r="G7504">
        <v>2</v>
      </c>
      <c r="H7504">
        <v>1</v>
      </c>
      <c r="I7504">
        <v>0</v>
      </c>
      <c r="J7504">
        <v>1</v>
      </c>
      <c r="K7504">
        <v>1</v>
      </c>
      <c r="L7504">
        <v>1</v>
      </c>
      <c r="M7504">
        <v>1</v>
      </c>
      <c r="N7504">
        <v>1</v>
      </c>
      <c r="O7504">
        <v>1</v>
      </c>
      <c r="AF7504" t="s">
        <v>15183</v>
      </c>
    </row>
    <row r="7505" spans="1:32" hidden="1" x14ac:dyDescent="0.35">
      <c r="A7505">
        <v>7504</v>
      </c>
      <c r="B7505" t="s">
        <v>15182</v>
      </c>
      <c r="C7505" t="s">
        <v>68</v>
      </c>
      <c r="D7505" t="s">
        <v>62</v>
      </c>
      <c r="E7505">
        <v>2117</v>
      </c>
      <c r="F7505">
        <v>2</v>
      </c>
      <c r="G7505">
        <v>2</v>
      </c>
      <c r="H7505">
        <v>1</v>
      </c>
      <c r="I7505">
        <v>0</v>
      </c>
      <c r="J7505">
        <v>1</v>
      </c>
      <c r="K7505">
        <v>1</v>
      </c>
      <c r="L7505">
        <v>1</v>
      </c>
      <c r="M7505">
        <v>1</v>
      </c>
      <c r="N7505">
        <v>1</v>
      </c>
      <c r="O7505">
        <v>1</v>
      </c>
      <c r="AF7505" t="s">
        <v>15183</v>
      </c>
    </row>
    <row r="7506" spans="1:32" hidden="1" x14ac:dyDescent="0.35">
      <c r="A7506">
        <v>7505</v>
      </c>
      <c r="B7506" t="s">
        <v>15184</v>
      </c>
      <c r="C7506" t="s">
        <v>68</v>
      </c>
      <c r="D7506" t="s">
        <v>60</v>
      </c>
      <c r="E7506">
        <v>900</v>
      </c>
      <c r="F7506">
        <v>2</v>
      </c>
      <c r="G7506">
        <v>2</v>
      </c>
      <c r="H7506">
        <v>1</v>
      </c>
      <c r="I7506">
        <v>0</v>
      </c>
      <c r="J7506">
        <v>1</v>
      </c>
      <c r="K7506">
        <v>1</v>
      </c>
      <c r="L7506">
        <v>1</v>
      </c>
      <c r="M7506">
        <v>1</v>
      </c>
      <c r="N7506">
        <v>1</v>
      </c>
      <c r="O7506">
        <v>1</v>
      </c>
      <c r="P7506" t="s">
        <v>15185</v>
      </c>
      <c r="Q7506" t="s">
        <v>15186</v>
      </c>
      <c r="AF7506" t="s">
        <v>15187</v>
      </c>
    </row>
    <row r="7507" spans="1:32" hidden="1" x14ac:dyDescent="0.35">
      <c r="A7507">
        <v>7506</v>
      </c>
      <c r="B7507" t="s">
        <v>15184</v>
      </c>
      <c r="C7507" t="s">
        <v>68</v>
      </c>
      <c r="D7507" t="s">
        <v>62</v>
      </c>
      <c r="E7507">
        <v>934</v>
      </c>
      <c r="F7507">
        <v>2</v>
      </c>
      <c r="G7507">
        <v>2</v>
      </c>
      <c r="H7507">
        <v>1</v>
      </c>
      <c r="I7507">
        <v>0</v>
      </c>
      <c r="J7507">
        <v>1</v>
      </c>
      <c r="K7507">
        <v>1</v>
      </c>
      <c r="L7507">
        <v>1</v>
      </c>
      <c r="M7507">
        <v>1</v>
      </c>
      <c r="N7507">
        <v>1</v>
      </c>
      <c r="O7507">
        <v>1</v>
      </c>
      <c r="P7507" t="s">
        <v>15185</v>
      </c>
      <c r="Q7507" t="s">
        <v>15186</v>
      </c>
      <c r="AF7507" t="s">
        <v>15187</v>
      </c>
    </row>
    <row r="7508" spans="1:32" hidden="1" x14ac:dyDescent="0.35">
      <c r="A7508">
        <v>7507</v>
      </c>
      <c r="B7508" t="s">
        <v>15188</v>
      </c>
      <c r="C7508" t="s">
        <v>68</v>
      </c>
      <c r="D7508" t="s">
        <v>34</v>
      </c>
      <c r="E7508">
        <v>2415</v>
      </c>
      <c r="F7508">
        <v>2</v>
      </c>
      <c r="G7508">
        <v>2</v>
      </c>
      <c r="H7508">
        <v>1</v>
      </c>
      <c r="I7508">
        <v>0</v>
      </c>
      <c r="J7508">
        <v>1</v>
      </c>
      <c r="K7508">
        <v>1</v>
      </c>
      <c r="L7508">
        <v>1</v>
      </c>
      <c r="M7508">
        <v>1</v>
      </c>
      <c r="N7508">
        <v>1</v>
      </c>
      <c r="O7508">
        <v>1</v>
      </c>
      <c r="P7508" t="s">
        <v>3168</v>
      </c>
      <c r="Q7508" t="s">
        <v>3169</v>
      </c>
      <c r="R7508" t="s">
        <v>15189</v>
      </c>
      <c r="S7508" t="s">
        <v>15190</v>
      </c>
      <c r="V7508" t="s">
        <v>15191</v>
      </c>
      <c r="W7508" t="s">
        <v>15192</v>
      </c>
      <c r="AF7508" t="s">
        <v>15193</v>
      </c>
    </row>
    <row r="7509" spans="1:32" hidden="1" x14ac:dyDescent="0.35">
      <c r="A7509">
        <v>7508</v>
      </c>
      <c r="B7509" t="s">
        <v>15188</v>
      </c>
      <c r="C7509" t="s">
        <v>68</v>
      </c>
      <c r="D7509" t="s">
        <v>45</v>
      </c>
      <c r="E7509">
        <v>482</v>
      </c>
      <c r="F7509">
        <v>2</v>
      </c>
      <c r="G7509">
        <v>2</v>
      </c>
      <c r="H7509">
        <v>1</v>
      </c>
      <c r="I7509">
        <v>0</v>
      </c>
      <c r="J7509">
        <v>1</v>
      </c>
      <c r="K7509">
        <v>1</v>
      </c>
      <c r="L7509">
        <v>1</v>
      </c>
      <c r="M7509">
        <v>1</v>
      </c>
      <c r="N7509">
        <v>1</v>
      </c>
      <c r="O7509">
        <v>1</v>
      </c>
      <c r="P7509" t="s">
        <v>3168</v>
      </c>
      <c r="Q7509" t="s">
        <v>3169</v>
      </c>
      <c r="R7509" t="s">
        <v>15189</v>
      </c>
      <c r="S7509" t="s">
        <v>15190</v>
      </c>
      <c r="V7509" t="s">
        <v>15191</v>
      </c>
      <c r="W7509" t="s">
        <v>15192</v>
      </c>
      <c r="AF7509" t="s">
        <v>15193</v>
      </c>
    </row>
    <row r="7510" spans="1:32" hidden="1" x14ac:dyDescent="0.35">
      <c r="A7510">
        <v>7509</v>
      </c>
      <c r="B7510" t="s">
        <v>15194</v>
      </c>
      <c r="C7510" t="s">
        <v>68</v>
      </c>
      <c r="D7510" t="s">
        <v>60</v>
      </c>
      <c r="E7510">
        <v>622</v>
      </c>
      <c r="F7510">
        <v>2</v>
      </c>
      <c r="G7510">
        <v>2</v>
      </c>
      <c r="H7510">
        <v>1</v>
      </c>
      <c r="I7510">
        <v>0</v>
      </c>
      <c r="J7510">
        <v>1</v>
      </c>
      <c r="K7510">
        <v>1</v>
      </c>
      <c r="L7510">
        <v>1</v>
      </c>
      <c r="M7510">
        <v>1</v>
      </c>
      <c r="N7510">
        <v>1</v>
      </c>
      <c r="O7510">
        <v>1</v>
      </c>
      <c r="AF7510" t="s">
        <v>15195</v>
      </c>
    </row>
    <row r="7511" spans="1:32" hidden="1" x14ac:dyDescent="0.35">
      <c r="A7511">
        <v>7510</v>
      </c>
      <c r="B7511" t="s">
        <v>15194</v>
      </c>
      <c r="C7511" t="s">
        <v>68</v>
      </c>
      <c r="D7511" t="s">
        <v>62</v>
      </c>
      <c r="E7511">
        <v>706</v>
      </c>
      <c r="F7511">
        <v>2</v>
      </c>
      <c r="G7511">
        <v>2</v>
      </c>
      <c r="H7511">
        <v>1</v>
      </c>
      <c r="I7511">
        <v>0</v>
      </c>
      <c r="J7511">
        <v>1</v>
      </c>
      <c r="K7511">
        <v>1</v>
      </c>
      <c r="L7511">
        <v>1</v>
      </c>
      <c r="M7511">
        <v>1</v>
      </c>
      <c r="N7511">
        <v>1</v>
      </c>
      <c r="O7511">
        <v>1</v>
      </c>
      <c r="AF7511" t="s">
        <v>15195</v>
      </c>
    </row>
    <row r="7512" spans="1:32" hidden="1" x14ac:dyDescent="0.35">
      <c r="A7512">
        <v>7511</v>
      </c>
      <c r="B7512" t="s">
        <v>15196</v>
      </c>
      <c r="C7512" t="s">
        <v>68</v>
      </c>
      <c r="D7512" t="s">
        <v>34</v>
      </c>
      <c r="E7512">
        <v>1223</v>
      </c>
      <c r="F7512">
        <v>2</v>
      </c>
      <c r="G7512">
        <v>2</v>
      </c>
      <c r="H7512">
        <v>1</v>
      </c>
      <c r="I7512">
        <v>0</v>
      </c>
      <c r="J7512">
        <v>1</v>
      </c>
      <c r="K7512">
        <v>1</v>
      </c>
      <c r="L7512">
        <v>1</v>
      </c>
      <c r="M7512">
        <v>1</v>
      </c>
      <c r="N7512">
        <v>1</v>
      </c>
      <c r="O7512">
        <v>1</v>
      </c>
      <c r="P7512" t="s">
        <v>13648</v>
      </c>
      <c r="Q7512" t="s">
        <v>13649</v>
      </c>
      <c r="AF7512" t="s">
        <v>15197</v>
      </c>
    </row>
    <row r="7513" spans="1:32" hidden="1" x14ac:dyDescent="0.35">
      <c r="A7513">
        <v>7512</v>
      </c>
      <c r="B7513" t="s">
        <v>15196</v>
      </c>
      <c r="C7513" t="s">
        <v>68</v>
      </c>
      <c r="D7513" t="s">
        <v>45</v>
      </c>
      <c r="E7513">
        <v>2466</v>
      </c>
      <c r="F7513">
        <v>2</v>
      </c>
      <c r="G7513">
        <v>2</v>
      </c>
      <c r="H7513">
        <v>1</v>
      </c>
      <c r="I7513">
        <v>0</v>
      </c>
      <c r="J7513">
        <v>1</v>
      </c>
      <c r="K7513">
        <v>1</v>
      </c>
      <c r="L7513">
        <v>1</v>
      </c>
      <c r="M7513">
        <v>1</v>
      </c>
      <c r="N7513">
        <v>1</v>
      </c>
      <c r="O7513">
        <v>1</v>
      </c>
      <c r="P7513" t="s">
        <v>13648</v>
      </c>
      <c r="Q7513" t="s">
        <v>13649</v>
      </c>
      <c r="AF7513" t="s">
        <v>15197</v>
      </c>
    </row>
    <row r="7514" spans="1:32" hidden="1" x14ac:dyDescent="0.35">
      <c r="A7514">
        <v>7513</v>
      </c>
      <c r="B7514" t="s">
        <v>15198</v>
      </c>
      <c r="C7514" t="s">
        <v>68</v>
      </c>
      <c r="D7514" t="s">
        <v>60</v>
      </c>
      <c r="E7514">
        <v>262</v>
      </c>
      <c r="F7514">
        <v>2</v>
      </c>
      <c r="G7514">
        <v>2</v>
      </c>
      <c r="H7514">
        <v>1</v>
      </c>
      <c r="I7514">
        <v>0</v>
      </c>
      <c r="J7514">
        <v>1</v>
      </c>
      <c r="K7514">
        <v>1</v>
      </c>
      <c r="L7514">
        <v>1</v>
      </c>
      <c r="M7514">
        <v>1</v>
      </c>
      <c r="N7514">
        <v>1</v>
      </c>
      <c r="O7514">
        <v>1</v>
      </c>
      <c r="AF7514" t="s">
        <v>15199</v>
      </c>
    </row>
    <row r="7515" spans="1:32" hidden="1" x14ac:dyDescent="0.35">
      <c r="A7515">
        <v>7514</v>
      </c>
      <c r="B7515" t="s">
        <v>15198</v>
      </c>
      <c r="C7515" t="s">
        <v>68</v>
      </c>
      <c r="D7515" t="s">
        <v>62</v>
      </c>
      <c r="E7515">
        <v>340</v>
      </c>
      <c r="F7515">
        <v>2</v>
      </c>
      <c r="G7515">
        <v>2</v>
      </c>
      <c r="H7515">
        <v>1</v>
      </c>
      <c r="I7515">
        <v>0</v>
      </c>
      <c r="J7515">
        <v>1</v>
      </c>
      <c r="K7515">
        <v>1</v>
      </c>
      <c r="L7515">
        <v>1</v>
      </c>
      <c r="M7515">
        <v>1</v>
      </c>
      <c r="N7515">
        <v>1</v>
      </c>
      <c r="O7515">
        <v>1</v>
      </c>
      <c r="AF7515" t="s">
        <v>15199</v>
      </c>
    </row>
    <row r="7516" spans="1:32" hidden="1" x14ac:dyDescent="0.35">
      <c r="A7516">
        <v>7515</v>
      </c>
      <c r="B7516" t="s">
        <v>15200</v>
      </c>
      <c r="C7516" t="s">
        <v>68</v>
      </c>
      <c r="D7516" t="s">
        <v>60</v>
      </c>
      <c r="E7516">
        <v>866</v>
      </c>
      <c r="F7516">
        <v>2</v>
      </c>
      <c r="G7516">
        <v>2</v>
      </c>
      <c r="H7516">
        <v>1</v>
      </c>
      <c r="I7516">
        <v>0</v>
      </c>
      <c r="J7516">
        <v>1</v>
      </c>
      <c r="K7516">
        <v>1</v>
      </c>
      <c r="L7516">
        <v>1</v>
      </c>
      <c r="M7516">
        <v>1</v>
      </c>
      <c r="N7516">
        <v>1</v>
      </c>
      <c r="O7516">
        <v>1</v>
      </c>
      <c r="P7516" t="s">
        <v>2163</v>
      </c>
      <c r="Q7516" t="s">
        <v>2164</v>
      </c>
      <c r="R7516" t="s">
        <v>113</v>
      </c>
      <c r="S7516" t="s">
        <v>114</v>
      </c>
      <c r="T7516" t="s">
        <v>11871</v>
      </c>
      <c r="U7516" t="s">
        <v>11872</v>
      </c>
      <c r="V7516" t="s">
        <v>2167</v>
      </c>
      <c r="W7516" t="s">
        <v>2168</v>
      </c>
      <c r="AD7516" t="s">
        <v>312</v>
      </c>
      <c r="AE7516" t="s">
        <v>2169</v>
      </c>
      <c r="AF7516" t="s">
        <v>15201</v>
      </c>
    </row>
    <row r="7517" spans="1:32" hidden="1" x14ac:dyDescent="0.35">
      <c r="A7517">
        <v>7516</v>
      </c>
      <c r="B7517" t="s">
        <v>15200</v>
      </c>
      <c r="C7517" t="s">
        <v>68</v>
      </c>
      <c r="D7517" t="s">
        <v>62</v>
      </c>
      <c r="E7517">
        <v>900</v>
      </c>
      <c r="F7517">
        <v>2</v>
      </c>
      <c r="G7517">
        <v>2</v>
      </c>
      <c r="H7517">
        <v>1</v>
      </c>
      <c r="I7517">
        <v>0</v>
      </c>
      <c r="J7517">
        <v>1</v>
      </c>
      <c r="K7517">
        <v>1</v>
      </c>
      <c r="L7517">
        <v>1</v>
      </c>
      <c r="M7517">
        <v>1</v>
      </c>
      <c r="N7517">
        <v>1</v>
      </c>
      <c r="O7517">
        <v>1</v>
      </c>
      <c r="P7517" t="s">
        <v>2163</v>
      </c>
      <c r="Q7517" t="s">
        <v>2164</v>
      </c>
      <c r="R7517" t="s">
        <v>113</v>
      </c>
      <c r="S7517" t="s">
        <v>114</v>
      </c>
      <c r="T7517" t="s">
        <v>11871</v>
      </c>
      <c r="U7517" t="s">
        <v>11872</v>
      </c>
      <c r="V7517" t="s">
        <v>2167</v>
      </c>
      <c r="W7517" t="s">
        <v>2168</v>
      </c>
      <c r="AD7517" t="s">
        <v>312</v>
      </c>
      <c r="AE7517" t="s">
        <v>2169</v>
      </c>
      <c r="AF7517" t="s">
        <v>15201</v>
      </c>
    </row>
    <row r="7518" spans="1:32" hidden="1" x14ac:dyDescent="0.35">
      <c r="A7518">
        <v>7517</v>
      </c>
      <c r="B7518" t="s">
        <v>15202</v>
      </c>
      <c r="C7518" t="s">
        <v>68</v>
      </c>
      <c r="D7518" t="s">
        <v>60</v>
      </c>
      <c r="E7518">
        <v>2151</v>
      </c>
      <c r="F7518">
        <v>2</v>
      </c>
      <c r="G7518">
        <v>2</v>
      </c>
      <c r="H7518">
        <v>1</v>
      </c>
      <c r="I7518">
        <v>0</v>
      </c>
      <c r="J7518">
        <v>1</v>
      </c>
      <c r="K7518">
        <v>1</v>
      </c>
      <c r="L7518">
        <v>1</v>
      </c>
      <c r="M7518">
        <v>1</v>
      </c>
      <c r="N7518">
        <v>1</v>
      </c>
      <c r="O7518">
        <v>1</v>
      </c>
      <c r="P7518" t="s">
        <v>1494</v>
      </c>
      <c r="Q7518" t="s">
        <v>1487</v>
      </c>
      <c r="R7518" t="s">
        <v>113</v>
      </c>
      <c r="S7518" t="s">
        <v>114</v>
      </c>
      <c r="V7518" t="s">
        <v>1490</v>
      </c>
      <c r="W7518" t="s">
        <v>1491</v>
      </c>
      <c r="AF7518" t="s">
        <v>15203</v>
      </c>
    </row>
    <row r="7519" spans="1:32" hidden="1" x14ac:dyDescent="0.35">
      <c r="A7519">
        <v>7518</v>
      </c>
      <c r="B7519" t="s">
        <v>15202</v>
      </c>
      <c r="C7519" t="s">
        <v>68</v>
      </c>
      <c r="D7519" t="s">
        <v>62</v>
      </c>
      <c r="E7519">
        <v>2185</v>
      </c>
      <c r="F7519">
        <v>2</v>
      </c>
      <c r="G7519">
        <v>2</v>
      </c>
      <c r="H7519">
        <v>1</v>
      </c>
      <c r="I7519">
        <v>0</v>
      </c>
      <c r="J7519">
        <v>1</v>
      </c>
      <c r="K7519">
        <v>1</v>
      </c>
      <c r="L7519">
        <v>1</v>
      </c>
      <c r="M7519">
        <v>1</v>
      </c>
      <c r="N7519">
        <v>1</v>
      </c>
      <c r="O7519">
        <v>1</v>
      </c>
      <c r="P7519" t="s">
        <v>1494</v>
      </c>
      <c r="Q7519" t="s">
        <v>1487</v>
      </c>
      <c r="R7519" t="s">
        <v>113</v>
      </c>
      <c r="S7519" t="s">
        <v>114</v>
      </c>
      <c r="V7519" t="s">
        <v>1490</v>
      </c>
      <c r="W7519" t="s">
        <v>1491</v>
      </c>
      <c r="AF7519" t="s">
        <v>15203</v>
      </c>
    </row>
    <row r="7520" spans="1:32" hidden="1" x14ac:dyDescent="0.35">
      <c r="A7520">
        <v>7519</v>
      </c>
      <c r="B7520" t="s">
        <v>15204</v>
      </c>
      <c r="C7520" t="s">
        <v>68</v>
      </c>
      <c r="D7520" t="s">
        <v>34</v>
      </c>
      <c r="E7520">
        <v>1313</v>
      </c>
      <c r="F7520">
        <v>2</v>
      </c>
      <c r="G7520">
        <v>2</v>
      </c>
      <c r="H7520">
        <v>1</v>
      </c>
      <c r="I7520">
        <v>0</v>
      </c>
      <c r="J7520">
        <v>1</v>
      </c>
      <c r="K7520">
        <v>1</v>
      </c>
      <c r="L7520">
        <v>1</v>
      </c>
      <c r="M7520">
        <v>1</v>
      </c>
      <c r="N7520">
        <v>1</v>
      </c>
      <c r="O7520">
        <v>1</v>
      </c>
      <c r="P7520" t="s">
        <v>6606</v>
      </c>
      <c r="Q7520" t="s">
        <v>6607</v>
      </c>
      <c r="R7520" t="s">
        <v>1191</v>
      </c>
      <c r="S7520" t="s">
        <v>1192</v>
      </c>
      <c r="T7520" t="s">
        <v>6602</v>
      </c>
      <c r="U7520" t="s">
        <v>6603</v>
      </c>
      <c r="V7520" t="s">
        <v>6600</v>
      </c>
      <c r="W7520" t="s">
        <v>6601</v>
      </c>
      <c r="AD7520" t="s">
        <v>1998</v>
      </c>
      <c r="AE7520" t="s">
        <v>6604</v>
      </c>
      <c r="AF7520" t="s">
        <v>15205</v>
      </c>
    </row>
    <row r="7521" spans="1:32" hidden="1" x14ac:dyDescent="0.35">
      <c r="A7521">
        <v>7520</v>
      </c>
      <c r="B7521" t="s">
        <v>15204</v>
      </c>
      <c r="C7521" t="s">
        <v>68</v>
      </c>
      <c r="D7521" t="s">
        <v>45</v>
      </c>
      <c r="E7521">
        <v>65</v>
      </c>
      <c r="F7521">
        <v>2</v>
      </c>
      <c r="G7521">
        <v>2</v>
      </c>
      <c r="H7521">
        <v>1</v>
      </c>
      <c r="I7521">
        <v>0</v>
      </c>
      <c r="J7521">
        <v>1</v>
      </c>
      <c r="K7521">
        <v>1</v>
      </c>
      <c r="L7521">
        <v>1</v>
      </c>
      <c r="M7521">
        <v>1</v>
      </c>
      <c r="N7521">
        <v>1</v>
      </c>
      <c r="O7521">
        <v>1</v>
      </c>
      <c r="P7521" t="s">
        <v>6606</v>
      </c>
      <c r="Q7521" t="s">
        <v>6607</v>
      </c>
      <c r="R7521" t="s">
        <v>1191</v>
      </c>
      <c r="S7521" t="s">
        <v>1192</v>
      </c>
      <c r="T7521" t="s">
        <v>6602</v>
      </c>
      <c r="U7521" t="s">
        <v>6603</v>
      </c>
      <c r="V7521" t="s">
        <v>6600</v>
      </c>
      <c r="W7521" t="s">
        <v>6601</v>
      </c>
      <c r="AD7521" t="s">
        <v>1998</v>
      </c>
      <c r="AE7521" t="s">
        <v>6604</v>
      </c>
      <c r="AF7521" t="s">
        <v>15205</v>
      </c>
    </row>
    <row r="7522" spans="1:32" hidden="1" x14ac:dyDescent="0.35">
      <c r="A7522">
        <v>7521</v>
      </c>
      <c r="B7522" t="s">
        <v>15206</v>
      </c>
      <c r="C7522" t="s">
        <v>68</v>
      </c>
      <c r="D7522" t="s">
        <v>34</v>
      </c>
      <c r="E7522">
        <v>476</v>
      </c>
      <c r="F7522">
        <v>2</v>
      </c>
      <c r="G7522">
        <v>2</v>
      </c>
      <c r="H7522">
        <v>1</v>
      </c>
      <c r="I7522">
        <v>0</v>
      </c>
      <c r="J7522">
        <v>1</v>
      </c>
      <c r="K7522">
        <v>1</v>
      </c>
      <c r="L7522">
        <v>1</v>
      </c>
      <c r="M7522">
        <v>1</v>
      </c>
      <c r="N7522">
        <v>1</v>
      </c>
      <c r="O7522">
        <v>1</v>
      </c>
      <c r="AF7522" t="s">
        <v>15207</v>
      </c>
    </row>
    <row r="7523" spans="1:32" hidden="1" x14ac:dyDescent="0.35">
      <c r="A7523">
        <v>7522</v>
      </c>
      <c r="B7523" t="s">
        <v>15206</v>
      </c>
      <c r="C7523" t="s">
        <v>68</v>
      </c>
      <c r="D7523" t="s">
        <v>45</v>
      </c>
      <c r="E7523">
        <v>1741</v>
      </c>
      <c r="F7523">
        <v>2</v>
      </c>
      <c r="G7523">
        <v>2</v>
      </c>
      <c r="H7523">
        <v>1</v>
      </c>
      <c r="I7523">
        <v>0</v>
      </c>
      <c r="J7523">
        <v>1</v>
      </c>
      <c r="K7523">
        <v>1</v>
      </c>
      <c r="L7523">
        <v>1</v>
      </c>
      <c r="M7523">
        <v>1</v>
      </c>
      <c r="N7523">
        <v>1</v>
      </c>
      <c r="O7523">
        <v>1</v>
      </c>
      <c r="AF7523" t="s">
        <v>15207</v>
      </c>
    </row>
    <row r="7524" spans="1:32" hidden="1" x14ac:dyDescent="0.35">
      <c r="A7524">
        <v>7523</v>
      </c>
      <c r="B7524" t="s">
        <v>15208</v>
      </c>
      <c r="C7524" t="s">
        <v>68</v>
      </c>
      <c r="D7524" t="s">
        <v>34</v>
      </c>
      <c r="E7524">
        <v>1001</v>
      </c>
      <c r="F7524">
        <v>2</v>
      </c>
      <c r="G7524">
        <v>2</v>
      </c>
      <c r="H7524">
        <v>1</v>
      </c>
      <c r="I7524">
        <v>0</v>
      </c>
      <c r="J7524">
        <v>1</v>
      </c>
      <c r="K7524">
        <v>1</v>
      </c>
      <c r="L7524">
        <v>1</v>
      </c>
      <c r="M7524">
        <v>1</v>
      </c>
      <c r="N7524">
        <v>1</v>
      </c>
      <c r="O7524">
        <v>1</v>
      </c>
      <c r="P7524" t="s">
        <v>3814</v>
      </c>
      <c r="Q7524" t="s">
        <v>3815</v>
      </c>
      <c r="R7524" t="s">
        <v>3970</v>
      </c>
      <c r="S7524" t="s">
        <v>3971</v>
      </c>
      <c r="T7524" t="s">
        <v>15209</v>
      </c>
      <c r="U7524" t="s">
        <v>15210</v>
      </c>
      <c r="V7524" t="s">
        <v>15211</v>
      </c>
      <c r="W7524" t="s">
        <v>15212</v>
      </c>
      <c r="AD7524" t="s">
        <v>410</v>
      </c>
      <c r="AE7524" t="s">
        <v>563</v>
      </c>
      <c r="AF7524" t="s">
        <v>15213</v>
      </c>
    </row>
    <row r="7525" spans="1:32" hidden="1" x14ac:dyDescent="0.35">
      <c r="A7525">
        <v>7524</v>
      </c>
      <c r="B7525" t="s">
        <v>15208</v>
      </c>
      <c r="C7525" t="s">
        <v>68</v>
      </c>
      <c r="D7525" t="s">
        <v>45</v>
      </c>
      <c r="E7525">
        <v>2255</v>
      </c>
      <c r="F7525">
        <v>2</v>
      </c>
      <c r="G7525">
        <v>2</v>
      </c>
      <c r="H7525">
        <v>1</v>
      </c>
      <c r="I7525">
        <v>0</v>
      </c>
      <c r="J7525">
        <v>1</v>
      </c>
      <c r="K7525">
        <v>1</v>
      </c>
      <c r="L7525">
        <v>1</v>
      </c>
      <c r="M7525">
        <v>1</v>
      </c>
      <c r="N7525">
        <v>1</v>
      </c>
      <c r="O7525">
        <v>1</v>
      </c>
      <c r="P7525" t="s">
        <v>3814</v>
      </c>
      <c r="Q7525" t="s">
        <v>3815</v>
      </c>
      <c r="R7525" t="s">
        <v>3970</v>
      </c>
      <c r="S7525" t="s">
        <v>3971</v>
      </c>
      <c r="T7525" t="s">
        <v>15209</v>
      </c>
      <c r="U7525" t="s">
        <v>15210</v>
      </c>
      <c r="V7525" t="s">
        <v>15211</v>
      </c>
      <c r="W7525" t="s">
        <v>15212</v>
      </c>
      <c r="AD7525" t="s">
        <v>410</v>
      </c>
      <c r="AE7525" t="s">
        <v>563</v>
      </c>
      <c r="AF7525" t="s">
        <v>15213</v>
      </c>
    </row>
    <row r="7526" spans="1:32" hidden="1" x14ac:dyDescent="0.35">
      <c r="A7526">
        <v>7525</v>
      </c>
      <c r="B7526" t="s">
        <v>15214</v>
      </c>
      <c r="C7526" t="s">
        <v>68</v>
      </c>
      <c r="D7526" t="s">
        <v>60</v>
      </c>
      <c r="E7526">
        <v>1251</v>
      </c>
      <c r="F7526">
        <v>2</v>
      </c>
      <c r="G7526">
        <v>2</v>
      </c>
      <c r="H7526">
        <v>1</v>
      </c>
      <c r="I7526">
        <v>0</v>
      </c>
      <c r="J7526">
        <v>1</v>
      </c>
      <c r="K7526">
        <v>1</v>
      </c>
      <c r="L7526">
        <v>1</v>
      </c>
      <c r="M7526">
        <v>1</v>
      </c>
      <c r="N7526">
        <v>1</v>
      </c>
      <c r="O7526">
        <v>1</v>
      </c>
      <c r="AF7526" t="s">
        <v>15215</v>
      </c>
    </row>
    <row r="7527" spans="1:32" hidden="1" x14ac:dyDescent="0.35">
      <c r="A7527">
        <v>7526</v>
      </c>
      <c r="B7527" t="s">
        <v>15214</v>
      </c>
      <c r="C7527" t="s">
        <v>68</v>
      </c>
      <c r="D7527" t="s">
        <v>62</v>
      </c>
      <c r="E7527">
        <v>1288</v>
      </c>
      <c r="F7527">
        <v>2</v>
      </c>
      <c r="G7527">
        <v>2</v>
      </c>
      <c r="H7527">
        <v>1</v>
      </c>
      <c r="I7527">
        <v>0</v>
      </c>
      <c r="J7527">
        <v>1</v>
      </c>
      <c r="K7527">
        <v>1</v>
      </c>
      <c r="L7527">
        <v>1</v>
      </c>
      <c r="M7527">
        <v>1</v>
      </c>
      <c r="N7527">
        <v>1</v>
      </c>
      <c r="O7527">
        <v>1</v>
      </c>
      <c r="AF7527" t="s">
        <v>15215</v>
      </c>
    </row>
    <row r="7528" spans="1:32" hidden="1" x14ac:dyDescent="0.35">
      <c r="A7528">
        <v>7527</v>
      </c>
      <c r="B7528" t="s">
        <v>15216</v>
      </c>
      <c r="C7528" t="s">
        <v>68</v>
      </c>
      <c r="D7528" t="s">
        <v>60</v>
      </c>
      <c r="E7528">
        <v>975</v>
      </c>
      <c r="F7528">
        <v>2</v>
      </c>
      <c r="G7528">
        <v>2</v>
      </c>
      <c r="H7528">
        <v>1</v>
      </c>
      <c r="I7528">
        <v>0</v>
      </c>
      <c r="J7528">
        <v>1</v>
      </c>
      <c r="K7528">
        <v>1</v>
      </c>
      <c r="L7528">
        <v>1</v>
      </c>
      <c r="M7528">
        <v>1</v>
      </c>
      <c r="N7528">
        <v>1</v>
      </c>
      <c r="O7528">
        <v>1</v>
      </c>
      <c r="P7528" t="s">
        <v>12700</v>
      </c>
      <c r="Q7528" t="s">
        <v>12701</v>
      </c>
      <c r="R7528" t="s">
        <v>652</v>
      </c>
      <c r="S7528" t="s">
        <v>653</v>
      </c>
      <c r="T7528" t="s">
        <v>12702</v>
      </c>
      <c r="U7528" t="s">
        <v>12703</v>
      </c>
      <c r="V7528" t="s">
        <v>12704</v>
      </c>
      <c r="W7528" t="s">
        <v>12705</v>
      </c>
      <c r="AD7528" t="s">
        <v>166</v>
      </c>
      <c r="AE7528" t="s">
        <v>818</v>
      </c>
      <c r="AF7528" t="s">
        <v>15217</v>
      </c>
    </row>
    <row r="7529" spans="1:32" hidden="1" x14ac:dyDescent="0.35">
      <c r="A7529">
        <v>7528</v>
      </c>
      <c r="B7529" t="s">
        <v>15216</v>
      </c>
      <c r="C7529" t="s">
        <v>68</v>
      </c>
      <c r="D7529" t="s">
        <v>62</v>
      </c>
      <c r="E7529">
        <v>1011</v>
      </c>
      <c r="F7529">
        <v>2</v>
      </c>
      <c r="G7529">
        <v>2</v>
      </c>
      <c r="H7529">
        <v>1</v>
      </c>
      <c r="I7529">
        <v>0</v>
      </c>
      <c r="J7529">
        <v>1</v>
      </c>
      <c r="K7529">
        <v>1</v>
      </c>
      <c r="L7529">
        <v>1</v>
      </c>
      <c r="M7529">
        <v>1</v>
      </c>
      <c r="N7529">
        <v>1</v>
      </c>
      <c r="O7529">
        <v>1</v>
      </c>
      <c r="P7529" t="s">
        <v>12700</v>
      </c>
      <c r="Q7529" t="s">
        <v>12701</v>
      </c>
      <c r="R7529" t="s">
        <v>652</v>
      </c>
      <c r="S7529" t="s">
        <v>653</v>
      </c>
      <c r="T7529" t="s">
        <v>12702</v>
      </c>
      <c r="U7529" t="s">
        <v>12703</v>
      </c>
      <c r="V7529" t="s">
        <v>12704</v>
      </c>
      <c r="W7529" t="s">
        <v>12705</v>
      </c>
      <c r="AD7529" t="s">
        <v>166</v>
      </c>
      <c r="AE7529" t="s">
        <v>818</v>
      </c>
      <c r="AF7529" t="s">
        <v>15217</v>
      </c>
    </row>
    <row r="7530" spans="1:32" hidden="1" x14ac:dyDescent="0.35">
      <c r="A7530">
        <v>7529</v>
      </c>
      <c r="B7530" t="s">
        <v>15218</v>
      </c>
      <c r="C7530" t="s">
        <v>68</v>
      </c>
      <c r="D7530" t="s">
        <v>60</v>
      </c>
      <c r="E7530">
        <v>126</v>
      </c>
      <c r="F7530">
        <v>2</v>
      </c>
      <c r="G7530">
        <v>2</v>
      </c>
      <c r="H7530">
        <v>1</v>
      </c>
      <c r="I7530">
        <v>0</v>
      </c>
      <c r="J7530">
        <v>1</v>
      </c>
      <c r="K7530">
        <v>1</v>
      </c>
      <c r="L7530">
        <v>1</v>
      </c>
      <c r="M7530">
        <v>1</v>
      </c>
      <c r="N7530">
        <v>1</v>
      </c>
      <c r="O7530">
        <v>1</v>
      </c>
      <c r="P7530" t="s">
        <v>10923</v>
      </c>
      <c r="Q7530" t="s">
        <v>10924</v>
      </c>
      <c r="R7530" t="s">
        <v>75</v>
      </c>
      <c r="S7530" t="s">
        <v>76</v>
      </c>
      <c r="T7530" t="s">
        <v>10925</v>
      </c>
      <c r="U7530" t="s">
        <v>407</v>
      </c>
      <c r="V7530" t="s">
        <v>14811</v>
      </c>
      <c r="W7530" t="s">
        <v>14812</v>
      </c>
      <c r="AD7530" t="s">
        <v>410</v>
      </c>
      <c r="AE7530" t="s">
        <v>411</v>
      </c>
      <c r="AF7530" t="s">
        <v>15219</v>
      </c>
    </row>
    <row r="7531" spans="1:32" hidden="1" x14ac:dyDescent="0.35">
      <c r="A7531">
        <v>7530</v>
      </c>
      <c r="B7531" t="s">
        <v>15218</v>
      </c>
      <c r="C7531" t="s">
        <v>68</v>
      </c>
      <c r="D7531" t="s">
        <v>62</v>
      </c>
      <c r="E7531">
        <v>198</v>
      </c>
      <c r="F7531">
        <v>2</v>
      </c>
      <c r="G7531">
        <v>2</v>
      </c>
      <c r="H7531">
        <v>1</v>
      </c>
      <c r="I7531">
        <v>0</v>
      </c>
      <c r="J7531">
        <v>1</v>
      </c>
      <c r="K7531">
        <v>1</v>
      </c>
      <c r="L7531">
        <v>1</v>
      </c>
      <c r="M7531">
        <v>1</v>
      </c>
      <c r="N7531">
        <v>1</v>
      </c>
      <c r="O7531">
        <v>1</v>
      </c>
      <c r="P7531" t="s">
        <v>10923</v>
      </c>
      <c r="Q7531" t="s">
        <v>10924</v>
      </c>
      <c r="R7531" t="s">
        <v>75</v>
      </c>
      <c r="S7531" t="s">
        <v>76</v>
      </c>
      <c r="T7531" t="s">
        <v>10925</v>
      </c>
      <c r="U7531" t="s">
        <v>407</v>
      </c>
      <c r="V7531" t="s">
        <v>14811</v>
      </c>
      <c r="W7531" t="s">
        <v>14812</v>
      </c>
      <c r="AD7531" t="s">
        <v>410</v>
      </c>
      <c r="AE7531" t="s">
        <v>411</v>
      </c>
      <c r="AF7531" t="s">
        <v>15219</v>
      </c>
    </row>
    <row r="7532" spans="1:32" hidden="1" x14ac:dyDescent="0.35">
      <c r="A7532">
        <v>7531</v>
      </c>
      <c r="B7532" t="s">
        <v>15220</v>
      </c>
      <c r="C7532" t="s">
        <v>68</v>
      </c>
      <c r="D7532" t="s">
        <v>60</v>
      </c>
      <c r="E7532">
        <v>610</v>
      </c>
      <c r="F7532">
        <v>2</v>
      </c>
      <c r="G7532">
        <v>2</v>
      </c>
      <c r="H7532">
        <v>1</v>
      </c>
      <c r="I7532">
        <v>0</v>
      </c>
      <c r="J7532">
        <v>1</v>
      </c>
      <c r="K7532">
        <v>1</v>
      </c>
      <c r="L7532">
        <v>1</v>
      </c>
      <c r="M7532">
        <v>1</v>
      </c>
      <c r="N7532">
        <v>1</v>
      </c>
      <c r="O7532">
        <v>1</v>
      </c>
      <c r="P7532" t="s">
        <v>8002</v>
      </c>
      <c r="Q7532" t="s">
        <v>8003</v>
      </c>
      <c r="R7532" t="s">
        <v>213</v>
      </c>
      <c r="S7532" t="s">
        <v>214</v>
      </c>
      <c r="T7532" t="s">
        <v>4493</v>
      </c>
      <c r="U7532" t="s">
        <v>4494</v>
      </c>
      <c r="V7532" t="s">
        <v>15221</v>
      </c>
      <c r="W7532" t="s">
        <v>15222</v>
      </c>
      <c r="AD7532" t="s">
        <v>245</v>
      </c>
      <c r="AE7532" t="s">
        <v>4497</v>
      </c>
      <c r="AF7532" t="s">
        <v>15223</v>
      </c>
    </row>
    <row r="7533" spans="1:32" hidden="1" x14ac:dyDescent="0.35">
      <c r="A7533">
        <v>7532</v>
      </c>
      <c r="B7533" t="s">
        <v>15220</v>
      </c>
      <c r="C7533" t="s">
        <v>68</v>
      </c>
      <c r="D7533" t="s">
        <v>62</v>
      </c>
      <c r="E7533">
        <v>694</v>
      </c>
      <c r="F7533">
        <v>2</v>
      </c>
      <c r="G7533">
        <v>2</v>
      </c>
      <c r="H7533">
        <v>1</v>
      </c>
      <c r="I7533">
        <v>0</v>
      </c>
      <c r="J7533">
        <v>1</v>
      </c>
      <c r="K7533">
        <v>1</v>
      </c>
      <c r="L7533">
        <v>1</v>
      </c>
      <c r="M7533">
        <v>1</v>
      </c>
      <c r="N7533">
        <v>1</v>
      </c>
      <c r="O7533">
        <v>1</v>
      </c>
      <c r="P7533" t="s">
        <v>8002</v>
      </c>
      <c r="Q7533" t="s">
        <v>8003</v>
      </c>
      <c r="R7533" t="s">
        <v>213</v>
      </c>
      <c r="S7533" t="s">
        <v>214</v>
      </c>
      <c r="T7533" t="s">
        <v>4493</v>
      </c>
      <c r="U7533" t="s">
        <v>4494</v>
      </c>
      <c r="V7533" t="s">
        <v>15221</v>
      </c>
      <c r="W7533" t="s">
        <v>15222</v>
      </c>
      <c r="AD7533" t="s">
        <v>245</v>
      </c>
      <c r="AE7533" t="s">
        <v>4497</v>
      </c>
      <c r="AF7533" t="s">
        <v>15223</v>
      </c>
    </row>
    <row r="7534" spans="1:32" hidden="1" x14ac:dyDescent="0.35">
      <c r="A7534">
        <v>7533</v>
      </c>
      <c r="B7534" t="s">
        <v>15224</v>
      </c>
      <c r="C7534" t="s">
        <v>68</v>
      </c>
      <c r="D7534" t="s">
        <v>34</v>
      </c>
      <c r="E7534">
        <v>1403</v>
      </c>
      <c r="F7534">
        <v>2</v>
      </c>
      <c r="G7534">
        <v>2</v>
      </c>
      <c r="H7534">
        <v>1</v>
      </c>
      <c r="I7534">
        <v>0</v>
      </c>
      <c r="J7534">
        <v>1</v>
      </c>
      <c r="K7534">
        <v>1</v>
      </c>
      <c r="L7534">
        <v>1</v>
      </c>
      <c r="M7534">
        <v>1</v>
      </c>
      <c r="N7534">
        <v>1</v>
      </c>
      <c r="O7534">
        <v>1</v>
      </c>
      <c r="P7534" t="s">
        <v>15225</v>
      </c>
      <c r="Q7534" t="s">
        <v>15226</v>
      </c>
      <c r="AF7534" t="s">
        <v>15227</v>
      </c>
    </row>
    <row r="7535" spans="1:32" hidden="1" x14ac:dyDescent="0.35">
      <c r="A7535">
        <v>7534</v>
      </c>
      <c r="B7535" t="s">
        <v>15224</v>
      </c>
      <c r="C7535" t="s">
        <v>68</v>
      </c>
      <c r="D7535" t="s">
        <v>45</v>
      </c>
      <c r="E7535">
        <v>154</v>
      </c>
      <c r="F7535">
        <v>2</v>
      </c>
      <c r="G7535">
        <v>2</v>
      </c>
      <c r="H7535">
        <v>1</v>
      </c>
      <c r="I7535">
        <v>0</v>
      </c>
      <c r="J7535">
        <v>1</v>
      </c>
      <c r="K7535">
        <v>1</v>
      </c>
      <c r="L7535">
        <v>1</v>
      </c>
      <c r="M7535">
        <v>1</v>
      </c>
      <c r="N7535">
        <v>1</v>
      </c>
      <c r="O7535">
        <v>1</v>
      </c>
      <c r="P7535" t="s">
        <v>15225</v>
      </c>
      <c r="Q7535" t="s">
        <v>15226</v>
      </c>
      <c r="AF7535" t="s">
        <v>15227</v>
      </c>
    </row>
    <row r="7536" spans="1:32" hidden="1" x14ac:dyDescent="0.35">
      <c r="A7536">
        <v>7535</v>
      </c>
      <c r="B7536" t="s">
        <v>15228</v>
      </c>
      <c r="C7536" t="s">
        <v>68</v>
      </c>
      <c r="D7536" t="s">
        <v>60</v>
      </c>
      <c r="E7536">
        <v>837</v>
      </c>
      <c r="F7536">
        <v>2</v>
      </c>
      <c r="G7536">
        <v>2</v>
      </c>
      <c r="H7536">
        <v>1</v>
      </c>
      <c r="I7536">
        <v>0</v>
      </c>
      <c r="J7536">
        <v>1</v>
      </c>
      <c r="K7536">
        <v>1</v>
      </c>
      <c r="L7536">
        <v>1</v>
      </c>
      <c r="M7536">
        <v>1</v>
      </c>
      <c r="N7536">
        <v>1</v>
      </c>
      <c r="O7536">
        <v>1</v>
      </c>
      <c r="AF7536" t="s">
        <v>15229</v>
      </c>
    </row>
    <row r="7537" spans="1:32" hidden="1" x14ac:dyDescent="0.35">
      <c r="A7537">
        <v>7536</v>
      </c>
      <c r="B7537" t="s">
        <v>15228</v>
      </c>
      <c r="C7537" t="s">
        <v>68</v>
      </c>
      <c r="D7537" t="s">
        <v>62</v>
      </c>
      <c r="E7537">
        <v>871</v>
      </c>
      <c r="F7537">
        <v>2</v>
      </c>
      <c r="G7537">
        <v>2</v>
      </c>
      <c r="H7537">
        <v>1</v>
      </c>
      <c r="I7537">
        <v>0</v>
      </c>
      <c r="J7537">
        <v>1</v>
      </c>
      <c r="K7537">
        <v>1</v>
      </c>
      <c r="L7537">
        <v>1</v>
      </c>
      <c r="M7537">
        <v>1</v>
      </c>
      <c r="N7537">
        <v>1</v>
      </c>
      <c r="O7537">
        <v>1</v>
      </c>
      <c r="AF7537" t="s">
        <v>15229</v>
      </c>
    </row>
    <row r="7538" spans="1:32" hidden="1" x14ac:dyDescent="0.35">
      <c r="A7538">
        <v>7537</v>
      </c>
      <c r="B7538" t="s">
        <v>15230</v>
      </c>
      <c r="C7538" t="s">
        <v>68</v>
      </c>
      <c r="D7538" t="s">
        <v>60</v>
      </c>
      <c r="E7538">
        <v>1462</v>
      </c>
      <c r="F7538">
        <v>2</v>
      </c>
      <c r="G7538">
        <v>2</v>
      </c>
      <c r="H7538">
        <v>1</v>
      </c>
      <c r="I7538">
        <v>0</v>
      </c>
      <c r="J7538">
        <v>1</v>
      </c>
      <c r="K7538">
        <v>1</v>
      </c>
      <c r="L7538">
        <v>1</v>
      </c>
      <c r="M7538">
        <v>1</v>
      </c>
      <c r="N7538">
        <v>1</v>
      </c>
      <c r="O7538">
        <v>1</v>
      </c>
      <c r="P7538" t="s">
        <v>1041</v>
      </c>
      <c r="Q7538" t="s">
        <v>1042</v>
      </c>
      <c r="R7538" t="s">
        <v>138</v>
      </c>
      <c r="S7538" t="s">
        <v>139</v>
      </c>
      <c r="V7538" t="s">
        <v>1038</v>
      </c>
      <c r="W7538" t="s">
        <v>1039</v>
      </c>
      <c r="AF7538" t="s">
        <v>15231</v>
      </c>
    </row>
    <row r="7539" spans="1:32" hidden="1" x14ac:dyDescent="0.35">
      <c r="A7539">
        <v>7538</v>
      </c>
      <c r="B7539" t="s">
        <v>15230</v>
      </c>
      <c r="C7539" t="s">
        <v>68</v>
      </c>
      <c r="D7539" t="s">
        <v>62</v>
      </c>
      <c r="E7539">
        <v>1497</v>
      </c>
      <c r="F7539">
        <v>2</v>
      </c>
      <c r="G7539">
        <v>2</v>
      </c>
      <c r="H7539">
        <v>1</v>
      </c>
      <c r="I7539">
        <v>0</v>
      </c>
      <c r="J7539">
        <v>1</v>
      </c>
      <c r="K7539">
        <v>1</v>
      </c>
      <c r="L7539">
        <v>1</v>
      </c>
      <c r="M7539">
        <v>1</v>
      </c>
      <c r="N7539">
        <v>1</v>
      </c>
      <c r="O7539">
        <v>1</v>
      </c>
      <c r="P7539" t="s">
        <v>1041</v>
      </c>
      <c r="Q7539" t="s">
        <v>1042</v>
      </c>
      <c r="R7539" t="s">
        <v>138</v>
      </c>
      <c r="S7539" t="s">
        <v>139</v>
      </c>
      <c r="V7539" t="s">
        <v>1038</v>
      </c>
      <c r="W7539" t="s">
        <v>1039</v>
      </c>
      <c r="AF7539" t="s">
        <v>15231</v>
      </c>
    </row>
    <row r="7540" spans="1:32" hidden="1" x14ac:dyDescent="0.35">
      <c r="A7540">
        <v>7539</v>
      </c>
      <c r="B7540" t="s">
        <v>15232</v>
      </c>
      <c r="C7540" t="s">
        <v>68</v>
      </c>
      <c r="D7540" t="s">
        <v>60</v>
      </c>
      <c r="E7540">
        <v>2156</v>
      </c>
      <c r="F7540">
        <v>2</v>
      </c>
      <c r="G7540">
        <v>2</v>
      </c>
      <c r="H7540">
        <v>1</v>
      </c>
      <c r="I7540">
        <v>0</v>
      </c>
      <c r="J7540">
        <v>1</v>
      </c>
      <c r="K7540">
        <v>1</v>
      </c>
      <c r="L7540">
        <v>1</v>
      </c>
      <c r="M7540">
        <v>1</v>
      </c>
      <c r="N7540">
        <v>1</v>
      </c>
      <c r="O7540">
        <v>1</v>
      </c>
      <c r="P7540" t="s">
        <v>15233</v>
      </c>
      <c r="Q7540" t="s">
        <v>15234</v>
      </c>
      <c r="R7540" t="s">
        <v>138</v>
      </c>
      <c r="S7540" t="s">
        <v>139</v>
      </c>
      <c r="V7540" t="s">
        <v>11356</v>
      </c>
      <c r="W7540" t="s">
        <v>11357</v>
      </c>
      <c r="AF7540" t="s">
        <v>15235</v>
      </c>
    </row>
    <row r="7541" spans="1:32" hidden="1" x14ac:dyDescent="0.35">
      <c r="A7541">
        <v>7540</v>
      </c>
      <c r="B7541" t="s">
        <v>15232</v>
      </c>
      <c r="C7541" t="s">
        <v>68</v>
      </c>
      <c r="D7541" t="s">
        <v>62</v>
      </c>
      <c r="E7541">
        <v>2190</v>
      </c>
      <c r="F7541">
        <v>2</v>
      </c>
      <c r="G7541">
        <v>2</v>
      </c>
      <c r="H7541">
        <v>1</v>
      </c>
      <c r="I7541">
        <v>0</v>
      </c>
      <c r="J7541">
        <v>1</v>
      </c>
      <c r="K7541">
        <v>1</v>
      </c>
      <c r="L7541">
        <v>1</v>
      </c>
      <c r="M7541">
        <v>1</v>
      </c>
      <c r="N7541">
        <v>1</v>
      </c>
      <c r="O7541">
        <v>1</v>
      </c>
      <c r="P7541" t="s">
        <v>15233</v>
      </c>
      <c r="Q7541" t="s">
        <v>15234</v>
      </c>
      <c r="R7541" t="s">
        <v>138</v>
      </c>
      <c r="S7541" t="s">
        <v>139</v>
      </c>
      <c r="V7541" t="s">
        <v>11356</v>
      </c>
      <c r="W7541" t="s">
        <v>11357</v>
      </c>
      <c r="AF7541" t="s">
        <v>15235</v>
      </c>
    </row>
    <row r="7542" spans="1:32" hidden="1" x14ac:dyDescent="0.35">
      <c r="A7542">
        <v>7541</v>
      </c>
      <c r="B7542" t="s">
        <v>15236</v>
      </c>
      <c r="C7542" t="s">
        <v>68</v>
      </c>
      <c r="D7542" t="s">
        <v>60</v>
      </c>
      <c r="E7542">
        <v>202</v>
      </c>
      <c r="F7542">
        <v>2</v>
      </c>
      <c r="G7542">
        <v>2</v>
      </c>
      <c r="H7542">
        <v>1</v>
      </c>
      <c r="I7542">
        <v>0</v>
      </c>
      <c r="J7542">
        <v>1</v>
      </c>
      <c r="K7542">
        <v>1</v>
      </c>
      <c r="L7542">
        <v>1</v>
      </c>
      <c r="M7542">
        <v>1</v>
      </c>
      <c r="N7542">
        <v>1</v>
      </c>
      <c r="O7542">
        <v>1</v>
      </c>
      <c r="P7542" t="s">
        <v>12966</v>
      </c>
      <c r="Q7542" t="s">
        <v>12967</v>
      </c>
      <c r="R7542" t="s">
        <v>288</v>
      </c>
      <c r="S7542" t="s">
        <v>289</v>
      </c>
      <c r="T7542" t="s">
        <v>12968</v>
      </c>
      <c r="U7542" t="s">
        <v>407</v>
      </c>
      <c r="V7542" t="s">
        <v>12969</v>
      </c>
      <c r="W7542" t="s">
        <v>12970</v>
      </c>
      <c r="AD7542" t="s">
        <v>410</v>
      </c>
      <c r="AE7542" t="s">
        <v>411</v>
      </c>
      <c r="AF7542" t="s">
        <v>15237</v>
      </c>
    </row>
    <row r="7543" spans="1:32" hidden="1" x14ac:dyDescent="0.35">
      <c r="A7543">
        <v>7542</v>
      </c>
      <c r="B7543" t="s">
        <v>15236</v>
      </c>
      <c r="C7543" t="s">
        <v>68</v>
      </c>
      <c r="D7543" t="s">
        <v>62</v>
      </c>
      <c r="E7543">
        <v>279</v>
      </c>
      <c r="F7543">
        <v>2</v>
      </c>
      <c r="G7543">
        <v>2</v>
      </c>
      <c r="H7543">
        <v>1</v>
      </c>
      <c r="I7543">
        <v>0</v>
      </c>
      <c r="J7543">
        <v>1</v>
      </c>
      <c r="K7543">
        <v>1</v>
      </c>
      <c r="L7543">
        <v>1</v>
      </c>
      <c r="M7543">
        <v>1</v>
      </c>
      <c r="N7543">
        <v>1</v>
      </c>
      <c r="O7543">
        <v>1</v>
      </c>
      <c r="P7543" t="s">
        <v>12966</v>
      </c>
      <c r="Q7543" t="s">
        <v>12967</v>
      </c>
      <c r="R7543" t="s">
        <v>288</v>
      </c>
      <c r="S7543" t="s">
        <v>289</v>
      </c>
      <c r="T7543" t="s">
        <v>12968</v>
      </c>
      <c r="U7543" t="s">
        <v>407</v>
      </c>
      <c r="V7543" t="s">
        <v>12969</v>
      </c>
      <c r="W7543" t="s">
        <v>12970</v>
      </c>
      <c r="AD7543" t="s">
        <v>410</v>
      </c>
      <c r="AE7543" t="s">
        <v>411</v>
      </c>
      <c r="AF7543" t="s">
        <v>15237</v>
      </c>
    </row>
    <row r="7544" spans="1:32" hidden="1" x14ac:dyDescent="0.35">
      <c r="A7544">
        <v>7543</v>
      </c>
      <c r="B7544" t="s">
        <v>15238</v>
      </c>
      <c r="C7544" t="s">
        <v>68</v>
      </c>
      <c r="D7544" t="s">
        <v>60</v>
      </c>
      <c r="E7544">
        <v>2164</v>
      </c>
      <c r="F7544">
        <v>2</v>
      </c>
      <c r="G7544">
        <v>2</v>
      </c>
      <c r="H7544">
        <v>1</v>
      </c>
      <c r="I7544">
        <v>0</v>
      </c>
      <c r="J7544">
        <v>1</v>
      </c>
      <c r="K7544">
        <v>1</v>
      </c>
      <c r="L7544">
        <v>1</v>
      </c>
      <c r="M7544">
        <v>1</v>
      </c>
      <c r="N7544">
        <v>1</v>
      </c>
      <c r="O7544">
        <v>1</v>
      </c>
      <c r="P7544" t="s">
        <v>11398</v>
      </c>
      <c r="Q7544" t="s">
        <v>11399</v>
      </c>
      <c r="R7544" t="s">
        <v>75</v>
      </c>
      <c r="S7544" t="s">
        <v>76</v>
      </c>
      <c r="V7544" t="s">
        <v>14811</v>
      </c>
      <c r="W7544" t="s">
        <v>14812</v>
      </c>
      <c r="AF7544" t="s">
        <v>15239</v>
      </c>
    </row>
    <row r="7545" spans="1:32" hidden="1" x14ac:dyDescent="0.35">
      <c r="A7545">
        <v>7544</v>
      </c>
      <c r="B7545" t="s">
        <v>15238</v>
      </c>
      <c r="C7545" t="s">
        <v>68</v>
      </c>
      <c r="D7545" t="s">
        <v>62</v>
      </c>
      <c r="E7545">
        <v>2198</v>
      </c>
      <c r="F7545">
        <v>2</v>
      </c>
      <c r="G7545">
        <v>2</v>
      </c>
      <c r="H7545">
        <v>1</v>
      </c>
      <c r="I7545">
        <v>0</v>
      </c>
      <c r="J7545">
        <v>1</v>
      </c>
      <c r="K7545">
        <v>1</v>
      </c>
      <c r="L7545">
        <v>1</v>
      </c>
      <c r="M7545">
        <v>1</v>
      </c>
      <c r="N7545">
        <v>1</v>
      </c>
      <c r="O7545">
        <v>1</v>
      </c>
      <c r="P7545" t="s">
        <v>11398</v>
      </c>
      <c r="Q7545" t="s">
        <v>11399</v>
      </c>
      <c r="R7545" t="s">
        <v>75</v>
      </c>
      <c r="S7545" t="s">
        <v>76</v>
      </c>
      <c r="V7545" t="s">
        <v>14811</v>
      </c>
      <c r="W7545" t="s">
        <v>14812</v>
      </c>
      <c r="AF7545" t="s">
        <v>15239</v>
      </c>
    </row>
    <row r="7546" spans="1:32" hidden="1" x14ac:dyDescent="0.35">
      <c r="A7546">
        <v>7545</v>
      </c>
      <c r="B7546" t="s">
        <v>15240</v>
      </c>
      <c r="C7546" t="s">
        <v>68</v>
      </c>
      <c r="D7546" t="s">
        <v>60</v>
      </c>
      <c r="E7546">
        <v>438</v>
      </c>
      <c r="F7546">
        <v>2</v>
      </c>
      <c r="G7546">
        <v>2</v>
      </c>
      <c r="H7546">
        <v>1</v>
      </c>
      <c r="I7546">
        <v>0</v>
      </c>
      <c r="J7546">
        <v>1</v>
      </c>
      <c r="K7546">
        <v>1</v>
      </c>
      <c r="L7546">
        <v>1</v>
      </c>
      <c r="M7546">
        <v>1</v>
      </c>
      <c r="N7546">
        <v>1</v>
      </c>
      <c r="O7546">
        <v>1</v>
      </c>
      <c r="P7546" t="s">
        <v>15241</v>
      </c>
      <c r="Q7546" t="s">
        <v>15242</v>
      </c>
      <c r="T7546" t="s">
        <v>15243</v>
      </c>
      <c r="U7546" t="s">
        <v>15244</v>
      </c>
      <c r="AD7546" t="s">
        <v>5013</v>
      </c>
      <c r="AE7546" t="s">
        <v>15245</v>
      </c>
      <c r="AF7546" t="s">
        <v>15246</v>
      </c>
    </row>
    <row r="7547" spans="1:32" hidden="1" x14ac:dyDescent="0.35">
      <c r="A7547">
        <v>7546</v>
      </c>
      <c r="B7547" t="s">
        <v>15240</v>
      </c>
      <c r="C7547" t="s">
        <v>68</v>
      </c>
      <c r="D7547" t="s">
        <v>62</v>
      </c>
      <c r="E7547">
        <v>519</v>
      </c>
      <c r="F7547">
        <v>2</v>
      </c>
      <c r="G7547">
        <v>2</v>
      </c>
      <c r="H7547">
        <v>1</v>
      </c>
      <c r="I7547">
        <v>0</v>
      </c>
      <c r="J7547">
        <v>1</v>
      </c>
      <c r="K7547">
        <v>1</v>
      </c>
      <c r="L7547">
        <v>1</v>
      </c>
      <c r="M7547">
        <v>1</v>
      </c>
      <c r="N7547">
        <v>1</v>
      </c>
      <c r="O7547">
        <v>1</v>
      </c>
      <c r="P7547" t="s">
        <v>15241</v>
      </c>
      <c r="Q7547" t="s">
        <v>15242</v>
      </c>
      <c r="T7547" t="s">
        <v>15243</v>
      </c>
      <c r="U7547" t="s">
        <v>15244</v>
      </c>
      <c r="AD7547" t="s">
        <v>5013</v>
      </c>
      <c r="AE7547" t="s">
        <v>15245</v>
      </c>
      <c r="AF7547" t="s">
        <v>15246</v>
      </c>
    </row>
    <row r="7548" spans="1:32" hidden="1" x14ac:dyDescent="0.35">
      <c r="A7548">
        <v>7547</v>
      </c>
      <c r="B7548" t="s">
        <v>15247</v>
      </c>
      <c r="C7548" t="s">
        <v>68</v>
      </c>
      <c r="D7548" t="s">
        <v>60</v>
      </c>
      <c r="E7548">
        <v>1034</v>
      </c>
      <c r="F7548">
        <v>2</v>
      </c>
      <c r="G7548">
        <v>2</v>
      </c>
      <c r="H7548">
        <v>1</v>
      </c>
      <c r="I7548">
        <v>0</v>
      </c>
      <c r="J7548">
        <v>1</v>
      </c>
      <c r="K7548">
        <v>1</v>
      </c>
      <c r="L7548">
        <v>1</v>
      </c>
      <c r="M7548">
        <v>1</v>
      </c>
      <c r="N7548">
        <v>1</v>
      </c>
      <c r="O7548">
        <v>1</v>
      </c>
      <c r="P7548" t="s">
        <v>15248</v>
      </c>
      <c r="Q7548" t="s">
        <v>15249</v>
      </c>
      <c r="AF7548" t="s">
        <v>15250</v>
      </c>
    </row>
    <row r="7549" spans="1:32" hidden="1" x14ac:dyDescent="0.35">
      <c r="A7549">
        <v>7548</v>
      </c>
      <c r="B7549" t="s">
        <v>15247</v>
      </c>
      <c r="C7549" t="s">
        <v>68</v>
      </c>
      <c r="D7549" t="s">
        <v>62</v>
      </c>
      <c r="E7549">
        <v>1070</v>
      </c>
      <c r="F7549">
        <v>2</v>
      </c>
      <c r="G7549">
        <v>2</v>
      </c>
      <c r="H7549">
        <v>1</v>
      </c>
      <c r="I7549">
        <v>0</v>
      </c>
      <c r="J7549">
        <v>1</v>
      </c>
      <c r="K7549">
        <v>1</v>
      </c>
      <c r="L7549">
        <v>1</v>
      </c>
      <c r="M7549">
        <v>1</v>
      </c>
      <c r="N7549">
        <v>1</v>
      </c>
      <c r="O7549">
        <v>1</v>
      </c>
      <c r="P7549" t="s">
        <v>15248</v>
      </c>
      <c r="Q7549" t="s">
        <v>15249</v>
      </c>
      <c r="AF7549" t="s">
        <v>15250</v>
      </c>
    </row>
    <row r="7550" spans="1:32" hidden="1" x14ac:dyDescent="0.35">
      <c r="A7550">
        <v>7549</v>
      </c>
      <c r="B7550" t="s">
        <v>15251</v>
      </c>
      <c r="C7550" t="s">
        <v>68</v>
      </c>
      <c r="D7550" t="s">
        <v>60</v>
      </c>
      <c r="E7550">
        <v>1579</v>
      </c>
      <c r="F7550">
        <v>2</v>
      </c>
      <c r="G7550">
        <v>2</v>
      </c>
      <c r="H7550">
        <v>1</v>
      </c>
      <c r="I7550">
        <v>0</v>
      </c>
      <c r="J7550">
        <v>1</v>
      </c>
      <c r="K7550">
        <v>1</v>
      </c>
      <c r="L7550">
        <v>1</v>
      </c>
      <c r="M7550">
        <v>1</v>
      </c>
      <c r="N7550">
        <v>1</v>
      </c>
      <c r="O7550">
        <v>1</v>
      </c>
      <c r="P7550" t="s">
        <v>3260</v>
      </c>
      <c r="Q7550" t="s">
        <v>3261</v>
      </c>
      <c r="R7550" t="s">
        <v>288</v>
      </c>
      <c r="S7550" t="s">
        <v>289</v>
      </c>
      <c r="T7550" t="s">
        <v>11083</v>
      </c>
      <c r="U7550" t="s">
        <v>11084</v>
      </c>
      <c r="V7550" t="s">
        <v>15252</v>
      </c>
      <c r="W7550" t="s">
        <v>15253</v>
      </c>
      <c r="AD7550" t="s">
        <v>219</v>
      </c>
      <c r="AE7550" t="s">
        <v>11085</v>
      </c>
      <c r="AF7550" t="s">
        <v>15254</v>
      </c>
    </row>
    <row r="7551" spans="1:32" hidden="1" x14ac:dyDescent="0.35">
      <c r="A7551">
        <v>7550</v>
      </c>
      <c r="B7551" t="s">
        <v>15251</v>
      </c>
      <c r="C7551" t="s">
        <v>68</v>
      </c>
      <c r="D7551" t="s">
        <v>62</v>
      </c>
      <c r="E7551">
        <v>1615</v>
      </c>
      <c r="F7551">
        <v>2</v>
      </c>
      <c r="G7551">
        <v>2</v>
      </c>
      <c r="H7551">
        <v>1</v>
      </c>
      <c r="I7551">
        <v>0</v>
      </c>
      <c r="J7551">
        <v>1</v>
      </c>
      <c r="K7551">
        <v>1</v>
      </c>
      <c r="L7551">
        <v>1</v>
      </c>
      <c r="M7551">
        <v>1</v>
      </c>
      <c r="N7551">
        <v>1</v>
      </c>
      <c r="O7551">
        <v>1</v>
      </c>
      <c r="P7551" t="s">
        <v>3260</v>
      </c>
      <c r="Q7551" t="s">
        <v>3261</v>
      </c>
      <c r="R7551" t="s">
        <v>288</v>
      </c>
      <c r="S7551" t="s">
        <v>289</v>
      </c>
      <c r="T7551" t="s">
        <v>11083</v>
      </c>
      <c r="U7551" t="s">
        <v>11084</v>
      </c>
      <c r="V7551" t="s">
        <v>15252</v>
      </c>
      <c r="W7551" t="s">
        <v>15253</v>
      </c>
      <c r="AD7551" t="s">
        <v>219</v>
      </c>
      <c r="AE7551" t="s">
        <v>11085</v>
      </c>
      <c r="AF7551" t="s">
        <v>15254</v>
      </c>
    </row>
    <row r="7552" spans="1:32" hidden="1" x14ac:dyDescent="0.35">
      <c r="A7552">
        <v>7551</v>
      </c>
      <c r="B7552" t="s">
        <v>15255</v>
      </c>
      <c r="C7552" t="s">
        <v>68</v>
      </c>
      <c r="D7552" t="s">
        <v>60</v>
      </c>
      <c r="E7552">
        <v>1972</v>
      </c>
      <c r="F7552">
        <v>2</v>
      </c>
      <c r="G7552">
        <v>2</v>
      </c>
      <c r="H7552">
        <v>1</v>
      </c>
      <c r="I7552">
        <v>0</v>
      </c>
      <c r="J7552">
        <v>1</v>
      </c>
      <c r="K7552">
        <v>1</v>
      </c>
      <c r="L7552">
        <v>1</v>
      </c>
      <c r="M7552">
        <v>1</v>
      </c>
      <c r="N7552">
        <v>1</v>
      </c>
      <c r="O7552">
        <v>1</v>
      </c>
      <c r="P7552" t="s">
        <v>15256</v>
      </c>
      <c r="Q7552" t="s">
        <v>15257</v>
      </c>
      <c r="AF7552" t="s">
        <v>15258</v>
      </c>
    </row>
    <row r="7553" spans="1:32" hidden="1" x14ac:dyDescent="0.35">
      <c r="A7553">
        <v>7552</v>
      </c>
      <c r="B7553" t="s">
        <v>15255</v>
      </c>
      <c r="C7553" t="s">
        <v>68</v>
      </c>
      <c r="D7553" t="s">
        <v>62</v>
      </c>
      <c r="E7553">
        <v>2013</v>
      </c>
      <c r="F7553">
        <v>2</v>
      </c>
      <c r="G7553">
        <v>2</v>
      </c>
      <c r="H7553">
        <v>1</v>
      </c>
      <c r="I7553">
        <v>0</v>
      </c>
      <c r="J7553">
        <v>1</v>
      </c>
      <c r="K7553">
        <v>1</v>
      </c>
      <c r="L7553">
        <v>1</v>
      </c>
      <c r="M7553">
        <v>1</v>
      </c>
      <c r="N7553">
        <v>1</v>
      </c>
      <c r="O7553">
        <v>1</v>
      </c>
      <c r="P7553" t="s">
        <v>15256</v>
      </c>
      <c r="Q7553" t="s">
        <v>15257</v>
      </c>
      <c r="AF7553" t="s">
        <v>15258</v>
      </c>
    </row>
    <row r="7554" spans="1:32" hidden="1" x14ac:dyDescent="0.35">
      <c r="A7554">
        <v>7553</v>
      </c>
      <c r="B7554" t="s">
        <v>15259</v>
      </c>
      <c r="C7554" t="s">
        <v>68</v>
      </c>
      <c r="D7554" t="s">
        <v>60</v>
      </c>
      <c r="E7554">
        <v>99</v>
      </c>
      <c r="F7554">
        <v>2</v>
      </c>
      <c r="G7554">
        <v>2</v>
      </c>
      <c r="H7554">
        <v>1</v>
      </c>
      <c r="I7554">
        <v>0</v>
      </c>
      <c r="J7554">
        <v>1</v>
      </c>
      <c r="K7554">
        <v>1</v>
      </c>
      <c r="L7554">
        <v>1</v>
      </c>
      <c r="M7554">
        <v>1</v>
      </c>
      <c r="N7554">
        <v>1</v>
      </c>
      <c r="O7554">
        <v>1</v>
      </c>
      <c r="P7554" t="s">
        <v>13196</v>
      </c>
      <c r="Q7554" t="s">
        <v>13197</v>
      </c>
      <c r="R7554" t="s">
        <v>157</v>
      </c>
      <c r="S7554" t="s">
        <v>158</v>
      </c>
      <c r="T7554" t="s">
        <v>13198</v>
      </c>
      <c r="U7554" t="s">
        <v>13199</v>
      </c>
      <c r="V7554" t="s">
        <v>13200</v>
      </c>
      <c r="W7554" t="s">
        <v>13201</v>
      </c>
      <c r="AD7554" t="s">
        <v>410</v>
      </c>
      <c r="AE7554" t="s">
        <v>5489</v>
      </c>
      <c r="AF7554" t="s">
        <v>15260</v>
      </c>
    </row>
    <row r="7555" spans="1:32" hidden="1" x14ac:dyDescent="0.35">
      <c r="A7555">
        <v>7554</v>
      </c>
      <c r="B7555" t="s">
        <v>15259</v>
      </c>
      <c r="C7555" t="s">
        <v>68</v>
      </c>
      <c r="D7555" t="s">
        <v>62</v>
      </c>
      <c r="E7555">
        <v>171</v>
      </c>
      <c r="F7555">
        <v>2</v>
      </c>
      <c r="G7555">
        <v>2</v>
      </c>
      <c r="H7555">
        <v>1</v>
      </c>
      <c r="I7555">
        <v>0</v>
      </c>
      <c r="J7555">
        <v>1</v>
      </c>
      <c r="K7555">
        <v>1</v>
      </c>
      <c r="L7555">
        <v>1</v>
      </c>
      <c r="M7555">
        <v>1</v>
      </c>
      <c r="N7555">
        <v>1</v>
      </c>
      <c r="O7555">
        <v>1</v>
      </c>
      <c r="P7555" t="s">
        <v>13196</v>
      </c>
      <c r="Q7555" t="s">
        <v>13197</v>
      </c>
      <c r="R7555" t="s">
        <v>157</v>
      </c>
      <c r="S7555" t="s">
        <v>158</v>
      </c>
      <c r="T7555" t="s">
        <v>13198</v>
      </c>
      <c r="U7555" t="s">
        <v>13199</v>
      </c>
      <c r="V7555" t="s">
        <v>13200</v>
      </c>
      <c r="W7555" t="s">
        <v>13201</v>
      </c>
      <c r="AD7555" t="s">
        <v>410</v>
      </c>
      <c r="AE7555" t="s">
        <v>5489</v>
      </c>
      <c r="AF7555" t="s">
        <v>15260</v>
      </c>
    </row>
    <row r="7556" spans="1:32" hidden="1" x14ac:dyDescent="0.35">
      <c r="A7556">
        <v>7555</v>
      </c>
      <c r="B7556" t="s">
        <v>15261</v>
      </c>
      <c r="C7556" t="s">
        <v>68</v>
      </c>
      <c r="D7556" t="s">
        <v>60</v>
      </c>
      <c r="E7556">
        <v>1549</v>
      </c>
      <c r="F7556">
        <v>2</v>
      </c>
      <c r="G7556">
        <v>2</v>
      </c>
      <c r="H7556">
        <v>1</v>
      </c>
      <c r="I7556">
        <v>0</v>
      </c>
      <c r="J7556">
        <v>1</v>
      </c>
      <c r="K7556">
        <v>1</v>
      </c>
      <c r="L7556">
        <v>1</v>
      </c>
      <c r="M7556">
        <v>1</v>
      </c>
      <c r="N7556">
        <v>1</v>
      </c>
      <c r="O7556">
        <v>1</v>
      </c>
      <c r="P7556" t="s">
        <v>169</v>
      </c>
      <c r="Q7556" t="s">
        <v>170</v>
      </c>
      <c r="R7556" t="s">
        <v>96</v>
      </c>
      <c r="S7556" t="s">
        <v>97</v>
      </c>
      <c r="V7556" t="s">
        <v>11799</v>
      </c>
      <c r="W7556" t="s">
        <v>11800</v>
      </c>
      <c r="AF7556" t="s">
        <v>15262</v>
      </c>
    </row>
    <row r="7557" spans="1:32" hidden="1" x14ac:dyDescent="0.35">
      <c r="A7557">
        <v>7556</v>
      </c>
      <c r="B7557" t="s">
        <v>15261</v>
      </c>
      <c r="C7557" t="s">
        <v>68</v>
      </c>
      <c r="D7557" t="s">
        <v>62</v>
      </c>
      <c r="E7557">
        <v>1584</v>
      </c>
      <c r="F7557">
        <v>2</v>
      </c>
      <c r="G7557">
        <v>2</v>
      </c>
      <c r="H7557">
        <v>1</v>
      </c>
      <c r="I7557">
        <v>0</v>
      </c>
      <c r="J7557">
        <v>1</v>
      </c>
      <c r="K7557">
        <v>1</v>
      </c>
      <c r="L7557">
        <v>1</v>
      </c>
      <c r="M7557">
        <v>1</v>
      </c>
      <c r="N7557">
        <v>1</v>
      </c>
      <c r="O7557">
        <v>1</v>
      </c>
      <c r="P7557" t="s">
        <v>169</v>
      </c>
      <c r="Q7557" t="s">
        <v>170</v>
      </c>
      <c r="R7557" t="s">
        <v>96</v>
      </c>
      <c r="S7557" t="s">
        <v>97</v>
      </c>
      <c r="V7557" t="s">
        <v>11799</v>
      </c>
      <c r="W7557" t="s">
        <v>11800</v>
      </c>
      <c r="AF7557" t="s">
        <v>15262</v>
      </c>
    </row>
    <row r="7558" spans="1:32" hidden="1" x14ac:dyDescent="0.35">
      <c r="A7558">
        <v>7557</v>
      </c>
      <c r="B7558" t="s">
        <v>15263</v>
      </c>
      <c r="C7558" t="s">
        <v>68</v>
      </c>
      <c r="D7558" t="s">
        <v>60</v>
      </c>
      <c r="E7558">
        <v>1689</v>
      </c>
      <c r="F7558">
        <v>2</v>
      </c>
      <c r="G7558">
        <v>2</v>
      </c>
      <c r="H7558">
        <v>1</v>
      </c>
      <c r="I7558">
        <v>0</v>
      </c>
      <c r="J7558">
        <v>1</v>
      </c>
      <c r="K7558">
        <v>1</v>
      </c>
      <c r="L7558">
        <v>1</v>
      </c>
      <c r="M7558">
        <v>1</v>
      </c>
      <c r="N7558">
        <v>1</v>
      </c>
      <c r="O7558">
        <v>1</v>
      </c>
      <c r="AF7558" t="s">
        <v>15264</v>
      </c>
    </row>
    <row r="7559" spans="1:32" hidden="1" x14ac:dyDescent="0.35">
      <c r="A7559">
        <v>7558</v>
      </c>
      <c r="B7559" t="s">
        <v>15263</v>
      </c>
      <c r="C7559" t="s">
        <v>68</v>
      </c>
      <c r="D7559" t="s">
        <v>62</v>
      </c>
      <c r="E7559">
        <v>1724</v>
      </c>
      <c r="F7559">
        <v>2</v>
      </c>
      <c r="G7559">
        <v>2</v>
      </c>
      <c r="H7559">
        <v>1</v>
      </c>
      <c r="I7559">
        <v>0</v>
      </c>
      <c r="J7559">
        <v>1</v>
      </c>
      <c r="K7559">
        <v>1</v>
      </c>
      <c r="L7559">
        <v>1</v>
      </c>
      <c r="M7559">
        <v>1</v>
      </c>
      <c r="N7559">
        <v>1</v>
      </c>
      <c r="O7559">
        <v>1</v>
      </c>
      <c r="AF7559" t="s">
        <v>15264</v>
      </c>
    </row>
    <row r="7560" spans="1:32" hidden="1" x14ac:dyDescent="0.35">
      <c r="A7560">
        <v>7559</v>
      </c>
      <c r="B7560" t="s">
        <v>15265</v>
      </c>
      <c r="C7560" t="s">
        <v>68</v>
      </c>
      <c r="D7560" t="s">
        <v>60</v>
      </c>
      <c r="E7560">
        <v>2185</v>
      </c>
      <c r="F7560">
        <v>2</v>
      </c>
      <c r="G7560">
        <v>2</v>
      </c>
      <c r="H7560">
        <v>1</v>
      </c>
      <c r="I7560">
        <v>0</v>
      </c>
      <c r="J7560">
        <v>1</v>
      </c>
      <c r="K7560">
        <v>1</v>
      </c>
      <c r="L7560">
        <v>1</v>
      </c>
      <c r="M7560">
        <v>1</v>
      </c>
      <c r="N7560">
        <v>1</v>
      </c>
      <c r="O7560">
        <v>1</v>
      </c>
      <c r="AF7560" t="s">
        <v>15266</v>
      </c>
    </row>
    <row r="7561" spans="1:32" hidden="1" x14ac:dyDescent="0.35">
      <c r="A7561">
        <v>7560</v>
      </c>
      <c r="B7561" t="s">
        <v>15265</v>
      </c>
      <c r="C7561" t="s">
        <v>68</v>
      </c>
      <c r="D7561" t="s">
        <v>62</v>
      </c>
      <c r="E7561">
        <v>2219</v>
      </c>
      <c r="F7561">
        <v>2</v>
      </c>
      <c r="G7561">
        <v>2</v>
      </c>
      <c r="H7561">
        <v>1</v>
      </c>
      <c r="I7561">
        <v>0</v>
      </c>
      <c r="J7561">
        <v>1</v>
      </c>
      <c r="K7561">
        <v>1</v>
      </c>
      <c r="L7561">
        <v>1</v>
      </c>
      <c r="M7561">
        <v>1</v>
      </c>
      <c r="N7561">
        <v>1</v>
      </c>
      <c r="O7561">
        <v>1</v>
      </c>
      <c r="AF7561" t="s">
        <v>15266</v>
      </c>
    </row>
    <row r="7562" spans="1:32" hidden="1" x14ac:dyDescent="0.35">
      <c r="A7562">
        <v>7561</v>
      </c>
      <c r="B7562" t="s">
        <v>15267</v>
      </c>
      <c r="C7562" t="s">
        <v>68</v>
      </c>
      <c r="D7562" t="s">
        <v>34</v>
      </c>
      <c r="E7562">
        <v>2307</v>
      </c>
      <c r="F7562">
        <v>2</v>
      </c>
      <c r="G7562">
        <v>2</v>
      </c>
      <c r="H7562">
        <v>1</v>
      </c>
      <c r="I7562">
        <v>0</v>
      </c>
      <c r="J7562">
        <v>1</v>
      </c>
      <c r="K7562">
        <v>1</v>
      </c>
      <c r="L7562">
        <v>1</v>
      </c>
      <c r="M7562">
        <v>1</v>
      </c>
      <c r="N7562">
        <v>1</v>
      </c>
      <c r="O7562">
        <v>1</v>
      </c>
      <c r="AF7562" t="s">
        <v>15268</v>
      </c>
    </row>
    <row r="7563" spans="1:32" hidden="1" x14ac:dyDescent="0.35">
      <c r="A7563">
        <v>7562</v>
      </c>
      <c r="B7563" t="s">
        <v>15267</v>
      </c>
      <c r="C7563" t="s">
        <v>68</v>
      </c>
      <c r="D7563" t="s">
        <v>45</v>
      </c>
      <c r="E7563">
        <v>571</v>
      </c>
      <c r="F7563">
        <v>2</v>
      </c>
      <c r="G7563">
        <v>2</v>
      </c>
      <c r="H7563">
        <v>1</v>
      </c>
      <c r="I7563">
        <v>0</v>
      </c>
      <c r="J7563">
        <v>1</v>
      </c>
      <c r="K7563">
        <v>1</v>
      </c>
      <c r="L7563">
        <v>1</v>
      </c>
      <c r="M7563">
        <v>1</v>
      </c>
      <c r="N7563">
        <v>1</v>
      </c>
      <c r="O7563">
        <v>1</v>
      </c>
      <c r="AF7563" t="s">
        <v>15268</v>
      </c>
    </row>
    <row r="7564" spans="1:32" hidden="1" x14ac:dyDescent="0.35">
      <c r="A7564">
        <v>7563</v>
      </c>
      <c r="B7564" t="s">
        <v>15269</v>
      </c>
      <c r="C7564" t="s">
        <v>68</v>
      </c>
      <c r="D7564" t="s">
        <v>34</v>
      </c>
      <c r="E7564">
        <v>485</v>
      </c>
      <c r="F7564">
        <v>2</v>
      </c>
      <c r="G7564">
        <v>2</v>
      </c>
      <c r="H7564">
        <v>1</v>
      </c>
      <c r="I7564">
        <v>0</v>
      </c>
      <c r="J7564">
        <v>1</v>
      </c>
      <c r="K7564">
        <v>1</v>
      </c>
      <c r="L7564">
        <v>1</v>
      </c>
      <c r="M7564">
        <v>1</v>
      </c>
      <c r="N7564">
        <v>1</v>
      </c>
      <c r="O7564">
        <v>1</v>
      </c>
      <c r="P7564" t="s">
        <v>15157</v>
      </c>
      <c r="Q7564" t="s">
        <v>15158</v>
      </c>
      <c r="AF7564" t="s">
        <v>15270</v>
      </c>
    </row>
    <row r="7565" spans="1:32" hidden="1" x14ac:dyDescent="0.35">
      <c r="A7565">
        <v>7564</v>
      </c>
      <c r="B7565" t="s">
        <v>15269</v>
      </c>
      <c r="C7565" t="s">
        <v>68</v>
      </c>
      <c r="D7565" t="s">
        <v>45</v>
      </c>
      <c r="E7565">
        <v>1750</v>
      </c>
      <c r="F7565">
        <v>2</v>
      </c>
      <c r="G7565">
        <v>2</v>
      </c>
      <c r="H7565">
        <v>1</v>
      </c>
      <c r="I7565">
        <v>0</v>
      </c>
      <c r="J7565">
        <v>1</v>
      </c>
      <c r="K7565">
        <v>1</v>
      </c>
      <c r="L7565">
        <v>1</v>
      </c>
      <c r="M7565">
        <v>1</v>
      </c>
      <c r="N7565">
        <v>1</v>
      </c>
      <c r="O7565">
        <v>1</v>
      </c>
      <c r="P7565" t="s">
        <v>15157</v>
      </c>
      <c r="Q7565" t="s">
        <v>15158</v>
      </c>
      <c r="AF7565" t="s">
        <v>15270</v>
      </c>
    </row>
    <row r="7566" spans="1:32" hidden="1" x14ac:dyDescent="0.35">
      <c r="A7566">
        <v>7565</v>
      </c>
      <c r="B7566" t="s">
        <v>15271</v>
      </c>
      <c r="C7566" t="s">
        <v>68</v>
      </c>
      <c r="D7566" t="s">
        <v>60</v>
      </c>
      <c r="E7566">
        <v>2329</v>
      </c>
      <c r="F7566">
        <v>2</v>
      </c>
      <c r="G7566">
        <v>2</v>
      </c>
      <c r="H7566">
        <v>1</v>
      </c>
      <c r="I7566">
        <v>0</v>
      </c>
      <c r="J7566">
        <v>1</v>
      </c>
      <c r="K7566">
        <v>1</v>
      </c>
      <c r="L7566">
        <v>1</v>
      </c>
      <c r="M7566">
        <v>1</v>
      </c>
      <c r="N7566">
        <v>1</v>
      </c>
      <c r="O7566">
        <v>1</v>
      </c>
      <c r="P7566" t="s">
        <v>14137</v>
      </c>
      <c r="Q7566" t="s">
        <v>10223</v>
      </c>
      <c r="R7566" t="s">
        <v>288</v>
      </c>
      <c r="S7566" t="s">
        <v>289</v>
      </c>
      <c r="T7566" t="s">
        <v>15272</v>
      </c>
      <c r="U7566" t="s">
        <v>15273</v>
      </c>
      <c r="V7566" t="s">
        <v>15274</v>
      </c>
      <c r="W7566" t="s">
        <v>15275</v>
      </c>
      <c r="AD7566" t="s">
        <v>410</v>
      </c>
      <c r="AE7566" t="s">
        <v>603</v>
      </c>
      <c r="AF7566" t="s">
        <v>15276</v>
      </c>
    </row>
    <row r="7567" spans="1:32" hidden="1" x14ac:dyDescent="0.35">
      <c r="A7567">
        <v>7566</v>
      </c>
      <c r="B7567" t="s">
        <v>15271</v>
      </c>
      <c r="C7567" t="s">
        <v>68</v>
      </c>
      <c r="D7567" t="s">
        <v>62</v>
      </c>
      <c r="E7567">
        <v>2357</v>
      </c>
      <c r="F7567">
        <v>2</v>
      </c>
      <c r="G7567">
        <v>2</v>
      </c>
      <c r="H7567">
        <v>1</v>
      </c>
      <c r="I7567">
        <v>0</v>
      </c>
      <c r="J7567">
        <v>1</v>
      </c>
      <c r="K7567">
        <v>1</v>
      </c>
      <c r="L7567">
        <v>1</v>
      </c>
      <c r="M7567">
        <v>1</v>
      </c>
      <c r="N7567">
        <v>1</v>
      </c>
      <c r="O7567">
        <v>1</v>
      </c>
      <c r="P7567" t="s">
        <v>14137</v>
      </c>
      <c r="Q7567" t="s">
        <v>10223</v>
      </c>
      <c r="R7567" t="s">
        <v>288</v>
      </c>
      <c r="S7567" t="s">
        <v>289</v>
      </c>
      <c r="T7567" t="s">
        <v>15272</v>
      </c>
      <c r="U7567" t="s">
        <v>15273</v>
      </c>
      <c r="V7567" t="s">
        <v>15274</v>
      </c>
      <c r="W7567" t="s">
        <v>15275</v>
      </c>
      <c r="AD7567" t="s">
        <v>410</v>
      </c>
      <c r="AE7567" t="s">
        <v>603</v>
      </c>
      <c r="AF7567" t="s">
        <v>15276</v>
      </c>
    </row>
    <row r="7568" spans="1:32" hidden="1" x14ac:dyDescent="0.35">
      <c r="A7568">
        <v>7567</v>
      </c>
      <c r="B7568" t="s">
        <v>15277</v>
      </c>
      <c r="C7568" t="s">
        <v>68</v>
      </c>
      <c r="D7568" t="s">
        <v>34</v>
      </c>
      <c r="E7568">
        <v>12</v>
      </c>
      <c r="F7568">
        <v>2</v>
      </c>
      <c r="G7568">
        <v>2</v>
      </c>
      <c r="H7568">
        <v>1</v>
      </c>
      <c r="I7568">
        <v>0</v>
      </c>
      <c r="J7568">
        <v>1</v>
      </c>
      <c r="K7568">
        <v>1</v>
      </c>
      <c r="L7568">
        <v>1</v>
      </c>
      <c r="M7568">
        <v>1</v>
      </c>
      <c r="N7568">
        <v>1</v>
      </c>
      <c r="O7568">
        <v>1</v>
      </c>
      <c r="P7568" t="s">
        <v>10744</v>
      </c>
      <c r="Q7568" t="s">
        <v>10745</v>
      </c>
      <c r="R7568" t="s">
        <v>113</v>
      </c>
      <c r="S7568" t="s">
        <v>114</v>
      </c>
      <c r="T7568" t="s">
        <v>15175</v>
      </c>
      <c r="U7568" t="s">
        <v>15176</v>
      </c>
      <c r="V7568" t="s">
        <v>15278</v>
      </c>
      <c r="W7568" t="s">
        <v>15279</v>
      </c>
      <c r="AD7568" t="s">
        <v>15179</v>
      </c>
      <c r="AE7568" t="s">
        <v>15180</v>
      </c>
      <c r="AF7568" t="s">
        <v>15280</v>
      </c>
    </row>
    <row r="7569" spans="1:32" hidden="1" x14ac:dyDescent="0.35">
      <c r="A7569">
        <v>7568</v>
      </c>
      <c r="B7569" t="s">
        <v>15277</v>
      </c>
      <c r="C7569" t="s">
        <v>68</v>
      </c>
      <c r="D7569" t="s">
        <v>45</v>
      </c>
      <c r="E7569">
        <v>1268</v>
      </c>
      <c r="F7569">
        <v>2</v>
      </c>
      <c r="G7569">
        <v>2</v>
      </c>
      <c r="H7569">
        <v>1</v>
      </c>
      <c r="I7569">
        <v>0</v>
      </c>
      <c r="J7569">
        <v>1</v>
      </c>
      <c r="K7569">
        <v>1</v>
      </c>
      <c r="L7569">
        <v>1</v>
      </c>
      <c r="M7569">
        <v>1</v>
      </c>
      <c r="N7569">
        <v>1</v>
      </c>
      <c r="O7569">
        <v>1</v>
      </c>
      <c r="P7569" t="s">
        <v>10744</v>
      </c>
      <c r="Q7569" t="s">
        <v>10745</v>
      </c>
      <c r="R7569" t="s">
        <v>113</v>
      </c>
      <c r="S7569" t="s">
        <v>114</v>
      </c>
      <c r="T7569" t="s">
        <v>15175</v>
      </c>
      <c r="U7569" t="s">
        <v>15176</v>
      </c>
      <c r="V7569" t="s">
        <v>15278</v>
      </c>
      <c r="W7569" t="s">
        <v>15279</v>
      </c>
      <c r="AD7569" t="s">
        <v>15179</v>
      </c>
      <c r="AE7569" t="s">
        <v>15180</v>
      </c>
      <c r="AF7569" t="s">
        <v>15280</v>
      </c>
    </row>
    <row r="7570" spans="1:32" hidden="1" x14ac:dyDescent="0.35">
      <c r="A7570">
        <v>7569</v>
      </c>
      <c r="B7570" t="s">
        <v>15281</v>
      </c>
      <c r="C7570" t="s">
        <v>68</v>
      </c>
      <c r="D7570" t="s">
        <v>60</v>
      </c>
      <c r="E7570">
        <v>1971</v>
      </c>
      <c r="F7570">
        <v>2</v>
      </c>
      <c r="G7570">
        <v>2</v>
      </c>
      <c r="H7570">
        <v>1</v>
      </c>
      <c r="I7570">
        <v>0</v>
      </c>
      <c r="J7570">
        <v>1</v>
      </c>
      <c r="K7570">
        <v>1</v>
      </c>
      <c r="L7570">
        <v>1</v>
      </c>
      <c r="M7570">
        <v>1</v>
      </c>
      <c r="N7570">
        <v>1</v>
      </c>
      <c r="O7570">
        <v>1</v>
      </c>
      <c r="P7570" t="s">
        <v>15282</v>
      </c>
      <c r="Q7570" t="s">
        <v>15283</v>
      </c>
      <c r="R7570" t="s">
        <v>869</v>
      </c>
      <c r="S7570" t="s">
        <v>870</v>
      </c>
      <c r="T7570" t="s">
        <v>15284</v>
      </c>
      <c r="U7570" t="s">
        <v>15285</v>
      </c>
      <c r="V7570" t="s">
        <v>15286</v>
      </c>
      <c r="W7570" t="s">
        <v>15287</v>
      </c>
      <c r="X7570" t="s">
        <v>15286</v>
      </c>
      <c r="Y7570" t="s">
        <v>3682</v>
      </c>
      <c r="Z7570" t="s">
        <v>13357</v>
      </c>
      <c r="AA7570" t="s">
        <v>13358</v>
      </c>
      <c r="AB7570" t="s">
        <v>13357</v>
      </c>
      <c r="AC7570" t="s">
        <v>1742</v>
      </c>
      <c r="AD7570" t="s">
        <v>219</v>
      </c>
      <c r="AE7570" t="s">
        <v>15288</v>
      </c>
      <c r="AF7570" t="s">
        <v>15289</v>
      </c>
    </row>
    <row r="7571" spans="1:32" hidden="1" x14ac:dyDescent="0.35">
      <c r="A7571">
        <v>7570</v>
      </c>
      <c r="B7571" t="s">
        <v>15281</v>
      </c>
      <c r="C7571" t="s">
        <v>68</v>
      </c>
      <c r="D7571" t="s">
        <v>62</v>
      </c>
      <c r="E7571">
        <v>2012</v>
      </c>
      <c r="F7571">
        <v>2</v>
      </c>
      <c r="G7571">
        <v>2</v>
      </c>
      <c r="H7571">
        <v>1</v>
      </c>
      <c r="I7571">
        <v>0</v>
      </c>
      <c r="J7571">
        <v>1</v>
      </c>
      <c r="K7571">
        <v>1</v>
      </c>
      <c r="L7571">
        <v>1</v>
      </c>
      <c r="M7571">
        <v>1</v>
      </c>
      <c r="N7571">
        <v>1</v>
      </c>
      <c r="O7571">
        <v>1</v>
      </c>
      <c r="P7571" t="s">
        <v>15282</v>
      </c>
      <c r="Q7571" t="s">
        <v>15283</v>
      </c>
      <c r="R7571" t="s">
        <v>869</v>
      </c>
      <c r="S7571" t="s">
        <v>870</v>
      </c>
      <c r="T7571" t="s">
        <v>15284</v>
      </c>
      <c r="U7571" t="s">
        <v>15285</v>
      </c>
      <c r="V7571" t="s">
        <v>15286</v>
      </c>
      <c r="W7571" t="s">
        <v>15287</v>
      </c>
      <c r="X7571" t="s">
        <v>15286</v>
      </c>
      <c r="Y7571" t="s">
        <v>3682</v>
      </c>
      <c r="Z7571" t="s">
        <v>13357</v>
      </c>
      <c r="AA7571" t="s">
        <v>13358</v>
      </c>
      <c r="AB7571" t="s">
        <v>13357</v>
      </c>
      <c r="AC7571" t="s">
        <v>1742</v>
      </c>
      <c r="AD7571" t="s">
        <v>219</v>
      </c>
      <c r="AE7571" t="s">
        <v>15288</v>
      </c>
      <c r="AF7571" t="s">
        <v>15289</v>
      </c>
    </row>
    <row r="7572" spans="1:32" hidden="1" x14ac:dyDescent="0.35">
      <c r="A7572">
        <v>7571</v>
      </c>
      <c r="B7572" t="s">
        <v>15290</v>
      </c>
      <c r="C7572" t="s">
        <v>68</v>
      </c>
      <c r="D7572" t="s">
        <v>60</v>
      </c>
      <c r="E7572">
        <v>2092</v>
      </c>
      <c r="F7572">
        <v>2</v>
      </c>
      <c r="G7572">
        <v>2</v>
      </c>
      <c r="H7572">
        <v>1</v>
      </c>
      <c r="I7572">
        <v>0</v>
      </c>
      <c r="J7572">
        <v>1</v>
      </c>
      <c r="K7572">
        <v>1</v>
      </c>
      <c r="L7572">
        <v>1</v>
      </c>
      <c r="M7572">
        <v>1</v>
      </c>
      <c r="N7572">
        <v>1</v>
      </c>
      <c r="O7572">
        <v>1</v>
      </c>
      <c r="AF7572" t="s">
        <v>15291</v>
      </c>
    </row>
    <row r="7573" spans="1:32" hidden="1" x14ac:dyDescent="0.35">
      <c r="A7573">
        <v>7572</v>
      </c>
      <c r="B7573" t="s">
        <v>15290</v>
      </c>
      <c r="C7573" t="s">
        <v>68</v>
      </c>
      <c r="D7573" t="s">
        <v>62</v>
      </c>
      <c r="E7573">
        <v>2127</v>
      </c>
      <c r="F7573">
        <v>2</v>
      </c>
      <c r="G7573">
        <v>2</v>
      </c>
      <c r="H7573">
        <v>1</v>
      </c>
      <c r="I7573">
        <v>0</v>
      </c>
      <c r="J7573">
        <v>1</v>
      </c>
      <c r="K7573">
        <v>1</v>
      </c>
      <c r="L7573">
        <v>1</v>
      </c>
      <c r="M7573">
        <v>1</v>
      </c>
      <c r="N7573">
        <v>1</v>
      </c>
      <c r="O7573">
        <v>1</v>
      </c>
      <c r="AF7573" t="s">
        <v>15291</v>
      </c>
    </row>
    <row r="7574" spans="1:32" hidden="1" x14ac:dyDescent="0.35">
      <c r="A7574">
        <v>7573</v>
      </c>
      <c r="B7574" t="s">
        <v>15292</v>
      </c>
      <c r="C7574" t="s">
        <v>68</v>
      </c>
      <c r="D7574" t="s">
        <v>60</v>
      </c>
      <c r="E7574">
        <v>861</v>
      </c>
      <c r="F7574">
        <v>2</v>
      </c>
      <c r="G7574">
        <v>2</v>
      </c>
      <c r="H7574">
        <v>1</v>
      </c>
      <c r="I7574">
        <v>0</v>
      </c>
      <c r="J7574">
        <v>1</v>
      </c>
      <c r="K7574">
        <v>1</v>
      </c>
      <c r="L7574">
        <v>1</v>
      </c>
      <c r="M7574">
        <v>1</v>
      </c>
      <c r="N7574">
        <v>1</v>
      </c>
      <c r="O7574">
        <v>1</v>
      </c>
      <c r="P7574" t="s">
        <v>6852</v>
      </c>
      <c r="Q7574" t="s">
        <v>6853</v>
      </c>
      <c r="R7574" t="s">
        <v>113</v>
      </c>
      <c r="S7574" t="s">
        <v>114</v>
      </c>
      <c r="T7574" t="s">
        <v>10762</v>
      </c>
      <c r="U7574" t="s">
        <v>10763</v>
      </c>
      <c r="V7574" t="s">
        <v>6856</v>
      </c>
      <c r="W7574" t="s">
        <v>6857</v>
      </c>
      <c r="AD7574" t="s">
        <v>312</v>
      </c>
      <c r="AE7574" t="s">
        <v>6858</v>
      </c>
      <c r="AF7574" t="s">
        <v>15293</v>
      </c>
    </row>
    <row r="7575" spans="1:32" hidden="1" x14ac:dyDescent="0.35">
      <c r="A7575">
        <v>7574</v>
      </c>
      <c r="B7575" t="s">
        <v>15292</v>
      </c>
      <c r="C7575" t="s">
        <v>68</v>
      </c>
      <c r="D7575" t="s">
        <v>62</v>
      </c>
      <c r="E7575">
        <v>895</v>
      </c>
      <c r="F7575">
        <v>2</v>
      </c>
      <c r="G7575">
        <v>2</v>
      </c>
      <c r="H7575">
        <v>1</v>
      </c>
      <c r="I7575">
        <v>0</v>
      </c>
      <c r="J7575">
        <v>1</v>
      </c>
      <c r="K7575">
        <v>1</v>
      </c>
      <c r="L7575">
        <v>1</v>
      </c>
      <c r="M7575">
        <v>1</v>
      </c>
      <c r="N7575">
        <v>1</v>
      </c>
      <c r="O7575">
        <v>1</v>
      </c>
      <c r="P7575" t="s">
        <v>6852</v>
      </c>
      <c r="Q7575" t="s">
        <v>6853</v>
      </c>
      <c r="R7575" t="s">
        <v>113</v>
      </c>
      <c r="S7575" t="s">
        <v>114</v>
      </c>
      <c r="T7575" t="s">
        <v>10762</v>
      </c>
      <c r="U7575" t="s">
        <v>10763</v>
      </c>
      <c r="V7575" t="s">
        <v>6856</v>
      </c>
      <c r="W7575" t="s">
        <v>6857</v>
      </c>
      <c r="AD7575" t="s">
        <v>312</v>
      </c>
      <c r="AE7575" t="s">
        <v>6858</v>
      </c>
      <c r="AF7575" t="s">
        <v>15293</v>
      </c>
    </row>
    <row r="7576" spans="1:32" hidden="1" x14ac:dyDescent="0.35">
      <c r="A7576">
        <v>7575</v>
      </c>
      <c r="B7576" t="s">
        <v>15294</v>
      </c>
      <c r="C7576" t="s">
        <v>68</v>
      </c>
      <c r="D7576" t="s">
        <v>60</v>
      </c>
      <c r="E7576">
        <v>1314</v>
      </c>
      <c r="F7576">
        <v>2</v>
      </c>
      <c r="G7576">
        <v>2</v>
      </c>
      <c r="H7576">
        <v>1</v>
      </c>
      <c r="I7576">
        <v>0</v>
      </c>
      <c r="J7576">
        <v>1</v>
      </c>
      <c r="K7576">
        <v>1</v>
      </c>
      <c r="L7576">
        <v>1</v>
      </c>
      <c r="M7576">
        <v>1</v>
      </c>
      <c r="N7576">
        <v>1</v>
      </c>
      <c r="O7576">
        <v>1</v>
      </c>
      <c r="P7576" t="s">
        <v>15295</v>
      </c>
      <c r="Q7576" t="s">
        <v>15296</v>
      </c>
      <c r="R7576" t="s">
        <v>540</v>
      </c>
      <c r="S7576" t="s">
        <v>541</v>
      </c>
      <c r="T7576" t="s">
        <v>15297</v>
      </c>
      <c r="U7576" t="s">
        <v>15298</v>
      </c>
      <c r="V7576" t="s">
        <v>15299</v>
      </c>
      <c r="W7576" t="s">
        <v>15300</v>
      </c>
      <c r="AD7576" t="s">
        <v>1321</v>
      </c>
      <c r="AE7576" t="s">
        <v>1322</v>
      </c>
      <c r="AF7576" t="s">
        <v>15301</v>
      </c>
    </row>
    <row r="7577" spans="1:32" hidden="1" x14ac:dyDescent="0.35">
      <c r="A7577">
        <v>7576</v>
      </c>
      <c r="B7577" t="s">
        <v>15294</v>
      </c>
      <c r="C7577" t="s">
        <v>68</v>
      </c>
      <c r="D7577" t="s">
        <v>62</v>
      </c>
      <c r="E7577">
        <v>1350</v>
      </c>
      <c r="F7577">
        <v>2</v>
      </c>
      <c r="G7577">
        <v>2</v>
      </c>
      <c r="H7577">
        <v>1</v>
      </c>
      <c r="I7577">
        <v>0</v>
      </c>
      <c r="J7577">
        <v>1</v>
      </c>
      <c r="K7577">
        <v>1</v>
      </c>
      <c r="L7577">
        <v>1</v>
      </c>
      <c r="M7577">
        <v>1</v>
      </c>
      <c r="N7577">
        <v>1</v>
      </c>
      <c r="O7577">
        <v>1</v>
      </c>
      <c r="P7577" t="s">
        <v>15295</v>
      </c>
      <c r="Q7577" t="s">
        <v>15296</v>
      </c>
      <c r="R7577" t="s">
        <v>540</v>
      </c>
      <c r="S7577" t="s">
        <v>541</v>
      </c>
      <c r="T7577" t="s">
        <v>15297</v>
      </c>
      <c r="U7577" t="s">
        <v>15298</v>
      </c>
      <c r="V7577" t="s">
        <v>15299</v>
      </c>
      <c r="W7577" t="s">
        <v>15300</v>
      </c>
      <c r="AD7577" t="s">
        <v>1321</v>
      </c>
      <c r="AE7577" t="s">
        <v>1322</v>
      </c>
      <c r="AF7577" t="s">
        <v>15301</v>
      </c>
    </row>
    <row r="7578" spans="1:32" hidden="1" x14ac:dyDescent="0.35">
      <c r="A7578">
        <v>7577</v>
      </c>
      <c r="B7578" t="s">
        <v>15302</v>
      </c>
      <c r="C7578" t="s">
        <v>68</v>
      </c>
      <c r="D7578" t="s">
        <v>60</v>
      </c>
      <c r="E7578">
        <v>270</v>
      </c>
      <c r="F7578">
        <v>2</v>
      </c>
      <c r="G7578">
        <v>2</v>
      </c>
      <c r="H7578">
        <v>1</v>
      </c>
      <c r="I7578">
        <v>0</v>
      </c>
      <c r="J7578">
        <v>1</v>
      </c>
      <c r="K7578">
        <v>1</v>
      </c>
      <c r="L7578">
        <v>1</v>
      </c>
      <c r="M7578">
        <v>1</v>
      </c>
      <c r="N7578">
        <v>1</v>
      </c>
      <c r="O7578">
        <v>1</v>
      </c>
      <c r="AF7578" t="s">
        <v>15303</v>
      </c>
    </row>
    <row r="7579" spans="1:32" hidden="1" x14ac:dyDescent="0.35">
      <c r="A7579">
        <v>7578</v>
      </c>
      <c r="B7579" t="s">
        <v>15302</v>
      </c>
      <c r="C7579" t="s">
        <v>68</v>
      </c>
      <c r="D7579" t="s">
        <v>62</v>
      </c>
      <c r="E7579">
        <v>348</v>
      </c>
      <c r="F7579">
        <v>2</v>
      </c>
      <c r="G7579">
        <v>2</v>
      </c>
      <c r="H7579">
        <v>1</v>
      </c>
      <c r="I7579">
        <v>0</v>
      </c>
      <c r="J7579">
        <v>1</v>
      </c>
      <c r="K7579">
        <v>1</v>
      </c>
      <c r="L7579">
        <v>1</v>
      </c>
      <c r="M7579">
        <v>1</v>
      </c>
      <c r="N7579">
        <v>1</v>
      </c>
      <c r="O7579">
        <v>1</v>
      </c>
      <c r="AF7579" t="s">
        <v>15303</v>
      </c>
    </row>
    <row r="7580" spans="1:32" hidden="1" x14ac:dyDescent="0.35">
      <c r="A7580">
        <v>7579</v>
      </c>
      <c r="B7580" t="s">
        <v>15304</v>
      </c>
      <c r="C7580" t="s">
        <v>68</v>
      </c>
      <c r="D7580" t="s">
        <v>34</v>
      </c>
      <c r="E7580">
        <v>1546</v>
      </c>
      <c r="F7580">
        <v>2</v>
      </c>
      <c r="G7580">
        <v>2</v>
      </c>
      <c r="H7580">
        <v>1</v>
      </c>
      <c r="I7580">
        <v>0</v>
      </c>
      <c r="J7580">
        <v>1</v>
      </c>
      <c r="K7580">
        <v>1</v>
      </c>
      <c r="L7580">
        <v>1</v>
      </c>
      <c r="M7580">
        <v>1</v>
      </c>
      <c r="N7580">
        <v>1</v>
      </c>
      <c r="O7580">
        <v>1</v>
      </c>
      <c r="AF7580" t="s">
        <v>15305</v>
      </c>
    </row>
    <row r="7581" spans="1:32" hidden="1" x14ac:dyDescent="0.35">
      <c r="A7581">
        <v>7580</v>
      </c>
      <c r="B7581" t="s">
        <v>15304</v>
      </c>
      <c r="C7581" t="s">
        <v>68</v>
      </c>
      <c r="D7581" t="s">
        <v>45</v>
      </c>
      <c r="E7581">
        <v>296</v>
      </c>
      <c r="F7581">
        <v>2</v>
      </c>
      <c r="G7581">
        <v>2</v>
      </c>
      <c r="H7581">
        <v>1</v>
      </c>
      <c r="I7581">
        <v>0</v>
      </c>
      <c r="J7581">
        <v>1</v>
      </c>
      <c r="K7581">
        <v>1</v>
      </c>
      <c r="L7581">
        <v>1</v>
      </c>
      <c r="M7581">
        <v>1</v>
      </c>
      <c r="N7581">
        <v>1</v>
      </c>
      <c r="O7581">
        <v>1</v>
      </c>
      <c r="AF7581" t="s">
        <v>15305</v>
      </c>
    </row>
    <row r="7582" spans="1:32" hidden="1" x14ac:dyDescent="0.35">
      <c r="A7582">
        <v>7581</v>
      </c>
      <c r="B7582" t="s">
        <v>15306</v>
      </c>
      <c r="C7582" t="s">
        <v>68</v>
      </c>
      <c r="D7582" t="s">
        <v>60</v>
      </c>
      <c r="E7582">
        <v>1406</v>
      </c>
      <c r="F7582">
        <v>2</v>
      </c>
      <c r="G7582">
        <v>2</v>
      </c>
      <c r="H7582">
        <v>1</v>
      </c>
      <c r="I7582">
        <v>0</v>
      </c>
      <c r="J7582">
        <v>1</v>
      </c>
      <c r="K7582">
        <v>1</v>
      </c>
      <c r="L7582">
        <v>1</v>
      </c>
      <c r="M7582">
        <v>1</v>
      </c>
      <c r="N7582">
        <v>1</v>
      </c>
      <c r="O7582">
        <v>1</v>
      </c>
      <c r="AF7582" t="s">
        <v>15307</v>
      </c>
    </row>
    <row r="7583" spans="1:32" hidden="1" x14ac:dyDescent="0.35">
      <c r="A7583">
        <v>7582</v>
      </c>
      <c r="B7583" t="s">
        <v>15306</v>
      </c>
      <c r="C7583" t="s">
        <v>68</v>
      </c>
      <c r="D7583" t="s">
        <v>62</v>
      </c>
      <c r="E7583">
        <v>1441</v>
      </c>
      <c r="F7583">
        <v>2</v>
      </c>
      <c r="G7583">
        <v>2</v>
      </c>
      <c r="H7583">
        <v>1</v>
      </c>
      <c r="I7583">
        <v>0</v>
      </c>
      <c r="J7583">
        <v>1</v>
      </c>
      <c r="K7583">
        <v>1</v>
      </c>
      <c r="L7583">
        <v>1</v>
      </c>
      <c r="M7583">
        <v>1</v>
      </c>
      <c r="N7583">
        <v>1</v>
      </c>
      <c r="O7583">
        <v>1</v>
      </c>
      <c r="AF7583" t="s">
        <v>15307</v>
      </c>
    </row>
    <row r="7584" spans="1:32" hidden="1" x14ac:dyDescent="0.35">
      <c r="A7584">
        <v>7583</v>
      </c>
      <c r="B7584" t="s">
        <v>15308</v>
      </c>
      <c r="C7584" t="s">
        <v>68</v>
      </c>
      <c r="D7584" t="s">
        <v>60</v>
      </c>
      <c r="E7584">
        <v>260</v>
      </c>
      <c r="F7584">
        <v>2</v>
      </c>
      <c r="G7584">
        <v>2</v>
      </c>
      <c r="H7584">
        <v>1</v>
      </c>
      <c r="I7584">
        <v>0</v>
      </c>
      <c r="J7584">
        <v>1</v>
      </c>
      <c r="K7584">
        <v>1</v>
      </c>
      <c r="L7584">
        <v>1</v>
      </c>
      <c r="M7584">
        <v>1</v>
      </c>
      <c r="N7584">
        <v>1</v>
      </c>
      <c r="O7584">
        <v>1</v>
      </c>
      <c r="AF7584" t="s">
        <v>15309</v>
      </c>
    </row>
    <row r="7585" spans="1:32" hidden="1" x14ac:dyDescent="0.35">
      <c r="A7585">
        <v>7584</v>
      </c>
      <c r="B7585" t="s">
        <v>15308</v>
      </c>
      <c r="C7585" t="s">
        <v>68</v>
      </c>
      <c r="D7585" t="s">
        <v>62</v>
      </c>
      <c r="E7585">
        <v>338</v>
      </c>
      <c r="F7585">
        <v>2</v>
      </c>
      <c r="G7585">
        <v>2</v>
      </c>
      <c r="H7585">
        <v>1</v>
      </c>
      <c r="I7585">
        <v>0</v>
      </c>
      <c r="J7585">
        <v>1</v>
      </c>
      <c r="K7585">
        <v>1</v>
      </c>
      <c r="L7585">
        <v>1</v>
      </c>
      <c r="M7585">
        <v>1</v>
      </c>
      <c r="N7585">
        <v>1</v>
      </c>
      <c r="O7585">
        <v>1</v>
      </c>
      <c r="AF7585" t="s">
        <v>15309</v>
      </c>
    </row>
    <row r="7586" spans="1:32" hidden="1" x14ac:dyDescent="0.35">
      <c r="A7586">
        <v>7585</v>
      </c>
      <c r="B7586" t="s">
        <v>15310</v>
      </c>
      <c r="C7586" t="s">
        <v>68</v>
      </c>
      <c r="D7586" t="s">
        <v>60</v>
      </c>
      <c r="E7586">
        <v>2178</v>
      </c>
      <c r="F7586">
        <v>2</v>
      </c>
      <c r="G7586">
        <v>2</v>
      </c>
      <c r="H7586">
        <v>1</v>
      </c>
      <c r="I7586">
        <v>0</v>
      </c>
      <c r="J7586">
        <v>1</v>
      </c>
      <c r="K7586">
        <v>1</v>
      </c>
      <c r="L7586">
        <v>1</v>
      </c>
      <c r="M7586">
        <v>1</v>
      </c>
      <c r="N7586">
        <v>1</v>
      </c>
      <c r="O7586">
        <v>1</v>
      </c>
      <c r="AF7586" t="s">
        <v>15311</v>
      </c>
    </row>
    <row r="7587" spans="1:32" hidden="1" x14ac:dyDescent="0.35">
      <c r="A7587">
        <v>7586</v>
      </c>
      <c r="B7587" t="s">
        <v>15310</v>
      </c>
      <c r="C7587" t="s">
        <v>68</v>
      </c>
      <c r="D7587" t="s">
        <v>62</v>
      </c>
      <c r="E7587">
        <v>2212</v>
      </c>
      <c r="F7587">
        <v>2</v>
      </c>
      <c r="G7587">
        <v>2</v>
      </c>
      <c r="H7587">
        <v>1</v>
      </c>
      <c r="I7587">
        <v>0</v>
      </c>
      <c r="J7587">
        <v>1</v>
      </c>
      <c r="K7587">
        <v>1</v>
      </c>
      <c r="L7587">
        <v>1</v>
      </c>
      <c r="M7587">
        <v>1</v>
      </c>
      <c r="N7587">
        <v>1</v>
      </c>
      <c r="O7587">
        <v>1</v>
      </c>
      <c r="AF7587" t="s">
        <v>15311</v>
      </c>
    </row>
    <row r="7588" spans="1:32" hidden="1" x14ac:dyDescent="0.35">
      <c r="A7588">
        <v>7587</v>
      </c>
      <c r="B7588" t="s">
        <v>15312</v>
      </c>
      <c r="C7588" t="s">
        <v>68</v>
      </c>
      <c r="D7588" t="s">
        <v>60</v>
      </c>
      <c r="E7588">
        <v>279</v>
      </c>
      <c r="F7588">
        <v>2</v>
      </c>
      <c r="G7588">
        <v>2</v>
      </c>
      <c r="H7588">
        <v>1</v>
      </c>
      <c r="I7588">
        <v>0</v>
      </c>
      <c r="J7588">
        <v>1</v>
      </c>
      <c r="K7588">
        <v>1</v>
      </c>
      <c r="L7588">
        <v>1</v>
      </c>
      <c r="M7588">
        <v>1</v>
      </c>
      <c r="N7588">
        <v>1</v>
      </c>
      <c r="O7588">
        <v>1</v>
      </c>
      <c r="P7588" t="s">
        <v>10471</v>
      </c>
      <c r="Q7588" t="s">
        <v>1037</v>
      </c>
      <c r="R7588" t="s">
        <v>138</v>
      </c>
      <c r="S7588" t="s">
        <v>139</v>
      </c>
      <c r="T7588" t="s">
        <v>15313</v>
      </c>
      <c r="U7588" t="s">
        <v>15314</v>
      </c>
      <c r="V7588" t="s">
        <v>15315</v>
      </c>
      <c r="W7588" t="s">
        <v>15316</v>
      </c>
      <c r="AD7588" t="s">
        <v>439</v>
      </c>
      <c r="AE7588" t="s">
        <v>10862</v>
      </c>
      <c r="AF7588" t="s">
        <v>15317</v>
      </c>
    </row>
    <row r="7589" spans="1:32" hidden="1" x14ac:dyDescent="0.35">
      <c r="A7589">
        <v>7588</v>
      </c>
      <c r="B7589" t="s">
        <v>15312</v>
      </c>
      <c r="C7589" t="s">
        <v>68</v>
      </c>
      <c r="D7589" t="s">
        <v>62</v>
      </c>
      <c r="E7589">
        <v>357</v>
      </c>
      <c r="F7589">
        <v>2</v>
      </c>
      <c r="G7589">
        <v>2</v>
      </c>
      <c r="H7589">
        <v>1</v>
      </c>
      <c r="I7589">
        <v>0</v>
      </c>
      <c r="J7589">
        <v>1</v>
      </c>
      <c r="K7589">
        <v>1</v>
      </c>
      <c r="L7589">
        <v>1</v>
      </c>
      <c r="M7589">
        <v>1</v>
      </c>
      <c r="N7589">
        <v>1</v>
      </c>
      <c r="O7589">
        <v>1</v>
      </c>
      <c r="P7589" t="s">
        <v>10471</v>
      </c>
      <c r="Q7589" t="s">
        <v>1037</v>
      </c>
      <c r="R7589" t="s">
        <v>138</v>
      </c>
      <c r="S7589" t="s">
        <v>139</v>
      </c>
      <c r="T7589" t="s">
        <v>15313</v>
      </c>
      <c r="U7589" t="s">
        <v>15314</v>
      </c>
      <c r="V7589" t="s">
        <v>15315</v>
      </c>
      <c r="W7589" t="s">
        <v>15316</v>
      </c>
      <c r="AD7589" t="s">
        <v>439</v>
      </c>
      <c r="AE7589" t="s">
        <v>10862</v>
      </c>
      <c r="AF7589" t="s">
        <v>15317</v>
      </c>
    </row>
    <row r="7590" spans="1:32" hidden="1" x14ac:dyDescent="0.35">
      <c r="A7590">
        <v>7589</v>
      </c>
      <c r="B7590" t="s">
        <v>15318</v>
      </c>
      <c r="C7590" t="s">
        <v>68</v>
      </c>
      <c r="D7590" t="s">
        <v>34</v>
      </c>
      <c r="E7590">
        <v>1928</v>
      </c>
      <c r="F7590">
        <v>2</v>
      </c>
      <c r="G7590">
        <v>2</v>
      </c>
      <c r="H7590">
        <v>1</v>
      </c>
      <c r="I7590">
        <v>0</v>
      </c>
      <c r="J7590">
        <v>1</v>
      </c>
      <c r="K7590">
        <v>1</v>
      </c>
      <c r="L7590">
        <v>1</v>
      </c>
      <c r="M7590">
        <v>1</v>
      </c>
      <c r="N7590">
        <v>1</v>
      </c>
      <c r="O7590">
        <v>1</v>
      </c>
      <c r="AF7590" t="s">
        <v>15319</v>
      </c>
    </row>
    <row r="7591" spans="1:32" hidden="1" x14ac:dyDescent="0.35">
      <c r="A7591">
        <v>7590</v>
      </c>
      <c r="B7591" t="s">
        <v>15318</v>
      </c>
      <c r="C7591" t="s">
        <v>68</v>
      </c>
      <c r="D7591" t="s">
        <v>45</v>
      </c>
      <c r="E7591">
        <v>945</v>
      </c>
      <c r="F7591">
        <v>2</v>
      </c>
      <c r="G7591">
        <v>2</v>
      </c>
      <c r="H7591">
        <v>1</v>
      </c>
      <c r="I7591">
        <v>0</v>
      </c>
      <c r="J7591">
        <v>1</v>
      </c>
      <c r="K7591">
        <v>1</v>
      </c>
      <c r="L7591">
        <v>1</v>
      </c>
      <c r="M7591">
        <v>1</v>
      </c>
      <c r="N7591">
        <v>1</v>
      </c>
      <c r="O7591">
        <v>1</v>
      </c>
      <c r="AF7591" t="s">
        <v>15319</v>
      </c>
    </row>
    <row r="7592" spans="1:32" hidden="1" x14ac:dyDescent="0.35">
      <c r="A7592">
        <v>7591</v>
      </c>
      <c r="B7592" t="s">
        <v>15320</v>
      </c>
      <c r="C7592" t="s">
        <v>68</v>
      </c>
      <c r="D7592" t="s">
        <v>60</v>
      </c>
      <c r="E7592">
        <v>1330</v>
      </c>
      <c r="F7592">
        <v>2</v>
      </c>
      <c r="G7592">
        <v>2</v>
      </c>
      <c r="H7592">
        <v>1</v>
      </c>
      <c r="I7592">
        <v>0</v>
      </c>
      <c r="J7592">
        <v>1</v>
      </c>
      <c r="K7592">
        <v>1</v>
      </c>
      <c r="L7592">
        <v>1</v>
      </c>
      <c r="M7592">
        <v>1</v>
      </c>
      <c r="N7592">
        <v>1</v>
      </c>
      <c r="O7592">
        <v>1</v>
      </c>
      <c r="P7592" t="s">
        <v>8909</v>
      </c>
      <c r="Q7592" t="s">
        <v>8910</v>
      </c>
      <c r="R7592" t="s">
        <v>342</v>
      </c>
      <c r="S7592" t="s">
        <v>343</v>
      </c>
      <c r="V7592" t="s">
        <v>8913</v>
      </c>
      <c r="W7592" t="s">
        <v>8914</v>
      </c>
      <c r="AF7592" t="s">
        <v>15321</v>
      </c>
    </row>
    <row r="7593" spans="1:32" hidden="1" x14ac:dyDescent="0.35">
      <c r="A7593">
        <v>7592</v>
      </c>
      <c r="B7593" t="s">
        <v>15320</v>
      </c>
      <c r="C7593" t="s">
        <v>68</v>
      </c>
      <c r="D7593" t="s">
        <v>62</v>
      </c>
      <c r="E7593">
        <v>1366</v>
      </c>
      <c r="F7593">
        <v>2</v>
      </c>
      <c r="G7593">
        <v>2</v>
      </c>
      <c r="H7593">
        <v>1</v>
      </c>
      <c r="I7593">
        <v>0</v>
      </c>
      <c r="J7593">
        <v>1</v>
      </c>
      <c r="K7593">
        <v>1</v>
      </c>
      <c r="L7593">
        <v>1</v>
      </c>
      <c r="M7593">
        <v>1</v>
      </c>
      <c r="N7593">
        <v>1</v>
      </c>
      <c r="O7593">
        <v>1</v>
      </c>
      <c r="P7593" t="s">
        <v>8909</v>
      </c>
      <c r="Q7593" t="s">
        <v>8910</v>
      </c>
      <c r="R7593" t="s">
        <v>342</v>
      </c>
      <c r="S7593" t="s">
        <v>343</v>
      </c>
      <c r="V7593" t="s">
        <v>8913</v>
      </c>
      <c r="W7593" t="s">
        <v>8914</v>
      </c>
      <c r="AF7593" t="s">
        <v>15321</v>
      </c>
    </row>
    <row r="7594" spans="1:32" hidden="1" x14ac:dyDescent="0.35">
      <c r="A7594">
        <v>7593</v>
      </c>
      <c r="B7594" t="s">
        <v>15322</v>
      </c>
      <c r="C7594" t="s">
        <v>68</v>
      </c>
      <c r="D7594" t="s">
        <v>60</v>
      </c>
      <c r="E7594">
        <v>1982</v>
      </c>
      <c r="F7594">
        <v>2</v>
      </c>
      <c r="G7594">
        <v>2</v>
      </c>
      <c r="H7594">
        <v>1</v>
      </c>
      <c r="I7594">
        <v>0</v>
      </c>
      <c r="J7594">
        <v>1</v>
      </c>
      <c r="K7594">
        <v>1</v>
      </c>
      <c r="L7594">
        <v>1</v>
      </c>
      <c r="M7594">
        <v>1</v>
      </c>
      <c r="N7594">
        <v>1</v>
      </c>
      <c r="O7594">
        <v>1</v>
      </c>
      <c r="AF7594" t="s">
        <v>15323</v>
      </c>
    </row>
    <row r="7595" spans="1:32" hidden="1" x14ac:dyDescent="0.35">
      <c r="A7595">
        <v>7594</v>
      </c>
      <c r="B7595" t="s">
        <v>15322</v>
      </c>
      <c r="C7595" t="s">
        <v>68</v>
      </c>
      <c r="D7595" t="s">
        <v>62</v>
      </c>
      <c r="E7595">
        <v>2023</v>
      </c>
      <c r="F7595">
        <v>2</v>
      </c>
      <c r="G7595">
        <v>2</v>
      </c>
      <c r="H7595">
        <v>1</v>
      </c>
      <c r="I7595">
        <v>0</v>
      </c>
      <c r="J7595">
        <v>1</v>
      </c>
      <c r="K7595">
        <v>1</v>
      </c>
      <c r="L7595">
        <v>1</v>
      </c>
      <c r="M7595">
        <v>1</v>
      </c>
      <c r="N7595">
        <v>1</v>
      </c>
      <c r="O7595">
        <v>1</v>
      </c>
      <c r="AF7595" t="s">
        <v>15323</v>
      </c>
    </row>
    <row r="7596" spans="1:32" hidden="1" x14ac:dyDescent="0.35">
      <c r="A7596">
        <v>7595</v>
      </c>
      <c r="B7596" t="s">
        <v>15324</v>
      </c>
      <c r="C7596" t="s">
        <v>68</v>
      </c>
      <c r="D7596" t="s">
        <v>34</v>
      </c>
      <c r="E7596">
        <v>2080</v>
      </c>
      <c r="F7596">
        <v>2</v>
      </c>
      <c r="G7596">
        <v>2</v>
      </c>
      <c r="H7596">
        <v>1</v>
      </c>
      <c r="I7596">
        <v>0</v>
      </c>
      <c r="J7596">
        <v>1</v>
      </c>
      <c r="K7596">
        <v>1</v>
      </c>
      <c r="L7596">
        <v>1</v>
      </c>
      <c r="M7596">
        <v>1</v>
      </c>
      <c r="N7596">
        <v>1</v>
      </c>
      <c r="O7596">
        <v>1</v>
      </c>
      <c r="P7596" t="s">
        <v>2163</v>
      </c>
      <c r="Q7596" t="s">
        <v>2164</v>
      </c>
      <c r="R7596" t="s">
        <v>113</v>
      </c>
      <c r="S7596" t="s">
        <v>114</v>
      </c>
      <c r="V7596" t="s">
        <v>2167</v>
      </c>
      <c r="W7596" t="s">
        <v>2168</v>
      </c>
      <c r="AF7596" t="s">
        <v>15325</v>
      </c>
    </row>
    <row r="7597" spans="1:32" hidden="1" x14ac:dyDescent="0.35">
      <c r="A7597">
        <v>7596</v>
      </c>
      <c r="B7597" t="s">
        <v>15324</v>
      </c>
      <c r="C7597" t="s">
        <v>68</v>
      </c>
      <c r="D7597" t="s">
        <v>45</v>
      </c>
      <c r="E7597">
        <v>792</v>
      </c>
      <c r="F7597">
        <v>2</v>
      </c>
      <c r="G7597">
        <v>2</v>
      </c>
      <c r="H7597">
        <v>1</v>
      </c>
      <c r="I7597">
        <v>0</v>
      </c>
      <c r="J7597">
        <v>1</v>
      </c>
      <c r="K7597">
        <v>1</v>
      </c>
      <c r="L7597">
        <v>1</v>
      </c>
      <c r="M7597">
        <v>1</v>
      </c>
      <c r="N7597">
        <v>1</v>
      </c>
      <c r="O7597">
        <v>1</v>
      </c>
      <c r="P7597" t="s">
        <v>2163</v>
      </c>
      <c r="Q7597" t="s">
        <v>2164</v>
      </c>
      <c r="R7597" t="s">
        <v>113</v>
      </c>
      <c r="S7597" t="s">
        <v>114</v>
      </c>
      <c r="V7597" t="s">
        <v>2167</v>
      </c>
      <c r="W7597" t="s">
        <v>2168</v>
      </c>
      <c r="AF7597" t="s">
        <v>15325</v>
      </c>
    </row>
    <row r="7598" spans="1:32" hidden="1" x14ac:dyDescent="0.35">
      <c r="A7598">
        <v>7597</v>
      </c>
      <c r="B7598" t="s">
        <v>15326</v>
      </c>
      <c r="C7598" t="s">
        <v>68</v>
      </c>
      <c r="D7598" t="s">
        <v>60</v>
      </c>
      <c r="E7598">
        <v>1118</v>
      </c>
      <c r="F7598">
        <v>2</v>
      </c>
      <c r="G7598">
        <v>2</v>
      </c>
      <c r="H7598">
        <v>1</v>
      </c>
      <c r="I7598">
        <v>0</v>
      </c>
      <c r="J7598">
        <v>1</v>
      </c>
      <c r="K7598">
        <v>1</v>
      </c>
      <c r="L7598">
        <v>1</v>
      </c>
      <c r="M7598">
        <v>1</v>
      </c>
      <c r="N7598">
        <v>1</v>
      </c>
      <c r="O7598">
        <v>1</v>
      </c>
      <c r="R7598" t="s">
        <v>157</v>
      </c>
      <c r="S7598" t="s">
        <v>158</v>
      </c>
      <c r="V7598" t="s">
        <v>15327</v>
      </c>
      <c r="W7598" t="s">
        <v>15328</v>
      </c>
      <c r="AF7598" t="s">
        <v>15329</v>
      </c>
    </row>
    <row r="7599" spans="1:32" hidden="1" x14ac:dyDescent="0.35">
      <c r="A7599">
        <v>7598</v>
      </c>
      <c r="B7599" t="s">
        <v>15326</v>
      </c>
      <c r="C7599" t="s">
        <v>68</v>
      </c>
      <c r="D7599" t="s">
        <v>62</v>
      </c>
      <c r="E7599">
        <v>1154</v>
      </c>
      <c r="F7599">
        <v>2</v>
      </c>
      <c r="G7599">
        <v>2</v>
      </c>
      <c r="H7599">
        <v>1</v>
      </c>
      <c r="I7599">
        <v>0</v>
      </c>
      <c r="J7599">
        <v>1</v>
      </c>
      <c r="K7599">
        <v>1</v>
      </c>
      <c r="L7599">
        <v>1</v>
      </c>
      <c r="M7599">
        <v>1</v>
      </c>
      <c r="N7599">
        <v>1</v>
      </c>
      <c r="O7599">
        <v>1</v>
      </c>
      <c r="R7599" t="s">
        <v>157</v>
      </c>
      <c r="S7599" t="s">
        <v>158</v>
      </c>
      <c r="V7599" t="s">
        <v>15327</v>
      </c>
      <c r="W7599" t="s">
        <v>15328</v>
      </c>
      <c r="AF7599" t="s">
        <v>15329</v>
      </c>
    </row>
    <row r="7600" spans="1:32" hidden="1" x14ac:dyDescent="0.35">
      <c r="A7600">
        <v>7599</v>
      </c>
      <c r="B7600" t="s">
        <v>15330</v>
      </c>
      <c r="C7600" t="s">
        <v>68</v>
      </c>
      <c r="D7600" t="s">
        <v>60</v>
      </c>
      <c r="E7600">
        <v>1300</v>
      </c>
      <c r="F7600">
        <v>2</v>
      </c>
      <c r="G7600">
        <v>2</v>
      </c>
      <c r="H7600">
        <v>1</v>
      </c>
      <c r="I7600">
        <v>0</v>
      </c>
      <c r="J7600">
        <v>1</v>
      </c>
      <c r="K7600">
        <v>1</v>
      </c>
      <c r="L7600">
        <v>1</v>
      </c>
      <c r="M7600">
        <v>1</v>
      </c>
      <c r="N7600">
        <v>1</v>
      </c>
      <c r="O7600">
        <v>1</v>
      </c>
      <c r="P7600" t="s">
        <v>15331</v>
      </c>
      <c r="Q7600" t="s">
        <v>15332</v>
      </c>
      <c r="R7600" t="s">
        <v>224</v>
      </c>
      <c r="S7600" t="s">
        <v>225</v>
      </c>
      <c r="T7600" t="s">
        <v>15333</v>
      </c>
      <c r="U7600" t="s">
        <v>15334</v>
      </c>
      <c r="V7600" t="s">
        <v>15335</v>
      </c>
      <c r="W7600" t="s">
        <v>15336</v>
      </c>
      <c r="AD7600" t="s">
        <v>219</v>
      </c>
      <c r="AE7600" t="s">
        <v>15337</v>
      </c>
      <c r="AF7600" t="s">
        <v>15338</v>
      </c>
    </row>
    <row r="7601" spans="1:32" hidden="1" x14ac:dyDescent="0.35">
      <c r="A7601">
        <v>7600</v>
      </c>
      <c r="B7601" t="s">
        <v>15330</v>
      </c>
      <c r="C7601" t="s">
        <v>68</v>
      </c>
      <c r="D7601" t="s">
        <v>62</v>
      </c>
      <c r="E7601">
        <v>1336</v>
      </c>
      <c r="F7601">
        <v>2</v>
      </c>
      <c r="G7601">
        <v>2</v>
      </c>
      <c r="H7601">
        <v>1</v>
      </c>
      <c r="I7601">
        <v>0</v>
      </c>
      <c r="J7601">
        <v>1</v>
      </c>
      <c r="K7601">
        <v>1</v>
      </c>
      <c r="L7601">
        <v>1</v>
      </c>
      <c r="M7601">
        <v>1</v>
      </c>
      <c r="N7601">
        <v>1</v>
      </c>
      <c r="O7601">
        <v>1</v>
      </c>
      <c r="P7601" t="s">
        <v>15331</v>
      </c>
      <c r="Q7601" t="s">
        <v>15332</v>
      </c>
      <c r="R7601" t="s">
        <v>224</v>
      </c>
      <c r="S7601" t="s">
        <v>225</v>
      </c>
      <c r="T7601" t="s">
        <v>15333</v>
      </c>
      <c r="U7601" t="s">
        <v>15334</v>
      </c>
      <c r="V7601" t="s">
        <v>15335</v>
      </c>
      <c r="W7601" t="s">
        <v>15336</v>
      </c>
      <c r="AD7601" t="s">
        <v>219</v>
      </c>
      <c r="AE7601" t="s">
        <v>15337</v>
      </c>
      <c r="AF7601" t="s">
        <v>15338</v>
      </c>
    </row>
    <row r="7602" spans="1:32" hidden="1" x14ac:dyDescent="0.35">
      <c r="A7602">
        <v>7601</v>
      </c>
      <c r="B7602" t="s">
        <v>15339</v>
      </c>
      <c r="C7602" t="s">
        <v>68</v>
      </c>
      <c r="D7602" t="s">
        <v>60</v>
      </c>
      <c r="E7602">
        <v>1533</v>
      </c>
      <c r="F7602">
        <v>2</v>
      </c>
      <c r="G7602">
        <v>2</v>
      </c>
      <c r="H7602">
        <v>1</v>
      </c>
      <c r="I7602">
        <v>0</v>
      </c>
      <c r="J7602">
        <v>1</v>
      </c>
      <c r="K7602">
        <v>1</v>
      </c>
      <c r="L7602">
        <v>1</v>
      </c>
      <c r="M7602">
        <v>1</v>
      </c>
      <c r="N7602">
        <v>1</v>
      </c>
      <c r="O7602">
        <v>1</v>
      </c>
      <c r="P7602" t="s">
        <v>15340</v>
      </c>
      <c r="Q7602" t="s">
        <v>15341</v>
      </c>
      <c r="R7602" t="s">
        <v>5726</v>
      </c>
      <c r="S7602" t="s">
        <v>5727</v>
      </c>
      <c r="T7602" t="s">
        <v>15342</v>
      </c>
      <c r="U7602" t="s">
        <v>15343</v>
      </c>
      <c r="V7602" t="s">
        <v>15344</v>
      </c>
      <c r="W7602" t="s">
        <v>15345</v>
      </c>
      <c r="AD7602" t="s">
        <v>11627</v>
      </c>
      <c r="AE7602" t="s">
        <v>15346</v>
      </c>
      <c r="AF7602" t="s">
        <v>15347</v>
      </c>
    </row>
    <row r="7603" spans="1:32" hidden="1" x14ac:dyDescent="0.35">
      <c r="A7603">
        <v>7602</v>
      </c>
      <c r="B7603" t="s">
        <v>15339</v>
      </c>
      <c r="C7603" t="s">
        <v>68</v>
      </c>
      <c r="D7603" t="s">
        <v>62</v>
      </c>
      <c r="E7603">
        <v>1568</v>
      </c>
      <c r="F7603">
        <v>2</v>
      </c>
      <c r="G7603">
        <v>2</v>
      </c>
      <c r="H7603">
        <v>1</v>
      </c>
      <c r="I7603">
        <v>0</v>
      </c>
      <c r="J7603">
        <v>1</v>
      </c>
      <c r="K7603">
        <v>1</v>
      </c>
      <c r="L7603">
        <v>1</v>
      </c>
      <c r="M7603">
        <v>1</v>
      </c>
      <c r="N7603">
        <v>1</v>
      </c>
      <c r="O7603">
        <v>1</v>
      </c>
      <c r="P7603" t="s">
        <v>15340</v>
      </c>
      <c r="Q7603" t="s">
        <v>15341</v>
      </c>
      <c r="R7603" t="s">
        <v>5726</v>
      </c>
      <c r="S7603" t="s">
        <v>5727</v>
      </c>
      <c r="T7603" t="s">
        <v>15342</v>
      </c>
      <c r="U7603" t="s">
        <v>15343</v>
      </c>
      <c r="V7603" t="s">
        <v>15344</v>
      </c>
      <c r="W7603" t="s">
        <v>15345</v>
      </c>
      <c r="AD7603" t="s">
        <v>11627</v>
      </c>
      <c r="AE7603" t="s">
        <v>15346</v>
      </c>
      <c r="AF7603" t="s">
        <v>15347</v>
      </c>
    </row>
    <row r="7604" spans="1:32" hidden="1" x14ac:dyDescent="0.35">
      <c r="A7604">
        <v>7603</v>
      </c>
      <c r="B7604" t="s">
        <v>15348</v>
      </c>
      <c r="C7604" t="s">
        <v>68</v>
      </c>
      <c r="D7604" t="s">
        <v>60</v>
      </c>
      <c r="E7604">
        <v>594</v>
      </c>
      <c r="F7604">
        <v>2</v>
      </c>
      <c r="G7604">
        <v>2</v>
      </c>
      <c r="H7604">
        <v>1</v>
      </c>
      <c r="I7604">
        <v>0</v>
      </c>
      <c r="J7604">
        <v>1</v>
      </c>
      <c r="K7604">
        <v>1</v>
      </c>
      <c r="L7604">
        <v>1</v>
      </c>
      <c r="M7604">
        <v>1</v>
      </c>
      <c r="N7604">
        <v>1</v>
      </c>
      <c r="O7604">
        <v>1</v>
      </c>
      <c r="AF7604" t="s">
        <v>15349</v>
      </c>
    </row>
    <row r="7605" spans="1:32" hidden="1" x14ac:dyDescent="0.35">
      <c r="A7605">
        <v>7604</v>
      </c>
      <c r="B7605" t="s">
        <v>15348</v>
      </c>
      <c r="C7605" t="s">
        <v>68</v>
      </c>
      <c r="D7605" t="s">
        <v>62</v>
      </c>
      <c r="E7605">
        <v>678</v>
      </c>
      <c r="F7605">
        <v>2</v>
      </c>
      <c r="G7605">
        <v>2</v>
      </c>
      <c r="H7605">
        <v>1</v>
      </c>
      <c r="I7605">
        <v>0</v>
      </c>
      <c r="J7605">
        <v>1</v>
      </c>
      <c r="K7605">
        <v>1</v>
      </c>
      <c r="L7605">
        <v>1</v>
      </c>
      <c r="M7605">
        <v>1</v>
      </c>
      <c r="N7605">
        <v>1</v>
      </c>
      <c r="O7605">
        <v>1</v>
      </c>
      <c r="AF7605" t="s">
        <v>15349</v>
      </c>
    </row>
    <row r="7606" spans="1:32" hidden="1" x14ac:dyDescent="0.35">
      <c r="A7606">
        <v>7605</v>
      </c>
      <c r="B7606" t="s">
        <v>15350</v>
      </c>
      <c r="C7606" t="s">
        <v>68</v>
      </c>
      <c r="D7606" t="s">
        <v>60</v>
      </c>
      <c r="E7606">
        <v>36</v>
      </c>
      <c r="F7606">
        <v>2</v>
      </c>
      <c r="G7606">
        <v>2</v>
      </c>
      <c r="H7606">
        <v>1</v>
      </c>
      <c r="I7606">
        <v>0</v>
      </c>
      <c r="J7606">
        <v>1</v>
      </c>
      <c r="K7606">
        <v>1</v>
      </c>
      <c r="L7606">
        <v>1</v>
      </c>
      <c r="M7606">
        <v>1</v>
      </c>
      <c r="N7606">
        <v>1</v>
      </c>
      <c r="O7606">
        <v>1</v>
      </c>
      <c r="P7606" t="s">
        <v>957</v>
      </c>
      <c r="Q7606" t="s">
        <v>958</v>
      </c>
      <c r="R7606" t="s">
        <v>235</v>
      </c>
      <c r="S7606" t="s">
        <v>236</v>
      </c>
      <c r="T7606" t="s">
        <v>15351</v>
      </c>
      <c r="U7606" t="s">
        <v>15352</v>
      </c>
      <c r="V7606" t="s">
        <v>961</v>
      </c>
      <c r="W7606" t="s">
        <v>962</v>
      </c>
      <c r="X7606" t="s">
        <v>961</v>
      </c>
      <c r="Y7606" t="s">
        <v>241</v>
      </c>
      <c r="AD7606" t="s">
        <v>219</v>
      </c>
      <c r="AE7606" t="s">
        <v>15353</v>
      </c>
      <c r="AF7606" t="s">
        <v>15354</v>
      </c>
    </row>
    <row r="7607" spans="1:32" hidden="1" x14ac:dyDescent="0.35">
      <c r="A7607">
        <v>7606</v>
      </c>
      <c r="B7607" t="s">
        <v>15350</v>
      </c>
      <c r="C7607" t="s">
        <v>68</v>
      </c>
      <c r="D7607" t="s">
        <v>62</v>
      </c>
      <c r="E7607">
        <v>109</v>
      </c>
      <c r="F7607">
        <v>2</v>
      </c>
      <c r="G7607">
        <v>2</v>
      </c>
      <c r="H7607">
        <v>1</v>
      </c>
      <c r="I7607">
        <v>0</v>
      </c>
      <c r="J7607">
        <v>1</v>
      </c>
      <c r="K7607">
        <v>1</v>
      </c>
      <c r="L7607">
        <v>1</v>
      </c>
      <c r="M7607">
        <v>1</v>
      </c>
      <c r="N7607">
        <v>1</v>
      </c>
      <c r="O7607">
        <v>1</v>
      </c>
      <c r="P7607" t="s">
        <v>957</v>
      </c>
      <c r="Q7607" t="s">
        <v>958</v>
      </c>
      <c r="R7607" t="s">
        <v>235</v>
      </c>
      <c r="S7607" t="s">
        <v>236</v>
      </c>
      <c r="T7607" t="s">
        <v>15351</v>
      </c>
      <c r="U7607" t="s">
        <v>15352</v>
      </c>
      <c r="V7607" t="s">
        <v>961</v>
      </c>
      <c r="W7607" t="s">
        <v>962</v>
      </c>
      <c r="X7607" t="s">
        <v>961</v>
      </c>
      <c r="Y7607" t="s">
        <v>241</v>
      </c>
      <c r="AD7607" t="s">
        <v>219</v>
      </c>
      <c r="AE7607" t="s">
        <v>15353</v>
      </c>
      <c r="AF7607" t="s">
        <v>15354</v>
      </c>
    </row>
    <row r="7608" spans="1:32" hidden="1" x14ac:dyDescent="0.35">
      <c r="A7608">
        <v>7607</v>
      </c>
      <c r="B7608" t="s">
        <v>15355</v>
      </c>
      <c r="C7608" t="s">
        <v>68</v>
      </c>
      <c r="D7608" t="s">
        <v>34</v>
      </c>
      <c r="E7608">
        <v>1405</v>
      </c>
      <c r="F7608">
        <v>2</v>
      </c>
      <c r="G7608">
        <v>2</v>
      </c>
      <c r="H7608">
        <v>1</v>
      </c>
      <c r="I7608">
        <v>0</v>
      </c>
      <c r="J7608">
        <v>1</v>
      </c>
      <c r="K7608">
        <v>1</v>
      </c>
      <c r="L7608">
        <v>1</v>
      </c>
      <c r="M7608">
        <v>1</v>
      </c>
      <c r="N7608">
        <v>1</v>
      </c>
      <c r="O7608">
        <v>1</v>
      </c>
      <c r="AF7608" t="s">
        <v>15356</v>
      </c>
    </row>
    <row r="7609" spans="1:32" hidden="1" x14ac:dyDescent="0.35">
      <c r="A7609">
        <v>7608</v>
      </c>
      <c r="B7609" t="s">
        <v>15355</v>
      </c>
      <c r="C7609" t="s">
        <v>68</v>
      </c>
      <c r="D7609" t="s">
        <v>45</v>
      </c>
      <c r="E7609">
        <v>156</v>
      </c>
      <c r="F7609">
        <v>2</v>
      </c>
      <c r="G7609">
        <v>2</v>
      </c>
      <c r="H7609">
        <v>1</v>
      </c>
      <c r="I7609">
        <v>0</v>
      </c>
      <c r="J7609">
        <v>1</v>
      </c>
      <c r="K7609">
        <v>1</v>
      </c>
      <c r="L7609">
        <v>1</v>
      </c>
      <c r="M7609">
        <v>1</v>
      </c>
      <c r="N7609">
        <v>1</v>
      </c>
      <c r="O7609">
        <v>1</v>
      </c>
      <c r="AF7609" t="s">
        <v>15356</v>
      </c>
    </row>
    <row r="7610" spans="1:32" hidden="1" x14ac:dyDescent="0.35">
      <c r="A7610">
        <v>7609</v>
      </c>
      <c r="B7610" t="s">
        <v>15357</v>
      </c>
      <c r="C7610" t="s">
        <v>68</v>
      </c>
      <c r="D7610" t="s">
        <v>60</v>
      </c>
      <c r="E7610">
        <v>1977</v>
      </c>
      <c r="F7610">
        <v>2</v>
      </c>
      <c r="G7610">
        <v>2</v>
      </c>
      <c r="H7610">
        <v>1</v>
      </c>
      <c r="I7610">
        <v>0</v>
      </c>
      <c r="J7610">
        <v>1</v>
      </c>
      <c r="K7610">
        <v>1</v>
      </c>
      <c r="L7610">
        <v>1</v>
      </c>
      <c r="M7610">
        <v>1</v>
      </c>
      <c r="N7610">
        <v>1</v>
      </c>
      <c r="O7610">
        <v>1</v>
      </c>
      <c r="AF7610" t="s">
        <v>15358</v>
      </c>
    </row>
    <row r="7611" spans="1:32" hidden="1" x14ac:dyDescent="0.35">
      <c r="A7611">
        <v>7610</v>
      </c>
      <c r="B7611" t="s">
        <v>15357</v>
      </c>
      <c r="C7611" t="s">
        <v>68</v>
      </c>
      <c r="D7611" t="s">
        <v>62</v>
      </c>
      <c r="E7611">
        <v>2018</v>
      </c>
      <c r="F7611">
        <v>2</v>
      </c>
      <c r="G7611">
        <v>2</v>
      </c>
      <c r="H7611">
        <v>1</v>
      </c>
      <c r="I7611">
        <v>0</v>
      </c>
      <c r="J7611">
        <v>1</v>
      </c>
      <c r="K7611">
        <v>1</v>
      </c>
      <c r="L7611">
        <v>1</v>
      </c>
      <c r="M7611">
        <v>1</v>
      </c>
      <c r="N7611">
        <v>1</v>
      </c>
      <c r="O7611">
        <v>1</v>
      </c>
      <c r="AF7611" t="s">
        <v>15358</v>
      </c>
    </row>
    <row r="7612" spans="1:32" hidden="1" x14ac:dyDescent="0.35">
      <c r="A7612">
        <v>7611</v>
      </c>
      <c r="B7612" t="s">
        <v>15359</v>
      </c>
      <c r="C7612" t="s">
        <v>68</v>
      </c>
      <c r="D7612" t="s">
        <v>34</v>
      </c>
      <c r="E7612">
        <v>1608</v>
      </c>
      <c r="F7612">
        <v>2</v>
      </c>
      <c r="G7612">
        <v>2</v>
      </c>
      <c r="H7612">
        <v>1</v>
      </c>
      <c r="I7612">
        <v>0</v>
      </c>
      <c r="J7612">
        <v>1</v>
      </c>
      <c r="K7612">
        <v>1</v>
      </c>
      <c r="L7612">
        <v>1</v>
      </c>
      <c r="M7612">
        <v>1</v>
      </c>
      <c r="N7612">
        <v>1</v>
      </c>
      <c r="O7612">
        <v>1</v>
      </c>
      <c r="AF7612" t="s">
        <v>15360</v>
      </c>
    </row>
    <row r="7613" spans="1:32" hidden="1" x14ac:dyDescent="0.35">
      <c r="A7613">
        <v>7612</v>
      </c>
      <c r="B7613" t="s">
        <v>15359</v>
      </c>
      <c r="C7613" t="s">
        <v>68</v>
      </c>
      <c r="D7613" t="s">
        <v>45</v>
      </c>
      <c r="E7613">
        <v>359</v>
      </c>
      <c r="F7613">
        <v>2</v>
      </c>
      <c r="G7613">
        <v>2</v>
      </c>
      <c r="H7613">
        <v>1</v>
      </c>
      <c r="I7613">
        <v>0</v>
      </c>
      <c r="J7613">
        <v>1</v>
      </c>
      <c r="K7613">
        <v>1</v>
      </c>
      <c r="L7613">
        <v>1</v>
      </c>
      <c r="M7613">
        <v>1</v>
      </c>
      <c r="N7613">
        <v>1</v>
      </c>
      <c r="O7613">
        <v>1</v>
      </c>
      <c r="AF7613" t="s">
        <v>15360</v>
      </c>
    </row>
    <row r="7614" spans="1:32" hidden="1" x14ac:dyDescent="0.35">
      <c r="A7614">
        <v>7613</v>
      </c>
      <c r="B7614" t="s">
        <v>15361</v>
      </c>
      <c r="C7614" t="s">
        <v>68</v>
      </c>
      <c r="D7614" t="s">
        <v>60</v>
      </c>
      <c r="E7614">
        <v>1835</v>
      </c>
      <c r="F7614">
        <v>2</v>
      </c>
      <c r="G7614">
        <v>2</v>
      </c>
      <c r="H7614">
        <v>1</v>
      </c>
      <c r="I7614">
        <v>0</v>
      </c>
      <c r="J7614">
        <v>1</v>
      </c>
      <c r="K7614">
        <v>1</v>
      </c>
      <c r="L7614">
        <v>1</v>
      </c>
      <c r="M7614">
        <v>1</v>
      </c>
      <c r="N7614">
        <v>1</v>
      </c>
      <c r="O7614">
        <v>1</v>
      </c>
      <c r="P7614" t="s">
        <v>2732</v>
      </c>
      <c r="Q7614" t="s">
        <v>2733</v>
      </c>
      <c r="R7614" t="s">
        <v>652</v>
      </c>
      <c r="S7614" t="s">
        <v>653</v>
      </c>
      <c r="T7614" t="s">
        <v>15362</v>
      </c>
      <c r="U7614" t="s">
        <v>15363</v>
      </c>
      <c r="V7614" t="s">
        <v>11737</v>
      </c>
      <c r="W7614" t="s">
        <v>11738</v>
      </c>
      <c r="AD7614" t="s">
        <v>410</v>
      </c>
      <c r="AE7614" t="s">
        <v>603</v>
      </c>
      <c r="AF7614" t="s">
        <v>15364</v>
      </c>
    </row>
    <row r="7615" spans="1:32" hidden="1" x14ac:dyDescent="0.35">
      <c r="A7615">
        <v>7614</v>
      </c>
      <c r="B7615" t="s">
        <v>15361</v>
      </c>
      <c r="C7615" t="s">
        <v>68</v>
      </c>
      <c r="D7615" t="s">
        <v>62</v>
      </c>
      <c r="E7615">
        <v>1873</v>
      </c>
      <c r="F7615">
        <v>2</v>
      </c>
      <c r="G7615">
        <v>2</v>
      </c>
      <c r="H7615">
        <v>1</v>
      </c>
      <c r="I7615">
        <v>0</v>
      </c>
      <c r="J7615">
        <v>1</v>
      </c>
      <c r="K7615">
        <v>1</v>
      </c>
      <c r="L7615">
        <v>1</v>
      </c>
      <c r="M7615">
        <v>1</v>
      </c>
      <c r="N7615">
        <v>1</v>
      </c>
      <c r="O7615">
        <v>1</v>
      </c>
      <c r="P7615" t="s">
        <v>2732</v>
      </c>
      <c r="Q7615" t="s">
        <v>2733</v>
      </c>
      <c r="R7615" t="s">
        <v>652</v>
      </c>
      <c r="S7615" t="s">
        <v>653</v>
      </c>
      <c r="T7615" t="s">
        <v>15362</v>
      </c>
      <c r="U7615" t="s">
        <v>15363</v>
      </c>
      <c r="V7615" t="s">
        <v>11737</v>
      </c>
      <c r="W7615" t="s">
        <v>11738</v>
      </c>
      <c r="AD7615" t="s">
        <v>410</v>
      </c>
      <c r="AE7615" t="s">
        <v>603</v>
      </c>
      <c r="AF7615" t="s">
        <v>15364</v>
      </c>
    </row>
    <row r="7616" spans="1:32" hidden="1" x14ac:dyDescent="0.35">
      <c r="A7616">
        <v>7615</v>
      </c>
      <c r="B7616" t="s">
        <v>15365</v>
      </c>
      <c r="C7616" t="s">
        <v>68</v>
      </c>
      <c r="D7616" t="s">
        <v>34</v>
      </c>
      <c r="E7616">
        <v>1684</v>
      </c>
      <c r="F7616">
        <v>2</v>
      </c>
      <c r="G7616">
        <v>2</v>
      </c>
      <c r="H7616">
        <v>1</v>
      </c>
      <c r="I7616">
        <v>0</v>
      </c>
      <c r="J7616">
        <v>1</v>
      </c>
      <c r="K7616">
        <v>1</v>
      </c>
      <c r="L7616">
        <v>1</v>
      </c>
      <c r="M7616">
        <v>1</v>
      </c>
      <c r="N7616">
        <v>1</v>
      </c>
      <c r="O7616">
        <v>1</v>
      </c>
      <c r="P7616" t="s">
        <v>15366</v>
      </c>
      <c r="Q7616" t="s">
        <v>15367</v>
      </c>
      <c r="R7616" t="s">
        <v>342</v>
      </c>
      <c r="S7616" t="s">
        <v>343</v>
      </c>
      <c r="T7616" t="s">
        <v>15368</v>
      </c>
      <c r="U7616" t="s">
        <v>2840</v>
      </c>
      <c r="V7616" t="s">
        <v>15369</v>
      </c>
      <c r="W7616" t="s">
        <v>15370</v>
      </c>
      <c r="AD7616" t="s">
        <v>166</v>
      </c>
      <c r="AE7616" t="s">
        <v>2843</v>
      </c>
      <c r="AF7616" t="s">
        <v>15371</v>
      </c>
    </row>
    <row r="7617" spans="1:32" hidden="1" x14ac:dyDescent="0.35">
      <c r="A7617">
        <v>7616</v>
      </c>
      <c r="B7617" t="s">
        <v>15365</v>
      </c>
      <c r="C7617" t="s">
        <v>68</v>
      </c>
      <c r="D7617" t="s">
        <v>45</v>
      </c>
      <c r="E7617">
        <v>1192</v>
      </c>
      <c r="F7617">
        <v>2</v>
      </c>
      <c r="G7617">
        <v>2</v>
      </c>
      <c r="H7617">
        <v>1</v>
      </c>
      <c r="I7617">
        <v>0</v>
      </c>
      <c r="J7617">
        <v>1</v>
      </c>
      <c r="K7617">
        <v>1</v>
      </c>
      <c r="L7617">
        <v>1</v>
      </c>
      <c r="M7617">
        <v>1</v>
      </c>
      <c r="N7617">
        <v>1</v>
      </c>
      <c r="O7617">
        <v>1</v>
      </c>
      <c r="P7617" t="s">
        <v>15366</v>
      </c>
      <c r="Q7617" t="s">
        <v>15367</v>
      </c>
      <c r="R7617" t="s">
        <v>342</v>
      </c>
      <c r="S7617" t="s">
        <v>343</v>
      </c>
      <c r="T7617" t="s">
        <v>15368</v>
      </c>
      <c r="U7617" t="s">
        <v>2840</v>
      </c>
      <c r="V7617" t="s">
        <v>15369</v>
      </c>
      <c r="W7617" t="s">
        <v>15370</v>
      </c>
      <c r="AD7617" t="s">
        <v>166</v>
      </c>
      <c r="AE7617" t="s">
        <v>2843</v>
      </c>
      <c r="AF7617" t="s">
        <v>15371</v>
      </c>
    </row>
    <row r="7618" spans="1:32" hidden="1" x14ac:dyDescent="0.35">
      <c r="A7618">
        <v>7617</v>
      </c>
      <c r="B7618" t="s">
        <v>15372</v>
      </c>
      <c r="C7618" t="s">
        <v>68</v>
      </c>
      <c r="D7618" t="s">
        <v>34</v>
      </c>
      <c r="E7618">
        <v>609</v>
      </c>
      <c r="F7618">
        <v>2</v>
      </c>
      <c r="G7618">
        <v>2</v>
      </c>
      <c r="H7618">
        <v>1</v>
      </c>
      <c r="I7618">
        <v>0</v>
      </c>
      <c r="J7618">
        <v>1</v>
      </c>
      <c r="K7618">
        <v>1</v>
      </c>
      <c r="L7618">
        <v>1</v>
      </c>
      <c r="M7618">
        <v>1</v>
      </c>
      <c r="N7618">
        <v>1</v>
      </c>
      <c r="O7618">
        <v>1</v>
      </c>
      <c r="P7618" t="s">
        <v>10334</v>
      </c>
      <c r="Q7618" t="s">
        <v>10335</v>
      </c>
      <c r="R7618" t="s">
        <v>2071</v>
      </c>
      <c r="S7618" t="s">
        <v>2072</v>
      </c>
      <c r="V7618" t="s">
        <v>10336</v>
      </c>
      <c r="W7618" t="s">
        <v>10337</v>
      </c>
      <c r="AF7618" t="s">
        <v>15373</v>
      </c>
    </row>
    <row r="7619" spans="1:32" hidden="1" x14ac:dyDescent="0.35">
      <c r="A7619">
        <v>7618</v>
      </c>
      <c r="B7619" t="s">
        <v>15372</v>
      </c>
      <c r="C7619" t="s">
        <v>68</v>
      </c>
      <c r="D7619" t="s">
        <v>45</v>
      </c>
      <c r="E7619">
        <v>1876</v>
      </c>
      <c r="F7619">
        <v>2</v>
      </c>
      <c r="G7619">
        <v>2</v>
      </c>
      <c r="H7619">
        <v>1</v>
      </c>
      <c r="I7619">
        <v>0</v>
      </c>
      <c r="J7619">
        <v>1</v>
      </c>
      <c r="K7619">
        <v>1</v>
      </c>
      <c r="L7619">
        <v>1</v>
      </c>
      <c r="M7619">
        <v>1</v>
      </c>
      <c r="N7619">
        <v>1</v>
      </c>
      <c r="O7619">
        <v>1</v>
      </c>
      <c r="P7619" t="s">
        <v>10334</v>
      </c>
      <c r="Q7619" t="s">
        <v>10335</v>
      </c>
      <c r="R7619" t="s">
        <v>2071</v>
      </c>
      <c r="S7619" t="s">
        <v>2072</v>
      </c>
      <c r="V7619" t="s">
        <v>10336</v>
      </c>
      <c r="W7619" t="s">
        <v>10337</v>
      </c>
      <c r="AF7619" t="s">
        <v>15373</v>
      </c>
    </row>
    <row r="7620" spans="1:32" hidden="1" x14ac:dyDescent="0.35">
      <c r="A7620">
        <v>7619</v>
      </c>
      <c r="B7620" t="s">
        <v>15374</v>
      </c>
      <c r="C7620" t="s">
        <v>68</v>
      </c>
      <c r="D7620" t="s">
        <v>34</v>
      </c>
      <c r="E7620">
        <v>166</v>
      </c>
      <c r="F7620">
        <v>2</v>
      </c>
      <c r="G7620">
        <v>2</v>
      </c>
      <c r="H7620">
        <v>1</v>
      </c>
      <c r="I7620">
        <v>0</v>
      </c>
      <c r="J7620">
        <v>1</v>
      </c>
      <c r="K7620">
        <v>1</v>
      </c>
      <c r="L7620">
        <v>1</v>
      </c>
      <c r="M7620">
        <v>1</v>
      </c>
      <c r="N7620">
        <v>1</v>
      </c>
      <c r="O7620">
        <v>1</v>
      </c>
      <c r="P7620" t="s">
        <v>13517</v>
      </c>
      <c r="Q7620" t="s">
        <v>13518</v>
      </c>
      <c r="R7620" t="s">
        <v>113</v>
      </c>
      <c r="S7620" t="s">
        <v>114</v>
      </c>
      <c r="V7620" t="s">
        <v>4627</v>
      </c>
      <c r="W7620" t="s">
        <v>4628</v>
      </c>
      <c r="AF7620" t="s">
        <v>15375</v>
      </c>
    </row>
    <row r="7621" spans="1:32" hidden="1" x14ac:dyDescent="0.35">
      <c r="A7621">
        <v>7620</v>
      </c>
      <c r="B7621" t="s">
        <v>15374</v>
      </c>
      <c r="C7621" t="s">
        <v>68</v>
      </c>
      <c r="D7621" t="s">
        <v>45</v>
      </c>
      <c r="E7621">
        <v>1427</v>
      </c>
      <c r="F7621">
        <v>2</v>
      </c>
      <c r="G7621">
        <v>2</v>
      </c>
      <c r="H7621">
        <v>1</v>
      </c>
      <c r="I7621">
        <v>0</v>
      </c>
      <c r="J7621">
        <v>1</v>
      </c>
      <c r="K7621">
        <v>1</v>
      </c>
      <c r="L7621">
        <v>1</v>
      </c>
      <c r="M7621">
        <v>1</v>
      </c>
      <c r="N7621">
        <v>1</v>
      </c>
      <c r="O7621">
        <v>1</v>
      </c>
      <c r="P7621" t="s">
        <v>13517</v>
      </c>
      <c r="Q7621" t="s">
        <v>13518</v>
      </c>
      <c r="R7621" t="s">
        <v>113</v>
      </c>
      <c r="S7621" t="s">
        <v>114</v>
      </c>
      <c r="V7621" t="s">
        <v>4627</v>
      </c>
      <c r="W7621" t="s">
        <v>4628</v>
      </c>
      <c r="AF7621" t="s">
        <v>15375</v>
      </c>
    </row>
    <row r="7622" spans="1:32" hidden="1" x14ac:dyDescent="0.35">
      <c r="A7622">
        <v>7621</v>
      </c>
      <c r="B7622" t="s">
        <v>15376</v>
      </c>
      <c r="C7622" t="s">
        <v>68</v>
      </c>
      <c r="D7622" t="s">
        <v>60</v>
      </c>
      <c r="E7622">
        <v>1762</v>
      </c>
      <c r="F7622">
        <v>2</v>
      </c>
      <c r="G7622">
        <v>2</v>
      </c>
      <c r="H7622">
        <v>1</v>
      </c>
      <c r="I7622">
        <v>0</v>
      </c>
      <c r="J7622">
        <v>1</v>
      </c>
      <c r="K7622">
        <v>1</v>
      </c>
      <c r="L7622">
        <v>1</v>
      </c>
      <c r="M7622">
        <v>1</v>
      </c>
      <c r="N7622">
        <v>1</v>
      </c>
      <c r="O7622">
        <v>1</v>
      </c>
      <c r="P7622" t="s">
        <v>15377</v>
      </c>
      <c r="Q7622" t="s">
        <v>10223</v>
      </c>
      <c r="R7622" t="s">
        <v>224</v>
      </c>
      <c r="S7622" t="s">
        <v>225</v>
      </c>
      <c r="V7622" t="s">
        <v>8738</v>
      </c>
      <c r="W7622" t="s">
        <v>8739</v>
      </c>
      <c r="AF7622" t="s">
        <v>15378</v>
      </c>
    </row>
    <row r="7623" spans="1:32" hidden="1" x14ac:dyDescent="0.35">
      <c r="A7623">
        <v>7622</v>
      </c>
      <c r="B7623" t="s">
        <v>15376</v>
      </c>
      <c r="C7623" t="s">
        <v>68</v>
      </c>
      <c r="D7623" t="s">
        <v>62</v>
      </c>
      <c r="E7623">
        <v>1798</v>
      </c>
      <c r="F7623">
        <v>2</v>
      </c>
      <c r="G7623">
        <v>2</v>
      </c>
      <c r="H7623">
        <v>1</v>
      </c>
      <c r="I7623">
        <v>0</v>
      </c>
      <c r="J7623">
        <v>1</v>
      </c>
      <c r="K7623">
        <v>1</v>
      </c>
      <c r="L7623">
        <v>1</v>
      </c>
      <c r="M7623">
        <v>1</v>
      </c>
      <c r="N7623">
        <v>1</v>
      </c>
      <c r="O7623">
        <v>1</v>
      </c>
      <c r="P7623" t="s">
        <v>15377</v>
      </c>
      <c r="Q7623" t="s">
        <v>10223</v>
      </c>
      <c r="R7623" t="s">
        <v>224</v>
      </c>
      <c r="S7623" t="s">
        <v>225</v>
      </c>
      <c r="V7623" t="s">
        <v>8738</v>
      </c>
      <c r="W7623" t="s">
        <v>8739</v>
      </c>
      <c r="AF7623" t="s">
        <v>15378</v>
      </c>
    </row>
    <row r="7624" spans="1:32" hidden="1" x14ac:dyDescent="0.35">
      <c r="A7624">
        <v>7623</v>
      </c>
      <c r="B7624" t="s">
        <v>15379</v>
      </c>
      <c r="C7624" t="s">
        <v>68</v>
      </c>
      <c r="D7624" t="s">
        <v>34</v>
      </c>
      <c r="E7624">
        <v>677</v>
      </c>
      <c r="F7624">
        <v>2</v>
      </c>
      <c r="G7624">
        <v>2</v>
      </c>
      <c r="H7624">
        <v>1</v>
      </c>
      <c r="I7624">
        <v>0</v>
      </c>
      <c r="J7624">
        <v>1</v>
      </c>
      <c r="K7624">
        <v>1</v>
      </c>
      <c r="L7624">
        <v>1</v>
      </c>
      <c r="M7624">
        <v>1</v>
      </c>
      <c r="N7624">
        <v>1</v>
      </c>
      <c r="O7624">
        <v>1</v>
      </c>
      <c r="AF7624" t="s">
        <v>15380</v>
      </c>
    </row>
    <row r="7625" spans="1:32" hidden="1" x14ac:dyDescent="0.35">
      <c r="A7625">
        <v>7624</v>
      </c>
      <c r="B7625" t="s">
        <v>15379</v>
      </c>
      <c r="C7625" t="s">
        <v>68</v>
      </c>
      <c r="D7625" t="s">
        <v>45</v>
      </c>
      <c r="E7625">
        <v>1943</v>
      </c>
      <c r="F7625">
        <v>2</v>
      </c>
      <c r="G7625">
        <v>2</v>
      </c>
      <c r="H7625">
        <v>1</v>
      </c>
      <c r="I7625">
        <v>0</v>
      </c>
      <c r="J7625">
        <v>1</v>
      </c>
      <c r="K7625">
        <v>1</v>
      </c>
      <c r="L7625">
        <v>1</v>
      </c>
      <c r="M7625">
        <v>1</v>
      </c>
      <c r="N7625">
        <v>1</v>
      </c>
      <c r="O7625">
        <v>1</v>
      </c>
      <c r="AF7625" t="s">
        <v>15380</v>
      </c>
    </row>
    <row r="7626" spans="1:32" hidden="1" x14ac:dyDescent="0.35">
      <c r="A7626">
        <v>7625</v>
      </c>
      <c r="B7626" t="s">
        <v>15381</v>
      </c>
      <c r="C7626" t="s">
        <v>68</v>
      </c>
      <c r="D7626" t="s">
        <v>34</v>
      </c>
      <c r="E7626">
        <v>773</v>
      </c>
      <c r="F7626">
        <v>2</v>
      </c>
      <c r="G7626">
        <v>2</v>
      </c>
      <c r="H7626">
        <v>1</v>
      </c>
      <c r="I7626">
        <v>0</v>
      </c>
      <c r="J7626">
        <v>1</v>
      </c>
      <c r="K7626">
        <v>1</v>
      </c>
      <c r="L7626">
        <v>1</v>
      </c>
      <c r="M7626">
        <v>1</v>
      </c>
      <c r="N7626">
        <v>1</v>
      </c>
      <c r="O7626">
        <v>1</v>
      </c>
      <c r="P7626" t="s">
        <v>2574</v>
      </c>
      <c r="Q7626" t="s">
        <v>2575</v>
      </c>
      <c r="R7626" t="s">
        <v>1498</v>
      </c>
      <c r="S7626" t="s">
        <v>1499</v>
      </c>
      <c r="V7626" t="s">
        <v>1500</v>
      </c>
      <c r="W7626" t="s">
        <v>1501</v>
      </c>
      <c r="AF7626" t="s">
        <v>15382</v>
      </c>
    </row>
    <row r="7627" spans="1:32" hidden="1" x14ac:dyDescent="0.35">
      <c r="A7627">
        <v>7626</v>
      </c>
      <c r="B7627" t="s">
        <v>15381</v>
      </c>
      <c r="C7627" t="s">
        <v>68</v>
      </c>
      <c r="D7627" t="s">
        <v>45</v>
      </c>
      <c r="E7627">
        <v>2039</v>
      </c>
      <c r="F7627">
        <v>2</v>
      </c>
      <c r="G7627">
        <v>2</v>
      </c>
      <c r="H7627">
        <v>1</v>
      </c>
      <c r="I7627">
        <v>0</v>
      </c>
      <c r="J7627">
        <v>1</v>
      </c>
      <c r="K7627">
        <v>1</v>
      </c>
      <c r="L7627">
        <v>1</v>
      </c>
      <c r="M7627">
        <v>1</v>
      </c>
      <c r="N7627">
        <v>1</v>
      </c>
      <c r="O7627">
        <v>1</v>
      </c>
      <c r="P7627" t="s">
        <v>2574</v>
      </c>
      <c r="Q7627" t="s">
        <v>2575</v>
      </c>
      <c r="R7627" t="s">
        <v>1498</v>
      </c>
      <c r="S7627" t="s">
        <v>1499</v>
      </c>
      <c r="V7627" t="s">
        <v>1500</v>
      </c>
      <c r="W7627" t="s">
        <v>1501</v>
      </c>
      <c r="AF7627" t="s">
        <v>15382</v>
      </c>
    </row>
    <row r="7628" spans="1:32" hidden="1" x14ac:dyDescent="0.35">
      <c r="A7628">
        <v>7627</v>
      </c>
      <c r="B7628" t="s">
        <v>15383</v>
      </c>
      <c r="C7628" t="s">
        <v>68</v>
      </c>
      <c r="D7628" t="s">
        <v>34</v>
      </c>
      <c r="E7628">
        <v>2421</v>
      </c>
      <c r="F7628">
        <v>2</v>
      </c>
      <c r="G7628">
        <v>2</v>
      </c>
      <c r="H7628">
        <v>1</v>
      </c>
      <c r="I7628">
        <v>0</v>
      </c>
      <c r="J7628">
        <v>1</v>
      </c>
      <c r="K7628">
        <v>1</v>
      </c>
      <c r="L7628">
        <v>1</v>
      </c>
      <c r="M7628">
        <v>1</v>
      </c>
      <c r="N7628">
        <v>1</v>
      </c>
      <c r="O7628">
        <v>1</v>
      </c>
      <c r="P7628" t="s">
        <v>15384</v>
      </c>
      <c r="Q7628" t="s">
        <v>705</v>
      </c>
      <c r="R7628" t="s">
        <v>9280</v>
      </c>
      <c r="S7628" t="s">
        <v>9281</v>
      </c>
      <c r="V7628" t="s">
        <v>9284</v>
      </c>
      <c r="W7628" t="s">
        <v>9285</v>
      </c>
      <c r="X7628" t="s">
        <v>9284</v>
      </c>
      <c r="Y7628" t="s">
        <v>2932</v>
      </c>
      <c r="AF7628" t="s">
        <v>15385</v>
      </c>
    </row>
    <row r="7629" spans="1:32" hidden="1" x14ac:dyDescent="0.35">
      <c r="A7629">
        <v>7628</v>
      </c>
      <c r="B7629" t="s">
        <v>15383</v>
      </c>
      <c r="C7629" t="s">
        <v>68</v>
      </c>
      <c r="D7629" t="s">
        <v>45</v>
      </c>
      <c r="E7629">
        <v>477</v>
      </c>
      <c r="F7629">
        <v>2</v>
      </c>
      <c r="G7629">
        <v>2</v>
      </c>
      <c r="H7629">
        <v>1</v>
      </c>
      <c r="I7629">
        <v>0</v>
      </c>
      <c r="J7629">
        <v>1</v>
      </c>
      <c r="K7629">
        <v>1</v>
      </c>
      <c r="L7629">
        <v>1</v>
      </c>
      <c r="M7629">
        <v>1</v>
      </c>
      <c r="N7629">
        <v>1</v>
      </c>
      <c r="O7629">
        <v>1</v>
      </c>
      <c r="P7629" t="s">
        <v>15384</v>
      </c>
      <c r="Q7629" t="s">
        <v>705</v>
      </c>
      <c r="R7629" t="s">
        <v>9280</v>
      </c>
      <c r="S7629" t="s">
        <v>9281</v>
      </c>
      <c r="V7629" t="s">
        <v>9284</v>
      </c>
      <c r="W7629" t="s">
        <v>9285</v>
      </c>
      <c r="X7629" t="s">
        <v>9284</v>
      </c>
      <c r="Y7629" t="s">
        <v>2932</v>
      </c>
      <c r="AF7629" t="s">
        <v>15385</v>
      </c>
    </row>
    <row r="7630" spans="1:32" hidden="1" x14ac:dyDescent="0.35">
      <c r="A7630">
        <v>7629</v>
      </c>
      <c r="B7630" t="s">
        <v>15386</v>
      </c>
      <c r="C7630" t="s">
        <v>68</v>
      </c>
      <c r="D7630" t="s">
        <v>60</v>
      </c>
      <c r="E7630">
        <v>894</v>
      </c>
      <c r="F7630">
        <v>2</v>
      </c>
      <c r="G7630">
        <v>2</v>
      </c>
      <c r="H7630">
        <v>1</v>
      </c>
      <c r="I7630">
        <v>0</v>
      </c>
      <c r="J7630">
        <v>1</v>
      </c>
      <c r="K7630">
        <v>1</v>
      </c>
      <c r="L7630">
        <v>1</v>
      </c>
      <c r="M7630">
        <v>1</v>
      </c>
      <c r="N7630">
        <v>1</v>
      </c>
      <c r="O7630">
        <v>1</v>
      </c>
      <c r="P7630" t="s">
        <v>12553</v>
      </c>
      <c r="Q7630" t="s">
        <v>12554</v>
      </c>
      <c r="R7630" t="s">
        <v>288</v>
      </c>
      <c r="S7630" t="s">
        <v>289</v>
      </c>
      <c r="V7630" t="s">
        <v>12555</v>
      </c>
      <c r="W7630" t="s">
        <v>12556</v>
      </c>
      <c r="AF7630" t="s">
        <v>15387</v>
      </c>
    </row>
    <row r="7631" spans="1:32" hidden="1" x14ac:dyDescent="0.35">
      <c r="A7631">
        <v>7630</v>
      </c>
      <c r="B7631" t="s">
        <v>15386</v>
      </c>
      <c r="C7631" t="s">
        <v>68</v>
      </c>
      <c r="D7631" t="s">
        <v>62</v>
      </c>
      <c r="E7631">
        <v>928</v>
      </c>
      <c r="F7631">
        <v>2</v>
      </c>
      <c r="G7631">
        <v>2</v>
      </c>
      <c r="H7631">
        <v>1</v>
      </c>
      <c r="I7631">
        <v>0</v>
      </c>
      <c r="J7631">
        <v>1</v>
      </c>
      <c r="K7631">
        <v>1</v>
      </c>
      <c r="L7631">
        <v>1</v>
      </c>
      <c r="M7631">
        <v>1</v>
      </c>
      <c r="N7631">
        <v>1</v>
      </c>
      <c r="O7631">
        <v>1</v>
      </c>
      <c r="P7631" t="s">
        <v>12553</v>
      </c>
      <c r="Q7631" t="s">
        <v>12554</v>
      </c>
      <c r="R7631" t="s">
        <v>288</v>
      </c>
      <c r="S7631" t="s">
        <v>289</v>
      </c>
      <c r="V7631" t="s">
        <v>12555</v>
      </c>
      <c r="W7631" t="s">
        <v>12556</v>
      </c>
      <c r="AF7631" t="s">
        <v>15387</v>
      </c>
    </row>
    <row r="7632" spans="1:32" hidden="1" x14ac:dyDescent="0.35">
      <c r="A7632">
        <v>7631</v>
      </c>
      <c r="B7632" t="s">
        <v>15388</v>
      </c>
      <c r="C7632" t="s">
        <v>68</v>
      </c>
      <c r="D7632" t="s">
        <v>60</v>
      </c>
      <c r="E7632">
        <v>245</v>
      </c>
      <c r="F7632">
        <v>2</v>
      </c>
      <c r="G7632">
        <v>2</v>
      </c>
      <c r="H7632">
        <v>1</v>
      </c>
      <c r="I7632">
        <v>0</v>
      </c>
      <c r="J7632">
        <v>1</v>
      </c>
      <c r="K7632">
        <v>1</v>
      </c>
      <c r="L7632">
        <v>1</v>
      </c>
      <c r="M7632">
        <v>1</v>
      </c>
      <c r="N7632">
        <v>1</v>
      </c>
      <c r="O7632">
        <v>1</v>
      </c>
      <c r="P7632" t="s">
        <v>2574</v>
      </c>
      <c r="Q7632" t="s">
        <v>2575</v>
      </c>
      <c r="R7632" t="s">
        <v>1498</v>
      </c>
      <c r="S7632" t="s">
        <v>1499</v>
      </c>
      <c r="V7632" t="s">
        <v>1500</v>
      </c>
      <c r="W7632" t="s">
        <v>1501</v>
      </c>
      <c r="AF7632" t="s">
        <v>15389</v>
      </c>
    </row>
    <row r="7633" spans="1:32" hidden="1" x14ac:dyDescent="0.35">
      <c r="A7633">
        <v>7632</v>
      </c>
      <c r="B7633" t="s">
        <v>15388</v>
      </c>
      <c r="C7633" t="s">
        <v>68</v>
      </c>
      <c r="D7633" t="s">
        <v>62</v>
      </c>
      <c r="E7633">
        <v>323</v>
      </c>
      <c r="F7633">
        <v>2</v>
      </c>
      <c r="G7633">
        <v>2</v>
      </c>
      <c r="H7633">
        <v>1</v>
      </c>
      <c r="I7633">
        <v>0</v>
      </c>
      <c r="J7633">
        <v>1</v>
      </c>
      <c r="K7633">
        <v>1</v>
      </c>
      <c r="L7633">
        <v>1</v>
      </c>
      <c r="M7633">
        <v>1</v>
      </c>
      <c r="N7633">
        <v>1</v>
      </c>
      <c r="O7633">
        <v>1</v>
      </c>
      <c r="P7633" t="s">
        <v>2574</v>
      </c>
      <c r="Q7633" t="s">
        <v>2575</v>
      </c>
      <c r="R7633" t="s">
        <v>1498</v>
      </c>
      <c r="S7633" t="s">
        <v>1499</v>
      </c>
      <c r="V7633" t="s">
        <v>1500</v>
      </c>
      <c r="W7633" t="s">
        <v>1501</v>
      </c>
      <c r="AF7633" t="s">
        <v>15389</v>
      </c>
    </row>
    <row r="7634" spans="1:32" hidden="1" x14ac:dyDescent="0.35">
      <c r="A7634">
        <v>7633</v>
      </c>
      <c r="B7634" t="s">
        <v>15390</v>
      </c>
      <c r="C7634" t="s">
        <v>68</v>
      </c>
      <c r="D7634" t="s">
        <v>34</v>
      </c>
      <c r="E7634">
        <v>775</v>
      </c>
      <c r="F7634">
        <v>2</v>
      </c>
      <c r="G7634">
        <v>2</v>
      </c>
      <c r="H7634">
        <v>1</v>
      </c>
      <c r="I7634">
        <v>0</v>
      </c>
      <c r="J7634">
        <v>1</v>
      </c>
      <c r="K7634">
        <v>1</v>
      </c>
      <c r="L7634">
        <v>1</v>
      </c>
      <c r="M7634">
        <v>1</v>
      </c>
      <c r="N7634">
        <v>1</v>
      </c>
      <c r="O7634">
        <v>1</v>
      </c>
      <c r="AF7634" t="s">
        <v>15391</v>
      </c>
    </row>
    <row r="7635" spans="1:32" hidden="1" x14ac:dyDescent="0.35">
      <c r="A7635">
        <v>7634</v>
      </c>
      <c r="B7635" t="s">
        <v>15390</v>
      </c>
      <c r="C7635" t="s">
        <v>68</v>
      </c>
      <c r="D7635" t="s">
        <v>45</v>
      </c>
      <c r="E7635">
        <v>2041</v>
      </c>
      <c r="F7635">
        <v>2</v>
      </c>
      <c r="G7635">
        <v>2</v>
      </c>
      <c r="H7635">
        <v>1</v>
      </c>
      <c r="I7635">
        <v>0</v>
      </c>
      <c r="J7635">
        <v>1</v>
      </c>
      <c r="K7635">
        <v>1</v>
      </c>
      <c r="L7635">
        <v>1</v>
      </c>
      <c r="M7635">
        <v>1</v>
      </c>
      <c r="N7635">
        <v>1</v>
      </c>
      <c r="O7635">
        <v>1</v>
      </c>
      <c r="AF7635" t="s">
        <v>15391</v>
      </c>
    </row>
    <row r="7636" spans="1:32" hidden="1" x14ac:dyDescent="0.35">
      <c r="A7636">
        <v>7635</v>
      </c>
      <c r="B7636" t="s">
        <v>15392</v>
      </c>
      <c r="C7636" t="s">
        <v>68</v>
      </c>
      <c r="D7636" t="s">
        <v>34</v>
      </c>
      <c r="E7636">
        <v>156</v>
      </c>
      <c r="F7636">
        <v>2</v>
      </c>
      <c r="G7636">
        <v>2</v>
      </c>
      <c r="H7636">
        <v>1</v>
      </c>
      <c r="I7636">
        <v>0</v>
      </c>
      <c r="J7636">
        <v>1</v>
      </c>
      <c r="K7636">
        <v>1</v>
      </c>
      <c r="L7636">
        <v>1</v>
      </c>
      <c r="M7636">
        <v>1</v>
      </c>
      <c r="N7636">
        <v>1</v>
      </c>
      <c r="O7636">
        <v>1</v>
      </c>
      <c r="P7636" t="s">
        <v>2112</v>
      </c>
      <c r="Q7636" t="s">
        <v>2113</v>
      </c>
      <c r="R7636" t="s">
        <v>869</v>
      </c>
      <c r="S7636" t="s">
        <v>870</v>
      </c>
      <c r="V7636" t="s">
        <v>2114</v>
      </c>
      <c r="W7636" t="s">
        <v>2115</v>
      </c>
      <c r="X7636" t="s">
        <v>2114</v>
      </c>
      <c r="Y7636" t="s">
        <v>2116</v>
      </c>
      <c r="AF7636" t="s">
        <v>15393</v>
      </c>
    </row>
    <row r="7637" spans="1:32" hidden="1" x14ac:dyDescent="0.35">
      <c r="A7637">
        <v>7636</v>
      </c>
      <c r="B7637" t="s">
        <v>15392</v>
      </c>
      <c r="C7637" t="s">
        <v>68</v>
      </c>
      <c r="D7637" t="s">
        <v>45</v>
      </c>
      <c r="E7637">
        <v>1417</v>
      </c>
      <c r="F7637">
        <v>2</v>
      </c>
      <c r="G7637">
        <v>2</v>
      </c>
      <c r="H7637">
        <v>1</v>
      </c>
      <c r="I7637">
        <v>0</v>
      </c>
      <c r="J7637">
        <v>1</v>
      </c>
      <c r="K7637">
        <v>1</v>
      </c>
      <c r="L7637">
        <v>1</v>
      </c>
      <c r="M7637">
        <v>1</v>
      </c>
      <c r="N7637">
        <v>1</v>
      </c>
      <c r="O7637">
        <v>1</v>
      </c>
      <c r="P7637" t="s">
        <v>2112</v>
      </c>
      <c r="Q7637" t="s">
        <v>2113</v>
      </c>
      <c r="R7637" t="s">
        <v>869</v>
      </c>
      <c r="S7637" t="s">
        <v>870</v>
      </c>
      <c r="V7637" t="s">
        <v>2114</v>
      </c>
      <c r="W7637" t="s">
        <v>2115</v>
      </c>
      <c r="X7637" t="s">
        <v>2114</v>
      </c>
      <c r="Y7637" t="s">
        <v>2116</v>
      </c>
      <c r="AF7637" t="s">
        <v>15393</v>
      </c>
    </row>
    <row r="7638" spans="1:32" hidden="1" x14ac:dyDescent="0.35">
      <c r="A7638">
        <v>7637</v>
      </c>
      <c r="B7638" t="s">
        <v>15394</v>
      </c>
      <c r="C7638" t="s">
        <v>68</v>
      </c>
      <c r="D7638" t="s">
        <v>60</v>
      </c>
      <c r="E7638">
        <v>1851</v>
      </c>
      <c r="F7638">
        <v>2</v>
      </c>
      <c r="G7638">
        <v>2</v>
      </c>
      <c r="H7638">
        <v>1</v>
      </c>
      <c r="I7638">
        <v>0</v>
      </c>
      <c r="J7638">
        <v>1</v>
      </c>
      <c r="K7638">
        <v>1</v>
      </c>
      <c r="L7638">
        <v>1</v>
      </c>
      <c r="M7638">
        <v>1</v>
      </c>
      <c r="N7638">
        <v>1</v>
      </c>
      <c r="O7638">
        <v>1</v>
      </c>
      <c r="AF7638" t="s">
        <v>15395</v>
      </c>
    </row>
    <row r="7639" spans="1:32" hidden="1" x14ac:dyDescent="0.35">
      <c r="A7639">
        <v>7638</v>
      </c>
      <c r="B7639" t="s">
        <v>15394</v>
      </c>
      <c r="C7639" t="s">
        <v>68</v>
      </c>
      <c r="D7639" t="s">
        <v>62</v>
      </c>
      <c r="E7639">
        <v>1889</v>
      </c>
      <c r="F7639">
        <v>2</v>
      </c>
      <c r="G7639">
        <v>2</v>
      </c>
      <c r="H7639">
        <v>1</v>
      </c>
      <c r="I7639">
        <v>0</v>
      </c>
      <c r="J7639">
        <v>1</v>
      </c>
      <c r="K7639">
        <v>1</v>
      </c>
      <c r="L7639">
        <v>1</v>
      </c>
      <c r="M7639">
        <v>1</v>
      </c>
      <c r="N7639">
        <v>1</v>
      </c>
      <c r="O7639">
        <v>1</v>
      </c>
      <c r="AF7639" t="s">
        <v>15395</v>
      </c>
    </row>
    <row r="7640" spans="1:32" hidden="1" x14ac:dyDescent="0.35">
      <c r="A7640">
        <v>7639</v>
      </c>
      <c r="B7640" t="s">
        <v>15396</v>
      </c>
      <c r="C7640" t="s">
        <v>68</v>
      </c>
      <c r="D7640" t="s">
        <v>34</v>
      </c>
      <c r="E7640">
        <v>2183</v>
      </c>
      <c r="F7640">
        <v>2</v>
      </c>
      <c r="G7640">
        <v>2</v>
      </c>
      <c r="H7640">
        <v>1</v>
      </c>
      <c r="I7640">
        <v>0</v>
      </c>
      <c r="J7640">
        <v>1</v>
      </c>
      <c r="K7640">
        <v>1</v>
      </c>
      <c r="L7640">
        <v>1</v>
      </c>
      <c r="M7640">
        <v>1</v>
      </c>
      <c r="N7640">
        <v>1</v>
      </c>
      <c r="O7640">
        <v>1</v>
      </c>
      <c r="AF7640" t="s">
        <v>15397</v>
      </c>
    </row>
    <row r="7641" spans="1:32" hidden="1" x14ac:dyDescent="0.35">
      <c r="A7641">
        <v>7640</v>
      </c>
      <c r="B7641" t="s">
        <v>15396</v>
      </c>
      <c r="C7641" t="s">
        <v>68</v>
      </c>
      <c r="D7641" t="s">
        <v>45</v>
      </c>
      <c r="E7641">
        <v>691</v>
      </c>
      <c r="F7641">
        <v>2</v>
      </c>
      <c r="G7641">
        <v>2</v>
      </c>
      <c r="H7641">
        <v>1</v>
      </c>
      <c r="I7641">
        <v>0</v>
      </c>
      <c r="J7641">
        <v>1</v>
      </c>
      <c r="K7641">
        <v>1</v>
      </c>
      <c r="L7641">
        <v>1</v>
      </c>
      <c r="M7641">
        <v>1</v>
      </c>
      <c r="N7641">
        <v>1</v>
      </c>
      <c r="O7641">
        <v>1</v>
      </c>
      <c r="AF7641" t="s">
        <v>15397</v>
      </c>
    </row>
    <row r="7642" spans="1:32" hidden="1" x14ac:dyDescent="0.35">
      <c r="A7642">
        <v>7641</v>
      </c>
      <c r="B7642" t="s">
        <v>15398</v>
      </c>
      <c r="C7642" t="s">
        <v>68</v>
      </c>
      <c r="D7642" t="s">
        <v>60</v>
      </c>
      <c r="E7642">
        <v>864</v>
      </c>
      <c r="F7642">
        <v>2</v>
      </c>
      <c r="G7642">
        <v>2</v>
      </c>
      <c r="H7642">
        <v>1</v>
      </c>
      <c r="I7642">
        <v>0</v>
      </c>
      <c r="J7642">
        <v>1</v>
      </c>
      <c r="K7642">
        <v>1</v>
      </c>
      <c r="L7642">
        <v>1</v>
      </c>
      <c r="M7642">
        <v>1</v>
      </c>
      <c r="N7642">
        <v>1</v>
      </c>
      <c r="O7642">
        <v>1</v>
      </c>
      <c r="P7642" t="s">
        <v>3473</v>
      </c>
      <c r="Q7642" t="s">
        <v>3474</v>
      </c>
      <c r="R7642" t="s">
        <v>113</v>
      </c>
      <c r="S7642" t="s">
        <v>114</v>
      </c>
      <c r="V7642" t="s">
        <v>3477</v>
      </c>
      <c r="W7642" t="s">
        <v>3478</v>
      </c>
      <c r="AF7642" t="s">
        <v>15399</v>
      </c>
    </row>
    <row r="7643" spans="1:32" hidden="1" x14ac:dyDescent="0.35">
      <c r="A7643">
        <v>7642</v>
      </c>
      <c r="B7643" t="s">
        <v>15398</v>
      </c>
      <c r="C7643" t="s">
        <v>68</v>
      </c>
      <c r="D7643" t="s">
        <v>62</v>
      </c>
      <c r="E7643">
        <v>898</v>
      </c>
      <c r="F7643">
        <v>2</v>
      </c>
      <c r="G7643">
        <v>2</v>
      </c>
      <c r="H7643">
        <v>1</v>
      </c>
      <c r="I7643">
        <v>0</v>
      </c>
      <c r="J7643">
        <v>1</v>
      </c>
      <c r="K7643">
        <v>1</v>
      </c>
      <c r="L7643">
        <v>1</v>
      </c>
      <c r="M7643">
        <v>1</v>
      </c>
      <c r="N7643">
        <v>1</v>
      </c>
      <c r="O7643">
        <v>1</v>
      </c>
      <c r="P7643" t="s">
        <v>3473</v>
      </c>
      <c r="Q7643" t="s">
        <v>3474</v>
      </c>
      <c r="R7643" t="s">
        <v>113</v>
      </c>
      <c r="S7643" t="s">
        <v>114</v>
      </c>
      <c r="V7643" t="s">
        <v>3477</v>
      </c>
      <c r="W7643" t="s">
        <v>3478</v>
      </c>
      <c r="AF7643" t="s">
        <v>15399</v>
      </c>
    </row>
    <row r="7644" spans="1:32" hidden="1" x14ac:dyDescent="0.35">
      <c r="A7644">
        <v>7643</v>
      </c>
      <c r="B7644" t="s">
        <v>15400</v>
      </c>
      <c r="C7644" t="s">
        <v>68</v>
      </c>
      <c r="D7644" t="s">
        <v>60</v>
      </c>
      <c r="E7644">
        <v>1677</v>
      </c>
      <c r="F7644">
        <v>2</v>
      </c>
      <c r="G7644">
        <v>2</v>
      </c>
      <c r="H7644">
        <v>1</v>
      </c>
      <c r="I7644">
        <v>0</v>
      </c>
      <c r="J7644">
        <v>1</v>
      </c>
      <c r="K7644">
        <v>1</v>
      </c>
      <c r="L7644">
        <v>1</v>
      </c>
      <c r="M7644">
        <v>1</v>
      </c>
      <c r="N7644">
        <v>1</v>
      </c>
      <c r="O7644">
        <v>1</v>
      </c>
      <c r="AF7644" t="s">
        <v>15401</v>
      </c>
    </row>
    <row r="7645" spans="1:32" hidden="1" x14ac:dyDescent="0.35">
      <c r="A7645">
        <v>7644</v>
      </c>
      <c r="B7645" t="s">
        <v>15400</v>
      </c>
      <c r="C7645" t="s">
        <v>68</v>
      </c>
      <c r="D7645" t="s">
        <v>62</v>
      </c>
      <c r="E7645">
        <v>1712</v>
      </c>
      <c r="F7645">
        <v>2</v>
      </c>
      <c r="G7645">
        <v>2</v>
      </c>
      <c r="H7645">
        <v>1</v>
      </c>
      <c r="I7645">
        <v>0</v>
      </c>
      <c r="J7645">
        <v>1</v>
      </c>
      <c r="K7645">
        <v>1</v>
      </c>
      <c r="L7645">
        <v>1</v>
      </c>
      <c r="M7645">
        <v>1</v>
      </c>
      <c r="N7645">
        <v>1</v>
      </c>
      <c r="O7645">
        <v>1</v>
      </c>
      <c r="AF7645" t="s">
        <v>15401</v>
      </c>
    </row>
    <row r="7646" spans="1:32" hidden="1" x14ac:dyDescent="0.35">
      <c r="A7646">
        <v>7645</v>
      </c>
      <c r="B7646" t="s">
        <v>15402</v>
      </c>
      <c r="C7646" t="s">
        <v>68</v>
      </c>
      <c r="D7646" t="s">
        <v>60</v>
      </c>
      <c r="E7646">
        <v>1788</v>
      </c>
      <c r="F7646">
        <v>2</v>
      </c>
      <c r="G7646">
        <v>2</v>
      </c>
      <c r="H7646">
        <v>1</v>
      </c>
      <c r="I7646">
        <v>0</v>
      </c>
      <c r="J7646">
        <v>1</v>
      </c>
      <c r="K7646">
        <v>1</v>
      </c>
      <c r="L7646">
        <v>1</v>
      </c>
      <c r="M7646">
        <v>1</v>
      </c>
      <c r="N7646">
        <v>1</v>
      </c>
      <c r="O7646">
        <v>1</v>
      </c>
      <c r="P7646" t="s">
        <v>15403</v>
      </c>
      <c r="Q7646" t="s">
        <v>15404</v>
      </c>
      <c r="AF7646" t="s">
        <v>15405</v>
      </c>
    </row>
    <row r="7647" spans="1:32" hidden="1" x14ac:dyDescent="0.35">
      <c r="A7647">
        <v>7646</v>
      </c>
      <c r="B7647" t="s">
        <v>15402</v>
      </c>
      <c r="C7647" t="s">
        <v>68</v>
      </c>
      <c r="D7647" t="s">
        <v>62</v>
      </c>
      <c r="E7647">
        <v>1824</v>
      </c>
      <c r="F7647">
        <v>2</v>
      </c>
      <c r="G7647">
        <v>2</v>
      </c>
      <c r="H7647">
        <v>1</v>
      </c>
      <c r="I7647">
        <v>0</v>
      </c>
      <c r="J7647">
        <v>1</v>
      </c>
      <c r="K7647">
        <v>1</v>
      </c>
      <c r="L7647">
        <v>1</v>
      </c>
      <c r="M7647">
        <v>1</v>
      </c>
      <c r="N7647">
        <v>1</v>
      </c>
      <c r="O7647">
        <v>1</v>
      </c>
      <c r="P7647" t="s">
        <v>15403</v>
      </c>
      <c r="Q7647" t="s">
        <v>15404</v>
      </c>
      <c r="AF7647" t="s">
        <v>15405</v>
      </c>
    </row>
    <row r="7648" spans="1:32" hidden="1" x14ac:dyDescent="0.35">
      <c r="A7648">
        <v>7647</v>
      </c>
      <c r="B7648" t="s">
        <v>15406</v>
      </c>
      <c r="C7648" t="s">
        <v>68</v>
      </c>
      <c r="D7648" t="s">
        <v>60</v>
      </c>
      <c r="E7648">
        <v>964</v>
      </c>
      <c r="F7648">
        <v>2</v>
      </c>
      <c r="G7648">
        <v>2</v>
      </c>
      <c r="H7648">
        <v>1</v>
      </c>
      <c r="I7648">
        <v>0</v>
      </c>
      <c r="J7648">
        <v>1</v>
      </c>
      <c r="K7648">
        <v>1</v>
      </c>
      <c r="L7648">
        <v>1</v>
      </c>
      <c r="M7648">
        <v>1</v>
      </c>
      <c r="N7648">
        <v>1</v>
      </c>
      <c r="O7648">
        <v>1</v>
      </c>
      <c r="P7648" t="s">
        <v>15407</v>
      </c>
      <c r="Q7648" t="s">
        <v>15408</v>
      </c>
      <c r="R7648" t="s">
        <v>138</v>
      </c>
      <c r="S7648" t="s">
        <v>139</v>
      </c>
      <c r="V7648" t="s">
        <v>15409</v>
      </c>
      <c r="W7648" t="s">
        <v>15410</v>
      </c>
      <c r="X7648" t="s">
        <v>15409</v>
      </c>
      <c r="Y7648" t="s">
        <v>15411</v>
      </c>
      <c r="AF7648" t="s">
        <v>15412</v>
      </c>
    </row>
    <row r="7649" spans="1:32" hidden="1" x14ac:dyDescent="0.35">
      <c r="A7649">
        <v>7648</v>
      </c>
      <c r="B7649" t="s">
        <v>15406</v>
      </c>
      <c r="C7649" t="s">
        <v>68</v>
      </c>
      <c r="D7649" t="s">
        <v>62</v>
      </c>
      <c r="E7649">
        <v>1000</v>
      </c>
      <c r="F7649">
        <v>2</v>
      </c>
      <c r="G7649">
        <v>2</v>
      </c>
      <c r="H7649">
        <v>1</v>
      </c>
      <c r="I7649">
        <v>0</v>
      </c>
      <c r="J7649">
        <v>1</v>
      </c>
      <c r="K7649">
        <v>1</v>
      </c>
      <c r="L7649">
        <v>1</v>
      </c>
      <c r="M7649">
        <v>1</v>
      </c>
      <c r="N7649">
        <v>1</v>
      </c>
      <c r="O7649">
        <v>1</v>
      </c>
      <c r="P7649" t="s">
        <v>15407</v>
      </c>
      <c r="Q7649" t="s">
        <v>15408</v>
      </c>
      <c r="R7649" t="s">
        <v>138</v>
      </c>
      <c r="S7649" t="s">
        <v>139</v>
      </c>
      <c r="V7649" t="s">
        <v>15409</v>
      </c>
      <c r="W7649" t="s">
        <v>15410</v>
      </c>
      <c r="X7649" t="s">
        <v>15409</v>
      </c>
      <c r="Y7649" t="s">
        <v>15411</v>
      </c>
      <c r="AF7649" t="s">
        <v>15412</v>
      </c>
    </row>
    <row r="7650" spans="1:32" hidden="1" x14ac:dyDescent="0.35">
      <c r="A7650">
        <v>7649</v>
      </c>
      <c r="B7650" t="s">
        <v>15413</v>
      </c>
      <c r="C7650" t="s">
        <v>68</v>
      </c>
      <c r="D7650" t="s">
        <v>60</v>
      </c>
      <c r="E7650">
        <v>2498</v>
      </c>
      <c r="F7650">
        <v>2</v>
      </c>
      <c r="G7650">
        <v>2</v>
      </c>
      <c r="H7650">
        <v>1</v>
      </c>
      <c r="I7650">
        <v>0</v>
      </c>
      <c r="J7650">
        <v>1</v>
      </c>
      <c r="K7650">
        <v>1</v>
      </c>
      <c r="L7650">
        <v>1</v>
      </c>
      <c r="M7650">
        <v>1</v>
      </c>
      <c r="N7650">
        <v>1</v>
      </c>
      <c r="O7650">
        <v>1</v>
      </c>
      <c r="P7650" t="s">
        <v>15414</v>
      </c>
      <c r="Q7650" t="s">
        <v>15415</v>
      </c>
      <c r="AF7650" t="s">
        <v>15416</v>
      </c>
    </row>
    <row r="7651" spans="1:32" hidden="1" x14ac:dyDescent="0.35">
      <c r="A7651">
        <v>7650</v>
      </c>
      <c r="B7651" t="s">
        <v>15413</v>
      </c>
      <c r="C7651" t="s">
        <v>68</v>
      </c>
      <c r="D7651" t="s">
        <v>62</v>
      </c>
      <c r="E7651">
        <v>25</v>
      </c>
      <c r="F7651">
        <v>2</v>
      </c>
      <c r="G7651">
        <v>2</v>
      </c>
      <c r="H7651">
        <v>1</v>
      </c>
      <c r="I7651">
        <v>0</v>
      </c>
      <c r="J7651">
        <v>1</v>
      </c>
      <c r="K7651">
        <v>1</v>
      </c>
      <c r="L7651">
        <v>1</v>
      </c>
      <c r="M7651">
        <v>1</v>
      </c>
      <c r="N7651">
        <v>1</v>
      </c>
      <c r="O7651">
        <v>1</v>
      </c>
      <c r="P7651" t="s">
        <v>15414</v>
      </c>
      <c r="Q7651" t="s">
        <v>15415</v>
      </c>
      <c r="AF7651" t="s">
        <v>15416</v>
      </c>
    </row>
    <row r="7652" spans="1:32" hidden="1" x14ac:dyDescent="0.35">
      <c r="A7652">
        <v>7651</v>
      </c>
      <c r="B7652" t="s">
        <v>15417</v>
      </c>
      <c r="C7652" t="s">
        <v>68</v>
      </c>
      <c r="D7652" t="s">
        <v>60</v>
      </c>
      <c r="E7652">
        <v>200</v>
      </c>
      <c r="F7652">
        <v>2</v>
      </c>
      <c r="G7652">
        <v>2</v>
      </c>
      <c r="H7652">
        <v>1</v>
      </c>
      <c r="I7652">
        <v>0</v>
      </c>
      <c r="J7652">
        <v>1</v>
      </c>
      <c r="K7652">
        <v>1</v>
      </c>
      <c r="L7652">
        <v>1</v>
      </c>
      <c r="M7652">
        <v>1</v>
      </c>
      <c r="N7652">
        <v>1</v>
      </c>
      <c r="O7652">
        <v>1</v>
      </c>
      <c r="R7652" t="s">
        <v>1259</v>
      </c>
      <c r="S7652" t="s">
        <v>1260</v>
      </c>
      <c r="V7652" t="s">
        <v>15418</v>
      </c>
      <c r="W7652" t="s">
        <v>15419</v>
      </c>
      <c r="AF7652" t="s">
        <v>15420</v>
      </c>
    </row>
    <row r="7653" spans="1:32" hidden="1" x14ac:dyDescent="0.35">
      <c r="A7653">
        <v>7652</v>
      </c>
      <c r="B7653" t="s">
        <v>15417</v>
      </c>
      <c r="C7653" t="s">
        <v>68</v>
      </c>
      <c r="D7653" t="s">
        <v>62</v>
      </c>
      <c r="E7653">
        <v>277</v>
      </c>
      <c r="F7653">
        <v>2</v>
      </c>
      <c r="G7653">
        <v>2</v>
      </c>
      <c r="H7653">
        <v>1</v>
      </c>
      <c r="I7653">
        <v>0</v>
      </c>
      <c r="J7653">
        <v>1</v>
      </c>
      <c r="K7653">
        <v>1</v>
      </c>
      <c r="L7653">
        <v>1</v>
      </c>
      <c r="M7653">
        <v>1</v>
      </c>
      <c r="N7653">
        <v>1</v>
      </c>
      <c r="O7653">
        <v>1</v>
      </c>
      <c r="R7653" t="s">
        <v>1259</v>
      </c>
      <c r="S7653" t="s">
        <v>1260</v>
      </c>
      <c r="V7653" t="s">
        <v>15418</v>
      </c>
      <c r="W7653" t="s">
        <v>15419</v>
      </c>
      <c r="AF7653" t="s">
        <v>15420</v>
      </c>
    </row>
    <row r="7654" spans="1:32" hidden="1" x14ac:dyDescent="0.35">
      <c r="A7654">
        <v>7653</v>
      </c>
      <c r="B7654" t="s">
        <v>15421</v>
      </c>
      <c r="C7654" t="s">
        <v>68</v>
      </c>
      <c r="D7654" t="s">
        <v>60</v>
      </c>
      <c r="E7654">
        <v>2422</v>
      </c>
      <c r="F7654">
        <v>2</v>
      </c>
      <c r="G7654">
        <v>2</v>
      </c>
      <c r="H7654">
        <v>1</v>
      </c>
      <c r="I7654">
        <v>0</v>
      </c>
      <c r="J7654">
        <v>1</v>
      </c>
      <c r="K7654">
        <v>1</v>
      </c>
      <c r="L7654">
        <v>1</v>
      </c>
      <c r="M7654">
        <v>1</v>
      </c>
      <c r="N7654">
        <v>1</v>
      </c>
      <c r="O7654">
        <v>1</v>
      </c>
      <c r="AF7654" t="s">
        <v>15422</v>
      </c>
    </row>
    <row r="7655" spans="1:32" hidden="1" x14ac:dyDescent="0.35">
      <c r="A7655">
        <v>7654</v>
      </c>
      <c r="B7655" t="s">
        <v>15421</v>
      </c>
      <c r="C7655" t="s">
        <v>68</v>
      </c>
      <c r="D7655" t="s">
        <v>62</v>
      </c>
      <c r="E7655">
        <v>2449</v>
      </c>
      <c r="F7655">
        <v>2</v>
      </c>
      <c r="G7655">
        <v>2</v>
      </c>
      <c r="H7655">
        <v>1</v>
      </c>
      <c r="I7655">
        <v>0</v>
      </c>
      <c r="J7655">
        <v>1</v>
      </c>
      <c r="K7655">
        <v>1</v>
      </c>
      <c r="L7655">
        <v>1</v>
      </c>
      <c r="M7655">
        <v>1</v>
      </c>
      <c r="N7655">
        <v>1</v>
      </c>
      <c r="O7655">
        <v>1</v>
      </c>
      <c r="AF7655" t="s">
        <v>15422</v>
      </c>
    </row>
    <row r="7656" spans="1:32" hidden="1" x14ac:dyDescent="0.35">
      <c r="A7656">
        <v>7655</v>
      </c>
      <c r="B7656" t="s">
        <v>15423</v>
      </c>
      <c r="C7656" t="s">
        <v>68</v>
      </c>
      <c r="D7656" t="s">
        <v>60</v>
      </c>
      <c r="E7656">
        <v>1573</v>
      </c>
      <c r="F7656">
        <v>2</v>
      </c>
      <c r="G7656">
        <v>2</v>
      </c>
      <c r="H7656">
        <v>1</v>
      </c>
      <c r="I7656">
        <v>0</v>
      </c>
      <c r="J7656">
        <v>1</v>
      </c>
      <c r="K7656">
        <v>1</v>
      </c>
      <c r="L7656">
        <v>1</v>
      </c>
      <c r="M7656">
        <v>1</v>
      </c>
      <c r="N7656">
        <v>1</v>
      </c>
      <c r="O7656">
        <v>1</v>
      </c>
      <c r="P7656" t="s">
        <v>4358</v>
      </c>
      <c r="Q7656" t="s">
        <v>4359</v>
      </c>
      <c r="R7656" t="s">
        <v>319</v>
      </c>
      <c r="S7656" t="s">
        <v>320</v>
      </c>
      <c r="V7656" t="s">
        <v>4360</v>
      </c>
      <c r="W7656" t="s">
        <v>4361</v>
      </c>
      <c r="AF7656" t="s">
        <v>15424</v>
      </c>
    </row>
    <row r="7657" spans="1:32" hidden="1" x14ac:dyDescent="0.35">
      <c r="A7657">
        <v>7656</v>
      </c>
      <c r="B7657" t="s">
        <v>15423</v>
      </c>
      <c r="C7657" t="s">
        <v>68</v>
      </c>
      <c r="D7657" t="s">
        <v>62</v>
      </c>
      <c r="E7657">
        <v>1609</v>
      </c>
      <c r="F7657">
        <v>2</v>
      </c>
      <c r="G7657">
        <v>2</v>
      </c>
      <c r="H7657">
        <v>1</v>
      </c>
      <c r="I7657">
        <v>0</v>
      </c>
      <c r="J7657">
        <v>1</v>
      </c>
      <c r="K7657">
        <v>1</v>
      </c>
      <c r="L7657">
        <v>1</v>
      </c>
      <c r="M7657">
        <v>1</v>
      </c>
      <c r="N7657">
        <v>1</v>
      </c>
      <c r="O7657">
        <v>1</v>
      </c>
      <c r="P7657" t="s">
        <v>4358</v>
      </c>
      <c r="Q7657" t="s">
        <v>4359</v>
      </c>
      <c r="R7657" t="s">
        <v>319</v>
      </c>
      <c r="S7657" t="s">
        <v>320</v>
      </c>
      <c r="V7657" t="s">
        <v>4360</v>
      </c>
      <c r="W7657" t="s">
        <v>4361</v>
      </c>
      <c r="AF7657" t="s">
        <v>15424</v>
      </c>
    </row>
    <row r="7658" spans="1:32" hidden="1" x14ac:dyDescent="0.35">
      <c r="A7658">
        <v>7657</v>
      </c>
      <c r="B7658" t="s">
        <v>15425</v>
      </c>
      <c r="C7658" t="s">
        <v>68</v>
      </c>
      <c r="D7658" t="s">
        <v>34</v>
      </c>
      <c r="E7658">
        <v>1960</v>
      </c>
      <c r="F7658">
        <v>2</v>
      </c>
      <c r="G7658">
        <v>2</v>
      </c>
      <c r="H7658">
        <v>1</v>
      </c>
      <c r="I7658">
        <v>0</v>
      </c>
      <c r="J7658">
        <v>1</v>
      </c>
      <c r="K7658">
        <v>1</v>
      </c>
      <c r="L7658">
        <v>1</v>
      </c>
      <c r="M7658">
        <v>1</v>
      </c>
      <c r="N7658">
        <v>1</v>
      </c>
      <c r="O7658">
        <v>1</v>
      </c>
      <c r="AF7658" t="s">
        <v>15426</v>
      </c>
    </row>
    <row r="7659" spans="1:32" hidden="1" x14ac:dyDescent="0.35">
      <c r="A7659">
        <v>7658</v>
      </c>
      <c r="B7659" t="s">
        <v>15425</v>
      </c>
      <c r="C7659" t="s">
        <v>68</v>
      </c>
      <c r="D7659" t="s">
        <v>45</v>
      </c>
      <c r="E7659">
        <v>913</v>
      </c>
      <c r="F7659">
        <v>2</v>
      </c>
      <c r="G7659">
        <v>2</v>
      </c>
      <c r="H7659">
        <v>1</v>
      </c>
      <c r="I7659">
        <v>0</v>
      </c>
      <c r="J7659">
        <v>1</v>
      </c>
      <c r="K7659">
        <v>1</v>
      </c>
      <c r="L7659">
        <v>1</v>
      </c>
      <c r="M7659">
        <v>1</v>
      </c>
      <c r="N7659">
        <v>1</v>
      </c>
      <c r="O7659">
        <v>1</v>
      </c>
      <c r="AF7659" t="s">
        <v>15426</v>
      </c>
    </row>
    <row r="7660" spans="1:32" hidden="1" x14ac:dyDescent="0.35">
      <c r="A7660">
        <v>7659</v>
      </c>
      <c r="B7660" t="s">
        <v>15427</v>
      </c>
      <c r="C7660" t="s">
        <v>68</v>
      </c>
      <c r="D7660" t="s">
        <v>60</v>
      </c>
      <c r="E7660">
        <v>1767</v>
      </c>
      <c r="F7660">
        <v>2</v>
      </c>
      <c r="G7660">
        <v>2</v>
      </c>
      <c r="H7660">
        <v>1</v>
      </c>
      <c r="I7660">
        <v>0</v>
      </c>
      <c r="J7660">
        <v>1</v>
      </c>
      <c r="K7660">
        <v>1</v>
      </c>
      <c r="L7660">
        <v>1</v>
      </c>
      <c r="M7660">
        <v>1</v>
      </c>
      <c r="N7660">
        <v>1</v>
      </c>
      <c r="O7660">
        <v>1</v>
      </c>
      <c r="P7660" t="s">
        <v>12226</v>
      </c>
      <c r="Q7660" t="s">
        <v>12227</v>
      </c>
      <c r="R7660" t="s">
        <v>12228</v>
      </c>
      <c r="S7660" t="s">
        <v>12229</v>
      </c>
      <c r="T7660" t="s">
        <v>15428</v>
      </c>
      <c r="U7660" t="s">
        <v>15429</v>
      </c>
      <c r="V7660" t="s">
        <v>12232</v>
      </c>
      <c r="W7660" t="s">
        <v>12233</v>
      </c>
      <c r="AD7660" t="s">
        <v>12234</v>
      </c>
      <c r="AE7660" t="s">
        <v>12235</v>
      </c>
      <c r="AF7660" t="s">
        <v>15430</v>
      </c>
    </row>
    <row r="7661" spans="1:32" hidden="1" x14ac:dyDescent="0.35">
      <c r="A7661">
        <v>7660</v>
      </c>
      <c r="B7661" t="s">
        <v>15427</v>
      </c>
      <c r="C7661" t="s">
        <v>68</v>
      </c>
      <c r="D7661" t="s">
        <v>62</v>
      </c>
      <c r="E7661">
        <v>1803</v>
      </c>
      <c r="F7661">
        <v>2</v>
      </c>
      <c r="G7661">
        <v>2</v>
      </c>
      <c r="H7661">
        <v>1</v>
      </c>
      <c r="I7661">
        <v>0</v>
      </c>
      <c r="J7661">
        <v>1</v>
      </c>
      <c r="K7661">
        <v>1</v>
      </c>
      <c r="L7661">
        <v>1</v>
      </c>
      <c r="M7661">
        <v>1</v>
      </c>
      <c r="N7661">
        <v>1</v>
      </c>
      <c r="O7661">
        <v>1</v>
      </c>
      <c r="P7661" t="s">
        <v>12226</v>
      </c>
      <c r="Q7661" t="s">
        <v>12227</v>
      </c>
      <c r="R7661" t="s">
        <v>12228</v>
      </c>
      <c r="S7661" t="s">
        <v>12229</v>
      </c>
      <c r="T7661" t="s">
        <v>15428</v>
      </c>
      <c r="U7661" t="s">
        <v>15429</v>
      </c>
      <c r="V7661" t="s">
        <v>12232</v>
      </c>
      <c r="W7661" t="s">
        <v>12233</v>
      </c>
      <c r="AD7661" t="s">
        <v>12234</v>
      </c>
      <c r="AE7661" t="s">
        <v>12235</v>
      </c>
      <c r="AF7661" t="s">
        <v>15430</v>
      </c>
    </row>
    <row r="7662" spans="1:32" hidden="1" x14ac:dyDescent="0.35">
      <c r="A7662">
        <v>7661</v>
      </c>
      <c r="B7662" t="s">
        <v>15431</v>
      </c>
      <c r="C7662" t="s">
        <v>68</v>
      </c>
      <c r="D7662" t="s">
        <v>60</v>
      </c>
      <c r="E7662">
        <v>1687</v>
      </c>
      <c r="F7662">
        <v>2</v>
      </c>
      <c r="G7662">
        <v>2</v>
      </c>
      <c r="H7662">
        <v>1</v>
      </c>
      <c r="I7662">
        <v>0</v>
      </c>
      <c r="J7662">
        <v>1</v>
      </c>
      <c r="K7662">
        <v>1</v>
      </c>
      <c r="L7662">
        <v>1</v>
      </c>
      <c r="M7662">
        <v>1</v>
      </c>
      <c r="N7662">
        <v>1</v>
      </c>
      <c r="O7662">
        <v>1</v>
      </c>
      <c r="P7662" t="s">
        <v>15432</v>
      </c>
      <c r="Q7662" t="s">
        <v>10341</v>
      </c>
      <c r="R7662" t="s">
        <v>288</v>
      </c>
      <c r="S7662" t="s">
        <v>289</v>
      </c>
      <c r="T7662" t="s">
        <v>15433</v>
      </c>
      <c r="U7662" t="s">
        <v>407</v>
      </c>
      <c r="V7662" t="s">
        <v>15434</v>
      </c>
      <c r="W7662" t="s">
        <v>15435</v>
      </c>
      <c r="AD7662" t="s">
        <v>410</v>
      </c>
      <c r="AE7662" t="s">
        <v>411</v>
      </c>
      <c r="AF7662" t="s">
        <v>15436</v>
      </c>
    </row>
    <row r="7663" spans="1:32" hidden="1" x14ac:dyDescent="0.35">
      <c r="A7663">
        <v>7662</v>
      </c>
      <c r="B7663" t="s">
        <v>15431</v>
      </c>
      <c r="C7663" t="s">
        <v>68</v>
      </c>
      <c r="D7663" t="s">
        <v>62</v>
      </c>
      <c r="E7663">
        <v>1722</v>
      </c>
      <c r="F7663">
        <v>2</v>
      </c>
      <c r="G7663">
        <v>2</v>
      </c>
      <c r="H7663">
        <v>1</v>
      </c>
      <c r="I7663">
        <v>0</v>
      </c>
      <c r="J7663">
        <v>1</v>
      </c>
      <c r="K7663">
        <v>1</v>
      </c>
      <c r="L7663">
        <v>1</v>
      </c>
      <c r="M7663">
        <v>1</v>
      </c>
      <c r="N7663">
        <v>1</v>
      </c>
      <c r="O7663">
        <v>1</v>
      </c>
      <c r="P7663" t="s">
        <v>15432</v>
      </c>
      <c r="Q7663" t="s">
        <v>10341</v>
      </c>
      <c r="R7663" t="s">
        <v>288</v>
      </c>
      <c r="S7663" t="s">
        <v>289</v>
      </c>
      <c r="T7663" t="s">
        <v>15433</v>
      </c>
      <c r="U7663" t="s">
        <v>407</v>
      </c>
      <c r="V7663" t="s">
        <v>15434</v>
      </c>
      <c r="W7663" t="s">
        <v>15435</v>
      </c>
      <c r="AD7663" t="s">
        <v>410</v>
      </c>
      <c r="AE7663" t="s">
        <v>411</v>
      </c>
      <c r="AF7663" t="s">
        <v>15436</v>
      </c>
    </row>
    <row r="7664" spans="1:32" hidden="1" x14ac:dyDescent="0.35">
      <c r="A7664">
        <v>7663</v>
      </c>
      <c r="B7664" t="s">
        <v>15437</v>
      </c>
      <c r="C7664" t="s">
        <v>68</v>
      </c>
      <c r="D7664" t="s">
        <v>60</v>
      </c>
      <c r="E7664">
        <v>615</v>
      </c>
      <c r="F7664">
        <v>2</v>
      </c>
      <c r="G7664">
        <v>2</v>
      </c>
      <c r="H7664">
        <v>1</v>
      </c>
      <c r="I7664">
        <v>0</v>
      </c>
      <c r="J7664">
        <v>1</v>
      </c>
      <c r="K7664">
        <v>1</v>
      </c>
      <c r="L7664">
        <v>1</v>
      </c>
      <c r="M7664">
        <v>1</v>
      </c>
      <c r="N7664">
        <v>1</v>
      </c>
      <c r="O7664">
        <v>1</v>
      </c>
      <c r="P7664" t="s">
        <v>14908</v>
      </c>
      <c r="Q7664" t="s">
        <v>2083</v>
      </c>
      <c r="R7664" t="s">
        <v>96</v>
      </c>
      <c r="S7664" t="s">
        <v>97</v>
      </c>
      <c r="V7664" t="s">
        <v>14909</v>
      </c>
      <c r="W7664" t="s">
        <v>14910</v>
      </c>
      <c r="AF7664" t="s">
        <v>15438</v>
      </c>
    </row>
    <row r="7665" spans="1:32" hidden="1" x14ac:dyDescent="0.35">
      <c r="A7665">
        <v>7664</v>
      </c>
      <c r="B7665" t="s">
        <v>15437</v>
      </c>
      <c r="C7665" t="s">
        <v>68</v>
      </c>
      <c r="D7665" t="s">
        <v>62</v>
      </c>
      <c r="E7665">
        <v>699</v>
      </c>
      <c r="F7665">
        <v>2</v>
      </c>
      <c r="G7665">
        <v>2</v>
      </c>
      <c r="H7665">
        <v>1</v>
      </c>
      <c r="I7665">
        <v>0</v>
      </c>
      <c r="J7665">
        <v>1</v>
      </c>
      <c r="K7665">
        <v>1</v>
      </c>
      <c r="L7665">
        <v>1</v>
      </c>
      <c r="M7665">
        <v>1</v>
      </c>
      <c r="N7665">
        <v>1</v>
      </c>
      <c r="O7665">
        <v>1</v>
      </c>
      <c r="P7665" t="s">
        <v>14908</v>
      </c>
      <c r="Q7665" t="s">
        <v>2083</v>
      </c>
      <c r="R7665" t="s">
        <v>96</v>
      </c>
      <c r="S7665" t="s">
        <v>97</v>
      </c>
      <c r="V7665" t="s">
        <v>14909</v>
      </c>
      <c r="W7665" t="s">
        <v>14910</v>
      </c>
      <c r="AF7665" t="s">
        <v>15438</v>
      </c>
    </row>
    <row r="7666" spans="1:32" hidden="1" x14ac:dyDescent="0.35">
      <c r="A7666">
        <v>7665</v>
      </c>
      <c r="B7666" t="s">
        <v>15439</v>
      </c>
      <c r="C7666" t="s">
        <v>68</v>
      </c>
      <c r="D7666" t="s">
        <v>60</v>
      </c>
      <c r="E7666">
        <v>849</v>
      </c>
      <c r="F7666">
        <v>2</v>
      </c>
      <c r="G7666">
        <v>2</v>
      </c>
      <c r="H7666">
        <v>1</v>
      </c>
      <c r="I7666">
        <v>0</v>
      </c>
      <c r="J7666">
        <v>1</v>
      </c>
      <c r="K7666">
        <v>1</v>
      </c>
      <c r="L7666">
        <v>1</v>
      </c>
      <c r="M7666">
        <v>1</v>
      </c>
      <c r="N7666">
        <v>1</v>
      </c>
      <c r="O7666">
        <v>1</v>
      </c>
      <c r="AF7666" t="s">
        <v>15440</v>
      </c>
    </row>
    <row r="7667" spans="1:32" hidden="1" x14ac:dyDescent="0.35">
      <c r="A7667">
        <v>7666</v>
      </c>
      <c r="B7667" t="s">
        <v>15439</v>
      </c>
      <c r="C7667" t="s">
        <v>68</v>
      </c>
      <c r="D7667" t="s">
        <v>62</v>
      </c>
      <c r="E7667">
        <v>883</v>
      </c>
      <c r="F7667">
        <v>2</v>
      </c>
      <c r="G7667">
        <v>2</v>
      </c>
      <c r="H7667">
        <v>1</v>
      </c>
      <c r="I7667">
        <v>0</v>
      </c>
      <c r="J7667">
        <v>1</v>
      </c>
      <c r="K7667">
        <v>1</v>
      </c>
      <c r="L7667">
        <v>1</v>
      </c>
      <c r="M7667">
        <v>1</v>
      </c>
      <c r="N7667">
        <v>1</v>
      </c>
      <c r="O7667">
        <v>1</v>
      </c>
      <c r="AF7667" t="s">
        <v>15440</v>
      </c>
    </row>
    <row r="7668" spans="1:32" hidden="1" x14ac:dyDescent="0.35">
      <c r="A7668">
        <v>7667</v>
      </c>
      <c r="B7668" t="s">
        <v>15441</v>
      </c>
      <c r="C7668" t="s">
        <v>68</v>
      </c>
      <c r="D7668" t="s">
        <v>34</v>
      </c>
      <c r="E7668">
        <v>2015</v>
      </c>
      <c r="F7668">
        <v>2</v>
      </c>
      <c r="G7668">
        <v>2</v>
      </c>
      <c r="H7668">
        <v>1</v>
      </c>
      <c r="I7668">
        <v>0</v>
      </c>
      <c r="J7668">
        <v>1</v>
      </c>
      <c r="K7668">
        <v>1</v>
      </c>
      <c r="L7668">
        <v>1</v>
      </c>
      <c r="M7668">
        <v>1</v>
      </c>
      <c r="N7668">
        <v>1</v>
      </c>
      <c r="O7668">
        <v>1</v>
      </c>
      <c r="P7668" t="s">
        <v>15442</v>
      </c>
      <c r="Q7668" t="s">
        <v>15443</v>
      </c>
      <c r="R7668" t="s">
        <v>1259</v>
      </c>
      <c r="S7668" t="s">
        <v>1260</v>
      </c>
      <c r="V7668" t="s">
        <v>15444</v>
      </c>
      <c r="W7668" t="s">
        <v>15445</v>
      </c>
      <c r="AF7668" t="s">
        <v>15446</v>
      </c>
    </row>
    <row r="7669" spans="1:32" hidden="1" x14ac:dyDescent="0.35">
      <c r="A7669">
        <v>7668</v>
      </c>
      <c r="B7669" t="s">
        <v>15441</v>
      </c>
      <c r="C7669" t="s">
        <v>68</v>
      </c>
      <c r="D7669" t="s">
        <v>45</v>
      </c>
      <c r="E7669">
        <v>856</v>
      </c>
      <c r="F7669">
        <v>2</v>
      </c>
      <c r="G7669">
        <v>2</v>
      </c>
      <c r="H7669">
        <v>1</v>
      </c>
      <c r="I7669">
        <v>0</v>
      </c>
      <c r="J7669">
        <v>1</v>
      </c>
      <c r="K7669">
        <v>1</v>
      </c>
      <c r="L7669">
        <v>1</v>
      </c>
      <c r="M7669">
        <v>1</v>
      </c>
      <c r="N7669">
        <v>1</v>
      </c>
      <c r="O7669">
        <v>1</v>
      </c>
      <c r="P7669" t="s">
        <v>15442</v>
      </c>
      <c r="Q7669" t="s">
        <v>15443</v>
      </c>
      <c r="R7669" t="s">
        <v>1259</v>
      </c>
      <c r="S7669" t="s">
        <v>1260</v>
      </c>
      <c r="V7669" t="s">
        <v>15444</v>
      </c>
      <c r="W7669" t="s">
        <v>15445</v>
      </c>
      <c r="AF7669" t="s">
        <v>15446</v>
      </c>
    </row>
    <row r="7670" spans="1:32" hidden="1" x14ac:dyDescent="0.35">
      <c r="A7670">
        <v>7669</v>
      </c>
      <c r="B7670" t="s">
        <v>15447</v>
      </c>
      <c r="C7670" t="s">
        <v>68</v>
      </c>
      <c r="D7670" t="s">
        <v>34</v>
      </c>
      <c r="E7670">
        <v>299</v>
      </c>
      <c r="F7670">
        <v>2</v>
      </c>
      <c r="G7670">
        <v>2</v>
      </c>
      <c r="H7670">
        <v>1</v>
      </c>
      <c r="I7670">
        <v>0</v>
      </c>
      <c r="J7670">
        <v>1</v>
      </c>
      <c r="K7670">
        <v>1</v>
      </c>
      <c r="L7670">
        <v>1</v>
      </c>
      <c r="M7670">
        <v>1</v>
      </c>
      <c r="N7670">
        <v>1</v>
      </c>
      <c r="O7670">
        <v>1</v>
      </c>
      <c r="AF7670" t="s">
        <v>15448</v>
      </c>
    </row>
    <row r="7671" spans="1:32" hidden="1" x14ac:dyDescent="0.35">
      <c r="A7671">
        <v>7670</v>
      </c>
      <c r="B7671" t="s">
        <v>15447</v>
      </c>
      <c r="C7671" t="s">
        <v>68</v>
      </c>
      <c r="D7671" t="s">
        <v>45</v>
      </c>
      <c r="E7671">
        <v>1561</v>
      </c>
      <c r="F7671">
        <v>2</v>
      </c>
      <c r="G7671">
        <v>2</v>
      </c>
      <c r="H7671">
        <v>1</v>
      </c>
      <c r="I7671">
        <v>0</v>
      </c>
      <c r="J7671">
        <v>1</v>
      </c>
      <c r="K7671">
        <v>1</v>
      </c>
      <c r="L7671">
        <v>1</v>
      </c>
      <c r="M7671">
        <v>1</v>
      </c>
      <c r="N7671">
        <v>1</v>
      </c>
      <c r="O7671">
        <v>1</v>
      </c>
      <c r="AF7671" t="s">
        <v>15448</v>
      </c>
    </row>
    <row r="7672" spans="1:32" hidden="1" x14ac:dyDescent="0.35">
      <c r="A7672">
        <v>7671</v>
      </c>
      <c r="B7672" t="s">
        <v>15449</v>
      </c>
      <c r="C7672" t="s">
        <v>68</v>
      </c>
      <c r="D7672" t="s">
        <v>34</v>
      </c>
      <c r="E7672">
        <v>2422</v>
      </c>
      <c r="F7672">
        <v>2</v>
      </c>
      <c r="G7672">
        <v>2</v>
      </c>
      <c r="H7672">
        <v>1</v>
      </c>
      <c r="I7672">
        <v>0</v>
      </c>
      <c r="J7672">
        <v>1</v>
      </c>
      <c r="K7672">
        <v>1</v>
      </c>
      <c r="L7672">
        <v>1</v>
      </c>
      <c r="M7672">
        <v>1</v>
      </c>
      <c r="N7672">
        <v>1</v>
      </c>
      <c r="O7672">
        <v>1</v>
      </c>
      <c r="P7672" t="s">
        <v>3862</v>
      </c>
      <c r="Q7672" t="s">
        <v>3863</v>
      </c>
      <c r="R7672" t="s">
        <v>319</v>
      </c>
      <c r="S7672" t="s">
        <v>320</v>
      </c>
      <c r="T7672" t="s">
        <v>15450</v>
      </c>
      <c r="U7672" t="s">
        <v>15451</v>
      </c>
      <c r="V7672" t="s">
        <v>3866</v>
      </c>
      <c r="W7672" t="s">
        <v>3867</v>
      </c>
      <c r="AD7672" t="s">
        <v>410</v>
      </c>
      <c r="AE7672" t="s">
        <v>563</v>
      </c>
      <c r="AF7672" t="s">
        <v>15452</v>
      </c>
    </row>
    <row r="7673" spans="1:32" hidden="1" x14ac:dyDescent="0.35">
      <c r="A7673">
        <v>7672</v>
      </c>
      <c r="B7673" t="s">
        <v>15449</v>
      </c>
      <c r="C7673" t="s">
        <v>68</v>
      </c>
      <c r="D7673" t="s">
        <v>45</v>
      </c>
      <c r="E7673">
        <v>476</v>
      </c>
      <c r="F7673">
        <v>2</v>
      </c>
      <c r="G7673">
        <v>2</v>
      </c>
      <c r="H7673">
        <v>1</v>
      </c>
      <c r="I7673">
        <v>0</v>
      </c>
      <c r="J7673">
        <v>1</v>
      </c>
      <c r="K7673">
        <v>1</v>
      </c>
      <c r="L7673">
        <v>1</v>
      </c>
      <c r="M7673">
        <v>1</v>
      </c>
      <c r="N7673">
        <v>1</v>
      </c>
      <c r="O7673">
        <v>1</v>
      </c>
      <c r="P7673" t="s">
        <v>3862</v>
      </c>
      <c r="Q7673" t="s">
        <v>3863</v>
      </c>
      <c r="R7673" t="s">
        <v>319</v>
      </c>
      <c r="S7673" t="s">
        <v>320</v>
      </c>
      <c r="T7673" t="s">
        <v>15450</v>
      </c>
      <c r="U7673" t="s">
        <v>15451</v>
      </c>
      <c r="V7673" t="s">
        <v>3866</v>
      </c>
      <c r="W7673" t="s">
        <v>3867</v>
      </c>
      <c r="AD7673" t="s">
        <v>410</v>
      </c>
      <c r="AE7673" t="s">
        <v>563</v>
      </c>
      <c r="AF7673" t="s">
        <v>15452</v>
      </c>
    </row>
    <row r="7674" spans="1:32" hidden="1" x14ac:dyDescent="0.35">
      <c r="A7674">
        <v>7673</v>
      </c>
      <c r="B7674" t="s">
        <v>15453</v>
      </c>
      <c r="C7674" t="s">
        <v>68</v>
      </c>
      <c r="D7674" t="s">
        <v>60</v>
      </c>
      <c r="E7674">
        <v>2163</v>
      </c>
      <c r="F7674">
        <v>2</v>
      </c>
      <c r="G7674">
        <v>2</v>
      </c>
      <c r="H7674">
        <v>1</v>
      </c>
      <c r="I7674">
        <v>0</v>
      </c>
      <c r="J7674">
        <v>1</v>
      </c>
      <c r="K7674">
        <v>1</v>
      </c>
      <c r="L7674">
        <v>1</v>
      </c>
      <c r="M7674">
        <v>1</v>
      </c>
      <c r="N7674">
        <v>1</v>
      </c>
      <c r="O7674">
        <v>1</v>
      </c>
      <c r="AF7674" t="s">
        <v>15454</v>
      </c>
    </row>
    <row r="7675" spans="1:32" hidden="1" x14ac:dyDescent="0.35">
      <c r="A7675">
        <v>7674</v>
      </c>
      <c r="B7675" t="s">
        <v>15453</v>
      </c>
      <c r="C7675" t="s">
        <v>68</v>
      </c>
      <c r="D7675" t="s">
        <v>62</v>
      </c>
      <c r="E7675">
        <v>2197</v>
      </c>
      <c r="F7675">
        <v>2</v>
      </c>
      <c r="G7675">
        <v>2</v>
      </c>
      <c r="H7675">
        <v>1</v>
      </c>
      <c r="I7675">
        <v>0</v>
      </c>
      <c r="J7675">
        <v>1</v>
      </c>
      <c r="K7675">
        <v>1</v>
      </c>
      <c r="L7675">
        <v>1</v>
      </c>
      <c r="M7675">
        <v>1</v>
      </c>
      <c r="N7675">
        <v>1</v>
      </c>
      <c r="O7675">
        <v>1</v>
      </c>
      <c r="AF7675" t="s">
        <v>15454</v>
      </c>
    </row>
    <row r="7676" spans="1:32" hidden="1" x14ac:dyDescent="0.35">
      <c r="A7676">
        <v>7675</v>
      </c>
      <c r="B7676" t="s">
        <v>15455</v>
      </c>
      <c r="C7676" t="s">
        <v>68</v>
      </c>
      <c r="D7676" t="s">
        <v>60</v>
      </c>
      <c r="E7676">
        <v>1319</v>
      </c>
      <c r="F7676">
        <v>2</v>
      </c>
      <c r="G7676">
        <v>2</v>
      </c>
      <c r="H7676">
        <v>1</v>
      </c>
      <c r="I7676">
        <v>0</v>
      </c>
      <c r="J7676">
        <v>1</v>
      </c>
      <c r="K7676">
        <v>1</v>
      </c>
      <c r="L7676">
        <v>1</v>
      </c>
      <c r="M7676">
        <v>1</v>
      </c>
      <c r="N7676">
        <v>1</v>
      </c>
      <c r="O7676">
        <v>1</v>
      </c>
      <c r="P7676" t="s">
        <v>14169</v>
      </c>
      <c r="Q7676" t="s">
        <v>14170</v>
      </c>
      <c r="R7676" t="s">
        <v>157</v>
      </c>
      <c r="S7676" t="s">
        <v>158</v>
      </c>
      <c r="V7676" t="s">
        <v>15456</v>
      </c>
      <c r="W7676" t="s">
        <v>15457</v>
      </c>
      <c r="AF7676" t="s">
        <v>15458</v>
      </c>
    </row>
    <row r="7677" spans="1:32" hidden="1" x14ac:dyDescent="0.35">
      <c r="A7677">
        <v>7676</v>
      </c>
      <c r="B7677" t="s">
        <v>15455</v>
      </c>
      <c r="C7677" t="s">
        <v>68</v>
      </c>
      <c r="D7677" t="s">
        <v>62</v>
      </c>
      <c r="E7677">
        <v>1355</v>
      </c>
      <c r="F7677">
        <v>2</v>
      </c>
      <c r="G7677">
        <v>2</v>
      </c>
      <c r="H7677">
        <v>1</v>
      </c>
      <c r="I7677">
        <v>0</v>
      </c>
      <c r="J7677">
        <v>1</v>
      </c>
      <c r="K7677">
        <v>1</v>
      </c>
      <c r="L7677">
        <v>1</v>
      </c>
      <c r="M7677">
        <v>1</v>
      </c>
      <c r="N7677">
        <v>1</v>
      </c>
      <c r="O7677">
        <v>1</v>
      </c>
      <c r="P7677" t="s">
        <v>14169</v>
      </c>
      <c r="Q7677" t="s">
        <v>14170</v>
      </c>
      <c r="R7677" t="s">
        <v>157</v>
      </c>
      <c r="S7677" t="s">
        <v>158</v>
      </c>
      <c r="V7677" t="s">
        <v>15456</v>
      </c>
      <c r="W7677" t="s">
        <v>15457</v>
      </c>
      <c r="AF7677" t="s">
        <v>15458</v>
      </c>
    </row>
    <row r="7678" spans="1:32" hidden="1" x14ac:dyDescent="0.35">
      <c r="A7678">
        <v>7677</v>
      </c>
      <c r="B7678" t="s">
        <v>15459</v>
      </c>
      <c r="C7678" t="s">
        <v>68</v>
      </c>
      <c r="D7678" t="s">
        <v>60</v>
      </c>
      <c r="E7678">
        <v>1010</v>
      </c>
      <c r="F7678">
        <v>2</v>
      </c>
      <c r="G7678">
        <v>2</v>
      </c>
      <c r="H7678">
        <v>1</v>
      </c>
      <c r="I7678">
        <v>0</v>
      </c>
      <c r="J7678">
        <v>1</v>
      </c>
      <c r="K7678">
        <v>1</v>
      </c>
      <c r="L7678">
        <v>1</v>
      </c>
      <c r="M7678">
        <v>1</v>
      </c>
      <c r="N7678">
        <v>1</v>
      </c>
      <c r="O7678">
        <v>1</v>
      </c>
      <c r="P7678" t="s">
        <v>10451</v>
      </c>
      <c r="Q7678" t="s">
        <v>10452</v>
      </c>
      <c r="R7678" t="s">
        <v>10453</v>
      </c>
      <c r="S7678" t="s">
        <v>10454</v>
      </c>
      <c r="T7678" t="s">
        <v>10455</v>
      </c>
      <c r="U7678" t="s">
        <v>407</v>
      </c>
      <c r="V7678" t="s">
        <v>10456</v>
      </c>
      <c r="W7678" t="s">
        <v>10457</v>
      </c>
      <c r="AD7678" t="s">
        <v>410</v>
      </c>
      <c r="AE7678" t="s">
        <v>411</v>
      </c>
      <c r="AF7678" t="s">
        <v>15460</v>
      </c>
    </row>
    <row r="7679" spans="1:32" hidden="1" x14ac:dyDescent="0.35">
      <c r="A7679">
        <v>7678</v>
      </c>
      <c r="B7679" t="s">
        <v>15459</v>
      </c>
      <c r="C7679" t="s">
        <v>68</v>
      </c>
      <c r="D7679" t="s">
        <v>62</v>
      </c>
      <c r="E7679">
        <v>1046</v>
      </c>
      <c r="F7679">
        <v>2</v>
      </c>
      <c r="G7679">
        <v>2</v>
      </c>
      <c r="H7679">
        <v>1</v>
      </c>
      <c r="I7679">
        <v>0</v>
      </c>
      <c r="J7679">
        <v>1</v>
      </c>
      <c r="K7679">
        <v>1</v>
      </c>
      <c r="L7679">
        <v>1</v>
      </c>
      <c r="M7679">
        <v>1</v>
      </c>
      <c r="N7679">
        <v>1</v>
      </c>
      <c r="O7679">
        <v>1</v>
      </c>
      <c r="P7679" t="s">
        <v>10451</v>
      </c>
      <c r="Q7679" t="s">
        <v>10452</v>
      </c>
      <c r="R7679" t="s">
        <v>10453</v>
      </c>
      <c r="S7679" t="s">
        <v>10454</v>
      </c>
      <c r="T7679" t="s">
        <v>10455</v>
      </c>
      <c r="U7679" t="s">
        <v>407</v>
      </c>
      <c r="V7679" t="s">
        <v>10456</v>
      </c>
      <c r="W7679" t="s">
        <v>10457</v>
      </c>
      <c r="AD7679" t="s">
        <v>410</v>
      </c>
      <c r="AE7679" t="s">
        <v>411</v>
      </c>
      <c r="AF7679" t="s">
        <v>15460</v>
      </c>
    </row>
    <row r="7680" spans="1:32" hidden="1" x14ac:dyDescent="0.35">
      <c r="A7680">
        <v>7679</v>
      </c>
      <c r="B7680" t="s">
        <v>15461</v>
      </c>
      <c r="C7680" t="s">
        <v>68</v>
      </c>
      <c r="D7680" t="s">
        <v>34</v>
      </c>
      <c r="E7680">
        <v>2257</v>
      </c>
      <c r="F7680">
        <v>2</v>
      </c>
      <c r="G7680">
        <v>2</v>
      </c>
      <c r="H7680">
        <v>1</v>
      </c>
      <c r="I7680">
        <v>0</v>
      </c>
      <c r="J7680">
        <v>1</v>
      </c>
      <c r="K7680">
        <v>1</v>
      </c>
      <c r="L7680">
        <v>1</v>
      </c>
      <c r="M7680">
        <v>1</v>
      </c>
      <c r="N7680">
        <v>1</v>
      </c>
      <c r="O7680">
        <v>1</v>
      </c>
      <c r="AF7680" t="s">
        <v>15462</v>
      </c>
    </row>
    <row r="7681" spans="1:32" hidden="1" x14ac:dyDescent="0.35">
      <c r="A7681">
        <v>7680</v>
      </c>
      <c r="B7681" t="s">
        <v>15461</v>
      </c>
      <c r="C7681" t="s">
        <v>68</v>
      </c>
      <c r="D7681" t="s">
        <v>45</v>
      </c>
      <c r="E7681">
        <v>620</v>
      </c>
      <c r="F7681">
        <v>2</v>
      </c>
      <c r="G7681">
        <v>2</v>
      </c>
      <c r="H7681">
        <v>1</v>
      </c>
      <c r="I7681">
        <v>0</v>
      </c>
      <c r="J7681">
        <v>1</v>
      </c>
      <c r="K7681">
        <v>1</v>
      </c>
      <c r="L7681">
        <v>1</v>
      </c>
      <c r="M7681">
        <v>1</v>
      </c>
      <c r="N7681">
        <v>1</v>
      </c>
      <c r="O7681">
        <v>1</v>
      </c>
      <c r="AF7681" t="s">
        <v>15462</v>
      </c>
    </row>
    <row r="7682" spans="1:32" hidden="1" x14ac:dyDescent="0.35">
      <c r="A7682">
        <v>7681</v>
      </c>
      <c r="B7682" t="s">
        <v>15463</v>
      </c>
      <c r="C7682" t="s">
        <v>68</v>
      </c>
      <c r="D7682" t="s">
        <v>60</v>
      </c>
      <c r="E7682">
        <v>122</v>
      </c>
      <c r="F7682">
        <v>2</v>
      </c>
      <c r="G7682">
        <v>2</v>
      </c>
      <c r="H7682">
        <v>1</v>
      </c>
      <c r="I7682">
        <v>0</v>
      </c>
      <c r="J7682">
        <v>1</v>
      </c>
      <c r="K7682">
        <v>1</v>
      </c>
      <c r="L7682">
        <v>1</v>
      </c>
      <c r="M7682">
        <v>1</v>
      </c>
      <c r="N7682">
        <v>1</v>
      </c>
      <c r="O7682">
        <v>1</v>
      </c>
      <c r="P7682" t="s">
        <v>12075</v>
      </c>
      <c r="Q7682" t="s">
        <v>12076</v>
      </c>
      <c r="R7682" t="s">
        <v>8647</v>
      </c>
      <c r="S7682" t="s">
        <v>8648</v>
      </c>
      <c r="V7682" t="s">
        <v>12077</v>
      </c>
      <c r="W7682" t="s">
        <v>12078</v>
      </c>
      <c r="X7682" t="s">
        <v>12077</v>
      </c>
      <c r="Y7682" t="s">
        <v>5826</v>
      </c>
      <c r="AF7682" t="s">
        <v>15464</v>
      </c>
    </row>
    <row r="7683" spans="1:32" hidden="1" x14ac:dyDescent="0.35">
      <c r="A7683">
        <v>7682</v>
      </c>
      <c r="B7683" t="s">
        <v>15463</v>
      </c>
      <c r="C7683" t="s">
        <v>68</v>
      </c>
      <c r="D7683" t="s">
        <v>62</v>
      </c>
      <c r="E7683">
        <v>194</v>
      </c>
      <c r="F7683">
        <v>2</v>
      </c>
      <c r="G7683">
        <v>2</v>
      </c>
      <c r="H7683">
        <v>1</v>
      </c>
      <c r="I7683">
        <v>0</v>
      </c>
      <c r="J7683">
        <v>1</v>
      </c>
      <c r="K7683">
        <v>1</v>
      </c>
      <c r="L7683">
        <v>1</v>
      </c>
      <c r="M7683">
        <v>1</v>
      </c>
      <c r="N7683">
        <v>1</v>
      </c>
      <c r="O7683">
        <v>1</v>
      </c>
      <c r="P7683" t="s">
        <v>12075</v>
      </c>
      <c r="Q7683" t="s">
        <v>12076</v>
      </c>
      <c r="R7683" t="s">
        <v>8647</v>
      </c>
      <c r="S7683" t="s">
        <v>8648</v>
      </c>
      <c r="V7683" t="s">
        <v>12077</v>
      </c>
      <c r="W7683" t="s">
        <v>12078</v>
      </c>
      <c r="X7683" t="s">
        <v>12077</v>
      </c>
      <c r="Y7683" t="s">
        <v>5826</v>
      </c>
      <c r="AF7683" t="s">
        <v>15464</v>
      </c>
    </row>
    <row r="7684" spans="1:32" hidden="1" x14ac:dyDescent="0.35">
      <c r="A7684">
        <v>7683</v>
      </c>
      <c r="B7684" t="s">
        <v>15465</v>
      </c>
      <c r="C7684" t="s">
        <v>68</v>
      </c>
      <c r="D7684" t="s">
        <v>60</v>
      </c>
      <c r="E7684">
        <v>2380</v>
      </c>
      <c r="F7684">
        <v>2</v>
      </c>
      <c r="G7684">
        <v>2</v>
      </c>
      <c r="H7684">
        <v>1</v>
      </c>
      <c r="I7684">
        <v>0</v>
      </c>
      <c r="J7684">
        <v>1</v>
      </c>
      <c r="K7684">
        <v>1</v>
      </c>
      <c r="L7684">
        <v>1</v>
      </c>
      <c r="M7684">
        <v>1</v>
      </c>
      <c r="N7684">
        <v>1</v>
      </c>
      <c r="O7684">
        <v>1</v>
      </c>
      <c r="AF7684" t="s">
        <v>15466</v>
      </c>
    </row>
    <row r="7685" spans="1:32" hidden="1" x14ac:dyDescent="0.35">
      <c r="A7685">
        <v>7684</v>
      </c>
      <c r="B7685" t="s">
        <v>15465</v>
      </c>
      <c r="C7685" t="s">
        <v>68</v>
      </c>
      <c r="D7685" t="s">
        <v>62</v>
      </c>
      <c r="E7685">
        <v>2408</v>
      </c>
      <c r="F7685">
        <v>2</v>
      </c>
      <c r="G7685">
        <v>2</v>
      </c>
      <c r="H7685">
        <v>1</v>
      </c>
      <c r="I7685">
        <v>0</v>
      </c>
      <c r="J7685">
        <v>1</v>
      </c>
      <c r="K7685">
        <v>1</v>
      </c>
      <c r="L7685">
        <v>1</v>
      </c>
      <c r="M7685">
        <v>1</v>
      </c>
      <c r="N7685">
        <v>1</v>
      </c>
      <c r="O7685">
        <v>1</v>
      </c>
      <c r="AF7685" t="s">
        <v>15466</v>
      </c>
    </row>
    <row r="7686" spans="1:32" hidden="1" x14ac:dyDescent="0.35">
      <c r="A7686">
        <v>7685</v>
      </c>
      <c r="B7686" t="s">
        <v>15467</v>
      </c>
      <c r="C7686" t="s">
        <v>68</v>
      </c>
      <c r="D7686" t="s">
        <v>60</v>
      </c>
      <c r="E7686">
        <v>344</v>
      </c>
      <c r="F7686">
        <v>2</v>
      </c>
      <c r="G7686">
        <v>2</v>
      </c>
      <c r="H7686">
        <v>1</v>
      </c>
      <c r="I7686">
        <v>0</v>
      </c>
      <c r="J7686">
        <v>1</v>
      </c>
      <c r="K7686">
        <v>1</v>
      </c>
      <c r="L7686">
        <v>1</v>
      </c>
      <c r="M7686">
        <v>1</v>
      </c>
      <c r="N7686">
        <v>1</v>
      </c>
      <c r="O7686">
        <v>1</v>
      </c>
      <c r="P7686" t="s">
        <v>12377</v>
      </c>
      <c r="Q7686" t="s">
        <v>2878</v>
      </c>
      <c r="R7686" t="s">
        <v>12275</v>
      </c>
      <c r="S7686" t="s">
        <v>12276</v>
      </c>
      <c r="V7686" t="s">
        <v>12277</v>
      </c>
      <c r="W7686" t="s">
        <v>12278</v>
      </c>
      <c r="AF7686" t="s">
        <v>15468</v>
      </c>
    </row>
    <row r="7687" spans="1:32" hidden="1" x14ac:dyDescent="0.35">
      <c r="A7687">
        <v>7686</v>
      </c>
      <c r="B7687" t="s">
        <v>15467</v>
      </c>
      <c r="C7687" t="s">
        <v>68</v>
      </c>
      <c r="D7687" t="s">
        <v>62</v>
      </c>
      <c r="E7687">
        <v>424</v>
      </c>
      <c r="F7687">
        <v>2</v>
      </c>
      <c r="G7687">
        <v>2</v>
      </c>
      <c r="H7687">
        <v>1</v>
      </c>
      <c r="I7687">
        <v>0</v>
      </c>
      <c r="J7687">
        <v>1</v>
      </c>
      <c r="K7687">
        <v>1</v>
      </c>
      <c r="L7687">
        <v>1</v>
      </c>
      <c r="M7687">
        <v>1</v>
      </c>
      <c r="N7687">
        <v>1</v>
      </c>
      <c r="O7687">
        <v>1</v>
      </c>
      <c r="P7687" t="s">
        <v>12377</v>
      </c>
      <c r="Q7687" t="s">
        <v>2878</v>
      </c>
      <c r="R7687" t="s">
        <v>12275</v>
      </c>
      <c r="S7687" t="s">
        <v>12276</v>
      </c>
      <c r="V7687" t="s">
        <v>12277</v>
      </c>
      <c r="W7687" t="s">
        <v>12278</v>
      </c>
      <c r="AF7687" t="s">
        <v>15468</v>
      </c>
    </row>
    <row r="7688" spans="1:32" hidden="1" x14ac:dyDescent="0.35">
      <c r="A7688">
        <v>7687</v>
      </c>
      <c r="B7688" t="s">
        <v>15469</v>
      </c>
      <c r="C7688" t="s">
        <v>68</v>
      </c>
      <c r="D7688" t="s">
        <v>60</v>
      </c>
      <c r="E7688">
        <v>1239</v>
      </c>
      <c r="F7688">
        <v>2</v>
      </c>
      <c r="G7688">
        <v>2</v>
      </c>
      <c r="H7688">
        <v>1</v>
      </c>
      <c r="I7688">
        <v>0</v>
      </c>
      <c r="J7688">
        <v>1</v>
      </c>
      <c r="K7688">
        <v>1</v>
      </c>
      <c r="L7688">
        <v>1</v>
      </c>
      <c r="M7688">
        <v>1</v>
      </c>
      <c r="N7688">
        <v>1</v>
      </c>
      <c r="O7688">
        <v>1</v>
      </c>
      <c r="P7688" t="s">
        <v>15470</v>
      </c>
      <c r="Q7688" t="s">
        <v>15471</v>
      </c>
      <c r="R7688" t="s">
        <v>652</v>
      </c>
      <c r="S7688" t="s">
        <v>653</v>
      </c>
      <c r="T7688" t="s">
        <v>15472</v>
      </c>
      <c r="U7688" t="s">
        <v>15473</v>
      </c>
      <c r="V7688" t="s">
        <v>6449</v>
      </c>
      <c r="W7688" t="s">
        <v>6450</v>
      </c>
      <c r="Z7688" t="s">
        <v>15474</v>
      </c>
      <c r="AA7688" t="s">
        <v>15475</v>
      </c>
      <c r="AB7688" t="s">
        <v>15474</v>
      </c>
      <c r="AC7688" t="s">
        <v>15476</v>
      </c>
      <c r="AD7688" t="s">
        <v>219</v>
      </c>
      <c r="AE7688" t="s">
        <v>15477</v>
      </c>
      <c r="AF7688" t="s">
        <v>15478</v>
      </c>
    </row>
    <row r="7689" spans="1:32" hidden="1" x14ac:dyDescent="0.35">
      <c r="A7689">
        <v>7688</v>
      </c>
      <c r="B7689" t="s">
        <v>15469</v>
      </c>
      <c r="C7689" t="s">
        <v>68</v>
      </c>
      <c r="D7689" t="s">
        <v>62</v>
      </c>
      <c r="E7689">
        <v>1276</v>
      </c>
      <c r="F7689">
        <v>2</v>
      </c>
      <c r="G7689">
        <v>2</v>
      </c>
      <c r="H7689">
        <v>1</v>
      </c>
      <c r="I7689">
        <v>0</v>
      </c>
      <c r="J7689">
        <v>1</v>
      </c>
      <c r="K7689">
        <v>1</v>
      </c>
      <c r="L7689">
        <v>1</v>
      </c>
      <c r="M7689">
        <v>1</v>
      </c>
      <c r="N7689">
        <v>1</v>
      </c>
      <c r="O7689">
        <v>1</v>
      </c>
      <c r="P7689" t="s">
        <v>15470</v>
      </c>
      <c r="Q7689" t="s">
        <v>15471</v>
      </c>
      <c r="R7689" t="s">
        <v>652</v>
      </c>
      <c r="S7689" t="s">
        <v>653</v>
      </c>
      <c r="T7689" t="s">
        <v>15472</v>
      </c>
      <c r="U7689" t="s">
        <v>15473</v>
      </c>
      <c r="V7689" t="s">
        <v>6449</v>
      </c>
      <c r="W7689" t="s">
        <v>6450</v>
      </c>
      <c r="Z7689" t="s">
        <v>15474</v>
      </c>
      <c r="AA7689" t="s">
        <v>15475</v>
      </c>
      <c r="AB7689" t="s">
        <v>15474</v>
      </c>
      <c r="AC7689" t="s">
        <v>15476</v>
      </c>
      <c r="AD7689" t="s">
        <v>219</v>
      </c>
      <c r="AE7689" t="s">
        <v>15477</v>
      </c>
      <c r="AF7689" t="s">
        <v>15478</v>
      </c>
    </row>
    <row r="7690" spans="1:32" hidden="1" x14ac:dyDescent="0.35">
      <c r="A7690">
        <v>7689</v>
      </c>
      <c r="B7690" t="s">
        <v>15479</v>
      </c>
      <c r="C7690" t="s">
        <v>68</v>
      </c>
      <c r="D7690" t="s">
        <v>34</v>
      </c>
      <c r="E7690">
        <v>2419</v>
      </c>
      <c r="F7690">
        <v>2</v>
      </c>
      <c r="G7690">
        <v>2</v>
      </c>
      <c r="H7690">
        <v>1</v>
      </c>
      <c r="I7690">
        <v>0</v>
      </c>
      <c r="J7690">
        <v>1</v>
      </c>
      <c r="K7690">
        <v>1</v>
      </c>
      <c r="L7690">
        <v>1</v>
      </c>
      <c r="M7690">
        <v>1</v>
      </c>
      <c r="N7690">
        <v>1</v>
      </c>
      <c r="O7690">
        <v>1</v>
      </c>
      <c r="AF7690" t="s">
        <v>15480</v>
      </c>
    </row>
    <row r="7691" spans="1:32" hidden="1" x14ac:dyDescent="0.35">
      <c r="A7691">
        <v>7690</v>
      </c>
      <c r="B7691" t="s">
        <v>15479</v>
      </c>
      <c r="C7691" t="s">
        <v>68</v>
      </c>
      <c r="D7691" t="s">
        <v>45</v>
      </c>
      <c r="E7691">
        <v>479</v>
      </c>
      <c r="F7691">
        <v>2</v>
      </c>
      <c r="G7691">
        <v>2</v>
      </c>
      <c r="H7691">
        <v>1</v>
      </c>
      <c r="I7691">
        <v>0</v>
      </c>
      <c r="J7691">
        <v>1</v>
      </c>
      <c r="K7691">
        <v>1</v>
      </c>
      <c r="L7691">
        <v>1</v>
      </c>
      <c r="M7691">
        <v>1</v>
      </c>
      <c r="N7691">
        <v>1</v>
      </c>
      <c r="O7691">
        <v>1</v>
      </c>
      <c r="AF7691" t="s">
        <v>15480</v>
      </c>
    </row>
    <row r="7692" spans="1:32" hidden="1" x14ac:dyDescent="0.35">
      <c r="A7692">
        <v>7691</v>
      </c>
      <c r="B7692" t="s">
        <v>15481</v>
      </c>
      <c r="C7692" t="s">
        <v>68</v>
      </c>
      <c r="D7692" t="s">
        <v>60</v>
      </c>
      <c r="E7692">
        <v>315</v>
      </c>
      <c r="F7692">
        <v>2</v>
      </c>
      <c r="G7692">
        <v>2</v>
      </c>
      <c r="H7692">
        <v>1</v>
      </c>
      <c r="I7692">
        <v>0</v>
      </c>
      <c r="J7692">
        <v>1</v>
      </c>
      <c r="K7692">
        <v>1</v>
      </c>
      <c r="L7692">
        <v>1</v>
      </c>
      <c r="M7692">
        <v>1</v>
      </c>
      <c r="N7692">
        <v>1</v>
      </c>
      <c r="O7692">
        <v>1</v>
      </c>
      <c r="P7692" t="s">
        <v>11715</v>
      </c>
      <c r="Q7692" t="s">
        <v>11716</v>
      </c>
      <c r="R7692" t="s">
        <v>342</v>
      </c>
      <c r="S7692" t="s">
        <v>343</v>
      </c>
      <c r="V7692" t="s">
        <v>11719</v>
      </c>
      <c r="W7692" t="s">
        <v>11720</v>
      </c>
      <c r="AF7692" t="s">
        <v>15482</v>
      </c>
    </row>
    <row r="7693" spans="1:32" hidden="1" x14ac:dyDescent="0.35">
      <c r="A7693">
        <v>7692</v>
      </c>
      <c r="B7693" t="s">
        <v>15481</v>
      </c>
      <c r="C7693" t="s">
        <v>68</v>
      </c>
      <c r="D7693" t="s">
        <v>62</v>
      </c>
      <c r="E7693">
        <v>395</v>
      </c>
      <c r="F7693">
        <v>2</v>
      </c>
      <c r="G7693">
        <v>2</v>
      </c>
      <c r="H7693">
        <v>1</v>
      </c>
      <c r="I7693">
        <v>0</v>
      </c>
      <c r="J7693">
        <v>1</v>
      </c>
      <c r="K7693">
        <v>1</v>
      </c>
      <c r="L7693">
        <v>1</v>
      </c>
      <c r="M7693">
        <v>1</v>
      </c>
      <c r="N7693">
        <v>1</v>
      </c>
      <c r="O7693">
        <v>1</v>
      </c>
      <c r="P7693" t="s">
        <v>11715</v>
      </c>
      <c r="Q7693" t="s">
        <v>11716</v>
      </c>
      <c r="R7693" t="s">
        <v>342</v>
      </c>
      <c r="S7693" t="s">
        <v>343</v>
      </c>
      <c r="V7693" t="s">
        <v>11719</v>
      </c>
      <c r="W7693" t="s">
        <v>11720</v>
      </c>
      <c r="AF7693" t="s">
        <v>15482</v>
      </c>
    </row>
    <row r="7694" spans="1:32" hidden="1" x14ac:dyDescent="0.35">
      <c r="A7694">
        <v>7693</v>
      </c>
      <c r="B7694" t="s">
        <v>15483</v>
      </c>
      <c r="C7694" t="s">
        <v>68</v>
      </c>
      <c r="D7694" t="s">
        <v>60</v>
      </c>
      <c r="E7694">
        <v>559</v>
      </c>
      <c r="F7694">
        <v>2</v>
      </c>
      <c r="G7694">
        <v>2</v>
      </c>
      <c r="H7694">
        <v>1</v>
      </c>
      <c r="I7694">
        <v>0</v>
      </c>
      <c r="J7694">
        <v>1</v>
      </c>
      <c r="K7694">
        <v>1</v>
      </c>
      <c r="L7694">
        <v>1</v>
      </c>
      <c r="M7694">
        <v>1</v>
      </c>
      <c r="N7694">
        <v>1</v>
      </c>
      <c r="O7694">
        <v>1</v>
      </c>
      <c r="P7694" t="s">
        <v>15484</v>
      </c>
      <c r="Q7694" t="s">
        <v>15485</v>
      </c>
      <c r="R7694" t="s">
        <v>652</v>
      </c>
      <c r="S7694" t="s">
        <v>653</v>
      </c>
      <c r="T7694" t="s">
        <v>15486</v>
      </c>
      <c r="U7694" t="s">
        <v>15487</v>
      </c>
      <c r="V7694" t="s">
        <v>15488</v>
      </c>
      <c r="W7694" t="s">
        <v>15489</v>
      </c>
      <c r="AD7694" t="s">
        <v>245</v>
      </c>
      <c r="AE7694" t="s">
        <v>15490</v>
      </c>
      <c r="AF7694" t="s">
        <v>15491</v>
      </c>
    </row>
    <row r="7695" spans="1:32" hidden="1" x14ac:dyDescent="0.35">
      <c r="A7695">
        <v>7694</v>
      </c>
      <c r="B7695" t="s">
        <v>15483</v>
      </c>
      <c r="C7695" t="s">
        <v>68</v>
      </c>
      <c r="D7695" t="s">
        <v>62</v>
      </c>
      <c r="E7695">
        <v>643</v>
      </c>
      <c r="F7695">
        <v>2</v>
      </c>
      <c r="G7695">
        <v>2</v>
      </c>
      <c r="H7695">
        <v>1</v>
      </c>
      <c r="I7695">
        <v>0</v>
      </c>
      <c r="J7695">
        <v>1</v>
      </c>
      <c r="K7695">
        <v>1</v>
      </c>
      <c r="L7695">
        <v>1</v>
      </c>
      <c r="M7695">
        <v>1</v>
      </c>
      <c r="N7695">
        <v>1</v>
      </c>
      <c r="O7695">
        <v>1</v>
      </c>
      <c r="P7695" t="s">
        <v>15484</v>
      </c>
      <c r="Q7695" t="s">
        <v>15485</v>
      </c>
      <c r="R7695" t="s">
        <v>652</v>
      </c>
      <c r="S7695" t="s">
        <v>653</v>
      </c>
      <c r="T7695" t="s">
        <v>15486</v>
      </c>
      <c r="U7695" t="s">
        <v>15487</v>
      </c>
      <c r="V7695" t="s">
        <v>15488</v>
      </c>
      <c r="W7695" t="s">
        <v>15489</v>
      </c>
      <c r="AD7695" t="s">
        <v>245</v>
      </c>
      <c r="AE7695" t="s">
        <v>15490</v>
      </c>
      <c r="AF7695" t="s">
        <v>15491</v>
      </c>
    </row>
    <row r="7696" spans="1:32" hidden="1" x14ac:dyDescent="0.35">
      <c r="A7696">
        <v>7695</v>
      </c>
      <c r="B7696" t="s">
        <v>15492</v>
      </c>
      <c r="C7696" t="s">
        <v>68</v>
      </c>
      <c r="D7696" t="s">
        <v>34</v>
      </c>
      <c r="E7696">
        <v>1683</v>
      </c>
      <c r="F7696">
        <v>2</v>
      </c>
      <c r="G7696">
        <v>2</v>
      </c>
      <c r="H7696">
        <v>1</v>
      </c>
      <c r="I7696">
        <v>0</v>
      </c>
      <c r="J7696">
        <v>1</v>
      </c>
      <c r="K7696">
        <v>1</v>
      </c>
      <c r="L7696">
        <v>1</v>
      </c>
      <c r="M7696">
        <v>1</v>
      </c>
      <c r="N7696">
        <v>1</v>
      </c>
      <c r="O7696">
        <v>1</v>
      </c>
      <c r="P7696" t="s">
        <v>12586</v>
      </c>
      <c r="Q7696" t="s">
        <v>12587</v>
      </c>
      <c r="R7696" t="s">
        <v>516</v>
      </c>
      <c r="S7696" t="s">
        <v>517</v>
      </c>
      <c r="T7696" t="s">
        <v>15493</v>
      </c>
      <c r="U7696" t="s">
        <v>15494</v>
      </c>
      <c r="V7696" t="s">
        <v>15495</v>
      </c>
      <c r="W7696" t="s">
        <v>15496</v>
      </c>
      <c r="Z7696" t="s">
        <v>876</v>
      </c>
      <c r="AA7696" t="s">
        <v>877</v>
      </c>
      <c r="AB7696" t="s">
        <v>876</v>
      </c>
      <c r="AC7696" t="s">
        <v>878</v>
      </c>
      <c r="AD7696" t="s">
        <v>219</v>
      </c>
      <c r="AE7696" t="s">
        <v>15497</v>
      </c>
      <c r="AF7696" t="s">
        <v>15498</v>
      </c>
    </row>
    <row r="7697" spans="1:32" hidden="1" x14ac:dyDescent="0.35">
      <c r="A7697">
        <v>7696</v>
      </c>
      <c r="B7697" t="s">
        <v>15492</v>
      </c>
      <c r="C7697" t="s">
        <v>68</v>
      </c>
      <c r="D7697" t="s">
        <v>45</v>
      </c>
      <c r="E7697">
        <v>1193</v>
      </c>
      <c r="F7697">
        <v>2</v>
      </c>
      <c r="G7697">
        <v>2</v>
      </c>
      <c r="H7697">
        <v>1</v>
      </c>
      <c r="I7697">
        <v>0</v>
      </c>
      <c r="J7697">
        <v>1</v>
      </c>
      <c r="K7697">
        <v>1</v>
      </c>
      <c r="L7697">
        <v>1</v>
      </c>
      <c r="M7697">
        <v>1</v>
      </c>
      <c r="N7697">
        <v>1</v>
      </c>
      <c r="O7697">
        <v>1</v>
      </c>
      <c r="P7697" t="s">
        <v>12586</v>
      </c>
      <c r="Q7697" t="s">
        <v>12587</v>
      </c>
      <c r="R7697" t="s">
        <v>516</v>
      </c>
      <c r="S7697" t="s">
        <v>517</v>
      </c>
      <c r="T7697" t="s">
        <v>15493</v>
      </c>
      <c r="U7697" t="s">
        <v>15494</v>
      </c>
      <c r="V7697" t="s">
        <v>15495</v>
      </c>
      <c r="W7697" t="s">
        <v>15496</v>
      </c>
      <c r="Z7697" t="s">
        <v>876</v>
      </c>
      <c r="AA7697" t="s">
        <v>877</v>
      </c>
      <c r="AB7697" t="s">
        <v>876</v>
      </c>
      <c r="AC7697" t="s">
        <v>878</v>
      </c>
      <c r="AD7697" t="s">
        <v>219</v>
      </c>
      <c r="AE7697" t="s">
        <v>15497</v>
      </c>
      <c r="AF7697" t="s">
        <v>15498</v>
      </c>
    </row>
    <row r="7698" spans="1:32" hidden="1" x14ac:dyDescent="0.35">
      <c r="A7698">
        <v>7697</v>
      </c>
      <c r="B7698" t="s">
        <v>15499</v>
      </c>
      <c r="C7698" t="s">
        <v>68</v>
      </c>
      <c r="D7698" t="s">
        <v>34</v>
      </c>
      <c r="E7698">
        <v>295</v>
      </c>
      <c r="F7698">
        <v>2</v>
      </c>
      <c r="G7698">
        <v>2</v>
      </c>
      <c r="H7698">
        <v>1</v>
      </c>
      <c r="I7698">
        <v>0</v>
      </c>
      <c r="J7698">
        <v>1</v>
      </c>
      <c r="K7698">
        <v>1</v>
      </c>
      <c r="L7698">
        <v>1</v>
      </c>
      <c r="M7698">
        <v>1</v>
      </c>
      <c r="N7698">
        <v>1</v>
      </c>
      <c r="O7698">
        <v>1</v>
      </c>
      <c r="P7698" t="s">
        <v>12560</v>
      </c>
      <c r="Q7698" t="s">
        <v>12561</v>
      </c>
      <c r="AF7698" t="s">
        <v>15500</v>
      </c>
    </row>
    <row r="7699" spans="1:32" hidden="1" x14ac:dyDescent="0.35">
      <c r="A7699">
        <v>7698</v>
      </c>
      <c r="B7699" t="s">
        <v>15499</v>
      </c>
      <c r="C7699" t="s">
        <v>68</v>
      </c>
      <c r="D7699" t="s">
        <v>45</v>
      </c>
      <c r="E7699">
        <v>1557</v>
      </c>
      <c r="F7699">
        <v>2</v>
      </c>
      <c r="G7699">
        <v>2</v>
      </c>
      <c r="H7699">
        <v>1</v>
      </c>
      <c r="I7699">
        <v>0</v>
      </c>
      <c r="J7699">
        <v>1</v>
      </c>
      <c r="K7699">
        <v>1</v>
      </c>
      <c r="L7699">
        <v>1</v>
      </c>
      <c r="M7699">
        <v>1</v>
      </c>
      <c r="N7699">
        <v>1</v>
      </c>
      <c r="O7699">
        <v>1</v>
      </c>
      <c r="P7699" t="s">
        <v>12560</v>
      </c>
      <c r="Q7699" t="s">
        <v>12561</v>
      </c>
      <c r="AF7699" t="s">
        <v>15500</v>
      </c>
    </row>
    <row r="7700" spans="1:32" hidden="1" x14ac:dyDescent="0.35">
      <c r="A7700">
        <v>7699</v>
      </c>
      <c r="B7700" t="s">
        <v>15501</v>
      </c>
      <c r="C7700" t="s">
        <v>68</v>
      </c>
      <c r="D7700" t="s">
        <v>60</v>
      </c>
      <c r="E7700">
        <v>2187</v>
      </c>
      <c r="F7700">
        <v>2</v>
      </c>
      <c r="G7700">
        <v>2</v>
      </c>
      <c r="H7700">
        <v>1</v>
      </c>
      <c r="I7700">
        <v>0</v>
      </c>
      <c r="J7700">
        <v>1</v>
      </c>
      <c r="K7700">
        <v>1</v>
      </c>
      <c r="L7700">
        <v>1</v>
      </c>
      <c r="M7700">
        <v>1</v>
      </c>
      <c r="N7700">
        <v>1</v>
      </c>
      <c r="O7700">
        <v>1</v>
      </c>
      <c r="P7700" t="s">
        <v>1452</v>
      </c>
      <c r="Q7700" t="s">
        <v>1453</v>
      </c>
      <c r="R7700" t="s">
        <v>113</v>
      </c>
      <c r="S7700" t="s">
        <v>114</v>
      </c>
      <c r="T7700" t="s">
        <v>1454</v>
      </c>
      <c r="U7700" t="s">
        <v>1455</v>
      </c>
      <c r="V7700" t="s">
        <v>807</v>
      </c>
      <c r="W7700" t="s">
        <v>808</v>
      </c>
      <c r="X7700" t="s">
        <v>807</v>
      </c>
      <c r="Y7700" t="s">
        <v>119</v>
      </c>
      <c r="AD7700" t="s">
        <v>125</v>
      </c>
      <c r="AE7700" t="s">
        <v>126</v>
      </c>
      <c r="AF7700" t="s">
        <v>15502</v>
      </c>
    </row>
    <row r="7701" spans="1:32" hidden="1" x14ac:dyDescent="0.35">
      <c r="A7701">
        <v>7700</v>
      </c>
      <c r="B7701" t="s">
        <v>15501</v>
      </c>
      <c r="C7701" t="s">
        <v>68</v>
      </c>
      <c r="D7701" t="s">
        <v>62</v>
      </c>
      <c r="E7701">
        <v>2221</v>
      </c>
      <c r="F7701">
        <v>2</v>
      </c>
      <c r="G7701">
        <v>2</v>
      </c>
      <c r="H7701">
        <v>1</v>
      </c>
      <c r="I7701">
        <v>0</v>
      </c>
      <c r="J7701">
        <v>1</v>
      </c>
      <c r="K7701">
        <v>1</v>
      </c>
      <c r="L7701">
        <v>1</v>
      </c>
      <c r="M7701">
        <v>1</v>
      </c>
      <c r="N7701">
        <v>1</v>
      </c>
      <c r="O7701">
        <v>1</v>
      </c>
      <c r="P7701" t="s">
        <v>1452</v>
      </c>
      <c r="Q7701" t="s">
        <v>1453</v>
      </c>
      <c r="R7701" t="s">
        <v>113</v>
      </c>
      <c r="S7701" t="s">
        <v>114</v>
      </c>
      <c r="T7701" t="s">
        <v>1454</v>
      </c>
      <c r="U7701" t="s">
        <v>1455</v>
      </c>
      <c r="V7701" t="s">
        <v>807</v>
      </c>
      <c r="W7701" t="s">
        <v>808</v>
      </c>
      <c r="X7701" t="s">
        <v>807</v>
      </c>
      <c r="Y7701" t="s">
        <v>119</v>
      </c>
      <c r="AD7701" t="s">
        <v>125</v>
      </c>
      <c r="AE7701" t="s">
        <v>126</v>
      </c>
      <c r="AF7701" t="s">
        <v>15502</v>
      </c>
    </row>
    <row r="7702" spans="1:32" hidden="1" x14ac:dyDescent="0.35">
      <c r="A7702">
        <v>7701</v>
      </c>
      <c r="B7702" t="s">
        <v>15503</v>
      </c>
      <c r="C7702" t="s">
        <v>68</v>
      </c>
      <c r="D7702" t="s">
        <v>60</v>
      </c>
      <c r="E7702">
        <v>926</v>
      </c>
      <c r="F7702">
        <v>2</v>
      </c>
      <c r="G7702">
        <v>2</v>
      </c>
      <c r="H7702">
        <v>1</v>
      </c>
      <c r="I7702">
        <v>0</v>
      </c>
      <c r="J7702">
        <v>1</v>
      </c>
      <c r="K7702">
        <v>1</v>
      </c>
      <c r="L7702">
        <v>1</v>
      </c>
      <c r="M7702">
        <v>1</v>
      </c>
      <c r="N7702">
        <v>1</v>
      </c>
      <c r="O7702">
        <v>1</v>
      </c>
      <c r="AF7702" t="s">
        <v>15504</v>
      </c>
    </row>
    <row r="7703" spans="1:32" hidden="1" x14ac:dyDescent="0.35">
      <c r="A7703">
        <v>7702</v>
      </c>
      <c r="B7703" t="s">
        <v>15503</v>
      </c>
      <c r="C7703" t="s">
        <v>68</v>
      </c>
      <c r="D7703" t="s">
        <v>62</v>
      </c>
      <c r="E7703">
        <v>962</v>
      </c>
      <c r="F7703">
        <v>2</v>
      </c>
      <c r="G7703">
        <v>2</v>
      </c>
      <c r="H7703">
        <v>1</v>
      </c>
      <c r="I7703">
        <v>0</v>
      </c>
      <c r="J7703">
        <v>1</v>
      </c>
      <c r="K7703">
        <v>1</v>
      </c>
      <c r="L7703">
        <v>1</v>
      </c>
      <c r="M7703">
        <v>1</v>
      </c>
      <c r="N7703">
        <v>1</v>
      </c>
      <c r="O7703">
        <v>1</v>
      </c>
      <c r="AF7703" t="s">
        <v>15504</v>
      </c>
    </row>
    <row r="7704" spans="1:32" hidden="1" x14ac:dyDescent="0.35">
      <c r="A7704">
        <v>7703</v>
      </c>
      <c r="B7704" t="s">
        <v>15505</v>
      </c>
      <c r="C7704" t="s">
        <v>68</v>
      </c>
      <c r="D7704" t="s">
        <v>34</v>
      </c>
      <c r="E7704">
        <v>499</v>
      </c>
      <c r="F7704">
        <v>2</v>
      </c>
      <c r="G7704">
        <v>2</v>
      </c>
      <c r="H7704">
        <v>1</v>
      </c>
      <c r="I7704">
        <v>0</v>
      </c>
      <c r="J7704">
        <v>1</v>
      </c>
      <c r="K7704">
        <v>1</v>
      </c>
      <c r="L7704">
        <v>1</v>
      </c>
      <c r="M7704">
        <v>1</v>
      </c>
      <c r="N7704">
        <v>1</v>
      </c>
      <c r="O7704">
        <v>1</v>
      </c>
      <c r="AF7704" t="s">
        <v>15506</v>
      </c>
    </row>
    <row r="7705" spans="1:32" hidden="1" x14ac:dyDescent="0.35">
      <c r="A7705">
        <v>7704</v>
      </c>
      <c r="B7705" t="s">
        <v>15505</v>
      </c>
      <c r="C7705" t="s">
        <v>68</v>
      </c>
      <c r="D7705" t="s">
        <v>45</v>
      </c>
      <c r="E7705">
        <v>1764</v>
      </c>
      <c r="F7705">
        <v>2</v>
      </c>
      <c r="G7705">
        <v>2</v>
      </c>
      <c r="H7705">
        <v>1</v>
      </c>
      <c r="I7705">
        <v>0</v>
      </c>
      <c r="J7705">
        <v>1</v>
      </c>
      <c r="K7705">
        <v>1</v>
      </c>
      <c r="L7705">
        <v>1</v>
      </c>
      <c r="M7705">
        <v>1</v>
      </c>
      <c r="N7705">
        <v>1</v>
      </c>
      <c r="O7705">
        <v>1</v>
      </c>
      <c r="AF7705" t="s">
        <v>15506</v>
      </c>
    </row>
    <row r="7706" spans="1:32" hidden="1" x14ac:dyDescent="0.35">
      <c r="A7706">
        <v>7705</v>
      </c>
      <c r="B7706" t="s">
        <v>15507</v>
      </c>
      <c r="C7706" t="s">
        <v>68</v>
      </c>
      <c r="D7706" t="s">
        <v>60</v>
      </c>
      <c r="E7706">
        <v>2158</v>
      </c>
      <c r="F7706">
        <v>2</v>
      </c>
      <c r="G7706">
        <v>2</v>
      </c>
      <c r="H7706">
        <v>1</v>
      </c>
      <c r="I7706">
        <v>0</v>
      </c>
      <c r="J7706">
        <v>1</v>
      </c>
      <c r="K7706">
        <v>1</v>
      </c>
      <c r="L7706">
        <v>1</v>
      </c>
      <c r="M7706">
        <v>1</v>
      </c>
      <c r="N7706">
        <v>1</v>
      </c>
      <c r="O7706">
        <v>1</v>
      </c>
      <c r="P7706" t="s">
        <v>1057</v>
      </c>
      <c r="Q7706" t="s">
        <v>1058</v>
      </c>
      <c r="R7706" t="s">
        <v>319</v>
      </c>
      <c r="S7706" t="s">
        <v>320</v>
      </c>
      <c r="T7706" t="s">
        <v>4824</v>
      </c>
      <c r="U7706" t="s">
        <v>4825</v>
      </c>
      <c r="V7706" t="s">
        <v>4797</v>
      </c>
      <c r="W7706" t="s">
        <v>4798</v>
      </c>
      <c r="AD7706" t="s">
        <v>951</v>
      </c>
      <c r="AE7706" t="s">
        <v>4826</v>
      </c>
      <c r="AF7706" t="s">
        <v>15508</v>
      </c>
    </row>
    <row r="7707" spans="1:32" hidden="1" x14ac:dyDescent="0.35">
      <c r="A7707">
        <v>7706</v>
      </c>
      <c r="B7707" t="s">
        <v>15507</v>
      </c>
      <c r="C7707" t="s">
        <v>68</v>
      </c>
      <c r="D7707" t="s">
        <v>62</v>
      </c>
      <c r="E7707">
        <v>2192</v>
      </c>
      <c r="F7707">
        <v>2</v>
      </c>
      <c r="G7707">
        <v>2</v>
      </c>
      <c r="H7707">
        <v>1</v>
      </c>
      <c r="I7707">
        <v>0</v>
      </c>
      <c r="J7707">
        <v>1</v>
      </c>
      <c r="K7707">
        <v>1</v>
      </c>
      <c r="L7707">
        <v>1</v>
      </c>
      <c r="M7707">
        <v>1</v>
      </c>
      <c r="N7707">
        <v>1</v>
      </c>
      <c r="O7707">
        <v>1</v>
      </c>
      <c r="P7707" t="s">
        <v>1057</v>
      </c>
      <c r="Q7707" t="s">
        <v>1058</v>
      </c>
      <c r="R7707" t="s">
        <v>319</v>
      </c>
      <c r="S7707" t="s">
        <v>320</v>
      </c>
      <c r="T7707" t="s">
        <v>4824</v>
      </c>
      <c r="U7707" t="s">
        <v>4825</v>
      </c>
      <c r="V7707" t="s">
        <v>4797</v>
      </c>
      <c r="W7707" t="s">
        <v>4798</v>
      </c>
      <c r="AD7707" t="s">
        <v>951</v>
      </c>
      <c r="AE7707" t="s">
        <v>4826</v>
      </c>
      <c r="AF7707" t="s">
        <v>15508</v>
      </c>
    </row>
    <row r="7708" spans="1:32" hidden="1" x14ac:dyDescent="0.35">
      <c r="A7708">
        <v>7707</v>
      </c>
      <c r="B7708" t="s">
        <v>15509</v>
      </c>
      <c r="C7708" t="s">
        <v>68</v>
      </c>
      <c r="D7708" t="s">
        <v>34</v>
      </c>
      <c r="E7708">
        <v>1720</v>
      </c>
      <c r="F7708">
        <v>2</v>
      </c>
      <c r="G7708">
        <v>2</v>
      </c>
      <c r="H7708">
        <v>1</v>
      </c>
      <c r="I7708">
        <v>0</v>
      </c>
      <c r="J7708">
        <v>1</v>
      </c>
      <c r="K7708">
        <v>1</v>
      </c>
      <c r="L7708">
        <v>1</v>
      </c>
      <c r="M7708">
        <v>1</v>
      </c>
      <c r="N7708">
        <v>1</v>
      </c>
      <c r="O7708">
        <v>1</v>
      </c>
      <c r="R7708" t="s">
        <v>138</v>
      </c>
      <c r="S7708" t="s">
        <v>139</v>
      </c>
      <c r="T7708" t="s">
        <v>15510</v>
      </c>
      <c r="U7708" t="s">
        <v>15511</v>
      </c>
      <c r="V7708" t="s">
        <v>15512</v>
      </c>
      <c r="W7708" t="s">
        <v>15513</v>
      </c>
      <c r="AD7708" t="s">
        <v>14436</v>
      </c>
      <c r="AE7708" t="s">
        <v>15514</v>
      </c>
      <c r="AF7708" t="s">
        <v>15515</v>
      </c>
    </row>
    <row r="7709" spans="1:32" hidden="1" x14ac:dyDescent="0.35">
      <c r="A7709">
        <v>7708</v>
      </c>
      <c r="B7709" t="s">
        <v>15509</v>
      </c>
      <c r="C7709" t="s">
        <v>68</v>
      </c>
      <c r="D7709" t="s">
        <v>45</v>
      </c>
      <c r="E7709">
        <v>1154</v>
      </c>
      <c r="F7709">
        <v>2</v>
      </c>
      <c r="G7709">
        <v>2</v>
      </c>
      <c r="H7709">
        <v>1</v>
      </c>
      <c r="I7709">
        <v>0</v>
      </c>
      <c r="J7709">
        <v>1</v>
      </c>
      <c r="K7709">
        <v>1</v>
      </c>
      <c r="L7709">
        <v>1</v>
      </c>
      <c r="M7709">
        <v>1</v>
      </c>
      <c r="N7709">
        <v>1</v>
      </c>
      <c r="O7709">
        <v>1</v>
      </c>
      <c r="R7709" t="s">
        <v>138</v>
      </c>
      <c r="S7709" t="s">
        <v>139</v>
      </c>
      <c r="T7709" t="s">
        <v>15510</v>
      </c>
      <c r="U7709" t="s">
        <v>15511</v>
      </c>
      <c r="V7709" t="s">
        <v>15512</v>
      </c>
      <c r="W7709" t="s">
        <v>15513</v>
      </c>
      <c r="AD7709" t="s">
        <v>14436</v>
      </c>
      <c r="AE7709" t="s">
        <v>15514</v>
      </c>
      <c r="AF7709" t="s">
        <v>15515</v>
      </c>
    </row>
    <row r="7710" spans="1:32" hidden="1" x14ac:dyDescent="0.35">
      <c r="A7710">
        <v>7709</v>
      </c>
      <c r="B7710" t="s">
        <v>15516</v>
      </c>
      <c r="C7710" t="s">
        <v>68</v>
      </c>
      <c r="D7710" t="s">
        <v>60</v>
      </c>
      <c r="E7710">
        <v>714</v>
      </c>
      <c r="F7710">
        <v>2</v>
      </c>
      <c r="G7710">
        <v>2</v>
      </c>
      <c r="H7710">
        <v>1</v>
      </c>
      <c r="I7710">
        <v>0</v>
      </c>
      <c r="J7710">
        <v>1</v>
      </c>
      <c r="K7710">
        <v>1</v>
      </c>
      <c r="L7710">
        <v>1</v>
      </c>
      <c r="M7710">
        <v>1</v>
      </c>
      <c r="N7710">
        <v>1</v>
      </c>
      <c r="O7710">
        <v>1</v>
      </c>
      <c r="P7710" t="s">
        <v>2596</v>
      </c>
      <c r="Q7710" t="s">
        <v>2597</v>
      </c>
      <c r="R7710" t="s">
        <v>1102</v>
      </c>
      <c r="S7710" t="s">
        <v>1103</v>
      </c>
      <c r="V7710" t="s">
        <v>2600</v>
      </c>
      <c r="W7710" t="s">
        <v>2601</v>
      </c>
      <c r="X7710" t="s">
        <v>2600</v>
      </c>
      <c r="Y7710" t="s">
        <v>1108</v>
      </c>
      <c r="AF7710" t="s">
        <v>15517</v>
      </c>
    </row>
    <row r="7711" spans="1:32" hidden="1" x14ac:dyDescent="0.35">
      <c r="A7711">
        <v>7710</v>
      </c>
      <c r="B7711" t="s">
        <v>15516</v>
      </c>
      <c r="C7711" t="s">
        <v>68</v>
      </c>
      <c r="D7711" t="s">
        <v>62</v>
      </c>
      <c r="E7711">
        <v>745</v>
      </c>
      <c r="F7711">
        <v>2</v>
      </c>
      <c r="G7711">
        <v>2</v>
      </c>
      <c r="H7711">
        <v>1</v>
      </c>
      <c r="I7711">
        <v>0</v>
      </c>
      <c r="J7711">
        <v>1</v>
      </c>
      <c r="K7711">
        <v>1</v>
      </c>
      <c r="L7711">
        <v>1</v>
      </c>
      <c r="M7711">
        <v>1</v>
      </c>
      <c r="N7711">
        <v>1</v>
      </c>
      <c r="O7711">
        <v>1</v>
      </c>
      <c r="P7711" t="s">
        <v>2596</v>
      </c>
      <c r="Q7711" t="s">
        <v>2597</v>
      </c>
      <c r="R7711" t="s">
        <v>1102</v>
      </c>
      <c r="S7711" t="s">
        <v>1103</v>
      </c>
      <c r="V7711" t="s">
        <v>2600</v>
      </c>
      <c r="W7711" t="s">
        <v>2601</v>
      </c>
      <c r="X7711" t="s">
        <v>2600</v>
      </c>
      <c r="Y7711" t="s">
        <v>1108</v>
      </c>
      <c r="AF7711" t="s">
        <v>15517</v>
      </c>
    </row>
    <row r="7712" spans="1:32" hidden="1" x14ac:dyDescent="0.35">
      <c r="A7712">
        <v>7711</v>
      </c>
      <c r="B7712" t="s">
        <v>15518</v>
      </c>
      <c r="C7712" t="s">
        <v>68</v>
      </c>
      <c r="D7712" t="s">
        <v>60</v>
      </c>
      <c r="E7712">
        <v>946</v>
      </c>
      <c r="F7712">
        <v>2</v>
      </c>
      <c r="G7712">
        <v>2</v>
      </c>
      <c r="H7712">
        <v>1</v>
      </c>
      <c r="I7712">
        <v>0</v>
      </c>
      <c r="J7712">
        <v>1</v>
      </c>
      <c r="K7712">
        <v>1</v>
      </c>
      <c r="L7712">
        <v>1</v>
      </c>
      <c r="M7712">
        <v>1</v>
      </c>
      <c r="N7712">
        <v>1</v>
      </c>
      <c r="O7712">
        <v>1</v>
      </c>
      <c r="P7712" t="s">
        <v>15295</v>
      </c>
      <c r="Q7712" t="s">
        <v>15296</v>
      </c>
      <c r="R7712" t="s">
        <v>540</v>
      </c>
      <c r="S7712" t="s">
        <v>541</v>
      </c>
      <c r="T7712" t="s">
        <v>15519</v>
      </c>
      <c r="U7712" t="s">
        <v>15520</v>
      </c>
      <c r="V7712" t="s">
        <v>15299</v>
      </c>
      <c r="W7712" t="s">
        <v>15300</v>
      </c>
      <c r="AD7712" t="s">
        <v>1321</v>
      </c>
      <c r="AE7712" t="s">
        <v>1322</v>
      </c>
      <c r="AF7712" t="s">
        <v>15521</v>
      </c>
    </row>
    <row r="7713" spans="1:32" hidden="1" x14ac:dyDescent="0.35">
      <c r="A7713">
        <v>7712</v>
      </c>
      <c r="B7713" t="s">
        <v>15518</v>
      </c>
      <c r="C7713" t="s">
        <v>68</v>
      </c>
      <c r="D7713" t="s">
        <v>62</v>
      </c>
      <c r="E7713">
        <v>982</v>
      </c>
      <c r="F7713">
        <v>2</v>
      </c>
      <c r="G7713">
        <v>2</v>
      </c>
      <c r="H7713">
        <v>1</v>
      </c>
      <c r="I7713">
        <v>0</v>
      </c>
      <c r="J7713">
        <v>1</v>
      </c>
      <c r="K7713">
        <v>1</v>
      </c>
      <c r="L7713">
        <v>1</v>
      </c>
      <c r="M7713">
        <v>1</v>
      </c>
      <c r="N7713">
        <v>1</v>
      </c>
      <c r="O7713">
        <v>1</v>
      </c>
      <c r="P7713" t="s">
        <v>15295</v>
      </c>
      <c r="Q7713" t="s">
        <v>15296</v>
      </c>
      <c r="R7713" t="s">
        <v>540</v>
      </c>
      <c r="S7713" t="s">
        <v>541</v>
      </c>
      <c r="T7713" t="s">
        <v>15519</v>
      </c>
      <c r="U7713" t="s">
        <v>15520</v>
      </c>
      <c r="V7713" t="s">
        <v>15299</v>
      </c>
      <c r="W7713" t="s">
        <v>15300</v>
      </c>
      <c r="AD7713" t="s">
        <v>1321</v>
      </c>
      <c r="AE7713" t="s">
        <v>1322</v>
      </c>
      <c r="AF7713" t="s">
        <v>15521</v>
      </c>
    </row>
    <row r="7714" spans="1:32" hidden="1" x14ac:dyDescent="0.35">
      <c r="A7714">
        <v>7713</v>
      </c>
      <c r="B7714" t="s">
        <v>15522</v>
      </c>
      <c r="C7714" t="s">
        <v>68</v>
      </c>
      <c r="D7714" t="s">
        <v>60</v>
      </c>
      <c r="E7714">
        <v>2429</v>
      </c>
      <c r="F7714">
        <v>2</v>
      </c>
      <c r="G7714">
        <v>2</v>
      </c>
      <c r="H7714">
        <v>1</v>
      </c>
      <c r="I7714">
        <v>0</v>
      </c>
      <c r="J7714">
        <v>1</v>
      </c>
      <c r="K7714">
        <v>1</v>
      </c>
      <c r="L7714">
        <v>1</v>
      </c>
      <c r="M7714">
        <v>1</v>
      </c>
      <c r="N7714">
        <v>1</v>
      </c>
      <c r="O7714">
        <v>1</v>
      </c>
      <c r="P7714" t="s">
        <v>15523</v>
      </c>
      <c r="Q7714" t="s">
        <v>15524</v>
      </c>
      <c r="AF7714" t="s">
        <v>15525</v>
      </c>
    </row>
    <row r="7715" spans="1:32" hidden="1" x14ac:dyDescent="0.35">
      <c r="A7715">
        <v>7714</v>
      </c>
      <c r="B7715" t="s">
        <v>15522</v>
      </c>
      <c r="C7715" t="s">
        <v>68</v>
      </c>
      <c r="D7715" t="s">
        <v>62</v>
      </c>
      <c r="E7715">
        <v>2456</v>
      </c>
      <c r="F7715">
        <v>2</v>
      </c>
      <c r="G7715">
        <v>2</v>
      </c>
      <c r="H7715">
        <v>1</v>
      </c>
      <c r="I7715">
        <v>0</v>
      </c>
      <c r="J7715">
        <v>1</v>
      </c>
      <c r="K7715">
        <v>1</v>
      </c>
      <c r="L7715">
        <v>1</v>
      </c>
      <c r="M7715">
        <v>1</v>
      </c>
      <c r="N7715">
        <v>1</v>
      </c>
      <c r="O7715">
        <v>1</v>
      </c>
      <c r="P7715" t="s">
        <v>15523</v>
      </c>
      <c r="Q7715" t="s">
        <v>15524</v>
      </c>
      <c r="AF7715" t="s">
        <v>15525</v>
      </c>
    </row>
    <row r="7716" spans="1:32" hidden="1" x14ac:dyDescent="0.35">
      <c r="A7716">
        <v>7715</v>
      </c>
      <c r="B7716" t="s">
        <v>15526</v>
      </c>
      <c r="C7716" t="s">
        <v>68</v>
      </c>
      <c r="D7716" t="s">
        <v>60</v>
      </c>
      <c r="E7716">
        <v>1651</v>
      </c>
      <c r="F7716">
        <v>2</v>
      </c>
      <c r="G7716">
        <v>2</v>
      </c>
      <c r="H7716">
        <v>1</v>
      </c>
      <c r="I7716">
        <v>0</v>
      </c>
      <c r="J7716">
        <v>1</v>
      </c>
      <c r="K7716">
        <v>1</v>
      </c>
      <c r="L7716">
        <v>1</v>
      </c>
      <c r="M7716">
        <v>1</v>
      </c>
      <c r="N7716">
        <v>1</v>
      </c>
      <c r="O7716">
        <v>1</v>
      </c>
      <c r="P7716" t="s">
        <v>10923</v>
      </c>
      <c r="Q7716" t="s">
        <v>10924</v>
      </c>
      <c r="R7716" t="s">
        <v>75</v>
      </c>
      <c r="S7716" t="s">
        <v>76</v>
      </c>
      <c r="T7716" t="s">
        <v>12721</v>
      </c>
      <c r="U7716" t="s">
        <v>12722</v>
      </c>
      <c r="V7716" t="s">
        <v>12723</v>
      </c>
      <c r="W7716" t="s">
        <v>12724</v>
      </c>
      <c r="Z7716" t="s">
        <v>12725</v>
      </c>
      <c r="AA7716" t="s">
        <v>12726</v>
      </c>
      <c r="AB7716" t="s">
        <v>12725</v>
      </c>
      <c r="AC7716" t="s">
        <v>2395</v>
      </c>
      <c r="AD7716" t="s">
        <v>219</v>
      </c>
      <c r="AE7716" t="s">
        <v>12727</v>
      </c>
      <c r="AF7716" t="s">
        <v>15527</v>
      </c>
    </row>
    <row r="7717" spans="1:32" hidden="1" x14ac:dyDescent="0.35">
      <c r="A7717">
        <v>7716</v>
      </c>
      <c r="B7717" t="s">
        <v>15526</v>
      </c>
      <c r="C7717" t="s">
        <v>68</v>
      </c>
      <c r="D7717" t="s">
        <v>62</v>
      </c>
      <c r="E7717">
        <v>1686</v>
      </c>
      <c r="F7717">
        <v>2</v>
      </c>
      <c r="G7717">
        <v>2</v>
      </c>
      <c r="H7717">
        <v>1</v>
      </c>
      <c r="I7717">
        <v>0</v>
      </c>
      <c r="J7717">
        <v>1</v>
      </c>
      <c r="K7717">
        <v>1</v>
      </c>
      <c r="L7717">
        <v>1</v>
      </c>
      <c r="M7717">
        <v>1</v>
      </c>
      <c r="N7717">
        <v>1</v>
      </c>
      <c r="O7717">
        <v>1</v>
      </c>
      <c r="P7717" t="s">
        <v>10923</v>
      </c>
      <c r="Q7717" t="s">
        <v>10924</v>
      </c>
      <c r="R7717" t="s">
        <v>75</v>
      </c>
      <c r="S7717" t="s">
        <v>76</v>
      </c>
      <c r="T7717" t="s">
        <v>12721</v>
      </c>
      <c r="U7717" t="s">
        <v>12722</v>
      </c>
      <c r="V7717" t="s">
        <v>12723</v>
      </c>
      <c r="W7717" t="s">
        <v>12724</v>
      </c>
      <c r="Z7717" t="s">
        <v>12725</v>
      </c>
      <c r="AA7717" t="s">
        <v>12726</v>
      </c>
      <c r="AB7717" t="s">
        <v>12725</v>
      </c>
      <c r="AC7717" t="s">
        <v>2395</v>
      </c>
      <c r="AD7717" t="s">
        <v>219</v>
      </c>
      <c r="AE7717" t="s">
        <v>12727</v>
      </c>
      <c r="AF7717" t="s">
        <v>15527</v>
      </c>
    </row>
    <row r="7718" spans="1:32" hidden="1" x14ac:dyDescent="0.35">
      <c r="A7718">
        <v>7717</v>
      </c>
      <c r="B7718" t="s">
        <v>15528</v>
      </c>
      <c r="C7718" t="s">
        <v>68</v>
      </c>
      <c r="D7718" t="s">
        <v>34</v>
      </c>
      <c r="E7718">
        <v>1342</v>
      </c>
      <c r="F7718">
        <v>2</v>
      </c>
      <c r="G7718">
        <v>2</v>
      </c>
      <c r="H7718">
        <v>1</v>
      </c>
      <c r="I7718">
        <v>0</v>
      </c>
      <c r="J7718">
        <v>1</v>
      </c>
      <c r="K7718">
        <v>1</v>
      </c>
      <c r="L7718">
        <v>1</v>
      </c>
      <c r="M7718">
        <v>1</v>
      </c>
      <c r="N7718">
        <v>1</v>
      </c>
      <c r="O7718">
        <v>1</v>
      </c>
      <c r="P7718" t="s">
        <v>1486</v>
      </c>
      <c r="Q7718" t="s">
        <v>1487</v>
      </c>
      <c r="R7718" t="s">
        <v>113</v>
      </c>
      <c r="S7718" t="s">
        <v>114</v>
      </c>
      <c r="V7718" t="s">
        <v>1490</v>
      </c>
      <c r="W7718" t="s">
        <v>1491</v>
      </c>
      <c r="AF7718" t="s">
        <v>15529</v>
      </c>
    </row>
    <row r="7719" spans="1:32" hidden="1" x14ac:dyDescent="0.35">
      <c r="A7719">
        <v>7718</v>
      </c>
      <c r="B7719" t="s">
        <v>15528</v>
      </c>
      <c r="C7719" t="s">
        <v>68</v>
      </c>
      <c r="D7719" t="s">
        <v>45</v>
      </c>
      <c r="E7719">
        <v>93</v>
      </c>
      <c r="F7719">
        <v>2</v>
      </c>
      <c r="G7719">
        <v>2</v>
      </c>
      <c r="H7719">
        <v>1</v>
      </c>
      <c r="I7719">
        <v>0</v>
      </c>
      <c r="J7719">
        <v>1</v>
      </c>
      <c r="K7719">
        <v>1</v>
      </c>
      <c r="L7719">
        <v>1</v>
      </c>
      <c r="M7719">
        <v>1</v>
      </c>
      <c r="N7719">
        <v>1</v>
      </c>
      <c r="O7719">
        <v>1</v>
      </c>
      <c r="P7719" t="s">
        <v>1486</v>
      </c>
      <c r="Q7719" t="s">
        <v>1487</v>
      </c>
      <c r="R7719" t="s">
        <v>113</v>
      </c>
      <c r="S7719" t="s">
        <v>114</v>
      </c>
      <c r="V7719" t="s">
        <v>1490</v>
      </c>
      <c r="W7719" t="s">
        <v>1491</v>
      </c>
      <c r="AF7719" t="s">
        <v>15529</v>
      </c>
    </row>
    <row r="7720" spans="1:32" hidden="1" x14ac:dyDescent="0.35">
      <c r="A7720">
        <v>7719</v>
      </c>
      <c r="B7720" t="s">
        <v>15530</v>
      </c>
      <c r="C7720" t="s">
        <v>68</v>
      </c>
      <c r="D7720" t="s">
        <v>34</v>
      </c>
      <c r="E7720">
        <v>1449</v>
      </c>
      <c r="F7720">
        <v>2</v>
      </c>
      <c r="G7720">
        <v>2</v>
      </c>
      <c r="H7720">
        <v>1</v>
      </c>
      <c r="I7720">
        <v>0</v>
      </c>
      <c r="J7720">
        <v>1</v>
      </c>
      <c r="K7720">
        <v>1</v>
      </c>
      <c r="L7720">
        <v>1</v>
      </c>
      <c r="M7720">
        <v>1</v>
      </c>
      <c r="N7720">
        <v>1</v>
      </c>
      <c r="O7720">
        <v>1</v>
      </c>
      <c r="AF7720" t="s">
        <v>15531</v>
      </c>
    </row>
    <row r="7721" spans="1:32" hidden="1" x14ac:dyDescent="0.35">
      <c r="A7721">
        <v>7720</v>
      </c>
      <c r="B7721" t="s">
        <v>15530</v>
      </c>
      <c r="C7721" t="s">
        <v>68</v>
      </c>
      <c r="D7721" t="s">
        <v>45</v>
      </c>
      <c r="E7721">
        <v>200</v>
      </c>
      <c r="F7721">
        <v>2</v>
      </c>
      <c r="G7721">
        <v>2</v>
      </c>
      <c r="H7721">
        <v>1</v>
      </c>
      <c r="I7721">
        <v>0</v>
      </c>
      <c r="J7721">
        <v>1</v>
      </c>
      <c r="K7721">
        <v>1</v>
      </c>
      <c r="L7721">
        <v>1</v>
      </c>
      <c r="M7721">
        <v>1</v>
      </c>
      <c r="N7721">
        <v>1</v>
      </c>
      <c r="O7721">
        <v>1</v>
      </c>
      <c r="AF7721" t="s">
        <v>15531</v>
      </c>
    </row>
    <row r="7722" spans="1:32" hidden="1" x14ac:dyDescent="0.35">
      <c r="A7722">
        <v>7721</v>
      </c>
      <c r="B7722" t="s">
        <v>15532</v>
      </c>
      <c r="C7722" t="s">
        <v>68</v>
      </c>
      <c r="D7722" t="s">
        <v>60</v>
      </c>
      <c r="E7722">
        <v>1324</v>
      </c>
      <c r="F7722">
        <v>2</v>
      </c>
      <c r="G7722">
        <v>2</v>
      </c>
      <c r="H7722">
        <v>1</v>
      </c>
      <c r="I7722">
        <v>0</v>
      </c>
      <c r="J7722">
        <v>1</v>
      </c>
      <c r="K7722">
        <v>1</v>
      </c>
      <c r="L7722">
        <v>1</v>
      </c>
      <c r="M7722">
        <v>1</v>
      </c>
      <c r="N7722">
        <v>1</v>
      </c>
      <c r="O7722">
        <v>1</v>
      </c>
      <c r="AF7722" t="s">
        <v>15533</v>
      </c>
    </row>
    <row r="7723" spans="1:32" hidden="1" x14ac:dyDescent="0.35">
      <c r="A7723">
        <v>7722</v>
      </c>
      <c r="B7723" t="s">
        <v>15532</v>
      </c>
      <c r="C7723" t="s">
        <v>68</v>
      </c>
      <c r="D7723" t="s">
        <v>62</v>
      </c>
      <c r="E7723">
        <v>1360</v>
      </c>
      <c r="F7723">
        <v>2</v>
      </c>
      <c r="G7723">
        <v>2</v>
      </c>
      <c r="H7723">
        <v>1</v>
      </c>
      <c r="I7723">
        <v>0</v>
      </c>
      <c r="J7723">
        <v>1</v>
      </c>
      <c r="K7723">
        <v>1</v>
      </c>
      <c r="L7723">
        <v>1</v>
      </c>
      <c r="M7723">
        <v>1</v>
      </c>
      <c r="N7723">
        <v>1</v>
      </c>
      <c r="O7723">
        <v>1</v>
      </c>
      <c r="AF7723" t="s">
        <v>15533</v>
      </c>
    </row>
    <row r="7724" spans="1:32" hidden="1" x14ac:dyDescent="0.35">
      <c r="A7724">
        <v>7723</v>
      </c>
      <c r="B7724" t="s">
        <v>15534</v>
      </c>
      <c r="C7724" t="s">
        <v>68</v>
      </c>
      <c r="D7724" t="s">
        <v>60</v>
      </c>
      <c r="E7724">
        <v>278</v>
      </c>
      <c r="F7724">
        <v>2</v>
      </c>
      <c r="G7724">
        <v>2</v>
      </c>
      <c r="H7724">
        <v>1</v>
      </c>
      <c r="I7724">
        <v>0</v>
      </c>
      <c r="J7724">
        <v>1</v>
      </c>
      <c r="K7724">
        <v>1</v>
      </c>
      <c r="L7724">
        <v>1</v>
      </c>
      <c r="M7724">
        <v>1</v>
      </c>
      <c r="N7724">
        <v>1</v>
      </c>
      <c r="O7724">
        <v>1</v>
      </c>
      <c r="P7724" t="s">
        <v>10471</v>
      </c>
      <c r="Q7724" t="s">
        <v>1037</v>
      </c>
      <c r="R7724" t="s">
        <v>138</v>
      </c>
      <c r="S7724" t="s">
        <v>139</v>
      </c>
      <c r="T7724" t="s">
        <v>15535</v>
      </c>
      <c r="U7724" t="s">
        <v>15314</v>
      </c>
      <c r="V7724" t="s">
        <v>15315</v>
      </c>
      <c r="W7724" t="s">
        <v>15316</v>
      </c>
      <c r="AD7724" t="s">
        <v>439</v>
      </c>
      <c r="AE7724" t="s">
        <v>10862</v>
      </c>
      <c r="AF7724" t="s">
        <v>15536</v>
      </c>
    </row>
    <row r="7725" spans="1:32" hidden="1" x14ac:dyDescent="0.35">
      <c r="A7725">
        <v>7724</v>
      </c>
      <c r="B7725" t="s">
        <v>15534</v>
      </c>
      <c r="C7725" t="s">
        <v>68</v>
      </c>
      <c r="D7725" t="s">
        <v>62</v>
      </c>
      <c r="E7725">
        <v>356</v>
      </c>
      <c r="F7725">
        <v>2</v>
      </c>
      <c r="G7725">
        <v>2</v>
      </c>
      <c r="H7725">
        <v>1</v>
      </c>
      <c r="I7725">
        <v>0</v>
      </c>
      <c r="J7725">
        <v>1</v>
      </c>
      <c r="K7725">
        <v>1</v>
      </c>
      <c r="L7725">
        <v>1</v>
      </c>
      <c r="M7725">
        <v>1</v>
      </c>
      <c r="N7725">
        <v>1</v>
      </c>
      <c r="O7725">
        <v>1</v>
      </c>
      <c r="P7725" t="s">
        <v>10471</v>
      </c>
      <c r="Q7725" t="s">
        <v>1037</v>
      </c>
      <c r="R7725" t="s">
        <v>138</v>
      </c>
      <c r="S7725" t="s">
        <v>139</v>
      </c>
      <c r="T7725" t="s">
        <v>15535</v>
      </c>
      <c r="U7725" t="s">
        <v>15314</v>
      </c>
      <c r="V7725" t="s">
        <v>15315</v>
      </c>
      <c r="W7725" t="s">
        <v>15316</v>
      </c>
      <c r="AD7725" t="s">
        <v>439</v>
      </c>
      <c r="AE7725" t="s">
        <v>10862</v>
      </c>
      <c r="AF7725" t="s">
        <v>15536</v>
      </c>
    </row>
    <row r="7726" spans="1:32" hidden="1" x14ac:dyDescent="0.35">
      <c r="A7726">
        <v>7725</v>
      </c>
      <c r="B7726" t="s">
        <v>15537</v>
      </c>
      <c r="C7726" t="s">
        <v>68</v>
      </c>
      <c r="D7726" t="s">
        <v>34</v>
      </c>
      <c r="E7726">
        <v>427</v>
      </c>
      <c r="F7726">
        <v>2</v>
      </c>
      <c r="G7726">
        <v>2</v>
      </c>
      <c r="H7726">
        <v>1</v>
      </c>
      <c r="I7726">
        <v>0</v>
      </c>
      <c r="J7726">
        <v>1</v>
      </c>
      <c r="K7726">
        <v>1</v>
      </c>
      <c r="L7726">
        <v>1</v>
      </c>
      <c r="M7726">
        <v>1</v>
      </c>
      <c r="N7726">
        <v>1</v>
      </c>
      <c r="O7726">
        <v>1</v>
      </c>
      <c r="P7726" t="s">
        <v>13841</v>
      </c>
      <c r="Q7726" t="s">
        <v>13842</v>
      </c>
      <c r="AF7726" t="s">
        <v>15538</v>
      </c>
    </row>
    <row r="7727" spans="1:32" hidden="1" x14ac:dyDescent="0.35">
      <c r="A7727">
        <v>7726</v>
      </c>
      <c r="B7727" t="s">
        <v>15537</v>
      </c>
      <c r="C7727" t="s">
        <v>68</v>
      </c>
      <c r="D7727" t="s">
        <v>45</v>
      </c>
      <c r="E7727">
        <v>1689</v>
      </c>
      <c r="F7727">
        <v>2</v>
      </c>
      <c r="G7727">
        <v>2</v>
      </c>
      <c r="H7727">
        <v>1</v>
      </c>
      <c r="I7727">
        <v>0</v>
      </c>
      <c r="J7727">
        <v>1</v>
      </c>
      <c r="K7727">
        <v>1</v>
      </c>
      <c r="L7727">
        <v>1</v>
      </c>
      <c r="M7727">
        <v>1</v>
      </c>
      <c r="N7727">
        <v>1</v>
      </c>
      <c r="O7727">
        <v>1</v>
      </c>
      <c r="P7727" t="s">
        <v>13841</v>
      </c>
      <c r="Q7727" t="s">
        <v>13842</v>
      </c>
      <c r="AF7727" t="s">
        <v>15538</v>
      </c>
    </row>
    <row r="7728" spans="1:32" hidden="1" x14ac:dyDescent="0.35">
      <c r="A7728">
        <v>7727</v>
      </c>
      <c r="B7728" t="s">
        <v>15539</v>
      </c>
      <c r="C7728" t="s">
        <v>68</v>
      </c>
      <c r="D7728" t="s">
        <v>34</v>
      </c>
      <c r="E7728">
        <v>843</v>
      </c>
      <c r="F7728">
        <v>2</v>
      </c>
      <c r="G7728">
        <v>2</v>
      </c>
      <c r="H7728">
        <v>1</v>
      </c>
      <c r="I7728">
        <v>0</v>
      </c>
      <c r="J7728">
        <v>1</v>
      </c>
      <c r="K7728">
        <v>1</v>
      </c>
      <c r="L7728">
        <v>1</v>
      </c>
      <c r="M7728">
        <v>1</v>
      </c>
      <c r="N7728">
        <v>1</v>
      </c>
      <c r="O7728">
        <v>1</v>
      </c>
      <c r="AF7728" t="s">
        <v>15540</v>
      </c>
    </row>
    <row r="7729" spans="1:32" hidden="1" x14ac:dyDescent="0.35">
      <c r="A7729">
        <v>7728</v>
      </c>
      <c r="B7729" t="s">
        <v>15539</v>
      </c>
      <c r="C7729" t="s">
        <v>68</v>
      </c>
      <c r="D7729" t="s">
        <v>45</v>
      </c>
      <c r="E7729">
        <v>2100</v>
      </c>
      <c r="F7729">
        <v>2</v>
      </c>
      <c r="G7729">
        <v>2</v>
      </c>
      <c r="H7729">
        <v>1</v>
      </c>
      <c r="I7729">
        <v>0</v>
      </c>
      <c r="J7729">
        <v>1</v>
      </c>
      <c r="K7729">
        <v>1</v>
      </c>
      <c r="L7729">
        <v>1</v>
      </c>
      <c r="M7729">
        <v>1</v>
      </c>
      <c r="N7729">
        <v>1</v>
      </c>
      <c r="O7729">
        <v>1</v>
      </c>
      <c r="AF7729" t="s">
        <v>15540</v>
      </c>
    </row>
    <row r="7730" spans="1:32" hidden="1" x14ac:dyDescent="0.35">
      <c r="A7730">
        <v>7729</v>
      </c>
      <c r="B7730" t="s">
        <v>15541</v>
      </c>
      <c r="C7730" t="s">
        <v>68</v>
      </c>
      <c r="D7730" t="s">
        <v>60</v>
      </c>
      <c r="E7730">
        <v>1112</v>
      </c>
      <c r="F7730">
        <v>2</v>
      </c>
      <c r="G7730">
        <v>2</v>
      </c>
      <c r="H7730">
        <v>1</v>
      </c>
      <c r="I7730">
        <v>0</v>
      </c>
      <c r="J7730">
        <v>1</v>
      </c>
      <c r="K7730">
        <v>1</v>
      </c>
      <c r="L7730">
        <v>1</v>
      </c>
      <c r="M7730">
        <v>1</v>
      </c>
      <c r="N7730">
        <v>1</v>
      </c>
      <c r="O7730">
        <v>1</v>
      </c>
      <c r="P7730" t="s">
        <v>15542</v>
      </c>
      <c r="Q7730" t="s">
        <v>15543</v>
      </c>
      <c r="R7730" t="s">
        <v>96</v>
      </c>
      <c r="S7730" t="s">
        <v>97</v>
      </c>
      <c r="V7730" t="s">
        <v>15544</v>
      </c>
      <c r="W7730" t="s">
        <v>15545</v>
      </c>
      <c r="AF7730" t="s">
        <v>15546</v>
      </c>
    </row>
    <row r="7731" spans="1:32" hidden="1" x14ac:dyDescent="0.35">
      <c r="A7731">
        <v>7730</v>
      </c>
      <c r="B7731" t="s">
        <v>15541</v>
      </c>
      <c r="C7731" t="s">
        <v>68</v>
      </c>
      <c r="D7731" t="s">
        <v>62</v>
      </c>
      <c r="E7731">
        <v>1148</v>
      </c>
      <c r="F7731">
        <v>2</v>
      </c>
      <c r="G7731">
        <v>2</v>
      </c>
      <c r="H7731">
        <v>1</v>
      </c>
      <c r="I7731">
        <v>0</v>
      </c>
      <c r="J7731">
        <v>1</v>
      </c>
      <c r="K7731">
        <v>1</v>
      </c>
      <c r="L7731">
        <v>1</v>
      </c>
      <c r="M7731">
        <v>1</v>
      </c>
      <c r="N7731">
        <v>1</v>
      </c>
      <c r="O7731">
        <v>1</v>
      </c>
      <c r="P7731" t="s">
        <v>15542</v>
      </c>
      <c r="Q7731" t="s">
        <v>15543</v>
      </c>
      <c r="R7731" t="s">
        <v>96</v>
      </c>
      <c r="S7731" t="s">
        <v>97</v>
      </c>
      <c r="V7731" t="s">
        <v>15544</v>
      </c>
      <c r="W7731" t="s">
        <v>15545</v>
      </c>
      <c r="AF7731" t="s">
        <v>15546</v>
      </c>
    </row>
    <row r="7732" spans="1:32" hidden="1" x14ac:dyDescent="0.35">
      <c r="A7732">
        <v>7731</v>
      </c>
      <c r="B7732" t="s">
        <v>15547</v>
      </c>
      <c r="C7732" t="s">
        <v>68</v>
      </c>
      <c r="D7732" t="s">
        <v>60</v>
      </c>
      <c r="E7732">
        <v>2402</v>
      </c>
      <c r="F7732">
        <v>2</v>
      </c>
      <c r="G7732">
        <v>2</v>
      </c>
      <c r="H7732">
        <v>1</v>
      </c>
      <c r="I7732">
        <v>0</v>
      </c>
      <c r="J7732">
        <v>1</v>
      </c>
      <c r="K7732">
        <v>1</v>
      </c>
      <c r="L7732">
        <v>1</v>
      </c>
      <c r="M7732">
        <v>1</v>
      </c>
      <c r="N7732">
        <v>1</v>
      </c>
      <c r="O7732">
        <v>1</v>
      </c>
      <c r="P7732" t="s">
        <v>15548</v>
      </c>
      <c r="Q7732" t="s">
        <v>15549</v>
      </c>
      <c r="AF7732" t="s">
        <v>15550</v>
      </c>
    </row>
    <row r="7733" spans="1:32" hidden="1" x14ac:dyDescent="0.35">
      <c r="A7733">
        <v>7732</v>
      </c>
      <c r="B7733" t="s">
        <v>15547</v>
      </c>
      <c r="C7733" t="s">
        <v>68</v>
      </c>
      <c r="D7733" t="s">
        <v>62</v>
      </c>
      <c r="E7733">
        <v>2429</v>
      </c>
      <c r="F7733">
        <v>2</v>
      </c>
      <c r="G7733">
        <v>2</v>
      </c>
      <c r="H7733">
        <v>1</v>
      </c>
      <c r="I7733">
        <v>0</v>
      </c>
      <c r="J7733">
        <v>1</v>
      </c>
      <c r="K7733">
        <v>1</v>
      </c>
      <c r="L7733">
        <v>1</v>
      </c>
      <c r="M7733">
        <v>1</v>
      </c>
      <c r="N7733">
        <v>1</v>
      </c>
      <c r="O7733">
        <v>1</v>
      </c>
      <c r="P7733" t="s">
        <v>15548</v>
      </c>
      <c r="Q7733" t="s">
        <v>15549</v>
      </c>
      <c r="AF7733" t="s">
        <v>15550</v>
      </c>
    </row>
    <row r="7734" spans="1:32" hidden="1" x14ac:dyDescent="0.35">
      <c r="A7734">
        <v>7733</v>
      </c>
      <c r="B7734" t="s">
        <v>15551</v>
      </c>
      <c r="C7734" t="s">
        <v>68</v>
      </c>
      <c r="D7734" t="s">
        <v>60</v>
      </c>
      <c r="E7734">
        <v>441</v>
      </c>
      <c r="F7734">
        <v>2</v>
      </c>
      <c r="G7734">
        <v>2</v>
      </c>
      <c r="H7734">
        <v>1</v>
      </c>
      <c r="I7734">
        <v>0</v>
      </c>
      <c r="J7734">
        <v>1</v>
      </c>
      <c r="K7734">
        <v>1</v>
      </c>
      <c r="L7734">
        <v>1</v>
      </c>
      <c r="M7734">
        <v>1</v>
      </c>
      <c r="N7734">
        <v>1</v>
      </c>
      <c r="O7734">
        <v>1</v>
      </c>
      <c r="P7734" t="s">
        <v>13559</v>
      </c>
      <c r="Q7734" t="s">
        <v>13560</v>
      </c>
      <c r="T7734" t="s">
        <v>13561</v>
      </c>
      <c r="U7734" t="s">
        <v>13562</v>
      </c>
      <c r="AD7734" t="s">
        <v>4789</v>
      </c>
      <c r="AE7734" t="s">
        <v>4790</v>
      </c>
      <c r="AF7734" t="s">
        <v>15552</v>
      </c>
    </row>
    <row r="7735" spans="1:32" hidden="1" x14ac:dyDescent="0.35">
      <c r="A7735">
        <v>7734</v>
      </c>
      <c r="B7735" t="s">
        <v>15551</v>
      </c>
      <c r="C7735" t="s">
        <v>68</v>
      </c>
      <c r="D7735" t="s">
        <v>62</v>
      </c>
      <c r="E7735">
        <v>522</v>
      </c>
      <c r="F7735">
        <v>2</v>
      </c>
      <c r="G7735">
        <v>2</v>
      </c>
      <c r="H7735">
        <v>1</v>
      </c>
      <c r="I7735">
        <v>0</v>
      </c>
      <c r="J7735">
        <v>1</v>
      </c>
      <c r="K7735">
        <v>1</v>
      </c>
      <c r="L7735">
        <v>1</v>
      </c>
      <c r="M7735">
        <v>1</v>
      </c>
      <c r="N7735">
        <v>1</v>
      </c>
      <c r="O7735">
        <v>1</v>
      </c>
      <c r="P7735" t="s">
        <v>13559</v>
      </c>
      <c r="Q7735" t="s">
        <v>13560</v>
      </c>
      <c r="T7735" t="s">
        <v>13561</v>
      </c>
      <c r="U7735" t="s">
        <v>13562</v>
      </c>
      <c r="AD7735" t="s">
        <v>4789</v>
      </c>
      <c r="AE7735" t="s">
        <v>4790</v>
      </c>
      <c r="AF7735" t="s">
        <v>15552</v>
      </c>
    </row>
    <row r="7736" spans="1:32" hidden="1" x14ac:dyDescent="0.35">
      <c r="A7736">
        <v>7735</v>
      </c>
      <c r="B7736" t="s">
        <v>15553</v>
      </c>
      <c r="C7736" t="s">
        <v>68</v>
      </c>
      <c r="D7736" t="s">
        <v>60</v>
      </c>
      <c r="E7736">
        <v>2210</v>
      </c>
      <c r="F7736">
        <v>2</v>
      </c>
      <c r="G7736">
        <v>2</v>
      </c>
      <c r="H7736">
        <v>1</v>
      </c>
      <c r="I7736">
        <v>0</v>
      </c>
      <c r="J7736">
        <v>1</v>
      </c>
      <c r="K7736">
        <v>1</v>
      </c>
      <c r="L7736">
        <v>1</v>
      </c>
      <c r="M7736">
        <v>1</v>
      </c>
      <c r="N7736">
        <v>1</v>
      </c>
      <c r="O7736">
        <v>1</v>
      </c>
      <c r="P7736" t="s">
        <v>15554</v>
      </c>
      <c r="Q7736" t="s">
        <v>15555</v>
      </c>
      <c r="T7736" t="s">
        <v>15556</v>
      </c>
      <c r="U7736" t="s">
        <v>9243</v>
      </c>
      <c r="AD7736" t="s">
        <v>166</v>
      </c>
      <c r="AE7736" t="s">
        <v>10202</v>
      </c>
      <c r="AF7736" t="s">
        <v>15557</v>
      </c>
    </row>
    <row r="7737" spans="1:32" hidden="1" x14ac:dyDescent="0.35">
      <c r="A7737">
        <v>7736</v>
      </c>
      <c r="B7737" t="s">
        <v>15553</v>
      </c>
      <c r="C7737" t="s">
        <v>68</v>
      </c>
      <c r="D7737" t="s">
        <v>62</v>
      </c>
      <c r="E7737">
        <v>2242</v>
      </c>
      <c r="F7737">
        <v>2</v>
      </c>
      <c r="G7737">
        <v>2</v>
      </c>
      <c r="H7737">
        <v>1</v>
      </c>
      <c r="I7737">
        <v>0</v>
      </c>
      <c r="J7737">
        <v>1</v>
      </c>
      <c r="K7737">
        <v>1</v>
      </c>
      <c r="L7737">
        <v>1</v>
      </c>
      <c r="M7737">
        <v>1</v>
      </c>
      <c r="N7737">
        <v>1</v>
      </c>
      <c r="O7737">
        <v>1</v>
      </c>
      <c r="P7737" t="s">
        <v>15554</v>
      </c>
      <c r="Q7737" t="s">
        <v>15555</v>
      </c>
      <c r="T7737" t="s">
        <v>15556</v>
      </c>
      <c r="U7737" t="s">
        <v>9243</v>
      </c>
      <c r="AD7737" t="s">
        <v>166</v>
      </c>
      <c r="AE7737" t="s">
        <v>10202</v>
      </c>
      <c r="AF7737" t="s">
        <v>15557</v>
      </c>
    </row>
    <row r="7738" spans="1:32" hidden="1" x14ac:dyDescent="0.35">
      <c r="A7738">
        <v>7737</v>
      </c>
      <c r="B7738" t="s">
        <v>15558</v>
      </c>
      <c r="C7738" t="s">
        <v>68</v>
      </c>
      <c r="D7738" t="s">
        <v>60</v>
      </c>
      <c r="E7738">
        <v>2458</v>
      </c>
      <c r="F7738">
        <v>2</v>
      </c>
      <c r="G7738">
        <v>2</v>
      </c>
      <c r="H7738">
        <v>1</v>
      </c>
      <c r="I7738">
        <v>0</v>
      </c>
      <c r="J7738">
        <v>1</v>
      </c>
      <c r="K7738">
        <v>1</v>
      </c>
      <c r="L7738">
        <v>1</v>
      </c>
      <c r="M7738">
        <v>1</v>
      </c>
      <c r="N7738">
        <v>1</v>
      </c>
      <c r="O7738">
        <v>1</v>
      </c>
      <c r="P7738" t="s">
        <v>13777</v>
      </c>
      <c r="Q7738" t="s">
        <v>13778</v>
      </c>
      <c r="T7738" t="s">
        <v>13779</v>
      </c>
      <c r="U7738" t="s">
        <v>13780</v>
      </c>
      <c r="AD7738" t="s">
        <v>1480</v>
      </c>
      <c r="AE7738" t="s">
        <v>13781</v>
      </c>
      <c r="AF7738" t="s">
        <v>15559</v>
      </c>
    </row>
    <row r="7739" spans="1:32" hidden="1" x14ac:dyDescent="0.35">
      <c r="A7739">
        <v>7738</v>
      </c>
      <c r="B7739" t="s">
        <v>15558</v>
      </c>
      <c r="C7739" t="s">
        <v>68</v>
      </c>
      <c r="D7739" t="s">
        <v>62</v>
      </c>
      <c r="E7739">
        <v>2484</v>
      </c>
      <c r="F7739">
        <v>2</v>
      </c>
      <c r="G7739">
        <v>2</v>
      </c>
      <c r="H7739">
        <v>1</v>
      </c>
      <c r="I7739">
        <v>0</v>
      </c>
      <c r="J7739">
        <v>1</v>
      </c>
      <c r="K7739">
        <v>1</v>
      </c>
      <c r="L7739">
        <v>1</v>
      </c>
      <c r="M7739">
        <v>1</v>
      </c>
      <c r="N7739">
        <v>1</v>
      </c>
      <c r="O7739">
        <v>1</v>
      </c>
      <c r="P7739" t="s">
        <v>13777</v>
      </c>
      <c r="Q7739" t="s">
        <v>13778</v>
      </c>
      <c r="T7739" t="s">
        <v>13779</v>
      </c>
      <c r="U7739" t="s">
        <v>13780</v>
      </c>
      <c r="AD7739" t="s">
        <v>1480</v>
      </c>
      <c r="AE7739" t="s">
        <v>13781</v>
      </c>
      <c r="AF7739" t="s">
        <v>15559</v>
      </c>
    </row>
    <row r="7740" spans="1:32" hidden="1" x14ac:dyDescent="0.35">
      <c r="A7740">
        <v>7739</v>
      </c>
      <c r="B7740" t="s">
        <v>15560</v>
      </c>
      <c r="C7740" t="s">
        <v>68</v>
      </c>
      <c r="D7740" t="s">
        <v>60</v>
      </c>
      <c r="E7740">
        <v>2191</v>
      </c>
      <c r="F7740">
        <v>2</v>
      </c>
      <c r="G7740">
        <v>2</v>
      </c>
      <c r="H7740">
        <v>1</v>
      </c>
      <c r="I7740">
        <v>0</v>
      </c>
      <c r="J7740">
        <v>1</v>
      </c>
      <c r="K7740">
        <v>1</v>
      </c>
      <c r="L7740">
        <v>1</v>
      </c>
      <c r="M7740">
        <v>1</v>
      </c>
      <c r="N7740">
        <v>1</v>
      </c>
      <c r="O7740">
        <v>1</v>
      </c>
      <c r="P7740" t="s">
        <v>15561</v>
      </c>
      <c r="Q7740" t="s">
        <v>15562</v>
      </c>
      <c r="R7740" t="s">
        <v>342</v>
      </c>
      <c r="S7740" t="s">
        <v>343</v>
      </c>
      <c r="T7740" t="s">
        <v>15563</v>
      </c>
      <c r="U7740" t="s">
        <v>15564</v>
      </c>
      <c r="V7740" t="s">
        <v>15565</v>
      </c>
      <c r="W7740" t="s">
        <v>15566</v>
      </c>
      <c r="AD7740" t="s">
        <v>326</v>
      </c>
      <c r="AE7740" t="s">
        <v>15567</v>
      </c>
      <c r="AF7740" t="s">
        <v>15568</v>
      </c>
    </row>
    <row r="7741" spans="1:32" hidden="1" x14ac:dyDescent="0.35">
      <c r="A7741">
        <v>7740</v>
      </c>
      <c r="B7741" t="s">
        <v>15560</v>
      </c>
      <c r="C7741" t="s">
        <v>68</v>
      </c>
      <c r="D7741" t="s">
        <v>62</v>
      </c>
      <c r="E7741">
        <v>2225</v>
      </c>
      <c r="F7741">
        <v>2</v>
      </c>
      <c r="G7741">
        <v>2</v>
      </c>
      <c r="H7741">
        <v>1</v>
      </c>
      <c r="I7741">
        <v>0</v>
      </c>
      <c r="J7741">
        <v>1</v>
      </c>
      <c r="K7741">
        <v>1</v>
      </c>
      <c r="L7741">
        <v>1</v>
      </c>
      <c r="M7741">
        <v>1</v>
      </c>
      <c r="N7741">
        <v>1</v>
      </c>
      <c r="O7741">
        <v>1</v>
      </c>
      <c r="P7741" t="s">
        <v>15561</v>
      </c>
      <c r="Q7741" t="s">
        <v>15562</v>
      </c>
      <c r="R7741" t="s">
        <v>342</v>
      </c>
      <c r="S7741" t="s">
        <v>343</v>
      </c>
      <c r="T7741" t="s">
        <v>15563</v>
      </c>
      <c r="U7741" t="s">
        <v>15564</v>
      </c>
      <c r="V7741" t="s">
        <v>15565</v>
      </c>
      <c r="W7741" t="s">
        <v>15566</v>
      </c>
      <c r="AD7741" t="s">
        <v>326</v>
      </c>
      <c r="AE7741" t="s">
        <v>15567</v>
      </c>
      <c r="AF7741" t="s">
        <v>15568</v>
      </c>
    </row>
    <row r="7742" spans="1:32" hidden="1" x14ac:dyDescent="0.35">
      <c r="A7742">
        <v>7741</v>
      </c>
      <c r="B7742" t="s">
        <v>15569</v>
      </c>
      <c r="C7742" t="s">
        <v>68</v>
      </c>
      <c r="D7742" t="s">
        <v>60</v>
      </c>
      <c r="E7742">
        <v>1745</v>
      </c>
      <c r="F7742">
        <v>2</v>
      </c>
      <c r="G7742">
        <v>2</v>
      </c>
      <c r="H7742">
        <v>1</v>
      </c>
      <c r="I7742">
        <v>0</v>
      </c>
      <c r="J7742">
        <v>1</v>
      </c>
      <c r="K7742">
        <v>1</v>
      </c>
      <c r="L7742">
        <v>1</v>
      </c>
      <c r="M7742">
        <v>1</v>
      </c>
      <c r="N7742">
        <v>1</v>
      </c>
      <c r="O7742">
        <v>1</v>
      </c>
      <c r="P7742" t="s">
        <v>15570</v>
      </c>
      <c r="Q7742" t="s">
        <v>15571</v>
      </c>
      <c r="R7742" t="s">
        <v>1474</v>
      </c>
      <c r="S7742" t="s">
        <v>1475</v>
      </c>
      <c r="T7742" t="s">
        <v>15572</v>
      </c>
      <c r="U7742" t="s">
        <v>15573</v>
      </c>
      <c r="V7742" t="s">
        <v>15574</v>
      </c>
      <c r="W7742" t="s">
        <v>15575</v>
      </c>
      <c r="AD7742" t="s">
        <v>1480</v>
      </c>
      <c r="AE7742" t="s">
        <v>1481</v>
      </c>
      <c r="AF7742" t="s">
        <v>15576</v>
      </c>
    </row>
    <row r="7743" spans="1:32" hidden="1" x14ac:dyDescent="0.35">
      <c r="A7743">
        <v>7742</v>
      </c>
      <c r="B7743" t="s">
        <v>15569</v>
      </c>
      <c r="C7743" t="s">
        <v>68</v>
      </c>
      <c r="D7743" t="s">
        <v>62</v>
      </c>
      <c r="E7743">
        <v>1781</v>
      </c>
      <c r="F7743">
        <v>2</v>
      </c>
      <c r="G7743">
        <v>2</v>
      </c>
      <c r="H7743">
        <v>1</v>
      </c>
      <c r="I7743">
        <v>0</v>
      </c>
      <c r="J7743">
        <v>1</v>
      </c>
      <c r="K7743">
        <v>1</v>
      </c>
      <c r="L7743">
        <v>1</v>
      </c>
      <c r="M7743">
        <v>1</v>
      </c>
      <c r="N7743">
        <v>1</v>
      </c>
      <c r="O7743">
        <v>1</v>
      </c>
      <c r="P7743" t="s">
        <v>15570</v>
      </c>
      <c r="Q7743" t="s">
        <v>15571</v>
      </c>
      <c r="R7743" t="s">
        <v>1474</v>
      </c>
      <c r="S7743" t="s">
        <v>1475</v>
      </c>
      <c r="T7743" t="s">
        <v>15572</v>
      </c>
      <c r="U7743" t="s">
        <v>15573</v>
      </c>
      <c r="V7743" t="s">
        <v>15574</v>
      </c>
      <c r="W7743" t="s">
        <v>15575</v>
      </c>
      <c r="AD7743" t="s">
        <v>1480</v>
      </c>
      <c r="AE7743" t="s">
        <v>1481</v>
      </c>
      <c r="AF7743" t="s">
        <v>15576</v>
      </c>
    </row>
    <row r="7744" spans="1:32" hidden="1" x14ac:dyDescent="0.35">
      <c r="A7744">
        <v>7743</v>
      </c>
      <c r="B7744" t="s">
        <v>15577</v>
      </c>
      <c r="C7744" t="s">
        <v>68</v>
      </c>
      <c r="D7744" t="s">
        <v>60</v>
      </c>
      <c r="E7744">
        <v>1812</v>
      </c>
      <c r="F7744">
        <v>2</v>
      </c>
      <c r="G7744">
        <v>2</v>
      </c>
      <c r="H7744">
        <v>1</v>
      </c>
      <c r="I7744">
        <v>0</v>
      </c>
      <c r="J7744">
        <v>1</v>
      </c>
      <c r="K7744">
        <v>1</v>
      </c>
      <c r="L7744">
        <v>1</v>
      </c>
      <c r="M7744">
        <v>1</v>
      </c>
      <c r="N7744">
        <v>1</v>
      </c>
      <c r="O7744">
        <v>1</v>
      </c>
      <c r="P7744" t="s">
        <v>15578</v>
      </c>
      <c r="Q7744" t="s">
        <v>15579</v>
      </c>
      <c r="R7744" t="s">
        <v>96</v>
      </c>
      <c r="S7744" t="s">
        <v>97</v>
      </c>
      <c r="T7744" t="s">
        <v>15580</v>
      </c>
      <c r="U7744" t="s">
        <v>15581</v>
      </c>
      <c r="V7744" t="s">
        <v>15582</v>
      </c>
      <c r="W7744" t="s">
        <v>15583</v>
      </c>
      <c r="AD7744" t="s">
        <v>410</v>
      </c>
      <c r="AE7744" t="s">
        <v>1637</v>
      </c>
      <c r="AF7744" t="s">
        <v>15584</v>
      </c>
    </row>
    <row r="7745" spans="1:32" hidden="1" x14ac:dyDescent="0.35">
      <c r="A7745">
        <v>7744</v>
      </c>
      <c r="B7745" t="s">
        <v>15577</v>
      </c>
      <c r="C7745" t="s">
        <v>68</v>
      </c>
      <c r="D7745" t="s">
        <v>62</v>
      </c>
      <c r="E7745">
        <v>1850</v>
      </c>
      <c r="F7745">
        <v>2</v>
      </c>
      <c r="G7745">
        <v>2</v>
      </c>
      <c r="H7745">
        <v>1</v>
      </c>
      <c r="I7745">
        <v>0</v>
      </c>
      <c r="J7745">
        <v>1</v>
      </c>
      <c r="K7745">
        <v>1</v>
      </c>
      <c r="L7745">
        <v>1</v>
      </c>
      <c r="M7745">
        <v>1</v>
      </c>
      <c r="N7745">
        <v>1</v>
      </c>
      <c r="O7745">
        <v>1</v>
      </c>
      <c r="P7745" t="s">
        <v>15578</v>
      </c>
      <c r="Q7745" t="s">
        <v>15579</v>
      </c>
      <c r="R7745" t="s">
        <v>96</v>
      </c>
      <c r="S7745" t="s">
        <v>97</v>
      </c>
      <c r="T7745" t="s">
        <v>15580</v>
      </c>
      <c r="U7745" t="s">
        <v>15581</v>
      </c>
      <c r="V7745" t="s">
        <v>15582</v>
      </c>
      <c r="W7745" t="s">
        <v>15583</v>
      </c>
      <c r="AD7745" t="s">
        <v>410</v>
      </c>
      <c r="AE7745" t="s">
        <v>1637</v>
      </c>
      <c r="AF7745" t="s">
        <v>15584</v>
      </c>
    </row>
    <row r="7746" spans="1:32" hidden="1" x14ac:dyDescent="0.35">
      <c r="A7746">
        <v>7745</v>
      </c>
      <c r="B7746" t="s">
        <v>15585</v>
      </c>
      <c r="C7746" t="s">
        <v>68</v>
      </c>
      <c r="D7746" t="s">
        <v>60</v>
      </c>
      <c r="E7746">
        <v>2428</v>
      </c>
      <c r="F7746">
        <v>2</v>
      </c>
      <c r="G7746">
        <v>2</v>
      </c>
      <c r="H7746">
        <v>1</v>
      </c>
      <c r="I7746">
        <v>0</v>
      </c>
      <c r="J7746">
        <v>1</v>
      </c>
      <c r="K7746">
        <v>1</v>
      </c>
      <c r="L7746">
        <v>1</v>
      </c>
      <c r="M7746">
        <v>1</v>
      </c>
      <c r="N7746">
        <v>1</v>
      </c>
      <c r="O7746">
        <v>1</v>
      </c>
      <c r="P7746" t="s">
        <v>15523</v>
      </c>
      <c r="Q7746" t="s">
        <v>15524</v>
      </c>
      <c r="AF7746" t="s">
        <v>15586</v>
      </c>
    </row>
    <row r="7747" spans="1:32" hidden="1" x14ac:dyDescent="0.35">
      <c r="A7747">
        <v>7746</v>
      </c>
      <c r="B7747" t="s">
        <v>15585</v>
      </c>
      <c r="C7747" t="s">
        <v>68</v>
      </c>
      <c r="D7747" t="s">
        <v>62</v>
      </c>
      <c r="E7747">
        <v>2455</v>
      </c>
      <c r="F7747">
        <v>2</v>
      </c>
      <c r="G7747">
        <v>2</v>
      </c>
      <c r="H7747">
        <v>1</v>
      </c>
      <c r="I7747">
        <v>0</v>
      </c>
      <c r="J7747">
        <v>1</v>
      </c>
      <c r="K7747">
        <v>1</v>
      </c>
      <c r="L7747">
        <v>1</v>
      </c>
      <c r="M7747">
        <v>1</v>
      </c>
      <c r="N7747">
        <v>1</v>
      </c>
      <c r="O7747">
        <v>1</v>
      </c>
      <c r="P7747" t="s">
        <v>15523</v>
      </c>
      <c r="Q7747" t="s">
        <v>15524</v>
      </c>
      <c r="AF7747" t="s">
        <v>15586</v>
      </c>
    </row>
    <row r="7748" spans="1:32" hidden="1" x14ac:dyDescent="0.35">
      <c r="A7748">
        <v>7747</v>
      </c>
      <c r="B7748" t="s">
        <v>15587</v>
      </c>
      <c r="C7748" t="s">
        <v>68</v>
      </c>
      <c r="D7748" t="s">
        <v>60</v>
      </c>
      <c r="E7748">
        <v>1355</v>
      </c>
      <c r="F7748">
        <v>2</v>
      </c>
      <c r="G7748">
        <v>2</v>
      </c>
      <c r="H7748">
        <v>1</v>
      </c>
      <c r="I7748">
        <v>0</v>
      </c>
      <c r="J7748">
        <v>1</v>
      </c>
      <c r="K7748">
        <v>1</v>
      </c>
      <c r="L7748">
        <v>1</v>
      </c>
      <c r="M7748">
        <v>1</v>
      </c>
      <c r="N7748">
        <v>1</v>
      </c>
      <c r="O7748">
        <v>1</v>
      </c>
      <c r="P7748" t="s">
        <v>15588</v>
      </c>
      <c r="Q7748" t="s">
        <v>15589</v>
      </c>
      <c r="R7748" t="s">
        <v>288</v>
      </c>
      <c r="S7748" t="s">
        <v>289</v>
      </c>
      <c r="T7748" t="s">
        <v>15590</v>
      </c>
      <c r="U7748" t="s">
        <v>407</v>
      </c>
      <c r="V7748" t="s">
        <v>15591</v>
      </c>
      <c r="W7748" t="s">
        <v>15592</v>
      </c>
      <c r="AD7748" t="s">
        <v>410</v>
      </c>
      <c r="AE7748" t="s">
        <v>411</v>
      </c>
      <c r="AF7748" t="s">
        <v>15593</v>
      </c>
    </row>
    <row r="7749" spans="1:32" hidden="1" x14ac:dyDescent="0.35">
      <c r="A7749">
        <v>7748</v>
      </c>
      <c r="B7749" t="s">
        <v>15587</v>
      </c>
      <c r="C7749" t="s">
        <v>68</v>
      </c>
      <c r="D7749" t="s">
        <v>62</v>
      </c>
      <c r="E7749">
        <v>1391</v>
      </c>
      <c r="F7749">
        <v>2</v>
      </c>
      <c r="G7749">
        <v>2</v>
      </c>
      <c r="H7749">
        <v>1</v>
      </c>
      <c r="I7749">
        <v>0</v>
      </c>
      <c r="J7749">
        <v>1</v>
      </c>
      <c r="K7749">
        <v>1</v>
      </c>
      <c r="L7749">
        <v>1</v>
      </c>
      <c r="M7749">
        <v>1</v>
      </c>
      <c r="N7749">
        <v>1</v>
      </c>
      <c r="O7749">
        <v>1</v>
      </c>
      <c r="P7749" t="s">
        <v>15588</v>
      </c>
      <c r="Q7749" t="s">
        <v>15589</v>
      </c>
      <c r="R7749" t="s">
        <v>288</v>
      </c>
      <c r="S7749" t="s">
        <v>289</v>
      </c>
      <c r="T7749" t="s">
        <v>15590</v>
      </c>
      <c r="U7749" t="s">
        <v>407</v>
      </c>
      <c r="V7749" t="s">
        <v>15591</v>
      </c>
      <c r="W7749" t="s">
        <v>15592</v>
      </c>
      <c r="AD7749" t="s">
        <v>410</v>
      </c>
      <c r="AE7749" t="s">
        <v>411</v>
      </c>
      <c r="AF7749" t="s">
        <v>15593</v>
      </c>
    </row>
    <row r="7750" spans="1:32" hidden="1" x14ac:dyDescent="0.35">
      <c r="A7750">
        <v>7749</v>
      </c>
      <c r="B7750" t="s">
        <v>15594</v>
      </c>
      <c r="C7750" t="s">
        <v>68</v>
      </c>
      <c r="D7750" t="s">
        <v>60</v>
      </c>
      <c r="E7750">
        <v>847</v>
      </c>
      <c r="F7750">
        <v>2</v>
      </c>
      <c r="G7750">
        <v>2</v>
      </c>
      <c r="H7750">
        <v>1</v>
      </c>
      <c r="I7750">
        <v>0</v>
      </c>
      <c r="J7750">
        <v>1</v>
      </c>
      <c r="K7750">
        <v>1</v>
      </c>
      <c r="L7750">
        <v>1</v>
      </c>
      <c r="M7750">
        <v>1</v>
      </c>
      <c r="N7750">
        <v>1</v>
      </c>
      <c r="O7750">
        <v>1</v>
      </c>
      <c r="P7750" t="s">
        <v>13495</v>
      </c>
      <c r="Q7750" t="s">
        <v>2878</v>
      </c>
      <c r="R7750" t="s">
        <v>113</v>
      </c>
      <c r="S7750" t="s">
        <v>114</v>
      </c>
      <c r="V7750" t="s">
        <v>13496</v>
      </c>
      <c r="W7750" t="s">
        <v>13497</v>
      </c>
      <c r="AF7750" t="s">
        <v>15595</v>
      </c>
    </row>
    <row r="7751" spans="1:32" hidden="1" x14ac:dyDescent="0.35">
      <c r="A7751">
        <v>7750</v>
      </c>
      <c r="B7751" t="s">
        <v>15594</v>
      </c>
      <c r="C7751" t="s">
        <v>68</v>
      </c>
      <c r="D7751" t="s">
        <v>62</v>
      </c>
      <c r="E7751">
        <v>881</v>
      </c>
      <c r="F7751">
        <v>2</v>
      </c>
      <c r="G7751">
        <v>2</v>
      </c>
      <c r="H7751">
        <v>1</v>
      </c>
      <c r="I7751">
        <v>0</v>
      </c>
      <c r="J7751">
        <v>1</v>
      </c>
      <c r="K7751">
        <v>1</v>
      </c>
      <c r="L7751">
        <v>1</v>
      </c>
      <c r="M7751">
        <v>1</v>
      </c>
      <c r="N7751">
        <v>1</v>
      </c>
      <c r="O7751">
        <v>1</v>
      </c>
      <c r="P7751" t="s">
        <v>13495</v>
      </c>
      <c r="Q7751" t="s">
        <v>2878</v>
      </c>
      <c r="R7751" t="s">
        <v>113</v>
      </c>
      <c r="S7751" t="s">
        <v>114</v>
      </c>
      <c r="V7751" t="s">
        <v>13496</v>
      </c>
      <c r="W7751" t="s">
        <v>13497</v>
      </c>
      <c r="AF7751" t="s">
        <v>15595</v>
      </c>
    </row>
    <row r="7752" spans="1:32" hidden="1" x14ac:dyDescent="0.35">
      <c r="A7752">
        <v>7751</v>
      </c>
      <c r="B7752" t="s">
        <v>15596</v>
      </c>
      <c r="C7752" t="s">
        <v>68</v>
      </c>
      <c r="D7752" t="s">
        <v>60</v>
      </c>
      <c r="E7752">
        <v>920</v>
      </c>
      <c r="F7752">
        <v>2</v>
      </c>
      <c r="G7752">
        <v>2</v>
      </c>
      <c r="H7752">
        <v>1</v>
      </c>
      <c r="I7752">
        <v>0</v>
      </c>
      <c r="J7752">
        <v>1</v>
      </c>
      <c r="K7752">
        <v>1</v>
      </c>
      <c r="L7752">
        <v>1</v>
      </c>
      <c r="M7752">
        <v>1</v>
      </c>
      <c r="N7752">
        <v>1</v>
      </c>
      <c r="O7752">
        <v>1</v>
      </c>
      <c r="P7752" t="s">
        <v>13571</v>
      </c>
      <c r="Q7752" t="s">
        <v>13572</v>
      </c>
      <c r="R7752" t="s">
        <v>342</v>
      </c>
      <c r="S7752" t="s">
        <v>343</v>
      </c>
      <c r="T7752" t="s">
        <v>13573</v>
      </c>
      <c r="U7752" t="s">
        <v>13574</v>
      </c>
      <c r="V7752" t="s">
        <v>13575</v>
      </c>
      <c r="W7752" t="s">
        <v>13576</v>
      </c>
      <c r="AD7752" t="s">
        <v>219</v>
      </c>
      <c r="AE7752" t="s">
        <v>13577</v>
      </c>
      <c r="AF7752" t="s">
        <v>15597</v>
      </c>
    </row>
    <row r="7753" spans="1:32" hidden="1" x14ac:dyDescent="0.35">
      <c r="A7753">
        <v>7752</v>
      </c>
      <c r="B7753" t="s">
        <v>15596</v>
      </c>
      <c r="C7753" t="s">
        <v>68</v>
      </c>
      <c r="D7753" t="s">
        <v>62</v>
      </c>
      <c r="E7753">
        <v>956</v>
      </c>
      <c r="F7753">
        <v>2</v>
      </c>
      <c r="G7753">
        <v>2</v>
      </c>
      <c r="H7753">
        <v>1</v>
      </c>
      <c r="I7753">
        <v>0</v>
      </c>
      <c r="J7753">
        <v>1</v>
      </c>
      <c r="K7753">
        <v>1</v>
      </c>
      <c r="L7753">
        <v>1</v>
      </c>
      <c r="M7753">
        <v>1</v>
      </c>
      <c r="N7753">
        <v>1</v>
      </c>
      <c r="O7753">
        <v>1</v>
      </c>
      <c r="P7753" t="s">
        <v>13571</v>
      </c>
      <c r="Q7753" t="s">
        <v>13572</v>
      </c>
      <c r="R7753" t="s">
        <v>342</v>
      </c>
      <c r="S7753" t="s">
        <v>343</v>
      </c>
      <c r="T7753" t="s">
        <v>13573</v>
      </c>
      <c r="U7753" t="s">
        <v>13574</v>
      </c>
      <c r="V7753" t="s">
        <v>13575</v>
      </c>
      <c r="W7753" t="s">
        <v>13576</v>
      </c>
      <c r="AD7753" t="s">
        <v>219</v>
      </c>
      <c r="AE7753" t="s">
        <v>13577</v>
      </c>
      <c r="AF7753" t="s">
        <v>15597</v>
      </c>
    </row>
    <row r="7754" spans="1:32" hidden="1" x14ac:dyDescent="0.35">
      <c r="A7754">
        <v>7753</v>
      </c>
      <c r="B7754" t="s">
        <v>15598</v>
      </c>
      <c r="C7754" t="s">
        <v>68</v>
      </c>
      <c r="D7754" t="s">
        <v>60</v>
      </c>
      <c r="E7754">
        <v>276</v>
      </c>
      <c r="F7754">
        <v>2</v>
      </c>
      <c r="G7754">
        <v>2</v>
      </c>
      <c r="H7754">
        <v>1</v>
      </c>
      <c r="I7754">
        <v>0</v>
      </c>
      <c r="J7754">
        <v>1</v>
      </c>
      <c r="K7754">
        <v>1</v>
      </c>
      <c r="L7754">
        <v>1</v>
      </c>
      <c r="M7754">
        <v>1</v>
      </c>
      <c r="N7754">
        <v>1</v>
      </c>
      <c r="O7754">
        <v>1</v>
      </c>
      <c r="AF7754" t="s">
        <v>15599</v>
      </c>
    </row>
    <row r="7755" spans="1:32" hidden="1" x14ac:dyDescent="0.35">
      <c r="A7755">
        <v>7754</v>
      </c>
      <c r="B7755" t="s">
        <v>15598</v>
      </c>
      <c r="C7755" t="s">
        <v>68</v>
      </c>
      <c r="D7755" t="s">
        <v>62</v>
      </c>
      <c r="E7755">
        <v>354</v>
      </c>
      <c r="F7755">
        <v>2</v>
      </c>
      <c r="G7755">
        <v>2</v>
      </c>
      <c r="H7755">
        <v>1</v>
      </c>
      <c r="I7755">
        <v>0</v>
      </c>
      <c r="J7755">
        <v>1</v>
      </c>
      <c r="K7755">
        <v>1</v>
      </c>
      <c r="L7755">
        <v>1</v>
      </c>
      <c r="M7755">
        <v>1</v>
      </c>
      <c r="N7755">
        <v>1</v>
      </c>
      <c r="O7755">
        <v>1</v>
      </c>
      <c r="AF7755" t="s">
        <v>15599</v>
      </c>
    </row>
    <row r="7756" spans="1:32" hidden="1" x14ac:dyDescent="0.35">
      <c r="A7756">
        <v>7755</v>
      </c>
      <c r="B7756" t="s">
        <v>15600</v>
      </c>
      <c r="C7756" t="s">
        <v>68</v>
      </c>
      <c r="D7756" t="s">
        <v>60</v>
      </c>
      <c r="E7756">
        <v>940</v>
      </c>
      <c r="F7756">
        <v>2</v>
      </c>
      <c r="G7756">
        <v>2</v>
      </c>
      <c r="H7756">
        <v>1</v>
      </c>
      <c r="I7756">
        <v>0</v>
      </c>
      <c r="J7756">
        <v>1</v>
      </c>
      <c r="K7756">
        <v>1</v>
      </c>
      <c r="L7756">
        <v>1</v>
      </c>
      <c r="M7756">
        <v>1</v>
      </c>
      <c r="N7756">
        <v>1</v>
      </c>
      <c r="O7756">
        <v>1</v>
      </c>
      <c r="P7756" t="s">
        <v>15601</v>
      </c>
      <c r="Q7756" t="s">
        <v>15602</v>
      </c>
      <c r="R7756" t="s">
        <v>319</v>
      </c>
      <c r="S7756" t="s">
        <v>320</v>
      </c>
      <c r="T7756" t="s">
        <v>15603</v>
      </c>
      <c r="U7756" t="s">
        <v>15604</v>
      </c>
      <c r="V7756" t="s">
        <v>15605</v>
      </c>
      <c r="W7756" t="s">
        <v>15606</v>
      </c>
      <c r="AD7756" t="s">
        <v>245</v>
      </c>
      <c r="AE7756" t="s">
        <v>15607</v>
      </c>
      <c r="AF7756" t="s">
        <v>15608</v>
      </c>
    </row>
    <row r="7757" spans="1:32" hidden="1" x14ac:dyDescent="0.35">
      <c r="A7757">
        <v>7756</v>
      </c>
      <c r="B7757" t="s">
        <v>15600</v>
      </c>
      <c r="C7757" t="s">
        <v>68</v>
      </c>
      <c r="D7757" t="s">
        <v>62</v>
      </c>
      <c r="E7757">
        <v>976</v>
      </c>
      <c r="F7757">
        <v>2</v>
      </c>
      <c r="G7757">
        <v>2</v>
      </c>
      <c r="H7757">
        <v>1</v>
      </c>
      <c r="I7757">
        <v>0</v>
      </c>
      <c r="J7757">
        <v>1</v>
      </c>
      <c r="K7757">
        <v>1</v>
      </c>
      <c r="L7757">
        <v>1</v>
      </c>
      <c r="M7757">
        <v>1</v>
      </c>
      <c r="N7757">
        <v>1</v>
      </c>
      <c r="O7757">
        <v>1</v>
      </c>
      <c r="P7757" t="s">
        <v>15601</v>
      </c>
      <c r="Q7757" t="s">
        <v>15602</v>
      </c>
      <c r="R7757" t="s">
        <v>319</v>
      </c>
      <c r="S7757" t="s">
        <v>320</v>
      </c>
      <c r="T7757" t="s">
        <v>15603</v>
      </c>
      <c r="U7757" t="s">
        <v>15604</v>
      </c>
      <c r="V7757" t="s">
        <v>15605</v>
      </c>
      <c r="W7757" t="s">
        <v>15606</v>
      </c>
      <c r="AD7757" t="s">
        <v>245</v>
      </c>
      <c r="AE7757" t="s">
        <v>15607</v>
      </c>
      <c r="AF7757" t="s">
        <v>15608</v>
      </c>
    </row>
    <row r="7758" spans="1:32" hidden="1" x14ac:dyDescent="0.35">
      <c r="A7758">
        <v>7757</v>
      </c>
      <c r="B7758" t="s">
        <v>15609</v>
      </c>
      <c r="C7758" t="s">
        <v>68</v>
      </c>
      <c r="D7758" t="s">
        <v>60</v>
      </c>
      <c r="E7758">
        <v>2377</v>
      </c>
      <c r="F7758">
        <v>2</v>
      </c>
      <c r="G7758">
        <v>2</v>
      </c>
      <c r="H7758">
        <v>1</v>
      </c>
      <c r="I7758">
        <v>0</v>
      </c>
      <c r="J7758">
        <v>1</v>
      </c>
      <c r="K7758">
        <v>1</v>
      </c>
      <c r="L7758">
        <v>1</v>
      </c>
      <c r="M7758">
        <v>1</v>
      </c>
      <c r="N7758">
        <v>1</v>
      </c>
      <c r="O7758">
        <v>1</v>
      </c>
      <c r="AF7758" t="s">
        <v>15610</v>
      </c>
    </row>
    <row r="7759" spans="1:32" hidden="1" x14ac:dyDescent="0.35">
      <c r="A7759">
        <v>7758</v>
      </c>
      <c r="B7759" t="s">
        <v>15609</v>
      </c>
      <c r="C7759" t="s">
        <v>68</v>
      </c>
      <c r="D7759" t="s">
        <v>62</v>
      </c>
      <c r="E7759">
        <v>2405</v>
      </c>
      <c r="F7759">
        <v>2</v>
      </c>
      <c r="G7759">
        <v>2</v>
      </c>
      <c r="H7759">
        <v>1</v>
      </c>
      <c r="I7759">
        <v>0</v>
      </c>
      <c r="J7759">
        <v>1</v>
      </c>
      <c r="K7759">
        <v>1</v>
      </c>
      <c r="L7759">
        <v>1</v>
      </c>
      <c r="M7759">
        <v>1</v>
      </c>
      <c r="N7759">
        <v>1</v>
      </c>
      <c r="O7759">
        <v>1</v>
      </c>
      <c r="AF7759" t="s">
        <v>15610</v>
      </c>
    </row>
    <row r="7760" spans="1:32" hidden="1" x14ac:dyDescent="0.35">
      <c r="A7760">
        <v>7759</v>
      </c>
      <c r="B7760" t="s">
        <v>15611</v>
      </c>
      <c r="C7760" t="s">
        <v>68</v>
      </c>
      <c r="D7760" t="s">
        <v>60</v>
      </c>
      <c r="E7760">
        <v>1551</v>
      </c>
      <c r="F7760">
        <v>2</v>
      </c>
      <c r="G7760">
        <v>2</v>
      </c>
      <c r="H7760">
        <v>1</v>
      </c>
      <c r="I7760">
        <v>0</v>
      </c>
      <c r="J7760">
        <v>1</v>
      </c>
      <c r="K7760">
        <v>1</v>
      </c>
      <c r="L7760">
        <v>1</v>
      </c>
      <c r="M7760">
        <v>1</v>
      </c>
      <c r="N7760">
        <v>1</v>
      </c>
      <c r="O7760">
        <v>1</v>
      </c>
      <c r="AF7760" t="s">
        <v>15612</v>
      </c>
    </row>
    <row r="7761" spans="1:32" hidden="1" x14ac:dyDescent="0.35">
      <c r="A7761">
        <v>7760</v>
      </c>
      <c r="B7761" t="s">
        <v>15611</v>
      </c>
      <c r="C7761" t="s">
        <v>68</v>
      </c>
      <c r="D7761" t="s">
        <v>62</v>
      </c>
      <c r="E7761">
        <v>1586</v>
      </c>
      <c r="F7761">
        <v>2</v>
      </c>
      <c r="G7761">
        <v>2</v>
      </c>
      <c r="H7761">
        <v>1</v>
      </c>
      <c r="I7761">
        <v>0</v>
      </c>
      <c r="J7761">
        <v>1</v>
      </c>
      <c r="K7761">
        <v>1</v>
      </c>
      <c r="L7761">
        <v>1</v>
      </c>
      <c r="M7761">
        <v>1</v>
      </c>
      <c r="N7761">
        <v>1</v>
      </c>
      <c r="O7761">
        <v>1</v>
      </c>
      <c r="AF7761" t="s">
        <v>15612</v>
      </c>
    </row>
    <row r="7762" spans="1:32" hidden="1" x14ac:dyDescent="0.35">
      <c r="A7762">
        <v>7761</v>
      </c>
      <c r="B7762" t="s">
        <v>15613</v>
      </c>
      <c r="C7762" t="s">
        <v>68</v>
      </c>
      <c r="D7762" t="s">
        <v>60</v>
      </c>
      <c r="E7762">
        <v>201</v>
      </c>
      <c r="F7762">
        <v>2</v>
      </c>
      <c r="G7762">
        <v>2</v>
      </c>
      <c r="H7762">
        <v>1</v>
      </c>
      <c r="I7762">
        <v>0</v>
      </c>
      <c r="J7762">
        <v>1</v>
      </c>
      <c r="K7762">
        <v>1</v>
      </c>
      <c r="L7762">
        <v>1</v>
      </c>
      <c r="M7762">
        <v>1</v>
      </c>
      <c r="N7762">
        <v>1</v>
      </c>
      <c r="O7762">
        <v>1</v>
      </c>
      <c r="AF7762" t="s">
        <v>15614</v>
      </c>
    </row>
    <row r="7763" spans="1:32" hidden="1" x14ac:dyDescent="0.35">
      <c r="A7763">
        <v>7762</v>
      </c>
      <c r="B7763" t="s">
        <v>15613</v>
      </c>
      <c r="C7763" t="s">
        <v>68</v>
      </c>
      <c r="D7763" t="s">
        <v>62</v>
      </c>
      <c r="E7763">
        <v>278</v>
      </c>
      <c r="F7763">
        <v>2</v>
      </c>
      <c r="G7763">
        <v>2</v>
      </c>
      <c r="H7763">
        <v>1</v>
      </c>
      <c r="I7763">
        <v>0</v>
      </c>
      <c r="J7763">
        <v>1</v>
      </c>
      <c r="K7763">
        <v>1</v>
      </c>
      <c r="L7763">
        <v>1</v>
      </c>
      <c r="M7763">
        <v>1</v>
      </c>
      <c r="N7763">
        <v>1</v>
      </c>
      <c r="O7763">
        <v>1</v>
      </c>
      <c r="AF7763" t="s">
        <v>15614</v>
      </c>
    </row>
    <row r="7764" spans="1:32" hidden="1" x14ac:dyDescent="0.35">
      <c r="A7764">
        <v>7763</v>
      </c>
      <c r="B7764" t="s">
        <v>15615</v>
      </c>
      <c r="C7764" t="s">
        <v>68</v>
      </c>
      <c r="D7764" t="s">
        <v>34</v>
      </c>
      <c r="E7764">
        <v>79</v>
      </c>
      <c r="F7764">
        <v>2</v>
      </c>
      <c r="G7764">
        <v>2</v>
      </c>
      <c r="H7764">
        <v>1</v>
      </c>
      <c r="I7764">
        <v>0</v>
      </c>
      <c r="J7764">
        <v>1</v>
      </c>
      <c r="K7764">
        <v>1</v>
      </c>
      <c r="L7764">
        <v>1</v>
      </c>
      <c r="M7764">
        <v>1</v>
      </c>
      <c r="N7764">
        <v>1</v>
      </c>
      <c r="O7764">
        <v>1</v>
      </c>
      <c r="AF7764" t="s">
        <v>15616</v>
      </c>
    </row>
    <row r="7765" spans="1:32" hidden="1" x14ac:dyDescent="0.35">
      <c r="A7765">
        <v>7764</v>
      </c>
      <c r="B7765" t="s">
        <v>15615</v>
      </c>
      <c r="C7765" t="s">
        <v>68</v>
      </c>
      <c r="D7765" t="s">
        <v>45</v>
      </c>
      <c r="E7765">
        <v>1337</v>
      </c>
      <c r="F7765">
        <v>2</v>
      </c>
      <c r="G7765">
        <v>2</v>
      </c>
      <c r="H7765">
        <v>1</v>
      </c>
      <c r="I7765">
        <v>0</v>
      </c>
      <c r="J7765">
        <v>1</v>
      </c>
      <c r="K7765">
        <v>1</v>
      </c>
      <c r="L7765">
        <v>1</v>
      </c>
      <c r="M7765">
        <v>1</v>
      </c>
      <c r="N7765">
        <v>1</v>
      </c>
      <c r="O7765">
        <v>1</v>
      </c>
      <c r="AF7765" t="s">
        <v>15616</v>
      </c>
    </row>
    <row r="7766" spans="1:32" hidden="1" x14ac:dyDescent="0.35">
      <c r="A7766">
        <v>7765</v>
      </c>
      <c r="B7766" t="s">
        <v>15617</v>
      </c>
      <c r="C7766" t="s">
        <v>68</v>
      </c>
      <c r="D7766" t="s">
        <v>60</v>
      </c>
      <c r="E7766">
        <v>2227</v>
      </c>
      <c r="F7766">
        <v>2</v>
      </c>
      <c r="G7766">
        <v>2</v>
      </c>
      <c r="H7766">
        <v>1</v>
      </c>
      <c r="I7766">
        <v>0</v>
      </c>
      <c r="J7766">
        <v>1</v>
      </c>
      <c r="K7766">
        <v>1</v>
      </c>
      <c r="L7766">
        <v>1</v>
      </c>
      <c r="M7766">
        <v>1</v>
      </c>
      <c r="N7766">
        <v>1</v>
      </c>
      <c r="O7766">
        <v>1</v>
      </c>
      <c r="AF7766" t="s">
        <v>15618</v>
      </c>
    </row>
    <row r="7767" spans="1:32" hidden="1" x14ac:dyDescent="0.35">
      <c r="A7767">
        <v>7766</v>
      </c>
      <c r="B7767" t="s">
        <v>15617</v>
      </c>
      <c r="C7767" t="s">
        <v>68</v>
      </c>
      <c r="D7767" t="s">
        <v>62</v>
      </c>
      <c r="E7767">
        <v>2257</v>
      </c>
      <c r="F7767">
        <v>2</v>
      </c>
      <c r="G7767">
        <v>2</v>
      </c>
      <c r="H7767">
        <v>1</v>
      </c>
      <c r="I7767">
        <v>0</v>
      </c>
      <c r="J7767">
        <v>1</v>
      </c>
      <c r="K7767">
        <v>1</v>
      </c>
      <c r="L7767">
        <v>1</v>
      </c>
      <c r="M7767">
        <v>1</v>
      </c>
      <c r="N7767">
        <v>1</v>
      </c>
      <c r="O7767">
        <v>1</v>
      </c>
      <c r="AF7767" t="s">
        <v>15618</v>
      </c>
    </row>
    <row r="7768" spans="1:32" hidden="1" x14ac:dyDescent="0.35">
      <c r="A7768">
        <v>7767</v>
      </c>
      <c r="B7768" t="s">
        <v>15619</v>
      </c>
      <c r="C7768" t="s">
        <v>68</v>
      </c>
      <c r="D7768" t="s">
        <v>34</v>
      </c>
      <c r="E7768">
        <v>302</v>
      </c>
      <c r="F7768">
        <v>2</v>
      </c>
      <c r="G7768">
        <v>2</v>
      </c>
      <c r="H7768">
        <v>1</v>
      </c>
      <c r="I7768">
        <v>0</v>
      </c>
      <c r="J7768">
        <v>1</v>
      </c>
      <c r="K7768">
        <v>1</v>
      </c>
      <c r="L7768">
        <v>1</v>
      </c>
      <c r="M7768">
        <v>1</v>
      </c>
      <c r="N7768">
        <v>1</v>
      </c>
      <c r="O7768">
        <v>1</v>
      </c>
      <c r="P7768" t="s">
        <v>15149</v>
      </c>
      <c r="Q7768" t="s">
        <v>15150</v>
      </c>
      <c r="R7768" t="s">
        <v>1474</v>
      </c>
      <c r="S7768" t="s">
        <v>1475</v>
      </c>
      <c r="T7768" t="s">
        <v>15151</v>
      </c>
      <c r="U7768" t="s">
        <v>15152</v>
      </c>
      <c r="V7768" t="s">
        <v>15153</v>
      </c>
      <c r="W7768" t="s">
        <v>15154</v>
      </c>
      <c r="AD7768" t="s">
        <v>1480</v>
      </c>
      <c r="AE7768" t="s">
        <v>6364</v>
      </c>
      <c r="AF7768" t="s">
        <v>15620</v>
      </c>
    </row>
    <row r="7769" spans="1:32" hidden="1" x14ac:dyDescent="0.35">
      <c r="A7769">
        <v>7768</v>
      </c>
      <c r="B7769" t="s">
        <v>15619</v>
      </c>
      <c r="C7769" t="s">
        <v>68</v>
      </c>
      <c r="D7769" t="s">
        <v>45</v>
      </c>
      <c r="E7769">
        <v>1564</v>
      </c>
      <c r="F7769">
        <v>2</v>
      </c>
      <c r="G7769">
        <v>2</v>
      </c>
      <c r="H7769">
        <v>1</v>
      </c>
      <c r="I7769">
        <v>0</v>
      </c>
      <c r="J7769">
        <v>1</v>
      </c>
      <c r="K7769">
        <v>1</v>
      </c>
      <c r="L7769">
        <v>1</v>
      </c>
      <c r="M7769">
        <v>1</v>
      </c>
      <c r="N7769">
        <v>1</v>
      </c>
      <c r="O7769">
        <v>1</v>
      </c>
      <c r="P7769" t="s">
        <v>15149</v>
      </c>
      <c r="Q7769" t="s">
        <v>15150</v>
      </c>
      <c r="R7769" t="s">
        <v>1474</v>
      </c>
      <c r="S7769" t="s">
        <v>1475</v>
      </c>
      <c r="T7769" t="s">
        <v>15151</v>
      </c>
      <c r="U7769" t="s">
        <v>15152</v>
      </c>
      <c r="V7769" t="s">
        <v>15153</v>
      </c>
      <c r="W7769" t="s">
        <v>15154</v>
      </c>
      <c r="AD7769" t="s">
        <v>1480</v>
      </c>
      <c r="AE7769" t="s">
        <v>6364</v>
      </c>
      <c r="AF7769" t="s">
        <v>15620</v>
      </c>
    </row>
    <row r="7770" spans="1:32" hidden="1" x14ac:dyDescent="0.35">
      <c r="A7770">
        <v>7769</v>
      </c>
      <c r="B7770" t="s">
        <v>15621</v>
      </c>
      <c r="C7770" t="s">
        <v>68</v>
      </c>
      <c r="D7770" t="s">
        <v>34</v>
      </c>
      <c r="E7770">
        <v>1338</v>
      </c>
      <c r="F7770">
        <v>2</v>
      </c>
      <c r="G7770">
        <v>2</v>
      </c>
      <c r="H7770">
        <v>1</v>
      </c>
      <c r="I7770">
        <v>0</v>
      </c>
      <c r="J7770">
        <v>1</v>
      </c>
      <c r="K7770">
        <v>1</v>
      </c>
      <c r="L7770">
        <v>1</v>
      </c>
      <c r="M7770">
        <v>1</v>
      </c>
      <c r="N7770">
        <v>1</v>
      </c>
      <c r="O7770">
        <v>1</v>
      </c>
      <c r="AF7770" t="s">
        <v>15622</v>
      </c>
    </row>
    <row r="7771" spans="1:32" hidden="1" x14ac:dyDescent="0.35">
      <c r="A7771">
        <v>7770</v>
      </c>
      <c r="B7771" t="s">
        <v>15621</v>
      </c>
      <c r="C7771" t="s">
        <v>68</v>
      </c>
      <c r="D7771" t="s">
        <v>45</v>
      </c>
      <c r="E7771">
        <v>89</v>
      </c>
      <c r="F7771">
        <v>2</v>
      </c>
      <c r="G7771">
        <v>2</v>
      </c>
      <c r="H7771">
        <v>1</v>
      </c>
      <c r="I7771">
        <v>0</v>
      </c>
      <c r="J7771">
        <v>1</v>
      </c>
      <c r="K7771">
        <v>1</v>
      </c>
      <c r="L7771">
        <v>1</v>
      </c>
      <c r="M7771">
        <v>1</v>
      </c>
      <c r="N7771">
        <v>1</v>
      </c>
      <c r="O7771">
        <v>1</v>
      </c>
      <c r="AF7771" t="s">
        <v>15622</v>
      </c>
    </row>
    <row r="7772" spans="1:32" hidden="1" x14ac:dyDescent="0.35">
      <c r="A7772">
        <v>7771</v>
      </c>
      <c r="B7772" t="s">
        <v>15623</v>
      </c>
      <c r="C7772" t="s">
        <v>68</v>
      </c>
      <c r="D7772" t="s">
        <v>34</v>
      </c>
      <c r="E7772">
        <v>1384</v>
      </c>
      <c r="F7772">
        <v>2</v>
      </c>
      <c r="G7772">
        <v>2</v>
      </c>
      <c r="H7772">
        <v>1</v>
      </c>
      <c r="I7772">
        <v>0</v>
      </c>
      <c r="J7772">
        <v>1</v>
      </c>
      <c r="K7772">
        <v>1</v>
      </c>
      <c r="L7772">
        <v>1</v>
      </c>
      <c r="M7772">
        <v>1</v>
      </c>
      <c r="N7772">
        <v>1</v>
      </c>
      <c r="O7772">
        <v>1</v>
      </c>
      <c r="AF7772" t="s">
        <v>15624</v>
      </c>
    </row>
    <row r="7773" spans="1:32" hidden="1" x14ac:dyDescent="0.35">
      <c r="A7773">
        <v>7772</v>
      </c>
      <c r="B7773" t="s">
        <v>15623</v>
      </c>
      <c r="C7773" t="s">
        <v>68</v>
      </c>
      <c r="D7773" t="s">
        <v>45</v>
      </c>
      <c r="E7773">
        <v>134</v>
      </c>
      <c r="F7773">
        <v>2</v>
      </c>
      <c r="G7773">
        <v>2</v>
      </c>
      <c r="H7773">
        <v>1</v>
      </c>
      <c r="I7773">
        <v>0</v>
      </c>
      <c r="J7773">
        <v>1</v>
      </c>
      <c r="K7773">
        <v>1</v>
      </c>
      <c r="L7773">
        <v>1</v>
      </c>
      <c r="M7773">
        <v>1</v>
      </c>
      <c r="N7773">
        <v>1</v>
      </c>
      <c r="O7773">
        <v>1</v>
      </c>
      <c r="AF7773" t="s">
        <v>15624</v>
      </c>
    </row>
    <row r="7774" spans="1:32" hidden="1" x14ac:dyDescent="0.35">
      <c r="A7774">
        <v>7773</v>
      </c>
      <c r="B7774" t="s">
        <v>15625</v>
      </c>
      <c r="C7774" t="s">
        <v>68</v>
      </c>
      <c r="D7774" t="s">
        <v>34</v>
      </c>
      <c r="E7774">
        <v>2296</v>
      </c>
      <c r="F7774">
        <v>2</v>
      </c>
      <c r="G7774">
        <v>2</v>
      </c>
      <c r="H7774">
        <v>1</v>
      </c>
      <c r="I7774">
        <v>0</v>
      </c>
      <c r="J7774">
        <v>1</v>
      </c>
      <c r="K7774">
        <v>1</v>
      </c>
      <c r="L7774">
        <v>1</v>
      </c>
      <c r="M7774">
        <v>1</v>
      </c>
      <c r="N7774">
        <v>1</v>
      </c>
      <c r="O7774">
        <v>1</v>
      </c>
      <c r="P7774" t="s">
        <v>15626</v>
      </c>
      <c r="Q7774" t="s">
        <v>3623</v>
      </c>
      <c r="AF7774" t="s">
        <v>15627</v>
      </c>
    </row>
    <row r="7775" spans="1:32" hidden="1" x14ac:dyDescent="0.35">
      <c r="A7775">
        <v>7774</v>
      </c>
      <c r="B7775" t="s">
        <v>15625</v>
      </c>
      <c r="C7775" t="s">
        <v>68</v>
      </c>
      <c r="D7775" t="s">
        <v>45</v>
      </c>
      <c r="E7775">
        <v>581</v>
      </c>
      <c r="F7775">
        <v>2</v>
      </c>
      <c r="G7775">
        <v>2</v>
      </c>
      <c r="H7775">
        <v>1</v>
      </c>
      <c r="I7775">
        <v>0</v>
      </c>
      <c r="J7775">
        <v>1</v>
      </c>
      <c r="K7775">
        <v>1</v>
      </c>
      <c r="L7775">
        <v>1</v>
      </c>
      <c r="M7775">
        <v>1</v>
      </c>
      <c r="N7775">
        <v>1</v>
      </c>
      <c r="O7775">
        <v>1</v>
      </c>
      <c r="P7775" t="s">
        <v>15626</v>
      </c>
      <c r="Q7775" t="s">
        <v>3623</v>
      </c>
      <c r="AF7775" t="s">
        <v>15627</v>
      </c>
    </row>
    <row r="7776" spans="1:32" hidden="1" x14ac:dyDescent="0.35">
      <c r="A7776">
        <v>7775</v>
      </c>
      <c r="B7776" t="s">
        <v>15628</v>
      </c>
      <c r="C7776" t="s">
        <v>68</v>
      </c>
      <c r="D7776" t="s">
        <v>60</v>
      </c>
      <c r="E7776">
        <v>889</v>
      </c>
      <c r="F7776">
        <v>2</v>
      </c>
      <c r="G7776">
        <v>2</v>
      </c>
      <c r="H7776">
        <v>1</v>
      </c>
      <c r="I7776">
        <v>0</v>
      </c>
      <c r="J7776">
        <v>1</v>
      </c>
      <c r="K7776">
        <v>1</v>
      </c>
      <c r="L7776">
        <v>1</v>
      </c>
      <c r="M7776">
        <v>1</v>
      </c>
      <c r="N7776">
        <v>1</v>
      </c>
      <c r="O7776">
        <v>1</v>
      </c>
      <c r="AF7776" t="s">
        <v>15629</v>
      </c>
    </row>
    <row r="7777" spans="1:32" hidden="1" x14ac:dyDescent="0.35">
      <c r="A7777">
        <v>7776</v>
      </c>
      <c r="B7777" t="s">
        <v>15628</v>
      </c>
      <c r="C7777" t="s">
        <v>68</v>
      </c>
      <c r="D7777" t="s">
        <v>62</v>
      </c>
      <c r="E7777">
        <v>923</v>
      </c>
      <c r="F7777">
        <v>2</v>
      </c>
      <c r="G7777">
        <v>2</v>
      </c>
      <c r="H7777">
        <v>1</v>
      </c>
      <c r="I7777">
        <v>0</v>
      </c>
      <c r="J7777">
        <v>1</v>
      </c>
      <c r="K7777">
        <v>1</v>
      </c>
      <c r="L7777">
        <v>1</v>
      </c>
      <c r="M7777">
        <v>1</v>
      </c>
      <c r="N7777">
        <v>1</v>
      </c>
      <c r="O7777">
        <v>1</v>
      </c>
      <c r="AF7777" t="s">
        <v>15629</v>
      </c>
    </row>
    <row r="7778" spans="1:32" hidden="1" x14ac:dyDescent="0.35">
      <c r="A7778">
        <v>7777</v>
      </c>
      <c r="B7778" t="s">
        <v>15630</v>
      </c>
      <c r="C7778" t="s">
        <v>68</v>
      </c>
      <c r="D7778" t="s">
        <v>34</v>
      </c>
      <c r="E7778">
        <v>614</v>
      </c>
      <c r="F7778">
        <v>2</v>
      </c>
      <c r="G7778">
        <v>2</v>
      </c>
      <c r="H7778">
        <v>1</v>
      </c>
      <c r="I7778">
        <v>0</v>
      </c>
      <c r="J7778">
        <v>1</v>
      </c>
      <c r="K7778">
        <v>1</v>
      </c>
      <c r="L7778">
        <v>1</v>
      </c>
      <c r="M7778">
        <v>1</v>
      </c>
      <c r="N7778">
        <v>1</v>
      </c>
      <c r="O7778">
        <v>1</v>
      </c>
      <c r="P7778" t="s">
        <v>10026</v>
      </c>
      <c r="Q7778" t="s">
        <v>10027</v>
      </c>
      <c r="R7778" t="s">
        <v>235</v>
      </c>
      <c r="S7778" t="s">
        <v>236</v>
      </c>
      <c r="T7778" t="s">
        <v>15631</v>
      </c>
      <c r="U7778" t="s">
        <v>15632</v>
      </c>
      <c r="V7778" t="s">
        <v>15633</v>
      </c>
      <c r="W7778" t="s">
        <v>15634</v>
      </c>
      <c r="AD7778" t="s">
        <v>166</v>
      </c>
      <c r="AE7778" t="s">
        <v>818</v>
      </c>
      <c r="AF7778" t="s">
        <v>15635</v>
      </c>
    </row>
    <row r="7779" spans="1:32" hidden="1" x14ac:dyDescent="0.35">
      <c r="A7779">
        <v>7778</v>
      </c>
      <c r="B7779" t="s">
        <v>15630</v>
      </c>
      <c r="C7779" t="s">
        <v>68</v>
      </c>
      <c r="D7779" t="s">
        <v>45</v>
      </c>
      <c r="E7779">
        <v>1881</v>
      </c>
      <c r="F7779">
        <v>2</v>
      </c>
      <c r="G7779">
        <v>2</v>
      </c>
      <c r="H7779">
        <v>1</v>
      </c>
      <c r="I7779">
        <v>0</v>
      </c>
      <c r="J7779">
        <v>1</v>
      </c>
      <c r="K7779">
        <v>1</v>
      </c>
      <c r="L7779">
        <v>1</v>
      </c>
      <c r="M7779">
        <v>1</v>
      </c>
      <c r="N7779">
        <v>1</v>
      </c>
      <c r="O7779">
        <v>1</v>
      </c>
      <c r="P7779" t="s">
        <v>10026</v>
      </c>
      <c r="Q7779" t="s">
        <v>10027</v>
      </c>
      <c r="R7779" t="s">
        <v>235</v>
      </c>
      <c r="S7779" t="s">
        <v>236</v>
      </c>
      <c r="T7779" t="s">
        <v>15631</v>
      </c>
      <c r="U7779" t="s">
        <v>15632</v>
      </c>
      <c r="V7779" t="s">
        <v>15633</v>
      </c>
      <c r="W7779" t="s">
        <v>15634</v>
      </c>
      <c r="AD7779" t="s">
        <v>166</v>
      </c>
      <c r="AE7779" t="s">
        <v>818</v>
      </c>
      <c r="AF7779" t="s">
        <v>15635</v>
      </c>
    </row>
    <row r="7780" spans="1:32" hidden="1" x14ac:dyDescent="0.35">
      <c r="A7780">
        <v>7779</v>
      </c>
      <c r="B7780" t="s">
        <v>15636</v>
      </c>
      <c r="C7780" t="s">
        <v>68</v>
      </c>
      <c r="D7780" t="s">
        <v>60</v>
      </c>
      <c r="E7780">
        <v>888</v>
      </c>
      <c r="F7780">
        <v>2</v>
      </c>
      <c r="G7780">
        <v>2</v>
      </c>
      <c r="H7780">
        <v>1</v>
      </c>
      <c r="I7780">
        <v>0</v>
      </c>
      <c r="J7780">
        <v>1</v>
      </c>
      <c r="K7780">
        <v>1</v>
      </c>
      <c r="L7780">
        <v>1</v>
      </c>
      <c r="M7780">
        <v>1</v>
      </c>
      <c r="N7780">
        <v>1</v>
      </c>
      <c r="O7780">
        <v>1</v>
      </c>
      <c r="P7780" t="s">
        <v>1452</v>
      </c>
      <c r="Q7780" t="s">
        <v>1453</v>
      </c>
      <c r="R7780" t="s">
        <v>113</v>
      </c>
      <c r="S7780" t="s">
        <v>114</v>
      </c>
      <c r="T7780" t="s">
        <v>1454</v>
      </c>
      <c r="U7780" t="s">
        <v>1455</v>
      </c>
      <c r="V7780" t="s">
        <v>807</v>
      </c>
      <c r="W7780" t="s">
        <v>808</v>
      </c>
      <c r="X7780" t="s">
        <v>807</v>
      </c>
      <c r="Y7780" t="s">
        <v>119</v>
      </c>
      <c r="AD7780" t="s">
        <v>125</v>
      </c>
      <c r="AE7780" t="s">
        <v>126</v>
      </c>
      <c r="AF7780" t="s">
        <v>15637</v>
      </c>
    </row>
    <row r="7781" spans="1:32" hidden="1" x14ac:dyDescent="0.35">
      <c r="A7781">
        <v>7780</v>
      </c>
      <c r="B7781" t="s">
        <v>15636</v>
      </c>
      <c r="C7781" t="s">
        <v>68</v>
      </c>
      <c r="D7781" t="s">
        <v>62</v>
      </c>
      <c r="E7781">
        <v>922</v>
      </c>
      <c r="F7781">
        <v>2</v>
      </c>
      <c r="G7781">
        <v>2</v>
      </c>
      <c r="H7781">
        <v>1</v>
      </c>
      <c r="I7781">
        <v>0</v>
      </c>
      <c r="J7781">
        <v>1</v>
      </c>
      <c r="K7781">
        <v>1</v>
      </c>
      <c r="L7781">
        <v>1</v>
      </c>
      <c r="M7781">
        <v>1</v>
      </c>
      <c r="N7781">
        <v>1</v>
      </c>
      <c r="O7781">
        <v>1</v>
      </c>
      <c r="P7781" t="s">
        <v>1452</v>
      </c>
      <c r="Q7781" t="s">
        <v>1453</v>
      </c>
      <c r="R7781" t="s">
        <v>113</v>
      </c>
      <c r="S7781" t="s">
        <v>114</v>
      </c>
      <c r="T7781" t="s">
        <v>1454</v>
      </c>
      <c r="U7781" t="s">
        <v>1455</v>
      </c>
      <c r="V7781" t="s">
        <v>807</v>
      </c>
      <c r="W7781" t="s">
        <v>808</v>
      </c>
      <c r="X7781" t="s">
        <v>807</v>
      </c>
      <c r="Y7781" t="s">
        <v>119</v>
      </c>
      <c r="AD7781" t="s">
        <v>125</v>
      </c>
      <c r="AE7781" t="s">
        <v>126</v>
      </c>
      <c r="AF7781" t="s">
        <v>15637</v>
      </c>
    </row>
    <row r="7782" spans="1:32" hidden="1" x14ac:dyDescent="0.35">
      <c r="A7782">
        <v>7781</v>
      </c>
      <c r="B7782" t="s">
        <v>15638</v>
      </c>
      <c r="C7782" t="s">
        <v>68</v>
      </c>
      <c r="D7782" t="s">
        <v>60</v>
      </c>
      <c r="E7782">
        <v>1848</v>
      </c>
      <c r="F7782">
        <v>2</v>
      </c>
      <c r="G7782">
        <v>2</v>
      </c>
      <c r="H7782">
        <v>1</v>
      </c>
      <c r="I7782">
        <v>0</v>
      </c>
      <c r="J7782">
        <v>1</v>
      </c>
      <c r="K7782">
        <v>1</v>
      </c>
      <c r="L7782">
        <v>1</v>
      </c>
      <c r="M7782">
        <v>1</v>
      </c>
      <c r="N7782">
        <v>1</v>
      </c>
      <c r="O7782">
        <v>1</v>
      </c>
      <c r="P7782" t="s">
        <v>15639</v>
      </c>
      <c r="Q7782" t="s">
        <v>15640</v>
      </c>
      <c r="AF7782" t="s">
        <v>15641</v>
      </c>
    </row>
    <row r="7783" spans="1:32" hidden="1" x14ac:dyDescent="0.35">
      <c r="A7783">
        <v>7782</v>
      </c>
      <c r="B7783" t="s">
        <v>15638</v>
      </c>
      <c r="C7783" t="s">
        <v>68</v>
      </c>
      <c r="D7783" t="s">
        <v>62</v>
      </c>
      <c r="E7783">
        <v>1886</v>
      </c>
      <c r="F7783">
        <v>2</v>
      </c>
      <c r="G7783">
        <v>2</v>
      </c>
      <c r="H7783">
        <v>1</v>
      </c>
      <c r="I7783">
        <v>0</v>
      </c>
      <c r="J7783">
        <v>1</v>
      </c>
      <c r="K7783">
        <v>1</v>
      </c>
      <c r="L7783">
        <v>1</v>
      </c>
      <c r="M7783">
        <v>1</v>
      </c>
      <c r="N7783">
        <v>1</v>
      </c>
      <c r="O7783">
        <v>1</v>
      </c>
      <c r="P7783" t="s">
        <v>15639</v>
      </c>
      <c r="Q7783" t="s">
        <v>15640</v>
      </c>
      <c r="AF7783" t="s">
        <v>15641</v>
      </c>
    </row>
    <row r="7784" spans="1:32" s="1" customFormat="1" hidden="1" x14ac:dyDescent="0.35">
      <c r="A7784" s="1">
        <v>7783</v>
      </c>
      <c r="B7784" s="1" t="s">
        <v>15642</v>
      </c>
      <c r="C7784" s="1" t="s">
        <v>68</v>
      </c>
      <c r="D7784" s="1" t="s">
        <v>60</v>
      </c>
      <c r="E7784" s="1">
        <v>220</v>
      </c>
      <c r="F7784" s="1">
        <v>2</v>
      </c>
      <c r="G7784" s="1">
        <v>2</v>
      </c>
      <c r="H7784" s="1">
        <v>1</v>
      </c>
      <c r="I7784" s="1">
        <v>0</v>
      </c>
      <c r="J7784" s="1">
        <v>1</v>
      </c>
      <c r="K7784" s="1">
        <v>1</v>
      </c>
      <c r="L7784" s="1">
        <v>1</v>
      </c>
      <c r="M7784" s="1">
        <v>1</v>
      </c>
      <c r="N7784" s="1">
        <v>1</v>
      </c>
      <c r="O7784" s="1">
        <v>1</v>
      </c>
      <c r="P7784" s="1" t="s">
        <v>14242</v>
      </c>
      <c r="Q7784" s="1" t="s">
        <v>14243</v>
      </c>
      <c r="R7784" s="1" t="s">
        <v>15643</v>
      </c>
      <c r="S7784" s="1" t="s">
        <v>15644</v>
      </c>
      <c r="V7784" s="1" t="s">
        <v>15645</v>
      </c>
      <c r="W7784" s="1" t="s">
        <v>15646</v>
      </c>
      <c r="AF7784" s="1" t="s">
        <v>15647</v>
      </c>
    </row>
    <row r="7785" spans="1:32" s="1" customFormat="1" hidden="1" x14ac:dyDescent="0.35">
      <c r="A7785" s="1">
        <v>7784</v>
      </c>
      <c r="B7785" s="1" t="s">
        <v>15642</v>
      </c>
      <c r="C7785" s="1" t="s">
        <v>68</v>
      </c>
      <c r="D7785" s="1" t="s">
        <v>62</v>
      </c>
      <c r="E7785" s="1">
        <v>297</v>
      </c>
      <c r="F7785" s="1">
        <v>2</v>
      </c>
      <c r="G7785" s="1">
        <v>2</v>
      </c>
      <c r="H7785" s="1">
        <v>1</v>
      </c>
      <c r="I7785" s="1">
        <v>0</v>
      </c>
      <c r="J7785" s="1">
        <v>1</v>
      </c>
      <c r="K7785" s="1">
        <v>1</v>
      </c>
      <c r="L7785" s="1">
        <v>1</v>
      </c>
      <c r="M7785" s="1">
        <v>1</v>
      </c>
      <c r="N7785" s="1">
        <v>1</v>
      </c>
      <c r="O7785" s="1">
        <v>1</v>
      </c>
      <c r="P7785" s="1" t="s">
        <v>14242</v>
      </c>
      <c r="Q7785" s="1" t="s">
        <v>14243</v>
      </c>
      <c r="R7785" s="1" t="s">
        <v>15643</v>
      </c>
      <c r="S7785" s="1" t="s">
        <v>15644</v>
      </c>
      <c r="V7785" s="1" t="s">
        <v>15645</v>
      </c>
      <c r="W7785" s="1" t="s">
        <v>15646</v>
      </c>
      <c r="AF7785" s="1" t="s">
        <v>15647</v>
      </c>
    </row>
    <row r="7786" spans="1:32" hidden="1" x14ac:dyDescent="0.35">
      <c r="A7786">
        <v>7785</v>
      </c>
      <c r="B7786" t="s">
        <v>15648</v>
      </c>
      <c r="C7786" t="s">
        <v>68</v>
      </c>
      <c r="D7786" t="s">
        <v>34</v>
      </c>
      <c r="E7786">
        <v>1416</v>
      </c>
      <c r="F7786">
        <v>2</v>
      </c>
      <c r="G7786">
        <v>2</v>
      </c>
      <c r="H7786">
        <v>1</v>
      </c>
      <c r="I7786">
        <v>0</v>
      </c>
      <c r="J7786">
        <v>1</v>
      </c>
      <c r="K7786">
        <v>1</v>
      </c>
      <c r="L7786">
        <v>1</v>
      </c>
      <c r="M7786">
        <v>1</v>
      </c>
      <c r="N7786">
        <v>1</v>
      </c>
      <c r="O7786">
        <v>1</v>
      </c>
      <c r="R7786" t="s">
        <v>15141</v>
      </c>
      <c r="S7786" t="s">
        <v>15142</v>
      </c>
      <c r="V7786" t="s">
        <v>15143</v>
      </c>
      <c r="W7786" t="s">
        <v>15144</v>
      </c>
      <c r="AF7786" t="s">
        <v>15649</v>
      </c>
    </row>
    <row r="7787" spans="1:32" hidden="1" x14ac:dyDescent="0.35">
      <c r="A7787">
        <v>7786</v>
      </c>
      <c r="B7787" t="s">
        <v>15648</v>
      </c>
      <c r="C7787" t="s">
        <v>68</v>
      </c>
      <c r="D7787" t="s">
        <v>45</v>
      </c>
      <c r="E7787">
        <v>167</v>
      </c>
      <c r="F7787">
        <v>2</v>
      </c>
      <c r="G7787">
        <v>2</v>
      </c>
      <c r="H7787">
        <v>1</v>
      </c>
      <c r="I7787">
        <v>0</v>
      </c>
      <c r="J7787">
        <v>1</v>
      </c>
      <c r="K7787">
        <v>1</v>
      </c>
      <c r="L7787">
        <v>1</v>
      </c>
      <c r="M7787">
        <v>1</v>
      </c>
      <c r="N7787">
        <v>1</v>
      </c>
      <c r="O7787">
        <v>1</v>
      </c>
      <c r="R7787" t="s">
        <v>15141</v>
      </c>
      <c r="S7787" t="s">
        <v>15142</v>
      </c>
      <c r="V7787" t="s">
        <v>15143</v>
      </c>
      <c r="W7787" t="s">
        <v>15144</v>
      </c>
      <c r="AF7787" t="s">
        <v>15649</v>
      </c>
    </row>
    <row r="7788" spans="1:32" hidden="1" x14ac:dyDescent="0.35">
      <c r="A7788">
        <v>7787</v>
      </c>
      <c r="B7788" t="s">
        <v>15650</v>
      </c>
      <c r="C7788" t="s">
        <v>68</v>
      </c>
      <c r="D7788" t="s">
        <v>60</v>
      </c>
      <c r="E7788">
        <v>1686</v>
      </c>
      <c r="F7788">
        <v>2</v>
      </c>
      <c r="G7788">
        <v>2</v>
      </c>
      <c r="H7788">
        <v>1</v>
      </c>
      <c r="I7788">
        <v>0</v>
      </c>
      <c r="J7788">
        <v>1</v>
      </c>
      <c r="K7788">
        <v>1</v>
      </c>
      <c r="L7788">
        <v>1</v>
      </c>
      <c r="M7788">
        <v>1</v>
      </c>
      <c r="N7788">
        <v>1</v>
      </c>
      <c r="O7788">
        <v>1</v>
      </c>
      <c r="P7788" t="s">
        <v>12169</v>
      </c>
      <c r="Q7788" t="s">
        <v>12170</v>
      </c>
      <c r="R7788" t="s">
        <v>113</v>
      </c>
      <c r="S7788" t="s">
        <v>114</v>
      </c>
      <c r="V7788" t="s">
        <v>12171</v>
      </c>
      <c r="W7788" t="s">
        <v>12172</v>
      </c>
      <c r="AF7788" t="s">
        <v>15651</v>
      </c>
    </row>
    <row r="7789" spans="1:32" hidden="1" x14ac:dyDescent="0.35">
      <c r="A7789">
        <v>7788</v>
      </c>
      <c r="B7789" t="s">
        <v>15650</v>
      </c>
      <c r="C7789" t="s">
        <v>68</v>
      </c>
      <c r="D7789" t="s">
        <v>62</v>
      </c>
      <c r="E7789">
        <v>1721</v>
      </c>
      <c r="F7789">
        <v>2</v>
      </c>
      <c r="G7789">
        <v>2</v>
      </c>
      <c r="H7789">
        <v>1</v>
      </c>
      <c r="I7789">
        <v>0</v>
      </c>
      <c r="J7789">
        <v>1</v>
      </c>
      <c r="K7789">
        <v>1</v>
      </c>
      <c r="L7789">
        <v>1</v>
      </c>
      <c r="M7789">
        <v>1</v>
      </c>
      <c r="N7789">
        <v>1</v>
      </c>
      <c r="O7789">
        <v>1</v>
      </c>
      <c r="P7789" t="s">
        <v>12169</v>
      </c>
      <c r="Q7789" t="s">
        <v>12170</v>
      </c>
      <c r="R7789" t="s">
        <v>113</v>
      </c>
      <c r="S7789" t="s">
        <v>114</v>
      </c>
      <c r="V7789" t="s">
        <v>12171</v>
      </c>
      <c r="W7789" t="s">
        <v>12172</v>
      </c>
      <c r="AF7789" t="s">
        <v>15651</v>
      </c>
    </row>
    <row r="7790" spans="1:32" hidden="1" x14ac:dyDescent="0.35">
      <c r="A7790">
        <v>7789</v>
      </c>
      <c r="B7790" t="s">
        <v>15652</v>
      </c>
      <c r="C7790" t="s">
        <v>68</v>
      </c>
      <c r="D7790" t="s">
        <v>34</v>
      </c>
      <c r="E7790">
        <v>1596</v>
      </c>
      <c r="F7790">
        <v>2</v>
      </c>
      <c r="G7790">
        <v>2</v>
      </c>
      <c r="H7790">
        <v>1</v>
      </c>
      <c r="I7790">
        <v>0</v>
      </c>
      <c r="J7790">
        <v>1</v>
      </c>
      <c r="K7790">
        <v>1</v>
      </c>
      <c r="L7790">
        <v>1</v>
      </c>
      <c r="M7790">
        <v>1</v>
      </c>
      <c r="N7790">
        <v>1</v>
      </c>
      <c r="O7790">
        <v>1</v>
      </c>
      <c r="T7790" t="s">
        <v>4785</v>
      </c>
      <c r="U7790" t="s">
        <v>4786</v>
      </c>
      <c r="AD7790" t="s">
        <v>4789</v>
      </c>
      <c r="AE7790" t="s">
        <v>4790</v>
      </c>
      <c r="AF7790" t="s">
        <v>15653</v>
      </c>
    </row>
    <row r="7791" spans="1:32" hidden="1" x14ac:dyDescent="0.35">
      <c r="A7791">
        <v>7790</v>
      </c>
      <c r="B7791" t="s">
        <v>15652</v>
      </c>
      <c r="C7791" t="s">
        <v>68</v>
      </c>
      <c r="D7791" t="s">
        <v>45</v>
      </c>
      <c r="E7791">
        <v>346</v>
      </c>
      <c r="F7791">
        <v>2</v>
      </c>
      <c r="G7791">
        <v>2</v>
      </c>
      <c r="H7791">
        <v>1</v>
      </c>
      <c r="I7791">
        <v>0</v>
      </c>
      <c r="J7791">
        <v>1</v>
      </c>
      <c r="K7791">
        <v>1</v>
      </c>
      <c r="L7791">
        <v>1</v>
      </c>
      <c r="M7791">
        <v>1</v>
      </c>
      <c r="N7791">
        <v>1</v>
      </c>
      <c r="O7791">
        <v>1</v>
      </c>
      <c r="T7791" t="s">
        <v>4785</v>
      </c>
      <c r="U7791" t="s">
        <v>4786</v>
      </c>
      <c r="AD7791" t="s">
        <v>4789</v>
      </c>
      <c r="AE7791" t="s">
        <v>4790</v>
      </c>
      <c r="AF7791" t="s">
        <v>15653</v>
      </c>
    </row>
    <row r="7792" spans="1:32" hidden="1" x14ac:dyDescent="0.35">
      <c r="A7792">
        <v>7791</v>
      </c>
      <c r="B7792" t="s">
        <v>15654</v>
      </c>
      <c r="C7792" t="s">
        <v>68</v>
      </c>
      <c r="D7792" t="s">
        <v>60</v>
      </c>
      <c r="E7792">
        <v>1485</v>
      </c>
      <c r="F7792">
        <v>2</v>
      </c>
      <c r="G7792">
        <v>2</v>
      </c>
      <c r="H7792">
        <v>1</v>
      </c>
      <c r="I7792">
        <v>0</v>
      </c>
      <c r="J7792">
        <v>1</v>
      </c>
      <c r="K7792">
        <v>1</v>
      </c>
      <c r="L7792">
        <v>1</v>
      </c>
      <c r="M7792">
        <v>1</v>
      </c>
      <c r="N7792">
        <v>1</v>
      </c>
      <c r="O7792">
        <v>1</v>
      </c>
      <c r="P7792" t="s">
        <v>12798</v>
      </c>
      <c r="Q7792" t="s">
        <v>12799</v>
      </c>
      <c r="R7792" t="s">
        <v>1191</v>
      </c>
      <c r="S7792" t="s">
        <v>1192</v>
      </c>
      <c r="V7792" t="s">
        <v>15655</v>
      </c>
      <c r="W7792" t="s">
        <v>15656</v>
      </c>
      <c r="AF7792" t="s">
        <v>15657</v>
      </c>
    </row>
    <row r="7793" spans="1:32" hidden="1" x14ac:dyDescent="0.35">
      <c r="A7793">
        <v>7792</v>
      </c>
      <c r="B7793" t="s">
        <v>15654</v>
      </c>
      <c r="C7793" t="s">
        <v>68</v>
      </c>
      <c r="D7793" t="s">
        <v>62</v>
      </c>
      <c r="E7793">
        <v>1520</v>
      </c>
      <c r="F7793">
        <v>2</v>
      </c>
      <c r="G7793">
        <v>2</v>
      </c>
      <c r="H7793">
        <v>1</v>
      </c>
      <c r="I7793">
        <v>0</v>
      </c>
      <c r="J7793">
        <v>1</v>
      </c>
      <c r="K7793">
        <v>1</v>
      </c>
      <c r="L7793">
        <v>1</v>
      </c>
      <c r="M7793">
        <v>1</v>
      </c>
      <c r="N7793">
        <v>1</v>
      </c>
      <c r="O7793">
        <v>1</v>
      </c>
      <c r="P7793" t="s">
        <v>12798</v>
      </c>
      <c r="Q7793" t="s">
        <v>12799</v>
      </c>
      <c r="R7793" t="s">
        <v>1191</v>
      </c>
      <c r="S7793" t="s">
        <v>1192</v>
      </c>
      <c r="V7793" t="s">
        <v>15655</v>
      </c>
      <c r="W7793" t="s">
        <v>15656</v>
      </c>
      <c r="AF7793" t="s">
        <v>15657</v>
      </c>
    </row>
    <row r="7794" spans="1:32" hidden="1" x14ac:dyDescent="0.35">
      <c r="A7794">
        <v>7793</v>
      </c>
      <c r="B7794" t="s">
        <v>15658</v>
      </c>
      <c r="C7794" t="s">
        <v>68</v>
      </c>
      <c r="D7794" t="s">
        <v>60</v>
      </c>
      <c r="E7794">
        <v>1742</v>
      </c>
      <c r="F7794">
        <v>2</v>
      </c>
      <c r="G7794">
        <v>2</v>
      </c>
      <c r="H7794">
        <v>1</v>
      </c>
      <c r="I7794">
        <v>0</v>
      </c>
      <c r="J7794">
        <v>1</v>
      </c>
      <c r="K7794">
        <v>1</v>
      </c>
      <c r="L7794">
        <v>1</v>
      </c>
      <c r="M7794">
        <v>1</v>
      </c>
      <c r="N7794">
        <v>1</v>
      </c>
      <c r="O7794">
        <v>1</v>
      </c>
      <c r="P7794" t="s">
        <v>10135</v>
      </c>
      <c r="Q7794" t="s">
        <v>10136</v>
      </c>
      <c r="R7794" t="s">
        <v>138</v>
      </c>
      <c r="S7794" t="s">
        <v>139</v>
      </c>
      <c r="V7794" t="s">
        <v>15659</v>
      </c>
      <c r="W7794" t="s">
        <v>15660</v>
      </c>
      <c r="AF7794" t="s">
        <v>15661</v>
      </c>
    </row>
    <row r="7795" spans="1:32" hidden="1" x14ac:dyDescent="0.35">
      <c r="A7795">
        <v>7794</v>
      </c>
      <c r="B7795" t="s">
        <v>15658</v>
      </c>
      <c r="C7795" t="s">
        <v>68</v>
      </c>
      <c r="D7795" t="s">
        <v>62</v>
      </c>
      <c r="E7795">
        <v>1778</v>
      </c>
      <c r="F7795">
        <v>2</v>
      </c>
      <c r="G7795">
        <v>2</v>
      </c>
      <c r="H7795">
        <v>1</v>
      </c>
      <c r="I7795">
        <v>0</v>
      </c>
      <c r="J7795">
        <v>1</v>
      </c>
      <c r="K7795">
        <v>1</v>
      </c>
      <c r="L7795">
        <v>1</v>
      </c>
      <c r="M7795">
        <v>1</v>
      </c>
      <c r="N7795">
        <v>1</v>
      </c>
      <c r="O7795">
        <v>1</v>
      </c>
      <c r="P7795" t="s">
        <v>10135</v>
      </c>
      <c r="Q7795" t="s">
        <v>10136</v>
      </c>
      <c r="R7795" t="s">
        <v>138</v>
      </c>
      <c r="S7795" t="s">
        <v>139</v>
      </c>
      <c r="V7795" t="s">
        <v>15659</v>
      </c>
      <c r="W7795" t="s">
        <v>15660</v>
      </c>
      <c r="AF7795" t="s">
        <v>15661</v>
      </c>
    </row>
    <row r="7796" spans="1:32" hidden="1" x14ac:dyDescent="0.35">
      <c r="A7796">
        <v>7795</v>
      </c>
      <c r="B7796" t="s">
        <v>15662</v>
      </c>
      <c r="C7796" t="s">
        <v>68</v>
      </c>
      <c r="D7796" t="s">
        <v>60</v>
      </c>
      <c r="E7796">
        <v>2159</v>
      </c>
      <c r="F7796">
        <v>2</v>
      </c>
      <c r="G7796">
        <v>2</v>
      </c>
      <c r="H7796">
        <v>1</v>
      </c>
      <c r="I7796">
        <v>0</v>
      </c>
      <c r="J7796">
        <v>1</v>
      </c>
      <c r="K7796">
        <v>1</v>
      </c>
      <c r="L7796">
        <v>1</v>
      </c>
      <c r="M7796">
        <v>1</v>
      </c>
      <c r="N7796">
        <v>1</v>
      </c>
      <c r="O7796">
        <v>1</v>
      </c>
      <c r="AF7796" t="s">
        <v>15663</v>
      </c>
    </row>
    <row r="7797" spans="1:32" hidden="1" x14ac:dyDescent="0.35">
      <c r="A7797">
        <v>7796</v>
      </c>
      <c r="B7797" t="s">
        <v>15662</v>
      </c>
      <c r="C7797" t="s">
        <v>68</v>
      </c>
      <c r="D7797" t="s">
        <v>62</v>
      </c>
      <c r="E7797">
        <v>2193</v>
      </c>
      <c r="F7797">
        <v>2</v>
      </c>
      <c r="G7797">
        <v>2</v>
      </c>
      <c r="H7797">
        <v>1</v>
      </c>
      <c r="I7797">
        <v>0</v>
      </c>
      <c r="J7797">
        <v>1</v>
      </c>
      <c r="K7797">
        <v>1</v>
      </c>
      <c r="L7797">
        <v>1</v>
      </c>
      <c r="M7797">
        <v>1</v>
      </c>
      <c r="N7797">
        <v>1</v>
      </c>
      <c r="O7797">
        <v>1</v>
      </c>
      <c r="AF7797" t="s">
        <v>15663</v>
      </c>
    </row>
    <row r="7798" spans="1:32" hidden="1" x14ac:dyDescent="0.35">
      <c r="A7798">
        <v>7797</v>
      </c>
      <c r="B7798" t="s">
        <v>15664</v>
      </c>
      <c r="C7798" t="s">
        <v>68</v>
      </c>
      <c r="D7798" t="s">
        <v>60</v>
      </c>
      <c r="E7798">
        <v>560</v>
      </c>
      <c r="F7798">
        <v>2</v>
      </c>
      <c r="G7798">
        <v>2</v>
      </c>
      <c r="H7798">
        <v>1</v>
      </c>
      <c r="I7798">
        <v>0</v>
      </c>
      <c r="J7798">
        <v>1</v>
      </c>
      <c r="K7798">
        <v>1</v>
      </c>
      <c r="L7798">
        <v>1</v>
      </c>
      <c r="M7798">
        <v>1</v>
      </c>
      <c r="N7798">
        <v>1</v>
      </c>
      <c r="O7798">
        <v>1</v>
      </c>
      <c r="P7798" t="s">
        <v>15665</v>
      </c>
      <c r="Q7798" t="s">
        <v>15666</v>
      </c>
      <c r="R7798" t="s">
        <v>652</v>
      </c>
      <c r="S7798" t="s">
        <v>653</v>
      </c>
      <c r="T7798" t="s">
        <v>15667</v>
      </c>
      <c r="U7798" t="s">
        <v>15668</v>
      </c>
      <c r="V7798" t="s">
        <v>15669</v>
      </c>
      <c r="W7798" t="s">
        <v>15670</v>
      </c>
      <c r="AD7798" t="s">
        <v>410</v>
      </c>
      <c r="AE7798" t="s">
        <v>4657</v>
      </c>
      <c r="AF7798" t="s">
        <v>15671</v>
      </c>
    </row>
    <row r="7799" spans="1:32" hidden="1" x14ac:dyDescent="0.35">
      <c r="A7799">
        <v>7798</v>
      </c>
      <c r="B7799" t="s">
        <v>15664</v>
      </c>
      <c r="C7799" t="s">
        <v>68</v>
      </c>
      <c r="D7799" t="s">
        <v>62</v>
      </c>
      <c r="E7799">
        <v>644</v>
      </c>
      <c r="F7799">
        <v>2</v>
      </c>
      <c r="G7799">
        <v>2</v>
      </c>
      <c r="H7799">
        <v>1</v>
      </c>
      <c r="I7799">
        <v>0</v>
      </c>
      <c r="J7799">
        <v>1</v>
      </c>
      <c r="K7799">
        <v>1</v>
      </c>
      <c r="L7799">
        <v>1</v>
      </c>
      <c r="M7799">
        <v>1</v>
      </c>
      <c r="N7799">
        <v>1</v>
      </c>
      <c r="O7799">
        <v>1</v>
      </c>
      <c r="P7799" t="s">
        <v>15665</v>
      </c>
      <c r="Q7799" t="s">
        <v>15666</v>
      </c>
      <c r="R7799" t="s">
        <v>652</v>
      </c>
      <c r="S7799" t="s">
        <v>653</v>
      </c>
      <c r="T7799" t="s">
        <v>15667</v>
      </c>
      <c r="U7799" t="s">
        <v>15668</v>
      </c>
      <c r="V7799" t="s">
        <v>15669</v>
      </c>
      <c r="W7799" t="s">
        <v>15670</v>
      </c>
      <c r="AD7799" t="s">
        <v>410</v>
      </c>
      <c r="AE7799" t="s">
        <v>4657</v>
      </c>
      <c r="AF7799" t="s">
        <v>15671</v>
      </c>
    </row>
    <row r="7800" spans="1:32" hidden="1" x14ac:dyDescent="0.35">
      <c r="A7800">
        <v>7799</v>
      </c>
      <c r="B7800" t="s">
        <v>15672</v>
      </c>
      <c r="C7800" t="s">
        <v>68</v>
      </c>
      <c r="D7800" t="s">
        <v>34</v>
      </c>
      <c r="E7800">
        <v>566</v>
      </c>
      <c r="F7800">
        <v>2</v>
      </c>
      <c r="G7800">
        <v>2</v>
      </c>
      <c r="H7800">
        <v>1</v>
      </c>
      <c r="I7800">
        <v>0</v>
      </c>
      <c r="J7800">
        <v>1</v>
      </c>
      <c r="K7800">
        <v>1</v>
      </c>
      <c r="L7800">
        <v>1</v>
      </c>
      <c r="M7800">
        <v>1</v>
      </c>
      <c r="N7800">
        <v>1</v>
      </c>
      <c r="O7800">
        <v>1</v>
      </c>
      <c r="P7800" t="s">
        <v>13517</v>
      </c>
      <c r="Q7800" t="s">
        <v>13518</v>
      </c>
      <c r="AF7800" t="s">
        <v>15673</v>
      </c>
    </row>
    <row r="7801" spans="1:32" hidden="1" x14ac:dyDescent="0.35">
      <c r="A7801">
        <v>7800</v>
      </c>
      <c r="B7801" t="s">
        <v>15672</v>
      </c>
      <c r="C7801" t="s">
        <v>68</v>
      </c>
      <c r="D7801" t="s">
        <v>45</v>
      </c>
      <c r="E7801">
        <v>1832</v>
      </c>
      <c r="F7801">
        <v>2</v>
      </c>
      <c r="G7801">
        <v>2</v>
      </c>
      <c r="H7801">
        <v>1</v>
      </c>
      <c r="I7801">
        <v>0</v>
      </c>
      <c r="J7801">
        <v>1</v>
      </c>
      <c r="K7801">
        <v>1</v>
      </c>
      <c r="L7801">
        <v>1</v>
      </c>
      <c r="M7801">
        <v>1</v>
      </c>
      <c r="N7801">
        <v>1</v>
      </c>
      <c r="O7801">
        <v>1</v>
      </c>
      <c r="P7801" t="s">
        <v>13517</v>
      </c>
      <c r="Q7801" t="s">
        <v>13518</v>
      </c>
      <c r="AF7801" t="s">
        <v>15673</v>
      </c>
    </row>
    <row r="7802" spans="1:32" hidden="1" x14ac:dyDescent="0.35">
      <c r="A7802">
        <v>7801</v>
      </c>
      <c r="B7802" t="s">
        <v>15674</v>
      </c>
      <c r="C7802" t="s">
        <v>68</v>
      </c>
      <c r="D7802" t="s">
        <v>60</v>
      </c>
      <c r="E7802">
        <v>919</v>
      </c>
      <c r="F7802">
        <v>2</v>
      </c>
      <c r="G7802">
        <v>2</v>
      </c>
      <c r="H7802">
        <v>1</v>
      </c>
      <c r="I7802">
        <v>0</v>
      </c>
      <c r="J7802">
        <v>1</v>
      </c>
      <c r="K7802">
        <v>1</v>
      </c>
      <c r="L7802">
        <v>1</v>
      </c>
      <c r="M7802">
        <v>1</v>
      </c>
      <c r="N7802">
        <v>1</v>
      </c>
      <c r="O7802">
        <v>1</v>
      </c>
      <c r="P7802" t="s">
        <v>13160</v>
      </c>
      <c r="Q7802" t="s">
        <v>13161</v>
      </c>
      <c r="R7802" t="s">
        <v>96</v>
      </c>
      <c r="S7802" t="s">
        <v>97</v>
      </c>
      <c r="V7802" t="s">
        <v>13162</v>
      </c>
      <c r="W7802" t="s">
        <v>13163</v>
      </c>
      <c r="AF7802" t="s">
        <v>15675</v>
      </c>
    </row>
    <row r="7803" spans="1:32" hidden="1" x14ac:dyDescent="0.35">
      <c r="A7803">
        <v>7802</v>
      </c>
      <c r="B7803" t="s">
        <v>15674</v>
      </c>
      <c r="C7803" t="s">
        <v>68</v>
      </c>
      <c r="D7803" t="s">
        <v>62</v>
      </c>
      <c r="E7803">
        <v>955</v>
      </c>
      <c r="F7803">
        <v>2</v>
      </c>
      <c r="G7803">
        <v>2</v>
      </c>
      <c r="H7803">
        <v>1</v>
      </c>
      <c r="I7803">
        <v>0</v>
      </c>
      <c r="J7803">
        <v>1</v>
      </c>
      <c r="K7803">
        <v>1</v>
      </c>
      <c r="L7803">
        <v>1</v>
      </c>
      <c r="M7803">
        <v>1</v>
      </c>
      <c r="N7803">
        <v>1</v>
      </c>
      <c r="O7803">
        <v>1</v>
      </c>
      <c r="P7803" t="s">
        <v>13160</v>
      </c>
      <c r="Q7803" t="s">
        <v>13161</v>
      </c>
      <c r="R7803" t="s">
        <v>96</v>
      </c>
      <c r="S7803" t="s">
        <v>97</v>
      </c>
      <c r="V7803" t="s">
        <v>13162</v>
      </c>
      <c r="W7803" t="s">
        <v>13163</v>
      </c>
      <c r="AF7803" t="s">
        <v>15675</v>
      </c>
    </row>
    <row r="7804" spans="1:32" hidden="1" x14ac:dyDescent="0.35">
      <c r="A7804">
        <v>7803</v>
      </c>
      <c r="B7804" t="s">
        <v>15676</v>
      </c>
      <c r="C7804" t="s">
        <v>68</v>
      </c>
      <c r="D7804" t="s">
        <v>60</v>
      </c>
      <c r="E7804">
        <v>185</v>
      </c>
      <c r="F7804">
        <v>2</v>
      </c>
      <c r="G7804">
        <v>2</v>
      </c>
      <c r="H7804">
        <v>1</v>
      </c>
      <c r="I7804">
        <v>0</v>
      </c>
      <c r="J7804">
        <v>1</v>
      </c>
      <c r="K7804">
        <v>1</v>
      </c>
      <c r="L7804">
        <v>1</v>
      </c>
      <c r="M7804">
        <v>1</v>
      </c>
      <c r="N7804">
        <v>1</v>
      </c>
      <c r="O7804">
        <v>1</v>
      </c>
      <c r="P7804" t="s">
        <v>4878</v>
      </c>
      <c r="Q7804" t="s">
        <v>4879</v>
      </c>
      <c r="R7804" t="s">
        <v>157</v>
      </c>
      <c r="S7804" t="s">
        <v>158</v>
      </c>
      <c r="T7804" t="s">
        <v>4880</v>
      </c>
      <c r="U7804" t="s">
        <v>4881</v>
      </c>
      <c r="V7804" t="s">
        <v>4882</v>
      </c>
      <c r="W7804" t="s">
        <v>4883</v>
      </c>
      <c r="AD7804" t="s">
        <v>4884</v>
      </c>
      <c r="AE7804" t="s">
        <v>4885</v>
      </c>
      <c r="AF7804" t="s">
        <v>15677</v>
      </c>
    </row>
    <row r="7805" spans="1:32" hidden="1" x14ac:dyDescent="0.35">
      <c r="A7805">
        <v>7804</v>
      </c>
      <c r="B7805" t="s">
        <v>15676</v>
      </c>
      <c r="C7805" t="s">
        <v>68</v>
      </c>
      <c r="D7805" t="s">
        <v>62</v>
      </c>
      <c r="E7805">
        <v>261</v>
      </c>
      <c r="F7805">
        <v>2</v>
      </c>
      <c r="G7805">
        <v>2</v>
      </c>
      <c r="H7805">
        <v>1</v>
      </c>
      <c r="I7805">
        <v>0</v>
      </c>
      <c r="J7805">
        <v>1</v>
      </c>
      <c r="K7805">
        <v>1</v>
      </c>
      <c r="L7805">
        <v>1</v>
      </c>
      <c r="M7805">
        <v>1</v>
      </c>
      <c r="N7805">
        <v>1</v>
      </c>
      <c r="O7805">
        <v>1</v>
      </c>
      <c r="P7805" t="s">
        <v>4878</v>
      </c>
      <c r="Q7805" t="s">
        <v>4879</v>
      </c>
      <c r="R7805" t="s">
        <v>157</v>
      </c>
      <c r="S7805" t="s">
        <v>158</v>
      </c>
      <c r="T7805" t="s">
        <v>4880</v>
      </c>
      <c r="U7805" t="s">
        <v>4881</v>
      </c>
      <c r="V7805" t="s">
        <v>4882</v>
      </c>
      <c r="W7805" t="s">
        <v>4883</v>
      </c>
      <c r="AD7805" t="s">
        <v>4884</v>
      </c>
      <c r="AE7805" t="s">
        <v>4885</v>
      </c>
      <c r="AF7805" t="s">
        <v>15677</v>
      </c>
    </row>
    <row r="7806" spans="1:32" hidden="1" x14ac:dyDescent="0.35">
      <c r="A7806">
        <v>7805</v>
      </c>
      <c r="B7806" t="s">
        <v>15678</v>
      </c>
      <c r="C7806" t="s">
        <v>68</v>
      </c>
      <c r="D7806" t="s">
        <v>60</v>
      </c>
      <c r="E7806">
        <v>1009</v>
      </c>
      <c r="F7806">
        <v>2</v>
      </c>
      <c r="G7806">
        <v>2</v>
      </c>
      <c r="H7806">
        <v>1</v>
      </c>
      <c r="I7806">
        <v>0</v>
      </c>
      <c r="J7806">
        <v>1</v>
      </c>
      <c r="K7806">
        <v>1</v>
      </c>
      <c r="L7806">
        <v>1</v>
      </c>
      <c r="M7806">
        <v>1</v>
      </c>
      <c r="N7806">
        <v>1</v>
      </c>
      <c r="O7806">
        <v>1</v>
      </c>
      <c r="P7806" t="s">
        <v>12501</v>
      </c>
      <c r="Q7806" t="s">
        <v>12502</v>
      </c>
      <c r="R7806" t="s">
        <v>869</v>
      </c>
      <c r="S7806" t="s">
        <v>870</v>
      </c>
      <c r="T7806" t="s">
        <v>14236</v>
      </c>
      <c r="U7806" t="s">
        <v>14237</v>
      </c>
      <c r="V7806" t="s">
        <v>12032</v>
      </c>
      <c r="W7806" t="s">
        <v>12033</v>
      </c>
      <c r="AD7806" t="s">
        <v>166</v>
      </c>
      <c r="AE7806" t="s">
        <v>2843</v>
      </c>
      <c r="AF7806" t="s">
        <v>15679</v>
      </c>
    </row>
    <row r="7807" spans="1:32" hidden="1" x14ac:dyDescent="0.35">
      <c r="A7807">
        <v>7806</v>
      </c>
      <c r="B7807" t="s">
        <v>15678</v>
      </c>
      <c r="C7807" t="s">
        <v>68</v>
      </c>
      <c r="D7807" t="s">
        <v>62</v>
      </c>
      <c r="E7807">
        <v>1045</v>
      </c>
      <c r="F7807">
        <v>2</v>
      </c>
      <c r="G7807">
        <v>2</v>
      </c>
      <c r="H7807">
        <v>1</v>
      </c>
      <c r="I7807">
        <v>0</v>
      </c>
      <c r="J7807">
        <v>1</v>
      </c>
      <c r="K7807">
        <v>1</v>
      </c>
      <c r="L7807">
        <v>1</v>
      </c>
      <c r="M7807">
        <v>1</v>
      </c>
      <c r="N7807">
        <v>1</v>
      </c>
      <c r="O7807">
        <v>1</v>
      </c>
      <c r="P7807" t="s">
        <v>12501</v>
      </c>
      <c r="Q7807" t="s">
        <v>12502</v>
      </c>
      <c r="R7807" t="s">
        <v>869</v>
      </c>
      <c r="S7807" t="s">
        <v>870</v>
      </c>
      <c r="T7807" t="s">
        <v>14236</v>
      </c>
      <c r="U7807" t="s">
        <v>14237</v>
      </c>
      <c r="V7807" t="s">
        <v>12032</v>
      </c>
      <c r="W7807" t="s">
        <v>12033</v>
      </c>
      <c r="AD7807" t="s">
        <v>166</v>
      </c>
      <c r="AE7807" t="s">
        <v>2843</v>
      </c>
      <c r="AF7807" t="s">
        <v>15679</v>
      </c>
    </row>
    <row r="7808" spans="1:32" hidden="1" x14ac:dyDescent="0.35">
      <c r="A7808">
        <v>7807</v>
      </c>
      <c r="B7808" t="s">
        <v>15680</v>
      </c>
      <c r="C7808" t="s">
        <v>68</v>
      </c>
      <c r="D7808" t="s">
        <v>60</v>
      </c>
      <c r="E7808">
        <v>2471</v>
      </c>
      <c r="F7808">
        <v>2</v>
      </c>
      <c r="G7808">
        <v>2</v>
      </c>
      <c r="H7808">
        <v>1</v>
      </c>
      <c r="I7808">
        <v>0</v>
      </c>
      <c r="J7808">
        <v>1</v>
      </c>
      <c r="K7808">
        <v>1</v>
      </c>
      <c r="L7808">
        <v>1</v>
      </c>
      <c r="M7808">
        <v>1</v>
      </c>
      <c r="N7808">
        <v>1</v>
      </c>
      <c r="O7808">
        <v>1</v>
      </c>
      <c r="P7808" t="s">
        <v>15681</v>
      </c>
      <c r="Q7808" t="s">
        <v>15682</v>
      </c>
      <c r="AF7808" t="s">
        <v>15683</v>
      </c>
    </row>
    <row r="7809" spans="1:32" hidden="1" x14ac:dyDescent="0.35">
      <c r="A7809">
        <v>7808</v>
      </c>
      <c r="B7809" t="s">
        <v>15680</v>
      </c>
      <c r="C7809" t="s">
        <v>68</v>
      </c>
      <c r="D7809" t="s">
        <v>62</v>
      </c>
      <c r="E7809">
        <v>2497</v>
      </c>
      <c r="F7809">
        <v>2</v>
      </c>
      <c r="G7809">
        <v>2</v>
      </c>
      <c r="H7809">
        <v>1</v>
      </c>
      <c r="I7809">
        <v>0</v>
      </c>
      <c r="J7809">
        <v>1</v>
      </c>
      <c r="K7809">
        <v>1</v>
      </c>
      <c r="L7809">
        <v>1</v>
      </c>
      <c r="M7809">
        <v>1</v>
      </c>
      <c r="N7809">
        <v>1</v>
      </c>
      <c r="O7809">
        <v>1</v>
      </c>
      <c r="P7809" t="s">
        <v>15681</v>
      </c>
      <c r="Q7809" t="s">
        <v>15682</v>
      </c>
      <c r="AF7809" t="s">
        <v>15683</v>
      </c>
    </row>
    <row r="7810" spans="1:32" hidden="1" x14ac:dyDescent="0.35">
      <c r="A7810">
        <v>7809</v>
      </c>
      <c r="B7810" t="s">
        <v>15684</v>
      </c>
      <c r="C7810" t="s">
        <v>68</v>
      </c>
      <c r="D7810" t="s">
        <v>60</v>
      </c>
      <c r="E7810">
        <v>286</v>
      </c>
      <c r="F7810">
        <v>2</v>
      </c>
      <c r="G7810">
        <v>2</v>
      </c>
      <c r="H7810">
        <v>1</v>
      </c>
      <c r="I7810">
        <v>0</v>
      </c>
      <c r="J7810">
        <v>1</v>
      </c>
      <c r="K7810">
        <v>1</v>
      </c>
      <c r="L7810">
        <v>1</v>
      </c>
      <c r="M7810">
        <v>1</v>
      </c>
      <c r="N7810">
        <v>1</v>
      </c>
      <c r="O7810">
        <v>1</v>
      </c>
      <c r="P7810" t="s">
        <v>15685</v>
      </c>
      <c r="Q7810" t="s">
        <v>15686</v>
      </c>
      <c r="AF7810" t="s">
        <v>15687</v>
      </c>
    </row>
    <row r="7811" spans="1:32" hidden="1" x14ac:dyDescent="0.35">
      <c r="A7811">
        <v>7810</v>
      </c>
      <c r="B7811" t="s">
        <v>15684</v>
      </c>
      <c r="C7811" t="s">
        <v>68</v>
      </c>
      <c r="D7811" t="s">
        <v>62</v>
      </c>
      <c r="E7811">
        <v>364</v>
      </c>
      <c r="F7811">
        <v>2</v>
      </c>
      <c r="G7811">
        <v>2</v>
      </c>
      <c r="H7811">
        <v>1</v>
      </c>
      <c r="I7811">
        <v>0</v>
      </c>
      <c r="J7811">
        <v>1</v>
      </c>
      <c r="K7811">
        <v>1</v>
      </c>
      <c r="L7811">
        <v>1</v>
      </c>
      <c r="M7811">
        <v>1</v>
      </c>
      <c r="N7811">
        <v>1</v>
      </c>
      <c r="O7811">
        <v>1</v>
      </c>
      <c r="P7811" t="s">
        <v>15685</v>
      </c>
      <c r="Q7811" t="s">
        <v>15686</v>
      </c>
      <c r="AF7811" t="s">
        <v>15687</v>
      </c>
    </row>
    <row r="7812" spans="1:32" hidden="1" x14ac:dyDescent="0.35">
      <c r="A7812">
        <v>7811</v>
      </c>
      <c r="B7812" t="s">
        <v>15688</v>
      </c>
      <c r="C7812" t="s">
        <v>68</v>
      </c>
      <c r="D7812" t="s">
        <v>34</v>
      </c>
      <c r="E7812">
        <v>1040</v>
      </c>
      <c r="F7812">
        <v>2</v>
      </c>
      <c r="G7812">
        <v>2</v>
      </c>
      <c r="H7812">
        <v>1</v>
      </c>
      <c r="I7812">
        <v>0</v>
      </c>
      <c r="J7812">
        <v>1</v>
      </c>
      <c r="K7812">
        <v>1</v>
      </c>
      <c r="L7812">
        <v>1</v>
      </c>
      <c r="M7812">
        <v>1</v>
      </c>
      <c r="N7812">
        <v>1</v>
      </c>
      <c r="O7812">
        <v>1</v>
      </c>
      <c r="AF7812" t="s">
        <v>15689</v>
      </c>
    </row>
    <row r="7813" spans="1:32" hidden="1" x14ac:dyDescent="0.35">
      <c r="A7813">
        <v>7812</v>
      </c>
      <c r="B7813" t="s">
        <v>15688</v>
      </c>
      <c r="C7813" t="s">
        <v>68</v>
      </c>
      <c r="D7813" t="s">
        <v>45</v>
      </c>
      <c r="E7813">
        <v>2295</v>
      </c>
      <c r="F7813">
        <v>2</v>
      </c>
      <c r="G7813">
        <v>2</v>
      </c>
      <c r="H7813">
        <v>1</v>
      </c>
      <c r="I7813">
        <v>0</v>
      </c>
      <c r="J7813">
        <v>1</v>
      </c>
      <c r="K7813">
        <v>1</v>
      </c>
      <c r="L7813">
        <v>1</v>
      </c>
      <c r="M7813">
        <v>1</v>
      </c>
      <c r="N7813">
        <v>1</v>
      </c>
      <c r="O7813">
        <v>1</v>
      </c>
      <c r="AF7813" t="s">
        <v>15689</v>
      </c>
    </row>
    <row r="7814" spans="1:32" hidden="1" x14ac:dyDescent="0.35">
      <c r="A7814">
        <v>7813</v>
      </c>
      <c r="B7814" t="s">
        <v>15690</v>
      </c>
      <c r="C7814" t="s">
        <v>68</v>
      </c>
      <c r="D7814" t="s">
        <v>34</v>
      </c>
      <c r="E7814">
        <v>525</v>
      </c>
      <c r="F7814">
        <v>2</v>
      </c>
      <c r="G7814">
        <v>2</v>
      </c>
      <c r="H7814">
        <v>1</v>
      </c>
      <c r="I7814">
        <v>0</v>
      </c>
      <c r="J7814">
        <v>1</v>
      </c>
      <c r="K7814">
        <v>1</v>
      </c>
      <c r="L7814">
        <v>1</v>
      </c>
      <c r="M7814">
        <v>1</v>
      </c>
      <c r="N7814">
        <v>1</v>
      </c>
      <c r="O7814">
        <v>1</v>
      </c>
      <c r="R7814" t="s">
        <v>75</v>
      </c>
      <c r="S7814" t="s">
        <v>76</v>
      </c>
      <c r="V7814" t="s">
        <v>3181</v>
      </c>
      <c r="W7814" t="s">
        <v>3182</v>
      </c>
      <c r="X7814" t="s">
        <v>3181</v>
      </c>
      <c r="Y7814" t="s">
        <v>875</v>
      </c>
      <c r="AF7814" t="s">
        <v>15691</v>
      </c>
    </row>
    <row r="7815" spans="1:32" hidden="1" x14ac:dyDescent="0.35">
      <c r="A7815">
        <v>7814</v>
      </c>
      <c r="B7815" t="s">
        <v>15690</v>
      </c>
      <c r="C7815" t="s">
        <v>68</v>
      </c>
      <c r="D7815" t="s">
        <v>45</v>
      </c>
      <c r="E7815">
        <v>1791</v>
      </c>
      <c r="F7815">
        <v>2</v>
      </c>
      <c r="G7815">
        <v>2</v>
      </c>
      <c r="H7815">
        <v>1</v>
      </c>
      <c r="I7815">
        <v>0</v>
      </c>
      <c r="J7815">
        <v>1</v>
      </c>
      <c r="K7815">
        <v>1</v>
      </c>
      <c r="L7815">
        <v>1</v>
      </c>
      <c r="M7815">
        <v>1</v>
      </c>
      <c r="N7815">
        <v>1</v>
      </c>
      <c r="O7815">
        <v>1</v>
      </c>
      <c r="R7815" t="s">
        <v>75</v>
      </c>
      <c r="S7815" t="s">
        <v>76</v>
      </c>
      <c r="V7815" t="s">
        <v>3181</v>
      </c>
      <c r="W7815" t="s">
        <v>3182</v>
      </c>
      <c r="X7815" t="s">
        <v>3181</v>
      </c>
      <c r="Y7815" t="s">
        <v>875</v>
      </c>
      <c r="AF7815" t="s">
        <v>15691</v>
      </c>
    </row>
    <row r="7816" spans="1:32" hidden="1" x14ac:dyDescent="0.35">
      <c r="A7816">
        <v>7815</v>
      </c>
      <c r="B7816" t="s">
        <v>15692</v>
      </c>
      <c r="C7816" t="s">
        <v>68</v>
      </c>
      <c r="D7816" t="s">
        <v>34</v>
      </c>
      <c r="E7816">
        <v>1346</v>
      </c>
      <c r="F7816">
        <v>2</v>
      </c>
      <c r="G7816">
        <v>2</v>
      </c>
      <c r="H7816">
        <v>1</v>
      </c>
      <c r="I7816">
        <v>0</v>
      </c>
      <c r="J7816">
        <v>1</v>
      </c>
      <c r="K7816">
        <v>1</v>
      </c>
      <c r="L7816">
        <v>1</v>
      </c>
      <c r="M7816">
        <v>1</v>
      </c>
      <c r="N7816">
        <v>1</v>
      </c>
      <c r="O7816">
        <v>1</v>
      </c>
      <c r="P7816" t="s">
        <v>1247</v>
      </c>
      <c r="Q7816" t="s">
        <v>1248</v>
      </c>
      <c r="R7816" t="s">
        <v>235</v>
      </c>
      <c r="S7816" t="s">
        <v>236</v>
      </c>
      <c r="T7816" t="s">
        <v>10188</v>
      </c>
      <c r="U7816" t="s">
        <v>10189</v>
      </c>
      <c r="V7816" t="s">
        <v>10190</v>
      </c>
      <c r="W7816" t="s">
        <v>10191</v>
      </c>
      <c r="AD7816" t="s">
        <v>439</v>
      </c>
      <c r="AE7816" t="s">
        <v>10192</v>
      </c>
      <c r="AF7816" t="s">
        <v>15693</v>
      </c>
    </row>
    <row r="7817" spans="1:32" hidden="1" x14ac:dyDescent="0.35">
      <c r="A7817">
        <v>7816</v>
      </c>
      <c r="B7817" t="s">
        <v>15692</v>
      </c>
      <c r="C7817" t="s">
        <v>68</v>
      </c>
      <c r="D7817" t="s">
        <v>45</v>
      </c>
      <c r="E7817">
        <v>97</v>
      </c>
      <c r="F7817">
        <v>2</v>
      </c>
      <c r="G7817">
        <v>2</v>
      </c>
      <c r="H7817">
        <v>1</v>
      </c>
      <c r="I7817">
        <v>0</v>
      </c>
      <c r="J7817">
        <v>1</v>
      </c>
      <c r="K7817">
        <v>1</v>
      </c>
      <c r="L7817">
        <v>1</v>
      </c>
      <c r="M7817">
        <v>1</v>
      </c>
      <c r="N7817">
        <v>1</v>
      </c>
      <c r="O7817">
        <v>1</v>
      </c>
      <c r="P7817" t="s">
        <v>1247</v>
      </c>
      <c r="Q7817" t="s">
        <v>1248</v>
      </c>
      <c r="R7817" t="s">
        <v>235</v>
      </c>
      <c r="S7817" t="s">
        <v>236</v>
      </c>
      <c r="T7817" t="s">
        <v>10188</v>
      </c>
      <c r="U7817" t="s">
        <v>10189</v>
      </c>
      <c r="V7817" t="s">
        <v>10190</v>
      </c>
      <c r="W7817" t="s">
        <v>10191</v>
      </c>
      <c r="AD7817" t="s">
        <v>439</v>
      </c>
      <c r="AE7817" t="s">
        <v>10192</v>
      </c>
      <c r="AF7817" t="s">
        <v>15693</v>
      </c>
    </row>
    <row r="7818" spans="1:32" hidden="1" x14ac:dyDescent="0.35">
      <c r="A7818">
        <v>7817</v>
      </c>
      <c r="B7818" t="s">
        <v>15694</v>
      </c>
      <c r="C7818" t="s">
        <v>68</v>
      </c>
      <c r="D7818" t="s">
        <v>34</v>
      </c>
      <c r="E7818">
        <v>131</v>
      </c>
      <c r="F7818">
        <v>2</v>
      </c>
      <c r="G7818">
        <v>2</v>
      </c>
      <c r="H7818">
        <v>1</v>
      </c>
      <c r="I7818">
        <v>0</v>
      </c>
      <c r="J7818">
        <v>1</v>
      </c>
      <c r="K7818">
        <v>1</v>
      </c>
      <c r="L7818">
        <v>1</v>
      </c>
      <c r="M7818">
        <v>1</v>
      </c>
      <c r="N7818">
        <v>1</v>
      </c>
      <c r="O7818">
        <v>1</v>
      </c>
      <c r="P7818" t="s">
        <v>15052</v>
      </c>
      <c r="Q7818" t="s">
        <v>15053</v>
      </c>
      <c r="AF7818" t="s">
        <v>15695</v>
      </c>
    </row>
    <row r="7819" spans="1:32" hidden="1" x14ac:dyDescent="0.35">
      <c r="A7819">
        <v>7818</v>
      </c>
      <c r="B7819" t="s">
        <v>15694</v>
      </c>
      <c r="C7819" t="s">
        <v>68</v>
      </c>
      <c r="D7819" t="s">
        <v>45</v>
      </c>
      <c r="E7819">
        <v>1393</v>
      </c>
      <c r="F7819">
        <v>2</v>
      </c>
      <c r="G7819">
        <v>2</v>
      </c>
      <c r="H7819">
        <v>1</v>
      </c>
      <c r="I7819">
        <v>0</v>
      </c>
      <c r="J7819">
        <v>1</v>
      </c>
      <c r="K7819">
        <v>1</v>
      </c>
      <c r="L7819">
        <v>1</v>
      </c>
      <c r="M7819">
        <v>1</v>
      </c>
      <c r="N7819">
        <v>1</v>
      </c>
      <c r="O7819">
        <v>1</v>
      </c>
      <c r="P7819" t="s">
        <v>15052</v>
      </c>
      <c r="Q7819" t="s">
        <v>15053</v>
      </c>
      <c r="AF7819" t="s">
        <v>15695</v>
      </c>
    </row>
    <row r="7820" spans="1:32" hidden="1" x14ac:dyDescent="0.35">
      <c r="A7820">
        <v>7819</v>
      </c>
      <c r="B7820" t="s">
        <v>15696</v>
      </c>
      <c r="C7820" t="s">
        <v>68</v>
      </c>
      <c r="D7820" t="s">
        <v>60</v>
      </c>
      <c r="E7820">
        <v>1027</v>
      </c>
      <c r="F7820">
        <v>2</v>
      </c>
      <c r="G7820">
        <v>2</v>
      </c>
      <c r="H7820">
        <v>1</v>
      </c>
      <c r="I7820">
        <v>0</v>
      </c>
      <c r="J7820">
        <v>1</v>
      </c>
      <c r="K7820">
        <v>1</v>
      </c>
      <c r="L7820">
        <v>1</v>
      </c>
      <c r="M7820">
        <v>1</v>
      </c>
      <c r="N7820">
        <v>1</v>
      </c>
      <c r="O7820">
        <v>1</v>
      </c>
      <c r="AF7820" t="s">
        <v>15697</v>
      </c>
    </row>
    <row r="7821" spans="1:32" hidden="1" x14ac:dyDescent="0.35">
      <c r="A7821">
        <v>7820</v>
      </c>
      <c r="B7821" t="s">
        <v>15696</v>
      </c>
      <c r="C7821" t="s">
        <v>68</v>
      </c>
      <c r="D7821" t="s">
        <v>62</v>
      </c>
      <c r="E7821">
        <v>1063</v>
      </c>
      <c r="F7821">
        <v>2</v>
      </c>
      <c r="G7821">
        <v>2</v>
      </c>
      <c r="H7821">
        <v>1</v>
      </c>
      <c r="I7821">
        <v>0</v>
      </c>
      <c r="J7821">
        <v>1</v>
      </c>
      <c r="K7821">
        <v>1</v>
      </c>
      <c r="L7821">
        <v>1</v>
      </c>
      <c r="M7821">
        <v>1</v>
      </c>
      <c r="N7821">
        <v>1</v>
      </c>
      <c r="O7821">
        <v>1</v>
      </c>
      <c r="AF7821" t="s">
        <v>15697</v>
      </c>
    </row>
    <row r="7822" spans="1:32" hidden="1" x14ac:dyDescent="0.35">
      <c r="A7822">
        <v>7821</v>
      </c>
      <c r="B7822" t="s">
        <v>15698</v>
      </c>
      <c r="C7822" t="s">
        <v>68</v>
      </c>
      <c r="D7822" t="s">
        <v>60</v>
      </c>
      <c r="E7822">
        <v>2491</v>
      </c>
      <c r="F7822">
        <v>2</v>
      </c>
      <c r="G7822">
        <v>2</v>
      </c>
      <c r="H7822">
        <v>1</v>
      </c>
      <c r="I7822">
        <v>0</v>
      </c>
      <c r="J7822">
        <v>1</v>
      </c>
      <c r="K7822">
        <v>1</v>
      </c>
      <c r="L7822">
        <v>1</v>
      </c>
      <c r="M7822">
        <v>1</v>
      </c>
      <c r="N7822">
        <v>1</v>
      </c>
      <c r="O7822">
        <v>1</v>
      </c>
      <c r="P7822" t="s">
        <v>15699</v>
      </c>
      <c r="Q7822" t="s">
        <v>15700</v>
      </c>
      <c r="AF7822" t="s">
        <v>15701</v>
      </c>
    </row>
    <row r="7823" spans="1:32" hidden="1" x14ac:dyDescent="0.35">
      <c r="A7823">
        <v>7822</v>
      </c>
      <c r="B7823" t="s">
        <v>15698</v>
      </c>
      <c r="C7823" t="s">
        <v>68</v>
      </c>
      <c r="D7823" t="s">
        <v>62</v>
      </c>
      <c r="E7823">
        <v>18</v>
      </c>
      <c r="F7823">
        <v>2</v>
      </c>
      <c r="G7823">
        <v>2</v>
      </c>
      <c r="H7823">
        <v>1</v>
      </c>
      <c r="I7823">
        <v>0</v>
      </c>
      <c r="J7823">
        <v>1</v>
      </c>
      <c r="K7823">
        <v>1</v>
      </c>
      <c r="L7823">
        <v>1</v>
      </c>
      <c r="M7823">
        <v>1</v>
      </c>
      <c r="N7823">
        <v>1</v>
      </c>
      <c r="O7823">
        <v>1</v>
      </c>
      <c r="P7823" t="s">
        <v>15699</v>
      </c>
      <c r="Q7823" t="s">
        <v>15700</v>
      </c>
      <c r="AF7823" t="s">
        <v>15701</v>
      </c>
    </row>
    <row r="7824" spans="1:32" hidden="1" x14ac:dyDescent="0.35">
      <c r="A7824">
        <v>7823</v>
      </c>
      <c r="B7824" t="s">
        <v>15702</v>
      </c>
      <c r="C7824" t="s">
        <v>68</v>
      </c>
      <c r="D7824" t="s">
        <v>34</v>
      </c>
      <c r="E7824">
        <v>1216</v>
      </c>
      <c r="F7824">
        <v>2</v>
      </c>
      <c r="G7824">
        <v>2</v>
      </c>
      <c r="H7824">
        <v>1</v>
      </c>
      <c r="I7824">
        <v>0</v>
      </c>
      <c r="J7824">
        <v>1</v>
      </c>
      <c r="K7824">
        <v>1</v>
      </c>
      <c r="L7824">
        <v>1</v>
      </c>
      <c r="M7824">
        <v>1</v>
      </c>
      <c r="N7824">
        <v>1</v>
      </c>
      <c r="O7824">
        <v>1</v>
      </c>
      <c r="P7824" t="s">
        <v>15703</v>
      </c>
      <c r="Q7824" t="s">
        <v>15704</v>
      </c>
      <c r="AF7824" t="s">
        <v>15705</v>
      </c>
    </row>
    <row r="7825" spans="1:32" hidden="1" x14ac:dyDescent="0.35">
      <c r="A7825">
        <v>7824</v>
      </c>
      <c r="B7825" t="s">
        <v>15702</v>
      </c>
      <c r="C7825" t="s">
        <v>68</v>
      </c>
      <c r="D7825" t="s">
        <v>45</v>
      </c>
      <c r="E7825">
        <v>2459</v>
      </c>
      <c r="F7825">
        <v>2</v>
      </c>
      <c r="G7825">
        <v>2</v>
      </c>
      <c r="H7825">
        <v>1</v>
      </c>
      <c r="I7825">
        <v>0</v>
      </c>
      <c r="J7825">
        <v>1</v>
      </c>
      <c r="K7825">
        <v>1</v>
      </c>
      <c r="L7825">
        <v>1</v>
      </c>
      <c r="M7825">
        <v>1</v>
      </c>
      <c r="N7825">
        <v>1</v>
      </c>
      <c r="O7825">
        <v>1</v>
      </c>
      <c r="P7825" t="s">
        <v>15703</v>
      </c>
      <c r="Q7825" t="s">
        <v>15704</v>
      </c>
      <c r="AF7825" t="s">
        <v>15705</v>
      </c>
    </row>
    <row r="7826" spans="1:32" hidden="1" x14ac:dyDescent="0.35">
      <c r="A7826">
        <v>7825</v>
      </c>
      <c r="B7826" t="s">
        <v>15706</v>
      </c>
      <c r="C7826" t="s">
        <v>68</v>
      </c>
      <c r="D7826" t="s">
        <v>34</v>
      </c>
      <c r="E7826">
        <v>437</v>
      </c>
      <c r="F7826">
        <v>2</v>
      </c>
      <c r="G7826">
        <v>2</v>
      </c>
      <c r="H7826">
        <v>1</v>
      </c>
      <c r="I7826">
        <v>0</v>
      </c>
      <c r="J7826">
        <v>1</v>
      </c>
      <c r="K7826">
        <v>1</v>
      </c>
      <c r="L7826">
        <v>1</v>
      </c>
      <c r="M7826">
        <v>1</v>
      </c>
      <c r="N7826">
        <v>1</v>
      </c>
      <c r="O7826">
        <v>1</v>
      </c>
      <c r="P7826" t="s">
        <v>4633</v>
      </c>
      <c r="Q7826" t="s">
        <v>4634</v>
      </c>
      <c r="R7826" t="s">
        <v>113</v>
      </c>
      <c r="S7826" t="s">
        <v>114</v>
      </c>
      <c r="T7826" t="s">
        <v>15707</v>
      </c>
      <c r="U7826" t="s">
        <v>15708</v>
      </c>
      <c r="V7826" t="s">
        <v>15709</v>
      </c>
      <c r="W7826" t="s">
        <v>15710</v>
      </c>
      <c r="AD7826" t="s">
        <v>8013</v>
      </c>
      <c r="AE7826" t="s">
        <v>15711</v>
      </c>
      <c r="AF7826" t="s">
        <v>15712</v>
      </c>
    </row>
    <row r="7827" spans="1:32" hidden="1" x14ac:dyDescent="0.35">
      <c r="A7827">
        <v>7826</v>
      </c>
      <c r="B7827" t="s">
        <v>15706</v>
      </c>
      <c r="C7827" t="s">
        <v>68</v>
      </c>
      <c r="D7827" t="s">
        <v>45</v>
      </c>
      <c r="E7827">
        <v>1700</v>
      </c>
      <c r="F7827">
        <v>2</v>
      </c>
      <c r="G7827">
        <v>2</v>
      </c>
      <c r="H7827">
        <v>1</v>
      </c>
      <c r="I7827">
        <v>0</v>
      </c>
      <c r="J7827">
        <v>1</v>
      </c>
      <c r="K7827">
        <v>1</v>
      </c>
      <c r="L7827">
        <v>1</v>
      </c>
      <c r="M7827">
        <v>1</v>
      </c>
      <c r="N7827">
        <v>1</v>
      </c>
      <c r="O7827">
        <v>1</v>
      </c>
      <c r="P7827" t="s">
        <v>4633</v>
      </c>
      <c r="Q7827" t="s">
        <v>4634</v>
      </c>
      <c r="R7827" t="s">
        <v>113</v>
      </c>
      <c r="S7827" t="s">
        <v>114</v>
      </c>
      <c r="T7827" t="s">
        <v>15707</v>
      </c>
      <c r="U7827" t="s">
        <v>15708</v>
      </c>
      <c r="V7827" t="s">
        <v>15709</v>
      </c>
      <c r="W7827" t="s">
        <v>15710</v>
      </c>
      <c r="AD7827" t="s">
        <v>8013</v>
      </c>
      <c r="AE7827" t="s">
        <v>15711</v>
      </c>
      <c r="AF7827" t="s">
        <v>15712</v>
      </c>
    </row>
    <row r="7828" spans="1:32" hidden="1" x14ac:dyDescent="0.35">
      <c r="A7828">
        <v>7827</v>
      </c>
      <c r="B7828" t="s">
        <v>15713</v>
      </c>
      <c r="C7828" t="s">
        <v>68</v>
      </c>
      <c r="D7828" t="s">
        <v>34</v>
      </c>
      <c r="E7828">
        <v>2337</v>
      </c>
      <c r="F7828">
        <v>2</v>
      </c>
      <c r="G7828">
        <v>2</v>
      </c>
      <c r="H7828">
        <v>1</v>
      </c>
      <c r="I7828">
        <v>0</v>
      </c>
      <c r="J7828">
        <v>1</v>
      </c>
      <c r="K7828">
        <v>1</v>
      </c>
      <c r="L7828">
        <v>1</v>
      </c>
      <c r="M7828">
        <v>1</v>
      </c>
      <c r="N7828">
        <v>1</v>
      </c>
      <c r="O7828">
        <v>1</v>
      </c>
      <c r="P7828" t="s">
        <v>6606</v>
      </c>
      <c r="Q7828" t="s">
        <v>6607</v>
      </c>
      <c r="R7828" t="s">
        <v>1191</v>
      </c>
      <c r="S7828" t="s">
        <v>1192</v>
      </c>
      <c r="T7828" t="s">
        <v>6602</v>
      </c>
      <c r="U7828" t="s">
        <v>6603</v>
      </c>
      <c r="V7828" t="s">
        <v>6600</v>
      </c>
      <c r="W7828" t="s">
        <v>6601</v>
      </c>
      <c r="AD7828" t="s">
        <v>1998</v>
      </c>
      <c r="AE7828" t="s">
        <v>6604</v>
      </c>
      <c r="AF7828" t="s">
        <v>15714</v>
      </c>
    </row>
    <row r="7829" spans="1:32" hidden="1" x14ac:dyDescent="0.35">
      <c r="A7829">
        <v>7828</v>
      </c>
      <c r="B7829" t="s">
        <v>15713</v>
      </c>
      <c r="C7829" t="s">
        <v>68</v>
      </c>
      <c r="D7829" t="s">
        <v>45</v>
      </c>
      <c r="E7829">
        <v>542</v>
      </c>
      <c r="F7829">
        <v>2</v>
      </c>
      <c r="G7829">
        <v>2</v>
      </c>
      <c r="H7829">
        <v>1</v>
      </c>
      <c r="I7829">
        <v>0</v>
      </c>
      <c r="J7829">
        <v>1</v>
      </c>
      <c r="K7829">
        <v>1</v>
      </c>
      <c r="L7829">
        <v>1</v>
      </c>
      <c r="M7829">
        <v>1</v>
      </c>
      <c r="N7829">
        <v>1</v>
      </c>
      <c r="O7829">
        <v>1</v>
      </c>
      <c r="P7829" t="s">
        <v>6606</v>
      </c>
      <c r="Q7829" t="s">
        <v>6607</v>
      </c>
      <c r="R7829" t="s">
        <v>1191</v>
      </c>
      <c r="S7829" t="s">
        <v>1192</v>
      </c>
      <c r="T7829" t="s">
        <v>6602</v>
      </c>
      <c r="U7829" t="s">
        <v>6603</v>
      </c>
      <c r="V7829" t="s">
        <v>6600</v>
      </c>
      <c r="W7829" t="s">
        <v>6601</v>
      </c>
      <c r="AD7829" t="s">
        <v>1998</v>
      </c>
      <c r="AE7829" t="s">
        <v>6604</v>
      </c>
      <c r="AF7829" t="s">
        <v>15714</v>
      </c>
    </row>
    <row r="7830" spans="1:32" hidden="1" x14ac:dyDescent="0.35">
      <c r="A7830">
        <v>7829</v>
      </c>
      <c r="B7830" t="s">
        <v>15715</v>
      </c>
      <c r="C7830" t="s">
        <v>68</v>
      </c>
      <c r="D7830" t="s">
        <v>60</v>
      </c>
      <c r="E7830">
        <v>2457</v>
      </c>
      <c r="F7830">
        <v>2</v>
      </c>
      <c r="G7830">
        <v>2</v>
      </c>
      <c r="H7830">
        <v>1</v>
      </c>
      <c r="I7830">
        <v>0</v>
      </c>
      <c r="J7830">
        <v>1</v>
      </c>
      <c r="K7830">
        <v>1</v>
      </c>
      <c r="L7830">
        <v>1</v>
      </c>
      <c r="M7830">
        <v>1</v>
      </c>
      <c r="N7830">
        <v>1</v>
      </c>
      <c r="O7830">
        <v>1</v>
      </c>
      <c r="AF7830" t="s">
        <v>15716</v>
      </c>
    </row>
    <row r="7831" spans="1:32" hidden="1" x14ac:dyDescent="0.35">
      <c r="A7831">
        <v>7830</v>
      </c>
      <c r="B7831" t="s">
        <v>15715</v>
      </c>
      <c r="C7831" t="s">
        <v>68</v>
      </c>
      <c r="D7831" t="s">
        <v>62</v>
      </c>
      <c r="E7831">
        <v>2483</v>
      </c>
      <c r="F7831">
        <v>2</v>
      </c>
      <c r="G7831">
        <v>2</v>
      </c>
      <c r="H7831">
        <v>1</v>
      </c>
      <c r="I7831">
        <v>0</v>
      </c>
      <c r="J7831">
        <v>1</v>
      </c>
      <c r="K7831">
        <v>1</v>
      </c>
      <c r="L7831">
        <v>1</v>
      </c>
      <c r="M7831">
        <v>1</v>
      </c>
      <c r="N7831">
        <v>1</v>
      </c>
      <c r="O7831">
        <v>1</v>
      </c>
      <c r="AF7831" t="s">
        <v>15716</v>
      </c>
    </row>
    <row r="7832" spans="1:32" hidden="1" x14ac:dyDescent="0.35">
      <c r="A7832">
        <v>7831</v>
      </c>
      <c r="B7832" t="s">
        <v>15717</v>
      </c>
      <c r="C7832" t="s">
        <v>68</v>
      </c>
      <c r="D7832" t="s">
        <v>60</v>
      </c>
      <c r="E7832">
        <v>2461</v>
      </c>
      <c r="F7832">
        <v>2</v>
      </c>
      <c r="G7832">
        <v>2</v>
      </c>
      <c r="H7832">
        <v>1</v>
      </c>
      <c r="I7832">
        <v>0</v>
      </c>
      <c r="J7832">
        <v>1</v>
      </c>
      <c r="K7832">
        <v>1</v>
      </c>
      <c r="L7832">
        <v>1</v>
      </c>
      <c r="M7832">
        <v>1</v>
      </c>
      <c r="N7832">
        <v>1</v>
      </c>
      <c r="O7832">
        <v>1</v>
      </c>
      <c r="P7832" t="s">
        <v>15718</v>
      </c>
      <c r="Q7832" t="s">
        <v>15719</v>
      </c>
      <c r="AF7832" t="s">
        <v>15720</v>
      </c>
    </row>
    <row r="7833" spans="1:32" hidden="1" x14ac:dyDescent="0.35">
      <c r="A7833">
        <v>7832</v>
      </c>
      <c r="B7833" t="s">
        <v>15717</v>
      </c>
      <c r="C7833" t="s">
        <v>68</v>
      </c>
      <c r="D7833" t="s">
        <v>62</v>
      </c>
      <c r="E7833">
        <v>2487</v>
      </c>
      <c r="F7833">
        <v>2</v>
      </c>
      <c r="G7833">
        <v>2</v>
      </c>
      <c r="H7833">
        <v>1</v>
      </c>
      <c r="I7833">
        <v>0</v>
      </c>
      <c r="J7833">
        <v>1</v>
      </c>
      <c r="K7833">
        <v>1</v>
      </c>
      <c r="L7833">
        <v>1</v>
      </c>
      <c r="M7833">
        <v>1</v>
      </c>
      <c r="N7833">
        <v>1</v>
      </c>
      <c r="O7833">
        <v>1</v>
      </c>
      <c r="P7833" t="s">
        <v>15718</v>
      </c>
      <c r="Q7833" t="s">
        <v>15719</v>
      </c>
      <c r="AF7833" t="s">
        <v>15720</v>
      </c>
    </row>
    <row r="7834" spans="1:32" hidden="1" x14ac:dyDescent="0.35">
      <c r="A7834">
        <v>7833</v>
      </c>
      <c r="B7834" t="s">
        <v>15721</v>
      </c>
      <c r="C7834" t="s">
        <v>68</v>
      </c>
      <c r="D7834" t="s">
        <v>60</v>
      </c>
      <c r="E7834">
        <v>884</v>
      </c>
      <c r="F7834">
        <v>2</v>
      </c>
      <c r="G7834">
        <v>2</v>
      </c>
      <c r="H7834">
        <v>1</v>
      </c>
      <c r="I7834">
        <v>0</v>
      </c>
      <c r="J7834">
        <v>1</v>
      </c>
      <c r="K7834">
        <v>1</v>
      </c>
      <c r="L7834">
        <v>1</v>
      </c>
      <c r="M7834">
        <v>1</v>
      </c>
      <c r="N7834">
        <v>1</v>
      </c>
      <c r="O7834">
        <v>1</v>
      </c>
      <c r="P7834" t="s">
        <v>15722</v>
      </c>
      <c r="Q7834" t="s">
        <v>15723</v>
      </c>
      <c r="R7834" t="s">
        <v>371</v>
      </c>
      <c r="S7834" t="s">
        <v>372</v>
      </c>
      <c r="T7834" t="s">
        <v>15724</v>
      </c>
      <c r="U7834" t="s">
        <v>15725</v>
      </c>
      <c r="V7834" t="s">
        <v>15726</v>
      </c>
      <c r="W7834" t="s">
        <v>15727</v>
      </c>
      <c r="AD7834" t="s">
        <v>410</v>
      </c>
      <c r="AE7834" t="s">
        <v>1217</v>
      </c>
      <c r="AF7834" t="s">
        <v>15728</v>
      </c>
    </row>
    <row r="7835" spans="1:32" hidden="1" x14ac:dyDescent="0.35">
      <c r="A7835">
        <v>7834</v>
      </c>
      <c r="B7835" t="s">
        <v>15721</v>
      </c>
      <c r="C7835" t="s">
        <v>68</v>
      </c>
      <c r="D7835" t="s">
        <v>62</v>
      </c>
      <c r="E7835">
        <v>918</v>
      </c>
      <c r="F7835">
        <v>2</v>
      </c>
      <c r="G7835">
        <v>2</v>
      </c>
      <c r="H7835">
        <v>1</v>
      </c>
      <c r="I7835">
        <v>0</v>
      </c>
      <c r="J7835">
        <v>1</v>
      </c>
      <c r="K7835">
        <v>1</v>
      </c>
      <c r="L7835">
        <v>1</v>
      </c>
      <c r="M7835">
        <v>1</v>
      </c>
      <c r="N7835">
        <v>1</v>
      </c>
      <c r="O7835">
        <v>1</v>
      </c>
      <c r="P7835" t="s">
        <v>15722</v>
      </c>
      <c r="Q7835" t="s">
        <v>15723</v>
      </c>
      <c r="R7835" t="s">
        <v>371</v>
      </c>
      <c r="S7835" t="s">
        <v>372</v>
      </c>
      <c r="T7835" t="s">
        <v>15724</v>
      </c>
      <c r="U7835" t="s">
        <v>15725</v>
      </c>
      <c r="V7835" t="s">
        <v>15726</v>
      </c>
      <c r="W7835" t="s">
        <v>15727</v>
      </c>
      <c r="AD7835" t="s">
        <v>410</v>
      </c>
      <c r="AE7835" t="s">
        <v>1217</v>
      </c>
      <c r="AF7835" t="s">
        <v>15728</v>
      </c>
    </row>
    <row r="7836" spans="1:32" hidden="1" x14ac:dyDescent="0.35">
      <c r="A7836">
        <v>7835</v>
      </c>
      <c r="B7836" t="s">
        <v>15729</v>
      </c>
      <c r="C7836" t="s">
        <v>68</v>
      </c>
      <c r="D7836" t="s">
        <v>60</v>
      </c>
      <c r="E7836">
        <v>794</v>
      </c>
      <c r="F7836">
        <v>2</v>
      </c>
      <c r="G7836">
        <v>2</v>
      </c>
      <c r="H7836">
        <v>1</v>
      </c>
      <c r="I7836">
        <v>0</v>
      </c>
      <c r="J7836">
        <v>1</v>
      </c>
      <c r="K7836">
        <v>1</v>
      </c>
      <c r="L7836">
        <v>1</v>
      </c>
      <c r="M7836">
        <v>1</v>
      </c>
      <c r="N7836">
        <v>1</v>
      </c>
      <c r="O7836">
        <v>1</v>
      </c>
      <c r="AF7836" t="s">
        <v>15730</v>
      </c>
    </row>
    <row r="7837" spans="1:32" hidden="1" x14ac:dyDescent="0.35">
      <c r="A7837">
        <v>7836</v>
      </c>
      <c r="B7837" t="s">
        <v>15729</v>
      </c>
      <c r="C7837" t="s">
        <v>68</v>
      </c>
      <c r="D7837" t="s">
        <v>62</v>
      </c>
      <c r="E7837">
        <v>827</v>
      </c>
      <c r="F7837">
        <v>2</v>
      </c>
      <c r="G7837">
        <v>2</v>
      </c>
      <c r="H7837">
        <v>1</v>
      </c>
      <c r="I7837">
        <v>0</v>
      </c>
      <c r="J7837">
        <v>1</v>
      </c>
      <c r="K7837">
        <v>1</v>
      </c>
      <c r="L7837">
        <v>1</v>
      </c>
      <c r="M7837">
        <v>1</v>
      </c>
      <c r="N7837">
        <v>1</v>
      </c>
      <c r="O7837">
        <v>1</v>
      </c>
      <c r="AF7837" t="s">
        <v>15730</v>
      </c>
    </row>
    <row r="7838" spans="1:32" hidden="1" x14ac:dyDescent="0.35">
      <c r="A7838">
        <v>7837</v>
      </c>
      <c r="B7838" t="s">
        <v>15731</v>
      </c>
      <c r="C7838" t="s">
        <v>68</v>
      </c>
      <c r="D7838" t="s">
        <v>60</v>
      </c>
      <c r="E7838">
        <v>1110</v>
      </c>
      <c r="F7838">
        <v>2</v>
      </c>
      <c r="G7838">
        <v>2</v>
      </c>
      <c r="H7838">
        <v>1</v>
      </c>
      <c r="I7838">
        <v>0</v>
      </c>
      <c r="J7838">
        <v>1</v>
      </c>
      <c r="K7838">
        <v>1</v>
      </c>
      <c r="L7838">
        <v>1</v>
      </c>
      <c r="M7838">
        <v>1</v>
      </c>
      <c r="N7838">
        <v>1</v>
      </c>
      <c r="O7838">
        <v>1</v>
      </c>
      <c r="AF7838" t="s">
        <v>15732</v>
      </c>
    </row>
    <row r="7839" spans="1:32" hidden="1" x14ac:dyDescent="0.35">
      <c r="A7839">
        <v>7838</v>
      </c>
      <c r="B7839" t="s">
        <v>15731</v>
      </c>
      <c r="C7839" t="s">
        <v>68</v>
      </c>
      <c r="D7839" t="s">
        <v>62</v>
      </c>
      <c r="E7839">
        <v>1146</v>
      </c>
      <c r="F7839">
        <v>2</v>
      </c>
      <c r="G7839">
        <v>2</v>
      </c>
      <c r="H7839">
        <v>1</v>
      </c>
      <c r="I7839">
        <v>0</v>
      </c>
      <c r="J7839">
        <v>1</v>
      </c>
      <c r="K7839">
        <v>1</v>
      </c>
      <c r="L7839">
        <v>1</v>
      </c>
      <c r="M7839">
        <v>1</v>
      </c>
      <c r="N7839">
        <v>1</v>
      </c>
      <c r="O7839">
        <v>1</v>
      </c>
      <c r="AF7839" t="s">
        <v>15732</v>
      </c>
    </row>
    <row r="7840" spans="1:32" hidden="1" x14ac:dyDescent="0.35">
      <c r="A7840">
        <v>7839</v>
      </c>
      <c r="B7840" t="s">
        <v>15733</v>
      </c>
      <c r="C7840" t="s">
        <v>68</v>
      </c>
      <c r="D7840" t="s">
        <v>34</v>
      </c>
      <c r="E7840">
        <v>1460</v>
      </c>
      <c r="F7840">
        <v>2</v>
      </c>
      <c r="G7840">
        <v>2</v>
      </c>
      <c r="H7840">
        <v>1</v>
      </c>
      <c r="I7840">
        <v>0</v>
      </c>
      <c r="J7840">
        <v>1</v>
      </c>
      <c r="K7840">
        <v>1</v>
      </c>
      <c r="L7840">
        <v>1</v>
      </c>
      <c r="M7840">
        <v>1</v>
      </c>
      <c r="N7840">
        <v>1</v>
      </c>
      <c r="O7840">
        <v>1</v>
      </c>
      <c r="AF7840" t="s">
        <v>15734</v>
      </c>
    </row>
    <row r="7841" spans="1:32" hidden="1" x14ac:dyDescent="0.35">
      <c r="A7841">
        <v>7840</v>
      </c>
      <c r="B7841" t="s">
        <v>15733</v>
      </c>
      <c r="C7841" t="s">
        <v>68</v>
      </c>
      <c r="D7841" t="s">
        <v>45</v>
      </c>
      <c r="E7841">
        <v>211</v>
      </c>
      <c r="F7841">
        <v>2</v>
      </c>
      <c r="G7841">
        <v>2</v>
      </c>
      <c r="H7841">
        <v>1</v>
      </c>
      <c r="I7841">
        <v>0</v>
      </c>
      <c r="J7841">
        <v>1</v>
      </c>
      <c r="K7841">
        <v>1</v>
      </c>
      <c r="L7841">
        <v>1</v>
      </c>
      <c r="M7841">
        <v>1</v>
      </c>
      <c r="N7841">
        <v>1</v>
      </c>
      <c r="O7841">
        <v>1</v>
      </c>
      <c r="AF7841" t="s">
        <v>15734</v>
      </c>
    </row>
    <row r="7842" spans="1:32" hidden="1" x14ac:dyDescent="0.35">
      <c r="A7842">
        <v>7841</v>
      </c>
      <c r="B7842" t="s">
        <v>15735</v>
      </c>
      <c r="C7842" t="s">
        <v>68</v>
      </c>
      <c r="D7842" t="s">
        <v>60</v>
      </c>
      <c r="E7842">
        <v>1584</v>
      </c>
      <c r="F7842">
        <v>2</v>
      </c>
      <c r="G7842">
        <v>2</v>
      </c>
      <c r="H7842">
        <v>1</v>
      </c>
      <c r="I7842">
        <v>0</v>
      </c>
      <c r="J7842">
        <v>1</v>
      </c>
      <c r="K7842">
        <v>1</v>
      </c>
      <c r="L7842">
        <v>1</v>
      </c>
      <c r="M7842">
        <v>1</v>
      </c>
      <c r="N7842">
        <v>1</v>
      </c>
      <c r="O7842">
        <v>1</v>
      </c>
      <c r="AF7842" t="s">
        <v>15736</v>
      </c>
    </row>
    <row r="7843" spans="1:32" hidden="1" x14ac:dyDescent="0.35">
      <c r="A7843">
        <v>7842</v>
      </c>
      <c r="B7843" t="s">
        <v>15735</v>
      </c>
      <c r="C7843" t="s">
        <v>68</v>
      </c>
      <c r="D7843" t="s">
        <v>62</v>
      </c>
      <c r="E7843">
        <v>1620</v>
      </c>
      <c r="F7843">
        <v>2</v>
      </c>
      <c r="G7843">
        <v>2</v>
      </c>
      <c r="H7843">
        <v>1</v>
      </c>
      <c r="I7843">
        <v>0</v>
      </c>
      <c r="J7843">
        <v>1</v>
      </c>
      <c r="K7843">
        <v>1</v>
      </c>
      <c r="L7843">
        <v>1</v>
      </c>
      <c r="M7843">
        <v>1</v>
      </c>
      <c r="N7843">
        <v>1</v>
      </c>
      <c r="O7843">
        <v>1</v>
      </c>
      <c r="AF7843" t="s">
        <v>15736</v>
      </c>
    </row>
    <row r="7844" spans="1:32" hidden="1" x14ac:dyDescent="0.35">
      <c r="A7844">
        <v>7843</v>
      </c>
      <c r="B7844" t="s">
        <v>15737</v>
      </c>
      <c r="C7844" t="s">
        <v>68</v>
      </c>
      <c r="D7844" t="s">
        <v>60</v>
      </c>
      <c r="E7844">
        <v>410</v>
      </c>
      <c r="F7844">
        <v>2</v>
      </c>
      <c r="G7844">
        <v>2</v>
      </c>
      <c r="H7844">
        <v>1</v>
      </c>
      <c r="I7844">
        <v>0</v>
      </c>
      <c r="J7844">
        <v>1</v>
      </c>
      <c r="K7844">
        <v>1</v>
      </c>
      <c r="L7844">
        <v>1</v>
      </c>
      <c r="M7844">
        <v>1</v>
      </c>
      <c r="N7844">
        <v>1</v>
      </c>
      <c r="O7844">
        <v>1</v>
      </c>
      <c r="P7844" t="s">
        <v>136</v>
      </c>
      <c r="Q7844" t="s">
        <v>137</v>
      </c>
      <c r="R7844" t="s">
        <v>138</v>
      </c>
      <c r="S7844" t="s">
        <v>139</v>
      </c>
      <c r="T7844" t="s">
        <v>140</v>
      </c>
      <c r="U7844" t="s">
        <v>141</v>
      </c>
      <c r="V7844" t="s">
        <v>142</v>
      </c>
      <c r="W7844" t="s">
        <v>143</v>
      </c>
      <c r="Z7844" t="s">
        <v>144</v>
      </c>
      <c r="AA7844" t="s">
        <v>145</v>
      </c>
      <c r="AB7844" t="s">
        <v>144</v>
      </c>
      <c r="AC7844" t="s">
        <v>146</v>
      </c>
      <c r="AD7844" t="s">
        <v>147</v>
      </c>
      <c r="AE7844" t="s">
        <v>148</v>
      </c>
      <c r="AF7844" t="s">
        <v>15738</v>
      </c>
    </row>
    <row r="7845" spans="1:32" hidden="1" x14ac:dyDescent="0.35">
      <c r="A7845">
        <v>7844</v>
      </c>
      <c r="B7845" t="s">
        <v>15737</v>
      </c>
      <c r="C7845" t="s">
        <v>68</v>
      </c>
      <c r="D7845" t="s">
        <v>62</v>
      </c>
      <c r="E7845">
        <v>491</v>
      </c>
      <c r="F7845">
        <v>2</v>
      </c>
      <c r="G7845">
        <v>2</v>
      </c>
      <c r="H7845">
        <v>1</v>
      </c>
      <c r="I7845">
        <v>0</v>
      </c>
      <c r="J7845">
        <v>1</v>
      </c>
      <c r="K7845">
        <v>1</v>
      </c>
      <c r="L7845">
        <v>1</v>
      </c>
      <c r="M7845">
        <v>1</v>
      </c>
      <c r="N7845">
        <v>1</v>
      </c>
      <c r="O7845">
        <v>1</v>
      </c>
      <c r="P7845" t="s">
        <v>136</v>
      </c>
      <c r="Q7845" t="s">
        <v>137</v>
      </c>
      <c r="R7845" t="s">
        <v>138</v>
      </c>
      <c r="S7845" t="s">
        <v>139</v>
      </c>
      <c r="T7845" t="s">
        <v>140</v>
      </c>
      <c r="U7845" t="s">
        <v>141</v>
      </c>
      <c r="V7845" t="s">
        <v>142</v>
      </c>
      <c r="W7845" t="s">
        <v>143</v>
      </c>
      <c r="Z7845" t="s">
        <v>144</v>
      </c>
      <c r="AA7845" t="s">
        <v>145</v>
      </c>
      <c r="AB7845" t="s">
        <v>144</v>
      </c>
      <c r="AC7845" t="s">
        <v>146</v>
      </c>
      <c r="AD7845" t="s">
        <v>147</v>
      </c>
      <c r="AE7845" t="s">
        <v>148</v>
      </c>
      <c r="AF7845" t="s">
        <v>15738</v>
      </c>
    </row>
    <row r="7846" spans="1:32" hidden="1" x14ac:dyDescent="0.35">
      <c r="A7846">
        <v>7845</v>
      </c>
      <c r="B7846" t="s">
        <v>15739</v>
      </c>
      <c r="C7846" t="s">
        <v>68</v>
      </c>
      <c r="D7846" t="s">
        <v>60</v>
      </c>
      <c r="E7846">
        <v>2253</v>
      </c>
      <c r="F7846">
        <v>2</v>
      </c>
      <c r="G7846">
        <v>2</v>
      </c>
      <c r="H7846">
        <v>1</v>
      </c>
      <c r="I7846">
        <v>0</v>
      </c>
      <c r="J7846">
        <v>1</v>
      </c>
      <c r="K7846">
        <v>1</v>
      </c>
      <c r="L7846">
        <v>1</v>
      </c>
      <c r="M7846">
        <v>1</v>
      </c>
      <c r="N7846">
        <v>1</v>
      </c>
      <c r="O7846">
        <v>1</v>
      </c>
      <c r="AF7846" t="s">
        <v>15740</v>
      </c>
    </row>
    <row r="7847" spans="1:32" hidden="1" x14ac:dyDescent="0.35">
      <c r="A7847">
        <v>7846</v>
      </c>
      <c r="B7847" t="s">
        <v>15739</v>
      </c>
      <c r="C7847" t="s">
        <v>68</v>
      </c>
      <c r="D7847" t="s">
        <v>62</v>
      </c>
      <c r="E7847">
        <v>2282</v>
      </c>
      <c r="F7847">
        <v>2</v>
      </c>
      <c r="G7847">
        <v>2</v>
      </c>
      <c r="H7847">
        <v>1</v>
      </c>
      <c r="I7847">
        <v>0</v>
      </c>
      <c r="J7847">
        <v>1</v>
      </c>
      <c r="K7847">
        <v>1</v>
      </c>
      <c r="L7847">
        <v>1</v>
      </c>
      <c r="M7847">
        <v>1</v>
      </c>
      <c r="N7847">
        <v>1</v>
      </c>
      <c r="O7847">
        <v>1</v>
      </c>
      <c r="AF7847" t="s">
        <v>15740</v>
      </c>
    </row>
    <row r="7848" spans="1:32" hidden="1" x14ac:dyDescent="0.35">
      <c r="A7848">
        <v>7847</v>
      </c>
      <c r="B7848" t="s">
        <v>15741</v>
      </c>
      <c r="C7848" t="s">
        <v>68</v>
      </c>
      <c r="D7848" t="s">
        <v>34</v>
      </c>
      <c r="E7848">
        <v>2009</v>
      </c>
      <c r="F7848">
        <v>2</v>
      </c>
      <c r="G7848">
        <v>2</v>
      </c>
      <c r="H7848">
        <v>1</v>
      </c>
      <c r="I7848">
        <v>0</v>
      </c>
      <c r="J7848">
        <v>1</v>
      </c>
      <c r="K7848">
        <v>1</v>
      </c>
      <c r="L7848">
        <v>1</v>
      </c>
      <c r="M7848">
        <v>1</v>
      </c>
      <c r="N7848">
        <v>1</v>
      </c>
      <c r="O7848">
        <v>1</v>
      </c>
      <c r="AF7848" t="s">
        <v>15742</v>
      </c>
    </row>
    <row r="7849" spans="1:32" hidden="1" x14ac:dyDescent="0.35">
      <c r="A7849">
        <v>7848</v>
      </c>
      <c r="B7849" t="s">
        <v>15741</v>
      </c>
      <c r="C7849" t="s">
        <v>68</v>
      </c>
      <c r="D7849" t="s">
        <v>45</v>
      </c>
      <c r="E7849">
        <v>862</v>
      </c>
      <c r="F7849">
        <v>2</v>
      </c>
      <c r="G7849">
        <v>2</v>
      </c>
      <c r="H7849">
        <v>1</v>
      </c>
      <c r="I7849">
        <v>0</v>
      </c>
      <c r="J7849">
        <v>1</v>
      </c>
      <c r="K7849">
        <v>1</v>
      </c>
      <c r="L7849">
        <v>1</v>
      </c>
      <c r="M7849">
        <v>1</v>
      </c>
      <c r="N7849">
        <v>1</v>
      </c>
      <c r="O7849">
        <v>1</v>
      </c>
      <c r="AF7849" t="s">
        <v>15742</v>
      </c>
    </row>
    <row r="7850" spans="1:32" hidden="1" x14ac:dyDescent="0.35">
      <c r="A7850">
        <v>7849</v>
      </c>
      <c r="B7850" t="s">
        <v>15743</v>
      </c>
      <c r="C7850" t="s">
        <v>68</v>
      </c>
      <c r="D7850" t="s">
        <v>60</v>
      </c>
      <c r="E7850">
        <v>1539</v>
      </c>
      <c r="F7850">
        <v>2</v>
      </c>
      <c r="G7850">
        <v>2</v>
      </c>
      <c r="H7850">
        <v>1</v>
      </c>
      <c r="I7850">
        <v>0</v>
      </c>
      <c r="J7850">
        <v>1</v>
      </c>
      <c r="K7850">
        <v>1</v>
      </c>
      <c r="L7850">
        <v>1</v>
      </c>
      <c r="M7850">
        <v>1</v>
      </c>
      <c r="N7850">
        <v>1</v>
      </c>
      <c r="O7850">
        <v>1</v>
      </c>
      <c r="P7850" t="s">
        <v>15744</v>
      </c>
      <c r="Q7850" t="s">
        <v>15745</v>
      </c>
      <c r="AF7850" t="s">
        <v>15746</v>
      </c>
    </row>
    <row r="7851" spans="1:32" hidden="1" x14ac:dyDescent="0.35">
      <c r="A7851">
        <v>7850</v>
      </c>
      <c r="B7851" t="s">
        <v>15743</v>
      </c>
      <c r="C7851" t="s">
        <v>68</v>
      </c>
      <c r="D7851" t="s">
        <v>62</v>
      </c>
      <c r="E7851">
        <v>1574</v>
      </c>
      <c r="F7851">
        <v>2</v>
      </c>
      <c r="G7851">
        <v>2</v>
      </c>
      <c r="H7851">
        <v>1</v>
      </c>
      <c r="I7851">
        <v>0</v>
      </c>
      <c r="J7851">
        <v>1</v>
      </c>
      <c r="K7851">
        <v>1</v>
      </c>
      <c r="L7851">
        <v>1</v>
      </c>
      <c r="M7851">
        <v>1</v>
      </c>
      <c r="N7851">
        <v>1</v>
      </c>
      <c r="O7851">
        <v>1</v>
      </c>
      <c r="P7851" t="s">
        <v>15744</v>
      </c>
      <c r="Q7851" t="s">
        <v>15745</v>
      </c>
      <c r="AF7851" t="s">
        <v>15746</v>
      </c>
    </row>
    <row r="7852" spans="1:32" hidden="1" x14ac:dyDescent="0.35">
      <c r="A7852">
        <v>7851</v>
      </c>
      <c r="B7852" t="s">
        <v>15747</v>
      </c>
      <c r="C7852" t="s">
        <v>68</v>
      </c>
      <c r="D7852" t="s">
        <v>60</v>
      </c>
      <c r="E7852">
        <v>1965</v>
      </c>
      <c r="F7852">
        <v>2</v>
      </c>
      <c r="G7852">
        <v>2</v>
      </c>
      <c r="H7852">
        <v>1</v>
      </c>
      <c r="I7852">
        <v>0</v>
      </c>
      <c r="J7852">
        <v>1</v>
      </c>
      <c r="K7852">
        <v>1</v>
      </c>
      <c r="L7852">
        <v>1</v>
      </c>
      <c r="M7852">
        <v>1</v>
      </c>
      <c r="N7852">
        <v>1</v>
      </c>
      <c r="O7852">
        <v>1</v>
      </c>
      <c r="P7852" t="s">
        <v>11104</v>
      </c>
      <c r="Q7852" t="s">
        <v>11105</v>
      </c>
      <c r="R7852" t="s">
        <v>113</v>
      </c>
      <c r="S7852" t="s">
        <v>114</v>
      </c>
      <c r="T7852" t="s">
        <v>11106</v>
      </c>
      <c r="U7852" t="s">
        <v>11107</v>
      </c>
      <c r="V7852" t="s">
        <v>11108</v>
      </c>
      <c r="W7852" t="s">
        <v>11109</v>
      </c>
      <c r="AD7852" t="s">
        <v>312</v>
      </c>
      <c r="AE7852" t="s">
        <v>11110</v>
      </c>
      <c r="AF7852" t="s">
        <v>15748</v>
      </c>
    </row>
    <row r="7853" spans="1:32" hidden="1" x14ac:dyDescent="0.35">
      <c r="A7853">
        <v>7852</v>
      </c>
      <c r="B7853" t="s">
        <v>15747</v>
      </c>
      <c r="C7853" t="s">
        <v>68</v>
      </c>
      <c r="D7853" t="s">
        <v>62</v>
      </c>
      <c r="E7853">
        <v>2006</v>
      </c>
      <c r="F7853">
        <v>2</v>
      </c>
      <c r="G7853">
        <v>2</v>
      </c>
      <c r="H7853">
        <v>1</v>
      </c>
      <c r="I7853">
        <v>0</v>
      </c>
      <c r="J7853">
        <v>1</v>
      </c>
      <c r="K7853">
        <v>1</v>
      </c>
      <c r="L7853">
        <v>1</v>
      </c>
      <c r="M7853">
        <v>1</v>
      </c>
      <c r="N7853">
        <v>1</v>
      </c>
      <c r="O7853">
        <v>1</v>
      </c>
      <c r="P7853" t="s">
        <v>11104</v>
      </c>
      <c r="Q7853" t="s">
        <v>11105</v>
      </c>
      <c r="R7853" t="s">
        <v>113</v>
      </c>
      <c r="S7853" t="s">
        <v>114</v>
      </c>
      <c r="T7853" t="s">
        <v>11106</v>
      </c>
      <c r="U7853" t="s">
        <v>11107</v>
      </c>
      <c r="V7853" t="s">
        <v>11108</v>
      </c>
      <c r="W7853" t="s">
        <v>11109</v>
      </c>
      <c r="AD7853" t="s">
        <v>312</v>
      </c>
      <c r="AE7853" t="s">
        <v>11110</v>
      </c>
      <c r="AF7853" t="s">
        <v>15748</v>
      </c>
    </row>
    <row r="7854" spans="1:32" hidden="1" x14ac:dyDescent="0.35">
      <c r="A7854">
        <v>7853</v>
      </c>
      <c r="B7854" t="s">
        <v>15749</v>
      </c>
      <c r="C7854" t="s">
        <v>68</v>
      </c>
      <c r="D7854" t="s">
        <v>60</v>
      </c>
      <c r="E7854">
        <v>2160</v>
      </c>
      <c r="F7854">
        <v>2</v>
      </c>
      <c r="G7854">
        <v>2</v>
      </c>
      <c r="H7854">
        <v>1</v>
      </c>
      <c r="I7854">
        <v>0</v>
      </c>
      <c r="J7854">
        <v>1</v>
      </c>
      <c r="K7854">
        <v>1</v>
      </c>
      <c r="L7854">
        <v>1</v>
      </c>
      <c r="M7854">
        <v>1</v>
      </c>
      <c r="N7854">
        <v>1</v>
      </c>
      <c r="O7854">
        <v>1</v>
      </c>
      <c r="R7854" t="s">
        <v>235</v>
      </c>
      <c r="S7854" t="s">
        <v>236</v>
      </c>
      <c r="V7854" t="s">
        <v>15750</v>
      </c>
      <c r="W7854" t="s">
        <v>15751</v>
      </c>
      <c r="AF7854" t="s">
        <v>15752</v>
      </c>
    </row>
    <row r="7855" spans="1:32" hidden="1" x14ac:dyDescent="0.35">
      <c r="A7855">
        <v>7854</v>
      </c>
      <c r="B7855" t="s">
        <v>15749</v>
      </c>
      <c r="C7855" t="s">
        <v>68</v>
      </c>
      <c r="D7855" t="s">
        <v>62</v>
      </c>
      <c r="E7855">
        <v>2194</v>
      </c>
      <c r="F7855">
        <v>2</v>
      </c>
      <c r="G7855">
        <v>2</v>
      </c>
      <c r="H7855">
        <v>1</v>
      </c>
      <c r="I7855">
        <v>0</v>
      </c>
      <c r="J7855">
        <v>1</v>
      </c>
      <c r="K7855">
        <v>1</v>
      </c>
      <c r="L7855">
        <v>1</v>
      </c>
      <c r="M7855">
        <v>1</v>
      </c>
      <c r="N7855">
        <v>1</v>
      </c>
      <c r="O7855">
        <v>1</v>
      </c>
      <c r="R7855" t="s">
        <v>235</v>
      </c>
      <c r="S7855" t="s">
        <v>236</v>
      </c>
      <c r="V7855" t="s">
        <v>15750</v>
      </c>
      <c r="W7855" t="s">
        <v>15751</v>
      </c>
      <c r="AF7855" t="s">
        <v>15752</v>
      </c>
    </row>
    <row r="7856" spans="1:32" hidden="1" x14ac:dyDescent="0.35">
      <c r="A7856">
        <v>7855</v>
      </c>
      <c r="B7856" t="s">
        <v>15753</v>
      </c>
      <c r="C7856" t="s">
        <v>68</v>
      </c>
      <c r="D7856" t="s">
        <v>60</v>
      </c>
      <c r="E7856">
        <v>136</v>
      </c>
      <c r="F7856">
        <v>2</v>
      </c>
      <c r="G7856">
        <v>2</v>
      </c>
      <c r="H7856">
        <v>1</v>
      </c>
      <c r="I7856">
        <v>0</v>
      </c>
      <c r="J7856">
        <v>1</v>
      </c>
      <c r="K7856">
        <v>1</v>
      </c>
      <c r="L7856">
        <v>1</v>
      </c>
      <c r="M7856">
        <v>1</v>
      </c>
      <c r="N7856">
        <v>1</v>
      </c>
      <c r="O7856">
        <v>1</v>
      </c>
      <c r="P7856" t="s">
        <v>13565</v>
      </c>
      <c r="Q7856" t="s">
        <v>13566</v>
      </c>
      <c r="R7856" t="s">
        <v>157</v>
      </c>
      <c r="S7856" t="s">
        <v>158</v>
      </c>
      <c r="V7856" t="s">
        <v>13567</v>
      </c>
      <c r="W7856" t="s">
        <v>13568</v>
      </c>
      <c r="AF7856" t="s">
        <v>15754</v>
      </c>
    </row>
    <row r="7857" spans="1:32" hidden="1" x14ac:dyDescent="0.35">
      <c r="A7857">
        <v>7856</v>
      </c>
      <c r="B7857" t="s">
        <v>15753</v>
      </c>
      <c r="C7857" t="s">
        <v>68</v>
      </c>
      <c r="D7857" t="s">
        <v>62</v>
      </c>
      <c r="E7857">
        <v>208</v>
      </c>
      <c r="F7857">
        <v>2</v>
      </c>
      <c r="G7857">
        <v>2</v>
      </c>
      <c r="H7857">
        <v>1</v>
      </c>
      <c r="I7857">
        <v>0</v>
      </c>
      <c r="J7857">
        <v>1</v>
      </c>
      <c r="K7857">
        <v>1</v>
      </c>
      <c r="L7857">
        <v>1</v>
      </c>
      <c r="M7857">
        <v>1</v>
      </c>
      <c r="N7857">
        <v>1</v>
      </c>
      <c r="O7857">
        <v>1</v>
      </c>
      <c r="P7857" t="s">
        <v>13565</v>
      </c>
      <c r="Q7857" t="s">
        <v>13566</v>
      </c>
      <c r="R7857" t="s">
        <v>157</v>
      </c>
      <c r="S7857" t="s">
        <v>158</v>
      </c>
      <c r="V7857" t="s">
        <v>13567</v>
      </c>
      <c r="W7857" t="s">
        <v>13568</v>
      </c>
      <c r="AF7857" t="s">
        <v>15754</v>
      </c>
    </row>
    <row r="7858" spans="1:32" hidden="1" x14ac:dyDescent="0.35">
      <c r="A7858">
        <v>7857</v>
      </c>
      <c r="B7858" t="s">
        <v>15755</v>
      </c>
      <c r="C7858" t="s">
        <v>68</v>
      </c>
      <c r="D7858" t="s">
        <v>60</v>
      </c>
      <c r="E7858">
        <v>472</v>
      </c>
      <c r="F7858">
        <v>2</v>
      </c>
      <c r="G7858">
        <v>2</v>
      </c>
      <c r="H7858">
        <v>1</v>
      </c>
      <c r="I7858">
        <v>0</v>
      </c>
      <c r="J7858">
        <v>1</v>
      </c>
      <c r="K7858">
        <v>1</v>
      </c>
      <c r="L7858">
        <v>1</v>
      </c>
      <c r="M7858">
        <v>1</v>
      </c>
      <c r="N7858">
        <v>1</v>
      </c>
      <c r="O7858">
        <v>1</v>
      </c>
      <c r="AF7858" t="s">
        <v>15756</v>
      </c>
    </row>
    <row r="7859" spans="1:32" hidden="1" x14ac:dyDescent="0.35">
      <c r="A7859">
        <v>7858</v>
      </c>
      <c r="B7859" t="s">
        <v>15755</v>
      </c>
      <c r="C7859" t="s">
        <v>68</v>
      </c>
      <c r="D7859" t="s">
        <v>62</v>
      </c>
      <c r="E7859">
        <v>554</v>
      </c>
      <c r="F7859">
        <v>2</v>
      </c>
      <c r="G7859">
        <v>2</v>
      </c>
      <c r="H7859">
        <v>1</v>
      </c>
      <c r="I7859">
        <v>0</v>
      </c>
      <c r="J7859">
        <v>1</v>
      </c>
      <c r="K7859">
        <v>1</v>
      </c>
      <c r="L7859">
        <v>1</v>
      </c>
      <c r="M7859">
        <v>1</v>
      </c>
      <c r="N7859">
        <v>1</v>
      </c>
      <c r="O7859">
        <v>1</v>
      </c>
      <c r="AF7859" t="s">
        <v>15756</v>
      </c>
    </row>
    <row r="7860" spans="1:32" hidden="1" x14ac:dyDescent="0.35">
      <c r="A7860">
        <v>7859</v>
      </c>
      <c r="B7860" t="s">
        <v>15757</v>
      </c>
      <c r="C7860" t="s">
        <v>68</v>
      </c>
      <c r="D7860" t="s">
        <v>60</v>
      </c>
      <c r="E7860">
        <v>30</v>
      </c>
      <c r="F7860">
        <v>2</v>
      </c>
      <c r="G7860">
        <v>2</v>
      </c>
      <c r="H7860">
        <v>1</v>
      </c>
      <c r="I7860">
        <v>0</v>
      </c>
      <c r="J7860">
        <v>1</v>
      </c>
      <c r="K7860">
        <v>1</v>
      </c>
      <c r="L7860">
        <v>1</v>
      </c>
      <c r="M7860">
        <v>1</v>
      </c>
      <c r="N7860">
        <v>1</v>
      </c>
      <c r="O7860">
        <v>1</v>
      </c>
      <c r="P7860" t="s">
        <v>15758</v>
      </c>
      <c r="Q7860" t="s">
        <v>14339</v>
      </c>
      <c r="R7860" t="s">
        <v>1191</v>
      </c>
      <c r="S7860" t="s">
        <v>1192</v>
      </c>
      <c r="T7860" t="s">
        <v>14340</v>
      </c>
      <c r="U7860" t="s">
        <v>14341</v>
      </c>
      <c r="V7860" t="s">
        <v>14342</v>
      </c>
      <c r="W7860" t="s">
        <v>14343</v>
      </c>
      <c r="AD7860" t="s">
        <v>14344</v>
      </c>
      <c r="AE7860" t="s">
        <v>14345</v>
      </c>
      <c r="AF7860" t="s">
        <v>15759</v>
      </c>
    </row>
    <row r="7861" spans="1:32" hidden="1" x14ac:dyDescent="0.35">
      <c r="A7861">
        <v>7860</v>
      </c>
      <c r="B7861" t="s">
        <v>15757</v>
      </c>
      <c r="C7861" t="s">
        <v>68</v>
      </c>
      <c r="D7861" t="s">
        <v>62</v>
      </c>
      <c r="E7861">
        <v>103</v>
      </c>
      <c r="F7861">
        <v>2</v>
      </c>
      <c r="G7861">
        <v>2</v>
      </c>
      <c r="H7861">
        <v>1</v>
      </c>
      <c r="I7861">
        <v>0</v>
      </c>
      <c r="J7861">
        <v>1</v>
      </c>
      <c r="K7861">
        <v>1</v>
      </c>
      <c r="L7861">
        <v>1</v>
      </c>
      <c r="M7861">
        <v>1</v>
      </c>
      <c r="N7861">
        <v>1</v>
      </c>
      <c r="O7861">
        <v>1</v>
      </c>
      <c r="P7861" t="s">
        <v>15758</v>
      </c>
      <c r="Q7861" t="s">
        <v>14339</v>
      </c>
      <c r="R7861" t="s">
        <v>1191</v>
      </c>
      <c r="S7861" t="s">
        <v>1192</v>
      </c>
      <c r="T7861" t="s">
        <v>14340</v>
      </c>
      <c r="U7861" t="s">
        <v>14341</v>
      </c>
      <c r="V7861" t="s">
        <v>14342</v>
      </c>
      <c r="W7861" t="s">
        <v>14343</v>
      </c>
      <c r="AD7861" t="s">
        <v>14344</v>
      </c>
      <c r="AE7861" t="s">
        <v>14345</v>
      </c>
      <c r="AF7861" t="s">
        <v>15759</v>
      </c>
    </row>
    <row r="7862" spans="1:32" hidden="1" x14ac:dyDescent="0.35">
      <c r="A7862">
        <v>7861</v>
      </c>
      <c r="B7862" t="s">
        <v>15760</v>
      </c>
      <c r="C7862" t="s">
        <v>68</v>
      </c>
      <c r="D7862" t="s">
        <v>60</v>
      </c>
      <c r="E7862">
        <v>887</v>
      </c>
      <c r="F7862">
        <v>2</v>
      </c>
      <c r="G7862">
        <v>2</v>
      </c>
      <c r="H7862">
        <v>1</v>
      </c>
      <c r="I7862">
        <v>0</v>
      </c>
      <c r="J7862">
        <v>1</v>
      </c>
      <c r="K7862">
        <v>1</v>
      </c>
      <c r="L7862">
        <v>1</v>
      </c>
      <c r="M7862">
        <v>1</v>
      </c>
      <c r="N7862">
        <v>1</v>
      </c>
      <c r="O7862">
        <v>1</v>
      </c>
      <c r="AF7862" t="s">
        <v>15761</v>
      </c>
    </row>
    <row r="7863" spans="1:32" hidden="1" x14ac:dyDescent="0.35">
      <c r="A7863">
        <v>7862</v>
      </c>
      <c r="B7863" t="s">
        <v>15760</v>
      </c>
      <c r="C7863" t="s">
        <v>68</v>
      </c>
      <c r="D7863" t="s">
        <v>62</v>
      </c>
      <c r="E7863">
        <v>921</v>
      </c>
      <c r="F7863">
        <v>2</v>
      </c>
      <c r="G7863">
        <v>2</v>
      </c>
      <c r="H7863">
        <v>1</v>
      </c>
      <c r="I7863">
        <v>0</v>
      </c>
      <c r="J7863">
        <v>1</v>
      </c>
      <c r="K7863">
        <v>1</v>
      </c>
      <c r="L7863">
        <v>1</v>
      </c>
      <c r="M7863">
        <v>1</v>
      </c>
      <c r="N7863">
        <v>1</v>
      </c>
      <c r="O7863">
        <v>1</v>
      </c>
      <c r="AF7863" t="s">
        <v>15761</v>
      </c>
    </row>
    <row r="7864" spans="1:32" hidden="1" x14ac:dyDescent="0.35">
      <c r="A7864">
        <v>7863</v>
      </c>
      <c r="B7864" t="s">
        <v>15762</v>
      </c>
      <c r="C7864" t="s">
        <v>68</v>
      </c>
      <c r="D7864" t="s">
        <v>60</v>
      </c>
      <c r="E7864">
        <v>1527</v>
      </c>
      <c r="F7864">
        <v>2</v>
      </c>
      <c r="G7864">
        <v>2</v>
      </c>
      <c r="H7864">
        <v>1</v>
      </c>
      <c r="I7864">
        <v>0</v>
      </c>
      <c r="J7864">
        <v>0.96436058700209604</v>
      </c>
      <c r="K7864">
        <v>1</v>
      </c>
      <c r="L7864">
        <v>0.98185699039487695</v>
      </c>
      <c r="M7864">
        <v>0.95597484276729605</v>
      </c>
      <c r="N7864">
        <v>0.95597484276729605</v>
      </c>
      <c r="O7864">
        <v>0.95597484276729605</v>
      </c>
      <c r="AF7864" t="s">
        <v>15763</v>
      </c>
    </row>
    <row r="7865" spans="1:32" hidden="1" x14ac:dyDescent="0.35">
      <c r="A7865">
        <v>7864</v>
      </c>
      <c r="B7865" t="s">
        <v>15762</v>
      </c>
      <c r="C7865" t="s">
        <v>68</v>
      </c>
      <c r="D7865" t="s">
        <v>62</v>
      </c>
      <c r="E7865">
        <v>1562</v>
      </c>
      <c r="F7865">
        <v>2</v>
      </c>
      <c r="G7865">
        <v>2</v>
      </c>
      <c r="H7865">
        <v>1</v>
      </c>
      <c r="I7865">
        <v>0</v>
      </c>
      <c r="J7865">
        <v>0.96436058700209604</v>
      </c>
      <c r="K7865">
        <v>1</v>
      </c>
      <c r="L7865">
        <v>0.98185699039487695</v>
      </c>
      <c r="M7865">
        <v>0.95597484276729605</v>
      </c>
      <c r="N7865">
        <v>0.95597484276729605</v>
      </c>
      <c r="O7865">
        <v>0.95597484276729605</v>
      </c>
      <c r="AF7865" t="s">
        <v>15764</v>
      </c>
    </row>
    <row r="7866" spans="1:32" hidden="1" x14ac:dyDescent="0.35">
      <c r="A7866">
        <v>7865</v>
      </c>
      <c r="B7866" t="s">
        <v>15765</v>
      </c>
      <c r="C7866" t="s">
        <v>68</v>
      </c>
      <c r="D7866" t="s">
        <v>34</v>
      </c>
      <c r="E7866">
        <v>1548</v>
      </c>
      <c r="F7866">
        <v>2</v>
      </c>
      <c r="G7866">
        <v>2</v>
      </c>
      <c r="H7866">
        <v>1</v>
      </c>
      <c r="I7866">
        <v>0</v>
      </c>
      <c r="J7866">
        <v>0.99501424501424496</v>
      </c>
      <c r="K7866">
        <v>1</v>
      </c>
      <c r="L7866">
        <v>0.99750089253837904</v>
      </c>
      <c r="M7866">
        <v>0.99358974358974395</v>
      </c>
      <c r="N7866">
        <v>0.99358974358974395</v>
      </c>
      <c r="O7866">
        <v>0.99358974358974395</v>
      </c>
      <c r="P7866" t="s">
        <v>2197</v>
      </c>
      <c r="Q7866" t="s">
        <v>2198</v>
      </c>
      <c r="R7866" t="s">
        <v>2199</v>
      </c>
      <c r="S7866" t="s">
        <v>2200</v>
      </c>
      <c r="V7866" t="s">
        <v>2201</v>
      </c>
      <c r="W7866" t="s">
        <v>2202</v>
      </c>
      <c r="AF7866" t="s">
        <v>15766</v>
      </c>
    </row>
    <row r="7867" spans="1:32" hidden="1" x14ac:dyDescent="0.35">
      <c r="A7867">
        <v>7866</v>
      </c>
      <c r="B7867" t="s">
        <v>15765</v>
      </c>
      <c r="C7867" t="s">
        <v>68</v>
      </c>
      <c r="D7867" t="s">
        <v>45</v>
      </c>
      <c r="E7867">
        <v>298</v>
      </c>
      <c r="F7867">
        <v>2</v>
      </c>
      <c r="G7867">
        <v>2</v>
      </c>
      <c r="H7867">
        <v>1</v>
      </c>
      <c r="I7867">
        <v>0</v>
      </c>
      <c r="J7867">
        <v>0.99501424501424496</v>
      </c>
      <c r="K7867">
        <v>1</v>
      </c>
      <c r="L7867">
        <v>0.99750089253837904</v>
      </c>
      <c r="M7867">
        <v>0.99358974358974395</v>
      </c>
      <c r="N7867">
        <v>0.99358974358974395</v>
      </c>
      <c r="O7867">
        <v>0.99358974358974395</v>
      </c>
      <c r="P7867" t="s">
        <v>2197</v>
      </c>
      <c r="Q7867" t="s">
        <v>2198</v>
      </c>
      <c r="R7867" t="s">
        <v>2199</v>
      </c>
      <c r="S7867" t="s">
        <v>2200</v>
      </c>
      <c r="V7867" t="s">
        <v>2201</v>
      </c>
      <c r="W7867" t="s">
        <v>2202</v>
      </c>
      <c r="AF7867" t="s">
        <v>15767</v>
      </c>
    </row>
    <row r="7868" spans="1:32" hidden="1" x14ac:dyDescent="0.35">
      <c r="A7868">
        <v>7867</v>
      </c>
      <c r="B7868" t="s">
        <v>15768</v>
      </c>
      <c r="C7868" t="s">
        <v>68</v>
      </c>
      <c r="D7868" t="s">
        <v>60</v>
      </c>
      <c r="E7868">
        <v>2251</v>
      </c>
      <c r="F7868">
        <v>2</v>
      </c>
      <c r="G7868">
        <v>2</v>
      </c>
      <c r="H7868">
        <v>1</v>
      </c>
      <c r="I7868">
        <v>0</v>
      </c>
      <c r="J7868">
        <v>0.99483775811209396</v>
      </c>
      <c r="K7868">
        <v>1</v>
      </c>
      <c r="L7868">
        <v>0.99741219963031402</v>
      </c>
      <c r="M7868">
        <v>0.98893805309734495</v>
      </c>
      <c r="N7868">
        <v>0.98893805309734495</v>
      </c>
      <c r="O7868">
        <v>0.98893805309734495</v>
      </c>
      <c r="P7868" t="s">
        <v>1992</v>
      </c>
      <c r="Q7868" t="s">
        <v>1993</v>
      </c>
      <c r="R7868" t="s">
        <v>1191</v>
      </c>
      <c r="S7868" t="s">
        <v>1192</v>
      </c>
      <c r="T7868" t="s">
        <v>15769</v>
      </c>
      <c r="U7868" t="s">
        <v>15770</v>
      </c>
      <c r="V7868" t="s">
        <v>15771</v>
      </c>
      <c r="W7868" t="s">
        <v>15772</v>
      </c>
      <c r="AD7868" t="s">
        <v>15773</v>
      </c>
      <c r="AE7868" t="s">
        <v>15774</v>
      </c>
      <c r="AF7868" t="s">
        <v>15775</v>
      </c>
    </row>
    <row r="7869" spans="1:32" hidden="1" x14ac:dyDescent="0.35">
      <c r="A7869">
        <v>7868</v>
      </c>
      <c r="B7869" t="s">
        <v>15768</v>
      </c>
      <c r="C7869" t="s">
        <v>68</v>
      </c>
      <c r="D7869" t="s">
        <v>62</v>
      </c>
      <c r="E7869">
        <v>2280</v>
      </c>
      <c r="F7869">
        <v>2</v>
      </c>
      <c r="G7869">
        <v>2</v>
      </c>
      <c r="H7869">
        <v>1</v>
      </c>
      <c r="I7869">
        <v>0</v>
      </c>
      <c r="J7869">
        <v>0.99483775811209396</v>
      </c>
      <c r="K7869">
        <v>1</v>
      </c>
      <c r="L7869">
        <v>0.99741219963031402</v>
      </c>
      <c r="M7869">
        <v>0.98893805309734495</v>
      </c>
      <c r="N7869">
        <v>0.98893805309734495</v>
      </c>
      <c r="O7869">
        <v>0.98893805309734495</v>
      </c>
      <c r="P7869" t="s">
        <v>1992</v>
      </c>
      <c r="Q7869" t="s">
        <v>1993</v>
      </c>
      <c r="R7869" t="s">
        <v>1191</v>
      </c>
      <c r="S7869" t="s">
        <v>1192</v>
      </c>
      <c r="T7869" t="s">
        <v>15769</v>
      </c>
      <c r="U7869" t="s">
        <v>15770</v>
      </c>
      <c r="V7869" t="s">
        <v>15771</v>
      </c>
      <c r="W7869" t="s">
        <v>15772</v>
      </c>
      <c r="AD7869" t="s">
        <v>15773</v>
      </c>
      <c r="AE7869" t="s">
        <v>15774</v>
      </c>
      <c r="AF7869" t="s">
        <v>15776</v>
      </c>
    </row>
    <row r="7870" spans="1:32" hidden="1" x14ac:dyDescent="0.35">
      <c r="A7870">
        <v>7869</v>
      </c>
      <c r="B7870" t="s">
        <v>15777</v>
      </c>
      <c r="C7870" t="s">
        <v>68</v>
      </c>
      <c r="D7870" t="s">
        <v>34</v>
      </c>
      <c r="E7870">
        <v>2246</v>
      </c>
      <c r="F7870">
        <v>2</v>
      </c>
      <c r="G7870">
        <v>2</v>
      </c>
      <c r="H7870">
        <v>1</v>
      </c>
      <c r="I7870">
        <v>0</v>
      </c>
      <c r="J7870">
        <v>0.98424242424242403</v>
      </c>
      <c r="K7870">
        <v>1</v>
      </c>
      <c r="L7870">
        <v>0.99205864386072096</v>
      </c>
      <c r="M7870">
        <v>0.98181818181818203</v>
      </c>
      <c r="N7870">
        <v>0.98181818181818203</v>
      </c>
      <c r="O7870">
        <v>0.98181818181818203</v>
      </c>
      <c r="P7870" t="s">
        <v>1041</v>
      </c>
      <c r="Q7870" t="s">
        <v>1042</v>
      </c>
      <c r="AF7870" t="s">
        <v>15778</v>
      </c>
    </row>
    <row r="7871" spans="1:32" hidden="1" x14ac:dyDescent="0.35">
      <c r="A7871">
        <v>7870</v>
      </c>
      <c r="B7871" t="s">
        <v>15777</v>
      </c>
      <c r="C7871" t="s">
        <v>68</v>
      </c>
      <c r="D7871" t="s">
        <v>45</v>
      </c>
      <c r="E7871">
        <v>631</v>
      </c>
      <c r="F7871">
        <v>2</v>
      </c>
      <c r="G7871">
        <v>2</v>
      </c>
      <c r="H7871">
        <v>1</v>
      </c>
      <c r="I7871">
        <v>0</v>
      </c>
      <c r="J7871">
        <v>0.98424242424242403</v>
      </c>
      <c r="K7871">
        <v>1</v>
      </c>
      <c r="L7871">
        <v>0.99205864386072096</v>
      </c>
      <c r="M7871">
        <v>0.98181818181818203</v>
      </c>
      <c r="N7871">
        <v>0.98181818181818203</v>
      </c>
      <c r="O7871">
        <v>0.98181818181818203</v>
      </c>
      <c r="P7871" t="s">
        <v>1041</v>
      </c>
      <c r="Q7871" t="s">
        <v>1042</v>
      </c>
      <c r="AF7871" t="s">
        <v>15779</v>
      </c>
    </row>
    <row r="7872" spans="1:32" hidden="1" x14ac:dyDescent="0.35">
      <c r="A7872">
        <v>7871</v>
      </c>
      <c r="B7872" t="s">
        <v>15780</v>
      </c>
      <c r="C7872" t="s">
        <v>68</v>
      </c>
      <c r="D7872" t="s">
        <v>60</v>
      </c>
      <c r="E7872">
        <v>1291</v>
      </c>
      <c r="F7872">
        <v>2</v>
      </c>
      <c r="G7872">
        <v>2</v>
      </c>
      <c r="H7872">
        <v>1</v>
      </c>
      <c r="I7872">
        <v>0</v>
      </c>
      <c r="J7872">
        <v>0.99090909090909096</v>
      </c>
      <c r="K7872">
        <v>1</v>
      </c>
      <c r="L7872">
        <v>0.99543378995433796</v>
      </c>
      <c r="M7872">
        <v>0.99090909090909096</v>
      </c>
      <c r="N7872">
        <v>0.99090909090909096</v>
      </c>
      <c r="O7872">
        <v>0.99090909090909096</v>
      </c>
      <c r="P7872" t="s">
        <v>583</v>
      </c>
      <c r="Q7872" t="s">
        <v>584</v>
      </c>
      <c r="R7872" t="s">
        <v>224</v>
      </c>
      <c r="S7872" t="s">
        <v>225</v>
      </c>
      <c r="T7872" t="s">
        <v>15781</v>
      </c>
      <c r="U7872" t="s">
        <v>15782</v>
      </c>
      <c r="V7872" t="s">
        <v>587</v>
      </c>
      <c r="W7872" t="s">
        <v>588</v>
      </c>
      <c r="X7872" t="s">
        <v>587</v>
      </c>
      <c r="Y7872" t="s">
        <v>589</v>
      </c>
      <c r="AD7872" t="s">
        <v>590</v>
      </c>
      <c r="AE7872" t="s">
        <v>591</v>
      </c>
      <c r="AF7872" t="s">
        <v>15783</v>
      </c>
    </row>
    <row r="7873" spans="1:32" hidden="1" x14ac:dyDescent="0.35">
      <c r="A7873">
        <v>7872</v>
      </c>
      <c r="B7873" t="s">
        <v>15780</v>
      </c>
      <c r="C7873" t="s">
        <v>68</v>
      </c>
      <c r="D7873" t="s">
        <v>62</v>
      </c>
      <c r="E7873">
        <v>1327</v>
      </c>
      <c r="F7873">
        <v>2</v>
      </c>
      <c r="G7873">
        <v>2</v>
      </c>
      <c r="H7873">
        <v>1</v>
      </c>
      <c r="I7873">
        <v>0</v>
      </c>
      <c r="J7873">
        <v>0.99090909090909096</v>
      </c>
      <c r="K7873">
        <v>1</v>
      </c>
      <c r="L7873">
        <v>0.99543378995433796</v>
      </c>
      <c r="M7873">
        <v>0.99090909090909096</v>
      </c>
      <c r="N7873">
        <v>0.99090909090909096</v>
      </c>
      <c r="O7873">
        <v>0.99090909090909096</v>
      </c>
      <c r="P7873" t="s">
        <v>583</v>
      </c>
      <c r="Q7873" t="s">
        <v>584</v>
      </c>
      <c r="R7873" t="s">
        <v>224</v>
      </c>
      <c r="S7873" t="s">
        <v>225</v>
      </c>
      <c r="T7873" t="s">
        <v>15781</v>
      </c>
      <c r="U7873" t="s">
        <v>15782</v>
      </c>
      <c r="V7873" t="s">
        <v>587</v>
      </c>
      <c r="W7873" t="s">
        <v>588</v>
      </c>
      <c r="X7873" t="s">
        <v>587</v>
      </c>
      <c r="Y7873" t="s">
        <v>589</v>
      </c>
      <c r="AD7873" t="s">
        <v>590</v>
      </c>
      <c r="AE7873" t="s">
        <v>591</v>
      </c>
      <c r="AF7873" t="s">
        <v>15784</v>
      </c>
    </row>
    <row r="7874" spans="1:32" hidden="1" x14ac:dyDescent="0.35">
      <c r="A7874">
        <v>7873</v>
      </c>
      <c r="B7874" t="s">
        <v>15785</v>
      </c>
      <c r="C7874" t="s">
        <v>68</v>
      </c>
      <c r="D7874" t="s">
        <v>60</v>
      </c>
      <c r="E7874">
        <v>45</v>
      </c>
      <c r="F7874">
        <v>2</v>
      </c>
      <c r="G7874">
        <v>2</v>
      </c>
      <c r="H7874">
        <v>1</v>
      </c>
      <c r="I7874">
        <v>0</v>
      </c>
      <c r="J7874">
        <v>0.99473684210526303</v>
      </c>
      <c r="K7874">
        <v>1</v>
      </c>
      <c r="L7874">
        <v>0.997361477572559</v>
      </c>
      <c r="M7874">
        <v>0.99122807017543901</v>
      </c>
      <c r="N7874">
        <v>0.99122807017543901</v>
      </c>
      <c r="O7874">
        <v>0.99122807017543901</v>
      </c>
      <c r="P7874" t="s">
        <v>169</v>
      </c>
      <c r="Q7874" t="s">
        <v>170</v>
      </c>
      <c r="R7874" t="s">
        <v>138</v>
      </c>
      <c r="S7874" t="s">
        <v>139</v>
      </c>
      <c r="V7874" t="s">
        <v>11356</v>
      </c>
      <c r="W7874" t="s">
        <v>11357</v>
      </c>
      <c r="AF7874" t="s">
        <v>15786</v>
      </c>
    </row>
    <row r="7875" spans="1:32" hidden="1" x14ac:dyDescent="0.35">
      <c r="A7875">
        <v>7874</v>
      </c>
      <c r="B7875" t="s">
        <v>15785</v>
      </c>
      <c r="C7875" t="s">
        <v>68</v>
      </c>
      <c r="D7875" t="s">
        <v>62</v>
      </c>
      <c r="E7875">
        <v>118</v>
      </c>
      <c r="F7875">
        <v>2</v>
      </c>
      <c r="G7875">
        <v>2</v>
      </c>
      <c r="H7875">
        <v>1</v>
      </c>
      <c r="I7875">
        <v>0</v>
      </c>
      <c r="J7875">
        <v>0.99473684210526303</v>
      </c>
      <c r="K7875">
        <v>1</v>
      </c>
      <c r="L7875">
        <v>0.997361477572559</v>
      </c>
      <c r="M7875">
        <v>0.99122807017543901</v>
      </c>
      <c r="N7875">
        <v>0.99122807017543901</v>
      </c>
      <c r="O7875">
        <v>0.99122807017543901</v>
      </c>
      <c r="P7875" t="s">
        <v>169</v>
      </c>
      <c r="Q7875" t="s">
        <v>170</v>
      </c>
      <c r="R7875" t="s">
        <v>138</v>
      </c>
      <c r="S7875" t="s">
        <v>139</v>
      </c>
      <c r="V7875" t="s">
        <v>11356</v>
      </c>
      <c r="W7875" t="s">
        <v>11357</v>
      </c>
      <c r="AF7875" t="s">
        <v>15787</v>
      </c>
    </row>
    <row r="7876" spans="1:32" hidden="1" x14ac:dyDescent="0.35">
      <c r="A7876">
        <v>7875</v>
      </c>
      <c r="B7876" t="s">
        <v>15788</v>
      </c>
      <c r="C7876" t="s">
        <v>68</v>
      </c>
      <c r="D7876" t="s">
        <v>60</v>
      </c>
      <c r="E7876">
        <v>496</v>
      </c>
      <c r="F7876">
        <v>2</v>
      </c>
      <c r="G7876">
        <v>2</v>
      </c>
      <c r="H7876">
        <v>1</v>
      </c>
      <c r="I7876">
        <v>0</v>
      </c>
      <c r="J7876">
        <v>0.99777777777777799</v>
      </c>
      <c r="K7876">
        <v>1</v>
      </c>
      <c r="L7876">
        <v>0.99888765294771997</v>
      </c>
      <c r="M7876">
        <v>0.99777777777777799</v>
      </c>
      <c r="N7876">
        <v>0.99777777777777799</v>
      </c>
      <c r="O7876">
        <v>0.99777777777777799</v>
      </c>
      <c r="P7876" t="s">
        <v>15789</v>
      </c>
      <c r="Q7876" t="s">
        <v>15790</v>
      </c>
      <c r="AF7876" t="s">
        <v>15791</v>
      </c>
    </row>
    <row r="7877" spans="1:32" hidden="1" x14ac:dyDescent="0.35">
      <c r="A7877">
        <v>7876</v>
      </c>
      <c r="B7877" t="s">
        <v>15788</v>
      </c>
      <c r="C7877" t="s">
        <v>68</v>
      </c>
      <c r="D7877" t="s">
        <v>62</v>
      </c>
      <c r="E7877">
        <v>579</v>
      </c>
      <c r="F7877">
        <v>2</v>
      </c>
      <c r="G7877">
        <v>2</v>
      </c>
      <c r="H7877">
        <v>1</v>
      </c>
      <c r="I7877">
        <v>0</v>
      </c>
      <c r="J7877">
        <v>0.99777777777777799</v>
      </c>
      <c r="K7877">
        <v>1</v>
      </c>
      <c r="L7877">
        <v>0.99888765294771997</v>
      </c>
      <c r="M7877">
        <v>0.99777777777777799</v>
      </c>
      <c r="N7877">
        <v>0.99777777777777799</v>
      </c>
      <c r="O7877">
        <v>0.99777777777777799</v>
      </c>
      <c r="P7877" t="s">
        <v>15789</v>
      </c>
      <c r="Q7877" t="s">
        <v>15790</v>
      </c>
      <c r="AF7877" t="s">
        <v>15792</v>
      </c>
    </row>
    <row r="7878" spans="1:32" hidden="1" x14ac:dyDescent="0.35">
      <c r="A7878">
        <v>7877</v>
      </c>
      <c r="B7878" t="s">
        <v>15793</v>
      </c>
      <c r="C7878" t="s">
        <v>68</v>
      </c>
      <c r="D7878" t="s">
        <v>34</v>
      </c>
      <c r="E7878">
        <v>1549</v>
      </c>
      <c r="F7878">
        <v>2</v>
      </c>
      <c r="G7878">
        <v>2</v>
      </c>
      <c r="H7878">
        <v>1</v>
      </c>
      <c r="I7878">
        <v>0</v>
      </c>
      <c r="J7878">
        <v>0.99692070823710499</v>
      </c>
      <c r="K7878">
        <v>1</v>
      </c>
      <c r="L7878">
        <v>0.99845797995373897</v>
      </c>
      <c r="M7878">
        <v>0.99538106235565804</v>
      </c>
      <c r="N7878">
        <v>0.99538106235565804</v>
      </c>
      <c r="O7878">
        <v>0.99538106235565804</v>
      </c>
      <c r="P7878" t="s">
        <v>15794</v>
      </c>
      <c r="Q7878" t="s">
        <v>15795</v>
      </c>
      <c r="R7878" t="s">
        <v>288</v>
      </c>
      <c r="S7878" t="s">
        <v>289</v>
      </c>
      <c r="T7878" t="s">
        <v>15796</v>
      </c>
      <c r="U7878" t="s">
        <v>15797</v>
      </c>
      <c r="V7878" t="s">
        <v>15798</v>
      </c>
      <c r="W7878" t="s">
        <v>15799</v>
      </c>
      <c r="AD7878" t="s">
        <v>15800</v>
      </c>
      <c r="AE7878" t="s">
        <v>15801</v>
      </c>
      <c r="AF7878" t="s">
        <v>15802</v>
      </c>
    </row>
    <row r="7879" spans="1:32" hidden="1" x14ac:dyDescent="0.35">
      <c r="A7879">
        <v>7878</v>
      </c>
      <c r="B7879" t="s">
        <v>15793</v>
      </c>
      <c r="C7879" t="s">
        <v>68</v>
      </c>
      <c r="D7879" t="s">
        <v>45</v>
      </c>
      <c r="E7879">
        <v>299</v>
      </c>
      <c r="F7879">
        <v>2</v>
      </c>
      <c r="G7879">
        <v>2</v>
      </c>
      <c r="H7879">
        <v>1</v>
      </c>
      <c r="I7879">
        <v>0</v>
      </c>
      <c r="J7879">
        <v>0.99692070823710499</v>
      </c>
      <c r="K7879">
        <v>1</v>
      </c>
      <c r="L7879">
        <v>0.99845797995373897</v>
      </c>
      <c r="M7879">
        <v>0.99538106235565804</v>
      </c>
      <c r="N7879">
        <v>0.99538106235565804</v>
      </c>
      <c r="O7879">
        <v>0.99538106235565804</v>
      </c>
      <c r="P7879" t="s">
        <v>15794</v>
      </c>
      <c r="Q7879" t="s">
        <v>15795</v>
      </c>
      <c r="R7879" t="s">
        <v>288</v>
      </c>
      <c r="S7879" t="s">
        <v>289</v>
      </c>
      <c r="T7879" t="s">
        <v>15796</v>
      </c>
      <c r="U7879" t="s">
        <v>15797</v>
      </c>
      <c r="V7879" t="s">
        <v>15798</v>
      </c>
      <c r="W7879" t="s">
        <v>15799</v>
      </c>
      <c r="AD7879" t="s">
        <v>15800</v>
      </c>
      <c r="AE7879" t="s">
        <v>15801</v>
      </c>
      <c r="AF7879" t="s">
        <v>15803</v>
      </c>
    </row>
    <row r="7880" spans="1:32" hidden="1" x14ac:dyDescent="0.35">
      <c r="A7880">
        <v>7879</v>
      </c>
      <c r="B7880" t="s">
        <v>15804</v>
      </c>
      <c r="C7880" t="s">
        <v>68</v>
      </c>
      <c r="D7880" t="s">
        <v>34</v>
      </c>
      <c r="E7880">
        <v>1670</v>
      </c>
      <c r="F7880">
        <v>2</v>
      </c>
      <c r="G7880">
        <v>2</v>
      </c>
      <c r="H7880">
        <v>1</v>
      </c>
      <c r="I7880">
        <v>0</v>
      </c>
      <c r="J7880">
        <v>0.97859327217125402</v>
      </c>
      <c r="K7880">
        <v>1</v>
      </c>
      <c r="L7880">
        <v>0.989180834621329</v>
      </c>
      <c r="M7880">
        <v>0.97247706422018398</v>
      </c>
      <c r="N7880">
        <v>0.97247706422018398</v>
      </c>
      <c r="O7880">
        <v>0.97247706422018398</v>
      </c>
      <c r="AF7880" t="s">
        <v>15805</v>
      </c>
    </row>
    <row r="7881" spans="1:32" hidden="1" x14ac:dyDescent="0.35">
      <c r="A7881">
        <v>7880</v>
      </c>
      <c r="B7881" t="s">
        <v>15804</v>
      </c>
      <c r="C7881" t="s">
        <v>68</v>
      </c>
      <c r="D7881" t="s">
        <v>45</v>
      </c>
      <c r="E7881">
        <v>1206</v>
      </c>
      <c r="F7881">
        <v>2</v>
      </c>
      <c r="G7881">
        <v>2</v>
      </c>
      <c r="H7881">
        <v>1</v>
      </c>
      <c r="I7881">
        <v>0</v>
      </c>
      <c r="J7881">
        <v>0.97859327217125402</v>
      </c>
      <c r="K7881">
        <v>1</v>
      </c>
      <c r="L7881">
        <v>0.989180834621329</v>
      </c>
      <c r="M7881">
        <v>0.97247706422018398</v>
      </c>
      <c r="N7881">
        <v>0.97247706422018398</v>
      </c>
      <c r="O7881">
        <v>0.97247706422018398</v>
      </c>
      <c r="AF7881" t="s">
        <v>15806</v>
      </c>
    </row>
    <row r="7882" spans="1:32" hidden="1" x14ac:dyDescent="0.35">
      <c r="A7882">
        <v>7881</v>
      </c>
      <c r="B7882" t="s">
        <v>15807</v>
      </c>
      <c r="C7882" t="s">
        <v>68</v>
      </c>
      <c r="D7882" t="s">
        <v>60</v>
      </c>
      <c r="E7882">
        <v>1732</v>
      </c>
      <c r="F7882">
        <v>2</v>
      </c>
      <c r="G7882">
        <v>2</v>
      </c>
      <c r="H7882">
        <v>1</v>
      </c>
      <c r="I7882">
        <v>0</v>
      </c>
      <c r="J7882">
        <v>0.99511002444987795</v>
      </c>
      <c r="K7882">
        <v>1</v>
      </c>
      <c r="L7882">
        <v>0.99754901960784303</v>
      </c>
      <c r="M7882">
        <v>0.99511002444987795</v>
      </c>
      <c r="N7882">
        <v>0.99511002444987795</v>
      </c>
      <c r="O7882">
        <v>0.99511002444987795</v>
      </c>
      <c r="AF7882" t="s">
        <v>15808</v>
      </c>
    </row>
    <row r="7883" spans="1:32" hidden="1" x14ac:dyDescent="0.35">
      <c r="A7883">
        <v>7882</v>
      </c>
      <c r="B7883" t="s">
        <v>15807</v>
      </c>
      <c r="C7883" t="s">
        <v>68</v>
      </c>
      <c r="D7883" t="s">
        <v>62</v>
      </c>
      <c r="E7883">
        <v>1769</v>
      </c>
      <c r="F7883">
        <v>2</v>
      </c>
      <c r="G7883">
        <v>2</v>
      </c>
      <c r="H7883">
        <v>1</v>
      </c>
      <c r="I7883">
        <v>0</v>
      </c>
      <c r="J7883">
        <v>0.99511002444987795</v>
      </c>
      <c r="K7883">
        <v>1</v>
      </c>
      <c r="L7883">
        <v>0.99754901960784303</v>
      </c>
      <c r="M7883">
        <v>0.99511002444987795</v>
      </c>
      <c r="N7883">
        <v>0.99511002444987795</v>
      </c>
      <c r="O7883">
        <v>0.99511002444987795</v>
      </c>
      <c r="AF7883" t="s">
        <v>15809</v>
      </c>
    </row>
    <row r="7884" spans="1:32" hidden="1" x14ac:dyDescent="0.35">
      <c r="A7884">
        <v>7883</v>
      </c>
      <c r="B7884" t="s">
        <v>15810</v>
      </c>
      <c r="C7884" t="s">
        <v>68</v>
      </c>
      <c r="D7884" t="s">
        <v>34</v>
      </c>
      <c r="E7884">
        <v>1362</v>
      </c>
      <c r="F7884">
        <v>2</v>
      </c>
      <c r="G7884">
        <v>2</v>
      </c>
      <c r="H7884">
        <v>1</v>
      </c>
      <c r="I7884">
        <v>0</v>
      </c>
      <c r="J7884">
        <v>0.98850574712643702</v>
      </c>
      <c r="K7884">
        <v>1</v>
      </c>
      <c r="L7884">
        <v>0.99421965317919103</v>
      </c>
      <c r="M7884">
        <v>0.98673740053050396</v>
      </c>
      <c r="N7884">
        <v>0.98673740053050396</v>
      </c>
      <c r="O7884">
        <v>0.98673740053050396</v>
      </c>
      <c r="P7884" t="s">
        <v>1036</v>
      </c>
      <c r="Q7884" t="s">
        <v>1037</v>
      </c>
      <c r="R7884" t="s">
        <v>4579</v>
      </c>
      <c r="S7884" t="s">
        <v>4580</v>
      </c>
      <c r="V7884" t="s">
        <v>15811</v>
      </c>
      <c r="W7884" t="s">
        <v>15812</v>
      </c>
      <c r="AF7884" t="s">
        <v>15813</v>
      </c>
    </row>
    <row r="7885" spans="1:32" hidden="1" x14ac:dyDescent="0.35">
      <c r="A7885">
        <v>7884</v>
      </c>
      <c r="B7885" t="s">
        <v>15810</v>
      </c>
      <c r="C7885" t="s">
        <v>68</v>
      </c>
      <c r="D7885" t="s">
        <v>45</v>
      </c>
      <c r="E7885">
        <v>111</v>
      </c>
      <c r="F7885">
        <v>2</v>
      </c>
      <c r="G7885">
        <v>2</v>
      </c>
      <c r="H7885">
        <v>1</v>
      </c>
      <c r="I7885">
        <v>0</v>
      </c>
      <c r="J7885">
        <v>0.98850574712643702</v>
      </c>
      <c r="K7885">
        <v>1</v>
      </c>
      <c r="L7885">
        <v>0.99421965317919103</v>
      </c>
      <c r="M7885">
        <v>0.98673740053050396</v>
      </c>
      <c r="N7885">
        <v>0.98673740053050396</v>
      </c>
      <c r="O7885">
        <v>0.98673740053050396</v>
      </c>
      <c r="P7885" t="s">
        <v>1036</v>
      </c>
      <c r="Q7885" t="s">
        <v>1037</v>
      </c>
      <c r="R7885" t="s">
        <v>4579</v>
      </c>
      <c r="S7885" t="s">
        <v>4580</v>
      </c>
      <c r="V7885" t="s">
        <v>15811</v>
      </c>
      <c r="W7885" t="s">
        <v>15812</v>
      </c>
      <c r="AF7885" t="s">
        <v>15814</v>
      </c>
    </row>
    <row r="7886" spans="1:32" hidden="1" x14ac:dyDescent="0.35">
      <c r="A7886">
        <v>7885</v>
      </c>
      <c r="B7886" t="s">
        <v>15815</v>
      </c>
      <c r="C7886" t="s">
        <v>68</v>
      </c>
      <c r="D7886" t="s">
        <v>34</v>
      </c>
      <c r="E7886">
        <v>795</v>
      </c>
      <c r="F7886">
        <v>1</v>
      </c>
      <c r="G7886">
        <v>2</v>
      </c>
      <c r="H7886">
        <v>2</v>
      </c>
      <c r="I7886">
        <v>0</v>
      </c>
      <c r="J7886">
        <v>0.67543859649122795</v>
      </c>
      <c r="K7886">
        <v>0.98283358320839598</v>
      </c>
      <c r="L7886">
        <v>0.80064508607624496</v>
      </c>
      <c r="M7886">
        <v>0.57758620689655205</v>
      </c>
      <c r="N7886">
        <v>0.57758620689655205</v>
      </c>
      <c r="O7886">
        <v>0.57758620689655205</v>
      </c>
      <c r="AF7886" t="s">
        <v>15817</v>
      </c>
    </row>
    <row r="7887" spans="1:32" hidden="1" x14ac:dyDescent="0.35">
      <c r="A7887">
        <v>7886</v>
      </c>
      <c r="B7887" t="s">
        <v>15815</v>
      </c>
      <c r="C7887" t="s">
        <v>68</v>
      </c>
      <c r="D7887" t="s">
        <v>34</v>
      </c>
      <c r="E7887">
        <v>782</v>
      </c>
      <c r="F7887">
        <v>1</v>
      </c>
      <c r="G7887">
        <v>2</v>
      </c>
      <c r="H7887">
        <v>2</v>
      </c>
      <c r="I7887">
        <v>0</v>
      </c>
      <c r="J7887">
        <v>0.67543859649122795</v>
      </c>
      <c r="K7887">
        <v>0.98283358320839598</v>
      </c>
      <c r="L7887">
        <v>0.80064508607624496</v>
      </c>
      <c r="M7887">
        <v>0.57758620689655205</v>
      </c>
      <c r="N7887">
        <v>0.57758620689655205</v>
      </c>
      <c r="O7887">
        <v>0.57758620689655205</v>
      </c>
      <c r="AF7887" t="s">
        <v>15818</v>
      </c>
    </row>
    <row r="7888" spans="1:32" hidden="1" x14ac:dyDescent="0.35">
      <c r="A7888">
        <v>7887</v>
      </c>
      <c r="B7888" t="s">
        <v>15819</v>
      </c>
      <c r="C7888" t="s">
        <v>68</v>
      </c>
      <c r="D7888" t="s">
        <v>34</v>
      </c>
      <c r="E7888">
        <v>2291</v>
      </c>
      <c r="F7888">
        <v>2</v>
      </c>
      <c r="G7888">
        <v>2</v>
      </c>
      <c r="H7888">
        <v>1</v>
      </c>
      <c r="I7888">
        <v>0</v>
      </c>
      <c r="J7888">
        <v>0.99593495934959397</v>
      </c>
      <c r="K7888">
        <v>0.94068614547687901</v>
      </c>
      <c r="L7888">
        <v>0.96752247067986696</v>
      </c>
      <c r="M7888">
        <v>0.93511450381679395</v>
      </c>
      <c r="N7888">
        <v>0.93511450381679395</v>
      </c>
      <c r="O7888">
        <v>0.93511450381679395</v>
      </c>
      <c r="P7888" t="s">
        <v>1711</v>
      </c>
      <c r="Q7888" t="s">
        <v>1712</v>
      </c>
      <c r="R7888" t="s">
        <v>869</v>
      </c>
      <c r="S7888" t="s">
        <v>870</v>
      </c>
      <c r="T7888" t="s">
        <v>15820</v>
      </c>
      <c r="U7888" t="s">
        <v>15821</v>
      </c>
      <c r="V7888" t="s">
        <v>15822</v>
      </c>
      <c r="W7888" t="s">
        <v>15823</v>
      </c>
      <c r="AD7888" t="s">
        <v>410</v>
      </c>
      <c r="AE7888" t="s">
        <v>11908</v>
      </c>
      <c r="AF7888" t="e">
        <f>----------------MPPYSTPSTVDEFRANYQAVTERIANAAHAAGRDPADIRLIAVSKTFPISHALLAAEAGMTVLGENRPQELAEKAQAFRIRGVDVTWCAIGHLQRNKAKEIAQFAAEFHALDSLRLAEALQHRLELANRTLDVFIQVNTSHESQKSGFAPDEVAAILPSLATLDRLHVRGLMTMAAFSPEESVVRPSFEQLRTLRDRLQPDAPDGMSLTELSMGMTGDFEWAIAEGATSVRIGTAIFGHRPNSAYL</f>
        <v>#NAME?</v>
      </c>
    </row>
    <row r="7889" spans="1:32" hidden="1" x14ac:dyDescent="0.35">
      <c r="A7889">
        <v>7888</v>
      </c>
      <c r="B7889" t="s">
        <v>15819</v>
      </c>
      <c r="C7889" t="s">
        <v>68</v>
      </c>
      <c r="D7889" t="s">
        <v>45</v>
      </c>
      <c r="E7889">
        <v>586</v>
      </c>
      <c r="F7889">
        <v>2</v>
      </c>
      <c r="G7889">
        <v>2</v>
      </c>
      <c r="H7889">
        <v>1</v>
      </c>
      <c r="I7889">
        <v>0</v>
      </c>
      <c r="J7889">
        <v>0.99593495934959397</v>
      </c>
      <c r="K7889">
        <v>0.94068614547687901</v>
      </c>
      <c r="L7889">
        <v>0.96752247067986696</v>
      </c>
      <c r="M7889">
        <v>0.93511450381679395</v>
      </c>
      <c r="N7889">
        <v>0.93511450381679395</v>
      </c>
      <c r="O7889">
        <v>0.93511450381679395</v>
      </c>
      <c r="P7889" t="s">
        <v>1711</v>
      </c>
      <c r="Q7889" t="s">
        <v>1712</v>
      </c>
      <c r="R7889" t="s">
        <v>869</v>
      </c>
      <c r="S7889" t="s">
        <v>870</v>
      </c>
      <c r="T7889" t="s">
        <v>15820</v>
      </c>
      <c r="U7889" t="s">
        <v>15821</v>
      </c>
      <c r="V7889" t="s">
        <v>15822</v>
      </c>
      <c r="W7889" t="s">
        <v>15823</v>
      </c>
      <c r="AD7889" t="s">
        <v>410</v>
      </c>
      <c r="AE7889" t="s">
        <v>11908</v>
      </c>
      <c r="AF7889" t="s">
        <v>15824</v>
      </c>
    </row>
    <row r="7890" spans="1:32" hidden="1" x14ac:dyDescent="0.35">
      <c r="A7890">
        <v>7889</v>
      </c>
      <c r="B7890" t="s">
        <v>15825</v>
      </c>
      <c r="C7890" t="s">
        <v>68</v>
      </c>
      <c r="D7890" t="s">
        <v>60</v>
      </c>
      <c r="E7890">
        <v>1137</v>
      </c>
      <c r="F7890">
        <v>2</v>
      </c>
      <c r="G7890">
        <v>2</v>
      </c>
      <c r="H7890">
        <v>1</v>
      </c>
      <c r="I7890">
        <v>0</v>
      </c>
      <c r="J7890">
        <v>0.99470899470899499</v>
      </c>
      <c r="K7890">
        <v>1</v>
      </c>
      <c r="L7890">
        <v>0.99734748010610097</v>
      </c>
      <c r="M7890">
        <v>0.98412698412698396</v>
      </c>
      <c r="N7890">
        <v>0.98412698412698396</v>
      </c>
      <c r="O7890">
        <v>0.98412698412698396</v>
      </c>
      <c r="AF7890" t="s">
        <v>15826</v>
      </c>
    </row>
    <row r="7891" spans="1:32" hidden="1" x14ac:dyDescent="0.35">
      <c r="A7891">
        <v>7890</v>
      </c>
      <c r="B7891" t="s">
        <v>15825</v>
      </c>
      <c r="C7891" t="s">
        <v>68</v>
      </c>
      <c r="D7891" t="s">
        <v>62</v>
      </c>
      <c r="E7891">
        <v>1174</v>
      </c>
      <c r="F7891">
        <v>2</v>
      </c>
      <c r="G7891">
        <v>2</v>
      </c>
      <c r="H7891">
        <v>1</v>
      </c>
      <c r="I7891">
        <v>0</v>
      </c>
      <c r="J7891">
        <v>0.99470899470899499</v>
      </c>
      <c r="K7891">
        <v>1</v>
      </c>
      <c r="L7891">
        <v>0.99734748010610097</v>
      </c>
      <c r="M7891">
        <v>0.98412698412698396</v>
      </c>
      <c r="N7891">
        <v>0.98412698412698396</v>
      </c>
      <c r="O7891">
        <v>0.98412698412698396</v>
      </c>
      <c r="AF7891" t="s">
        <v>15827</v>
      </c>
    </row>
    <row r="7892" spans="1:32" hidden="1" x14ac:dyDescent="0.35">
      <c r="A7892">
        <v>7891</v>
      </c>
      <c r="B7892" t="s">
        <v>15828</v>
      </c>
      <c r="C7892" t="s">
        <v>68</v>
      </c>
      <c r="D7892" t="s">
        <v>34</v>
      </c>
      <c r="E7892">
        <v>2361</v>
      </c>
      <c r="F7892">
        <v>2</v>
      </c>
      <c r="G7892">
        <v>2</v>
      </c>
      <c r="H7892">
        <v>1</v>
      </c>
      <c r="I7892">
        <v>0</v>
      </c>
      <c r="J7892">
        <v>0.99355877616747201</v>
      </c>
      <c r="K7892">
        <v>1</v>
      </c>
      <c r="L7892">
        <v>0.99676898222940202</v>
      </c>
      <c r="M7892">
        <v>0.99033816425120802</v>
      </c>
      <c r="N7892">
        <v>0.99033816425120802</v>
      </c>
      <c r="O7892">
        <v>0.99033816425120802</v>
      </c>
      <c r="AF7892" t="s">
        <v>15829</v>
      </c>
    </row>
    <row r="7893" spans="1:32" hidden="1" x14ac:dyDescent="0.35">
      <c r="A7893">
        <v>7892</v>
      </c>
      <c r="B7893" t="s">
        <v>15828</v>
      </c>
      <c r="C7893" t="s">
        <v>68</v>
      </c>
      <c r="D7893" t="s">
        <v>45</v>
      </c>
      <c r="E7893">
        <v>519</v>
      </c>
      <c r="F7893">
        <v>2</v>
      </c>
      <c r="G7893">
        <v>2</v>
      </c>
      <c r="H7893">
        <v>1</v>
      </c>
      <c r="I7893">
        <v>0</v>
      </c>
      <c r="J7893">
        <v>0.99355877616747201</v>
      </c>
      <c r="K7893">
        <v>1</v>
      </c>
      <c r="L7893">
        <v>0.99676898222940202</v>
      </c>
      <c r="M7893">
        <v>0.99033816425120802</v>
      </c>
      <c r="N7893">
        <v>0.99033816425120802</v>
      </c>
      <c r="O7893">
        <v>0.99033816425120802</v>
      </c>
      <c r="AF7893" t="s">
        <v>15830</v>
      </c>
    </row>
    <row r="7894" spans="1:32" hidden="1" x14ac:dyDescent="0.35">
      <c r="A7894">
        <v>7893</v>
      </c>
      <c r="B7894" t="s">
        <v>15831</v>
      </c>
      <c r="C7894" t="s">
        <v>68</v>
      </c>
      <c r="D7894" t="s">
        <v>34</v>
      </c>
      <c r="E7894">
        <v>285</v>
      </c>
      <c r="F7894">
        <v>2</v>
      </c>
      <c r="G7894">
        <v>2</v>
      </c>
      <c r="H7894">
        <v>1</v>
      </c>
      <c r="I7894">
        <v>0</v>
      </c>
      <c r="J7894">
        <v>0.974926253687316</v>
      </c>
      <c r="K7894">
        <v>1</v>
      </c>
      <c r="L7894">
        <v>0.98730395817774497</v>
      </c>
      <c r="M7894">
        <v>0.96902654867256599</v>
      </c>
      <c r="N7894">
        <v>0.96902654867256599</v>
      </c>
      <c r="O7894">
        <v>0.96902654867256599</v>
      </c>
      <c r="P7894" t="s">
        <v>3473</v>
      </c>
      <c r="Q7894" t="s">
        <v>3474</v>
      </c>
      <c r="R7894" t="s">
        <v>113</v>
      </c>
      <c r="S7894" t="s">
        <v>114</v>
      </c>
      <c r="V7894" t="s">
        <v>3477</v>
      </c>
      <c r="W7894" t="s">
        <v>3478</v>
      </c>
      <c r="AF7894" t="s">
        <v>15832</v>
      </c>
    </row>
    <row r="7895" spans="1:32" hidden="1" x14ac:dyDescent="0.35">
      <c r="A7895">
        <v>7894</v>
      </c>
      <c r="B7895" t="s">
        <v>15831</v>
      </c>
      <c r="C7895" t="s">
        <v>68</v>
      </c>
      <c r="D7895" t="s">
        <v>45</v>
      </c>
      <c r="E7895">
        <v>1547</v>
      </c>
      <c r="F7895">
        <v>2</v>
      </c>
      <c r="G7895">
        <v>2</v>
      </c>
      <c r="H7895">
        <v>1</v>
      </c>
      <c r="I7895">
        <v>0</v>
      </c>
      <c r="J7895">
        <v>0.974926253687316</v>
      </c>
      <c r="K7895">
        <v>1</v>
      </c>
      <c r="L7895">
        <v>0.98730395817774497</v>
      </c>
      <c r="M7895">
        <v>0.96902654867256599</v>
      </c>
      <c r="N7895">
        <v>0.96902654867256599</v>
      </c>
      <c r="O7895">
        <v>0.96902654867256599</v>
      </c>
      <c r="P7895" t="s">
        <v>3473</v>
      </c>
      <c r="Q7895" t="s">
        <v>3474</v>
      </c>
      <c r="R7895" t="s">
        <v>113</v>
      </c>
      <c r="S7895" t="s">
        <v>114</v>
      </c>
      <c r="V7895" t="s">
        <v>3477</v>
      </c>
      <c r="W7895" t="s">
        <v>3478</v>
      </c>
      <c r="AF7895" t="s">
        <v>15833</v>
      </c>
    </row>
    <row r="7896" spans="1:32" hidden="1" x14ac:dyDescent="0.35">
      <c r="A7896">
        <v>7895</v>
      </c>
      <c r="B7896" t="s">
        <v>15834</v>
      </c>
      <c r="C7896" t="s">
        <v>68</v>
      </c>
      <c r="D7896" t="s">
        <v>34</v>
      </c>
      <c r="E7896">
        <v>465</v>
      </c>
      <c r="F7896">
        <v>2</v>
      </c>
      <c r="G7896">
        <v>2</v>
      </c>
      <c r="H7896">
        <v>1</v>
      </c>
      <c r="I7896">
        <v>0</v>
      </c>
      <c r="J7896">
        <v>0.98115079365079405</v>
      </c>
      <c r="K7896">
        <v>1</v>
      </c>
      <c r="L7896">
        <v>0.99048572859288897</v>
      </c>
      <c r="M7896">
        <v>0.97916666666666696</v>
      </c>
      <c r="N7896">
        <v>0.97916666666666696</v>
      </c>
      <c r="O7896">
        <v>0.97916666666666696</v>
      </c>
      <c r="P7896" t="s">
        <v>15835</v>
      </c>
      <c r="Q7896" t="s">
        <v>15836</v>
      </c>
      <c r="R7896" t="s">
        <v>138</v>
      </c>
      <c r="S7896" t="s">
        <v>139</v>
      </c>
      <c r="T7896" t="s">
        <v>15837</v>
      </c>
      <c r="U7896" t="s">
        <v>15838</v>
      </c>
      <c r="V7896" t="s">
        <v>15839</v>
      </c>
      <c r="W7896" t="s">
        <v>15840</v>
      </c>
      <c r="AD7896" t="s">
        <v>14436</v>
      </c>
      <c r="AE7896" t="s">
        <v>15841</v>
      </c>
      <c r="AF7896" t="s">
        <v>15842</v>
      </c>
    </row>
    <row r="7897" spans="1:32" hidden="1" x14ac:dyDescent="0.35">
      <c r="A7897">
        <v>7896</v>
      </c>
      <c r="B7897" t="s">
        <v>15834</v>
      </c>
      <c r="C7897" t="s">
        <v>68</v>
      </c>
      <c r="D7897" t="s">
        <v>45</v>
      </c>
      <c r="E7897">
        <v>1729</v>
      </c>
      <c r="F7897">
        <v>2</v>
      </c>
      <c r="G7897">
        <v>2</v>
      </c>
      <c r="H7897">
        <v>1</v>
      </c>
      <c r="I7897">
        <v>0</v>
      </c>
      <c r="J7897">
        <v>0.98115079365079405</v>
      </c>
      <c r="K7897">
        <v>1</v>
      </c>
      <c r="L7897">
        <v>0.99048572859288897</v>
      </c>
      <c r="M7897">
        <v>0.97916666666666696</v>
      </c>
      <c r="N7897">
        <v>0.97916666666666696</v>
      </c>
      <c r="O7897">
        <v>0.97916666666666696</v>
      </c>
      <c r="P7897" t="s">
        <v>15835</v>
      </c>
      <c r="Q7897" t="s">
        <v>15836</v>
      </c>
      <c r="R7897" t="s">
        <v>138</v>
      </c>
      <c r="S7897" t="s">
        <v>139</v>
      </c>
      <c r="T7897" t="s">
        <v>15837</v>
      </c>
      <c r="U7897" t="s">
        <v>15838</v>
      </c>
      <c r="V7897" t="s">
        <v>15839</v>
      </c>
      <c r="W7897" t="s">
        <v>15840</v>
      </c>
      <c r="AD7897" t="s">
        <v>14436</v>
      </c>
      <c r="AE7897" t="s">
        <v>15841</v>
      </c>
      <c r="AF7897" t="s">
        <v>15843</v>
      </c>
    </row>
    <row r="7898" spans="1:32" hidden="1" x14ac:dyDescent="0.35">
      <c r="A7898">
        <v>7897</v>
      </c>
      <c r="B7898" t="s">
        <v>15844</v>
      </c>
      <c r="C7898" t="s">
        <v>68</v>
      </c>
      <c r="D7898" t="s">
        <v>60</v>
      </c>
      <c r="E7898">
        <v>1081</v>
      </c>
      <c r="F7898">
        <v>2</v>
      </c>
      <c r="G7898">
        <v>2</v>
      </c>
      <c r="H7898">
        <v>1</v>
      </c>
      <c r="I7898">
        <v>0</v>
      </c>
      <c r="J7898">
        <v>0.98558558558558595</v>
      </c>
      <c r="K7898">
        <v>1</v>
      </c>
      <c r="L7898">
        <v>0.99274047186932801</v>
      </c>
      <c r="M7898">
        <v>0.97837837837837804</v>
      </c>
      <c r="N7898">
        <v>0.97837837837837804</v>
      </c>
      <c r="O7898">
        <v>0.97837837837837804</v>
      </c>
      <c r="P7898" t="s">
        <v>14319</v>
      </c>
      <c r="Q7898" t="s">
        <v>2035</v>
      </c>
      <c r="R7898" t="s">
        <v>869</v>
      </c>
      <c r="S7898" t="s">
        <v>870</v>
      </c>
      <c r="V7898" t="s">
        <v>7964</v>
      </c>
      <c r="W7898" t="s">
        <v>7965</v>
      </c>
      <c r="X7898" t="s">
        <v>7964</v>
      </c>
      <c r="Y7898" t="s">
        <v>2190</v>
      </c>
      <c r="AF7898" t="s">
        <v>15845</v>
      </c>
    </row>
    <row r="7899" spans="1:32" hidden="1" x14ac:dyDescent="0.35">
      <c r="A7899">
        <v>7898</v>
      </c>
      <c r="B7899" t="s">
        <v>15844</v>
      </c>
      <c r="C7899" t="s">
        <v>68</v>
      </c>
      <c r="D7899" t="s">
        <v>62</v>
      </c>
      <c r="E7899">
        <v>1117</v>
      </c>
      <c r="F7899">
        <v>2</v>
      </c>
      <c r="G7899">
        <v>2</v>
      </c>
      <c r="H7899">
        <v>1</v>
      </c>
      <c r="I7899">
        <v>0</v>
      </c>
      <c r="J7899">
        <v>0.98558558558558595</v>
      </c>
      <c r="K7899">
        <v>1</v>
      </c>
      <c r="L7899">
        <v>0.99274047186932801</v>
      </c>
      <c r="M7899">
        <v>0.97837837837837804</v>
      </c>
      <c r="N7899">
        <v>0.97837837837837804</v>
      </c>
      <c r="O7899">
        <v>0.97837837837837804</v>
      </c>
      <c r="P7899" t="s">
        <v>14319</v>
      </c>
      <c r="Q7899" t="s">
        <v>2035</v>
      </c>
      <c r="R7899" t="s">
        <v>869</v>
      </c>
      <c r="S7899" t="s">
        <v>870</v>
      </c>
      <c r="V7899" t="s">
        <v>7964</v>
      </c>
      <c r="W7899" t="s">
        <v>7965</v>
      </c>
      <c r="X7899" t="s">
        <v>7964</v>
      </c>
      <c r="Y7899" t="s">
        <v>2190</v>
      </c>
      <c r="AF7899" t="s">
        <v>15846</v>
      </c>
    </row>
    <row r="7900" spans="1:32" hidden="1" x14ac:dyDescent="0.35">
      <c r="A7900">
        <v>7899</v>
      </c>
      <c r="B7900" t="s">
        <v>15847</v>
      </c>
      <c r="C7900" t="s">
        <v>68</v>
      </c>
      <c r="D7900" t="s">
        <v>60</v>
      </c>
      <c r="E7900">
        <v>59</v>
      </c>
      <c r="F7900">
        <v>2</v>
      </c>
      <c r="G7900">
        <v>2</v>
      </c>
      <c r="H7900">
        <v>1</v>
      </c>
      <c r="I7900">
        <v>0</v>
      </c>
      <c r="J7900">
        <v>0.99930843706777295</v>
      </c>
      <c r="K7900">
        <v>1</v>
      </c>
      <c r="L7900">
        <v>0.99965409892770696</v>
      </c>
      <c r="M7900">
        <v>0.99792531120331995</v>
      </c>
      <c r="N7900">
        <v>0.99792531120331995</v>
      </c>
      <c r="O7900">
        <v>0.99792531120331995</v>
      </c>
      <c r="AF7900" t="s">
        <v>15848</v>
      </c>
    </row>
    <row r="7901" spans="1:32" hidden="1" x14ac:dyDescent="0.35">
      <c r="A7901">
        <v>7900</v>
      </c>
      <c r="B7901" t="s">
        <v>15847</v>
      </c>
      <c r="C7901" t="s">
        <v>68</v>
      </c>
      <c r="D7901" t="s">
        <v>62</v>
      </c>
      <c r="E7901">
        <v>132</v>
      </c>
      <c r="F7901">
        <v>2</v>
      </c>
      <c r="G7901">
        <v>2</v>
      </c>
      <c r="H7901">
        <v>1</v>
      </c>
      <c r="I7901">
        <v>0</v>
      </c>
      <c r="J7901">
        <v>0.99930843706777295</v>
      </c>
      <c r="K7901">
        <v>1</v>
      </c>
      <c r="L7901">
        <v>0.99965409892770696</v>
      </c>
      <c r="M7901">
        <v>0.99792531120331995</v>
      </c>
      <c r="N7901">
        <v>0.99792531120331995</v>
      </c>
      <c r="O7901">
        <v>0.99792531120331995</v>
      </c>
      <c r="AF7901" t="s">
        <v>15849</v>
      </c>
    </row>
    <row r="7902" spans="1:32" hidden="1" x14ac:dyDescent="0.35">
      <c r="A7902">
        <v>7901</v>
      </c>
      <c r="B7902" t="s">
        <v>15850</v>
      </c>
      <c r="C7902" t="s">
        <v>68</v>
      </c>
      <c r="D7902" t="s">
        <v>34</v>
      </c>
      <c r="E7902">
        <v>335</v>
      </c>
      <c r="F7902">
        <v>2</v>
      </c>
      <c r="G7902">
        <v>2</v>
      </c>
      <c r="H7902">
        <v>1</v>
      </c>
      <c r="I7902">
        <v>0</v>
      </c>
      <c r="J7902">
        <v>0.98120300751879697</v>
      </c>
      <c r="K7902">
        <v>1</v>
      </c>
      <c r="L7902">
        <v>0.99051233396584404</v>
      </c>
      <c r="M7902">
        <v>0.97368421052631604</v>
      </c>
      <c r="N7902">
        <v>0.97368421052631604</v>
      </c>
      <c r="O7902">
        <v>0.97368421052631604</v>
      </c>
      <c r="P7902" t="s">
        <v>14058</v>
      </c>
      <c r="Q7902" t="s">
        <v>3188</v>
      </c>
      <c r="R7902" t="s">
        <v>8647</v>
      </c>
      <c r="S7902" t="s">
        <v>8648</v>
      </c>
      <c r="V7902" t="s">
        <v>14061</v>
      </c>
      <c r="W7902" t="s">
        <v>14062</v>
      </c>
      <c r="AF7902" t="s">
        <v>15851</v>
      </c>
    </row>
    <row r="7903" spans="1:32" hidden="1" x14ac:dyDescent="0.35">
      <c r="A7903">
        <v>7902</v>
      </c>
      <c r="B7903" t="s">
        <v>15850</v>
      </c>
      <c r="C7903" t="s">
        <v>68</v>
      </c>
      <c r="D7903" t="s">
        <v>45</v>
      </c>
      <c r="E7903">
        <v>1597</v>
      </c>
      <c r="F7903">
        <v>2</v>
      </c>
      <c r="G7903">
        <v>2</v>
      </c>
      <c r="H7903">
        <v>1</v>
      </c>
      <c r="I7903">
        <v>0</v>
      </c>
      <c r="J7903">
        <v>0.98120300751879697</v>
      </c>
      <c r="K7903">
        <v>1</v>
      </c>
      <c r="L7903">
        <v>0.99051233396584404</v>
      </c>
      <c r="M7903">
        <v>0.97368421052631604</v>
      </c>
      <c r="N7903">
        <v>0.97368421052631604</v>
      </c>
      <c r="O7903">
        <v>0.97368421052631604</v>
      </c>
      <c r="P7903" t="s">
        <v>14058</v>
      </c>
      <c r="Q7903" t="s">
        <v>3188</v>
      </c>
      <c r="R7903" t="s">
        <v>8647</v>
      </c>
      <c r="S7903" t="s">
        <v>8648</v>
      </c>
      <c r="T7903" t="s">
        <v>14059</v>
      </c>
      <c r="U7903" t="s">
        <v>14060</v>
      </c>
      <c r="V7903" t="s">
        <v>14061</v>
      </c>
      <c r="W7903" t="s">
        <v>14062</v>
      </c>
      <c r="Z7903" t="s">
        <v>3029</v>
      </c>
      <c r="AA7903" t="s">
        <v>3030</v>
      </c>
      <c r="AB7903" t="s">
        <v>3029</v>
      </c>
      <c r="AC7903" t="s">
        <v>1094</v>
      </c>
      <c r="AD7903" t="s">
        <v>219</v>
      </c>
      <c r="AE7903" t="s">
        <v>14063</v>
      </c>
      <c r="AF7903" t="s">
        <v>15852</v>
      </c>
    </row>
    <row r="7904" spans="1:32" hidden="1" x14ac:dyDescent="0.35">
      <c r="A7904">
        <v>7903</v>
      </c>
      <c r="B7904" t="s">
        <v>15853</v>
      </c>
      <c r="C7904" t="s">
        <v>68</v>
      </c>
      <c r="D7904" t="s">
        <v>34</v>
      </c>
      <c r="E7904">
        <v>183</v>
      </c>
      <c r="F7904">
        <v>2</v>
      </c>
      <c r="G7904">
        <v>2</v>
      </c>
      <c r="H7904">
        <v>1</v>
      </c>
      <c r="I7904">
        <v>0</v>
      </c>
      <c r="J7904">
        <v>0.97577854671280295</v>
      </c>
      <c r="K7904">
        <v>1</v>
      </c>
      <c r="L7904">
        <v>0.98774080560420296</v>
      </c>
      <c r="M7904">
        <v>0.96885813148788902</v>
      </c>
      <c r="N7904">
        <v>0.96885813148788902</v>
      </c>
      <c r="O7904">
        <v>0.96885813148788902</v>
      </c>
      <c r="P7904" t="s">
        <v>448</v>
      </c>
      <c r="Q7904" t="s">
        <v>449</v>
      </c>
      <c r="R7904" t="s">
        <v>371</v>
      </c>
      <c r="S7904" t="s">
        <v>372</v>
      </c>
      <c r="V7904" t="s">
        <v>15086</v>
      </c>
      <c r="W7904" t="s">
        <v>15087</v>
      </c>
      <c r="AF7904" t="s">
        <v>15854</v>
      </c>
    </row>
    <row r="7905" spans="1:32" hidden="1" x14ac:dyDescent="0.35">
      <c r="A7905">
        <v>7904</v>
      </c>
      <c r="B7905" t="s">
        <v>15853</v>
      </c>
      <c r="C7905" t="s">
        <v>68</v>
      </c>
      <c r="D7905" t="s">
        <v>45</v>
      </c>
      <c r="E7905">
        <v>1446</v>
      </c>
      <c r="F7905">
        <v>2</v>
      </c>
      <c r="G7905">
        <v>2</v>
      </c>
      <c r="H7905">
        <v>1</v>
      </c>
      <c r="I7905">
        <v>0</v>
      </c>
      <c r="J7905">
        <v>0.97577854671280295</v>
      </c>
      <c r="K7905">
        <v>1</v>
      </c>
      <c r="L7905">
        <v>0.98774080560420296</v>
      </c>
      <c r="M7905">
        <v>0.96885813148788902</v>
      </c>
      <c r="N7905">
        <v>0.96885813148788902</v>
      </c>
      <c r="O7905">
        <v>0.96885813148788902</v>
      </c>
      <c r="P7905" t="s">
        <v>448</v>
      </c>
      <c r="Q7905" t="s">
        <v>449</v>
      </c>
      <c r="R7905" t="s">
        <v>371</v>
      </c>
      <c r="S7905" t="s">
        <v>372</v>
      </c>
      <c r="V7905" t="s">
        <v>15086</v>
      </c>
      <c r="W7905" t="s">
        <v>15087</v>
      </c>
      <c r="AF7905" t="s">
        <v>15855</v>
      </c>
    </row>
    <row r="7906" spans="1:32" hidden="1" x14ac:dyDescent="0.35">
      <c r="A7906">
        <v>7905</v>
      </c>
      <c r="B7906" t="s">
        <v>15856</v>
      </c>
      <c r="C7906" t="s">
        <v>68</v>
      </c>
      <c r="D7906" t="s">
        <v>34</v>
      </c>
      <c r="E7906">
        <v>2323</v>
      </c>
      <c r="F7906">
        <v>2</v>
      </c>
      <c r="G7906">
        <v>2</v>
      </c>
      <c r="H7906">
        <v>1</v>
      </c>
      <c r="I7906">
        <v>0</v>
      </c>
      <c r="J7906">
        <v>0.95414462081128704</v>
      </c>
      <c r="K7906">
        <v>0.99736147757256099</v>
      </c>
      <c r="L7906">
        <v>0.97527452219427102</v>
      </c>
      <c r="M7906">
        <v>0.94459102902374703</v>
      </c>
      <c r="N7906">
        <v>0.94459102902374703</v>
      </c>
      <c r="O7906">
        <v>0.94459102902374703</v>
      </c>
      <c r="AF7906" t="s">
        <v>15857</v>
      </c>
    </row>
    <row r="7907" spans="1:32" hidden="1" x14ac:dyDescent="0.35">
      <c r="A7907">
        <v>7906</v>
      </c>
      <c r="B7907" t="s">
        <v>15856</v>
      </c>
      <c r="C7907" t="s">
        <v>68</v>
      </c>
      <c r="D7907" t="s">
        <v>45</v>
      </c>
      <c r="E7907">
        <v>555</v>
      </c>
      <c r="F7907">
        <v>2</v>
      </c>
      <c r="G7907">
        <v>2</v>
      </c>
      <c r="H7907">
        <v>1</v>
      </c>
      <c r="I7907">
        <v>0</v>
      </c>
      <c r="J7907">
        <v>0.95414462081128704</v>
      </c>
      <c r="K7907">
        <v>0.99736147757256099</v>
      </c>
      <c r="L7907">
        <v>0.97527452219427102</v>
      </c>
      <c r="M7907">
        <v>0.94459102902374703</v>
      </c>
      <c r="N7907">
        <v>0.94459102902374703</v>
      </c>
      <c r="O7907">
        <v>0.94459102902374703</v>
      </c>
      <c r="AF7907" t="s">
        <v>15858</v>
      </c>
    </row>
    <row r="7908" spans="1:32" hidden="1" x14ac:dyDescent="0.35">
      <c r="A7908">
        <v>7907</v>
      </c>
      <c r="B7908" t="s">
        <v>15859</v>
      </c>
      <c r="C7908" t="s">
        <v>68</v>
      </c>
      <c r="D7908" t="s">
        <v>34</v>
      </c>
      <c r="E7908">
        <v>1456</v>
      </c>
      <c r="F7908">
        <v>2</v>
      </c>
      <c r="G7908">
        <v>2</v>
      </c>
      <c r="H7908">
        <v>1</v>
      </c>
      <c r="I7908">
        <v>0</v>
      </c>
      <c r="J7908">
        <v>0.98457888493475698</v>
      </c>
      <c r="K7908">
        <v>1</v>
      </c>
      <c r="L7908">
        <v>0.99222952779438101</v>
      </c>
      <c r="M7908">
        <v>0.98220640569395001</v>
      </c>
      <c r="N7908">
        <v>0.98220640569395001</v>
      </c>
      <c r="O7908">
        <v>0.98220640569395001</v>
      </c>
      <c r="AF7908" t="s">
        <v>15860</v>
      </c>
    </row>
    <row r="7909" spans="1:32" hidden="1" x14ac:dyDescent="0.35">
      <c r="A7909">
        <v>7908</v>
      </c>
      <c r="B7909" t="s">
        <v>15859</v>
      </c>
      <c r="C7909" t="s">
        <v>68</v>
      </c>
      <c r="D7909" t="s">
        <v>45</v>
      </c>
      <c r="E7909">
        <v>207</v>
      </c>
      <c r="F7909">
        <v>2</v>
      </c>
      <c r="G7909">
        <v>2</v>
      </c>
      <c r="H7909">
        <v>1</v>
      </c>
      <c r="I7909">
        <v>0</v>
      </c>
      <c r="J7909">
        <v>0.98457888493475698</v>
      </c>
      <c r="K7909">
        <v>1</v>
      </c>
      <c r="L7909">
        <v>0.99222952779438101</v>
      </c>
      <c r="M7909">
        <v>0.98220640569395001</v>
      </c>
      <c r="N7909">
        <v>0.98220640569395001</v>
      </c>
      <c r="O7909">
        <v>0.98220640569395001</v>
      </c>
      <c r="AF7909" t="s">
        <v>15861</v>
      </c>
    </row>
    <row r="7910" spans="1:32" hidden="1" x14ac:dyDescent="0.35">
      <c r="A7910">
        <v>7909</v>
      </c>
      <c r="B7910" t="s">
        <v>15862</v>
      </c>
      <c r="C7910" t="s">
        <v>68</v>
      </c>
      <c r="D7910" t="s">
        <v>34</v>
      </c>
      <c r="E7910">
        <v>1151</v>
      </c>
      <c r="F7910">
        <v>2</v>
      </c>
      <c r="G7910">
        <v>2</v>
      </c>
      <c r="H7910">
        <v>1</v>
      </c>
      <c r="I7910">
        <v>0</v>
      </c>
      <c r="J7910">
        <v>0.98901098901098905</v>
      </c>
      <c r="K7910">
        <v>1</v>
      </c>
      <c r="L7910">
        <v>0.99447513812154698</v>
      </c>
      <c r="M7910">
        <v>0.98901098901098905</v>
      </c>
      <c r="N7910">
        <v>0.98901098901098905</v>
      </c>
      <c r="O7910">
        <v>0.98901098901098905</v>
      </c>
      <c r="P7910" t="s">
        <v>15863</v>
      </c>
      <c r="Q7910" t="s">
        <v>15864</v>
      </c>
      <c r="R7910" t="s">
        <v>138</v>
      </c>
      <c r="S7910" t="s">
        <v>139</v>
      </c>
      <c r="V7910" t="s">
        <v>15865</v>
      </c>
      <c r="W7910" t="s">
        <v>15866</v>
      </c>
      <c r="AF7910" t="s">
        <v>15867</v>
      </c>
    </row>
    <row r="7911" spans="1:32" hidden="1" x14ac:dyDescent="0.35">
      <c r="A7911">
        <v>7910</v>
      </c>
      <c r="B7911" t="s">
        <v>15862</v>
      </c>
      <c r="C7911" t="s">
        <v>68</v>
      </c>
      <c r="D7911" t="s">
        <v>45</v>
      </c>
      <c r="E7911">
        <v>2396</v>
      </c>
      <c r="F7911">
        <v>2</v>
      </c>
      <c r="G7911">
        <v>2</v>
      </c>
      <c r="H7911">
        <v>1</v>
      </c>
      <c r="I7911">
        <v>0</v>
      </c>
      <c r="J7911">
        <v>0.98901098901098905</v>
      </c>
      <c r="K7911">
        <v>1</v>
      </c>
      <c r="L7911">
        <v>0.99447513812154698</v>
      </c>
      <c r="M7911">
        <v>0.98901098901098905</v>
      </c>
      <c r="N7911">
        <v>0.98901098901098905</v>
      </c>
      <c r="O7911">
        <v>0.98901098901098905</v>
      </c>
      <c r="P7911" t="s">
        <v>15863</v>
      </c>
      <c r="Q7911" t="s">
        <v>15864</v>
      </c>
      <c r="R7911" t="s">
        <v>138</v>
      </c>
      <c r="S7911" t="s">
        <v>139</v>
      </c>
      <c r="V7911" t="s">
        <v>15865</v>
      </c>
      <c r="W7911" t="s">
        <v>15866</v>
      </c>
      <c r="AF7911" t="s">
        <v>15868</v>
      </c>
    </row>
    <row r="7912" spans="1:32" hidden="1" x14ac:dyDescent="0.35">
      <c r="A7912">
        <v>7911</v>
      </c>
      <c r="B7912" t="s">
        <v>15869</v>
      </c>
      <c r="C7912" t="s">
        <v>68</v>
      </c>
      <c r="D7912" t="s">
        <v>60</v>
      </c>
      <c r="E7912">
        <v>2099</v>
      </c>
      <c r="F7912">
        <v>2</v>
      </c>
      <c r="G7912">
        <v>2</v>
      </c>
      <c r="H7912">
        <v>1</v>
      </c>
      <c r="I7912">
        <v>0</v>
      </c>
      <c r="J7912">
        <v>0.99500624219725298</v>
      </c>
      <c r="K7912">
        <v>1</v>
      </c>
      <c r="L7912">
        <v>0.99749687108886098</v>
      </c>
      <c r="M7912">
        <v>0.99250936329588002</v>
      </c>
      <c r="N7912">
        <v>0.99250936329588002</v>
      </c>
      <c r="O7912">
        <v>0.99250936329588002</v>
      </c>
      <c r="P7912" t="s">
        <v>15870</v>
      </c>
      <c r="Q7912" t="s">
        <v>15871</v>
      </c>
      <c r="AF7912" t="s">
        <v>15872</v>
      </c>
    </row>
    <row r="7913" spans="1:32" hidden="1" x14ac:dyDescent="0.35">
      <c r="A7913">
        <v>7912</v>
      </c>
      <c r="B7913" t="s">
        <v>15869</v>
      </c>
      <c r="C7913" t="s">
        <v>68</v>
      </c>
      <c r="D7913" t="s">
        <v>62</v>
      </c>
      <c r="E7913">
        <v>2134</v>
      </c>
      <c r="F7913">
        <v>2</v>
      </c>
      <c r="G7913">
        <v>2</v>
      </c>
      <c r="H7913">
        <v>1</v>
      </c>
      <c r="I7913">
        <v>0</v>
      </c>
      <c r="J7913">
        <v>0.99500624219725298</v>
      </c>
      <c r="K7913">
        <v>1</v>
      </c>
      <c r="L7913">
        <v>0.99749687108886098</v>
      </c>
      <c r="M7913">
        <v>0.99250936329588002</v>
      </c>
      <c r="N7913">
        <v>0.99250936329588002</v>
      </c>
      <c r="O7913">
        <v>0.99250936329588002</v>
      </c>
      <c r="P7913" t="s">
        <v>15870</v>
      </c>
      <c r="Q7913" t="s">
        <v>15871</v>
      </c>
      <c r="AF7913" t="s">
        <v>15873</v>
      </c>
    </row>
    <row r="7914" spans="1:32" hidden="1" x14ac:dyDescent="0.35">
      <c r="A7914">
        <v>7913</v>
      </c>
      <c r="B7914" t="s">
        <v>15874</v>
      </c>
      <c r="C7914" t="s">
        <v>68</v>
      </c>
      <c r="D7914" t="s">
        <v>60</v>
      </c>
      <c r="E7914">
        <v>2152</v>
      </c>
      <c r="F7914">
        <v>2</v>
      </c>
      <c r="G7914">
        <v>2</v>
      </c>
      <c r="H7914">
        <v>1</v>
      </c>
      <c r="I7914">
        <v>0</v>
      </c>
      <c r="J7914">
        <v>0.99555555555555597</v>
      </c>
      <c r="K7914">
        <v>1</v>
      </c>
      <c r="L7914">
        <v>0.99777282850779503</v>
      </c>
      <c r="M7914">
        <v>0.99333333333333296</v>
      </c>
      <c r="N7914">
        <v>0.99333333333333296</v>
      </c>
      <c r="O7914">
        <v>0.99333333333333296</v>
      </c>
      <c r="P7914" t="s">
        <v>169</v>
      </c>
      <c r="Q7914" t="s">
        <v>170</v>
      </c>
      <c r="R7914" t="s">
        <v>138</v>
      </c>
      <c r="S7914" t="s">
        <v>139</v>
      </c>
      <c r="V7914" t="s">
        <v>3693</v>
      </c>
      <c r="W7914" t="s">
        <v>3694</v>
      </c>
      <c r="AF7914" t="s">
        <v>15875</v>
      </c>
    </row>
    <row r="7915" spans="1:32" hidden="1" x14ac:dyDescent="0.35">
      <c r="A7915">
        <v>7914</v>
      </c>
      <c r="B7915" t="s">
        <v>15874</v>
      </c>
      <c r="C7915" t="s">
        <v>68</v>
      </c>
      <c r="D7915" t="s">
        <v>62</v>
      </c>
      <c r="E7915">
        <v>2186</v>
      </c>
      <c r="F7915">
        <v>2</v>
      </c>
      <c r="G7915">
        <v>2</v>
      </c>
      <c r="H7915">
        <v>1</v>
      </c>
      <c r="I7915">
        <v>0</v>
      </c>
      <c r="J7915">
        <v>0.99555555555555597</v>
      </c>
      <c r="K7915">
        <v>1</v>
      </c>
      <c r="L7915">
        <v>0.99777282850779503</v>
      </c>
      <c r="M7915">
        <v>0.99333333333333296</v>
      </c>
      <c r="N7915">
        <v>0.99333333333333296</v>
      </c>
      <c r="O7915">
        <v>0.99333333333333296</v>
      </c>
      <c r="P7915" t="s">
        <v>169</v>
      </c>
      <c r="Q7915" t="s">
        <v>170</v>
      </c>
      <c r="R7915" t="s">
        <v>138</v>
      </c>
      <c r="S7915" t="s">
        <v>139</v>
      </c>
      <c r="T7915" t="s">
        <v>3691</v>
      </c>
      <c r="U7915" t="s">
        <v>3692</v>
      </c>
      <c r="V7915" t="s">
        <v>3693</v>
      </c>
      <c r="W7915" t="s">
        <v>3694</v>
      </c>
      <c r="AD7915" t="s">
        <v>166</v>
      </c>
      <c r="AE7915" t="s">
        <v>3695</v>
      </c>
      <c r="AF7915" t="s">
        <v>15876</v>
      </c>
    </row>
    <row r="7916" spans="1:32" hidden="1" x14ac:dyDescent="0.35">
      <c r="A7916">
        <v>7915</v>
      </c>
      <c r="B7916" t="s">
        <v>15877</v>
      </c>
      <c r="C7916" t="s">
        <v>68</v>
      </c>
      <c r="D7916" t="s">
        <v>34</v>
      </c>
      <c r="E7916">
        <v>1891</v>
      </c>
      <c r="F7916">
        <v>2</v>
      </c>
      <c r="G7916">
        <v>2</v>
      </c>
      <c r="H7916">
        <v>1</v>
      </c>
      <c r="I7916">
        <v>0</v>
      </c>
      <c r="J7916">
        <v>0.97169811320754695</v>
      </c>
      <c r="K7916">
        <v>1</v>
      </c>
      <c r="L7916">
        <v>0.98564593301435399</v>
      </c>
      <c r="M7916">
        <v>0.96792452830188702</v>
      </c>
      <c r="N7916">
        <v>0.96792452830188702</v>
      </c>
      <c r="O7916">
        <v>0.96792452830188702</v>
      </c>
      <c r="P7916" t="s">
        <v>14292</v>
      </c>
      <c r="Q7916" t="s">
        <v>14293</v>
      </c>
      <c r="R7916" t="s">
        <v>224</v>
      </c>
      <c r="S7916" t="s">
        <v>225</v>
      </c>
      <c r="V7916" t="s">
        <v>14164</v>
      </c>
      <c r="W7916" t="s">
        <v>14165</v>
      </c>
      <c r="AF7916" t="s">
        <v>15878</v>
      </c>
    </row>
    <row r="7917" spans="1:32" hidden="1" x14ac:dyDescent="0.35">
      <c r="A7917">
        <v>7916</v>
      </c>
      <c r="B7917" t="s">
        <v>15877</v>
      </c>
      <c r="C7917" t="s">
        <v>68</v>
      </c>
      <c r="D7917" t="s">
        <v>45</v>
      </c>
      <c r="E7917">
        <v>982</v>
      </c>
      <c r="F7917">
        <v>2</v>
      </c>
      <c r="G7917">
        <v>2</v>
      </c>
      <c r="H7917">
        <v>1</v>
      </c>
      <c r="I7917">
        <v>0</v>
      </c>
      <c r="J7917">
        <v>0.97169811320754695</v>
      </c>
      <c r="K7917">
        <v>1</v>
      </c>
      <c r="L7917">
        <v>0.98564593301435399</v>
      </c>
      <c r="M7917">
        <v>0.96792452830188702</v>
      </c>
      <c r="N7917">
        <v>0.96792452830188702</v>
      </c>
      <c r="O7917">
        <v>0.96792452830188702</v>
      </c>
      <c r="P7917" t="s">
        <v>14292</v>
      </c>
      <c r="Q7917" t="s">
        <v>14293</v>
      </c>
      <c r="R7917" t="s">
        <v>224</v>
      </c>
      <c r="S7917" t="s">
        <v>225</v>
      </c>
      <c r="V7917" t="s">
        <v>14164</v>
      </c>
      <c r="W7917" t="s">
        <v>14165</v>
      </c>
      <c r="AF7917" t="s">
        <v>15879</v>
      </c>
    </row>
    <row r="7918" spans="1:32" hidden="1" x14ac:dyDescent="0.35">
      <c r="A7918">
        <v>7917</v>
      </c>
      <c r="B7918" t="s">
        <v>15880</v>
      </c>
      <c r="C7918" t="s">
        <v>68</v>
      </c>
      <c r="D7918" t="s">
        <v>60</v>
      </c>
      <c r="E7918">
        <v>2064</v>
      </c>
      <c r="F7918">
        <v>2</v>
      </c>
      <c r="G7918">
        <v>2</v>
      </c>
      <c r="H7918">
        <v>1</v>
      </c>
      <c r="I7918">
        <v>0</v>
      </c>
      <c r="J7918">
        <v>0.96711327649208301</v>
      </c>
      <c r="K7918">
        <v>1</v>
      </c>
      <c r="L7918">
        <v>0.98328173374613004</v>
      </c>
      <c r="M7918">
        <v>0.95736906211936701</v>
      </c>
      <c r="N7918">
        <v>0.95736906211936701</v>
      </c>
      <c r="O7918">
        <v>0.95736906211936701</v>
      </c>
      <c r="P7918" t="s">
        <v>13229</v>
      </c>
      <c r="Q7918" t="s">
        <v>13230</v>
      </c>
      <c r="R7918" t="s">
        <v>516</v>
      </c>
      <c r="S7918" t="s">
        <v>517</v>
      </c>
      <c r="T7918" t="s">
        <v>13231</v>
      </c>
      <c r="U7918" t="s">
        <v>13232</v>
      </c>
      <c r="V7918" t="s">
        <v>13233</v>
      </c>
      <c r="W7918" t="s">
        <v>13234</v>
      </c>
      <c r="AD7918" t="s">
        <v>166</v>
      </c>
      <c r="AE7918" t="s">
        <v>167</v>
      </c>
      <c r="AF7918" t="s">
        <v>15881</v>
      </c>
    </row>
    <row r="7919" spans="1:32" hidden="1" x14ac:dyDescent="0.35">
      <c r="A7919">
        <v>7918</v>
      </c>
      <c r="B7919" t="s">
        <v>15880</v>
      </c>
      <c r="C7919" t="s">
        <v>68</v>
      </c>
      <c r="D7919" t="s">
        <v>62</v>
      </c>
      <c r="E7919">
        <v>2102</v>
      </c>
      <c r="F7919">
        <v>2</v>
      </c>
      <c r="G7919">
        <v>2</v>
      </c>
      <c r="H7919">
        <v>1</v>
      </c>
      <c r="I7919">
        <v>0</v>
      </c>
      <c r="J7919">
        <v>0.96711327649208301</v>
      </c>
      <c r="K7919">
        <v>1</v>
      </c>
      <c r="L7919">
        <v>0.98328173374613004</v>
      </c>
      <c r="M7919">
        <v>0.95736906211936701</v>
      </c>
      <c r="N7919">
        <v>0.95736906211936701</v>
      </c>
      <c r="O7919">
        <v>0.95736906211936701</v>
      </c>
      <c r="P7919" t="s">
        <v>13229</v>
      </c>
      <c r="Q7919" t="s">
        <v>13230</v>
      </c>
      <c r="R7919" t="s">
        <v>516</v>
      </c>
      <c r="S7919" t="s">
        <v>517</v>
      </c>
      <c r="T7919" t="s">
        <v>13231</v>
      </c>
      <c r="U7919" t="s">
        <v>13232</v>
      </c>
      <c r="V7919" t="s">
        <v>13233</v>
      </c>
      <c r="W7919" t="s">
        <v>13234</v>
      </c>
      <c r="AD7919" t="s">
        <v>166</v>
      </c>
      <c r="AE7919" t="s">
        <v>167</v>
      </c>
      <c r="AF7919" t="s">
        <v>15882</v>
      </c>
    </row>
    <row r="7920" spans="1:32" hidden="1" x14ac:dyDescent="0.35">
      <c r="A7920">
        <v>7919</v>
      </c>
      <c r="B7920" t="s">
        <v>15883</v>
      </c>
      <c r="C7920" t="s">
        <v>68</v>
      </c>
      <c r="D7920" t="s">
        <v>34</v>
      </c>
      <c r="E7920">
        <v>2263</v>
      </c>
      <c r="F7920">
        <v>2</v>
      </c>
      <c r="G7920">
        <v>2</v>
      </c>
      <c r="H7920">
        <v>1</v>
      </c>
      <c r="I7920">
        <v>0</v>
      </c>
      <c r="J7920">
        <v>0.993506493506494</v>
      </c>
      <c r="K7920">
        <v>0.82125327225130795</v>
      </c>
      <c r="L7920">
        <v>0.89920492418942399</v>
      </c>
      <c r="M7920">
        <v>0.796875</v>
      </c>
      <c r="N7920">
        <v>0.796875</v>
      </c>
      <c r="O7920">
        <v>0.796875</v>
      </c>
      <c r="P7920" t="s">
        <v>15884</v>
      </c>
      <c r="Q7920" t="s">
        <v>10345</v>
      </c>
      <c r="R7920" t="s">
        <v>113</v>
      </c>
      <c r="S7920" t="s">
        <v>114</v>
      </c>
      <c r="V7920" t="s">
        <v>2167</v>
      </c>
      <c r="W7920" t="s">
        <v>2168</v>
      </c>
      <c r="AF7920" t="e">
        <f>--------------------------------------MYHHFAGKQELAVTALEASAAAMRSDVEALLDVKRPAMERLIAYLERQRDSLRGCRMGRMTYDADVLATPELLAPVSRTLGWLVDTIAEVIRQGIDAQEFPASVDAHQLASMVVATVQGGYVLARAQWNPAEFDAAVNGAVTLLRAWKNNRHSA</f>
        <v>#NAME?</v>
      </c>
    </row>
    <row r="7921" spans="1:32" hidden="1" x14ac:dyDescent="0.35">
      <c r="A7921">
        <v>7920</v>
      </c>
      <c r="B7921" t="s">
        <v>15883</v>
      </c>
      <c r="C7921" t="s">
        <v>68</v>
      </c>
      <c r="D7921" t="s">
        <v>45</v>
      </c>
      <c r="E7921">
        <v>613</v>
      </c>
      <c r="F7921">
        <v>2</v>
      </c>
      <c r="G7921">
        <v>2</v>
      </c>
      <c r="H7921">
        <v>1</v>
      </c>
      <c r="I7921">
        <v>0</v>
      </c>
      <c r="J7921">
        <v>0.993506493506494</v>
      </c>
      <c r="K7921">
        <v>0.82125327225130795</v>
      </c>
      <c r="L7921">
        <v>0.89920492418942399</v>
      </c>
      <c r="M7921">
        <v>0.796875</v>
      </c>
      <c r="N7921">
        <v>0.796875</v>
      </c>
      <c r="O7921">
        <v>0.796875</v>
      </c>
      <c r="P7921" t="s">
        <v>2163</v>
      </c>
      <c r="Q7921" t="s">
        <v>2164</v>
      </c>
      <c r="R7921" t="s">
        <v>113</v>
      </c>
      <c r="S7921" t="s">
        <v>114</v>
      </c>
      <c r="T7921" t="s">
        <v>15885</v>
      </c>
      <c r="U7921" t="s">
        <v>15886</v>
      </c>
      <c r="V7921" t="s">
        <v>2167</v>
      </c>
      <c r="W7921" t="s">
        <v>2168</v>
      </c>
      <c r="AD7921" t="s">
        <v>312</v>
      </c>
      <c r="AE7921" t="s">
        <v>2169</v>
      </c>
      <c r="AF7921" t="s">
        <v>15887</v>
      </c>
    </row>
    <row r="7922" spans="1:32" hidden="1" x14ac:dyDescent="0.35">
      <c r="A7922">
        <v>7921</v>
      </c>
      <c r="B7922" t="s">
        <v>15888</v>
      </c>
      <c r="C7922" t="s">
        <v>68</v>
      </c>
      <c r="D7922" t="s">
        <v>60</v>
      </c>
      <c r="E7922">
        <v>2342</v>
      </c>
      <c r="F7922">
        <v>2</v>
      </c>
      <c r="G7922">
        <v>2</v>
      </c>
      <c r="H7922">
        <v>1</v>
      </c>
      <c r="I7922">
        <v>0</v>
      </c>
      <c r="J7922">
        <v>0.979487179487179</v>
      </c>
      <c r="K7922">
        <v>1</v>
      </c>
      <c r="L7922">
        <v>0.98963730569948205</v>
      </c>
      <c r="M7922">
        <v>0.97692307692307701</v>
      </c>
      <c r="N7922">
        <v>0.97692307692307701</v>
      </c>
      <c r="O7922">
        <v>0.97692307692307701</v>
      </c>
      <c r="AF7922" t="s">
        <v>15889</v>
      </c>
    </row>
    <row r="7923" spans="1:32" hidden="1" x14ac:dyDescent="0.35">
      <c r="A7923">
        <v>7922</v>
      </c>
      <c r="B7923" t="s">
        <v>15888</v>
      </c>
      <c r="C7923" t="s">
        <v>68</v>
      </c>
      <c r="D7923" t="s">
        <v>62</v>
      </c>
      <c r="E7923">
        <v>2370</v>
      </c>
      <c r="F7923">
        <v>2</v>
      </c>
      <c r="G7923">
        <v>2</v>
      </c>
      <c r="H7923">
        <v>1</v>
      </c>
      <c r="I7923">
        <v>0</v>
      </c>
      <c r="J7923">
        <v>0.979487179487179</v>
      </c>
      <c r="K7923">
        <v>1</v>
      </c>
      <c r="L7923">
        <v>0.98963730569948205</v>
      </c>
      <c r="M7923">
        <v>0.97692307692307701</v>
      </c>
      <c r="N7923">
        <v>0.97692307692307701</v>
      </c>
      <c r="O7923">
        <v>0.97692307692307701</v>
      </c>
      <c r="AF7923" t="s">
        <v>15890</v>
      </c>
    </row>
    <row r="7924" spans="1:32" hidden="1" x14ac:dyDescent="0.35">
      <c r="A7924">
        <v>7923</v>
      </c>
      <c r="B7924" t="s">
        <v>15891</v>
      </c>
      <c r="C7924" t="s">
        <v>68</v>
      </c>
      <c r="D7924" t="s">
        <v>34</v>
      </c>
      <c r="E7924">
        <v>1579</v>
      </c>
      <c r="F7924">
        <v>2</v>
      </c>
      <c r="G7924">
        <v>2</v>
      </c>
      <c r="H7924">
        <v>1</v>
      </c>
      <c r="I7924">
        <v>0</v>
      </c>
      <c r="J7924">
        <v>0.78508771929824595</v>
      </c>
      <c r="K7924">
        <v>0.97872576587243099</v>
      </c>
      <c r="L7924">
        <v>0.87127758780329501</v>
      </c>
      <c r="M7924">
        <v>0.68240343347639498</v>
      </c>
      <c r="N7924">
        <v>0.68240343347639498</v>
      </c>
      <c r="O7924">
        <v>0.68240343347639498</v>
      </c>
      <c r="P7924" t="s">
        <v>10830</v>
      </c>
      <c r="Q7924" t="s">
        <v>10831</v>
      </c>
      <c r="R7924" t="s">
        <v>96</v>
      </c>
      <c r="S7924" t="s">
        <v>97</v>
      </c>
      <c r="T7924" t="s">
        <v>10832</v>
      </c>
      <c r="U7924" t="s">
        <v>10833</v>
      </c>
      <c r="V7924" t="s">
        <v>10834</v>
      </c>
      <c r="W7924" t="s">
        <v>10835</v>
      </c>
      <c r="AD7924" t="s">
        <v>7708</v>
      </c>
      <c r="AE7924" t="s">
        <v>10836</v>
      </c>
      <c r="AF7924" t="s">
        <v>15892</v>
      </c>
    </row>
    <row r="7925" spans="1:32" hidden="1" x14ac:dyDescent="0.35">
      <c r="A7925">
        <v>7924</v>
      </c>
      <c r="B7925" t="s">
        <v>15891</v>
      </c>
      <c r="C7925" t="s">
        <v>68</v>
      </c>
      <c r="D7925" t="s">
        <v>45</v>
      </c>
      <c r="E7925">
        <v>329</v>
      </c>
      <c r="F7925">
        <v>2</v>
      </c>
      <c r="G7925">
        <v>2</v>
      </c>
      <c r="H7925">
        <v>1</v>
      </c>
      <c r="I7925">
        <v>0</v>
      </c>
      <c r="J7925">
        <v>0.78508771929824595</v>
      </c>
      <c r="K7925">
        <v>0.97872576587243099</v>
      </c>
      <c r="L7925">
        <v>0.87127758780329501</v>
      </c>
      <c r="M7925">
        <v>0.68240343347639498</v>
      </c>
      <c r="N7925">
        <v>0.68240343347639498</v>
      </c>
      <c r="O7925">
        <v>0.68240343347639498</v>
      </c>
      <c r="P7925" t="s">
        <v>10830</v>
      </c>
      <c r="Q7925" t="s">
        <v>10831</v>
      </c>
      <c r="R7925" t="s">
        <v>96</v>
      </c>
      <c r="S7925" t="s">
        <v>97</v>
      </c>
      <c r="T7925" t="s">
        <v>10832</v>
      </c>
      <c r="U7925" t="s">
        <v>10833</v>
      </c>
      <c r="V7925" t="s">
        <v>10834</v>
      </c>
      <c r="W7925" t="s">
        <v>10835</v>
      </c>
      <c r="AD7925" t="s">
        <v>7708</v>
      </c>
      <c r="AE7925" t="s">
        <v>10836</v>
      </c>
      <c r="AF7925" t="s">
        <v>15893</v>
      </c>
    </row>
    <row r="7926" spans="1:32" hidden="1" x14ac:dyDescent="0.35">
      <c r="A7926">
        <v>7925</v>
      </c>
      <c r="B7926" t="s">
        <v>15894</v>
      </c>
      <c r="C7926" t="s">
        <v>68</v>
      </c>
      <c r="D7926" t="s">
        <v>34</v>
      </c>
      <c r="E7926">
        <v>935</v>
      </c>
      <c r="F7926">
        <v>2</v>
      </c>
      <c r="G7926">
        <v>2</v>
      </c>
      <c r="H7926">
        <v>1</v>
      </c>
      <c r="I7926">
        <v>0</v>
      </c>
      <c r="J7926">
        <v>0.97530864197530898</v>
      </c>
      <c r="K7926">
        <v>1</v>
      </c>
      <c r="L7926">
        <v>0.98750000000000004</v>
      </c>
      <c r="M7926">
        <v>0.97530864197530898</v>
      </c>
      <c r="N7926">
        <v>0.97530864197530898</v>
      </c>
      <c r="O7926">
        <v>0.97530864197530898</v>
      </c>
      <c r="AF7926" t="s">
        <v>15895</v>
      </c>
    </row>
    <row r="7927" spans="1:32" hidden="1" x14ac:dyDescent="0.35">
      <c r="A7927">
        <v>7926</v>
      </c>
      <c r="B7927" t="s">
        <v>15894</v>
      </c>
      <c r="C7927" t="s">
        <v>68</v>
      </c>
      <c r="D7927" t="s">
        <v>45</v>
      </c>
      <c r="E7927">
        <v>2192</v>
      </c>
      <c r="F7927">
        <v>2</v>
      </c>
      <c r="G7927">
        <v>2</v>
      </c>
      <c r="H7927">
        <v>1</v>
      </c>
      <c r="I7927">
        <v>0</v>
      </c>
      <c r="J7927">
        <v>0.97530864197530898</v>
      </c>
      <c r="K7927">
        <v>1</v>
      </c>
      <c r="L7927">
        <v>0.98750000000000004</v>
      </c>
      <c r="M7927">
        <v>0.97530864197530898</v>
      </c>
      <c r="N7927">
        <v>0.97530864197530898</v>
      </c>
      <c r="O7927">
        <v>0.97530864197530898</v>
      </c>
      <c r="AF7927" t="s">
        <v>15896</v>
      </c>
    </row>
    <row r="7928" spans="1:32" hidden="1" x14ac:dyDescent="0.35">
      <c r="A7928">
        <v>7927</v>
      </c>
      <c r="B7928" t="s">
        <v>15897</v>
      </c>
      <c r="C7928" t="s">
        <v>68</v>
      </c>
      <c r="D7928" t="s">
        <v>34</v>
      </c>
      <c r="E7928">
        <v>984</v>
      </c>
      <c r="F7928">
        <v>2</v>
      </c>
      <c r="G7928">
        <v>2</v>
      </c>
      <c r="H7928">
        <v>1</v>
      </c>
      <c r="I7928">
        <v>0</v>
      </c>
      <c r="J7928">
        <v>0.97959183673469397</v>
      </c>
      <c r="K7928">
        <v>1</v>
      </c>
      <c r="L7928">
        <v>0.98969072164948502</v>
      </c>
      <c r="M7928">
        <v>0.97959183673469397</v>
      </c>
      <c r="N7928">
        <v>0.97959183673469397</v>
      </c>
      <c r="O7928">
        <v>0.97959183673469397</v>
      </c>
      <c r="AF7928" t="s">
        <v>15898</v>
      </c>
    </row>
    <row r="7929" spans="1:32" hidden="1" x14ac:dyDescent="0.35">
      <c r="A7929">
        <v>7928</v>
      </c>
      <c r="B7929" t="s">
        <v>15897</v>
      </c>
      <c r="C7929" t="s">
        <v>68</v>
      </c>
      <c r="D7929" t="s">
        <v>45</v>
      </c>
      <c r="E7929">
        <v>2239</v>
      </c>
      <c r="F7929">
        <v>2</v>
      </c>
      <c r="G7929">
        <v>2</v>
      </c>
      <c r="H7929">
        <v>1</v>
      </c>
      <c r="I7929">
        <v>0</v>
      </c>
      <c r="J7929">
        <v>0.97959183673469397</v>
      </c>
      <c r="K7929">
        <v>1</v>
      </c>
      <c r="L7929">
        <v>0.98969072164948502</v>
      </c>
      <c r="M7929">
        <v>0.97959183673469397</v>
      </c>
      <c r="N7929">
        <v>0.97959183673469397</v>
      </c>
      <c r="O7929">
        <v>0.97959183673469397</v>
      </c>
      <c r="AF7929" t="s">
        <v>15899</v>
      </c>
    </row>
    <row r="7930" spans="1:32" hidden="1" x14ac:dyDescent="0.35">
      <c r="A7930">
        <v>7929</v>
      </c>
      <c r="B7930" t="s">
        <v>15900</v>
      </c>
      <c r="C7930" t="s">
        <v>68</v>
      </c>
      <c r="D7930" t="s">
        <v>34</v>
      </c>
      <c r="E7930">
        <v>1677</v>
      </c>
      <c r="F7930">
        <v>2</v>
      </c>
      <c r="G7930">
        <v>2</v>
      </c>
      <c r="H7930">
        <v>1</v>
      </c>
      <c r="I7930">
        <v>0</v>
      </c>
      <c r="J7930">
        <v>0.99796747967479704</v>
      </c>
      <c r="K7930">
        <v>1</v>
      </c>
      <c r="L7930">
        <v>0.99898270600203498</v>
      </c>
      <c r="M7930">
        <v>0.99390243902439002</v>
      </c>
      <c r="N7930">
        <v>0.99390243902439002</v>
      </c>
      <c r="O7930">
        <v>0.99390243902439002</v>
      </c>
      <c r="AF7930" t="s">
        <v>15901</v>
      </c>
    </row>
    <row r="7931" spans="1:32" hidden="1" x14ac:dyDescent="0.35">
      <c r="A7931">
        <v>7930</v>
      </c>
      <c r="B7931" t="s">
        <v>15900</v>
      </c>
      <c r="C7931" t="s">
        <v>68</v>
      </c>
      <c r="D7931" t="s">
        <v>45</v>
      </c>
      <c r="E7931">
        <v>1199</v>
      </c>
      <c r="F7931">
        <v>2</v>
      </c>
      <c r="G7931">
        <v>2</v>
      </c>
      <c r="H7931">
        <v>1</v>
      </c>
      <c r="I7931">
        <v>0</v>
      </c>
      <c r="J7931">
        <v>0.99796747967479704</v>
      </c>
      <c r="K7931">
        <v>1</v>
      </c>
      <c r="L7931">
        <v>0.99898270600203498</v>
      </c>
      <c r="M7931">
        <v>0.99390243902439002</v>
      </c>
      <c r="N7931">
        <v>0.99390243902439002</v>
      </c>
      <c r="O7931">
        <v>0.99390243902439002</v>
      </c>
      <c r="AF7931" t="s">
        <v>15902</v>
      </c>
    </row>
    <row r="7932" spans="1:32" hidden="1" x14ac:dyDescent="0.35">
      <c r="A7932">
        <v>7931</v>
      </c>
      <c r="B7932" t="s">
        <v>15903</v>
      </c>
      <c r="C7932" t="s">
        <v>68</v>
      </c>
      <c r="D7932" t="s">
        <v>60</v>
      </c>
      <c r="E7932">
        <v>369</v>
      </c>
      <c r="F7932">
        <v>2</v>
      </c>
      <c r="G7932">
        <v>2</v>
      </c>
      <c r="H7932">
        <v>1</v>
      </c>
      <c r="I7932">
        <v>0</v>
      </c>
      <c r="J7932">
        <v>0.99113082039911304</v>
      </c>
      <c r="K7932">
        <v>1</v>
      </c>
      <c r="L7932">
        <v>0.99554565701558995</v>
      </c>
      <c r="M7932">
        <v>0.99113082039911304</v>
      </c>
      <c r="N7932">
        <v>0.99113082039911304</v>
      </c>
      <c r="O7932">
        <v>0.99113082039911304</v>
      </c>
      <c r="P7932" t="s">
        <v>15904</v>
      </c>
      <c r="Q7932" t="s">
        <v>15905</v>
      </c>
      <c r="R7932" t="s">
        <v>14882</v>
      </c>
      <c r="S7932" t="s">
        <v>14883</v>
      </c>
      <c r="V7932" t="s">
        <v>14884</v>
      </c>
      <c r="W7932" t="s">
        <v>14885</v>
      </c>
      <c r="AF7932" t="s">
        <v>15906</v>
      </c>
    </row>
    <row r="7933" spans="1:32" hidden="1" x14ac:dyDescent="0.35">
      <c r="A7933">
        <v>7932</v>
      </c>
      <c r="B7933" t="s">
        <v>15903</v>
      </c>
      <c r="C7933" t="s">
        <v>68</v>
      </c>
      <c r="D7933" t="s">
        <v>62</v>
      </c>
      <c r="E7933">
        <v>449</v>
      </c>
      <c r="F7933">
        <v>2</v>
      </c>
      <c r="G7933">
        <v>2</v>
      </c>
      <c r="H7933">
        <v>1</v>
      </c>
      <c r="I7933">
        <v>0</v>
      </c>
      <c r="J7933">
        <v>0.99113082039911304</v>
      </c>
      <c r="K7933">
        <v>1</v>
      </c>
      <c r="L7933">
        <v>0.99554565701558995</v>
      </c>
      <c r="M7933">
        <v>0.99113082039911304</v>
      </c>
      <c r="N7933">
        <v>0.99113082039911304</v>
      </c>
      <c r="O7933">
        <v>0.99113082039911304</v>
      </c>
      <c r="P7933" t="s">
        <v>15904</v>
      </c>
      <c r="Q7933" t="s">
        <v>15905</v>
      </c>
      <c r="R7933" t="s">
        <v>14882</v>
      </c>
      <c r="S7933" t="s">
        <v>14883</v>
      </c>
      <c r="V7933" t="s">
        <v>14884</v>
      </c>
      <c r="W7933" t="s">
        <v>14885</v>
      </c>
      <c r="AF7933" t="s">
        <v>15907</v>
      </c>
    </row>
    <row r="7934" spans="1:32" hidden="1" x14ac:dyDescent="0.35">
      <c r="A7934">
        <v>7933</v>
      </c>
      <c r="B7934" t="s">
        <v>15908</v>
      </c>
      <c r="C7934" t="s">
        <v>68</v>
      </c>
      <c r="D7934" t="s">
        <v>34</v>
      </c>
      <c r="E7934">
        <v>1985</v>
      </c>
      <c r="F7934">
        <v>2</v>
      </c>
      <c r="G7934">
        <v>2</v>
      </c>
      <c r="H7934">
        <v>1</v>
      </c>
      <c r="I7934">
        <v>0</v>
      </c>
      <c r="J7934">
        <v>0.99339933993399299</v>
      </c>
      <c r="K7934">
        <v>0.85990852037017196</v>
      </c>
      <c r="L7934">
        <v>0.92184636436943501</v>
      </c>
      <c r="M7934">
        <v>0.84033613445378197</v>
      </c>
      <c r="N7934">
        <v>0.84033613445378197</v>
      </c>
      <c r="O7934">
        <v>0.84033613445378197</v>
      </c>
      <c r="P7934" t="s">
        <v>169</v>
      </c>
      <c r="Q7934" t="s">
        <v>170</v>
      </c>
      <c r="R7934" t="s">
        <v>12738</v>
      </c>
      <c r="S7934" t="s">
        <v>12739</v>
      </c>
      <c r="V7934" t="s">
        <v>15909</v>
      </c>
      <c r="W7934" t="s">
        <v>15910</v>
      </c>
      <c r="AF7934" t="e">
        <f>------------------------------------MIVPELTINPGTLTAVIGPSGSGKTTLTHAIGDIPVETLHCVGTVERRGKVGVISQDSFGALNPLQRVDKQVALTAGSIENAHELLAQVSLTPELFSRYPLELSGGQRQRAAIAFALGARPQLLLCDEVTSALDPIATAEVVRTLRKLVADSRDGMSIVFISHDLGAAKALCPDVITLEPADPNTDLTAATAIFRKNWDDYS</f>
        <v>#NAME?</v>
      </c>
    </row>
    <row r="7935" spans="1:32" hidden="1" x14ac:dyDescent="0.35">
      <c r="A7935">
        <v>7934</v>
      </c>
      <c r="B7935" t="s">
        <v>15908</v>
      </c>
      <c r="C7935" t="s">
        <v>68</v>
      </c>
      <c r="D7935" t="s">
        <v>45</v>
      </c>
      <c r="E7935">
        <v>888</v>
      </c>
      <c r="F7935">
        <v>2</v>
      </c>
      <c r="G7935">
        <v>2</v>
      </c>
      <c r="H7935">
        <v>1</v>
      </c>
      <c r="I7935">
        <v>0</v>
      </c>
      <c r="J7935">
        <v>0.99339933993399299</v>
      </c>
      <c r="K7935">
        <v>0.85990852037017196</v>
      </c>
      <c r="L7935">
        <v>0.92184636436943501</v>
      </c>
      <c r="M7935">
        <v>0.84033613445378197</v>
      </c>
      <c r="N7935">
        <v>0.84033613445378197</v>
      </c>
      <c r="O7935">
        <v>0.84033613445378197</v>
      </c>
      <c r="P7935" t="s">
        <v>169</v>
      </c>
      <c r="Q7935" t="s">
        <v>170</v>
      </c>
      <c r="R7935" t="s">
        <v>12738</v>
      </c>
      <c r="S7935" t="s">
        <v>12739</v>
      </c>
      <c r="V7935" t="s">
        <v>15909</v>
      </c>
      <c r="W7935" t="s">
        <v>15910</v>
      </c>
      <c r="AF7935" t="s">
        <v>15911</v>
      </c>
    </row>
    <row r="7936" spans="1:32" hidden="1" x14ac:dyDescent="0.35">
      <c r="A7936">
        <v>7935</v>
      </c>
      <c r="B7936" t="s">
        <v>15912</v>
      </c>
      <c r="C7936" t="s">
        <v>68</v>
      </c>
      <c r="D7936" t="s">
        <v>34</v>
      </c>
      <c r="E7936">
        <v>1000</v>
      </c>
      <c r="F7936">
        <v>2</v>
      </c>
      <c r="G7936">
        <v>2</v>
      </c>
      <c r="H7936">
        <v>1</v>
      </c>
      <c r="I7936">
        <v>0</v>
      </c>
      <c r="J7936">
        <v>0.99824561403508805</v>
      </c>
      <c r="K7936">
        <v>0.98708062770562599</v>
      </c>
      <c r="L7936">
        <v>0.99263172630227103</v>
      </c>
      <c r="M7936">
        <v>0.98181818181818203</v>
      </c>
      <c r="N7936">
        <v>0.98181818181818203</v>
      </c>
      <c r="O7936">
        <v>0.98181818181818203</v>
      </c>
      <c r="AF7936" t="s">
        <v>15913</v>
      </c>
    </row>
    <row r="7937" spans="1:32" hidden="1" x14ac:dyDescent="0.35">
      <c r="A7937">
        <v>7936</v>
      </c>
      <c r="B7937" t="s">
        <v>15912</v>
      </c>
      <c r="C7937" t="s">
        <v>68</v>
      </c>
      <c r="D7937" t="s">
        <v>45</v>
      </c>
      <c r="E7937">
        <v>2254</v>
      </c>
      <c r="F7937">
        <v>2</v>
      </c>
      <c r="G7937">
        <v>2</v>
      </c>
      <c r="H7937">
        <v>1</v>
      </c>
      <c r="I7937">
        <v>0</v>
      </c>
      <c r="J7937">
        <v>0.99824561403508805</v>
      </c>
      <c r="K7937">
        <v>0.98708062770562599</v>
      </c>
      <c r="L7937">
        <v>0.99263172630227103</v>
      </c>
      <c r="M7937">
        <v>0.98181818181818203</v>
      </c>
      <c r="N7937">
        <v>0.98181818181818203</v>
      </c>
      <c r="O7937">
        <v>0.98181818181818203</v>
      </c>
      <c r="AF7937" t="s">
        <v>15914</v>
      </c>
    </row>
    <row r="7938" spans="1:32" hidden="1" x14ac:dyDescent="0.35">
      <c r="A7938">
        <v>7937</v>
      </c>
      <c r="B7938" t="s">
        <v>15915</v>
      </c>
      <c r="C7938" t="s">
        <v>68</v>
      </c>
      <c r="D7938" t="s">
        <v>60</v>
      </c>
      <c r="E7938">
        <v>1193</v>
      </c>
      <c r="F7938">
        <v>2</v>
      </c>
      <c r="G7938">
        <v>2</v>
      </c>
      <c r="H7938">
        <v>1</v>
      </c>
      <c r="I7938">
        <v>0</v>
      </c>
      <c r="J7938">
        <v>0.98796630565583599</v>
      </c>
      <c r="K7938">
        <v>1</v>
      </c>
      <c r="L7938">
        <v>0.99394673123486699</v>
      </c>
      <c r="M7938">
        <v>0.98555956678700396</v>
      </c>
      <c r="N7938">
        <v>0.98555956678700396</v>
      </c>
      <c r="O7938">
        <v>0.98555956678700396</v>
      </c>
      <c r="P7938" t="s">
        <v>1363</v>
      </c>
      <c r="Q7938" t="s">
        <v>1364</v>
      </c>
      <c r="R7938" t="s">
        <v>342</v>
      </c>
      <c r="S7938" t="s">
        <v>343</v>
      </c>
      <c r="T7938" t="s">
        <v>1365</v>
      </c>
      <c r="U7938" t="s">
        <v>1366</v>
      </c>
      <c r="V7938" t="s">
        <v>1367</v>
      </c>
      <c r="W7938" t="s">
        <v>1368</v>
      </c>
      <c r="AD7938" t="s">
        <v>147</v>
      </c>
      <c r="AE7938" t="s">
        <v>1369</v>
      </c>
      <c r="AF7938" t="s">
        <v>15916</v>
      </c>
    </row>
    <row r="7939" spans="1:32" hidden="1" x14ac:dyDescent="0.35">
      <c r="A7939">
        <v>7938</v>
      </c>
      <c r="B7939" t="s">
        <v>15915</v>
      </c>
      <c r="C7939" t="s">
        <v>68</v>
      </c>
      <c r="D7939" t="s">
        <v>62</v>
      </c>
      <c r="E7939">
        <v>1230</v>
      </c>
      <c r="F7939">
        <v>2</v>
      </c>
      <c r="G7939">
        <v>2</v>
      </c>
      <c r="H7939">
        <v>1</v>
      </c>
      <c r="I7939">
        <v>0</v>
      </c>
      <c r="J7939">
        <v>0.98796630565583599</v>
      </c>
      <c r="K7939">
        <v>1</v>
      </c>
      <c r="L7939">
        <v>0.99394673123486699</v>
      </c>
      <c r="M7939">
        <v>0.98555956678700396</v>
      </c>
      <c r="N7939">
        <v>0.98555956678700396</v>
      </c>
      <c r="O7939">
        <v>0.98555956678700396</v>
      </c>
      <c r="P7939" t="s">
        <v>1363</v>
      </c>
      <c r="Q7939" t="s">
        <v>1364</v>
      </c>
      <c r="R7939" t="s">
        <v>342</v>
      </c>
      <c r="S7939" t="s">
        <v>343</v>
      </c>
      <c r="T7939" t="s">
        <v>1365</v>
      </c>
      <c r="U7939" t="s">
        <v>1366</v>
      </c>
      <c r="V7939" t="s">
        <v>1367</v>
      </c>
      <c r="W7939" t="s">
        <v>1368</v>
      </c>
      <c r="AD7939" t="s">
        <v>147</v>
      </c>
      <c r="AE7939" t="s">
        <v>1369</v>
      </c>
      <c r="AF7939" t="s">
        <v>15917</v>
      </c>
    </row>
    <row r="7940" spans="1:32" hidden="1" x14ac:dyDescent="0.35">
      <c r="A7940">
        <v>7939</v>
      </c>
      <c r="B7940" t="s">
        <v>15918</v>
      </c>
      <c r="C7940" t="s">
        <v>68</v>
      </c>
      <c r="D7940" t="s">
        <v>34</v>
      </c>
      <c r="E7940">
        <v>1821</v>
      </c>
      <c r="F7940">
        <v>2</v>
      </c>
      <c r="G7940">
        <v>2</v>
      </c>
      <c r="H7940">
        <v>1</v>
      </c>
      <c r="I7940">
        <v>0</v>
      </c>
      <c r="J7940">
        <v>1</v>
      </c>
      <c r="K7940">
        <v>0.932384769539082</v>
      </c>
      <c r="L7940">
        <v>0.96500943728870003</v>
      </c>
      <c r="M7940">
        <v>0.93</v>
      </c>
      <c r="N7940">
        <v>0.93</v>
      </c>
      <c r="O7940">
        <v>0.93</v>
      </c>
      <c r="P7940" t="s">
        <v>15919</v>
      </c>
      <c r="Q7940" t="s">
        <v>15920</v>
      </c>
      <c r="R7940" t="s">
        <v>5842</v>
      </c>
      <c r="S7940" t="s">
        <v>5843</v>
      </c>
      <c r="V7940" t="s">
        <v>15921</v>
      </c>
      <c r="W7940" t="s">
        <v>15922</v>
      </c>
      <c r="AF7940" t="s">
        <v>15923</v>
      </c>
    </row>
    <row r="7941" spans="1:32" hidden="1" x14ac:dyDescent="0.35">
      <c r="A7941">
        <v>7940</v>
      </c>
      <c r="B7941" t="s">
        <v>15918</v>
      </c>
      <c r="C7941" t="s">
        <v>68</v>
      </c>
      <c r="D7941" t="s">
        <v>45</v>
      </c>
      <c r="E7941">
        <v>1052</v>
      </c>
      <c r="F7941">
        <v>2</v>
      </c>
      <c r="G7941">
        <v>2</v>
      </c>
      <c r="H7941">
        <v>1</v>
      </c>
      <c r="I7941">
        <v>0</v>
      </c>
      <c r="J7941">
        <v>1</v>
      </c>
      <c r="K7941">
        <v>0.932384769539082</v>
      </c>
      <c r="L7941">
        <v>0.96500943728870003</v>
      </c>
      <c r="M7941">
        <v>0.93</v>
      </c>
      <c r="N7941">
        <v>0.93</v>
      </c>
      <c r="O7941">
        <v>0.93</v>
      </c>
      <c r="P7941" t="s">
        <v>15919</v>
      </c>
      <c r="Q7941" t="s">
        <v>15920</v>
      </c>
      <c r="R7941" t="s">
        <v>5842</v>
      </c>
      <c r="S7941" t="s">
        <v>5843</v>
      </c>
      <c r="V7941" t="s">
        <v>15921</v>
      </c>
      <c r="W7941" t="s">
        <v>15922</v>
      </c>
      <c r="AF7941" t="s">
        <v>15924</v>
      </c>
    </row>
    <row r="7942" spans="1:32" hidden="1" x14ac:dyDescent="0.35">
      <c r="A7942">
        <v>7941</v>
      </c>
      <c r="B7942" t="s">
        <v>15925</v>
      </c>
      <c r="C7942" t="s">
        <v>68</v>
      </c>
      <c r="D7942" t="s">
        <v>60</v>
      </c>
      <c r="E7942">
        <v>1113</v>
      </c>
      <c r="F7942">
        <v>2</v>
      </c>
      <c r="G7942">
        <v>2</v>
      </c>
      <c r="H7942">
        <v>1</v>
      </c>
      <c r="I7942">
        <v>0</v>
      </c>
      <c r="J7942">
        <v>0.99777282850779503</v>
      </c>
      <c r="K7942">
        <v>1</v>
      </c>
      <c r="L7942">
        <v>0.99888517279821598</v>
      </c>
      <c r="M7942">
        <v>0.99777282850779503</v>
      </c>
      <c r="N7942">
        <v>0.99777282850779503</v>
      </c>
      <c r="O7942">
        <v>0.99777282850779503</v>
      </c>
      <c r="P7942" t="s">
        <v>4551</v>
      </c>
      <c r="Q7942" t="s">
        <v>4552</v>
      </c>
      <c r="R7942" t="s">
        <v>8647</v>
      </c>
      <c r="S7942" t="s">
        <v>8648</v>
      </c>
      <c r="V7942" t="s">
        <v>9316</v>
      </c>
      <c r="W7942" t="s">
        <v>9317</v>
      </c>
      <c r="X7942" t="s">
        <v>9316</v>
      </c>
      <c r="Y7942" t="s">
        <v>875</v>
      </c>
      <c r="AF7942" t="s">
        <v>15926</v>
      </c>
    </row>
    <row r="7943" spans="1:32" hidden="1" x14ac:dyDescent="0.35">
      <c r="A7943">
        <v>7942</v>
      </c>
      <c r="B7943" t="s">
        <v>15925</v>
      </c>
      <c r="C7943" t="s">
        <v>68</v>
      </c>
      <c r="D7943" t="s">
        <v>62</v>
      </c>
      <c r="E7943">
        <v>1149</v>
      </c>
      <c r="F7943">
        <v>2</v>
      </c>
      <c r="G7943">
        <v>2</v>
      </c>
      <c r="H7943">
        <v>1</v>
      </c>
      <c r="I7943">
        <v>0</v>
      </c>
      <c r="J7943">
        <v>0.99777282850779503</v>
      </c>
      <c r="K7943">
        <v>1</v>
      </c>
      <c r="L7943">
        <v>0.99888517279821598</v>
      </c>
      <c r="M7943">
        <v>0.99777282850779503</v>
      </c>
      <c r="N7943">
        <v>0.99777282850779503</v>
      </c>
      <c r="O7943">
        <v>0.99777282850779503</v>
      </c>
      <c r="P7943" t="s">
        <v>4551</v>
      </c>
      <c r="Q7943" t="s">
        <v>4552</v>
      </c>
      <c r="R7943" t="s">
        <v>8647</v>
      </c>
      <c r="S7943" t="s">
        <v>8648</v>
      </c>
      <c r="V7943" t="s">
        <v>9316</v>
      </c>
      <c r="W7943" t="s">
        <v>9317</v>
      </c>
      <c r="X7943" t="s">
        <v>9316</v>
      </c>
      <c r="Y7943" t="s">
        <v>875</v>
      </c>
      <c r="AF7943" t="s">
        <v>15927</v>
      </c>
    </row>
    <row r="7944" spans="1:32" hidden="1" x14ac:dyDescent="0.35">
      <c r="A7944">
        <v>7943</v>
      </c>
      <c r="B7944" t="s">
        <v>15928</v>
      </c>
      <c r="C7944" t="s">
        <v>68</v>
      </c>
      <c r="D7944" t="s">
        <v>34</v>
      </c>
      <c r="E7944">
        <v>898</v>
      </c>
      <c r="F7944">
        <v>2</v>
      </c>
      <c r="G7944">
        <v>2</v>
      </c>
      <c r="H7944">
        <v>1</v>
      </c>
      <c r="I7944">
        <v>0</v>
      </c>
      <c r="J7944">
        <v>0.98661028893586999</v>
      </c>
      <c r="K7944">
        <v>1</v>
      </c>
      <c r="L7944">
        <v>0.99326002128414304</v>
      </c>
      <c r="M7944">
        <v>0.985200845665962</v>
      </c>
      <c r="N7944">
        <v>0.985200845665962</v>
      </c>
      <c r="O7944">
        <v>0.985200845665962</v>
      </c>
      <c r="R7944" t="s">
        <v>1259</v>
      </c>
      <c r="S7944" t="s">
        <v>1260</v>
      </c>
      <c r="V7944" t="s">
        <v>15418</v>
      </c>
      <c r="W7944" t="s">
        <v>15419</v>
      </c>
      <c r="AF7944" t="s">
        <v>15929</v>
      </c>
    </row>
    <row r="7945" spans="1:32" hidden="1" x14ac:dyDescent="0.35">
      <c r="A7945">
        <v>7944</v>
      </c>
      <c r="B7945" t="s">
        <v>15928</v>
      </c>
      <c r="C7945" t="s">
        <v>68</v>
      </c>
      <c r="D7945" t="s">
        <v>45</v>
      </c>
      <c r="E7945">
        <v>2154</v>
      </c>
      <c r="F7945">
        <v>2</v>
      </c>
      <c r="G7945">
        <v>2</v>
      </c>
      <c r="H7945">
        <v>1</v>
      </c>
      <c r="I7945">
        <v>0</v>
      </c>
      <c r="J7945">
        <v>0.98661028893586999</v>
      </c>
      <c r="K7945">
        <v>1</v>
      </c>
      <c r="L7945">
        <v>0.99326002128414304</v>
      </c>
      <c r="M7945">
        <v>0.985200845665962</v>
      </c>
      <c r="N7945">
        <v>0.985200845665962</v>
      </c>
      <c r="O7945">
        <v>0.985200845665962</v>
      </c>
      <c r="R7945" t="s">
        <v>1259</v>
      </c>
      <c r="S7945" t="s">
        <v>1260</v>
      </c>
      <c r="V7945" t="s">
        <v>15418</v>
      </c>
      <c r="W7945" t="s">
        <v>15419</v>
      </c>
      <c r="AF7945" t="s">
        <v>15930</v>
      </c>
    </row>
    <row r="7946" spans="1:32" hidden="1" x14ac:dyDescent="0.35">
      <c r="A7946">
        <v>7945</v>
      </c>
      <c r="B7946" t="s">
        <v>15931</v>
      </c>
      <c r="C7946" t="s">
        <v>68</v>
      </c>
      <c r="D7946" t="s">
        <v>34</v>
      </c>
      <c r="E7946">
        <v>1120</v>
      </c>
      <c r="F7946">
        <v>2</v>
      </c>
      <c r="G7946">
        <v>2</v>
      </c>
      <c r="H7946">
        <v>1</v>
      </c>
      <c r="I7946">
        <v>0</v>
      </c>
      <c r="J7946">
        <v>0.97522522522522503</v>
      </c>
      <c r="K7946">
        <v>0.92228260869565104</v>
      </c>
      <c r="L7946">
        <v>0.94801533749454803</v>
      </c>
      <c r="M7946">
        <v>0.88819875776397506</v>
      </c>
      <c r="N7946">
        <v>0.88819875776397506</v>
      </c>
      <c r="O7946">
        <v>0.88819875776397506</v>
      </c>
      <c r="P7946" t="s">
        <v>15932</v>
      </c>
      <c r="Q7946" t="s">
        <v>15933</v>
      </c>
      <c r="R7946" t="s">
        <v>138</v>
      </c>
      <c r="S7946" t="s">
        <v>139</v>
      </c>
      <c r="T7946" t="s">
        <v>15081</v>
      </c>
      <c r="U7946" t="s">
        <v>15082</v>
      </c>
      <c r="V7946" t="s">
        <v>15934</v>
      </c>
      <c r="W7946" t="s">
        <v>15935</v>
      </c>
      <c r="AD7946" t="s">
        <v>410</v>
      </c>
      <c r="AE7946" t="s">
        <v>15083</v>
      </c>
      <c r="AF7946" t="e">
        <f>-------------MVVLGCVFAALAVVLLLVGALAWTRHLPGNKYVGIKVPEVRESREVWDAVHQFAGPLWLASGVAMAVAAVPPFSGVSWLLIISLVGVAASVYFFGLGSSMGARAAGVLVREESSGGCCGDDSSDASDAAPAPQVDFDALRRAAGAADA</f>
        <v>#NAME?</v>
      </c>
    </row>
    <row r="7947" spans="1:32" hidden="1" x14ac:dyDescent="0.35">
      <c r="A7947">
        <v>7946</v>
      </c>
      <c r="B7947" t="s">
        <v>15931</v>
      </c>
      <c r="C7947" t="s">
        <v>68</v>
      </c>
      <c r="D7947" t="s">
        <v>45</v>
      </c>
      <c r="E7947">
        <v>2373</v>
      </c>
      <c r="F7947">
        <v>2</v>
      </c>
      <c r="G7947">
        <v>2</v>
      </c>
      <c r="H7947">
        <v>1</v>
      </c>
      <c r="I7947">
        <v>0</v>
      </c>
      <c r="J7947">
        <v>0.97522522522522503</v>
      </c>
      <c r="K7947">
        <v>0.92228260869565104</v>
      </c>
      <c r="L7947">
        <v>0.94801533749454803</v>
      </c>
      <c r="M7947">
        <v>0.88819875776397506</v>
      </c>
      <c r="N7947">
        <v>0.88819875776397506</v>
      </c>
      <c r="O7947">
        <v>0.88819875776397506</v>
      </c>
      <c r="P7947" t="s">
        <v>15932</v>
      </c>
      <c r="Q7947" t="s">
        <v>15933</v>
      </c>
      <c r="R7947" t="s">
        <v>138</v>
      </c>
      <c r="S7947" t="s">
        <v>139</v>
      </c>
      <c r="T7947" t="s">
        <v>15081</v>
      </c>
      <c r="U7947" t="s">
        <v>15082</v>
      </c>
      <c r="V7947" t="s">
        <v>15934</v>
      </c>
      <c r="W7947" t="s">
        <v>15935</v>
      </c>
      <c r="AD7947" t="s">
        <v>410</v>
      </c>
      <c r="AE7947" t="s">
        <v>15083</v>
      </c>
      <c r="AF7947" t="s">
        <v>15936</v>
      </c>
    </row>
    <row r="7948" spans="1:32" hidden="1" x14ac:dyDescent="0.35">
      <c r="A7948">
        <v>7947</v>
      </c>
      <c r="B7948" t="s">
        <v>15937</v>
      </c>
      <c r="C7948" t="s">
        <v>68</v>
      </c>
      <c r="D7948" t="s">
        <v>60</v>
      </c>
      <c r="E7948">
        <v>2024</v>
      </c>
      <c r="F7948">
        <v>2</v>
      </c>
      <c r="G7948">
        <v>2</v>
      </c>
      <c r="H7948">
        <v>1</v>
      </c>
      <c r="I7948">
        <v>0</v>
      </c>
      <c r="J7948">
        <v>0.98</v>
      </c>
      <c r="K7948">
        <v>1</v>
      </c>
      <c r="L7948">
        <v>0.98989898989898994</v>
      </c>
      <c r="M7948">
        <v>0.98</v>
      </c>
      <c r="N7948">
        <v>0.98</v>
      </c>
      <c r="O7948">
        <v>0.98</v>
      </c>
      <c r="P7948" t="s">
        <v>15938</v>
      </c>
      <c r="Q7948" t="s">
        <v>15939</v>
      </c>
      <c r="R7948" t="s">
        <v>138</v>
      </c>
      <c r="S7948" t="s">
        <v>139</v>
      </c>
      <c r="T7948" t="s">
        <v>15940</v>
      </c>
      <c r="U7948" t="s">
        <v>15941</v>
      </c>
      <c r="V7948" t="s">
        <v>15942</v>
      </c>
      <c r="W7948" t="s">
        <v>15943</v>
      </c>
      <c r="X7948" t="s">
        <v>15942</v>
      </c>
      <c r="Y7948" t="s">
        <v>15411</v>
      </c>
      <c r="AD7948" t="s">
        <v>14436</v>
      </c>
      <c r="AE7948" t="s">
        <v>15944</v>
      </c>
      <c r="AF7948" t="s">
        <v>15945</v>
      </c>
    </row>
    <row r="7949" spans="1:32" hidden="1" x14ac:dyDescent="0.35">
      <c r="A7949">
        <v>7948</v>
      </c>
      <c r="B7949" t="s">
        <v>15937</v>
      </c>
      <c r="C7949" t="s">
        <v>68</v>
      </c>
      <c r="D7949" t="s">
        <v>62</v>
      </c>
      <c r="E7949">
        <v>2064</v>
      </c>
      <c r="F7949">
        <v>2</v>
      </c>
      <c r="G7949">
        <v>2</v>
      </c>
      <c r="H7949">
        <v>1</v>
      </c>
      <c r="I7949">
        <v>0</v>
      </c>
      <c r="J7949">
        <v>0.98</v>
      </c>
      <c r="K7949">
        <v>1</v>
      </c>
      <c r="L7949">
        <v>0.98989898989898994</v>
      </c>
      <c r="M7949">
        <v>0.98</v>
      </c>
      <c r="N7949">
        <v>0.98</v>
      </c>
      <c r="O7949">
        <v>0.98</v>
      </c>
      <c r="P7949" t="s">
        <v>15938</v>
      </c>
      <c r="Q7949" t="s">
        <v>15939</v>
      </c>
      <c r="R7949" t="s">
        <v>138</v>
      </c>
      <c r="S7949" t="s">
        <v>139</v>
      </c>
      <c r="T7949" t="s">
        <v>15940</v>
      </c>
      <c r="U7949" t="s">
        <v>15941</v>
      </c>
      <c r="V7949" t="s">
        <v>15942</v>
      </c>
      <c r="W7949" t="s">
        <v>15943</v>
      </c>
      <c r="X7949" t="s">
        <v>15942</v>
      </c>
      <c r="Y7949" t="s">
        <v>15411</v>
      </c>
      <c r="AD7949" t="s">
        <v>14436</v>
      </c>
      <c r="AE7949" t="s">
        <v>15944</v>
      </c>
      <c r="AF7949" t="s">
        <v>15946</v>
      </c>
    </row>
    <row r="7950" spans="1:32" hidden="1" x14ac:dyDescent="0.35">
      <c r="A7950">
        <v>7949</v>
      </c>
      <c r="B7950" t="s">
        <v>15947</v>
      </c>
      <c r="C7950" t="s">
        <v>68</v>
      </c>
      <c r="D7950" t="s">
        <v>34</v>
      </c>
      <c r="E7950">
        <v>717</v>
      </c>
      <c r="F7950">
        <v>2</v>
      </c>
      <c r="G7950">
        <v>2</v>
      </c>
      <c r="H7950">
        <v>1</v>
      </c>
      <c r="I7950">
        <v>0</v>
      </c>
      <c r="J7950">
        <v>0.99355877616747201</v>
      </c>
      <c r="K7950">
        <v>1</v>
      </c>
      <c r="L7950">
        <v>0.99676898222940202</v>
      </c>
      <c r="M7950">
        <v>0.99033816425120802</v>
      </c>
      <c r="N7950">
        <v>0.99033816425120802</v>
      </c>
      <c r="O7950">
        <v>0.99033816425120802</v>
      </c>
      <c r="P7950" t="s">
        <v>8645</v>
      </c>
      <c r="Q7950" t="s">
        <v>8646</v>
      </c>
      <c r="R7950" t="s">
        <v>516</v>
      </c>
      <c r="S7950" t="s">
        <v>517</v>
      </c>
      <c r="T7950" t="s">
        <v>15948</v>
      </c>
      <c r="U7950" t="s">
        <v>15949</v>
      </c>
      <c r="V7950" t="s">
        <v>15950</v>
      </c>
      <c r="W7950" t="s">
        <v>15951</v>
      </c>
      <c r="AD7950" t="s">
        <v>15952</v>
      </c>
      <c r="AE7950" t="s">
        <v>15953</v>
      </c>
      <c r="AF7950" t="s">
        <v>15954</v>
      </c>
    </row>
    <row r="7951" spans="1:32" hidden="1" x14ac:dyDescent="0.35">
      <c r="A7951">
        <v>7950</v>
      </c>
      <c r="B7951" t="s">
        <v>15947</v>
      </c>
      <c r="C7951" t="s">
        <v>68</v>
      </c>
      <c r="D7951" t="s">
        <v>45</v>
      </c>
      <c r="E7951">
        <v>1983</v>
      </c>
      <c r="F7951">
        <v>2</v>
      </c>
      <c r="G7951">
        <v>2</v>
      </c>
      <c r="H7951">
        <v>1</v>
      </c>
      <c r="I7951">
        <v>0</v>
      </c>
      <c r="J7951">
        <v>0.99355877616747201</v>
      </c>
      <c r="K7951">
        <v>1</v>
      </c>
      <c r="L7951">
        <v>0.99676898222940202</v>
      </c>
      <c r="M7951">
        <v>0.99033816425120802</v>
      </c>
      <c r="N7951">
        <v>0.99033816425120802</v>
      </c>
      <c r="O7951">
        <v>0.99033816425120802</v>
      </c>
      <c r="P7951" t="s">
        <v>8645</v>
      </c>
      <c r="Q7951" t="s">
        <v>8646</v>
      </c>
      <c r="R7951" t="s">
        <v>516</v>
      </c>
      <c r="S7951" t="s">
        <v>517</v>
      </c>
      <c r="T7951" t="s">
        <v>15948</v>
      </c>
      <c r="U7951" t="s">
        <v>15949</v>
      </c>
      <c r="V7951" t="s">
        <v>15950</v>
      </c>
      <c r="W7951" t="s">
        <v>15951</v>
      </c>
      <c r="AD7951" t="s">
        <v>15952</v>
      </c>
      <c r="AE7951" t="s">
        <v>15953</v>
      </c>
      <c r="AF7951" t="s">
        <v>15955</v>
      </c>
    </row>
    <row r="7952" spans="1:32" hidden="1" x14ac:dyDescent="0.35">
      <c r="A7952">
        <v>7951</v>
      </c>
      <c r="B7952" t="s">
        <v>15956</v>
      </c>
      <c r="C7952" t="s">
        <v>68</v>
      </c>
      <c r="D7952" t="s">
        <v>34</v>
      </c>
      <c r="E7952">
        <v>1189</v>
      </c>
      <c r="F7952">
        <v>2</v>
      </c>
      <c r="G7952">
        <v>2</v>
      </c>
      <c r="H7952">
        <v>1</v>
      </c>
      <c r="I7952">
        <v>0</v>
      </c>
      <c r="J7952">
        <v>0.93838862559241698</v>
      </c>
      <c r="K7952">
        <v>0.98604712386468496</v>
      </c>
      <c r="L7952">
        <v>0.96162774526899197</v>
      </c>
      <c r="M7952">
        <v>0.91588785046729004</v>
      </c>
      <c r="N7952">
        <v>0.91588785046729004</v>
      </c>
      <c r="O7952">
        <v>0.91588785046729004</v>
      </c>
      <c r="AF7952" t="s">
        <v>15957</v>
      </c>
    </row>
    <row r="7953" spans="1:32" hidden="1" x14ac:dyDescent="0.35">
      <c r="A7953">
        <v>7952</v>
      </c>
      <c r="B7953" t="s">
        <v>15956</v>
      </c>
      <c r="C7953" t="s">
        <v>68</v>
      </c>
      <c r="D7953" t="s">
        <v>45</v>
      </c>
      <c r="E7953">
        <v>2433</v>
      </c>
      <c r="F7953">
        <v>2</v>
      </c>
      <c r="G7953">
        <v>2</v>
      </c>
      <c r="H7953">
        <v>1</v>
      </c>
      <c r="I7953">
        <v>0</v>
      </c>
      <c r="J7953">
        <v>0.93838862559241698</v>
      </c>
      <c r="K7953">
        <v>0.98604712386468496</v>
      </c>
      <c r="L7953">
        <v>0.96162774526899197</v>
      </c>
      <c r="M7953">
        <v>0.91588785046729004</v>
      </c>
      <c r="N7953">
        <v>0.91588785046729004</v>
      </c>
      <c r="O7953">
        <v>0.91588785046729004</v>
      </c>
      <c r="AF7953" t="s">
        <v>15958</v>
      </c>
    </row>
    <row r="7954" spans="1:32" hidden="1" x14ac:dyDescent="0.35">
      <c r="A7954">
        <v>7953</v>
      </c>
      <c r="B7954" t="s">
        <v>15959</v>
      </c>
      <c r="C7954" t="s">
        <v>68</v>
      </c>
      <c r="D7954" t="s">
        <v>60</v>
      </c>
      <c r="E7954">
        <v>1588</v>
      </c>
      <c r="F7954">
        <v>2</v>
      </c>
      <c r="G7954">
        <v>2</v>
      </c>
      <c r="H7954">
        <v>1</v>
      </c>
      <c r="I7954">
        <v>0</v>
      </c>
      <c r="J7954">
        <v>0.998765432098765</v>
      </c>
      <c r="K7954">
        <v>1</v>
      </c>
      <c r="L7954">
        <v>0.99938233477455196</v>
      </c>
      <c r="M7954">
        <v>0.99629629629629601</v>
      </c>
      <c r="N7954">
        <v>0.99629629629629601</v>
      </c>
      <c r="O7954">
        <v>0.99629629629629601</v>
      </c>
      <c r="AF7954" t="s">
        <v>15960</v>
      </c>
    </row>
    <row r="7955" spans="1:32" hidden="1" x14ac:dyDescent="0.35">
      <c r="A7955">
        <v>7954</v>
      </c>
      <c r="B7955" t="s">
        <v>15959</v>
      </c>
      <c r="C7955" t="s">
        <v>68</v>
      </c>
      <c r="D7955" t="s">
        <v>62</v>
      </c>
      <c r="E7955">
        <v>1624</v>
      </c>
      <c r="F7955">
        <v>2</v>
      </c>
      <c r="G7955">
        <v>2</v>
      </c>
      <c r="H7955">
        <v>1</v>
      </c>
      <c r="I7955">
        <v>0</v>
      </c>
      <c r="J7955">
        <v>0.998765432098765</v>
      </c>
      <c r="K7955">
        <v>1</v>
      </c>
      <c r="L7955">
        <v>0.99938233477455196</v>
      </c>
      <c r="M7955">
        <v>0.99629629629629601</v>
      </c>
      <c r="N7955">
        <v>0.99629629629629601</v>
      </c>
      <c r="O7955">
        <v>0.99629629629629601</v>
      </c>
      <c r="AF7955" t="s">
        <v>15961</v>
      </c>
    </row>
    <row r="7956" spans="1:32" hidden="1" x14ac:dyDescent="0.35">
      <c r="A7956">
        <v>7955</v>
      </c>
      <c r="B7956" t="s">
        <v>15962</v>
      </c>
      <c r="C7956" t="s">
        <v>68</v>
      </c>
      <c r="D7956" t="s">
        <v>60</v>
      </c>
      <c r="E7956">
        <v>2071</v>
      </c>
      <c r="F7956">
        <v>2</v>
      </c>
      <c r="G7956">
        <v>2</v>
      </c>
      <c r="H7956">
        <v>1</v>
      </c>
      <c r="I7956">
        <v>0</v>
      </c>
      <c r="J7956">
        <v>0.98005698005698005</v>
      </c>
      <c r="K7956">
        <v>1</v>
      </c>
      <c r="L7956">
        <v>0.98992805755395696</v>
      </c>
      <c r="M7956">
        <v>0.97435897435897401</v>
      </c>
      <c r="N7956">
        <v>0.97435897435897401</v>
      </c>
      <c r="O7956">
        <v>0.97435897435897401</v>
      </c>
      <c r="P7956" t="s">
        <v>15963</v>
      </c>
      <c r="Q7956" t="s">
        <v>15964</v>
      </c>
      <c r="AF7956" t="s">
        <v>15965</v>
      </c>
    </row>
    <row r="7957" spans="1:32" hidden="1" x14ac:dyDescent="0.35">
      <c r="A7957">
        <v>7956</v>
      </c>
      <c r="B7957" t="s">
        <v>15962</v>
      </c>
      <c r="C7957" t="s">
        <v>68</v>
      </c>
      <c r="D7957" t="s">
        <v>62</v>
      </c>
      <c r="E7957">
        <v>2111</v>
      </c>
      <c r="F7957">
        <v>2</v>
      </c>
      <c r="G7957">
        <v>2</v>
      </c>
      <c r="H7957">
        <v>1</v>
      </c>
      <c r="I7957">
        <v>0</v>
      </c>
      <c r="J7957">
        <v>0.98005698005698005</v>
      </c>
      <c r="K7957">
        <v>1</v>
      </c>
      <c r="L7957">
        <v>0.98992805755395696</v>
      </c>
      <c r="M7957">
        <v>0.97435897435897401</v>
      </c>
      <c r="N7957">
        <v>0.97435897435897401</v>
      </c>
      <c r="O7957">
        <v>0.97435897435897401</v>
      </c>
      <c r="AF7957" t="s">
        <v>15966</v>
      </c>
    </row>
    <row r="7958" spans="1:32" hidden="1" x14ac:dyDescent="0.35">
      <c r="A7958">
        <v>7957</v>
      </c>
      <c r="B7958" t="s">
        <v>15967</v>
      </c>
      <c r="C7958" t="s">
        <v>68</v>
      </c>
      <c r="D7958" t="s">
        <v>34</v>
      </c>
      <c r="E7958">
        <v>1884</v>
      </c>
      <c r="F7958">
        <v>2</v>
      </c>
      <c r="G7958">
        <v>2</v>
      </c>
      <c r="H7958">
        <v>1</v>
      </c>
      <c r="I7958">
        <v>0</v>
      </c>
      <c r="J7958">
        <v>0.97243107769423598</v>
      </c>
      <c r="K7958">
        <v>0.99501870324189601</v>
      </c>
      <c r="L7958">
        <v>0.98359523002315297</v>
      </c>
      <c r="M7958">
        <v>0.96259351620947597</v>
      </c>
      <c r="N7958">
        <v>0.96259351620947597</v>
      </c>
      <c r="O7958">
        <v>0.96259351620947597</v>
      </c>
      <c r="P7958" t="s">
        <v>11639</v>
      </c>
      <c r="Q7958" t="s">
        <v>11640</v>
      </c>
      <c r="R7958" t="s">
        <v>1259</v>
      </c>
      <c r="S7958" t="s">
        <v>1260</v>
      </c>
      <c r="T7958" t="s">
        <v>11641</v>
      </c>
      <c r="U7958" t="s">
        <v>407</v>
      </c>
      <c r="V7958" t="s">
        <v>11642</v>
      </c>
      <c r="W7958" t="s">
        <v>11643</v>
      </c>
      <c r="AD7958" t="s">
        <v>410</v>
      </c>
      <c r="AE7958" t="s">
        <v>411</v>
      </c>
      <c r="AF7958" t="s">
        <v>15968</v>
      </c>
    </row>
    <row r="7959" spans="1:32" hidden="1" x14ac:dyDescent="0.35">
      <c r="A7959">
        <v>7958</v>
      </c>
      <c r="B7959" t="s">
        <v>15967</v>
      </c>
      <c r="C7959" t="s">
        <v>68</v>
      </c>
      <c r="D7959" t="s">
        <v>45</v>
      </c>
      <c r="E7959">
        <v>989</v>
      </c>
      <c r="F7959">
        <v>2</v>
      </c>
      <c r="G7959">
        <v>2</v>
      </c>
      <c r="H7959">
        <v>1</v>
      </c>
      <c r="I7959">
        <v>0</v>
      </c>
      <c r="J7959">
        <v>0.97243107769423598</v>
      </c>
      <c r="K7959">
        <v>0.99501870324189601</v>
      </c>
      <c r="L7959">
        <v>0.98359523002315297</v>
      </c>
      <c r="M7959">
        <v>0.96259351620947597</v>
      </c>
      <c r="N7959">
        <v>0.96259351620947597</v>
      </c>
      <c r="O7959">
        <v>0.96259351620947597</v>
      </c>
      <c r="P7959" t="s">
        <v>11639</v>
      </c>
      <c r="Q7959" t="s">
        <v>11640</v>
      </c>
      <c r="R7959" t="s">
        <v>1259</v>
      </c>
      <c r="S7959" t="s">
        <v>1260</v>
      </c>
      <c r="T7959" t="s">
        <v>11641</v>
      </c>
      <c r="U7959" t="s">
        <v>407</v>
      </c>
      <c r="V7959" t="s">
        <v>11642</v>
      </c>
      <c r="W7959" t="s">
        <v>11643</v>
      </c>
      <c r="AD7959" t="s">
        <v>410</v>
      </c>
      <c r="AE7959" t="s">
        <v>411</v>
      </c>
      <c r="AF7959" t="s">
        <v>15969</v>
      </c>
    </row>
    <row r="7960" spans="1:32" hidden="1" x14ac:dyDescent="0.35">
      <c r="A7960">
        <v>7959</v>
      </c>
      <c r="B7960" t="s">
        <v>15970</v>
      </c>
      <c r="C7960" t="s">
        <v>68</v>
      </c>
      <c r="D7960" t="s">
        <v>34</v>
      </c>
      <c r="E7960">
        <v>624</v>
      </c>
      <c r="F7960">
        <v>2</v>
      </c>
      <c r="G7960">
        <v>2</v>
      </c>
      <c r="H7960">
        <v>1</v>
      </c>
      <c r="I7960">
        <v>0</v>
      </c>
      <c r="J7960">
        <v>0.98391812865497097</v>
      </c>
      <c r="K7960">
        <v>1</v>
      </c>
      <c r="L7960">
        <v>0.99189388356669095</v>
      </c>
      <c r="M7960">
        <v>0.96929824561403499</v>
      </c>
      <c r="N7960">
        <v>0.96929824561403499</v>
      </c>
      <c r="O7960">
        <v>0.96929824561403499</v>
      </c>
      <c r="P7960" t="s">
        <v>10067</v>
      </c>
      <c r="Q7960" t="s">
        <v>10068</v>
      </c>
      <c r="R7960" t="s">
        <v>224</v>
      </c>
      <c r="S7960" t="s">
        <v>225</v>
      </c>
      <c r="T7960" t="s">
        <v>15971</v>
      </c>
      <c r="U7960" t="s">
        <v>15972</v>
      </c>
      <c r="V7960" t="s">
        <v>15973</v>
      </c>
      <c r="W7960" t="s">
        <v>15974</v>
      </c>
      <c r="X7960" t="s">
        <v>15973</v>
      </c>
      <c r="Y7960" t="s">
        <v>1598</v>
      </c>
      <c r="AD7960" t="s">
        <v>1717</v>
      </c>
      <c r="AE7960" t="s">
        <v>1718</v>
      </c>
      <c r="AF7960" t="s">
        <v>15975</v>
      </c>
    </row>
    <row r="7961" spans="1:32" hidden="1" x14ac:dyDescent="0.35">
      <c r="A7961">
        <v>7960</v>
      </c>
      <c r="B7961" t="s">
        <v>15970</v>
      </c>
      <c r="C7961" t="s">
        <v>68</v>
      </c>
      <c r="D7961" t="s">
        <v>45</v>
      </c>
      <c r="E7961">
        <v>1891</v>
      </c>
      <c r="F7961">
        <v>2</v>
      </c>
      <c r="G7961">
        <v>2</v>
      </c>
      <c r="H7961">
        <v>1</v>
      </c>
      <c r="I7961">
        <v>0</v>
      </c>
      <c r="J7961">
        <v>0.98391812865497097</v>
      </c>
      <c r="K7961">
        <v>1</v>
      </c>
      <c r="L7961">
        <v>0.99189388356669095</v>
      </c>
      <c r="M7961">
        <v>0.96929824561403499</v>
      </c>
      <c r="N7961">
        <v>0.96929824561403499</v>
      </c>
      <c r="O7961">
        <v>0.96929824561403499</v>
      </c>
      <c r="P7961" t="s">
        <v>10067</v>
      </c>
      <c r="Q7961" t="s">
        <v>10068</v>
      </c>
      <c r="R7961" t="s">
        <v>224</v>
      </c>
      <c r="S7961" t="s">
        <v>225</v>
      </c>
      <c r="T7961" t="s">
        <v>15971</v>
      </c>
      <c r="U7961" t="s">
        <v>15972</v>
      </c>
      <c r="V7961" t="s">
        <v>15973</v>
      </c>
      <c r="W7961" t="s">
        <v>15974</v>
      </c>
      <c r="X7961" t="s">
        <v>15973</v>
      </c>
      <c r="Y7961" t="s">
        <v>1598</v>
      </c>
      <c r="AD7961" t="s">
        <v>1717</v>
      </c>
      <c r="AE7961" t="s">
        <v>1718</v>
      </c>
      <c r="AF7961" t="s">
        <v>15976</v>
      </c>
    </row>
    <row r="7962" spans="1:32" hidden="1" x14ac:dyDescent="0.35">
      <c r="A7962">
        <v>7961</v>
      </c>
      <c r="B7962" t="s">
        <v>15977</v>
      </c>
      <c r="C7962" t="s">
        <v>68</v>
      </c>
      <c r="D7962" t="s">
        <v>60</v>
      </c>
      <c r="E7962">
        <v>2339</v>
      </c>
      <c r="F7962">
        <v>2</v>
      </c>
      <c r="G7962">
        <v>2</v>
      </c>
      <c r="H7962">
        <v>1</v>
      </c>
      <c r="I7962">
        <v>0</v>
      </c>
      <c r="J7962">
        <v>0.98208722741432997</v>
      </c>
      <c r="K7962">
        <v>1</v>
      </c>
      <c r="L7962">
        <v>0.99096267190569698</v>
      </c>
      <c r="M7962">
        <v>0.97897196261682196</v>
      </c>
      <c r="N7962">
        <v>0.97897196261682196</v>
      </c>
      <c r="O7962">
        <v>0.97897196261682196</v>
      </c>
      <c r="P7962" t="s">
        <v>13815</v>
      </c>
      <c r="Q7962" t="s">
        <v>13816</v>
      </c>
      <c r="R7962" t="s">
        <v>138</v>
      </c>
      <c r="S7962" t="s">
        <v>139</v>
      </c>
      <c r="T7962" t="s">
        <v>13231</v>
      </c>
      <c r="U7962" t="s">
        <v>13232</v>
      </c>
      <c r="V7962" t="s">
        <v>13817</v>
      </c>
      <c r="W7962" t="s">
        <v>13818</v>
      </c>
      <c r="AD7962" t="s">
        <v>166</v>
      </c>
      <c r="AE7962" t="s">
        <v>167</v>
      </c>
      <c r="AF7962" t="s">
        <v>15978</v>
      </c>
    </row>
    <row r="7963" spans="1:32" hidden="1" x14ac:dyDescent="0.35">
      <c r="A7963">
        <v>7962</v>
      </c>
      <c r="B7963" t="s">
        <v>15977</v>
      </c>
      <c r="C7963" t="s">
        <v>68</v>
      </c>
      <c r="D7963" t="s">
        <v>62</v>
      </c>
      <c r="E7963">
        <v>2367</v>
      </c>
      <c r="F7963">
        <v>2</v>
      </c>
      <c r="G7963">
        <v>2</v>
      </c>
      <c r="H7963">
        <v>1</v>
      </c>
      <c r="I7963">
        <v>0</v>
      </c>
      <c r="J7963">
        <v>0.98208722741432997</v>
      </c>
      <c r="K7963">
        <v>1</v>
      </c>
      <c r="L7963">
        <v>0.99096267190569698</v>
      </c>
      <c r="M7963">
        <v>0.97897196261682196</v>
      </c>
      <c r="N7963">
        <v>0.97897196261682196</v>
      </c>
      <c r="O7963">
        <v>0.97897196261682196</v>
      </c>
      <c r="P7963" t="s">
        <v>13815</v>
      </c>
      <c r="Q7963" t="s">
        <v>13816</v>
      </c>
      <c r="R7963" t="s">
        <v>138</v>
      </c>
      <c r="S7963" t="s">
        <v>139</v>
      </c>
      <c r="T7963" t="s">
        <v>13231</v>
      </c>
      <c r="U7963" t="s">
        <v>13232</v>
      </c>
      <c r="V7963" t="s">
        <v>13817</v>
      </c>
      <c r="W7963" t="s">
        <v>13818</v>
      </c>
      <c r="AD7963" t="s">
        <v>166</v>
      </c>
      <c r="AE7963" t="s">
        <v>167</v>
      </c>
      <c r="AF7963" t="s">
        <v>15979</v>
      </c>
    </row>
    <row r="7964" spans="1:32" hidden="1" x14ac:dyDescent="0.35">
      <c r="A7964">
        <v>7963</v>
      </c>
      <c r="B7964" t="s">
        <v>15980</v>
      </c>
      <c r="C7964" t="s">
        <v>68</v>
      </c>
      <c r="D7964" t="s">
        <v>34</v>
      </c>
      <c r="E7964">
        <v>1593</v>
      </c>
      <c r="F7964">
        <v>2</v>
      </c>
      <c r="G7964">
        <v>2</v>
      </c>
      <c r="H7964">
        <v>1</v>
      </c>
      <c r="I7964">
        <v>0</v>
      </c>
      <c r="J7964">
        <v>0.952380952380952</v>
      </c>
      <c r="K7964">
        <v>0.97112494632889601</v>
      </c>
      <c r="L7964">
        <v>0.96166162202669603</v>
      </c>
      <c r="M7964">
        <v>0.91970802919707995</v>
      </c>
      <c r="N7964">
        <v>0.91970802919707995</v>
      </c>
      <c r="O7964">
        <v>0.91970802919707995</v>
      </c>
      <c r="AF7964" t="s">
        <v>15981</v>
      </c>
    </row>
    <row r="7965" spans="1:32" hidden="1" x14ac:dyDescent="0.35">
      <c r="A7965">
        <v>7964</v>
      </c>
      <c r="B7965" t="s">
        <v>15980</v>
      </c>
      <c r="C7965" t="s">
        <v>68</v>
      </c>
      <c r="D7965" t="s">
        <v>45</v>
      </c>
      <c r="E7965">
        <v>343</v>
      </c>
      <c r="F7965">
        <v>2</v>
      </c>
      <c r="G7965">
        <v>2</v>
      </c>
      <c r="H7965">
        <v>1</v>
      </c>
      <c r="I7965">
        <v>0</v>
      </c>
      <c r="J7965">
        <v>0.952380952380952</v>
      </c>
      <c r="K7965">
        <v>0.97112494632889601</v>
      </c>
      <c r="L7965">
        <v>0.96166162202669603</v>
      </c>
      <c r="M7965">
        <v>0.91970802919707995</v>
      </c>
      <c r="N7965">
        <v>0.91970802919707995</v>
      </c>
      <c r="O7965">
        <v>0.91970802919707995</v>
      </c>
      <c r="AF7965" t="e">
        <f>----MFPAAGCSINDTYEHFIDTWRDVTLTDSSFTSILTLKGTVNLNGNDYYAVADLDPVTGEVMLLDLNFPEHRNDEWDTIEGIELQTCSARLLAARLSLLDPPAYFNLPCVEWPKAHMAFFVFEDVPRTICWYKA</f>
        <v>#NAME?</v>
      </c>
    </row>
    <row r="7966" spans="1:32" hidden="1" x14ac:dyDescent="0.35">
      <c r="A7966">
        <v>7965</v>
      </c>
      <c r="B7966" t="s">
        <v>15982</v>
      </c>
      <c r="C7966" t="s">
        <v>68</v>
      </c>
      <c r="D7966" t="s">
        <v>34</v>
      </c>
      <c r="E7966">
        <v>215</v>
      </c>
      <c r="F7966">
        <v>2</v>
      </c>
      <c r="G7966">
        <v>2</v>
      </c>
      <c r="H7966">
        <v>1</v>
      </c>
      <c r="I7966">
        <v>0</v>
      </c>
      <c r="J7966">
        <v>0.98504273504273498</v>
      </c>
      <c r="K7966">
        <v>1</v>
      </c>
      <c r="L7966">
        <v>0.99246501614639404</v>
      </c>
      <c r="M7966">
        <v>0.98076923076923095</v>
      </c>
      <c r="N7966">
        <v>0.98076923076923095</v>
      </c>
      <c r="O7966">
        <v>0.98076923076923095</v>
      </c>
      <c r="P7966" t="s">
        <v>13476</v>
      </c>
      <c r="Q7966" t="s">
        <v>13477</v>
      </c>
      <c r="AF7966" t="s">
        <v>15983</v>
      </c>
    </row>
    <row r="7967" spans="1:32" hidden="1" x14ac:dyDescent="0.35">
      <c r="A7967">
        <v>7966</v>
      </c>
      <c r="B7967" t="s">
        <v>15982</v>
      </c>
      <c r="C7967" t="s">
        <v>68</v>
      </c>
      <c r="D7967" t="s">
        <v>45</v>
      </c>
      <c r="E7967">
        <v>1478</v>
      </c>
      <c r="F7967">
        <v>2</v>
      </c>
      <c r="G7967">
        <v>2</v>
      </c>
      <c r="H7967">
        <v>1</v>
      </c>
      <c r="I7967">
        <v>0</v>
      </c>
      <c r="J7967">
        <v>0.98504273504273498</v>
      </c>
      <c r="K7967">
        <v>1</v>
      </c>
      <c r="L7967">
        <v>0.99246501614639404</v>
      </c>
      <c r="M7967">
        <v>0.98076923076923095</v>
      </c>
      <c r="N7967">
        <v>0.98076923076923095</v>
      </c>
      <c r="O7967">
        <v>0.98076923076923095</v>
      </c>
      <c r="P7967" t="s">
        <v>13476</v>
      </c>
      <c r="Q7967" t="s">
        <v>13477</v>
      </c>
      <c r="AF7967" t="s">
        <v>15984</v>
      </c>
    </row>
    <row r="7968" spans="1:32" hidden="1" x14ac:dyDescent="0.35">
      <c r="A7968">
        <v>7967</v>
      </c>
      <c r="B7968" t="s">
        <v>15985</v>
      </c>
      <c r="C7968" t="s">
        <v>68</v>
      </c>
      <c r="D7968" t="s">
        <v>34</v>
      </c>
      <c r="E7968">
        <v>457</v>
      </c>
      <c r="F7968">
        <v>2</v>
      </c>
      <c r="G7968">
        <v>2</v>
      </c>
      <c r="H7968">
        <v>1</v>
      </c>
      <c r="I7968">
        <v>0</v>
      </c>
      <c r="J7968">
        <v>0.98032200357781796</v>
      </c>
      <c r="K7968">
        <v>1</v>
      </c>
      <c r="L7968">
        <v>0.99006323396567297</v>
      </c>
      <c r="M7968">
        <v>0.97316636851520599</v>
      </c>
      <c r="N7968">
        <v>0.97316636851520599</v>
      </c>
      <c r="O7968">
        <v>0.97316636851520599</v>
      </c>
      <c r="R7968" t="s">
        <v>96</v>
      </c>
      <c r="S7968" t="s">
        <v>97</v>
      </c>
      <c r="V7968" t="s">
        <v>13724</v>
      </c>
      <c r="W7968" t="s">
        <v>13725</v>
      </c>
      <c r="AF7968" t="s">
        <v>15986</v>
      </c>
    </row>
    <row r="7969" spans="1:32" hidden="1" x14ac:dyDescent="0.35">
      <c r="A7969">
        <v>7968</v>
      </c>
      <c r="B7969" t="s">
        <v>15985</v>
      </c>
      <c r="C7969" t="s">
        <v>68</v>
      </c>
      <c r="D7969" t="s">
        <v>45</v>
      </c>
      <c r="E7969">
        <v>1720</v>
      </c>
      <c r="F7969">
        <v>2</v>
      </c>
      <c r="G7969">
        <v>2</v>
      </c>
      <c r="H7969">
        <v>1</v>
      </c>
      <c r="I7969">
        <v>0</v>
      </c>
      <c r="J7969">
        <v>0.98032200357781796</v>
      </c>
      <c r="K7969">
        <v>1</v>
      </c>
      <c r="L7969">
        <v>0.99006323396567297</v>
      </c>
      <c r="M7969">
        <v>0.97316636851520599</v>
      </c>
      <c r="N7969">
        <v>0.97316636851520599</v>
      </c>
      <c r="O7969">
        <v>0.97316636851520599</v>
      </c>
      <c r="R7969" t="s">
        <v>96</v>
      </c>
      <c r="S7969" t="s">
        <v>97</v>
      </c>
      <c r="V7969" t="s">
        <v>13724</v>
      </c>
      <c r="W7969" t="s">
        <v>13725</v>
      </c>
      <c r="AF7969" t="s">
        <v>15987</v>
      </c>
    </row>
    <row r="7970" spans="1:32" hidden="1" x14ac:dyDescent="0.35">
      <c r="A7970">
        <v>7969</v>
      </c>
      <c r="B7970" t="s">
        <v>15988</v>
      </c>
      <c r="C7970" t="s">
        <v>68</v>
      </c>
      <c r="D7970" t="s">
        <v>34</v>
      </c>
      <c r="E7970">
        <v>2339</v>
      </c>
      <c r="F7970">
        <v>2</v>
      </c>
      <c r="G7970">
        <v>2</v>
      </c>
      <c r="H7970">
        <v>1</v>
      </c>
      <c r="I7970">
        <v>0</v>
      </c>
      <c r="J7970">
        <v>0.98536585365853702</v>
      </c>
      <c r="K7970">
        <v>1</v>
      </c>
      <c r="L7970">
        <v>0.99262899262899296</v>
      </c>
      <c r="M7970">
        <v>0.97560975609756095</v>
      </c>
      <c r="N7970">
        <v>0.97560975609756095</v>
      </c>
      <c r="O7970">
        <v>0.97560975609756095</v>
      </c>
      <c r="AF7970" t="s">
        <v>15989</v>
      </c>
    </row>
    <row r="7971" spans="1:32" hidden="1" x14ac:dyDescent="0.35">
      <c r="A7971">
        <v>7970</v>
      </c>
      <c r="B7971" t="s">
        <v>15988</v>
      </c>
      <c r="C7971" t="s">
        <v>68</v>
      </c>
      <c r="D7971" t="s">
        <v>45</v>
      </c>
      <c r="E7971">
        <v>540</v>
      </c>
      <c r="F7971">
        <v>2</v>
      </c>
      <c r="G7971">
        <v>2</v>
      </c>
      <c r="H7971">
        <v>1</v>
      </c>
      <c r="I7971">
        <v>0</v>
      </c>
      <c r="J7971">
        <v>0.98536585365853702</v>
      </c>
      <c r="K7971">
        <v>1</v>
      </c>
      <c r="L7971">
        <v>0.99262899262899296</v>
      </c>
      <c r="M7971">
        <v>0.97560975609756095</v>
      </c>
      <c r="N7971">
        <v>0.97560975609756095</v>
      </c>
      <c r="O7971">
        <v>0.97560975609756095</v>
      </c>
      <c r="AF7971" t="s">
        <v>15990</v>
      </c>
    </row>
    <row r="7972" spans="1:32" hidden="1" x14ac:dyDescent="0.35">
      <c r="A7972">
        <v>7971</v>
      </c>
      <c r="B7972" t="s">
        <v>15991</v>
      </c>
      <c r="C7972" t="s">
        <v>68</v>
      </c>
      <c r="D7972" t="s">
        <v>60</v>
      </c>
      <c r="E7972">
        <v>953</v>
      </c>
      <c r="F7972">
        <v>2</v>
      </c>
      <c r="G7972">
        <v>2</v>
      </c>
      <c r="H7972">
        <v>1</v>
      </c>
      <c r="I7972">
        <v>0</v>
      </c>
      <c r="J7972">
        <v>0.99800057126535302</v>
      </c>
      <c r="K7972">
        <v>1</v>
      </c>
      <c r="L7972">
        <v>0.99899928520371695</v>
      </c>
      <c r="M7972">
        <v>0.99742930591259604</v>
      </c>
      <c r="N7972">
        <v>0.99742930591259604</v>
      </c>
      <c r="O7972">
        <v>0.99742930591259604</v>
      </c>
      <c r="P7972" t="s">
        <v>15233</v>
      </c>
      <c r="Q7972" t="s">
        <v>15234</v>
      </c>
      <c r="R7972" t="s">
        <v>138</v>
      </c>
      <c r="S7972" t="s">
        <v>139</v>
      </c>
      <c r="T7972" t="s">
        <v>15992</v>
      </c>
      <c r="U7972" t="s">
        <v>15993</v>
      </c>
      <c r="V7972" t="s">
        <v>11356</v>
      </c>
      <c r="W7972" t="s">
        <v>11357</v>
      </c>
      <c r="AD7972" t="s">
        <v>166</v>
      </c>
      <c r="AE7972" t="s">
        <v>15994</v>
      </c>
      <c r="AF7972" t="s">
        <v>15995</v>
      </c>
    </row>
    <row r="7973" spans="1:32" hidden="1" x14ac:dyDescent="0.35">
      <c r="A7973">
        <v>7972</v>
      </c>
      <c r="B7973" t="s">
        <v>15991</v>
      </c>
      <c r="C7973" t="s">
        <v>68</v>
      </c>
      <c r="D7973" t="s">
        <v>62</v>
      </c>
      <c r="E7973">
        <v>989</v>
      </c>
      <c r="F7973">
        <v>2</v>
      </c>
      <c r="G7973">
        <v>2</v>
      </c>
      <c r="H7973">
        <v>1</v>
      </c>
      <c r="I7973">
        <v>0</v>
      </c>
      <c r="J7973">
        <v>0.99800057126535302</v>
      </c>
      <c r="K7973">
        <v>1</v>
      </c>
      <c r="L7973">
        <v>0.99899928520371695</v>
      </c>
      <c r="M7973">
        <v>0.99742930591259604</v>
      </c>
      <c r="N7973">
        <v>0.99742930591259604</v>
      </c>
      <c r="O7973">
        <v>0.99742930591259604</v>
      </c>
      <c r="P7973" t="s">
        <v>15233</v>
      </c>
      <c r="Q7973" t="s">
        <v>15234</v>
      </c>
      <c r="R7973" t="s">
        <v>138</v>
      </c>
      <c r="S7973" t="s">
        <v>139</v>
      </c>
      <c r="T7973" t="s">
        <v>15992</v>
      </c>
      <c r="U7973" t="s">
        <v>15993</v>
      </c>
      <c r="V7973" t="s">
        <v>11356</v>
      </c>
      <c r="W7973" t="s">
        <v>11357</v>
      </c>
      <c r="AD7973" t="s">
        <v>166</v>
      </c>
      <c r="AE7973" t="s">
        <v>15994</v>
      </c>
      <c r="AF7973" t="s">
        <v>15996</v>
      </c>
    </row>
    <row r="7974" spans="1:32" hidden="1" x14ac:dyDescent="0.35">
      <c r="A7974">
        <v>7973</v>
      </c>
      <c r="B7974" t="s">
        <v>15997</v>
      </c>
      <c r="C7974" t="s">
        <v>68</v>
      </c>
      <c r="D7974" t="s">
        <v>60</v>
      </c>
      <c r="E7974">
        <v>896</v>
      </c>
      <c r="F7974">
        <v>2</v>
      </c>
      <c r="G7974">
        <v>2</v>
      </c>
      <c r="H7974">
        <v>1</v>
      </c>
      <c r="I7974">
        <v>0</v>
      </c>
      <c r="J7974">
        <v>0.96296296296296302</v>
      </c>
      <c r="K7974">
        <v>0.96486738017682405</v>
      </c>
      <c r="L7974">
        <v>0.96391423092567696</v>
      </c>
      <c r="M7974">
        <v>0.92207792207792205</v>
      </c>
      <c r="N7974">
        <v>0.92207792207792205</v>
      </c>
      <c r="O7974">
        <v>0.92207792207792205</v>
      </c>
      <c r="P7974" t="s">
        <v>10830</v>
      </c>
      <c r="Q7974" t="s">
        <v>10831</v>
      </c>
      <c r="R7974" t="s">
        <v>288</v>
      </c>
      <c r="S7974" t="s">
        <v>289</v>
      </c>
      <c r="T7974" t="s">
        <v>10832</v>
      </c>
      <c r="U7974" t="s">
        <v>10833</v>
      </c>
      <c r="V7974" t="s">
        <v>15998</v>
      </c>
      <c r="W7974" t="s">
        <v>15999</v>
      </c>
      <c r="AD7974" t="s">
        <v>7708</v>
      </c>
      <c r="AE7974" t="s">
        <v>10836</v>
      </c>
      <c r="AF7974" t="s">
        <v>16000</v>
      </c>
    </row>
    <row r="7975" spans="1:32" hidden="1" x14ac:dyDescent="0.35">
      <c r="A7975">
        <v>7974</v>
      </c>
      <c r="B7975" t="s">
        <v>15997</v>
      </c>
      <c r="C7975" t="s">
        <v>68</v>
      </c>
      <c r="D7975" t="s">
        <v>62</v>
      </c>
      <c r="E7975">
        <v>930</v>
      </c>
      <c r="F7975">
        <v>2</v>
      </c>
      <c r="G7975">
        <v>2</v>
      </c>
      <c r="H7975">
        <v>1</v>
      </c>
      <c r="I7975">
        <v>0</v>
      </c>
      <c r="J7975">
        <v>0.96296296296296302</v>
      </c>
      <c r="K7975">
        <v>0.96486738017682405</v>
      </c>
      <c r="L7975">
        <v>0.96391423092567696</v>
      </c>
      <c r="M7975">
        <v>0.92207792207792205</v>
      </c>
      <c r="N7975">
        <v>0.92207792207792205</v>
      </c>
      <c r="O7975">
        <v>0.92207792207792205</v>
      </c>
      <c r="P7975" t="s">
        <v>10830</v>
      </c>
      <c r="Q7975" t="s">
        <v>10831</v>
      </c>
      <c r="R7975" t="s">
        <v>288</v>
      </c>
      <c r="S7975" t="s">
        <v>289</v>
      </c>
      <c r="T7975" t="s">
        <v>10832</v>
      </c>
      <c r="U7975" t="s">
        <v>10833</v>
      </c>
      <c r="V7975" t="s">
        <v>15998</v>
      </c>
      <c r="W7975" t="s">
        <v>15999</v>
      </c>
      <c r="AD7975" t="s">
        <v>7708</v>
      </c>
      <c r="AE7975" t="s">
        <v>10836</v>
      </c>
      <c r="AF7975" t="s">
        <v>16001</v>
      </c>
    </row>
    <row r="7976" spans="1:32" hidden="1" x14ac:dyDescent="0.35">
      <c r="A7976">
        <v>7975</v>
      </c>
      <c r="B7976" t="s">
        <v>16002</v>
      </c>
      <c r="C7976" t="s">
        <v>68</v>
      </c>
      <c r="D7976" t="s">
        <v>60</v>
      </c>
      <c r="E7976">
        <v>1693</v>
      </c>
      <c r="F7976">
        <v>2</v>
      </c>
      <c r="G7976">
        <v>2</v>
      </c>
      <c r="H7976">
        <v>1</v>
      </c>
      <c r="I7976">
        <v>0</v>
      </c>
      <c r="J7976">
        <v>0.98296836982968405</v>
      </c>
      <c r="K7976">
        <v>1</v>
      </c>
      <c r="L7976">
        <v>0.99141104294478499</v>
      </c>
      <c r="M7976">
        <v>0.97810218978102204</v>
      </c>
      <c r="N7976">
        <v>0.97810218978102204</v>
      </c>
      <c r="O7976">
        <v>0.97810218978102204</v>
      </c>
      <c r="AF7976" t="s">
        <v>16003</v>
      </c>
    </row>
    <row r="7977" spans="1:32" hidden="1" x14ac:dyDescent="0.35">
      <c r="A7977">
        <v>7976</v>
      </c>
      <c r="B7977" t="s">
        <v>16002</v>
      </c>
      <c r="C7977" t="s">
        <v>68</v>
      </c>
      <c r="D7977" t="s">
        <v>62</v>
      </c>
      <c r="E7977">
        <v>1728</v>
      </c>
      <c r="F7977">
        <v>2</v>
      </c>
      <c r="G7977">
        <v>2</v>
      </c>
      <c r="H7977">
        <v>1</v>
      </c>
      <c r="I7977">
        <v>0</v>
      </c>
      <c r="J7977">
        <v>0.98296836982968405</v>
      </c>
      <c r="K7977">
        <v>1</v>
      </c>
      <c r="L7977">
        <v>0.99141104294478499</v>
      </c>
      <c r="M7977">
        <v>0.97810218978102204</v>
      </c>
      <c r="N7977">
        <v>0.97810218978102204</v>
      </c>
      <c r="O7977">
        <v>0.97810218978102204</v>
      </c>
      <c r="AF7977" t="s">
        <v>16004</v>
      </c>
    </row>
    <row r="7978" spans="1:32" hidden="1" x14ac:dyDescent="0.35">
      <c r="A7978">
        <v>7977</v>
      </c>
      <c r="B7978" t="s">
        <v>16005</v>
      </c>
      <c r="C7978" t="s">
        <v>68</v>
      </c>
      <c r="D7978" t="s">
        <v>34</v>
      </c>
      <c r="E7978">
        <v>2349</v>
      </c>
      <c r="F7978">
        <v>2</v>
      </c>
      <c r="G7978">
        <v>2</v>
      </c>
      <c r="H7978">
        <v>1</v>
      </c>
      <c r="I7978">
        <v>0</v>
      </c>
      <c r="J7978">
        <v>0.99168744804654996</v>
      </c>
      <c r="K7978">
        <v>1</v>
      </c>
      <c r="L7978">
        <v>0.99582637729549295</v>
      </c>
      <c r="M7978">
        <v>0.99002493765585997</v>
      </c>
      <c r="N7978">
        <v>0.99002493765585997</v>
      </c>
      <c r="O7978">
        <v>0.99002493765585997</v>
      </c>
      <c r="AF7978" t="s">
        <v>16006</v>
      </c>
    </row>
    <row r="7979" spans="1:32" hidden="1" x14ac:dyDescent="0.35">
      <c r="A7979">
        <v>7978</v>
      </c>
      <c r="B7979" t="s">
        <v>16005</v>
      </c>
      <c r="C7979" t="s">
        <v>68</v>
      </c>
      <c r="D7979" t="s">
        <v>45</v>
      </c>
      <c r="E7979">
        <v>530</v>
      </c>
      <c r="F7979">
        <v>2</v>
      </c>
      <c r="G7979">
        <v>2</v>
      </c>
      <c r="H7979">
        <v>1</v>
      </c>
      <c r="I7979">
        <v>0</v>
      </c>
      <c r="J7979">
        <v>0.99168744804654996</v>
      </c>
      <c r="K7979">
        <v>1</v>
      </c>
      <c r="L7979">
        <v>0.99582637729549295</v>
      </c>
      <c r="M7979">
        <v>0.99002493765585997</v>
      </c>
      <c r="N7979">
        <v>0.99002493765585997</v>
      </c>
      <c r="O7979">
        <v>0.99002493765585997</v>
      </c>
      <c r="AF7979" t="s">
        <v>16007</v>
      </c>
    </row>
    <row r="7980" spans="1:32" hidden="1" x14ac:dyDescent="0.35">
      <c r="A7980">
        <v>7979</v>
      </c>
      <c r="B7980" t="s">
        <v>16008</v>
      </c>
      <c r="C7980" t="s">
        <v>68</v>
      </c>
      <c r="D7980" t="s">
        <v>34</v>
      </c>
      <c r="E7980">
        <v>575</v>
      </c>
      <c r="F7980">
        <v>2</v>
      </c>
      <c r="G7980">
        <v>2</v>
      </c>
      <c r="H7980">
        <v>1</v>
      </c>
      <c r="I7980">
        <v>0</v>
      </c>
      <c r="J7980">
        <v>0.996805111821086</v>
      </c>
      <c r="K7980">
        <v>1</v>
      </c>
      <c r="L7980">
        <v>0.99839999999999995</v>
      </c>
      <c r="M7980">
        <v>0.996805111821086</v>
      </c>
      <c r="N7980">
        <v>0.996805111821086</v>
      </c>
      <c r="O7980">
        <v>0.996805111821086</v>
      </c>
      <c r="P7980" t="s">
        <v>4167</v>
      </c>
      <c r="Q7980" t="s">
        <v>4168</v>
      </c>
      <c r="R7980" t="s">
        <v>157</v>
      </c>
      <c r="S7980" t="s">
        <v>158</v>
      </c>
      <c r="T7980" t="s">
        <v>4169</v>
      </c>
      <c r="U7980" t="s">
        <v>4170</v>
      </c>
      <c r="V7980" t="s">
        <v>4171</v>
      </c>
      <c r="W7980" t="s">
        <v>4172</v>
      </c>
      <c r="AD7980" t="s">
        <v>4173</v>
      </c>
      <c r="AE7980" t="s">
        <v>4174</v>
      </c>
      <c r="AF7980" t="s">
        <v>16009</v>
      </c>
    </row>
    <row r="7981" spans="1:32" hidden="1" x14ac:dyDescent="0.35">
      <c r="A7981">
        <v>7980</v>
      </c>
      <c r="B7981" t="s">
        <v>16008</v>
      </c>
      <c r="C7981" t="s">
        <v>68</v>
      </c>
      <c r="D7981" t="s">
        <v>45</v>
      </c>
      <c r="E7981">
        <v>1841</v>
      </c>
      <c r="F7981">
        <v>2</v>
      </c>
      <c r="G7981">
        <v>2</v>
      </c>
      <c r="H7981">
        <v>1</v>
      </c>
      <c r="I7981">
        <v>0</v>
      </c>
      <c r="J7981">
        <v>0.996805111821086</v>
      </c>
      <c r="K7981">
        <v>1</v>
      </c>
      <c r="L7981">
        <v>0.99839999999999995</v>
      </c>
      <c r="M7981">
        <v>0.996805111821086</v>
      </c>
      <c r="N7981">
        <v>0.996805111821086</v>
      </c>
      <c r="O7981">
        <v>0.996805111821086</v>
      </c>
      <c r="P7981" t="s">
        <v>4167</v>
      </c>
      <c r="Q7981" t="s">
        <v>4168</v>
      </c>
      <c r="R7981" t="s">
        <v>157</v>
      </c>
      <c r="S7981" t="s">
        <v>158</v>
      </c>
      <c r="T7981" t="s">
        <v>4169</v>
      </c>
      <c r="U7981" t="s">
        <v>4170</v>
      </c>
      <c r="V7981" t="s">
        <v>4171</v>
      </c>
      <c r="W7981" t="s">
        <v>4172</v>
      </c>
      <c r="AD7981" t="s">
        <v>4173</v>
      </c>
      <c r="AE7981" t="s">
        <v>4174</v>
      </c>
      <c r="AF7981" t="s">
        <v>16010</v>
      </c>
    </row>
    <row r="7982" spans="1:32" hidden="1" x14ac:dyDescent="0.35">
      <c r="A7982">
        <v>7981</v>
      </c>
      <c r="B7982" t="s">
        <v>16011</v>
      </c>
      <c r="C7982" t="s">
        <v>68</v>
      </c>
      <c r="D7982" t="s">
        <v>60</v>
      </c>
      <c r="E7982">
        <v>2298</v>
      </c>
      <c r="F7982">
        <v>2</v>
      </c>
      <c r="G7982">
        <v>2</v>
      </c>
      <c r="H7982">
        <v>1</v>
      </c>
      <c r="I7982">
        <v>0</v>
      </c>
      <c r="J7982">
        <v>0.99469696969696997</v>
      </c>
      <c r="K7982">
        <v>1</v>
      </c>
      <c r="L7982">
        <v>0.99734143562476296</v>
      </c>
      <c r="M7982">
        <v>0.99318181818181805</v>
      </c>
      <c r="N7982">
        <v>0.99318181818181805</v>
      </c>
      <c r="O7982">
        <v>0.99318181818181805</v>
      </c>
      <c r="P7982" t="s">
        <v>16012</v>
      </c>
      <c r="Q7982" t="s">
        <v>16013</v>
      </c>
      <c r="R7982" t="s">
        <v>157</v>
      </c>
      <c r="S7982" t="s">
        <v>158</v>
      </c>
      <c r="T7982" t="s">
        <v>16014</v>
      </c>
      <c r="U7982" t="s">
        <v>16015</v>
      </c>
      <c r="V7982" t="s">
        <v>16016</v>
      </c>
      <c r="W7982" t="s">
        <v>16017</v>
      </c>
      <c r="AD7982" t="s">
        <v>16018</v>
      </c>
      <c r="AE7982" t="s">
        <v>16019</v>
      </c>
      <c r="AF7982" t="s">
        <v>16020</v>
      </c>
    </row>
    <row r="7983" spans="1:32" hidden="1" x14ac:dyDescent="0.35">
      <c r="A7983">
        <v>7982</v>
      </c>
      <c r="B7983" t="s">
        <v>16011</v>
      </c>
      <c r="C7983" t="s">
        <v>68</v>
      </c>
      <c r="D7983" t="s">
        <v>62</v>
      </c>
      <c r="E7983">
        <v>2327</v>
      </c>
      <c r="F7983">
        <v>2</v>
      </c>
      <c r="G7983">
        <v>2</v>
      </c>
      <c r="H7983">
        <v>1</v>
      </c>
      <c r="I7983">
        <v>0</v>
      </c>
      <c r="J7983">
        <v>0.99469696969696997</v>
      </c>
      <c r="K7983">
        <v>1</v>
      </c>
      <c r="L7983">
        <v>0.99734143562476296</v>
      </c>
      <c r="M7983">
        <v>0.99318181818181805</v>
      </c>
      <c r="N7983">
        <v>0.99318181818181805</v>
      </c>
      <c r="O7983">
        <v>0.99318181818181805</v>
      </c>
      <c r="P7983" t="s">
        <v>16012</v>
      </c>
      <c r="Q7983" t="s">
        <v>16013</v>
      </c>
      <c r="R7983" t="s">
        <v>157</v>
      </c>
      <c r="S7983" t="s">
        <v>158</v>
      </c>
      <c r="T7983" t="s">
        <v>16014</v>
      </c>
      <c r="U7983" t="s">
        <v>16015</v>
      </c>
      <c r="V7983" t="s">
        <v>16016</v>
      </c>
      <c r="W7983" t="s">
        <v>16017</v>
      </c>
      <c r="AD7983" t="s">
        <v>16018</v>
      </c>
      <c r="AE7983" t="s">
        <v>16019</v>
      </c>
      <c r="AF7983" t="s">
        <v>16021</v>
      </c>
    </row>
    <row r="7984" spans="1:32" hidden="1" x14ac:dyDescent="0.35">
      <c r="A7984">
        <v>7983</v>
      </c>
      <c r="B7984" t="s">
        <v>16022</v>
      </c>
      <c r="C7984" t="s">
        <v>68</v>
      </c>
      <c r="D7984" t="s">
        <v>60</v>
      </c>
      <c r="E7984">
        <v>2098</v>
      </c>
      <c r="F7984">
        <v>2</v>
      </c>
      <c r="G7984">
        <v>2</v>
      </c>
      <c r="H7984">
        <v>1</v>
      </c>
      <c r="I7984">
        <v>0</v>
      </c>
      <c r="J7984">
        <v>0.989489489489489</v>
      </c>
      <c r="K7984">
        <v>1</v>
      </c>
      <c r="L7984">
        <v>0.99471698113207496</v>
      </c>
      <c r="M7984">
        <v>0.98648648648648696</v>
      </c>
      <c r="N7984">
        <v>0.98648648648648696</v>
      </c>
      <c r="O7984">
        <v>0.98648648648648696</v>
      </c>
      <c r="P7984" t="s">
        <v>10222</v>
      </c>
      <c r="Q7984" t="s">
        <v>10223</v>
      </c>
      <c r="R7984" t="s">
        <v>10224</v>
      </c>
      <c r="S7984" t="s">
        <v>10225</v>
      </c>
      <c r="T7984" t="s">
        <v>5046</v>
      </c>
      <c r="U7984" t="s">
        <v>5047</v>
      </c>
      <c r="V7984" t="s">
        <v>10228</v>
      </c>
      <c r="W7984" t="s">
        <v>10229</v>
      </c>
      <c r="AD7984" t="s">
        <v>5050</v>
      </c>
      <c r="AE7984" t="s">
        <v>5051</v>
      </c>
      <c r="AF7984" t="s">
        <v>16023</v>
      </c>
    </row>
    <row r="7985" spans="1:32" hidden="1" x14ac:dyDescent="0.35">
      <c r="A7985">
        <v>7984</v>
      </c>
      <c r="B7985" t="s">
        <v>16022</v>
      </c>
      <c r="C7985" t="s">
        <v>68</v>
      </c>
      <c r="D7985" t="s">
        <v>62</v>
      </c>
      <c r="E7985">
        <v>2133</v>
      </c>
      <c r="F7985">
        <v>2</v>
      </c>
      <c r="G7985">
        <v>2</v>
      </c>
      <c r="H7985">
        <v>1</v>
      </c>
      <c r="I7985">
        <v>0</v>
      </c>
      <c r="J7985">
        <v>0.989489489489489</v>
      </c>
      <c r="K7985">
        <v>1</v>
      </c>
      <c r="L7985">
        <v>0.99471698113207496</v>
      </c>
      <c r="M7985">
        <v>0.98648648648648696</v>
      </c>
      <c r="N7985">
        <v>0.98648648648648696</v>
      </c>
      <c r="O7985">
        <v>0.98648648648648696</v>
      </c>
      <c r="P7985" t="s">
        <v>10222</v>
      </c>
      <c r="Q7985" t="s">
        <v>10223</v>
      </c>
      <c r="R7985" t="s">
        <v>10224</v>
      </c>
      <c r="S7985" t="s">
        <v>10225</v>
      </c>
      <c r="T7985" t="s">
        <v>5046</v>
      </c>
      <c r="U7985" t="s">
        <v>5047</v>
      </c>
      <c r="V7985" t="s">
        <v>10228</v>
      </c>
      <c r="W7985" t="s">
        <v>10229</v>
      </c>
      <c r="AD7985" t="s">
        <v>5050</v>
      </c>
      <c r="AE7985" t="s">
        <v>5051</v>
      </c>
      <c r="AF7985" t="s">
        <v>16024</v>
      </c>
    </row>
    <row r="7986" spans="1:32" hidden="1" x14ac:dyDescent="0.35">
      <c r="A7986">
        <v>7985</v>
      </c>
      <c r="B7986" t="s">
        <v>16025</v>
      </c>
      <c r="C7986" t="s">
        <v>68</v>
      </c>
      <c r="D7986" t="s">
        <v>34</v>
      </c>
      <c r="E7986">
        <v>1034</v>
      </c>
      <c r="F7986">
        <v>2</v>
      </c>
      <c r="G7986">
        <v>2</v>
      </c>
      <c r="H7986">
        <v>1</v>
      </c>
      <c r="I7986">
        <v>0</v>
      </c>
      <c r="J7986">
        <v>0.99549549549549599</v>
      </c>
      <c r="K7986">
        <v>1</v>
      </c>
      <c r="L7986">
        <v>0.99774266365688502</v>
      </c>
      <c r="M7986">
        <v>0.99549549549549599</v>
      </c>
      <c r="N7986">
        <v>0.99549549549549599</v>
      </c>
      <c r="O7986">
        <v>0.99549549549549599</v>
      </c>
      <c r="P7986" t="s">
        <v>1247</v>
      </c>
      <c r="Q7986" t="s">
        <v>1248</v>
      </c>
      <c r="R7986" t="s">
        <v>235</v>
      </c>
      <c r="S7986" t="s">
        <v>236</v>
      </c>
      <c r="T7986" t="s">
        <v>1249</v>
      </c>
      <c r="U7986" t="s">
        <v>1250</v>
      </c>
      <c r="V7986" t="s">
        <v>1251</v>
      </c>
      <c r="W7986" t="s">
        <v>1252</v>
      </c>
      <c r="AD7986" t="s">
        <v>439</v>
      </c>
      <c r="AE7986" t="s">
        <v>699</v>
      </c>
      <c r="AF7986" t="s">
        <v>16026</v>
      </c>
    </row>
    <row r="7987" spans="1:32" hidden="1" x14ac:dyDescent="0.35">
      <c r="A7987">
        <v>7986</v>
      </c>
      <c r="B7987" t="s">
        <v>16025</v>
      </c>
      <c r="C7987" t="s">
        <v>68</v>
      </c>
      <c r="D7987" t="s">
        <v>45</v>
      </c>
      <c r="E7987">
        <v>2289</v>
      </c>
      <c r="F7987">
        <v>2</v>
      </c>
      <c r="G7987">
        <v>2</v>
      </c>
      <c r="H7987">
        <v>1</v>
      </c>
      <c r="I7987">
        <v>0</v>
      </c>
      <c r="J7987">
        <v>0.99549549549549599</v>
      </c>
      <c r="K7987">
        <v>1</v>
      </c>
      <c r="L7987">
        <v>0.99774266365688502</v>
      </c>
      <c r="M7987">
        <v>0.99549549549549599</v>
      </c>
      <c r="N7987">
        <v>0.99549549549549599</v>
      </c>
      <c r="O7987">
        <v>0.99549549549549599</v>
      </c>
      <c r="P7987" t="s">
        <v>1247</v>
      </c>
      <c r="Q7987" t="s">
        <v>1248</v>
      </c>
      <c r="R7987" t="s">
        <v>235</v>
      </c>
      <c r="S7987" t="s">
        <v>236</v>
      </c>
      <c r="T7987" t="s">
        <v>1249</v>
      </c>
      <c r="U7987" t="s">
        <v>1250</v>
      </c>
      <c r="V7987" t="s">
        <v>1251</v>
      </c>
      <c r="W7987" t="s">
        <v>1252</v>
      </c>
      <c r="AD7987" t="s">
        <v>439</v>
      </c>
      <c r="AE7987" t="s">
        <v>699</v>
      </c>
      <c r="AF7987" t="s">
        <v>16027</v>
      </c>
    </row>
    <row r="7988" spans="1:32" hidden="1" x14ac:dyDescent="0.35">
      <c r="A7988">
        <v>7987</v>
      </c>
      <c r="B7988" t="s">
        <v>16028</v>
      </c>
      <c r="C7988" t="s">
        <v>68</v>
      </c>
      <c r="D7988" t="s">
        <v>60</v>
      </c>
      <c r="E7988">
        <v>693</v>
      </c>
      <c r="F7988">
        <v>2</v>
      </c>
      <c r="G7988">
        <v>2</v>
      </c>
      <c r="H7988">
        <v>1</v>
      </c>
      <c r="I7988">
        <v>0</v>
      </c>
      <c r="J7988">
        <v>0.99786324786324798</v>
      </c>
      <c r="K7988">
        <v>1</v>
      </c>
      <c r="L7988">
        <v>0.99893048128342199</v>
      </c>
      <c r="M7988">
        <v>0.99358974358974395</v>
      </c>
      <c r="N7988">
        <v>0.99358974358974395</v>
      </c>
      <c r="O7988">
        <v>0.99358974358974395</v>
      </c>
      <c r="T7988" t="s">
        <v>16029</v>
      </c>
      <c r="U7988" t="s">
        <v>407</v>
      </c>
      <c r="AD7988" t="s">
        <v>410</v>
      </c>
      <c r="AE7988" t="s">
        <v>411</v>
      </c>
      <c r="AF7988" t="s">
        <v>16030</v>
      </c>
    </row>
    <row r="7989" spans="1:32" hidden="1" x14ac:dyDescent="0.35">
      <c r="A7989">
        <v>7988</v>
      </c>
      <c r="B7989" t="s">
        <v>16028</v>
      </c>
      <c r="C7989" t="s">
        <v>68</v>
      </c>
      <c r="D7989" t="s">
        <v>62</v>
      </c>
      <c r="E7989">
        <v>724</v>
      </c>
      <c r="F7989">
        <v>2</v>
      </c>
      <c r="G7989">
        <v>2</v>
      </c>
      <c r="H7989">
        <v>1</v>
      </c>
      <c r="I7989">
        <v>0</v>
      </c>
      <c r="J7989">
        <v>0.99786324786324798</v>
      </c>
      <c r="K7989">
        <v>1</v>
      </c>
      <c r="L7989">
        <v>0.99893048128342199</v>
      </c>
      <c r="M7989">
        <v>0.99358974358974395</v>
      </c>
      <c r="N7989">
        <v>0.99358974358974395</v>
      </c>
      <c r="O7989">
        <v>0.99358974358974395</v>
      </c>
      <c r="T7989" t="s">
        <v>16029</v>
      </c>
      <c r="U7989" t="s">
        <v>407</v>
      </c>
      <c r="AD7989" t="s">
        <v>410</v>
      </c>
      <c r="AE7989" t="s">
        <v>411</v>
      </c>
      <c r="AF7989" t="s">
        <v>16031</v>
      </c>
    </row>
    <row r="7990" spans="1:32" hidden="1" x14ac:dyDescent="0.35">
      <c r="A7990">
        <v>7989</v>
      </c>
      <c r="B7990" t="s">
        <v>16032</v>
      </c>
      <c r="C7990" t="s">
        <v>68</v>
      </c>
      <c r="D7990" t="s">
        <v>34</v>
      </c>
      <c r="E7990">
        <v>1006</v>
      </c>
      <c r="F7990">
        <v>2</v>
      </c>
      <c r="G7990">
        <v>2</v>
      </c>
      <c r="H7990">
        <v>1</v>
      </c>
      <c r="I7990">
        <v>0</v>
      </c>
      <c r="J7990">
        <v>0.97894736842105301</v>
      </c>
      <c r="K7990">
        <v>1</v>
      </c>
      <c r="L7990">
        <v>0.98936170212765995</v>
      </c>
      <c r="M7990">
        <v>0.97894736842105301</v>
      </c>
      <c r="N7990">
        <v>0.97894736842105301</v>
      </c>
      <c r="O7990">
        <v>0.97894736842105301</v>
      </c>
      <c r="P7990" t="s">
        <v>16033</v>
      </c>
      <c r="Q7990" t="s">
        <v>16034</v>
      </c>
      <c r="R7990" t="s">
        <v>371</v>
      </c>
      <c r="S7990" t="s">
        <v>372</v>
      </c>
      <c r="T7990" t="s">
        <v>16035</v>
      </c>
      <c r="U7990" t="s">
        <v>16036</v>
      </c>
      <c r="V7990" t="s">
        <v>16037</v>
      </c>
      <c r="W7990" t="s">
        <v>16038</v>
      </c>
      <c r="AD7990" t="s">
        <v>3253</v>
      </c>
      <c r="AE7990" t="s">
        <v>16039</v>
      </c>
      <c r="AF7990" t="s">
        <v>16040</v>
      </c>
    </row>
    <row r="7991" spans="1:32" hidden="1" x14ac:dyDescent="0.35">
      <c r="A7991">
        <v>7990</v>
      </c>
      <c r="B7991" t="s">
        <v>16032</v>
      </c>
      <c r="C7991" t="s">
        <v>68</v>
      </c>
      <c r="D7991" t="s">
        <v>45</v>
      </c>
      <c r="E7991">
        <v>2260</v>
      </c>
      <c r="F7991">
        <v>2</v>
      </c>
      <c r="G7991">
        <v>2</v>
      </c>
      <c r="H7991">
        <v>1</v>
      </c>
      <c r="I7991">
        <v>0</v>
      </c>
      <c r="J7991">
        <v>0.97894736842105301</v>
      </c>
      <c r="K7991">
        <v>1</v>
      </c>
      <c r="L7991">
        <v>0.98936170212765995</v>
      </c>
      <c r="M7991">
        <v>0.97894736842105301</v>
      </c>
      <c r="N7991">
        <v>0.97894736842105301</v>
      </c>
      <c r="O7991">
        <v>0.97894736842105301</v>
      </c>
      <c r="P7991" t="s">
        <v>16033</v>
      </c>
      <c r="Q7991" t="s">
        <v>16034</v>
      </c>
      <c r="R7991" t="s">
        <v>371</v>
      </c>
      <c r="S7991" t="s">
        <v>372</v>
      </c>
      <c r="T7991" t="s">
        <v>16035</v>
      </c>
      <c r="U7991" t="s">
        <v>16036</v>
      </c>
      <c r="V7991" t="s">
        <v>16037</v>
      </c>
      <c r="W7991" t="s">
        <v>16038</v>
      </c>
      <c r="AD7991" t="s">
        <v>3253</v>
      </c>
      <c r="AE7991" t="s">
        <v>16039</v>
      </c>
      <c r="AF7991" t="s">
        <v>16041</v>
      </c>
    </row>
    <row r="7992" spans="1:32" hidden="1" x14ac:dyDescent="0.35">
      <c r="A7992">
        <v>7991</v>
      </c>
      <c r="B7992" t="s">
        <v>16042</v>
      </c>
      <c r="C7992" t="s">
        <v>68</v>
      </c>
      <c r="D7992" t="s">
        <v>34</v>
      </c>
      <c r="E7992">
        <v>1474</v>
      </c>
      <c r="F7992">
        <v>2</v>
      </c>
      <c r="G7992">
        <v>2</v>
      </c>
      <c r="H7992">
        <v>1</v>
      </c>
      <c r="I7992">
        <v>0</v>
      </c>
      <c r="J7992">
        <v>0.99610894941634198</v>
      </c>
      <c r="K7992">
        <v>1</v>
      </c>
      <c r="L7992">
        <v>0.99805068226120897</v>
      </c>
      <c r="M7992">
        <v>0.99610894941634198</v>
      </c>
      <c r="N7992">
        <v>0.99610894941634198</v>
      </c>
      <c r="O7992">
        <v>0.99610894941634198</v>
      </c>
      <c r="AF7992" t="s">
        <v>16043</v>
      </c>
    </row>
    <row r="7993" spans="1:32" hidden="1" x14ac:dyDescent="0.35">
      <c r="A7993">
        <v>7992</v>
      </c>
      <c r="B7993" t="s">
        <v>16042</v>
      </c>
      <c r="C7993" t="s">
        <v>68</v>
      </c>
      <c r="D7993" t="s">
        <v>45</v>
      </c>
      <c r="E7993">
        <v>224</v>
      </c>
      <c r="F7993">
        <v>2</v>
      </c>
      <c r="G7993">
        <v>2</v>
      </c>
      <c r="H7993">
        <v>1</v>
      </c>
      <c r="I7993">
        <v>0</v>
      </c>
      <c r="J7993">
        <v>0.99610894941634198</v>
      </c>
      <c r="K7993">
        <v>1</v>
      </c>
      <c r="L7993">
        <v>0.99805068226120897</v>
      </c>
      <c r="M7993">
        <v>0.99610894941634198</v>
      </c>
      <c r="N7993">
        <v>0.99610894941634198</v>
      </c>
      <c r="O7993">
        <v>0.99610894941634198</v>
      </c>
      <c r="AF7993" t="s">
        <v>16044</v>
      </c>
    </row>
    <row r="7994" spans="1:32" hidden="1" x14ac:dyDescent="0.35">
      <c r="A7994">
        <v>7993</v>
      </c>
      <c r="B7994" t="s">
        <v>16045</v>
      </c>
      <c r="C7994" t="s">
        <v>68</v>
      </c>
      <c r="D7994" t="s">
        <v>34</v>
      </c>
      <c r="E7994">
        <v>676</v>
      </c>
      <c r="F7994">
        <v>2</v>
      </c>
      <c r="G7994">
        <v>2</v>
      </c>
      <c r="H7994">
        <v>1</v>
      </c>
      <c r="I7994">
        <v>0</v>
      </c>
      <c r="J7994">
        <v>0.98571428571428599</v>
      </c>
      <c r="K7994">
        <v>1</v>
      </c>
      <c r="L7994">
        <v>0.99280575539568305</v>
      </c>
      <c r="M7994">
        <v>0.98571428571428599</v>
      </c>
      <c r="N7994">
        <v>0.98571428571428599</v>
      </c>
      <c r="O7994">
        <v>0.98571428571428599</v>
      </c>
      <c r="P7994" t="s">
        <v>10830</v>
      </c>
      <c r="Q7994" t="s">
        <v>10831</v>
      </c>
      <c r="T7994" t="s">
        <v>10832</v>
      </c>
      <c r="U7994" t="s">
        <v>10833</v>
      </c>
      <c r="AD7994" t="s">
        <v>7708</v>
      </c>
      <c r="AE7994" t="s">
        <v>10836</v>
      </c>
      <c r="AF7994" t="s">
        <v>16046</v>
      </c>
    </row>
    <row r="7995" spans="1:32" hidden="1" x14ac:dyDescent="0.35">
      <c r="A7995">
        <v>7994</v>
      </c>
      <c r="B7995" t="s">
        <v>16045</v>
      </c>
      <c r="C7995" t="s">
        <v>68</v>
      </c>
      <c r="D7995" t="s">
        <v>45</v>
      </c>
      <c r="E7995">
        <v>1942</v>
      </c>
      <c r="F7995">
        <v>2</v>
      </c>
      <c r="G7995">
        <v>2</v>
      </c>
      <c r="H7995">
        <v>1</v>
      </c>
      <c r="I7995">
        <v>0</v>
      </c>
      <c r="J7995">
        <v>0.98571428571428599</v>
      </c>
      <c r="K7995">
        <v>1</v>
      </c>
      <c r="L7995">
        <v>0.99280575539568305</v>
      </c>
      <c r="M7995">
        <v>0.98571428571428599</v>
      </c>
      <c r="N7995">
        <v>0.98571428571428599</v>
      </c>
      <c r="O7995">
        <v>0.98571428571428599</v>
      </c>
      <c r="P7995" t="s">
        <v>10830</v>
      </c>
      <c r="Q7995" t="s">
        <v>10831</v>
      </c>
      <c r="T7995" t="s">
        <v>10832</v>
      </c>
      <c r="U7995" t="s">
        <v>10833</v>
      </c>
      <c r="AD7995" t="s">
        <v>7708</v>
      </c>
      <c r="AE7995" t="s">
        <v>10836</v>
      </c>
      <c r="AF7995" t="s">
        <v>16047</v>
      </c>
    </row>
    <row r="7996" spans="1:32" hidden="1" x14ac:dyDescent="0.35">
      <c r="A7996">
        <v>7995</v>
      </c>
      <c r="B7996" t="s">
        <v>16048</v>
      </c>
      <c r="C7996" t="s">
        <v>68</v>
      </c>
      <c r="D7996" t="s">
        <v>60</v>
      </c>
      <c r="E7996">
        <v>72</v>
      </c>
      <c r="F7996">
        <v>2</v>
      </c>
      <c r="G7996">
        <v>2</v>
      </c>
      <c r="H7996">
        <v>1</v>
      </c>
      <c r="I7996">
        <v>0</v>
      </c>
      <c r="J7996">
        <v>0.98300653594771203</v>
      </c>
      <c r="K7996">
        <v>1</v>
      </c>
      <c r="L7996">
        <v>0.99143045484508896</v>
      </c>
      <c r="M7996">
        <v>0.98039215686274495</v>
      </c>
      <c r="N7996">
        <v>0.98039215686274495</v>
      </c>
      <c r="O7996">
        <v>0.98039215686274495</v>
      </c>
      <c r="P7996" t="s">
        <v>13495</v>
      </c>
      <c r="Q7996" t="s">
        <v>2878</v>
      </c>
      <c r="R7996" t="s">
        <v>113</v>
      </c>
      <c r="S7996" t="s">
        <v>114</v>
      </c>
      <c r="V7996" t="s">
        <v>13496</v>
      </c>
      <c r="W7996" t="s">
        <v>13497</v>
      </c>
      <c r="AF7996" t="s">
        <v>16049</v>
      </c>
    </row>
    <row r="7997" spans="1:32" hidden="1" x14ac:dyDescent="0.35">
      <c r="A7997">
        <v>7996</v>
      </c>
      <c r="B7997" t="s">
        <v>16048</v>
      </c>
      <c r="C7997" t="s">
        <v>68</v>
      </c>
      <c r="D7997" t="s">
        <v>62</v>
      </c>
      <c r="E7997">
        <v>145</v>
      </c>
      <c r="F7997">
        <v>2</v>
      </c>
      <c r="G7997">
        <v>2</v>
      </c>
      <c r="H7997">
        <v>1</v>
      </c>
      <c r="I7997">
        <v>0</v>
      </c>
      <c r="J7997">
        <v>0.98300653594771203</v>
      </c>
      <c r="K7997">
        <v>1</v>
      </c>
      <c r="L7997">
        <v>0.99143045484508896</v>
      </c>
      <c r="M7997">
        <v>0.98039215686274495</v>
      </c>
      <c r="N7997">
        <v>0.98039215686274495</v>
      </c>
      <c r="O7997">
        <v>0.98039215686274495</v>
      </c>
      <c r="P7997" t="s">
        <v>13495</v>
      </c>
      <c r="Q7997" t="s">
        <v>2878</v>
      </c>
      <c r="R7997" t="s">
        <v>113</v>
      </c>
      <c r="S7997" t="s">
        <v>114</v>
      </c>
      <c r="V7997" t="s">
        <v>13496</v>
      </c>
      <c r="W7997" t="s">
        <v>13497</v>
      </c>
      <c r="AF7997" t="s">
        <v>16050</v>
      </c>
    </row>
    <row r="7998" spans="1:32" hidden="1" x14ac:dyDescent="0.35">
      <c r="A7998">
        <v>7997</v>
      </c>
      <c r="B7998" t="s">
        <v>16051</v>
      </c>
      <c r="C7998" t="s">
        <v>68</v>
      </c>
      <c r="D7998" t="s">
        <v>34</v>
      </c>
      <c r="E7998">
        <v>1392</v>
      </c>
      <c r="F7998">
        <v>2</v>
      </c>
      <c r="G7998">
        <v>2</v>
      </c>
      <c r="H7998">
        <v>1</v>
      </c>
      <c r="I7998">
        <v>0</v>
      </c>
      <c r="J7998">
        <v>0.99390243902439002</v>
      </c>
      <c r="K7998">
        <v>1</v>
      </c>
      <c r="L7998">
        <v>0.99694189602446504</v>
      </c>
      <c r="M7998">
        <v>0.99390243902439002</v>
      </c>
      <c r="N7998">
        <v>0.99390243902439002</v>
      </c>
      <c r="O7998">
        <v>0.99390243902439002</v>
      </c>
      <c r="AF7998" t="s">
        <v>16052</v>
      </c>
    </row>
    <row r="7999" spans="1:32" hidden="1" x14ac:dyDescent="0.35">
      <c r="A7999">
        <v>7998</v>
      </c>
      <c r="B7999" t="s">
        <v>16051</v>
      </c>
      <c r="C7999" t="s">
        <v>68</v>
      </c>
      <c r="D7999" t="s">
        <v>45</v>
      </c>
      <c r="E7999">
        <v>142</v>
      </c>
      <c r="F7999">
        <v>2</v>
      </c>
      <c r="G7999">
        <v>2</v>
      </c>
      <c r="H7999">
        <v>1</v>
      </c>
      <c r="I7999">
        <v>0</v>
      </c>
      <c r="J7999">
        <v>0.99390243902439002</v>
      </c>
      <c r="K7999">
        <v>1</v>
      </c>
      <c r="L7999">
        <v>0.99694189602446504</v>
      </c>
      <c r="M7999">
        <v>0.99390243902439002</v>
      </c>
      <c r="N7999">
        <v>0.99390243902439002</v>
      </c>
      <c r="O7999">
        <v>0.99390243902439002</v>
      </c>
      <c r="AF7999" t="s">
        <v>16053</v>
      </c>
    </row>
    <row r="8000" spans="1:32" hidden="1" x14ac:dyDescent="0.35">
      <c r="A8000">
        <v>7999</v>
      </c>
      <c r="B8000" t="s">
        <v>16054</v>
      </c>
      <c r="C8000" t="s">
        <v>68</v>
      </c>
      <c r="D8000" t="s">
        <v>34</v>
      </c>
      <c r="E8000">
        <v>1539</v>
      </c>
      <c r="F8000">
        <v>2</v>
      </c>
      <c r="G8000">
        <v>2</v>
      </c>
      <c r="H8000">
        <v>1</v>
      </c>
      <c r="I8000">
        <v>0</v>
      </c>
      <c r="J8000">
        <v>0.99791666666666701</v>
      </c>
      <c r="K8000">
        <v>1</v>
      </c>
      <c r="L8000">
        <v>0.99895724713242995</v>
      </c>
      <c r="M8000">
        <v>0.99375000000000002</v>
      </c>
      <c r="N8000">
        <v>0.99375000000000002</v>
      </c>
      <c r="O8000">
        <v>0.99375000000000002</v>
      </c>
      <c r="AF8000" t="s">
        <v>16055</v>
      </c>
    </row>
    <row r="8001" spans="1:32" hidden="1" x14ac:dyDescent="0.35">
      <c r="A8001">
        <v>8000</v>
      </c>
      <c r="B8001" t="s">
        <v>16054</v>
      </c>
      <c r="C8001" t="s">
        <v>68</v>
      </c>
      <c r="D8001" t="s">
        <v>45</v>
      </c>
      <c r="E8001">
        <v>289</v>
      </c>
      <c r="F8001">
        <v>2</v>
      </c>
      <c r="G8001">
        <v>2</v>
      </c>
      <c r="H8001">
        <v>1</v>
      </c>
      <c r="I8001">
        <v>0</v>
      </c>
      <c r="J8001">
        <v>0.99791666666666701</v>
      </c>
      <c r="K8001">
        <v>1</v>
      </c>
      <c r="L8001">
        <v>0.99895724713242995</v>
      </c>
      <c r="M8001">
        <v>0.99375000000000002</v>
      </c>
      <c r="N8001">
        <v>0.99375000000000002</v>
      </c>
      <c r="O8001">
        <v>0.99375000000000002</v>
      </c>
      <c r="AF8001" t="s">
        <v>16056</v>
      </c>
    </row>
    <row r="8002" spans="1:32" hidden="1" x14ac:dyDescent="0.35">
      <c r="A8002">
        <v>8001</v>
      </c>
      <c r="B8002" t="s">
        <v>16057</v>
      </c>
      <c r="C8002" t="s">
        <v>68</v>
      </c>
      <c r="D8002" t="s">
        <v>60</v>
      </c>
      <c r="E8002">
        <v>181</v>
      </c>
      <c r="F8002">
        <v>2</v>
      </c>
      <c r="G8002">
        <v>2</v>
      </c>
      <c r="H8002">
        <v>1</v>
      </c>
      <c r="I8002">
        <v>0</v>
      </c>
      <c r="J8002">
        <v>0.982421875</v>
      </c>
      <c r="K8002">
        <v>1</v>
      </c>
      <c r="L8002">
        <v>0.99113300492610801</v>
      </c>
      <c r="M8002">
        <v>0.978515625</v>
      </c>
      <c r="N8002">
        <v>0.978515625</v>
      </c>
      <c r="O8002">
        <v>0.978515625</v>
      </c>
      <c r="P8002" t="s">
        <v>16058</v>
      </c>
      <c r="Q8002" t="s">
        <v>16059</v>
      </c>
      <c r="R8002" t="s">
        <v>157</v>
      </c>
      <c r="S8002" t="s">
        <v>158</v>
      </c>
      <c r="V8002" t="s">
        <v>14219</v>
      </c>
      <c r="W8002" t="s">
        <v>14220</v>
      </c>
      <c r="AF8002" t="s">
        <v>16060</v>
      </c>
    </row>
    <row r="8003" spans="1:32" hidden="1" x14ac:dyDescent="0.35">
      <c r="A8003">
        <v>8002</v>
      </c>
      <c r="B8003" t="s">
        <v>16057</v>
      </c>
      <c r="C8003" t="s">
        <v>68</v>
      </c>
      <c r="D8003" t="s">
        <v>62</v>
      </c>
      <c r="E8003">
        <v>257</v>
      </c>
      <c r="F8003">
        <v>2</v>
      </c>
      <c r="G8003">
        <v>2</v>
      </c>
      <c r="H8003">
        <v>1</v>
      </c>
      <c r="I8003">
        <v>0</v>
      </c>
      <c r="J8003">
        <v>0.982421875</v>
      </c>
      <c r="K8003">
        <v>1</v>
      </c>
      <c r="L8003">
        <v>0.99113300492610801</v>
      </c>
      <c r="M8003">
        <v>0.978515625</v>
      </c>
      <c r="N8003">
        <v>0.978515625</v>
      </c>
      <c r="O8003">
        <v>0.978515625</v>
      </c>
      <c r="P8003" t="s">
        <v>16058</v>
      </c>
      <c r="Q8003" t="s">
        <v>16059</v>
      </c>
      <c r="R8003" t="s">
        <v>157</v>
      </c>
      <c r="S8003" t="s">
        <v>158</v>
      </c>
      <c r="V8003" t="s">
        <v>14219</v>
      </c>
      <c r="W8003" t="s">
        <v>14220</v>
      </c>
      <c r="AF8003" t="s">
        <v>16061</v>
      </c>
    </row>
    <row r="8004" spans="1:32" hidden="1" x14ac:dyDescent="0.35">
      <c r="A8004">
        <v>8003</v>
      </c>
      <c r="B8004" t="s">
        <v>16062</v>
      </c>
      <c r="C8004" t="s">
        <v>68</v>
      </c>
      <c r="D8004" t="s">
        <v>60</v>
      </c>
      <c r="E8004">
        <v>462</v>
      </c>
      <c r="F8004">
        <v>2</v>
      </c>
      <c r="G8004">
        <v>2</v>
      </c>
      <c r="H8004">
        <v>1</v>
      </c>
      <c r="I8004">
        <v>0</v>
      </c>
      <c r="J8004">
        <v>0.99751861042183598</v>
      </c>
      <c r="K8004">
        <v>1</v>
      </c>
      <c r="L8004">
        <v>0.99875776397515503</v>
      </c>
      <c r="M8004">
        <v>0.99751861042183598</v>
      </c>
      <c r="N8004">
        <v>0.99751861042183598</v>
      </c>
      <c r="O8004">
        <v>0.99751861042183598</v>
      </c>
      <c r="P8004" t="s">
        <v>10334</v>
      </c>
      <c r="Q8004" t="s">
        <v>10335</v>
      </c>
      <c r="R8004" t="s">
        <v>1191</v>
      </c>
      <c r="S8004" t="s">
        <v>1192</v>
      </c>
      <c r="V8004" t="s">
        <v>6600</v>
      </c>
      <c r="W8004" t="s">
        <v>6601</v>
      </c>
      <c r="AF8004" t="s">
        <v>16063</v>
      </c>
    </row>
    <row r="8005" spans="1:32" hidden="1" x14ac:dyDescent="0.35">
      <c r="A8005">
        <v>8004</v>
      </c>
      <c r="B8005" t="s">
        <v>16062</v>
      </c>
      <c r="C8005" t="s">
        <v>68</v>
      </c>
      <c r="D8005" t="s">
        <v>62</v>
      </c>
      <c r="E8005">
        <v>544</v>
      </c>
      <c r="F8005">
        <v>2</v>
      </c>
      <c r="G8005">
        <v>2</v>
      </c>
      <c r="H8005">
        <v>1</v>
      </c>
      <c r="I8005">
        <v>0</v>
      </c>
      <c r="J8005">
        <v>0.99751861042183598</v>
      </c>
      <c r="K8005">
        <v>1</v>
      </c>
      <c r="L8005">
        <v>0.99875776397515503</v>
      </c>
      <c r="M8005">
        <v>0.99751861042183598</v>
      </c>
      <c r="N8005">
        <v>0.99751861042183598</v>
      </c>
      <c r="O8005">
        <v>0.99751861042183598</v>
      </c>
      <c r="P8005" t="s">
        <v>10334</v>
      </c>
      <c r="Q8005" t="s">
        <v>10335</v>
      </c>
      <c r="R8005" t="s">
        <v>1191</v>
      </c>
      <c r="S8005" t="s">
        <v>1192</v>
      </c>
      <c r="V8005" t="s">
        <v>6600</v>
      </c>
      <c r="W8005" t="s">
        <v>6601</v>
      </c>
      <c r="AF8005" t="s">
        <v>16064</v>
      </c>
    </row>
    <row r="8006" spans="1:32" hidden="1" x14ac:dyDescent="0.35">
      <c r="A8006">
        <v>8005</v>
      </c>
      <c r="B8006" t="s">
        <v>16065</v>
      </c>
      <c r="C8006" t="s">
        <v>68</v>
      </c>
      <c r="D8006" t="s">
        <v>34</v>
      </c>
      <c r="E8006">
        <v>339</v>
      </c>
      <c r="F8006">
        <v>2</v>
      </c>
      <c r="G8006">
        <v>2</v>
      </c>
      <c r="H8006">
        <v>1</v>
      </c>
      <c r="I8006">
        <v>0</v>
      </c>
      <c r="J8006">
        <v>0.99555555555555597</v>
      </c>
      <c r="K8006">
        <v>1</v>
      </c>
      <c r="L8006">
        <v>0.99777282850779503</v>
      </c>
      <c r="M8006">
        <v>0.99333333333333296</v>
      </c>
      <c r="N8006">
        <v>0.99333333333333296</v>
      </c>
      <c r="O8006">
        <v>0.99333333333333296</v>
      </c>
      <c r="P8006" t="s">
        <v>7040</v>
      </c>
      <c r="Q8006" t="s">
        <v>7041</v>
      </c>
      <c r="R8006" t="s">
        <v>75</v>
      </c>
      <c r="S8006" t="s">
        <v>76</v>
      </c>
      <c r="T8006" t="s">
        <v>16066</v>
      </c>
      <c r="U8006" t="s">
        <v>16067</v>
      </c>
      <c r="V8006" t="s">
        <v>16068</v>
      </c>
      <c r="W8006" t="s">
        <v>16069</v>
      </c>
      <c r="X8006" t="s">
        <v>16068</v>
      </c>
      <c r="Y8006" t="s">
        <v>619</v>
      </c>
      <c r="Z8006" t="s">
        <v>891</v>
      </c>
      <c r="AA8006" t="s">
        <v>892</v>
      </c>
      <c r="AB8006" t="s">
        <v>891</v>
      </c>
      <c r="AC8006" t="s">
        <v>893</v>
      </c>
      <c r="AD8006" t="s">
        <v>219</v>
      </c>
      <c r="AE8006" t="s">
        <v>8437</v>
      </c>
      <c r="AF8006" t="s">
        <v>16070</v>
      </c>
    </row>
    <row r="8007" spans="1:32" hidden="1" x14ac:dyDescent="0.35">
      <c r="A8007">
        <v>8006</v>
      </c>
      <c r="B8007" t="s">
        <v>16065</v>
      </c>
      <c r="C8007" t="s">
        <v>68</v>
      </c>
      <c r="D8007" t="s">
        <v>45</v>
      </c>
      <c r="E8007">
        <v>1601</v>
      </c>
      <c r="F8007">
        <v>2</v>
      </c>
      <c r="G8007">
        <v>2</v>
      </c>
      <c r="H8007">
        <v>1</v>
      </c>
      <c r="I8007">
        <v>0</v>
      </c>
      <c r="J8007">
        <v>0.99555555555555597</v>
      </c>
      <c r="K8007">
        <v>1</v>
      </c>
      <c r="L8007">
        <v>0.99777282850779503</v>
      </c>
      <c r="M8007">
        <v>0.99333333333333296</v>
      </c>
      <c r="N8007">
        <v>0.99333333333333296</v>
      </c>
      <c r="O8007">
        <v>0.99333333333333296</v>
      </c>
      <c r="P8007" t="s">
        <v>7040</v>
      </c>
      <c r="Q8007" t="s">
        <v>7041</v>
      </c>
      <c r="R8007" t="s">
        <v>75</v>
      </c>
      <c r="S8007" t="s">
        <v>76</v>
      </c>
      <c r="T8007" t="s">
        <v>16066</v>
      </c>
      <c r="U8007" t="s">
        <v>16067</v>
      </c>
      <c r="V8007" t="s">
        <v>16068</v>
      </c>
      <c r="W8007" t="s">
        <v>16069</v>
      </c>
      <c r="X8007" t="s">
        <v>16068</v>
      </c>
      <c r="Y8007" t="s">
        <v>619</v>
      </c>
      <c r="Z8007" t="s">
        <v>891</v>
      </c>
      <c r="AA8007" t="s">
        <v>892</v>
      </c>
      <c r="AB8007" t="s">
        <v>891</v>
      </c>
      <c r="AC8007" t="s">
        <v>893</v>
      </c>
      <c r="AD8007" t="s">
        <v>219</v>
      </c>
      <c r="AE8007" t="s">
        <v>8437</v>
      </c>
      <c r="AF8007" t="s">
        <v>16071</v>
      </c>
    </row>
    <row r="8008" spans="1:32" hidden="1" x14ac:dyDescent="0.35">
      <c r="A8008">
        <v>8007</v>
      </c>
      <c r="B8008" t="s">
        <v>16072</v>
      </c>
      <c r="C8008" t="s">
        <v>68</v>
      </c>
      <c r="D8008" t="s">
        <v>58</v>
      </c>
      <c r="E8008">
        <v>479</v>
      </c>
      <c r="F8008">
        <v>2</v>
      </c>
      <c r="G8008">
        <v>2</v>
      </c>
      <c r="H8008">
        <v>1</v>
      </c>
      <c r="I8008">
        <v>0</v>
      </c>
      <c r="J8008">
        <v>0.68945868945868904</v>
      </c>
      <c r="K8008">
        <v>0.96714876033057895</v>
      </c>
      <c r="L8008">
        <v>0.80502972130656503</v>
      </c>
      <c r="M8008">
        <v>0.57851239669421495</v>
      </c>
      <c r="N8008">
        <v>0.57851239669421495</v>
      </c>
      <c r="O8008">
        <v>0.57851239669421495</v>
      </c>
      <c r="AF8008" t="s">
        <v>16074</v>
      </c>
    </row>
    <row r="8009" spans="1:32" hidden="1" x14ac:dyDescent="0.35">
      <c r="A8009">
        <v>8008</v>
      </c>
      <c r="B8009" t="s">
        <v>16072</v>
      </c>
      <c r="C8009" t="s">
        <v>68</v>
      </c>
      <c r="D8009" t="s">
        <v>60</v>
      </c>
      <c r="E8009">
        <v>652</v>
      </c>
      <c r="F8009">
        <v>2</v>
      </c>
      <c r="G8009">
        <v>2</v>
      </c>
      <c r="H8009">
        <v>1</v>
      </c>
      <c r="I8009">
        <v>0</v>
      </c>
      <c r="J8009">
        <v>0.68945868945868904</v>
      </c>
      <c r="K8009">
        <v>0.96714876033057895</v>
      </c>
      <c r="L8009">
        <v>0.80502972130656503</v>
      </c>
      <c r="M8009">
        <v>0.57851239669421495</v>
      </c>
      <c r="N8009">
        <v>0.57851239669421495</v>
      </c>
      <c r="O8009">
        <v>0.57851239669421495</v>
      </c>
      <c r="AF8009" t="e">
        <f>---MTTPVLNPVEVEQRILELSNRIAKGVAVVTDALKARDESARNFDKEYAAAFLGAEGAVKEREMRASLLTMPAREEKELAEAAYRYSDRLAKALELELRALQSVGASVRAMYSVAGRGE</f>
        <v>#NAME?</v>
      </c>
    </row>
    <row r="8010" spans="1:32" hidden="1" x14ac:dyDescent="0.35">
      <c r="A8010">
        <v>8009</v>
      </c>
      <c r="B8010" t="s">
        <v>16075</v>
      </c>
      <c r="C8010" t="s">
        <v>68</v>
      </c>
      <c r="D8010" t="s">
        <v>34</v>
      </c>
      <c r="E8010">
        <v>1448</v>
      </c>
      <c r="F8010">
        <v>2</v>
      </c>
      <c r="G8010">
        <v>2</v>
      </c>
      <c r="H8010">
        <v>1</v>
      </c>
      <c r="I8010">
        <v>0</v>
      </c>
      <c r="J8010">
        <v>0.98791018998272895</v>
      </c>
      <c r="K8010">
        <v>0.70382389826406699</v>
      </c>
      <c r="L8010">
        <v>0.82201429394736503</v>
      </c>
      <c r="M8010">
        <v>0.629139072847682</v>
      </c>
      <c r="N8010">
        <v>0.629139072847682</v>
      </c>
      <c r="O8010">
        <v>0.629139072847682</v>
      </c>
      <c r="AF8010" t="s">
        <v>16076</v>
      </c>
    </row>
    <row r="8011" spans="1:32" hidden="1" x14ac:dyDescent="0.35">
      <c r="A8011">
        <v>8010</v>
      </c>
      <c r="B8011" t="s">
        <v>16075</v>
      </c>
      <c r="C8011" t="s">
        <v>68</v>
      </c>
      <c r="D8011" t="s">
        <v>45</v>
      </c>
      <c r="E8011">
        <v>199</v>
      </c>
      <c r="F8011">
        <v>2</v>
      </c>
      <c r="G8011">
        <v>2</v>
      </c>
      <c r="H8011">
        <v>1</v>
      </c>
      <c r="I8011">
        <v>0</v>
      </c>
      <c r="J8011">
        <v>0.98791018998272895</v>
      </c>
      <c r="K8011">
        <v>0.70382389826406699</v>
      </c>
      <c r="L8011">
        <v>0.82201429394736503</v>
      </c>
      <c r="M8011">
        <v>0.629139072847682</v>
      </c>
      <c r="N8011">
        <v>0.629139072847682</v>
      </c>
      <c r="O8011">
        <v>0.629139072847682</v>
      </c>
      <c r="AF8011" t="e">
        <f>-------------------------------------------------------------------------------------------------------------MQQYSPDYQQPQYQPQYQQAQMTPPQSNNSVHGLLIALLVVMTILLLICVPVVLHLTGVINIPFLGSNTSNSASENQNRVVPDNQGRTTAPTKVNRPTSPALPAGAVPANASAWSNSPGGKFENAYVGSSVTSSEFASEVQKSFLIQYQLSKSTTQTLHVVSPVTGQLYEMNCTDNSQYVTCTGGINAVVYIT</f>
        <v>#NAME?</v>
      </c>
    </row>
    <row r="8012" spans="1:32" hidden="1" x14ac:dyDescent="0.35">
      <c r="A8012">
        <v>8011</v>
      </c>
      <c r="B8012" t="s">
        <v>16077</v>
      </c>
      <c r="C8012" t="s">
        <v>68</v>
      </c>
      <c r="D8012" t="s">
        <v>34</v>
      </c>
      <c r="E8012">
        <v>2017</v>
      </c>
      <c r="F8012">
        <v>2</v>
      </c>
      <c r="G8012">
        <v>2</v>
      </c>
      <c r="H8012">
        <v>1</v>
      </c>
      <c r="I8012">
        <v>0</v>
      </c>
      <c r="J8012">
        <v>0.82807017543859696</v>
      </c>
      <c r="K8012">
        <v>0.99650349650349701</v>
      </c>
      <c r="L8012">
        <v>0.90451247638194998</v>
      </c>
      <c r="M8012">
        <v>0.76923076923076905</v>
      </c>
      <c r="N8012">
        <v>0.76923076923076905</v>
      </c>
      <c r="O8012">
        <v>0.76923076923076905</v>
      </c>
      <c r="AF8012" t="s">
        <v>16078</v>
      </c>
    </row>
    <row r="8013" spans="1:32" hidden="1" x14ac:dyDescent="0.35">
      <c r="A8013">
        <v>8012</v>
      </c>
      <c r="B8013" t="s">
        <v>16077</v>
      </c>
      <c r="C8013" t="s">
        <v>68</v>
      </c>
      <c r="D8013" t="s">
        <v>45</v>
      </c>
      <c r="E8013">
        <v>854</v>
      </c>
      <c r="F8013">
        <v>2</v>
      </c>
      <c r="G8013">
        <v>2</v>
      </c>
      <c r="H8013">
        <v>1</v>
      </c>
      <c r="I8013">
        <v>0</v>
      </c>
      <c r="J8013">
        <v>0.82807017543859696</v>
      </c>
      <c r="K8013">
        <v>0.99650349650349701</v>
      </c>
      <c r="L8013">
        <v>0.90451247638194998</v>
      </c>
      <c r="M8013">
        <v>0.76923076923076905</v>
      </c>
      <c r="N8013">
        <v>0.76923076923076905</v>
      </c>
      <c r="O8013">
        <v>0.76923076923076905</v>
      </c>
      <c r="AF8013" t="s">
        <v>16079</v>
      </c>
    </row>
    <row r="8014" spans="1:32" hidden="1" x14ac:dyDescent="0.35">
      <c r="A8014">
        <v>8013</v>
      </c>
      <c r="B8014" t="s">
        <v>16080</v>
      </c>
      <c r="C8014" t="s">
        <v>68</v>
      </c>
      <c r="D8014" t="s">
        <v>34</v>
      </c>
      <c r="E8014">
        <v>1591</v>
      </c>
      <c r="F8014">
        <v>2</v>
      </c>
      <c r="G8014">
        <v>2</v>
      </c>
      <c r="H8014">
        <v>1</v>
      </c>
      <c r="I8014">
        <v>0</v>
      </c>
      <c r="J8014">
        <v>0.98484848484848497</v>
      </c>
      <c r="K8014">
        <v>1</v>
      </c>
      <c r="L8014">
        <v>0.99236641221374</v>
      </c>
      <c r="M8014">
        <v>0.98347107438016501</v>
      </c>
      <c r="N8014">
        <v>0.98347107438016501</v>
      </c>
      <c r="O8014">
        <v>0.98347107438016501</v>
      </c>
      <c r="P8014" t="s">
        <v>13559</v>
      </c>
      <c r="Q8014" t="s">
        <v>13560</v>
      </c>
      <c r="T8014" t="s">
        <v>13561</v>
      </c>
      <c r="U8014" t="s">
        <v>13562</v>
      </c>
      <c r="AD8014" t="s">
        <v>4789</v>
      </c>
      <c r="AE8014" t="s">
        <v>4790</v>
      </c>
      <c r="AF8014" t="s">
        <v>16081</v>
      </c>
    </row>
    <row r="8015" spans="1:32" hidden="1" x14ac:dyDescent="0.35">
      <c r="A8015">
        <v>8014</v>
      </c>
      <c r="B8015" t="s">
        <v>16080</v>
      </c>
      <c r="C8015" t="s">
        <v>68</v>
      </c>
      <c r="D8015" t="s">
        <v>45</v>
      </c>
      <c r="E8015">
        <v>341</v>
      </c>
      <c r="F8015">
        <v>2</v>
      </c>
      <c r="G8015">
        <v>2</v>
      </c>
      <c r="H8015">
        <v>1</v>
      </c>
      <c r="I8015">
        <v>0</v>
      </c>
      <c r="J8015">
        <v>0.98484848484848497</v>
      </c>
      <c r="K8015">
        <v>1</v>
      </c>
      <c r="L8015">
        <v>0.99236641221374</v>
      </c>
      <c r="M8015">
        <v>0.98347107438016501</v>
      </c>
      <c r="N8015">
        <v>0.98347107438016501</v>
      </c>
      <c r="O8015">
        <v>0.98347107438016501</v>
      </c>
      <c r="P8015" t="s">
        <v>13559</v>
      </c>
      <c r="Q8015" t="s">
        <v>13560</v>
      </c>
      <c r="T8015" t="s">
        <v>13561</v>
      </c>
      <c r="U8015" t="s">
        <v>13562</v>
      </c>
      <c r="AD8015" t="s">
        <v>4789</v>
      </c>
      <c r="AE8015" t="s">
        <v>4790</v>
      </c>
      <c r="AF8015" t="s">
        <v>16082</v>
      </c>
    </row>
    <row r="8016" spans="1:32" hidden="1" x14ac:dyDescent="0.35">
      <c r="A8016">
        <v>8015</v>
      </c>
      <c r="B8016" t="s">
        <v>16083</v>
      </c>
      <c r="C8016" t="s">
        <v>68</v>
      </c>
      <c r="D8016" t="s">
        <v>45</v>
      </c>
      <c r="E8016">
        <v>2274</v>
      </c>
      <c r="F8016">
        <v>1</v>
      </c>
      <c r="G8016">
        <v>2</v>
      </c>
      <c r="H8016">
        <v>2</v>
      </c>
      <c r="I8016">
        <v>0</v>
      </c>
      <c r="J8016">
        <v>0.94881889763779503</v>
      </c>
      <c r="K8016">
        <v>0.88873161053039296</v>
      </c>
      <c r="L8016">
        <v>0.91779283698701897</v>
      </c>
      <c r="M8016">
        <v>0.82291666666666696</v>
      </c>
      <c r="N8016">
        <v>0.82291666666666696</v>
      </c>
      <c r="O8016">
        <v>0.82291666666666696</v>
      </c>
      <c r="AF8016" t="s">
        <v>16084</v>
      </c>
    </row>
    <row r="8017" spans="1:32" hidden="1" x14ac:dyDescent="0.35">
      <c r="A8017">
        <v>8016</v>
      </c>
      <c r="B8017" t="s">
        <v>16083</v>
      </c>
      <c r="C8017" t="s">
        <v>68</v>
      </c>
      <c r="D8017" t="s">
        <v>45</v>
      </c>
      <c r="E8017">
        <v>2271</v>
      </c>
      <c r="F8017">
        <v>1</v>
      </c>
      <c r="G8017">
        <v>2</v>
      </c>
      <c r="H8017">
        <v>2</v>
      </c>
      <c r="I8017">
        <v>0</v>
      </c>
      <c r="J8017">
        <v>0.94881889763779503</v>
      </c>
      <c r="K8017">
        <v>0.88873161053039296</v>
      </c>
      <c r="L8017">
        <v>0.91779283698701897</v>
      </c>
      <c r="M8017">
        <v>0.82291666666666696</v>
      </c>
      <c r="N8017">
        <v>0.82291666666666696</v>
      </c>
      <c r="O8017">
        <v>0.82291666666666696</v>
      </c>
      <c r="AF8017" t="e">
        <f>----------------------------------MQDDLREIVGGNYWHATEALRDGRTDVFLDMLEHMRSHPTMNIIVATTNVDGSDEQAMEKARHQVLSELLIDLTNADKSFRGAIMEQRDNRRKNNSDDAFIRNLRLEEKISPAMAFKLISPQIDRNLWLPDTAAMAYRRTITHPYNETSQWFGDYLQKFSHVTVLNENTNPDPRVLPIMSERMKKIQNDPQAPERYNQAPEAKGPLGFLMQQQAKMPLAQLIEQQLNRATPDNAQSETSSNNELGNTDHQSPTL</f>
        <v>#NAME?</v>
      </c>
    </row>
    <row r="8018" spans="1:32" hidden="1" x14ac:dyDescent="0.35">
      <c r="A8018">
        <v>8017</v>
      </c>
      <c r="B8018" t="s">
        <v>16085</v>
      </c>
      <c r="C8018" t="s">
        <v>68</v>
      </c>
      <c r="D8018" t="s">
        <v>60</v>
      </c>
      <c r="E8018">
        <v>608</v>
      </c>
      <c r="F8018">
        <v>2</v>
      </c>
      <c r="G8018">
        <v>2</v>
      </c>
      <c r="H8018">
        <v>1</v>
      </c>
      <c r="I8018">
        <v>0</v>
      </c>
      <c r="J8018">
        <v>0.99114538703227695</v>
      </c>
      <c r="K8018">
        <v>1</v>
      </c>
      <c r="L8018">
        <v>0.99555300530770297</v>
      </c>
      <c r="M8018">
        <v>0.99057412167951997</v>
      </c>
      <c r="N8018">
        <v>0.99057412167951997</v>
      </c>
      <c r="O8018">
        <v>0.99057412167951997</v>
      </c>
      <c r="P8018" t="s">
        <v>381</v>
      </c>
      <c r="Q8018" t="s">
        <v>382</v>
      </c>
      <c r="R8018" t="s">
        <v>4098</v>
      </c>
      <c r="S8018" t="s">
        <v>4099</v>
      </c>
      <c r="T8018" t="s">
        <v>4100</v>
      </c>
      <c r="U8018" t="s">
        <v>4101</v>
      </c>
      <c r="V8018" t="s">
        <v>16086</v>
      </c>
      <c r="W8018" t="s">
        <v>16087</v>
      </c>
      <c r="AD8018" t="s">
        <v>3017</v>
      </c>
      <c r="AE8018" t="s">
        <v>4104</v>
      </c>
      <c r="AF8018" t="s">
        <v>16088</v>
      </c>
    </row>
    <row r="8019" spans="1:32" hidden="1" x14ac:dyDescent="0.35">
      <c r="A8019">
        <v>8018</v>
      </c>
      <c r="B8019" t="s">
        <v>16085</v>
      </c>
      <c r="C8019" t="s">
        <v>68</v>
      </c>
      <c r="D8019" t="s">
        <v>62</v>
      </c>
      <c r="E8019">
        <v>692</v>
      </c>
      <c r="F8019">
        <v>2</v>
      </c>
      <c r="G8019">
        <v>2</v>
      </c>
      <c r="H8019">
        <v>1</v>
      </c>
      <c r="I8019">
        <v>0</v>
      </c>
      <c r="J8019">
        <v>0.99114538703227695</v>
      </c>
      <c r="K8019">
        <v>1</v>
      </c>
      <c r="L8019">
        <v>0.99555300530770297</v>
      </c>
      <c r="M8019">
        <v>0.99057412167951997</v>
      </c>
      <c r="N8019">
        <v>0.99057412167951997</v>
      </c>
      <c r="O8019">
        <v>0.99057412167951997</v>
      </c>
      <c r="P8019" t="s">
        <v>381</v>
      </c>
      <c r="Q8019" t="s">
        <v>382</v>
      </c>
      <c r="R8019" t="s">
        <v>4098</v>
      </c>
      <c r="S8019" t="s">
        <v>4099</v>
      </c>
      <c r="T8019" t="s">
        <v>4100</v>
      </c>
      <c r="U8019" t="s">
        <v>4101</v>
      </c>
      <c r="V8019" t="s">
        <v>16086</v>
      </c>
      <c r="W8019" t="s">
        <v>16087</v>
      </c>
      <c r="AD8019" t="s">
        <v>3017</v>
      </c>
      <c r="AE8019" t="s">
        <v>4104</v>
      </c>
      <c r="AF8019" t="s">
        <v>16089</v>
      </c>
    </row>
    <row r="8020" spans="1:32" hidden="1" x14ac:dyDescent="0.35">
      <c r="A8020">
        <v>8019</v>
      </c>
      <c r="B8020" t="s">
        <v>16090</v>
      </c>
      <c r="C8020" t="s">
        <v>68</v>
      </c>
      <c r="D8020" t="s">
        <v>34</v>
      </c>
      <c r="E8020">
        <v>1258</v>
      </c>
      <c r="F8020">
        <v>2</v>
      </c>
      <c r="G8020">
        <v>2</v>
      </c>
      <c r="H8020">
        <v>1</v>
      </c>
      <c r="I8020">
        <v>0</v>
      </c>
      <c r="J8020">
        <v>0.91164658634538198</v>
      </c>
      <c r="K8020">
        <v>0.53948130976528497</v>
      </c>
      <c r="L8020">
        <v>0.67784003844572305</v>
      </c>
      <c r="M8020">
        <v>0.36764705882352899</v>
      </c>
      <c r="N8020">
        <v>0.36764705882352899</v>
      </c>
      <c r="O8020">
        <v>0.36764705882352899</v>
      </c>
      <c r="P8020" t="s">
        <v>1452</v>
      </c>
      <c r="Q8020" t="s">
        <v>1453</v>
      </c>
      <c r="R8020" t="s">
        <v>113</v>
      </c>
      <c r="S8020" t="s">
        <v>114</v>
      </c>
      <c r="T8020" t="s">
        <v>1454</v>
      </c>
      <c r="U8020" t="s">
        <v>1455</v>
      </c>
      <c r="V8020" t="s">
        <v>807</v>
      </c>
      <c r="W8020" t="s">
        <v>808</v>
      </c>
      <c r="X8020" t="s">
        <v>807</v>
      </c>
      <c r="Y8020" t="s">
        <v>119</v>
      </c>
      <c r="AD8020" t="s">
        <v>125</v>
      </c>
      <c r="AE8020" t="s">
        <v>126</v>
      </c>
      <c r="AF8020" t="e">
        <f>-----------------MDLSSEELLVQVATGDKRAFGELYDRLASRVMGICMQVLRNRAIAEEITQEVFVEIWRTAPMFSPERGSAQGWVLRLARSRAIDKLRSRMAALARDERTTMLEQLTRYIDVEEDAITSVEGEHLRAAVNDIGEPHRTAIMLTYFGGLTQQQLADHLGIPLGTAKTRVRDGLKKLKSALHVTNKKEAR</f>
        <v>#NAME?</v>
      </c>
    </row>
    <row r="8021" spans="1:32" hidden="1" x14ac:dyDescent="0.35">
      <c r="A8021">
        <v>8020</v>
      </c>
      <c r="B8021" t="s">
        <v>16090</v>
      </c>
      <c r="C8021" t="s">
        <v>68</v>
      </c>
      <c r="D8021" t="s">
        <v>45</v>
      </c>
      <c r="E8021">
        <v>2499</v>
      </c>
      <c r="F8021">
        <v>2</v>
      </c>
      <c r="G8021">
        <v>2</v>
      </c>
      <c r="H8021">
        <v>1</v>
      </c>
      <c r="I8021">
        <v>0</v>
      </c>
      <c r="J8021">
        <v>0.91164658634538198</v>
      </c>
      <c r="K8021">
        <v>0.53948130976528497</v>
      </c>
      <c r="L8021">
        <v>0.67784003844572305</v>
      </c>
      <c r="M8021">
        <v>0.36764705882352899</v>
      </c>
      <c r="N8021">
        <v>0.36764705882352899</v>
      </c>
      <c r="O8021">
        <v>0.36764705882352899</v>
      </c>
      <c r="P8021" t="s">
        <v>1452</v>
      </c>
      <c r="Q8021" t="s">
        <v>1453</v>
      </c>
      <c r="R8021" t="s">
        <v>113</v>
      </c>
      <c r="S8021" t="s">
        <v>114</v>
      </c>
      <c r="V8021" t="s">
        <v>807</v>
      </c>
      <c r="W8021" t="s">
        <v>808</v>
      </c>
      <c r="X8021" t="s">
        <v>807</v>
      </c>
      <c r="Y8021" t="s">
        <v>119</v>
      </c>
      <c r="AF8021" t="s">
        <v>16091</v>
      </c>
    </row>
    <row r="8022" spans="1:32" hidden="1" x14ac:dyDescent="0.35">
      <c r="A8022">
        <v>8021</v>
      </c>
      <c r="B8022" t="s">
        <v>16092</v>
      </c>
      <c r="C8022" t="s">
        <v>68</v>
      </c>
      <c r="D8022" t="s">
        <v>34</v>
      </c>
      <c r="E8022">
        <v>405</v>
      </c>
      <c r="F8022">
        <v>2</v>
      </c>
      <c r="G8022">
        <v>2</v>
      </c>
      <c r="H8022">
        <v>1</v>
      </c>
      <c r="I8022">
        <v>0</v>
      </c>
      <c r="J8022">
        <v>0.98232323232323204</v>
      </c>
      <c r="K8022">
        <v>0.98036999729749497</v>
      </c>
      <c r="L8022">
        <v>0.98134564289916304</v>
      </c>
      <c r="M8022">
        <v>0.96287128712871295</v>
      </c>
      <c r="N8022">
        <v>0.96287128712871295</v>
      </c>
      <c r="O8022">
        <v>0.96287128712871295</v>
      </c>
      <c r="AF8022" t="s">
        <v>16093</v>
      </c>
    </row>
    <row r="8023" spans="1:32" hidden="1" x14ac:dyDescent="0.35">
      <c r="A8023">
        <v>8022</v>
      </c>
      <c r="B8023" t="s">
        <v>16092</v>
      </c>
      <c r="C8023" t="s">
        <v>68</v>
      </c>
      <c r="D8023" t="s">
        <v>45</v>
      </c>
      <c r="E8023">
        <v>1666</v>
      </c>
      <c r="F8023">
        <v>2</v>
      </c>
      <c r="G8023">
        <v>2</v>
      </c>
      <c r="H8023">
        <v>1</v>
      </c>
      <c r="I8023">
        <v>0</v>
      </c>
      <c r="J8023">
        <v>0.98232323232323204</v>
      </c>
      <c r="K8023">
        <v>0.98036999729749497</v>
      </c>
      <c r="L8023">
        <v>0.98134564289916304</v>
      </c>
      <c r="M8023">
        <v>0.96287128712871295</v>
      </c>
      <c r="N8023">
        <v>0.96287128712871295</v>
      </c>
      <c r="O8023">
        <v>0.96287128712871295</v>
      </c>
      <c r="AF8023" t="s">
        <v>16094</v>
      </c>
    </row>
    <row r="8024" spans="1:32" hidden="1" x14ac:dyDescent="0.35">
      <c r="A8024">
        <v>8023</v>
      </c>
      <c r="B8024" t="s">
        <v>16095</v>
      </c>
      <c r="C8024" t="s">
        <v>68</v>
      </c>
      <c r="D8024" t="s">
        <v>60</v>
      </c>
      <c r="E8024">
        <v>2455</v>
      </c>
      <c r="F8024">
        <v>2</v>
      </c>
      <c r="G8024">
        <v>2</v>
      </c>
      <c r="H8024">
        <v>1</v>
      </c>
      <c r="I8024">
        <v>0</v>
      </c>
      <c r="J8024">
        <v>0.99605522682445802</v>
      </c>
      <c r="K8024">
        <v>1</v>
      </c>
      <c r="L8024">
        <v>0.99802371541502</v>
      </c>
      <c r="M8024">
        <v>0.99605522682445802</v>
      </c>
      <c r="N8024">
        <v>0.99605522682445802</v>
      </c>
      <c r="O8024">
        <v>0.99605522682445802</v>
      </c>
      <c r="P8024" t="s">
        <v>16096</v>
      </c>
      <c r="Q8024" t="s">
        <v>16097</v>
      </c>
      <c r="R8024" t="s">
        <v>288</v>
      </c>
      <c r="S8024" t="s">
        <v>289</v>
      </c>
      <c r="V8024" t="s">
        <v>16098</v>
      </c>
      <c r="W8024" t="s">
        <v>16099</v>
      </c>
      <c r="AF8024" t="s">
        <v>16100</v>
      </c>
    </row>
    <row r="8025" spans="1:32" hidden="1" x14ac:dyDescent="0.35">
      <c r="A8025">
        <v>8024</v>
      </c>
      <c r="B8025" t="s">
        <v>16095</v>
      </c>
      <c r="C8025" t="s">
        <v>68</v>
      </c>
      <c r="D8025" t="s">
        <v>62</v>
      </c>
      <c r="E8025">
        <v>2481</v>
      </c>
      <c r="F8025">
        <v>2</v>
      </c>
      <c r="G8025">
        <v>2</v>
      </c>
      <c r="H8025">
        <v>1</v>
      </c>
      <c r="I8025">
        <v>0</v>
      </c>
      <c r="J8025">
        <v>0.99605522682445802</v>
      </c>
      <c r="K8025">
        <v>1</v>
      </c>
      <c r="L8025">
        <v>0.99802371541502</v>
      </c>
      <c r="M8025">
        <v>0.99605522682445802</v>
      </c>
      <c r="N8025">
        <v>0.99605522682445802</v>
      </c>
      <c r="O8025">
        <v>0.99605522682445802</v>
      </c>
      <c r="P8025" t="s">
        <v>16096</v>
      </c>
      <c r="Q8025" t="s">
        <v>16097</v>
      </c>
      <c r="R8025" t="s">
        <v>288</v>
      </c>
      <c r="S8025" t="s">
        <v>289</v>
      </c>
      <c r="V8025" t="s">
        <v>16098</v>
      </c>
      <c r="W8025" t="s">
        <v>16099</v>
      </c>
      <c r="AF8025" t="s">
        <v>16101</v>
      </c>
    </row>
    <row r="8026" spans="1:32" hidden="1" x14ac:dyDescent="0.35">
      <c r="A8026">
        <v>8025</v>
      </c>
      <c r="B8026" t="s">
        <v>16102</v>
      </c>
      <c r="C8026" t="s">
        <v>68</v>
      </c>
      <c r="D8026" t="s">
        <v>60</v>
      </c>
      <c r="E8026">
        <v>1261</v>
      </c>
      <c r="F8026">
        <v>2</v>
      </c>
      <c r="G8026">
        <v>2</v>
      </c>
      <c r="H8026">
        <v>1</v>
      </c>
      <c r="I8026">
        <v>0</v>
      </c>
      <c r="J8026">
        <v>0.99535962877030204</v>
      </c>
      <c r="K8026">
        <v>0.94858885607783905</v>
      </c>
      <c r="L8026">
        <v>0.97141159758155005</v>
      </c>
      <c r="M8026">
        <v>0.94285714285714295</v>
      </c>
      <c r="N8026">
        <v>0.94285714285714295</v>
      </c>
      <c r="O8026">
        <v>0.94285714285714295</v>
      </c>
      <c r="P8026" t="s">
        <v>5019</v>
      </c>
      <c r="Q8026" t="s">
        <v>5020</v>
      </c>
      <c r="R8026" t="s">
        <v>75</v>
      </c>
      <c r="S8026" t="s">
        <v>76</v>
      </c>
      <c r="V8026" t="s">
        <v>11511</v>
      </c>
      <c r="W8026" t="s">
        <v>11512</v>
      </c>
      <c r="X8026" t="s">
        <v>11511</v>
      </c>
      <c r="Y8026" t="s">
        <v>2750</v>
      </c>
      <c r="AF8026" t="s">
        <v>16103</v>
      </c>
    </row>
    <row r="8027" spans="1:32" hidden="1" x14ac:dyDescent="0.35">
      <c r="A8027">
        <v>8026</v>
      </c>
      <c r="B8027" t="s">
        <v>16102</v>
      </c>
      <c r="C8027" t="s">
        <v>68</v>
      </c>
      <c r="D8027" t="s">
        <v>62</v>
      </c>
      <c r="E8027">
        <v>1298</v>
      </c>
      <c r="F8027">
        <v>2</v>
      </c>
      <c r="G8027">
        <v>2</v>
      </c>
      <c r="H8027">
        <v>1</v>
      </c>
      <c r="I8027">
        <v>0</v>
      </c>
      <c r="J8027">
        <v>0.99535962877030204</v>
      </c>
      <c r="K8027">
        <v>0.94858885607783905</v>
      </c>
      <c r="L8027">
        <v>0.97141159758155005</v>
      </c>
      <c r="M8027">
        <v>0.94285714285714295</v>
      </c>
      <c r="N8027">
        <v>0.94285714285714295</v>
      </c>
      <c r="O8027">
        <v>0.94285714285714295</v>
      </c>
      <c r="P8027" t="s">
        <v>5019</v>
      </c>
      <c r="Q8027" t="s">
        <v>5020</v>
      </c>
      <c r="R8027" t="s">
        <v>75</v>
      </c>
      <c r="S8027" t="s">
        <v>76</v>
      </c>
      <c r="V8027" t="s">
        <v>11511</v>
      </c>
      <c r="W8027" t="s">
        <v>11512</v>
      </c>
      <c r="X8027" t="s">
        <v>11511</v>
      </c>
      <c r="Y8027" t="s">
        <v>2750</v>
      </c>
      <c r="AF8027" t="s">
        <v>16104</v>
      </c>
    </row>
    <row r="8028" spans="1:32" hidden="1" x14ac:dyDescent="0.35">
      <c r="A8028">
        <v>8027</v>
      </c>
      <c r="B8028" t="s">
        <v>16105</v>
      </c>
      <c r="C8028" t="s">
        <v>68</v>
      </c>
      <c r="D8028" t="s">
        <v>60</v>
      </c>
      <c r="E8028">
        <v>776</v>
      </c>
      <c r="F8028">
        <v>2</v>
      </c>
      <c r="G8028">
        <v>2</v>
      </c>
      <c r="H8028">
        <v>1</v>
      </c>
      <c r="I8028">
        <v>0</v>
      </c>
      <c r="J8028">
        <v>0.94252873563218398</v>
      </c>
      <c r="K8028">
        <v>1</v>
      </c>
      <c r="L8028">
        <v>0.97041420118343202</v>
      </c>
      <c r="M8028">
        <v>0.931034482758621</v>
      </c>
      <c r="N8028">
        <v>0.931034482758621</v>
      </c>
      <c r="O8028">
        <v>0.931034482758621</v>
      </c>
      <c r="P8028" t="s">
        <v>16106</v>
      </c>
      <c r="Q8028" t="s">
        <v>16107</v>
      </c>
      <c r="R8028" t="s">
        <v>869</v>
      </c>
      <c r="S8028" t="s">
        <v>870</v>
      </c>
      <c r="T8028" t="s">
        <v>16108</v>
      </c>
      <c r="U8028" t="s">
        <v>16109</v>
      </c>
      <c r="V8028" t="s">
        <v>16110</v>
      </c>
      <c r="W8028" t="s">
        <v>16111</v>
      </c>
      <c r="AD8028" t="s">
        <v>219</v>
      </c>
      <c r="AE8028" t="s">
        <v>16112</v>
      </c>
      <c r="AF8028" t="s">
        <v>16113</v>
      </c>
    </row>
    <row r="8029" spans="1:32" hidden="1" x14ac:dyDescent="0.35">
      <c r="A8029">
        <v>8028</v>
      </c>
      <c r="B8029" t="s">
        <v>16105</v>
      </c>
      <c r="C8029" t="s">
        <v>68</v>
      </c>
      <c r="D8029" t="s">
        <v>62</v>
      </c>
      <c r="E8029">
        <v>809</v>
      </c>
      <c r="F8029">
        <v>2</v>
      </c>
      <c r="G8029">
        <v>2</v>
      </c>
      <c r="H8029">
        <v>1</v>
      </c>
      <c r="I8029">
        <v>0</v>
      </c>
      <c r="J8029">
        <v>0.94252873563218398</v>
      </c>
      <c r="K8029">
        <v>1</v>
      </c>
      <c r="L8029">
        <v>0.97041420118343202</v>
      </c>
      <c r="M8029">
        <v>0.931034482758621</v>
      </c>
      <c r="N8029">
        <v>0.931034482758621</v>
      </c>
      <c r="O8029">
        <v>0.931034482758621</v>
      </c>
      <c r="P8029" t="s">
        <v>16106</v>
      </c>
      <c r="Q8029" t="s">
        <v>16107</v>
      </c>
      <c r="R8029" t="s">
        <v>869</v>
      </c>
      <c r="S8029" t="s">
        <v>870</v>
      </c>
      <c r="T8029" t="s">
        <v>16108</v>
      </c>
      <c r="U8029" t="s">
        <v>16109</v>
      </c>
      <c r="V8029" t="s">
        <v>16110</v>
      </c>
      <c r="W8029" t="s">
        <v>16111</v>
      </c>
      <c r="AD8029" t="s">
        <v>219</v>
      </c>
      <c r="AE8029" t="s">
        <v>16112</v>
      </c>
      <c r="AF8029" t="s">
        <v>16114</v>
      </c>
    </row>
    <row r="8030" spans="1:32" hidden="1" x14ac:dyDescent="0.35">
      <c r="A8030">
        <v>8029</v>
      </c>
      <c r="B8030" t="s">
        <v>16115</v>
      </c>
      <c r="C8030" t="s">
        <v>68</v>
      </c>
      <c r="D8030" t="s">
        <v>34</v>
      </c>
      <c r="E8030">
        <v>1932</v>
      </c>
      <c r="F8030">
        <v>2</v>
      </c>
      <c r="G8030">
        <v>2</v>
      </c>
      <c r="H8030">
        <v>1</v>
      </c>
      <c r="I8030">
        <v>0</v>
      </c>
      <c r="J8030">
        <v>0.99374021909233201</v>
      </c>
      <c r="K8030">
        <v>1</v>
      </c>
      <c r="L8030">
        <v>0.99686028257456805</v>
      </c>
      <c r="M8030">
        <v>0.99061032863849796</v>
      </c>
      <c r="N8030">
        <v>0.99061032863849796</v>
      </c>
      <c r="O8030">
        <v>0.99061032863849796</v>
      </c>
      <c r="P8030" t="s">
        <v>12598</v>
      </c>
      <c r="Q8030" t="s">
        <v>12599</v>
      </c>
      <c r="R8030" t="s">
        <v>869</v>
      </c>
      <c r="S8030" t="s">
        <v>870</v>
      </c>
      <c r="T8030" t="s">
        <v>12600</v>
      </c>
      <c r="U8030" t="s">
        <v>12601</v>
      </c>
      <c r="V8030" t="s">
        <v>12602</v>
      </c>
      <c r="W8030" t="s">
        <v>12603</v>
      </c>
      <c r="AD8030" t="s">
        <v>12295</v>
      </c>
      <c r="AE8030" t="s">
        <v>12604</v>
      </c>
      <c r="AF8030" t="s">
        <v>16116</v>
      </c>
    </row>
    <row r="8031" spans="1:32" hidden="1" x14ac:dyDescent="0.35">
      <c r="A8031">
        <v>8030</v>
      </c>
      <c r="B8031" t="s">
        <v>16115</v>
      </c>
      <c r="C8031" t="s">
        <v>68</v>
      </c>
      <c r="D8031" t="s">
        <v>45</v>
      </c>
      <c r="E8031">
        <v>941</v>
      </c>
      <c r="F8031">
        <v>2</v>
      </c>
      <c r="G8031">
        <v>2</v>
      </c>
      <c r="H8031">
        <v>1</v>
      </c>
      <c r="I8031">
        <v>0</v>
      </c>
      <c r="J8031">
        <v>0.99374021909233201</v>
      </c>
      <c r="K8031">
        <v>1</v>
      </c>
      <c r="L8031">
        <v>0.99686028257456805</v>
      </c>
      <c r="M8031">
        <v>0.99061032863849796</v>
      </c>
      <c r="N8031">
        <v>0.99061032863849796</v>
      </c>
      <c r="O8031">
        <v>0.99061032863849796</v>
      </c>
      <c r="P8031" t="s">
        <v>12598</v>
      </c>
      <c r="Q8031" t="s">
        <v>12599</v>
      </c>
      <c r="R8031" t="s">
        <v>869</v>
      </c>
      <c r="S8031" t="s">
        <v>870</v>
      </c>
      <c r="T8031" t="s">
        <v>12600</v>
      </c>
      <c r="U8031" t="s">
        <v>12601</v>
      </c>
      <c r="V8031" t="s">
        <v>12602</v>
      </c>
      <c r="W8031" t="s">
        <v>12603</v>
      </c>
      <c r="AD8031" t="s">
        <v>12295</v>
      </c>
      <c r="AE8031" t="s">
        <v>12604</v>
      </c>
      <c r="AF8031" t="s">
        <v>16117</v>
      </c>
    </row>
    <row r="8032" spans="1:32" hidden="1" x14ac:dyDescent="0.35">
      <c r="A8032">
        <v>8031</v>
      </c>
      <c r="B8032" t="s">
        <v>16118</v>
      </c>
      <c r="C8032" t="s">
        <v>68</v>
      </c>
      <c r="D8032" t="s">
        <v>34</v>
      </c>
      <c r="E8032">
        <v>377</v>
      </c>
      <c r="F8032">
        <v>2</v>
      </c>
      <c r="G8032">
        <v>2</v>
      </c>
      <c r="H8032">
        <v>1</v>
      </c>
      <c r="I8032">
        <v>0</v>
      </c>
      <c r="J8032">
        <v>0.995820271682341</v>
      </c>
      <c r="K8032">
        <v>1</v>
      </c>
      <c r="L8032">
        <v>0.99790575916230395</v>
      </c>
      <c r="M8032">
        <v>0.99373040752351105</v>
      </c>
      <c r="N8032">
        <v>0.99373040752351105</v>
      </c>
      <c r="O8032">
        <v>0.99373040752351105</v>
      </c>
      <c r="P8032" t="s">
        <v>10830</v>
      </c>
      <c r="Q8032" t="s">
        <v>10831</v>
      </c>
      <c r="R8032" t="s">
        <v>96</v>
      </c>
      <c r="S8032" t="s">
        <v>97</v>
      </c>
      <c r="T8032" t="s">
        <v>10832</v>
      </c>
      <c r="U8032" t="s">
        <v>10833</v>
      </c>
      <c r="V8032" t="s">
        <v>10834</v>
      </c>
      <c r="W8032" t="s">
        <v>10835</v>
      </c>
      <c r="AD8032" t="s">
        <v>7708</v>
      </c>
      <c r="AE8032" t="s">
        <v>10836</v>
      </c>
      <c r="AF8032" t="s">
        <v>16119</v>
      </c>
    </row>
    <row r="8033" spans="1:32" hidden="1" x14ac:dyDescent="0.35">
      <c r="A8033">
        <v>8032</v>
      </c>
      <c r="B8033" t="s">
        <v>16118</v>
      </c>
      <c r="C8033" t="s">
        <v>68</v>
      </c>
      <c r="D8033" t="s">
        <v>45</v>
      </c>
      <c r="E8033">
        <v>1639</v>
      </c>
      <c r="F8033">
        <v>2</v>
      </c>
      <c r="G8033">
        <v>2</v>
      </c>
      <c r="H8033">
        <v>1</v>
      </c>
      <c r="I8033">
        <v>0</v>
      </c>
      <c r="J8033">
        <v>0.995820271682341</v>
      </c>
      <c r="K8033">
        <v>1</v>
      </c>
      <c r="L8033">
        <v>0.99790575916230395</v>
      </c>
      <c r="M8033">
        <v>0.99373040752351105</v>
      </c>
      <c r="N8033">
        <v>0.99373040752351105</v>
      </c>
      <c r="O8033">
        <v>0.99373040752351105</v>
      </c>
      <c r="P8033" t="s">
        <v>10830</v>
      </c>
      <c r="Q8033" t="s">
        <v>10831</v>
      </c>
      <c r="R8033" t="s">
        <v>96</v>
      </c>
      <c r="S8033" t="s">
        <v>97</v>
      </c>
      <c r="T8033" t="s">
        <v>10832</v>
      </c>
      <c r="U8033" t="s">
        <v>10833</v>
      </c>
      <c r="V8033" t="s">
        <v>10834</v>
      </c>
      <c r="W8033" t="s">
        <v>10835</v>
      </c>
      <c r="AD8033" t="s">
        <v>7708</v>
      </c>
      <c r="AE8033" t="s">
        <v>10836</v>
      </c>
      <c r="AF8033" t="s">
        <v>16120</v>
      </c>
    </row>
    <row r="8034" spans="1:32" hidden="1" x14ac:dyDescent="0.35">
      <c r="A8034">
        <v>8033</v>
      </c>
      <c r="B8034" t="s">
        <v>16121</v>
      </c>
      <c r="C8034" t="s">
        <v>68</v>
      </c>
      <c r="D8034" t="s">
        <v>60</v>
      </c>
      <c r="E8034">
        <v>1815</v>
      </c>
      <c r="F8034">
        <v>2</v>
      </c>
      <c r="G8034">
        <v>2</v>
      </c>
      <c r="H8034">
        <v>1</v>
      </c>
      <c r="I8034">
        <v>0</v>
      </c>
      <c r="J8034">
        <v>0.99640287769784197</v>
      </c>
      <c r="K8034">
        <v>1</v>
      </c>
      <c r="L8034">
        <v>0.99819819819819799</v>
      </c>
      <c r="M8034">
        <v>0.99640287769784197</v>
      </c>
      <c r="N8034">
        <v>0.99640287769784197</v>
      </c>
      <c r="O8034">
        <v>0.99640287769784197</v>
      </c>
      <c r="P8034" t="s">
        <v>16122</v>
      </c>
      <c r="Q8034" t="s">
        <v>16123</v>
      </c>
      <c r="R8034" t="s">
        <v>96</v>
      </c>
      <c r="S8034" t="s">
        <v>97</v>
      </c>
      <c r="T8034" t="s">
        <v>16124</v>
      </c>
      <c r="U8034" t="s">
        <v>15581</v>
      </c>
      <c r="V8034" t="s">
        <v>16125</v>
      </c>
      <c r="W8034" t="s">
        <v>16126</v>
      </c>
      <c r="AD8034" t="s">
        <v>410</v>
      </c>
      <c r="AE8034" t="s">
        <v>1637</v>
      </c>
      <c r="AF8034" t="s">
        <v>16127</v>
      </c>
    </row>
    <row r="8035" spans="1:32" hidden="1" x14ac:dyDescent="0.35">
      <c r="A8035">
        <v>8034</v>
      </c>
      <c r="B8035" t="s">
        <v>16121</v>
      </c>
      <c r="C8035" t="s">
        <v>68</v>
      </c>
      <c r="D8035" t="s">
        <v>62</v>
      </c>
      <c r="E8035">
        <v>1853</v>
      </c>
      <c r="F8035">
        <v>2</v>
      </c>
      <c r="G8035">
        <v>2</v>
      </c>
      <c r="H8035">
        <v>1</v>
      </c>
      <c r="I8035">
        <v>0</v>
      </c>
      <c r="J8035">
        <v>0.99640287769784197</v>
      </c>
      <c r="K8035">
        <v>1</v>
      </c>
      <c r="L8035">
        <v>0.99819819819819799</v>
      </c>
      <c r="M8035">
        <v>0.99640287769784197</v>
      </c>
      <c r="N8035">
        <v>0.99640287769784197</v>
      </c>
      <c r="O8035">
        <v>0.99640287769784197</v>
      </c>
      <c r="P8035" t="s">
        <v>16122</v>
      </c>
      <c r="Q8035" t="s">
        <v>16123</v>
      </c>
      <c r="R8035" t="s">
        <v>96</v>
      </c>
      <c r="S8035" t="s">
        <v>97</v>
      </c>
      <c r="T8035" t="s">
        <v>16124</v>
      </c>
      <c r="U8035" t="s">
        <v>15581</v>
      </c>
      <c r="V8035" t="s">
        <v>16125</v>
      </c>
      <c r="W8035" t="s">
        <v>16126</v>
      </c>
      <c r="AD8035" t="s">
        <v>410</v>
      </c>
      <c r="AE8035" t="s">
        <v>1637</v>
      </c>
      <c r="AF8035" t="s">
        <v>16128</v>
      </c>
    </row>
    <row r="8036" spans="1:32" hidden="1" x14ac:dyDescent="0.35">
      <c r="A8036">
        <v>8035</v>
      </c>
      <c r="B8036" t="s">
        <v>16129</v>
      </c>
      <c r="C8036" t="s">
        <v>68</v>
      </c>
      <c r="D8036" t="s">
        <v>34</v>
      </c>
      <c r="E8036">
        <v>1102</v>
      </c>
      <c r="F8036">
        <v>2</v>
      </c>
      <c r="G8036">
        <v>2</v>
      </c>
      <c r="H8036">
        <v>1</v>
      </c>
      <c r="I8036">
        <v>0</v>
      </c>
      <c r="J8036">
        <v>0.982704402515723</v>
      </c>
      <c r="K8036">
        <v>1</v>
      </c>
      <c r="L8036">
        <v>0.99127676447264101</v>
      </c>
      <c r="M8036">
        <v>0.97641509433962304</v>
      </c>
      <c r="N8036">
        <v>0.97641509433962304</v>
      </c>
      <c r="O8036">
        <v>0.97641509433962304</v>
      </c>
      <c r="P8036" t="s">
        <v>1452</v>
      </c>
      <c r="Q8036" t="s">
        <v>1453</v>
      </c>
      <c r="R8036" t="s">
        <v>113</v>
      </c>
      <c r="S8036" t="s">
        <v>114</v>
      </c>
      <c r="T8036" t="s">
        <v>1454</v>
      </c>
      <c r="U8036" t="s">
        <v>1455</v>
      </c>
      <c r="V8036" t="s">
        <v>807</v>
      </c>
      <c r="W8036" t="s">
        <v>808</v>
      </c>
      <c r="X8036" t="s">
        <v>807</v>
      </c>
      <c r="Y8036" t="s">
        <v>119</v>
      </c>
      <c r="AD8036" t="s">
        <v>125</v>
      </c>
      <c r="AE8036" t="s">
        <v>126</v>
      </c>
      <c r="AF8036" t="s">
        <v>16130</v>
      </c>
    </row>
    <row r="8037" spans="1:32" hidden="1" x14ac:dyDescent="0.35">
      <c r="A8037">
        <v>8036</v>
      </c>
      <c r="B8037" t="s">
        <v>16129</v>
      </c>
      <c r="C8037" t="s">
        <v>68</v>
      </c>
      <c r="D8037" t="s">
        <v>45</v>
      </c>
      <c r="E8037">
        <v>2356</v>
      </c>
      <c r="F8037">
        <v>2</v>
      </c>
      <c r="G8037">
        <v>2</v>
      </c>
      <c r="H8037">
        <v>1</v>
      </c>
      <c r="I8037">
        <v>0</v>
      </c>
      <c r="J8037">
        <v>0.982704402515723</v>
      </c>
      <c r="K8037">
        <v>1</v>
      </c>
      <c r="L8037">
        <v>0.99127676447264101</v>
      </c>
      <c r="M8037">
        <v>0.97641509433962304</v>
      </c>
      <c r="N8037">
        <v>0.97641509433962304</v>
      </c>
      <c r="O8037">
        <v>0.97641509433962304</v>
      </c>
      <c r="P8037" t="s">
        <v>1452</v>
      </c>
      <c r="Q8037" t="s">
        <v>1453</v>
      </c>
      <c r="R8037" t="s">
        <v>113</v>
      </c>
      <c r="S8037" t="s">
        <v>114</v>
      </c>
      <c r="T8037" t="s">
        <v>1454</v>
      </c>
      <c r="U8037" t="s">
        <v>1455</v>
      </c>
      <c r="V8037" t="s">
        <v>807</v>
      </c>
      <c r="W8037" t="s">
        <v>808</v>
      </c>
      <c r="X8037" t="s">
        <v>807</v>
      </c>
      <c r="Y8037" t="s">
        <v>119</v>
      </c>
      <c r="AD8037" t="s">
        <v>125</v>
      </c>
      <c r="AE8037" t="s">
        <v>126</v>
      </c>
      <c r="AF8037" t="s">
        <v>16131</v>
      </c>
    </row>
    <row r="8038" spans="1:32" hidden="1" x14ac:dyDescent="0.35">
      <c r="A8038">
        <v>8037</v>
      </c>
      <c r="B8038" t="s">
        <v>16132</v>
      </c>
      <c r="C8038" t="s">
        <v>68</v>
      </c>
      <c r="D8038" t="s">
        <v>34</v>
      </c>
      <c r="E8038">
        <v>1453</v>
      </c>
      <c r="F8038">
        <v>2</v>
      </c>
      <c r="G8038">
        <v>2</v>
      </c>
      <c r="H8038">
        <v>1</v>
      </c>
      <c r="I8038">
        <v>0</v>
      </c>
      <c r="J8038">
        <v>0.98591549295774605</v>
      </c>
      <c r="K8038">
        <v>1</v>
      </c>
      <c r="L8038">
        <v>0.99290780141844004</v>
      </c>
      <c r="M8038">
        <v>0.98591549295774605</v>
      </c>
      <c r="N8038">
        <v>0.98591549295774605</v>
      </c>
      <c r="O8038">
        <v>0.98591549295774605</v>
      </c>
      <c r="P8038" t="s">
        <v>16133</v>
      </c>
      <c r="Q8038" t="s">
        <v>16134</v>
      </c>
      <c r="AF8038" t="s">
        <v>16135</v>
      </c>
    </row>
    <row r="8039" spans="1:32" hidden="1" x14ac:dyDescent="0.35">
      <c r="A8039">
        <v>8038</v>
      </c>
      <c r="B8039" t="s">
        <v>16132</v>
      </c>
      <c r="C8039" t="s">
        <v>68</v>
      </c>
      <c r="D8039" t="s">
        <v>45</v>
      </c>
      <c r="E8039">
        <v>204</v>
      </c>
      <c r="F8039">
        <v>2</v>
      </c>
      <c r="G8039">
        <v>2</v>
      </c>
      <c r="H8039">
        <v>1</v>
      </c>
      <c r="I8039">
        <v>0</v>
      </c>
      <c r="J8039">
        <v>0.98591549295774605</v>
      </c>
      <c r="K8039">
        <v>1</v>
      </c>
      <c r="L8039">
        <v>0.99290780141844004</v>
      </c>
      <c r="M8039">
        <v>0.98591549295774605</v>
      </c>
      <c r="N8039">
        <v>0.98591549295774605</v>
      </c>
      <c r="O8039">
        <v>0.98591549295774605</v>
      </c>
      <c r="P8039" t="s">
        <v>16133</v>
      </c>
      <c r="Q8039" t="s">
        <v>16134</v>
      </c>
      <c r="AF8039" t="s">
        <v>16136</v>
      </c>
    </row>
    <row r="8040" spans="1:32" hidden="1" x14ac:dyDescent="0.35">
      <c r="A8040">
        <v>8039</v>
      </c>
      <c r="B8040" t="s">
        <v>16137</v>
      </c>
      <c r="C8040" t="s">
        <v>68</v>
      </c>
      <c r="D8040" t="s">
        <v>34</v>
      </c>
      <c r="E8040">
        <v>1983</v>
      </c>
      <c r="F8040">
        <v>2</v>
      </c>
      <c r="G8040">
        <v>2</v>
      </c>
      <c r="H8040">
        <v>1</v>
      </c>
      <c r="I8040">
        <v>0</v>
      </c>
      <c r="J8040">
        <v>0.98542805100182196</v>
      </c>
      <c r="K8040">
        <v>1</v>
      </c>
      <c r="L8040">
        <v>0.99266055045871604</v>
      </c>
      <c r="M8040">
        <v>0.97814207650273199</v>
      </c>
      <c r="N8040">
        <v>0.97814207650273199</v>
      </c>
      <c r="O8040">
        <v>0.97814207650273199</v>
      </c>
      <c r="AF8040" t="s">
        <v>16138</v>
      </c>
    </row>
    <row r="8041" spans="1:32" hidden="1" x14ac:dyDescent="0.35">
      <c r="A8041">
        <v>8040</v>
      </c>
      <c r="B8041" t="s">
        <v>16137</v>
      </c>
      <c r="C8041" t="s">
        <v>68</v>
      </c>
      <c r="D8041" t="s">
        <v>45</v>
      </c>
      <c r="E8041">
        <v>890</v>
      </c>
      <c r="F8041">
        <v>2</v>
      </c>
      <c r="G8041">
        <v>2</v>
      </c>
      <c r="H8041">
        <v>1</v>
      </c>
      <c r="I8041">
        <v>0</v>
      </c>
      <c r="J8041">
        <v>0.98542805100182196</v>
      </c>
      <c r="K8041">
        <v>1</v>
      </c>
      <c r="L8041">
        <v>0.99266055045871604</v>
      </c>
      <c r="M8041">
        <v>0.97814207650273199</v>
      </c>
      <c r="N8041">
        <v>0.97814207650273199</v>
      </c>
      <c r="O8041">
        <v>0.97814207650273199</v>
      </c>
      <c r="AF8041" t="s">
        <v>16139</v>
      </c>
    </row>
    <row r="8042" spans="1:32" hidden="1" x14ac:dyDescent="0.35">
      <c r="A8042">
        <v>8041</v>
      </c>
      <c r="B8042" t="s">
        <v>16140</v>
      </c>
      <c r="C8042" t="s">
        <v>68</v>
      </c>
      <c r="D8042" t="s">
        <v>34</v>
      </c>
      <c r="E8042">
        <v>1359</v>
      </c>
      <c r="F8042">
        <v>2</v>
      </c>
      <c r="G8042">
        <v>2</v>
      </c>
      <c r="H8042">
        <v>1</v>
      </c>
      <c r="I8042">
        <v>0</v>
      </c>
      <c r="J8042">
        <v>0.98876404494381998</v>
      </c>
      <c r="K8042">
        <v>1</v>
      </c>
      <c r="L8042">
        <v>0.99435028248587598</v>
      </c>
      <c r="M8042">
        <v>0.98876404494381998</v>
      </c>
      <c r="N8042">
        <v>0.98876404494381998</v>
      </c>
      <c r="O8042">
        <v>0.98876404494381998</v>
      </c>
      <c r="P8042" t="s">
        <v>626</v>
      </c>
      <c r="Q8042" t="s">
        <v>627</v>
      </c>
      <c r="AF8042" t="s">
        <v>16141</v>
      </c>
    </row>
    <row r="8043" spans="1:32" hidden="1" x14ac:dyDescent="0.35">
      <c r="A8043">
        <v>8042</v>
      </c>
      <c r="B8043" t="s">
        <v>16140</v>
      </c>
      <c r="C8043" t="s">
        <v>68</v>
      </c>
      <c r="D8043" t="s">
        <v>45</v>
      </c>
      <c r="E8043">
        <v>108</v>
      </c>
      <c r="F8043">
        <v>2</v>
      </c>
      <c r="G8043">
        <v>2</v>
      </c>
      <c r="H8043">
        <v>1</v>
      </c>
      <c r="I8043">
        <v>0</v>
      </c>
      <c r="J8043">
        <v>0.98876404494381998</v>
      </c>
      <c r="K8043">
        <v>1</v>
      </c>
      <c r="L8043">
        <v>0.99435028248587598</v>
      </c>
      <c r="M8043">
        <v>0.98876404494381998</v>
      </c>
      <c r="N8043">
        <v>0.98876404494381998</v>
      </c>
      <c r="O8043">
        <v>0.98876404494381998</v>
      </c>
      <c r="P8043" t="s">
        <v>626</v>
      </c>
      <c r="Q8043" t="s">
        <v>627</v>
      </c>
      <c r="AF8043" t="s">
        <v>16142</v>
      </c>
    </row>
    <row r="8044" spans="1:32" hidden="1" x14ac:dyDescent="0.35">
      <c r="A8044">
        <v>8043</v>
      </c>
      <c r="B8044" t="s">
        <v>16143</v>
      </c>
      <c r="C8044" t="s">
        <v>68</v>
      </c>
      <c r="D8044" t="s">
        <v>34</v>
      </c>
      <c r="E8044">
        <v>1075</v>
      </c>
      <c r="F8044">
        <v>2</v>
      </c>
      <c r="G8044">
        <v>2</v>
      </c>
      <c r="H8044">
        <v>1</v>
      </c>
      <c r="I8044">
        <v>0</v>
      </c>
      <c r="J8044">
        <v>0.947712418300654</v>
      </c>
      <c r="K8044">
        <v>1</v>
      </c>
      <c r="L8044">
        <v>0.97315436241610698</v>
      </c>
      <c r="M8044">
        <v>0.92156862745098</v>
      </c>
      <c r="N8044">
        <v>0.92156862745098</v>
      </c>
      <c r="O8044">
        <v>0.92156862745098</v>
      </c>
      <c r="AF8044" t="s">
        <v>16144</v>
      </c>
    </row>
    <row r="8045" spans="1:32" hidden="1" x14ac:dyDescent="0.35">
      <c r="A8045">
        <v>8044</v>
      </c>
      <c r="B8045" t="s">
        <v>16143</v>
      </c>
      <c r="C8045" t="s">
        <v>68</v>
      </c>
      <c r="D8045" t="s">
        <v>45</v>
      </c>
      <c r="E8045">
        <v>2332</v>
      </c>
      <c r="F8045">
        <v>2</v>
      </c>
      <c r="G8045">
        <v>2</v>
      </c>
      <c r="H8045">
        <v>1</v>
      </c>
      <c r="I8045">
        <v>0</v>
      </c>
      <c r="J8045">
        <v>0.947712418300654</v>
      </c>
      <c r="K8045">
        <v>1</v>
      </c>
      <c r="L8045">
        <v>0.97315436241610698</v>
      </c>
      <c r="M8045">
        <v>0.92156862745098</v>
      </c>
      <c r="N8045">
        <v>0.92156862745098</v>
      </c>
      <c r="O8045">
        <v>0.92156862745098</v>
      </c>
      <c r="AF8045" t="s">
        <v>16145</v>
      </c>
    </row>
    <row r="8046" spans="1:32" hidden="1" x14ac:dyDescent="0.35">
      <c r="A8046">
        <v>8045</v>
      </c>
      <c r="B8046" t="s">
        <v>16146</v>
      </c>
      <c r="C8046" t="s">
        <v>68</v>
      </c>
      <c r="D8046" t="s">
        <v>34</v>
      </c>
      <c r="E8046">
        <v>2191</v>
      </c>
      <c r="F8046">
        <v>2</v>
      </c>
      <c r="G8046">
        <v>2</v>
      </c>
      <c r="H8046">
        <v>1</v>
      </c>
      <c r="I8046">
        <v>0</v>
      </c>
      <c r="J8046">
        <v>0.98886705959397503</v>
      </c>
      <c r="K8046">
        <v>1</v>
      </c>
      <c r="L8046">
        <v>0.99440237076061899</v>
      </c>
      <c r="M8046">
        <v>0.98624754420432204</v>
      </c>
      <c r="N8046">
        <v>0.98624754420432204</v>
      </c>
      <c r="O8046">
        <v>0.98624754420432204</v>
      </c>
      <c r="P8046" t="s">
        <v>14355</v>
      </c>
      <c r="Q8046" t="s">
        <v>14356</v>
      </c>
      <c r="R8046" t="s">
        <v>1259</v>
      </c>
      <c r="S8046" t="s">
        <v>1260</v>
      </c>
      <c r="V8046" t="s">
        <v>14357</v>
      </c>
      <c r="W8046" t="s">
        <v>14358</v>
      </c>
      <c r="AF8046" t="s">
        <v>16147</v>
      </c>
    </row>
    <row r="8047" spans="1:32" hidden="1" x14ac:dyDescent="0.35">
      <c r="A8047">
        <v>8046</v>
      </c>
      <c r="B8047" t="s">
        <v>16146</v>
      </c>
      <c r="C8047" t="s">
        <v>68</v>
      </c>
      <c r="D8047" t="s">
        <v>45</v>
      </c>
      <c r="E8047">
        <v>683</v>
      </c>
      <c r="F8047">
        <v>2</v>
      </c>
      <c r="G8047">
        <v>2</v>
      </c>
      <c r="H8047">
        <v>1</v>
      </c>
      <c r="I8047">
        <v>0</v>
      </c>
      <c r="J8047">
        <v>0.98886705959397503</v>
      </c>
      <c r="K8047">
        <v>1</v>
      </c>
      <c r="L8047">
        <v>0.99440237076061899</v>
      </c>
      <c r="M8047">
        <v>0.98624754420432204</v>
      </c>
      <c r="N8047">
        <v>0.98624754420432204</v>
      </c>
      <c r="O8047">
        <v>0.98624754420432204</v>
      </c>
      <c r="P8047" t="s">
        <v>14355</v>
      </c>
      <c r="Q8047" t="s">
        <v>14356</v>
      </c>
      <c r="R8047" t="s">
        <v>1259</v>
      </c>
      <c r="S8047" t="s">
        <v>1260</v>
      </c>
      <c r="V8047" t="s">
        <v>14357</v>
      </c>
      <c r="W8047" t="s">
        <v>14358</v>
      </c>
      <c r="AF8047" t="s">
        <v>16148</v>
      </c>
    </row>
    <row r="8048" spans="1:32" hidden="1" x14ac:dyDescent="0.35">
      <c r="A8048">
        <v>8047</v>
      </c>
      <c r="B8048" t="s">
        <v>16149</v>
      </c>
      <c r="C8048" t="s">
        <v>68</v>
      </c>
      <c r="D8048" t="s">
        <v>60</v>
      </c>
      <c r="E8048">
        <v>1633</v>
      </c>
      <c r="F8048">
        <v>2</v>
      </c>
      <c r="G8048">
        <v>2</v>
      </c>
      <c r="H8048">
        <v>1</v>
      </c>
      <c r="I8048">
        <v>0</v>
      </c>
      <c r="J8048">
        <v>0.99420793512887295</v>
      </c>
      <c r="K8048">
        <v>1</v>
      </c>
      <c r="L8048">
        <v>0.997095556200988</v>
      </c>
      <c r="M8048">
        <v>0.99131190269331004</v>
      </c>
      <c r="N8048">
        <v>0.99131190269331004</v>
      </c>
      <c r="O8048">
        <v>0.99131190269331004</v>
      </c>
      <c r="AF8048" t="s">
        <v>16150</v>
      </c>
    </row>
    <row r="8049" spans="1:32" hidden="1" x14ac:dyDescent="0.35">
      <c r="A8049">
        <v>8048</v>
      </c>
      <c r="B8049" t="s">
        <v>16149</v>
      </c>
      <c r="C8049" t="s">
        <v>68</v>
      </c>
      <c r="D8049" t="s">
        <v>62</v>
      </c>
      <c r="E8049">
        <v>1669</v>
      </c>
      <c r="F8049">
        <v>2</v>
      </c>
      <c r="G8049">
        <v>2</v>
      </c>
      <c r="H8049">
        <v>1</v>
      </c>
      <c r="I8049">
        <v>0</v>
      </c>
      <c r="J8049">
        <v>0.99420793512887295</v>
      </c>
      <c r="K8049">
        <v>1</v>
      </c>
      <c r="L8049">
        <v>0.997095556200988</v>
      </c>
      <c r="M8049">
        <v>0.99131190269331004</v>
      </c>
      <c r="N8049">
        <v>0.99131190269331004</v>
      </c>
      <c r="O8049">
        <v>0.99131190269331004</v>
      </c>
      <c r="AF8049" t="s">
        <v>16151</v>
      </c>
    </row>
    <row r="8050" spans="1:32" hidden="1" x14ac:dyDescent="0.35">
      <c r="A8050">
        <v>8049</v>
      </c>
      <c r="B8050" t="s">
        <v>16152</v>
      </c>
      <c r="C8050" t="s">
        <v>68</v>
      </c>
      <c r="D8050" t="s">
        <v>34</v>
      </c>
      <c r="E8050">
        <v>753</v>
      </c>
      <c r="F8050">
        <v>2</v>
      </c>
      <c r="G8050">
        <v>2</v>
      </c>
      <c r="H8050">
        <v>1</v>
      </c>
      <c r="I8050">
        <v>0</v>
      </c>
      <c r="J8050">
        <v>0.97375328083989499</v>
      </c>
      <c r="K8050">
        <v>1</v>
      </c>
      <c r="L8050">
        <v>0.98670212765957399</v>
      </c>
      <c r="M8050">
        <v>0.96850393700787396</v>
      </c>
      <c r="N8050">
        <v>0.96850393700787396</v>
      </c>
      <c r="O8050">
        <v>0.96850393700787396</v>
      </c>
      <c r="AF8050" t="s">
        <v>16153</v>
      </c>
    </row>
    <row r="8051" spans="1:32" hidden="1" x14ac:dyDescent="0.35">
      <c r="A8051">
        <v>8050</v>
      </c>
      <c r="B8051" t="s">
        <v>16152</v>
      </c>
      <c r="C8051" t="s">
        <v>68</v>
      </c>
      <c r="D8051" t="s">
        <v>45</v>
      </c>
      <c r="E8051">
        <v>2020</v>
      </c>
      <c r="F8051">
        <v>2</v>
      </c>
      <c r="G8051">
        <v>2</v>
      </c>
      <c r="H8051">
        <v>1</v>
      </c>
      <c r="I8051">
        <v>0</v>
      </c>
      <c r="J8051">
        <v>0.97375328083989499</v>
      </c>
      <c r="K8051">
        <v>1</v>
      </c>
      <c r="L8051">
        <v>0.98670212765957399</v>
      </c>
      <c r="M8051">
        <v>0.96850393700787396</v>
      </c>
      <c r="N8051">
        <v>0.96850393700787396</v>
      </c>
      <c r="O8051">
        <v>0.96850393700787396</v>
      </c>
      <c r="AF8051" t="s">
        <v>16154</v>
      </c>
    </row>
    <row r="8052" spans="1:32" hidden="1" x14ac:dyDescent="0.35">
      <c r="A8052">
        <v>8051</v>
      </c>
      <c r="B8052" t="s">
        <v>16155</v>
      </c>
      <c r="C8052" t="s">
        <v>68</v>
      </c>
      <c r="D8052" t="s">
        <v>60</v>
      </c>
      <c r="E8052">
        <v>518</v>
      </c>
      <c r="F8052">
        <v>2</v>
      </c>
      <c r="G8052">
        <v>2</v>
      </c>
      <c r="H8052">
        <v>1</v>
      </c>
      <c r="I8052">
        <v>0</v>
      </c>
      <c r="J8052">
        <v>0.99470899470899499</v>
      </c>
      <c r="K8052">
        <v>1</v>
      </c>
      <c r="L8052">
        <v>0.99734748010610097</v>
      </c>
      <c r="M8052">
        <v>0.99319727891156495</v>
      </c>
      <c r="N8052">
        <v>0.99319727891156495</v>
      </c>
      <c r="O8052">
        <v>0.99319727891156495</v>
      </c>
      <c r="P8052" t="s">
        <v>16156</v>
      </c>
      <c r="Q8052" t="s">
        <v>16157</v>
      </c>
      <c r="R8052" t="s">
        <v>157</v>
      </c>
      <c r="S8052" t="s">
        <v>158</v>
      </c>
      <c r="T8052" t="s">
        <v>16158</v>
      </c>
      <c r="U8052" t="s">
        <v>16159</v>
      </c>
      <c r="V8052" t="s">
        <v>16160</v>
      </c>
      <c r="W8052" t="s">
        <v>16161</v>
      </c>
      <c r="AD8052" t="s">
        <v>16018</v>
      </c>
      <c r="AE8052" t="s">
        <v>16162</v>
      </c>
      <c r="AF8052" t="s">
        <v>16163</v>
      </c>
    </row>
    <row r="8053" spans="1:32" hidden="1" x14ac:dyDescent="0.35">
      <c r="A8053">
        <v>8052</v>
      </c>
      <c r="B8053" t="s">
        <v>16155</v>
      </c>
      <c r="C8053" t="s">
        <v>68</v>
      </c>
      <c r="D8053" t="s">
        <v>62</v>
      </c>
      <c r="E8053">
        <v>602</v>
      </c>
      <c r="F8053">
        <v>2</v>
      </c>
      <c r="G8053">
        <v>2</v>
      </c>
      <c r="H8053">
        <v>1</v>
      </c>
      <c r="I8053">
        <v>0</v>
      </c>
      <c r="J8053">
        <v>0.99470899470899499</v>
      </c>
      <c r="K8053">
        <v>1</v>
      </c>
      <c r="L8053">
        <v>0.99734748010610097</v>
      </c>
      <c r="M8053">
        <v>0.99319727891156495</v>
      </c>
      <c r="N8053">
        <v>0.99319727891156495</v>
      </c>
      <c r="O8053">
        <v>0.99319727891156495</v>
      </c>
      <c r="P8053" t="s">
        <v>16156</v>
      </c>
      <c r="Q8053" t="s">
        <v>16157</v>
      </c>
      <c r="R8053" t="s">
        <v>157</v>
      </c>
      <c r="S8053" t="s">
        <v>158</v>
      </c>
      <c r="T8053" t="s">
        <v>16158</v>
      </c>
      <c r="U8053" t="s">
        <v>16159</v>
      </c>
      <c r="V8053" t="s">
        <v>16160</v>
      </c>
      <c r="W8053" t="s">
        <v>16161</v>
      </c>
      <c r="AD8053" t="s">
        <v>16018</v>
      </c>
      <c r="AE8053" t="s">
        <v>16162</v>
      </c>
      <c r="AF8053" t="s">
        <v>16164</v>
      </c>
    </row>
    <row r="8054" spans="1:32" hidden="1" x14ac:dyDescent="0.35">
      <c r="A8054">
        <v>8053</v>
      </c>
      <c r="B8054" t="s">
        <v>16165</v>
      </c>
      <c r="C8054" t="s">
        <v>68</v>
      </c>
      <c r="D8054" t="s">
        <v>34</v>
      </c>
      <c r="E8054">
        <v>390</v>
      </c>
      <c r="F8054">
        <v>2</v>
      </c>
      <c r="G8054">
        <v>2</v>
      </c>
      <c r="H8054">
        <v>1</v>
      </c>
      <c r="I8054">
        <v>0</v>
      </c>
      <c r="J8054">
        <v>0.97536945812807896</v>
      </c>
      <c r="K8054">
        <v>1</v>
      </c>
      <c r="L8054">
        <v>0.98753117206982599</v>
      </c>
      <c r="M8054">
        <v>0.96551724137931005</v>
      </c>
      <c r="N8054">
        <v>0.96551724137931005</v>
      </c>
      <c r="O8054">
        <v>0.96551724137931005</v>
      </c>
      <c r="P8054" t="s">
        <v>2163</v>
      </c>
      <c r="Q8054" t="s">
        <v>2164</v>
      </c>
      <c r="R8054" t="s">
        <v>113</v>
      </c>
      <c r="S8054" t="s">
        <v>114</v>
      </c>
      <c r="V8054" t="s">
        <v>2167</v>
      </c>
      <c r="W8054" t="s">
        <v>2168</v>
      </c>
      <c r="AF8054" t="s">
        <v>16166</v>
      </c>
    </row>
    <row r="8055" spans="1:32" hidden="1" x14ac:dyDescent="0.35">
      <c r="A8055">
        <v>8054</v>
      </c>
      <c r="B8055" t="s">
        <v>16165</v>
      </c>
      <c r="C8055" t="s">
        <v>68</v>
      </c>
      <c r="D8055" t="s">
        <v>45</v>
      </c>
      <c r="E8055">
        <v>1651</v>
      </c>
      <c r="F8055">
        <v>2</v>
      </c>
      <c r="G8055">
        <v>2</v>
      </c>
      <c r="H8055">
        <v>1</v>
      </c>
      <c r="I8055">
        <v>0</v>
      </c>
      <c r="J8055">
        <v>0.97536945812807896</v>
      </c>
      <c r="K8055">
        <v>1</v>
      </c>
      <c r="L8055">
        <v>0.98753117206982599</v>
      </c>
      <c r="M8055">
        <v>0.96551724137931005</v>
      </c>
      <c r="N8055">
        <v>0.96551724137931005</v>
      </c>
      <c r="O8055">
        <v>0.96551724137931005</v>
      </c>
      <c r="P8055" t="s">
        <v>2163</v>
      </c>
      <c r="Q8055" t="s">
        <v>2164</v>
      </c>
      <c r="R8055" t="s">
        <v>113</v>
      </c>
      <c r="S8055" t="s">
        <v>114</v>
      </c>
      <c r="V8055" t="s">
        <v>2167</v>
      </c>
      <c r="W8055" t="s">
        <v>2168</v>
      </c>
      <c r="AF8055" t="s">
        <v>16167</v>
      </c>
    </row>
    <row r="8056" spans="1:32" hidden="1" x14ac:dyDescent="0.35">
      <c r="A8056">
        <v>8055</v>
      </c>
      <c r="B8056" t="s">
        <v>16168</v>
      </c>
      <c r="C8056" t="s">
        <v>68</v>
      </c>
      <c r="D8056" t="s">
        <v>34</v>
      </c>
      <c r="E8056">
        <v>1578</v>
      </c>
      <c r="F8056">
        <v>2</v>
      </c>
      <c r="G8056">
        <v>2</v>
      </c>
      <c r="H8056">
        <v>1</v>
      </c>
      <c r="I8056">
        <v>0</v>
      </c>
      <c r="J8056">
        <v>0.989952718676123</v>
      </c>
      <c r="K8056">
        <v>0.99823087233591301</v>
      </c>
      <c r="L8056">
        <v>0.99407456172833097</v>
      </c>
      <c r="M8056">
        <v>0.98761061946902695</v>
      </c>
      <c r="N8056">
        <v>0.98761061946902695</v>
      </c>
      <c r="O8056">
        <v>0.98761061946902695</v>
      </c>
      <c r="P8056" t="s">
        <v>13318</v>
      </c>
      <c r="Q8056" t="s">
        <v>13319</v>
      </c>
      <c r="AF8056" t="s">
        <v>16169</v>
      </c>
    </row>
    <row r="8057" spans="1:32" hidden="1" x14ac:dyDescent="0.35">
      <c r="A8057">
        <v>8056</v>
      </c>
      <c r="B8057" t="s">
        <v>16168</v>
      </c>
      <c r="C8057" t="s">
        <v>68</v>
      </c>
      <c r="D8057" t="s">
        <v>45</v>
      </c>
      <c r="E8057">
        <v>328</v>
      </c>
      <c r="F8057">
        <v>2</v>
      </c>
      <c r="G8057">
        <v>2</v>
      </c>
      <c r="H8057">
        <v>1</v>
      </c>
      <c r="I8057">
        <v>0</v>
      </c>
      <c r="J8057">
        <v>0.989952718676123</v>
      </c>
      <c r="K8057">
        <v>0.99823087233591301</v>
      </c>
      <c r="L8057">
        <v>0.99407456172833097</v>
      </c>
      <c r="M8057">
        <v>0.98761061946902695</v>
      </c>
      <c r="N8057">
        <v>0.98761061946902695</v>
      </c>
      <c r="O8057">
        <v>0.98761061946902695</v>
      </c>
      <c r="P8057" t="s">
        <v>13318</v>
      </c>
      <c r="Q8057" t="s">
        <v>13319</v>
      </c>
      <c r="AF8057" t="s">
        <v>16170</v>
      </c>
    </row>
    <row r="8058" spans="1:32" hidden="1" x14ac:dyDescent="0.35">
      <c r="A8058">
        <v>8057</v>
      </c>
      <c r="B8058" t="s">
        <v>16171</v>
      </c>
      <c r="C8058" t="s">
        <v>68</v>
      </c>
      <c r="D8058" t="s">
        <v>34</v>
      </c>
      <c r="E8058">
        <v>1867</v>
      </c>
      <c r="F8058">
        <v>2</v>
      </c>
      <c r="G8058">
        <v>2</v>
      </c>
      <c r="H8058">
        <v>1</v>
      </c>
      <c r="I8058">
        <v>0</v>
      </c>
      <c r="J8058">
        <v>0.98930041152263404</v>
      </c>
      <c r="K8058">
        <v>0.99266512501806203</v>
      </c>
      <c r="L8058">
        <v>0.99097991219220305</v>
      </c>
      <c r="M8058">
        <v>0.98039215686274495</v>
      </c>
      <c r="N8058">
        <v>0.98039215686274495</v>
      </c>
      <c r="O8058">
        <v>0.98039215686274495</v>
      </c>
      <c r="P8058" t="s">
        <v>16172</v>
      </c>
      <c r="Q8058" t="s">
        <v>16173</v>
      </c>
      <c r="R8058" t="s">
        <v>224</v>
      </c>
      <c r="S8058" t="s">
        <v>225</v>
      </c>
      <c r="T8058" t="s">
        <v>16174</v>
      </c>
      <c r="U8058" t="s">
        <v>16175</v>
      </c>
      <c r="V8058" t="s">
        <v>16176</v>
      </c>
      <c r="W8058" t="s">
        <v>16177</v>
      </c>
      <c r="AD8058" t="s">
        <v>2991</v>
      </c>
      <c r="AE8058" t="s">
        <v>16178</v>
      </c>
      <c r="AF8058" t="s">
        <v>16179</v>
      </c>
    </row>
    <row r="8059" spans="1:32" hidden="1" x14ac:dyDescent="0.35">
      <c r="A8059">
        <v>8058</v>
      </c>
      <c r="B8059" t="s">
        <v>16171</v>
      </c>
      <c r="C8059" t="s">
        <v>68</v>
      </c>
      <c r="D8059" t="s">
        <v>45</v>
      </c>
      <c r="E8059">
        <v>1006</v>
      </c>
      <c r="F8059">
        <v>2</v>
      </c>
      <c r="G8059">
        <v>2</v>
      </c>
      <c r="H8059">
        <v>1</v>
      </c>
      <c r="I8059">
        <v>0</v>
      </c>
      <c r="J8059">
        <v>0.98930041152263404</v>
      </c>
      <c r="K8059">
        <v>0.99266512501806203</v>
      </c>
      <c r="L8059">
        <v>0.99097991219220305</v>
      </c>
      <c r="M8059">
        <v>0.98039215686274495</v>
      </c>
      <c r="N8059">
        <v>0.98039215686274495</v>
      </c>
      <c r="O8059">
        <v>0.98039215686274495</v>
      </c>
      <c r="P8059" t="s">
        <v>16172</v>
      </c>
      <c r="Q8059" t="s">
        <v>16173</v>
      </c>
      <c r="R8059" t="s">
        <v>224</v>
      </c>
      <c r="S8059" t="s">
        <v>225</v>
      </c>
      <c r="T8059" t="s">
        <v>16174</v>
      </c>
      <c r="U8059" t="s">
        <v>16175</v>
      </c>
      <c r="V8059" t="s">
        <v>16176</v>
      </c>
      <c r="W8059" t="s">
        <v>16177</v>
      </c>
      <c r="AD8059" t="s">
        <v>2991</v>
      </c>
      <c r="AE8059" t="s">
        <v>16178</v>
      </c>
      <c r="AF8059" t="s">
        <v>16180</v>
      </c>
    </row>
    <row r="8060" spans="1:32" hidden="1" x14ac:dyDescent="0.35">
      <c r="A8060">
        <v>8059</v>
      </c>
      <c r="B8060" t="s">
        <v>16181</v>
      </c>
      <c r="C8060" t="s">
        <v>68</v>
      </c>
      <c r="D8060" t="s">
        <v>60</v>
      </c>
      <c r="E8060">
        <v>165</v>
      </c>
      <c r="F8060">
        <v>2</v>
      </c>
      <c r="G8060">
        <v>2</v>
      </c>
      <c r="H8060">
        <v>1</v>
      </c>
      <c r="I8060">
        <v>0</v>
      </c>
      <c r="J8060">
        <v>0.98144329896907201</v>
      </c>
      <c r="K8060">
        <v>0.99386508230383797</v>
      </c>
      <c r="L8060">
        <v>0.98761513326630501</v>
      </c>
      <c r="M8060">
        <v>0.97131147540983598</v>
      </c>
      <c r="N8060">
        <v>0.97131147540983598</v>
      </c>
      <c r="O8060">
        <v>0.97131147540983598</v>
      </c>
      <c r="P8060" t="s">
        <v>10506</v>
      </c>
      <c r="Q8060" t="s">
        <v>10507</v>
      </c>
      <c r="R8060" t="s">
        <v>224</v>
      </c>
      <c r="S8060" t="s">
        <v>225</v>
      </c>
      <c r="V8060" t="s">
        <v>226</v>
      </c>
      <c r="W8060" t="s">
        <v>227</v>
      </c>
      <c r="AF8060" t="s">
        <v>16182</v>
      </c>
    </row>
    <row r="8061" spans="1:32" hidden="1" x14ac:dyDescent="0.35">
      <c r="A8061">
        <v>8060</v>
      </c>
      <c r="B8061" t="s">
        <v>16181</v>
      </c>
      <c r="C8061" t="s">
        <v>68</v>
      </c>
      <c r="D8061" t="s">
        <v>62</v>
      </c>
      <c r="E8061">
        <v>241</v>
      </c>
      <c r="F8061">
        <v>2</v>
      </c>
      <c r="G8061">
        <v>2</v>
      </c>
      <c r="H8061">
        <v>1</v>
      </c>
      <c r="I8061">
        <v>0</v>
      </c>
      <c r="J8061">
        <v>0.98144329896907201</v>
      </c>
      <c r="K8061">
        <v>0.99386508230383797</v>
      </c>
      <c r="L8061">
        <v>0.98761513326630501</v>
      </c>
      <c r="M8061">
        <v>0.97131147540983598</v>
      </c>
      <c r="N8061">
        <v>0.97131147540983598</v>
      </c>
      <c r="O8061">
        <v>0.97131147540983598</v>
      </c>
      <c r="P8061" t="s">
        <v>10506</v>
      </c>
      <c r="Q8061" t="s">
        <v>10507</v>
      </c>
      <c r="R8061" t="s">
        <v>224</v>
      </c>
      <c r="S8061" t="s">
        <v>225</v>
      </c>
      <c r="V8061" t="s">
        <v>226</v>
      </c>
      <c r="W8061" t="s">
        <v>227</v>
      </c>
      <c r="AF8061" t="s">
        <v>16183</v>
      </c>
    </row>
    <row r="8062" spans="1:32" hidden="1" x14ac:dyDescent="0.35">
      <c r="A8062">
        <v>8061</v>
      </c>
      <c r="B8062" t="s">
        <v>16184</v>
      </c>
      <c r="C8062" t="s">
        <v>68</v>
      </c>
      <c r="D8062" t="s">
        <v>34</v>
      </c>
      <c r="E8062">
        <v>448</v>
      </c>
      <c r="F8062">
        <v>2</v>
      </c>
      <c r="G8062">
        <v>2</v>
      </c>
      <c r="H8062">
        <v>1</v>
      </c>
      <c r="I8062">
        <v>0</v>
      </c>
      <c r="J8062">
        <v>0.99275362318840599</v>
      </c>
      <c r="K8062">
        <v>1</v>
      </c>
      <c r="L8062">
        <v>0.99636363636363601</v>
      </c>
      <c r="M8062">
        <v>0.99275362318840599</v>
      </c>
      <c r="N8062">
        <v>0.99275362318840599</v>
      </c>
      <c r="O8062">
        <v>0.99275362318840599</v>
      </c>
      <c r="AF8062" t="s">
        <v>16185</v>
      </c>
    </row>
    <row r="8063" spans="1:32" hidden="1" x14ac:dyDescent="0.35">
      <c r="A8063">
        <v>8062</v>
      </c>
      <c r="B8063" t="s">
        <v>16184</v>
      </c>
      <c r="C8063" t="s">
        <v>68</v>
      </c>
      <c r="D8063" t="s">
        <v>45</v>
      </c>
      <c r="E8063">
        <v>1711</v>
      </c>
      <c r="F8063">
        <v>2</v>
      </c>
      <c r="G8063">
        <v>2</v>
      </c>
      <c r="H8063">
        <v>1</v>
      </c>
      <c r="I8063">
        <v>0</v>
      </c>
      <c r="J8063">
        <v>0.99275362318840599</v>
      </c>
      <c r="K8063">
        <v>1</v>
      </c>
      <c r="L8063">
        <v>0.99636363636363601</v>
      </c>
      <c r="M8063">
        <v>0.99275362318840599</v>
      </c>
      <c r="N8063">
        <v>0.99275362318840599</v>
      </c>
      <c r="O8063">
        <v>0.99275362318840599</v>
      </c>
      <c r="AF8063" t="s">
        <v>16186</v>
      </c>
    </row>
    <row r="8064" spans="1:32" hidden="1" x14ac:dyDescent="0.35">
      <c r="A8064">
        <v>8063</v>
      </c>
      <c r="B8064" t="s">
        <v>16187</v>
      </c>
      <c r="C8064" t="s">
        <v>68</v>
      </c>
      <c r="D8064" t="s">
        <v>34</v>
      </c>
      <c r="E8064">
        <v>985</v>
      </c>
      <c r="F8064">
        <v>2</v>
      </c>
      <c r="G8064">
        <v>2</v>
      </c>
      <c r="H8064">
        <v>1</v>
      </c>
      <c r="I8064">
        <v>0</v>
      </c>
      <c r="J8064">
        <v>0.98133333333333295</v>
      </c>
      <c r="K8064">
        <v>1</v>
      </c>
      <c r="L8064">
        <v>0.99057873485868098</v>
      </c>
      <c r="M8064">
        <v>0.97066666666666701</v>
      </c>
      <c r="N8064">
        <v>0.97066666666666701</v>
      </c>
      <c r="O8064">
        <v>0.97066666666666701</v>
      </c>
      <c r="P8064" t="s">
        <v>10534</v>
      </c>
      <c r="Q8064" t="s">
        <v>10535</v>
      </c>
      <c r="R8064" t="s">
        <v>288</v>
      </c>
      <c r="S8064" t="s">
        <v>289</v>
      </c>
      <c r="V8064" t="s">
        <v>10536</v>
      </c>
      <c r="W8064" t="s">
        <v>10537</v>
      </c>
      <c r="X8064" t="s">
        <v>10536</v>
      </c>
      <c r="Y8064" t="s">
        <v>1091</v>
      </c>
      <c r="AF8064" t="s">
        <v>16188</v>
      </c>
    </row>
    <row r="8065" spans="1:32" hidden="1" x14ac:dyDescent="0.35">
      <c r="A8065">
        <v>8064</v>
      </c>
      <c r="B8065" t="s">
        <v>16187</v>
      </c>
      <c r="C8065" t="s">
        <v>68</v>
      </c>
      <c r="D8065" t="s">
        <v>45</v>
      </c>
      <c r="E8065">
        <v>2240</v>
      </c>
      <c r="F8065">
        <v>2</v>
      </c>
      <c r="G8065">
        <v>2</v>
      </c>
      <c r="H8065">
        <v>1</v>
      </c>
      <c r="I8065">
        <v>0</v>
      </c>
      <c r="J8065">
        <v>0.98133333333333295</v>
      </c>
      <c r="K8065">
        <v>1</v>
      </c>
      <c r="L8065">
        <v>0.99057873485868098</v>
      </c>
      <c r="M8065">
        <v>0.97066666666666701</v>
      </c>
      <c r="N8065">
        <v>0.97066666666666701</v>
      </c>
      <c r="O8065">
        <v>0.97066666666666701</v>
      </c>
      <c r="P8065" t="s">
        <v>10534</v>
      </c>
      <c r="Q8065" t="s">
        <v>10535</v>
      </c>
      <c r="R8065" t="s">
        <v>288</v>
      </c>
      <c r="S8065" t="s">
        <v>289</v>
      </c>
      <c r="V8065" t="s">
        <v>10536</v>
      </c>
      <c r="W8065" t="s">
        <v>10537</v>
      </c>
      <c r="X8065" t="s">
        <v>10536</v>
      </c>
      <c r="Y8065" t="s">
        <v>1091</v>
      </c>
      <c r="AF8065" t="s">
        <v>16189</v>
      </c>
    </row>
    <row r="8066" spans="1:32" hidden="1" x14ac:dyDescent="0.35">
      <c r="A8066">
        <v>8065</v>
      </c>
      <c r="B8066" t="s">
        <v>16190</v>
      </c>
      <c r="C8066" t="s">
        <v>68</v>
      </c>
      <c r="D8066" t="s">
        <v>34</v>
      </c>
      <c r="E8066">
        <v>1506</v>
      </c>
      <c r="F8066">
        <v>2</v>
      </c>
      <c r="G8066">
        <v>2</v>
      </c>
      <c r="H8066">
        <v>1</v>
      </c>
      <c r="I8066">
        <v>0</v>
      </c>
      <c r="J8066">
        <v>0.98760842627013601</v>
      </c>
      <c r="K8066">
        <v>1</v>
      </c>
      <c r="L8066">
        <v>0.99376558603491305</v>
      </c>
      <c r="M8066">
        <v>0.98513011152416396</v>
      </c>
      <c r="N8066">
        <v>0.98513011152416396</v>
      </c>
      <c r="O8066">
        <v>0.98513011152416396</v>
      </c>
      <c r="P8066" t="s">
        <v>16191</v>
      </c>
      <c r="Q8066" t="s">
        <v>16192</v>
      </c>
      <c r="R8066" t="s">
        <v>869</v>
      </c>
      <c r="S8066" t="s">
        <v>870</v>
      </c>
      <c r="T8066" t="s">
        <v>16193</v>
      </c>
      <c r="U8066" t="s">
        <v>16194</v>
      </c>
      <c r="V8066" t="s">
        <v>16195</v>
      </c>
      <c r="W8066" t="s">
        <v>16196</v>
      </c>
      <c r="X8066" t="s">
        <v>16195</v>
      </c>
      <c r="Y8066" t="s">
        <v>3682</v>
      </c>
      <c r="Z8066" t="s">
        <v>16197</v>
      </c>
      <c r="AA8066" t="s">
        <v>16198</v>
      </c>
      <c r="AB8066" t="s">
        <v>16197</v>
      </c>
      <c r="AC8066" t="s">
        <v>878</v>
      </c>
      <c r="AD8066" t="s">
        <v>245</v>
      </c>
      <c r="AE8066" t="s">
        <v>16199</v>
      </c>
      <c r="AF8066" t="s">
        <v>16200</v>
      </c>
    </row>
    <row r="8067" spans="1:32" hidden="1" x14ac:dyDescent="0.35">
      <c r="A8067">
        <v>8066</v>
      </c>
      <c r="B8067" t="s">
        <v>16190</v>
      </c>
      <c r="C8067" t="s">
        <v>68</v>
      </c>
      <c r="D8067" t="s">
        <v>45</v>
      </c>
      <c r="E8067">
        <v>256</v>
      </c>
      <c r="F8067">
        <v>2</v>
      </c>
      <c r="G8067">
        <v>2</v>
      </c>
      <c r="H8067">
        <v>1</v>
      </c>
      <c r="I8067">
        <v>0</v>
      </c>
      <c r="J8067">
        <v>0.98760842627013601</v>
      </c>
      <c r="K8067">
        <v>1</v>
      </c>
      <c r="L8067">
        <v>0.99376558603491305</v>
      </c>
      <c r="M8067">
        <v>0.98513011152416396</v>
      </c>
      <c r="N8067">
        <v>0.98513011152416396</v>
      </c>
      <c r="O8067">
        <v>0.98513011152416396</v>
      </c>
      <c r="P8067" t="s">
        <v>16191</v>
      </c>
      <c r="Q8067" t="s">
        <v>16192</v>
      </c>
      <c r="R8067" t="s">
        <v>869</v>
      </c>
      <c r="S8067" t="s">
        <v>870</v>
      </c>
      <c r="T8067" t="s">
        <v>16193</v>
      </c>
      <c r="U8067" t="s">
        <v>16194</v>
      </c>
      <c r="V8067" t="s">
        <v>16195</v>
      </c>
      <c r="W8067" t="s">
        <v>16196</v>
      </c>
      <c r="X8067" t="s">
        <v>16195</v>
      </c>
      <c r="Y8067" t="s">
        <v>3682</v>
      </c>
      <c r="Z8067" t="s">
        <v>16197</v>
      </c>
      <c r="AA8067" t="s">
        <v>16198</v>
      </c>
      <c r="AB8067" t="s">
        <v>16197</v>
      </c>
      <c r="AC8067" t="s">
        <v>878</v>
      </c>
      <c r="AD8067" t="s">
        <v>245</v>
      </c>
      <c r="AE8067" t="s">
        <v>16199</v>
      </c>
      <c r="AF8067" t="s">
        <v>16201</v>
      </c>
    </row>
    <row r="8068" spans="1:32" hidden="1" x14ac:dyDescent="0.35">
      <c r="A8068">
        <v>8067</v>
      </c>
      <c r="B8068" t="s">
        <v>16202</v>
      </c>
      <c r="C8068" t="s">
        <v>68</v>
      </c>
      <c r="D8068" t="s">
        <v>34</v>
      </c>
      <c r="E8068">
        <v>1559</v>
      </c>
      <c r="F8068">
        <v>2</v>
      </c>
      <c r="G8068">
        <v>2</v>
      </c>
      <c r="H8068">
        <v>1</v>
      </c>
      <c r="I8068">
        <v>0</v>
      </c>
      <c r="J8068">
        <v>0.98170731707317105</v>
      </c>
      <c r="K8068">
        <v>1</v>
      </c>
      <c r="L8068">
        <v>0.99076923076923096</v>
      </c>
      <c r="M8068">
        <v>0.98170731707317105</v>
      </c>
      <c r="N8068">
        <v>0.98170731707317105</v>
      </c>
      <c r="O8068">
        <v>0.98170731707317105</v>
      </c>
      <c r="AF8068" t="s">
        <v>16203</v>
      </c>
    </row>
    <row r="8069" spans="1:32" hidden="1" x14ac:dyDescent="0.35">
      <c r="A8069">
        <v>8068</v>
      </c>
      <c r="B8069" t="s">
        <v>16202</v>
      </c>
      <c r="C8069" t="s">
        <v>68</v>
      </c>
      <c r="D8069" t="s">
        <v>45</v>
      </c>
      <c r="E8069">
        <v>309</v>
      </c>
      <c r="F8069">
        <v>2</v>
      </c>
      <c r="G8069">
        <v>2</v>
      </c>
      <c r="H8069">
        <v>1</v>
      </c>
      <c r="I8069">
        <v>0</v>
      </c>
      <c r="J8069">
        <v>0.98170731707317105</v>
      </c>
      <c r="K8069">
        <v>1</v>
      </c>
      <c r="L8069">
        <v>0.99076923076923096</v>
      </c>
      <c r="M8069">
        <v>0.98170731707317105</v>
      </c>
      <c r="N8069">
        <v>0.98170731707317105</v>
      </c>
      <c r="O8069">
        <v>0.98170731707317105</v>
      </c>
      <c r="AF8069" t="s">
        <v>16204</v>
      </c>
    </row>
    <row r="8070" spans="1:32" hidden="1" x14ac:dyDescent="0.35">
      <c r="A8070">
        <v>8069</v>
      </c>
      <c r="B8070" t="s">
        <v>16205</v>
      </c>
      <c r="C8070" t="s">
        <v>68</v>
      </c>
      <c r="D8070" t="s">
        <v>34</v>
      </c>
      <c r="E8070">
        <v>1594</v>
      </c>
      <c r="F8070">
        <v>2</v>
      </c>
      <c r="G8070">
        <v>2</v>
      </c>
      <c r="H8070">
        <v>1</v>
      </c>
      <c r="I8070">
        <v>0</v>
      </c>
      <c r="J8070">
        <v>0.99011299435028199</v>
      </c>
      <c r="K8070">
        <v>1</v>
      </c>
      <c r="L8070">
        <v>0.99503193754435804</v>
      </c>
      <c r="M8070">
        <v>0.98728813559322004</v>
      </c>
      <c r="N8070">
        <v>0.98728813559322004</v>
      </c>
      <c r="O8070">
        <v>0.98728813559322004</v>
      </c>
      <c r="AF8070" t="s">
        <v>16206</v>
      </c>
    </row>
    <row r="8071" spans="1:32" hidden="1" x14ac:dyDescent="0.35">
      <c r="A8071">
        <v>8070</v>
      </c>
      <c r="B8071" t="s">
        <v>16205</v>
      </c>
      <c r="C8071" t="s">
        <v>68</v>
      </c>
      <c r="D8071" t="s">
        <v>45</v>
      </c>
      <c r="E8071">
        <v>344</v>
      </c>
      <c r="F8071">
        <v>2</v>
      </c>
      <c r="G8071">
        <v>2</v>
      </c>
      <c r="H8071">
        <v>1</v>
      </c>
      <c r="I8071">
        <v>0</v>
      </c>
      <c r="J8071">
        <v>0.99011299435028199</v>
      </c>
      <c r="K8071">
        <v>1</v>
      </c>
      <c r="L8071">
        <v>0.99503193754435804</v>
      </c>
      <c r="M8071">
        <v>0.98728813559322004</v>
      </c>
      <c r="N8071">
        <v>0.98728813559322004</v>
      </c>
      <c r="O8071">
        <v>0.98728813559322004</v>
      </c>
      <c r="AF8071" t="s">
        <v>16207</v>
      </c>
    </row>
    <row r="8072" spans="1:32" hidden="1" x14ac:dyDescent="0.35">
      <c r="A8072">
        <v>8071</v>
      </c>
      <c r="B8072" t="s">
        <v>16208</v>
      </c>
      <c r="C8072" t="s">
        <v>68</v>
      </c>
      <c r="D8072" t="s">
        <v>34</v>
      </c>
      <c r="E8072">
        <v>2225</v>
      </c>
      <c r="F8072">
        <v>2</v>
      </c>
      <c r="G8072">
        <v>2</v>
      </c>
      <c r="H8072">
        <v>1</v>
      </c>
      <c r="I8072">
        <v>0</v>
      </c>
      <c r="J8072">
        <v>0.98015873015873001</v>
      </c>
      <c r="K8072">
        <v>0.91660727013542498</v>
      </c>
      <c r="L8072">
        <v>0.94731834903290002</v>
      </c>
      <c r="M8072">
        <v>0.89130434782608703</v>
      </c>
      <c r="N8072">
        <v>0.89130434782608703</v>
      </c>
      <c r="O8072">
        <v>0.89130434782608703</v>
      </c>
      <c r="P8072" t="s">
        <v>12634</v>
      </c>
      <c r="Q8072" t="s">
        <v>12635</v>
      </c>
      <c r="R8072" t="s">
        <v>213</v>
      </c>
      <c r="S8072" t="s">
        <v>214</v>
      </c>
      <c r="T8072" t="s">
        <v>12636</v>
      </c>
      <c r="U8072" t="s">
        <v>12637</v>
      </c>
      <c r="V8072" t="s">
        <v>12638</v>
      </c>
      <c r="W8072" t="s">
        <v>12639</v>
      </c>
      <c r="AD8072" t="s">
        <v>12640</v>
      </c>
      <c r="AE8072" t="s">
        <v>12641</v>
      </c>
      <c r="AF8072" t="e">
        <f>----------------MAAVASYFGIDTLQESSQQSAVAAAETTTANATARAATGTQHRSRSGNASSAAPTYTKNQTANKGFEKFRECQVDSLPKEAMNTIDDILAGGPYEYPENDNKRFGNHEKQLPDIGRNYYREYTVDTPGLNHRGKRRIVTGGGSETDPDVWLYTQDHYQSFCVIPDAEK</f>
        <v>#NAME?</v>
      </c>
    </row>
    <row r="8073" spans="1:32" hidden="1" x14ac:dyDescent="0.35">
      <c r="A8073">
        <v>8072</v>
      </c>
      <c r="B8073" t="s">
        <v>16208</v>
      </c>
      <c r="C8073" t="s">
        <v>68</v>
      </c>
      <c r="D8073" t="s">
        <v>45</v>
      </c>
      <c r="E8073">
        <v>651</v>
      </c>
      <c r="F8073">
        <v>2</v>
      </c>
      <c r="G8073">
        <v>2</v>
      </c>
      <c r="H8073">
        <v>1</v>
      </c>
      <c r="I8073">
        <v>0</v>
      </c>
      <c r="J8073">
        <v>0.98015873015873001</v>
      </c>
      <c r="K8073">
        <v>0.91660727013542498</v>
      </c>
      <c r="L8073">
        <v>0.94731834903290002</v>
      </c>
      <c r="M8073">
        <v>0.89130434782608703</v>
      </c>
      <c r="N8073">
        <v>0.89130434782608703</v>
      </c>
      <c r="O8073">
        <v>0.89130434782608703</v>
      </c>
      <c r="P8073" t="s">
        <v>12634</v>
      </c>
      <c r="Q8073" t="s">
        <v>12635</v>
      </c>
      <c r="R8073" t="s">
        <v>213</v>
      </c>
      <c r="S8073" t="s">
        <v>214</v>
      </c>
      <c r="T8073" t="s">
        <v>12636</v>
      </c>
      <c r="U8073" t="s">
        <v>12637</v>
      </c>
      <c r="V8073" t="s">
        <v>12638</v>
      </c>
      <c r="W8073" t="s">
        <v>12639</v>
      </c>
      <c r="AD8073" t="s">
        <v>12640</v>
      </c>
      <c r="AE8073" t="s">
        <v>12641</v>
      </c>
      <c r="AF8073" t="s">
        <v>16209</v>
      </c>
    </row>
    <row r="8074" spans="1:32" hidden="1" x14ac:dyDescent="0.35">
      <c r="A8074">
        <v>8073</v>
      </c>
      <c r="B8074" t="s">
        <v>16210</v>
      </c>
      <c r="C8074" t="s">
        <v>68</v>
      </c>
      <c r="D8074" t="s">
        <v>60</v>
      </c>
      <c r="E8074">
        <v>1171</v>
      </c>
      <c r="F8074">
        <v>2</v>
      </c>
      <c r="G8074">
        <v>2</v>
      </c>
      <c r="H8074">
        <v>1</v>
      </c>
      <c r="I8074">
        <v>0</v>
      </c>
      <c r="J8074">
        <v>0.97074190177638497</v>
      </c>
      <c r="K8074">
        <v>1</v>
      </c>
      <c r="L8074">
        <v>0.98515376458112403</v>
      </c>
      <c r="M8074">
        <v>0.96238244514106597</v>
      </c>
      <c r="N8074">
        <v>0.96238244514106597</v>
      </c>
      <c r="O8074">
        <v>0.96238244514106597</v>
      </c>
      <c r="P8074" t="s">
        <v>16211</v>
      </c>
      <c r="Q8074" t="s">
        <v>16212</v>
      </c>
      <c r="R8074" t="s">
        <v>319</v>
      </c>
      <c r="S8074" t="s">
        <v>320</v>
      </c>
      <c r="T8074" t="s">
        <v>16213</v>
      </c>
      <c r="U8074" t="s">
        <v>16214</v>
      </c>
      <c r="V8074" t="s">
        <v>16215</v>
      </c>
      <c r="W8074" t="s">
        <v>16216</v>
      </c>
      <c r="Z8074" t="s">
        <v>10499</v>
      </c>
      <c r="AA8074" t="s">
        <v>10500</v>
      </c>
      <c r="AB8074" t="s">
        <v>10499</v>
      </c>
      <c r="AC8074" t="s">
        <v>4023</v>
      </c>
      <c r="AD8074" t="s">
        <v>245</v>
      </c>
      <c r="AE8074" t="s">
        <v>16217</v>
      </c>
      <c r="AF8074" t="s">
        <v>16218</v>
      </c>
    </row>
    <row r="8075" spans="1:32" hidden="1" x14ac:dyDescent="0.35">
      <c r="A8075">
        <v>8074</v>
      </c>
      <c r="B8075" t="s">
        <v>16210</v>
      </c>
      <c r="C8075" t="s">
        <v>68</v>
      </c>
      <c r="D8075" t="s">
        <v>62</v>
      </c>
      <c r="E8075">
        <v>1208</v>
      </c>
      <c r="F8075">
        <v>2</v>
      </c>
      <c r="G8075">
        <v>2</v>
      </c>
      <c r="H8075">
        <v>1</v>
      </c>
      <c r="I8075">
        <v>0</v>
      </c>
      <c r="J8075">
        <v>0.97074190177638497</v>
      </c>
      <c r="K8075">
        <v>1</v>
      </c>
      <c r="L8075">
        <v>0.98515376458112403</v>
      </c>
      <c r="M8075">
        <v>0.96238244514106597</v>
      </c>
      <c r="N8075">
        <v>0.96238244514106597</v>
      </c>
      <c r="O8075">
        <v>0.96238244514106597</v>
      </c>
      <c r="P8075" t="s">
        <v>16211</v>
      </c>
      <c r="Q8075" t="s">
        <v>16212</v>
      </c>
      <c r="R8075" t="s">
        <v>319</v>
      </c>
      <c r="S8075" t="s">
        <v>320</v>
      </c>
      <c r="T8075" t="s">
        <v>16213</v>
      </c>
      <c r="U8075" t="s">
        <v>16214</v>
      </c>
      <c r="V8075" t="s">
        <v>16215</v>
      </c>
      <c r="W8075" t="s">
        <v>16216</v>
      </c>
      <c r="Z8075" t="s">
        <v>10499</v>
      </c>
      <c r="AA8075" t="s">
        <v>10500</v>
      </c>
      <c r="AB8075" t="s">
        <v>10499</v>
      </c>
      <c r="AC8075" t="s">
        <v>4023</v>
      </c>
      <c r="AD8075" t="s">
        <v>245</v>
      </c>
      <c r="AE8075" t="s">
        <v>16217</v>
      </c>
      <c r="AF8075" t="s">
        <v>16219</v>
      </c>
    </row>
    <row r="8076" spans="1:32" hidden="1" x14ac:dyDescent="0.35">
      <c r="A8076">
        <v>8075</v>
      </c>
      <c r="B8076" t="s">
        <v>16220</v>
      </c>
      <c r="C8076" t="s">
        <v>68</v>
      </c>
      <c r="D8076" t="s">
        <v>34</v>
      </c>
      <c r="E8076">
        <v>608</v>
      </c>
      <c r="F8076">
        <v>2</v>
      </c>
      <c r="G8076">
        <v>2</v>
      </c>
      <c r="H8076">
        <v>1</v>
      </c>
      <c r="I8076">
        <v>0</v>
      </c>
      <c r="J8076">
        <v>0.99912967798085295</v>
      </c>
      <c r="K8076">
        <v>1</v>
      </c>
      <c r="L8076">
        <v>0.99956464954288204</v>
      </c>
      <c r="M8076">
        <v>0.99738903394255896</v>
      </c>
      <c r="N8076">
        <v>0.99738903394255896</v>
      </c>
      <c r="O8076">
        <v>0.99738903394255896</v>
      </c>
      <c r="P8076" t="s">
        <v>10334</v>
      </c>
      <c r="Q8076" t="s">
        <v>10335</v>
      </c>
      <c r="R8076" t="s">
        <v>16221</v>
      </c>
      <c r="S8076" t="s">
        <v>16222</v>
      </c>
      <c r="T8076" t="s">
        <v>16223</v>
      </c>
      <c r="U8076" t="s">
        <v>16224</v>
      </c>
      <c r="V8076" t="s">
        <v>16225</v>
      </c>
      <c r="W8076" t="s">
        <v>16226</v>
      </c>
      <c r="Z8076" t="s">
        <v>16227</v>
      </c>
      <c r="AA8076" t="s">
        <v>16228</v>
      </c>
      <c r="AB8076" t="s">
        <v>16227</v>
      </c>
      <c r="AC8076" t="s">
        <v>729</v>
      </c>
      <c r="AD8076" t="s">
        <v>245</v>
      </c>
      <c r="AE8076" t="s">
        <v>16229</v>
      </c>
      <c r="AF8076" t="s">
        <v>16230</v>
      </c>
    </row>
    <row r="8077" spans="1:32" hidden="1" x14ac:dyDescent="0.35">
      <c r="A8077">
        <v>8076</v>
      </c>
      <c r="B8077" t="s">
        <v>16220</v>
      </c>
      <c r="C8077" t="s">
        <v>68</v>
      </c>
      <c r="D8077" t="s">
        <v>45</v>
      </c>
      <c r="E8077">
        <v>1875</v>
      </c>
      <c r="F8077">
        <v>2</v>
      </c>
      <c r="G8077">
        <v>2</v>
      </c>
      <c r="H8077">
        <v>1</v>
      </c>
      <c r="I8077">
        <v>0</v>
      </c>
      <c r="J8077">
        <v>0.99912967798085295</v>
      </c>
      <c r="K8077">
        <v>1</v>
      </c>
      <c r="L8077">
        <v>0.99956464954288204</v>
      </c>
      <c r="M8077">
        <v>0.99738903394255896</v>
      </c>
      <c r="N8077">
        <v>0.99738903394255896</v>
      </c>
      <c r="O8077">
        <v>0.99738903394255896</v>
      </c>
      <c r="P8077" t="s">
        <v>10334</v>
      </c>
      <c r="Q8077" t="s">
        <v>10335</v>
      </c>
      <c r="R8077" t="s">
        <v>16221</v>
      </c>
      <c r="S8077" t="s">
        <v>16222</v>
      </c>
      <c r="T8077" t="s">
        <v>16223</v>
      </c>
      <c r="U8077" t="s">
        <v>16224</v>
      </c>
      <c r="V8077" t="s">
        <v>16225</v>
      </c>
      <c r="W8077" t="s">
        <v>16226</v>
      </c>
      <c r="Z8077" t="s">
        <v>16227</v>
      </c>
      <c r="AA8077" t="s">
        <v>16228</v>
      </c>
      <c r="AB8077" t="s">
        <v>16227</v>
      </c>
      <c r="AC8077" t="s">
        <v>729</v>
      </c>
      <c r="AD8077" t="s">
        <v>245</v>
      </c>
      <c r="AE8077" t="s">
        <v>16229</v>
      </c>
      <c r="AF8077" t="s">
        <v>16231</v>
      </c>
    </row>
    <row r="8078" spans="1:32" hidden="1" x14ac:dyDescent="0.35">
      <c r="A8078">
        <v>8077</v>
      </c>
      <c r="B8078" t="s">
        <v>16232</v>
      </c>
      <c r="C8078" t="s">
        <v>68</v>
      </c>
      <c r="D8078" t="s">
        <v>60</v>
      </c>
      <c r="E8078">
        <v>2088</v>
      </c>
      <c r="F8078">
        <v>2</v>
      </c>
      <c r="G8078">
        <v>2</v>
      </c>
      <c r="H8078">
        <v>1</v>
      </c>
      <c r="I8078">
        <v>0</v>
      </c>
      <c r="J8078">
        <v>0.98193760262725804</v>
      </c>
      <c r="K8078">
        <v>1</v>
      </c>
      <c r="L8078">
        <v>0.99088649544324803</v>
      </c>
      <c r="M8078">
        <v>0.97536945812807896</v>
      </c>
      <c r="N8078">
        <v>0.97536945812807896</v>
      </c>
      <c r="O8078">
        <v>0.97536945812807896</v>
      </c>
      <c r="P8078" t="s">
        <v>169</v>
      </c>
      <c r="Q8078" t="s">
        <v>170</v>
      </c>
      <c r="R8078" t="s">
        <v>342</v>
      </c>
      <c r="S8078" t="s">
        <v>343</v>
      </c>
      <c r="T8078" t="s">
        <v>16233</v>
      </c>
      <c r="U8078" t="s">
        <v>16234</v>
      </c>
      <c r="V8078" t="s">
        <v>16235</v>
      </c>
      <c r="W8078" t="s">
        <v>16236</v>
      </c>
      <c r="AD8078" t="s">
        <v>166</v>
      </c>
      <c r="AE8078" t="s">
        <v>16237</v>
      </c>
      <c r="AF8078" t="s">
        <v>16238</v>
      </c>
    </row>
    <row r="8079" spans="1:32" hidden="1" x14ac:dyDescent="0.35">
      <c r="A8079">
        <v>8078</v>
      </c>
      <c r="B8079" t="s">
        <v>16232</v>
      </c>
      <c r="C8079" t="s">
        <v>68</v>
      </c>
      <c r="D8079" t="s">
        <v>62</v>
      </c>
      <c r="E8079">
        <v>2123</v>
      </c>
      <c r="F8079">
        <v>2</v>
      </c>
      <c r="G8079">
        <v>2</v>
      </c>
      <c r="H8079">
        <v>1</v>
      </c>
      <c r="I8079">
        <v>0</v>
      </c>
      <c r="J8079">
        <v>0.98193760262725804</v>
      </c>
      <c r="K8079">
        <v>1</v>
      </c>
      <c r="L8079">
        <v>0.99088649544324803</v>
      </c>
      <c r="M8079">
        <v>0.97536945812807896</v>
      </c>
      <c r="N8079">
        <v>0.97536945812807896</v>
      </c>
      <c r="O8079">
        <v>0.97536945812807896</v>
      </c>
      <c r="P8079" t="s">
        <v>169</v>
      </c>
      <c r="Q8079" t="s">
        <v>170</v>
      </c>
      <c r="R8079" t="s">
        <v>342</v>
      </c>
      <c r="S8079" t="s">
        <v>343</v>
      </c>
      <c r="T8079" t="s">
        <v>16233</v>
      </c>
      <c r="U8079" t="s">
        <v>16234</v>
      </c>
      <c r="V8079" t="s">
        <v>16235</v>
      </c>
      <c r="W8079" t="s">
        <v>16236</v>
      </c>
      <c r="AD8079" t="s">
        <v>166</v>
      </c>
      <c r="AE8079" t="s">
        <v>16237</v>
      </c>
      <c r="AF8079" t="s">
        <v>16239</v>
      </c>
    </row>
    <row r="8080" spans="1:32" hidden="1" x14ac:dyDescent="0.35">
      <c r="A8080">
        <v>8079</v>
      </c>
      <c r="B8080" t="s">
        <v>16240</v>
      </c>
      <c r="C8080" t="s">
        <v>68</v>
      </c>
      <c r="D8080" t="s">
        <v>60</v>
      </c>
      <c r="E8080">
        <v>2525</v>
      </c>
      <c r="F8080">
        <v>2</v>
      </c>
      <c r="G8080">
        <v>2</v>
      </c>
      <c r="H8080">
        <v>1</v>
      </c>
      <c r="I8080">
        <v>0</v>
      </c>
      <c r="J8080">
        <v>0.99320794148380398</v>
      </c>
      <c r="K8080">
        <v>1</v>
      </c>
      <c r="L8080">
        <v>0.99659239842726099</v>
      </c>
      <c r="M8080">
        <v>0.99216300940438895</v>
      </c>
      <c r="N8080">
        <v>0.99216300940438895</v>
      </c>
      <c r="O8080">
        <v>0.99216300940438895</v>
      </c>
      <c r="P8080" t="s">
        <v>11715</v>
      </c>
      <c r="Q8080" t="s">
        <v>11716</v>
      </c>
      <c r="R8080" t="s">
        <v>342</v>
      </c>
      <c r="S8080" t="s">
        <v>343</v>
      </c>
      <c r="T8080" t="s">
        <v>13059</v>
      </c>
      <c r="U8080" t="s">
        <v>13060</v>
      </c>
      <c r="V8080" t="s">
        <v>11719</v>
      </c>
      <c r="W8080" t="s">
        <v>11720</v>
      </c>
      <c r="AD8080" t="s">
        <v>410</v>
      </c>
      <c r="AE8080" t="s">
        <v>563</v>
      </c>
      <c r="AF8080" t="s">
        <v>16241</v>
      </c>
    </row>
    <row r="8081" spans="1:32" hidden="1" x14ac:dyDescent="0.35">
      <c r="A8081">
        <v>8080</v>
      </c>
      <c r="B8081" t="s">
        <v>16240</v>
      </c>
      <c r="C8081" t="s">
        <v>68</v>
      </c>
      <c r="D8081" t="s">
        <v>62</v>
      </c>
      <c r="E8081">
        <v>50</v>
      </c>
      <c r="F8081">
        <v>2</v>
      </c>
      <c r="G8081">
        <v>2</v>
      </c>
      <c r="H8081">
        <v>1</v>
      </c>
      <c r="I8081">
        <v>0</v>
      </c>
      <c r="J8081">
        <v>0.99320794148380398</v>
      </c>
      <c r="K8081">
        <v>1</v>
      </c>
      <c r="L8081">
        <v>0.99659239842726099</v>
      </c>
      <c r="M8081">
        <v>0.99216300940438895</v>
      </c>
      <c r="N8081">
        <v>0.99216300940438895</v>
      </c>
      <c r="O8081">
        <v>0.99216300940438895</v>
      </c>
      <c r="P8081" t="s">
        <v>11715</v>
      </c>
      <c r="Q8081" t="s">
        <v>11716</v>
      </c>
      <c r="R8081" t="s">
        <v>342</v>
      </c>
      <c r="S8081" t="s">
        <v>343</v>
      </c>
      <c r="T8081" t="s">
        <v>13059</v>
      </c>
      <c r="U8081" t="s">
        <v>13060</v>
      </c>
      <c r="V8081" t="s">
        <v>11719</v>
      </c>
      <c r="W8081" t="s">
        <v>11720</v>
      </c>
      <c r="AD8081" t="s">
        <v>410</v>
      </c>
      <c r="AE8081" t="s">
        <v>563</v>
      </c>
      <c r="AF8081" t="s">
        <v>16242</v>
      </c>
    </row>
    <row r="8082" spans="1:32" hidden="1" x14ac:dyDescent="0.35">
      <c r="A8082">
        <v>8081</v>
      </c>
      <c r="B8082" t="s">
        <v>16243</v>
      </c>
      <c r="C8082" t="s">
        <v>68</v>
      </c>
      <c r="D8082" t="s">
        <v>34</v>
      </c>
      <c r="E8082">
        <v>1016</v>
      </c>
      <c r="F8082">
        <v>2</v>
      </c>
      <c r="G8082">
        <v>2</v>
      </c>
      <c r="H8082">
        <v>1</v>
      </c>
      <c r="I8082">
        <v>0</v>
      </c>
      <c r="J8082">
        <v>0.93137254901960798</v>
      </c>
      <c r="K8082">
        <v>1</v>
      </c>
      <c r="L8082">
        <v>0.96446700507614203</v>
      </c>
      <c r="M8082">
        <v>0.89215686274509798</v>
      </c>
      <c r="N8082">
        <v>0.89215686274509798</v>
      </c>
      <c r="O8082">
        <v>0.89215686274509798</v>
      </c>
      <c r="AF8082" t="s">
        <v>16244</v>
      </c>
    </row>
    <row r="8083" spans="1:32" hidden="1" x14ac:dyDescent="0.35">
      <c r="A8083">
        <v>8082</v>
      </c>
      <c r="B8083" t="s">
        <v>16243</v>
      </c>
      <c r="C8083" t="s">
        <v>68</v>
      </c>
      <c r="D8083" t="s">
        <v>45</v>
      </c>
      <c r="E8083">
        <v>2270</v>
      </c>
      <c r="F8083">
        <v>2</v>
      </c>
      <c r="G8083">
        <v>2</v>
      </c>
      <c r="H8083">
        <v>1</v>
      </c>
      <c r="I8083">
        <v>0</v>
      </c>
      <c r="J8083">
        <v>0.93137254901960798</v>
      </c>
      <c r="K8083">
        <v>1</v>
      </c>
      <c r="L8083">
        <v>0.96446700507614203</v>
      </c>
      <c r="M8083">
        <v>0.89215686274509798</v>
      </c>
      <c r="N8083">
        <v>0.89215686274509798</v>
      </c>
      <c r="O8083">
        <v>0.89215686274509798</v>
      </c>
      <c r="AF8083" t="s">
        <v>16245</v>
      </c>
    </row>
    <row r="8084" spans="1:32" hidden="1" x14ac:dyDescent="0.35">
      <c r="A8084">
        <v>8083</v>
      </c>
      <c r="B8084" t="s">
        <v>16246</v>
      </c>
      <c r="C8084" t="s">
        <v>68</v>
      </c>
      <c r="D8084" t="s">
        <v>34</v>
      </c>
      <c r="E8084">
        <v>1276</v>
      </c>
      <c r="F8084">
        <v>2</v>
      </c>
      <c r="G8084">
        <v>2</v>
      </c>
      <c r="H8084">
        <v>1</v>
      </c>
      <c r="I8084">
        <v>0</v>
      </c>
      <c r="J8084">
        <v>0.98550724637681197</v>
      </c>
      <c r="K8084">
        <v>1</v>
      </c>
      <c r="L8084">
        <v>0.99270072992700698</v>
      </c>
      <c r="M8084">
        <v>0.97971014492753605</v>
      </c>
      <c r="N8084">
        <v>0.97971014492753605</v>
      </c>
      <c r="O8084">
        <v>0.97971014492753605</v>
      </c>
      <c r="AF8084" t="s">
        <v>16247</v>
      </c>
    </row>
    <row r="8085" spans="1:32" hidden="1" x14ac:dyDescent="0.35">
      <c r="A8085">
        <v>8084</v>
      </c>
      <c r="B8085" t="s">
        <v>16246</v>
      </c>
      <c r="C8085" t="s">
        <v>68</v>
      </c>
      <c r="D8085" t="s">
        <v>45</v>
      </c>
      <c r="E8085">
        <v>27</v>
      </c>
      <c r="F8085">
        <v>2</v>
      </c>
      <c r="G8085">
        <v>2</v>
      </c>
      <c r="H8085">
        <v>1</v>
      </c>
      <c r="I8085">
        <v>0</v>
      </c>
      <c r="J8085">
        <v>0.98550724637681197</v>
      </c>
      <c r="K8085">
        <v>1</v>
      </c>
      <c r="L8085">
        <v>0.99270072992700698</v>
      </c>
      <c r="M8085">
        <v>0.97971014492753605</v>
      </c>
      <c r="N8085">
        <v>0.97971014492753605</v>
      </c>
      <c r="O8085">
        <v>0.97971014492753605</v>
      </c>
      <c r="AF8085" t="s">
        <v>16248</v>
      </c>
    </row>
    <row r="8086" spans="1:32" hidden="1" x14ac:dyDescent="0.35">
      <c r="A8086">
        <v>8085</v>
      </c>
      <c r="B8086" t="s">
        <v>16249</v>
      </c>
      <c r="C8086" t="s">
        <v>68</v>
      </c>
      <c r="D8086" t="s">
        <v>60</v>
      </c>
      <c r="E8086">
        <v>1345</v>
      </c>
      <c r="F8086">
        <v>2</v>
      </c>
      <c r="G8086">
        <v>2</v>
      </c>
      <c r="H8086">
        <v>1</v>
      </c>
      <c r="I8086">
        <v>0</v>
      </c>
      <c r="J8086">
        <v>0.981566820276498</v>
      </c>
      <c r="K8086">
        <v>1</v>
      </c>
      <c r="L8086">
        <v>0.99069767441860501</v>
      </c>
      <c r="M8086">
        <v>0.981566820276498</v>
      </c>
      <c r="N8086">
        <v>0.981566820276498</v>
      </c>
      <c r="O8086">
        <v>0.981566820276498</v>
      </c>
      <c r="P8086" t="s">
        <v>2574</v>
      </c>
      <c r="Q8086" t="s">
        <v>2575</v>
      </c>
      <c r="R8086" t="s">
        <v>1498</v>
      </c>
      <c r="S8086" t="s">
        <v>1499</v>
      </c>
      <c r="V8086" t="s">
        <v>1500</v>
      </c>
      <c r="W8086" t="s">
        <v>1501</v>
      </c>
      <c r="AF8086" t="s">
        <v>16250</v>
      </c>
    </row>
    <row r="8087" spans="1:32" hidden="1" x14ac:dyDescent="0.35">
      <c r="A8087">
        <v>8086</v>
      </c>
      <c r="B8087" t="s">
        <v>16249</v>
      </c>
      <c r="C8087" t="s">
        <v>68</v>
      </c>
      <c r="D8087" t="s">
        <v>62</v>
      </c>
      <c r="E8087">
        <v>1381</v>
      </c>
      <c r="F8087">
        <v>2</v>
      </c>
      <c r="G8087">
        <v>2</v>
      </c>
      <c r="H8087">
        <v>1</v>
      </c>
      <c r="I8087">
        <v>0</v>
      </c>
      <c r="J8087">
        <v>0.981566820276498</v>
      </c>
      <c r="K8087">
        <v>1</v>
      </c>
      <c r="L8087">
        <v>0.99069767441860501</v>
      </c>
      <c r="M8087">
        <v>0.981566820276498</v>
      </c>
      <c r="N8087">
        <v>0.981566820276498</v>
      </c>
      <c r="O8087">
        <v>0.981566820276498</v>
      </c>
      <c r="P8087" t="s">
        <v>2574</v>
      </c>
      <c r="Q8087" t="s">
        <v>2575</v>
      </c>
      <c r="R8087" t="s">
        <v>1498</v>
      </c>
      <c r="S8087" t="s">
        <v>1499</v>
      </c>
      <c r="V8087" t="s">
        <v>1500</v>
      </c>
      <c r="W8087" t="s">
        <v>1501</v>
      </c>
      <c r="AF8087" t="s">
        <v>16251</v>
      </c>
    </row>
    <row r="8088" spans="1:32" hidden="1" x14ac:dyDescent="0.35">
      <c r="A8088">
        <v>8087</v>
      </c>
      <c r="B8088" t="s">
        <v>16252</v>
      </c>
      <c r="C8088" t="s">
        <v>68</v>
      </c>
      <c r="D8088" t="s">
        <v>60</v>
      </c>
      <c r="E8088">
        <v>147</v>
      </c>
      <c r="F8088">
        <v>2</v>
      </c>
      <c r="G8088">
        <v>2</v>
      </c>
      <c r="H8088">
        <v>1</v>
      </c>
      <c r="I8088">
        <v>0</v>
      </c>
      <c r="J8088">
        <v>0.98315602836879401</v>
      </c>
      <c r="K8088">
        <v>1</v>
      </c>
      <c r="L8088">
        <v>0.99150648189539603</v>
      </c>
      <c r="M8088">
        <v>0.97872340425531901</v>
      </c>
      <c r="N8088">
        <v>0.97872340425531901</v>
      </c>
      <c r="O8088">
        <v>0.97872340425531901</v>
      </c>
      <c r="P8088" t="s">
        <v>12327</v>
      </c>
      <c r="Q8088" t="s">
        <v>12328</v>
      </c>
      <c r="R8088" t="s">
        <v>371</v>
      </c>
      <c r="S8088" t="s">
        <v>372</v>
      </c>
      <c r="T8088" t="s">
        <v>16253</v>
      </c>
      <c r="U8088" t="s">
        <v>16254</v>
      </c>
      <c r="V8088" t="s">
        <v>16255</v>
      </c>
      <c r="W8088" t="s">
        <v>16256</v>
      </c>
      <c r="AD8088" t="s">
        <v>3961</v>
      </c>
      <c r="AE8088" t="s">
        <v>3962</v>
      </c>
      <c r="AF8088" t="s">
        <v>16257</v>
      </c>
    </row>
    <row r="8089" spans="1:32" hidden="1" x14ac:dyDescent="0.35">
      <c r="A8089">
        <v>8088</v>
      </c>
      <c r="B8089" t="s">
        <v>16252</v>
      </c>
      <c r="C8089" t="s">
        <v>68</v>
      </c>
      <c r="D8089" t="s">
        <v>62</v>
      </c>
      <c r="E8089">
        <v>223</v>
      </c>
      <c r="F8089">
        <v>2</v>
      </c>
      <c r="G8089">
        <v>2</v>
      </c>
      <c r="H8089">
        <v>1</v>
      </c>
      <c r="I8089">
        <v>0</v>
      </c>
      <c r="J8089">
        <v>0.98315602836879401</v>
      </c>
      <c r="K8089">
        <v>1</v>
      </c>
      <c r="L8089">
        <v>0.99150648189539603</v>
      </c>
      <c r="M8089">
        <v>0.97872340425531901</v>
      </c>
      <c r="N8089">
        <v>0.97872340425531901</v>
      </c>
      <c r="O8089">
        <v>0.97872340425531901</v>
      </c>
      <c r="P8089" t="s">
        <v>12327</v>
      </c>
      <c r="Q8089" t="s">
        <v>12328</v>
      </c>
      <c r="R8089" t="s">
        <v>371</v>
      </c>
      <c r="S8089" t="s">
        <v>372</v>
      </c>
      <c r="T8089" t="s">
        <v>16253</v>
      </c>
      <c r="U8089" t="s">
        <v>16254</v>
      </c>
      <c r="V8089" t="s">
        <v>16255</v>
      </c>
      <c r="W8089" t="s">
        <v>16256</v>
      </c>
      <c r="AD8089" t="s">
        <v>3961</v>
      </c>
      <c r="AE8089" t="s">
        <v>3962</v>
      </c>
      <c r="AF8089" t="s">
        <v>16258</v>
      </c>
    </row>
    <row r="8090" spans="1:32" hidden="1" x14ac:dyDescent="0.35">
      <c r="A8090">
        <v>8089</v>
      </c>
      <c r="B8090" t="s">
        <v>16259</v>
      </c>
      <c r="C8090" t="s">
        <v>68</v>
      </c>
      <c r="D8090" t="s">
        <v>60</v>
      </c>
      <c r="E8090">
        <v>237</v>
      </c>
      <c r="F8090">
        <v>2</v>
      </c>
      <c r="G8090">
        <v>2</v>
      </c>
      <c r="H8090">
        <v>1</v>
      </c>
      <c r="I8090">
        <v>0</v>
      </c>
      <c r="J8090">
        <v>0.99668089141773397</v>
      </c>
      <c r="K8090">
        <v>1</v>
      </c>
      <c r="L8090">
        <v>0.99833768701021097</v>
      </c>
      <c r="M8090">
        <v>0.99573257467994303</v>
      </c>
      <c r="N8090">
        <v>0.99573257467994303</v>
      </c>
      <c r="O8090">
        <v>0.99573257467994303</v>
      </c>
      <c r="P8090" t="s">
        <v>1531</v>
      </c>
      <c r="Q8090" t="s">
        <v>1532</v>
      </c>
      <c r="R8090" t="s">
        <v>8778</v>
      </c>
      <c r="S8090" t="s">
        <v>8779</v>
      </c>
      <c r="V8090" t="s">
        <v>14006</v>
      </c>
      <c r="W8090" t="s">
        <v>14007</v>
      </c>
      <c r="AF8090" t="s">
        <v>16260</v>
      </c>
    </row>
    <row r="8091" spans="1:32" hidden="1" x14ac:dyDescent="0.35">
      <c r="A8091">
        <v>8090</v>
      </c>
      <c r="B8091" t="s">
        <v>16259</v>
      </c>
      <c r="C8091" t="s">
        <v>68</v>
      </c>
      <c r="D8091" t="s">
        <v>62</v>
      </c>
      <c r="E8091">
        <v>314</v>
      </c>
      <c r="F8091">
        <v>2</v>
      </c>
      <c r="G8091">
        <v>2</v>
      </c>
      <c r="H8091">
        <v>1</v>
      </c>
      <c r="I8091">
        <v>0</v>
      </c>
      <c r="J8091">
        <v>0.99668089141773397</v>
      </c>
      <c r="K8091">
        <v>1</v>
      </c>
      <c r="L8091">
        <v>0.99833768701021097</v>
      </c>
      <c r="M8091">
        <v>0.99573257467994303</v>
      </c>
      <c r="N8091">
        <v>0.99573257467994303</v>
      </c>
      <c r="O8091">
        <v>0.99573257467994303</v>
      </c>
      <c r="P8091" t="s">
        <v>1531</v>
      </c>
      <c r="Q8091" t="s">
        <v>1532</v>
      </c>
      <c r="R8091" t="s">
        <v>8778</v>
      </c>
      <c r="S8091" t="s">
        <v>8779</v>
      </c>
      <c r="V8091" t="s">
        <v>14006</v>
      </c>
      <c r="W8091" t="s">
        <v>14007</v>
      </c>
      <c r="AF8091" t="s">
        <v>16261</v>
      </c>
    </row>
    <row r="8092" spans="1:32" hidden="1" x14ac:dyDescent="0.35">
      <c r="A8092">
        <v>8091</v>
      </c>
      <c r="B8092" t="s">
        <v>16262</v>
      </c>
      <c r="C8092" t="s">
        <v>68</v>
      </c>
      <c r="D8092" t="s">
        <v>34</v>
      </c>
      <c r="E8092">
        <v>531</v>
      </c>
      <c r="F8092">
        <v>2</v>
      </c>
      <c r="G8092">
        <v>2</v>
      </c>
      <c r="H8092">
        <v>1</v>
      </c>
      <c r="I8092">
        <v>0</v>
      </c>
      <c r="J8092">
        <v>0.98989898989898994</v>
      </c>
      <c r="K8092">
        <v>1</v>
      </c>
      <c r="L8092">
        <v>0.99492385786801996</v>
      </c>
      <c r="M8092">
        <v>0.98989898989898994</v>
      </c>
      <c r="N8092">
        <v>0.98989898989898994</v>
      </c>
      <c r="O8092">
        <v>0.98989898989898994</v>
      </c>
      <c r="AF8092" t="s">
        <v>16263</v>
      </c>
    </row>
    <row r="8093" spans="1:32" hidden="1" x14ac:dyDescent="0.35">
      <c r="A8093">
        <v>8092</v>
      </c>
      <c r="B8093" t="s">
        <v>16262</v>
      </c>
      <c r="C8093" t="s">
        <v>68</v>
      </c>
      <c r="D8093" t="s">
        <v>45</v>
      </c>
      <c r="E8093">
        <v>1797</v>
      </c>
      <c r="F8093">
        <v>2</v>
      </c>
      <c r="G8093">
        <v>2</v>
      </c>
      <c r="H8093">
        <v>1</v>
      </c>
      <c r="I8093">
        <v>0</v>
      </c>
      <c r="J8093">
        <v>0.98989898989898994</v>
      </c>
      <c r="K8093">
        <v>1</v>
      </c>
      <c r="L8093">
        <v>0.99492385786801996</v>
      </c>
      <c r="M8093">
        <v>0.98989898989898994</v>
      </c>
      <c r="N8093">
        <v>0.98989898989898994</v>
      </c>
      <c r="O8093">
        <v>0.98989898989898994</v>
      </c>
      <c r="AF8093" t="s">
        <v>16264</v>
      </c>
    </row>
    <row r="8094" spans="1:32" hidden="1" x14ac:dyDescent="0.35">
      <c r="A8094">
        <v>8093</v>
      </c>
      <c r="B8094" t="s">
        <v>16265</v>
      </c>
      <c r="C8094" t="s">
        <v>68</v>
      </c>
      <c r="D8094" t="s">
        <v>60</v>
      </c>
      <c r="E8094">
        <v>1255</v>
      </c>
      <c r="F8094">
        <v>2</v>
      </c>
      <c r="G8094">
        <v>2</v>
      </c>
      <c r="H8094">
        <v>1</v>
      </c>
      <c r="I8094">
        <v>0</v>
      </c>
      <c r="J8094">
        <v>0.97666666666666702</v>
      </c>
      <c r="K8094">
        <v>1</v>
      </c>
      <c r="L8094">
        <v>0.98819561551433399</v>
      </c>
      <c r="M8094">
        <v>0.97</v>
      </c>
      <c r="N8094">
        <v>0.97</v>
      </c>
      <c r="O8094">
        <v>0.97</v>
      </c>
      <c r="AF8094" t="s">
        <v>16266</v>
      </c>
    </row>
    <row r="8095" spans="1:32" hidden="1" x14ac:dyDescent="0.35">
      <c r="A8095">
        <v>8094</v>
      </c>
      <c r="B8095" t="s">
        <v>16265</v>
      </c>
      <c r="C8095" t="s">
        <v>68</v>
      </c>
      <c r="D8095" t="s">
        <v>62</v>
      </c>
      <c r="E8095">
        <v>1292</v>
      </c>
      <c r="F8095">
        <v>2</v>
      </c>
      <c r="G8095">
        <v>2</v>
      </c>
      <c r="H8095">
        <v>1</v>
      </c>
      <c r="I8095">
        <v>0</v>
      </c>
      <c r="J8095">
        <v>0.97666666666666702</v>
      </c>
      <c r="K8095">
        <v>1</v>
      </c>
      <c r="L8095">
        <v>0.98819561551433399</v>
      </c>
      <c r="M8095">
        <v>0.97</v>
      </c>
      <c r="N8095">
        <v>0.97</v>
      </c>
      <c r="O8095">
        <v>0.97</v>
      </c>
      <c r="AF8095" t="s">
        <v>16267</v>
      </c>
    </row>
    <row r="8096" spans="1:32" hidden="1" x14ac:dyDescent="0.35">
      <c r="A8096">
        <v>8095</v>
      </c>
      <c r="B8096" t="s">
        <v>16268</v>
      </c>
      <c r="C8096" t="s">
        <v>68</v>
      </c>
      <c r="D8096" t="s">
        <v>34</v>
      </c>
      <c r="E8096">
        <v>889</v>
      </c>
      <c r="F8096">
        <v>2</v>
      </c>
      <c r="G8096">
        <v>2</v>
      </c>
      <c r="H8096">
        <v>1</v>
      </c>
      <c r="I8096">
        <v>0</v>
      </c>
      <c r="J8096">
        <v>0.97940074906367003</v>
      </c>
      <c r="K8096">
        <v>0.99258582376275195</v>
      </c>
      <c r="L8096">
        <v>0.98594920746327896</v>
      </c>
      <c r="M8096">
        <v>0.96840148698884798</v>
      </c>
      <c r="N8096">
        <v>0.96840148698884798</v>
      </c>
      <c r="O8096">
        <v>0.96840148698884798</v>
      </c>
      <c r="AF8096" t="s">
        <v>16269</v>
      </c>
    </row>
    <row r="8097" spans="1:32" hidden="1" x14ac:dyDescent="0.35">
      <c r="A8097">
        <v>8096</v>
      </c>
      <c r="B8097" t="s">
        <v>16268</v>
      </c>
      <c r="C8097" t="s">
        <v>68</v>
      </c>
      <c r="D8097" t="s">
        <v>45</v>
      </c>
      <c r="E8097">
        <v>2146</v>
      </c>
      <c r="F8097">
        <v>2</v>
      </c>
      <c r="G8097">
        <v>2</v>
      </c>
      <c r="H8097">
        <v>1</v>
      </c>
      <c r="I8097">
        <v>0</v>
      </c>
      <c r="J8097">
        <v>0.97940074906367003</v>
      </c>
      <c r="K8097">
        <v>0.99258582376275195</v>
      </c>
      <c r="L8097">
        <v>0.98594920746327896</v>
      </c>
      <c r="M8097">
        <v>0.96840148698884798</v>
      </c>
      <c r="N8097">
        <v>0.96840148698884798</v>
      </c>
      <c r="O8097">
        <v>0.96840148698884798</v>
      </c>
      <c r="AF8097" t="s">
        <v>16270</v>
      </c>
    </row>
    <row r="8098" spans="1:32" hidden="1" x14ac:dyDescent="0.35">
      <c r="A8098">
        <v>8097</v>
      </c>
      <c r="B8098" t="s">
        <v>16271</v>
      </c>
      <c r="C8098" t="s">
        <v>68</v>
      </c>
      <c r="D8098" t="s">
        <v>60</v>
      </c>
      <c r="E8098">
        <v>127</v>
      </c>
      <c r="F8098">
        <v>2</v>
      </c>
      <c r="G8098">
        <v>2</v>
      </c>
      <c r="H8098">
        <v>1</v>
      </c>
      <c r="I8098">
        <v>0</v>
      </c>
      <c r="J8098">
        <v>0.99182004089979503</v>
      </c>
      <c r="K8098">
        <v>1</v>
      </c>
      <c r="L8098">
        <v>0.99589322381930201</v>
      </c>
      <c r="M8098">
        <v>0.98773006134969299</v>
      </c>
      <c r="N8098">
        <v>0.98773006134969299</v>
      </c>
      <c r="O8098">
        <v>0.98773006134969299</v>
      </c>
      <c r="AF8098" t="s">
        <v>16272</v>
      </c>
    </row>
    <row r="8099" spans="1:32" hidden="1" x14ac:dyDescent="0.35">
      <c r="A8099">
        <v>8098</v>
      </c>
      <c r="B8099" t="s">
        <v>16271</v>
      </c>
      <c r="C8099" t="s">
        <v>68</v>
      </c>
      <c r="D8099" t="s">
        <v>62</v>
      </c>
      <c r="E8099">
        <v>199</v>
      </c>
      <c r="F8099">
        <v>2</v>
      </c>
      <c r="G8099">
        <v>2</v>
      </c>
      <c r="H8099">
        <v>1</v>
      </c>
      <c r="I8099">
        <v>0</v>
      </c>
      <c r="J8099">
        <v>0.99182004089979503</v>
      </c>
      <c r="K8099">
        <v>1</v>
      </c>
      <c r="L8099">
        <v>0.99589322381930201</v>
      </c>
      <c r="M8099">
        <v>0.98773006134969299</v>
      </c>
      <c r="N8099">
        <v>0.98773006134969299</v>
      </c>
      <c r="O8099">
        <v>0.98773006134969299</v>
      </c>
      <c r="AF8099" t="s">
        <v>16273</v>
      </c>
    </row>
    <row r="8100" spans="1:32" hidden="1" x14ac:dyDescent="0.35">
      <c r="A8100">
        <v>8099</v>
      </c>
      <c r="B8100" t="s">
        <v>16274</v>
      </c>
      <c r="C8100" t="s">
        <v>68</v>
      </c>
      <c r="D8100" t="s">
        <v>34</v>
      </c>
      <c r="E8100">
        <v>1834</v>
      </c>
      <c r="F8100">
        <v>2</v>
      </c>
      <c r="G8100">
        <v>2</v>
      </c>
      <c r="H8100">
        <v>1</v>
      </c>
      <c r="I8100">
        <v>0</v>
      </c>
      <c r="J8100">
        <v>0.99462365591397806</v>
      </c>
      <c r="K8100">
        <v>1</v>
      </c>
      <c r="L8100">
        <v>0.99730458221024298</v>
      </c>
      <c r="M8100">
        <v>0.99462365591397806</v>
      </c>
      <c r="N8100">
        <v>0.99462365591397806</v>
      </c>
      <c r="O8100">
        <v>0.99462365591397806</v>
      </c>
      <c r="P8100" t="s">
        <v>10222</v>
      </c>
      <c r="Q8100" t="s">
        <v>10223</v>
      </c>
      <c r="R8100" t="s">
        <v>10224</v>
      </c>
      <c r="S8100" t="s">
        <v>10225</v>
      </c>
      <c r="V8100" t="s">
        <v>10228</v>
      </c>
      <c r="W8100" t="s">
        <v>10229</v>
      </c>
      <c r="AF8100" t="s">
        <v>16275</v>
      </c>
    </row>
    <row r="8101" spans="1:32" hidden="1" x14ac:dyDescent="0.35">
      <c r="A8101">
        <v>8100</v>
      </c>
      <c r="B8101" t="s">
        <v>16274</v>
      </c>
      <c r="C8101" t="s">
        <v>68</v>
      </c>
      <c r="D8101" t="s">
        <v>45</v>
      </c>
      <c r="E8101">
        <v>1039</v>
      </c>
      <c r="F8101">
        <v>2</v>
      </c>
      <c r="G8101">
        <v>2</v>
      </c>
      <c r="H8101">
        <v>1</v>
      </c>
      <c r="I8101">
        <v>0</v>
      </c>
      <c r="J8101">
        <v>0.99462365591397806</v>
      </c>
      <c r="K8101">
        <v>1</v>
      </c>
      <c r="L8101">
        <v>0.99730458221024298</v>
      </c>
      <c r="M8101">
        <v>0.99462365591397806</v>
      </c>
      <c r="N8101">
        <v>0.99462365591397806</v>
      </c>
      <c r="O8101">
        <v>0.99462365591397806</v>
      </c>
      <c r="P8101" t="s">
        <v>10222</v>
      </c>
      <c r="Q8101" t="s">
        <v>10223</v>
      </c>
      <c r="R8101" t="s">
        <v>10224</v>
      </c>
      <c r="S8101" t="s">
        <v>10225</v>
      </c>
      <c r="V8101" t="s">
        <v>10228</v>
      </c>
      <c r="W8101" t="s">
        <v>10229</v>
      </c>
      <c r="AF8101" t="s">
        <v>16276</v>
      </c>
    </row>
    <row r="8102" spans="1:32" hidden="1" x14ac:dyDescent="0.35">
      <c r="A8102">
        <v>8101</v>
      </c>
      <c r="B8102" t="s">
        <v>16277</v>
      </c>
      <c r="C8102" t="s">
        <v>68</v>
      </c>
      <c r="D8102" t="s">
        <v>34</v>
      </c>
      <c r="E8102">
        <v>1240</v>
      </c>
      <c r="F8102">
        <v>2</v>
      </c>
      <c r="G8102">
        <v>2</v>
      </c>
      <c r="H8102">
        <v>1</v>
      </c>
      <c r="I8102">
        <v>0</v>
      </c>
      <c r="J8102">
        <v>0.98116760828625205</v>
      </c>
      <c r="K8102">
        <v>1</v>
      </c>
      <c r="L8102">
        <v>0.99049429657794696</v>
      </c>
      <c r="M8102">
        <v>0.97740112994350303</v>
      </c>
      <c r="N8102">
        <v>0.97740112994350303</v>
      </c>
      <c r="O8102">
        <v>0.97740112994350303</v>
      </c>
      <c r="R8102" t="s">
        <v>1474</v>
      </c>
      <c r="S8102" t="s">
        <v>1475</v>
      </c>
      <c r="V8102" t="s">
        <v>16278</v>
      </c>
      <c r="W8102" t="s">
        <v>16279</v>
      </c>
      <c r="AF8102" t="s">
        <v>16280</v>
      </c>
    </row>
    <row r="8103" spans="1:32" hidden="1" x14ac:dyDescent="0.35">
      <c r="A8103">
        <v>8102</v>
      </c>
      <c r="B8103" t="s">
        <v>16277</v>
      </c>
      <c r="C8103" t="s">
        <v>68</v>
      </c>
      <c r="D8103" t="s">
        <v>45</v>
      </c>
      <c r="E8103">
        <v>2484</v>
      </c>
      <c r="F8103">
        <v>2</v>
      </c>
      <c r="G8103">
        <v>2</v>
      </c>
      <c r="H8103">
        <v>1</v>
      </c>
      <c r="I8103">
        <v>0</v>
      </c>
      <c r="J8103">
        <v>0.98116760828625205</v>
      </c>
      <c r="K8103">
        <v>1</v>
      </c>
      <c r="L8103">
        <v>0.99049429657794696</v>
      </c>
      <c r="M8103">
        <v>0.97740112994350303</v>
      </c>
      <c r="N8103">
        <v>0.97740112994350303</v>
      </c>
      <c r="O8103">
        <v>0.97740112994350303</v>
      </c>
      <c r="R8103" t="s">
        <v>1474</v>
      </c>
      <c r="S8103" t="s">
        <v>1475</v>
      </c>
      <c r="V8103" t="s">
        <v>16278</v>
      </c>
      <c r="W8103" t="s">
        <v>16279</v>
      </c>
      <c r="AF8103" t="s">
        <v>16281</v>
      </c>
    </row>
    <row r="8104" spans="1:32" hidden="1" x14ac:dyDescent="0.35">
      <c r="A8104">
        <v>8103</v>
      </c>
      <c r="B8104" t="s">
        <v>16282</v>
      </c>
      <c r="C8104" t="s">
        <v>68</v>
      </c>
      <c r="D8104" t="s">
        <v>34</v>
      </c>
      <c r="E8104">
        <v>47</v>
      </c>
      <c r="F8104">
        <v>2</v>
      </c>
      <c r="G8104">
        <v>2</v>
      </c>
      <c r="H8104">
        <v>1</v>
      </c>
      <c r="I8104">
        <v>0</v>
      </c>
      <c r="J8104">
        <v>0.97318007662835204</v>
      </c>
      <c r="K8104">
        <v>1</v>
      </c>
      <c r="L8104">
        <v>0.98640776699029098</v>
      </c>
      <c r="M8104">
        <v>0.97126436781609204</v>
      </c>
      <c r="N8104">
        <v>0.97126436781609204</v>
      </c>
      <c r="O8104">
        <v>0.97126436781609204</v>
      </c>
      <c r="AF8104" t="s">
        <v>16283</v>
      </c>
    </row>
    <row r="8105" spans="1:32" hidden="1" x14ac:dyDescent="0.35">
      <c r="A8105">
        <v>8104</v>
      </c>
      <c r="B8105" t="s">
        <v>16282</v>
      </c>
      <c r="C8105" t="s">
        <v>68</v>
      </c>
      <c r="D8105" t="s">
        <v>45</v>
      </c>
      <c r="E8105">
        <v>1304</v>
      </c>
      <c r="F8105">
        <v>2</v>
      </c>
      <c r="G8105">
        <v>2</v>
      </c>
      <c r="H8105">
        <v>1</v>
      </c>
      <c r="I8105">
        <v>0</v>
      </c>
      <c r="J8105">
        <v>0.97318007662835204</v>
      </c>
      <c r="K8105">
        <v>1</v>
      </c>
      <c r="L8105">
        <v>0.98640776699029098</v>
      </c>
      <c r="M8105">
        <v>0.97126436781609204</v>
      </c>
      <c r="N8105">
        <v>0.97126436781609204</v>
      </c>
      <c r="O8105">
        <v>0.97126436781609204</v>
      </c>
      <c r="AF8105" t="s">
        <v>16284</v>
      </c>
    </row>
    <row r="8106" spans="1:32" hidden="1" x14ac:dyDescent="0.35">
      <c r="A8106">
        <v>8105</v>
      </c>
      <c r="B8106" t="s">
        <v>16285</v>
      </c>
      <c r="C8106" t="s">
        <v>68</v>
      </c>
      <c r="D8106" t="s">
        <v>60</v>
      </c>
      <c r="E8106">
        <v>2473</v>
      </c>
      <c r="F8106">
        <v>2</v>
      </c>
      <c r="G8106">
        <v>2</v>
      </c>
      <c r="H8106">
        <v>1</v>
      </c>
      <c r="I8106">
        <v>0</v>
      </c>
      <c r="J8106">
        <v>0.99532312925170097</v>
      </c>
      <c r="K8106">
        <v>1</v>
      </c>
      <c r="L8106">
        <v>0.99765608352865998</v>
      </c>
      <c r="M8106">
        <v>0.99362244897959195</v>
      </c>
      <c r="N8106">
        <v>0.99362244897959195</v>
      </c>
      <c r="O8106">
        <v>0.99362244897959195</v>
      </c>
      <c r="AF8106" t="s">
        <v>16286</v>
      </c>
    </row>
    <row r="8107" spans="1:32" hidden="1" x14ac:dyDescent="0.35">
      <c r="A8107">
        <v>8106</v>
      </c>
      <c r="B8107" t="s">
        <v>16285</v>
      </c>
      <c r="C8107" t="s">
        <v>68</v>
      </c>
      <c r="D8107" t="s">
        <v>62</v>
      </c>
      <c r="E8107">
        <v>2499</v>
      </c>
      <c r="F8107">
        <v>2</v>
      </c>
      <c r="G8107">
        <v>2</v>
      </c>
      <c r="H8107">
        <v>1</v>
      </c>
      <c r="I8107">
        <v>0</v>
      </c>
      <c r="J8107">
        <v>0.99532312925170097</v>
      </c>
      <c r="K8107">
        <v>1</v>
      </c>
      <c r="L8107">
        <v>0.99765608352865998</v>
      </c>
      <c r="M8107">
        <v>0.99362244897959195</v>
      </c>
      <c r="N8107">
        <v>0.99362244897959195</v>
      </c>
      <c r="O8107">
        <v>0.99362244897959195</v>
      </c>
      <c r="AF8107" t="s">
        <v>16287</v>
      </c>
    </row>
    <row r="8108" spans="1:32" hidden="1" x14ac:dyDescent="0.35">
      <c r="A8108">
        <v>8107</v>
      </c>
      <c r="B8108" t="s">
        <v>16288</v>
      </c>
      <c r="C8108" t="s">
        <v>68</v>
      </c>
      <c r="D8108" t="s">
        <v>60</v>
      </c>
      <c r="E8108">
        <v>1735</v>
      </c>
      <c r="F8108">
        <v>2</v>
      </c>
      <c r="G8108">
        <v>2</v>
      </c>
      <c r="H8108">
        <v>1</v>
      </c>
      <c r="I8108">
        <v>0</v>
      </c>
      <c r="J8108">
        <v>0.99689922480620197</v>
      </c>
      <c r="K8108">
        <v>1</v>
      </c>
      <c r="L8108">
        <v>0.99844720496894401</v>
      </c>
      <c r="M8108">
        <v>0.99534883720930201</v>
      </c>
      <c r="N8108">
        <v>0.99534883720930201</v>
      </c>
      <c r="O8108">
        <v>0.99534883720930201</v>
      </c>
      <c r="AF8108" t="s">
        <v>16289</v>
      </c>
    </row>
    <row r="8109" spans="1:32" hidden="1" x14ac:dyDescent="0.35">
      <c r="A8109">
        <v>8108</v>
      </c>
      <c r="B8109" t="s">
        <v>16288</v>
      </c>
      <c r="C8109" t="s">
        <v>68</v>
      </c>
      <c r="D8109" t="s">
        <v>62</v>
      </c>
      <c r="E8109">
        <v>1772</v>
      </c>
      <c r="F8109">
        <v>2</v>
      </c>
      <c r="G8109">
        <v>2</v>
      </c>
      <c r="H8109">
        <v>1</v>
      </c>
      <c r="I8109">
        <v>0</v>
      </c>
      <c r="J8109">
        <v>0.99689922480620197</v>
      </c>
      <c r="K8109">
        <v>1</v>
      </c>
      <c r="L8109">
        <v>0.99844720496894401</v>
      </c>
      <c r="M8109">
        <v>0.99534883720930201</v>
      </c>
      <c r="N8109">
        <v>0.99534883720930201</v>
      </c>
      <c r="O8109">
        <v>0.99534883720930201</v>
      </c>
      <c r="AF8109" t="s">
        <v>16290</v>
      </c>
    </row>
    <row r="8110" spans="1:32" hidden="1" x14ac:dyDescent="0.35">
      <c r="A8110">
        <v>8109</v>
      </c>
      <c r="B8110" t="s">
        <v>16291</v>
      </c>
      <c r="C8110" t="s">
        <v>68</v>
      </c>
      <c r="D8110" t="s">
        <v>34</v>
      </c>
      <c r="E8110">
        <v>1410</v>
      </c>
      <c r="F8110">
        <v>2</v>
      </c>
      <c r="G8110">
        <v>2</v>
      </c>
      <c r="H8110">
        <v>1</v>
      </c>
      <c r="I8110">
        <v>0</v>
      </c>
      <c r="J8110">
        <v>0.98941798941798897</v>
      </c>
      <c r="K8110">
        <v>1</v>
      </c>
      <c r="L8110">
        <v>0.99468085106382997</v>
      </c>
      <c r="M8110">
        <v>0.98730158730158701</v>
      </c>
      <c r="N8110">
        <v>0.98730158730158701</v>
      </c>
      <c r="O8110">
        <v>0.98730158730158701</v>
      </c>
      <c r="P8110" t="s">
        <v>16292</v>
      </c>
      <c r="Q8110" t="s">
        <v>16293</v>
      </c>
      <c r="T8110" t="s">
        <v>16294</v>
      </c>
      <c r="U8110" t="s">
        <v>16295</v>
      </c>
      <c r="AD8110" t="s">
        <v>219</v>
      </c>
      <c r="AE8110" t="s">
        <v>16296</v>
      </c>
      <c r="AF8110" t="s">
        <v>16297</v>
      </c>
    </row>
    <row r="8111" spans="1:32" hidden="1" x14ac:dyDescent="0.35">
      <c r="A8111">
        <v>8110</v>
      </c>
      <c r="B8111" t="s">
        <v>16291</v>
      </c>
      <c r="C8111" t="s">
        <v>68</v>
      </c>
      <c r="D8111" t="s">
        <v>45</v>
      </c>
      <c r="E8111">
        <v>161</v>
      </c>
      <c r="F8111">
        <v>2</v>
      </c>
      <c r="G8111">
        <v>2</v>
      </c>
      <c r="H8111">
        <v>1</v>
      </c>
      <c r="I8111">
        <v>0</v>
      </c>
      <c r="J8111">
        <v>0.98941798941798897</v>
      </c>
      <c r="K8111">
        <v>1</v>
      </c>
      <c r="L8111">
        <v>0.99468085106382997</v>
      </c>
      <c r="M8111">
        <v>0.98730158730158701</v>
      </c>
      <c r="N8111">
        <v>0.98730158730158701</v>
      </c>
      <c r="O8111">
        <v>0.98730158730158701</v>
      </c>
      <c r="P8111" t="s">
        <v>16292</v>
      </c>
      <c r="Q8111" t="s">
        <v>16293</v>
      </c>
      <c r="T8111" t="s">
        <v>16294</v>
      </c>
      <c r="U8111" t="s">
        <v>16295</v>
      </c>
      <c r="AD8111" t="s">
        <v>219</v>
      </c>
      <c r="AE8111" t="s">
        <v>16296</v>
      </c>
      <c r="AF8111" t="s">
        <v>16298</v>
      </c>
    </row>
    <row r="8112" spans="1:32" hidden="1" x14ac:dyDescent="0.35">
      <c r="A8112">
        <v>8111</v>
      </c>
      <c r="B8112" t="s">
        <v>16299</v>
      </c>
      <c r="C8112" t="s">
        <v>68</v>
      </c>
      <c r="D8112" t="s">
        <v>60</v>
      </c>
      <c r="E8112">
        <v>2239</v>
      </c>
      <c r="F8112">
        <v>2</v>
      </c>
      <c r="G8112">
        <v>2</v>
      </c>
      <c r="H8112">
        <v>1</v>
      </c>
      <c r="I8112">
        <v>0</v>
      </c>
      <c r="J8112">
        <v>0.95652173913043503</v>
      </c>
      <c r="K8112">
        <v>1</v>
      </c>
      <c r="L8112">
        <v>0.97777777777777797</v>
      </c>
      <c r="M8112">
        <v>0.94409937888198803</v>
      </c>
      <c r="N8112">
        <v>0.94409937888198803</v>
      </c>
      <c r="O8112">
        <v>0.94409937888198803</v>
      </c>
      <c r="AF8112" t="s">
        <v>16300</v>
      </c>
    </row>
    <row r="8113" spans="1:32" hidden="1" x14ac:dyDescent="0.35">
      <c r="A8113">
        <v>8112</v>
      </c>
      <c r="B8113" t="s">
        <v>16299</v>
      </c>
      <c r="C8113" t="s">
        <v>68</v>
      </c>
      <c r="D8113" t="s">
        <v>62</v>
      </c>
      <c r="E8113">
        <v>2269</v>
      </c>
      <c r="F8113">
        <v>2</v>
      </c>
      <c r="G8113">
        <v>2</v>
      </c>
      <c r="H8113">
        <v>1</v>
      </c>
      <c r="I8113">
        <v>0</v>
      </c>
      <c r="J8113">
        <v>0.95652173913043503</v>
      </c>
      <c r="K8113">
        <v>1</v>
      </c>
      <c r="L8113">
        <v>0.97777777777777797</v>
      </c>
      <c r="M8113">
        <v>0.94409937888198803</v>
      </c>
      <c r="N8113">
        <v>0.94409937888198803</v>
      </c>
      <c r="O8113">
        <v>0.94409937888198803</v>
      </c>
      <c r="AF8113" t="s">
        <v>16301</v>
      </c>
    </row>
    <row r="8114" spans="1:32" hidden="1" x14ac:dyDescent="0.35">
      <c r="A8114">
        <v>8113</v>
      </c>
      <c r="B8114" t="s">
        <v>16302</v>
      </c>
      <c r="C8114" t="s">
        <v>68</v>
      </c>
      <c r="D8114" t="s">
        <v>34</v>
      </c>
      <c r="E8114">
        <v>1840</v>
      </c>
      <c r="F8114">
        <v>2</v>
      </c>
      <c r="G8114">
        <v>2</v>
      </c>
      <c r="H8114">
        <v>1</v>
      </c>
      <c r="I8114">
        <v>0</v>
      </c>
      <c r="J8114">
        <v>0.97575757575757605</v>
      </c>
      <c r="K8114">
        <v>0.99099099099099197</v>
      </c>
      <c r="L8114">
        <v>0.98331528830404502</v>
      </c>
      <c r="M8114">
        <v>0.95495495495495497</v>
      </c>
      <c r="N8114">
        <v>0.95495495495495497</v>
      </c>
      <c r="O8114">
        <v>0.95495495495495497</v>
      </c>
      <c r="AF8114" t="s">
        <v>16303</v>
      </c>
    </row>
    <row r="8115" spans="1:32" hidden="1" x14ac:dyDescent="0.35">
      <c r="A8115">
        <v>8114</v>
      </c>
      <c r="B8115" t="s">
        <v>16302</v>
      </c>
      <c r="C8115" t="s">
        <v>68</v>
      </c>
      <c r="D8115" t="s">
        <v>45</v>
      </c>
      <c r="E8115">
        <v>1033</v>
      </c>
      <c r="F8115">
        <v>2</v>
      </c>
      <c r="G8115">
        <v>2</v>
      </c>
      <c r="H8115">
        <v>1</v>
      </c>
      <c r="I8115">
        <v>0</v>
      </c>
      <c r="J8115">
        <v>0.97575757575757605</v>
      </c>
      <c r="K8115">
        <v>0.99099099099099197</v>
      </c>
      <c r="L8115">
        <v>0.98331528830404502</v>
      </c>
      <c r="M8115">
        <v>0.95495495495495497</v>
      </c>
      <c r="N8115">
        <v>0.95495495495495497</v>
      </c>
      <c r="O8115">
        <v>0.95495495495495497</v>
      </c>
      <c r="AF8115" t="s">
        <v>16304</v>
      </c>
    </row>
    <row r="8116" spans="1:32" hidden="1" x14ac:dyDescent="0.35">
      <c r="A8116">
        <v>8115</v>
      </c>
      <c r="B8116" t="s">
        <v>16305</v>
      </c>
      <c r="C8116" t="s">
        <v>68</v>
      </c>
      <c r="D8116" t="s">
        <v>34</v>
      </c>
      <c r="E8116">
        <v>2179</v>
      </c>
      <c r="F8116">
        <v>2</v>
      </c>
      <c r="G8116">
        <v>2</v>
      </c>
      <c r="H8116">
        <v>1</v>
      </c>
      <c r="I8116">
        <v>0</v>
      </c>
      <c r="J8116">
        <v>0.98381877022653696</v>
      </c>
      <c r="K8116">
        <v>1</v>
      </c>
      <c r="L8116">
        <v>0.99184339314845005</v>
      </c>
      <c r="M8116">
        <v>0.98381877022653696</v>
      </c>
      <c r="N8116">
        <v>0.98381877022653696</v>
      </c>
      <c r="O8116">
        <v>0.98381877022653696</v>
      </c>
      <c r="AF8116" t="s">
        <v>16306</v>
      </c>
    </row>
    <row r="8117" spans="1:32" hidden="1" x14ac:dyDescent="0.35">
      <c r="A8117">
        <v>8116</v>
      </c>
      <c r="B8117" t="s">
        <v>16305</v>
      </c>
      <c r="C8117" t="s">
        <v>68</v>
      </c>
      <c r="D8117" t="s">
        <v>45</v>
      </c>
      <c r="E8117">
        <v>695</v>
      </c>
      <c r="F8117">
        <v>2</v>
      </c>
      <c r="G8117">
        <v>2</v>
      </c>
      <c r="H8117">
        <v>1</v>
      </c>
      <c r="I8117">
        <v>0</v>
      </c>
      <c r="J8117">
        <v>0.98381877022653696</v>
      </c>
      <c r="K8117">
        <v>1</v>
      </c>
      <c r="L8117">
        <v>0.99184339314845005</v>
      </c>
      <c r="M8117">
        <v>0.98381877022653696</v>
      </c>
      <c r="N8117">
        <v>0.98381877022653696</v>
      </c>
      <c r="O8117">
        <v>0.98381877022653696</v>
      </c>
      <c r="AF8117" t="s">
        <v>16307</v>
      </c>
    </row>
    <row r="8118" spans="1:32" hidden="1" x14ac:dyDescent="0.35">
      <c r="A8118">
        <v>8117</v>
      </c>
      <c r="B8118" t="s">
        <v>16308</v>
      </c>
      <c r="C8118" t="s">
        <v>68</v>
      </c>
      <c r="D8118" t="s">
        <v>60</v>
      </c>
      <c r="E8118">
        <v>2017</v>
      </c>
      <c r="F8118">
        <v>2</v>
      </c>
      <c r="G8118">
        <v>2</v>
      </c>
      <c r="H8118">
        <v>1</v>
      </c>
      <c r="I8118">
        <v>0</v>
      </c>
      <c r="J8118">
        <v>0.99541284403669705</v>
      </c>
      <c r="K8118">
        <v>1</v>
      </c>
      <c r="L8118">
        <v>0.99770114942528698</v>
      </c>
      <c r="M8118">
        <v>0.99541284403669705</v>
      </c>
      <c r="N8118">
        <v>0.99541284403669705</v>
      </c>
      <c r="O8118">
        <v>0.99541284403669705</v>
      </c>
      <c r="AF8118" t="s">
        <v>16309</v>
      </c>
    </row>
    <row r="8119" spans="1:32" hidden="1" x14ac:dyDescent="0.35">
      <c r="A8119">
        <v>8118</v>
      </c>
      <c r="B8119" t="s">
        <v>16308</v>
      </c>
      <c r="C8119" t="s">
        <v>68</v>
      </c>
      <c r="D8119" t="s">
        <v>62</v>
      </c>
      <c r="E8119">
        <v>2057</v>
      </c>
      <c r="F8119">
        <v>2</v>
      </c>
      <c r="G8119">
        <v>2</v>
      </c>
      <c r="H8119">
        <v>1</v>
      </c>
      <c r="I8119">
        <v>0</v>
      </c>
      <c r="J8119">
        <v>0.99541284403669705</v>
      </c>
      <c r="K8119">
        <v>1</v>
      </c>
      <c r="L8119">
        <v>0.99770114942528698</v>
      </c>
      <c r="M8119">
        <v>0.99541284403669705</v>
      </c>
      <c r="N8119">
        <v>0.99541284403669705</v>
      </c>
      <c r="O8119">
        <v>0.99541284403669705</v>
      </c>
      <c r="AF8119" t="s">
        <v>16310</v>
      </c>
    </row>
    <row r="8120" spans="1:32" hidden="1" x14ac:dyDescent="0.35">
      <c r="A8120">
        <v>8119</v>
      </c>
      <c r="B8120" t="s">
        <v>16311</v>
      </c>
      <c r="C8120" t="s">
        <v>68</v>
      </c>
      <c r="D8120" t="s">
        <v>60</v>
      </c>
      <c r="E8120">
        <v>1619</v>
      </c>
      <c r="F8120">
        <v>2</v>
      </c>
      <c r="G8120">
        <v>2</v>
      </c>
      <c r="H8120">
        <v>1</v>
      </c>
      <c r="I8120">
        <v>0</v>
      </c>
      <c r="J8120">
        <v>0.97163120567375905</v>
      </c>
      <c r="K8120">
        <v>1</v>
      </c>
      <c r="L8120">
        <v>0.985611510791367</v>
      </c>
      <c r="M8120">
        <v>0.96595744680851103</v>
      </c>
      <c r="N8120">
        <v>0.96595744680851103</v>
      </c>
      <c r="O8120">
        <v>0.96595744680851103</v>
      </c>
      <c r="P8120" t="s">
        <v>11564</v>
      </c>
      <c r="Q8120" t="s">
        <v>11565</v>
      </c>
      <c r="R8120" t="s">
        <v>288</v>
      </c>
      <c r="S8120" t="s">
        <v>289</v>
      </c>
      <c r="V8120" t="s">
        <v>11566</v>
      </c>
      <c r="W8120" t="s">
        <v>11567</v>
      </c>
      <c r="AF8120" t="s">
        <v>16312</v>
      </c>
    </row>
    <row r="8121" spans="1:32" hidden="1" x14ac:dyDescent="0.35">
      <c r="A8121">
        <v>8120</v>
      </c>
      <c r="B8121" t="s">
        <v>16311</v>
      </c>
      <c r="C8121" t="s">
        <v>68</v>
      </c>
      <c r="D8121" t="s">
        <v>62</v>
      </c>
      <c r="E8121">
        <v>1655</v>
      </c>
      <c r="F8121">
        <v>2</v>
      </c>
      <c r="G8121">
        <v>2</v>
      </c>
      <c r="H8121">
        <v>1</v>
      </c>
      <c r="I8121">
        <v>0</v>
      </c>
      <c r="J8121">
        <v>0.97163120567375905</v>
      </c>
      <c r="K8121">
        <v>1</v>
      </c>
      <c r="L8121">
        <v>0.985611510791367</v>
      </c>
      <c r="M8121">
        <v>0.96595744680851103</v>
      </c>
      <c r="N8121">
        <v>0.96595744680851103</v>
      </c>
      <c r="O8121">
        <v>0.96595744680851103</v>
      </c>
      <c r="P8121" t="s">
        <v>11564</v>
      </c>
      <c r="Q8121" t="s">
        <v>11565</v>
      </c>
      <c r="R8121" t="s">
        <v>288</v>
      </c>
      <c r="S8121" t="s">
        <v>289</v>
      </c>
      <c r="V8121" t="s">
        <v>11566</v>
      </c>
      <c r="W8121" t="s">
        <v>11567</v>
      </c>
      <c r="AF8121" t="s">
        <v>16313</v>
      </c>
    </row>
    <row r="8122" spans="1:32" hidden="1" x14ac:dyDescent="0.35">
      <c r="A8122">
        <v>8121</v>
      </c>
      <c r="B8122" t="s">
        <v>16314</v>
      </c>
      <c r="C8122" t="s">
        <v>68</v>
      </c>
      <c r="D8122" t="s">
        <v>60</v>
      </c>
      <c r="E8122">
        <v>2246</v>
      </c>
      <c r="F8122">
        <v>2</v>
      </c>
      <c r="G8122">
        <v>2</v>
      </c>
      <c r="H8122">
        <v>1</v>
      </c>
      <c r="I8122">
        <v>0</v>
      </c>
      <c r="J8122">
        <v>0.92935982339955803</v>
      </c>
      <c r="K8122">
        <v>1</v>
      </c>
      <c r="L8122">
        <v>0.96338672768878697</v>
      </c>
      <c r="M8122">
        <v>0.90728476821192094</v>
      </c>
      <c r="N8122">
        <v>0.90728476821192094</v>
      </c>
      <c r="O8122">
        <v>0.90728476821192094</v>
      </c>
      <c r="P8122" t="s">
        <v>15432</v>
      </c>
      <c r="Q8122" t="s">
        <v>10341</v>
      </c>
      <c r="R8122" t="s">
        <v>288</v>
      </c>
      <c r="S8122" t="s">
        <v>289</v>
      </c>
      <c r="V8122" t="s">
        <v>15434</v>
      </c>
      <c r="W8122" t="s">
        <v>15435</v>
      </c>
      <c r="AF8122" t="s">
        <v>16315</v>
      </c>
    </row>
    <row r="8123" spans="1:32" hidden="1" x14ac:dyDescent="0.35">
      <c r="A8123">
        <v>8122</v>
      </c>
      <c r="B8123" t="s">
        <v>16314</v>
      </c>
      <c r="C8123" t="s">
        <v>68</v>
      </c>
      <c r="D8123" t="s">
        <v>62</v>
      </c>
      <c r="E8123">
        <v>2276</v>
      </c>
      <c r="F8123">
        <v>2</v>
      </c>
      <c r="G8123">
        <v>2</v>
      </c>
      <c r="H8123">
        <v>1</v>
      </c>
      <c r="I8123">
        <v>0</v>
      </c>
      <c r="J8123">
        <v>0.92935982339955803</v>
      </c>
      <c r="K8123">
        <v>1</v>
      </c>
      <c r="L8123">
        <v>0.96338672768878697</v>
      </c>
      <c r="M8123">
        <v>0.90728476821192094</v>
      </c>
      <c r="N8123">
        <v>0.90728476821192094</v>
      </c>
      <c r="O8123">
        <v>0.90728476821192094</v>
      </c>
      <c r="P8123" t="s">
        <v>15432</v>
      </c>
      <c r="Q8123" t="s">
        <v>10341</v>
      </c>
      <c r="R8123" t="s">
        <v>288</v>
      </c>
      <c r="S8123" t="s">
        <v>289</v>
      </c>
      <c r="V8123" t="s">
        <v>15434</v>
      </c>
      <c r="W8123" t="s">
        <v>15435</v>
      </c>
      <c r="AF8123" t="s">
        <v>16316</v>
      </c>
    </row>
    <row r="8124" spans="1:32" hidden="1" x14ac:dyDescent="0.35">
      <c r="A8124">
        <v>8123</v>
      </c>
      <c r="B8124" t="s">
        <v>16317</v>
      </c>
      <c r="C8124" t="s">
        <v>68</v>
      </c>
      <c r="D8124" t="s">
        <v>60</v>
      </c>
      <c r="E8124">
        <v>1441</v>
      </c>
      <c r="F8124">
        <v>2</v>
      </c>
      <c r="G8124">
        <v>2</v>
      </c>
      <c r="H8124">
        <v>1</v>
      </c>
      <c r="I8124">
        <v>0</v>
      </c>
      <c r="J8124">
        <v>0.99748110831234305</v>
      </c>
      <c r="K8124">
        <v>1</v>
      </c>
      <c r="L8124">
        <v>0.998738965952081</v>
      </c>
      <c r="M8124">
        <v>0.99748110831234305</v>
      </c>
      <c r="N8124">
        <v>0.99748110831234305</v>
      </c>
      <c r="O8124">
        <v>0.99748110831234305</v>
      </c>
      <c r="P8124" t="s">
        <v>16172</v>
      </c>
      <c r="Q8124" t="s">
        <v>16173</v>
      </c>
      <c r="R8124" t="s">
        <v>224</v>
      </c>
      <c r="S8124" t="s">
        <v>225</v>
      </c>
      <c r="T8124" t="s">
        <v>16174</v>
      </c>
      <c r="U8124" t="s">
        <v>16175</v>
      </c>
      <c r="V8124" t="s">
        <v>16176</v>
      </c>
      <c r="W8124" t="s">
        <v>16177</v>
      </c>
      <c r="AD8124" t="s">
        <v>2991</v>
      </c>
      <c r="AE8124" t="s">
        <v>16178</v>
      </c>
      <c r="AF8124" t="s">
        <v>16318</v>
      </c>
    </row>
    <row r="8125" spans="1:32" hidden="1" x14ac:dyDescent="0.35">
      <c r="A8125">
        <v>8124</v>
      </c>
      <c r="B8125" t="s">
        <v>16317</v>
      </c>
      <c r="C8125" t="s">
        <v>68</v>
      </c>
      <c r="D8125" t="s">
        <v>62</v>
      </c>
      <c r="E8125">
        <v>1476</v>
      </c>
      <c r="F8125">
        <v>2</v>
      </c>
      <c r="G8125">
        <v>2</v>
      </c>
      <c r="H8125">
        <v>1</v>
      </c>
      <c r="I8125">
        <v>0</v>
      </c>
      <c r="J8125">
        <v>0.99748110831234305</v>
      </c>
      <c r="K8125">
        <v>1</v>
      </c>
      <c r="L8125">
        <v>0.998738965952081</v>
      </c>
      <c r="M8125">
        <v>0.99748110831234305</v>
      </c>
      <c r="N8125">
        <v>0.99748110831234305</v>
      </c>
      <c r="O8125">
        <v>0.99748110831234305</v>
      </c>
      <c r="P8125" t="s">
        <v>16172</v>
      </c>
      <c r="Q8125" t="s">
        <v>16173</v>
      </c>
      <c r="R8125" t="s">
        <v>224</v>
      </c>
      <c r="S8125" t="s">
        <v>225</v>
      </c>
      <c r="T8125" t="s">
        <v>16174</v>
      </c>
      <c r="U8125" t="s">
        <v>16175</v>
      </c>
      <c r="V8125" t="s">
        <v>16176</v>
      </c>
      <c r="W8125" t="s">
        <v>16177</v>
      </c>
      <c r="AD8125" t="s">
        <v>2991</v>
      </c>
      <c r="AE8125" t="s">
        <v>16178</v>
      </c>
      <c r="AF8125" t="s">
        <v>16319</v>
      </c>
    </row>
    <row r="8126" spans="1:32" hidden="1" x14ac:dyDescent="0.35">
      <c r="A8126">
        <v>8125</v>
      </c>
      <c r="B8126" t="s">
        <v>16320</v>
      </c>
      <c r="C8126" t="s">
        <v>68</v>
      </c>
      <c r="D8126" t="s">
        <v>34</v>
      </c>
      <c r="E8126">
        <v>1266</v>
      </c>
      <c r="F8126">
        <v>2</v>
      </c>
      <c r="G8126">
        <v>2</v>
      </c>
      <c r="H8126">
        <v>1</v>
      </c>
      <c r="I8126">
        <v>0</v>
      </c>
      <c r="J8126">
        <v>0.98611111111111105</v>
      </c>
      <c r="K8126">
        <v>0.67603305785124002</v>
      </c>
      <c r="L8126">
        <v>0.80214908222034997</v>
      </c>
      <c r="M8126">
        <v>0.58677685950413205</v>
      </c>
      <c r="N8126">
        <v>0.58677685950413205</v>
      </c>
      <c r="O8126">
        <v>0.58677685950413205</v>
      </c>
      <c r="AF8126" t="s">
        <v>16321</v>
      </c>
    </row>
    <row r="8127" spans="1:32" hidden="1" x14ac:dyDescent="0.35">
      <c r="A8127">
        <v>8126</v>
      </c>
      <c r="B8127" t="s">
        <v>16320</v>
      </c>
      <c r="C8127" t="s">
        <v>68</v>
      </c>
      <c r="D8127" t="s">
        <v>45</v>
      </c>
      <c r="E8127">
        <v>3</v>
      </c>
      <c r="F8127">
        <v>2</v>
      </c>
      <c r="G8127">
        <v>2</v>
      </c>
      <c r="H8127">
        <v>1</v>
      </c>
      <c r="I8127">
        <v>0</v>
      </c>
      <c r="J8127">
        <v>0.98611111111111105</v>
      </c>
      <c r="K8127">
        <v>0.67603305785124002</v>
      </c>
      <c r="L8127">
        <v>0.80214908222034997</v>
      </c>
      <c r="M8127">
        <v>0.58677685950413205</v>
      </c>
      <c r="N8127">
        <v>0.58677685950413205</v>
      </c>
      <c r="O8127">
        <v>0.58677685950413205</v>
      </c>
      <c r="AF8127" t="e">
        <f>-------------------------------------------------MIAKLSADVGMGVLTGVIDSYRVAFGSIDFQNPDGLTVKDRLINKTHAFPHQLIDIPRLDQSEREQRYGQYC</f>
        <v>#NAME?</v>
      </c>
    </row>
    <row r="8128" spans="1:32" hidden="1" x14ac:dyDescent="0.35">
      <c r="A8128">
        <v>8127</v>
      </c>
      <c r="B8128" t="s">
        <v>16322</v>
      </c>
      <c r="C8128" t="s">
        <v>68</v>
      </c>
      <c r="D8128" t="s">
        <v>60</v>
      </c>
      <c r="E8128">
        <v>217</v>
      </c>
      <c r="F8128">
        <v>2</v>
      </c>
      <c r="G8128">
        <v>2</v>
      </c>
      <c r="H8128">
        <v>1</v>
      </c>
      <c r="I8128">
        <v>0</v>
      </c>
      <c r="J8128">
        <v>0.99705014749262499</v>
      </c>
      <c r="K8128">
        <v>1</v>
      </c>
      <c r="L8128">
        <v>0.99852289512555403</v>
      </c>
      <c r="M8128">
        <v>0.99705014749262499</v>
      </c>
      <c r="N8128">
        <v>0.99705014749262499</v>
      </c>
      <c r="O8128">
        <v>0.99705014749262499</v>
      </c>
      <c r="R8128" t="s">
        <v>9049</v>
      </c>
      <c r="S8128" t="s">
        <v>9050</v>
      </c>
      <c r="V8128" t="s">
        <v>16323</v>
      </c>
      <c r="W8128" t="s">
        <v>16324</v>
      </c>
      <c r="AF8128" t="s">
        <v>16325</v>
      </c>
    </row>
    <row r="8129" spans="1:32" hidden="1" x14ac:dyDescent="0.35">
      <c r="A8129">
        <v>8128</v>
      </c>
      <c r="B8129" t="s">
        <v>16322</v>
      </c>
      <c r="C8129" t="s">
        <v>68</v>
      </c>
      <c r="D8129" t="s">
        <v>62</v>
      </c>
      <c r="E8129">
        <v>294</v>
      </c>
      <c r="F8129">
        <v>2</v>
      </c>
      <c r="G8129">
        <v>2</v>
      </c>
      <c r="H8129">
        <v>1</v>
      </c>
      <c r="I8129">
        <v>0</v>
      </c>
      <c r="J8129">
        <v>0.99705014749262499</v>
      </c>
      <c r="K8129">
        <v>1</v>
      </c>
      <c r="L8129">
        <v>0.99852289512555403</v>
      </c>
      <c r="M8129">
        <v>0.99705014749262499</v>
      </c>
      <c r="N8129">
        <v>0.99705014749262499</v>
      </c>
      <c r="O8129">
        <v>0.99705014749262499</v>
      </c>
      <c r="R8129" t="s">
        <v>9049</v>
      </c>
      <c r="S8129" t="s">
        <v>9050</v>
      </c>
      <c r="V8129" t="s">
        <v>16323</v>
      </c>
      <c r="W8129" t="s">
        <v>16324</v>
      </c>
      <c r="AF8129" t="s">
        <v>16326</v>
      </c>
    </row>
    <row r="8130" spans="1:32" hidden="1" x14ac:dyDescent="0.35">
      <c r="A8130">
        <v>8129</v>
      </c>
      <c r="B8130" t="s">
        <v>16327</v>
      </c>
      <c r="C8130" t="s">
        <v>68</v>
      </c>
      <c r="D8130" t="s">
        <v>60</v>
      </c>
      <c r="E8130">
        <v>2125</v>
      </c>
      <c r="F8130">
        <v>2</v>
      </c>
      <c r="G8130">
        <v>2</v>
      </c>
      <c r="H8130">
        <v>1</v>
      </c>
      <c r="I8130">
        <v>0</v>
      </c>
      <c r="J8130">
        <v>0.99186991869918695</v>
      </c>
      <c r="K8130">
        <v>1</v>
      </c>
      <c r="L8130">
        <v>0.99591836734693895</v>
      </c>
      <c r="M8130">
        <v>0.989547038327526</v>
      </c>
      <c r="N8130">
        <v>0.989547038327526</v>
      </c>
      <c r="O8130">
        <v>0.989547038327526</v>
      </c>
      <c r="P8130" t="s">
        <v>13160</v>
      </c>
      <c r="Q8130" t="s">
        <v>13161</v>
      </c>
      <c r="R8130" t="s">
        <v>96</v>
      </c>
      <c r="S8130" t="s">
        <v>97</v>
      </c>
      <c r="T8130" t="s">
        <v>13722</v>
      </c>
      <c r="U8130" t="s">
        <v>13723</v>
      </c>
      <c r="V8130" t="s">
        <v>13724</v>
      </c>
      <c r="W8130" t="s">
        <v>13725</v>
      </c>
      <c r="AD8130" t="s">
        <v>546</v>
      </c>
      <c r="AE8130" t="s">
        <v>13726</v>
      </c>
      <c r="AF8130" t="s">
        <v>16328</v>
      </c>
    </row>
    <row r="8131" spans="1:32" hidden="1" x14ac:dyDescent="0.35">
      <c r="A8131">
        <v>8130</v>
      </c>
      <c r="B8131" t="s">
        <v>16327</v>
      </c>
      <c r="C8131" t="s">
        <v>68</v>
      </c>
      <c r="D8131" t="s">
        <v>62</v>
      </c>
      <c r="E8131">
        <v>2159</v>
      </c>
      <c r="F8131">
        <v>2</v>
      </c>
      <c r="G8131">
        <v>2</v>
      </c>
      <c r="H8131">
        <v>1</v>
      </c>
      <c r="I8131">
        <v>0</v>
      </c>
      <c r="J8131">
        <v>0.99186991869918695</v>
      </c>
      <c r="K8131">
        <v>1</v>
      </c>
      <c r="L8131">
        <v>0.99591836734693895</v>
      </c>
      <c r="M8131">
        <v>0.989547038327526</v>
      </c>
      <c r="N8131">
        <v>0.989547038327526</v>
      </c>
      <c r="O8131">
        <v>0.989547038327526</v>
      </c>
      <c r="P8131" t="s">
        <v>13160</v>
      </c>
      <c r="Q8131" t="s">
        <v>13161</v>
      </c>
      <c r="R8131" t="s">
        <v>96</v>
      </c>
      <c r="S8131" t="s">
        <v>97</v>
      </c>
      <c r="T8131" t="s">
        <v>13722</v>
      </c>
      <c r="U8131" t="s">
        <v>13723</v>
      </c>
      <c r="V8131" t="s">
        <v>13724</v>
      </c>
      <c r="W8131" t="s">
        <v>13725</v>
      </c>
      <c r="AD8131" t="s">
        <v>546</v>
      </c>
      <c r="AE8131" t="s">
        <v>13726</v>
      </c>
      <c r="AF8131" t="s">
        <v>16329</v>
      </c>
    </row>
    <row r="8132" spans="1:32" hidden="1" x14ac:dyDescent="0.35">
      <c r="A8132">
        <v>8131</v>
      </c>
      <c r="B8132" t="s">
        <v>16330</v>
      </c>
      <c r="C8132" t="s">
        <v>68</v>
      </c>
      <c r="D8132" t="s">
        <v>34</v>
      </c>
      <c r="E8132">
        <v>925</v>
      </c>
      <c r="F8132">
        <v>2</v>
      </c>
      <c r="G8132">
        <v>2</v>
      </c>
      <c r="H8132">
        <v>1</v>
      </c>
      <c r="I8132">
        <v>0</v>
      </c>
      <c r="J8132">
        <v>0.99115646258503398</v>
      </c>
      <c r="K8132">
        <v>1</v>
      </c>
      <c r="L8132">
        <v>0.99555859241544198</v>
      </c>
      <c r="M8132">
        <v>0.98979591836734704</v>
      </c>
      <c r="N8132">
        <v>0.98979591836734704</v>
      </c>
      <c r="O8132">
        <v>0.98979591836734704</v>
      </c>
      <c r="R8132" t="s">
        <v>224</v>
      </c>
      <c r="S8132" t="s">
        <v>225</v>
      </c>
      <c r="V8132" t="s">
        <v>16331</v>
      </c>
      <c r="W8132" t="s">
        <v>16332</v>
      </c>
      <c r="X8132" t="s">
        <v>16331</v>
      </c>
      <c r="Y8132" t="s">
        <v>1598</v>
      </c>
      <c r="AF8132" t="s">
        <v>16333</v>
      </c>
    </row>
    <row r="8133" spans="1:32" hidden="1" x14ac:dyDescent="0.35">
      <c r="A8133">
        <v>8132</v>
      </c>
      <c r="B8133" t="s">
        <v>16330</v>
      </c>
      <c r="C8133" t="s">
        <v>68</v>
      </c>
      <c r="D8133" t="s">
        <v>45</v>
      </c>
      <c r="E8133">
        <v>2181</v>
      </c>
      <c r="F8133">
        <v>2</v>
      </c>
      <c r="G8133">
        <v>2</v>
      </c>
      <c r="H8133">
        <v>1</v>
      </c>
      <c r="I8133">
        <v>0</v>
      </c>
      <c r="J8133">
        <v>0.99115646258503398</v>
      </c>
      <c r="K8133">
        <v>1</v>
      </c>
      <c r="L8133">
        <v>0.99555859241544198</v>
      </c>
      <c r="M8133">
        <v>0.98979591836734704</v>
      </c>
      <c r="N8133">
        <v>0.98979591836734704</v>
      </c>
      <c r="O8133">
        <v>0.98979591836734704</v>
      </c>
      <c r="R8133" t="s">
        <v>224</v>
      </c>
      <c r="S8133" t="s">
        <v>225</v>
      </c>
      <c r="V8133" t="s">
        <v>16331</v>
      </c>
      <c r="W8133" t="s">
        <v>16332</v>
      </c>
      <c r="X8133" t="s">
        <v>16331</v>
      </c>
      <c r="Y8133" t="s">
        <v>1598</v>
      </c>
      <c r="AF8133" t="s">
        <v>16334</v>
      </c>
    </row>
    <row r="8134" spans="1:32" hidden="1" x14ac:dyDescent="0.35">
      <c r="A8134">
        <v>8133</v>
      </c>
      <c r="B8134" t="s">
        <v>16335</v>
      </c>
      <c r="C8134" t="s">
        <v>68</v>
      </c>
      <c r="D8134" t="s">
        <v>34</v>
      </c>
      <c r="E8134">
        <v>721</v>
      </c>
      <c r="F8134">
        <v>2</v>
      </c>
      <c r="G8134">
        <v>2</v>
      </c>
      <c r="H8134">
        <v>1</v>
      </c>
      <c r="I8134">
        <v>0</v>
      </c>
      <c r="J8134">
        <v>0.97709320695102697</v>
      </c>
      <c r="K8134">
        <v>1</v>
      </c>
      <c r="L8134">
        <v>0.98841390331602097</v>
      </c>
      <c r="M8134">
        <v>0.96919431279620805</v>
      </c>
      <c r="N8134">
        <v>0.96919431279620805</v>
      </c>
      <c r="O8134">
        <v>0.96919431279620805</v>
      </c>
      <c r="P8134" t="s">
        <v>136</v>
      </c>
      <c r="Q8134" t="s">
        <v>137</v>
      </c>
      <c r="R8134" t="s">
        <v>342</v>
      </c>
      <c r="S8134" t="s">
        <v>343</v>
      </c>
      <c r="T8134" t="s">
        <v>16336</v>
      </c>
      <c r="U8134" t="s">
        <v>16337</v>
      </c>
      <c r="V8134" t="s">
        <v>16338</v>
      </c>
      <c r="W8134" t="s">
        <v>16339</v>
      </c>
      <c r="AD8134" t="s">
        <v>219</v>
      </c>
      <c r="AE8134" t="s">
        <v>16340</v>
      </c>
      <c r="AF8134" t="s">
        <v>16341</v>
      </c>
    </row>
    <row r="8135" spans="1:32" hidden="1" x14ac:dyDescent="0.35">
      <c r="A8135">
        <v>8134</v>
      </c>
      <c r="B8135" t="s">
        <v>16335</v>
      </c>
      <c r="C8135" t="s">
        <v>68</v>
      </c>
      <c r="D8135" t="s">
        <v>45</v>
      </c>
      <c r="E8135">
        <v>1987</v>
      </c>
      <c r="F8135">
        <v>2</v>
      </c>
      <c r="G8135">
        <v>2</v>
      </c>
      <c r="H8135">
        <v>1</v>
      </c>
      <c r="I8135">
        <v>0</v>
      </c>
      <c r="J8135">
        <v>0.97709320695102697</v>
      </c>
      <c r="K8135">
        <v>1</v>
      </c>
      <c r="L8135">
        <v>0.98841390331602097</v>
      </c>
      <c r="M8135">
        <v>0.96919431279620805</v>
      </c>
      <c r="N8135">
        <v>0.96919431279620805</v>
      </c>
      <c r="O8135">
        <v>0.96919431279620805</v>
      </c>
      <c r="P8135" t="s">
        <v>136</v>
      </c>
      <c r="Q8135" t="s">
        <v>137</v>
      </c>
      <c r="R8135" t="s">
        <v>342</v>
      </c>
      <c r="S8135" t="s">
        <v>343</v>
      </c>
      <c r="T8135" t="s">
        <v>16336</v>
      </c>
      <c r="U8135" t="s">
        <v>16337</v>
      </c>
      <c r="V8135" t="s">
        <v>16338</v>
      </c>
      <c r="W8135" t="s">
        <v>16339</v>
      </c>
      <c r="AD8135" t="s">
        <v>219</v>
      </c>
      <c r="AE8135" t="s">
        <v>16340</v>
      </c>
      <c r="AF8135" t="s">
        <v>16342</v>
      </c>
    </row>
    <row r="8136" spans="1:32" hidden="1" x14ac:dyDescent="0.35">
      <c r="A8136">
        <v>8135</v>
      </c>
      <c r="B8136" t="s">
        <v>16343</v>
      </c>
      <c r="C8136" t="s">
        <v>68</v>
      </c>
      <c r="D8136" t="s">
        <v>34</v>
      </c>
      <c r="E8136">
        <v>188</v>
      </c>
      <c r="F8136">
        <v>2</v>
      </c>
      <c r="G8136">
        <v>2</v>
      </c>
      <c r="H8136">
        <v>1</v>
      </c>
      <c r="I8136">
        <v>0</v>
      </c>
      <c r="J8136">
        <v>0.94843462246777199</v>
      </c>
      <c r="K8136">
        <v>1</v>
      </c>
      <c r="L8136">
        <v>0.973534971644612</v>
      </c>
      <c r="M8136">
        <v>0.93370165745856304</v>
      </c>
      <c r="N8136">
        <v>0.93370165745856304</v>
      </c>
      <c r="O8136">
        <v>0.93370165745856304</v>
      </c>
      <c r="P8136" t="s">
        <v>16344</v>
      </c>
      <c r="Q8136" t="s">
        <v>16345</v>
      </c>
      <c r="AF8136" t="s">
        <v>16346</v>
      </c>
    </row>
    <row r="8137" spans="1:32" hidden="1" x14ac:dyDescent="0.35">
      <c r="A8137">
        <v>8136</v>
      </c>
      <c r="B8137" t="s">
        <v>16343</v>
      </c>
      <c r="C8137" t="s">
        <v>68</v>
      </c>
      <c r="D8137" t="s">
        <v>45</v>
      </c>
      <c r="E8137">
        <v>1451</v>
      </c>
      <c r="F8137">
        <v>2</v>
      </c>
      <c r="G8137">
        <v>2</v>
      </c>
      <c r="H8137">
        <v>1</v>
      </c>
      <c r="I8137">
        <v>0</v>
      </c>
      <c r="J8137">
        <v>0.94843462246777199</v>
      </c>
      <c r="K8137">
        <v>1</v>
      </c>
      <c r="L8137">
        <v>0.973534971644612</v>
      </c>
      <c r="M8137">
        <v>0.93370165745856304</v>
      </c>
      <c r="N8137">
        <v>0.93370165745856304</v>
      </c>
      <c r="O8137">
        <v>0.93370165745856304</v>
      </c>
      <c r="P8137" t="s">
        <v>16344</v>
      </c>
      <c r="Q8137" t="s">
        <v>16345</v>
      </c>
      <c r="AF8137" t="s">
        <v>16347</v>
      </c>
    </row>
    <row r="8138" spans="1:32" hidden="1" x14ac:dyDescent="0.35">
      <c r="A8138">
        <v>8137</v>
      </c>
      <c r="B8138" t="s">
        <v>16348</v>
      </c>
      <c r="C8138" t="s">
        <v>68</v>
      </c>
      <c r="D8138" t="s">
        <v>34</v>
      </c>
      <c r="E8138">
        <v>2035</v>
      </c>
      <c r="F8138">
        <v>2</v>
      </c>
      <c r="G8138">
        <v>2</v>
      </c>
      <c r="H8138">
        <v>1</v>
      </c>
      <c r="I8138">
        <v>0</v>
      </c>
      <c r="J8138">
        <v>0.98571428571428599</v>
      </c>
      <c r="K8138">
        <v>1</v>
      </c>
      <c r="L8138">
        <v>0.99280575539568305</v>
      </c>
      <c r="M8138">
        <v>0.98571428571428599</v>
      </c>
      <c r="N8138">
        <v>0.98571428571428599</v>
      </c>
      <c r="O8138">
        <v>0.98571428571428599</v>
      </c>
      <c r="AF8138" t="s">
        <v>16349</v>
      </c>
    </row>
    <row r="8139" spans="1:32" hidden="1" x14ac:dyDescent="0.35">
      <c r="A8139">
        <v>8138</v>
      </c>
      <c r="B8139" t="s">
        <v>16348</v>
      </c>
      <c r="C8139" t="s">
        <v>68</v>
      </c>
      <c r="D8139" t="s">
        <v>45</v>
      </c>
      <c r="E8139">
        <v>837</v>
      </c>
      <c r="F8139">
        <v>2</v>
      </c>
      <c r="G8139">
        <v>2</v>
      </c>
      <c r="H8139">
        <v>1</v>
      </c>
      <c r="I8139">
        <v>0</v>
      </c>
      <c r="J8139">
        <v>0.98571428571428599</v>
      </c>
      <c r="K8139">
        <v>1</v>
      </c>
      <c r="L8139">
        <v>0.99280575539568305</v>
      </c>
      <c r="M8139">
        <v>0.98571428571428599</v>
      </c>
      <c r="N8139">
        <v>0.98571428571428599</v>
      </c>
      <c r="O8139">
        <v>0.98571428571428599</v>
      </c>
      <c r="AF8139" t="s">
        <v>16350</v>
      </c>
    </row>
    <row r="8140" spans="1:32" hidden="1" x14ac:dyDescent="0.35">
      <c r="A8140">
        <v>8139</v>
      </c>
      <c r="B8140" t="s">
        <v>16351</v>
      </c>
      <c r="C8140" t="s">
        <v>68</v>
      </c>
      <c r="D8140" t="s">
        <v>34</v>
      </c>
      <c r="E8140">
        <v>761</v>
      </c>
      <c r="F8140">
        <v>2</v>
      </c>
      <c r="G8140">
        <v>2</v>
      </c>
      <c r="H8140">
        <v>1</v>
      </c>
      <c r="I8140">
        <v>0</v>
      </c>
      <c r="J8140">
        <v>0.99411764705882399</v>
      </c>
      <c r="K8140">
        <v>1</v>
      </c>
      <c r="L8140">
        <v>0.99705014749262499</v>
      </c>
      <c r="M8140">
        <v>0.99411764705882399</v>
      </c>
      <c r="N8140">
        <v>0.99411764705882399</v>
      </c>
      <c r="O8140">
        <v>0.99411764705882399</v>
      </c>
      <c r="P8140" t="s">
        <v>6464</v>
      </c>
      <c r="Q8140" t="s">
        <v>6465</v>
      </c>
      <c r="R8140" t="s">
        <v>1191</v>
      </c>
      <c r="S8140" t="s">
        <v>1192</v>
      </c>
      <c r="V8140" t="s">
        <v>14042</v>
      </c>
      <c r="W8140" t="s">
        <v>14043</v>
      </c>
      <c r="X8140" t="s">
        <v>14042</v>
      </c>
      <c r="Y8140" t="s">
        <v>7046</v>
      </c>
      <c r="AF8140" t="s">
        <v>16352</v>
      </c>
    </row>
    <row r="8141" spans="1:32" hidden="1" x14ac:dyDescent="0.35">
      <c r="A8141">
        <v>8140</v>
      </c>
      <c r="B8141" t="s">
        <v>16351</v>
      </c>
      <c r="C8141" t="s">
        <v>68</v>
      </c>
      <c r="D8141" t="s">
        <v>45</v>
      </c>
      <c r="E8141">
        <v>2027</v>
      </c>
      <c r="F8141">
        <v>2</v>
      </c>
      <c r="G8141">
        <v>2</v>
      </c>
      <c r="H8141">
        <v>1</v>
      </c>
      <c r="I8141">
        <v>0</v>
      </c>
      <c r="J8141">
        <v>0.99411764705882399</v>
      </c>
      <c r="K8141">
        <v>1</v>
      </c>
      <c r="L8141">
        <v>0.99705014749262499</v>
      </c>
      <c r="M8141">
        <v>0.99411764705882399</v>
      </c>
      <c r="N8141">
        <v>0.99411764705882399</v>
      </c>
      <c r="O8141">
        <v>0.99411764705882399</v>
      </c>
      <c r="P8141" t="s">
        <v>6464</v>
      </c>
      <c r="Q8141" t="s">
        <v>6465</v>
      </c>
      <c r="R8141" t="s">
        <v>1191</v>
      </c>
      <c r="S8141" t="s">
        <v>1192</v>
      </c>
      <c r="V8141" t="s">
        <v>14042</v>
      </c>
      <c r="W8141" t="s">
        <v>14043</v>
      </c>
      <c r="X8141" t="s">
        <v>14042</v>
      </c>
      <c r="Y8141" t="s">
        <v>7046</v>
      </c>
      <c r="AF8141" t="s">
        <v>16353</v>
      </c>
    </row>
    <row r="8142" spans="1:32" hidden="1" x14ac:dyDescent="0.35">
      <c r="A8142">
        <v>8141</v>
      </c>
      <c r="B8142" t="s">
        <v>16354</v>
      </c>
      <c r="C8142" t="s">
        <v>68</v>
      </c>
      <c r="D8142" t="s">
        <v>60</v>
      </c>
      <c r="E8142">
        <v>1152</v>
      </c>
      <c r="F8142">
        <v>2</v>
      </c>
      <c r="G8142">
        <v>2</v>
      </c>
      <c r="H8142">
        <v>1</v>
      </c>
      <c r="I8142">
        <v>0</v>
      </c>
      <c r="J8142">
        <v>0.97095621090259199</v>
      </c>
      <c r="K8142">
        <v>1</v>
      </c>
      <c r="L8142">
        <v>0.98526411244615697</v>
      </c>
      <c r="M8142">
        <v>0.96112600536193005</v>
      </c>
      <c r="N8142">
        <v>0.96112600536193005</v>
      </c>
      <c r="O8142">
        <v>0.96112600536193005</v>
      </c>
      <c r="P8142" t="s">
        <v>16355</v>
      </c>
      <c r="Q8142" t="s">
        <v>16356</v>
      </c>
      <c r="R8142" t="s">
        <v>1259</v>
      </c>
      <c r="S8142" t="s">
        <v>1260</v>
      </c>
      <c r="V8142" t="s">
        <v>16357</v>
      </c>
      <c r="W8142" t="s">
        <v>2923</v>
      </c>
      <c r="AF8142" t="s">
        <v>16358</v>
      </c>
    </row>
    <row r="8143" spans="1:32" hidden="1" x14ac:dyDescent="0.35">
      <c r="A8143">
        <v>8142</v>
      </c>
      <c r="B8143" t="s">
        <v>16354</v>
      </c>
      <c r="C8143" t="s">
        <v>68</v>
      </c>
      <c r="D8143" t="s">
        <v>62</v>
      </c>
      <c r="E8143">
        <v>1189</v>
      </c>
      <c r="F8143">
        <v>2</v>
      </c>
      <c r="G8143">
        <v>2</v>
      </c>
      <c r="H8143">
        <v>1</v>
      </c>
      <c r="I8143">
        <v>0</v>
      </c>
      <c r="J8143">
        <v>0.97095621090259199</v>
      </c>
      <c r="K8143">
        <v>1</v>
      </c>
      <c r="L8143">
        <v>0.98526411244615697</v>
      </c>
      <c r="M8143">
        <v>0.96112600536193005</v>
      </c>
      <c r="N8143">
        <v>0.96112600536193005</v>
      </c>
      <c r="O8143">
        <v>0.96112600536193005</v>
      </c>
      <c r="P8143" t="s">
        <v>16355</v>
      </c>
      <c r="Q8143" t="s">
        <v>16356</v>
      </c>
      <c r="R8143" t="s">
        <v>1259</v>
      </c>
      <c r="S8143" t="s">
        <v>1260</v>
      </c>
      <c r="V8143" t="s">
        <v>16357</v>
      </c>
      <c r="W8143" t="s">
        <v>2923</v>
      </c>
      <c r="AF8143" t="s">
        <v>16359</v>
      </c>
    </row>
    <row r="8144" spans="1:32" hidden="1" x14ac:dyDescent="0.35">
      <c r="A8144">
        <v>8143</v>
      </c>
      <c r="B8144" t="s">
        <v>16360</v>
      </c>
      <c r="C8144" t="s">
        <v>68</v>
      </c>
      <c r="D8144" t="s">
        <v>34</v>
      </c>
      <c r="E8144">
        <v>577</v>
      </c>
      <c r="F8144">
        <v>2</v>
      </c>
      <c r="G8144">
        <v>2</v>
      </c>
      <c r="H8144">
        <v>1</v>
      </c>
      <c r="I8144">
        <v>0</v>
      </c>
      <c r="J8144">
        <v>0.99557032115171695</v>
      </c>
      <c r="K8144">
        <v>1</v>
      </c>
      <c r="L8144">
        <v>0.99778024417314104</v>
      </c>
      <c r="M8144">
        <v>0.99335548172757504</v>
      </c>
      <c r="N8144">
        <v>0.99335548172757504</v>
      </c>
      <c r="O8144">
        <v>0.99335548172757504</v>
      </c>
      <c r="AF8144" t="s">
        <v>16361</v>
      </c>
    </row>
    <row r="8145" spans="1:32" hidden="1" x14ac:dyDescent="0.35">
      <c r="A8145">
        <v>8144</v>
      </c>
      <c r="B8145" t="s">
        <v>16360</v>
      </c>
      <c r="C8145" t="s">
        <v>68</v>
      </c>
      <c r="D8145" t="s">
        <v>45</v>
      </c>
      <c r="E8145">
        <v>1843</v>
      </c>
      <c r="F8145">
        <v>2</v>
      </c>
      <c r="G8145">
        <v>2</v>
      </c>
      <c r="H8145">
        <v>1</v>
      </c>
      <c r="I8145">
        <v>0</v>
      </c>
      <c r="J8145">
        <v>0.99557032115171695</v>
      </c>
      <c r="K8145">
        <v>1</v>
      </c>
      <c r="L8145">
        <v>0.99778024417314104</v>
      </c>
      <c r="M8145">
        <v>0.99335548172757504</v>
      </c>
      <c r="N8145">
        <v>0.99335548172757504</v>
      </c>
      <c r="O8145">
        <v>0.99335548172757504</v>
      </c>
      <c r="AF8145" t="s">
        <v>16362</v>
      </c>
    </row>
    <row r="8146" spans="1:32" hidden="1" x14ac:dyDescent="0.35">
      <c r="A8146">
        <v>8145</v>
      </c>
      <c r="B8146" t="s">
        <v>16363</v>
      </c>
      <c r="C8146" t="s">
        <v>68</v>
      </c>
      <c r="D8146" t="s">
        <v>34</v>
      </c>
      <c r="E8146">
        <v>941</v>
      </c>
      <c r="F8146">
        <v>2</v>
      </c>
      <c r="G8146">
        <v>2</v>
      </c>
      <c r="H8146">
        <v>1</v>
      </c>
      <c r="I8146">
        <v>0</v>
      </c>
      <c r="J8146">
        <v>0.98786181139122298</v>
      </c>
      <c r="K8146">
        <v>1</v>
      </c>
      <c r="L8146">
        <v>0.99389384687646798</v>
      </c>
      <c r="M8146">
        <v>0.98599439775910402</v>
      </c>
      <c r="N8146">
        <v>0.98599439775910402</v>
      </c>
      <c r="O8146">
        <v>0.98599439775910402</v>
      </c>
      <c r="P8146" t="s">
        <v>13196</v>
      </c>
      <c r="Q8146" t="s">
        <v>13197</v>
      </c>
      <c r="R8146" t="s">
        <v>157</v>
      </c>
      <c r="S8146" t="s">
        <v>158</v>
      </c>
      <c r="T8146" t="s">
        <v>13198</v>
      </c>
      <c r="U8146" t="s">
        <v>13199</v>
      </c>
      <c r="V8146" t="s">
        <v>13200</v>
      </c>
      <c r="W8146" t="s">
        <v>13201</v>
      </c>
      <c r="AD8146" t="s">
        <v>410</v>
      </c>
      <c r="AE8146" t="s">
        <v>5489</v>
      </c>
      <c r="AF8146" t="s">
        <v>16364</v>
      </c>
    </row>
    <row r="8147" spans="1:32" hidden="1" x14ac:dyDescent="0.35">
      <c r="A8147">
        <v>8146</v>
      </c>
      <c r="B8147" t="s">
        <v>16363</v>
      </c>
      <c r="C8147" t="s">
        <v>68</v>
      </c>
      <c r="D8147" t="s">
        <v>45</v>
      </c>
      <c r="E8147">
        <v>2198</v>
      </c>
      <c r="F8147">
        <v>2</v>
      </c>
      <c r="G8147">
        <v>2</v>
      </c>
      <c r="H8147">
        <v>1</v>
      </c>
      <c r="I8147">
        <v>0</v>
      </c>
      <c r="J8147">
        <v>0.98786181139122298</v>
      </c>
      <c r="K8147">
        <v>1</v>
      </c>
      <c r="L8147">
        <v>0.99389384687646798</v>
      </c>
      <c r="M8147">
        <v>0.98599439775910402</v>
      </c>
      <c r="N8147">
        <v>0.98599439775910402</v>
      </c>
      <c r="O8147">
        <v>0.98599439775910402</v>
      </c>
      <c r="P8147" t="s">
        <v>13196</v>
      </c>
      <c r="Q8147" t="s">
        <v>13197</v>
      </c>
      <c r="R8147" t="s">
        <v>157</v>
      </c>
      <c r="S8147" t="s">
        <v>158</v>
      </c>
      <c r="T8147" t="s">
        <v>13198</v>
      </c>
      <c r="U8147" t="s">
        <v>13199</v>
      </c>
      <c r="V8147" t="s">
        <v>13200</v>
      </c>
      <c r="W8147" t="s">
        <v>13201</v>
      </c>
      <c r="AD8147" t="s">
        <v>410</v>
      </c>
      <c r="AE8147" t="s">
        <v>5489</v>
      </c>
      <c r="AF8147" t="s">
        <v>16365</v>
      </c>
    </row>
    <row r="8148" spans="1:32" hidden="1" x14ac:dyDescent="0.35">
      <c r="A8148">
        <v>8147</v>
      </c>
      <c r="B8148" t="s">
        <v>16366</v>
      </c>
      <c r="C8148" t="s">
        <v>68</v>
      </c>
      <c r="D8148" t="s">
        <v>34</v>
      </c>
      <c r="E8148">
        <v>1666</v>
      </c>
      <c r="F8148">
        <v>2</v>
      </c>
      <c r="G8148">
        <v>2</v>
      </c>
      <c r="H8148">
        <v>1</v>
      </c>
      <c r="I8148">
        <v>0</v>
      </c>
      <c r="J8148">
        <v>0.99382716049382702</v>
      </c>
      <c r="K8148">
        <v>1</v>
      </c>
      <c r="L8148">
        <v>0.99690402476780204</v>
      </c>
      <c r="M8148">
        <v>0.98148148148148195</v>
      </c>
      <c r="N8148">
        <v>0.98148148148148195</v>
      </c>
      <c r="O8148">
        <v>0.98148148148148195</v>
      </c>
      <c r="P8148" t="s">
        <v>14708</v>
      </c>
      <c r="Q8148" t="s">
        <v>14709</v>
      </c>
      <c r="AF8148" t="s">
        <v>16367</v>
      </c>
    </row>
    <row r="8149" spans="1:32" hidden="1" x14ac:dyDescent="0.35">
      <c r="A8149">
        <v>8148</v>
      </c>
      <c r="B8149" t="s">
        <v>16366</v>
      </c>
      <c r="C8149" t="s">
        <v>68</v>
      </c>
      <c r="D8149" t="s">
        <v>45</v>
      </c>
      <c r="E8149">
        <v>1211</v>
      </c>
      <c r="F8149">
        <v>2</v>
      </c>
      <c r="G8149">
        <v>2</v>
      </c>
      <c r="H8149">
        <v>1</v>
      </c>
      <c r="I8149">
        <v>0</v>
      </c>
      <c r="J8149">
        <v>0.99382716049382702</v>
      </c>
      <c r="K8149">
        <v>1</v>
      </c>
      <c r="L8149">
        <v>0.99690402476780204</v>
      </c>
      <c r="M8149">
        <v>0.98148148148148195</v>
      </c>
      <c r="N8149">
        <v>0.98148148148148195</v>
      </c>
      <c r="O8149">
        <v>0.98148148148148195</v>
      </c>
      <c r="P8149" t="s">
        <v>14708</v>
      </c>
      <c r="Q8149" t="s">
        <v>14709</v>
      </c>
      <c r="AF8149" t="s">
        <v>16368</v>
      </c>
    </row>
    <row r="8150" spans="1:32" hidden="1" x14ac:dyDescent="0.35">
      <c r="A8150">
        <v>8149</v>
      </c>
      <c r="B8150" t="s">
        <v>16369</v>
      </c>
      <c r="C8150" t="s">
        <v>68</v>
      </c>
      <c r="D8150" t="s">
        <v>34</v>
      </c>
      <c r="E8150">
        <v>1755</v>
      </c>
      <c r="F8150">
        <v>2</v>
      </c>
      <c r="G8150">
        <v>2</v>
      </c>
      <c r="H8150">
        <v>1</v>
      </c>
      <c r="I8150">
        <v>0</v>
      </c>
      <c r="J8150">
        <v>0.98279569892473095</v>
      </c>
      <c r="K8150">
        <v>1</v>
      </c>
      <c r="L8150">
        <v>0.99132321041214699</v>
      </c>
      <c r="M8150">
        <v>0.97419354838709704</v>
      </c>
      <c r="N8150">
        <v>0.97419354838709704</v>
      </c>
      <c r="O8150">
        <v>0.97419354838709704</v>
      </c>
      <c r="P8150" t="s">
        <v>14720</v>
      </c>
      <c r="Q8150" t="s">
        <v>14721</v>
      </c>
      <c r="AF8150" t="s">
        <v>16370</v>
      </c>
    </row>
    <row r="8151" spans="1:32" hidden="1" x14ac:dyDescent="0.35">
      <c r="A8151">
        <v>8150</v>
      </c>
      <c r="B8151" t="s">
        <v>16369</v>
      </c>
      <c r="C8151" t="s">
        <v>68</v>
      </c>
      <c r="D8151" t="s">
        <v>45</v>
      </c>
      <c r="E8151">
        <v>1118</v>
      </c>
      <c r="F8151">
        <v>2</v>
      </c>
      <c r="G8151">
        <v>2</v>
      </c>
      <c r="H8151">
        <v>1</v>
      </c>
      <c r="I8151">
        <v>0</v>
      </c>
      <c r="J8151">
        <v>0.98279569892473095</v>
      </c>
      <c r="K8151">
        <v>1</v>
      </c>
      <c r="L8151">
        <v>0.99132321041214699</v>
      </c>
      <c r="M8151">
        <v>0.97419354838709704</v>
      </c>
      <c r="N8151">
        <v>0.97419354838709704</v>
      </c>
      <c r="O8151">
        <v>0.97419354838709704</v>
      </c>
      <c r="P8151" t="s">
        <v>14720</v>
      </c>
      <c r="Q8151" t="s">
        <v>14721</v>
      </c>
      <c r="AF8151" t="s">
        <v>16371</v>
      </c>
    </row>
    <row r="8152" spans="1:32" hidden="1" x14ac:dyDescent="0.35">
      <c r="A8152">
        <v>8151</v>
      </c>
      <c r="B8152" t="s">
        <v>16372</v>
      </c>
      <c r="C8152" t="s">
        <v>68</v>
      </c>
      <c r="D8152" t="s">
        <v>60</v>
      </c>
      <c r="E8152">
        <v>1298</v>
      </c>
      <c r="F8152">
        <v>2</v>
      </c>
      <c r="G8152">
        <v>2</v>
      </c>
      <c r="H8152">
        <v>1</v>
      </c>
      <c r="I8152">
        <v>0</v>
      </c>
      <c r="J8152">
        <v>0.99799196787148603</v>
      </c>
      <c r="K8152">
        <v>1</v>
      </c>
      <c r="L8152">
        <v>0.99899497487437205</v>
      </c>
      <c r="M8152">
        <v>0.99397590361445798</v>
      </c>
      <c r="N8152">
        <v>0.99397590361445798</v>
      </c>
      <c r="O8152">
        <v>0.99397590361445798</v>
      </c>
      <c r="P8152" t="s">
        <v>13835</v>
      </c>
      <c r="Q8152" t="s">
        <v>13836</v>
      </c>
      <c r="AF8152" t="s">
        <v>16373</v>
      </c>
    </row>
    <row r="8153" spans="1:32" hidden="1" x14ac:dyDescent="0.35">
      <c r="A8153">
        <v>8152</v>
      </c>
      <c r="B8153" t="s">
        <v>16372</v>
      </c>
      <c r="C8153" t="s">
        <v>68</v>
      </c>
      <c r="D8153" t="s">
        <v>62</v>
      </c>
      <c r="E8153">
        <v>1334</v>
      </c>
      <c r="F8153">
        <v>2</v>
      </c>
      <c r="G8153">
        <v>2</v>
      </c>
      <c r="H8153">
        <v>1</v>
      </c>
      <c r="I8153">
        <v>0</v>
      </c>
      <c r="J8153">
        <v>0.99799196787148603</v>
      </c>
      <c r="K8153">
        <v>1</v>
      </c>
      <c r="L8153">
        <v>0.99899497487437205</v>
      </c>
      <c r="M8153">
        <v>0.99397590361445798</v>
      </c>
      <c r="N8153">
        <v>0.99397590361445798</v>
      </c>
      <c r="O8153">
        <v>0.99397590361445798</v>
      </c>
      <c r="P8153" t="s">
        <v>13835</v>
      </c>
      <c r="Q8153" t="s">
        <v>13836</v>
      </c>
      <c r="AF8153" t="s">
        <v>16374</v>
      </c>
    </row>
    <row r="8154" spans="1:32" s="1" customFormat="1" hidden="1" x14ac:dyDescent="0.35">
      <c r="A8154" s="1">
        <v>8153</v>
      </c>
      <c r="B8154" s="1" t="s">
        <v>16375</v>
      </c>
      <c r="C8154" s="1" t="s">
        <v>68</v>
      </c>
      <c r="D8154" s="1" t="s">
        <v>60</v>
      </c>
      <c r="E8154" s="1">
        <v>2519</v>
      </c>
      <c r="F8154" s="1">
        <v>2</v>
      </c>
      <c r="G8154" s="1">
        <v>2</v>
      </c>
      <c r="H8154" s="1">
        <v>1</v>
      </c>
      <c r="I8154" s="1">
        <v>0</v>
      </c>
      <c r="J8154" s="1">
        <v>0.99669966996699699</v>
      </c>
      <c r="K8154" s="1">
        <v>1</v>
      </c>
      <c r="L8154" s="1">
        <v>0.99834710743801702</v>
      </c>
      <c r="M8154" s="1">
        <v>0.99405940594059405</v>
      </c>
      <c r="N8154" s="1">
        <v>0.99405940594059405</v>
      </c>
      <c r="O8154" s="1">
        <v>0.99405940594059405</v>
      </c>
      <c r="P8154" s="1" t="s">
        <v>16376</v>
      </c>
      <c r="Q8154" s="1" t="s">
        <v>16377</v>
      </c>
      <c r="R8154" s="1" t="s">
        <v>157</v>
      </c>
      <c r="S8154" s="1" t="s">
        <v>158</v>
      </c>
      <c r="V8154" s="1" t="s">
        <v>14219</v>
      </c>
      <c r="W8154" s="1" t="s">
        <v>14220</v>
      </c>
      <c r="AF8154" s="1" t="s">
        <v>16378</v>
      </c>
    </row>
    <row r="8155" spans="1:32" s="1" customFormat="1" hidden="1" x14ac:dyDescent="0.35">
      <c r="A8155" s="1">
        <v>8154</v>
      </c>
      <c r="B8155" s="1" t="s">
        <v>16375</v>
      </c>
      <c r="C8155" s="1" t="s">
        <v>68</v>
      </c>
      <c r="D8155" s="1" t="s">
        <v>62</v>
      </c>
      <c r="E8155" s="1">
        <v>45</v>
      </c>
      <c r="F8155" s="1">
        <v>2</v>
      </c>
      <c r="G8155" s="1">
        <v>2</v>
      </c>
      <c r="H8155" s="1">
        <v>1</v>
      </c>
      <c r="I8155" s="1">
        <v>0</v>
      </c>
      <c r="J8155" s="1">
        <v>0.99669966996699699</v>
      </c>
      <c r="K8155" s="1">
        <v>1</v>
      </c>
      <c r="L8155" s="1">
        <v>0.99834710743801702</v>
      </c>
      <c r="M8155" s="1">
        <v>0.99405940594059405</v>
      </c>
      <c r="N8155" s="1">
        <v>0.99405940594059405</v>
      </c>
      <c r="O8155" s="1">
        <v>0.99405940594059405</v>
      </c>
      <c r="P8155" s="1" t="s">
        <v>16376</v>
      </c>
      <c r="Q8155" s="1" t="s">
        <v>16377</v>
      </c>
      <c r="R8155" s="1" t="s">
        <v>157</v>
      </c>
      <c r="S8155" s="1" t="s">
        <v>158</v>
      </c>
      <c r="V8155" s="1" t="s">
        <v>14219</v>
      </c>
      <c r="W8155" s="1" t="s">
        <v>14220</v>
      </c>
      <c r="AF8155" s="1" t="s">
        <v>16379</v>
      </c>
    </row>
    <row r="8156" spans="1:32" hidden="1" x14ac:dyDescent="0.35">
      <c r="A8156">
        <v>8155</v>
      </c>
      <c r="B8156" t="s">
        <v>16380</v>
      </c>
      <c r="C8156" t="s">
        <v>68</v>
      </c>
      <c r="D8156" t="s">
        <v>60</v>
      </c>
      <c r="E8156">
        <v>1886</v>
      </c>
      <c r="F8156">
        <v>2</v>
      </c>
      <c r="G8156">
        <v>2</v>
      </c>
      <c r="H8156">
        <v>1</v>
      </c>
      <c r="I8156">
        <v>0</v>
      </c>
      <c r="J8156">
        <v>0.99033816425120802</v>
      </c>
      <c r="K8156">
        <v>0.99203833865814195</v>
      </c>
      <c r="L8156">
        <v>0.99118752238201602</v>
      </c>
      <c r="M8156">
        <v>0.97923322683706104</v>
      </c>
      <c r="N8156">
        <v>0.97923322683706104</v>
      </c>
      <c r="O8156">
        <v>0.97923322683706104</v>
      </c>
      <c r="P8156" t="s">
        <v>16381</v>
      </c>
      <c r="Q8156" t="s">
        <v>16382</v>
      </c>
      <c r="R8156" t="s">
        <v>371</v>
      </c>
      <c r="S8156" t="s">
        <v>372</v>
      </c>
      <c r="T8156" t="s">
        <v>16383</v>
      </c>
      <c r="U8156" t="s">
        <v>16384</v>
      </c>
      <c r="V8156" t="s">
        <v>16385</v>
      </c>
      <c r="W8156" t="s">
        <v>16386</v>
      </c>
      <c r="AD8156" t="s">
        <v>14829</v>
      </c>
      <c r="AE8156" t="s">
        <v>16387</v>
      </c>
      <c r="AF8156" t="s">
        <v>16388</v>
      </c>
    </row>
    <row r="8157" spans="1:32" hidden="1" x14ac:dyDescent="0.35">
      <c r="A8157">
        <v>8156</v>
      </c>
      <c r="B8157" t="s">
        <v>16380</v>
      </c>
      <c r="C8157" t="s">
        <v>68</v>
      </c>
      <c r="D8157" t="s">
        <v>62</v>
      </c>
      <c r="E8157">
        <v>1926</v>
      </c>
      <c r="F8157">
        <v>2</v>
      </c>
      <c r="G8157">
        <v>2</v>
      </c>
      <c r="H8157">
        <v>1</v>
      </c>
      <c r="I8157">
        <v>0</v>
      </c>
      <c r="J8157">
        <v>0.99033816425120802</v>
      </c>
      <c r="K8157">
        <v>0.99203833865814195</v>
      </c>
      <c r="L8157">
        <v>0.99118752238201602</v>
      </c>
      <c r="M8157">
        <v>0.97923322683706104</v>
      </c>
      <c r="N8157">
        <v>0.97923322683706104</v>
      </c>
      <c r="O8157">
        <v>0.97923322683706104</v>
      </c>
      <c r="P8157" t="s">
        <v>16381</v>
      </c>
      <c r="Q8157" t="s">
        <v>16382</v>
      </c>
      <c r="R8157" t="s">
        <v>371</v>
      </c>
      <c r="S8157" t="s">
        <v>372</v>
      </c>
      <c r="T8157" t="s">
        <v>16383</v>
      </c>
      <c r="U8157" t="s">
        <v>16384</v>
      </c>
      <c r="V8157" t="s">
        <v>16385</v>
      </c>
      <c r="W8157" t="s">
        <v>16386</v>
      </c>
      <c r="AD8157" t="s">
        <v>14829</v>
      </c>
      <c r="AE8157" t="s">
        <v>16387</v>
      </c>
      <c r="AF8157" t="s">
        <v>16389</v>
      </c>
    </row>
    <row r="8158" spans="1:32" hidden="1" x14ac:dyDescent="0.35">
      <c r="A8158">
        <v>8157</v>
      </c>
      <c r="B8158" t="s">
        <v>16390</v>
      </c>
      <c r="C8158" t="s">
        <v>68</v>
      </c>
      <c r="D8158" t="s">
        <v>34</v>
      </c>
      <c r="E8158">
        <v>1309</v>
      </c>
      <c r="F8158">
        <v>2</v>
      </c>
      <c r="G8158">
        <v>2</v>
      </c>
      <c r="H8158">
        <v>1</v>
      </c>
      <c r="I8158">
        <v>0</v>
      </c>
      <c r="J8158">
        <v>0.98507462686567204</v>
      </c>
      <c r="K8158">
        <v>1</v>
      </c>
      <c r="L8158">
        <v>0.99248120300751896</v>
      </c>
      <c r="M8158">
        <v>0.97910447761193997</v>
      </c>
      <c r="N8158">
        <v>0.97910447761193997</v>
      </c>
      <c r="O8158">
        <v>0.97910447761193997</v>
      </c>
      <c r="AF8158" t="s">
        <v>16391</v>
      </c>
    </row>
    <row r="8159" spans="1:32" hidden="1" x14ac:dyDescent="0.35">
      <c r="A8159">
        <v>8158</v>
      </c>
      <c r="B8159" t="s">
        <v>16390</v>
      </c>
      <c r="C8159" t="s">
        <v>68</v>
      </c>
      <c r="D8159" t="s">
        <v>45</v>
      </c>
      <c r="E8159">
        <v>61</v>
      </c>
      <c r="F8159">
        <v>2</v>
      </c>
      <c r="G8159">
        <v>2</v>
      </c>
      <c r="H8159">
        <v>1</v>
      </c>
      <c r="I8159">
        <v>0</v>
      </c>
      <c r="J8159">
        <v>0.98507462686567204</v>
      </c>
      <c r="K8159">
        <v>1</v>
      </c>
      <c r="L8159">
        <v>0.99248120300751896</v>
      </c>
      <c r="M8159">
        <v>0.97910447761193997</v>
      </c>
      <c r="N8159">
        <v>0.97910447761193997</v>
      </c>
      <c r="O8159">
        <v>0.97910447761193997</v>
      </c>
      <c r="AF8159" t="s">
        <v>16392</v>
      </c>
    </row>
    <row r="8160" spans="1:32" hidden="1" x14ac:dyDescent="0.35">
      <c r="A8160">
        <v>8159</v>
      </c>
      <c r="B8160" t="s">
        <v>16393</v>
      </c>
      <c r="C8160" t="s">
        <v>68</v>
      </c>
      <c r="D8160" t="s">
        <v>60</v>
      </c>
      <c r="E8160">
        <v>1865</v>
      </c>
      <c r="F8160">
        <v>2</v>
      </c>
      <c r="G8160">
        <v>2</v>
      </c>
      <c r="H8160">
        <v>1</v>
      </c>
      <c r="I8160">
        <v>0</v>
      </c>
      <c r="J8160">
        <v>0.99816849816849795</v>
      </c>
      <c r="K8160">
        <v>1</v>
      </c>
      <c r="L8160">
        <v>0.99908340971585696</v>
      </c>
      <c r="M8160">
        <v>0.99450549450549497</v>
      </c>
      <c r="N8160">
        <v>0.99450549450549497</v>
      </c>
      <c r="O8160">
        <v>0.99450549450549497</v>
      </c>
      <c r="AF8160" t="s">
        <v>16394</v>
      </c>
    </row>
    <row r="8161" spans="1:32" hidden="1" x14ac:dyDescent="0.35">
      <c r="A8161">
        <v>8160</v>
      </c>
      <c r="B8161" t="s">
        <v>16393</v>
      </c>
      <c r="C8161" t="s">
        <v>68</v>
      </c>
      <c r="D8161" t="s">
        <v>62</v>
      </c>
      <c r="E8161">
        <v>1903</v>
      </c>
      <c r="F8161">
        <v>2</v>
      </c>
      <c r="G8161">
        <v>2</v>
      </c>
      <c r="H8161">
        <v>1</v>
      </c>
      <c r="I8161">
        <v>0</v>
      </c>
      <c r="J8161">
        <v>0.99816849816849795</v>
      </c>
      <c r="K8161">
        <v>1</v>
      </c>
      <c r="L8161">
        <v>0.99908340971585696</v>
      </c>
      <c r="M8161">
        <v>0.99450549450549497</v>
      </c>
      <c r="N8161">
        <v>0.99450549450549497</v>
      </c>
      <c r="O8161">
        <v>0.99450549450549497</v>
      </c>
      <c r="AF8161" t="s">
        <v>16395</v>
      </c>
    </row>
    <row r="8162" spans="1:32" hidden="1" x14ac:dyDescent="0.35">
      <c r="A8162">
        <v>8161</v>
      </c>
      <c r="B8162" t="s">
        <v>16396</v>
      </c>
      <c r="C8162" t="s">
        <v>68</v>
      </c>
      <c r="D8162" t="s">
        <v>34</v>
      </c>
      <c r="E8162">
        <v>2031</v>
      </c>
      <c r="F8162">
        <v>2</v>
      </c>
      <c r="G8162">
        <v>2</v>
      </c>
      <c r="H8162">
        <v>1</v>
      </c>
      <c r="I8162">
        <v>0</v>
      </c>
      <c r="J8162">
        <v>0.99348534201954397</v>
      </c>
      <c r="K8162">
        <v>1</v>
      </c>
      <c r="L8162">
        <v>0.99673202614379097</v>
      </c>
      <c r="M8162">
        <v>0.99348534201954397</v>
      </c>
      <c r="N8162">
        <v>0.99348534201954397</v>
      </c>
      <c r="O8162">
        <v>0.99348534201954397</v>
      </c>
      <c r="P8162" t="s">
        <v>6661</v>
      </c>
      <c r="Q8162" t="s">
        <v>6662</v>
      </c>
      <c r="R8162" t="s">
        <v>224</v>
      </c>
      <c r="S8162" t="s">
        <v>225</v>
      </c>
      <c r="T8162" t="s">
        <v>6663</v>
      </c>
      <c r="U8162" t="s">
        <v>6664</v>
      </c>
      <c r="V8162" t="s">
        <v>6665</v>
      </c>
      <c r="W8162" t="s">
        <v>6666</v>
      </c>
      <c r="AD8162" t="s">
        <v>3044</v>
      </c>
      <c r="AE8162" t="s">
        <v>6667</v>
      </c>
      <c r="AF8162" t="s">
        <v>16397</v>
      </c>
    </row>
    <row r="8163" spans="1:32" hidden="1" x14ac:dyDescent="0.35">
      <c r="A8163">
        <v>8162</v>
      </c>
      <c r="B8163" t="s">
        <v>16396</v>
      </c>
      <c r="C8163" t="s">
        <v>68</v>
      </c>
      <c r="D8163" t="s">
        <v>45</v>
      </c>
      <c r="E8163">
        <v>841</v>
      </c>
      <c r="F8163">
        <v>2</v>
      </c>
      <c r="G8163">
        <v>2</v>
      </c>
      <c r="H8163">
        <v>1</v>
      </c>
      <c r="I8163">
        <v>0</v>
      </c>
      <c r="J8163">
        <v>0.99348534201954397</v>
      </c>
      <c r="K8163">
        <v>1</v>
      </c>
      <c r="L8163">
        <v>0.99673202614379097</v>
      </c>
      <c r="M8163">
        <v>0.99348534201954397</v>
      </c>
      <c r="N8163">
        <v>0.99348534201954397</v>
      </c>
      <c r="O8163">
        <v>0.99348534201954397</v>
      </c>
      <c r="P8163" t="s">
        <v>6661</v>
      </c>
      <c r="Q8163" t="s">
        <v>6662</v>
      </c>
      <c r="R8163" t="s">
        <v>224</v>
      </c>
      <c r="S8163" t="s">
        <v>225</v>
      </c>
      <c r="T8163" t="s">
        <v>6663</v>
      </c>
      <c r="U8163" t="s">
        <v>6664</v>
      </c>
      <c r="V8163" t="s">
        <v>6665</v>
      </c>
      <c r="W8163" t="s">
        <v>6666</v>
      </c>
      <c r="AD8163" t="s">
        <v>3044</v>
      </c>
      <c r="AE8163" t="s">
        <v>6667</v>
      </c>
      <c r="AF8163" t="s">
        <v>16398</v>
      </c>
    </row>
    <row r="8164" spans="1:32" hidden="1" x14ac:dyDescent="0.35">
      <c r="A8164">
        <v>8163</v>
      </c>
      <c r="B8164" t="s">
        <v>16399</v>
      </c>
      <c r="C8164" t="s">
        <v>68</v>
      </c>
      <c r="D8164" t="s">
        <v>34</v>
      </c>
      <c r="E8164">
        <v>578</v>
      </c>
      <c r="F8164">
        <v>2</v>
      </c>
      <c r="G8164">
        <v>2</v>
      </c>
      <c r="H8164">
        <v>1</v>
      </c>
      <c r="I8164">
        <v>0</v>
      </c>
      <c r="J8164">
        <v>0.99512874043145405</v>
      </c>
      <c r="K8164">
        <v>1</v>
      </c>
      <c r="L8164">
        <v>0.99755842343913503</v>
      </c>
      <c r="M8164">
        <v>0.99373695198329903</v>
      </c>
      <c r="N8164">
        <v>0.99373695198329903</v>
      </c>
      <c r="O8164">
        <v>0.99373695198329903</v>
      </c>
      <c r="P8164" t="s">
        <v>16156</v>
      </c>
      <c r="Q8164" t="s">
        <v>16157</v>
      </c>
      <c r="R8164" t="s">
        <v>157</v>
      </c>
      <c r="S8164" t="s">
        <v>158</v>
      </c>
      <c r="T8164" t="s">
        <v>16158</v>
      </c>
      <c r="U8164" t="s">
        <v>16159</v>
      </c>
      <c r="V8164" t="s">
        <v>16160</v>
      </c>
      <c r="W8164" t="s">
        <v>16161</v>
      </c>
      <c r="AD8164" t="s">
        <v>16018</v>
      </c>
      <c r="AE8164" t="s">
        <v>16162</v>
      </c>
      <c r="AF8164" t="s">
        <v>16400</v>
      </c>
    </row>
    <row r="8165" spans="1:32" hidden="1" x14ac:dyDescent="0.35">
      <c r="A8165">
        <v>8164</v>
      </c>
      <c r="B8165" t="s">
        <v>16399</v>
      </c>
      <c r="C8165" t="s">
        <v>68</v>
      </c>
      <c r="D8165" t="s">
        <v>45</v>
      </c>
      <c r="E8165">
        <v>1844</v>
      </c>
      <c r="F8165">
        <v>2</v>
      </c>
      <c r="G8165">
        <v>2</v>
      </c>
      <c r="H8165">
        <v>1</v>
      </c>
      <c r="I8165">
        <v>0</v>
      </c>
      <c r="J8165">
        <v>0.99512874043145405</v>
      </c>
      <c r="K8165">
        <v>1</v>
      </c>
      <c r="L8165">
        <v>0.99755842343913503</v>
      </c>
      <c r="M8165">
        <v>0.99373695198329903</v>
      </c>
      <c r="N8165">
        <v>0.99373695198329903</v>
      </c>
      <c r="O8165">
        <v>0.99373695198329903</v>
      </c>
      <c r="P8165" t="s">
        <v>16156</v>
      </c>
      <c r="Q8165" t="s">
        <v>16157</v>
      </c>
      <c r="R8165" t="s">
        <v>157</v>
      </c>
      <c r="S8165" t="s">
        <v>158</v>
      </c>
      <c r="T8165" t="s">
        <v>16158</v>
      </c>
      <c r="U8165" t="s">
        <v>16159</v>
      </c>
      <c r="V8165" t="s">
        <v>16160</v>
      </c>
      <c r="W8165" t="s">
        <v>16161</v>
      </c>
      <c r="AD8165" t="s">
        <v>16018</v>
      </c>
      <c r="AE8165" t="s">
        <v>16162</v>
      </c>
      <c r="AF8165" t="s">
        <v>16401</v>
      </c>
    </row>
    <row r="8166" spans="1:32" hidden="1" x14ac:dyDescent="0.35">
      <c r="A8166">
        <v>8165</v>
      </c>
      <c r="B8166" t="s">
        <v>16402</v>
      </c>
      <c r="C8166" t="s">
        <v>68</v>
      </c>
      <c r="D8166" t="s">
        <v>60</v>
      </c>
      <c r="E8166">
        <v>1866</v>
      </c>
      <c r="F8166">
        <v>2</v>
      </c>
      <c r="G8166">
        <v>2</v>
      </c>
      <c r="H8166">
        <v>1</v>
      </c>
      <c r="I8166">
        <v>0</v>
      </c>
      <c r="J8166">
        <v>0.98396982555398405</v>
      </c>
      <c r="K8166">
        <v>1</v>
      </c>
      <c r="L8166">
        <v>0.99192015209125495</v>
      </c>
      <c r="M8166">
        <v>0.983026874115983</v>
      </c>
      <c r="N8166">
        <v>0.983026874115983</v>
      </c>
      <c r="O8166">
        <v>0.983026874115983</v>
      </c>
      <c r="AF8166" t="s">
        <v>16403</v>
      </c>
    </row>
    <row r="8167" spans="1:32" hidden="1" x14ac:dyDescent="0.35">
      <c r="A8167">
        <v>8166</v>
      </c>
      <c r="B8167" t="s">
        <v>16402</v>
      </c>
      <c r="C8167" t="s">
        <v>68</v>
      </c>
      <c r="D8167" t="s">
        <v>62</v>
      </c>
      <c r="E8167">
        <v>1904</v>
      </c>
      <c r="F8167">
        <v>2</v>
      </c>
      <c r="G8167">
        <v>2</v>
      </c>
      <c r="H8167">
        <v>1</v>
      </c>
      <c r="I8167">
        <v>0</v>
      </c>
      <c r="J8167">
        <v>0.98396982555398405</v>
      </c>
      <c r="K8167">
        <v>1</v>
      </c>
      <c r="L8167">
        <v>0.99192015209125495</v>
      </c>
      <c r="M8167">
        <v>0.983026874115983</v>
      </c>
      <c r="N8167">
        <v>0.983026874115983</v>
      </c>
      <c r="O8167">
        <v>0.983026874115983</v>
      </c>
      <c r="AF8167" t="s">
        <v>16404</v>
      </c>
    </row>
    <row r="8168" spans="1:32" hidden="1" x14ac:dyDescent="0.35">
      <c r="A8168">
        <v>8167</v>
      </c>
      <c r="B8168" t="s">
        <v>16405</v>
      </c>
      <c r="C8168" t="s">
        <v>68</v>
      </c>
      <c r="D8168" t="s">
        <v>60</v>
      </c>
      <c r="E8168">
        <v>491</v>
      </c>
      <c r="F8168">
        <v>2</v>
      </c>
      <c r="G8168">
        <v>2</v>
      </c>
      <c r="H8168">
        <v>1</v>
      </c>
      <c r="I8168">
        <v>0</v>
      </c>
      <c r="J8168">
        <v>0.97309941520467802</v>
      </c>
      <c r="K8168">
        <v>0.85529296086246598</v>
      </c>
      <c r="L8168">
        <v>0.910400952156868</v>
      </c>
      <c r="M8168">
        <v>0.81656804733727795</v>
      </c>
      <c r="N8168">
        <v>0.81656804733727795</v>
      </c>
      <c r="O8168">
        <v>0.81656804733727795</v>
      </c>
      <c r="P8168" t="s">
        <v>14169</v>
      </c>
      <c r="Q8168" t="s">
        <v>14170</v>
      </c>
      <c r="AF8168" t="s">
        <v>16406</v>
      </c>
    </row>
    <row r="8169" spans="1:32" hidden="1" x14ac:dyDescent="0.35">
      <c r="A8169">
        <v>8168</v>
      </c>
      <c r="B8169" t="s">
        <v>16405</v>
      </c>
      <c r="C8169" t="s">
        <v>68</v>
      </c>
      <c r="D8169" t="s">
        <v>62</v>
      </c>
      <c r="E8169">
        <v>574</v>
      </c>
      <c r="F8169">
        <v>2</v>
      </c>
      <c r="G8169">
        <v>2</v>
      </c>
      <c r="H8169">
        <v>1</v>
      </c>
      <c r="I8169">
        <v>0</v>
      </c>
      <c r="J8169">
        <v>0.97309941520467802</v>
      </c>
      <c r="K8169">
        <v>0.85529296086246598</v>
      </c>
      <c r="L8169">
        <v>0.910400952156868</v>
      </c>
      <c r="M8169">
        <v>0.81656804733727795</v>
      </c>
      <c r="N8169">
        <v>0.81656804733727795</v>
      </c>
      <c r="O8169">
        <v>0.81656804733727795</v>
      </c>
      <c r="P8169" t="s">
        <v>14169</v>
      </c>
      <c r="Q8169" t="s">
        <v>14170</v>
      </c>
      <c r="AF8169" t="s">
        <v>16407</v>
      </c>
    </row>
    <row r="8170" spans="1:32" hidden="1" x14ac:dyDescent="0.35">
      <c r="A8170">
        <v>8169</v>
      </c>
      <c r="B8170" t="s">
        <v>16408</v>
      </c>
      <c r="C8170" t="s">
        <v>68</v>
      </c>
      <c r="D8170" t="s">
        <v>60</v>
      </c>
      <c r="E8170">
        <v>1953</v>
      </c>
      <c r="F8170">
        <v>2</v>
      </c>
      <c r="G8170">
        <v>2</v>
      </c>
      <c r="H8170">
        <v>1</v>
      </c>
      <c r="I8170">
        <v>0</v>
      </c>
      <c r="J8170">
        <v>0.99277605779153799</v>
      </c>
      <c r="K8170">
        <v>1</v>
      </c>
      <c r="L8170">
        <v>0.99637493526670096</v>
      </c>
      <c r="M8170">
        <v>0.99071207430340602</v>
      </c>
      <c r="N8170">
        <v>0.99071207430340602</v>
      </c>
      <c r="O8170">
        <v>0.99071207430340602</v>
      </c>
      <c r="R8170" t="s">
        <v>371</v>
      </c>
      <c r="S8170" t="s">
        <v>372</v>
      </c>
      <c r="V8170" t="s">
        <v>12084</v>
      </c>
      <c r="W8170" t="s">
        <v>12085</v>
      </c>
      <c r="AF8170" t="s">
        <v>16409</v>
      </c>
    </row>
    <row r="8171" spans="1:32" hidden="1" x14ac:dyDescent="0.35">
      <c r="A8171">
        <v>8170</v>
      </c>
      <c r="B8171" t="s">
        <v>16408</v>
      </c>
      <c r="C8171" t="s">
        <v>68</v>
      </c>
      <c r="D8171" t="s">
        <v>62</v>
      </c>
      <c r="E8171">
        <v>1994</v>
      </c>
      <c r="F8171">
        <v>2</v>
      </c>
      <c r="G8171">
        <v>2</v>
      </c>
      <c r="H8171">
        <v>1</v>
      </c>
      <c r="I8171">
        <v>0</v>
      </c>
      <c r="J8171">
        <v>0.99277605779153799</v>
      </c>
      <c r="K8171">
        <v>1</v>
      </c>
      <c r="L8171">
        <v>0.99637493526670096</v>
      </c>
      <c r="M8171">
        <v>0.99071207430340602</v>
      </c>
      <c r="N8171">
        <v>0.99071207430340602</v>
      </c>
      <c r="O8171">
        <v>0.99071207430340602</v>
      </c>
      <c r="R8171" t="s">
        <v>371</v>
      </c>
      <c r="S8171" t="s">
        <v>372</v>
      </c>
      <c r="V8171" t="s">
        <v>12084</v>
      </c>
      <c r="W8171" t="s">
        <v>12085</v>
      </c>
      <c r="AF8171" t="s">
        <v>16410</v>
      </c>
    </row>
    <row r="8172" spans="1:32" hidden="1" x14ac:dyDescent="0.35">
      <c r="A8172">
        <v>8171</v>
      </c>
      <c r="B8172" t="s">
        <v>16411</v>
      </c>
      <c r="C8172" t="s">
        <v>68</v>
      </c>
      <c r="D8172" t="s">
        <v>60</v>
      </c>
      <c r="E8172">
        <v>743</v>
      </c>
      <c r="F8172">
        <v>2</v>
      </c>
      <c r="G8172">
        <v>2</v>
      </c>
      <c r="H8172">
        <v>1</v>
      </c>
      <c r="I8172">
        <v>0</v>
      </c>
      <c r="J8172">
        <v>0.99596448748991095</v>
      </c>
      <c r="K8172">
        <v>1</v>
      </c>
      <c r="L8172">
        <v>0.99797816417306895</v>
      </c>
      <c r="M8172">
        <v>0.99273607748184001</v>
      </c>
      <c r="N8172">
        <v>0.99273607748184001</v>
      </c>
      <c r="O8172">
        <v>0.99273607748184001</v>
      </c>
      <c r="P8172" t="s">
        <v>16412</v>
      </c>
      <c r="Q8172" t="s">
        <v>16413</v>
      </c>
      <c r="R8172" t="s">
        <v>1191</v>
      </c>
      <c r="S8172" t="s">
        <v>1192</v>
      </c>
      <c r="T8172" t="s">
        <v>16414</v>
      </c>
      <c r="U8172" t="s">
        <v>16415</v>
      </c>
      <c r="V8172" t="s">
        <v>16416</v>
      </c>
      <c r="W8172" t="s">
        <v>16417</v>
      </c>
      <c r="AD8172" t="s">
        <v>16418</v>
      </c>
      <c r="AE8172" t="s">
        <v>16419</v>
      </c>
      <c r="AF8172" t="s">
        <v>16420</v>
      </c>
    </row>
    <row r="8173" spans="1:32" hidden="1" x14ac:dyDescent="0.35">
      <c r="A8173">
        <v>8172</v>
      </c>
      <c r="B8173" t="s">
        <v>16411</v>
      </c>
      <c r="C8173" t="s">
        <v>68</v>
      </c>
      <c r="D8173" t="s">
        <v>62</v>
      </c>
      <c r="E8173">
        <v>775</v>
      </c>
      <c r="F8173">
        <v>2</v>
      </c>
      <c r="G8173">
        <v>2</v>
      </c>
      <c r="H8173">
        <v>1</v>
      </c>
      <c r="I8173">
        <v>0</v>
      </c>
      <c r="J8173">
        <v>0.99596448748991095</v>
      </c>
      <c r="K8173">
        <v>1</v>
      </c>
      <c r="L8173">
        <v>0.99797816417306895</v>
      </c>
      <c r="M8173">
        <v>0.99273607748184001</v>
      </c>
      <c r="N8173">
        <v>0.99273607748184001</v>
      </c>
      <c r="O8173">
        <v>0.99273607748184001</v>
      </c>
      <c r="P8173" t="s">
        <v>16412</v>
      </c>
      <c r="Q8173" t="s">
        <v>16413</v>
      </c>
      <c r="R8173" t="s">
        <v>1191</v>
      </c>
      <c r="S8173" t="s">
        <v>1192</v>
      </c>
      <c r="T8173" t="s">
        <v>16414</v>
      </c>
      <c r="U8173" t="s">
        <v>16415</v>
      </c>
      <c r="V8173" t="s">
        <v>16416</v>
      </c>
      <c r="W8173" t="s">
        <v>16417</v>
      </c>
      <c r="AD8173" t="s">
        <v>16418</v>
      </c>
      <c r="AE8173" t="s">
        <v>16419</v>
      </c>
      <c r="AF8173" t="s">
        <v>16421</v>
      </c>
    </row>
    <row r="8174" spans="1:32" hidden="1" x14ac:dyDescent="0.35">
      <c r="A8174">
        <v>8173</v>
      </c>
      <c r="B8174" t="s">
        <v>16422</v>
      </c>
      <c r="C8174" t="s">
        <v>68</v>
      </c>
      <c r="D8174" t="s">
        <v>34</v>
      </c>
      <c r="E8174">
        <v>605</v>
      </c>
      <c r="F8174">
        <v>2</v>
      </c>
      <c r="G8174">
        <v>2</v>
      </c>
      <c r="H8174">
        <v>1</v>
      </c>
      <c r="I8174">
        <v>0</v>
      </c>
      <c r="J8174">
        <v>0.99565217391304395</v>
      </c>
      <c r="K8174">
        <v>0.97484673638658403</v>
      </c>
      <c r="L8174">
        <v>0.98513961844084497</v>
      </c>
      <c r="M8174">
        <v>0.96186440677966101</v>
      </c>
      <c r="N8174">
        <v>0.96186440677966101</v>
      </c>
      <c r="O8174">
        <v>0.96186440677966101</v>
      </c>
      <c r="P8174" t="s">
        <v>16423</v>
      </c>
      <c r="Q8174" t="s">
        <v>16424</v>
      </c>
      <c r="R8174" t="s">
        <v>1259</v>
      </c>
      <c r="S8174" t="s">
        <v>1260</v>
      </c>
      <c r="V8174" t="s">
        <v>16425</v>
      </c>
      <c r="W8174" t="s">
        <v>16426</v>
      </c>
      <c r="AF8174" t="e">
        <f>------MARRVVGSFCVLVGVALGYASISGSYRAWVSQSPVLIALSSVGLVVVGLTTACQREHCGCGNHDHRWSPWVLGFLAIIIVGASPAALQPAQVETANRVVLATNNGGAMPPLPPGDTPELEIPDIIGRLMAPVDDQLRGKKVQVTGQLSVEHGVSLLSRVVIICCAADARAYRIELSDPRHKLRNIPAGTWVHVTVTLLPGTGTEQRNWVPIVVVEAAESTVDPGYGALRR</f>
        <v>#NAME?</v>
      </c>
    </row>
    <row r="8175" spans="1:32" hidden="1" x14ac:dyDescent="0.35">
      <c r="A8175">
        <v>8174</v>
      </c>
      <c r="B8175" t="s">
        <v>16422</v>
      </c>
      <c r="C8175" t="s">
        <v>68</v>
      </c>
      <c r="D8175" t="s">
        <v>45</v>
      </c>
      <c r="E8175">
        <v>1872</v>
      </c>
      <c r="F8175">
        <v>2</v>
      </c>
      <c r="G8175">
        <v>2</v>
      </c>
      <c r="H8175">
        <v>1</v>
      </c>
      <c r="I8175">
        <v>0</v>
      </c>
      <c r="J8175">
        <v>0.99565217391304395</v>
      </c>
      <c r="K8175">
        <v>0.97484673638658403</v>
      </c>
      <c r="L8175">
        <v>0.98513961844084497</v>
      </c>
      <c r="M8175">
        <v>0.96186440677966101</v>
      </c>
      <c r="N8175">
        <v>0.96186440677966101</v>
      </c>
      <c r="O8175">
        <v>0.96186440677966101</v>
      </c>
      <c r="P8175" t="s">
        <v>16423</v>
      </c>
      <c r="Q8175" t="s">
        <v>16424</v>
      </c>
      <c r="R8175" t="s">
        <v>1259</v>
      </c>
      <c r="S8175" t="s">
        <v>1260</v>
      </c>
      <c r="V8175" t="s">
        <v>16425</v>
      </c>
      <c r="W8175" t="s">
        <v>16426</v>
      </c>
      <c r="AF8175" t="s">
        <v>16427</v>
      </c>
    </row>
    <row r="8176" spans="1:32" hidden="1" x14ac:dyDescent="0.35">
      <c r="A8176">
        <v>8175</v>
      </c>
      <c r="B8176" t="s">
        <v>16428</v>
      </c>
      <c r="C8176" t="s">
        <v>68</v>
      </c>
      <c r="D8176" t="s">
        <v>34</v>
      </c>
      <c r="E8176">
        <v>2518</v>
      </c>
      <c r="F8176">
        <v>2</v>
      </c>
      <c r="G8176">
        <v>2</v>
      </c>
      <c r="H8176">
        <v>1</v>
      </c>
      <c r="I8176">
        <v>0</v>
      </c>
      <c r="J8176">
        <v>0.99494949494949503</v>
      </c>
      <c r="K8176">
        <v>1</v>
      </c>
      <c r="L8176">
        <v>0.99746835443037996</v>
      </c>
      <c r="M8176">
        <v>0.99494949494949503</v>
      </c>
      <c r="N8176">
        <v>0.99494949494949503</v>
      </c>
      <c r="O8176">
        <v>0.99494949494949503</v>
      </c>
      <c r="AF8176" t="s">
        <v>16429</v>
      </c>
    </row>
    <row r="8177" spans="1:32" hidden="1" x14ac:dyDescent="0.35">
      <c r="A8177">
        <v>8176</v>
      </c>
      <c r="B8177" t="s">
        <v>16428</v>
      </c>
      <c r="C8177" t="s">
        <v>68</v>
      </c>
      <c r="D8177" t="s">
        <v>45</v>
      </c>
      <c r="E8177">
        <v>1244</v>
      </c>
      <c r="F8177">
        <v>2</v>
      </c>
      <c r="G8177">
        <v>2</v>
      </c>
      <c r="H8177">
        <v>1</v>
      </c>
      <c r="I8177">
        <v>0</v>
      </c>
      <c r="J8177">
        <v>0.99494949494949503</v>
      </c>
      <c r="K8177">
        <v>1</v>
      </c>
      <c r="L8177">
        <v>0.99746835443037996</v>
      </c>
      <c r="M8177">
        <v>0.99494949494949503</v>
      </c>
      <c r="N8177">
        <v>0.99494949494949503</v>
      </c>
      <c r="O8177">
        <v>0.99494949494949503</v>
      </c>
      <c r="AF8177" t="s">
        <v>16430</v>
      </c>
    </row>
    <row r="8178" spans="1:32" hidden="1" x14ac:dyDescent="0.35">
      <c r="A8178">
        <v>8177</v>
      </c>
      <c r="B8178" t="s">
        <v>16431</v>
      </c>
      <c r="C8178" t="s">
        <v>68</v>
      </c>
      <c r="D8178" t="s">
        <v>34</v>
      </c>
      <c r="E8178">
        <v>445</v>
      </c>
      <c r="F8178">
        <v>2</v>
      </c>
      <c r="G8178">
        <v>2</v>
      </c>
      <c r="H8178">
        <v>1</v>
      </c>
      <c r="I8178">
        <v>0</v>
      </c>
      <c r="J8178">
        <v>0.99824561403508805</v>
      </c>
      <c r="K8178">
        <v>1</v>
      </c>
      <c r="L8178">
        <v>0.999122036874451</v>
      </c>
      <c r="M8178">
        <v>0.99473684210526303</v>
      </c>
      <c r="N8178">
        <v>0.99473684210526303</v>
      </c>
      <c r="O8178">
        <v>0.99473684210526303</v>
      </c>
      <c r="P8178" t="s">
        <v>13314</v>
      </c>
      <c r="Q8178" t="s">
        <v>13315</v>
      </c>
      <c r="R8178" t="s">
        <v>288</v>
      </c>
      <c r="S8178" t="s">
        <v>289</v>
      </c>
      <c r="V8178" t="s">
        <v>628</v>
      </c>
      <c r="W8178" t="s">
        <v>629</v>
      </c>
      <c r="AF8178" t="s">
        <v>16432</v>
      </c>
    </row>
    <row r="8179" spans="1:32" hidden="1" x14ac:dyDescent="0.35">
      <c r="A8179">
        <v>8178</v>
      </c>
      <c r="B8179" t="s">
        <v>16431</v>
      </c>
      <c r="C8179" t="s">
        <v>68</v>
      </c>
      <c r="D8179" t="s">
        <v>45</v>
      </c>
      <c r="E8179">
        <v>1708</v>
      </c>
      <c r="F8179">
        <v>2</v>
      </c>
      <c r="G8179">
        <v>2</v>
      </c>
      <c r="H8179">
        <v>1</v>
      </c>
      <c r="I8179">
        <v>0</v>
      </c>
      <c r="J8179">
        <v>0.99824561403508805</v>
      </c>
      <c r="K8179">
        <v>1</v>
      </c>
      <c r="L8179">
        <v>0.999122036874451</v>
      </c>
      <c r="M8179">
        <v>0.99473684210526303</v>
      </c>
      <c r="N8179">
        <v>0.99473684210526303</v>
      </c>
      <c r="O8179">
        <v>0.99473684210526303</v>
      </c>
      <c r="P8179" t="s">
        <v>13314</v>
      </c>
      <c r="Q8179" t="s">
        <v>13315</v>
      </c>
      <c r="R8179" t="s">
        <v>288</v>
      </c>
      <c r="S8179" t="s">
        <v>289</v>
      </c>
      <c r="V8179" t="s">
        <v>628</v>
      </c>
      <c r="W8179" t="s">
        <v>629</v>
      </c>
      <c r="AF8179" t="s">
        <v>16433</v>
      </c>
    </row>
    <row r="8180" spans="1:32" hidden="1" x14ac:dyDescent="0.35">
      <c r="A8180">
        <v>8179</v>
      </c>
      <c r="B8180" t="s">
        <v>16434</v>
      </c>
      <c r="C8180" t="s">
        <v>68</v>
      </c>
      <c r="D8180" t="s">
        <v>34</v>
      </c>
      <c r="E8180">
        <v>2129</v>
      </c>
      <c r="F8180">
        <v>2</v>
      </c>
      <c r="G8180">
        <v>2</v>
      </c>
      <c r="H8180">
        <v>1</v>
      </c>
      <c r="I8180">
        <v>0</v>
      </c>
      <c r="J8180">
        <v>0.97632058287795997</v>
      </c>
      <c r="K8180">
        <v>1</v>
      </c>
      <c r="L8180">
        <v>0.98801843317972304</v>
      </c>
      <c r="M8180">
        <v>0.97267759562841505</v>
      </c>
      <c r="N8180">
        <v>0.97267759562841505</v>
      </c>
      <c r="O8180">
        <v>0.97267759562841505</v>
      </c>
      <c r="P8180" t="s">
        <v>15377</v>
      </c>
      <c r="Q8180" t="s">
        <v>10223</v>
      </c>
      <c r="R8180" t="s">
        <v>224</v>
      </c>
      <c r="S8180" t="s">
        <v>225</v>
      </c>
      <c r="V8180" t="s">
        <v>8738</v>
      </c>
      <c r="W8180" t="s">
        <v>8739</v>
      </c>
      <c r="AF8180" t="s">
        <v>16435</v>
      </c>
    </row>
    <row r="8181" spans="1:32" hidden="1" x14ac:dyDescent="0.35">
      <c r="A8181">
        <v>8180</v>
      </c>
      <c r="B8181" t="s">
        <v>16434</v>
      </c>
      <c r="C8181" t="s">
        <v>68</v>
      </c>
      <c r="D8181" t="s">
        <v>45</v>
      </c>
      <c r="E8181">
        <v>743</v>
      </c>
      <c r="F8181">
        <v>2</v>
      </c>
      <c r="G8181">
        <v>2</v>
      </c>
      <c r="H8181">
        <v>1</v>
      </c>
      <c r="I8181">
        <v>0</v>
      </c>
      <c r="J8181">
        <v>0.97632058287795997</v>
      </c>
      <c r="K8181">
        <v>1</v>
      </c>
      <c r="L8181">
        <v>0.98801843317972304</v>
      </c>
      <c r="M8181">
        <v>0.97267759562841505</v>
      </c>
      <c r="N8181">
        <v>0.97267759562841505</v>
      </c>
      <c r="O8181">
        <v>0.97267759562841505</v>
      </c>
      <c r="P8181" t="s">
        <v>14137</v>
      </c>
      <c r="Q8181" t="s">
        <v>10223</v>
      </c>
      <c r="R8181" t="s">
        <v>224</v>
      </c>
      <c r="S8181" t="s">
        <v>225</v>
      </c>
      <c r="V8181" t="s">
        <v>8738</v>
      </c>
      <c r="W8181" t="s">
        <v>8739</v>
      </c>
      <c r="AF8181" t="s">
        <v>16436</v>
      </c>
    </row>
    <row r="8182" spans="1:32" hidden="1" x14ac:dyDescent="0.35">
      <c r="A8182">
        <v>8181</v>
      </c>
      <c r="B8182" t="s">
        <v>16437</v>
      </c>
      <c r="C8182" t="s">
        <v>68</v>
      </c>
      <c r="D8182" t="s">
        <v>60</v>
      </c>
      <c r="E8182">
        <v>2348</v>
      </c>
      <c r="F8182">
        <v>2</v>
      </c>
      <c r="G8182">
        <v>2</v>
      </c>
      <c r="H8182">
        <v>1</v>
      </c>
      <c r="I8182">
        <v>0</v>
      </c>
      <c r="J8182">
        <v>0.99501246882793004</v>
      </c>
      <c r="K8182">
        <v>0.99751243781094801</v>
      </c>
      <c r="L8182">
        <v>0.99626088499652998</v>
      </c>
      <c r="M8182">
        <v>0.99253731343283602</v>
      </c>
      <c r="N8182">
        <v>0.99253731343283602</v>
      </c>
      <c r="O8182">
        <v>0.99253731343283602</v>
      </c>
      <c r="AF8182" t="s">
        <v>16438</v>
      </c>
    </row>
    <row r="8183" spans="1:32" hidden="1" x14ac:dyDescent="0.35">
      <c r="A8183">
        <v>8182</v>
      </c>
      <c r="B8183" t="s">
        <v>16437</v>
      </c>
      <c r="C8183" t="s">
        <v>68</v>
      </c>
      <c r="D8183" t="s">
        <v>62</v>
      </c>
      <c r="E8183">
        <v>2376</v>
      </c>
      <c r="F8183">
        <v>2</v>
      </c>
      <c r="G8183">
        <v>2</v>
      </c>
      <c r="H8183">
        <v>1</v>
      </c>
      <c r="I8183">
        <v>0</v>
      </c>
      <c r="J8183">
        <v>0.99501246882793004</v>
      </c>
      <c r="K8183">
        <v>0.99751243781094801</v>
      </c>
      <c r="L8183">
        <v>0.99626088499652998</v>
      </c>
      <c r="M8183">
        <v>0.99253731343283602</v>
      </c>
      <c r="N8183">
        <v>0.99253731343283602</v>
      </c>
      <c r="O8183">
        <v>0.99253731343283602</v>
      </c>
      <c r="AF8183" t="s">
        <v>16439</v>
      </c>
    </row>
    <row r="8184" spans="1:32" hidden="1" x14ac:dyDescent="0.35">
      <c r="A8184">
        <v>8183</v>
      </c>
      <c r="B8184" t="s">
        <v>16440</v>
      </c>
      <c r="C8184" t="s">
        <v>68</v>
      </c>
      <c r="D8184" t="s">
        <v>34</v>
      </c>
      <c r="E8184">
        <v>2181</v>
      </c>
      <c r="F8184">
        <v>2</v>
      </c>
      <c r="G8184">
        <v>2</v>
      </c>
      <c r="H8184">
        <v>1</v>
      </c>
      <c r="I8184">
        <v>0</v>
      </c>
      <c r="J8184">
        <v>0.96296296296296302</v>
      </c>
      <c r="K8184">
        <v>1</v>
      </c>
      <c r="L8184">
        <v>0.98113207547169801</v>
      </c>
      <c r="M8184">
        <v>0.93333333333333302</v>
      </c>
      <c r="N8184">
        <v>0.93333333333333302</v>
      </c>
      <c r="O8184">
        <v>0.93333333333333302</v>
      </c>
      <c r="AF8184" t="s">
        <v>16441</v>
      </c>
    </row>
    <row r="8185" spans="1:32" hidden="1" x14ac:dyDescent="0.35">
      <c r="A8185">
        <v>8184</v>
      </c>
      <c r="B8185" t="s">
        <v>16440</v>
      </c>
      <c r="C8185" t="s">
        <v>68</v>
      </c>
      <c r="D8185" t="s">
        <v>45</v>
      </c>
      <c r="E8185">
        <v>693</v>
      </c>
      <c r="F8185">
        <v>2</v>
      </c>
      <c r="G8185">
        <v>2</v>
      </c>
      <c r="H8185">
        <v>1</v>
      </c>
      <c r="I8185">
        <v>0</v>
      </c>
      <c r="J8185">
        <v>0.96296296296296302</v>
      </c>
      <c r="K8185">
        <v>1</v>
      </c>
      <c r="L8185">
        <v>0.98113207547169801</v>
      </c>
      <c r="M8185">
        <v>0.93333333333333302</v>
      </c>
      <c r="N8185">
        <v>0.93333333333333302</v>
      </c>
      <c r="O8185">
        <v>0.93333333333333302</v>
      </c>
      <c r="AF8185" t="s">
        <v>16442</v>
      </c>
    </row>
    <row r="8186" spans="1:32" hidden="1" x14ac:dyDescent="0.35">
      <c r="A8186">
        <v>8185</v>
      </c>
      <c r="B8186" t="s">
        <v>16443</v>
      </c>
      <c r="C8186" t="s">
        <v>68</v>
      </c>
      <c r="D8186" t="s">
        <v>60</v>
      </c>
      <c r="E8186">
        <v>2552</v>
      </c>
      <c r="F8186">
        <v>2</v>
      </c>
      <c r="G8186">
        <v>2</v>
      </c>
      <c r="H8186">
        <v>1</v>
      </c>
      <c r="I8186">
        <v>0</v>
      </c>
      <c r="J8186">
        <v>0.98258706467661705</v>
      </c>
      <c r="K8186">
        <v>1</v>
      </c>
      <c r="L8186">
        <v>0.99121706398996201</v>
      </c>
      <c r="M8186">
        <v>0.97761194029850795</v>
      </c>
      <c r="N8186">
        <v>0.97761194029850795</v>
      </c>
      <c r="O8186">
        <v>0.97761194029850795</v>
      </c>
      <c r="P8186" t="s">
        <v>16444</v>
      </c>
      <c r="Q8186" t="s">
        <v>16445</v>
      </c>
      <c r="R8186" t="s">
        <v>224</v>
      </c>
      <c r="S8186" t="s">
        <v>225</v>
      </c>
      <c r="T8186" t="s">
        <v>16446</v>
      </c>
      <c r="U8186" t="s">
        <v>16447</v>
      </c>
      <c r="V8186" t="s">
        <v>16448</v>
      </c>
      <c r="W8186" t="s">
        <v>16449</v>
      </c>
      <c r="AD8186" t="s">
        <v>2991</v>
      </c>
      <c r="AE8186" t="s">
        <v>16450</v>
      </c>
      <c r="AF8186" t="s">
        <v>16451</v>
      </c>
    </row>
    <row r="8187" spans="1:32" hidden="1" x14ac:dyDescent="0.35">
      <c r="A8187">
        <v>8186</v>
      </c>
      <c r="B8187" t="s">
        <v>16443</v>
      </c>
      <c r="C8187" t="s">
        <v>68</v>
      </c>
      <c r="D8187" t="s">
        <v>62</v>
      </c>
      <c r="E8187">
        <v>77</v>
      </c>
      <c r="F8187">
        <v>2</v>
      </c>
      <c r="G8187">
        <v>2</v>
      </c>
      <c r="H8187">
        <v>1</v>
      </c>
      <c r="I8187">
        <v>0</v>
      </c>
      <c r="J8187">
        <v>0.98258706467661705</v>
      </c>
      <c r="K8187">
        <v>1</v>
      </c>
      <c r="L8187">
        <v>0.99121706398996201</v>
      </c>
      <c r="M8187">
        <v>0.97761194029850795</v>
      </c>
      <c r="N8187">
        <v>0.97761194029850795</v>
      </c>
      <c r="O8187">
        <v>0.97761194029850795</v>
      </c>
      <c r="P8187" t="s">
        <v>16444</v>
      </c>
      <c r="Q8187" t="s">
        <v>16445</v>
      </c>
      <c r="R8187" t="s">
        <v>224</v>
      </c>
      <c r="S8187" t="s">
        <v>225</v>
      </c>
      <c r="T8187" t="s">
        <v>16446</v>
      </c>
      <c r="U8187" t="s">
        <v>16447</v>
      </c>
      <c r="V8187" t="s">
        <v>16448</v>
      </c>
      <c r="W8187" t="s">
        <v>16449</v>
      </c>
      <c r="AD8187" t="s">
        <v>2991</v>
      </c>
      <c r="AE8187" t="s">
        <v>16450</v>
      </c>
      <c r="AF8187" t="s">
        <v>16452</v>
      </c>
    </row>
    <row r="8188" spans="1:32" hidden="1" x14ac:dyDescent="0.35">
      <c r="A8188">
        <v>8187</v>
      </c>
      <c r="B8188" t="s">
        <v>16453</v>
      </c>
      <c r="C8188" t="s">
        <v>68</v>
      </c>
      <c r="D8188" t="s">
        <v>60</v>
      </c>
      <c r="E8188">
        <v>2136</v>
      </c>
      <c r="F8188">
        <v>2</v>
      </c>
      <c r="G8188">
        <v>2</v>
      </c>
      <c r="H8188">
        <v>1</v>
      </c>
      <c r="I8188">
        <v>0</v>
      </c>
      <c r="J8188">
        <v>0.993670886075949</v>
      </c>
      <c r="K8188">
        <v>1</v>
      </c>
      <c r="L8188">
        <v>0.99682539682539695</v>
      </c>
      <c r="M8188">
        <v>0.993670886075949</v>
      </c>
      <c r="N8188">
        <v>0.993670886075949</v>
      </c>
      <c r="O8188">
        <v>0.993670886075949</v>
      </c>
      <c r="P8188" t="s">
        <v>16454</v>
      </c>
      <c r="Q8188" t="s">
        <v>16455</v>
      </c>
      <c r="R8188" t="s">
        <v>869</v>
      </c>
      <c r="S8188" t="s">
        <v>870</v>
      </c>
      <c r="V8188" t="s">
        <v>16456</v>
      </c>
      <c r="W8188" t="s">
        <v>16457</v>
      </c>
      <c r="AF8188" t="s">
        <v>16458</v>
      </c>
    </row>
    <row r="8189" spans="1:32" hidden="1" x14ac:dyDescent="0.35">
      <c r="A8189">
        <v>8188</v>
      </c>
      <c r="B8189" t="s">
        <v>16453</v>
      </c>
      <c r="C8189" t="s">
        <v>68</v>
      </c>
      <c r="D8189" t="s">
        <v>62</v>
      </c>
      <c r="E8189">
        <v>2169</v>
      </c>
      <c r="F8189">
        <v>2</v>
      </c>
      <c r="G8189">
        <v>2</v>
      </c>
      <c r="H8189">
        <v>1</v>
      </c>
      <c r="I8189">
        <v>0</v>
      </c>
      <c r="J8189">
        <v>0.993670886075949</v>
      </c>
      <c r="K8189">
        <v>1</v>
      </c>
      <c r="L8189">
        <v>0.99682539682539695</v>
      </c>
      <c r="M8189">
        <v>0.993670886075949</v>
      </c>
      <c r="N8189">
        <v>0.993670886075949</v>
      </c>
      <c r="O8189">
        <v>0.993670886075949</v>
      </c>
      <c r="P8189" t="s">
        <v>16454</v>
      </c>
      <c r="Q8189" t="s">
        <v>16455</v>
      </c>
      <c r="R8189" t="s">
        <v>869</v>
      </c>
      <c r="S8189" t="s">
        <v>870</v>
      </c>
      <c r="V8189" t="s">
        <v>16456</v>
      </c>
      <c r="W8189" t="s">
        <v>16457</v>
      </c>
      <c r="AF8189" t="s">
        <v>16459</v>
      </c>
    </row>
    <row r="8190" spans="1:32" hidden="1" x14ac:dyDescent="0.35">
      <c r="A8190">
        <v>8189</v>
      </c>
      <c r="B8190" t="s">
        <v>16460</v>
      </c>
      <c r="C8190" t="s">
        <v>68</v>
      </c>
      <c r="D8190" t="s">
        <v>60</v>
      </c>
      <c r="E8190">
        <v>552</v>
      </c>
      <c r="F8190">
        <v>2</v>
      </c>
      <c r="G8190">
        <v>2</v>
      </c>
      <c r="H8190">
        <v>1</v>
      </c>
      <c r="I8190">
        <v>0</v>
      </c>
      <c r="J8190">
        <v>0.99625468164793995</v>
      </c>
      <c r="K8190">
        <v>1</v>
      </c>
      <c r="L8190">
        <v>0.99812382739212002</v>
      </c>
      <c r="M8190">
        <v>0.98876404494381998</v>
      </c>
      <c r="N8190">
        <v>0.98876404494381998</v>
      </c>
      <c r="O8190">
        <v>0.98876404494381998</v>
      </c>
      <c r="P8190" t="s">
        <v>16461</v>
      </c>
      <c r="Q8190" t="s">
        <v>16462</v>
      </c>
      <c r="R8190" t="s">
        <v>96</v>
      </c>
      <c r="S8190" t="s">
        <v>97</v>
      </c>
      <c r="T8190" t="s">
        <v>16463</v>
      </c>
      <c r="U8190" t="s">
        <v>16464</v>
      </c>
      <c r="V8190" t="s">
        <v>16465</v>
      </c>
      <c r="W8190" t="s">
        <v>16466</v>
      </c>
      <c r="AD8190" t="s">
        <v>410</v>
      </c>
      <c r="AE8190" t="s">
        <v>1637</v>
      </c>
      <c r="AF8190" t="s">
        <v>16467</v>
      </c>
    </row>
    <row r="8191" spans="1:32" hidden="1" x14ac:dyDescent="0.35">
      <c r="A8191">
        <v>8190</v>
      </c>
      <c r="B8191" t="s">
        <v>16460</v>
      </c>
      <c r="C8191" t="s">
        <v>68</v>
      </c>
      <c r="D8191" t="s">
        <v>62</v>
      </c>
      <c r="E8191">
        <v>636</v>
      </c>
      <c r="F8191">
        <v>2</v>
      </c>
      <c r="G8191">
        <v>2</v>
      </c>
      <c r="H8191">
        <v>1</v>
      </c>
      <c r="I8191">
        <v>0</v>
      </c>
      <c r="J8191">
        <v>0.99625468164793995</v>
      </c>
      <c r="K8191">
        <v>1</v>
      </c>
      <c r="L8191">
        <v>0.99812382739212002</v>
      </c>
      <c r="M8191">
        <v>0.98876404494381998</v>
      </c>
      <c r="N8191">
        <v>0.98876404494381998</v>
      </c>
      <c r="O8191">
        <v>0.98876404494381998</v>
      </c>
      <c r="P8191" t="s">
        <v>16461</v>
      </c>
      <c r="Q8191" t="s">
        <v>16462</v>
      </c>
      <c r="R8191" t="s">
        <v>96</v>
      </c>
      <c r="S8191" t="s">
        <v>97</v>
      </c>
      <c r="T8191" t="s">
        <v>16463</v>
      </c>
      <c r="U8191" t="s">
        <v>16464</v>
      </c>
      <c r="V8191" t="s">
        <v>16465</v>
      </c>
      <c r="W8191" t="s">
        <v>16466</v>
      </c>
      <c r="AD8191" t="s">
        <v>410</v>
      </c>
      <c r="AE8191" t="s">
        <v>1637</v>
      </c>
      <c r="AF8191" t="s">
        <v>16468</v>
      </c>
    </row>
    <row r="8192" spans="1:32" hidden="1" x14ac:dyDescent="0.35">
      <c r="A8192">
        <v>8191</v>
      </c>
      <c r="B8192" t="s">
        <v>16469</v>
      </c>
      <c r="C8192" t="s">
        <v>68</v>
      </c>
      <c r="D8192" t="s">
        <v>60</v>
      </c>
      <c r="E8192">
        <v>71</v>
      </c>
      <c r="F8192">
        <v>2</v>
      </c>
      <c r="G8192">
        <v>2</v>
      </c>
      <c r="H8192">
        <v>1</v>
      </c>
      <c r="I8192">
        <v>0</v>
      </c>
      <c r="J8192">
        <v>0.97222222222222199</v>
      </c>
      <c r="K8192">
        <v>1</v>
      </c>
      <c r="L8192">
        <v>0.98591549295774605</v>
      </c>
      <c r="M8192">
        <v>0.96739130434782605</v>
      </c>
      <c r="N8192">
        <v>0.96739130434782605</v>
      </c>
      <c r="O8192">
        <v>0.96739130434782605</v>
      </c>
      <c r="P8192" t="s">
        <v>5019</v>
      </c>
      <c r="Q8192" t="s">
        <v>5020</v>
      </c>
      <c r="R8192" t="s">
        <v>288</v>
      </c>
      <c r="S8192" t="s">
        <v>289</v>
      </c>
      <c r="V8192" t="s">
        <v>5023</v>
      </c>
      <c r="W8192" t="s">
        <v>5024</v>
      </c>
      <c r="AF8192" t="s">
        <v>16470</v>
      </c>
    </row>
    <row r="8193" spans="1:32" hidden="1" x14ac:dyDescent="0.35">
      <c r="A8193">
        <v>8192</v>
      </c>
      <c r="B8193" t="s">
        <v>16469</v>
      </c>
      <c r="C8193" t="s">
        <v>68</v>
      </c>
      <c r="D8193" t="s">
        <v>62</v>
      </c>
      <c r="E8193">
        <v>144</v>
      </c>
      <c r="F8193">
        <v>2</v>
      </c>
      <c r="G8193">
        <v>2</v>
      </c>
      <c r="H8193">
        <v>1</v>
      </c>
      <c r="I8193">
        <v>0</v>
      </c>
      <c r="J8193">
        <v>0.97222222222222199</v>
      </c>
      <c r="K8193">
        <v>1</v>
      </c>
      <c r="L8193">
        <v>0.98591549295774605</v>
      </c>
      <c r="M8193">
        <v>0.96739130434782605</v>
      </c>
      <c r="N8193">
        <v>0.96739130434782605</v>
      </c>
      <c r="O8193">
        <v>0.96739130434782605</v>
      </c>
      <c r="P8193" t="s">
        <v>5019</v>
      </c>
      <c r="Q8193" t="s">
        <v>5020</v>
      </c>
      <c r="R8193" t="s">
        <v>288</v>
      </c>
      <c r="S8193" t="s">
        <v>289</v>
      </c>
      <c r="V8193" t="s">
        <v>5023</v>
      </c>
      <c r="W8193" t="s">
        <v>5024</v>
      </c>
      <c r="AF8193" t="s">
        <v>16471</v>
      </c>
    </row>
    <row r="8194" spans="1:32" hidden="1" x14ac:dyDescent="0.35">
      <c r="A8194">
        <v>8193</v>
      </c>
      <c r="B8194" t="s">
        <v>16472</v>
      </c>
      <c r="C8194" t="s">
        <v>68</v>
      </c>
      <c r="D8194" t="s">
        <v>60</v>
      </c>
      <c r="E8194">
        <v>46</v>
      </c>
      <c r="F8194">
        <v>2</v>
      </c>
      <c r="G8194">
        <v>2</v>
      </c>
      <c r="H8194">
        <v>1</v>
      </c>
      <c r="I8194">
        <v>0</v>
      </c>
      <c r="J8194">
        <v>0.99272030651341003</v>
      </c>
      <c r="K8194">
        <v>1</v>
      </c>
      <c r="L8194">
        <v>0.99634685637377396</v>
      </c>
      <c r="M8194">
        <v>0.98965517241379297</v>
      </c>
      <c r="N8194">
        <v>0.98965517241379297</v>
      </c>
      <c r="O8194">
        <v>0.98965517241379297</v>
      </c>
      <c r="P8194" t="s">
        <v>169</v>
      </c>
      <c r="Q8194" t="s">
        <v>170</v>
      </c>
      <c r="R8194" t="s">
        <v>16473</v>
      </c>
      <c r="S8194" t="s">
        <v>16474</v>
      </c>
      <c r="T8194" t="s">
        <v>11557</v>
      </c>
      <c r="U8194" t="s">
        <v>11558</v>
      </c>
      <c r="V8194" t="s">
        <v>16475</v>
      </c>
      <c r="W8194" t="s">
        <v>16476</v>
      </c>
      <c r="AD8194" t="s">
        <v>439</v>
      </c>
      <c r="AE8194" t="s">
        <v>11443</v>
      </c>
      <c r="AF8194" t="s">
        <v>16477</v>
      </c>
    </row>
    <row r="8195" spans="1:32" hidden="1" x14ac:dyDescent="0.35">
      <c r="A8195">
        <v>8194</v>
      </c>
      <c r="B8195" t="s">
        <v>16472</v>
      </c>
      <c r="C8195" t="s">
        <v>68</v>
      </c>
      <c r="D8195" t="s">
        <v>62</v>
      </c>
      <c r="E8195">
        <v>119</v>
      </c>
      <c r="F8195">
        <v>2</v>
      </c>
      <c r="G8195">
        <v>2</v>
      </c>
      <c r="H8195">
        <v>1</v>
      </c>
      <c r="I8195">
        <v>0</v>
      </c>
      <c r="J8195">
        <v>0.99272030651341003</v>
      </c>
      <c r="K8195">
        <v>1</v>
      </c>
      <c r="L8195">
        <v>0.99634685637377396</v>
      </c>
      <c r="M8195">
        <v>0.98965517241379297</v>
      </c>
      <c r="N8195">
        <v>0.98965517241379297</v>
      </c>
      <c r="O8195">
        <v>0.98965517241379297</v>
      </c>
      <c r="P8195" t="s">
        <v>169</v>
      </c>
      <c r="Q8195" t="s">
        <v>170</v>
      </c>
      <c r="R8195" t="s">
        <v>16473</v>
      </c>
      <c r="S8195" t="s">
        <v>16474</v>
      </c>
      <c r="T8195" t="s">
        <v>11557</v>
      </c>
      <c r="U8195" t="s">
        <v>11558</v>
      </c>
      <c r="V8195" t="s">
        <v>16475</v>
      </c>
      <c r="W8195" t="s">
        <v>16476</v>
      </c>
      <c r="AD8195" t="s">
        <v>439</v>
      </c>
      <c r="AE8195" t="s">
        <v>11443</v>
      </c>
      <c r="AF8195" t="s">
        <v>16478</v>
      </c>
    </row>
    <row r="8196" spans="1:32" hidden="1" x14ac:dyDescent="0.35">
      <c r="A8196">
        <v>8195</v>
      </c>
      <c r="B8196" t="s">
        <v>16479</v>
      </c>
      <c r="C8196" t="s">
        <v>68</v>
      </c>
      <c r="D8196" t="s">
        <v>60</v>
      </c>
      <c r="E8196">
        <v>1648</v>
      </c>
      <c r="F8196">
        <v>2</v>
      </c>
      <c r="G8196">
        <v>2</v>
      </c>
      <c r="H8196">
        <v>1</v>
      </c>
      <c r="I8196">
        <v>0</v>
      </c>
      <c r="J8196">
        <v>0.98870056497175096</v>
      </c>
      <c r="K8196">
        <v>1</v>
      </c>
      <c r="L8196">
        <v>0.99431818181818199</v>
      </c>
      <c r="M8196">
        <v>0.98870056497175096</v>
      </c>
      <c r="N8196">
        <v>0.98870056497175096</v>
      </c>
      <c r="O8196">
        <v>0.98870056497175096</v>
      </c>
      <c r="P8196" t="s">
        <v>16480</v>
      </c>
      <c r="Q8196" t="s">
        <v>16481</v>
      </c>
      <c r="R8196" t="s">
        <v>224</v>
      </c>
      <c r="S8196" t="s">
        <v>225</v>
      </c>
      <c r="T8196" t="s">
        <v>16482</v>
      </c>
      <c r="U8196" t="s">
        <v>16483</v>
      </c>
      <c r="V8196" t="s">
        <v>16484</v>
      </c>
      <c r="W8196" t="s">
        <v>16485</v>
      </c>
      <c r="AD8196" t="s">
        <v>210</v>
      </c>
      <c r="AE8196" t="s">
        <v>1520</v>
      </c>
      <c r="AF8196" t="s">
        <v>16486</v>
      </c>
    </row>
    <row r="8197" spans="1:32" hidden="1" x14ac:dyDescent="0.35">
      <c r="A8197">
        <v>8196</v>
      </c>
      <c r="B8197" t="s">
        <v>16479</v>
      </c>
      <c r="C8197" t="s">
        <v>68</v>
      </c>
      <c r="D8197" t="s">
        <v>62</v>
      </c>
      <c r="E8197">
        <v>1683</v>
      </c>
      <c r="F8197">
        <v>2</v>
      </c>
      <c r="G8197">
        <v>2</v>
      </c>
      <c r="H8197">
        <v>1</v>
      </c>
      <c r="I8197">
        <v>0</v>
      </c>
      <c r="J8197">
        <v>0.98870056497175096</v>
      </c>
      <c r="K8197">
        <v>1</v>
      </c>
      <c r="L8197">
        <v>0.99431818181818199</v>
      </c>
      <c r="M8197">
        <v>0.98870056497175096</v>
      </c>
      <c r="N8197">
        <v>0.98870056497175096</v>
      </c>
      <c r="O8197">
        <v>0.98870056497175096</v>
      </c>
      <c r="P8197" t="s">
        <v>16480</v>
      </c>
      <c r="Q8197" t="s">
        <v>16481</v>
      </c>
      <c r="R8197" t="s">
        <v>224</v>
      </c>
      <c r="S8197" t="s">
        <v>225</v>
      </c>
      <c r="T8197" t="s">
        <v>16482</v>
      </c>
      <c r="U8197" t="s">
        <v>16483</v>
      </c>
      <c r="V8197" t="s">
        <v>16484</v>
      </c>
      <c r="W8197" t="s">
        <v>16485</v>
      </c>
      <c r="AD8197" t="s">
        <v>210</v>
      </c>
      <c r="AE8197" t="s">
        <v>1520</v>
      </c>
      <c r="AF8197" t="s">
        <v>16487</v>
      </c>
    </row>
    <row r="8198" spans="1:32" hidden="1" x14ac:dyDescent="0.35">
      <c r="A8198">
        <v>8197</v>
      </c>
      <c r="B8198" t="s">
        <v>16488</v>
      </c>
      <c r="C8198" t="s">
        <v>68</v>
      </c>
      <c r="D8198" t="s">
        <v>34</v>
      </c>
      <c r="E8198">
        <v>534</v>
      </c>
      <c r="F8198">
        <v>2</v>
      </c>
      <c r="G8198">
        <v>2</v>
      </c>
      <c r="H8198">
        <v>1</v>
      </c>
      <c r="I8198">
        <v>0</v>
      </c>
      <c r="J8198">
        <v>0.98880105401844498</v>
      </c>
      <c r="K8198">
        <v>1</v>
      </c>
      <c r="L8198">
        <v>0.99436899635640896</v>
      </c>
      <c r="M8198">
        <v>0.98616600790513798</v>
      </c>
      <c r="N8198">
        <v>0.98616600790513798</v>
      </c>
      <c r="O8198">
        <v>0.98616600790513798</v>
      </c>
      <c r="P8198" t="s">
        <v>10786</v>
      </c>
      <c r="Q8198" t="s">
        <v>10787</v>
      </c>
      <c r="R8198" t="s">
        <v>516</v>
      </c>
      <c r="S8198" t="s">
        <v>517</v>
      </c>
      <c r="T8198" t="s">
        <v>16489</v>
      </c>
      <c r="U8198" t="s">
        <v>16490</v>
      </c>
      <c r="V8198" t="s">
        <v>13525</v>
      </c>
      <c r="W8198" t="s">
        <v>13526</v>
      </c>
      <c r="AD8198" t="s">
        <v>16491</v>
      </c>
      <c r="AE8198" t="s">
        <v>16492</v>
      </c>
      <c r="AF8198" t="s">
        <v>16493</v>
      </c>
    </row>
    <row r="8199" spans="1:32" hidden="1" x14ac:dyDescent="0.35">
      <c r="A8199">
        <v>8198</v>
      </c>
      <c r="B8199" t="s">
        <v>16488</v>
      </c>
      <c r="C8199" t="s">
        <v>68</v>
      </c>
      <c r="D8199" t="s">
        <v>45</v>
      </c>
      <c r="E8199">
        <v>1800</v>
      </c>
      <c r="F8199">
        <v>2</v>
      </c>
      <c r="G8199">
        <v>2</v>
      </c>
      <c r="H8199">
        <v>1</v>
      </c>
      <c r="I8199">
        <v>0</v>
      </c>
      <c r="J8199">
        <v>0.98880105401844498</v>
      </c>
      <c r="K8199">
        <v>1</v>
      </c>
      <c r="L8199">
        <v>0.99436899635640896</v>
      </c>
      <c r="M8199">
        <v>0.98616600790513798</v>
      </c>
      <c r="N8199">
        <v>0.98616600790513798</v>
      </c>
      <c r="O8199">
        <v>0.98616600790513798</v>
      </c>
      <c r="P8199" t="s">
        <v>10786</v>
      </c>
      <c r="Q8199" t="s">
        <v>10787</v>
      </c>
      <c r="R8199" t="s">
        <v>516</v>
      </c>
      <c r="S8199" t="s">
        <v>517</v>
      </c>
      <c r="T8199" t="s">
        <v>16489</v>
      </c>
      <c r="U8199" t="s">
        <v>16490</v>
      </c>
      <c r="V8199" t="s">
        <v>13525</v>
      </c>
      <c r="W8199" t="s">
        <v>13526</v>
      </c>
      <c r="AD8199" t="s">
        <v>16491</v>
      </c>
      <c r="AE8199" t="s">
        <v>16492</v>
      </c>
      <c r="AF8199" t="s">
        <v>16494</v>
      </c>
    </row>
    <row r="8200" spans="1:32" hidden="1" x14ac:dyDescent="0.35">
      <c r="A8200">
        <v>8199</v>
      </c>
      <c r="B8200" t="s">
        <v>16495</v>
      </c>
      <c r="C8200" t="s">
        <v>68</v>
      </c>
      <c r="D8200" t="s">
        <v>34</v>
      </c>
      <c r="E8200">
        <v>1212</v>
      </c>
      <c r="F8200">
        <v>2</v>
      </c>
      <c r="G8200">
        <v>2</v>
      </c>
      <c r="H8200">
        <v>1</v>
      </c>
      <c r="I8200">
        <v>0</v>
      </c>
      <c r="J8200">
        <v>0.98290598290598297</v>
      </c>
      <c r="K8200">
        <v>1</v>
      </c>
      <c r="L8200">
        <v>0.99137931034482796</v>
      </c>
      <c r="M8200">
        <v>0.979487179487179</v>
      </c>
      <c r="N8200">
        <v>0.979487179487179</v>
      </c>
      <c r="O8200">
        <v>0.979487179487179</v>
      </c>
      <c r="P8200" t="s">
        <v>15718</v>
      </c>
      <c r="Q8200" t="s">
        <v>15719</v>
      </c>
      <c r="AF8200" t="s">
        <v>16496</v>
      </c>
    </row>
    <row r="8201" spans="1:32" hidden="1" x14ac:dyDescent="0.35">
      <c r="A8201">
        <v>8200</v>
      </c>
      <c r="B8201" t="s">
        <v>16495</v>
      </c>
      <c r="C8201" t="s">
        <v>68</v>
      </c>
      <c r="D8201" t="s">
        <v>45</v>
      </c>
      <c r="E8201">
        <v>2455</v>
      </c>
      <c r="F8201">
        <v>2</v>
      </c>
      <c r="G8201">
        <v>2</v>
      </c>
      <c r="H8201">
        <v>1</v>
      </c>
      <c r="I8201">
        <v>0</v>
      </c>
      <c r="J8201">
        <v>0.98290598290598297</v>
      </c>
      <c r="K8201">
        <v>1</v>
      </c>
      <c r="L8201">
        <v>0.99137931034482796</v>
      </c>
      <c r="M8201">
        <v>0.979487179487179</v>
      </c>
      <c r="N8201">
        <v>0.979487179487179</v>
      </c>
      <c r="O8201">
        <v>0.979487179487179</v>
      </c>
      <c r="P8201" t="s">
        <v>15718</v>
      </c>
      <c r="Q8201" t="s">
        <v>15719</v>
      </c>
      <c r="AF8201" t="s">
        <v>16497</v>
      </c>
    </row>
    <row r="8202" spans="1:32" hidden="1" x14ac:dyDescent="0.35">
      <c r="A8202">
        <v>8201</v>
      </c>
      <c r="B8202" t="s">
        <v>16498</v>
      </c>
      <c r="C8202" t="s">
        <v>68</v>
      </c>
      <c r="D8202" t="s">
        <v>60</v>
      </c>
      <c r="E8202">
        <v>52</v>
      </c>
      <c r="F8202">
        <v>2</v>
      </c>
      <c r="G8202">
        <v>2</v>
      </c>
      <c r="H8202">
        <v>1</v>
      </c>
      <c r="I8202">
        <v>0</v>
      </c>
      <c r="J8202">
        <v>0.99082568807339499</v>
      </c>
      <c r="K8202">
        <v>1</v>
      </c>
      <c r="L8202">
        <v>0.995391705069124</v>
      </c>
      <c r="M8202">
        <v>0.98165137614678899</v>
      </c>
      <c r="N8202">
        <v>0.98165137614678899</v>
      </c>
      <c r="O8202">
        <v>0.98165137614678899</v>
      </c>
      <c r="P8202" t="s">
        <v>12765</v>
      </c>
      <c r="Q8202" t="s">
        <v>12766</v>
      </c>
      <c r="AF8202" t="s">
        <v>16499</v>
      </c>
    </row>
    <row r="8203" spans="1:32" hidden="1" x14ac:dyDescent="0.35">
      <c r="A8203">
        <v>8202</v>
      </c>
      <c r="B8203" t="s">
        <v>16498</v>
      </c>
      <c r="C8203" t="s">
        <v>68</v>
      </c>
      <c r="D8203" t="s">
        <v>62</v>
      </c>
      <c r="E8203">
        <v>125</v>
      </c>
      <c r="F8203">
        <v>2</v>
      </c>
      <c r="G8203">
        <v>2</v>
      </c>
      <c r="H8203">
        <v>1</v>
      </c>
      <c r="I8203">
        <v>0</v>
      </c>
      <c r="J8203">
        <v>0.99082568807339499</v>
      </c>
      <c r="K8203">
        <v>1</v>
      </c>
      <c r="L8203">
        <v>0.995391705069124</v>
      </c>
      <c r="M8203">
        <v>0.98165137614678899</v>
      </c>
      <c r="N8203">
        <v>0.98165137614678899</v>
      </c>
      <c r="O8203">
        <v>0.98165137614678899</v>
      </c>
      <c r="P8203" t="s">
        <v>12765</v>
      </c>
      <c r="Q8203" t="s">
        <v>12766</v>
      </c>
      <c r="AF8203" t="s">
        <v>16500</v>
      </c>
    </row>
    <row r="8204" spans="1:32" hidden="1" x14ac:dyDescent="0.35">
      <c r="A8204">
        <v>8203</v>
      </c>
      <c r="B8204" t="s">
        <v>16501</v>
      </c>
      <c r="C8204" t="s">
        <v>68</v>
      </c>
      <c r="D8204" t="s">
        <v>34</v>
      </c>
      <c r="E8204">
        <v>584</v>
      </c>
      <c r="F8204">
        <v>2</v>
      </c>
      <c r="G8204">
        <v>2</v>
      </c>
      <c r="H8204">
        <v>1</v>
      </c>
      <c r="I8204">
        <v>0</v>
      </c>
      <c r="J8204">
        <v>0.99547511312217196</v>
      </c>
      <c r="K8204">
        <v>1</v>
      </c>
      <c r="L8204">
        <v>0.99773242630385495</v>
      </c>
      <c r="M8204">
        <v>0.99547511312217196</v>
      </c>
      <c r="N8204">
        <v>0.99547511312217196</v>
      </c>
      <c r="O8204">
        <v>0.99547511312217196</v>
      </c>
      <c r="AF8204" t="s">
        <v>16502</v>
      </c>
    </row>
    <row r="8205" spans="1:32" hidden="1" x14ac:dyDescent="0.35">
      <c r="A8205">
        <v>8204</v>
      </c>
      <c r="B8205" t="s">
        <v>16501</v>
      </c>
      <c r="C8205" t="s">
        <v>68</v>
      </c>
      <c r="D8205" t="s">
        <v>45</v>
      </c>
      <c r="E8205">
        <v>1850</v>
      </c>
      <c r="F8205">
        <v>2</v>
      </c>
      <c r="G8205">
        <v>2</v>
      </c>
      <c r="H8205">
        <v>1</v>
      </c>
      <c r="I8205">
        <v>0</v>
      </c>
      <c r="J8205">
        <v>0.99547511312217196</v>
      </c>
      <c r="K8205">
        <v>1</v>
      </c>
      <c r="L8205">
        <v>0.99773242630385495</v>
      </c>
      <c r="M8205">
        <v>0.99547511312217196</v>
      </c>
      <c r="N8205">
        <v>0.99547511312217196</v>
      </c>
      <c r="O8205">
        <v>0.99547511312217196</v>
      </c>
      <c r="AF8205" t="s">
        <v>16503</v>
      </c>
    </row>
    <row r="8206" spans="1:32" hidden="1" x14ac:dyDescent="0.35">
      <c r="A8206">
        <v>8205</v>
      </c>
      <c r="B8206" t="s">
        <v>16504</v>
      </c>
      <c r="C8206" t="s">
        <v>68</v>
      </c>
      <c r="D8206" t="s">
        <v>60</v>
      </c>
      <c r="E8206">
        <v>301</v>
      </c>
      <c r="F8206">
        <v>2</v>
      </c>
      <c r="G8206">
        <v>2</v>
      </c>
      <c r="H8206">
        <v>1</v>
      </c>
      <c r="I8206">
        <v>0</v>
      </c>
      <c r="J8206">
        <v>0.99834983498349805</v>
      </c>
      <c r="K8206">
        <v>1</v>
      </c>
      <c r="L8206">
        <v>0.99917423616845602</v>
      </c>
      <c r="M8206">
        <v>0.99504950495049505</v>
      </c>
      <c r="N8206">
        <v>0.99504950495049505</v>
      </c>
      <c r="O8206">
        <v>0.99504950495049505</v>
      </c>
      <c r="P8206" t="s">
        <v>5921</v>
      </c>
      <c r="Q8206" t="s">
        <v>5922</v>
      </c>
      <c r="R8206" t="s">
        <v>5726</v>
      </c>
      <c r="S8206" t="s">
        <v>5727</v>
      </c>
      <c r="V8206" t="s">
        <v>5925</v>
      </c>
      <c r="W8206" t="s">
        <v>5926</v>
      </c>
      <c r="AF8206" t="s">
        <v>16505</v>
      </c>
    </row>
    <row r="8207" spans="1:32" hidden="1" x14ac:dyDescent="0.35">
      <c r="A8207">
        <v>8206</v>
      </c>
      <c r="B8207" t="s">
        <v>16504</v>
      </c>
      <c r="C8207" t="s">
        <v>68</v>
      </c>
      <c r="D8207" t="s">
        <v>62</v>
      </c>
      <c r="E8207">
        <v>381</v>
      </c>
      <c r="F8207">
        <v>2</v>
      </c>
      <c r="G8207">
        <v>2</v>
      </c>
      <c r="H8207">
        <v>1</v>
      </c>
      <c r="I8207">
        <v>0</v>
      </c>
      <c r="J8207">
        <v>0.99834983498349805</v>
      </c>
      <c r="K8207">
        <v>1</v>
      </c>
      <c r="L8207">
        <v>0.99917423616845602</v>
      </c>
      <c r="M8207">
        <v>0.99504950495049505</v>
      </c>
      <c r="N8207">
        <v>0.99504950495049505</v>
      </c>
      <c r="O8207">
        <v>0.99504950495049505</v>
      </c>
      <c r="P8207" t="s">
        <v>5921</v>
      </c>
      <c r="Q8207" t="s">
        <v>5922</v>
      </c>
      <c r="R8207" t="s">
        <v>5726</v>
      </c>
      <c r="S8207" t="s">
        <v>5727</v>
      </c>
      <c r="V8207" t="s">
        <v>5925</v>
      </c>
      <c r="W8207" t="s">
        <v>5926</v>
      </c>
      <c r="AF8207" t="s">
        <v>16506</v>
      </c>
    </row>
    <row r="8208" spans="1:32" hidden="1" x14ac:dyDescent="0.35">
      <c r="A8208">
        <v>8207</v>
      </c>
      <c r="B8208" t="s">
        <v>16507</v>
      </c>
      <c r="C8208" t="s">
        <v>68</v>
      </c>
      <c r="D8208" t="s">
        <v>34</v>
      </c>
      <c r="E8208">
        <v>1774</v>
      </c>
      <c r="F8208">
        <v>2</v>
      </c>
      <c r="G8208">
        <v>2</v>
      </c>
      <c r="H8208">
        <v>1</v>
      </c>
      <c r="I8208">
        <v>0</v>
      </c>
      <c r="J8208">
        <v>0.99875621890547295</v>
      </c>
      <c r="K8208">
        <v>1</v>
      </c>
      <c r="L8208">
        <v>0.99937772246421896</v>
      </c>
      <c r="M8208">
        <v>0.99626865671641796</v>
      </c>
      <c r="N8208">
        <v>0.99626865671641796</v>
      </c>
      <c r="O8208">
        <v>0.99626865671641796</v>
      </c>
      <c r="P8208" t="s">
        <v>12647</v>
      </c>
      <c r="Q8208" t="s">
        <v>12648</v>
      </c>
      <c r="R8208" t="s">
        <v>869</v>
      </c>
      <c r="S8208" t="s">
        <v>870</v>
      </c>
      <c r="T8208" t="s">
        <v>12649</v>
      </c>
      <c r="U8208" t="s">
        <v>12650</v>
      </c>
      <c r="V8208" t="s">
        <v>12651</v>
      </c>
      <c r="W8208" t="s">
        <v>12652</v>
      </c>
      <c r="Z8208" t="s">
        <v>4286</v>
      </c>
      <c r="AA8208" t="s">
        <v>4287</v>
      </c>
      <c r="AB8208" t="s">
        <v>4286</v>
      </c>
      <c r="AC8208" t="s">
        <v>729</v>
      </c>
      <c r="AD8208" t="s">
        <v>12653</v>
      </c>
      <c r="AE8208" t="s">
        <v>12654</v>
      </c>
      <c r="AF8208" t="s">
        <v>16508</v>
      </c>
    </row>
    <row r="8209" spans="1:32" hidden="1" x14ac:dyDescent="0.35">
      <c r="A8209">
        <v>8208</v>
      </c>
      <c r="B8209" t="s">
        <v>16507</v>
      </c>
      <c r="C8209" t="s">
        <v>68</v>
      </c>
      <c r="D8209" t="s">
        <v>45</v>
      </c>
      <c r="E8209">
        <v>1099</v>
      </c>
      <c r="F8209">
        <v>2</v>
      </c>
      <c r="G8209">
        <v>2</v>
      </c>
      <c r="H8209">
        <v>1</v>
      </c>
      <c r="I8209">
        <v>0</v>
      </c>
      <c r="J8209">
        <v>0.99875621890547295</v>
      </c>
      <c r="K8209">
        <v>1</v>
      </c>
      <c r="L8209">
        <v>0.99937772246421896</v>
      </c>
      <c r="M8209">
        <v>0.99626865671641796</v>
      </c>
      <c r="N8209">
        <v>0.99626865671641796</v>
      </c>
      <c r="O8209">
        <v>0.99626865671641796</v>
      </c>
      <c r="P8209" t="s">
        <v>12647</v>
      </c>
      <c r="Q8209" t="s">
        <v>12648</v>
      </c>
      <c r="R8209" t="s">
        <v>869</v>
      </c>
      <c r="S8209" t="s">
        <v>870</v>
      </c>
      <c r="T8209" t="s">
        <v>12649</v>
      </c>
      <c r="U8209" t="s">
        <v>12650</v>
      </c>
      <c r="V8209" t="s">
        <v>12651</v>
      </c>
      <c r="W8209" t="s">
        <v>12652</v>
      </c>
      <c r="Z8209" t="s">
        <v>4286</v>
      </c>
      <c r="AA8209" t="s">
        <v>4287</v>
      </c>
      <c r="AB8209" t="s">
        <v>4286</v>
      </c>
      <c r="AC8209" t="s">
        <v>729</v>
      </c>
      <c r="AD8209" t="s">
        <v>12653</v>
      </c>
      <c r="AE8209" t="s">
        <v>12654</v>
      </c>
      <c r="AF8209" t="s">
        <v>16509</v>
      </c>
    </row>
    <row r="8210" spans="1:32" hidden="1" x14ac:dyDescent="0.35">
      <c r="A8210">
        <v>8209</v>
      </c>
      <c r="B8210" t="s">
        <v>16510</v>
      </c>
      <c r="C8210" t="s">
        <v>68</v>
      </c>
      <c r="D8210" t="s">
        <v>60</v>
      </c>
      <c r="E8210">
        <v>494</v>
      </c>
      <c r="F8210">
        <v>2</v>
      </c>
      <c r="G8210">
        <v>2</v>
      </c>
      <c r="H8210">
        <v>1</v>
      </c>
      <c r="I8210">
        <v>0</v>
      </c>
      <c r="J8210">
        <v>0.99868938401048502</v>
      </c>
      <c r="K8210">
        <v>1</v>
      </c>
      <c r="L8210">
        <v>0.999344262295082</v>
      </c>
      <c r="M8210">
        <v>0.99868938401048502</v>
      </c>
      <c r="N8210">
        <v>0.99868938401048502</v>
      </c>
      <c r="O8210">
        <v>0.99868938401048502</v>
      </c>
      <c r="P8210" t="s">
        <v>16511</v>
      </c>
      <c r="Q8210" t="s">
        <v>16512</v>
      </c>
      <c r="R8210" t="s">
        <v>5295</v>
      </c>
      <c r="S8210" t="s">
        <v>5296</v>
      </c>
      <c r="T8210" t="s">
        <v>16513</v>
      </c>
      <c r="U8210" t="s">
        <v>16514</v>
      </c>
      <c r="V8210" t="s">
        <v>16515</v>
      </c>
      <c r="W8210" t="s">
        <v>16516</v>
      </c>
      <c r="AD8210" t="s">
        <v>166</v>
      </c>
      <c r="AE8210" t="s">
        <v>818</v>
      </c>
      <c r="AF8210" t="s">
        <v>16517</v>
      </c>
    </row>
    <row r="8211" spans="1:32" hidden="1" x14ac:dyDescent="0.35">
      <c r="A8211">
        <v>8210</v>
      </c>
      <c r="B8211" t="s">
        <v>16510</v>
      </c>
      <c r="C8211" t="s">
        <v>68</v>
      </c>
      <c r="D8211" t="s">
        <v>62</v>
      </c>
      <c r="E8211">
        <v>577</v>
      </c>
      <c r="F8211">
        <v>2</v>
      </c>
      <c r="G8211">
        <v>2</v>
      </c>
      <c r="H8211">
        <v>1</v>
      </c>
      <c r="I8211">
        <v>0</v>
      </c>
      <c r="J8211">
        <v>0.99868938401048502</v>
      </c>
      <c r="K8211">
        <v>1</v>
      </c>
      <c r="L8211">
        <v>0.999344262295082</v>
      </c>
      <c r="M8211">
        <v>0.99868938401048502</v>
      </c>
      <c r="N8211">
        <v>0.99868938401048502</v>
      </c>
      <c r="O8211">
        <v>0.99868938401048502</v>
      </c>
      <c r="P8211" t="s">
        <v>16511</v>
      </c>
      <c r="Q8211" t="s">
        <v>16512</v>
      </c>
      <c r="R8211" t="s">
        <v>5295</v>
      </c>
      <c r="S8211" t="s">
        <v>5296</v>
      </c>
      <c r="T8211" t="s">
        <v>16513</v>
      </c>
      <c r="U8211" t="s">
        <v>16514</v>
      </c>
      <c r="V8211" t="s">
        <v>16515</v>
      </c>
      <c r="W8211" t="s">
        <v>16516</v>
      </c>
      <c r="AD8211" t="s">
        <v>166</v>
      </c>
      <c r="AE8211" t="s">
        <v>818</v>
      </c>
      <c r="AF8211" t="s">
        <v>16518</v>
      </c>
    </row>
    <row r="8212" spans="1:32" hidden="1" x14ac:dyDescent="0.35">
      <c r="A8212">
        <v>8211</v>
      </c>
      <c r="B8212" t="s">
        <v>16519</v>
      </c>
      <c r="C8212" t="s">
        <v>68</v>
      </c>
      <c r="D8212" t="s">
        <v>34</v>
      </c>
      <c r="E8212">
        <v>743</v>
      </c>
      <c r="F8212">
        <v>2</v>
      </c>
      <c r="G8212">
        <v>2</v>
      </c>
      <c r="H8212">
        <v>1</v>
      </c>
      <c r="I8212">
        <v>0</v>
      </c>
      <c r="J8212">
        <v>0.98067632850241504</v>
      </c>
      <c r="K8212">
        <v>0.98120025666715005</v>
      </c>
      <c r="L8212">
        <v>0.98093822262607</v>
      </c>
      <c r="M8212">
        <v>0.95734597156398105</v>
      </c>
      <c r="N8212">
        <v>0.95734597156398105</v>
      </c>
      <c r="O8212">
        <v>0.95734597156398105</v>
      </c>
      <c r="P8212" t="s">
        <v>4358</v>
      </c>
      <c r="Q8212" t="s">
        <v>4359</v>
      </c>
      <c r="R8212" t="s">
        <v>319</v>
      </c>
      <c r="S8212" t="s">
        <v>320</v>
      </c>
      <c r="T8212" t="s">
        <v>11819</v>
      </c>
      <c r="U8212" t="s">
        <v>11820</v>
      </c>
      <c r="V8212" t="s">
        <v>4360</v>
      </c>
      <c r="W8212" t="s">
        <v>4361</v>
      </c>
      <c r="AD8212" t="s">
        <v>11823</v>
      </c>
      <c r="AE8212" t="s">
        <v>11824</v>
      </c>
      <c r="AF8212" t="s">
        <v>16520</v>
      </c>
    </row>
    <row r="8213" spans="1:32" hidden="1" x14ac:dyDescent="0.35">
      <c r="A8213">
        <v>8212</v>
      </c>
      <c r="B8213" t="s">
        <v>16519</v>
      </c>
      <c r="C8213" t="s">
        <v>68</v>
      </c>
      <c r="D8213" t="s">
        <v>45</v>
      </c>
      <c r="E8213">
        <v>2009</v>
      </c>
      <c r="F8213">
        <v>2</v>
      </c>
      <c r="G8213">
        <v>2</v>
      </c>
      <c r="H8213">
        <v>1</v>
      </c>
      <c r="I8213">
        <v>0</v>
      </c>
      <c r="J8213">
        <v>0.98067632850241504</v>
      </c>
      <c r="K8213">
        <v>0.98120025666715005</v>
      </c>
      <c r="L8213">
        <v>0.98093822262607</v>
      </c>
      <c r="M8213">
        <v>0.95734597156398105</v>
      </c>
      <c r="N8213">
        <v>0.95734597156398105</v>
      </c>
      <c r="O8213">
        <v>0.95734597156398105</v>
      </c>
      <c r="P8213" t="s">
        <v>4358</v>
      </c>
      <c r="Q8213" t="s">
        <v>4359</v>
      </c>
      <c r="R8213" t="s">
        <v>319</v>
      </c>
      <c r="S8213" t="s">
        <v>320</v>
      </c>
      <c r="V8213" t="s">
        <v>4360</v>
      </c>
      <c r="W8213" t="s">
        <v>4361</v>
      </c>
      <c r="AF8213" t="s">
        <v>16521</v>
      </c>
    </row>
    <row r="8214" spans="1:32" hidden="1" x14ac:dyDescent="0.35">
      <c r="A8214">
        <v>8213</v>
      </c>
      <c r="B8214" t="s">
        <v>16522</v>
      </c>
      <c r="C8214" t="s">
        <v>68</v>
      </c>
      <c r="D8214" t="s">
        <v>60</v>
      </c>
      <c r="E8214">
        <v>2511</v>
      </c>
      <c r="F8214">
        <v>2</v>
      </c>
      <c r="G8214">
        <v>2</v>
      </c>
      <c r="H8214">
        <v>1</v>
      </c>
      <c r="I8214">
        <v>0</v>
      </c>
      <c r="J8214">
        <v>0.98784722222222199</v>
      </c>
      <c r="K8214">
        <v>1</v>
      </c>
      <c r="L8214">
        <v>0.99388646288209603</v>
      </c>
      <c r="M8214">
        <v>0.984375</v>
      </c>
      <c r="N8214">
        <v>0.984375</v>
      </c>
      <c r="O8214">
        <v>0.984375</v>
      </c>
      <c r="P8214" t="s">
        <v>4358</v>
      </c>
      <c r="Q8214" t="s">
        <v>4359</v>
      </c>
      <c r="R8214" t="s">
        <v>319</v>
      </c>
      <c r="S8214" t="s">
        <v>320</v>
      </c>
      <c r="T8214" t="s">
        <v>16523</v>
      </c>
      <c r="U8214" t="s">
        <v>16524</v>
      </c>
      <c r="V8214" t="s">
        <v>4360</v>
      </c>
      <c r="W8214" t="s">
        <v>4361</v>
      </c>
      <c r="AD8214" t="s">
        <v>166</v>
      </c>
      <c r="AE8214" t="s">
        <v>16525</v>
      </c>
      <c r="AF8214" t="s">
        <v>16526</v>
      </c>
    </row>
    <row r="8215" spans="1:32" hidden="1" x14ac:dyDescent="0.35">
      <c r="A8215">
        <v>8214</v>
      </c>
      <c r="B8215" t="s">
        <v>16522</v>
      </c>
      <c r="C8215" t="s">
        <v>68</v>
      </c>
      <c r="D8215" t="s">
        <v>62</v>
      </c>
      <c r="E8215">
        <v>39</v>
      </c>
      <c r="F8215">
        <v>2</v>
      </c>
      <c r="G8215">
        <v>2</v>
      </c>
      <c r="H8215">
        <v>1</v>
      </c>
      <c r="I8215">
        <v>0</v>
      </c>
      <c r="J8215">
        <v>0.98784722222222199</v>
      </c>
      <c r="K8215">
        <v>1</v>
      </c>
      <c r="L8215">
        <v>0.99388646288209603</v>
      </c>
      <c r="M8215">
        <v>0.984375</v>
      </c>
      <c r="N8215">
        <v>0.984375</v>
      </c>
      <c r="O8215">
        <v>0.984375</v>
      </c>
      <c r="P8215" t="s">
        <v>4358</v>
      </c>
      <c r="Q8215" t="s">
        <v>4359</v>
      </c>
      <c r="R8215" t="s">
        <v>319</v>
      </c>
      <c r="S8215" t="s">
        <v>320</v>
      </c>
      <c r="T8215" t="s">
        <v>16523</v>
      </c>
      <c r="U8215" t="s">
        <v>16524</v>
      </c>
      <c r="V8215" t="s">
        <v>4360</v>
      </c>
      <c r="W8215" t="s">
        <v>4361</v>
      </c>
      <c r="AD8215" t="s">
        <v>166</v>
      </c>
      <c r="AE8215" t="s">
        <v>16525</v>
      </c>
      <c r="AF8215" t="s">
        <v>16527</v>
      </c>
    </row>
    <row r="8216" spans="1:32" hidden="1" x14ac:dyDescent="0.35">
      <c r="A8216">
        <v>8215</v>
      </c>
      <c r="B8216" t="s">
        <v>16528</v>
      </c>
      <c r="C8216" t="s">
        <v>68</v>
      </c>
      <c r="D8216" t="s">
        <v>34</v>
      </c>
      <c r="E8216">
        <v>1275</v>
      </c>
      <c r="F8216">
        <v>2</v>
      </c>
      <c r="G8216">
        <v>2</v>
      </c>
      <c r="H8216">
        <v>1</v>
      </c>
      <c r="I8216">
        <v>0</v>
      </c>
      <c r="J8216">
        <v>0.99</v>
      </c>
      <c r="K8216">
        <v>1</v>
      </c>
      <c r="L8216">
        <v>0.99497487437185905</v>
      </c>
      <c r="M8216">
        <v>0.98</v>
      </c>
      <c r="N8216">
        <v>0.98</v>
      </c>
      <c r="O8216">
        <v>0.98</v>
      </c>
      <c r="P8216" t="s">
        <v>169</v>
      </c>
      <c r="Q8216" t="s">
        <v>170</v>
      </c>
      <c r="R8216" t="s">
        <v>224</v>
      </c>
      <c r="S8216" t="s">
        <v>225</v>
      </c>
      <c r="V8216" t="s">
        <v>13863</v>
      </c>
      <c r="W8216" t="s">
        <v>13864</v>
      </c>
      <c r="AF8216" t="s">
        <v>16529</v>
      </c>
    </row>
    <row r="8217" spans="1:32" hidden="1" x14ac:dyDescent="0.35">
      <c r="A8217">
        <v>8216</v>
      </c>
      <c r="B8217" t="s">
        <v>16528</v>
      </c>
      <c r="C8217" t="s">
        <v>68</v>
      </c>
      <c r="D8217" t="s">
        <v>45</v>
      </c>
      <c r="E8217">
        <v>26</v>
      </c>
      <c r="F8217">
        <v>2</v>
      </c>
      <c r="G8217">
        <v>2</v>
      </c>
      <c r="H8217">
        <v>1</v>
      </c>
      <c r="I8217">
        <v>0</v>
      </c>
      <c r="J8217">
        <v>0.99</v>
      </c>
      <c r="K8217">
        <v>1</v>
      </c>
      <c r="L8217">
        <v>0.99497487437185905</v>
      </c>
      <c r="M8217">
        <v>0.98</v>
      </c>
      <c r="N8217">
        <v>0.98</v>
      </c>
      <c r="O8217">
        <v>0.98</v>
      </c>
      <c r="P8217" t="s">
        <v>169</v>
      </c>
      <c r="Q8217" t="s">
        <v>170</v>
      </c>
      <c r="R8217" t="s">
        <v>224</v>
      </c>
      <c r="S8217" t="s">
        <v>225</v>
      </c>
      <c r="V8217" t="s">
        <v>13863</v>
      </c>
      <c r="W8217" t="s">
        <v>13864</v>
      </c>
      <c r="AF8217" t="s">
        <v>16530</v>
      </c>
    </row>
    <row r="8218" spans="1:32" hidden="1" x14ac:dyDescent="0.35">
      <c r="A8218">
        <v>8217</v>
      </c>
      <c r="B8218" t="s">
        <v>16531</v>
      </c>
      <c r="C8218" t="s">
        <v>68</v>
      </c>
      <c r="D8218" t="s">
        <v>34</v>
      </c>
      <c r="E8218">
        <v>492</v>
      </c>
      <c r="F8218">
        <v>2</v>
      </c>
      <c r="G8218">
        <v>2</v>
      </c>
      <c r="H8218">
        <v>1</v>
      </c>
      <c r="I8218">
        <v>0</v>
      </c>
      <c r="J8218">
        <v>0.99515905947441197</v>
      </c>
      <c r="K8218">
        <v>1</v>
      </c>
      <c r="L8218">
        <v>0.99757365684575405</v>
      </c>
      <c r="M8218">
        <v>0.99377593360995897</v>
      </c>
      <c r="N8218">
        <v>0.99377593360995897</v>
      </c>
      <c r="O8218">
        <v>0.99377593360995897</v>
      </c>
      <c r="P8218" t="s">
        <v>16532</v>
      </c>
      <c r="Q8218" t="s">
        <v>16533</v>
      </c>
      <c r="R8218" t="s">
        <v>5842</v>
      </c>
      <c r="S8218" t="s">
        <v>5843</v>
      </c>
      <c r="T8218" t="s">
        <v>16534</v>
      </c>
      <c r="U8218" t="s">
        <v>16535</v>
      </c>
      <c r="V8218" t="s">
        <v>16536</v>
      </c>
      <c r="W8218" t="s">
        <v>16537</v>
      </c>
      <c r="AD8218" t="s">
        <v>219</v>
      </c>
      <c r="AE8218" t="s">
        <v>16538</v>
      </c>
      <c r="AF8218" t="s">
        <v>16539</v>
      </c>
    </row>
    <row r="8219" spans="1:32" hidden="1" x14ac:dyDescent="0.35">
      <c r="A8219">
        <v>8218</v>
      </c>
      <c r="B8219" t="s">
        <v>16531</v>
      </c>
      <c r="C8219" t="s">
        <v>68</v>
      </c>
      <c r="D8219" t="s">
        <v>45</v>
      </c>
      <c r="E8219">
        <v>1757</v>
      </c>
      <c r="F8219">
        <v>2</v>
      </c>
      <c r="G8219">
        <v>2</v>
      </c>
      <c r="H8219">
        <v>1</v>
      </c>
      <c r="I8219">
        <v>0</v>
      </c>
      <c r="J8219">
        <v>0.99515905947441197</v>
      </c>
      <c r="K8219">
        <v>1</v>
      </c>
      <c r="L8219">
        <v>0.99757365684575405</v>
      </c>
      <c r="M8219">
        <v>0.99377593360995897</v>
      </c>
      <c r="N8219">
        <v>0.99377593360995897</v>
      </c>
      <c r="O8219">
        <v>0.99377593360995897</v>
      </c>
      <c r="P8219" t="s">
        <v>16532</v>
      </c>
      <c r="Q8219" t="s">
        <v>16533</v>
      </c>
      <c r="R8219" t="s">
        <v>5842</v>
      </c>
      <c r="S8219" t="s">
        <v>5843</v>
      </c>
      <c r="T8219" t="s">
        <v>16534</v>
      </c>
      <c r="U8219" t="s">
        <v>16535</v>
      </c>
      <c r="V8219" t="s">
        <v>16536</v>
      </c>
      <c r="W8219" t="s">
        <v>16537</v>
      </c>
      <c r="AD8219" t="s">
        <v>219</v>
      </c>
      <c r="AE8219" t="s">
        <v>16538</v>
      </c>
      <c r="AF8219" t="s">
        <v>16540</v>
      </c>
    </row>
    <row r="8220" spans="1:32" hidden="1" x14ac:dyDescent="0.35">
      <c r="A8220">
        <v>8219</v>
      </c>
      <c r="B8220" t="s">
        <v>16541</v>
      </c>
      <c r="C8220" t="s">
        <v>68</v>
      </c>
      <c r="D8220" t="s">
        <v>60</v>
      </c>
      <c r="E8220">
        <v>6</v>
      </c>
      <c r="F8220">
        <v>2</v>
      </c>
      <c r="G8220">
        <v>2</v>
      </c>
      <c r="H8220">
        <v>1</v>
      </c>
      <c r="I8220">
        <v>0</v>
      </c>
      <c r="J8220">
        <v>0.99170124481327804</v>
      </c>
      <c r="K8220">
        <v>1</v>
      </c>
      <c r="L8220">
        <v>0.99583333333333302</v>
      </c>
      <c r="M8220">
        <v>0.99170124481327804</v>
      </c>
      <c r="N8220">
        <v>0.99170124481327804</v>
      </c>
      <c r="O8220">
        <v>0.99170124481327804</v>
      </c>
      <c r="P8220" t="s">
        <v>169</v>
      </c>
      <c r="Q8220" t="s">
        <v>170</v>
      </c>
      <c r="R8220" t="s">
        <v>138</v>
      </c>
      <c r="S8220" t="s">
        <v>139</v>
      </c>
      <c r="T8220" t="s">
        <v>3691</v>
      </c>
      <c r="U8220" t="s">
        <v>3692</v>
      </c>
      <c r="V8220" t="s">
        <v>3693</v>
      </c>
      <c r="W8220" t="s">
        <v>3694</v>
      </c>
      <c r="AD8220" t="s">
        <v>166</v>
      </c>
      <c r="AE8220" t="s">
        <v>3695</v>
      </c>
      <c r="AF8220" t="s">
        <v>16542</v>
      </c>
    </row>
    <row r="8221" spans="1:32" hidden="1" x14ac:dyDescent="0.35">
      <c r="A8221">
        <v>8220</v>
      </c>
      <c r="B8221" t="s">
        <v>16541</v>
      </c>
      <c r="C8221" t="s">
        <v>68</v>
      </c>
      <c r="D8221" t="s">
        <v>62</v>
      </c>
      <c r="E8221">
        <v>85</v>
      </c>
      <c r="F8221">
        <v>2</v>
      </c>
      <c r="G8221">
        <v>2</v>
      </c>
      <c r="H8221">
        <v>1</v>
      </c>
      <c r="I8221">
        <v>0</v>
      </c>
      <c r="J8221">
        <v>0.99170124481327804</v>
      </c>
      <c r="K8221">
        <v>1</v>
      </c>
      <c r="L8221">
        <v>0.99583333333333302</v>
      </c>
      <c r="M8221">
        <v>0.99170124481327804</v>
      </c>
      <c r="N8221">
        <v>0.99170124481327804</v>
      </c>
      <c r="O8221">
        <v>0.99170124481327804</v>
      </c>
      <c r="P8221" t="s">
        <v>169</v>
      </c>
      <c r="Q8221" t="s">
        <v>170</v>
      </c>
      <c r="R8221" t="s">
        <v>138</v>
      </c>
      <c r="S8221" t="s">
        <v>139</v>
      </c>
      <c r="T8221" t="s">
        <v>3691</v>
      </c>
      <c r="U8221" t="s">
        <v>3692</v>
      </c>
      <c r="V8221" t="s">
        <v>3693</v>
      </c>
      <c r="W8221" t="s">
        <v>3694</v>
      </c>
      <c r="AD8221" t="s">
        <v>166</v>
      </c>
      <c r="AE8221" t="s">
        <v>3695</v>
      </c>
      <c r="AF8221" t="s">
        <v>16543</v>
      </c>
    </row>
    <row r="8222" spans="1:32" hidden="1" x14ac:dyDescent="0.35">
      <c r="A8222">
        <v>8221</v>
      </c>
      <c r="B8222" t="s">
        <v>16544</v>
      </c>
      <c r="C8222" t="s">
        <v>68</v>
      </c>
      <c r="D8222" t="s">
        <v>34</v>
      </c>
      <c r="E8222">
        <v>1544</v>
      </c>
      <c r="F8222">
        <v>2</v>
      </c>
      <c r="G8222">
        <v>2</v>
      </c>
      <c r="H8222">
        <v>1</v>
      </c>
      <c r="I8222">
        <v>0</v>
      </c>
      <c r="J8222">
        <v>0.962686567164179</v>
      </c>
      <c r="K8222">
        <v>1</v>
      </c>
      <c r="L8222">
        <v>0.98098859315589304</v>
      </c>
      <c r="M8222">
        <v>0.94776119402985104</v>
      </c>
      <c r="N8222">
        <v>0.94776119402985104</v>
      </c>
      <c r="O8222">
        <v>0.94776119402985104</v>
      </c>
      <c r="AF8222" t="s">
        <v>16545</v>
      </c>
    </row>
    <row r="8223" spans="1:32" hidden="1" x14ac:dyDescent="0.35">
      <c r="A8223">
        <v>8222</v>
      </c>
      <c r="B8223" t="s">
        <v>16544</v>
      </c>
      <c r="C8223" t="s">
        <v>68</v>
      </c>
      <c r="D8223" t="s">
        <v>45</v>
      </c>
      <c r="E8223">
        <v>294</v>
      </c>
      <c r="F8223">
        <v>2</v>
      </c>
      <c r="G8223">
        <v>2</v>
      </c>
      <c r="H8223">
        <v>1</v>
      </c>
      <c r="I8223">
        <v>0</v>
      </c>
      <c r="J8223">
        <v>0.962686567164179</v>
      </c>
      <c r="K8223">
        <v>1</v>
      </c>
      <c r="L8223">
        <v>0.98098859315589304</v>
      </c>
      <c r="M8223">
        <v>0.94776119402985104</v>
      </c>
      <c r="N8223">
        <v>0.94776119402985104</v>
      </c>
      <c r="O8223">
        <v>0.94776119402985104</v>
      </c>
      <c r="AF8223" t="s">
        <v>16546</v>
      </c>
    </row>
    <row r="8224" spans="1:32" hidden="1" x14ac:dyDescent="0.35">
      <c r="A8224">
        <v>8223</v>
      </c>
      <c r="B8224" t="s">
        <v>16547</v>
      </c>
      <c r="C8224" t="s">
        <v>68</v>
      </c>
      <c r="D8224" t="s">
        <v>34</v>
      </c>
      <c r="E8224">
        <v>168</v>
      </c>
      <c r="F8224">
        <v>2</v>
      </c>
      <c r="G8224">
        <v>2</v>
      </c>
      <c r="H8224">
        <v>1</v>
      </c>
      <c r="I8224">
        <v>0</v>
      </c>
      <c r="J8224">
        <v>0.65450121654501203</v>
      </c>
      <c r="K8224">
        <v>0.94559386973180204</v>
      </c>
      <c r="L8224">
        <v>0.77356945022191304</v>
      </c>
      <c r="M8224">
        <v>0.51724137931034497</v>
      </c>
      <c r="N8224">
        <v>0.51724137931034497</v>
      </c>
      <c r="O8224">
        <v>0.51724137931034497</v>
      </c>
      <c r="AF8224" t="s">
        <v>16548</v>
      </c>
    </row>
    <row r="8225" spans="1:32" hidden="1" x14ac:dyDescent="0.35">
      <c r="A8225">
        <v>8224</v>
      </c>
      <c r="B8225" t="s">
        <v>16547</v>
      </c>
      <c r="C8225" t="s">
        <v>68</v>
      </c>
      <c r="D8225" t="s">
        <v>45</v>
      </c>
      <c r="E8225">
        <v>1429</v>
      </c>
      <c r="F8225">
        <v>2</v>
      </c>
      <c r="G8225">
        <v>2</v>
      </c>
      <c r="H8225">
        <v>1</v>
      </c>
      <c r="I8225">
        <v>0</v>
      </c>
      <c r="J8225">
        <v>0.65450121654501203</v>
      </c>
      <c r="K8225">
        <v>0.94559386973180204</v>
      </c>
      <c r="L8225">
        <v>0.77356945022191304</v>
      </c>
      <c r="M8225">
        <v>0.51724137931034497</v>
      </c>
      <c r="N8225">
        <v>0.51724137931034497</v>
      </c>
      <c r="O8225">
        <v>0.51724137931034497</v>
      </c>
      <c r="AF8225" t="s">
        <v>16549</v>
      </c>
    </row>
    <row r="8226" spans="1:32" hidden="1" x14ac:dyDescent="0.35">
      <c r="A8226">
        <v>8225</v>
      </c>
      <c r="B8226" t="s">
        <v>16550</v>
      </c>
      <c r="C8226" t="s">
        <v>68</v>
      </c>
      <c r="D8226" t="s">
        <v>60</v>
      </c>
      <c r="E8226">
        <v>760</v>
      </c>
      <c r="F8226">
        <v>2</v>
      </c>
      <c r="G8226">
        <v>2</v>
      </c>
      <c r="H8226">
        <v>1</v>
      </c>
      <c r="I8226">
        <v>0</v>
      </c>
      <c r="J8226">
        <v>1</v>
      </c>
      <c r="K8226">
        <v>0.81802307925903295</v>
      </c>
      <c r="L8226">
        <v>0.89990395456633299</v>
      </c>
      <c r="M8226">
        <v>0.797752808988764</v>
      </c>
      <c r="N8226">
        <v>0.797752808988764</v>
      </c>
      <c r="O8226">
        <v>0.797752808988764</v>
      </c>
      <c r="P8226" t="s">
        <v>11104</v>
      </c>
      <c r="Q8226" t="s">
        <v>11105</v>
      </c>
      <c r="R8226" t="s">
        <v>113</v>
      </c>
      <c r="S8226" t="s">
        <v>114</v>
      </c>
      <c r="T8226" t="s">
        <v>11106</v>
      </c>
      <c r="U8226" t="s">
        <v>11107</v>
      </c>
      <c r="V8226" t="s">
        <v>11108</v>
      </c>
      <c r="W8226" t="s">
        <v>11109</v>
      </c>
      <c r="AD8226" t="s">
        <v>312</v>
      </c>
      <c r="AE8226" t="s">
        <v>11110</v>
      </c>
      <c r="AF8226" t="s">
        <v>16551</v>
      </c>
    </row>
    <row r="8227" spans="1:32" hidden="1" x14ac:dyDescent="0.35">
      <c r="A8227">
        <v>8226</v>
      </c>
      <c r="B8227" t="s">
        <v>16550</v>
      </c>
      <c r="C8227" t="s">
        <v>68</v>
      </c>
      <c r="D8227" t="s">
        <v>62</v>
      </c>
      <c r="E8227">
        <v>793</v>
      </c>
      <c r="F8227">
        <v>2</v>
      </c>
      <c r="G8227">
        <v>2</v>
      </c>
      <c r="H8227">
        <v>1</v>
      </c>
      <c r="I8227">
        <v>0</v>
      </c>
      <c r="J8227">
        <v>1</v>
      </c>
      <c r="K8227">
        <v>0.81802307925903295</v>
      </c>
      <c r="L8227">
        <v>0.89990395456633299</v>
      </c>
      <c r="M8227">
        <v>0.797752808988764</v>
      </c>
      <c r="N8227">
        <v>0.797752808988764</v>
      </c>
      <c r="O8227">
        <v>0.797752808988764</v>
      </c>
      <c r="P8227" t="s">
        <v>11104</v>
      </c>
      <c r="Q8227" t="s">
        <v>11105</v>
      </c>
      <c r="R8227" t="s">
        <v>113</v>
      </c>
      <c r="S8227" t="s">
        <v>114</v>
      </c>
      <c r="T8227" t="s">
        <v>11106</v>
      </c>
      <c r="U8227" t="s">
        <v>11107</v>
      </c>
      <c r="V8227" t="s">
        <v>11108</v>
      </c>
      <c r="W8227" t="s">
        <v>11109</v>
      </c>
      <c r="AD8227" t="s">
        <v>312</v>
      </c>
      <c r="AE8227" t="s">
        <v>11110</v>
      </c>
      <c r="AF8227" t="s">
        <v>16552</v>
      </c>
    </row>
    <row r="8228" spans="1:32" hidden="1" x14ac:dyDescent="0.35">
      <c r="A8228">
        <v>8227</v>
      </c>
      <c r="B8228" t="s">
        <v>16553</v>
      </c>
      <c r="C8228" t="s">
        <v>68</v>
      </c>
      <c r="D8228" t="s">
        <v>34</v>
      </c>
      <c r="E8228">
        <v>1185</v>
      </c>
      <c r="F8228">
        <v>2</v>
      </c>
      <c r="G8228">
        <v>2</v>
      </c>
      <c r="H8228">
        <v>1</v>
      </c>
      <c r="I8228">
        <v>0</v>
      </c>
      <c r="J8228">
        <v>0.989304812834225</v>
      </c>
      <c r="K8228">
        <v>1</v>
      </c>
      <c r="L8228">
        <v>0.99462365591397806</v>
      </c>
      <c r="M8228">
        <v>0.989304812834225</v>
      </c>
      <c r="N8228">
        <v>0.989304812834225</v>
      </c>
      <c r="O8228">
        <v>0.989304812834225</v>
      </c>
      <c r="AF8228" t="s">
        <v>16554</v>
      </c>
    </row>
    <row r="8229" spans="1:32" hidden="1" x14ac:dyDescent="0.35">
      <c r="A8229">
        <v>8228</v>
      </c>
      <c r="B8229" t="s">
        <v>16553</v>
      </c>
      <c r="C8229" t="s">
        <v>68</v>
      </c>
      <c r="D8229" t="s">
        <v>45</v>
      </c>
      <c r="E8229">
        <v>2429</v>
      </c>
      <c r="F8229">
        <v>2</v>
      </c>
      <c r="G8229">
        <v>2</v>
      </c>
      <c r="H8229">
        <v>1</v>
      </c>
      <c r="I8229">
        <v>0</v>
      </c>
      <c r="J8229">
        <v>0.989304812834225</v>
      </c>
      <c r="K8229">
        <v>1</v>
      </c>
      <c r="L8229">
        <v>0.99462365591397806</v>
      </c>
      <c r="M8229">
        <v>0.989304812834225</v>
      </c>
      <c r="N8229">
        <v>0.989304812834225</v>
      </c>
      <c r="O8229">
        <v>0.989304812834225</v>
      </c>
      <c r="AF8229" t="s">
        <v>16555</v>
      </c>
    </row>
    <row r="8230" spans="1:32" hidden="1" x14ac:dyDescent="0.35">
      <c r="A8230">
        <v>8229</v>
      </c>
      <c r="B8230" t="s">
        <v>16556</v>
      </c>
      <c r="C8230" t="s">
        <v>68</v>
      </c>
      <c r="D8230" t="s">
        <v>34</v>
      </c>
      <c r="E8230">
        <v>1390</v>
      </c>
      <c r="F8230">
        <v>2</v>
      </c>
      <c r="G8230">
        <v>2</v>
      </c>
      <c r="H8230">
        <v>1</v>
      </c>
      <c r="I8230">
        <v>0</v>
      </c>
      <c r="J8230">
        <v>0.98677248677248697</v>
      </c>
      <c r="K8230">
        <v>1</v>
      </c>
      <c r="L8230">
        <v>0.993342210386152</v>
      </c>
      <c r="M8230">
        <v>0.98412698412698396</v>
      </c>
      <c r="N8230">
        <v>0.98412698412698396</v>
      </c>
      <c r="O8230">
        <v>0.98412698412698396</v>
      </c>
      <c r="AF8230" t="s">
        <v>16557</v>
      </c>
    </row>
    <row r="8231" spans="1:32" hidden="1" x14ac:dyDescent="0.35">
      <c r="A8231">
        <v>8230</v>
      </c>
      <c r="B8231" t="s">
        <v>16556</v>
      </c>
      <c r="C8231" t="s">
        <v>68</v>
      </c>
      <c r="D8231" t="s">
        <v>45</v>
      </c>
      <c r="E8231">
        <v>140</v>
      </c>
      <c r="F8231">
        <v>2</v>
      </c>
      <c r="G8231">
        <v>2</v>
      </c>
      <c r="H8231">
        <v>1</v>
      </c>
      <c r="I8231">
        <v>0</v>
      </c>
      <c r="J8231">
        <v>0.98677248677248697</v>
      </c>
      <c r="K8231">
        <v>1</v>
      </c>
      <c r="L8231">
        <v>0.993342210386152</v>
      </c>
      <c r="M8231">
        <v>0.98412698412698396</v>
      </c>
      <c r="N8231">
        <v>0.98412698412698396</v>
      </c>
      <c r="O8231">
        <v>0.98412698412698396</v>
      </c>
      <c r="AF8231" t="s">
        <v>16558</v>
      </c>
    </row>
    <row r="8232" spans="1:32" hidden="1" x14ac:dyDescent="0.35">
      <c r="A8232">
        <v>8231</v>
      </c>
      <c r="B8232" t="s">
        <v>16559</v>
      </c>
      <c r="C8232" t="s">
        <v>68</v>
      </c>
      <c r="D8232" t="s">
        <v>34</v>
      </c>
      <c r="E8232">
        <v>7</v>
      </c>
      <c r="F8232">
        <v>2</v>
      </c>
      <c r="G8232">
        <v>2</v>
      </c>
      <c r="H8232">
        <v>1</v>
      </c>
      <c r="I8232">
        <v>0</v>
      </c>
      <c r="J8232">
        <v>0.98071625344352598</v>
      </c>
      <c r="K8232">
        <v>1</v>
      </c>
      <c r="L8232">
        <v>0.99026425591098699</v>
      </c>
      <c r="M8232">
        <v>0.97520661157024802</v>
      </c>
      <c r="N8232">
        <v>0.97520661157024802</v>
      </c>
      <c r="O8232">
        <v>0.97520661157024802</v>
      </c>
      <c r="AF8232" t="s">
        <v>16560</v>
      </c>
    </row>
    <row r="8233" spans="1:32" hidden="1" x14ac:dyDescent="0.35">
      <c r="A8233">
        <v>8232</v>
      </c>
      <c r="B8233" t="s">
        <v>16559</v>
      </c>
      <c r="C8233" t="s">
        <v>68</v>
      </c>
      <c r="D8233" t="s">
        <v>45</v>
      </c>
      <c r="E8233">
        <v>1264</v>
      </c>
      <c r="F8233">
        <v>2</v>
      </c>
      <c r="G8233">
        <v>2</v>
      </c>
      <c r="H8233">
        <v>1</v>
      </c>
      <c r="I8233">
        <v>0</v>
      </c>
      <c r="J8233">
        <v>0.98071625344352598</v>
      </c>
      <c r="K8233">
        <v>1</v>
      </c>
      <c r="L8233">
        <v>0.99026425591098699</v>
      </c>
      <c r="M8233">
        <v>0.97520661157024802</v>
      </c>
      <c r="N8233">
        <v>0.97520661157024802</v>
      </c>
      <c r="O8233">
        <v>0.97520661157024802</v>
      </c>
      <c r="AF8233" t="s">
        <v>16561</v>
      </c>
    </row>
    <row r="8234" spans="1:32" hidden="1" x14ac:dyDescent="0.35">
      <c r="A8234">
        <v>8233</v>
      </c>
      <c r="B8234" t="s">
        <v>16562</v>
      </c>
      <c r="C8234" t="s">
        <v>68</v>
      </c>
      <c r="D8234" t="s">
        <v>34</v>
      </c>
      <c r="E8234">
        <v>1471</v>
      </c>
      <c r="F8234">
        <v>2</v>
      </c>
      <c r="G8234">
        <v>2</v>
      </c>
      <c r="H8234">
        <v>1</v>
      </c>
      <c r="I8234">
        <v>0</v>
      </c>
      <c r="J8234">
        <v>0.99870298313878103</v>
      </c>
      <c r="K8234">
        <v>1</v>
      </c>
      <c r="L8234">
        <v>0.99935107073328999</v>
      </c>
      <c r="M8234">
        <v>0.99610894941634198</v>
      </c>
      <c r="N8234">
        <v>0.99610894941634198</v>
      </c>
      <c r="O8234">
        <v>0.99610894941634198</v>
      </c>
      <c r="AF8234" t="s">
        <v>16563</v>
      </c>
    </row>
    <row r="8235" spans="1:32" hidden="1" x14ac:dyDescent="0.35">
      <c r="A8235">
        <v>8234</v>
      </c>
      <c r="B8235" t="s">
        <v>16562</v>
      </c>
      <c r="C8235" t="s">
        <v>68</v>
      </c>
      <c r="D8235" t="s">
        <v>45</v>
      </c>
      <c r="E8235">
        <v>222</v>
      </c>
      <c r="F8235">
        <v>2</v>
      </c>
      <c r="G8235">
        <v>2</v>
      </c>
      <c r="H8235">
        <v>1</v>
      </c>
      <c r="I8235">
        <v>0</v>
      </c>
      <c r="J8235">
        <v>0.99870298313878103</v>
      </c>
      <c r="K8235">
        <v>1</v>
      </c>
      <c r="L8235">
        <v>0.99935107073328999</v>
      </c>
      <c r="M8235">
        <v>0.99610894941634198</v>
      </c>
      <c r="N8235">
        <v>0.99610894941634198</v>
      </c>
      <c r="O8235">
        <v>0.99610894941634198</v>
      </c>
      <c r="AF8235" t="s">
        <v>16564</v>
      </c>
    </row>
    <row r="8236" spans="1:32" hidden="1" x14ac:dyDescent="0.35">
      <c r="A8236">
        <v>8235</v>
      </c>
      <c r="B8236" t="s">
        <v>16565</v>
      </c>
      <c r="C8236" t="s">
        <v>68</v>
      </c>
      <c r="D8236" t="s">
        <v>34</v>
      </c>
      <c r="E8236">
        <v>444</v>
      </c>
      <c r="F8236">
        <v>2</v>
      </c>
      <c r="G8236">
        <v>2</v>
      </c>
      <c r="H8236">
        <v>1</v>
      </c>
      <c r="I8236">
        <v>0</v>
      </c>
      <c r="J8236">
        <v>0.97368421052631604</v>
      </c>
      <c r="K8236">
        <v>1</v>
      </c>
      <c r="L8236">
        <v>0.98666666666666702</v>
      </c>
      <c r="M8236">
        <v>0.97368421052631604</v>
      </c>
      <c r="N8236">
        <v>0.97368421052631604</v>
      </c>
      <c r="O8236">
        <v>0.97368421052631604</v>
      </c>
      <c r="AF8236" t="s">
        <v>16566</v>
      </c>
    </row>
    <row r="8237" spans="1:32" hidden="1" x14ac:dyDescent="0.35">
      <c r="A8237">
        <v>8236</v>
      </c>
      <c r="B8237" t="s">
        <v>16565</v>
      </c>
      <c r="C8237" t="s">
        <v>68</v>
      </c>
      <c r="D8237" t="s">
        <v>45</v>
      </c>
      <c r="E8237">
        <v>1707</v>
      </c>
      <c r="F8237">
        <v>2</v>
      </c>
      <c r="G8237">
        <v>2</v>
      </c>
      <c r="H8237">
        <v>1</v>
      </c>
      <c r="I8237">
        <v>0</v>
      </c>
      <c r="J8237">
        <v>0.97368421052631604</v>
      </c>
      <c r="K8237">
        <v>1</v>
      </c>
      <c r="L8237">
        <v>0.98666666666666702</v>
      </c>
      <c r="M8237">
        <v>0.97368421052631604</v>
      </c>
      <c r="N8237">
        <v>0.97368421052631604</v>
      </c>
      <c r="O8237">
        <v>0.97368421052631604</v>
      </c>
      <c r="AF8237" t="s">
        <v>16567</v>
      </c>
    </row>
    <row r="8238" spans="1:32" hidden="1" x14ac:dyDescent="0.35">
      <c r="A8238">
        <v>8237</v>
      </c>
      <c r="B8238" t="s">
        <v>16568</v>
      </c>
      <c r="C8238" t="s">
        <v>68</v>
      </c>
      <c r="D8238" t="s">
        <v>34</v>
      </c>
      <c r="E8238">
        <v>1444</v>
      </c>
      <c r="F8238">
        <v>2</v>
      </c>
      <c r="G8238">
        <v>2</v>
      </c>
      <c r="H8238">
        <v>1</v>
      </c>
      <c r="I8238">
        <v>0</v>
      </c>
      <c r="J8238">
        <v>0.99532710280373804</v>
      </c>
      <c r="K8238">
        <v>1</v>
      </c>
      <c r="L8238">
        <v>0.99765807962529296</v>
      </c>
      <c r="M8238">
        <v>0.99532710280373804</v>
      </c>
      <c r="N8238">
        <v>0.99532710280373804</v>
      </c>
      <c r="O8238">
        <v>0.99532710280373804</v>
      </c>
      <c r="AF8238" t="s">
        <v>16569</v>
      </c>
    </row>
    <row r="8239" spans="1:32" hidden="1" x14ac:dyDescent="0.35">
      <c r="A8239">
        <v>8238</v>
      </c>
      <c r="B8239" t="s">
        <v>16568</v>
      </c>
      <c r="C8239" t="s">
        <v>68</v>
      </c>
      <c r="D8239" t="s">
        <v>45</v>
      </c>
      <c r="E8239">
        <v>195</v>
      </c>
      <c r="F8239">
        <v>2</v>
      </c>
      <c r="G8239">
        <v>2</v>
      </c>
      <c r="H8239">
        <v>1</v>
      </c>
      <c r="I8239">
        <v>0</v>
      </c>
      <c r="J8239">
        <v>0.99532710280373804</v>
      </c>
      <c r="K8239">
        <v>1</v>
      </c>
      <c r="L8239">
        <v>0.99765807962529296</v>
      </c>
      <c r="M8239">
        <v>0.99532710280373804</v>
      </c>
      <c r="N8239">
        <v>0.99532710280373804</v>
      </c>
      <c r="O8239">
        <v>0.99532710280373804</v>
      </c>
      <c r="AF8239" t="s">
        <v>16570</v>
      </c>
    </row>
    <row r="8240" spans="1:32" hidden="1" x14ac:dyDescent="0.35">
      <c r="A8240">
        <v>8239</v>
      </c>
      <c r="B8240" t="s">
        <v>16571</v>
      </c>
      <c r="C8240" t="s">
        <v>68</v>
      </c>
      <c r="D8240" t="s">
        <v>34</v>
      </c>
      <c r="E8240">
        <v>1334</v>
      </c>
      <c r="F8240">
        <v>2</v>
      </c>
      <c r="G8240">
        <v>2</v>
      </c>
      <c r="H8240">
        <v>1</v>
      </c>
      <c r="I8240">
        <v>0</v>
      </c>
      <c r="J8240">
        <v>0.99562841530054602</v>
      </c>
      <c r="K8240">
        <v>1</v>
      </c>
      <c r="L8240">
        <v>0.99780941949616697</v>
      </c>
      <c r="M8240">
        <v>0.99344262295081998</v>
      </c>
      <c r="N8240">
        <v>0.99344262295081998</v>
      </c>
      <c r="O8240">
        <v>0.99344262295081998</v>
      </c>
      <c r="P8240" t="s">
        <v>11686</v>
      </c>
      <c r="Q8240" t="s">
        <v>11687</v>
      </c>
      <c r="R8240" t="s">
        <v>342</v>
      </c>
      <c r="S8240" t="s">
        <v>343</v>
      </c>
      <c r="V8240" t="s">
        <v>11690</v>
      </c>
      <c r="W8240" t="s">
        <v>11691</v>
      </c>
      <c r="AF8240" t="s">
        <v>16572</v>
      </c>
    </row>
    <row r="8241" spans="1:32" hidden="1" x14ac:dyDescent="0.35">
      <c r="A8241">
        <v>8240</v>
      </c>
      <c r="B8241" t="s">
        <v>16571</v>
      </c>
      <c r="C8241" t="s">
        <v>68</v>
      </c>
      <c r="D8241" t="s">
        <v>45</v>
      </c>
      <c r="E8241">
        <v>85</v>
      </c>
      <c r="F8241">
        <v>2</v>
      </c>
      <c r="G8241">
        <v>2</v>
      </c>
      <c r="H8241">
        <v>1</v>
      </c>
      <c r="I8241">
        <v>0</v>
      </c>
      <c r="J8241">
        <v>0.99562841530054602</v>
      </c>
      <c r="K8241">
        <v>1</v>
      </c>
      <c r="L8241">
        <v>0.99780941949616697</v>
      </c>
      <c r="M8241">
        <v>0.99344262295081998</v>
      </c>
      <c r="N8241">
        <v>0.99344262295081998</v>
      </c>
      <c r="O8241">
        <v>0.99344262295081998</v>
      </c>
      <c r="P8241" t="s">
        <v>11686</v>
      </c>
      <c r="Q8241" t="s">
        <v>11687</v>
      </c>
      <c r="R8241" t="s">
        <v>342</v>
      </c>
      <c r="S8241" t="s">
        <v>343</v>
      </c>
      <c r="V8241" t="s">
        <v>11690</v>
      </c>
      <c r="W8241" t="s">
        <v>11691</v>
      </c>
      <c r="AF8241" t="s">
        <v>16573</v>
      </c>
    </row>
    <row r="8242" spans="1:32" hidden="1" x14ac:dyDescent="0.35">
      <c r="A8242">
        <v>8241</v>
      </c>
      <c r="B8242" t="s">
        <v>16574</v>
      </c>
      <c r="C8242" t="s">
        <v>68</v>
      </c>
      <c r="D8242" t="s">
        <v>60</v>
      </c>
      <c r="E8242">
        <v>2259</v>
      </c>
      <c r="F8242">
        <v>2</v>
      </c>
      <c r="G8242">
        <v>2</v>
      </c>
      <c r="H8242">
        <v>1</v>
      </c>
      <c r="I8242">
        <v>0</v>
      </c>
      <c r="J8242">
        <v>0.96896086369770595</v>
      </c>
      <c r="K8242">
        <v>1</v>
      </c>
      <c r="L8242">
        <v>0.98423577793008898</v>
      </c>
      <c r="M8242">
        <v>0.95546558704453399</v>
      </c>
      <c r="N8242">
        <v>0.95546558704453399</v>
      </c>
      <c r="O8242">
        <v>0.95546558704453399</v>
      </c>
      <c r="P8242" t="s">
        <v>16575</v>
      </c>
      <c r="Q8242" t="s">
        <v>16576</v>
      </c>
      <c r="R8242" t="s">
        <v>319</v>
      </c>
      <c r="S8242" t="s">
        <v>320</v>
      </c>
      <c r="T8242" t="s">
        <v>16577</v>
      </c>
      <c r="U8242" t="s">
        <v>16578</v>
      </c>
      <c r="V8242" t="s">
        <v>16579</v>
      </c>
      <c r="W8242" t="s">
        <v>16580</v>
      </c>
      <c r="AD8242" t="s">
        <v>219</v>
      </c>
      <c r="AE8242" t="s">
        <v>16581</v>
      </c>
      <c r="AF8242" t="s">
        <v>16582</v>
      </c>
    </row>
    <row r="8243" spans="1:32" hidden="1" x14ac:dyDescent="0.35">
      <c r="A8243">
        <v>8242</v>
      </c>
      <c r="B8243" t="s">
        <v>16574</v>
      </c>
      <c r="C8243" t="s">
        <v>68</v>
      </c>
      <c r="D8243" t="s">
        <v>62</v>
      </c>
      <c r="E8243">
        <v>2288</v>
      </c>
      <c r="F8243">
        <v>2</v>
      </c>
      <c r="G8243">
        <v>2</v>
      </c>
      <c r="H8243">
        <v>1</v>
      </c>
      <c r="I8243">
        <v>0</v>
      </c>
      <c r="J8243">
        <v>0.96896086369770595</v>
      </c>
      <c r="K8243">
        <v>1</v>
      </c>
      <c r="L8243">
        <v>0.98423577793008898</v>
      </c>
      <c r="M8243">
        <v>0.95546558704453399</v>
      </c>
      <c r="N8243">
        <v>0.95546558704453399</v>
      </c>
      <c r="O8243">
        <v>0.95546558704453399</v>
      </c>
      <c r="P8243" t="s">
        <v>16575</v>
      </c>
      <c r="Q8243" t="s">
        <v>16576</v>
      </c>
      <c r="R8243" t="s">
        <v>319</v>
      </c>
      <c r="S8243" t="s">
        <v>320</v>
      </c>
      <c r="T8243" t="s">
        <v>16577</v>
      </c>
      <c r="U8243" t="s">
        <v>16578</v>
      </c>
      <c r="V8243" t="s">
        <v>16579</v>
      </c>
      <c r="W8243" t="s">
        <v>16580</v>
      </c>
      <c r="AD8243" t="s">
        <v>219</v>
      </c>
      <c r="AE8243" t="s">
        <v>16581</v>
      </c>
      <c r="AF8243" t="s">
        <v>16583</v>
      </c>
    </row>
    <row r="8244" spans="1:32" hidden="1" x14ac:dyDescent="0.35">
      <c r="A8244">
        <v>8243</v>
      </c>
      <c r="B8244" t="s">
        <v>16584</v>
      </c>
      <c r="C8244" t="s">
        <v>68</v>
      </c>
      <c r="D8244" t="s">
        <v>60</v>
      </c>
      <c r="E8244">
        <v>154</v>
      </c>
      <c r="F8244">
        <v>2</v>
      </c>
      <c r="G8244">
        <v>2</v>
      </c>
      <c r="H8244">
        <v>1</v>
      </c>
      <c r="I8244">
        <v>0</v>
      </c>
      <c r="J8244">
        <v>0.996463306808134</v>
      </c>
      <c r="K8244">
        <v>0.989542754524108</v>
      </c>
      <c r="L8244">
        <v>0.99299097278652804</v>
      </c>
      <c r="M8244">
        <v>0.98425196850393704</v>
      </c>
      <c r="N8244">
        <v>0.98425196850393704</v>
      </c>
      <c r="O8244">
        <v>0.98425196850393704</v>
      </c>
      <c r="P8244" t="s">
        <v>16585</v>
      </c>
      <c r="Q8244" t="s">
        <v>16586</v>
      </c>
      <c r="R8244" t="s">
        <v>371</v>
      </c>
      <c r="S8244" t="s">
        <v>372</v>
      </c>
      <c r="T8244" t="s">
        <v>5833</v>
      </c>
      <c r="U8244" t="s">
        <v>5834</v>
      </c>
      <c r="V8244" t="s">
        <v>5835</v>
      </c>
      <c r="W8244" t="s">
        <v>5836</v>
      </c>
      <c r="AD8244" t="s">
        <v>3961</v>
      </c>
      <c r="AE8244" t="s">
        <v>3962</v>
      </c>
      <c r="AF8244" t="s">
        <v>16587</v>
      </c>
    </row>
    <row r="8245" spans="1:32" hidden="1" x14ac:dyDescent="0.35">
      <c r="A8245">
        <v>8244</v>
      </c>
      <c r="B8245" t="s">
        <v>16584</v>
      </c>
      <c r="C8245" t="s">
        <v>68</v>
      </c>
      <c r="D8245" t="s">
        <v>62</v>
      </c>
      <c r="E8245">
        <v>230</v>
      </c>
      <c r="F8245">
        <v>2</v>
      </c>
      <c r="G8245">
        <v>2</v>
      </c>
      <c r="H8245">
        <v>1</v>
      </c>
      <c r="I8245">
        <v>0</v>
      </c>
      <c r="J8245">
        <v>0.996463306808134</v>
      </c>
      <c r="K8245">
        <v>0.989542754524108</v>
      </c>
      <c r="L8245">
        <v>0.99299097278652804</v>
      </c>
      <c r="M8245">
        <v>0.98425196850393704</v>
      </c>
      <c r="N8245">
        <v>0.98425196850393704</v>
      </c>
      <c r="O8245">
        <v>0.98425196850393704</v>
      </c>
      <c r="P8245" t="s">
        <v>16585</v>
      </c>
      <c r="Q8245" t="s">
        <v>16586</v>
      </c>
      <c r="R8245" t="s">
        <v>371</v>
      </c>
      <c r="S8245" t="s">
        <v>372</v>
      </c>
      <c r="T8245" t="s">
        <v>5833</v>
      </c>
      <c r="U8245" t="s">
        <v>5834</v>
      </c>
      <c r="V8245" t="s">
        <v>5835</v>
      </c>
      <c r="W8245" t="s">
        <v>5836</v>
      </c>
      <c r="AD8245" t="s">
        <v>3961</v>
      </c>
      <c r="AE8245" t="s">
        <v>3962</v>
      </c>
      <c r="AF8245" t="s">
        <v>16588</v>
      </c>
    </row>
    <row r="8246" spans="1:32" hidden="1" x14ac:dyDescent="0.35">
      <c r="A8246">
        <v>8245</v>
      </c>
      <c r="B8246" t="s">
        <v>16589</v>
      </c>
      <c r="C8246" t="s">
        <v>68</v>
      </c>
      <c r="D8246" t="s">
        <v>34</v>
      </c>
      <c r="E8246">
        <v>711</v>
      </c>
      <c r="F8246">
        <v>2</v>
      </c>
      <c r="G8246">
        <v>2</v>
      </c>
      <c r="H8246">
        <v>1</v>
      </c>
      <c r="I8246">
        <v>0</v>
      </c>
      <c r="J8246">
        <v>0.99199999999999999</v>
      </c>
      <c r="K8246">
        <v>1</v>
      </c>
      <c r="L8246">
        <v>0.99598393574297195</v>
      </c>
      <c r="M8246">
        <v>0.99199999999999999</v>
      </c>
      <c r="N8246">
        <v>0.99199999999999999</v>
      </c>
      <c r="O8246">
        <v>0.99199999999999999</v>
      </c>
      <c r="AF8246" t="s">
        <v>16590</v>
      </c>
    </row>
    <row r="8247" spans="1:32" hidden="1" x14ac:dyDescent="0.35">
      <c r="A8247">
        <v>8246</v>
      </c>
      <c r="B8247" t="s">
        <v>16589</v>
      </c>
      <c r="C8247" t="s">
        <v>68</v>
      </c>
      <c r="D8247" t="s">
        <v>45</v>
      </c>
      <c r="E8247">
        <v>1978</v>
      </c>
      <c r="F8247">
        <v>2</v>
      </c>
      <c r="G8247">
        <v>2</v>
      </c>
      <c r="H8247">
        <v>1</v>
      </c>
      <c r="I8247">
        <v>0</v>
      </c>
      <c r="J8247">
        <v>0.99199999999999999</v>
      </c>
      <c r="K8247">
        <v>1</v>
      </c>
      <c r="L8247">
        <v>0.99598393574297195</v>
      </c>
      <c r="M8247">
        <v>0.99199999999999999</v>
      </c>
      <c r="N8247">
        <v>0.99199999999999999</v>
      </c>
      <c r="O8247">
        <v>0.99199999999999999</v>
      </c>
      <c r="AF8247" t="s">
        <v>16591</v>
      </c>
    </row>
    <row r="8248" spans="1:32" hidden="1" x14ac:dyDescent="0.35">
      <c r="A8248">
        <v>8247</v>
      </c>
      <c r="B8248" t="s">
        <v>16592</v>
      </c>
      <c r="C8248" t="s">
        <v>68</v>
      </c>
      <c r="D8248" t="s">
        <v>34</v>
      </c>
      <c r="E8248">
        <v>463</v>
      </c>
      <c r="F8248">
        <v>2</v>
      </c>
      <c r="G8248">
        <v>2</v>
      </c>
      <c r="H8248">
        <v>1</v>
      </c>
      <c r="I8248">
        <v>0</v>
      </c>
      <c r="J8248">
        <v>0.96209587513935302</v>
      </c>
      <c r="K8248">
        <v>1</v>
      </c>
      <c r="L8248">
        <v>0.98068181818181799</v>
      </c>
      <c r="M8248">
        <v>0.94648829431438097</v>
      </c>
      <c r="N8248">
        <v>0.94648829431438097</v>
      </c>
      <c r="O8248">
        <v>0.94648829431438097</v>
      </c>
      <c r="AF8248" t="s">
        <v>16593</v>
      </c>
    </row>
    <row r="8249" spans="1:32" hidden="1" x14ac:dyDescent="0.35">
      <c r="A8249">
        <v>8248</v>
      </c>
      <c r="B8249" t="s">
        <v>16592</v>
      </c>
      <c r="C8249" t="s">
        <v>68</v>
      </c>
      <c r="D8249" t="s">
        <v>45</v>
      </c>
      <c r="E8249">
        <v>1726</v>
      </c>
      <c r="F8249">
        <v>2</v>
      </c>
      <c r="G8249">
        <v>2</v>
      </c>
      <c r="H8249">
        <v>1</v>
      </c>
      <c r="I8249">
        <v>0</v>
      </c>
      <c r="J8249">
        <v>0.96209587513935302</v>
      </c>
      <c r="K8249">
        <v>1</v>
      </c>
      <c r="L8249">
        <v>0.98068181818181799</v>
      </c>
      <c r="M8249">
        <v>0.94648829431438097</v>
      </c>
      <c r="N8249">
        <v>0.94648829431438097</v>
      </c>
      <c r="O8249">
        <v>0.94648829431438097</v>
      </c>
      <c r="AF8249" t="s">
        <v>16594</v>
      </c>
    </row>
    <row r="8250" spans="1:32" hidden="1" x14ac:dyDescent="0.35">
      <c r="A8250">
        <v>8249</v>
      </c>
      <c r="B8250" t="s">
        <v>16595</v>
      </c>
      <c r="C8250" t="s">
        <v>68</v>
      </c>
      <c r="D8250" t="s">
        <v>34</v>
      </c>
      <c r="E8250">
        <v>961</v>
      </c>
      <c r="F8250">
        <v>2</v>
      </c>
      <c r="G8250">
        <v>2</v>
      </c>
      <c r="H8250">
        <v>1</v>
      </c>
      <c r="I8250">
        <v>0</v>
      </c>
      <c r="J8250">
        <v>0.98095238095238102</v>
      </c>
      <c r="K8250">
        <v>1</v>
      </c>
      <c r="L8250">
        <v>0.99038461538461497</v>
      </c>
      <c r="M8250">
        <v>0.97619047619047605</v>
      </c>
      <c r="N8250">
        <v>0.97619047619047605</v>
      </c>
      <c r="O8250">
        <v>0.97619047619047605</v>
      </c>
      <c r="P8250" t="s">
        <v>4358</v>
      </c>
      <c r="Q8250" t="s">
        <v>4359</v>
      </c>
      <c r="AF8250" t="s">
        <v>16596</v>
      </c>
    </row>
    <row r="8251" spans="1:32" hidden="1" x14ac:dyDescent="0.35">
      <c r="A8251">
        <v>8250</v>
      </c>
      <c r="B8251" t="s">
        <v>16595</v>
      </c>
      <c r="C8251" t="s">
        <v>68</v>
      </c>
      <c r="D8251" t="s">
        <v>45</v>
      </c>
      <c r="E8251">
        <v>2218</v>
      </c>
      <c r="F8251">
        <v>2</v>
      </c>
      <c r="G8251">
        <v>2</v>
      </c>
      <c r="H8251">
        <v>1</v>
      </c>
      <c r="I8251">
        <v>0</v>
      </c>
      <c r="J8251">
        <v>0.98095238095238102</v>
      </c>
      <c r="K8251">
        <v>1</v>
      </c>
      <c r="L8251">
        <v>0.99038461538461497</v>
      </c>
      <c r="M8251">
        <v>0.97619047619047605</v>
      </c>
      <c r="N8251">
        <v>0.97619047619047605</v>
      </c>
      <c r="O8251">
        <v>0.97619047619047605</v>
      </c>
      <c r="P8251" t="s">
        <v>4358</v>
      </c>
      <c r="Q8251" t="s">
        <v>4359</v>
      </c>
      <c r="AF8251" t="s">
        <v>16597</v>
      </c>
    </row>
    <row r="8252" spans="1:32" hidden="1" x14ac:dyDescent="0.35">
      <c r="A8252">
        <v>8251</v>
      </c>
      <c r="B8252" t="s">
        <v>16598</v>
      </c>
      <c r="C8252" t="s">
        <v>68</v>
      </c>
      <c r="D8252" t="s">
        <v>60</v>
      </c>
      <c r="E8252">
        <v>2451</v>
      </c>
      <c r="F8252">
        <v>2</v>
      </c>
      <c r="G8252">
        <v>2</v>
      </c>
      <c r="H8252">
        <v>1</v>
      </c>
      <c r="I8252">
        <v>0</v>
      </c>
      <c r="J8252">
        <v>0.98091042584434696</v>
      </c>
      <c r="K8252">
        <v>1</v>
      </c>
      <c r="L8252">
        <v>0.99036323202372101</v>
      </c>
      <c r="M8252">
        <v>0.97797356828193804</v>
      </c>
      <c r="N8252">
        <v>0.97797356828193804</v>
      </c>
      <c r="O8252">
        <v>0.97797356828193804</v>
      </c>
      <c r="P8252" t="s">
        <v>3495</v>
      </c>
      <c r="Q8252" t="s">
        <v>3188</v>
      </c>
      <c r="R8252" t="s">
        <v>869</v>
      </c>
      <c r="S8252" t="s">
        <v>870</v>
      </c>
      <c r="T8252" t="s">
        <v>16599</v>
      </c>
      <c r="U8252" t="s">
        <v>16600</v>
      </c>
      <c r="V8252" t="s">
        <v>3496</v>
      </c>
      <c r="W8252" t="s">
        <v>3497</v>
      </c>
      <c r="AD8252" t="s">
        <v>410</v>
      </c>
      <c r="AE8252" t="s">
        <v>603</v>
      </c>
      <c r="AF8252" t="s">
        <v>16601</v>
      </c>
    </row>
    <row r="8253" spans="1:32" hidden="1" x14ac:dyDescent="0.35">
      <c r="A8253">
        <v>8252</v>
      </c>
      <c r="B8253" t="s">
        <v>16598</v>
      </c>
      <c r="C8253" t="s">
        <v>68</v>
      </c>
      <c r="D8253" t="s">
        <v>62</v>
      </c>
      <c r="E8253">
        <v>2477</v>
      </c>
      <c r="F8253">
        <v>2</v>
      </c>
      <c r="G8253">
        <v>2</v>
      </c>
      <c r="H8253">
        <v>1</v>
      </c>
      <c r="I8253">
        <v>0</v>
      </c>
      <c r="J8253">
        <v>0.98091042584434696</v>
      </c>
      <c r="K8253">
        <v>1</v>
      </c>
      <c r="L8253">
        <v>0.99036323202372101</v>
      </c>
      <c r="M8253">
        <v>0.97797356828193804</v>
      </c>
      <c r="N8253">
        <v>0.97797356828193804</v>
      </c>
      <c r="O8253">
        <v>0.97797356828193804</v>
      </c>
      <c r="P8253" t="s">
        <v>3495</v>
      </c>
      <c r="Q8253" t="s">
        <v>3188</v>
      </c>
      <c r="R8253" t="s">
        <v>869</v>
      </c>
      <c r="S8253" t="s">
        <v>870</v>
      </c>
      <c r="T8253" t="s">
        <v>16599</v>
      </c>
      <c r="U8253" t="s">
        <v>16600</v>
      </c>
      <c r="V8253" t="s">
        <v>3496</v>
      </c>
      <c r="W8253" t="s">
        <v>3497</v>
      </c>
      <c r="AD8253" t="s">
        <v>410</v>
      </c>
      <c r="AE8253" t="s">
        <v>603</v>
      </c>
      <c r="AF8253" t="s">
        <v>16602</v>
      </c>
    </row>
    <row r="8254" spans="1:32" hidden="1" x14ac:dyDescent="0.35">
      <c r="A8254">
        <v>8253</v>
      </c>
      <c r="B8254" t="s">
        <v>16603</v>
      </c>
      <c r="C8254" t="s">
        <v>68</v>
      </c>
      <c r="D8254" t="s">
        <v>34</v>
      </c>
      <c r="E8254">
        <v>704</v>
      </c>
      <c r="F8254">
        <v>2</v>
      </c>
      <c r="G8254">
        <v>2</v>
      </c>
      <c r="H8254">
        <v>1</v>
      </c>
      <c r="I8254">
        <v>0</v>
      </c>
      <c r="J8254">
        <v>0.98181818181818203</v>
      </c>
      <c r="K8254">
        <v>0.50782980069598505</v>
      </c>
      <c r="L8254">
        <v>0.66941524097647598</v>
      </c>
      <c r="M8254">
        <v>0.123853211009174</v>
      </c>
      <c r="N8254">
        <v>0.123853211009174</v>
      </c>
      <c r="O8254">
        <v>0.123853211009174</v>
      </c>
      <c r="AF8254" t="s">
        <v>16604</v>
      </c>
    </row>
    <row r="8255" spans="1:32" hidden="1" x14ac:dyDescent="0.35">
      <c r="A8255">
        <v>8254</v>
      </c>
      <c r="B8255" t="s">
        <v>16603</v>
      </c>
      <c r="C8255" t="s">
        <v>68</v>
      </c>
      <c r="D8255" t="s">
        <v>45</v>
      </c>
      <c r="E8255">
        <v>1970</v>
      </c>
      <c r="F8255">
        <v>2</v>
      </c>
      <c r="G8255">
        <v>2</v>
      </c>
      <c r="H8255">
        <v>1</v>
      </c>
      <c r="I8255">
        <v>0</v>
      </c>
      <c r="J8255">
        <v>0.98181818181818203</v>
      </c>
      <c r="K8255">
        <v>0.50782980069598505</v>
      </c>
      <c r="L8255">
        <v>0.66941524097647598</v>
      </c>
      <c r="M8255">
        <v>0.123853211009174</v>
      </c>
      <c r="N8255">
        <v>0.123853211009174</v>
      </c>
      <c r="O8255">
        <v>0.123853211009174</v>
      </c>
      <c r="AF8255" t="e">
        <f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MTAINAWLYLQRNAAATAAATAAAAVNAANQRNQQEQSRQDDNPFDVFETGNYRS</f>
        <v>#NAME?</v>
      </c>
    </row>
    <row r="8256" spans="1:32" hidden="1" x14ac:dyDescent="0.35">
      <c r="A8256">
        <v>8255</v>
      </c>
      <c r="B8256" t="s">
        <v>16605</v>
      </c>
      <c r="C8256" t="s">
        <v>68</v>
      </c>
      <c r="D8256" t="s">
        <v>34</v>
      </c>
      <c r="E8256">
        <v>1558</v>
      </c>
      <c r="F8256">
        <v>2</v>
      </c>
      <c r="G8256">
        <v>2</v>
      </c>
      <c r="H8256">
        <v>1</v>
      </c>
      <c r="I8256">
        <v>0</v>
      </c>
      <c r="J8256">
        <v>0.987719298245614</v>
      </c>
      <c r="K8256">
        <v>1</v>
      </c>
      <c r="L8256">
        <v>0.99382171226831395</v>
      </c>
      <c r="M8256">
        <v>0.98421052631578898</v>
      </c>
      <c r="N8256">
        <v>0.98421052631578898</v>
      </c>
      <c r="O8256">
        <v>0.98421052631578898</v>
      </c>
      <c r="P8256" t="s">
        <v>2163</v>
      </c>
      <c r="Q8256" t="s">
        <v>2164</v>
      </c>
      <c r="R8256" t="s">
        <v>113</v>
      </c>
      <c r="S8256" t="s">
        <v>114</v>
      </c>
      <c r="V8256" t="s">
        <v>2167</v>
      </c>
      <c r="W8256" t="s">
        <v>2168</v>
      </c>
      <c r="AF8256" t="s">
        <v>16606</v>
      </c>
    </row>
    <row r="8257" spans="1:32" hidden="1" x14ac:dyDescent="0.35">
      <c r="A8257">
        <v>8256</v>
      </c>
      <c r="B8257" t="s">
        <v>16605</v>
      </c>
      <c r="C8257" t="s">
        <v>68</v>
      </c>
      <c r="D8257" t="s">
        <v>45</v>
      </c>
      <c r="E8257">
        <v>308</v>
      </c>
      <c r="F8257">
        <v>2</v>
      </c>
      <c r="G8257">
        <v>2</v>
      </c>
      <c r="H8257">
        <v>1</v>
      </c>
      <c r="I8257">
        <v>0</v>
      </c>
      <c r="J8257">
        <v>0.987719298245614</v>
      </c>
      <c r="K8257">
        <v>1</v>
      </c>
      <c r="L8257">
        <v>0.99382171226831395</v>
      </c>
      <c r="M8257">
        <v>0.98421052631578898</v>
      </c>
      <c r="N8257">
        <v>0.98421052631578898</v>
      </c>
      <c r="O8257">
        <v>0.98421052631578898</v>
      </c>
      <c r="P8257" t="s">
        <v>2163</v>
      </c>
      <c r="Q8257" t="s">
        <v>2164</v>
      </c>
      <c r="R8257" t="s">
        <v>113</v>
      </c>
      <c r="S8257" t="s">
        <v>114</v>
      </c>
      <c r="V8257" t="s">
        <v>2167</v>
      </c>
      <c r="W8257" t="s">
        <v>2168</v>
      </c>
      <c r="AF8257" t="s">
        <v>16607</v>
      </c>
    </row>
    <row r="8258" spans="1:32" hidden="1" x14ac:dyDescent="0.35">
      <c r="A8258">
        <v>8257</v>
      </c>
      <c r="B8258" t="s">
        <v>16608</v>
      </c>
      <c r="C8258" t="s">
        <v>68</v>
      </c>
      <c r="D8258" t="s">
        <v>34</v>
      </c>
      <c r="E8258">
        <v>535</v>
      </c>
      <c r="F8258">
        <v>2</v>
      </c>
      <c r="G8258">
        <v>2</v>
      </c>
      <c r="H8258">
        <v>1</v>
      </c>
      <c r="I8258">
        <v>0</v>
      </c>
      <c r="J8258">
        <v>0.99312714776632305</v>
      </c>
      <c r="K8258">
        <v>1</v>
      </c>
      <c r="L8258">
        <v>0.99655172413793103</v>
      </c>
      <c r="M8258">
        <v>0.98969072164948502</v>
      </c>
      <c r="N8258">
        <v>0.98969072164948502</v>
      </c>
      <c r="O8258">
        <v>0.98969072164948502</v>
      </c>
      <c r="P8258" t="s">
        <v>2496</v>
      </c>
      <c r="Q8258" t="s">
        <v>2497</v>
      </c>
      <c r="R8258" t="s">
        <v>138</v>
      </c>
      <c r="S8258" t="s">
        <v>139</v>
      </c>
      <c r="V8258" t="s">
        <v>2498</v>
      </c>
      <c r="W8258" t="s">
        <v>2499</v>
      </c>
      <c r="AF8258" t="s">
        <v>16609</v>
      </c>
    </row>
    <row r="8259" spans="1:32" hidden="1" x14ac:dyDescent="0.35">
      <c r="A8259">
        <v>8258</v>
      </c>
      <c r="B8259" t="s">
        <v>16608</v>
      </c>
      <c r="C8259" t="s">
        <v>68</v>
      </c>
      <c r="D8259" t="s">
        <v>45</v>
      </c>
      <c r="E8259">
        <v>1801</v>
      </c>
      <c r="F8259">
        <v>2</v>
      </c>
      <c r="G8259">
        <v>2</v>
      </c>
      <c r="H8259">
        <v>1</v>
      </c>
      <c r="I8259">
        <v>0</v>
      </c>
      <c r="J8259">
        <v>0.99312714776632305</v>
      </c>
      <c r="K8259">
        <v>1</v>
      </c>
      <c r="L8259">
        <v>0.99655172413793103</v>
      </c>
      <c r="M8259">
        <v>0.98969072164948502</v>
      </c>
      <c r="N8259">
        <v>0.98969072164948502</v>
      </c>
      <c r="O8259">
        <v>0.98969072164948502</v>
      </c>
      <c r="P8259" t="s">
        <v>2496</v>
      </c>
      <c r="Q8259" t="s">
        <v>2497</v>
      </c>
      <c r="R8259" t="s">
        <v>138</v>
      </c>
      <c r="S8259" t="s">
        <v>139</v>
      </c>
      <c r="V8259" t="s">
        <v>2498</v>
      </c>
      <c r="W8259" t="s">
        <v>2499</v>
      </c>
      <c r="AF8259" t="s">
        <v>16610</v>
      </c>
    </row>
    <row r="8260" spans="1:32" hidden="1" x14ac:dyDescent="0.35">
      <c r="A8260">
        <v>8259</v>
      </c>
      <c r="B8260" t="s">
        <v>16611</v>
      </c>
      <c r="C8260" t="s">
        <v>68</v>
      </c>
      <c r="D8260" t="s">
        <v>60</v>
      </c>
      <c r="E8260">
        <v>549</v>
      </c>
      <c r="F8260">
        <v>2</v>
      </c>
      <c r="G8260">
        <v>2</v>
      </c>
      <c r="H8260">
        <v>1</v>
      </c>
      <c r="I8260">
        <v>0</v>
      </c>
      <c r="J8260">
        <v>0.96524486571879897</v>
      </c>
      <c r="K8260">
        <v>1</v>
      </c>
      <c r="L8260">
        <v>0.98231511254019299</v>
      </c>
      <c r="M8260">
        <v>0.95576619273301699</v>
      </c>
      <c r="N8260">
        <v>0.95576619273301699</v>
      </c>
      <c r="O8260">
        <v>0.95576619273301699</v>
      </c>
      <c r="P8260" t="s">
        <v>12501</v>
      </c>
      <c r="Q8260" t="s">
        <v>12502</v>
      </c>
      <c r="R8260" t="s">
        <v>869</v>
      </c>
      <c r="S8260" t="s">
        <v>870</v>
      </c>
      <c r="T8260" t="s">
        <v>14236</v>
      </c>
      <c r="U8260" t="s">
        <v>14237</v>
      </c>
      <c r="V8260" t="s">
        <v>12032</v>
      </c>
      <c r="W8260" t="s">
        <v>12033</v>
      </c>
      <c r="AD8260" t="s">
        <v>166</v>
      </c>
      <c r="AE8260" t="s">
        <v>2843</v>
      </c>
      <c r="AF8260" t="s">
        <v>16612</v>
      </c>
    </row>
    <row r="8261" spans="1:32" hidden="1" x14ac:dyDescent="0.35">
      <c r="A8261">
        <v>8260</v>
      </c>
      <c r="B8261" t="s">
        <v>16611</v>
      </c>
      <c r="C8261" t="s">
        <v>68</v>
      </c>
      <c r="D8261" t="s">
        <v>62</v>
      </c>
      <c r="E8261">
        <v>633</v>
      </c>
      <c r="F8261">
        <v>2</v>
      </c>
      <c r="G8261">
        <v>2</v>
      </c>
      <c r="H8261">
        <v>1</v>
      </c>
      <c r="I8261">
        <v>0</v>
      </c>
      <c r="J8261">
        <v>0.96524486571879897</v>
      </c>
      <c r="K8261">
        <v>1</v>
      </c>
      <c r="L8261">
        <v>0.98231511254019299</v>
      </c>
      <c r="M8261">
        <v>0.95576619273301699</v>
      </c>
      <c r="N8261">
        <v>0.95576619273301699</v>
      </c>
      <c r="O8261">
        <v>0.95576619273301699</v>
      </c>
      <c r="P8261" t="s">
        <v>12501</v>
      </c>
      <c r="Q8261" t="s">
        <v>12502</v>
      </c>
      <c r="R8261" t="s">
        <v>869</v>
      </c>
      <c r="S8261" t="s">
        <v>870</v>
      </c>
      <c r="T8261" t="s">
        <v>14236</v>
      </c>
      <c r="U8261" t="s">
        <v>14237</v>
      </c>
      <c r="V8261" t="s">
        <v>12032</v>
      </c>
      <c r="W8261" t="s">
        <v>12033</v>
      </c>
      <c r="AD8261" t="s">
        <v>166</v>
      </c>
      <c r="AE8261" t="s">
        <v>2843</v>
      </c>
      <c r="AF8261" t="s">
        <v>16613</v>
      </c>
    </row>
    <row r="8262" spans="1:32" hidden="1" x14ac:dyDescent="0.35">
      <c r="A8262">
        <v>8261</v>
      </c>
      <c r="B8262" t="s">
        <v>16614</v>
      </c>
      <c r="C8262" t="s">
        <v>68</v>
      </c>
      <c r="D8262" t="s">
        <v>34</v>
      </c>
      <c r="E8262">
        <v>802</v>
      </c>
      <c r="F8262">
        <v>2</v>
      </c>
      <c r="G8262">
        <v>2</v>
      </c>
      <c r="H8262">
        <v>1</v>
      </c>
      <c r="I8262">
        <v>0</v>
      </c>
      <c r="J8262">
        <v>0.99678456591639897</v>
      </c>
      <c r="K8262">
        <v>1</v>
      </c>
      <c r="L8262">
        <v>0.99838969404186795</v>
      </c>
      <c r="M8262">
        <v>0.99678456591639897</v>
      </c>
      <c r="N8262">
        <v>0.99678456591639897</v>
      </c>
      <c r="O8262">
        <v>0.99678456591639897</v>
      </c>
      <c r="P8262" t="s">
        <v>16615</v>
      </c>
      <c r="Q8262" t="s">
        <v>16616</v>
      </c>
      <c r="R8262" t="s">
        <v>138</v>
      </c>
      <c r="S8262" t="s">
        <v>139</v>
      </c>
      <c r="T8262" t="s">
        <v>16617</v>
      </c>
      <c r="U8262" t="s">
        <v>16618</v>
      </c>
      <c r="V8262" t="s">
        <v>16619</v>
      </c>
      <c r="W8262" t="s">
        <v>16620</v>
      </c>
      <c r="X8262" t="s">
        <v>16619</v>
      </c>
      <c r="Y8262" t="s">
        <v>15411</v>
      </c>
      <c r="AD8262" t="s">
        <v>16621</v>
      </c>
      <c r="AE8262" t="s">
        <v>16622</v>
      </c>
      <c r="AF8262" t="s">
        <v>16623</v>
      </c>
    </row>
    <row r="8263" spans="1:32" hidden="1" x14ac:dyDescent="0.35">
      <c r="A8263">
        <v>8262</v>
      </c>
      <c r="B8263" t="s">
        <v>16614</v>
      </c>
      <c r="C8263" t="s">
        <v>68</v>
      </c>
      <c r="D8263" t="s">
        <v>45</v>
      </c>
      <c r="E8263">
        <v>2058</v>
      </c>
      <c r="F8263">
        <v>2</v>
      </c>
      <c r="G8263">
        <v>2</v>
      </c>
      <c r="H8263">
        <v>1</v>
      </c>
      <c r="I8263">
        <v>0</v>
      </c>
      <c r="J8263">
        <v>0.99678456591639897</v>
      </c>
      <c r="K8263">
        <v>1</v>
      </c>
      <c r="L8263">
        <v>0.99838969404186795</v>
      </c>
      <c r="M8263">
        <v>0.99678456591639897</v>
      </c>
      <c r="N8263">
        <v>0.99678456591639897</v>
      </c>
      <c r="O8263">
        <v>0.99678456591639897</v>
      </c>
      <c r="P8263" t="s">
        <v>16615</v>
      </c>
      <c r="Q8263" t="s">
        <v>16616</v>
      </c>
      <c r="R8263" t="s">
        <v>138</v>
      </c>
      <c r="S8263" t="s">
        <v>139</v>
      </c>
      <c r="T8263" t="s">
        <v>16617</v>
      </c>
      <c r="U8263" t="s">
        <v>16618</v>
      </c>
      <c r="V8263" t="s">
        <v>16619</v>
      </c>
      <c r="W8263" t="s">
        <v>16620</v>
      </c>
      <c r="X8263" t="s">
        <v>16619</v>
      </c>
      <c r="Y8263" t="s">
        <v>15411</v>
      </c>
      <c r="AD8263" t="s">
        <v>16621</v>
      </c>
      <c r="AE8263" t="s">
        <v>16622</v>
      </c>
      <c r="AF8263" t="s">
        <v>16624</v>
      </c>
    </row>
    <row r="8264" spans="1:32" hidden="1" x14ac:dyDescent="0.35">
      <c r="A8264">
        <v>8263</v>
      </c>
      <c r="B8264" t="s">
        <v>16625</v>
      </c>
      <c r="C8264" t="s">
        <v>68</v>
      </c>
      <c r="D8264" t="s">
        <v>60</v>
      </c>
      <c r="E8264">
        <v>922</v>
      </c>
      <c r="F8264">
        <v>2</v>
      </c>
      <c r="G8264">
        <v>2</v>
      </c>
      <c r="H8264">
        <v>1</v>
      </c>
      <c r="I8264">
        <v>0</v>
      </c>
      <c r="J8264">
        <v>0.99557032115171695</v>
      </c>
      <c r="K8264">
        <v>1</v>
      </c>
      <c r="L8264">
        <v>0.99778024417314104</v>
      </c>
      <c r="M8264">
        <v>0.99335548172757504</v>
      </c>
      <c r="N8264">
        <v>0.99335548172757504</v>
      </c>
      <c r="O8264">
        <v>0.99335548172757504</v>
      </c>
      <c r="AF8264" t="s">
        <v>16626</v>
      </c>
    </row>
    <row r="8265" spans="1:32" hidden="1" x14ac:dyDescent="0.35">
      <c r="A8265">
        <v>8264</v>
      </c>
      <c r="B8265" t="s">
        <v>16625</v>
      </c>
      <c r="C8265" t="s">
        <v>68</v>
      </c>
      <c r="D8265" t="s">
        <v>62</v>
      </c>
      <c r="E8265">
        <v>958</v>
      </c>
      <c r="F8265">
        <v>2</v>
      </c>
      <c r="G8265">
        <v>2</v>
      </c>
      <c r="H8265">
        <v>1</v>
      </c>
      <c r="I8265">
        <v>0</v>
      </c>
      <c r="J8265">
        <v>0.99557032115171695</v>
      </c>
      <c r="K8265">
        <v>1</v>
      </c>
      <c r="L8265">
        <v>0.99778024417314104</v>
      </c>
      <c r="M8265">
        <v>0.99335548172757504</v>
      </c>
      <c r="N8265">
        <v>0.99335548172757504</v>
      </c>
      <c r="O8265">
        <v>0.99335548172757504</v>
      </c>
      <c r="AF8265" t="s">
        <v>16627</v>
      </c>
    </row>
    <row r="8266" spans="1:32" hidden="1" x14ac:dyDescent="0.35">
      <c r="A8266">
        <v>8265</v>
      </c>
      <c r="B8266" t="s">
        <v>16628</v>
      </c>
      <c r="C8266" t="s">
        <v>68</v>
      </c>
      <c r="D8266" t="s">
        <v>34</v>
      </c>
      <c r="E8266">
        <v>1957</v>
      </c>
      <c r="F8266">
        <v>2</v>
      </c>
      <c r="G8266">
        <v>2</v>
      </c>
      <c r="H8266">
        <v>1</v>
      </c>
      <c r="I8266">
        <v>0</v>
      </c>
      <c r="J8266">
        <v>0.98833819241982501</v>
      </c>
      <c r="K8266">
        <v>1</v>
      </c>
      <c r="L8266">
        <v>0.99413489736070404</v>
      </c>
      <c r="M8266">
        <v>0.98250728862973802</v>
      </c>
      <c r="N8266">
        <v>0.98250728862973802</v>
      </c>
      <c r="O8266">
        <v>0.98250728862973802</v>
      </c>
      <c r="P8266" t="s">
        <v>15340</v>
      </c>
      <c r="Q8266" t="s">
        <v>15341</v>
      </c>
      <c r="R8266" t="s">
        <v>5726</v>
      </c>
      <c r="S8266" t="s">
        <v>5727</v>
      </c>
      <c r="T8266" t="s">
        <v>15342</v>
      </c>
      <c r="U8266" t="s">
        <v>15343</v>
      </c>
      <c r="V8266" t="s">
        <v>15344</v>
      </c>
      <c r="W8266" t="s">
        <v>15345</v>
      </c>
      <c r="AD8266" t="s">
        <v>11627</v>
      </c>
      <c r="AE8266" t="s">
        <v>15346</v>
      </c>
      <c r="AF8266" t="s">
        <v>16629</v>
      </c>
    </row>
    <row r="8267" spans="1:32" hidden="1" x14ac:dyDescent="0.35">
      <c r="A8267">
        <v>8266</v>
      </c>
      <c r="B8267" t="s">
        <v>16628</v>
      </c>
      <c r="C8267" t="s">
        <v>68</v>
      </c>
      <c r="D8267" t="s">
        <v>45</v>
      </c>
      <c r="E8267">
        <v>916</v>
      </c>
      <c r="F8267">
        <v>2</v>
      </c>
      <c r="G8267">
        <v>2</v>
      </c>
      <c r="H8267">
        <v>1</v>
      </c>
      <c r="I8267">
        <v>0</v>
      </c>
      <c r="J8267">
        <v>0.98833819241982501</v>
      </c>
      <c r="K8267">
        <v>1</v>
      </c>
      <c r="L8267">
        <v>0.99413489736070404</v>
      </c>
      <c r="M8267">
        <v>0.98250728862973802</v>
      </c>
      <c r="N8267">
        <v>0.98250728862973802</v>
      </c>
      <c r="O8267">
        <v>0.98250728862973802</v>
      </c>
      <c r="P8267" t="s">
        <v>15340</v>
      </c>
      <c r="Q8267" t="s">
        <v>15341</v>
      </c>
      <c r="R8267" t="s">
        <v>5726</v>
      </c>
      <c r="S8267" t="s">
        <v>5727</v>
      </c>
      <c r="T8267" t="s">
        <v>15342</v>
      </c>
      <c r="U8267" t="s">
        <v>15343</v>
      </c>
      <c r="V8267" t="s">
        <v>15344</v>
      </c>
      <c r="W8267" t="s">
        <v>15345</v>
      </c>
      <c r="AD8267" t="s">
        <v>11627</v>
      </c>
      <c r="AE8267" t="s">
        <v>15346</v>
      </c>
      <c r="AF8267" t="s">
        <v>16630</v>
      </c>
    </row>
    <row r="8268" spans="1:32" hidden="1" x14ac:dyDescent="0.35">
      <c r="A8268">
        <v>8267</v>
      </c>
      <c r="B8268" t="s">
        <v>16631</v>
      </c>
      <c r="C8268" t="s">
        <v>68</v>
      </c>
      <c r="D8268" t="s">
        <v>60</v>
      </c>
      <c r="E8268">
        <v>502</v>
      </c>
      <c r="F8268">
        <v>2</v>
      </c>
      <c r="G8268">
        <v>2</v>
      </c>
      <c r="H8268">
        <v>1</v>
      </c>
      <c r="I8268">
        <v>0</v>
      </c>
      <c r="J8268">
        <v>0.98863636363636398</v>
      </c>
      <c r="K8268">
        <v>1</v>
      </c>
      <c r="L8268">
        <v>0.994285714285714</v>
      </c>
      <c r="M8268">
        <v>0.98863636363636398</v>
      </c>
      <c r="N8268">
        <v>0.98863636363636398</v>
      </c>
      <c r="O8268">
        <v>0.98863636363636398</v>
      </c>
      <c r="P8268" t="s">
        <v>10744</v>
      </c>
      <c r="Q8268" t="s">
        <v>10745</v>
      </c>
      <c r="R8268" t="s">
        <v>113</v>
      </c>
      <c r="S8268" t="s">
        <v>114</v>
      </c>
      <c r="V8268" t="s">
        <v>2881</v>
      </c>
      <c r="W8268" t="s">
        <v>2882</v>
      </c>
      <c r="AF8268" t="s">
        <v>16632</v>
      </c>
    </row>
    <row r="8269" spans="1:32" hidden="1" x14ac:dyDescent="0.35">
      <c r="A8269">
        <v>8268</v>
      </c>
      <c r="B8269" t="s">
        <v>16631</v>
      </c>
      <c r="C8269" t="s">
        <v>68</v>
      </c>
      <c r="D8269" t="s">
        <v>62</v>
      </c>
      <c r="E8269">
        <v>586</v>
      </c>
      <c r="F8269">
        <v>2</v>
      </c>
      <c r="G8269">
        <v>2</v>
      </c>
      <c r="H8269">
        <v>1</v>
      </c>
      <c r="I8269">
        <v>0</v>
      </c>
      <c r="J8269">
        <v>0.98863636363636398</v>
      </c>
      <c r="K8269">
        <v>1</v>
      </c>
      <c r="L8269">
        <v>0.994285714285714</v>
      </c>
      <c r="M8269">
        <v>0.98863636363636398</v>
      </c>
      <c r="N8269">
        <v>0.98863636363636398</v>
      </c>
      <c r="O8269">
        <v>0.98863636363636398</v>
      </c>
      <c r="P8269" t="s">
        <v>10744</v>
      </c>
      <c r="Q8269" t="s">
        <v>10745</v>
      </c>
      <c r="R8269" t="s">
        <v>113</v>
      </c>
      <c r="S8269" t="s">
        <v>114</v>
      </c>
      <c r="V8269" t="s">
        <v>2881</v>
      </c>
      <c r="W8269" t="s">
        <v>2882</v>
      </c>
      <c r="AF8269" t="s">
        <v>16633</v>
      </c>
    </row>
    <row r="8270" spans="1:32" hidden="1" x14ac:dyDescent="0.35">
      <c r="A8270">
        <v>8269</v>
      </c>
      <c r="B8270" t="s">
        <v>16634</v>
      </c>
      <c r="C8270" t="s">
        <v>68</v>
      </c>
      <c r="D8270" t="s">
        <v>34</v>
      </c>
      <c r="E8270">
        <v>1183</v>
      </c>
      <c r="F8270">
        <v>2</v>
      </c>
      <c r="G8270">
        <v>2</v>
      </c>
      <c r="H8270">
        <v>1</v>
      </c>
      <c r="I8270">
        <v>0</v>
      </c>
      <c r="J8270">
        <v>0.99301919720767895</v>
      </c>
      <c r="K8270">
        <v>1</v>
      </c>
      <c r="L8270">
        <v>0.99649737302977204</v>
      </c>
      <c r="M8270">
        <v>0.98952879581151798</v>
      </c>
      <c r="N8270">
        <v>0.98952879581151798</v>
      </c>
      <c r="O8270">
        <v>0.98952879581151798</v>
      </c>
      <c r="P8270" t="s">
        <v>16635</v>
      </c>
      <c r="Q8270" t="s">
        <v>16636</v>
      </c>
      <c r="R8270" t="s">
        <v>319</v>
      </c>
      <c r="S8270" t="s">
        <v>320</v>
      </c>
      <c r="T8270" t="s">
        <v>16637</v>
      </c>
      <c r="U8270" t="s">
        <v>16638</v>
      </c>
      <c r="V8270" t="s">
        <v>16639</v>
      </c>
      <c r="W8270" t="s">
        <v>16640</v>
      </c>
      <c r="AD8270" t="s">
        <v>219</v>
      </c>
      <c r="AE8270" t="s">
        <v>16641</v>
      </c>
      <c r="AF8270" t="s">
        <v>16642</v>
      </c>
    </row>
    <row r="8271" spans="1:32" hidden="1" x14ac:dyDescent="0.35">
      <c r="A8271">
        <v>8270</v>
      </c>
      <c r="B8271" t="s">
        <v>16634</v>
      </c>
      <c r="C8271" t="s">
        <v>68</v>
      </c>
      <c r="D8271" t="s">
        <v>45</v>
      </c>
      <c r="E8271">
        <v>2427</v>
      </c>
      <c r="F8271">
        <v>2</v>
      </c>
      <c r="G8271">
        <v>2</v>
      </c>
      <c r="H8271">
        <v>1</v>
      </c>
      <c r="I8271">
        <v>0</v>
      </c>
      <c r="J8271">
        <v>0.99301919720767895</v>
      </c>
      <c r="K8271">
        <v>1</v>
      </c>
      <c r="L8271">
        <v>0.99649737302977204</v>
      </c>
      <c r="M8271">
        <v>0.98952879581151798</v>
      </c>
      <c r="N8271">
        <v>0.98952879581151798</v>
      </c>
      <c r="O8271">
        <v>0.98952879581151798</v>
      </c>
      <c r="P8271" t="s">
        <v>16635</v>
      </c>
      <c r="Q8271" t="s">
        <v>16636</v>
      </c>
      <c r="R8271" t="s">
        <v>319</v>
      </c>
      <c r="S8271" t="s">
        <v>320</v>
      </c>
      <c r="T8271" t="s">
        <v>16637</v>
      </c>
      <c r="U8271" t="s">
        <v>16638</v>
      </c>
      <c r="V8271" t="s">
        <v>16639</v>
      </c>
      <c r="W8271" t="s">
        <v>16640</v>
      </c>
      <c r="AD8271" t="s">
        <v>219</v>
      </c>
      <c r="AE8271" t="s">
        <v>16641</v>
      </c>
      <c r="AF8271" t="s">
        <v>16643</v>
      </c>
    </row>
    <row r="8272" spans="1:32" hidden="1" x14ac:dyDescent="0.35">
      <c r="A8272">
        <v>8271</v>
      </c>
      <c r="B8272" t="s">
        <v>16644</v>
      </c>
      <c r="C8272" t="s">
        <v>68</v>
      </c>
      <c r="D8272" t="s">
        <v>60</v>
      </c>
      <c r="E8272">
        <v>363</v>
      </c>
      <c r="F8272">
        <v>2</v>
      </c>
      <c r="G8272">
        <v>2</v>
      </c>
      <c r="H8272">
        <v>1</v>
      </c>
      <c r="I8272">
        <v>0</v>
      </c>
      <c r="J8272">
        <v>0.99705014749262499</v>
      </c>
      <c r="K8272">
        <v>1</v>
      </c>
      <c r="L8272">
        <v>0.99852289512555403</v>
      </c>
      <c r="M8272">
        <v>0.99705014749262499</v>
      </c>
      <c r="N8272">
        <v>0.99705014749262499</v>
      </c>
      <c r="O8272">
        <v>0.99705014749262499</v>
      </c>
      <c r="P8272" t="s">
        <v>16645</v>
      </c>
      <c r="Q8272" t="s">
        <v>16646</v>
      </c>
      <c r="AF8272" t="s">
        <v>16647</v>
      </c>
    </row>
    <row r="8273" spans="1:32" hidden="1" x14ac:dyDescent="0.35">
      <c r="A8273">
        <v>8272</v>
      </c>
      <c r="B8273" t="s">
        <v>16644</v>
      </c>
      <c r="C8273" t="s">
        <v>68</v>
      </c>
      <c r="D8273" t="s">
        <v>62</v>
      </c>
      <c r="E8273">
        <v>443</v>
      </c>
      <c r="F8273">
        <v>2</v>
      </c>
      <c r="G8273">
        <v>2</v>
      </c>
      <c r="H8273">
        <v>1</v>
      </c>
      <c r="I8273">
        <v>0</v>
      </c>
      <c r="J8273">
        <v>0.99705014749262499</v>
      </c>
      <c r="K8273">
        <v>1</v>
      </c>
      <c r="L8273">
        <v>0.99852289512555403</v>
      </c>
      <c r="M8273">
        <v>0.99705014749262499</v>
      </c>
      <c r="N8273">
        <v>0.99705014749262499</v>
      </c>
      <c r="O8273">
        <v>0.99705014749262499</v>
      </c>
      <c r="P8273" t="s">
        <v>16645</v>
      </c>
      <c r="Q8273" t="s">
        <v>16646</v>
      </c>
      <c r="AF8273" t="s">
        <v>16648</v>
      </c>
    </row>
    <row r="8274" spans="1:32" hidden="1" x14ac:dyDescent="0.35">
      <c r="A8274">
        <v>8273</v>
      </c>
      <c r="B8274" t="s">
        <v>16649</v>
      </c>
      <c r="C8274" t="s">
        <v>68</v>
      </c>
      <c r="D8274" t="s">
        <v>34</v>
      </c>
      <c r="E8274">
        <v>1682</v>
      </c>
      <c r="F8274">
        <v>2</v>
      </c>
      <c r="G8274">
        <v>2</v>
      </c>
      <c r="H8274">
        <v>1</v>
      </c>
      <c r="I8274">
        <v>0</v>
      </c>
      <c r="J8274">
        <v>0.98778359511343805</v>
      </c>
      <c r="K8274">
        <v>1</v>
      </c>
      <c r="L8274">
        <v>0.99385425812115902</v>
      </c>
      <c r="M8274">
        <v>0.98429319371727797</v>
      </c>
      <c r="N8274">
        <v>0.98429319371727797</v>
      </c>
      <c r="O8274">
        <v>0.98429319371727797</v>
      </c>
      <c r="P8274" t="s">
        <v>9003</v>
      </c>
      <c r="Q8274" t="s">
        <v>9004</v>
      </c>
      <c r="R8274" t="s">
        <v>371</v>
      </c>
      <c r="S8274" t="s">
        <v>372</v>
      </c>
      <c r="T8274" t="s">
        <v>16650</v>
      </c>
      <c r="U8274" t="s">
        <v>16651</v>
      </c>
      <c r="V8274" t="s">
        <v>9007</v>
      </c>
      <c r="W8274" t="s">
        <v>9008</v>
      </c>
      <c r="AD8274" t="s">
        <v>410</v>
      </c>
      <c r="AE8274" t="s">
        <v>1217</v>
      </c>
      <c r="AF8274" t="s">
        <v>16652</v>
      </c>
    </row>
    <row r="8275" spans="1:32" hidden="1" x14ac:dyDescent="0.35">
      <c r="A8275">
        <v>8274</v>
      </c>
      <c r="B8275" t="s">
        <v>16649</v>
      </c>
      <c r="C8275" t="s">
        <v>68</v>
      </c>
      <c r="D8275" t="s">
        <v>45</v>
      </c>
      <c r="E8275">
        <v>1194</v>
      </c>
      <c r="F8275">
        <v>2</v>
      </c>
      <c r="G8275">
        <v>2</v>
      </c>
      <c r="H8275">
        <v>1</v>
      </c>
      <c r="I8275">
        <v>0</v>
      </c>
      <c r="J8275">
        <v>0.98778359511343805</v>
      </c>
      <c r="K8275">
        <v>1</v>
      </c>
      <c r="L8275">
        <v>0.99385425812115902</v>
      </c>
      <c r="M8275">
        <v>0.98429319371727797</v>
      </c>
      <c r="N8275">
        <v>0.98429319371727797</v>
      </c>
      <c r="O8275">
        <v>0.98429319371727797</v>
      </c>
      <c r="P8275" t="s">
        <v>9003</v>
      </c>
      <c r="Q8275" t="s">
        <v>9004</v>
      </c>
      <c r="R8275" t="s">
        <v>371</v>
      </c>
      <c r="S8275" t="s">
        <v>372</v>
      </c>
      <c r="T8275" t="s">
        <v>16650</v>
      </c>
      <c r="U8275" t="s">
        <v>16651</v>
      </c>
      <c r="V8275" t="s">
        <v>9007</v>
      </c>
      <c r="W8275" t="s">
        <v>9008</v>
      </c>
      <c r="AD8275" t="s">
        <v>410</v>
      </c>
      <c r="AE8275" t="s">
        <v>1217</v>
      </c>
      <c r="AF8275" t="s">
        <v>16653</v>
      </c>
    </row>
    <row r="8276" spans="1:32" hidden="1" x14ac:dyDescent="0.35">
      <c r="A8276">
        <v>8275</v>
      </c>
      <c r="B8276" t="s">
        <v>16654</v>
      </c>
      <c r="C8276" t="s">
        <v>68</v>
      </c>
      <c r="D8276" t="s">
        <v>34</v>
      </c>
      <c r="E8276">
        <v>1222</v>
      </c>
      <c r="F8276">
        <v>2</v>
      </c>
      <c r="G8276">
        <v>2</v>
      </c>
      <c r="H8276">
        <v>1</v>
      </c>
      <c r="I8276">
        <v>0</v>
      </c>
      <c r="J8276">
        <v>0.99533799533799505</v>
      </c>
      <c r="K8276">
        <v>1</v>
      </c>
      <c r="L8276">
        <v>0.99766355140186902</v>
      </c>
      <c r="M8276">
        <v>0.98601398601398604</v>
      </c>
      <c r="N8276">
        <v>0.98601398601398604</v>
      </c>
      <c r="O8276">
        <v>0.98601398601398604</v>
      </c>
      <c r="AF8276" t="s">
        <v>16655</v>
      </c>
    </row>
    <row r="8277" spans="1:32" hidden="1" x14ac:dyDescent="0.35">
      <c r="A8277">
        <v>8276</v>
      </c>
      <c r="B8277" t="s">
        <v>16654</v>
      </c>
      <c r="C8277" t="s">
        <v>68</v>
      </c>
      <c r="D8277" t="s">
        <v>45</v>
      </c>
      <c r="E8277">
        <v>2465</v>
      </c>
      <c r="F8277">
        <v>2</v>
      </c>
      <c r="G8277">
        <v>2</v>
      </c>
      <c r="H8277">
        <v>1</v>
      </c>
      <c r="I8277">
        <v>0</v>
      </c>
      <c r="J8277">
        <v>0.99533799533799505</v>
      </c>
      <c r="K8277">
        <v>1</v>
      </c>
      <c r="L8277">
        <v>0.99766355140186902</v>
      </c>
      <c r="M8277">
        <v>0.98601398601398604</v>
      </c>
      <c r="N8277">
        <v>0.98601398601398604</v>
      </c>
      <c r="O8277">
        <v>0.98601398601398604</v>
      </c>
      <c r="AF8277" t="s">
        <v>16656</v>
      </c>
    </row>
    <row r="8278" spans="1:32" hidden="1" x14ac:dyDescent="0.35">
      <c r="A8278">
        <v>8277</v>
      </c>
      <c r="B8278" t="s">
        <v>16657</v>
      </c>
      <c r="C8278" t="s">
        <v>68</v>
      </c>
      <c r="D8278" t="s">
        <v>34</v>
      </c>
      <c r="E8278">
        <v>208</v>
      </c>
      <c r="F8278">
        <v>2</v>
      </c>
      <c r="G8278">
        <v>2</v>
      </c>
      <c r="H8278">
        <v>1</v>
      </c>
      <c r="I8278">
        <v>0</v>
      </c>
      <c r="J8278">
        <v>0.96666666666666701</v>
      </c>
      <c r="K8278">
        <v>1</v>
      </c>
      <c r="L8278">
        <v>0.98305084745762705</v>
      </c>
      <c r="M8278">
        <v>0.95454545454545503</v>
      </c>
      <c r="N8278">
        <v>0.95454545454545503</v>
      </c>
      <c r="O8278">
        <v>0.95454545454545503</v>
      </c>
      <c r="AF8278" t="s">
        <v>16658</v>
      </c>
    </row>
    <row r="8279" spans="1:32" hidden="1" x14ac:dyDescent="0.35">
      <c r="A8279">
        <v>8278</v>
      </c>
      <c r="B8279" t="s">
        <v>16657</v>
      </c>
      <c r="C8279" t="s">
        <v>68</v>
      </c>
      <c r="D8279" t="s">
        <v>45</v>
      </c>
      <c r="E8279">
        <v>1471</v>
      </c>
      <c r="F8279">
        <v>2</v>
      </c>
      <c r="G8279">
        <v>2</v>
      </c>
      <c r="H8279">
        <v>1</v>
      </c>
      <c r="I8279">
        <v>0</v>
      </c>
      <c r="J8279">
        <v>0.96666666666666701</v>
      </c>
      <c r="K8279">
        <v>1</v>
      </c>
      <c r="L8279">
        <v>0.98305084745762705</v>
      </c>
      <c r="M8279">
        <v>0.95454545454545503</v>
      </c>
      <c r="N8279">
        <v>0.95454545454545503</v>
      </c>
      <c r="O8279">
        <v>0.95454545454545503</v>
      </c>
      <c r="AF8279" t="s">
        <v>16659</v>
      </c>
    </row>
    <row r="8280" spans="1:32" hidden="1" x14ac:dyDescent="0.35">
      <c r="A8280">
        <v>8279</v>
      </c>
      <c r="B8280" t="s">
        <v>16660</v>
      </c>
      <c r="C8280" t="s">
        <v>68</v>
      </c>
      <c r="D8280" t="s">
        <v>60</v>
      </c>
      <c r="E8280">
        <v>2523</v>
      </c>
      <c r="F8280">
        <v>2</v>
      </c>
      <c r="G8280">
        <v>2</v>
      </c>
      <c r="H8280">
        <v>1</v>
      </c>
      <c r="I8280">
        <v>0</v>
      </c>
      <c r="J8280">
        <v>0.98529411764705899</v>
      </c>
      <c r="K8280">
        <v>1</v>
      </c>
      <c r="L8280">
        <v>0.99259259259259303</v>
      </c>
      <c r="M8280">
        <v>0.98529411764705899</v>
      </c>
      <c r="N8280">
        <v>0.98529411764705899</v>
      </c>
      <c r="O8280">
        <v>0.98529411764705899</v>
      </c>
      <c r="P8280" t="s">
        <v>15932</v>
      </c>
      <c r="Q8280" t="s">
        <v>15933</v>
      </c>
      <c r="R8280" t="s">
        <v>138</v>
      </c>
      <c r="S8280" t="s">
        <v>139</v>
      </c>
      <c r="T8280" t="s">
        <v>15081</v>
      </c>
      <c r="U8280" t="s">
        <v>15082</v>
      </c>
      <c r="V8280" t="s">
        <v>15934</v>
      </c>
      <c r="W8280" t="s">
        <v>15935</v>
      </c>
      <c r="AD8280" t="s">
        <v>410</v>
      </c>
      <c r="AE8280" t="s">
        <v>15083</v>
      </c>
      <c r="AF8280" t="s">
        <v>16661</v>
      </c>
    </row>
    <row r="8281" spans="1:32" hidden="1" x14ac:dyDescent="0.35">
      <c r="A8281">
        <v>8280</v>
      </c>
      <c r="B8281" t="s">
        <v>16660</v>
      </c>
      <c r="C8281" t="s">
        <v>68</v>
      </c>
      <c r="D8281" t="s">
        <v>62</v>
      </c>
      <c r="E8281">
        <v>48</v>
      </c>
      <c r="F8281">
        <v>2</v>
      </c>
      <c r="G8281">
        <v>2</v>
      </c>
      <c r="H8281">
        <v>1</v>
      </c>
      <c r="I8281">
        <v>0</v>
      </c>
      <c r="J8281">
        <v>0.98529411764705899</v>
      </c>
      <c r="K8281">
        <v>1</v>
      </c>
      <c r="L8281">
        <v>0.99259259259259303</v>
      </c>
      <c r="M8281">
        <v>0.98529411764705899</v>
      </c>
      <c r="N8281">
        <v>0.98529411764705899</v>
      </c>
      <c r="O8281">
        <v>0.98529411764705899</v>
      </c>
      <c r="P8281" t="s">
        <v>15932</v>
      </c>
      <c r="Q8281" t="s">
        <v>15933</v>
      </c>
      <c r="R8281" t="s">
        <v>138</v>
      </c>
      <c r="S8281" t="s">
        <v>139</v>
      </c>
      <c r="T8281" t="s">
        <v>15081</v>
      </c>
      <c r="U8281" t="s">
        <v>15082</v>
      </c>
      <c r="V8281" t="s">
        <v>15934</v>
      </c>
      <c r="W8281" t="s">
        <v>15935</v>
      </c>
      <c r="AD8281" t="s">
        <v>410</v>
      </c>
      <c r="AE8281" t="s">
        <v>15083</v>
      </c>
      <c r="AF8281" t="s">
        <v>16662</v>
      </c>
    </row>
    <row r="8282" spans="1:32" hidden="1" x14ac:dyDescent="0.35">
      <c r="A8282">
        <v>8281</v>
      </c>
      <c r="B8282" t="s">
        <v>16663</v>
      </c>
      <c r="C8282" t="s">
        <v>68</v>
      </c>
      <c r="D8282" t="s">
        <v>34</v>
      </c>
      <c r="E8282">
        <v>163</v>
      </c>
      <c r="F8282">
        <v>2</v>
      </c>
      <c r="G8282">
        <v>2</v>
      </c>
      <c r="H8282">
        <v>1</v>
      </c>
      <c r="I8282">
        <v>0</v>
      </c>
      <c r="J8282">
        <v>0.98595943837753497</v>
      </c>
      <c r="K8282">
        <v>1</v>
      </c>
      <c r="L8282">
        <v>0.99293008641005498</v>
      </c>
      <c r="M8282">
        <v>0.98283931357254295</v>
      </c>
      <c r="N8282">
        <v>0.98283931357254295</v>
      </c>
      <c r="O8282">
        <v>0.98283931357254295</v>
      </c>
      <c r="P8282" t="s">
        <v>169</v>
      </c>
      <c r="Q8282" t="s">
        <v>170</v>
      </c>
      <c r="R8282" t="s">
        <v>15002</v>
      </c>
      <c r="S8282" t="s">
        <v>15003</v>
      </c>
      <c r="T8282" t="s">
        <v>15004</v>
      </c>
      <c r="U8282" t="s">
        <v>15005</v>
      </c>
      <c r="V8282" t="s">
        <v>15006</v>
      </c>
      <c r="W8282" t="s">
        <v>15007</v>
      </c>
      <c r="X8282" t="s">
        <v>15006</v>
      </c>
      <c r="Y8282" t="s">
        <v>10265</v>
      </c>
      <c r="AD8282" t="s">
        <v>439</v>
      </c>
      <c r="AE8282" t="s">
        <v>13695</v>
      </c>
      <c r="AF8282" t="s">
        <v>16664</v>
      </c>
    </row>
    <row r="8283" spans="1:32" hidden="1" x14ac:dyDescent="0.35">
      <c r="A8283">
        <v>8282</v>
      </c>
      <c r="B8283" t="s">
        <v>16663</v>
      </c>
      <c r="C8283" t="s">
        <v>68</v>
      </c>
      <c r="D8283" t="s">
        <v>45</v>
      </c>
      <c r="E8283">
        <v>1424</v>
      </c>
      <c r="F8283">
        <v>2</v>
      </c>
      <c r="G8283">
        <v>2</v>
      </c>
      <c r="H8283">
        <v>1</v>
      </c>
      <c r="I8283">
        <v>0</v>
      </c>
      <c r="J8283">
        <v>0.98595943837753497</v>
      </c>
      <c r="K8283">
        <v>1</v>
      </c>
      <c r="L8283">
        <v>0.99293008641005498</v>
      </c>
      <c r="M8283">
        <v>0.98283931357254295</v>
      </c>
      <c r="N8283">
        <v>0.98283931357254295</v>
      </c>
      <c r="O8283">
        <v>0.98283931357254295</v>
      </c>
      <c r="P8283" t="s">
        <v>169</v>
      </c>
      <c r="Q8283" t="s">
        <v>170</v>
      </c>
      <c r="R8283" t="s">
        <v>15002</v>
      </c>
      <c r="S8283" t="s">
        <v>15003</v>
      </c>
      <c r="T8283" t="s">
        <v>15004</v>
      </c>
      <c r="U8283" t="s">
        <v>15005</v>
      </c>
      <c r="V8283" t="s">
        <v>15006</v>
      </c>
      <c r="W8283" t="s">
        <v>15007</v>
      </c>
      <c r="X8283" t="s">
        <v>15006</v>
      </c>
      <c r="Y8283" t="s">
        <v>10265</v>
      </c>
      <c r="AD8283" t="s">
        <v>439</v>
      </c>
      <c r="AE8283" t="s">
        <v>13695</v>
      </c>
      <c r="AF8283" t="s">
        <v>16665</v>
      </c>
    </row>
    <row r="8284" spans="1:32" hidden="1" x14ac:dyDescent="0.35">
      <c r="A8284">
        <v>8283</v>
      </c>
      <c r="B8284" t="s">
        <v>16666</v>
      </c>
      <c r="C8284" t="s">
        <v>68</v>
      </c>
      <c r="D8284" t="s">
        <v>34</v>
      </c>
      <c r="E8284">
        <v>1125</v>
      </c>
      <c r="F8284">
        <v>2</v>
      </c>
      <c r="G8284">
        <v>2</v>
      </c>
      <c r="H8284">
        <v>1</v>
      </c>
      <c r="I8284">
        <v>0</v>
      </c>
      <c r="J8284">
        <v>0.98947368421052595</v>
      </c>
      <c r="K8284">
        <v>0.90888278388278498</v>
      </c>
      <c r="L8284">
        <v>0.94746757186997799</v>
      </c>
      <c r="M8284">
        <v>0.89523809523809506</v>
      </c>
      <c r="N8284">
        <v>0.89523809523809506</v>
      </c>
      <c r="O8284">
        <v>0.89523809523809506</v>
      </c>
      <c r="P8284" t="s">
        <v>2877</v>
      </c>
      <c r="Q8284" t="s">
        <v>2878</v>
      </c>
      <c r="R8284" t="s">
        <v>113</v>
      </c>
      <c r="S8284" t="s">
        <v>114</v>
      </c>
      <c r="V8284" t="s">
        <v>2881</v>
      </c>
      <c r="W8284" t="s">
        <v>2882</v>
      </c>
      <c r="AF8284" t="s">
        <v>16667</v>
      </c>
    </row>
    <row r="8285" spans="1:32" hidden="1" x14ac:dyDescent="0.35">
      <c r="A8285">
        <v>8284</v>
      </c>
      <c r="B8285" t="s">
        <v>16666</v>
      </c>
      <c r="C8285" t="s">
        <v>68</v>
      </c>
      <c r="D8285" t="s">
        <v>45</v>
      </c>
      <c r="E8285">
        <v>2376</v>
      </c>
      <c r="F8285">
        <v>2</v>
      </c>
      <c r="G8285">
        <v>2</v>
      </c>
      <c r="H8285">
        <v>1</v>
      </c>
      <c r="I8285">
        <v>0</v>
      </c>
      <c r="J8285">
        <v>0.98947368421052595</v>
      </c>
      <c r="K8285">
        <v>0.90888278388278498</v>
      </c>
      <c r="L8285">
        <v>0.94746757186997799</v>
      </c>
      <c r="M8285">
        <v>0.89523809523809506</v>
      </c>
      <c r="N8285">
        <v>0.89523809523809506</v>
      </c>
      <c r="O8285">
        <v>0.89523809523809506</v>
      </c>
      <c r="P8285" t="s">
        <v>2877</v>
      </c>
      <c r="Q8285" t="s">
        <v>2878</v>
      </c>
      <c r="R8285" t="s">
        <v>113</v>
      </c>
      <c r="S8285" t="s">
        <v>114</v>
      </c>
      <c r="V8285" t="s">
        <v>2881</v>
      </c>
      <c r="W8285" t="s">
        <v>2882</v>
      </c>
      <c r="AF8285" t="e">
        <f>----------MNVGNDVGAVPQWELQDRIQRARRHAGLEQGQLAELAGVSRKSVSNWEIGKTVPRRSALIAIAFATGVNLYWLETGESPYPPEPVKDAKSGNSMV</f>
        <v>#NAME?</v>
      </c>
    </row>
    <row r="8286" spans="1:32" hidden="1" x14ac:dyDescent="0.35">
      <c r="A8286">
        <v>8285</v>
      </c>
      <c r="B8286" t="s">
        <v>16668</v>
      </c>
      <c r="C8286" t="s">
        <v>68</v>
      </c>
      <c r="D8286" t="s">
        <v>34</v>
      </c>
      <c r="E8286">
        <v>1514</v>
      </c>
      <c r="F8286">
        <v>2</v>
      </c>
      <c r="G8286">
        <v>2</v>
      </c>
      <c r="H8286">
        <v>1</v>
      </c>
      <c r="I8286">
        <v>0</v>
      </c>
      <c r="J8286">
        <v>0.98861788617886204</v>
      </c>
      <c r="K8286">
        <v>1</v>
      </c>
      <c r="L8286">
        <v>0.99427636958299304</v>
      </c>
      <c r="M8286">
        <v>0.98536585365853702</v>
      </c>
      <c r="N8286">
        <v>0.98536585365853702</v>
      </c>
      <c r="O8286">
        <v>0.98536585365853702</v>
      </c>
      <c r="P8286" t="s">
        <v>11564</v>
      </c>
      <c r="Q8286" t="s">
        <v>11565</v>
      </c>
      <c r="R8286" t="s">
        <v>157</v>
      </c>
      <c r="S8286" t="s">
        <v>158</v>
      </c>
      <c r="V8286" t="s">
        <v>10388</v>
      </c>
      <c r="W8286" t="s">
        <v>10389</v>
      </c>
      <c r="AF8286" t="s">
        <v>16669</v>
      </c>
    </row>
    <row r="8287" spans="1:32" hidden="1" x14ac:dyDescent="0.35">
      <c r="A8287">
        <v>8286</v>
      </c>
      <c r="B8287" t="s">
        <v>16668</v>
      </c>
      <c r="C8287" t="s">
        <v>68</v>
      </c>
      <c r="D8287" t="s">
        <v>45</v>
      </c>
      <c r="E8287">
        <v>264</v>
      </c>
      <c r="F8287">
        <v>2</v>
      </c>
      <c r="G8287">
        <v>2</v>
      </c>
      <c r="H8287">
        <v>1</v>
      </c>
      <c r="I8287">
        <v>0</v>
      </c>
      <c r="J8287">
        <v>0.98861788617886204</v>
      </c>
      <c r="K8287">
        <v>1</v>
      </c>
      <c r="L8287">
        <v>0.99427636958299304</v>
      </c>
      <c r="M8287">
        <v>0.98536585365853702</v>
      </c>
      <c r="N8287">
        <v>0.98536585365853702</v>
      </c>
      <c r="O8287">
        <v>0.98536585365853702</v>
      </c>
      <c r="P8287" t="s">
        <v>11564</v>
      </c>
      <c r="Q8287" t="s">
        <v>11565</v>
      </c>
      <c r="R8287" t="s">
        <v>157</v>
      </c>
      <c r="S8287" t="s">
        <v>158</v>
      </c>
      <c r="V8287" t="s">
        <v>10388</v>
      </c>
      <c r="W8287" t="s">
        <v>10389</v>
      </c>
      <c r="AF8287" t="s">
        <v>16670</v>
      </c>
    </row>
    <row r="8288" spans="1:32" hidden="1" x14ac:dyDescent="0.35">
      <c r="A8288">
        <v>8287</v>
      </c>
      <c r="B8288" t="s">
        <v>16671</v>
      </c>
      <c r="C8288" t="s">
        <v>68</v>
      </c>
      <c r="D8288" t="s">
        <v>34</v>
      </c>
      <c r="E8288">
        <v>1415</v>
      </c>
      <c r="F8288">
        <v>2</v>
      </c>
      <c r="G8288">
        <v>2</v>
      </c>
      <c r="H8288">
        <v>1</v>
      </c>
      <c r="I8288">
        <v>0</v>
      </c>
      <c r="J8288">
        <v>0.96470588235294097</v>
      </c>
      <c r="K8288">
        <v>1</v>
      </c>
      <c r="L8288">
        <v>0.98203592814371299</v>
      </c>
      <c r="M8288">
        <v>0.96470588235294097</v>
      </c>
      <c r="N8288">
        <v>0.96470588235294097</v>
      </c>
      <c r="O8288">
        <v>0.96470588235294097</v>
      </c>
      <c r="AF8288" t="s">
        <v>16672</v>
      </c>
    </row>
    <row r="8289" spans="1:32" hidden="1" x14ac:dyDescent="0.35">
      <c r="A8289">
        <v>8288</v>
      </c>
      <c r="B8289" t="s">
        <v>16671</v>
      </c>
      <c r="C8289" t="s">
        <v>68</v>
      </c>
      <c r="D8289" t="s">
        <v>45</v>
      </c>
      <c r="E8289">
        <v>166</v>
      </c>
      <c r="F8289">
        <v>2</v>
      </c>
      <c r="G8289">
        <v>2</v>
      </c>
      <c r="H8289">
        <v>1</v>
      </c>
      <c r="I8289">
        <v>0</v>
      </c>
      <c r="J8289">
        <v>0.96470588235294097</v>
      </c>
      <c r="K8289">
        <v>1</v>
      </c>
      <c r="L8289">
        <v>0.98203592814371299</v>
      </c>
      <c r="M8289">
        <v>0.96470588235294097</v>
      </c>
      <c r="N8289">
        <v>0.96470588235294097</v>
      </c>
      <c r="O8289">
        <v>0.96470588235294097</v>
      </c>
      <c r="AF8289" t="s">
        <v>16673</v>
      </c>
    </row>
    <row r="8290" spans="1:32" hidden="1" x14ac:dyDescent="0.35">
      <c r="A8290">
        <v>8289</v>
      </c>
      <c r="B8290" t="s">
        <v>16674</v>
      </c>
      <c r="C8290" t="s">
        <v>68</v>
      </c>
      <c r="D8290" t="s">
        <v>60</v>
      </c>
      <c r="E8290">
        <v>1683</v>
      </c>
      <c r="F8290">
        <v>2</v>
      </c>
      <c r="G8290">
        <v>2</v>
      </c>
      <c r="H8290">
        <v>1</v>
      </c>
      <c r="I8290">
        <v>0</v>
      </c>
      <c r="J8290">
        <v>0.99555555555555597</v>
      </c>
      <c r="K8290">
        <v>1</v>
      </c>
      <c r="L8290">
        <v>0.99777282850779503</v>
      </c>
      <c r="M8290">
        <v>0.99555555555555597</v>
      </c>
      <c r="N8290">
        <v>0.99555555555555597</v>
      </c>
      <c r="O8290">
        <v>0.99555555555555597</v>
      </c>
      <c r="AF8290" t="s">
        <v>16675</v>
      </c>
    </row>
    <row r="8291" spans="1:32" hidden="1" x14ac:dyDescent="0.35">
      <c r="A8291">
        <v>8290</v>
      </c>
      <c r="B8291" t="s">
        <v>16674</v>
      </c>
      <c r="C8291" t="s">
        <v>68</v>
      </c>
      <c r="D8291" t="s">
        <v>62</v>
      </c>
      <c r="E8291">
        <v>1718</v>
      </c>
      <c r="F8291">
        <v>2</v>
      </c>
      <c r="G8291">
        <v>2</v>
      </c>
      <c r="H8291">
        <v>1</v>
      </c>
      <c r="I8291">
        <v>0</v>
      </c>
      <c r="J8291">
        <v>0.99555555555555597</v>
      </c>
      <c r="K8291">
        <v>1</v>
      </c>
      <c r="L8291">
        <v>0.99777282850779503</v>
      </c>
      <c r="M8291">
        <v>0.99555555555555597</v>
      </c>
      <c r="N8291">
        <v>0.99555555555555597</v>
      </c>
      <c r="O8291">
        <v>0.99555555555555597</v>
      </c>
      <c r="AF8291" t="s">
        <v>16676</v>
      </c>
    </row>
    <row r="8292" spans="1:32" hidden="1" x14ac:dyDescent="0.35">
      <c r="A8292">
        <v>8291</v>
      </c>
      <c r="B8292" t="s">
        <v>16677</v>
      </c>
      <c r="C8292" t="s">
        <v>68</v>
      </c>
      <c r="D8292" t="s">
        <v>34</v>
      </c>
      <c r="E8292">
        <v>1063</v>
      </c>
      <c r="F8292">
        <v>2</v>
      </c>
      <c r="G8292">
        <v>2</v>
      </c>
      <c r="H8292">
        <v>1</v>
      </c>
      <c r="I8292">
        <v>0</v>
      </c>
      <c r="J8292">
        <v>0.97405527354765897</v>
      </c>
      <c r="K8292">
        <v>1</v>
      </c>
      <c r="L8292">
        <v>0.98685714285714299</v>
      </c>
      <c r="M8292">
        <v>0.966159052453469</v>
      </c>
      <c r="N8292">
        <v>0.966159052453469</v>
      </c>
      <c r="O8292">
        <v>0.966159052453469</v>
      </c>
      <c r="P8292" t="s">
        <v>169</v>
      </c>
      <c r="Q8292" t="s">
        <v>170</v>
      </c>
      <c r="R8292" t="s">
        <v>138</v>
      </c>
      <c r="S8292" t="s">
        <v>139</v>
      </c>
      <c r="T8292" t="s">
        <v>16678</v>
      </c>
      <c r="U8292" t="s">
        <v>16679</v>
      </c>
      <c r="V8292" t="s">
        <v>11356</v>
      </c>
      <c r="W8292" t="s">
        <v>11357</v>
      </c>
      <c r="AD8292" t="s">
        <v>439</v>
      </c>
      <c r="AE8292" t="s">
        <v>16680</v>
      </c>
      <c r="AF8292" t="s">
        <v>16681</v>
      </c>
    </row>
    <row r="8293" spans="1:32" hidden="1" x14ac:dyDescent="0.35">
      <c r="A8293">
        <v>8292</v>
      </c>
      <c r="B8293" t="s">
        <v>16677</v>
      </c>
      <c r="C8293" t="s">
        <v>68</v>
      </c>
      <c r="D8293" t="s">
        <v>45</v>
      </c>
      <c r="E8293">
        <v>2320</v>
      </c>
      <c r="F8293">
        <v>2</v>
      </c>
      <c r="G8293">
        <v>2</v>
      </c>
      <c r="H8293">
        <v>1</v>
      </c>
      <c r="I8293">
        <v>0</v>
      </c>
      <c r="J8293">
        <v>0.97405527354765897</v>
      </c>
      <c r="K8293">
        <v>1</v>
      </c>
      <c r="L8293">
        <v>0.98685714285714299</v>
      </c>
      <c r="M8293">
        <v>0.966159052453469</v>
      </c>
      <c r="N8293">
        <v>0.966159052453469</v>
      </c>
      <c r="O8293">
        <v>0.966159052453469</v>
      </c>
      <c r="P8293" t="s">
        <v>169</v>
      </c>
      <c r="Q8293" t="s">
        <v>170</v>
      </c>
      <c r="R8293" t="s">
        <v>138</v>
      </c>
      <c r="S8293" t="s">
        <v>139</v>
      </c>
      <c r="T8293" t="s">
        <v>16678</v>
      </c>
      <c r="U8293" t="s">
        <v>16679</v>
      </c>
      <c r="V8293" t="s">
        <v>11356</v>
      </c>
      <c r="W8293" t="s">
        <v>11357</v>
      </c>
      <c r="AD8293" t="s">
        <v>439</v>
      </c>
      <c r="AE8293" t="s">
        <v>16680</v>
      </c>
      <c r="AF8293" t="s">
        <v>16682</v>
      </c>
    </row>
    <row r="8294" spans="1:32" hidden="1" x14ac:dyDescent="0.35">
      <c r="A8294">
        <v>8293</v>
      </c>
      <c r="B8294" t="s">
        <v>16683</v>
      </c>
      <c r="C8294" t="s">
        <v>68</v>
      </c>
      <c r="D8294" t="s">
        <v>60</v>
      </c>
      <c r="E8294">
        <v>2433</v>
      </c>
      <c r="F8294">
        <v>2</v>
      </c>
      <c r="G8294">
        <v>2</v>
      </c>
      <c r="H8294">
        <v>1</v>
      </c>
      <c r="I8294">
        <v>0</v>
      </c>
      <c r="J8294">
        <v>0.99669966996699699</v>
      </c>
      <c r="K8294">
        <v>0.99835255354200803</v>
      </c>
      <c r="L8294">
        <v>0.99752542705460301</v>
      </c>
      <c r="M8294">
        <v>0.99505766062602996</v>
      </c>
      <c r="N8294">
        <v>0.99505766062602996</v>
      </c>
      <c r="O8294">
        <v>0.99505766062602996</v>
      </c>
      <c r="P8294" t="s">
        <v>16684</v>
      </c>
      <c r="Q8294" t="s">
        <v>5841</v>
      </c>
      <c r="R8294" t="s">
        <v>157</v>
      </c>
      <c r="S8294" t="s">
        <v>158</v>
      </c>
      <c r="T8294" t="s">
        <v>16685</v>
      </c>
      <c r="U8294" t="s">
        <v>16686</v>
      </c>
      <c r="V8294" t="s">
        <v>15327</v>
      </c>
      <c r="W8294" t="s">
        <v>15328</v>
      </c>
      <c r="AF8294" t="s">
        <v>16687</v>
      </c>
    </row>
    <row r="8295" spans="1:32" hidden="1" x14ac:dyDescent="0.35">
      <c r="A8295">
        <v>8294</v>
      </c>
      <c r="B8295" t="s">
        <v>16683</v>
      </c>
      <c r="C8295" t="s">
        <v>68</v>
      </c>
      <c r="D8295" t="s">
        <v>62</v>
      </c>
      <c r="E8295">
        <v>2460</v>
      </c>
      <c r="F8295">
        <v>2</v>
      </c>
      <c r="G8295">
        <v>2</v>
      </c>
      <c r="H8295">
        <v>1</v>
      </c>
      <c r="I8295">
        <v>0</v>
      </c>
      <c r="J8295">
        <v>0.99669966996699699</v>
      </c>
      <c r="K8295">
        <v>0.99835255354200803</v>
      </c>
      <c r="L8295">
        <v>0.99752542705460301</v>
      </c>
      <c r="M8295">
        <v>0.99505766062602996</v>
      </c>
      <c r="N8295">
        <v>0.99505766062602996</v>
      </c>
      <c r="O8295">
        <v>0.99505766062602996</v>
      </c>
      <c r="P8295" t="s">
        <v>16684</v>
      </c>
      <c r="Q8295" t="s">
        <v>5841</v>
      </c>
      <c r="R8295" t="s">
        <v>157</v>
      </c>
      <c r="S8295" t="s">
        <v>158</v>
      </c>
      <c r="T8295" t="s">
        <v>16685</v>
      </c>
      <c r="U8295" t="s">
        <v>16686</v>
      </c>
      <c r="V8295" t="s">
        <v>15327</v>
      </c>
      <c r="W8295" t="s">
        <v>15328</v>
      </c>
      <c r="AF8295" t="s">
        <v>16688</v>
      </c>
    </row>
    <row r="8296" spans="1:32" hidden="1" x14ac:dyDescent="0.35">
      <c r="A8296">
        <v>8295</v>
      </c>
      <c r="B8296" t="s">
        <v>16689</v>
      </c>
      <c r="C8296" t="s">
        <v>68</v>
      </c>
      <c r="D8296" t="s">
        <v>34</v>
      </c>
      <c r="E8296">
        <v>76</v>
      </c>
      <c r="F8296">
        <v>2</v>
      </c>
      <c r="G8296">
        <v>2</v>
      </c>
      <c r="H8296">
        <v>1</v>
      </c>
      <c r="I8296">
        <v>0</v>
      </c>
      <c r="J8296">
        <v>0.99545454545454504</v>
      </c>
      <c r="K8296">
        <v>1</v>
      </c>
      <c r="L8296">
        <v>0.997722095671982</v>
      </c>
      <c r="M8296">
        <v>0.99545454545454504</v>
      </c>
      <c r="N8296">
        <v>0.99545454545454504</v>
      </c>
      <c r="O8296">
        <v>0.99545454545454504</v>
      </c>
      <c r="P8296" t="s">
        <v>14685</v>
      </c>
      <c r="Q8296" t="s">
        <v>14686</v>
      </c>
      <c r="R8296" t="s">
        <v>16690</v>
      </c>
      <c r="S8296" t="s">
        <v>16691</v>
      </c>
      <c r="V8296" t="s">
        <v>16692</v>
      </c>
      <c r="W8296" t="s">
        <v>16693</v>
      </c>
      <c r="AF8296" t="s">
        <v>16694</v>
      </c>
    </row>
    <row r="8297" spans="1:32" hidden="1" x14ac:dyDescent="0.35">
      <c r="A8297">
        <v>8296</v>
      </c>
      <c r="B8297" t="s">
        <v>16689</v>
      </c>
      <c r="C8297" t="s">
        <v>68</v>
      </c>
      <c r="D8297" t="s">
        <v>45</v>
      </c>
      <c r="E8297">
        <v>1334</v>
      </c>
      <c r="F8297">
        <v>2</v>
      </c>
      <c r="G8297">
        <v>2</v>
      </c>
      <c r="H8297">
        <v>1</v>
      </c>
      <c r="I8297">
        <v>0</v>
      </c>
      <c r="J8297">
        <v>0.99545454545454504</v>
      </c>
      <c r="K8297">
        <v>1</v>
      </c>
      <c r="L8297">
        <v>0.997722095671982</v>
      </c>
      <c r="M8297">
        <v>0.99545454545454504</v>
      </c>
      <c r="N8297">
        <v>0.99545454545454504</v>
      </c>
      <c r="O8297">
        <v>0.99545454545454504</v>
      </c>
      <c r="P8297" t="s">
        <v>14685</v>
      </c>
      <c r="Q8297" t="s">
        <v>14686</v>
      </c>
      <c r="R8297" t="s">
        <v>16690</v>
      </c>
      <c r="S8297" t="s">
        <v>16691</v>
      </c>
      <c r="V8297" t="s">
        <v>16692</v>
      </c>
      <c r="W8297" t="s">
        <v>16693</v>
      </c>
      <c r="AF8297" t="s">
        <v>16695</v>
      </c>
    </row>
    <row r="8298" spans="1:32" hidden="1" x14ac:dyDescent="0.35">
      <c r="A8298">
        <v>8297</v>
      </c>
      <c r="B8298" t="s">
        <v>16696</v>
      </c>
      <c r="C8298" t="s">
        <v>68</v>
      </c>
      <c r="D8298" t="s">
        <v>60</v>
      </c>
      <c r="E8298">
        <v>2470</v>
      </c>
      <c r="F8298">
        <v>2</v>
      </c>
      <c r="G8298">
        <v>2</v>
      </c>
      <c r="H8298">
        <v>1</v>
      </c>
      <c r="I8298">
        <v>0</v>
      </c>
      <c r="J8298">
        <v>0.99774774774774799</v>
      </c>
      <c r="K8298">
        <v>1</v>
      </c>
      <c r="L8298">
        <v>0.99887260428410396</v>
      </c>
      <c r="M8298">
        <v>0.99324324324324298</v>
      </c>
      <c r="N8298">
        <v>0.99324324324324298</v>
      </c>
      <c r="O8298">
        <v>0.99324324324324298</v>
      </c>
      <c r="P8298" t="s">
        <v>15681</v>
      </c>
      <c r="Q8298" t="s">
        <v>15682</v>
      </c>
      <c r="AF8298" t="s">
        <v>16697</v>
      </c>
    </row>
    <row r="8299" spans="1:32" hidden="1" x14ac:dyDescent="0.35">
      <c r="A8299">
        <v>8298</v>
      </c>
      <c r="B8299" t="s">
        <v>16696</v>
      </c>
      <c r="C8299" t="s">
        <v>68</v>
      </c>
      <c r="D8299" t="s">
        <v>62</v>
      </c>
      <c r="E8299">
        <v>2496</v>
      </c>
      <c r="F8299">
        <v>2</v>
      </c>
      <c r="G8299">
        <v>2</v>
      </c>
      <c r="H8299">
        <v>1</v>
      </c>
      <c r="I8299">
        <v>0</v>
      </c>
      <c r="J8299">
        <v>0.99774774774774799</v>
      </c>
      <c r="K8299">
        <v>1</v>
      </c>
      <c r="L8299">
        <v>0.99887260428410396</v>
      </c>
      <c r="M8299">
        <v>0.99324324324324298</v>
      </c>
      <c r="N8299">
        <v>0.99324324324324298</v>
      </c>
      <c r="O8299">
        <v>0.99324324324324298</v>
      </c>
      <c r="P8299" t="s">
        <v>15681</v>
      </c>
      <c r="Q8299" t="s">
        <v>15682</v>
      </c>
      <c r="AF8299" t="s">
        <v>16698</v>
      </c>
    </row>
    <row r="8300" spans="1:32" hidden="1" x14ac:dyDescent="0.35">
      <c r="A8300">
        <v>8299</v>
      </c>
      <c r="B8300" t="s">
        <v>16699</v>
      </c>
      <c r="C8300" t="s">
        <v>68</v>
      </c>
      <c r="D8300" t="s">
        <v>60</v>
      </c>
      <c r="E8300">
        <v>2020</v>
      </c>
      <c r="F8300">
        <v>2</v>
      </c>
      <c r="G8300">
        <v>2</v>
      </c>
      <c r="H8300">
        <v>1</v>
      </c>
      <c r="I8300">
        <v>0</v>
      </c>
      <c r="J8300">
        <v>0.99803921568627496</v>
      </c>
      <c r="K8300">
        <v>1</v>
      </c>
      <c r="L8300">
        <v>0.99901864573110899</v>
      </c>
      <c r="M8300">
        <v>0.99411764705882399</v>
      </c>
      <c r="N8300">
        <v>0.99411764705882399</v>
      </c>
      <c r="O8300">
        <v>0.99411764705882399</v>
      </c>
      <c r="P8300" t="s">
        <v>1293</v>
      </c>
      <c r="Q8300" t="s">
        <v>1294</v>
      </c>
      <c r="R8300" t="s">
        <v>371</v>
      </c>
      <c r="S8300" t="s">
        <v>372</v>
      </c>
      <c r="T8300" t="s">
        <v>1295</v>
      </c>
      <c r="U8300" t="s">
        <v>1296</v>
      </c>
      <c r="V8300" t="s">
        <v>1297</v>
      </c>
      <c r="W8300" t="s">
        <v>1298</v>
      </c>
      <c r="AD8300" t="s">
        <v>1299</v>
      </c>
      <c r="AE8300" t="s">
        <v>1300</v>
      </c>
      <c r="AF8300" t="s">
        <v>16700</v>
      </c>
    </row>
    <row r="8301" spans="1:32" hidden="1" x14ac:dyDescent="0.35">
      <c r="A8301">
        <v>8300</v>
      </c>
      <c r="B8301" t="s">
        <v>16699</v>
      </c>
      <c r="C8301" t="s">
        <v>68</v>
      </c>
      <c r="D8301" t="s">
        <v>62</v>
      </c>
      <c r="E8301">
        <v>2060</v>
      </c>
      <c r="F8301">
        <v>2</v>
      </c>
      <c r="G8301">
        <v>2</v>
      </c>
      <c r="H8301">
        <v>1</v>
      </c>
      <c r="I8301">
        <v>0</v>
      </c>
      <c r="J8301">
        <v>0.99803921568627496</v>
      </c>
      <c r="K8301">
        <v>1</v>
      </c>
      <c r="L8301">
        <v>0.99901864573110899</v>
      </c>
      <c r="M8301">
        <v>0.99411764705882399</v>
      </c>
      <c r="N8301">
        <v>0.99411764705882399</v>
      </c>
      <c r="O8301">
        <v>0.99411764705882399</v>
      </c>
      <c r="P8301" t="s">
        <v>1293</v>
      </c>
      <c r="Q8301" t="s">
        <v>1294</v>
      </c>
      <c r="R8301" t="s">
        <v>371</v>
      </c>
      <c r="S8301" t="s">
        <v>372</v>
      </c>
      <c r="T8301" t="s">
        <v>1295</v>
      </c>
      <c r="U8301" t="s">
        <v>1296</v>
      </c>
      <c r="V8301" t="s">
        <v>1297</v>
      </c>
      <c r="W8301" t="s">
        <v>1298</v>
      </c>
      <c r="AD8301" t="s">
        <v>1299</v>
      </c>
      <c r="AE8301" t="s">
        <v>1300</v>
      </c>
      <c r="AF8301" t="s">
        <v>16701</v>
      </c>
    </row>
    <row r="8302" spans="1:32" hidden="1" x14ac:dyDescent="0.35">
      <c r="A8302">
        <v>8301</v>
      </c>
      <c r="B8302" t="s">
        <v>16702</v>
      </c>
      <c r="C8302" t="s">
        <v>68</v>
      </c>
      <c r="D8302" t="s">
        <v>60</v>
      </c>
      <c r="E8302">
        <v>1800</v>
      </c>
      <c r="F8302">
        <v>2</v>
      </c>
      <c r="G8302">
        <v>2</v>
      </c>
      <c r="H8302">
        <v>1</v>
      </c>
      <c r="I8302">
        <v>0</v>
      </c>
      <c r="J8302">
        <v>0.99564838990426496</v>
      </c>
      <c r="K8302">
        <v>1</v>
      </c>
      <c r="L8302">
        <v>0.99781945050152598</v>
      </c>
      <c r="M8302">
        <v>0.99477806788511702</v>
      </c>
      <c r="N8302">
        <v>0.99477806788511702</v>
      </c>
      <c r="O8302">
        <v>0.99477806788511702</v>
      </c>
      <c r="P8302" t="s">
        <v>13229</v>
      </c>
      <c r="Q8302" t="s">
        <v>13230</v>
      </c>
      <c r="R8302" t="s">
        <v>157</v>
      </c>
      <c r="S8302" t="s">
        <v>158</v>
      </c>
      <c r="T8302" t="s">
        <v>13231</v>
      </c>
      <c r="U8302" t="s">
        <v>13232</v>
      </c>
      <c r="V8302" t="s">
        <v>13896</v>
      </c>
      <c r="W8302" t="s">
        <v>13897</v>
      </c>
      <c r="AD8302" t="s">
        <v>166</v>
      </c>
      <c r="AE8302" t="s">
        <v>167</v>
      </c>
      <c r="AF8302" t="s">
        <v>16703</v>
      </c>
    </row>
    <row r="8303" spans="1:32" hidden="1" x14ac:dyDescent="0.35">
      <c r="A8303">
        <v>8302</v>
      </c>
      <c r="B8303" t="s">
        <v>16702</v>
      </c>
      <c r="C8303" t="s">
        <v>68</v>
      </c>
      <c r="D8303" t="s">
        <v>62</v>
      </c>
      <c r="E8303">
        <v>1836</v>
      </c>
      <c r="F8303">
        <v>2</v>
      </c>
      <c r="G8303">
        <v>2</v>
      </c>
      <c r="H8303">
        <v>1</v>
      </c>
      <c r="I8303">
        <v>0</v>
      </c>
      <c r="J8303">
        <v>0.99564838990426496</v>
      </c>
      <c r="K8303">
        <v>1</v>
      </c>
      <c r="L8303">
        <v>0.99781945050152598</v>
      </c>
      <c r="M8303">
        <v>0.99477806788511702</v>
      </c>
      <c r="N8303">
        <v>0.99477806788511702</v>
      </c>
      <c r="O8303">
        <v>0.99477806788511702</v>
      </c>
      <c r="P8303" t="s">
        <v>13229</v>
      </c>
      <c r="Q8303" t="s">
        <v>13230</v>
      </c>
      <c r="R8303" t="s">
        <v>157</v>
      </c>
      <c r="S8303" t="s">
        <v>158</v>
      </c>
      <c r="T8303" t="s">
        <v>13231</v>
      </c>
      <c r="U8303" t="s">
        <v>13232</v>
      </c>
      <c r="V8303" t="s">
        <v>13896</v>
      </c>
      <c r="W8303" t="s">
        <v>13897</v>
      </c>
      <c r="AD8303" t="s">
        <v>166</v>
      </c>
      <c r="AE8303" t="s">
        <v>167</v>
      </c>
      <c r="AF8303" t="s">
        <v>16704</v>
      </c>
    </row>
    <row r="8304" spans="1:32" hidden="1" x14ac:dyDescent="0.35">
      <c r="A8304">
        <v>8303</v>
      </c>
      <c r="B8304" t="s">
        <v>16705</v>
      </c>
      <c r="C8304" t="s">
        <v>277</v>
      </c>
      <c r="D8304" t="s">
        <v>34</v>
      </c>
      <c r="E8304">
        <v>2043</v>
      </c>
      <c r="F8304">
        <v>2</v>
      </c>
      <c r="G8304">
        <v>2</v>
      </c>
      <c r="H8304">
        <v>1</v>
      </c>
      <c r="I8304">
        <v>0</v>
      </c>
      <c r="J8304">
        <v>0.95789473684210502</v>
      </c>
      <c r="K8304">
        <v>1</v>
      </c>
      <c r="L8304">
        <v>0.978494623655914</v>
      </c>
      <c r="M8304">
        <v>0.93684210526315803</v>
      </c>
      <c r="N8304">
        <v>0.93684210526315803</v>
      </c>
      <c r="O8304">
        <v>0.93684210526315803</v>
      </c>
      <c r="R8304" t="s">
        <v>96</v>
      </c>
      <c r="S8304" t="s">
        <v>97</v>
      </c>
      <c r="V8304" t="s">
        <v>11078</v>
      </c>
      <c r="W8304" t="s">
        <v>11079</v>
      </c>
      <c r="AF8304" t="s">
        <v>16706</v>
      </c>
    </row>
    <row r="8305" spans="1:32" hidden="1" x14ac:dyDescent="0.35">
      <c r="A8305">
        <v>8304</v>
      </c>
      <c r="B8305" t="s">
        <v>16705</v>
      </c>
      <c r="C8305" t="s">
        <v>277</v>
      </c>
      <c r="D8305" t="s">
        <v>45</v>
      </c>
      <c r="E8305">
        <v>829</v>
      </c>
      <c r="F8305">
        <v>2</v>
      </c>
      <c r="G8305">
        <v>2</v>
      </c>
      <c r="H8305">
        <v>1</v>
      </c>
      <c r="I8305">
        <v>0</v>
      </c>
      <c r="J8305">
        <v>0.95789473684210502</v>
      </c>
      <c r="K8305">
        <v>1</v>
      </c>
      <c r="L8305">
        <v>0.978494623655914</v>
      </c>
      <c r="M8305">
        <v>0.93684210526315803</v>
      </c>
      <c r="N8305">
        <v>0.93684210526315803</v>
      </c>
      <c r="O8305">
        <v>0.93684210526315803</v>
      </c>
      <c r="R8305" t="s">
        <v>96</v>
      </c>
      <c r="S8305" t="s">
        <v>97</v>
      </c>
      <c r="V8305" t="s">
        <v>11078</v>
      </c>
      <c r="W8305" t="s">
        <v>11079</v>
      </c>
      <c r="AF8305" t="s">
        <v>16707</v>
      </c>
    </row>
    <row r="8306" spans="1:32" hidden="1" x14ac:dyDescent="0.35">
      <c r="A8306">
        <v>8305</v>
      </c>
      <c r="B8306" t="s">
        <v>16708</v>
      </c>
      <c r="C8306" t="s">
        <v>277</v>
      </c>
      <c r="D8306" t="s">
        <v>60</v>
      </c>
      <c r="E8306">
        <v>563</v>
      </c>
      <c r="F8306">
        <v>2</v>
      </c>
      <c r="G8306">
        <v>2</v>
      </c>
      <c r="H8306">
        <v>1</v>
      </c>
      <c r="I8306">
        <v>0</v>
      </c>
      <c r="J8306">
        <v>0.99365942028985499</v>
      </c>
      <c r="K8306">
        <v>1</v>
      </c>
      <c r="L8306">
        <v>0.99681962744207198</v>
      </c>
      <c r="M8306">
        <v>0.98641304347826098</v>
      </c>
      <c r="N8306">
        <v>0.98641304347826098</v>
      </c>
      <c r="O8306">
        <v>0.98641304347826098</v>
      </c>
      <c r="P8306" t="s">
        <v>15484</v>
      </c>
      <c r="Q8306" t="s">
        <v>15485</v>
      </c>
      <c r="R8306" t="s">
        <v>652</v>
      </c>
      <c r="S8306" t="s">
        <v>653</v>
      </c>
      <c r="V8306" t="s">
        <v>16709</v>
      </c>
      <c r="W8306" t="s">
        <v>16710</v>
      </c>
      <c r="AF8306" t="s">
        <v>16711</v>
      </c>
    </row>
    <row r="8307" spans="1:32" hidden="1" x14ac:dyDescent="0.35">
      <c r="A8307">
        <v>8306</v>
      </c>
      <c r="B8307" t="s">
        <v>16708</v>
      </c>
      <c r="C8307" t="s">
        <v>277</v>
      </c>
      <c r="D8307" t="s">
        <v>62</v>
      </c>
      <c r="E8307">
        <v>647</v>
      </c>
      <c r="F8307">
        <v>2</v>
      </c>
      <c r="G8307">
        <v>2</v>
      </c>
      <c r="H8307">
        <v>1</v>
      </c>
      <c r="I8307">
        <v>0</v>
      </c>
      <c r="J8307">
        <v>0.99365942028985499</v>
      </c>
      <c r="K8307">
        <v>1</v>
      </c>
      <c r="L8307">
        <v>0.99681962744207198</v>
      </c>
      <c r="M8307">
        <v>0.98641304347826098</v>
      </c>
      <c r="N8307">
        <v>0.98641304347826098</v>
      </c>
      <c r="O8307">
        <v>0.98641304347826098</v>
      </c>
      <c r="P8307" t="s">
        <v>15484</v>
      </c>
      <c r="Q8307" t="s">
        <v>15485</v>
      </c>
      <c r="R8307" t="s">
        <v>652</v>
      </c>
      <c r="S8307" t="s">
        <v>653</v>
      </c>
      <c r="V8307" t="s">
        <v>16709</v>
      </c>
      <c r="W8307" t="s">
        <v>16710</v>
      </c>
      <c r="AF8307" t="s">
        <v>16712</v>
      </c>
    </row>
    <row r="8308" spans="1:32" hidden="1" x14ac:dyDescent="0.35">
      <c r="A8308">
        <v>8307</v>
      </c>
      <c r="B8308" t="s">
        <v>16713</v>
      </c>
      <c r="C8308" t="s">
        <v>277</v>
      </c>
      <c r="D8308" t="s">
        <v>34</v>
      </c>
      <c r="E8308">
        <v>328</v>
      </c>
      <c r="F8308">
        <v>2</v>
      </c>
      <c r="G8308">
        <v>2</v>
      </c>
      <c r="H8308">
        <v>1</v>
      </c>
      <c r="I8308">
        <v>0</v>
      </c>
      <c r="J8308">
        <v>0.998463901689708</v>
      </c>
      <c r="K8308">
        <v>0.94886233049873803</v>
      </c>
      <c r="L8308">
        <v>0.97303139968637498</v>
      </c>
      <c r="M8308">
        <v>0.94323144104803502</v>
      </c>
      <c r="N8308">
        <v>0.94323144104803502</v>
      </c>
      <c r="O8308">
        <v>0.94323144104803502</v>
      </c>
      <c r="AF8308" t="e">
        <f>------------MLLAVTYALTDAINVLLIGVLVVIGVLLPPRSRYNRIATLLIAGDWLGVFLYALVCMLVFDGIGAPIKRLVESSIFGIILIAVGVLSAILTWRGGDTSKMMAKILPSLQYPSFKTFATGLVLGVVQSATSVPFYAGIAVLSAGGFSVVIRYVGMVAYASLALSLPVLSALLVGAVRLYPESLAGRFFAWLRAHKEQANAVGGYLVAVVLIVIGIMHV</f>
        <v>#NAME?</v>
      </c>
    </row>
    <row r="8309" spans="1:32" hidden="1" x14ac:dyDescent="0.35">
      <c r="A8309">
        <v>8308</v>
      </c>
      <c r="B8309" t="s">
        <v>16713</v>
      </c>
      <c r="C8309" t="s">
        <v>277</v>
      </c>
      <c r="D8309" t="s">
        <v>45</v>
      </c>
      <c r="E8309">
        <v>1590</v>
      </c>
      <c r="F8309">
        <v>2</v>
      </c>
      <c r="G8309">
        <v>2</v>
      </c>
      <c r="H8309">
        <v>1</v>
      </c>
      <c r="I8309">
        <v>0</v>
      </c>
      <c r="J8309">
        <v>0.998463901689708</v>
      </c>
      <c r="K8309">
        <v>0.94886233049873803</v>
      </c>
      <c r="L8309">
        <v>0.97303139968637498</v>
      </c>
      <c r="M8309">
        <v>0.94323144104803502</v>
      </c>
      <c r="N8309">
        <v>0.94323144104803502</v>
      </c>
      <c r="O8309">
        <v>0.94323144104803502</v>
      </c>
      <c r="AF8309" t="s">
        <v>16714</v>
      </c>
    </row>
    <row r="8310" spans="1:32" hidden="1" x14ac:dyDescent="0.35">
      <c r="A8310">
        <v>8309</v>
      </c>
      <c r="B8310" t="s">
        <v>16715</v>
      </c>
      <c r="C8310" t="s">
        <v>277</v>
      </c>
      <c r="D8310" t="s">
        <v>58</v>
      </c>
      <c r="E8310">
        <v>509</v>
      </c>
      <c r="F8310">
        <v>2</v>
      </c>
      <c r="G8310">
        <v>2</v>
      </c>
      <c r="H8310">
        <v>1</v>
      </c>
      <c r="I8310">
        <v>0</v>
      </c>
      <c r="J8310">
        <v>0.64037854889589896</v>
      </c>
      <c r="K8310">
        <v>0.98456879704340206</v>
      </c>
      <c r="L8310">
        <v>0.77602112968697601</v>
      </c>
      <c r="M8310">
        <v>0.53105590062111796</v>
      </c>
      <c r="N8310">
        <v>0.53105590062111796</v>
      </c>
      <c r="O8310">
        <v>0.53105590062111796</v>
      </c>
      <c r="P8310" t="s">
        <v>16716</v>
      </c>
      <c r="Q8310" t="s">
        <v>16717</v>
      </c>
      <c r="AF8310" t="s">
        <v>16718</v>
      </c>
    </row>
    <row r="8311" spans="1:32" hidden="1" x14ac:dyDescent="0.35">
      <c r="A8311">
        <v>8310</v>
      </c>
      <c r="B8311" t="s">
        <v>16715</v>
      </c>
      <c r="C8311" t="s">
        <v>277</v>
      </c>
      <c r="D8311" t="s">
        <v>60</v>
      </c>
      <c r="E8311">
        <v>680</v>
      </c>
      <c r="F8311">
        <v>2</v>
      </c>
      <c r="G8311">
        <v>2</v>
      </c>
      <c r="H8311">
        <v>1</v>
      </c>
      <c r="I8311">
        <v>0</v>
      </c>
      <c r="J8311">
        <v>0.64037854889589896</v>
      </c>
      <c r="K8311">
        <v>0.98456879704340206</v>
      </c>
      <c r="L8311">
        <v>0.77602112968697601</v>
      </c>
      <c r="M8311">
        <v>0.53105590062111796</v>
      </c>
      <c r="N8311">
        <v>0.53105590062111796</v>
      </c>
      <c r="O8311">
        <v>0.53105590062111796</v>
      </c>
      <c r="P8311" t="s">
        <v>16716</v>
      </c>
      <c r="Q8311" t="s">
        <v>16717</v>
      </c>
      <c r="AF8311" t="s">
        <v>16719</v>
      </c>
    </row>
    <row r="8312" spans="1:32" hidden="1" x14ac:dyDescent="0.35">
      <c r="A8312">
        <v>8311</v>
      </c>
      <c r="B8312" t="s">
        <v>16720</v>
      </c>
      <c r="C8312" t="s">
        <v>277</v>
      </c>
      <c r="D8312" t="s">
        <v>60</v>
      </c>
      <c r="E8312">
        <v>548</v>
      </c>
      <c r="F8312">
        <v>2</v>
      </c>
      <c r="G8312">
        <v>2</v>
      </c>
      <c r="H8312">
        <v>1</v>
      </c>
      <c r="I8312">
        <v>0</v>
      </c>
      <c r="J8312">
        <v>0.986206896551724</v>
      </c>
      <c r="K8312">
        <v>1</v>
      </c>
      <c r="L8312">
        <v>0.99305555555555602</v>
      </c>
      <c r="M8312">
        <v>0.986206896551724</v>
      </c>
      <c r="N8312">
        <v>0.986206896551724</v>
      </c>
      <c r="O8312">
        <v>0.986206896551724</v>
      </c>
      <c r="P8312" t="s">
        <v>1486</v>
      </c>
      <c r="Q8312" t="s">
        <v>1487</v>
      </c>
      <c r="R8312" t="s">
        <v>113</v>
      </c>
      <c r="S8312" t="s">
        <v>114</v>
      </c>
      <c r="V8312" t="s">
        <v>1490</v>
      </c>
      <c r="W8312" t="s">
        <v>1491</v>
      </c>
      <c r="AF8312" t="s">
        <v>16721</v>
      </c>
    </row>
    <row r="8313" spans="1:32" hidden="1" x14ac:dyDescent="0.35">
      <c r="A8313">
        <v>8312</v>
      </c>
      <c r="B8313" t="s">
        <v>16720</v>
      </c>
      <c r="C8313" t="s">
        <v>277</v>
      </c>
      <c r="D8313" t="s">
        <v>62</v>
      </c>
      <c r="E8313">
        <v>632</v>
      </c>
      <c r="F8313">
        <v>2</v>
      </c>
      <c r="G8313">
        <v>2</v>
      </c>
      <c r="H8313">
        <v>1</v>
      </c>
      <c r="I8313">
        <v>0</v>
      </c>
      <c r="J8313">
        <v>0.986206896551724</v>
      </c>
      <c r="K8313">
        <v>1</v>
      </c>
      <c r="L8313">
        <v>0.99305555555555602</v>
      </c>
      <c r="M8313">
        <v>0.986206896551724</v>
      </c>
      <c r="N8313">
        <v>0.986206896551724</v>
      </c>
      <c r="O8313">
        <v>0.986206896551724</v>
      </c>
      <c r="P8313" t="s">
        <v>1486</v>
      </c>
      <c r="Q8313" t="s">
        <v>1487</v>
      </c>
      <c r="R8313" t="s">
        <v>113</v>
      </c>
      <c r="S8313" t="s">
        <v>114</v>
      </c>
      <c r="V8313" t="s">
        <v>1490</v>
      </c>
      <c r="W8313" t="s">
        <v>1491</v>
      </c>
      <c r="AF8313" t="s">
        <v>16722</v>
      </c>
    </row>
    <row r="8314" spans="1:32" hidden="1" x14ac:dyDescent="0.35">
      <c r="A8314">
        <v>8313</v>
      </c>
      <c r="B8314" t="s">
        <v>16723</v>
      </c>
      <c r="C8314" t="s">
        <v>277</v>
      </c>
      <c r="D8314" t="s">
        <v>34</v>
      </c>
      <c r="E8314">
        <v>1986</v>
      </c>
      <c r="F8314">
        <v>2</v>
      </c>
      <c r="G8314">
        <v>2</v>
      </c>
      <c r="H8314">
        <v>1</v>
      </c>
      <c r="I8314">
        <v>0</v>
      </c>
      <c r="J8314">
        <v>0.98701298701298701</v>
      </c>
      <c r="K8314">
        <v>1</v>
      </c>
      <c r="L8314">
        <v>0.99346405228758194</v>
      </c>
      <c r="M8314">
        <v>0.98701298701298701</v>
      </c>
      <c r="N8314">
        <v>0.98701298701298701</v>
      </c>
      <c r="O8314">
        <v>0.98701298701298701</v>
      </c>
      <c r="P8314" t="s">
        <v>169</v>
      </c>
      <c r="Q8314" t="s">
        <v>170</v>
      </c>
      <c r="R8314" t="s">
        <v>96</v>
      </c>
      <c r="S8314" t="s">
        <v>97</v>
      </c>
      <c r="V8314" t="s">
        <v>11799</v>
      </c>
      <c r="W8314" t="s">
        <v>11800</v>
      </c>
      <c r="AF8314" t="s">
        <v>16724</v>
      </c>
    </row>
    <row r="8315" spans="1:32" hidden="1" x14ac:dyDescent="0.35">
      <c r="A8315">
        <v>8314</v>
      </c>
      <c r="B8315" t="s">
        <v>16723</v>
      </c>
      <c r="C8315" t="s">
        <v>277</v>
      </c>
      <c r="D8315" t="s">
        <v>45</v>
      </c>
      <c r="E8315">
        <v>887</v>
      </c>
      <c r="F8315">
        <v>2</v>
      </c>
      <c r="G8315">
        <v>2</v>
      </c>
      <c r="H8315">
        <v>1</v>
      </c>
      <c r="I8315">
        <v>0</v>
      </c>
      <c r="J8315">
        <v>0.98701298701298701</v>
      </c>
      <c r="K8315">
        <v>1</v>
      </c>
      <c r="L8315">
        <v>0.99346405228758194</v>
      </c>
      <c r="M8315">
        <v>0.98701298701298701</v>
      </c>
      <c r="N8315">
        <v>0.98701298701298701</v>
      </c>
      <c r="O8315">
        <v>0.98701298701298701</v>
      </c>
      <c r="P8315" t="s">
        <v>169</v>
      </c>
      <c r="Q8315" t="s">
        <v>170</v>
      </c>
      <c r="R8315" t="s">
        <v>96</v>
      </c>
      <c r="S8315" t="s">
        <v>97</v>
      </c>
      <c r="V8315" t="s">
        <v>11799</v>
      </c>
      <c r="W8315" t="s">
        <v>11800</v>
      </c>
      <c r="AF8315" t="s">
        <v>16725</v>
      </c>
    </row>
    <row r="8316" spans="1:32" hidden="1" x14ac:dyDescent="0.35">
      <c r="A8316">
        <v>8315</v>
      </c>
      <c r="B8316" t="s">
        <v>16726</v>
      </c>
      <c r="C8316" t="s">
        <v>277</v>
      </c>
      <c r="D8316" t="s">
        <v>34</v>
      </c>
      <c r="E8316">
        <v>932</v>
      </c>
      <c r="F8316">
        <v>2</v>
      </c>
      <c r="G8316">
        <v>2</v>
      </c>
      <c r="H8316">
        <v>1</v>
      </c>
      <c r="I8316">
        <v>0</v>
      </c>
      <c r="J8316">
        <v>0.98621553884711799</v>
      </c>
      <c r="K8316">
        <v>1</v>
      </c>
      <c r="L8316">
        <v>0.99305993690851702</v>
      </c>
      <c r="M8316">
        <v>0.98120300751879697</v>
      </c>
      <c r="N8316">
        <v>0.98120300751879697</v>
      </c>
      <c r="O8316">
        <v>0.98120300751879697</v>
      </c>
      <c r="P8316" t="s">
        <v>14606</v>
      </c>
      <c r="Q8316" t="s">
        <v>14607</v>
      </c>
      <c r="AF8316" t="s">
        <v>16727</v>
      </c>
    </row>
    <row r="8317" spans="1:32" hidden="1" x14ac:dyDescent="0.35">
      <c r="A8317">
        <v>8316</v>
      </c>
      <c r="B8317" t="s">
        <v>16726</v>
      </c>
      <c r="C8317" t="s">
        <v>277</v>
      </c>
      <c r="D8317" t="s">
        <v>45</v>
      </c>
      <c r="E8317">
        <v>2188</v>
      </c>
      <c r="F8317">
        <v>2</v>
      </c>
      <c r="G8317">
        <v>2</v>
      </c>
      <c r="H8317">
        <v>1</v>
      </c>
      <c r="I8317">
        <v>0</v>
      </c>
      <c r="J8317">
        <v>0.98621553884711799</v>
      </c>
      <c r="K8317">
        <v>1</v>
      </c>
      <c r="L8317">
        <v>0.99305993690851702</v>
      </c>
      <c r="M8317">
        <v>0.98120300751879697</v>
      </c>
      <c r="N8317">
        <v>0.98120300751879697</v>
      </c>
      <c r="O8317">
        <v>0.98120300751879697</v>
      </c>
      <c r="P8317" t="s">
        <v>14606</v>
      </c>
      <c r="Q8317" t="s">
        <v>14607</v>
      </c>
      <c r="AF8317" t="s">
        <v>16728</v>
      </c>
    </row>
    <row r="8318" spans="1:32" hidden="1" x14ac:dyDescent="0.35">
      <c r="A8318">
        <v>8317</v>
      </c>
      <c r="B8318" t="s">
        <v>16729</v>
      </c>
      <c r="C8318" t="s">
        <v>277</v>
      </c>
      <c r="D8318" t="s">
        <v>60</v>
      </c>
      <c r="E8318">
        <v>1870</v>
      </c>
      <c r="F8318">
        <v>2</v>
      </c>
      <c r="G8318">
        <v>2</v>
      </c>
      <c r="H8318">
        <v>1</v>
      </c>
      <c r="I8318">
        <v>0</v>
      </c>
      <c r="J8318">
        <v>0.98505231689088202</v>
      </c>
      <c r="K8318">
        <v>0.98678466076696403</v>
      </c>
      <c r="L8318">
        <v>0.98591772785949705</v>
      </c>
      <c r="M8318">
        <v>0.96902654867256599</v>
      </c>
      <c r="N8318">
        <v>0.96902654867256599</v>
      </c>
      <c r="O8318">
        <v>0.96902654867256599</v>
      </c>
      <c r="AF8318" t="s">
        <v>16730</v>
      </c>
    </row>
    <row r="8319" spans="1:32" hidden="1" x14ac:dyDescent="0.35">
      <c r="A8319">
        <v>8318</v>
      </c>
      <c r="B8319" t="s">
        <v>16729</v>
      </c>
      <c r="C8319" t="s">
        <v>277</v>
      </c>
      <c r="D8319" t="s">
        <v>62</v>
      </c>
      <c r="E8319">
        <v>1910</v>
      </c>
      <c r="F8319">
        <v>2</v>
      </c>
      <c r="G8319">
        <v>2</v>
      </c>
      <c r="H8319">
        <v>1</v>
      </c>
      <c r="I8319">
        <v>0</v>
      </c>
      <c r="J8319">
        <v>0.98505231689088202</v>
      </c>
      <c r="K8319">
        <v>0.98678466076696403</v>
      </c>
      <c r="L8319">
        <v>0.98591772785949705</v>
      </c>
      <c r="M8319">
        <v>0.96902654867256599</v>
      </c>
      <c r="N8319">
        <v>0.96902654867256599</v>
      </c>
      <c r="O8319">
        <v>0.96902654867256599</v>
      </c>
      <c r="AF8319" t="s">
        <v>16731</v>
      </c>
    </row>
    <row r="8320" spans="1:32" hidden="1" x14ac:dyDescent="0.35">
      <c r="A8320">
        <v>8319</v>
      </c>
      <c r="B8320" t="s">
        <v>16732</v>
      </c>
      <c r="C8320" t="s">
        <v>277</v>
      </c>
      <c r="D8320" t="s">
        <v>34</v>
      </c>
      <c r="E8320">
        <v>406</v>
      </c>
      <c r="F8320">
        <v>2</v>
      </c>
      <c r="G8320">
        <v>2</v>
      </c>
      <c r="H8320">
        <v>1</v>
      </c>
      <c r="I8320">
        <v>0</v>
      </c>
      <c r="J8320">
        <v>0.90757575757575804</v>
      </c>
      <c r="K8320">
        <v>0.84960671059123805</v>
      </c>
      <c r="L8320">
        <v>0.87763504129499403</v>
      </c>
      <c r="M8320">
        <v>0.74144486692015199</v>
      </c>
      <c r="N8320">
        <v>0.74144486692015199</v>
      </c>
      <c r="O8320">
        <v>0.74144486692015199</v>
      </c>
      <c r="P8320" t="s">
        <v>13950</v>
      </c>
      <c r="Q8320" t="s">
        <v>13951</v>
      </c>
      <c r="R8320" t="s">
        <v>371</v>
      </c>
      <c r="S8320" t="s">
        <v>372</v>
      </c>
      <c r="V8320" t="s">
        <v>13952</v>
      </c>
      <c r="W8320" t="s">
        <v>13953</v>
      </c>
      <c r="AF8320" t="s">
        <v>16733</v>
      </c>
    </row>
    <row r="8321" spans="1:32" hidden="1" x14ac:dyDescent="0.35">
      <c r="A8321">
        <v>8320</v>
      </c>
      <c r="B8321" t="s">
        <v>16732</v>
      </c>
      <c r="C8321" t="s">
        <v>277</v>
      </c>
      <c r="D8321" t="s">
        <v>45</v>
      </c>
      <c r="E8321">
        <v>1667</v>
      </c>
      <c r="F8321">
        <v>2</v>
      </c>
      <c r="G8321">
        <v>2</v>
      </c>
      <c r="H8321">
        <v>1</v>
      </c>
      <c r="I8321">
        <v>0</v>
      </c>
      <c r="J8321">
        <v>0.90757575757575804</v>
      </c>
      <c r="K8321">
        <v>0.84960671059123805</v>
      </c>
      <c r="L8321">
        <v>0.87763504129499403</v>
      </c>
      <c r="M8321">
        <v>0.74144486692015199</v>
      </c>
      <c r="N8321">
        <v>0.74144486692015199</v>
      </c>
      <c r="O8321">
        <v>0.74144486692015199</v>
      </c>
      <c r="P8321" t="s">
        <v>13950</v>
      </c>
      <c r="Q8321" t="s">
        <v>13951</v>
      </c>
      <c r="R8321" t="s">
        <v>371</v>
      </c>
      <c r="S8321" t="s">
        <v>372</v>
      </c>
      <c r="V8321" t="s">
        <v>13952</v>
      </c>
      <c r="W8321" t="s">
        <v>13953</v>
      </c>
      <c r="AF8321" t="e">
        <f>-------------------------------------------MVATTNTVSQIIKTILAIIGIVFGGLLILGGLIDRAAWPFLVGSAFLGPAVWWFVTEPGQRRWKAVIPSALLSFFVGAGMAPSTKQEQPAAAVMATPSSSSAPTTTKKTTTSRPTTTSRTTTATTTSASPTTSTVVSQEQVVSDNHTDHYVRDPEPAPVIVPEPEYPPAPAPEPETAPAQNVYYPNCKAAKAAGAAPLYQGEPGYRPGLDRDQDGVACER</f>
        <v>#NAME?</v>
      </c>
    </row>
    <row r="8322" spans="1:32" hidden="1" x14ac:dyDescent="0.35">
      <c r="A8322">
        <v>8321</v>
      </c>
      <c r="B8322" t="s">
        <v>16734</v>
      </c>
      <c r="C8322" t="s">
        <v>277</v>
      </c>
      <c r="D8322" t="s">
        <v>34</v>
      </c>
      <c r="E8322">
        <v>2359</v>
      </c>
      <c r="F8322">
        <v>2</v>
      </c>
      <c r="G8322">
        <v>2</v>
      </c>
      <c r="H8322">
        <v>1</v>
      </c>
      <c r="I8322">
        <v>0</v>
      </c>
      <c r="J8322">
        <v>0.97140522875817004</v>
      </c>
      <c r="K8322">
        <v>1</v>
      </c>
      <c r="L8322">
        <v>0.98549523414836304</v>
      </c>
      <c r="M8322">
        <v>0.95833333333333304</v>
      </c>
      <c r="N8322">
        <v>0.95833333333333304</v>
      </c>
      <c r="O8322">
        <v>0.95833333333333304</v>
      </c>
      <c r="P8322" t="s">
        <v>4358</v>
      </c>
      <c r="Q8322" t="s">
        <v>4359</v>
      </c>
      <c r="R8322" t="s">
        <v>319</v>
      </c>
      <c r="S8322" t="s">
        <v>320</v>
      </c>
      <c r="T8322" t="s">
        <v>11819</v>
      </c>
      <c r="U8322" t="s">
        <v>11820</v>
      </c>
      <c r="V8322" t="s">
        <v>4360</v>
      </c>
      <c r="W8322" t="s">
        <v>4361</v>
      </c>
      <c r="AD8322" t="s">
        <v>11823</v>
      </c>
      <c r="AE8322" t="s">
        <v>11824</v>
      </c>
      <c r="AF8322" t="s">
        <v>16735</v>
      </c>
    </row>
    <row r="8323" spans="1:32" hidden="1" x14ac:dyDescent="0.35">
      <c r="A8323">
        <v>8322</v>
      </c>
      <c r="B8323" t="s">
        <v>16734</v>
      </c>
      <c r="C8323" t="s">
        <v>277</v>
      </c>
      <c r="D8323" t="s">
        <v>45</v>
      </c>
      <c r="E8323">
        <v>521</v>
      </c>
      <c r="F8323">
        <v>2</v>
      </c>
      <c r="G8323">
        <v>2</v>
      </c>
      <c r="H8323">
        <v>1</v>
      </c>
      <c r="I8323">
        <v>0</v>
      </c>
      <c r="J8323">
        <v>0.97140522875817004</v>
      </c>
      <c r="K8323">
        <v>1</v>
      </c>
      <c r="L8323">
        <v>0.98549523414836304</v>
      </c>
      <c r="M8323">
        <v>0.95833333333333304</v>
      </c>
      <c r="N8323">
        <v>0.95833333333333304</v>
      </c>
      <c r="O8323">
        <v>0.95833333333333304</v>
      </c>
      <c r="P8323" t="s">
        <v>4358</v>
      </c>
      <c r="Q8323" t="s">
        <v>4359</v>
      </c>
      <c r="R8323" t="s">
        <v>319</v>
      </c>
      <c r="S8323" t="s">
        <v>320</v>
      </c>
      <c r="T8323" t="s">
        <v>11819</v>
      </c>
      <c r="U8323" t="s">
        <v>11820</v>
      </c>
      <c r="V8323" t="s">
        <v>4360</v>
      </c>
      <c r="W8323" t="s">
        <v>4361</v>
      </c>
      <c r="AD8323" t="s">
        <v>11823</v>
      </c>
      <c r="AE8323" t="s">
        <v>11824</v>
      </c>
      <c r="AF8323" t="s">
        <v>16736</v>
      </c>
    </row>
    <row r="8324" spans="1:32" hidden="1" x14ac:dyDescent="0.35">
      <c r="A8324">
        <v>8323</v>
      </c>
      <c r="B8324" t="s">
        <v>16737</v>
      </c>
      <c r="C8324" t="s">
        <v>277</v>
      </c>
      <c r="D8324" t="s">
        <v>60</v>
      </c>
      <c r="E8324">
        <v>1435</v>
      </c>
      <c r="F8324">
        <v>2</v>
      </c>
      <c r="G8324">
        <v>2</v>
      </c>
      <c r="H8324">
        <v>1</v>
      </c>
      <c r="I8324">
        <v>0</v>
      </c>
      <c r="J8324">
        <v>0.99094202898550698</v>
      </c>
      <c r="K8324">
        <v>1</v>
      </c>
      <c r="L8324">
        <v>0.995450409463148</v>
      </c>
      <c r="M8324">
        <v>0.98369565217391297</v>
      </c>
      <c r="N8324">
        <v>0.98369565217391297</v>
      </c>
      <c r="O8324">
        <v>0.98369565217391297</v>
      </c>
      <c r="P8324" t="s">
        <v>16738</v>
      </c>
      <c r="Q8324" t="s">
        <v>16739</v>
      </c>
      <c r="R8324" t="s">
        <v>342</v>
      </c>
      <c r="S8324" t="s">
        <v>343</v>
      </c>
      <c r="T8324" t="s">
        <v>16740</v>
      </c>
      <c r="U8324" t="s">
        <v>16741</v>
      </c>
      <c r="V8324" t="s">
        <v>16742</v>
      </c>
      <c r="W8324" t="s">
        <v>16743</v>
      </c>
      <c r="AD8324" t="s">
        <v>166</v>
      </c>
      <c r="AE8324" t="s">
        <v>10202</v>
      </c>
      <c r="AF8324" t="s">
        <v>16744</v>
      </c>
    </row>
    <row r="8325" spans="1:32" hidden="1" x14ac:dyDescent="0.35">
      <c r="A8325">
        <v>8324</v>
      </c>
      <c r="B8325" t="s">
        <v>16737</v>
      </c>
      <c r="C8325" t="s">
        <v>277</v>
      </c>
      <c r="D8325" t="s">
        <v>62</v>
      </c>
      <c r="E8325">
        <v>1470</v>
      </c>
      <c r="F8325">
        <v>2</v>
      </c>
      <c r="G8325">
        <v>2</v>
      </c>
      <c r="H8325">
        <v>1</v>
      </c>
      <c r="I8325">
        <v>0</v>
      </c>
      <c r="J8325">
        <v>0.99094202898550698</v>
      </c>
      <c r="K8325">
        <v>1</v>
      </c>
      <c r="L8325">
        <v>0.995450409463148</v>
      </c>
      <c r="M8325">
        <v>0.98369565217391297</v>
      </c>
      <c r="N8325">
        <v>0.98369565217391297</v>
      </c>
      <c r="O8325">
        <v>0.98369565217391297</v>
      </c>
      <c r="P8325" t="s">
        <v>16738</v>
      </c>
      <c r="Q8325" t="s">
        <v>16739</v>
      </c>
      <c r="R8325" t="s">
        <v>342</v>
      </c>
      <c r="S8325" t="s">
        <v>343</v>
      </c>
      <c r="T8325" t="s">
        <v>16740</v>
      </c>
      <c r="U8325" t="s">
        <v>16741</v>
      </c>
      <c r="V8325" t="s">
        <v>16742</v>
      </c>
      <c r="W8325" t="s">
        <v>16743</v>
      </c>
      <c r="AD8325" t="s">
        <v>166</v>
      </c>
      <c r="AE8325" t="s">
        <v>10202</v>
      </c>
      <c r="AF8325" t="s">
        <v>16745</v>
      </c>
    </row>
    <row r="8326" spans="1:32" hidden="1" x14ac:dyDescent="0.35">
      <c r="A8326">
        <v>8325</v>
      </c>
      <c r="B8326" t="s">
        <v>16746</v>
      </c>
      <c r="C8326" t="s">
        <v>277</v>
      </c>
      <c r="D8326" t="s">
        <v>60</v>
      </c>
      <c r="E8326">
        <v>498</v>
      </c>
      <c r="F8326">
        <v>2</v>
      </c>
      <c r="G8326">
        <v>2</v>
      </c>
      <c r="H8326">
        <v>1</v>
      </c>
      <c r="I8326">
        <v>0</v>
      </c>
      <c r="J8326">
        <v>0.99470899470899499</v>
      </c>
      <c r="K8326">
        <v>1</v>
      </c>
      <c r="L8326">
        <v>0.99734748010610097</v>
      </c>
      <c r="M8326">
        <v>0.98412698412698396</v>
      </c>
      <c r="N8326">
        <v>0.98412698412698396</v>
      </c>
      <c r="O8326">
        <v>0.98412698412698396</v>
      </c>
      <c r="AF8326" t="s">
        <v>16747</v>
      </c>
    </row>
    <row r="8327" spans="1:32" hidden="1" x14ac:dyDescent="0.35">
      <c r="A8327">
        <v>8326</v>
      </c>
      <c r="B8327" t="s">
        <v>16746</v>
      </c>
      <c r="C8327" t="s">
        <v>277</v>
      </c>
      <c r="D8327" t="s">
        <v>62</v>
      </c>
      <c r="E8327">
        <v>581</v>
      </c>
      <c r="F8327">
        <v>2</v>
      </c>
      <c r="G8327">
        <v>2</v>
      </c>
      <c r="H8327">
        <v>1</v>
      </c>
      <c r="I8327">
        <v>0</v>
      </c>
      <c r="J8327">
        <v>0.99470899470899499</v>
      </c>
      <c r="K8327">
        <v>1</v>
      </c>
      <c r="L8327">
        <v>0.99734748010610097</v>
      </c>
      <c r="M8327">
        <v>0.98412698412698396</v>
      </c>
      <c r="N8327">
        <v>0.98412698412698396</v>
      </c>
      <c r="O8327">
        <v>0.98412698412698396</v>
      </c>
      <c r="AF8327" t="s">
        <v>16748</v>
      </c>
    </row>
    <row r="8328" spans="1:32" hidden="1" x14ac:dyDescent="0.35">
      <c r="A8328">
        <v>8327</v>
      </c>
      <c r="B8328" t="s">
        <v>16749</v>
      </c>
      <c r="C8328" t="s">
        <v>277</v>
      </c>
      <c r="D8328" t="s">
        <v>34</v>
      </c>
      <c r="E8328">
        <v>1538</v>
      </c>
      <c r="F8328">
        <v>2</v>
      </c>
      <c r="G8328">
        <v>2</v>
      </c>
      <c r="H8328">
        <v>1</v>
      </c>
      <c r="I8328">
        <v>0</v>
      </c>
      <c r="J8328">
        <v>0.99507995079950795</v>
      </c>
      <c r="K8328">
        <v>1</v>
      </c>
      <c r="L8328">
        <v>0.997533908754624</v>
      </c>
      <c r="M8328">
        <v>0.99261992619926198</v>
      </c>
      <c r="N8328">
        <v>0.99261992619926198</v>
      </c>
      <c r="O8328">
        <v>0.99261992619926198</v>
      </c>
      <c r="P8328" t="s">
        <v>16575</v>
      </c>
      <c r="Q8328" t="s">
        <v>16576</v>
      </c>
      <c r="R8328" t="s">
        <v>319</v>
      </c>
      <c r="S8328" t="s">
        <v>320</v>
      </c>
      <c r="T8328" t="s">
        <v>16577</v>
      </c>
      <c r="U8328" t="s">
        <v>16578</v>
      </c>
      <c r="V8328" t="s">
        <v>16579</v>
      </c>
      <c r="W8328" t="s">
        <v>16580</v>
      </c>
      <c r="AD8328" t="s">
        <v>219</v>
      </c>
      <c r="AE8328" t="s">
        <v>16581</v>
      </c>
      <c r="AF8328" t="s">
        <v>16750</v>
      </c>
    </row>
    <row r="8329" spans="1:32" hidden="1" x14ac:dyDescent="0.35">
      <c r="A8329">
        <v>8328</v>
      </c>
      <c r="B8329" t="s">
        <v>16749</v>
      </c>
      <c r="C8329" t="s">
        <v>277</v>
      </c>
      <c r="D8329" t="s">
        <v>45</v>
      </c>
      <c r="E8329">
        <v>288</v>
      </c>
      <c r="F8329">
        <v>2</v>
      </c>
      <c r="G8329">
        <v>2</v>
      </c>
      <c r="H8329">
        <v>1</v>
      </c>
      <c r="I8329">
        <v>0</v>
      </c>
      <c r="J8329">
        <v>0.99507995079950795</v>
      </c>
      <c r="K8329">
        <v>1</v>
      </c>
      <c r="L8329">
        <v>0.997533908754624</v>
      </c>
      <c r="M8329">
        <v>0.99261992619926198</v>
      </c>
      <c r="N8329">
        <v>0.99261992619926198</v>
      </c>
      <c r="O8329">
        <v>0.99261992619926198</v>
      </c>
      <c r="P8329" t="s">
        <v>16575</v>
      </c>
      <c r="Q8329" t="s">
        <v>16576</v>
      </c>
      <c r="R8329" t="s">
        <v>319</v>
      </c>
      <c r="S8329" t="s">
        <v>320</v>
      </c>
      <c r="T8329" t="s">
        <v>16577</v>
      </c>
      <c r="U8329" t="s">
        <v>16578</v>
      </c>
      <c r="V8329" t="s">
        <v>16579</v>
      </c>
      <c r="W8329" t="s">
        <v>16580</v>
      </c>
      <c r="AD8329" t="s">
        <v>219</v>
      </c>
      <c r="AE8329" t="s">
        <v>16581</v>
      </c>
      <c r="AF8329" t="s">
        <v>16751</v>
      </c>
    </row>
    <row r="8330" spans="1:32" hidden="1" x14ac:dyDescent="0.35">
      <c r="A8330">
        <v>8329</v>
      </c>
      <c r="B8330" t="s">
        <v>16752</v>
      </c>
      <c r="C8330" t="s">
        <v>277</v>
      </c>
      <c r="D8330" t="s">
        <v>60</v>
      </c>
      <c r="E8330">
        <v>570</v>
      </c>
      <c r="F8330">
        <v>2</v>
      </c>
      <c r="G8330">
        <v>2</v>
      </c>
      <c r="H8330">
        <v>1</v>
      </c>
      <c r="I8330">
        <v>0</v>
      </c>
      <c r="J8330">
        <v>0.99652777777777801</v>
      </c>
      <c r="K8330">
        <v>1</v>
      </c>
      <c r="L8330">
        <v>0.99826086956521698</v>
      </c>
      <c r="M8330">
        <v>0.99652777777777801</v>
      </c>
      <c r="N8330">
        <v>0.99652777777777801</v>
      </c>
      <c r="O8330">
        <v>0.99652777777777801</v>
      </c>
      <c r="P8330" t="s">
        <v>16753</v>
      </c>
      <c r="Q8330" t="s">
        <v>16754</v>
      </c>
      <c r="R8330" t="s">
        <v>157</v>
      </c>
      <c r="S8330" t="s">
        <v>158</v>
      </c>
      <c r="T8330" t="s">
        <v>16755</v>
      </c>
      <c r="U8330" t="s">
        <v>16756</v>
      </c>
      <c r="V8330" t="s">
        <v>16757</v>
      </c>
      <c r="W8330" t="s">
        <v>16758</v>
      </c>
      <c r="Z8330" t="s">
        <v>6065</v>
      </c>
      <c r="AA8330" t="s">
        <v>6066</v>
      </c>
      <c r="AB8330" t="s">
        <v>6065</v>
      </c>
      <c r="AC8330" t="s">
        <v>4023</v>
      </c>
      <c r="AD8330" t="s">
        <v>951</v>
      </c>
      <c r="AE8330" t="s">
        <v>16759</v>
      </c>
      <c r="AF8330" t="s">
        <v>16760</v>
      </c>
    </row>
    <row r="8331" spans="1:32" hidden="1" x14ac:dyDescent="0.35">
      <c r="A8331">
        <v>8330</v>
      </c>
      <c r="B8331" t="s">
        <v>16752</v>
      </c>
      <c r="C8331" t="s">
        <v>277</v>
      </c>
      <c r="D8331" t="s">
        <v>62</v>
      </c>
      <c r="E8331">
        <v>654</v>
      </c>
      <c r="F8331">
        <v>2</v>
      </c>
      <c r="G8331">
        <v>2</v>
      </c>
      <c r="H8331">
        <v>1</v>
      </c>
      <c r="I8331">
        <v>0</v>
      </c>
      <c r="J8331">
        <v>0.99652777777777801</v>
      </c>
      <c r="K8331">
        <v>1</v>
      </c>
      <c r="L8331">
        <v>0.99826086956521698</v>
      </c>
      <c r="M8331">
        <v>0.99652777777777801</v>
      </c>
      <c r="N8331">
        <v>0.99652777777777801</v>
      </c>
      <c r="O8331">
        <v>0.99652777777777801</v>
      </c>
      <c r="P8331" t="s">
        <v>16753</v>
      </c>
      <c r="Q8331" t="s">
        <v>16754</v>
      </c>
      <c r="R8331" t="s">
        <v>157</v>
      </c>
      <c r="S8331" t="s">
        <v>158</v>
      </c>
      <c r="T8331" t="s">
        <v>16755</v>
      </c>
      <c r="U8331" t="s">
        <v>16756</v>
      </c>
      <c r="V8331" t="s">
        <v>16757</v>
      </c>
      <c r="W8331" t="s">
        <v>16758</v>
      </c>
      <c r="Z8331" t="s">
        <v>6065</v>
      </c>
      <c r="AA8331" t="s">
        <v>6066</v>
      </c>
      <c r="AB8331" t="s">
        <v>6065</v>
      </c>
      <c r="AC8331" t="s">
        <v>4023</v>
      </c>
      <c r="AD8331" t="s">
        <v>951</v>
      </c>
      <c r="AE8331" t="s">
        <v>16759</v>
      </c>
      <c r="AF8331" t="s">
        <v>16761</v>
      </c>
    </row>
    <row r="8332" spans="1:32" hidden="1" x14ac:dyDescent="0.35">
      <c r="A8332">
        <v>8331</v>
      </c>
      <c r="B8332" t="s">
        <v>16762</v>
      </c>
      <c r="C8332" t="s">
        <v>277</v>
      </c>
      <c r="D8332" t="s">
        <v>60</v>
      </c>
      <c r="E8332">
        <v>1520</v>
      </c>
      <c r="F8332">
        <v>2</v>
      </c>
      <c r="G8332">
        <v>2</v>
      </c>
      <c r="H8332">
        <v>1</v>
      </c>
      <c r="I8332">
        <v>0</v>
      </c>
      <c r="J8332">
        <v>0.99070199907019996</v>
      </c>
      <c r="K8332">
        <v>0.99172998011517599</v>
      </c>
      <c r="L8332">
        <v>0.99121572306525096</v>
      </c>
      <c r="M8332">
        <v>0.98063623789764898</v>
      </c>
      <c r="N8332">
        <v>0.98063623789764898</v>
      </c>
      <c r="O8332">
        <v>0.98063623789764898</v>
      </c>
      <c r="P8332" t="s">
        <v>16763</v>
      </c>
      <c r="Q8332" t="s">
        <v>16764</v>
      </c>
      <c r="R8332" t="s">
        <v>157</v>
      </c>
      <c r="S8332" t="s">
        <v>158</v>
      </c>
      <c r="V8332" t="s">
        <v>16765</v>
      </c>
      <c r="W8332" t="s">
        <v>16766</v>
      </c>
      <c r="AF8332" t="s">
        <v>16767</v>
      </c>
    </row>
    <row r="8333" spans="1:32" hidden="1" x14ac:dyDescent="0.35">
      <c r="A8333">
        <v>8332</v>
      </c>
      <c r="B8333" t="s">
        <v>16762</v>
      </c>
      <c r="C8333" t="s">
        <v>277</v>
      </c>
      <c r="D8333" t="s">
        <v>62</v>
      </c>
      <c r="E8333">
        <v>1555</v>
      </c>
      <c r="F8333">
        <v>2</v>
      </c>
      <c r="G8333">
        <v>2</v>
      </c>
      <c r="H8333">
        <v>1</v>
      </c>
      <c r="I8333">
        <v>0</v>
      </c>
      <c r="J8333">
        <v>0.99070199907019996</v>
      </c>
      <c r="K8333">
        <v>0.99172998011517599</v>
      </c>
      <c r="L8333">
        <v>0.99121572306525096</v>
      </c>
      <c r="M8333">
        <v>0.98063623789764898</v>
      </c>
      <c r="N8333">
        <v>0.98063623789764898</v>
      </c>
      <c r="O8333">
        <v>0.98063623789764898</v>
      </c>
      <c r="P8333" t="s">
        <v>16763</v>
      </c>
      <c r="Q8333" t="s">
        <v>16764</v>
      </c>
      <c r="R8333" t="s">
        <v>157</v>
      </c>
      <c r="S8333" t="s">
        <v>158</v>
      </c>
      <c r="V8333" t="s">
        <v>16765</v>
      </c>
      <c r="W8333" t="s">
        <v>16766</v>
      </c>
      <c r="AF8333" t="s">
        <v>16768</v>
      </c>
    </row>
    <row r="8334" spans="1:32" hidden="1" x14ac:dyDescent="0.35">
      <c r="A8334">
        <v>8333</v>
      </c>
      <c r="B8334" t="s">
        <v>16769</v>
      </c>
      <c r="C8334" t="s">
        <v>277</v>
      </c>
      <c r="D8334" t="s">
        <v>34</v>
      </c>
      <c r="E8334">
        <v>2188</v>
      </c>
      <c r="F8334">
        <v>2</v>
      </c>
      <c r="G8334">
        <v>2</v>
      </c>
      <c r="H8334">
        <v>1</v>
      </c>
      <c r="I8334">
        <v>0</v>
      </c>
      <c r="J8334">
        <v>0.99270072992700698</v>
      </c>
      <c r="K8334">
        <v>1</v>
      </c>
      <c r="L8334">
        <v>0.99633699633699602</v>
      </c>
      <c r="M8334">
        <v>0.98905109489051102</v>
      </c>
      <c r="N8334">
        <v>0.98905109489051102</v>
      </c>
      <c r="O8334">
        <v>0.98905109489051102</v>
      </c>
      <c r="AF8334" t="s">
        <v>16770</v>
      </c>
    </row>
    <row r="8335" spans="1:32" hidden="1" x14ac:dyDescent="0.35">
      <c r="A8335">
        <v>8334</v>
      </c>
      <c r="B8335" t="s">
        <v>16769</v>
      </c>
      <c r="C8335" t="s">
        <v>277</v>
      </c>
      <c r="D8335" t="s">
        <v>45</v>
      </c>
      <c r="E8335">
        <v>686</v>
      </c>
      <c r="F8335">
        <v>2</v>
      </c>
      <c r="G8335">
        <v>2</v>
      </c>
      <c r="H8335">
        <v>1</v>
      </c>
      <c r="I8335">
        <v>0</v>
      </c>
      <c r="J8335">
        <v>0.99270072992700698</v>
      </c>
      <c r="K8335">
        <v>1</v>
      </c>
      <c r="L8335">
        <v>0.99633699633699602</v>
      </c>
      <c r="M8335">
        <v>0.98905109489051102</v>
      </c>
      <c r="N8335">
        <v>0.98905109489051102</v>
      </c>
      <c r="O8335">
        <v>0.98905109489051102</v>
      </c>
      <c r="AF8335" t="s">
        <v>16771</v>
      </c>
    </row>
    <row r="8336" spans="1:32" hidden="1" x14ac:dyDescent="0.35">
      <c r="A8336">
        <v>8335</v>
      </c>
      <c r="B8336" t="s">
        <v>16772</v>
      </c>
      <c r="C8336" t="s">
        <v>277</v>
      </c>
      <c r="D8336" t="s">
        <v>34</v>
      </c>
      <c r="E8336">
        <v>1293</v>
      </c>
      <c r="F8336">
        <v>2</v>
      </c>
      <c r="G8336">
        <v>2</v>
      </c>
      <c r="H8336">
        <v>1</v>
      </c>
      <c r="I8336">
        <v>0</v>
      </c>
      <c r="J8336">
        <v>0.99857752489331397</v>
      </c>
      <c r="K8336">
        <v>1</v>
      </c>
      <c r="L8336">
        <v>0.99928825622775797</v>
      </c>
      <c r="M8336">
        <v>0.99857752489331397</v>
      </c>
      <c r="N8336">
        <v>0.99857752489331397</v>
      </c>
      <c r="O8336">
        <v>0.99857752489331397</v>
      </c>
      <c r="P8336" t="s">
        <v>16684</v>
      </c>
      <c r="Q8336" t="s">
        <v>5841</v>
      </c>
      <c r="R8336" t="s">
        <v>157</v>
      </c>
      <c r="S8336" t="s">
        <v>158</v>
      </c>
      <c r="T8336" t="s">
        <v>16685</v>
      </c>
      <c r="U8336" t="s">
        <v>16686</v>
      </c>
      <c r="V8336" t="s">
        <v>15327</v>
      </c>
      <c r="W8336" t="s">
        <v>15328</v>
      </c>
      <c r="AF8336" t="s">
        <v>16773</v>
      </c>
    </row>
    <row r="8337" spans="1:32" hidden="1" x14ac:dyDescent="0.35">
      <c r="A8337">
        <v>8336</v>
      </c>
      <c r="B8337" t="s">
        <v>16772</v>
      </c>
      <c r="C8337" t="s">
        <v>277</v>
      </c>
      <c r="D8337" t="s">
        <v>45</v>
      </c>
      <c r="E8337">
        <v>45</v>
      </c>
      <c r="F8337">
        <v>2</v>
      </c>
      <c r="G8337">
        <v>2</v>
      </c>
      <c r="H8337">
        <v>1</v>
      </c>
      <c r="I8337">
        <v>0</v>
      </c>
      <c r="J8337">
        <v>0.99857752489331397</v>
      </c>
      <c r="K8337">
        <v>1</v>
      </c>
      <c r="L8337">
        <v>0.99928825622775797</v>
      </c>
      <c r="M8337">
        <v>0.99857752489331397</v>
      </c>
      <c r="N8337">
        <v>0.99857752489331397</v>
      </c>
      <c r="O8337">
        <v>0.99857752489331397</v>
      </c>
      <c r="P8337" t="s">
        <v>16684</v>
      </c>
      <c r="Q8337" t="s">
        <v>5841</v>
      </c>
      <c r="R8337" t="s">
        <v>157</v>
      </c>
      <c r="S8337" t="s">
        <v>158</v>
      </c>
      <c r="T8337" t="s">
        <v>16685</v>
      </c>
      <c r="U8337" t="s">
        <v>16686</v>
      </c>
      <c r="V8337" t="s">
        <v>15327</v>
      </c>
      <c r="W8337" t="s">
        <v>15328</v>
      </c>
      <c r="AF8337" t="s">
        <v>16774</v>
      </c>
    </row>
    <row r="8338" spans="1:32" hidden="1" x14ac:dyDescent="0.35">
      <c r="A8338">
        <v>8337</v>
      </c>
      <c r="B8338" t="s">
        <v>16775</v>
      </c>
      <c r="C8338" t="s">
        <v>277</v>
      </c>
      <c r="D8338" t="s">
        <v>34</v>
      </c>
      <c r="E8338">
        <v>1413</v>
      </c>
      <c r="F8338">
        <v>2</v>
      </c>
      <c r="G8338">
        <v>2</v>
      </c>
      <c r="H8338">
        <v>1</v>
      </c>
      <c r="I8338">
        <v>0</v>
      </c>
      <c r="J8338">
        <v>0.98344748858447495</v>
      </c>
      <c r="K8338">
        <v>0.99829059829060296</v>
      </c>
      <c r="L8338">
        <v>0.99081345639826102</v>
      </c>
      <c r="M8338">
        <v>0.979487179487179</v>
      </c>
      <c r="N8338">
        <v>0.979487179487179</v>
      </c>
      <c r="O8338">
        <v>0.979487179487179</v>
      </c>
      <c r="AF8338" t="s">
        <v>16776</v>
      </c>
    </row>
    <row r="8339" spans="1:32" hidden="1" x14ac:dyDescent="0.35">
      <c r="A8339">
        <v>8338</v>
      </c>
      <c r="B8339" t="s">
        <v>16775</v>
      </c>
      <c r="C8339" t="s">
        <v>277</v>
      </c>
      <c r="D8339" t="s">
        <v>45</v>
      </c>
      <c r="E8339">
        <v>164</v>
      </c>
      <c r="F8339">
        <v>2</v>
      </c>
      <c r="G8339">
        <v>2</v>
      </c>
      <c r="H8339">
        <v>1</v>
      </c>
      <c r="I8339">
        <v>0</v>
      </c>
      <c r="J8339">
        <v>0.98344748858447495</v>
      </c>
      <c r="K8339">
        <v>0.99829059829060296</v>
      </c>
      <c r="L8339">
        <v>0.99081345639826102</v>
      </c>
      <c r="M8339">
        <v>0.979487179487179</v>
      </c>
      <c r="N8339">
        <v>0.979487179487179</v>
      </c>
      <c r="O8339">
        <v>0.979487179487179</v>
      </c>
      <c r="AF8339" t="s">
        <v>16777</v>
      </c>
    </row>
    <row r="8340" spans="1:32" hidden="1" x14ac:dyDescent="0.35">
      <c r="A8340">
        <v>8339</v>
      </c>
      <c r="B8340" t="s">
        <v>16778</v>
      </c>
      <c r="C8340" t="s">
        <v>277</v>
      </c>
      <c r="D8340" t="s">
        <v>34</v>
      </c>
      <c r="E8340">
        <v>796</v>
      </c>
      <c r="F8340">
        <v>2</v>
      </c>
      <c r="G8340">
        <v>2</v>
      </c>
      <c r="H8340">
        <v>1</v>
      </c>
      <c r="I8340">
        <v>0</v>
      </c>
      <c r="J8340">
        <v>0.99551569506726501</v>
      </c>
      <c r="K8340">
        <v>1</v>
      </c>
      <c r="L8340">
        <v>0.99775280898876395</v>
      </c>
      <c r="M8340">
        <v>0.99551569506726501</v>
      </c>
      <c r="N8340">
        <v>0.99551569506726501</v>
      </c>
      <c r="O8340">
        <v>0.99551569506726501</v>
      </c>
      <c r="P8340" t="s">
        <v>16779</v>
      </c>
      <c r="Q8340" t="s">
        <v>16780</v>
      </c>
      <c r="T8340" t="s">
        <v>16781</v>
      </c>
      <c r="U8340" t="s">
        <v>16782</v>
      </c>
      <c r="AD8340" t="s">
        <v>14436</v>
      </c>
      <c r="AE8340" t="s">
        <v>16783</v>
      </c>
      <c r="AF8340" t="s">
        <v>16784</v>
      </c>
    </row>
    <row r="8341" spans="1:32" hidden="1" x14ac:dyDescent="0.35">
      <c r="A8341">
        <v>8340</v>
      </c>
      <c r="B8341" t="s">
        <v>16778</v>
      </c>
      <c r="C8341" t="s">
        <v>277</v>
      </c>
      <c r="D8341" t="s">
        <v>45</v>
      </c>
      <c r="E8341">
        <v>2052</v>
      </c>
      <c r="F8341">
        <v>2</v>
      </c>
      <c r="G8341">
        <v>2</v>
      </c>
      <c r="H8341">
        <v>1</v>
      </c>
      <c r="I8341">
        <v>0</v>
      </c>
      <c r="J8341">
        <v>0.99551569506726501</v>
      </c>
      <c r="K8341">
        <v>1</v>
      </c>
      <c r="L8341">
        <v>0.99775280898876395</v>
      </c>
      <c r="M8341">
        <v>0.99551569506726501</v>
      </c>
      <c r="N8341">
        <v>0.99551569506726501</v>
      </c>
      <c r="O8341">
        <v>0.99551569506726501</v>
      </c>
      <c r="P8341" t="s">
        <v>16779</v>
      </c>
      <c r="Q8341" t="s">
        <v>16780</v>
      </c>
      <c r="T8341" t="s">
        <v>16781</v>
      </c>
      <c r="U8341" t="s">
        <v>16782</v>
      </c>
      <c r="AD8341" t="s">
        <v>14436</v>
      </c>
      <c r="AE8341" t="s">
        <v>16783</v>
      </c>
      <c r="AF8341" t="s">
        <v>16785</v>
      </c>
    </row>
    <row r="8342" spans="1:32" hidden="1" x14ac:dyDescent="0.35">
      <c r="A8342">
        <v>8341</v>
      </c>
      <c r="B8342" t="s">
        <v>16786</v>
      </c>
      <c r="C8342" t="s">
        <v>277</v>
      </c>
      <c r="D8342" t="s">
        <v>34</v>
      </c>
      <c r="E8342">
        <v>177</v>
      </c>
      <c r="F8342">
        <v>2</v>
      </c>
      <c r="G8342">
        <v>2</v>
      </c>
      <c r="H8342">
        <v>1</v>
      </c>
      <c r="I8342">
        <v>0</v>
      </c>
      <c r="J8342">
        <v>0.98295454545454497</v>
      </c>
      <c r="K8342">
        <v>1</v>
      </c>
      <c r="L8342">
        <v>0.99140401146131796</v>
      </c>
      <c r="M8342">
        <v>0.97537878787878796</v>
      </c>
      <c r="N8342">
        <v>0.97537878787878796</v>
      </c>
      <c r="O8342">
        <v>0.97537878787878796</v>
      </c>
      <c r="P8342" t="s">
        <v>13644</v>
      </c>
      <c r="Q8342" t="s">
        <v>13645</v>
      </c>
      <c r="R8342" t="s">
        <v>8647</v>
      </c>
      <c r="S8342" t="s">
        <v>8648</v>
      </c>
      <c r="V8342" t="s">
        <v>9316</v>
      </c>
      <c r="W8342" t="s">
        <v>9317</v>
      </c>
      <c r="X8342" t="s">
        <v>9316</v>
      </c>
      <c r="Y8342" t="s">
        <v>875</v>
      </c>
      <c r="AF8342" t="s">
        <v>16787</v>
      </c>
    </row>
    <row r="8343" spans="1:32" hidden="1" x14ac:dyDescent="0.35">
      <c r="A8343">
        <v>8342</v>
      </c>
      <c r="B8343" t="s">
        <v>16786</v>
      </c>
      <c r="C8343" t="s">
        <v>277</v>
      </c>
      <c r="D8343" t="s">
        <v>45</v>
      </c>
      <c r="E8343">
        <v>1438</v>
      </c>
      <c r="F8343">
        <v>2</v>
      </c>
      <c r="G8343">
        <v>2</v>
      </c>
      <c r="H8343">
        <v>1</v>
      </c>
      <c r="I8343">
        <v>0</v>
      </c>
      <c r="J8343">
        <v>0.98295454545454497</v>
      </c>
      <c r="K8343">
        <v>1</v>
      </c>
      <c r="L8343">
        <v>0.99140401146131796</v>
      </c>
      <c r="M8343">
        <v>0.97537878787878796</v>
      </c>
      <c r="N8343">
        <v>0.97537878787878796</v>
      </c>
      <c r="O8343">
        <v>0.97537878787878796</v>
      </c>
      <c r="P8343" t="s">
        <v>13644</v>
      </c>
      <c r="Q8343" t="s">
        <v>13645</v>
      </c>
      <c r="R8343" t="s">
        <v>8647</v>
      </c>
      <c r="S8343" t="s">
        <v>8648</v>
      </c>
      <c r="V8343" t="s">
        <v>9316</v>
      </c>
      <c r="W8343" t="s">
        <v>9317</v>
      </c>
      <c r="X8343" t="s">
        <v>9316</v>
      </c>
      <c r="Y8343" t="s">
        <v>875</v>
      </c>
      <c r="AF8343" t="s">
        <v>16788</v>
      </c>
    </row>
    <row r="8344" spans="1:32" hidden="1" x14ac:dyDescent="0.35">
      <c r="A8344">
        <v>8343</v>
      </c>
      <c r="B8344" t="s">
        <v>16789</v>
      </c>
      <c r="C8344" t="s">
        <v>277</v>
      </c>
      <c r="D8344" t="s">
        <v>60</v>
      </c>
      <c r="E8344">
        <v>2119</v>
      </c>
      <c r="F8344">
        <v>2</v>
      </c>
      <c r="G8344">
        <v>2</v>
      </c>
      <c r="H8344">
        <v>1</v>
      </c>
      <c r="I8344">
        <v>0</v>
      </c>
      <c r="J8344">
        <v>0.97872340425531901</v>
      </c>
      <c r="K8344">
        <v>1</v>
      </c>
      <c r="L8344">
        <v>0.989247311827957</v>
      </c>
      <c r="M8344">
        <v>0.96808510638297895</v>
      </c>
      <c r="N8344">
        <v>0.96808510638297895</v>
      </c>
      <c r="O8344">
        <v>0.96808510638297895</v>
      </c>
      <c r="P8344" t="s">
        <v>2163</v>
      </c>
      <c r="Q8344" t="s">
        <v>2164</v>
      </c>
      <c r="R8344" t="s">
        <v>113</v>
      </c>
      <c r="S8344" t="s">
        <v>114</v>
      </c>
      <c r="V8344" t="s">
        <v>2167</v>
      </c>
      <c r="W8344" t="s">
        <v>2168</v>
      </c>
      <c r="AF8344" t="s">
        <v>16790</v>
      </c>
    </row>
    <row r="8345" spans="1:32" hidden="1" x14ac:dyDescent="0.35">
      <c r="A8345">
        <v>8344</v>
      </c>
      <c r="B8345" t="s">
        <v>16789</v>
      </c>
      <c r="C8345" t="s">
        <v>277</v>
      </c>
      <c r="D8345" t="s">
        <v>62</v>
      </c>
      <c r="E8345">
        <v>2153</v>
      </c>
      <c r="F8345">
        <v>2</v>
      </c>
      <c r="G8345">
        <v>2</v>
      </c>
      <c r="H8345">
        <v>1</v>
      </c>
      <c r="I8345">
        <v>0</v>
      </c>
      <c r="J8345">
        <v>0.97872340425531901</v>
      </c>
      <c r="K8345">
        <v>1</v>
      </c>
      <c r="L8345">
        <v>0.989247311827957</v>
      </c>
      <c r="M8345">
        <v>0.96808510638297895</v>
      </c>
      <c r="N8345">
        <v>0.96808510638297895</v>
      </c>
      <c r="O8345">
        <v>0.96808510638297895</v>
      </c>
      <c r="P8345" t="s">
        <v>2163</v>
      </c>
      <c r="Q8345" t="s">
        <v>2164</v>
      </c>
      <c r="R8345" t="s">
        <v>113</v>
      </c>
      <c r="S8345" t="s">
        <v>114</v>
      </c>
      <c r="V8345" t="s">
        <v>2167</v>
      </c>
      <c r="W8345" t="s">
        <v>2168</v>
      </c>
      <c r="AF8345" t="s">
        <v>16791</v>
      </c>
    </row>
    <row r="8346" spans="1:32" hidden="1" x14ac:dyDescent="0.35">
      <c r="A8346">
        <v>8345</v>
      </c>
      <c r="B8346" t="s">
        <v>16792</v>
      </c>
      <c r="C8346" t="s">
        <v>277</v>
      </c>
      <c r="D8346" t="s">
        <v>34</v>
      </c>
      <c r="E8346">
        <v>1860</v>
      </c>
      <c r="F8346">
        <v>2</v>
      </c>
      <c r="G8346">
        <v>2</v>
      </c>
      <c r="H8346">
        <v>1</v>
      </c>
      <c r="I8346">
        <v>0</v>
      </c>
      <c r="J8346">
        <v>0.99068322981366497</v>
      </c>
      <c r="K8346">
        <v>1</v>
      </c>
      <c r="L8346">
        <v>0.99531981279251203</v>
      </c>
      <c r="M8346">
        <v>0.99068322981366497</v>
      </c>
      <c r="N8346">
        <v>0.99068322981366497</v>
      </c>
      <c r="O8346">
        <v>0.99068322981366497</v>
      </c>
      <c r="P8346" t="s">
        <v>14389</v>
      </c>
      <c r="Q8346" t="s">
        <v>14390</v>
      </c>
      <c r="R8346" t="s">
        <v>342</v>
      </c>
      <c r="S8346" t="s">
        <v>343</v>
      </c>
      <c r="T8346" t="s">
        <v>14391</v>
      </c>
      <c r="U8346" t="s">
        <v>14392</v>
      </c>
      <c r="V8346" t="s">
        <v>14393</v>
      </c>
      <c r="W8346" t="s">
        <v>14394</v>
      </c>
      <c r="AD8346" t="s">
        <v>941</v>
      </c>
      <c r="AE8346" t="s">
        <v>13439</v>
      </c>
      <c r="AF8346" t="s">
        <v>16793</v>
      </c>
    </row>
    <row r="8347" spans="1:32" hidden="1" x14ac:dyDescent="0.35">
      <c r="A8347">
        <v>8346</v>
      </c>
      <c r="B8347" t="s">
        <v>16792</v>
      </c>
      <c r="C8347" t="s">
        <v>277</v>
      </c>
      <c r="D8347" t="s">
        <v>45</v>
      </c>
      <c r="E8347">
        <v>1013</v>
      </c>
      <c r="F8347">
        <v>2</v>
      </c>
      <c r="G8347">
        <v>2</v>
      </c>
      <c r="H8347">
        <v>1</v>
      </c>
      <c r="I8347">
        <v>0</v>
      </c>
      <c r="J8347">
        <v>0.99068322981366497</v>
      </c>
      <c r="K8347">
        <v>1</v>
      </c>
      <c r="L8347">
        <v>0.99531981279251203</v>
      </c>
      <c r="M8347">
        <v>0.99068322981366497</v>
      </c>
      <c r="N8347">
        <v>0.99068322981366497</v>
      </c>
      <c r="O8347">
        <v>0.99068322981366497</v>
      </c>
      <c r="P8347" t="s">
        <v>14389</v>
      </c>
      <c r="Q8347" t="s">
        <v>14390</v>
      </c>
      <c r="R8347" t="s">
        <v>342</v>
      </c>
      <c r="S8347" t="s">
        <v>343</v>
      </c>
      <c r="T8347" t="s">
        <v>14391</v>
      </c>
      <c r="U8347" t="s">
        <v>14392</v>
      </c>
      <c r="V8347" t="s">
        <v>14393</v>
      </c>
      <c r="W8347" t="s">
        <v>14394</v>
      </c>
      <c r="AD8347" t="s">
        <v>941</v>
      </c>
      <c r="AE8347" t="s">
        <v>13439</v>
      </c>
      <c r="AF8347" t="s">
        <v>16794</v>
      </c>
    </row>
    <row r="8348" spans="1:32" hidden="1" x14ac:dyDescent="0.35">
      <c r="A8348">
        <v>8347</v>
      </c>
      <c r="B8348" t="s">
        <v>16795</v>
      </c>
      <c r="C8348" t="s">
        <v>277</v>
      </c>
      <c r="D8348" t="s">
        <v>60</v>
      </c>
      <c r="E8348">
        <v>1003</v>
      </c>
      <c r="F8348">
        <v>2</v>
      </c>
      <c r="G8348">
        <v>2</v>
      </c>
      <c r="H8348">
        <v>1</v>
      </c>
      <c r="I8348">
        <v>0</v>
      </c>
      <c r="J8348">
        <v>0.96097560975609797</v>
      </c>
      <c r="K8348">
        <v>1</v>
      </c>
      <c r="L8348">
        <v>0.98009950248756195</v>
      </c>
      <c r="M8348">
        <v>0.95121951219512202</v>
      </c>
      <c r="N8348">
        <v>0.95121951219512202</v>
      </c>
      <c r="O8348">
        <v>0.95121951219512202</v>
      </c>
      <c r="P8348" t="s">
        <v>16796</v>
      </c>
      <c r="Q8348" t="s">
        <v>16797</v>
      </c>
      <c r="R8348" t="s">
        <v>288</v>
      </c>
      <c r="S8348" t="s">
        <v>289</v>
      </c>
      <c r="V8348" t="s">
        <v>16798</v>
      </c>
      <c r="W8348" t="s">
        <v>16799</v>
      </c>
      <c r="AF8348" t="s">
        <v>16800</v>
      </c>
    </row>
    <row r="8349" spans="1:32" hidden="1" x14ac:dyDescent="0.35">
      <c r="A8349">
        <v>8348</v>
      </c>
      <c r="B8349" t="s">
        <v>16795</v>
      </c>
      <c r="C8349" t="s">
        <v>277</v>
      </c>
      <c r="D8349" t="s">
        <v>62</v>
      </c>
      <c r="E8349">
        <v>1039</v>
      </c>
      <c r="F8349">
        <v>2</v>
      </c>
      <c r="G8349">
        <v>2</v>
      </c>
      <c r="H8349">
        <v>1</v>
      </c>
      <c r="I8349">
        <v>0</v>
      </c>
      <c r="J8349">
        <v>0.96097560975609797</v>
      </c>
      <c r="K8349">
        <v>1</v>
      </c>
      <c r="L8349">
        <v>0.98009950248756195</v>
      </c>
      <c r="M8349">
        <v>0.95121951219512202</v>
      </c>
      <c r="N8349">
        <v>0.95121951219512202</v>
      </c>
      <c r="O8349">
        <v>0.95121951219512202</v>
      </c>
      <c r="P8349" t="s">
        <v>16796</v>
      </c>
      <c r="Q8349" t="s">
        <v>16797</v>
      </c>
      <c r="R8349" t="s">
        <v>288</v>
      </c>
      <c r="S8349" t="s">
        <v>289</v>
      </c>
      <c r="V8349" t="s">
        <v>16798</v>
      </c>
      <c r="W8349" t="s">
        <v>16799</v>
      </c>
      <c r="AF8349" t="s">
        <v>16801</v>
      </c>
    </row>
    <row r="8350" spans="1:32" hidden="1" x14ac:dyDescent="0.35">
      <c r="A8350">
        <v>8349</v>
      </c>
      <c r="B8350" t="s">
        <v>16802</v>
      </c>
      <c r="C8350" t="s">
        <v>277</v>
      </c>
      <c r="D8350" t="s">
        <v>34</v>
      </c>
      <c r="E8350">
        <v>972</v>
      </c>
      <c r="F8350">
        <v>2</v>
      </c>
      <c r="G8350">
        <v>2</v>
      </c>
      <c r="H8350">
        <v>1</v>
      </c>
      <c r="I8350">
        <v>0</v>
      </c>
      <c r="J8350">
        <v>0.98584298584298602</v>
      </c>
      <c r="K8350">
        <v>0.97745854774156904</v>
      </c>
      <c r="L8350">
        <v>0.98163286358151902</v>
      </c>
      <c r="M8350">
        <v>0.95849056603773597</v>
      </c>
      <c r="N8350">
        <v>0.95849056603773597</v>
      </c>
      <c r="O8350">
        <v>0.95849056603773597</v>
      </c>
      <c r="AF8350" t="s">
        <v>16803</v>
      </c>
    </row>
    <row r="8351" spans="1:32" hidden="1" x14ac:dyDescent="0.35">
      <c r="A8351">
        <v>8350</v>
      </c>
      <c r="B8351" t="s">
        <v>16802</v>
      </c>
      <c r="C8351" t="s">
        <v>277</v>
      </c>
      <c r="D8351" t="s">
        <v>45</v>
      </c>
      <c r="E8351">
        <v>2226</v>
      </c>
      <c r="F8351">
        <v>2</v>
      </c>
      <c r="G8351">
        <v>2</v>
      </c>
      <c r="H8351">
        <v>1</v>
      </c>
      <c r="I8351">
        <v>0</v>
      </c>
      <c r="J8351">
        <v>0.98584298584298602</v>
      </c>
      <c r="K8351">
        <v>0.97745854774156904</v>
      </c>
      <c r="L8351">
        <v>0.98163286358151902</v>
      </c>
      <c r="M8351">
        <v>0.95849056603773597</v>
      </c>
      <c r="N8351">
        <v>0.95849056603773597</v>
      </c>
      <c r="O8351">
        <v>0.95849056603773597</v>
      </c>
      <c r="AF8351" t="s">
        <v>16804</v>
      </c>
    </row>
    <row r="8352" spans="1:32" hidden="1" x14ac:dyDescent="0.35">
      <c r="A8352">
        <v>8351</v>
      </c>
      <c r="B8352" t="s">
        <v>16805</v>
      </c>
      <c r="C8352" t="s">
        <v>277</v>
      </c>
      <c r="D8352" t="s">
        <v>34</v>
      </c>
      <c r="E8352">
        <v>1188</v>
      </c>
      <c r="F8352">
        <v>2</v>
      </c>
      <c r="G8352">
        <v>2</v>
      </c>
      <c r="H8352">
        <v>1</v>
      </c>
      <c r="I8352">
        <v>0</v>
      </c>
      <c r="J8352">
        <v>0.94196428571428603</v>
      </c>
      <c r="K8352">
        <v>1</v>
      </c>
      <c r="L8352">
        <v>0.97011494252873598</v>
      </c>
      <c r="M8352">
        <v>0.91517857142857095</v>
      </c>
      <c r="N8352">
        <v>0.91517857142857095</v>
      </c>
      <c r="O8352">
        <v>0.91517857142857095</v>
      </c>
      <c r="AF8352" t="s">
        <v>16806</v>
      </c>
    </row>
    <row r="8353" spans="1:32" hidden="1" x14ac:dyDescent="0.35">
      <c r="A8353">
        <v>8352</v>
      </c>
      <c r="B8353" t="s">
        <v>16805</v>
      </c>
      <c r="C8353" t="s">
        <v>277</v>
      </c>
      <c r="D8353" t="s">
        <v>45</v>
      </c>
      <c r="E8353">
        <v>2432</v>
      </c>
      <c r="F8353">
        <v>2</v>
      </c>
      <c r="G8353">
        <v>2</v>
      </c>
      <c r="H8353">
        <v>1</v>
      </c>
      <c r="I8353">
        <v>0</v>
      </c>
      <c r="J8353">
        <v>0.94196428571428603</v>
      </c>
      <c r="K8353">
        <v>1</v>
      </c>
      <c r="L8353">
        <v>0.97011494252873598</v>
      </c>
      <c r="M8353">
        <v>0.91517857142857095</v>
      </c>
      <c r="N8353">
        <v>0.91517857142857095</v>
      </c>
      <c r="O8353">
        <v>0.91517857142857095</v>
      </c>
      <c r="AF8353" t="s">
        <v>16807</v>
      </c>
    </row>
    <row r="8354" spans="1:32" hidden="1" x14ac:dyDescent="0.35">
      <c r="A8354">
        <v>8353</v>
      </c>
      <c r="B8354" t="s">
        <v>16808</v>
      </c>
      <c r="C8354" t="s">
        <v>277</v>
      </c>
      <c r="D8354" t="s">
        <v>34</v>
      </c>
      <c r="E8354">
        <v>2248</v>
      </c>
      <c r="F8354">
        <v>2</v>
      </c>
      <c r="G8354">
        <v>2</v>
      </c>
      <c r="H8354">
        <v>1</v>
      </c>
      <c r="I8354">
        <v>0</v>
      </c>
      <c r="J8354">
        <v>0.97641025641025603</v>
      </c>
      <c r="K8354">
        <v>0.94346983485001901</v>
      </c>
      <c r="L8354">
        <v>0.95965745731186103</v>
      </c>
      <c r="M8354">
        <v>0.91594202898550703</v>
      </c>
      <c r="N8354">
        <v>0.91594202898550703</v>
      </c>
      <c r="O8354">
        <v>0.91594202898550703</v>
      </c>
      <c r="P8354" t="s">
        <v>169</v>
      </c>
      <c r="Q8354" t="s">
        <v>170</v>
      </c>
      <c r="R8354" t="s">
        <v>138</v>
      </c>
      <c r="S8354" t="s">
        <v>139</v>
      </c>
      <c r="T8354" t="s">
        <v>3691</v>
      </c>
      <c r="U8354" t="s">
        <v>3692</v>
      </c>
      <c r="V8354" t="s">
        <v>3693</v>
      </c>
      <c r="W8354" t="s">
        <v>3694</v>
      </c>
      <c r="AD8354" t="s">
        <v>166</v>
      </c>
      <c r="AE8354" t="s">
        <v>3695</v>
      </c>
      <c r="AF8354" t="s">
        <v>16809</v>
      </c>
    </row>
    <row r="8355" spans="1:32" hidden="1" x14ac:dyDescent="0.35">
      <c r="A8355">
        <v>8354</v>
      </c>
      <c r="B8355" t="s">
        <v>16808</v>
      </c>
      <c r="C8355" t="s">
        <v>277</v>
      </c>
      <c r="D8355" t="s">
        <v>45</v>
      </c>
      <c r="E8355">
        <v>629</v>
      </c>
      <c r="F8355">
        <v>2</v>
      </c>
      <c r="G8355">
        <v>2</v>
      </c>
      <c r="H8355">
        <v>1</v>
      </c>
      <c r="I8355">
        <v>0</v>
      </c>
      <c r="J8355">
        <v>0.97641025641025603</v>
      </c>
      <c r="K8355">
        <v>0.94346983485001901</v>
      </c>
      <c r="L8355">
        <v>0.95965745731186103</v>
      </c>
      <c r="M8355">
        <v>0.91594202898550703</v>
      </c>
      <c r="N8355">
        <v>0.91594202898550703</v>
      </c>
      <c r="O8355">
        <v>0.91594202898550703</v>
      </c>
      <c r="P8355" t="s">
        <v>169</v>
      </c>
      <c r="Q8355" t="s">
        <v>170</v>
      </c>
      <c r="R8355" t="s">
        <v>138</v>
      </c>
      <c r="S8355" t="s">
        <v>139</v>
      </c>
      <c r="T8355" t="s">
        <v>3691</v>
      </c>
      <c r="U8355" t="s">
        <v>3692</v>
      </c>
      <c r="V8355" t="s">
        <v>3693</v>
      </c>
      <c r="W8355" t="s">
        <v>3694</v>
      </c>
      <c r="AD8355" t="s">
        <v>166</v>
      </c>
      <c r="AE8355" t="s">
        <v>3695</v>
      </c>
      <c r="AF8355" t="s">
        <v>16810</v>
      </c>
    </row>
    <row r="8356" spans="1:32" hidden="1" x14ac:dyDescent="0.35">
      <c r="A8356">
        <v>8355</v>
      </c>
      <c r="B8356" t="s">
        <v>16811</v>
      </c>
      <c r="C8356" t="s">
        <v>277</v>
      </c>
      <c r="D8356" t="s">
        <v>60</v>
      </c>
      <c r="E8356">
        <v>82</v>
      </c>
      <c r="F8356">
        <v>2</v>
      </c>
      <c r="G8356">
        <v>2</v>
      </c>
      <c r="H8356">
        <v>1</v>
      </c>
      <c r="I8356">
        <v>0</v>
      </c>
      <c r="J8356">
        <v>0.98517577297755199</v>
      </c>
      <c r="K8356">
        <v>1</v>
      </c>
      <c r="L8356">
        <v>0.99253253680392595</v>
      </c>
      <c r="M8356">
        <v>0.98094027954256702</v>
      </c>
      <c r="N8356">
        <v>0.98094027954256702</v>
      </c>
      <c r="O8356">
        <v>0.98094027954256702</v>
      </c>
      <c r="P8356" t="s">
        <v>16812</v>
      </c>
      <c r="Q8356" t="s">
        <v>16813</v>
      </c>
      <c r="R8356" t="s">
        <v>224</v>
      </c>
      <c r="S8356" t="s">
        <v>225</v>
      </c>
      <c r="T8356" t="s">
        <v>16814</v>
      </c>
      <c r="U8356" t="s">
        <v>16815</v>
      </c>
      <c r="V8356" t="s">
        <v>6719</v>
      </c>
      <c r="W8356" t="s">
        <v>6720</v>
      </c>
      <c r="AD8356" t="s">
        <v>6721</v>
      </c>
      <c r="AE8356" t="s">
        <v>6722</v>
      </c>
      <c r="AF8356" t="s">
        <v>16816</v>
      </c>
    </row>
    <row r="8357" spans="1:32" hidden="1" x14ac:dyDescent="0.35">
      <c r="A8357">
        <v>8356</v>
      </c>
      <c r="B8357" t="s">
        <v>16811</v>
      </c>
      <c r="C8357" t="s">
        <v>277</v>
      </c>
      <c r="D8357" t="s">
        <v>62</v>
      </c>
      <c r="E8357">
        <v>155</v>
      </c>
      <c r="F8357">
        <v>2</v>
      </c>
      <c r="G8357">
        <v>2</v>
      </c>
      <c r="H8357">
        <v>1</v>
      </c>
      <c r="I8357">
        <v>0</v>
      </c>
      <c r="J8357">
        <v>0.98517577297755199</v>
      </c>
      <c r="K8357">
        <v>1</v>
      </c>
      <c r="L8357">
        <v>0.99253253680392595</v>
      </c>
      <c r="M8357">
        <v>0.98094027954256702</v>
      </c>
      <c r="N8357">
        <v>0.98094027954256702</v>
      </c>
      <c r="O8357">
        <v>0.98094027954256702</v>
      </c>
      <c r="P8357" t="s">
        <v>16812</v>
      </c>
      <c r="Q8357" t="s">
        <v>16813</v>
      </c>
      <c r="R8357" t="s">
        <v>224</v>
      </c>
      <c r="S8357" t="s">
        <v>225</v>
      </c>
      <c r="T8357" t="s">
        <v>16814</v>
      </c>
      <c r="U8357" t="s">
        <v>16815</v>
      </c>
      <c r="V8357" t="s">
        <v>6719</v>
      </c>
      <c r="W8357" t="s">
        <v>6720</v>
      </c>
      <c r="AD8357" t="s">
        <v>6721</v>
      </c>
      <c r="AE8357" t="s">
        <v>6722</v>
      </c>
      <c r="AF8357" t="s">
        <v>16817</v>
      </c>
    </row>
    <row r="8358" spans="1:32" hidden="1" x14ac:dyDescent="0.35">
      <c r="A8358">
        <v>8357</v>
      </c>
      <c r="B8358" t="s">
        <v>16818</v>
      </c>
      <c r="C8358" t="s">
        <v>277</v>
      </c>
      <c r="D8358" t="s">
        <v>60</v>
      </c>
      <c r="E8358">
        <v>1822</v>
      </c>
      <c r="F8358">
        <v>2</v>
      </c>
      <c r="G8358">
        <v>2</v>
      </c>
      <c r="H8358">
        <v>1</v>
      </c>
      <c r="I8358">
        <v>0</v>
      </c>
      <c r="J8358">
        <v>0.98812553011026305</v>
      </c>
      <c r="K8358">
        <v>1</v>
      </c>
      <c r="L8358">
        <v>0.99402730375426596</v>
      </c>
      <c r="M8358">
        <v>0.97964376590330804</v>
      </c>
      <c r="N8358">
        <v>0.97964376590330804</v>
      </c>
      <c r="O8358">
        <v>0.97964376590330804</v>
      </c>
      <c r="P8358" t="s">
        <v>16819</v>
      </c>
      <c r="Q8358" t="s">
        <v>16820</v>
      </c>
      <c r="R8358" t="s">
        <v>342</v>
      </c>
      <c r="S8358" t="s">
        <v>343</v>
      </c>
      <c r="T8358" t="s">
        <v>16821</v>
      </c>
      <c r="U8358" t="s">
        <v>16822</v>
      </c>
      <c r="V8358" t="s">
        <v>16823</v>
      </c>
      <c r="W8358" t="s">
        <v>16824</v>
      </c>
      <c r="AD8358" t="s">
        <v>166</v>
      </c>
      <c r="AE8358" t="s">
        <v>16825</v>
      </c>
      <c r="AF8358" t="s">
        <v>16826</v>
      </c>
    </row>
    <row r="8359" spans="1:32" hidden="1" x14ac:dyDescent="0.35">
      <c r="A8359">
        <v>8358</v>
      </c>
      <c r="B8359" t="s">
        <v>16818</v>
      </c>
      <c r="C8359" t="s">
        <v>277</v>
      </c>
      <c r="D8359" t="s">
        <v>62</v>
      </c>
      <c r="E8359">
        <v>1860</v>
      </c>
      <c r="F8359">
        <v>2</v>
      </c>
      <c r="G8359">
        <v>2</v>
      </c>
      <c r="H8359">
        <v>1</v>
      </c>
      <c r="I8359">
        <v>0</v>
      </c>
      <c r="J8359">
        <v>0.98812553011026305</v>
      </c>
      <c r="K8359">
        <v>1</v>
      </c>
      <c r="L8359">
        <v>0.99402730375426596</v>
      </c>
      <c r="M8359">
        <v>0.97964376590330804</v>
      </c>
      <c r="N8359">
        <v>0.97964376590330804</v>
      </c>
      <c r="O8359">
        <v>0.97964376590330804</v>
      </c>
      <c r="P8359" t="s">
        <v>16819</v>
      </c>
      <c r="Q8359" t="s">
        <v>16820</v>
      </c>
      <c r="R8359" t="s">
        <v>342</v>
      </c>
      <c r="S8359" t="s">
        <v>343</v>
      </c>
      <c r="T8359" t="s">
        <v>16821</v>
      </c>
      <c r="U8359" t="s">
        <v>16822</v>
      </c>
      <c r="V8359" t="s">
        <v>16823</v>
      </c>
      <c r="W8359" t="s">
        <v>16824</v>
      </c>
      <c r="AD8359" t="s">
        <v>166</v>
      </c>
      <c r="AE8359" t="s">
        <v>16825</v>
      </c>
      <c r="AF8359" t="s">
        <v>16827</v>
      </c>
    </row>
    <row r="8360" spans="1:32" hidden="1" x14ac:dyDescent="0.35">
      <c r="A8360">
        <v>8359</v>
      </c>
      <c r="B8360" t="s">
        <v>16828</v>
      </c>
      <c r="C8360" t="s">
        <v>277</v>
      </c>
      <c r="D8360" t="s">
        <v>34</v>
      </c>
      <c r="E8360">
        <v>1965</v>
      </c>
      <c r="F8360">
        <v>2</v>
      </c>
      <c r="G8360">
        <v>2</v>
      </c>
      <c r="H8360">
        <v>1</v>
      </c>
      <c r="I8360">
        <v>0</v>
      </c>
      <c r="J8360">
        <v>0.95467836257309902</v>
      </c>
      <c r="K8360">
        <v>1</v>
      </c>
      <c r="L8360">
        <v>0.976813762154076</v>
      </c>
      <c r="M8360">
        <v>0.94298245614035103</v>
      </c>
      <c r="N8360">
        <v>0.94298245614035103</v>
      </c>
      <c r="O8360">
        <v>0.94298245614035103</v>
      </c>
      <c r="AF8360" t="s">
        <v>16829</v>
      </c>
    </row>
    <row r="8361" spans="1:32" hidden="1" x14ac:dyDescent="0.35">
      <c r="A8361">
        <v>8360</v>
      </c>
      <c r="B8361" t="s">
        <v>16828</v>
      </c>
      <c r="C8361" t="s">
        <v>277</v>
      </c>
      <c r="D8361" t="s">
        <v>45</v>
      </c>
      <c r="E8361">
        <v>908</v>
      </c>
      <c r="F8361">
        <v>2</v>
      </c>
      <c r="G8361">
        <v>2</v>
      </c>
      <c r="H8361">
        <v>1</v>
      </c>
      <c r="I8361">
        <v>0</v>
      </c>
      <c r="J8361">
        <v>0.95467836257309902</v>
      </c>
      <c r="K8361">
        <v>1</v>
      </c>
      <c r="L8361">
        <v>0.976813762154076</v>
      </c>
      <c r="M8361">
        <v>0.94298245614035103</v>
      </c>
      <c r="N8361">
        <v>0.94298245614035103</v>
      </c>
      <c r="O8361">
        <v>0.94298245614035103</v>
      </c>
      <c r="AF8361" t="s">
        <v>16830</v>
      </c>
    </row>
    <row r="8362" spans="1:32" hidden="1" x14ac:dyDescent="0.35">
      <c r="A8362">
        <v>8361</v>
      </c>
      <c r="B8362" t="s">
        <v>16831</v>
      </c>
      <c r="C8362" t="s">
        <v>277</v>
      </c>
      <c r="D8362" t="s">
        <v>34</v>
      </c>
      <c r="E8362">
        <v>358</v>
      </c>
      <c r="F8362">
        <v>2</v>
      </c>
      <c r="G8362">
        <v>2</v>
      </c>
      <c r="H8362">
        <v>1</v>
      </c>
      <c r="I8362">
        <v>0</v>
      </c>
      <c r="J8362">
        <v>0.99074074074074103</v>
      </c>
      <c r="K8362">
        <v>1</v>
      </c>
      <c r="L8362">
        <v>0.99534883720930201</v>
      </c>
      <c r="M8362">
        <v>0.99074074074074103</v>
      </c>
      <c r="N8362">
        <v>0.99074074074074103</v>
      </c>
      <c r="O8362">
        <v>0.99074074074074103</v>
      </c>
      <c r="P8362" t="s">
        <v>16832</v>
      </c>
      <c r="Q8362" t="s">
        <v>16833</v>
      </c>
      <c r="R8362" t="s">
        <v>9049</v>
      </c>
      <c r="S8362" t="s">
        <v>9050</v>
      </c>
      <c r="T8362" t="s">
        <v>16834</v>
      </c>
      <c r="U8362" t="s">
        <v>16835</v>
      </c>
      <c r="V8362" t="s">
        <v>16836</v>
      </c>
      <c r="W8362" t="s">
        <v>16837</v>
      </c>
      <c r="AD8362" t="s">
        <v>16838</v>
      </c>
      <c r="AE8362" t="s">
        <v>16839</v>
      </c>
      <c r="AF8362" t="s">
        <v>16840</v>
      </c>
    </row>
    <row r="8363" spans="1:32" hidden="1" x14ac:dyDescent="0.35">
      <c r="A8363">
        <v>8362</v>
      </c>
      <c r="B8363" t="s">
        <v>16831</v>
      </c>
      <c r="C8363" t="s">
        <v>277</v>
      </c>
      <c r="D8363" t="s">
        <v>45</v>
      </c>
      <c r="E8363">
        <v>1620</v>
      </c>
      <c r="F8363">
        <v>2</v>
      </c>
      <c r="G8363">
        <v>2</v>
      </c>
      <c r="H8363">
        <v>1</v>
      </c>
      <c r="I8363">
        <v>0</v>
      </c>
      <c r="J8363">
        <v>0.99074074074074103</v>
      </c>
      <c r="K8363">
        <v>1</v>
      </c>
      <c r="L8363">
        <v>0.99534883720930201</v>
      </c>
      <c r="M8363">
        <v>0.99074074074074103</v>
      </c>
      <c r="N8363">
        <v>0.99074074074074103</v>
      </c>
      <c r="O8363">
        <v>0.99074074074074103</v>
      </c>
      <c r="P8363" t="s">
        <v>16832</v>
      </c>
      <c r="Q8363" t="s">
        <v>16833</v>
      </c>
      <c r="T8363" t="s">
        <v>16834</v>
      </c>
      <c r="U8363" t="s">
        <v>16835</v>
      </c>
      <c r="AD8363" t="s">
        <v>16838</v>
      </c>
      <c r="AE8363" t="s">
        <v>16839</v>
      </c>
      <c r="AF8363" t="s">
        <v>16841</v>
      </c>
    </row>
    <row r="8364" spans="1:32" hidden="1" x14ac:dyDescent="0.35">
      <c r="A8364">
        <v>8363</v>
      </c>
      <c r="B8364" t="s">
        <v>16842</v>
      </c>
      <c r="C8364" t="s">
        <v>277</v>
      </c>
      <c r="D8364" t="s">
        <v>34</v>
      </c>
      <c r="E8364">
        <v>1861</v>
      </c>
      <c r="F8364">
        <v>2</v>
      </c>
      <c r="G8364">
        <v>2</v>
      </c>
      <c r="H8364">
        <v>1</v>
      </c>
      <c r="I8364">
        <v>0</v>
      </c>
      <c r="J8364">
        <v>0.98445595854922296</v>
      </c>
      <c r="K8364">
        <v>1</v>
      </c>
      <c r="L8364">
        <v>0.99216710182767598</v>
      </c>
      <c r="M8364">
        <v>0.98445595854922296</v>
      </c>
      <c r="N8364">
        <v>0.98445595854922296</v>
      </c>
      <c r="O8364">
        <v>0.98445595854922296</v>
      </c>
      <c r="P8364" t="s">
        <v>16738</v>
      </c>
      <c r="Q8364" t="s">
        <v>16739</v>
      </c>
      <c r="R8364" t="s">
        <v>342</v>
      </c>
      <c r="S8364" t="s">
        <v>343</v>
      </c>
      <c r="T8364" t="s">
        <v>16740</v>
      </c>
      <c r="U8364" t="s">
        <v>16741</v>
      </c>
      <c r="V8364" t="s">
        <v>16742</v>
      </c>
      <c r="W8364" t="s">
        <v>16743</v>
      </c>
      <c r="AD8364" t="s">
        <v>166</v>
      </c>
      <c r="AE8364" t="s">
        <v>10202</v>
      </c>
      <c r="AF8364" t="s">
        <v>16843</v>
      </c>
    </row>
    <row r="8365" spans="1:32" hidden="1" x14ac:dyDescent="0.35">
      <c r="A8365">
        <v>8364</v>
      </c>
      <c r="B8365" t="s">
        <v>16842</v>
      </c>
      <c r="C8365" t="s">
        <v>277</v>
      </c>
      <c r="D8365" t="s">
        <v>45</v>
      </c>
      <c r="E8365">
        <v>1012</v>
      </c>
      <c r="F8365">
        <v>2</v>
      </c>
      <c r="G8365">
        <v>2</v>
      </c>
      <c r="H8365">
        <v>1</v>
      </c>
      <c r="I8365">
        <v>0</v>
      </c>
      <c r="J8365">
        <v>0.98445595854922296</v>
      </c>
      <c r="K8365">
        <v>1</v>
      </c>
      <c r="L8365">
        <v>0.99216710182767598</v>
      </c>
      <c r="M8365">
        <v>0.98445595854922296</v>
      </c>
      <c r="N8365">
        <v>0.98445595854922296</v>
      </c>
      <c r="O8365">
        <v>0.98445595854922296</v>
      </c>
      <c r="P8365" t="s">
        <v>16738</v>
      </c>
      <c r="Q8365" t="s">
        <v>16739</v>
      </c>
      <c r="R8365" t="s">
        <v>342</v>
      </c>
      <c r="S8365" t="s">
        <v>343</v>
      </c>
      <c r="T8365" t="s">
        <v>16740</v>
      </c>
      <c r="U8365" t="s">
        <v>16741</v>
      </c>
      <c r="V8365" t="s">
        <v>16742</v>
      </c>
      <c r="W8365" t="s">
        <v>16743</v>
      </c>
      <c r="AD8365" t="s">
        <v>166</v>
      </c>
      <c r="AE8365" t="s">
        <v>10202</v>
      </c>
      <c r="AF8365" t="s">
        <v>16844</v>
      </c>
    </row>
    <row r="8366" spans="1:32" hidden="1" x14ac:dyDescent="0.35">
      <c r="A8366">
        <v>8365</v>
      </c>
      <c r="B8366" t="s">
        <v>16845</v>
      </c>
      <c r="C8366" t="s">
        <v>277</v>
      </c>
      <c r="D8366" t="s">
        <v>60</v>
      </c>
      <c r="E8366">
        <v>74</v>
      </c>
      <c r="F8366">
        <v>2</v>
      </c>
      <c r="G8366">
        <v>2</v>
      </c>
      <c r="H8366">
        <v>1</v>
      </c>
      <c r="I8366">
        <v>0</v>
      </c>
      <c r="J8366">
        <v>0.99015748031496098</v>
      </c>
      <c r="K8366">
        <v>1</v>
      </c>
      <c r="L8366">
        <v>0.99505440158259195</v>
      </c>
      <c r="M8366">
        <v>0.99015748031496098</v>
      </c>
      <c r="N8366">
        <v>0.99015748031496098</v>
      </c>
      <c r="O8366">
        <v>0.99015748031496098</v>
      </c>
      <c r="P8366" t="s">
        <v>16846</v>
      </c>
      <c r="Q8366" t="s">
        <v>16847</v>
      </c>
      <c r="R8366" t="s">
        <v>113</v>
      </c>
      <c r="S8366" t="s">
        <v>114</v>
      </c>
      <c r="V8366" t="s">
        <v>16848</v>
      </c>
      <c r="W8366" t="s">
        <v>16849</v>
      </c>
      <c r="AF8366" t="s">
        <v>16850</v>
      </c>
    </row>
    <row r="8367" spans="1:32" hidden="1" x14ac:dyDescent="0.35">
      <c r="A8367">
        <v>8366</v>
      </c>
      <c r="B8367" t="s">
        <v>16845</v>
      </c>
      <c r="C8367" t="s">
        <v>277</v>
      </c>
      <c r="D8367" t="s">
        <v>62</v>
      </c>
      <c r="E8367">
        <v>147</v>
      </c>
      <c r="F8367">
        <v>2</v>
      </c>
      <c r="G8367">
        <v>2</v>
      </c>
      <c r="H8367">
        <v>1</v>
      </c>
      <c r="I8367">
        <v>0</v>
      </c>
      <c r="J8367">
        <v>0.99015748031496098</v>
      </c>
      <c r="K8367">
        <v>1</v>
      </c>
      <c r="L8367">
        <v>0.99505440158259195</v>
      </c>
      <c r="M8367">
        <v>0.99015748031496098</v>
      </c>
      <c r="N8367">
        <v>0.99015748031496098</v>
      </c>
      <c r="O8367">
        <v>0.99015748031496098</v>
      </c>
      <c r="P8367" t="s">
        <v>16851</v>
      </c>
      <c r="Q8367" t="s">
        <v>16852</v>
      </c>
      <c r="R8367" t="s">
        <v>113</v>
      </c>
      <c r="S8367" t="s">
        <v>114</v>
      </c>
      <c r="V8367" t="s">
        <v>16848</v>
      </c>
      <c r="W8367" t="s">
        <v>16849</v>
      </c>
      <c r="AF8367" t="s">
        <v>16853</v>
      </c>
    </row>
    <row r="8368" spans="1:32" hidden="1" x14ac:dyDescent="0.35">
      <c r="A8368">
        <v>8367</v>
      </c>
      <c r="B8368" t="s">
        <v>16854</v>
      </c>
      <c r="C8368" t="s">
        <v>277</v>
      </c>
      <c r="D8368" t="s">
        <v>34</v>
      </c>
      <c r="E8368">
        <v>1468</v>
      </c>
      <c r="F8368">
        <v>2</v>
      </c>
      <c r="G8368">
        <v>2</v>
      </c>
      <c r="H8368">
        <v>1</v>
      </c>
      <c r="I8368">
        <v>0</v>
      </c>
      <c r="J8368">
        <v>0.99701715137956703</v>
      </c>
      <c r="K8368">
        <v>1</v>
      </c>
      <c r="L8368">
        <v>0.99850634802091098</v>
      </c>
      <c r="M8368">
        <v>0.99552572706935105</v>
      </c>
      <c r="N8368">
        <v>0.99552572706935105</v>
      </c>
      <c r="O8368">
        <v>0.99552572706935105</v>
      </c>
      <c r="AF8368" t="s">
        <v>16855</v>
      </c>
    </row>
    <row r="8369" spans="1:32" hidden="1" x14ac:dyDescent="0.35">
      <c r="A8369">
        <v>8368</v>
      </c>
      <c r="B8369" t="s">
        <v>16854</v>
      </c>
      <c r="C8369" t="s">
        <v>277</v>
      </c>
      <c r="D8369" t="s">
        <v>45</v>
      </c>
      <c r="E8369">
        <v>219</v>
      </c>
      <c r="F8369">
        <v>2</v>
      </c>
      <c r="G8369">
        <v>2</v>
      </c>
      <c r="H8369">
        <v>1</v>
      </c>
      <c r="I8369">
        <v>0</v>
      </c>
      <c r="J8369">
        <v>0.99701715137956703</v>
      </c>
      <c r="K8369">
        <v>1</v>
      </c>
      <c r="L8369">
        <v>0.99850634802091098</v>
      </c>
      <c r="M8369">
        <v>0.99552572706935105</v>
      </c>
      <c r="N8369">
        <v>0.99552572706935105</v>
      </c>
      <c r="O8369">
        <v>0.99552572706935105</v>
      </c>
      <c r="AF8369" t="s">
        <v>16856</v>
      </c>
    </row>
    <row r="8370" spans="1:32" hidden="1" x14ac:dyDescent="0.35">
      <c r="A8370">
        <v>8369</v>
      </c>
      <c r="B8370" t="s">
        <v>16857</v>
      </c>
      <c r="C8370" t="s">
        <v>277</v>
      </c>
      <c r="D8370" t="s">
        <v>34</v>
      </c>
      <c r="E8370">
        <v>1022</v>
      </c>
      <c r="F8370">
        <v>2</v>
      </c>
      <c r="G8370">
        <v>2</v>
      </c>
      <c r="H8370">
        <v>1</v>
      </c>
      <c r="I8370">
        <v>0</v>
      </c>
      <c r="J8370">
        <v>0.98221343873517797</v>
      </c>
      <c r="K8370">
        <v>0.98266026972913501</v>
      </c>
      <c r="L8370">
        <v>0.98243680342534501</v>
      </c>
      <c r="M8370">
        <v>0.961165048543689</v>
      </c>
      <c r="N8370">
        <v>0.961165048543689</v>
      </c>
      <c r="O8370">
        <v>0.961165048543689</v>
      </c>
      <c r="AF8370" t="s">
        <v>16858</v>
      </c>
    </row>
    <row r="8371" spans="1:32" hidden="1" x14ac:dyDescent="0.35">
      <c r="A8371">
        <v>8370</v>
      </c>
      <c r="B8371" t="s">
        <v>16857</v>
      </c>
      <c r="C8371" t="s">
        <v>277</v>
      </c>
      <c r="D8371" t="s">
        <v>45</v>
      </c>
      <c r="E8371">
        <v>2280</v>
      </c>
      <c r="F8371">
        <v>2</v>
      </c>
      <c r="G8371">
        <v>2</v>
      </c>
      <c r="H8371">
        <v>1</v>
      </c>
      <c r="I8371">
        <v>0</v>
      </c>
      <c r="J8371">
        <v>0.98221343873517797</v>
      </c>
      <c r="K8371">
        <v>0.98266026972913501</v>
      </c>
      <c r="L8371">
        <v>0.98243680342534501</v>
      </c>
      <c r="M8371">
        <v>0.961165048543689</v>
      </c>
      <c r="N8371">
        <v>0.961165048543689</v>
      </c>
      <c r="O8371">
        <v>0.961165048543689</v>
      </c>
      <c r="AF8371" t="s">
        <v>16859</v>
      </c>
    </row>
    <row r="8372" spans="1:32" hidden="1" x14ac:dyDescent="0.35">
      <c r="A8372">
        <v>8371</v>
      </c>
      <c r="B8372" t="s">
        <v>16860</v>
      </c>
      <c r="C8372" t="s">
        <v>277</v>
      </c>
      <c r="D8372" t="s">
        <v>60</v>
      </c>
      <c r="E8372">
        <v>2287</v>
      </c>
      <c r="F8372">
        <v>2</v>
      </c>
      <c r="G8372">
        <v>2</v>
      </c>
      <c r="H8372">
        <v>1</v>
      </c>
      <c r="I8372">
        <v>0</v>
      </c>
      <c r="J8372">
        <v>0.99621212121212099</v>
      </c>
      <c r="K8372">
        <v>1</v>
      </c>
      <c r="L8372">
        <v>0.99810246679316905</v>
      </c>
      <c r="M8372">
        <v>0.99621212121212099</v>
      </c>
      <c r="N8372">
        <v>0.99621212121212099</v>
      </c>
      <c r="O8372">
        <v>0.99621212121212099</v>
      </c>
      <c r="P8372" t="s">
        <v>16191</v>
      </c>
      <c r="Q8372" t="s">
        <v>16192</v>
      </c>
      <c r="R8372" t="s">
        <v>869</v>
      </c>
      <c r="S8372" t="s">
        <v>870</v>
      </c>
      <c r="T8372" t="s">
        <v>16193</v>
      </c>
      <c r="U8372" t="s">
        <v>16194</v>
      </c>
      <c r="V8372" t="s">
        <v>16195</v>
      </c>
      <c r="W8372" t="s">
        <v>16196</v>
      </c>
      <c r="X8372" t="s">
        <v>16195</v>
      </c>
      <c r="Y8372" t="s">
        <v>3682</v>
      </c>
      <c r="Z8372" t="s">
        <v>16197</v>
      </c>
      <c r="AA8372" t="s">
        <v>16198</v>
      </c>
      <c r="AB8372" t="s">
        <v>16197</v>
      </c>
      <c r="AC8372" t="s">
        <v>878</v>
      </c>
      <c r="AD8372" t="s">
        <v>245</v>
      </c>
      <c r="AE8372" t="s">
        <v>16199</v>
      </c>
      <c r="AF8372" t="s">
        <v>16861</v>
      </c>
    </row>
    <row r="8373" spans="1:32" hidden="1" x14ac:dyDescent="0.35">
      <c r="A8373">
        <v>8372</v>
      </c>
      <c r="B8373" t="s">
        <v>16860</v>
      </c>
      <c r="C8373" t="s">
        <v>277</v>
      </c>
      <c r="D8373" t="s">
        <v>62</v>
      </c>
      <c r="E8373">
        <v>2316</v>
      </c>
      <c r="F8373">
        <v>2</v>
      </c>
      <c r="G8373">
        <v>2</v>
      </c>
      <c r="H8373">
        <v>1</v>
      </c>
      <c r="I8373">
        <v>0</v>
      </c>
      <c r="J8373">
        <v>0.99621212121212099</v>
      </c>
      <c r="K8373">
        <v>1</v>
      </c>
      <c r="L8373">
        <v>0.99810246679316905</v>
      </c>
      <c r="M8373">
        <v>0.99621212121212099</v>
      </c>
      <c r="N8373">
        <v>0.99621212121212099</v>
      </c>
      <c r="O8373">
        <v>0.99621212121212099</v>
      </c>
      <c r="P8373" t="s">
        <v>16191</v>
      </c>
      <c r="Q8373" t="s">
        <v>16192</v>
      </c>
      <c r="R8373" t="s">
        <v>869</v>
      </c>
      <c r="S8373" t="s">
        <v>870</v>
      </c>
      <c r="T8373" t="s">
        <v>16193</v>
      </c>
      <c r="U8373" t="s">
        <v>16194</v>
      </c>
      <c r="V8373" t="s">
        <v>16195</v>
      </c>
      <c r="W8373" t="s">
        <v>16196</v>
      </c>
      <c r="X8373" t="s">
        <v>16195</v>
      </c>
      <c r="Y8373" t="s">
        <v>3682</v>
      </c>
      <c r="Z8373" t="s">
        <v>16197</v>
      </c>
      <c r="AA8373" t="s">
        <v>16198</v>
      </c>
      <c r="AB8373" t="s">
        <v>16197</v>
      </c>
      <c r="AC8373" t="s">
        <v>878</v>
      </c>
      <c r="AD8373" t="s">
        <v>245</v>
      </c>
      <c r="AE8373" t="s">
        <v>16199</v>
      </c>
      <c r="AF8373" t="s">
        <v>16862</v>
      </c>
    </row>
    <row r="8374" spans="1:32" hidden="1" x14ac:dyDescent="0.35">
      <c r="A8374">
        <v>8373</v>
      </c>
      <c r="B8374" t="s">
        <v>16863</v>
      </c>
      <c r="C8374" t="s">
        <v>277</v>
      </c>
      <c r="D8374" t="s">
        <v>60</v>
      </c>
      <c r="E8374">
        <v>602</v>
      </c>
      <c r="F8374">
        <v>2</v>
      </c>
      <c r="G8374">
        <v>2</v>
      </c>
      <c r="H8374">
        <v>1</v>
      </c>
      <c r="I8374">
        <v>0</v>
      </c>
      <c r="J8374">
        <v>0.98495645288994504</v>
      </c>
      <c r="K8374">
        <v>1</v>
      </c>
      <c r="L8374">
        <v>0.99242122058236903</v>
      </c>
      <c r="M8374">
        <v>0.98337292161520196</v>
      </c>
      <c r="N8374">
        <v>0.98337292161520196</v>
      </c>
      <c r="O8374">
        <v>0.98337292161520196</v>
      </c>
      <c r="P8374" t="s">
        <v>16864</v>
      </c>
      <c r="Q8374" t="s">
        <v>16865</v>
      </c>
      <c r="AF8374" t="s">
        <v>16866</v>
      </c>
    </row>
    <row r="8375" spans="1:32" hidden="1" x14ac:dyDescent="0.35">
      <c r="A8375">
        <v>8374</v>
      </c>
      <c r="B8375" t="s">
        <v>16863</v>
      </c>
      <c r="C8375" t="s">
        <v>277</v>
      </c>
      <c r="D8375" t="s">
        <v>62</v>
      </c>
      <c r="E8375">
        <v>686</v>
      </c>
      <c r="F8375">
        <v>2</v>
      </c>
      <c r="G8375">
        <v>2</v>
      </c>
      <c r="H8375">
        <v>1</v>
      </c>
      <c r="I8375">
        <v>0</v>
      </c>
      <c r="J8375">
        <v>0.98495645288994504</v>
      </c>
      <c r="K8375">
        <v>1</v>
      </c>
      <c r="L8375">
        <v>0.99242122058236903</v>
      </c>
      <c r="M8375">
        <v>0.98337292161520196</v>
      </c>
      <c r="N8375">
        <v>0.98337292161520196</v>
      </c>
      <c r="O8375">
        <v>0.98337292161520196</v>
      </c>
      <c r="P8375" t="s">
        <v>16864</v>
      </c>
      <c r="Q8375" t="s">
        <v>16865</v>
      </c>
      <c r="AF8375" t="s">
        <v>16867</v>
      </c>
    </row>
    <row r="8376" spans="1:32" hidden="1" x14ac:dyDescent="0.35">
      <c r="A8376">
        <v>8375</v>
      </c>
      <c r="B8376" t="s">
        <v>16868</v>
      </c>
      <c r="C8376" t="s">
        <v>277</v>
      </c>
      <c r="D8376" t="s">
        <v>34</v>
      </c>
      <c r="E8376">
        <v>757</v>
      </c>
      <c r="F8376">
        <v>2</v>
      </c>
      <c r="G8376">
        <v>2</v>
      </c>
      <c r="H8376">
        <v>1</v>
      </c>
      <c r="I8376">
        <v>0</v>
      </c>
      <c r="J8376">
        <v>0.97</v>
      </c>
      <c r="K8376">
        <v>1</v>
      </c>
      <c r="L8376">
        <v>0.98477157360406098</v>
      </c>
      <c r="M8376">
        <v>0.96499999999999997</v>
      </c>
      <c r="N8376">
        <v>0.96499999999999997</v>
      </c>
      <c r="O8376">
        <v>0.96499999999999997</v>
      </c>
      <c r="P8376" t="s">
        <v>14528</v>
      </c>
      <c r="Q8376" t="s">
        <v>8704</v>
      </c>
      <c r="R8376" t="s">
        <v>319</v>
      </c>
      <c r="S8376" t="s">
        <v>320</v>
      </c>
      <c r="V8376" t="s">
        <v>16869</v>
      </c>
      <c r="W8376" t="s">
        <v>16870</v>
      </c>
      <c r="AF8376" t="s">
        <v>16871</v>
      </c>
    </row>
    <row r="8377" spans="1:32" hidden="1" x14ac:dyDescent="0.35">
      <c r="A8377">
        <v>8376</v>
      </c>
      <c r="B8377" t="s">
        <v>16868</v>
      </c>
      <c r="C8377" t="s">
        <v>277</v>
      </c>
      <c r="D8377" t="s">
        <v>45</v>
      </c>
      <c r="E8377">
        <v>2023</v>
      </c>
      <c r="F8377">
        <v>2</v>
      </c>
      <c r="G8377">
        <v>2</v>
      </c>
      <c r="H8377">
        <v>1</v>
      </c>
      <c r="I8377">
        <v>0</v>
      </c>
      <c r="J8377">
        <v>0.97</v>
      </c>
      <c r="K8377">
        <v>1</v>
      </c>
      <c r="L8377">
        <v>0.98477157360406098</v>
      </c>
      <c r="M8377">
        <v>0.96499999999999997</v>
      </c>
      <c r="N8377">
        <v>0.96499999999999997</v>
      </c>
      <c r="O8377">
        <v>0.96499999999999997</v>
      </c>
      <c r="P8377" t="s">
        <v>14528</v>
      </c>
      <c r="Q8377" t="s">
        <v>8704</v>
      </c>
      <c r="R8377" t="s">
        <v>319</v>
      </c>
      <c r="S8377" t="s">
        <v>320</v>
      </c>
      <c r="V8377" t="s">
        <v>16869</v>
      </c>
      <c r="W8377" t="s">
        <v>16870</v>
      </c>
      <c r="AF8377" t="s">
        <v>16872</v>
      </c>
    </row>
    <row r="8378" spans="1:32" hidden="1" x14ac:dyDescent="0.35">
      <c r="A8378">
        <v>8377</v>
      </c>
      <c r="B8378" t="s">
        <v>16873</v>
      </c>
      <c r="C8378" t="s">
        <v>277</v>
      </c>
      <c r="D8378" t="s">
        <v>34</v>
      </c>
      <c r="E8378">
        <v>1577</v>
      </c>
      <c r="F8378">
        <v>2</v>
      </c>
      <c r="G8378">
        <v>2</v>
      </c>
      <c r="H8378">
        <v>1</v>
      </c>
      <c r="I8378">
        <v>0</v>
      </c>
      <c r="J8378">
        <v>0.99200913242009103</v>
      </c>
      <c r="K8378">
        <v>1</v>
      </c>
      <c r="L8378">
        <v>0.99598853868194803</v>
      </c>
      <c r="M8378">
        <v>0.98972602739726001</v>
      </c>
      <c r="N8378">
        <v>0.98972602739726001</v>
      </c>
      <c r="O8378">
        <v>0.98972602739726001</v>
      </c>
      <c r="P8378" t="s">
        <v>12423</v>
      </c>
      <c r="Q8378" t="s">
        <v>12424</v>
      </c>
      <c r="R8378" t="s">
        <v>224</v>
      </c>
      <c r="S8378" t="s">
        <v>225</v>
      </c>
      <c r="T8378" t="s">
        <v>16874</v>
      </c>
      <c r="U8378" t="s">
        <v>16875</v>
      </c>
      <c r="V8378" t="s">
        <v>8738</v>
      </c>
      <c r="W8378" t="s">
        <v>8739</v>
      </c>
      <c r="AD8378" t="s">
        <v>219</v>
      </c>
      <c r="AE8378" t="s">
        <v>16876</v>
      </c>
      <c r="AF8378" t="s">
        <v>16877</v>
      </c>
    </row>
    <row r="8379" spans="1:32" hidden="1" x14ac:dyDescent="0.35">
      <c r="A8379">
        <v>8378</v>
      </c>
      <c r="B8379" t="s">
        <v>16873</v>
      </c>
      <c r="C8379" t="s">
        <v>277</v>
      </c>
      <c r="D8379" t="s">
        <v>45</v>
      </c>
      <c r="E8379">
        <v>327</v>
      </c>
      <c r="F8379">
        <v>2</v>
      </c>
      <c r="G8379">
        <v>2</v>
      </c>
      <c r="H8379">
        <v>1</v>
      </c>
      <c r="I8379">
        <v>0</v>
      </c>
      <c r="J8379">
        <v>0.99200913242009103</v>
      </c>
      <c r="K8379">
        <v>1</v>
      </c>
      <c r="L8379">
        <v>0.99598853868194803</v>
      </c>
      <c r="M8379">
        <v>0.98972602739726001</v>
      </c>
      <c r="N8379">
        <v>0.98972602739726001</v>
      </c>
      <c r="O8379">
        <v>0.98972602739726001</v>
      </c>
      <c r="P8379" t="s">
        <v>12423</v>
      </c>
      <c r="Q8379" t="s">
        <v>12424</v>
      </c>
      <c r="R8379" t="s">
        <v>224</v>
      </c>
      <c r="S8379" t="s">
        <v>225</v>
      </c>
      <c r="T8379" t="s">
        <v>16874</v>
      </c>
      <c r="U8379" t="s">
        <v>16875</v>
      </c>
      <c r="V8379" t="s">
        <v>8738</v>
      </c>
      <c r="W8379" t="s">
        <v>8739</v>
      </c>
      <c r="AD8379" t="s">
        <v>219</v>
      </c>
      <c r="AE8379" t="s">
        <v>16876</v>
      </c>
      <c r="AF8379" t="s">
        <v>16878</v>
      </c>
    </row>
    <row r="8380" spans="1:32" hidden="1" x14ac:dyDescent="0.35">
      <c r="A8380">
        <v>8379</v>
      </c>
      <c r="B8380" t="s">
        <v>16879</v>
      </c>
      <c r="C8380" t="s">
        <v>277</v>
      </c>
      <c r="D8380" t="s">
        <v>60</v>
      </c>
      <c r="E8380">
        <v>1053</v>
      </c>
      <c r="F8380">
        <v>2</v>
      </c>
      <c r="G8380">
        <v>2</v>
      </c>
      <c r="H8380">
        <v>1</v>
      </c>
      <c r="I8380">
        <v>0</v>
      </c>
      <c r="J8380">
        <v>0.95121951219512202</v>
      </c>
      <c r="K8380">
        <v>1</v>
      </c>
      <c r="L8380">
        <v>0.97499999999999998</v>
      </c>
      <c r="M8380">
        <v>0.93495934959349603</v>
      </c>
      <c r="N8380">
        <v>0.93495934959349603</v>
      </c>
      <c r="O8380">
        <v>0.93495934959349603</v>
      </c>
      <c r="AF8380" t="s">
        <v>16880</v>
      </c>
    </row>
    <row r="8381" spans="1:32" hidden="1" x14ac:dyDescent="0.35">
      <c r="A8381">
        <v>8380</v>
      </c>
      <c r="B8381" t="s">
        <v>16879</v>
      </c>
      <c r="C8381" t="s">
        <v>277</v>
      </c>
      <c r="D8381" t="s">
        <v>62</v>
      </c>
      <c r="E8381">
        <v>1089</v>
      </c>
      <c r="F8381">
        <v>2</v>
      </c>
      <c r="G8381">
        <v>2</v>
      </c>
      <c r="H8381">
        <v>1</v>
      </c>
      <c r="I8381">
        <v>0</v>
      </c>
      <c r="J8381">
        <v>0.95121951219512202</v>
      </c>
      <c r="K8381">
        <v>1</v>
      </c>
      <c r="L8381">
        <v>0.97499999999999998</v>
      </c>
      <c r="M8381">
        <v>0.93495934959349603</v>
      </c>
      <c r="N8381">
        <v>0.93495934959349603</v>
      </c>
      <c r="O8381">
        <v>0.93495934959349603</v>
      </c>
      <c r="AF8381" t="s">
        <v>16881</v>
      </c>
    </row>
    <row r="8382" spans="1:32" hidden="1" x14ac:dyDescent="0.35">
      <c r="A8382">
        <v>8381</v>
      </c>
      <c r="B8382" t="s">
        <v>16882</v>
      </c>
      <c r="C8382" t="s">
        <v>277</v>
      </c>
      <c r="D8382" t="s">
        <v>34</v>
      </c>
      <c r="E8382">
        <v>1351</v>
      </c>
      <c r="F8382">
        <v>2</v>
      </c>
      <c r="G8382">
        <v>2</v>
      </c>
      <c r="H8382">
        <v>1</v>
      </c>
      <c r="I8382">
        <v>0</v>
      </c>
      <c r="J8382">
        <v>0.98684210526315796</v>
      </c>
      <c r="K8382">
        <v>1</v>
      </c>
      <c r="L8382">
        <v>0.99337748344370902</v>
      </c>
      <c r="M8382">
        <v>0.98684210526315796</v>
      </c>
      <c r="N8382">
        <v>0.98684210526315796</v>
      </c>
      <c r="O8382">
        <v>0.98684210526315796</v>
      </c>
      <c r="AF8382" t="s">
        <v>16883</v>
      </c>
    </row>
    <row r="8383" spans="1:32" hidden="1" x14ac:dyDescent="0.35">
      <c r="A8383">
        <v>8382</v>
      </c>
      <c r="B8383" t="s">
        <v>16882</v>
      </c>
      <c r="C8383" t="s">
        <v>277</v>
      </c>
      <c r="D8383" t="s">
        <v>45</v>
      </c>
      <c r="E8383">
        <v>101</v>
      </c>
      <c r="F8383">
        <v>2</v>
      </c>
      <c r="G8383">
        <v>2</v>
      </c>
      <c r="H8383">
        <v>1</v>
      </c>
      <c r="I8383">
        <v>0</v>
      </c>
      <c r="J8383">
        <v>0.98684210526315796</v>
      </c>
      <c r="K8383">
        <v>1</v>
      </c>
      <c r="L8383">
        <v>0.99337748344370902</v>
      </c>
      <c r="M8383">
        <v>0.98684210526315796</v>
      </c>
      <c r="N8383">
        <v>0.98684210526315796</v>
      </c>
      <c r="O8383">
        <v>0.98684210526315796</v>
      </c>
      <c r="AF8383" t="s">
        <v>16884</v>
      </c>
    </row>
    <row r="8384" spans="1:32" hidden="1" x14ac:dyDescent="0.35">
      <c r="A8384">
        <v>8383</v>
      </c>
      <c r="B8384" t="s">
        <v>16885</v>
      </c>
      <c r="C8384" t="s">
        <v>277</v>
      </c>
      <c r="D8384" t="s">
        <v>34</v>
      </c>
      <c r="E8384">
        <v>22</v>
      </c>
      <c r="F8384">
        <v>2</v>
      </c>
      <c r="G8384">
        <v>2</v>
      </c>
      <c r="H8384">
        <v>1</v>
      </c>
      <c r="I8384">
        <v>0</v>
      </c>
      <c r="J8384">
        <v>0.970649895178197</v>
      </c>
      <c r="K8384">
        <v>0.63657276944419905</v>
      </c>
      <c r="L8384">
        <v>0.76889071506401896</v>
      </c>
      <c r="M8384">
        <v>0.50657894736842102</v>
      </c>
      <c r="N8384">
        <v>0.50657894736842102</v>
      </c>
      <c r="O8384">
        <v>0.50657894736842102</v>
      </c>
      <c r="P8384" t="s">
        <v>16886</v>
      </c>
      <c r="Q8384" t="s">
        <v>16887</v>
      </c>
      <c r="R8384" t="s">
        <v>288</v>
      </c>
      <c r="S8384" t="s">
        <v>289</v>
      </c>
      <c r="T8384" t="s">
        <v>16888</v>
      </c>
      <c r="U8384" t="s">
        <v>16889</v>
      </c>
      <c r="V8384" t="s">
        <v>16890</v>
      </c>
      <c r="W8384" t="s">
        <v>16891</v>
      </c>
      <c r="AD8384" t="s">
        <v>219</v>
      </c>
      <c r="AE8384" t="s">
        <v>16892</v>
      </c>
      <c r="AF8384" t="s">
        <v>16893</v>
      </c>
    </row>
    <row r="8385" spans="1:32" hidden="1" x14ac:dyDescent="0.35">
      <c r="A8385">
        <v>8384</v>
      </c>
      <c r="B8385" t="s">
        <v>16885</v>
      </c>
      <c r="C8385" t="s">
        <v>277</v>
      </c>
      <c r="D8385" t="s">
        <v>45</v>
      </c>
      <c r="E8385">
        <v>1278</v>
      </c>
      <c r="F8385">
        <v>2</v>
      </c>
      <c r="G8385">
        <v>2</v>
      </c>
      <c r="H8385">
        <v>1</v>
      </c>
      <c r="I8385">
        <v>0</v>
      </c>
      <c r="J8385">
        <v>0.970649895178197</v>
      </c>
      <c r="K8385">
        <v>0.63657276944419905</v>
      </c>
      <c r="L8385">
        <v>0.76889071506401896</v>
      </c>
      <c r="M8385">
        <v>0.50657894736842102</v>
      </c>
      <c r="N8385">
        <v>0.50657894736842102</v>
      </c>
      <c r="O8385">
        <v>0.50657894736842102</v>
      </c>
      <c r="P8385" t="s">
        <v>16894</v>
      </c>
      <c r="Q8385" t="s">
        <v>16895</v>
      </c>
      <c r="R8385" t="s">
        <v>288</v>
      </c>
      <c r="S8385" t="s">
        <v>289</v>
      </c>
      <c r="V8385" t="s">
        <v>16890</v>
      </c>
      <c r="W8385" t="s">
        <v>16891</v>
      </c>
      <c r="AF8385" t="s">
        <v>16896</v>
      </c>
    </row>
    <row r="8386" spans="1:32" hidden="1" x14ac:dyDescent="0.35">
      <c r="A8386">
        <v>8385</v>
      </c>
      <c r="B8386" t="s">
        <v>16897</v>
      </c>
      <c r="C8386" t="s">
        <v>277</v>
      </c>
      <c r="D8386" t="s">
        <v>34</v>
      </c>
      <c r="E8386">
        <v>190</v>
      </c>
      <c r="F8386">
        <v>2</v>
      </c>
      <c r="G8386">
        <v>2</v>
      </c>
      <c r="H8386">
        <v>1</v>
      </c>
      <c r="I8386">
        <v>0</v>
      </c>
      <c r="J8386">
        <v>0.97731239092495603</v>
      </c>
      <c r="K8386">
        <v>0.90950124125479703</v>
      </c>
      <c r="L8386">
        <v>0.94218826648297205</v>
      </c>
      <c r="M8386">
        <v>0.88151658767772501</v>
      </c>
      <c r="N8386">
        <v>0.88151658767772501</v>
      </c>
      <c r="O8386">
        <v>0.88151658767772501</v>
      </c>
      <c r="P8386" t="s">
        <v>15407</v>
      </c>
      <c r="Q8386" t="s">
        <v>15408</v>
      </c>
      <c r="R8386" t="s">
        <v>138</v>
      </c>
      <c r="S8386" t="s">
        <v>139</v>
      </c>
      <c r="V8386" t="s">
        <v>15409</v>
      </c>
      <c r="W8386" t="s">
        <v>15410</v>
      </c>
      <c r="X8386" t="s">
        <v>15409</v>
      </c>
      <c r="Y8386" t="s">
        <v>15411</v>
      </c>
      <c r="AF8386" t="s">
        <v>16898</v>
      </c>
    </row>
    <row r="8387" spans="1:32" hidden="1" x14ac:dyDescent="0.35">
      <c r="A8387">
        <v>8386</v>
      </c>
      <c r="B8387" t="s">
        <v>16897</v>
      </c>
      <c r="C8387" t="s">
        <v>277</v>
      </c>
      <c r="D8387" t="s">
        <v>45</v>
      </c>
      <c r="E8387">
        <v>1453</v>
      </c>
      <c r="F8387">
        <v>2</v>
      </c>
      <c r="G8387">
        <v>2</v>
      </c>
      <c r="H8387">
        <v>1</v>
      </c>
      <c r="I8387">
        <v>0</v>
      </c>
      <c r="J8387">
        <v>0.97731239092495603</v>
      </c>
      <c r="K8387">
        <v>0.90950124125479703</v>
      </c>
      <c r="L8387">
        <v>0.94218826648297205</v>
      </c>
      <c r="M8387">
        <v>0.88151658767772501</v>
      </c>
      <c r="N8387">
        <v>0.88151658767772501</v>
      </c>
      <c r="O8387">
        <v>0.88151658767772501</v>
      </c>
      <c r="P8387" t="s">
        <v>15407</v>
      </c>
      <c r="Q8387" t="s">
        <v>15408</v>
      </c>
      <c r="R8387" t="s">
        <v>138</v>
      </c>
      <c r="S8387" t="s">
        <v>139</v>
      </c>
      <c r="V8387" t="s">
        <v>15409</v>
      </c>
      <c r="W8387" t="s">
        <v>15410</v>
      </c>
      <c r="X8387" t="s">
        <v>15409</v>
      </c>
      <c r="Y8387" t="s">
        <v>15411</v>
      </c>
      <c r="AF8387" t="e">
        <f>--------------------MCLTLLPIGCERRSPNMTTLAQVPQRRTVVGYERTEFGAGWGSSTTRPGCSVRDDMLRTQLTVLTESDRCKPIAQGICPYSGRVISSDPAMAAGEPIELDHIFPLSAAWDMGAYAWPMAKRLAFANDPANLVAVAKAENQAKSDSLPSEWLPSDSSQRCWYVNQLADIAVTYGLAVSAADAAVMRHQCPMG</f>
        <v>#NAME?</v>
      </c>
    </row>
    <row r="8388" spans="1:32" hidden="1" x14ac:dyDescent="0.35">
      <c r="A8388">
        <v>8387</v>
      </c>
      <c r="B8388" t="s">
        <v>16899</v>
      </c>
      <c r="C8388" t="s">
        <v>277</v>
      </c>
      <c r="D8388" t="s">
        <v>34</v>
      </c>
      <c r="E8388">
        <v>1138</v>
      </c>
      <c r="F8388">
        <v>2</v>
      </c>
      <c r="G8388">
        <v>2</v>
      </c>
      <c r="H8388">
        <v>1</v>
      </c>
      <c r="I8388">
        <v>0</v>
      </c>
      <c r="J8388">
        <v>0.987972508591065</v>
      </c>
      <c r="K8388">
        <v>1</v>
      </c>
      <c r="L8388">
        <v>0.99394987035436499</v>
      </c>
      <c r="M8388">
        <v>0.98453608247422697</v>
      </c>
      <c r="N8388">
        <v>0.98453608247422697</v>
      </c>
      <c r="O8388">
        <v>0.98453608247422697</v>
      </c>
      <c r="AF8388" t="s">
        <v>16900</v>
      </c>
    </row>
    <row r="8389" spans="1:32" hidden="1" x14ac:dyDescent="0.35">
      <c r="A8389">
        <v>8388</v>
      </c>
      <c r="B8389" t="s">
        <v>16899</v>
      </c>
      <c r="C8389" t="s">
        <v>277</v>
      </c>
      <c r="D8389" t="s">
        <v>45</v>
      </c>
      <c r="E8389">
        <v>2384</v>
      </c>
      <c r="F8389">
        <v>2</v>
      </c>
      <c r="G8389">
        <v>2</v>
      </c>
      <c r="H8389">
        <v>1</v>
      </c>
      <c r="I8389">
        <v>0</v>
      </c>
      <c r="J8389">
        <v>0.987972508591065</v>
      </c>
      <c r="K8389">
        <v>1</v>
      </c>
      <c r="L8389">
        <v>0.99394987035436499</v>
      </c>
      <c r="M8389">
        <v>0.98453608247422697</v>
      </c>
      <c r="N8389">
        <v>0.98453608247422697</v>
      </c>
      <c r="O8389">
        <v>0.98453608247422697</v>
      </c>
      <c r="P8389" t="s">
        <v>16901</v>
      </c>
      <c r="Q8389" t="s">
        <v>16902</v>
      </c>
      <c r="AF8389" t="s">
        <v>16903</v>
      </c>
    </row>
    <row r="8390" spans="1:32" hidden="1" x14ac:dyDescent="0.35">
      <c r="A8390">
        <v>8389</v>
      </c>
      <c r="B8390" t="s">
        <v>16904</v>
      </c>
      <c r="C8390" t="s">
        <v>277</v>
      </c>
      <c r="D8390" t="s">
        <v>60</v>
      </c>
      <c r="E8390">
        <v>2390</v>
      </c>
      <c r="F8390">
        <v>2</v>
      </c>
      <c r="G8390">
        <v>2</v>
      </c>
      <c r="H8390">
        <v>1</v>
      </c>
      <c r="I8390">
        <v>0</v>
      </c>
      <c r="J8390">
        <v>0.99547511312217196</v>
      </c>
      <c r="K8390">
        <v>1</v>
      </c>
      <c r="L8390">
        <v>0.99773242630385495</v>
      </c>
      <c r="M8390">
        <v>0.99547511312217196</v>
      </c>
      <c r="N8390">
        <v>0.99547511312217196</v>
      </c>
      <c r="O8390">
        <v>0.99547511312217196</v>
      </c>
      <c r="P8390" t="s">
        <v>16423</v>
      </c>
      <c r="Q8390" t="s">
        <v>16424</v>
      </c>
      <c r="R8390" t="s">
        <v>1259</v>
      </c>
      <c r="S8390" t="s">
        <v>1260</v>
      </c>
      <c r="V8390" t="s">
        <v>16425</v>
      </c>
      <c r="W8390" t="s">
        <v>16426</v>
      </c>
      <c r="AF8390" t="s">
        <v>16905</v>
      </c>
    </row>
    <row r="8391" spans="1:32" hidden="1" x14ac:dyDescent="0.35">
      <c r="A8391">
        <v>8390</v>
      </c>
      <c r="B8391" t="s">
        <v>16904</v>
      </c>
      <c r="C8391" t="s">
        <v>277</v>
      </c>
      <c r="D8391" t="s">
        <v>62</v>
      </c>
      <c r="E8391">
        <v>2418</v>
      </c>
      <c r="F8391">
        <v>2</v>
      </c>
      <c r="G8391">
        <v>2</v>
      </c>
      <c r="H8391">
        <v>1</v>
      </c>
      <c r="I8391">
        <v>0</v>
      </c>
      <c r="J8391">
        <v>0.99547511312217196</v>
      </c>
      <c r="K8391">
        <v>1</v>
      </c>
      <c r="L8391">
        <v>0.99773242630385495</v>
      </c>
      <c r="M8391">
        <v>0.99547511312217196</v>
      </c>
      <c r="N8391">
        <v>0.99547511312217196</v>
      </c>
      <c r="O8391">
        <v>0.99547511312217196</v>
      </c>
      <c r="P8391" t="s">
        <v>16423</v>
      </c>
      <c r="Q8391" t="s">
        <v>16424</v>
      </c>
      <c r="R8391" t="s">
        <v>1259</v>
      </c>
      <c r="S8391" t="s">
        <v>1260</v>
      </c>
      <c r="T8391" t="s">
        <v>16906</v>
      </c>
      <c r="U8391" t="s">
        <v>2977</v>
      </c>
      <c r="V8391" t="s">
        <v>16425</v>
      </c>
      <c r="W8391" t="s">
        <v>16426</v>
      </c>
      <c r="AD8391" t="s">
        <v>410</v>
      </c>
      <c r="AE8391" t="s">
        <v>603</v>
      </c>
      <c r="AF8391" t="s">
        <v>16907</v>
      </c>
    </row>
    <row r="8392" spans="1:32" hidden="1" x14ac:dyDescent="0.35">
      <c r="A8392">
        <v>8391</v>
      </c>
      <c r="B8392" t="s">
        <v>16908</v>
      </c>
      <c r="C8392" t="s">
        <v>277</v>
      </c>
      <c r="D8392" t="s">
        <v>34</v>
      </c>
      <c r="E8392">
        <v>2194</v>
      </c>
      <c r="F8392">
        <v>2</v>
      </c>
      <c r="G8392">
        <v>2</v>
      </c>
      <c r="H8392">
        <v>1</v>
      </c>
      <c r="I8392">
        <v>0</v>
      </c>
      <c r="J8392">
        <v>0.97409679618268596</v>
      </c>
      <c r="K8392">
        <v>1</v>
      </c>
      <c r="L8392">
        <v>0.98687845303867405</v>
      </c>
      <c r="M8392">
        <v>0.96728016359918201</v>
      </c>
      <c r="N8392">
        <v>0.96728016359918201</v>
      </c>
      <c r="O8392">
        <v>0.96728016359918201</v>
      </c>
      <c r="P8392" t="s">
        <v>16909</v>
      </c>
      <c r="Q8392" t="s">
        <v>16910</v>
      </c>
      <c r="R8392" t="s">
        <v>113</v>
      </c>
      <c r="S8392" t="s">
        <v>114</v>
      </c>
      <c r="V8392" t="s">
        <v>16911</v>
      </c>
      <c r="W8392" t="s">
        <v>16912</v>
      </c>
      <c r="AF8392" t="s">
        <v>16913</v>
      </c>
    </row>
    <row r="8393" spans="1:32" hidden="1" x14ac:dyDescent="0.35">
      <c r="A8393">
        <v>8392</v>
      </c>
      <c r="B8393" t="s">
        <v>16908</v>
      </c>
      <c r="C8393" t="s">
        <v>277</v>
      </c>
      <c r="D8393" t="s">
        <v>45</v>
      </c>
      <c r="E8393">
        <v>680</v>
      </c>
      <c r="F8393">
        <v>2</v>
      </c>
      <c r="G8393">
        <v>2</v>
      </c>
      <c r="H8393">
        <v>1</v>
      </c>
      <c r="I8393">
        <v>0</v>
      </c>
      <c r="J8393">
        <v>0.97409679618268596</v>
      </c>
      <c r="K8393">
        <v>1</v>
      </c>
      <c r="L8393">
        <v>0.98687845303867405</v>
      </c>
      <c r="M8393">
        <v>0.96728016359918201</v>
      </c>
      <c r="N8393">
        <v>0.96728016359918201</v>
      </c>
      <c r="O8393">
        <v>0.96728016359918201</v>
      </c>
      <c r="P8393" t="s">
        <v>16909</v>
      </c>
      <c r="Q8393" t="s">
        <v>16910</v>
      </c>
      <c r="R8393" t="s">
        <v>113</v>
      </c>
      <c r="S8393" t="s">
        <v>114</v>
      </c>
      <c r="V8393" t="s">
        <v>16911</v>
      </c>
      <c r="W8393" t="s">
        <v>16912</v>
      </c>
      <c r="AF8393" t="s">
        <v>16914</v>
      </c>
    </row>
    <row r="8394" spans="1:32" hidden="1" x14ac:dyDescent="0.35">
      <c r="A8394">
        <v>8393</v>
      </c>
      <c r="B8394" t="s">
        <v>16915</v>
      </c>
      <c r="C8394" t="s">
        <v>277</v>
      </c>
      <c r="D8394" t="s">
        <v>34</v>
      </c>
      <c r="E8394">
        <v>2325</v>
      </c>
      <c r="F8394">
        <v>2</v>
      </c>
      <c r="G8394">
        <v>2</v>
      </c>
      <c r="H8394">
        <v>1</v>
      </c>
      <c r="I8394">
        <v>0</v>
      </c>
      <c r="J8394">
        <v>0.99338999055712895</v>
      </c>
      <c r="K8394">
        <v>1</v>
      </c>
      <c r="L8394">
        <v>0.99668403600189504</v>
      </c>
      <c r="M8394">
        <v>0.99150141643059497</v>
      </c>
      <c r="N8394">
        <v>0.99150141643059497</v>
      </c>
      <c r="O8394">
        <v>0.99150141643059497</v>
      </c>
      <c r="P8394" t="s">
        <v>16916</v>
      </c>
      <c r="Q8394" t="s">
        <v>16917</v>
      </c>
      <c r="AF8394" t="s">
        <v>16918</v>
      </c>
    </row>
    <row r="8395" spans="1:32" hidden="1" x14ac:dyDescent="0.35">
      <c r="A8395">
        <v>8394</v>
      </c>
      <c r="B8395" t="s">
        <v>16915</v>
      </c>
      <c r="C8395" t="s">
        <v>277</v>
      </c>
      <c r="D8395" t="s">
        <v>45</v>
      </c>
      <c r="E8395">
        <v>553</v>
      </c>
      <c r="F8395">
        <v>2</v>
      </c>
      <c r="G8395">
        <v>2</v>
      </c>
      <c r="H8395">
        <v>1</v>
      </c>
      <c r="I8395">
        <v>0</v>
      </c>
      <c r="J8395">
        <v>0.99338999055712895</v>
      </c>
      <c r="K8395">
        <v>1</v>
      </c>
      <c r="L8395">
        <v>0.99668403600189504</v>
      </c>
      <c r="M8395">
        <v>0.99150141643059497</v>
      </c>
      <c r="N8395">
        <v>0.99150141643059497</v>
      </c>
      <c r="O8395">
        <v>0.99150141643059497</v>
      </c>
      <c r="P8395" t="s">
        <v>16916</v>
      </c>
      <c r="Q8395" t="s">
        <v>16917</v>
      </c>
      <c r="AF8395" t="s">
        <v>16919</v>
      </c>
    </row>
    <row r="8396" spans="1:32" hidden="1" x14ac:dyDescent="0.35">
      <c r="A8396">
        <v>8395</v>
      </c>
      <c r="B8396" t="s">
        <v>16920</v>
      </c>
      <c r="C8396" t="s">
        <v>277</v>
      </c>
      <c r="D8396" t="s">
        <v>60</v>
      </c>
      <c r="E8396">
        <v>1912</v>
      </c>
      <c r="F8396">
        <v>2</v>
      </c>
      <c r="G8396">
        <v>2</v>
      </c>
      <c r="H8396">
        <v>1</v>
      </c>
      <c r="I8396">
        <v>0</v>
      </c>
      <c r="J8396">
        <v>0.99538319482917803</v>
      </c>
      <c r="K8396">
        <v>1</v>
      </c>
      <c r="L8396">
        <v>0.99768625636279495</v>
      </c>
      <c r="M8396">
        <v>0.99168975069252097</v>
      </c>
      <c r="N8396">
        <v>0.99168975069252097</v>
      </c>
      <c r="O8396">
        <v>0.99168975069252097</v>
      </c>
      <c r="P8396" t="s">
        <v>6464</v>
      </c>
      <c r="Q8396" t="s">
        <v>6465</v>
      </c>
      <c r="R8396" t="s">
        <v>319</v>
      </c>
      <c r="S8396" t="s">
        <v>320</v>
      </c>
      <c r="T8396" t="s">
        <v>16921</v>
      </c>
      <c r="U8396" t="s">
        <v>16922</v>
      </c>
      <c r="V8396" t="s">
        <v>16923</v>
      </c>
      <c r="W8396" t="s">
        <v>16924</v>
      </c>
      <c r="AD8396" t="s">
        <v>219</v>
      </c>
      <c r="AE8396" t="s">
        <v>16925</v>
      </c>
      <c r="AF8396" t="s">
        <v>16926</v>
      </c>
    </row>
    <row r="8397" spans="1:32" hidden="1" x14ac:dyDescent="0.35">
      <c r="A8397">
        <v>8396</v>
      </c>
      <c r="B8397" t="s">
        <v>16920</v>
      </c>
      <c r="C8397" t="s">
        <v>277</v>
      </c>
      <c r="D8397" t="s">
        <v>62</v>
      </c>
      <c r="E8397">
        <v>1952</v>
      </c>
      <c r="F8397">
        <v>2</v>
      </c>
      <c r="G8397">
        <v>2</v>
      </c>
      <c r="H8397">
        <v>1</v>
      </c>
      <c r="I8397">
        <v>0</v>
      </c>
      <c r="J8397">
        <v>0.99538319482917803</v>
      </c>
      <c r="K8397">
        <v>1</v>
      </c>
      <c r="L8397">
        <v>0.99768625636279495</v>
      </c>
      <c r="M8397">
        <v>0.99168975069252097</v>
      </c>
      <c r="N8397">
        <v>0.99168975069252097</v>
      </c>
      <c r="O8397">
        <v>0.99168975069252097</v>
      </c>
      <c r="P8397" t="s">
        <v>6464</v>
      </c>
      <c r="Q8397" t="s">
        <v>6465</v>
      </c>
      <c r="R8397" t="s">
        <v>319</v>
      </c>
      <c r="S8397" t="s">
        <v>320</v>
      </c>
      <c r="T8397" t="s">
        <v>16921</v>
      </c>
      <c r="U8397" t="s">
        <v>16922</v>
      </c>
      <c r="V8397" t="s">
        <v>16923</v>
      </c>
      <c r="W8397" t="s">
        <v>16924</v>
      </c>
      <c r="AD8397" t="s">
        <v>219</v>
      </c>
      <c r="AE8397" t="s">
        <v>16925</v>
      </c>
      <c r="AF8397" t="s">
        <v>16927</v>
      </c>
    </row>
    <row r="8398" spans="1:32" hidden="1" x14ac:dyDescent="0.35">
      <c r="A8398">
        <v>8397</v>
      </c>
      <c r="B8398" t="s">
        <v>16928</v>
      </c>
      <c r="C8398" t="s">
        <v>277</v>
      </c>
      <c r="D8398" t="s">
        <v>34</v>
      </c>
      <c r="E8398">
        <v>557</v>
      </c>
      <c r="F8398">
        <v>2</v>
      </c>
      <c r="G8398">
        <v>2</v>
      </c>
      <c r="H8398">
        <v>1</v>
      </c>
      <c r="I8398">
        <v>0</v>
      </c>
      <c r="J8398">
        <v>0.97313797313797301</v>
      </c>
      <c r="K8398">
        <v>1</v>
      </c>
      <c r="L8398">
        <v>0.98638613861386104</v>
      </c>
      <c r="M8398">
        <v>0.97069597069597102</v>
      </c>
      <c r="N8398">
        <v>0.97069597069597102</v>
      </c>
      <c r="O8398">
        <v>0.97069597069597102</v>
      </c>
      <c r="P8398" t="s">
        <v>8528</v>
      </c>
      <c r="Q8398" t="s">
        <v>8529</v>
      </c>
      <c r="R8398" t="s">
        <v>8530</v>
      </c>
      <c r="S8398" t="s">
        <v>8531</v>
      </c>
      <c r="T8398" t="s">
        <v>16929</v>
      </c>
      <c r="U8398" t="s">
        <v>16930</v>
      </c>
      <c r="V8398" t="s">
        <v>8534</v>
      </c>
      <c r="W8398" t="s">
        <v>8535</v>
      </c>
      <c r="AD8398" t="s">
        <v>16931</v>
      </c>
      <c r="AE8398" t="s">
        <v>16932</v>
      </c>
      <c r="AF8398" t="s">
        <v>16933</v>
      </c>
    </row>
    <row r="8399" spans="1:32" hidden="1" x14ac:dyDescent="0.35">
      <c r="A8399">
        <v>8398</v>
      </c>
      <c r="B8399" t="s">
        <v>16928</v>
      </c>
      <c r="C8399" t="s">
        <v>277</v>
      </c>
      <c r="D8399" t="s">
        <v>45</v>
      </c>
      <c r="E8399">
        <v>1823</v>
      </c>
      <c r="F8399">
        <v>2</v>
      </c>
      <c r="G8399">
        <v>2</v>
      </c>
      <c r="H8399">
        <v>1</v>
      </c>
      <c r="I8399">
        <v>0</v>
      </c>
      <c r="J8399">
        <v>0.97313797313797301</v>
      </c>
      <c r="K8399">
        <v>1</v>
      </c>
      <c r="L8399">
        <v>0.98638613861386104</v>
      </c>
      <c r="M8399">
        <v>0.97069597069597102</v>
      </c>
      <c r="N8399">
        <v>0.97069597069597102</v>
      </c>
      <c r="O8399">
        <v>0.97069597069597102</v>
      </c>
      <c r="P8399" t="s">
        <v>8528</v>
      </c>
      <c r="Q8399" t="s">
        <v>8529</v>
      </c>
      <c r="R8399" t="s">
        <v>8530</v>
      </c>
      <c r="S8399" t="s">
        <v>8531</v>
      </c>
      <c r="T8399" t="s">
        <v>16929</v>
      </c>
      <c r="U8399" t="s">
        <v>16930</v>
      </c>
      <c r="V8399" t="s">
        <v>8534</v>
      </c>
      <c r="W8399" t="s">
        <v>8535</v>
      </c>
      <c r="AD8399" t="s">
        <v>16931</v>
      </c>
      <c r="AE8399" t="s">
        <v>16932</v>
      </c>
      <c r="AF8399" t="s">
        <v>16934</v>
      </c>
    </row>
    <row r="8400" spans="1:32" hidden="1" x14ac:dyDescent="0.35">
      <c r="A8400">
        <v>8399</v>
      </c>
      <c r="B8400" t="s">
        <v>16935</v>
      </c>
      <c r="C8400" t="s">
        <v>277</v>
      </c>
      <c r="D8400" t="s">
        <v>34</v>
      </c>
      <c r="E8400">
        <v>1434</v>
      </c>
      <c r="F8400">
        <v>2</v>
      </c>
      <c r="G8400">
        <v>2</v>
      </c>
      <c r="H8400">
        <v>1</v>
      </c>
      <c r="I8400">
        <v>0</v>
      </c>
      <c r="J8400">
        <v>0.99585921325051796</v>
      </c>
      <c r="K8400">
        <v>1</v>
      </c>
      <c r="L8400">
        <v>0.99792531120331995</v>
      </c>
      <c r="M8400">
        <v>0.99378881987577605</v>
      </c>
      <c r="N8400">
        <v>0.99378881987577605</v>
      </c>
      <c r="O8400">
        <v>0.99378881987577605</v>
      </c>
      <c r="AF8400" t="s">
        <v>16936</v>
      </c>
    </row>
    <row r="8401" spans="1:32" hidden="1" x14ac:dyDescent="0.35">
      <c r="A8401">
        <v>8400</v>
      </c>
      <c r="B8401" t="s">
        <v>16935</v>
      </c>
      <c r="C8401" t="s">
        <v>277</v>
      </c>
      <c r="D8401" t="s">
        <v>45</v>
      </c>
      <c r="E8401">
        <v>185</v>
      </c>
      <c r="F8401">
        <v>2</v>
      </c>
      <c r="G8401">
        <v>2</v>
      </c>
      <c r="H8401">
        <v>1</v>
      </c>
      <c r="I8401">
        <v>0</v>
      </c>
      <c r="J8401">
        <v>0.99585921325051796</v>
      </c>
      <c r="K8401">
        <v>1</v>
      </c>
      <c r="L8401">
        <v>0.99792531120331995</v>
      </c>
      <c r="M8401">
        <v>0.99378881987577605</v>
      </c>
      <c r="N8401">
        <v>0.99378881987577605</v>
      </c>
      <c r="O8401">
        <v>0.99378881987577605</v>
      </c>
      <c r="AF8401" t="s">
        <v>16937</v>
      </c>
    </row>
    <row r="8402" spans="1:32" hidden="1" x14ac:dyDescent="0.35">
      <c r="A8402">
        <v>8401</v>
      </c>
      <c r="B8402" t="s">
        <v>16938</v>
      </c>
      <c r="C8402" t="s">
        <v>277</v>
      </c>
      <c r="D8402" t="s">
        <v>34</v>
      </c>
      <c r="E8402">
        <v>800</v>
      </c>
      <c r="F8402">
        <v>2</v>
      </c>
      <c r="G8402">
        <v>2</v>
      </c>
      <c r="H8402">
        <v>1</v>
      </c>
      <c r="I8402">
        <v>0</v>
      </c>
      <c r="J8402">
        <v>0.99545454545454504</v>
      </c>
      <c r="K8402">
        <v>1</v>
      </c>
      <c r="L8402">
        <v>0.997722095671982</v>
      </c>
      <c r="M8402">
        <v>0.99545454545454504</v>
      </c>
      <c r="N8402">
        <v>0.99545454545454504</v>
      </c>
      <c r="O8402">
        <v>0.99545454545454504</v>
      </c>
      <c r="P8402" t="s">
        <v>16939</v>
      </c>
      <c r="Q8402" t="s">
        <v>16940</v>
      </c>
      <c r="R8402" t="s">
        <v>138</v>
      </c>
      <c r="S8402" t="s">
        <v>139</v>
      </c>
      <c r="T8402" t="s">
        <v>16941</v>
      </c>
      <c r="U8402" t="s">
        <v>16942</v>
      </c>
      <c r="V8402" t="s">
        <v>16943</v>
      </c>
      <c r="W8402" t="s">
        <v>16944</v>
      </c>
      <c r="X8402" t="s">
        <v>16943</v>
      </c>
      <c r="Y8402" t="s">
        <v>15411</v>
      </c>
      <c r="AD8402" t="s">
        <v>14436</v>
      </c>
      <c r="AE8402" t="s">
        <v>16783</v>
      </c>
      <c r="AF8402" t="s">
        <v>16945</v>
      </c>
    </row>
    <row r="8403" spans="1:32" hidden="1" x14ac:dyDescent="0.35">
      <c r="A8403">
        <v>8402</v>
      </c>
      <c r="B8403" t="s">
        <v>16938</v>
      </c>
      <c r="C8403" t="s">
        <v>277</v>
      </c>
      <c r="D8403" t="s">
        <v>45</v>
      </c>
      <c r="E8403">
        <v>2056</v>
      </c>
      <c r="F8403">
        <v>2</v>
      </c>
      <c r="G8403">
        <v>2</v>
      </c>
      <c r="H8403">
        <v>1</v>
      </c>
      <c r="I8403">
        <v>0</v>
      </c>
      <c r="J8403">
        <v>0.99545454545454504</v>
      </c>
      <c r="K8403">
        <v>1</v>
      </c>
      <c r="L8403">
        <v>0.997722095671982</v>
      </c>
      <c r="M8403">
        <v>0.99545454545454504</v>
      </c>
      <c r="N8403">
        <v>0.99545454545454504</v>
      </c>
      <c r="O8403">
        <v>0.99545454545454504</v>
      </c>
      <c r="P8403" t="s">
        <v>16939</v>
      </c>
      <c r="Q8403" t="s">
        <v>16940</v>
      </c>
      <c r="R8403" t="s">
        <v>138</v>
      </c>
      <c r="S8403" t="s">
        <v>139</v>
      </c>
      <c r="T8403" t="s">
        <v>16941</v>
      </c>
      <c r="U8403" t="s">
        <v>16942</v>
      </c>
      <c r="V8403" t="s">
        <v>16943</v>
      </c>
      <c r="W8403" t="s">
        <v>16944</v>
      </c>
      <c r="X8403" t="s">
        <v>16943</v>
      </c>
      <c r="Y8403" t="s">
        <v>15411</v>
      </c>
      <c r="AD8403" t="s">
        <v>14436</v>
      </c>
      <c r="AE8403" t="s">
        <v>16783</v>
      </c>
      <c r="AF8403" t="s">
        <v>16946</v>
      </c>
    </row>
    <row r="8404" spans="1:32" hidden="1" x14ac:dyDescent="0.35">
      <c r="A8404">
        <v>8403</v>
      </c>
      <c r="B8404" t="s">
        <v>16947</v>
      </c>
      <c r="C8404" t="s">
        <v>277</v>
      </c>
      <c r="D8404" t="s">
        <v>34</v>
      </c>
      <c r="E8404">
        <v>1890</v>
      </c>
      <c r="F8404">
        <v>2</v>
      </c>
      <c r="G8404">
        <v>2</v>
      </c>
      <c r="H8404">
        <v>1</v>
      </c>
      <c r="I8404">
        <v>0</v>
      </c>
      <c r="J8404">
        <v>0.91803278688524603</v>
      </c>
      <c r="K8404">
        <v>0.99303951862091799</v>
      </c>
      <c r="L8404">
        <v>0.95406420169464801</v>
      </c>
      <c r="M8404">
        <v>0.89302325581395303</v>
      </c>
      <c r="N8404">
        <v>0.89302325581395303</v>
      </c>
      <c r="O8404">
        <v>0.89302325581395303</v>
      </c>
      <c r="P8404" t="s">
        <v>16851</v>
      </c>
      <c r="Q8404" t="s">
        <v>16852</v>
      </c>
      <c r="R8404" t="s">
        <v>113</v>
      </c>
      <c r="S8404" t="s">
        <v>114</v>
      </c>
      <c r="V8404" t="s">
        <v>16848</v>
      </c>
      <c r="W8404" t="s">
        <v>16849</v>
      </c>
      <c r="AF8404" t="s">
        <v>16948</v>
      </c>
    </row>
    <row r="8405" spans="1:32" hidden="1" x14ac:dyDescent="0.35">
      <c r="A8405">
        <v>8404</v>
      </c>
      <c r="B8405" t="s">
        <v>16947</v>
      </c>
      <c r="C8405" t="s">
        <v>277</v>
      </c>
      <c r="D8405" t="s">
        <v>45</v>
      </c>
      <c r="E8405">
        <v>983</v>
      </c>
      <c r="F8405">
        <v>2</v>
      </c>
      <c r="G8405">
        <v>2</v>
      </c>
      <c r="H8405">
        <v>1</v>
      </c>
      <c r="I8405">
        <v>0</v>
      </c>
      <c r="J8405">
        <v>0.91803278688524603</v>
      </c>
      <c r="K8405">
        <v>0.99303951862091799</v>
      </c>
      <c r="L8405">
        <v>0.95406420169464801</v>
      </c>
      <c r="M8405">
        <v>0.89302325581395303</v>
      </c>
      <c r="N8405">
        <v>0.89302325581395303</v>
      </c>
      <c r="O8405">
        <v>0.89302325581395303</v>
      </c>
      <c r="P8405" t="s">
        <v>16851</v>
      </c>
      <c r="Q8405" t="s">
        <v>16852</v>
      </c>
      <c r="R8405" t="s">
        <v>113</v>
      </c>
      <c r="S8405" t="s">
        <v>114</v>
      </c>
      <c r="V8405" t="s">
        <v>16848</v>
      </c>
      <c r="W8405" t="s">
        <v>16849</v>
      </c>
      <c r="AF8405" t="s">
        <v>16949</v>
      </c>
    </row>
    <row r="8406" spans="1:32" hidden="1" x14ac:dyDescent="0.35">
      <c r="A8406">
        <v>8405</v>
      </c>
      <c r="B8406" t="s">
        <v>16950</v>
      </c>
      <c r="C8406" t="s">
        <v>277</v>
      </c>
      <c r="D8406" t="s">
        <v>34</v>
      </c>
      <c r="E8406">
        <v>232</v>
      </c>
      <c r="F8406">
        <v>2</v>
      </c>
      <c r="G8406">
        <v>2</v>
      </c>
      <c r="H8406">
        <v>1</v>
      </c>
      <c r="I8406">
        <v>0</v>
      </c>
      <c r="J8406">
        <v>0.98682284040995605</v>
      </c>
      <c r="K8406">
        <v>1</v>
      </c>
      <c r="L8406">
        <v>0.99336772291820197</v>
      </c>
      <c r="M8406">
        <v>0.98096632503660297</v>
      </c>
      <c r="N8406">
        <v>0.98096632503660297</v>
      </c>
      <c r="O8406">
        <v>0.98096632503660297</v>
      </c>
      <c r="AF8406" t="s">
        <v>16951</v>
      </c>
    </row>
    <row r="8407" spans="1:32" hidden="1" x14ac:dyDescent="0.35">
      <c r="A8407">
        <v>8406</v>
      </c>
      <c r="B8407" t="s">
        <v>16950</v>
      </c>
      <c r="C8407" t="s">
        <v>277</v>
      </c>
      <c r="D8407" t="s">
        <v>45</v>
      </c>
      <c r="E8407">
        <v>1495</v>
      </c>
      <c r="F8407">
        <v>2</v>
      </c>
      <c r="G8407">
        <v>2</v>
      </c>
      <c r="H8407">
        <v>1</v>
      </c>
      <c r="I8407">
        <v>0</v>
      </c>
      <c r="J8407">
        <v>0.98682284040995605</v>
      </c>
      <c r="K8407">
        <v>1</v>
      </c>
      <c r="L8407">
        <v>0.99336772291820197</v>
      </c>
      <c r="M8407">
        <v>0.98096632503660297</v>
      </c>
      <c r="N8407">
        <v>0.98096632503660297</v>
      </c>
      <c r="O8407">
        <v>0.98096632503660297</v>
      </c>
      <c r="AF8407" t="s">
        <v>16952</v>
      </c>
    </row>
    <row r="8408" spans="1:32" hidden="1" x14ac:dyDescent="0.35">
      <c r="A8408">
        <v>8407</v>
      </c>
      <c r="B8408" t="s">
        <v>16953</v>
      </c>
      <c r="C8408" t="s">
        <v>277</v>
      </c>
      <c r="D8408" t="s">
        <v>34</v>
      </c>
      <c r="E8408">
        <v>395</v>
      </c>
      <c r="F8408">
        <v>2</v>
      </c>
      <c r="G8408">
        <v>2</v>
      </c>
      <c r="H8408">
        <v>1</v>
      </c>
      <c r="I8408">
        <v>0</v>
      </c>
      <c r="J8408">
        <v>0.97490196078431401</v>
      </c>
      <c r="K8408">
        <v>1</v>
      </c>
      <c r="L8408">
        <v>0.98729150119142195</v>
      </c>
      <c r="M8408">
        <v>0.96705882352941197</v>
      </c>
      <c r="N8408">
        <v>0.96705882352941197</v>
      </c>
      <c r="O8408">
        <v>0.96705882352941197</v>
      </c>
      <c r="P8408" t="s">
        <v>14945</v>
      </c>
      <c r="Q8408" t="s">
        <v>14946</v>
      </c>
      <c r="AF8408" t="s">
        <v>16954</v>
      </c>
    </row>
    <row r="8409" spans="1:32" hidden="1" x14ac:dyDescent="0.35">
      <c r="A8409">
        <v>8408</v>
      </c>
      <c r="B8409" t="s">
        <v>16953</v>
      </c>
      <c r="C8409" t="s">
        <v>277</v>
      </c>
      <c r="D8409" t="s">
        <v>45</v>
      </c>
      <c r="E8409">
        <v>1656</v>
      </c>
      <c r="F8409">
        <v>2</v>
      </c>
      <c r="G8409">
        <v>2</v>
      </c>
      <c r="H8409">
        <v>1</v>
      </c>
      <c r="I8409">
        <v>0</v>
      </c>
      <c r="J8409">
        <v>0.97490196078431401</v>
      </c>
      <c r="K8409">
        <v>1</v>
      </c>
      <c r="L8409">
        <v>0.98729150119142195</v>
      </c>
      <c r="M8409">
        <v>0.96705882352941197</v>
      </c>
      <c r="N8409">
        <v>0.96705882352941197</v>
      </c>
      <c r="O8409">
        <v>0.96705882352941197</v>
      </c>
      <c r="P8409" t="s">
        <v>14945</v>
      </c>
      <c r="Q8409" t="s">
        <v>14946</v>
      </c>
      <c r="AF8409" t="s">
        <v>16955</v>
      </c>
    </row>
    <row r="8410" spans="1:32" hidden="1" x14ac:dyDescent="0.35">
      <c r="A8410">
        <v>8409</v>
      </c>
      <c r="B8410" t="s">
        <v>16956</v>
      </c>
      <c r="C8410" t="s">
        <v>277</v>
      </c>
      <c r="D8410" t="s">
        <v>60</v>
      </c>
      <c r="E8410">
        <v>2066</v>
      </c>
      <c r="F8410">
        <v>2</v>
      </c>
      <c r="G8410">
        <v>2</v>
      </c>
      <c r="H8410">
        <v>1</v>
      </c>
      <c r="I8410">
        <v>0</v>
      </c>
      <c r="J8410">
        <v>0.98742138364779897</v>
      </c>
      <c r="K8410">
        <v>1</v>
      </c>
      <c r="L8410">
        <v>0.993670886075949</v>
      </c>
      <c r="M8410">
        <v>0.98742138364779897</v>
      </c>
      <c r="N8410">
        <v>0.98742138364779897</v>
      </c>
      <c r="O8410">
        <v>0.98742138364779897</v>
      </c>
      <c r="P8410" t="s">
        <v>15044</v>
      </c>
      <c r="Q8410" t="s">
        <v>15045</v>
      </c>
      <c r="AF8410" t="s">
        <v>16957</v>
      </c>
    </row>
    <row r="8411" spans="1:32" hidden="1" x14ac:dyDescent="0.35">
      <c r="A8411">
        <v>8410</v>
      </c>
      <c r="B8411" t="s">
        <v>16956</v>
      </c>
      <c r="C8411" t="s">
        <v>277</v>
      </c>
      <c r="D8411" t="s">
        <v>62</v>
      </c>
      <c r="E8411">
        <v>2104</v>
      </c>
      <c r="F8411">
        <v>2</v>
      </c>
      <c r="G8411">
        <v>2</v>
      </c>
      <c r="H8411">
        <v>1</v>
      </c>
      <c r="I8411">
        <v>0</v>
      </c>
      <c r="J8411">
        <v>0.98742138364779897</v>
      </c>
      <c r="K8411">
        <v>1</v>
      </c>
      <c r="L8411">
        <v>0.993670886075949</v>
      </c>
      <c r="M8411">
        <v>0.98742138364779897</v>
      </c>
      <c r="N8411">
        <v>0.98742138364779897</v>
      </c>
      <c r="O8411">
        <v>0.98742138364779897</v>
      </c>
      <c r="P8411" t="s">
        <v>15044</v>
      </c>
      <c r="Q8411" t="s">
        <v>15045</v>
      </c>
      <c r="AF8411" t="s">
        <v>16958</v>
      </c>
    </row>
    <row r="8412" spans="1:32" hidden="1" x14ac:dyDescent="0.35">
      <c r="A8412">
        <v>8411</v>
      </c>
      <c r="B8412" t="s">
        <v>16959</v>
      </c>
      <c r="C8412" t="s">
        <v>277</v>
      </c>
      <c r="D8412" t="s">
        <v>60</v>
      </c>
      <c r="E8412">
        <v>2507</v>
      </c>
      <c r="F8412">
        <v>2</v>
      </c>
      <c r="G8412">
        <v>2</v>
      </c>
      <c r="H8412">
        <v>1</v>
      </c>
      <c r="I8412">
        <v>0</v>
      </c>
      <c r="J8412">
        <v>0.980732177263969</v>
      </c>
      <c r="K8412">
        <v>1</v>
      </c>
      <c r="L8412">
        <v>0.99027237354085595</v>
      </c>
      <c r="M8412">
        <v>0.97687861271676302</v>
      </c>
      <c r="N8412">
        <v>0.97687861271676302</v>
      </c>
      <c r="O8412">
        <v>0.97687861271676302</v>
      </c>
      <c r="P8412" t="s">
        <v>15863</v>
      </c>
      <c r="Q8412" t="s">
        <v>15864</v>
      </c>
      <c r="R8412" t="s">
        <v>138</v>
      </c>
      <c r="S8412" t="s">
        <v>139</v>
      </c>
      <c r="V8412" t="s">
        <v>15865</v>
      </c>
      <c r="W8412" t="s">
        <v>15866</v>
      </c>
      <c r="AF8412" t="s">
        <v>16960</v>
      </c>
    </row>
    <row r="8413" spans="1:32" hidden="1" x14ac:dyDescent="0.35">
      <c r="A8413">
        <v>8412</v>
      </c>
      <c r="B8413" t="s">
        <v>16959</v>
      </c>
      <c r="C8413" t="s">
        <v>277</v>
      </c>
      <c r="D8413" t="s">
        <v>62</v>
      </c>
      <c r="E8413">
        <v>34</v>
      </c>
      <c r="F8413">
        <v>2</v>
      </c>
      <c r="G8413">
        <v>2</v>
      </c>
      <c r="H8413">
        <v>1</v>
      </c>
      <c r="I8413">
        <v>0</v>
      </c>
      <c r="J8413">
        <v>0.980732177263969</v>
      </c>
      <c r="K8413">
        <v>1</v>
      </c>
      <c r="L8413">
        <v>0.99027237354085595</v>
      </c>
      <c r="M8413">
        <v>0.97687861271676302</v>
      </c>
      <c r="N8413">
        <v>0.97687861271676302</v>
      </c>
      <c r="O8413">
        <v>0.97687861271676302</v>
      </c>
      <c r="P8413" t="s">
        <v>15863</v>
      </c>
      <c r="Q8413" t="s">
        <v>15864</v>
      </c>
      <c r="R8413" t="s">
        <v>138</v>
      </c>
      <c r="S8413" t="s">
        <v>139</v>
      </c>
      <c r="V8413" t="s">
        <v>15865</v>
      </c>
      <c r="W8413" t="s">
        <v>15866</v>
      </c>
      <c r="AF8413" t="s">
        <v>16961</v>
      </c>
    </row>
    <row r="8414" spans="1:32" hidden="1" x14ac:dyDescent="0.35">
      <c r="A8414">
        <v>8413</v>
      </c>
      <c r="B8414" t="s">
        <v>16962</v>
      </c>
      <c r="C8414" t="s">
        <v>277</v>
      </c>
      <c r="D8414" t="s">
        <v>34</v>
      </c>
      <c r="E8414">
        <v>1944</v>
      </c>
      <c r="F8414">
        <v>2</v>
      </c>
      <c r="G8414">
        <v>2</v>
      </c>
      <c r="H8414">
        <v>1</v>
      </c>
      <c r="I8414">
        <v>0</v>
      </c>
      <c r="J8414">
        <v>0.98611111111111105</v>
      </c>
      <c r="K8414">
        <v>1</v>
      </c>
      <c r="L8414">
        <v>0.99300699300699302</v>
      </c>
      <c r="M8414">
        <v>0.98611111111111105</v>
      </c>
      <c r="N8414">
        <v>0.98611111111111105</v>
      </c>
      <c r="O8414">
        <v>0.98611111111111105</v>
      </c>
      <c r="AF8414" t="s">
        <v>16963</v>
      </c>
    </row>
    <row r="8415" spans="1:32" hidden="1" x14ac:dyDescent="0.35">
      <c r="A8415">
        <v>8414</v>
      </c>
      <c r="B8415" t="s">
        <v>16962</v>
      </c>
      <c r="C8415" t="s">
        <v>277</v>
      </c>
      <c r="D8415" t="s">
        <v>45</v>
      </c>
      <c r="E8415">
        <v>929</v>
      </c>
      <c r="F8415">
        <v>2</v>
      </c>
      <c r="G8415">
        <v>2</v>
      </c>
      <c r="H8415">
        <v>1</v>
      </c>
      <c r="I8415">
        <v>0</v>
      </c>
      <c r="J8415">
        <v>0.98611111111111105</v>
      </c>
      <c r="K8415">
        <v>1</v>
      </c>
      <c r="L8415">
        <v>0.99300699300699302</v>
      </c>
      <c r="M8415">
        <v>0.98611111111111105</v>
      </c>
      <c r="N8415">
        <v>0.98611111111111105</v>
      </c>
      <c r="O8415">
        <v>0.98611111111111105</v>
      </c>
      <c r="AF8415" t="s">
        <v>16964</v>
      </c>
    </row>
    <row r="8416" spans="1:32" hidden="1" x14ac:dyDescent="0.35">
      <c r="A8416">
        <v>8415</v>
      </c>
      <c r="B8416" t="s">
        <v>16965</v>
      </c>
      <c r="C8416" t="s">
        <v>277</v>
      </c>
      <c r="D8416" t="s">
        <v>34</v>
      </c>
      <c r="E8416">
        <v>1886</v>
      </c>
      <c r="F8416">
        <v>2</v>
      </c>
      <c r="G8416">
        <v>2</v>
      </c>
      <c r="H8416">
        <v>1</v>
      </c>
      <c r="I8416">
        <v>0</v>
      </c>
      <c r="J8416">
        <v>0.96909492273730702</v>
      </c>
      <c r="K8416">
        <v>0.96239588437040602</v>
      </c>
      <c r="L8416">
        <v>0.96573378633184404</v>
      </c>
      <c r="M8416">
        <v>0.92356687898089196</v>
      </c>
      <c r="N8416">
        <v>0.92356687898089196</v>
      </c>
      <c r="O8416">
        <v>0.92356687898089196</v>
      </c>
      <c r="AF8416" t="s">
        <v>16966</v>
      </c>
    </row>
    <row r="8417" spans="1:32" hidden="1" x14ac:dyDescent="0.35">
      <c r="A8417">
        <v>8416</v>
      </c>
      <c r="B8417" t="s">
        <v>16965</v>
      </c>
      <c r="C8417" t="s">
        <v>277</v>
      </c>
      <c r="D8417" t="s">
        <v>45</v>
      </c>
      <c r="E8417">
        <v>987</v>
      </c>
      <c r="F8417">
        <v>2</v>
      </c>
      <c r="G8417">
        <v>2</v>
      </c>
      <c r="H8417">
        <v>1</v>
      </c>
      <c r="I8417">
        <v>0</v>
      </c>
      <c r="J8417">
        <v>0.96909492273730702</v>
      </c>
      <c r="K8417">
        <v>0.96239588437040602</v>
      </c>
      <c r="L8417">
        <v>0.96573378633184404</v>
      </c>
      <c r="M8417">
        <v>0.92356687898089196</v>
      </c>
      <c r="N8417">
        <v>0.92356687898089196</v>
      </c>
      <c r="O8417">
        <v>0.92356687898089196</v>
      </c>
      <c r="AF8417" t="s">
        <v>16967</v>
      </c>
    </row>
    <row r="8418" spans="1:32" hidden="1" x14ac:dyDescent="0.35">
      <c r="A8418">
        <v>8417</v>
      </c>
      <c r="B8418" t="s">
        <v>16968</v>
      </c>
      <c r="C8418" t="s">
        <v>277</v>
      </c>
      <c r="D8418" t="s">
        <v>34</v>
      </c>
      <c r="E8418">
        <v>812</v>
      </c>
      <c r="F8418">
        <v>2</v>
      </c>
      <c r="G8418">
        <v>2</v>
      </c>
      <c r="H8418">
        <v>1</v>
      </c>
      <c r="I8418">
        <v>0</v>
      </c>
      <c r="J8418">
        <v>0.99397590361445798</v>
      </c>
      <c r="K8418">
        <v>1</v>
      </c>
      <c r="L8418">
        <v>0.99697885196374603</v>
      </c>
      <c r="M8418">
        <v>0.99096385542168697</v>
      </c>
      <c r="N8418">
        <v>0.99096385542168697</v>
      </c>
      <c r="O8418">
        <v>0.99096385542168697</v>
      </c>
      <c r="P8418" t="s">
        <v>13318</v>
      </c>
      <c r="Q8418" t="s">
        <v>13319</v>
      </c>
      <c r="AF8418" t="s">
        <v>16969</v>
      </c>
    </row>
    <row r="8419" spans="1:32" hidden="1" x14ac:dyDescent="0.35">
      <c r="A8419">
        <v>8418</v>
      </c>
      <c r="B8419" t="s">
        <v>16968</v>
      </c>
      <c r="C8419" t="s">
        <v>277</v>
      </c>
      <c r="D8419" t="s">
        <v>45</v>
      </c>
      <c r="E8419">
        <v>2069</v>
      </c>
      <c r="F8419">
        <v>2</v>
      </c>
      <c r="G8419">
        <v>2</v>
      </c>
      <c r="H8419">
        <v>1</v>
      </c>
      <c r="I8419">
        <v>0</v>
      </c>
      <c r="J8419">
        <v>0.99397590361445798</v>
      </c>
      <c r="K8419">
        <v>1</v>
      </c>
      <c r="L8419">
        <v>0.99697885196374603</v>
      </c>
      <c r="M8419">
        <v>0.99096385542168697</v>
      </c>
      <c r="N8419">
        <v>0.99096385542168697</v>
      </c>
      <c r="O8419">
        <v>0.99096385542168697</v>
      </c>
      <c r="P8419" t="s">
        <v>13318</v>
      </c>
      <c r="Q8419" t="s">
        <v>13319</v>
      </c>
      <c r="AF8419" t="s">
        <v>16970</v>
      </c>
    </row>
    <row r="8420" spans="1:32" hidden="1" x14ac:dyDescent="0.35">
      <c r="A8420">
        <v>8419</v>
      </c>
      <c r="B8420" t="s">
        <v>16971</v>
      </c>
      <c r="C8420" t="s">
        <v>277</v>
      </c>
      <c r="D8420" t="s">
        <v>60</v>
      </c>
      <c r="E8420">
        <v>1936</v>
      </c>
      <c r="F8420">
        <v>2</v>
      </c>
      <c r="G8420">
        <v>2</v>
      </c>
      <c r="H8420">
        <v>1</v>
      </c>
      <c r="I8420">
        <v>0</v>
      </c>
      <c r="J8420">
        <v>0.97812097812097798</v>
      </c>
      <c r="K8420">
        <v>1</v>
      </c>
      <c r="L8420">
        <v>0.98893949251789204</v>
      </c>
      <c r="M8420">
        <v>0.97297297297297303</v>
      </c>
      <c r="N8420">
        <v>0.97297297297297303</v>
      </c>
      <c r="O8420">
        <v>0.97297297297297303</v>
      </c>
      <c r="AF8420" t="s">
        <v>16972</v>
      </c>
    </row>
    <row r="8421" spans="1:32" hidden="1" x14ac:dyDescent="0.35">
      <c r="A8421">
        <v>8420</v>
      </c>
      <c r="B8421" t="s">
        <v>16971</v>
      </c>
      <c r="C8421" t="s">
        <v>277</v>
      </c>
      <c r="D8421" t="s">
        <v>62</v>
      </c>
      <c r="E8421">
        <v>1976</v>
      </c>
      <c r="F8421">
        <v>2</v>
      </c>
      <c r="G8421">
        <v>2</v>
      </c>
      <c r="H8421">
        <v>1</v>
      </c>
      <c r="I8421">
        <v>0</v>
      </c>
      <c r="J8421">
        <v>0.97812097812097798</v>
      </c>
      <c r="K8421">
        <v>1</v>
      </c>
      <c r="L8421">
        <v>0.98893949251789204</v>
      </c>
      <c r="M8421">
        <v>0.97297297297297303</v>
      </c>
      <c r="N8421">
        <v>0.97297297297297303</v>
      </c>
      <c r="O8421">
        <v>0.97297297297297303</v>
      </c>
      <c r="AF8421" t="s">
        <v>16973</v>
      </c>
    </row>
    <row r="8422" spans="1:32" hidden="1" x14ac:dyDescent="0.35">
      <c r="A8422">
        <v>8421</v>
      </c>
      <c r="B8422" t="s">
        <v>16974</v>
      </c>
      <c r="C8422" t="s">
        <v>277</v>
      </c>
      <c r="D8422" t="s">
        <v>60</v>
      </c>
      <c r="E8422">
        <v>1612</v>
      </c>
      <c r="F8422">
        <v>2</v>
      </c>
      <c r="G8422">
        <v>2</v>
      </c>
      <c r="H8422">
        <v>1</v>
      </c>
      <c r="I8422">
        <v>0</v>
      </c>
      <c r="J8422">
        <v>0.99453551912568305</v>
      </c>
      <c r="K8422">
        <v>1</v>
      </c>
      <c r="L8422">
        <v>0.99726027397260297</v>
      </c>
      <c r="M8422">
        <v>0.98360655737704905</v>
      </c>
      <c r="N8422">
        <v>0.98360655737704905</v>
      </c>
      <c r="O8422">
        <v>0.98360655737704905</v>
      </c>
      <c r="P8422" t="s">
        <v>16975</v>
      </c>
      <c r="Q8422" t="s">
        <v>16976</v>
      </c>
      <c r="R8422" t="s">
        <v>371</v>
      </c>
      <c r="S8422" t="s">
        <v>372</v>
      </c>
      <c r="T8422" t="s">
        <v>16977</v>
      </c>
      <c r="U8422" t="s">
        <v>16978</v>
      </c>
      <c r="V8422" t="s">
        <v>16979</v>
      </c>
      <c r="W8422" t="s">
        <v>16980</v>
      </c>
      <c r="AD8422" t="s">
        <v>410</v>
      </c>
      <c r="AE8422" t="s">
        <v>1217</v>
      </c>
      <c r="AF8422" t="s">
        <v>16981</v>
      </c>
    </row>
    <row r="8423" spans="1:32" hidden="1" x14ac:dyDescent="0.35">
      <c r="A8423">
        <v>8422</v>
      </c>
      <c r="B8423" t="s">
        <v>16974</v>
      </c>
      <c r="C8423" t="s">
        <v>277</v>
      </c>
      <c r="D8423" t="s">
        <v>62</v>
      </c>
      <c r="E8423">
        <v>1648</v>
      </c>
      <c r="F8423">
        <v>2</v>
      </c>
      <c r="G8423">
        <v>2</v>
      </c>
      <c r="H8423">
        <v>1</v>
      </c>
      <c r="I8423">
        <v>0</v>
      </c>
      <c r="J8423">
        <v>0.99453551912568305</v>
      </c>
      <c r="K8423">
        <v>1</v>
      </c>
      <c r="L8423">
        <v>0.99726027397260297</v>
      </c>
      <c r="M8423">
        <v>0.98360655737704905</v>
      </c>
      <c r="N8423">
        <v>0.98360655737704905</v>
      </c>
      <c r="O8423">
        <v>0.98360655737704905</v>
      </c>
      <c r="P8423" t="s">
        <v>16975</v>
      </c>
      <c r="Q8423" t="s">
        <v>16976</v>
      </c>
      <c r="R8423" t="s">
        <v>371</v>
      </c>
      <c r="S8423" t="s">
        <v>372</v>
      </c>
      <c r="T8423" t="s">
        <v>16977</v>
      </c>
      <c r="U8423" t="s">
        <v>16978</v>
      </c>
      <c r="V8423" t="s">
        <v>16979</v>
      </c>
      <c r="W8423" t="s">
        <v>16980</v>
      </c>
      <c r="AD8423" t="s">
        <v>410</v>
      </c>
      <c r="AE8423" t="s">
        <v>1217</v>
      </c>
      <c r="AF8423" t="s">
        <v>16982</v>
      </c>
    </row>
    <row r="8424" spans="1:32" hidden="1" x14ac:dyDescent="0.35">
      <c r="A8424">
        <v>8423</v>
      </c>
      <c r="B8424" t="s">
        <v>16983</v>
      </c>
      <c r="C8424" t="s">
        <v>277</v>
      </c>
      <c r="D8424" t="s">
        <v>60</v>
      </c>
      <c r="E8424">
        <v>2405</v>
      </c>
      <c r="F8424">
        <v>2</v>
      </c>
      <c r="G8424">
        <v>2</v>
      </c>
      <c r="H8424">
        <v>1</v>
      </c>
      <c r="I8424">
        <v>0</v>
      </c>
      <c r="J8424">
        <v>0.99726027397260297</v>
      </c>
      <c r="K8424">
        <v>1</v>
      </c>
      <c r="L8424">
        <v>0.99862825788751697</v>
      </c>
      <c r="M8424">
        <v>0.99178082191780803</v>
      </c>
      <c r="N8424">
        <v>0.99178082191780803</v>
      </c>
      <c r="O8424">
        <v>0.99178082191780803</v>
      </c>
      <c r="P8424" t="s">
        <v>12884</v>
      </c>
      <c r="Q8424" t="s">
        <v>12885</v>
      </c>
      <c r="R8424" t="s">
        <v>157</v>
      </c>
      <c r="S8424" t="s">
        <v>158</v>
      </c>
      <c r="T8424" t="s">
        <v>16984</v>
      </c>
      <c r="U8424" t="s">
        <v>16985</v>
      </c>
      <c r="V8424" t="s">
        <v>14734</v>
      </c>
      <c r="W8424" t="s">
        <v>14735</v>
      </c>
      <c r="AD8424" t="s">
        <v>410</v>
      </c>
      <c r="AE8424" t="s">
        <v>563</v>
      </c>
      <c r="AF8424" t="s">
        <v>16986</v>
      </c>
    </row>
    <row r="8425" spans="1:32" hidden="1" x14ac:dyDescent="0.35">
      <c r="A8425">
        <v>8424</v>
      </c>
      <c r="B8425" t="s">
        <v>16983</v>
      </c>
      <c r="C8425" t="s">
        <v>277</v>
      </c>
      <c r="D8425" t="s">
        <v>62</v>
      </c>
      <c r="E8425">
        <v>2432</v>
      </c>
      <c r="F8425">
        <v>2</v>
      </c>
      <c r="G8425">
        <v>2</v>
      </c>
      <c r="H8425">
        <v>1</v>
      </c>
      <c r="I8425">
        <v>0</v>
      </c>
      <c r="J8425">
        <v>0.99726027397260297</v>
      </c>
      <c r="K8425">
        <v>1</v>
      </c>
      <c r="L8425">
        <v>0.99862825788751697</v>
      </c>
      <c r="M8425">
        <v>0.99178082191780803</v>
      </c>
      <c r="N8425">
        <v>0.99178082191780803</v>
      </c>
      <c r="O8425">
        <v>0.99178082191780803</v>
      </c>
      <c r="P8425" t="s">
        <v>12884</v>
      </c>
      <c r="Q8425" t="s">
        <v>12885</v>
      </c>
      <c r="R8425" t="s">
        <v>157</v>
      </c>
      <c r="S8425" t="s">
        <v>158</v>
      </c>
      <c r="T8425" t="s">
        <v>16984</v>
      </c>
      <c r="U8425" t="s">
        <v>16985</v>
      </c>
      <c r="V8425" t="s">
        <v>14734</v>
      </c>
      <c r="W8425" t="s">
        <v>14735</v>
      </c>
      <c r="AD8425" t="s">
        <v>410</v>
      </c>
      <c r="AE8425" t="s">
        <v>563</v>
      </c>
      <c r="AF8425" t="s">
        <v>16987</v>
      </c>
    </row>
    <row r="8426" spans="1:32" hidden="1" x14ac:dyDescent="0.35">
      <c r="A8426">
        <v>8425</v>
      </c>
      <c r="B8426" t="s">
        <v>16988</v>
      </c>
      <c r="C8426" t="s">
        <v>277</v>
      </c>
      <c r="D8426" t="s">
        <v>60</v>
      </c>
      <c r="E8426">
        <v>901</v>
      </c>
      <c r="F8426">
        <v>2</v>
      </c>
      <c r="G8426">
        <v>2</v>
      </c>
      <c r="H8426">
        <v>1</v>
      </c>
      <c r="I8426">
        <v>0</v>
      </c>
      <c r="J8426">
        <v>0.97491039426523296</v>
      </c>
      <c r="K8426">
        <v>1</v>
      </c>
      <c r="L8426">
        <v>0.98729582577132502</v>
      </c>
      <c r="M8426">
        <v>0.967741935483871</v>
      </c>
      <c r="N8426">
        <v>0.967741935483871</v>
      </c>
      <c r="O8426">
        <v>0.967741935483871</v>
      </c>
      <c r="AF8426" t="s">
        <v>16989</v>
      </c>
    </row>
    <row r="8427" spans="1:32" hidden="1" x14ac:dyDescent="0.35">
      <c r="A8427">
        <v>8426</v>
      </c>
      <c r="B8427" t="s">
        <v>16988</v>
      </c>
      <c r="C8427" t="s">
        <v>277</v>
      </c>
      <c r="D8427" t="s">
        <v>62</v>
      </c>
      <c r="E8427">
        <v>935</v>
      </c>
      <c r="F8427">
        <v>2</v>
      </c>
      <c r="G8427">
        <v>2</v>
      </c>
      <c r="H8427">
        <v>1</v>
      </c>
      <c r="I8427">
        <v>0</v>
      </c>
      <c r="J8427">
        <v>0.97491039426523296</v>
      </c>
      <c r="K8427">
        <v>1</v>
      </c>
      <c r="L8427">
        <v>0.98729582577132502</v>
      </c>
      <c r="M8427">
        <v>0.967741935483871</v>
      </c>
      <c r="N8427">
        <v>0.967741935483871</v>
      </c>
      <c r="O8427">
        <v>0.967741935483871</v>
      </c>
      <c r="AF8427" t="s">
        <v>16990</v>
      </c>
    </row>
    <row r="8428" spans="1:32" s="1" customFormat="1" hidden="1" x14ac:dyDescent="0.35">
      <c r="A8428" s="1">
        <v>8427</v>
      </c>
      <c r="B8428" s="1" t="s">
        <v>16991</v>
      </c>
      <c r="C8428" s="1" t="s">
        <v>277</v>
      </c>
      <c r="D8428" s="1" t="s">
        <v>60</v>
      </c>
      <c r="E8428" s="1">
        <v>2517</v>
      </c>
      <c r="F8428" s="1">
        <v>2</v>
      </c>
      <c r="G8428" s="1">
        <v>2</v>
      </c>
      <c r="H8428" s="1">
        <v>1</v>
      </c>
      <c r="I8428" s="1">
        <v>0</v>
      </c>
      <c r="J8428" s="1">
        <v>0.99540229885057496</v>
      </c>
      <c r="K8428" s="1">
        <v>1</v>
      </c>
      <c r="L8428" s="1">
        <v>0.99769585253456206</v>
      </c>
      <c r="M8428" s="1">
        <v>0.99080459770114904</v>
      </c>
      <c r="N8428" s="1">
        <v>0.99080459770114904</v>
      </c>
      <c r="O8428" s="1">
        <v>0.99080459770114904</v>
      </c>
      <c r="P8428" s="1" t="s">
        <v>16058</v>
      </c>
      <c r="Q8428" s="1" t="s">
        <v>16059</v>
      </c>
      <c r="R8428" s="1" t="s">
        <v>157</v>
      </c>
      <c r="S8428" s="1" t="s">
        <v>158</v>
      </c>
      <c r="V8428" s="1" t="s">
        <v>14219</v>
      </c>
      <c r="W8428" s="1" t="s">
        <v>14220</v>
      </c>
      <c r="AF8428" s="1" t="s">
        <v>16992</v>
      </c>
    </row>
    <row r="8429" spans="1:32" s="1" customFormat="1" hidden="1" x14ac:dyDescent="0.35">
      <c r="A8429" s="1">
        <v>8428</v>
      </c>
      <c r="B8429" s="1" t="s">
        <v>16991</v>
      </c>
      <c r="C8429" s="1" t="s">
        <v>277</v>
      </c>
      <c r="D8429" s="1" t="s">
        <v>62</v>
      </c>
      <c r="E8429" s="1">
        <v>43</v>
      </c>
      <c r="F8429" s="1">
        <v>2</v>
      </c>
      <c r="G8429" s="1">
        <v>2</v>
      </c>
      <c r="H8429" s="1">
        <v>1</v>
      </c>
      <c r="I8429" s="1">
        <v>0</v>
      </c>
      <c r="J8429" s="1">
        <v>0.99540229885057496</v>
      </c>
      <c r="K8429" s="1">
        <v>1</v>
      </c>
      <c r="L8429" s="1">
        <v>0.99769585253456206</v>
      </c>
      <c r="M8429" s="1">
        <v>0.99080459770114904</v>
      </c>
      <c r="N8429" s="1">
        <v>0.99080459770114904</v>
      </c>
      <c r="O8429" s="1">
        <v>0.99080459770114904</v>
      </c>
      <c r="P8429" s="1" t="s">
        <v>16058</v>
      </c>
      <c r="Q8429" s="1" t="s">
        <v>16059</v>
      </c>
      <c r="R8429" s="1" t="s">
        <v>157</v>
      </c>
      <c r="S8429" s="1" t="s">
        <v>158</v>
      </c>
      <c r="V8429" s="1" t="s">
        <v>14219</v>
      </c>
      <c r="W8429" s="1" t="s">
        <v>14220</v>
      </c>
      <c r="AF8429" s="1" t="s">
        <v>16993</v>
      </c>
    </row>
    <row r="8430" spans="1:32" hidden="1" x14ac:dyDescent="0.35">
      <c r="A8430">
        <v>8429</v>
      </c>
      <c r="B8430" t="s">
        <v>16994</v>
      </c>
      <c r="C8430" t="s">
        <v>277</v>
      </c>
      <c r="D8430" t="s">
        <v>60</v>
      </c>
      <c r="E8430">
        <v>1775</v>
      </c>
      <c r="F8430">
        <v>2</v>
      </c>
      <c r="G8430">
        <v>2</v>
      </c>
      <c r="H8430">
        <v>1</v>
      </c>
      <c r="I8430">
        <v>0</v>
      </c>
      <c r="J8430">
        <v>0.99710982658959502</v>
      </c>
      <c r="K8430">
        <v>1</v>
      </c>
      <c r="L8430">
        <v>0.99855282199710604</v>
      </c>
      <c r="M8430">
        <v>0.99710982658959502</v>
      </c>
      <c r="N8430">
        <v>0.99710982658959502</v>
      </c>
      <c r="O8430">
        <v>0.99710982658959502</v>
      </c>
      <c r="P8430" t="s">
        <v>4167</v>
      </c>
      <c r="Q8430" t="s">
        <v>4168</v>
      </c>
      <c r="R8430" t="s">
        <v>16995</v>
      </c>
      <c r="S8430" t="s">
        <v>16996</v>
      </c>
      <c r="T8430" t="s">
        <v>4169</v>
      </c>
      <c r="U8430" t="s">
        <v>4170</v>
      </c>
      <c r="V8430" t="s">
        <v>16997</v>
      </c>
      <c r="W8430" t="s">
        <v>16998</v>
      </c>
      <c r="AD8430" t="s">
        <v>4173</v>
      </c>
      <c r="AE8430" t="s">
        <v>4174</v>
      </c>
      <c r="AF8430" t="s">
        <v>16999</v>
      </c>
    </row>
    <row r="8431" spans="1:32" hidden="1" x14ac:dyDescent="0.35">
      <c r="A8431">
        <v>8430</v>
      </c>
      <c r="B8431" t="s">
        <v>16994</v>
      </c>
      <c r="C8431" t="s">
        <v>277</v>
      </c>
      <c r="D8431" t="s">
        <v>62</v>
      </c>
      <c r="E8431">
        <v>1811</v>
      </c>
      <c r="F8431">
        <v>2</v>
      </c>
      <c r="G8431">
        <v>2</v>
      </c>
      <c r="H8431">
        <v>1</v>
      </c>
      <c r="I8431">
        <v>0</v>
      </c>
      <c r="J8431">
        <v>0.99710982658959502</v>
      </c>
      <c r="K8431">
        <v>1</v>
      </c>
      <c r="L8431">
        <v>0.99855282199710604</v>
      </c>
      <c r="M8431">
        <v>0.99710982658959502</v>
      </c>
      <c r="N8431">
        <v>0.99710982658959502</v>
      </c>
      <c r="O8431">
        <v>0.99710982658959502</v>
      </c>
      <c r="P8431" t="s">
        <v>4167</v>
      </c>
      <c r="Q8431" t="s">
        <v>4168</v>
      </c>
      <c r="R8431" t="s">
        <v>16995</v>
      </c>
      <c r="S8431" t="s">
        <v>16996</v>
      </c>
      <c r="T8431" t="s">
        <v>4169</v>
      </c>
      <c r="U8431" t="s">
        <v>4170</v>
      </c>
      <c r="V8431" t="s">
        <v>16997</v>
      </c>
      <c r="W8431" t="s">
        <v>16998</v>
      </c>
      <c r="AD8431" t="s">
        <v>4173</v>
      </c>
      <c r="AE8431" t="s">
        <v>4174</v>
      </c>
      <c r="AF8431" t="s">
        <v>17000</v>
      </c>
    </row>
    <row r="8432" spans="1:32" hidden="1" x14ac:dyDescent="0.35">
      <c r="A8432">
        <v>8431</v>
      </c>
      <c r="B8432" t="s">
        <v>17001</v>
      </c>
      <c r="C8432" t="s">
        <v>277</v>
      </c>
      <c r="D8432" t="s">
        <v>34</v>
      </c>
      <c r="E8432">
        <v>1161</v>
      </c>
      <c r="F8432">
        <v>2</v>
      </c>
      <c r="G8432">
        <v>2</v>
      </c>
      <c r="H8432">
        <v>1</v>
      </c>
      <c r="I8432">
        <v>0</v>
      </c>
      <c r="J8432">
        <v>0.99060254284134897</v>
      </c>
      <c r="K8432">
        <v>1</v>
      </c>
      <c r="L8432">
        <v>0.99527908914190499</v>
      </c>
      <c r="M8432">
        <v>0.988391376451078</v>
      </c>
      <c r="N8432">
        <v>0.988391376451078</v>
      </c>
      <c r="O8432">
        <v>0.988391376451078</v>
      </c>
      <c r="P8432" t="s">
        <v>17002</v>
      </c>
      <c r="Q8432" t="s">
        <v>17003</v>
      </c>
      <c r="R8432" t="s">
        <v>157</v>
      </c>
      <c r="S8432" t="s">
        <v>158</v>
      </c>
      <c r="T8432" t="s">
        <v>17004</v>
      </c>
      <c r="U8432" t="s">
        <v>17005</v>
      </c>
      <c r="V8432" t="s">
        <v>358</v>
      </c>
      <c r="W8432" t="s">
        <v>359</v>
      </c>
      <c r="AD8432" t="s">
        <v>5013</v>
      </c>
      <c r="AE8432" t="s">
        <v>17006</v>
      </c>
      <c r="AF8432" t="s">
        <v>17007</v>
      </c>
    </row>
    <row r="8433" spans="1:32" hidden="1" x14ac:dyDescent="0.35">
      <c r="A8433">
        <v>8432</v>
      </c>
      <c r="B8433" t="s">
        <v>17001</v>
      </c>
      <c r="C8433" t="s">
        <v>277</v>
      </c>
      <c r="D8433" t="s">
        <v>45</v>
      </c>
      <c r="E8433">
        <v>2406</v>
      </c>
      <c r="F8433">
        <v>2</v>
      </c>
      <c r="G8433">
        <v>2</v>
      </c>
      <c r="H8433">
        <v>1</v>
      </c>
      <c r="I8433">
        <v>0</v>
      </c>
      <c r="J8433">
        <v>0.99060254284134897</v>
      </c>
      <c r="K8433">
        <v>1</v>
      </c>
      <c r="L8433">
        <v>0.99527908914190499</v>
      </c>
      <c r="M8433">
        <v>0.988391376451078</v>
      </c>
      <c r="N8433">
        <v>0.988391376451078</v>
      </c>
      <c r="O8433">
        <v>0.988391376451078</v>
      </c>
      <c r="P8433" t="s">
        <v>17002</v>
      </c>
      <c r="Q8433" t="s">
        <v>17003</v>
      </c>
      <c r="R8433" t="s">
        <v>157</v>
      </c>
      <c r="S8433" t="s">
        <v>158</v>
      </c>
      <c r="T8433" t="s">
        <v>17004</v>
      </c>
      <c r="U8433" t="s">
        <v>17005</v>
      </c>
      <c r="V8433" t="s">
        <v>358</v>
      </c>
      <c r="W8433" t="s">
        <v>359</v>
      </c>
      <c r="AD8433" t="s">
        <v>5013</v>
      </c>
      <c r="AE8433" t="s">
        <v>17006</v>
      </c>
      <c r="AF8433" t="s">
        <v>17008</v>
      </c>
    </row>
    <row r="8434" spans="1:32" hidden="1" x14ac:dyDescent="0.35">
      <c r="A8434">
        <v>8433</v>
      </c>
      <c r="B8434" t="s">
        <v>17009</v>
      </c>
      <c r="C8434" t="s">
        <v>277</v>
      </c>
      <c r="D8434" t="s">
        <v>60</v>
      </c>
      <c r="E8434">
        <v>2297</v>
      </c>
      <c r="F8434">
        <v>2</v>
      </c>
      <c r="G8434">
        <v>2</v>
      </c>
      <c r="H8434">
        <v>1</v>
      </c>
      <c r="I8434">
        <v>0</v>
      </c>
      <c r="J8434">
        <v>0.99583333333333302</v>
      </c>
      <c r="K8434">
        <v>1</v>
      </c>
      <c r="L8434">
        <v>0.99791231732776597</v>
      </c>
      <c r="M8434">
        <v>0.99375000000000002</v>
      </c>
      <c r="N8434">
        <v>0.99375000000000002</v>
      </c>
      <c r="O8434">
        <v>0.99375000000000002</v>
      </c>
      <c r="P8434" t="s">
        <v>17010</v>
      </c>
      <c r="Q8434" t="s">
        <v>17011</v>
      </c>
      <c r="R8434" t="s">
        <v>224</v>
      </c>
      <c r="S8434" t="s">
        <v>225</v>
      </c>
      <c r="T8434" t="s">
        <v>17012</v>
      </c>
      <c r="U8434" t="s">
        <v>17013</v>
      </c>
      <c r="V8434" t="s">
        <v>17014</v>
      </c>
      <c r="W8434" t="s">
        <v>17015</v>
      </c>
      <c r="X8434" t="s">
        <v>17014</v>
      </c>
      <c r="Y8434" t="s">
        <v>1598</v>
      </c>
      <c r="AD8434" t="s">
        <v>2991</v>
      </c>
      <c r="AE8434" t="s">
        <v>17016</v>
      </c>
      <c r="AF8434" t="s">
        <v>17017</v>
      </c>
    </row>
    <row r="8435" spans="1:32" hidden="1" x14ac:dyDescent="0.35">
      <c r="A8435">
        <v>8434</v>
      </c>
      <c r="B8435" t="s">
        <v>17009</v>
      </c>
      <c r="C8435" t="s">
        <v>277</v>
      </c>
      <c r="D8435" t="s">
        <v>62</v>
      </c>
      <c r="E8435">
        <v>2326</v>
      </c>
      <c r="F8435">
        <v>2</v>
      </c>
      <c r="G8435">
        <v>2</v>
      </c>
      <c r="H8435">
        <v>1</v>
      </c>
      <c r="I8435">
        <v>0</v>
      </c>
      <c r="J8435">
        <v>0.99583333333333302</v>
      </c>
      <c r="K8435">
        <v>1</v>
      </c>
      <c r="L8435">
        <v>0.99791231732776597</v>
      </c>
      <c r="M8435">
        <v>0.99375000000000002</v>
      </c>
      <c r="N8435">
        <v>0.99375000000000002</v>
      </c>
      <c r="O8435">
        <v>0.99375000000000002</v>
      </c>
      <c r="P8435" t="s">
        <v>17010</v>
      </c>
      <c r="Q8435" t="s">
        <v>17011</v>
      </c>
      <c r="R8435" t="s">
        <v>224</v>
      </c>
      <c r="S8435" t="s">
        <v>225</v>
      </c>
      <c r="T8435" t="s">
        <v>17012</v>
      </c>
      <c r="U8435" t="s">
        <v>17013</v>
      </c>
      <c r="V8435" t="s">
        <v>17014</v>
      </c>
      <c r="W8435" t="s">
        <v>17015</v>
      </c>
      <c r="X8435" t="s">
        <v>17014</v>
      </c>
      <c r="Y8435" t="s">
        <v>1598</v>
      </c>
      <c r="AD8435" t="s">
        <v>2991</v>
      </c>
      <c r="AE8435" t="s">
        <v>17016</v>
      </c>
      <c r="AF8435" t="s">
        <v>17018</v>
      </c>
    </row>
    <row r="8436" spans="1:32" hidden="1" x14ac:dyDescent="0.35">
      <c r="A8436">
        <v>8435</v>
      </c>
      <c r="B8436" t="s">
        <v>17019</v>
      </c>
      <c r="C8436" t="s">
        <v>277</v>
      </c>
      <c r="D8436" t="s">
        <v>34</v>
      </c>
      <c r="E8436">
        <v>83</v>
      </c>
      <c r="F8436">
        <v>2</v>
      </c>
      <c r="G8436">
        <v>2</v>
      </c>
      <c r="H8436">
        <v>1</v>
      </c>
      <c r="I8436">
        <v>0</v>
      </c>
      <c r="J8436">
        <v>0.960893854748603</v>
      </c>
      <c r="K8436">
        <v>1</v>
      </c>
      <c r="L8436">
        <v>0.98005698005698005</v>
      </c>
      <c r="M8436">
        <v>0.960893854748603</v>
      </c>
      <c r="N8436">
        <v>0.960893854748603</v>
      </c>
      <c r="O8436">
        <v>0.960893854748603</v>
      </c>
      <c r="AF8436" t="s">
        <v>17020</v>
      </c>
    </row>
    <row r="8437" spans="1:32" hidden="1" x14ac:dyDescent="0.35">
      <c r="A8437">
        <v>8436</v>
      </c>
      <c r="B8437" t="s">
        <v>17019</v>
      </c>
      <c r="C8437" t="s">
        <v>277</v>
      </c>
      <c r="D8437" t="s">
        <v>45</v>
      </c>
      <c r="E8437">
        <v>1342</v>
      </c>
      <c r="F8437">
        <v>2</v>
      </c>
      <c r="G8437">
        <v>2</v>
      </c>
      <c r="H8437">
        <v>1</v>
      </c>
      <c r="I8437">
        <v>0</v>
      </c>
      <c r="J8437">
        <v>0.960893854748603</v>
      </c>
      <c r="K8437">
        <v>1</v>
      </c>
      <c r="L8437">
        <v>0.98005698005698005</v>
      </c>
      <c r="M8437">
        <v>0.960893854748603</v>
      </c>
      <c r="N8437">
        <v>0.960893854748603</v>
      </c>
      <c r="O8437">
        <v>0.960893854748603</v>
      </c>
      <c r="AF8437" t="s">
        <v>17021</v>
      </c>
    </row>
    <row r="8438" spans="1:32" hidden="1" x14ac:dyDescent="0.35">
      <c r="A8438">
        <v>8437</v>
      </c>
      <c r="B8438" t="s">
        <v>17022</v>
      </c>
      <c r="C8438" t="s">
        <v>277</v>
      </c>
      <c r="D8438" t="s">
        <v>60</v>
      </c>
      <c r="E8438">
        <v>2407</v>
      </c>
      <c r="F8438">
        <v>2</v>
      </c>
      <c r="G8438">
        <v>2</v>
      </c>
      <c r="H8438">
        <v>1</v>
      </c>
      <c r="I8438">
        <v>0</v>
      </c>
      <c r="J8438">
        <v>0.97903989181879603</v>
      </c>
      <c r="K8438">
        <v>1</v>
      </c>
      <c r="L8438">
        <v>0.98940895114451699</v>
      </c>
      <c r="M8438">
        <v>0.96957403651115603</v>
      </c>
      <c r="N8438">
        <v>0.96957403651115603</v>
      </c>
      <c r="O8438">
        <v>0.96957403651115603</v>
      </c>
      <c r="AF8438" t="s">
        <v>17023</v>
      </c>
    </row>
    <row r="8439" spans="1:32" hidden="1" x14ac:dyDescent="0.35">
      <c r="A8439">
        <v>8438</v>
      </c>
      <c r="B8439" t="s">
        <v>17022</v>
      </c>
      <c r="C8439" t="s">
        <v>277</v>
      </c>
      <c r="D8439" t="s">
        <v>62</v>
      </c>
      <c r="E8439">
        <v>2434</v>
      </c>
      <c r="F8439">
        <v>2</v>
      </c>
      <c r="G8439">
        <v>2</v>
      </c>
      <c r="H8439">
        <v>1</v>
      </c>
      <c r="I8439">
        <v>0</v>
      </c>
      <c r="J8439">
        <v>0.97903989181879603</v>
      </c>
      <c r="K8439">
        <v>1</v>
      </c>
      <c r="L8439">
        <v>0.98940895114451699</v>
      </c>
      <c r="M8439">
        <v>0.96957403651115603</v>
      </c>
      <c r="N8439">
        <v>0.96957403651115603</v>
      </c>
      <c r="O8439">
        <v>0.96957403651115603</v>
      </c>
      <c r="AF8439" t="s">
        <v>17024</v>
      </c>
    </row>
    <row r="8440" spans="1:32" hidden="1" x14ac:dyDescent="0.35">
      <c r="A8440">
        <v>8439</v>
      </c>
      <c r="B8440" t="s">
        <v>17025</v>
      </c>
      <c r="C8440" t="s">
        <v>277</v>
      </c>
      <c r="D8440" t="s">
        <v>60</v>
      </c>
      <c r="E8440">
        <v>1107</v>
      </c>
      <c r="F8440">
        <v>2</v>
      </c>
      <c r="G8440">
        <v>2</v>
      </c>
      <c r="H8440">
        <v>1</v>
      </c>
      <c r="I8440">
        <v>0</v>
      </c>
      <c r="J8440">
        <v>0.99386503067484699</v>
      </c>
      <c r="K8440">
        <v>1</v>
      </c>
      <c r="L8440">
        <v>0.99692307692307702</v>
      </c>
      <c r="M8440">
        <v>0.99386503067484699</v>
      </c>
      <c r="N8440">
        <v>0.99386503067484699</v>
      </c>
      <c r="O8440">
        <v>0.99386503067484699</v>
      </c>
      <c r="P8440" t="s">
        <v>2704</v>
      </c>
      <c r="Q8440" t="s">
        <v>2705</v>
      </c>
      <c r="R8440" t="s">
        <v>288</v>
      </c>
      <c r="S8440" t="s">
        <v>289</v>
      </c>
      <c r="V8440" t="s">
        <v>17026</v>
      </c>
      <c r="W8440" t="s">
        <v>17027</v>
      </c>
      <c r="AF8440" t="s">
        <v>17028</v>
      </c>
    </row>
    <row r="8441" spans="1:32" hidden="1" x14ac:dyDescent="0.35">
      <c r="A8441">
        <v>8440</v>
      </c>
      <c r="B8441" t="s">
        <v>17025</v>
      </c>
      <c r="C8441" t="s">
        <v>277</v>
      </c>
      <c r="D8441" t="s">
        <v>62</v>
      </c>
      <c r="E8441">
        <v>1143</v>
      </c>
      <c r="F8441">
        <v>2</v>
      </c>
      <c r="G8441">
        <v>2</v>
      </c>
      <c r="H8441">
        <v>1</v>
      </c>
      <c r="I8441">
        <v>0</v>
      </c>
      <c r="J8441">
        <v>0.99386503067484699</v>
      </c>
      <c r="K8441">
        <v>1</v>
      </c>
      <c r="L8441">
        <v>0.99692307692307702</v>
      </c>
      <c r="M8441">
        <v>0.99386503067484699</v>
      </c>
      <c r="N8441">
        <v>0.99386503067484699</v>
      </c>
      <c r="O8441">
        <v>0.99386503067484699</v>
      </c>
      <c r="P8441" t="s">
        <v>2704</v>
      </c>
      <c r="Q8441" t="s">
        <v>2705</v>
      </c>
      <c r="R8441" t="s">
        <v>288</v>
      </c>
      <c r="S8441" t="s">
        <v>289</v>
      </c>
      <c r="V8441" t="s">
        <v>17026</v>
      </c>
      <c r="W8441" t="s">
        <v>17027</v>
      </c>
      <c r="AF8441" t="s">
        <v>17029</v>
      </c>
    </row>
    <row r="8442" spans="1:32" hidden="1" x14ac:dyDescent="0.35">
      <c r="A8442">
        <v>8441</v>
      </c>
      <c r="B8442" t="s">
        <v>17030</v>
      </c>
      <c r="C8442" t="s">
        <v>277</v>
      </c>
      <c r="D8442" t="s">
        <v>60</v>
      </c>
      <c r="E8442">
        <v>1210</v>
      </c>
      <c r="F8442">
        <v>2</v>
      </c>
      <c r="G8442">
        <v>2</v>
      </c>
      <c r="H8442">
        <v>1</v>
      </c>
      <c r="I8442">
        <v>0</v>
      </c>
      <c r="J8442">
        <v>0.99378881987577605</v>
      </c>
      <c r="K8442">
        <v>1</v>
      </c>
      <c r="L8442">
        <v>0.99688473520249199</v>
      </c>
      <c r="M8442">
        <v>0.99378881987577605</v>
      </c>
      <c r="N8442">
        <v>0.99378881987577605</v>
      </c>
      <c r="O8442">
        <v>0.99378881987577605</v>
      </c>
      <c r="P8442" t="s">
        <v>17031</v>
      </c>
      <c r="Q8442" t="s">
        <v>17032</v>
      </c>
      <c r="R8442" t="s">
        <v>869</v>
      </c>
      <c r="S8442" t="s">
        <v>870</v>
      </c>
      <c r="T8442" t="s">
        <v>17033</v>
      </c>
      <c r="U8442" t="s">
        <v>17034</v>
      </c>
      <c r="V8442" t="s">
        <v>17035</v>
      </c>
      <c r="W8442" t="s">
        <v>17036</v>
      </c>
      <c r="X8442" t="s">
        <v>17035</v>
      </c>
      <c r="Y8442" t="s">
        <v>3028</v>
      </c>
      <c r="Z8442" t="s">
        <v>10363</v>
      </c>
      <c r="AA8442" t="s">
        <v>10364</v>
      </c>
      <c r="AB8442" t="s">
        <v>10363</v>
      </c>
      <c r="AC8442" t="s">
        <v>878</v>
      </c>
      <c r="AD8442" t="s">
        <v>219</v>
      </c>
      <c r="AE8442" t="s">
        <v>17037</v>
      </c>
      <c r="AF8442" t="s">
        <v>17038</v>
      </c>
    </row>
    <row r="8443" spans="1:32" hidden="1" x14ac:dyDescent="0.35">
      <c r="A8443">
        <v>8442</v>
      </c>
      <c r="B8443" t="s">
        <v>17030</v>
      </c>
      <c r="C8443" t="s">
        <v>277</v>
      </c>
      <c r="D8443" t="s">
        <v>62</v>
      </c>
      <c r="E8443">
        <v>1247</v>
      </c>
      <c r="F8443">
        <v>2</v>
      </c>
      <c r="G8443">
        <v>2</v>
      </c>
      <c r="H8443">
        <v>1</v>
      </c>
      <c r="I8443">
        <v>0</v>
      </c>
      <c r="J8443">
        <v>0.99378881987577605</v>
      </c>
      <c r="K8443">
        <v>1</v>
      </c>
      <c r="L8443">
        <v>0.99688473520249199</v>
      </c>
      <c r="M8443">
        <v>0.99378881987577605</v>
      </c>
      <c r="N8443">
        <v>0.99378881987577605</v>
      </c>
      <c r="O8443">
        <v>0.99378881987577605</v>
      </c>
      <c r="P8443" t="s">
        <v>17031</v>
      </c>
      <c r="Q8443" t="s">
        <v>17032</v>
      </c>
      <c r="R8443" t="s">
        <v>869</v>
      </c>
      <c r="S8443" t="s">
        <v>870</v>
      </c>
      <c r="T8443" t="s">
        <v>17033</v>
      </c>
      <c r="U8443" t="s">
        <v>17034</v>
      </c>
      <c r="V8443" t="s">
        <v>17035</v>
      </c>
      <c r="W8443" t="s">
        <v>17036</v>
      </c>
      <c r="X8443" t="s">
        <v>17035</v>
      </c>
      <c r="Y8443" t="s">
        <v>3028</v>
      </c>
      <c r="Z8443" t="s">
        <v>10363</v>
      </c>
      <c r="AA8443" t="s">
        <v>10364</v>
      </c>
      <c r="AB8443" t="s">
        <v>10363</v>
      </c>
      <c r="AC8443" t="s">
        <v>878</v>
      </c>
      <c r="AD8443" t="s">
        <v>219</v>
      </c>
      <c r="AE8443" t="s">
        <v>17037</v>
      </c>
      <c r="AF8443" t="s">
        <v>17039</v>
      </c>
    </row>
    <row r="8444" spans="1:32" hidden="1" x14ac:dyDescent="0.35">
      <c r="A8444">
        <v>8443</v>
      </c>
      <c r="B8444" t="s">
        <v>17040</v>
      </c>
      <c r="C8444" t="s">
        <v>277</v>
      </c>
      <c r="D8444" t="s">
        <v>60</v>
      </c>
      <c r="E8444">
        <v>2469</v>
      </c>
      <c r="F8444">
        <v>2</v>
      </c>
      <c r="G8444">
        <v>2</v>
      </c>
      <c r="H8444">
        <v>1</v>
      </c>
      <c r="I8444">
        <v>0</v>
      </c>
      <c r="J8444">
        <v>0.99847269950362705</v>
      </c>
      <c r="K8444">
        <v>1</v>
      </c>
      <c r="L8444">
        <v>0.99923576614443999</v>
      </c>
      <c r="M8444">
        <v>0.99770904925544102</v>
      </c>
      <c r="N8444">
        <v>0.99770904925544102</v>
      </c>
      <c r="O8444">
        <v>0.99770904925544102</v>
      </c>
      <c r="P8444" t="s">
        <v>13229</v>
      </c>
      <c r="Q8444" t="s">
        <v>13230</v>
      </c>
      <c r="R8444" t="s">
        <v>516</v>
      </c>
      <c r="S8444" t="s">
        <v>517</v>
      </c>
      <c r="T8444" t="s">
        <v>13231</v>
      </c>
      <c r="U8444" t="s">
        <v>13232</v>
      </c>
      <c r="V8444" t="s">
        <v>13233</v>
      </c>
      <c r="W8444" t="s">
        <v>13234</v>
      </c>
      <c r="AD8444" t="s">
        <v>166</v>
      </c>
      <c r="AE8444" t="s">
        <v>167</v>
      </c>
      <c r="AF8444" t="s">
        <v>17041</v>
      </c>
    </row>
    <row r="8445" spans="1:32" hidden="1" x14ac:dyDescent="0.35">
      <c r="A8445">
        <v>8444</v>
      </c>
      <c r="B8445" t="s">
        <v>17040</v>
      </c>
      <c r="C8445" t="s">
        <v>277</v>
      </c>
      <c r="D8445" t="s">
        <v>62</v>
      </c>
      <c r="E8445">
        <v>2495</v>
      </c>
      <c r="F8445">
        <v>2</v>
      </c>
      <c r="G8445">
        <v>2</v>
      </c>
      <c r="H8445">
        <v>1</v>
      </c>
      <c r="I8445">
        <v>0</v>
      </c>
      <c r="J8445">
        <v>0.99847269950362705</v>
      </c>
      <c r="K8445">
        <v>1</v>
      </c>
      <c r="L8445">
        <v>0.99923576614443999</v>
      </c>
      <c r="M8445">
        <v>0.99770904925544102</v>
      </c>
      <c r="N8445">
        <v>0.99770904925544102</v>
      </c>
      <c r="O8445">
        <v>0.99770904925544102</v>
      </c>
      <c r="P8445" t="s">
        <v>13229</v>
      </c>
      <c r="Q8445" t="s">
        <v>13230</v>
      </c>
      <c r="R8445" t="s">
        <v>516</v>
      </c>
      <c r="S8445" t="s">
        <v>517</v>
      </c>
      <c r="T8445" t="s">
        <v>13231</v>
      </c>
      <c r="U8445" t="s">
        <v>13232</v>
      </c>
      <c r="V8445" t="s">
        <v>13233</v>
      </c>
      <c r="W8445" t="s">
        <v>13234</v>
      </c>
      <c r="AD8445" t="s">
        <v>166</v>
      </c>
      <c r="AE8445" t="s">
        <v>167</v>
      </c>
      <c r="AF8445" t="s">
        <v>17042</v>
      </c>
    </row>
    <row r="8446" spans="1:32" hidden="1" x14ac:dyDescent="0.35">
      <c r="A8446">
        <v>8445</v>
      </c>
      <c r="B8446" t="s">
        <v>17043</v>
      </c>
      <c r="C8446" t="s">
        <v>277</v>
      </c>
      <c r="D8446" t="s">
        <v>34</v>
      </c>
      <c r="E8446">
        <v>1072</v>
      </c>
      <c r="F8446">
        <v>2</v>
      </c>
      <c r="G8446">
        <v>2</v>
      </c>
      <c r="H8446">
        <v>1</v>
      </c>
      <c r="I8446">
        <v>0</v>
      </c>
      <c r="J8446">
        <v>0.98368298368298401</v>
      </c>
      <c r="K8446">
        <v>0.98293636686811103</v>
      </c>
      <c r="L8446">
        <v>0.98330953355095096</v>
      </c>
      <c r="M8446">
        <v>0.96219931271477699</v>
      </c>
      <c r="N8446">
        <v>0.96219931271477699</v>
      </c>
      <c r="O8446">
        <v>0.96219931271477699</v>
      </c>
      <c r="P8446" t="s">
        <v>6852</v>
      </c>
      <c r="Q8446" t="s">
        <v>6853</v>
      </c>
      <c r="R8446" t="s">
        <v>113</v>
      </c>
      <c r="S8446" t="s">
        <v>114</v>
      </c>
      <c r="V8446" t="s">
        <v>6856</v>
      </c>
      <c r="W8446" t="s">
        <v>6857</v>
      </c>
      <c r="AF8446" t="s">
        <v>17044</v>
      </c>
    </row>
    <row r="8447" spans="1:32" hidden="1" x14ac:dyDescent="0.35">
      <c r="A8447">
        <v>8446</v>
      </c>
      <c r="B8447" t="s">
        <v>17043</v>
      </c>
      <c r="C8447" t="s">
        <v>277</v>
      </c>
      <c r="D8447" t="s">
        <v>45</v>
      </c>
      <c r="E8447">
        <v>2329</v>
      </c>
      <c r="F8447">
        <v>2</v>
      </c>
      <c r="G8447">
        <v>2</v>
      </c>
      <c r="H8447">
        <v>1</v>
      </c>
      <c r="I8447">
        <v>0</v>
      </c>
      <c r="J8447">
        <v>0.98368298368298401</v>
      </c>
      <c r="K8447">
        <v>0.98293636686811103</v>
      </c>
      <c r="L8447">
        <v>0.98330953355095096</v>
      </c>
      <c r="M8447">
        <v>0.96219931271477699</v>
      </c>
      <c r="N8447">
        <v>0.96219931271477699</v>
      </c>
      <c r="O8447">
        <v>0.96219931271477699</v>
      </c>
      <c r="P8447" t="s">
        <v>6852</v>
      </c>
      <c r="Q8447" t="s">
        <v>6853</v>
      </c>
      <c r="R8447" t="s">
        <v>113</v>
      </c>
      <c r="S8447" t="s">
        <v>114</v>
      </c>
      <c r="V8447" t="s">
        <v>6856</v>
      </c>
      <c r="W8447" t="s">
        <v>6857</v>
      </c>
      <c r="AF8447" t="s">
        <v>17045</v>
      </c>
    </row>
    <row r="8448" spans="1:32" hidden="1" x14ac:dyDescent="0.35">
      <c r="A8448">
        <v>8447</v>
      </c>
      <c r="B8448" t="s">
        <v>17046</v>
      </c>
      <c r="C8448" t="s">
        <v>277</v>
      </c>
      <c r="D8448" t="s">
        <v>60</v>
      </c>
      <c r="E8448">
        <v>1921</v>
      </c>
      <c r="F8448">
        <v>2</v>
      </c>
      <c r="G8448">
        <v>2</v>
      </c>
      <c r="H8448">
        <v>1</v>
      </c>
      <c r="I8448">
        <v>0</v>
      </c>
      <c r="J8448">
        <v>0.97837837837837804</v>
      </c>
      <c r="K8448">
        <v>1</v>
      </c>
      <c r="L8448">
        <v>0.989071038251366</v>
      </c>
      <c r="M8448">
        <v>0.97837837837837804</v>
      </c>
      <c r="N8448">
        <v>0.97837837837837804</v>
      </c>
      <c r="O8448">
        <v>0.97837837837837804</v>
      </c>
      <c r="AF8448" t="s">
        <v>17047</v>
      </c>
    </row>
    <row r="8449" spans="1:32" hidden="1" x14ac:dyDescent="0.35">
      <c r="A8449">
        <v>8448</v>
      </c>
      <c r="B8449" t="s">
        <v>17046</v>
      </c>
      <c r="C8449" t="s">
        <v>277</v>
      </c>
      <c r="D8449" t="s">
        <v>62</v>
      </c>
      <c r="E8449">
        <v>1961</v>
      </c>
      <c r="F8449">
        <v>2</v>
      </c>
      <c r="G8449">
        <v>2</v>
      </c>
      <c r="H8449">
        <v>1</v>
      </c>
      <c r="I8449">
        <v>0</v>
      </c>
      <c r="J8449">
        <v>0.97837837837837804</v>
      </c>
      <c r="K8449">
        <v>1</v>
      </c>
      <c r="L8449">
        <v>0.989071038251366</v>
      </c>
      <c r="M8449">
        <v>0.97837837837837804</v>
      </c>
      <c r="N8449">
        <v>0.97837837837837804</v>
      </c>
      <c r="O8449">
        <v>0.97837837837837804</v>
      </c>
      <c r="AF8449" t="s">
        <v>17048</v>
      </c>
    </row>
    <row r="8450" spans="1:32" hidden="1" x14ac:dyDescent="0.35">
      <c r="A8450">
        <v>8449</v>
      </c>
      <c r="B8450" t="s">
        <v>17049</v>
      </c>
      <c r="C8450" t="s">
        <v>277</v>
      </c>
      <c r="D8450" t="s">
        <v>60</v>
      </c>
      <c r="E8450">
        <v>1338</v>
      </c>
      <c r="F8450">
        <v>2</v>
      </c>
      <c r="G8450">
        <v>2</v>
      </c>
      <c r="H8450">
        <v>1</v>
      </c>
      <c r="I8450">
        <v>0</v>
      </c>
      <c r="J8450">
        <v>0.97218736930154703</v>
      </c>
      <c r="K8450">
        <v>1</v>
      </c>
      <c r="L8450">
        <v>0.985897571837557</v>
      </c>
      <c r="M8450">
        <v>0.96047678795483105</v>
      </c>
      <c r="N8450">
        <v>0.96047678795483105</v>
      </c>
      <c r="O8450">
        <v>0.96047678795483105</v>
      </c>
      <c r="AF8450" t="s">
        <v>17050</v>
      </c>
    </row>
    <row r="8451" spans="1:32" hidden="1" x14ac:dyDescent="0.35">
      <c r="A8451">
        <v>8450</v>
      </c>
      <c r="B8451" t="s">
        <v>17049</v>
      </c>
      <c r="C8451" t="s">
        <v>277</v>
      </c>
      <c r="D8451" t="s">
        <v>62</v>
      </c>
      <c r="E8451">
        <v>1374</v>
      </c>
      <c r="F8451">
        <v>2</v>
      </c>
      <c r="G8451">
        <v>2</v>
      </c>
      <c r="H8451">
        <v>1</v>
      </c>
      <c r="I8451">
        <v>0</v>
      </c>
      <c r="J8451">
        <v>0.97218736930154703</v>
      </c>
      <c r="K8451">
        <v>1</v>
      </c>
      <c r="L8451">
        <v>0.985897571837557</v>
      </c>
      <c r="M8451">
        <v>0.96047678795483105</v>
      </c>
      <c r="N8451">
        <v>0.96047678795483105</v>
      </c>
      <c r="O8451">
        <v>0.96047678795483105</v>
      </c>
      <c r="AF8451" t="s">
        <v>17051</v>
      </c>
    </row>
    <row r="8452" spans="1:32" hidden="1" x14ac:dyDescent="0.35">
      <c r="A8452">
        <v>8451</v>
      </c>
      <c r="B8452" t="s">
        <v>17052</v>
      </c>
      <c r="C8452" t="s">
        <v>277</v>
      </c>
      <c r="D8452" t="s">
        <v>60</v>
      </c>
      <c r="E8452">
        <v>1720</v>
      </c>
      <c r="F8452">
        <v>2</v>
      </c>
      <c r="G8452">
        <v>2</v>
      </c>
      <c r="H8452">
        <v>1</v>
      </c>
      <c r="I8452">
        <v>0</v>
      </c>
      <c r="J8452">
        <v>0.98168498168498197</v>
      </c>
      <c r="K8452">
        <v>1</v>
      </c>
      <c r="L8452">
        <v>0.99075785582255105</v>
      </c>
      <c r="M8452">
        <v>0.97802197802197799</v>
      </c>
      <c r="N8452">
        <v>0.97802197802197799</v>
      </c>
      <c r="O8452">
        <v>0.97802197802197799</v>
      </c>
      <c r="AF8452" t="s">
        <v>17053</v>
      </c>
    </row>
    <row r="8453" spans="1:32" hidden="1" x14ac:dyDescent="0.35">
      <c r="A8453">
        <v>8452</v>
      </c>
      <c r="B8453" t="s">
        <v>17052</v>
      </c>
      <c r="C8453" t="s">
        <v>277</v>
      </c>
      <c r="D8453" t="s">
        <v>62</v>
      </c>
      <c r="E8453">
        <v>1755</v>
      </c>
      <c r="F8453">
        <v>2</v>
      </c>
      <c r="G8453">
        <v>2</v>
      </c>
      <c r="H8453">
        <v>1</v>
      </c>
      <c r="I8453">
        <v>0</v>
      </c>
      <c r="J8453">
        <v>0.98168498168498197</v>
      </c>
      <c r="K8453">
        <v>1</v>
      </c>
      <c r="L8453">
        <v>0.99075785582255105</v>
      </c>
      <c r="M8453">
        <v>0.97802197802197799</v>
      </c>
      <c r="N8453">
        <v>0.97802197802197799</v>
      </c>
      <c r="O8453">
        <v>0.97802197802197799</v>
      </c>
      <c r="AF8453" t="s">
        <v>17054</v>
      </c>
    </row>
    <row r="8454" spans="1:32" hidden="1" x14ac:dyDescent="0.35">
      <c r="A8454">
        <v>8453</v>
      </c>
      <c r="B8454" t="s">
        <v>17055</v>
      </c>
      <c r="C8454" t="s">
        <v>277</v>
      </c>
      <c r="D8454" t="s">
        <v>34</v>
      </c>
      <c r="E8454">
        <v>1152</v>
      </c>
      <c r="F8454">
        <v>2</v>
      </c>
      <c r="G8454">
        <v>2</v>
      </c>
      <c r="H8454">
        <v>1</v>
      </c>
      <c r="I8454">
        <v>0</v>
      </c>
      <c r="J8454">
        <v>0.98690835850956704</v>
      </c>
      <c r="K8454">
        <v>1</v>
      </c>
      <c r="L8454">
        <v>0.99341104916371004</v>
      </c>
      <c r="M8454">
        <v>0.97280966767371602</v>
      </c>
      <c r="N8454">
        <v>0.97280966767371602</v>
      </c>
      <c r="O8454">
        <v>0.97280966767371602</v>
      </c>
      <c r="P8454" t="s">
        <v>13618</v>
      </c>
      <c r="Q8454" t="s">
        <v>13619</v>
      </c>
      <c r="AF8454" t="s">
        <v>17056</v>
      </c>
    </row>
    <row r="8455" spans="1:32" hidden="1" x14ac:dyDescent="0.35">
      <c r="A8455">
        <v>8454</v>
      </c>
      <c r="B8455" t="s">
        <v>17055</v>
      </c>
      <c r="C8455" t="s">
        <v>277</v>
      </c>
      <c r="D8455" t="s">
        <v>45</v>
      </c>
      <c r="E8455">
        <v>2397</v>
      </c>
      <c r="F8455">
        <v>2</v>
      </c>
      <c r="G8455">
        <v>2</v>
      </c>
      <c r="H8455">
        <v>1</v>
      </c>
      <c r="I8455">
        <v>0</v>
      </c>
      <c r="J8455">
        <v>0.98690835850956704</v>
      </c>
      <c r="K8455">
        <v>1</v>
      </c>
      <c r="L8455">
        <v>0.99341104916371004</v>
      </c>
      <c r="M8455">
        <v>0.97280966767371602</v>
      </c>
      <c r="N8455">
        <v>0.97280966767371602</v>
      </c>
      <c r="O8455">
        <v>0.97280966767371602</v>
      </c>
      <c r="P8455" t="s">
        <v>13618</v>
      </c>
      <c r="Q8455" t="s">
        <v>13619</v>
      </c>
      <c r="AF8455" t="s">
        <v>17057</v>
      </c>
    </row>
    <row r="8456" spans="1:32" hidden="1" x14ac:dyDescent="0.35">
      <c r="A8456">
        <v>8455</v>
      </c>
      <c r="B8456" t="s">
        <v>17058</v>
      </c>
      <c r="C8456" t="s">
        <v>277</v>
      </c>
      <c r="D8456" t="s">
        <v>34</v>
      </c>
      <c r="E8456">
        <v>478</v>
      </c>
      <c r="F8456">
        <v>2</v>
      </c>
      <c r="G8456">
        <v>2</v>
      </c>
      <c r="H8456">
        <v>1</v>
      </c>
      <c r="I8456">
        <v>0</v>
      </c>
      <c r="J8456">
        <v>0.99857549857549899</v>
      </c>
      <c r="K8456">
        <v>1</v>
      </c>
      <c r="L8456">
        <v>0.99928724162508897</v>
      </c>
      <c r="M8456">
        <v>0.99572649572649596</v>
      </c>
      <c r="N8456">
        <v>0.99572649572649596</v>
      </c>
      <c r="O8456">
        <v>0.99572649572649596</v>
      </c>
      <c r="P8456" t="s">
        <v>8002</v>
      </c>
      <c r="Q8456" t="s">
        <v>8003</v>
      </c>
      <c r="R8456" t="s">
        <v>213</v>
      </c>
      <c r="S8456" t="s">
        <v>214</v>
      </c>
      <c r="T8456" t="s">
        <v>4493</v>
      </c>
      <c r="U8456" t="s">
        <v>4494</v>
      </c>
      <c r="V8456" t="s">
        <v>15221</v>
      </c>
      <c r="W8456" t="s">
        <v>15222</v>
      </c>
      <c r="AD8456" t="s">
        <v>245</v>
      </c>
      <c r="AE8456" t="s">
        <v>4497</v>
      </c>
      <c r="AF8456" t="s">
        <v>17059</v>
      </c>
    </row>
    <row r="8457" spans="1:32" hidden="1" x14ac:dyDescent="0.35">
      <c r="A8457">
        <v>8456</v>
      </c>
      <c r="B8457" t="s">
        <v>17058</v>
      </c>
      <c r="C8457" t="s">
        <v>277</v>
      </c>
      <c r="D8457" t="s">
        <v>45</v>
      </c>
      <c r="E8457">
        <v>1743</v>
      </c>
      <c r="F8457">
        <v>2</v>
      </c>
      <c r="G8457">
        <v>2</v>
      </c>
      <c r="H8457">
        <v>1</v>
      </c>
      <c r="I8457">
        <v>0</v>
      </c>
      <c r="J8457">
        <v>0.99857549857549899</v>
      </c>
      <c r="K8457">
        <v>1</v>
      </c>
      <c r="L8457">
        <v>0.99928724162508897</v>
      </c>
      <c r="M8457">
        <v>0.99572649572649596</v>
      </c>
      <c r="N8457">
        <v>0.99572649572649596</v>
      </c>
      <c r="O8457">
        <v>0.99572649572649596</v>
      </c>
      <c r="P8457" t="s">
        <v>8002</v>
      </c>
      <c r="Q8457" t="s">
        <v>8003</v>
      </c>
      <c r="R8457" t="s">
        <v>213</v>
      </c>
      <c r="S8457" t="s">
        <v>214</v>
      </c>
      <c r="T8457" t="s">
        <v>4493</v>
      </c>
      <c r="U8457" t="s">
        <v>4494</v>
      </c>
      <c r="V8457" t="s">
        <v>15221</v>
      </c>
      <c r="W8457" t="s">
        <v>15222</v>
      </c>
      <c r="AD8457" t="s">
        <v>245</v>
      </c>
      <c r="AE8457" t="s">
        <v>4497</v>
      </c>
      <c r="AF8457" t="s">
        <v>17060</v>
      </c>
    </row>
    <row r="8458" spans="1:32" hidden="1" x14ac:dyDescent="0.35">
      <c r="A8458">
        <v>8457</v>
      </c>
      <c r="B8458" t="s">
        <v>17061</v>
      </c>
      <c r="C8458" t="s">
        <v>277</v>
      </c>
      <c r="D8458" t="s">
        <v>60</v>
      </c>
      <c r="E8458">
        <v>1103</v>
      </c>
      <c r="F8458">
        <v>2</v>
      </c>
      <c r="G8458">
        <v>2</v>
      </c>
      <c r="H8458">
        <v>1</v>
      </c>
      <c r="I8458">
        <v>0</v>
      </c>
      <c r="J8458">
        <v>0.98611111111111105</v>
      </c>
      <c r="K8458">
        <v>1</v>
      </c>
      <c r="L8458">
        <v>0.99300699300699302</v>
      </c>
      <c r="M8458">
        <v>0.97916666666666696</v>
      </c>
      <c r="N8458">
        <v>0.97916666666666696</v>
      </c>
      <c r="O8458">
        <v>0.97916666666666696</v>
      </c>
      <c r="AF8458" t="s">
        <v>17062</v>
      </c>
    </row>
    <row r="8459" spans="1:32" hidden="1" x14ac:dyDescent="0.35">
      <c r="A8459">
        <v>8458</v>
      </c>
      <c r="B8459" t="s">
        <v>17061</v>
      </c>
      <c r="C8459" t="s">
        <v>277</v>
      </c>
      <c r="D8459" t="s">
        <v>62</v>
      </c>
      <c r="E8459">
        <v>1139</v>
      </c>
      <c r="F8459">
        <v>2</v>
      </c>
      <c r="G8459">
        <v>2</v>
      </c>
      <c r="H8459">
        <v>1</v>
      </c>
      <c r="I8459">
        <v>0</v>
      </c>
      <c r="J8459">
        <v>0.98611111111111105</v>
      </c>
      <c r="K8459">
        <v>1</v>
      </c>
      <c r="L8459">
        <v>0.99300699300699302</v>
      </c>
      <c r="M8459">
        <v>0.97916666666666696</v>
      </c>
      <c r="N8459">
        <v>0.97916666666666696</v>
      </c>
      <c r="O8459">
        <v>0.97916666666666696</v>
      </c>
      <c r="AF8459" t="s">
        <v>17063</v>
      </c>
    </row>
    <row r="8460" spans="1:32" hidden="1" x14ac:dyDescent="0.35">
      <c r="A8460">
        <v>8459</v>
      </c>
      <c r="B8460" t="s">
        <v>17064</v>
      </c>
      <c r="C8460" t="s">
        <v>277</v>
      </c>
      <c r="D8460" t="s">
        <v>34</v>
      </c>
      <c r="E8460">
        <v>1832</v>
      </c>
      <c r="F8460">
        <v>2</v>
      </c>
      <c r="G8460">
        <v>2</v>
      </c>
      <c r="H8460">
        <v>1</v>
      </c>
      <c r="I8460">
        <v>0</v>
      </c>
      <c r="J8460">
        <v>0.99562363238511997</v>
      </c>
      <c r="K8460">
        <v>1</v>
      </c>
      <c r="L8460">
        <v>0.99780701754386003</v>
      </c>
      <c r="M8460">
        <v>0.99562363238511997</v>
      </c>
      <c r="N8460">
        <v>0.99562363238511997</v>
      </c>
      <c r="O8460">
        <v>0.99562363238511997</v>
      </c>
      <c r="P8460" t="s">
        <v>17065</v>
      </c>
      <c r="Q8460" t="s">
        <v>17066</v>
      </c>
      <c r="R8460" t="s">
        <v>235</v>
      </c>
      <c r="S8460" t="s">
        <v>236</v>
      </c>
      <c r="T8460" t="s">
        <v>17067</v>
      </c>
      <c r="U8460" t="s">
        <v>17068</v>
      </c>
      <c r="V8460" t="s">
        <v>17069</v>
      </c>
      <c r="W8460" t="s">
        <v>17070</v>
      </c>
      <c r="Z8460" t="s">
        <v>17071</v>
      </c>
      <c r="AA8460" t="s">
        <v>17072</v>
      </c>
      <c r="AB8460" t="s">
        <v>17071</v>
      </c>
      <c r="AC8460" t="s">
        <v>7049</v>
      </c>
      <c r="AD8460" t="s">
        <v>245</v>
      </c>
      <c r="AE8460" t="s">
        <v>17073</v>
      </c>
      <c r="AF8460" t="s">
        <v>17074</v>
      </c>
    </row>
    <row r="8461" spans="1:32" hidden="1" x14ac:dyDescent="0.35">
      <c r="A8461">
        <v>8460</v>
      </c>
      <c r="B8461" t="s">
        <v>17064</v>
      </c>
      <c r="C8461" t="s">
        <v>277</v>
      </c>
      <c r="D8461" t="s">
        <v>45</v>
      </c>
      <c r="E8461">
        <v>1041</v>
      </c>
      <c r="F8461">
        <v>2</v>
      </c>
      <c r="G8461">
        <v>2</v>
      </c>
      <c r="H8461">
        <v>1</v>
      </c>
      <c r="I8461">
        <v>0</v>
      </c>
      <c r="J8461">
        <v>0.99562363238511997</v>
      </c>
      <c r="K8461">
        <v>1</v>
      </c>
      <c r="L8461">
        <v>0.99780701754386003</v>
      </c>
      <c r="M8461">
        <v>0.99562363238511997</v>
      </c>
      <c r="N8461">
        <v>0.99562363238511997</v>
      </c>
      <c r="O8461">
        <v>0.99562363238511997</v>
      </c>
      <c r="P8461" t="s">
        <v>17065</v>
      </c>
      <c r="Q8461" t="s">
        <v>17066</v>
      </c>
      <c r="R8461" t="s">
        <v>235</v>
      </c>
      <c r="S8461" t="s">
        <v>236</v>
      </c>
      <c r="T8461" t="s">
        <v>17067</v>
      </c>
      <c r="U8461" t="s">
        <v>17068</v>
      </c>
      <c r="V8461" t="s">
        <v>17069</v>
      </c>
      <c r="W8461" t="s">
        <v>17070</v>
      </c>
      <c r="Z8461" t="s">
        <v>17071</v>
      </c>
      <c r="AA8461" t="s">
        <v>17072</v>
      </c>
      <c r="AB8461" t="s">
        <v>17071</v>
      </c>
      <c r="AC8461" t="s">
        <v>7049</v>
      </c>
      <c r="AD8461" t="s">
        <v>245</v>
      </c>
      <c r="AE8461" t="s">
        <v>17073</v>
      </c>
      <c r="AF8461" t="s">
        <v>17075</v>
      </c>
    </row>
    <row r="8462" spans="1:32" hidden="1" x14ac:dyDescent="0.35">
      <c r="A8462">
        <v>8461</v>
      </c>
      <c r="B8462" t="s">
        <v>17076</v>
      </c>
      <c r="C8462" t="s">
        <v>277</v>
      </c>
      <c r="D8462" t="s">
        <v>60</v>
      </c>
      <c r="E8462">
        <v>505</v>
      </c>
      <c r="F8462">
        <v>2</v>
      </c>
      <c r="G8462">
        <v>2</v>
      </c>
      <c r="H8462">
        <v>1</v>
      </c>
      <c r="I8462">
        <v>0</v>
      </c>
      <c r="J8462">
        <v>0.97805907172995799</v>
      </c>
      <c r="K8462">
        <v>1</v>
      </c>
      <c r="L8462">
        <v>0.98890784982935198</v>
      </c>
      <c r="M8462">
        <v>0.96962025316455702</v>
      </c>
      <c r="N8462">
        <v>0.96962025316455702</v>
      </c>
      <c r="O8462">
        <v>0.96962025316455702</v>
      </c>
      <c r="P8462" t="s">
        <v>2496</v>
      </c>
      <c r="Q8462" t="s">
        <v>2497</v>
      </c>
      <c r="R8462" t="s">
        <v>138</v>
      </c>
      <c r="S8462" t="s">
        <v>139</v>
      </c>
      <c r="V8462" t="s">
        <v>2498</v>
      </c>
      <c r="W8462" t="s">
        <v>2499</v>
      </c>
      <c r="AF8462" t="s">
        <v>17077</v>
      </c>
    </row>
    <row r="8463" spans="1:32" hidden="1" x14ac:dyDescent="0.35">
      <c r="A8463">
        <v>8462</v>
      </c>
      <c r="B8463" t="s">
        <v>17076</v>
      </c>
      <c r="C8463" t="s">
        <v>277</v>
      </c>
      <c r="D8463" t="s">
        <v>62</v>
      </c>
      <c r="E8463">
        <v>589</v>
      </c>
      <c r="F8463">
        <v>2</v>
      </c>
      <c r="G8463">
        <v>2</v>
      </c>
      <c r="H8463">
        <v>1</v>
      </c>
      <c r="I8463">
        <v>0</v>
      </c>
      <c r="J8463">
        <v>0.97805907172995799</v>
      </c>
      <c r="K8463">
        <v>1</v>
      </c>
      <c r="L8463">
        <v>0.98890784982935198</v>
      </c>
      <c r="M8463">
        <v>0.96962025316455702</v>
      </c>
      <c r="N8463">
        <v>0.96962025316455702</v>
      </c>
      <c r="O8463">
        <v>0.96962025316455702</v>
      </c>
      <c r="P8463" t="s">
        <v>2496</v>
      </c>
      <c r="Q8463" t="s">
        <v>2497</v>
      </c>
      <c r="R8463" t="s">
        <v>138</v>
      </c>
      <c r="S8463" t="s">
        <v>139</v>
      </c>
      <c r="V8463" t="s">
        <v>2498</v>
      </c>
      <c r="W8463" t="s">
        <v>2499</v>
      </c>
      <c r="AF8463" t="s">
        <v>17078</v>
      </c>
    </row>
    <row r="8464" spans="1:32" hidden="1" x14ac:dyDescent="0.35">
      <c r="A8464">
        <v>8463</v>
      </c>
      <c r="B8464" t="s">
        <v>17079</v>
      </c>
      <c r="C8464" t="s">
        <v>277</v>
      </c>
      <c r="D8464" t="s">
        <v>34</v>
      </c>
      <c r="E8464">
        <v>320</v>
      </c>
      <c r="F8464">
        <v>2</v>
      </c>
      <c r="G8464">
        <v>2</v>
      </c>
      <c r="H8464">
        <v>1</v>
      </c>
      <c r="I8464">
        <v>0</v>
      </c>
      <c r="J8464">
        <v>0.98856209150326801</v>
      </c>
      <c r="K8464">
        <v>1</v>
      </c>
      <c r="L8464">
        <v>0.99424815119145404</v>
      </c>
      <c r="M8464">
        <v>0.98529411764705899</v>
      </c>
      <c r="N8464">
        <v>0.98529411764705899</v>
      </c>
      <c r="O8464">
        <v>0.98529411764705899</v>
      </c>
      <c r="P8464" t="s">
        <v>12860</v>
      </c>
      <c r="Q8464" t="s">
        <v>12861</v>
      </c>
      <c r="R8464" t="s">
        <v>224</v>
      </c>
      <c r="S8464" t="s">
        <v>225</v>
      </c>
      <c r="T8464" t="s">
        <v>12853</v>
      </c>
      <c r="U8464" t="s">
        <v>12854</v>
      </c>
      <c r="V8464" t="s">
        <v>12855</v>
      </c>
      <c r="W8464" t="s">
        <v>12856</v>
      </c>
      <c r="X8464" t="s">
        <v>12855</v>
      </c>
      <c r="Y8464" t="s">
        <v>749</v>
      </c>
      <c r="AD8464" t="s">
        <v>12857</v>
      </c>
      <c r="AE8464" t="s">
        <v>12858</v>
      </c>
      <c r="AF8464" t="s">
        <v>17080</v>
      </c>
    </row>
    <row r="8465" spans="1:32" hidden="1" x14ac:dyDescent="0.35">
      <c r="A8465">
        <v>8464</v>
      </c>
      <c r="B8465" t="s">
        <v>17079</v>
      </c>
      <c r="C8465" t="s">
        <v>277</v>
      </c>
      <c r="D8465" t="s">
        <v>45</v>
      </c>
      <c r="E8465">
        <v>1582</v>
      </c>
      <c r="F8465">
        <v>2</v>
      </c>
      <c r="G8465">
        <v>2</v>
      </c>
      <c r="H8465">
        <v>1</v>
      </c>
      <c r="I8465">
        <v>0</v>
      </c>
      <c r="J8465">
        <v>0.98856209150326801</v>
      </c>
      <c r="K8465">
        <v>1</v>
      </c>
      <c r="L8465">
        <v>0.99424815119145404</v>
      </c>
      <c r="M8465">
        <v>0.98529411764705899</v>
      </c>
      <c r="N8465">
        <v>0.98529411764705899</v>
      </c>
      <c r="O8465">
        <v>0.98529411764705899</v>
      </c>
      <c r="P8465" t="s">
        <v>12860</v>
      </c>
      <c r="Q8465" t="s">
        <v>12861</v>
      </c>
      <c r="R8465" t="s">
        <v>224</v>
      </c>
      <c r="S8465" t="s">
        <v>225</v>
      </c>
      <c r="T8465" t="s">
        <v>12853</v>
      </c>
      <c r="U8465" t="s">
        <v>12854</v>
      </c>
      <c r="V8465" t="s">
        <v>12855</v>
      </c>
      <c r="W8465" t="s">
        <v>12856</v>
      </c>
      <c r="X8465" t="s">
        <v>12855</v>
      </c>
      <c r="Y8465" t="s">
        <v>749</v>
      </c>
      <c r="AD8465" t="s">
        <v>12857</v>
      </c>
      <c r="AE8465" t="s">
        <v>12858</v>
      </c>
      <c r="AF8465" t="s">
        <v>17081</v>
      </c>
    </row>
    <row r="8466" spans="1:32" hidden="1" x14ac:dyDescent="0.35">
      <c r="A8466">
        <v>8465</v>
      </c>
      <c r="B8466" t="s">
        <v>17082</v>
      </c>
      <c r="C8466" t="s">
        <v>277</v>
      </c>
      <c r="D8466" t="s">
        <v>60</v>
      </c>
      <c r="E8466">
        <v>1592</v>
      </c>
      <c r="F8466">
        <v>2</v>
      </c>
      <c r="G8466">
        <v>2</v>
      </c>
      <c r="H8466">
        <v>1</v>
      </c>
      <c r="I8466">
        <v>0</v>
      </c>
      <c r="J8466">
        <v>0.99328859060402697</v>
      </c>
      <c r="K8466">
        <v>1</v>
      </c>
      <c r="L8466">
        <v>0.99663299663299698</v>
      </c>
      <c r="M8466">
        <v>0.99328859060402697</v>
      </c>
      <c r="N8466">
        <v>0.99328859060402697</v>
      </c>
      <c r="O8466">
        <v>0.99328859060402697</v>
      </c>
      <c r="P8466" t="s">
        <v>15681</v>
      </c>
      <c r="Q8466" t="s">
        <v>15682</v>
      </c>
      <c r="AF8466" t="s">
        <v>17083</v>
      </c>
    </row>
    <row r="8467" spans="1:32" hidden="1" x14ac:dyDescent="0.35">
      <c r="A8467">
        <v>8466</v>
      </c>
      <c r="B8467" t="s">
        <v>17082</v>
      </c>
      <c r="C8467" t="s">
        <v>277</v>
      </c>
      <c r="D8467" t="s">
        <v>62</v>
      </c>
      <c r="E8467">
        <v>1628</v>
      </c>
      <c r="F8467">
        <v>2</v>
      </c>
      <c r="G8467">
        <v>2</v>
      </c>
      <c r="H8467">
        <v>1</v>
      </c>
      <c r="I8467">
        <v>0</v>
      </c>
      <c r="J8467">
        <v>0.99328859060402697</v>
      </c>
      <c r="K8467">
        <v>1</v>
      </c>
      <c r="L8467">
        <v>0.99663299663299698</v>
      </c>
      <c r="M8467">
        <v>0.99328859060402697</v>
      </c>
      <c r="N8467">
        <v>0.99328859060402697</v>
      </c>
      <c r="O8467">
        <v>0.99328859060402697</v>
      </c>
      <c r="P8467" t="s">
        <v>15681</v>
      </c>
      <c r="Q8467" t="s">
        <v>15682</v>
      </c>
      <c r="AF8467" t="s">
        <v>17084</v>
      </c>
    </row>
    <row r="8468" spans="1:32" hidden="1" x14ac:dyDescent="0.35">
      <c r="A8468">
        <v>8467</v>
      </c>
      <c r="B8468" t="s">
        <v>17085</v>
      </c>
      <c r="C8468" t="s">
        <v>277</v>
      </c>
      <c r="D8468" t="s">
        <v>34</v>
      </c>
      <c r="E8468">
        <v>418</v>
      </c>
      <c r="F8468">
        <v>2</v>
      </c>
      <c r="G8468">
        <v>2</v>
      </c>
      <c r="H8468">
        <v>1</v>
      </c>
      <c r="I8468">
        <v>0</v>
      </c>
      <c r="J8468">
        <v>0.98626373626373598</v>
      </c>
      <c r="K8468">
        <v>1</v>
      </c>
      <c r="L8468">
        <v>0.99308437067773203</v>
      </c>
      <c r="M8468">
        <v>0.98626373626373598</v>
      </c>
      <c r="N8468">
        <v>0.98626373626373598</v>
      </c>
      <c r="O8468">
        <v>0.98626373626373598</v>
      </c>
      <c r="P8468" t="s">
        <v>17086</v>
      </c>
      <c r="Q8468" t="s">
        <v>17087</v>
      </c>
      <c r="AF8468" t="s">
        <v>17088</v>
      </c>
    </row>
    <row r="8469" spans="1:32" hidden="1" x14ac:dyDescent="0.35">
      <c r="A8469">
        <v>8468</v>
      </c>
      <c r="B8469" t="s">
        <v>17085</v>
      </c>
      <c r="C8469" t="s">
        <v>277</v>
      </c>
      <c r="D8469" t="s">
        <v>45</v>
      </c>
      <c r="E8469">
        <v>1680</v>
      </c>
      <c r="F8469">
        <v>2</v>
      </c>
      <c r="G8469">
        <v>2</v>
      </c>
      <c r="H8469">
        <v>1</v>
      </c>
      <c r="I8469">
        <v>0</v>
      </c>
      <c r="J8469">
        <v>0.98626373626373598</v>
      </c>
      <c r="K8469">
        <v>1</v>
      </c>
      <c r="L8469">
        <v>0.99308437067773203</v>
      </c>
      <c r="M8469">
        <v>0.98626373626373598</v>
      </c>
      <c r="N8469">
        <v>0.98626373626373598</v>
      </c>
      <c r="O8469">
        <v>0.98626373626373598</v>
      </c>
      <c r="P8469" t="s">
        <v>17086</v>
      </c>
      <c r="Q8469" t="s">
        <v>17087</v>
      </c>
      <c r="AF8469" t="s">
        <v>17089</v>
      </c>
    </row>
    <row r="8470" spans="1:32" hidden="1" x14ac:dyDescent="0.35">
      <c r="A8470">
        <v>8469</v>
      </c>
      <c r="B8470" t="s">
        <v>17090</v>
      </c>
      <c r="C8470" t="s">
        <v>277</v>
      </c>
      <c r="D8470" t="s">
        <v>60</v>
      </c>
      <c r="E8470">
        <v>1667</v>
      </c>
      <c r="F8470">
        <v>2</v>
      </c>
      <c r="G8470">
        <v>2</v>
      </c>
      <c r="H8470">
        <v>1</v>
      </c>
      <c r="I8470">
        <v>0</v>
      </c>
      <c r="J8470">
        <v>0.99461745482506703</v>
      </c>
      <c r="K8470">
        <v>1</v>
      </c>
      <c r="L8470">
        <v>0.99730146491904403</v>
      </c>
      <c r="M8470">
        <v>0.99307958477508695</v>
      </c>
      <c r="N8470">
        <v>0.99307958477508695</v>
      </c>
      <c r="O8470">
        <v>0.99307958477508695</v>
      </c>
      <c r="P8470" t="s">
        <v>17091</v>
      </c>
      <c r="Q8470" t="s">
        <v>17092</v>
      </c>
      <c r="R8470" t="s">
        <v>319</v>
      </c>
      <c r="S8470" t="s">
        <v>320</v>
      </c>
      <c r="T8470" t="s">
        <v>13031</v>
      </c>
      <c r="U8470" t="s">
        <v>13032</v>
      </c>
      <c r="V8470" t="s">
        <v>13033</v>
      </c>
      <c r="W8470" t="s">
        <v>13034</v>
      </c>
      <c r="Z8470" t="s">
        <v>4406</v>
      </c>
      <c r="AA8470" t="s">
        <v>4407</v>
      </c>
      <c r="AB8470" t="s">
        <v>4406</v>
      </c>
      <c r="AC8470" t="s">
        <v>4023</v>
      </c>
      <c r="AD8470" t="s">
        <v>951</v>
      </c>
      <c r="AE8470" t="s">
        <v>13035</v>
      </c>
      <c r="AF8470" t="s">
        <v>17093</v>
      </c>
    </row>
    <row r="8471" spans="1:32" hidden="1" x14ac:dyDescent="0.35">
      <c r="A8471">
        <v>8470</v>
      </c>
      <c r="B8471" t="s">
        <v>17090</v>
      </c>
      <c r="C8471" t="s">
        <v>277</v>
      </c>
      <c r="D8471" t="s">
        <v>62</v>
      </c>
      <c r="E8471">
        <v>1702</v>
      </c>
      <c r="F8471">
        <v>2</v>
      </c>
      <c r="G8471">
        <v>2</v>
      </c>
      <c r="H8471">
        <v>1</v>
      </c>
      <c r="I8471">
        <v>0</v>
      </c>
      <c r="J8471">
        <v>0.99461745482506703</v>
      </c>
      <c r="K8471">
        <v>1</v>
      </c>
      <c r="L8471">
        <v>0.99730146491904403</v>
      </c>
      <c r="M8471">
        <v>0.99307958477508695</v>
      </c>
      <c r="N8471">
        <v>0.99307958477508695</v>
      </c>
      <c r="O8471">
        <v>0.99307958477508695</v>
      </c>
      <c r="P8471" t="s">
        <v>13029</v>
      </c>
      <c r="Q8471" t="s">
        <v>13030</v>
      </c>
      <c r="R8471" t="s">
        <v>319</v>
      </c>
      <c r="S8471" t="s">
        <v>320</v>
      </c>
      <c r="T8471" t="s">
        <v>13031</v>
      </c>
      <c r="U8471" t="s">
        <v>13032</v>
      </c>
      <c r="V8471" t="s">
        <v>13033</v>
      </c>
      <c r="W8471" t="s">
        <v>13034</v>
      </c>
      <c r="Z8471" t="s">
        <v>4406</v>
      </c>
      <c r="AA8471" t="s">
        <v>4407</v>
      </c>
      <c r="AB8471" t="s">
        <v>4406</v>
      </c>
      <c r="AC8471" t="s">
        <v>4023</v>
      </c>
      <c r="AD8471" t="s">
        <v>951</v>
      </c>
      <c r="AE8471" t="s">
        <v>13035</v>
      </c>
      <c r="AF8471" t="s">
        <v>17094</v>
      </c>
    </row>
    <row r="8472" spans="1:32" hidden="1" x14ac:dyDescent="0.35">
      <c r="A8472">
        <v>8471</v>
      </c>
      <c r="B8472" t="s">
        <v>17095</v>
      </c>
      <c r="C8472" t="s">
        <v>277</v>
      </c>
      <c r="D8472" t="s">
        <v>60</v>
      </c>
      <c r="E8472">
        <v>86</v>
      </c>
      <c r="F8472">
        <v>2</v>
      </c>
      <c r="G8472">
        <v>2</v>
      </c>
      <c r="H8472">
        <v>1</v>
      </c>
      <c r="I8472">
        <v>0</v>
      </c>
      <c r="J8472">
        <v>0.99512195121951197</v>
      </c>
      <c r="K8472">
        <v>1</v>
      </c>
      <c r="L8472">
        <v>0.99755501222493903</v>
      </c>
      <c r="M8472">
        <v>0.99512195121951197</v>
      </c>
      <c r="N8472">
        <v>0.99512195121951197</v>
      </c>
      <c r="O8472">
        <v>0.99512195121951197</v>
      </c>
      <c r="P8472" t="s">
        <v>9425</v>
      </c>
      <c r="Q8472" t="s">
        <v>9426</v>
      </c>
      <c r="R8472" t="s">
        <v>371</v>
      </c>
      <c r="S8472" t="s">
        <v>372</v>
      </c>
      <c r="T8472" t="s">
        <v>9427</v>
      </c>
      <c r="U8472" t="s">
        <v>9428</v>
      </c>
      <c r="V8472" t="s">
        <v>17096</v>
      </c>
      <c r="W8472" t="s">
        <v>17097</v>
      </c>
      <c r="AD8472" t="s">
        <v>1437</v>
      </c>
      <c r="AE8472" t="s">
        <v>9429</v>
      </c>
      <c r="AF8472" t="s">
        <v>17098</v>
      </c>
    </row>
    <row r="8473" spans="1:32" hidden="1" x14ac:dyDescent="0.35">
      <c r="A8473">
        <v>8472</v>
      </c>
      <c r="B8473" t="s">
        <v>17095</v>
      </c>
      <c r="C8473" t="s">
        <v>277</v>
      </c>
      <c r="D8473" t="s">
        <v>62</v>
      </c>
      <c r="E8473">
        <v>157</v>
      </c>
      <c r="F8473">
        <v>2</v>
      </c>
      <c r="G8473">
        <v>2</v>
      </c>
      <c r="H8473">
        <v>1</v>
      </c>
      <c r="I8473">
        <v>0</v>
      </c>
      <c r="J8473">
        <v>0.99512195121951197</v>
      </c>
      <c r="K8473">
        <v>1</v>
      </c>
      <c r="L8473">
        <v>0.99755501222493903</v>
      </c>
      <c r="M8473">
        <v>0.99512195121951197</v>
      </c>
      <c r="N8473">
        <v>0.99512195121951197</v>
      </c>
      <c r="O8473">
        <v>0.99512195121951197</v>
      </c>
      <c r="P8473" t="s">
        <v>9425</v>
      </c>
      <c r="Q8473" t="s">
        <v>9426</v>
      </c>
      <c r="R8473" t="s">
        <v>371</v>
      </c>
      <c r="S8473" t="s">
        <v>372</v>
      </c>
      <c r="T8473" t="s">
        <v>9427</v>
      </c>
      <c r="U8473" t="s">
        <v>9428</v>
      </c>
      <c r="V8473" t="s">
        <v>17096</v>
      </c>
      <c r="W8473" t="s">
        <v>17097</v>
      </c>
      <c r="AD8473" t="s">
        <v>1437</v>
      </c>
      <c r="AE8473" t="s">
        <v>9429</v>
      </c>
      <c r="AF8473" t="s">
        <v>17099</v>
      </c>
    </row>
    <row r="8474" spans="1:32" hidden="1" x14ac:dyDescent="0.35">
      <c r="A8474">
        <v>8473</v>
      </c>
      <c r="B8474" t="s">
        <v>17100</v>
      </c>
      <c r="C8474" t="s">
        <v>277</v>
      </c>
      <c r="D8474" t="s">
        <v>60</v>
      </c>
      <c r="E8474">
        <v>2196</v>
      </c>
      <c r="F8474">
        <v>2</v>
      </c>
      <c r="G8474">
        <v>2</v>
      </c>
      <c r="H8474">
        <v>1</v>
      </c>
      <c r="I8474">
        <v>0</v>
      </c>
      <c r="J8474">
        <v>0.99450549450549497</v>
      </c>
      <c r="K8474">
        <v>1</v>
      </c>
      <c r="L8474">
        <v>0.99724517906336096</v>
      </c>
      <c r="M8474">
        <v>0.99450549450549497</v>
      </c>
      <c r="N8474">
        <v>0.99450549450549497</v>
      </c>
      <c r="O8474">
        <v>0.99450549450549497</v>
      </c>
      <c r="P8474" t="s">
        <v>17101</v>
      </c>
      <c r="Q8474" t="s">
        <v>17102</v>
      </c>
      <c r="R8474" t="s">
        <v>96</v>
      </c>
      <c r="S8474" t="s">
        <v>97</v>
      </c>
      <c r="T8474" t="s">
        <v>17103</v>
      </c>
      <c r="U8474" t="s">
        <v>17104</v>
      </c>
      <c r="V8474" t="s">
        <v>17105</v>
      </c>
      <c r="W8474" t="s">
        <v>17106</v>
      </c>
      <c r="AD8474" t="s">
        <v>1717</v>
      </c>
      <c r="AE8474" t="s">
        <v>17107</v>
      </c>
      <c r="AF8474" t="s">
        <v>17108</v>
      </c>
    </row>
    <row r="8475" spans="1:32" hidden="1" x14ac:dyDescent="0.35">
      <c r="A8475">
        <v>8474</v>
      </c>
      <c r="B8475" t="s">
        <v>17100</v>
      </c>
      <c r="C8475" t="s">
        <v>277</v>
      </c>
      <c r="D8475" t="s">
        <v>62</v>
      </c>
      <c r="E8475">
        <v>2230</v>
      </c>
      <c r="F8475">
        <v>2</v>
      </c>
      <c r="G8475">
        <v>2</v>
      </c>
      <c r="H8475">
        <v>1</v>
      </c>
      <c r="I8475">
        <v>0</v>
      </c>
      <c r="J8475">
        <v>0.99450549450549497</v>
      </c>
      <c r="K8475">
        <v>1</v>
      </c>
      <c r="L8475">
        <v>0.99724517906336096</v>
      </c>
      <c r="M8475">
        <v>0.99450549450549497</v>
      </c>
      <c r="N8475">
        <v>0.99450549450549497</v>
      </c>
      <c r="O8475">
        <v>0.99450549450549497</v>
      </c>
      <c r="P8475" t="s">
        <v>17101</v>
      </c>
      <c r="Q8475" t="s">
        <v>17102</v>
      </c>
      <c r="R8475" t="s">
        <v>96</v>
      </c>
      <c r="S8475" t="s">
        <v>97</v>
      </c>
      <c r="T8475" t="s">
        <v>17103</v>
      </c>
      <c r="U8475" t="s">
        <v>17104</v>
      </c>
      <c r="V8475" t="s">
        <v>17105</v>
      </c>
      <c r="W8475" t="s">
        <v>17106</v>
      </c>
      <c r="AD8475" t="s">
        <v>1717</v>
      </c>
      <c r="AE8475" t="s">
        <v>17107</v>
      </c>
      <c r="AF8475" t="s">
        <v>17109</v>
      </c>
    </row>
    <row r="8476" spans="1:32" hidden="1" x14ac:dyDescent="0.35">
      <c r="A8476">
        <v>8475</v>
      </c>
      <c r="B8476" t="s">
        <v>17110</v>
      </c>
      <c r="C8476" t="s">
        <v>277</v>
      </c>
      <c r="D8476" t="s">
        <v>34</v>
      </c>
      <c r="E8476">
        <v>2201</v>
      </c>
      <c r="F8476">
        <v>2</v>
      </c>
      <c r="G8476">
        <v>2</v>
      </c>
      <c r="H8476">
        <v>1</v>
      </c>
      <c r="I8476">
        <v>0</v>
      </c>
      <c r="J8476">
        <v>0.98422090729782996</v>
      </c>
      <c r="K8476">
        <v>0.99122822149387801</v>
      </c>
      <c r="L8476">
        <v>0.98771213622153997</v>
      </c>
      <c r="M8476">
        <v>0.97360703812316696</v>
      </c>
      <c r="N8476">
        <v>0.97360703812316696</v>
      </c>
      <c r="O8476">
        <v>0.97360703812316696</v>
      </c>
      <c r="P8476" t="s">
        <v>12414</v>
      </c>
      <c r="Q8476" t="s">
        <v>12415</v>
      </c>
      <c r="R8476" t="s">
        <v>96</v>
      </c>
      <c r="S8476" t="s">
        <v>97</v>
      </c>
      <c r="T8476" t="s">
        <v>12416</v>
      </c>
      <c r="U8476" t="s">
        <v>12417</v>
      </c>
      <c r="V8476" t="s">
        <v>12418</v>
      </c>
      <c r="W8476" t="s">
        <v>12419</v>
      </c>
      <c r="AD8476" t="s">
        <v>4038</v>
      </c>
      <c r="AE8476" t="s">
        <v>4039</v>
      </c>
      <c r="AF8476" t="s">
        <v>17111</v>
      </c>
    </row>
    <row r="8477" spans="1:32" hidden="1" x14ac:dyDescent="0.35">
      <c r="A8477">
        <v>8476</v>
      </c>
      <c r="B8477" t="s">
        <v>17110</v>
      </c>
      <c r="C8477" t="s">
        <v>277</v>
      </c>
      <c r="D8477" t="s">
        <v>45</v>
      </c>
      <c r="E8477">
        <v>673</v>
      </c>
      <c r="F8477">
        <v>2</v>
      </c>
      <c r="G8477">
        <v>2</v>
      </c>
      <c r="H8477">
        <v>1</v>
      </c>
      <c r="I8477">
        <v>0</v>
      </c>
      <c r="J8477">
        <v>0.98422090729782996</v>
      </c>
      <c r="K8477">
        <v>0.99122822149387801</v>
      </c>
      <c r="L8477">
        <v>0.98771213622153997</v>
      </c>
      <c r="M8477">
        <v>0.97360703812316696</v>
      </c>
      <c r="N8477">
        <v>0.97360703812316696</v>
      </c>
      <c r="O8477">
        <v>0.97360703812316696</v>
      </c>
      <c r="P8477" t="s">
        <v>12414</v>
      </c>
      <c r="Q8477" t="s">
        <v>12415</v>
      </c>
      <c r="R8477" t="s">
        <v>96</v>
      </c>
      <c r="S8477" t="s">
        <v>97</v>
      </c>
      <c r="T8477" t="s">
        <v>12416</v>
      </c>
      <c r="U8477" t="s">
        <v>12417</v>
      </c>
      <c r="V8477" t="s">
        <v>12418</v>
      </c>
      <c r="W8477" t="s">
        <v>12419</v>
      </c>
      <c r="AD8477" t="s">
        <v>4038</v>
      </c>
      <c r="AE8477" t="s">
        <v>4039</v>
      </c>
      <c r="AF8477" t="s">
        <v>17112</v>
      </c>
    </row>
    <row r="8478" spans="1:32" hidden="1" x14ac:dyDescent="0.35">
      <c r="A8478">
        <v>8477</v>
      </c>
      <c r="B8478" t="s">
        <v>17113</v>
      </c>
      <c r="C8478" t="s">
        <v>277</v>
      </c>
      <c r="D8478" t="s">
        <v>34</v>
      </c>
      <c r="E8478">
        <v>1927</v>
      </c>
      <c r="F8478">
        <v>2</v>
      </c>
      <c r="G8478">
        <v>2</v>
      </c>
      <c r="H8478">
        <v>1</v>
      </c>
      <c r="I8478">
        <v>0</v>
      </c>
      <c r="J8478">
        <v>0.98468468468468495</v>
      </c>
      <c r="K8478">
        <v>1</v>
      </c>
      <c r="L8478">
        <v>0.99228325011348195</v>
      </c>
      <c r="M8478">
        <v>0.98108108108108105</v>
      </c>
      <c r="N8478">
        <v>0.98108108108108105</v>
      </c>
      <c r="O8478">
        <v>0.98108108108108105</v>
      </c>
      <c r="R8478" t="s">
        <v>10224</v>
      </c>
      <c r="S8478" t="s">
        <v>10225</v>
      </c>
      <c r="V8478" t="s">
        <v>10228</v>
      </c>
      <c r="W8478" t="s">
        <v>10229</v>
      </c>
      <c r="AF8478" t="s">
        <v>17114</v>
      </c>
    </row>
    <row r="8479" spans="1:32" hidden="1" x14ac:dyDescent="0.35">
      <c r="A8479">
        <v>8478</v>
      </c>
      <c r="B8479" t="s">
        <v>17113</v>
      </c>
      <c r="C8479" t="s">
        <v>277</v>
      </c>
      <c r="D8479" t="s">
        <v>45</v>
      </c>
      <c r="E8479">
        <v>946</v>
      </c>
      <c r="F8479">
        <v>2</v>
      </c>
      <c r="G8479">
        <v>2</v>
      </c>
      <c r="H8479">
        <v>1</v>
      </c>
      <c r="I8479">
        <v>0</v>
      </c>
      <c r="J8479">
        <v>0.98468468468468495</v>
      </c>
      <c r="K8479">
        <v>1</v>
      </c>
      <c r="L8479">
        <v>0.99228325011348195</v>
      </c>
      <c r="M8479">
        <v>0.98108108108108105</v>
      </c>
      <c r="N8479">
        <v>0.98108108108108105</v>
      </c>
      <c r="O8479">
        <v>0.98108108108108105</v>
      </c>
      <c r="R8479" t="s">
        <v>10224</v>
      </c>
      <c r="S8479" t="s">
        <v>10225</v>
      </c>
      <c r="V8479" t="s">
        <v>10228</v>
      </c>
      <c r="W8479" t="s">
        <v>10229</v>
      </c>
      <c r="AF8479" t="s">
        <v>17115</v>
      </c>
    </row>
    <row r="8480" spans="1:32" hidden="1" x14ac:dyDescent="0.35">
      <c r="A8480">
        <v>8479</v>
      </c>
      <c r="B8480" t="s">
        <v>17116</v>
      </c>
      <c r="C8480" t="s">
        <v>277</v>
      </c>
      <c r="D8480" t="s">
        <v>60</v>
      </c>
      <c r="E8480">
        <v>1731</v>
      </c>
      <c r="F8480">
        <v>2</v>
      </c>
      <c r="G8480">
        <v>2</v>
      </c>
      <c r="H8480">
        <v>1</v>
      </c>
      <c r="I8480">
        <v>0</v>
      </c>
      <c r="J8480">
        <v>0.99621212121212099</v>
      </c>
      <c r="K8480">
        <v>1</v>
      </c>
      <c r="L8480">
        <v>0.99810246679316905</v>
      </c>
      <c r="M8480">
        <v>0.99621212121212099</v>
      </c>
      <c r="N8480">
        <v>0.99621212121212099</v>
      </c>
      <c r="O8480">
        <v>0.99621212121212099</v>
      </c>
      <c r="P8480" t="s">
        <v>1531</v>
      </c>
      <c r="Q8480" t="s">
        <v>1532</v>
      </c>
      <c r="AF8480" t="s">
        <v>17117</v>
      </c>
    </row>
    <row r="8481" spans="1:32" hidden="1" x14ac:dyDescent="0.35">
      <c r="A8481">
        <v>8480</v>
      </c>
      <c r="B8481" t="s">
        <v>17116</v>
      </c>
      <c r="C8481" t="s">
        <v>277</v>
      </c>
      <c r="D8481" t="s">
        <v>62</v>
      </c>
      <c r="E8481">
        <v>1768</v>
      </c>
      <c r="F8481">
        <v>2</v>
      </c>
      <c r="G8481">
        <v>2</v>
      </c>
      <c r="H8481">
        <v>1</v>
      </c>
      <c r="I8481">
        <v>0</v>
      </c>
      <c r="J8481">
        <v>0.99621212121212099</v>
      </c>
      <c r="K8481">
        <v>1</v>
      </c>
      <c r="L8481">
        <v>0.99810246679316905</v>
      </c>
      <c r="M8481">
        <v>0.99621212121212099</v>
      </c>
      <c r="N8481">
        <v>0.99621212121212099</v>
      </c>
      <c r="O8481">
        <v>0.99621212121212099</v>
      </c>
      <c r="P8481" t="s">
        <v>1531</v>
      </c>
      <c r="Q8481" t="s">
        <v>1532</v>
      </c>
      <c r="AF8481" t="s">
        <v>17118</v>
      </c>
    </row>
    <row r="8482" spans="1:32" hidden="1" x14ac:dyDescent="0.35">
      <c r="A8482">
        <v>8481</v>
      </c>
      <c r="B8482" t="s">
        <v>17119</v>
      </c>
      <c r="C8482" t="s">
        <v>277</v>
      </c>
      <c r="D8482" t="s">
        <v>60</v>
      </c>
      <c r="E8482">
        <v>2203</v>
      </c>
      <c r="F8482">
        <v>2</v>
      </c>
      <c r="G8482">
        <v>2</v>
      </c>
      <c r="H8482">
        <v>1</v>
      </c>
      <c r="I8482">
        <v>0</v>
      </c>
      <c r="J8482">
        <v>0.995798319327731</v>
      </c>
      <c r="K8482">
        <v>1</v>
      </c>
      <c r="L8482">
        <v>0.99789473684210495</v>
      </c>
      <c r="M8482">
        <v>0.995798319327731</v>
      </c>
      <c r="N8482">
        <v>0.995798319327731</v>
      </c>
      <c r="O8482">
        <v>0.995798319327731</v>
      </c>
      <c r="P8482" t="s">
        <v>4772</v>
      </c>
      <c r="Q8482" t="s">
        <v>4773</v>
      </c>
      <c r="R8482" t="s">
        <v>342</v>
      </c>
      <c r="S8482" t="s">
        <v>343</v>
      </c>
      <c r="T8482" t="s">
        <v>4774</v>
      </c>
      <c r="U8482" t="s">
        <v>4775</v>
      </c>
      <c r="V8482" t="s">
        <v>4776</v>
      </c>
      <c r="W8482" t="s">
        <v>4777</v>
      </c>
      <c r="AD8482" t="s">
        <v>166</v>
      </c>
      <c r="AE8482" t="s">
        <v>818</v>
      </c>
      <c r="AF8482" t="s">
        <v>17120</v>
      </c>
    </row>
    <row r="8483" spans="1:32" hidden="1" x14ac:dyDescent="0.35">
      <c r="A8483">
        <v>8482</v>
      </c>
      <c r="B8483" t="s">
        <v>17119</v>
      </c>
      <c r="C8483" t="s">
        <v>277</v>
      </c>
      <c r="D8483" t="s">
        <v>62</v>
      </c>
      <c r="E8483">
        <v>2235</v>
      </c>
      <c r="F8483">
        <v>2</v>
      </c>
      <c r="G8483">
        <v>2</v>
      </c>
      <c r="H8483">
        <v>1</v>
      </c>
      <c r="I8483">
        <v>0</v>
      </c>
      <c r="J8483">
        <v>0.995798319327731</v>
      </c>
      <c r="K8483">
        <v>1</v>
      </c>
      <c r="L8483">
        <v>0.99789473684210495</v>
      </c>
      <c r="M8483">
        <v>0.995798319327731</v>
      </c>
      <c r="N8483">
        <v>0.995798319327731</v>
      </c>
      <c r="O8483">
        <v>0.995798319327731</v>
      </c>
      <c r="P8483" t="s">
        <v>4772</v>
      </c>
      <c r="Q8483" t="s">
        <v>4773</v>
      </c>
      <c r="R8483" t="s">
        <v>342</v>
      </c>
      <c r="S8483" t="s">
        <v>343</v>
      </c>
      <c r="T8483" t="s">
        <v>4774</v>
      </c>
      <c r="U8483" t="s">
        <v>4775</v>
      </c>
      <c r="V8483" t="s">
        <v>4776</v>
      </c>
      <c r="W8483" t="s">
        <v>4777</v>
      </c>
      <c r="AD8483" t="s">
        <v>166</v>
      </c>
      <c r="AE8483" t="s">
        <v>818</v>
      </c>
      <c r="AF8483" t="s">
        <v>17121</v>
      </c>
    </row>
    <row r="8484" spans="1:32" hidden="1" x14ac:dyDescent="0.35">
      <c r="A8484">
        <v>8483</v>
      </c>
      <c r="B8484" t="s">
        <v>17122</v>
      </c>
      <c r="C8484" t="s">
        <v>277</v>
      </c>
      <c r="D8484" t="s">
        <v>34</v>
      </c>
      <c r="E8484">
        <v>482</v>
      </c>
      <c r="F8484">
        <v>2</v>
      </c>
      <c r="G8484">
        <v>2</v>
      </c>
      <c r="H8484">
        <v>1</v>
      </c>
      <c r="I8484">
        <v>0</v>
      </c>
      <c r="J8484">
        <v>0.99351251158480103</v>
      </c>
      <c r="K8484">
        <v>1</v>
      </c>
      <c r="L8484">
        <v>0.99674569967457005</v>
      </c>
      <c r="M8484">
        <v>0.98980537534754398</v>
      </c>
      <c r="N8484">
        <v>0.98980537534754398</v>
      </c>
      <c r="O8484">
        <v>0.98980537534754398</v>
      </c>
      <c r="P8484" t="s">
        <v>1211</v>
      </c>
      <c r="Q8484" t="s">
        <v>1212</v>
      </c>
      <c r="R8484" t="s">
        <v>4098</v>
      </c>
      <c r="S8484" t="s">
        <v>4099</v>
      </c>
      <c r="T8484" t="s">
        <v>17123</v>
      </c>
      <c r="U8484" t="s">
        <v>17124</v>
      </c>
      <c r="V8484" t="s">
        <v>16086</v>
      </c>
      <c r="W8484" t="s">
        <v>16087</v>
      </c>
      <c r="AD8484" t="s">
        <v>8300</v>
      </c>
      <c r="AE8484" t="s">
        <v>17125</v>
      </c>
      <c r="AF8484" t="s">
        <v>17126</v>
      </c>
    </row>
    <row r="8485" spans="1:32" hidden="1" x14ac:dyDescent="0.35">
      <c r="A8485">
        <v>8484</v>
      </c>
      <c r="B8485" t="s">
        <v>17122</v>
      </c>
      <c r="C8485" t="s">
        <v>277</v>
      </c>
      <c r="D8485" t="s">
        <v>45</v>
      </c>
      <c r="E8485">
        <v>1747</v>
      </c>
      <c r="F8485">
        <v>2</v>
      </c>
      <c r="G8485">
        <v>2</v>
      </c>
      <c r="H8485">
        <v>1</v>
      </c>
      <c r="I8485">
        <v>0</v>
      </c>
      <c r="J8485">
        <v>0.99351251158480103</v>
      </c>
      <c r="K8485">
        <v>1</v>
      </c>
      <c r="L8485">
        <v>0.99674569967457005</v>
      </c>
      <c r="M8485">
        <v>0.98980537534754398</v>
      </c>
      <c r="N8485">
        <v>0.98980537534754398</v>
      </c>
      <c r="O8485">
        <v>0.98980537534754398</v>
      </c>
      <c r="P8485" t="s">
        <v>1211</v>
      </c>
      <c r="Q8485" t="s">
        <v>1212</v>
      </c>
      <c r="R8485" t="s">
        <v>4098</v>
      </c>
      <c r="S8485" t="s">
        <v>4099</v>
      </c>
      <c r="T8485" t="s">
        <v>17123</v>
      </c>
      <c r="U8485" t="s">
        <v>17124</v>
      </c>
      <c r="V8485" t="s">
        <v>16086</v>
      </c>
      <c r="W8485" t="s">
        <v>16087</v>
      </c>
      <c r="AD8485" t="s">
        <v>8300</v>
      </c>
      <c r="AE8485" t="s">
        <v>17125</v>
      </c>
      <c r="AF8485" t="s">
        <v>17127</v>
      </c>
    </row>
    <row r="8486" spans="1:32" hidden="1" x14ac:dyDescent="0.35">
      <c r="A8486">
        <v>8485</v>
      </c>
      <c r="B8486" t="s">
        <v>17128</v>
      </c>
      <c r="C8486" t="s">
        <v>277</v>
      </c>
      <c r="D8486" t="s">
        <v>60</v>
      </c>
      <c r="E8486">
        <v>1887</v>
      </c>
      <c r="F8486">
        <v>2</v>
      </c>
      <c r="G8486">
        <v>2</v>
      </c>
      <c r="H8486">
        <v>1</v>
      </c>
      <c r="I8486">
        <v>0</v>
      </c>
      <c r="J8486">
        <v>0.94509803921568603</v>
      </c>
      <c r="K8486">
        <v>0.93606945540647302</v>
      </c>
      <c r="L8486">
        <v>0.94056208115805695</v>
      </c>
      <c r="M8486">
        <v>0.879120879120879</v>
      </c>
      <c r="N8486">
        <v>0.879120879120879</v>
      </c>
      <c r="O8486">
        <v>0.879120879120879</v>
      </c>
      <c r="AF8486" t="s">
        <v>17129</v>
      </c>
    </row>
    <row r="8487" spans="1:32" hidden="1" x14ac:dyDescent="0.35">
      <c r="A8487">
        <v>8486</v>
      </c>
      <c r="B8487" t="s">
        <v>17128</v>
      </c>
      <c r="C8487" t="s">
        <v>277</v>
      </c>
      <c r="D8487" t="s">
        <v>62</v>
      </c>
      <c r="E8487">
        <v>1927</v>
      </c>
      <c r="F8487">
        <v>2</v>
      </c>
      <c r="G8487">
        <v>2</v>
      </c>
      <c r="H8487">
        <v>1</v>
      </c>
      <c r="I8487">
        <v>0</v>
      </c>
      <c r="J8487">
        <v>0.94509803921568603</v>
      </c>
      <c r="K8487">
        <v>0.93606945540647302</v>
      </c>
      <c r="L8487">
        <v>0.94056208115805695</v>
      </c>
      <c r="M8487">
        <v>0.879120879120879</v>
      </c>
      <c r="N8487">
        <v>0.879120879120879</v>
      </c>
      <c r="O8487">
        <v>0.879120879120879</v>
      </c>
      <c r="AF8487" t="s">
        <v>17130</v>
      </c>
    </row>
    <row r="8488" spans="1:32" hidden="1" x14ac:dyDescent="0.35">
      <c r="A8488">
        <v>8487</v>
      </c>
      <c r="B8488" t="s">
        <v>17131</v>
      </c>
      <c r="C8488" t="s">
        <v>277</v>
      </c>
      <c r="D8488" t="s">
        <v>60</v>
      </c>
      <c r="E8488">
        <v>1196</v>
      </c>
      <c r="F8488">
        <v>2</v>
      </c>
      <c r="G8488">
        <v>2</v>
      </c>
      <c r="H8488">
        <v>1</v>
      </c>
      <c r="I8488">
        <v>0</v>
      </c>
      <c r="J8488">
        <v>0.989247311827957</v>
      </c>
      <c r="K8488">
        <v>1</v>
      </c>
      <c r="L8488">
        <v>0.99459459459459498</v>
      </c>
      <c r="M8488">
        <v>0.98790322580645196</v>
      </c>
      <c r="N8488">
        <v>0.98790322580645196</v>
      </c>
      <c r="O8488">
        <v>0.98790322580645196</v>
      </c>
      <c r="P8488" t="s">
        <v>17132</v>
      </c>
      <c r="Q8488" t="s">
        <v>17133</v>
      </c>
      <c r="R8488" t="s">
        <v>235</v>
      </c>
      <c r="S8488" t="s">
        <v>236</v>
      </c>
      <c r="T8488" t="s">
        <v>17134</v>
      </c>
      <c r="U8488" t="s">
        <v>17135</v>
      </c>
      <c r="V8488" t="s">
        <v>17136</v>
      </c>
      <c r="W8488" t="s">
        <v>17137</v>
      </c>
      <c r="AD8488" t="s">
        <v>410</v>
      </c>
      <c r="AE8488" t="s">
        <v>532</v>
      </c>
      <c r="AF8488" t="s">
        <v>17138</v>
      </c>
    </row>
    <row r="8489" spans="1:32" hidden="1" x14ac:dyDescent="0.35">
      <c r="A8489">
        <v>8488</v>
      </c>
      <c r="B8489" t="s">
        <v>17131</v>
      </c>
      <c r="C8489" t="s">
        <v>277</v>
      </c>
      <c r="D8489" t="s">
        <v>62</v>
      </c>
      <c r="E8489">
        <v>1233</v>
      </c>
      <c r="F8489">
        <v>2</v>
      </c>
      <c r="G8489">
        <v>2</v>
      </c>
      <c r="H8489">
        <v>1</v>
      </c>
      <c r="I8489">
        <v>0</v>
      </c>
      <c r="J8489">
        <v>0.989247311827957</v>
      </c>
      <c r="K8489">
        <v>1</v>
      </c>
      <c r="L8489">
        <v>0.99459459459459498</v>
      </c>
      <c r="M8489">
        <v>0.98790322580645196</v>
      </c>
      <c r="N8489">
        <v>0.98790322580645196</v>
      </c>
      <c r="O8489">
        <v>0.98790322580645196</v>
      </c>
      <c r="P8489" t="s">
        <v>17132</v>
      </c>
      <c r="Q8489" t="s">
        <v>17133</v>
      </c>
      <c r="R8489" t="s">
        <v>235</v>
      </c>
      <c r="S8489" t="s">
        <v>236</v>
      </c>
      <c r="T8489" t="s">
        <v>17134</v>
      </c>
      <c r="U8489" t="s">
        <v>17135</v>
      </c>
      <c r="V8489" t="s">
        <v>17136</v>
      </c>
      <c r="W8489" t="s">
        <v>17137</v>
      </c>
      <c r="AD8489" t="s">
        <v>410</v>
      </c>
      <c r="AE8489" t="s">
        <v>532</v>
      </c>
      <c r="AF8489" t="s">
        <v>17139</v>
      </c>
    </row>
    <row r="8490" spans="1:32" hidden="1" x14ac:dyDescent="0.35">
      <c r="A8490">
        <v>8489</v>
      </c>
      <c r="B8490" t="s">
        <v>17140</v>
      </c>
      <c r="C8490" t="s">
        <v>277</v>
      </c>
      <c r="D8490" t="s">
        <v>34</v>
      </c>
      <c r="E8490">
        <v>13</v>
      </c>
      <c r="F8490">
        <v>2</v>
      </c>
      <c r="G8490">
        <v>2</v>
      </c>
      <c r="H8490">
        <v>1</v>
      </c>
      <c r="I8490">
        <v>0</v>
      </c>
      <c r="J8490">
        <v>0.99245283018867902</v>
      </c>
      <c r="K8490">
        <v>1</v>
      </c>
      <c r="L8490">
        <v>0.99621212121212099</v>
      </c>
      <c r="M8490">
        <v>0.99245283018867902</v>
      </c>
      <c r="N8490">
        <v>0.99245283018867902</v>
      </c>
      <c r="O8490">
        <v>0.99245283018867902</v>
      </c>
      <c r="P8490" t="s">
        <v>16381</v>
      </c>
      <c r="Q8490" t="s">
        <v>16382</v>
      </c>
      <c r="R8490" t="s">
        <v>1474</v>
      </c>
      <c r="S8490" t="s">
        <v>1475</v>
      </c>
      <c r="V8490" t="s">
        <v>9155</v>
      </c>
      <c r="W8490" t="s">
        <v>9156</v>
      </c>
      <c r="AF8490" t="s">
        <v>17141</v>
      </c>
    </row>
    <row r="8491" spans="1:32" hidden="1" x14ac:dyDescent="0.35">
      <c r="A8491">
        <v>8490</v>
      </c>
      <c r="B8491" t="s">
        <v>17140</v>
      </c>
      <c r="C8491" t="s">
        <v>277</v>
      </c>
      <c r="D8491" t="s">
        <v>45</v>
      </c>
      <c r="E8491">
        <v>1269</v>
      </c>
      <c r="F8491">
        <v>2</v>
      </c>
      <c r="G8491">
        <v>2</v>
      </c>
      <c r="H8491">
        <v>1</v>
      </c>
      <c r="I8491">
        <v>0</v>
      </c>
      <c r="J8491">
        <v>0.99245283018867902</v>
      </c>
      <c r="K8491">
        <v>1</v>
      </c>
      <c r="L8491">
        <v>0.99621212121212099</v>
      </c>
      <c r="M8491">
        <v>0.99245283018867902</v>
      </c>
      <c r="N8491">
        <v>0.99245283018867902</v>
      </c>
      <c r="O8491">
        <v>0.99245283018867902</v>
      </c>
      <c r="P8491" t="s">
        <v>16381</v>
      </c>
      <c r="Q8491" t="s">
        <v>16382</v>
      </c>
      <c r="R8491" t="s">
        <v>1474</v>
      </c>
      <c r="S8491" t="s">
        <v>1475</v>
      </c>
      <c r="V8491" t="s">
        <v>9155</v>
      </c>
      <c r="W8491" t="s">
        <v>9156</v>
      </c>
      <c r="AF8491" t="s">
        <v>17142</v>
      </c>
    </row>
    <row r="8492" spans="1:32" hidden="1" x14ac:dyDescent="0.35">
      <c r="A8492">
        <v>8491</v>
      </c>
      <c r="B8492" t="s">
        <v>17143</v>
      </c>
      <c r="C8492" t="s">
        <v>277</v>
      </c>
      <c r="D8492" t="s">
        <v>60</v>
      </c>
      <c r="E8492">
        <v>1168</v>
      </c>
      <c r="F8492">
        <v>2</v>
      </c>
      <c r="G8492">
        <v>2</v>
      </c>
      <c r="H8492">
        <v>1</v>
      </c>
      <c r="I8492">
        <v>0</v>
      </c>
      <c r="J8492">
        <v>0.98521505376344098</v>
      </c>
      <c r="K8492">
        <v>1</v>
      </c>
      <c r="L8492">
        <v>0.99255247122545698</v>
      </c>
      <c r="M8492">
        <v>0.97983870967741904</v>
      </c>
      <c r="N8492">
        <v>0.97983870967741904</v>
      </c>
      <c r="O8492">
        <v>0.97983870967741904</v>
      </c>
      <c r="P8492" t="s">
        <v>17144</v>
      </c>
      <c r="Q8492" t="s">
        <v>17145</v>
      </c>
      <c r="R8492" t="s">
        <v>319</v>
      </c>
      <c r="S8492" t="s">
        <v>320</v>
      </c>
      <c r="T8492" t="s">
        <v>17146</v>
      </c>
      <c r="U8492" t="s">
        <v>17147</v>
      </c>
      <c r="V8492" t="s">
        <v>17148</v>
      </c>
      <c r="W8492" t="s">
        <v>17149</v>
      </c>
      <c r="AD8492" t="s">
        <v>1140</v>
      </c>
      <c r="AE8492" t="s">
        <v>17150</v>
      </c>
      <c r="AF8492" t="s">
        <v>17151</v>
      </c>
    </row>
    <row r="8493" spans="1:32" hidden="1" x14ac:dyDescent="0.35">
      <c r="A8493">
        <v>8492</v>
      </c>
      <c r="B8493" t="s">
        <v>17143</v>
      </c>
      <c r="C8493" t="s">
        <v>277</v>
      </c>
      <c r="D8493" t="s">
        <v>62</v>
      </c>
      <c r="E8493">
        <v>1205</v>
      </c>
      <c r="F8493">
        <v>2</v>
      </c>
      <c r="G8493">
        <v>2</v>
      </c>
      <c r="H8493">
        <v>1</v>
      </c>
      <c r="I8493">
        <v>0</v>
      </c>
      <c r="J8493">
        <v>0.98521505376344098</v>
      </c>
      <c r="K8493">
        <v>1</v>
      </c>
      <c r="L8493">
        <v>0.99255247122545698</v>
      </c>
      <c r="M8493">
        <v>0.97983870967741904</v>
      </c>
      <c r="N8493">
        <v>0.97983870967741904</v>
      </c>
      <c r="O8493">
        <v>0.97983870967741904</v>
      </c>
      <c r="P8493" t="s">
        <v>17144</v>
      </c>
      <c r="Q8493" t="s">
        <v>17145</v>
      </c>
      <c r="R8493" t="s">
        <v>319</v>
      </c>
      <c r="S8493" t="s">
        <v>320</v>
      </c>
      <c r="T8493" t="s">
        <v>17146</v>
      </c>
      <c r="U8493" t="s">
        <v>17147</v>
      </c>
      <c r="V8493" t="s">
        <v>17148</v>
      </c>
      <c r="W8493" t="s">
        <v>17149</v>
      </c>
      <c r="AD8493" t="s">
        <v>1140</v>
      </c>
      <c r="AE8493" t="s">
        <v>17150</v>
      </c>
      <c r="AF8493" t="s">
        <v>17152</v>
      </c>
    </row>
    <row r="8494" spans="1:32" hidden="1" x14ac:dyDescent="0.35">
      <c r="A8494">
        <v>8493</v>
      </c>
      <c r="B8494" t="s">
        <v>17153</v>
      </c>
      <c r="C8494" t="s">
        <v>277</v>
      </c>
      <c r="D8494" t="s">
        <v>34</v>
      </c>
      <c r="E8494">
        <v>2264</v>
      </c>
      <c r="F8494">
        <v>2</v>
      </c>
      <c r="G8494">
        <v>2</v>
      </c>
      <c r="H8494">
        <v>1</v>
      </c>
      <c r="I8494">
        <v>0</v>
      </c>
      <c r="J8494">
        <v>0.95259938837920499</v>
      </c>
      <c r="K8494">
        <v>1</v>
      </c>
      <c r="L8494">
        <v>0.97572435395458101</v>
      </c>
      <c r="M8494">
        <v>0.93119266055045902</v>
      </c>
      <c r="N8494">
        <v>0.93119266055045902</v>
      </c>
      <c r="O8494">
        <v>0.93119266055045902</v>
      </c>
      <c r="AF8494" t="s">
        <v>17154</v>
      </c>
    </row>
    <row r="8495" spans="1:32" hidden="1" x14ac:dyDescent="0.35">
      <c r="A8495">
        <v>8494</v>
      </c>
      <c r="B8495" t="s">
        <v>17153</v>
      </c>
      <c r="C8495" t="s">
        <v>277</v>
      </c>
      <c r="D8495" t="s">
        <v>45</v>
      </c>
      <c r="E8495">
        <v>612</v>
      </c>
      <c r="F8495">
        <v>2</v>
      </c>
      <c r="G8495">
        <v>2</v>
      </c>
      <c r="H8495">
        <v>1</v>
      </c>
      <c r="I8495">
        <v>0</v>
      </c>
      <c r="J8495">
        <v>0.95259938837920499</v>
      </c>
      <c r="K8495">
        <v>1</v>
      </c>
      <c r="L8495">
        <v>0.97572435395458101</v>
      </c>
      <c r="M8495">
        <v>0.93119266055045902</v>
      </c>
      <c r="N8495">
        <v>0.93119266055045902</v>
      </c>
      <c r="O8495">
        <v>0.93119266055045902</v>
      </c>
      <c r="AF8495" t="s">
        <v>17155</v>
      </c>
    </row>
    <row r="8496" spans="1:32" hidden="1" x14ac:dyDescent="0.35">
      <c r="A8496">
        <v>8495</v>
      </c>
      <c r="B8496" t="s">
        <v>17156</v>
      </c>
      <c r="C8496" t="s">
        <v>277</v>
      </c>
      <c r="D8496" t="s">
        <v>60</v>
      </c>
      <c r="E8496">
        <v>1284</v>
      </c>
      <c r="F8496">
        <v>2</v>
      </c>
      <c r="G8496">
        <v>2</v>
      </c>
      <c r="H8496">
        <v>1</v>
      </c>
      <c r="I8496">
        <v>0</v>
      </c>
      <c r="J8496">
        <v>0.99734748010610097</v>
      </c>
      <c r="K8496">
        <v>1</v>
      </c>
      <c r="L8496">
        <v>0.99867197875166003</v>
      </c>
      <c r="M8496">
        <v>0.99734748010610097</v>
      </c>
      <c r="N8496">
        <v>0.99734748010610097</v>
      </c>
      <c r="O8496">
        <v>0.99734748010610097</v>
      </c>
      <c r="P8496" t="s">
        <v>17157</v>
      </c>
      <c r="Q8496" t="s">
        <v>15723</v>
      </c>
      <c r="R8496" t="s">
        <v>371</v>
      </c>
      <c r="S8496" t="s">
        <v>372</v>
      </c>
      <c r="V8496" t="s">
        <v>17158</v>
      </c>
      <c r="W8496" t="s">
        <v>17159</v>
      </c>
      <c r="AF8496" t="s">
        <v>17160</v>
      </c>
    </row>
    <row r="8497" spans="1:32" hidden="1" x14ac:dyDescent="0.35">
      <c r="A8497">
        <v>8496</v>
      </c>
      <c r="B8497" t="s">
        <v>17156</v>
      </c>
      <c r="C8497" t="s">
        <v>277</v>
      </c>
      <c r="D8497" t="s">
        <v>62</v>
      </c>
      <c r="E8497">
        <v>1320</v>
      </c>
      <c r="F8497">
        <v>2</v>
      </c>
      <c r="G8497">
        <v>2</v>
      </c>
      <c r="H8497">
        <v>1</v>
      </c>
      <c r="I8497">
        <v>0</v>
      </c>
      <c r="J8497">
        <v>0.99734748010610097</v>
      </c>
      <c r="K8497">
        <v>1</v>
      </c>
      <c r="L8497">
        <v>0.99867197875166003</v>
      </c>
      <c r="M8497">
        <v>0.99734748010610097</v>
      </c>
      <c r="N8497">
        <v>0.99734748010610097</v>
      </c>
      <c r="O8497">
        <v>0.99734748010610097</v>
      </c>
      <c r="P8497" t="s">
        <v>17157</v>
      </c>
      <c r="Q8497" t="s">
        <v>15723</v>
      </c>
      <c r="R8497" t="s">
        <v>371</v>
      </c>
      <c r="S8497" t="s">
        <v>372</v>
      </c>
      <c r="V8497" t="s">
        <v>17158</v>
      </c>
      <c r="W8497" t="s">
        <v>17159</v>
      </c>
      <c r="AF8497" t="s">
        <v>17161</v>
      </c>
    </row>
    <row r="8498" spans="1:32" hidden="1" x14ac:dyDescent="0.35">
      <c r="A8498">
        <v>8497</v>
      </c>
      <c r="B8498" t="s">
        <v>17162</v>
      </c>
      <c r="C8498" t="s">
        <v>277</v>
      </c>
      <c r="D8498" t="s">
        <v>34</v>
      </c>
      <c r="E8498">
        <v>1297</v>
      </c>
      <c r="F8498">
        <v>2</v>
      </c>
      <c r="G8498">
        <v>2</v>
      </c>
      <c r="H8498">
        <v>1</v>
      </c>
      <c r="I8498">
        <v>0</v>
      </c>
      <c r="J8498">
        <v>0.94791666666666696</v>
      </c>
      <c r="K8498">
        <v>1</v>
      </c>
      <c r="L8498">
        <v>0.97326203208556195</v>
      </c>
      <c r="M8498">
        <v>0.92410714285714302</v>
      </c>
      <c r="N8498">
        <v>0.92410714285714302</v>
      </c>
      <c r="O8498">
        <v>0.92410714285714302</v>
      </c>
      <c r="AF8498" t="s">
        <v>17163</v>
      </c>
    </row>
    <row r="8499" spans="1:32" hidden="1" x14ac:dyDescent="0.35">
      <c r="A8499">
        <v>8498</v>
      </c>
      <c r="B8499" t="s">
        <v>17162</v>
      </c>
      <c r="C8499" t="s">
        <v>277</v>
      </c>
      <c r="D8499" t="s">
        <v>45</v>
      </c>
      <c r="E8499">
        <v>49</v>
      </c>
      <c r="F8499">
        <v>2</v>
      </c>
      <c r="G8499">
        <v>2</v>
      </c>
      <c r="H8499">
        <v>1</v>
      </c>
      <c r="I8499">
        <v>0</v>
      </c>
      <c r="J8499">
        <v>0.94791666666666696</v>
      </c>
      <c r="K8499">
        <v>1</v>
      </c>
      <c r="L8499">
        <v>0.97326203208556195</v>
      </c>
      <c r="M8499">
        <v>0.92410714285714302</v>
      </c>
      <c r="N8499">
        <v>0.92410714285714302</v>
      </c>
      <c r="O8499">
        <v>0.92410714285714302</v>
      </c>
      <c r="AF8499" t="s">
        <v>17164</v>
      </c>
    </row>
    <row r="8500" spans="1:32" hidden="1" x14ac:dyDescent="0.35">
      <c r="A8500">
        <v>8499</v>
      </c>
      <c r="B8500" t="s">
        <v>17165</v>
      </c>
      <c r="C8500" t="s">
        <v>277</v>
      </c>
      <c r="D8500" t="s">
        <v>60</v>
      </c>
      <c r="E8500">
        <v>1044</v>
      </c>
      <c r="F8500">
        <v>2</v>
      </c>
      <c r="G8500">
        <v>2</v>
      </c>
      <c r="H8500">
        <v>1</v>
      </c>
      <c r="I8500">
        <v>0</v>
      </c>
      <c r="J8500">
        <v>0.98366013071895397</v>
      </c>
      <c r="K8500">
        <v>1</v>
      </c>
      <c r="L8500">
        <v>0.99176276771004901</v>
      </c>
      <c r="M8500">
        <v>0.97712418300653603</v>
      </c>
      <c r="N8500">
        <v>0.97712418300653603</v>
      </c>
      <c r="O8500">
        <v>0.97712418300653603</v>
      </c>
      <c r="AF8500" t="s">
        <v>17166</v>
      </c>
    </row>
    <row r="8501" spans="1:32" hidden="1" x14ac:dyDescent="0.35">
      <c r="A8501">
        <v>8500</v>
      </c>
      <c r="B8501" t="s">
        <v>17165</v>
      </c>
      <c r="C8501" t="s">
        <v>277</v>
      </c>
      <c r="D8501" t="s">
        <v>62</v>
      </c>
      <c r="E8501">
        <v>1080</v>
      </c>
      <c r="F8501">
        <v>2</v>
      </c>
      <c r="G8501">
        <v>2</v>
      </c>
      <c r="H8501">
        <v>1</v>
      </c>
      <c r="I8501">
        <v>0</v>
      </c>
      <c r="J8501">
        <v>0.98366013071895397</v>
      </c>
      <c r="K8501">
        <v>1</v>
      </c>
      <c r="L8501">
        <v>0.99176276771004901</v>
      </c>
      <c r="M8501">
        <v>0.97712418300653603</v>
      </c>
      <c r="N8501">
        <v>0.97712418300653603</v>
      </c>
      <c r="O8501">
        <v>0.97712418300653603</v>
      </c>
      <c r="AF8501" t="s">
        <v>17167</v>
      </c>
    </row>
    <row r="8502" spans="1:32" hidden="1" x14ac:dyDescent="0.35">
      <c r="A8502">
        <v>8501</v>
      </c>
      <c r="B8502" t="s">
        <v>17168</v>
      </c>
      <c r="C8502" t="s">
        <v>277</v>
      </c>
      <c r="D8502" t="s">
        <v>34</v>
      </c>
      <c r="E8502">
        <v>1190</v>
      </c>
      <c r="F8502">
        <v>2</v>
      </c>
      <c r="G8502">
        <v>2</v>
      </c>
      <c r="H8502">
        <v>1</v>
      </c>
      <c r="I8502">
        <v>0</v>
      </c>
      <c r="J8502">
        <v>0.97458893871449903</v>
      </c>
      <c r="K8502">
        <v>1</v>
      </c>
      <c r="L8502">
        <v>0.98713096139288403</v>
      </c>
      <c r="M8502">
        <v>0.95964125560538105</v>
      </c>
      <c r="N8502">
        <v>0.95964125560538105</v>
      </c>
      <c r="O8502">
        <v>0.95964125560538105</v>
      </c>
      <c r="AF8502" t="s">
        <v>17169</v>
      </c>
    </row>
    <row r="8503" spans="1:32" hidden="1" x14ac:dyDescent="0.35">
      <c r="A8503">
        <v>8502</v>
      </c>
      <c r="B8503" t="s">
        <v>17168</v>
      </c>
      <c r="C8503" t="s">
        <v>277</v>
      </c>
      <c r="D8503" t="s">
        <v>45</v>
      </c>
      <c r="E8503">
        <v>2434</v>
      </c>
      <c r="F8503">
        <v>2</v>
      </c>
      <c r="G8503">
        <v>2</v>
      </c>
      <c r="H8503">
        <v>1</v>
      </c>
      <c r="I8503">
        <v>0</v>
      </c>
      <c r="J8503">
        <v>0.97458893871449903</v>
      </c>
      <c r="K8503">
        <v>1</v>
      </c>
      <c r="L8503">
        <v>0.98713096139288403</v>
      </c>
      <c r="M8503">
        <v>0.95964125560538105</v>
      </c>
      <c r="N8503">
        <v>0.95964125560538105</v>
      </c>
      <c r="O8503">
        <v>0.95964125560538105</v>
      </c>
      <c r="AF8503" t="s">
        <v>17170</v>
      </c>
    </row>
    <row r="8504" spans="1:32" hidden="1" x14ac:dyDescent="0.35">
      <c r="A8504">
        <v>8503</v>
      </c>
      <c r="B8504" t="s">
        <v>17171</v>
      </c>
      <c r="C8504" t="s">
        <v>277</v>
      </c>
      <c r="D8504" t="s">
        <v>34</v>
      </c>
      <c r="E8504">
        <v>719</v>
      </c>
      <c r="F8504">
        <v>2</v>
      </c>
      <c r="G8504">
        <v>2</v>
      </c>
      <c r="H8504">
        <v>1</v>
      </c>
      <c r="I8504">
        <v>0</v>
      </c>
      <c r="J8504">
        <v>0.97974217311233902</v>
      </c>
      <c r="K8504">
        <v>1</v>
      </c>
      <c r="L8504">
        <v>0.98976744186046495</v>
      </c>
      <c r="M8504">
        <v>0.976058931860037</v>
      </c>
      <c r="N8504">
        <v>0.976058931860037</v>
      </c>
      <c r="O8504">
        <v>0.976058931860037</v>
      </c>
      <c r="P8504" t="s">
        <v>3179</v>
      </c>
      <c r="Q8504" t="s">
        <v>3180</v>
      </c>
      <c r="R8504" t="s">
        <v>516</v>
      </c>
      <c r="S8504" t="s">
        <v>517</v>
      </c>
      <c r="T8504" t="s">
        <v>17172</v>
      </c>
      <c r="U8504" t="s">
        <v>17173</v>
      </c>
      <c r="V8504" t="s">
        <v>17174</v>
      </c>
      <c r="W8504" t="s">
        <v>17175</v>
      </c>
      <c r="AD8504" t="s">
        <v>15952</v>
      </c>
      <c r="AE8504" t="s">
        <v>17176</v>
      </c>
      <c r="AF8504" t="s">
        <v>17177</v>
      </c>
    </row>
    <row r="8505" spans="1:32" hidden="1" x14ac:dyDescent="0.35">
      <c r="A8505">
        <v>8504</v>
      </c>
      <c r="B8505" t="s">
        <v>17171</v>
      </c>
      <c r="C8505" t="s">
        <v>277</v>
      </c>
      <c r="D8505" t="s">
        <v>45</v>
      </c>
      <c r="E8505">
        <v>1985</v>
      </c>
      <c r="F8505">
        <v>2</v>
      </c>
      <c r="G8505">
        <v>2</v>
      </c>
      <c r="H8505">
        <v>1</v>
      </c>
      <c r="I8505">
        <v>0</v>
      </c>
      <c r="J8505">
        <v>0.97974217311233902</v>
      </c>
      <c r="K8505">
        <v>1</v>
      </c>
      <c r="L8505">
        <v>0.98976744186046495</v>
      </c>
      <c r="M8505">
        <v>0.976058931860037</v>
      </c>
      <c r="N8505">
        <v>0.976058931860037</v>
      </c>
      <c r="O8505">
        <v>0.976058931860037</v>
      </c>
      <c r="P8505" t="s">
        <v>3179</v>
      </c>
      <c r="Q8505" t="s">
        <v>3180</v>
      </c>
      <c r="R8505" t="s">
        <v>516</v>
      </c>
      <c r="S8505" t="s">
        <v>517</v>
      </c>
      <c r="T8505" t="s">
        <v>17172</v>
      </c>
      <c r="U8505" t="s">
        <v>17173</v>
      </c>
      <c r="V8505" t="s">
        <v>17174</v>
      </c>
      <c r="W8505" t="s">
        <v>17175</v>
      </c>
      <c r="AD8505" t="s">
        <v>15952</v>
      </c>
      <c r="AE8505" t="s">
        <v>17176</v>
      </c>
      <c r="AF8505" t="s">
        <v>17178</v>
      </c>
    </row>
    <row r="8506" spans="1:32" hidden="1" x14ac:dyDescent="0.35">
      <c r="A8506">
        <v>8505</v>
      </c>
      <c r="B8506" t="s">
        <v>17179</v>
      </c>
      <c r="C8506" t="s">
        <v>277</v>
      </c>
      <c r="D8506" t="s">
        <v>60</v>
      </c>
      <c r="E8506">
        <v>2302</v>
      </c>
      <c r="F8506">
        <v>2</v>
      </c>
      <c r="G8506">
        <v>2</v>
      </c>
      <c r="H8506">
        <v>1</v>
      </c>
      <c r="I8506">
        <v>0</v>
      </c>
      <c r="J8506">
        <v>0.97693105235873501</v>
      </c>
      <c r="K8506">
        <v>1</v>
      </c>
      <c r="L8506">
        <v>0.98833092959223801</v>
      </c>
      <c r="M8506">
        <v>0.97122861586314202</v>
      </c>
      <c r="N8506">
        <v>0.97122861586314202</v>
      </c>
      <c r="O8506">
        <v>0.97122861586314202</v>
      </c>
      <c r="P8506" t="s">
        <v>3179</v>
      </c>
      <c r="Q8506" t="s">
        <v>3180</v>
      </c>
      <c r="R8506" t="s">
        <v>17180</v>
      </c>
      <c r="S8506" t="s">
        <v>17181</v>
      </c>
      <c r="V8506" t="s">
        <v>17182</v>
      </c>
      <c r="W8506" t="s">
        <v>17183</v>
      </c>
      <c r="X8506" t="s">
        <v>17182</v>
      </c>
      <c r="Y8506" t="s">
        <v>875</v>
      </c>
      <c r="AF8506" t="s">
        <v>17184</v>
      </c>
    </row>
    <row r="8507" spans="1:32" hidden="1" x14ac:dyDescent="0.35">
      <c r="A8507">
        <v>8506</v>
      </c>
      <c r="B8507" t="s">
        <v>17179</v>
      </c>
      <c r="C8507" t="s">
        <v>277</v>
      </c>
      <c r="D8507" t="s">
        <v>62</v>
      </c>
      <c r="E8507">
        <v>2331</v>
      </c>
      <c r="F8507">
        <v>2</v>
      </c>
      <c r="G8507">
        <v>2</v>
      </c>
      <c r="H8507">
        <v>1</v>
      </c>
      <c r="I8507">
        <v>0</v>
      </c>
      <c r="J8507">
        <v>0.97693105235873501</v>
      </c>
      <c r="K8507">
        <v>1</v>
      </c>
      <c r="L8507">
        <v>0.98833092959223801</v>
      </c>
      <c r="M8507">
        <v>0.97122861586314202</v>
      </c>
      <c r="N8507">
        <v>0.97122861586314202</v>
      </c>
      <c r="O8507">
        <v>0.97122861586314202</v>
      </c>
      <c r="P8507" t="s">
        <v>3179</v>
      </c>
      <c r="Q8507" t="s">
        <v>3180</v>
      </c>
      <c r="R8507" t="s">
        <v>17180</v>
      </c>
      <c r="S8507" t="s">
        <v>17181</v>
      </c>
      <c r="V8507" t="s">
        <v>17182</v>
      </c>
      <c r="W8507" t="s">
        <v>17183</v>
      </c>
      <c r="X8507" t="s">
        <v>17182</v>
      </c>
      <c r="Y8507" t="s">
        <v>875</v>
      </c>
      <c r="AF8507" t="s">
        <v>17185</v>
      </c>
    </row>
    <row r="8508" spans="1:32" hidden="1" x14ac:dyDescent="0.35">
      <c r="A8508">
        <v>8507</v>
      </c>
      <c r="B8508" t="s">
        <v>17186</v>
      </c>
      <c r="C8508" t="s">
        <v>277</v>
      </c>
      <c r="D8508" t="s">
        <v>34</v>
      </c>
      <c r="E8508">
        <v>1232</v>
      </c>
      <c r="F8508">
        <v>2</v>
      </c>
      <c r="G8508">
        <v>2</v>
      </c>
      <c r="H8508">
        <v>1</v>
      </c>
      <c r="I8508">
        <v>0</v>
      </c>
      <c r="J8508">
        <v>0.99450549450549497</v>
      </c>
      <c r="K8508">
        <v>1</v>
      </c>
      <c r="L8508">
        <v>0.99724517906336096</v>
      </c>
      <c r="M8508">
        <v>0.99450549450549497</v>
      </c>
      <c r="N8508">
        <v>0.99450549450549497</v>
      </c>
      <c r="O8508">
        <v>0.99450549450549497</v>
      </c>
      <c r="P8508" t="s">
        <v>1981</v>
      </c>
      <c r="Q8508" t="s">
        <v>1982</v>
      </c>
      <c r="R8508" t="s">
        <v>96</v>
      </c>
      <c r="S8508" t="s">
        <v>97</v>
      </c>
      <c r="V8508" t="s">
        <v>3383</v>
      </c>
      <c r="W8508" t="s">
        <v>3384</v>
      </c>
      <c r="AF8508" t="s">
        <v>17187</v>
      </c>
    </row>
    <row r="8509" spans="1:32" hidden="1" x14ac:dyDescent="0.35">
      <c r="A8509">
        <v>8508</v>
      </c>
      <c r="B8509" t="s">
        <v>17186</v>
      </c>
      <c r="C8509" t="s">
        <v>277</v>
      </c>
      <c r="D8509" t="s">
        <v>45</v>
      </c>
      <c r="E8509">
        <v>2475</v>
      </c>
      <c r="F8509">
        <v>2</v>
      </c>
      <c r="G8509">
        <v>2</v>
      </c>
      <c r="H8509">
        <v>1</v>
      </c>
      <c r="I8509">
        <v>0</v>
      </c>
      <c r="J8509">
        <v>0.99450549450549497</v>
      </c>
      <c r="K8509">
        <v>1</v>
      </c>
      <c r="L8509">
        <v>0.99724517906336096</v>
      </c>
      <c r="M8509">
        <v>0.99450549450549497</v>
      </c>
      <c r="N8509">
        <v>0.99450549450549497</v>
      </c>
      <c r="O8509">
        <v>0.99450549450549497</v>
      </c>
      <c r="P8509" t="s">
        <v>1981</v>
      </c>
      <c r="Q8509" t="s">
        <v>1982</v>
      </c>
      <c r="R8509" t="s">
        <v>96</v>
      </c>
      <c r="S8509" t="s">
        <v>97</v>
      </c>
      <c r="V8509" t="s">
        <v>3383</v>
      </c>
      <c r="W8509" t="s">
        <v>3384</v>
      </c>
      <c r="AF8509" t="s">
        <v>17188</v>
      </c>
    </row>
    <row r="8510" spans="1:32" hidden="1" x14ac:dyDescent="0.35">
      <c r="A8510">
        <v>8509</v>
      </c>
      <c r="B8510" t="s">
        <v>17189</v>
      </c>
      <c r="C8510" t="s">
        <v>277</v>
      </c>
      <c r="D8510" t="s">
        <v>60</v>
      </c>
      <c r="E8510">
        <v>123</v>
      </c>
      <c r="F8510">
        <v>2</v>
      </c>
      <c r="G8510">
        <v>2</v>
      </c>
      <c r="H8510">
        <v>1</v>
      </c>
      <c r="I8510">
        <v>0</v>
      </c>
      <c r="J8510">
        <v>0.99053627760252405</v>
      </c>
      <c r="K8510">
        <v>1</v>
      </c>
      <c r="L8510">
        <v>0.99524564183835196</v>
      </c>
      <c r="M8510">
        <v>0.99053627760252405</v>
      </c>
      <c r="N8510">
        <v>0.99053627760252405</v>
      </c>
      <c r="O8510">
        <v>0.99053627760252405</v>
      </c>
      <c r="P8510" t="s">
        <v>13618</v>
      </c>
      <c r="Q8510" t="s">
        <v>13619</v>
      </c>
      <c r="AF8510" t="s">
        <v>17190</v>
      </c>
    </row>
    <row r="8511" spans="1:32" hidden="1" x14ac:dyDescent="0.35">
      <c r="A8511">
        <v>8510</v>
      </c>
      <c r="B8511" t="s">
        <v>17189</v>
      </c>
      <c r="C8511" t="s">
        <v>277</v>
      </c>
      <c r="D8511" t="s">
        <v>62</v>
      </c>
      <c r="E8511">
        <v>195</v>
      </c>
      <c r="F8511">
        <v>2</v>
      </c>
      <c r="G8511">
        <v>2</v>
      </c>
      <c r="H8511">
        <v>1</v>
      </c>
      <c r="I8511">
        <v>0</v>
      </c>
      <c r="J8511">
        <v>0.99053627760252405</v>
      </c>
      <c r="K8511">
        <v>1</v>
      </c>
      <c r="L8511">
        <v>0.99524564183835196</v>
      </c>
      <c r="M8511">
        <v>0.99053627760252405</v>
      </c>
      <c r="N8511">
        <v>0.99053627760252405</v>
      </c>
      <c r="O8511">
        <v>0.99053627760252405</v>
      </c>
      <c r="P8511" t="s">
        <v>13618</v>
      </c>
      <c r="Q8511" t="s">
        <v>13619</v>
      </c>
      <c r="AF8511" t="s">
        <v>17191</v>
      </c>
    </row>
    <row r="8512" spans="1:32" hidden="1" x14ac:dyDescent="0.35">
      <c r="A8512">
        <v>8511</v>
      </c>
      <c r="B8512" t="s">
        <v>17192</v>
      </c>
      <c r="C8512" t="s">
        <v>277</v>
      </c>
      <c r="D8512" t="s">
        <v>60</v>
      </c>
      <c r="E8512">
        <v>2267</v>
      </c>
      <c r="F8512">
        <v>2</v>
      </c>
      <c r="G8512">
        <v>2</v>
      </c>
      <c r="H8512">
        <v>1</v>
      </c>
      <c r="I8512">
        <v>0</v>
      </c>
      <c r="J8512">
        <v>0.98429319371727797</v>
      </c>
      <c r="K8512">
        <v>1</v>
      </c>
      <c r="L8512">
        <v>0.99208443271767799</v>
      </c>
      <c r="M8512">
        <v>0.98429319371727797</v>
      </c>
      <c r="N8512">
        <v>0.98429319371727797</v>
      </c>
      <c r="O8512">
        <v>0.98429319371727797</v>
      </c>
      <c r="AF8512" t="s">
        <v>17193</v>
      </c>
    </row>
    <row r="8513" spans="1:32" hidden="1" x14ac:dyDescent="0.35">
      <c r="A8513">
        <v>8512</v>
      </c>
      <c r="B8513" t="s">
        <v>17192</v>
      </c>
      <c r="C8513" t="s">
        <v>277</v>
      </c>
      <c r="D8513" t="s">
        <v>62</v>
      </c>
      <c r="E8513">
        <v>2296</v>
      </c>
      <c r="F8513">
        <v>2</v>
      </c>
      <c r="G8513">
        <v>2</v>
      </c>
      <c r="H8513">
        <v>1</v>
      </c>
      <c r="I8513">
        <v>0</v>
      </c>
      <c r="J8513">
        <v>0.98429319371727797</v>
      </c>
      <c r="K8513">
        <v>1</v>
      </c>
      <c r="L8513">
        <v>0.99208443271767799</v>
      </c>
      <c r="M8513">
        <v>0.98429319371727797</v>
      </c>
      <c r="N8513">
        <v>0.98429319371727797</v>
      </c>
      <c r="O8513">
        <v>0.98429319371727797</v>
      </c>
      <c r="AF8513" t="s">
        <v>17194</v>
      </c>
    </row>
    <row r="8514" spans="1:32" hidden="1" x14ac:dyDescent="0.35">
      <c r="A8514">
        <v>8513</v>
      </c>
      <c r="B8514" t="s">
        <v>17195</v>
      </c>
      <c r="C8514" t="s">
        <v>277</v>
      </c>
      <c r="D8514" t="s">
        <v>34</v>
      </c>
      <c r="E8514">
        <v>2426</v>
      </c>
      <c r="F8514">
        <v>2</v>
      </c>
      <c r="G8514">
        <v>2</v>
      </c>
      <c r="H8514">
        <v>1</v>
      </c>
      <c r="I8514">
        <v>0</v>
      </c>
      <c r="J8514">
        <v>0.95614035087719296</v>
      </c>
      <c r="K8514">
        <v>0.99133746510858201</v>
      </c>
      <c r="L8514">
        <v>0.97342084612844704</v>
      </c>
      <c r="M8514">
        <v>0.93913043478260905</v>
      </c>
      <c r="N8514">
        <v>0.93913043478260905</v>
      </c>
      <c r="O8514">
        <v>0.93913043478260905</v>
      </c>
      <c r="P8514" t="s">
        <v>17196</v>
      </c>
      <c r="Q8514" t="s">
        <v>17197</v>
      </c>
      <c r="AF8514" t="s">
        <v>17198</v>
      </c>
    </row>
    <row r="8515" spans="1:32" hidden="1" x14ac:dyDescent="0.35">
      <c r="A8515">
        <v>8514</v>
      </c>
      <c r="B8515" t="s">
        <v>17195</v>
      </c>
      <c r="C8515" t="s">
        <v>277</v>
      </c>
      <c r="D8515" t="s">
        <v>45</v>
      </c>
      <c r="E8515">
        <v>472</v>
      </c>
      <c r="F8515">
        <v>2</v>
      </c>
      <c r="G8515">
        <v>2</v>
      </c>
      <c r="H8515">
        <v>1</v>
      </c>
      <c r="I8515">
        <v>0</v>
      </c>
      <c r="J8515">
        <v>0.95614035087719296</v>
      </c>
      <c r="K8515">
        <v>0.99133746510858201</v>
      </c>
      <c r="L8515">
        <v>0.97342084612844704</v>
      </c>
      <c r="M8515">
        <v>0.93913043478260905</v>
      </c>
      <c r="N8515">
        <v>0.93913043478260905</v>
      </c>
      <c r="O8515">
        <v>0.93913043478260905</v>
      </c>
      <c r="P8515" t="s">
        <v>17196</v>
      </c>
      <c r="Q8515" t="s">
        <v>17197</v>
      </c>
      <c r="AF8515" t="s">
        <v>17199</v>
      </c>
    </row>
    <row r="8516" spans="1:32" hidden="1" x14ac:dyDescent="0.35">
      <c r="A8516">
        <v>8515</v>
      </c>
      <c r="B8516" t="s">
        <v>17200</v>
      </c>
      <c r="C8516" t="s">
        <v>277</v>
      </c>
      <c r="D8516" t="s">
        <v>34</v>
      </c>
      <c r="E8516">
        <v>1735</v>
      </c>
      <c r="F8516">
        <v>2</v>
      </c>
      <c r="G8516">
        <v>2</v>
      </c>
      <c r="H8516">
        <v>1</v>
      </c>
      <c r="I8516">
        <v>0</v>
      </c>
      <c r="J8516">
        <v>0.98109243697478998</v>
      </c>
      <c r="K8516">
        <v>1</v>
      </c>
      <c r="L8516">
        <v>0.99045599151643704</v>
      </c>
      <c r="M8516">
        <v>0.97268907563025198</v>
      </c>
      <c r="N8516">
        <v>0.97268907563025198</v>
      </c>
      <c r="O8516">
        <v>0.97268907563025198</v>
      </c>
      <c r="P8516" t="s">
        <v>15233</v>
      </c>
      <c r="Q8516" t="s">
        <v>15234</v>
      </c>
      <c r="R8516" t="s">
        <v>138</v>
      </c>
      <c r="S8516" t="s">
        <v>139</v>
      </c>
      <c r="V8516" t="s">
        <v>11356</v>
      </c>
      <c r="W8516" t="s">
        <v>11357</v>
      </c>
      <c r="AF8516" t="s">
        <v>17201</v>
      </c>
    </row>
    <row r="8517" spans="1:32" hidden="1" x14ac:dyDescent="0.35">
      <c r="A8517">
        <v>8516</v>
      </c>
      <c r="B8517" t="s">
        <v>17200</v>
      </c>
      <c r="C8517" t="s">
        <v>277</v>
      </c>
      <c r="D8517" t="s">
        <v>45</v>
      </c>
      <c r="E8517">
        <v>1138</v>
      </c>
      <c r="F8517">
        <v>2</v>
      </c>
      <c r="G8517">
        <v>2</v>
      </c>
      <c r="H8517">
        <v>1</v>
      </c>
      <c r="I8517">
        <v>0</v>
      </c>
      <c r="J8517">
        <v>0.98109243697478998</v>
      </c>
      <c r="K8517">
        <v>1</v>
      </c>
      <c r="L8517">
        <v>0.99045599151643704</v>
      </c>
      <c r="M8517">
        <v>0.97268907563025198</v>
      </c>
      <c r="N8517">
        <v>0.97268907563025198</v>
      </c>
      <c r="O8517">
        <v>0.97268907563025198</v>
      </c>
      <c r="P8517" t="s">
        <v>15233</v>
      </c>
      <c r="Q8517" t="s">
        <v>15234</v>
      </c>
      <c r="R8517" t="s">
        <v>138</v>
      </c>
      <c r="S8517" t="s">
        <v>139</v>
      </c>
      <c r="V8517" t="s">
        <v>11356</v>
      </c>
      <c r="W8517" t="s">
        <v>11357</v>
      </c>
      <c r="AF8517" t="s">
        <v>17202</v>
      </c>
    </row>
    <row r="8518" spans="1:32" hidden="1" x14ac:dyDescent="0.35">
      <c r="A8518">
        <v>8517</v>
      </c>
      <c r="B8518" t="s">
        <v>17203</v>
      </c>
      <c r="C8518" t="s">
        <v>277</v>
      </c>
      <c r="D8518" t="s">
        <v>34</v>
      </c>
      <c r="E8518">
        <v>1972</v>
      </c>
      <c r="F8518">
        <v>2</v>
      </c>
      <c r="G8518">
        <v>2</v>
      </c>
      <c r="H8518">
        <v>1</v>
      </c>
      <c r="I8518">
        <v>0</v>
      </c>
      <c r="J8518">
        <v>0.99307958477508695</v>
      </c>
      <c r="K8518">
        <v>1</v>
      </c>
      <c r="L8518">
        <v>0.99652777777777801</v>
      </c>
      <c r="M8518">
        <v>0.99307958477508695</v>
      </c>
      <c r="N8518">
        <v>0.99307958477508695</v>
      </c>
      <c r="O8518">
        <v>0.99307958477508695</v>
      </c>
      <c r="P8518" t="s">
        <v>10138</v>
      </c>
      <c r="Q8518" t="s">
        <v>10139</v>
      </c>
      <c r="AF8518" t="s">
        <v>17204</v>
      </c>
    </row>
    <row r="8519" spans="1:32" hidden="1" x14ac:dyDescent="0.35">
      <c r="A8519">
        <v>8518</v>
      </c>
      <c r="B8519" t="s">
        <v>17203</v>
      </c>
      <c r="C8519" t="s">
        <v>277</v>
      </c>
      <c r="D8519" t="s">
        <v>45</v>
      </c>
      <c r="E8519">
        <v>901</v>
      </c>
      <c r="F8519">
        <v>2</v>
      </c>
      <c r="G8519">
        <v>2</v>
      </c>
      <c r="H8519">
        <v>1</v>
      </c>
      <c r="I8519">
        <v>0</v>
      </c>
      <c r="J8519">
        <v>0.99307958477508695</v>
      </c>
      <c r="K8519">
        <v>1</v>
      </c>
      <c r="L8519">
        <v>0.99652777777777801</v>
      </c>
      <c r="M8519">
        <v>0.99307958477508695</v>
      </c>
      <c r="N8519">
        <v>0.99307958477508695</v>
      </c>
      <c r="O8519">
        <v>0.99307958477508695</v>
      </c>
      <c r="P8519" t="s">
        <v>10138</v>
      </c>
      <c r="Q8519" t="s">
        <v>10139</v>
      </c>
      <c r="AF8519" t="s">
        <v>17205</v>
      </c>
    </row>
    <row r="8520" spans="1:32" hidden="1" x14ac:dyDescent="0.35">
      <c r="A8520">
        <v>8519</v>
      </c>
      <c r="B8520" t="s">
        <v>17206</v>
      </c>
      <c r="C8520" t="s">
        <v>277</v>
      </c>
      <c r="D8520" t="s">
        <v>60</v>
      </c>
      <c r="E8520">
        <v>1701</v>
      </c>
      <c r="F8520">
        <v>2</v>
      </c>
      <c r="G8520">
        <v>2</v>
      </c>
      <c r="H8520">
        <v>1</v>
      </c>
      <c r="I8520">
        <v>0</v>
      </c>
      <c r="J8520">
        <v>0.99702380952380998</v>
      </c>
      <c r="K8520">
        <v>1</v>
      </c>
      <c r="L8520">
        <v>0.998509687034277</v>
      </c>
      <c r="M8520">
        <v>0.99107142857142905</v>
      </c>
      <c r="N8520">
        <v>0.99107142857142905</v>
      </c>
      <c r="O8520">
        <v>0.99107142857142905</v>
      </c>
      <c r="P8520" t="s">
        <v>2163</v>
      </c>
      <c r="Q8520" t="s">
        <v>2164</v>
      </c>
      <c r="R8520" t="s">
        <v>113</v>
      </c>
      <c r="S8520" t="s">
        <v>114</v>
      </c>
      <c r="V8520" t="s">
        <v>2167</v>
      </c>
      <c r="W8520" t="s">
        <v>2168</v>
      </c>
      <c r="AF8520" t="s">
        <v>17207</v>
      </c>
    </row>
    <row r="8521" spans="1:32" hidden="1" x14ac:dyDescent="0.35">
      <c r="A8521">
        <v>8520</v>
      </c>
      <c r="B8521" t="s">
        <v>17206</v>
      </c>
      <c r="C8521" t="s">
        <v>277</v>
      </c>
      <c r="D8521" t="s">
        <v>62</v>
      </c>
      <c r="E8521">
        <v>1736</v>
      </c>
      <c r="F8521">
        <v>2</v>
      </c>
      <c r="G8521">
        <v>2</v>
      </c>
      <c r="H8521">
        <v>1</v>
      </c>
      <c r="I8521">
        <v>0</v>
      </c>
      <c r="J8521">
        <v>0.99702380952380998</v>
      </c>
      <c r="K8521">
        <v>1</v>
      </c>
      <c r="L8521">
        <v>0.998509687034277</v>
      </c>
      <c r="M8521">
        <v>0.99107142857142905</v>
      </c>
      <c r="N8521">
        <v>0.99107142857142905</v>
      </c>
      <c r="O8521">
        <v>0.99107142857142905</v>
      </c>
      <c r="P8521" t="s">
        <v>2163</v>
      </c>
      <c r="Q8521" t="s">
        <v>2164</v>
      </c>
      <c r="R8521" t="s">
        <v>113</v>
      </c>
      <c r="S8521" t="s">
        <v>114</v>
      </c>
      <c r="V8521" t="s">
        <v>2167</v>
      </c>
      <c r="W8521" t="s">
        <v>2168</v>
      </c>
      <c r="AF8521" t="s">
        <v>17208</v>
      </c>
    </row>
    <row r="8522" spans="1:32" hidden="1" x14ac:dyDescent="0.35">
      <c r="A8522">
        <v>8521</v>
      </c>
      <c r="B8522" t="s">
        <v>17209</v>
      </c>
      <c r="C8522" t="s">
        <v>277</v>
      </c>
      <c r="D8522" t="s">
        <v>34</v>
      </c>
      <c r="E8522">
        <v>2474</v>
      </c>
      <c r="F8522">
        <v>2</v>
      </c>
      <c r="G8522">
        <v>2</v>
      </c>
      <c r="H8522">
        <v>1</v>
      </c>
      <c r="I8522">
        <v>0</v>
      </c>
      <c r="J8522">
        <v>0.93684210526315803</v>
      </c>
      <c r="K8522">
        <v>1</v>
      </c>
      <c r="L8522">
        <v>0.96739130434782605</v>
      </c>
      <c r="M8522">
        <v>0.93684210526315803</v>
      </c>
      <c r="N8522">
        <v>0.93684210526315803</v>
      </c>
      <c r="O8522">
        <v>0.93684210526315803</v>
      </c>
      <c r="AF8522" t="s">
        <v>17210</v>
      </c>
    </row>
    <row r="8523" spans="1:32" hidden="1" x14ac:dyDescent="0.35">
      <c r="A8523">
        <v>8522</v>
      </c>
      <c r="B8523" t="s">
        <v>17209</v>
      </c>
      <c r="C8523" t="s">
        <v>277</v>
      </c>
      <c r="D8523" t="s">
        <v>45</v>
      </c>
      <c r="E8523">
        <v>426</v>
      </c>
      <c r="F8523">
        <v>2</v>
      </c>
      <c r="G8523">
        <v>2</v>
      </c>
      <c r="H8523">
        <v>1</v>
      </c>
      <c r="I8523">
        <v>0</v>
      </c>
      <c r="J8523">
        <v>0.93684210526315803</v>
      </c>
      <c r="K8523">
        <v>1</v>
      </c>
      <c r="L8523">
        <v>0.96739130434782605</v>
      </c>
      <c r="M8523">
        <v>0.93684210526315803</v>
      </c>
      <c r="N8523">
        <v>0.93684210526315803</v>
      </c>
      <c r="O8523">
        <v>0.93684210526315803</v>
      </c>
      <c r="AF8523" t="s">
        <v>17211</v>
      </c>
    </row>
    <row r="8524" spans="1:32" hidden="1" x14ac:dyDescent="0.35">
      <c r="A8524">
        <v>8523</v>
      </c>
      <c r="B8524" t="s">
        <v>17212</v>
      </c>
      <c r="C8524" t="s">
        <v>277</v>
      </c>
      <c r="D8524" t="s">
        <v>34</v>
      </c>
      <c r="E8524">
        <v>305</v>
      </c>
      <c r="F8524">
        <v>2</v>
      </c>
      <c r="G8524">
        <v>2</v>
      </c>
      <c r="H8524">
        <v>1</v>
      </c>
      <c r="I8524">
        <v>0</v>
      </c>
      <c r="J8524">
        <v>0.96296296296296302</v>
      </c>
      <c r="K8524">
        <v>0.97837478640592201</v>
      </c>
      <c r="L8524">
        <v>0.97060769926509205</v>
      </c>
      <c r="M8524">
        <v>0.93913043478260905</v>
      </c>
      <c r="N8524">
        <v>0.93913043478260905</v>
      </c>
      <c r="O8524">
        <v>0.93913043478260905</v>
      </c>
      <c r="P8524" t="s">
        <v>14600</v>
      </c>
      <c r="Q8524" t="s">
        <v>14601</v>
      </c>
      <c r="R8524" t="s">
        <v>288</v>
      </c>
      <c r="S8524" t="s">
        <v>289</v>
      </c>
      <c r="V8524" t="s">
        <v>14602</v>
      </c>
      <c r="W8524" t="s">
        <v>14603</v>
      </c>
      <c r="AF8524" t="s">
        <v>17213</v>
      </c>
    </row>
    <row r="8525" spans="1:32" hidden="1" x14ac:dyDescent="0.35">
      <c r="A8525">
        <v>8524</v>
      </c>
      <c r="B8525" t="s">
        <v>17212</v>
      </c>
      <c r="C8525" t="s">
        <v>277</v>
      </c>
      <c r="D8525" t="s">
        <v>45</v>
      </c>
      <c r="E8525">
        <v>1567</v>
      </c>
      <c r="F8525">
        <v>2</v>
      </c>
      <c r="G8525">
        <v>2</v>
      </c>
      <c r="H8525">
        <v>1</v>
      </c>
      <c r="I8525">
        <v>0</v>
      </c>
      <c r="J8525">
        <v>0.96296296296296302</v>
      </c>
      <c r="K8525">
        <v>0.97837478640592201</v>
      </c>
      <c r="L8525">
        <v>0.97060769926509205</v>
      </c>
      <c r="M8525">
        <v>0.93913043478260905</v>
      </c>
      <c r="N8525">
        <v>0.93913043478260905</v>
      </c>
      <c r="O8525">
        <v>0.93913043478260905</v>
      </c>
      <c r="P8525" t="s">
        <v>14600</v>
      </c>
      <c r="Q8525" t="s">
        <v>14601</v>
      </c>
      <c r="R8525" t="s">
        <v>288</v>
      </c>
      <c r="S8525" t="s">
        <v>289</v>
      </c>
      <c r="V8525" t="s">
        <v>14602</v>
      </c>
      <c r="W8525" t="s">
        <v>14603</v>
      </c>
      <c r="AF8525" t="s">
        <v>17214</v>
      </c>
    </row>
    <row r="8526" spans="1:32" hidden="1" x14ac:dyDescent="0.35">
      <c r="A8526">
        <v>8525</v>
      </c>
      <c r="B8526" t="s">
        <v>17215</v>
      </c>
      <c r="C8526" t="s">
        <v>277</v>
      </c>
      <c r="D8526" t="s">
        <v>60</v>
      </c>
      <c r="E8526">
        <v>636</v>
      </c>
      <c r="F8526">
        <v>2</v>
      </c>
      <c r="G8526">
        <v>2</v>
      </c>
      <c r="H8526">
        <v>1</v>
      </c>
      <c r="I8526">
        <v>0</v>
      </c>
      <c r="J8526">
        <v>0.98778359511343805</v>
      </c>
      <c r="K8526">
        <v>1</v>
      </c>
      <c r="L8526">
        <v>0.99385425812115902</v>
      </c>
      <c r="M8526">
        <v>0.98429319371727797</v>
      </c>
      <c r="N8526">
        <v>0.98429319371727797</v>
      </c>
      <c r="O8526">
        <v>0.98429319371727797</v>
      </c>
      <c r="AF8526" t="s">
        <v>17216</v>
      </c>
    </row>
    <row r="8527" spans="1:32" hidden="1" x14ac:dyDescent="0.35">
      <c r="A8527">
        <v>8526</v>
      </c>
      <c r="B8527" t="s">
        <v>17215</v>
      </c>
      <c r="C8527" t="s">
        <v>277</v>
      </c>
      <c r="D8527" t="s">
        <v>62</v>
      </c>
      <c r="E8527">
        <v>720</v>
      </c>
      <c r="F8527">
        <v>2</v>
      </c>
      <c r="G8527">
        <v>2</v>
      </c>
      <c r="H8527">
        <v>1</v>
      </c>
      <c r="I8527">
        <v>0</v>
      </c>
      <c r="J8527">
        <v>0.98778359511343805</v>
      </c>
      <c r="K8527">
        <v>1</v>
      </c>
      <c r="L8527">
        <v>0.99385425812115902</v>
      </c>
      <c r="M8527">
        <v>0.98429319371727797</v>
      </c>
      <c r="N8527">
        <v>0.98429319371727797</v>
      </c>
      <c r="O8527">
        <v>0.98429319371727797</v>
      </c>
      <c r="AF8527" t="s">
        <v>17217</v>
      </c>
    </row>
    <row r="8528" spans="1:32" hidden="1" x14ac:dyDescent="0.35">
      <c r="A8528">
        <v>8527</v>
      </c>
      <c r="B8528" t="s">
        <v>17218</v>
      </c>
      <c r="C8528" t="s">
        <v>277</v>
      </c>
      <c r="D8528" t="s">
        <v>34</v>
      </c>
      <c r="E8528">
        <v>2198</v>
      </c>
      <c r="F8528">
        <v>2</v>
      </c>
      <c r="G8528">
        <v>2</v>
      </c>
      <c r="H8528">
        <v>1</v>
      </c>
      <c r="I8528">
        <v>0</v>
      </c>
      <c r="J8528">
        <v>0.97868217054263595</v>
      </c>
      <c r="K8528">
        <v>1</v>
      </c>
      <c r="L8528">
        <v>0.98922624877570997</v>
      </c>
      <c r="M8528">
        <v>0.97674418604651203</v>
      </c>
      <c r="N8528">
        <v>0.97674418604651203</v>
      </c>
      <c r="O8528">
        <v>0.97674418604651203</v>
      </c>
      <c r="P8528" t="s">
        <v>3647</v>
      </c>
      <c r="Q8528" t="s">
        <v>3648</v>
      </c>
      <c r="R8528" t="s">
        <v>235</v>
      </c>
      <c r="S8528" t="s">
        <v>236</v>
      </c>
      <c r="V8528" t="s">
        <v>3651</v>
      </c>
      <c r="W8528" t="s">
        <v>3652</v>
      </c>
      <c r="X8528" t="s">
        <v>3651</v>
      </c>
      <c r="Y8528" t="s">
        <v>1091</v>
      </c>
      <c r="AF8528" t="s">
        <v>17219</v>
      </c>
    </row>
    <row r="8529" spans="1:32" hidden="1" x14ac:dyDescent="0.35">
      <c r="A8529">
        <v>8528</v>
      </c>
      <c r="B8529" t="s">
        <v>17218</v>
      </c>
      <c r="C8529" t="s">
        <v>277</v>
      </c>
      <c r="D8529" t="s">
        <v>45</v>
      </c>
      <c r="E8529">
        <v>676</v>
      </c>
      <c r="F8529">
        <v>2</v>
      </c>
      <c r="G8529">
        <v>2</v>
      </c>
      <c r="H8529">
        <v>1</v>
      </c>
      <c r="I8529">
        <v>0</v>
      </c>
      <c r="J8529">
        <v>0.97868217054263595</v>
      </c>
      <c r="K8529">
        <v>1</v>
      </c>
      <c r="L8529">
        <v>0.98922624877570997</v>
      </c>
      <c r="M8529">
        <v>0.97674418604651203</v>
      </c>
      <c r="N8529">
        <v>0.97674418604651203</v>
      </c>
      <c r="O8529">
        <v>0.97674418604651203</v>
      </c>
      <c r="P8529" t="s">
        <v>3647</v>
      </c>
      <c r="Q8529" t="s">
        <v>3648</v>
      </c>
      <c r="R8529" t="s">
        <v>235</v>
      </c>
      <c r="S8529" t="s">
        <v>236</v>
      </c>
      <c r="V8529" t="s">
        <v>3651</v>
      </c>
      <c r="W8529" t="s">
        <v>3652</v>
      </c>
      <c r="X8529" t="s">
        <v>3651</v>
      </c>
      <c r="Y8529" t="s">
        <v>1091</v>
      </c>
      <c r="AF8529" t="s">
        <v>17220</v>
      </c>
    </row>
    <row r="8530" spans="1:32" hidden="1" x14ac:dyDescent="0.35">
      <c r="A8530">
        <v>8529</v>
      </c>
      <c r="B8530" t="s">
        <v>17221</v>
      </c>
      <c r="C8530" t="s">
        <v>277</v>
      </c>
      <c r="D8530" t="s">
        <v>60</v>
      </c>
      <c r="E8530">
        <v>1827</v>
      </c>
      <c r="F8530">
        <v>2</v>
      </c>
      <c r="G8530">
        <v>2</v>
      </c>
      <c r="H8530">
        <v>1</v>
      </c>
      <c r="I8530">
        <v>0</v>
      </c>
      <c r="J8530">
        <v>0.83830845771144302</v>
      </c>
      <c r="K8530">
        <v>0.86383308835538297</v>
      </c>
      <c r="L8530">
        <v>0.85087939448119598</v>
      </c>
      <c r="M8530">
        <v>0.69426751592356695</v>
      </c>
      <c r="N8530">
        <v>0.69426751592356695</v>
      </c>
      <c r="O8530">
        <v>0.69426751592356695</v>
      </c>
      <c r="AF8530" t="e">
        <f>----------------------MLVCGRRITGASASLVLVISSVKLTAKVVSQFPERREKILDGRLALESAKCIFDVGAKVVGAEPGAGCAGAVGVLRVGGAAGRGTAGG-LADLHDDLIAFKLEDRAVGGTEFLGGFDKIGKVAEGDIGEAERELV</f>
        <v>#NAME?</v>
      </c>
    </row>
    <row r="8531" spans="1:32" hidden="1" x14ac:dyDescent="0.35">
      <c r="A8531">
        <v>8530</v>
      </c>
      <c r="B8531" t="s">
        <v>17221</v>
      </c>
      <c r="C8531" t="s">
        <v>277</v>
      </c>
      <c r="D8531" t="s">
        <v>62</v>
      </c>
      <c r="E8531">
        <v>1865</v>
      </c>
      <c r="F8531">
        <v>2</v>
      </c>
      <c r="G8531">
        <v>2</v>
      </c>
      <c r="H8531">
        <v>1</v>
      </c>
      <c r="I8531">
        <v>0</v>
      </c>
      <c r="J8531">
        <v>0.83830845771144302</v>
      </c>
      <c r="K8531">
        <v>0.86383308835538297</v>
      </c>
      <c r="L8531">
        <v>0.85087939448119598</v>
      </c>
      <c r="M8531">
        <v>0.69426751592356695</v>
      </c>
      <c r="N8531">
        <v>0.69426751592356695</v>
      </c>
      <c r="O8531">
        <v>0.69426751592356695</v>
      </c>
      <c r="AF8531" t="s">
        <v>17222</v>
      </c>
    </row>
    <row r="8532" spans="1:32" hidden="1" x14ac:dyDescent="0.35">
      <c r="A8532">
        <v>8531</v>
      </c>
      <c r="B8532" t="s">
        <v>17223</v>
      </c>
      <c r="C8532" t="s">
        <v>277</v>
      </c>
      <c r="D8532" t="s">
        <v>34</v>
      </c>
      <c r="E8532">
        <v>2484</v>
      </c>
      <c r="F8532">
        <v>2</v>
      </c>
      <c r="G8532">
        <v>2</v>
      </c>
      <c r="H8532">
        <v>1</v>
      </c>
      <c r="I8532">
        <v>0</v>
      </c>
      <c r="J8532">
        <v>0.96461824953445097</v>
      </c>
      <c r="K8532">
        <v>1</v>
      </c>
      <c r="L8532">
        <v>0.98199052132701403</v>
      </c>
      <c r="M8532">
        <v>0.94972067039106101</v>
      </c>
      <c r="N8532">
        <v>0.94972067039106101</v>
      </c>
      <c r="O8532">
        <v>0.94972067039106101</v>
      </c>
      <c r="AF8532" t="s">
        <v>17224</v>
      </c>
    </row>
    <row r="8533" spans="1:32" hidden="1" x14ac:dyDescent="0.35">
      <c r="A8533">
        <v>8532</v>
      </c>
      <c r="B8533" t="s">
        <v>17223</v>
      </c>
      <c r="C8533" t="s">
        <v>277</v>
      </c>
      <c r="D8533" t="s">
        <v>45</v>
      </c>
      <c r="E8533">
        <v>416</v>
      </c>
      <c r="F8533">
        <v>2</v>
      </c>
      <c r="G8533">
        <v>2</v>
      </c>
      <c r="H8533">
        <v>1</v>
      </c>
      <c r="I8533">
        <v>0</v>
      </c>
      <c r="J8533">
        <v>0.96461824953445097</v>
      </c>
      <c r="K8533">
        <v>1</v>
      </c>
      <c r="L8533">
        <v>0.98199052132701403</v>
      </c>
      <c r="M8533">
        <v>0.94972067039106101</v>
      </c>
      <c r="N8533">
        <v>0.94972067039106101</v>
      </c>
      <c r="O8533">
        <v>0.94972067039106101</v>
      </c>
      <c r="AF8533" t="s">
        <v>17225</v>
      </c>
    </row>
    <row r="8534" spans="1:32" hidden="1" x14ac:dyDescent="0.35">
      <c r="A8534">
        <v>8533</v>
      </c>
      <c r="B8534" t="s">
        <v>17226</v>
      </c>
      <c r="C8534" t="s">
        <v>277</v>
      </c>
      <c r="D8534" t="s">
        <v>60</v>
      </c>
      <c r="E8534">
        <v>731</v>
      </c>
      <c r="F8534">
        <v>2</v>
      </c>
      <c r="G8534">
        <v>2</v>
      </c>
      <c r="H8534">
        <v>1</v>
      </c>
      <c r="I8534">
        <v>0</v>
      </c>
      <c r="J8534">
        <v>0.96222222222222198</v>
      </c>
      <c r="K8534">
        <v>0.99337748344371002</v>
      </c>
      <c r="L8534">
        <v>0.97755168080190902</v>
      </c>
      <c r="M8534">
        <v>0.94701986754966905</v>
      </c>
      <c r="N8534">
        <v>0.94701986754966905</v>
      </c>
      <c r="O8534">
        <v>0.94701986754966905</v>
      </c>
      <c r="P8534" t="s">
        <v>17227</v>
      </c>
      <c r="Q8534" t="s">
        <v>17228</v>
      </c>
      <c r="AF8534" t="s">
        <v>17229</v>
      </c>
    </row>
    <row r="8535" spans="1:32" hidden="1" x14ac:dyDescent="0.35">
      <c r="A8535">
        <v>8534</v>
      </c>
      <c r="B8535" t="s">
        <v>17226</v>
      </c>
      <c r="C8535" t="s">
        <v>277</v>
      </c>
      <c r="D8535" t="s">
        <v>62</v>
      </c>
      <c r="E8535">
        <v>763</v>
      </c>
      <c r="F8535">
        <v>2</v>
      </c>
      <c r="G8535">
        <v>2</v>
      </c>
      <c r="H8535">
        <v>1</v>
      </c>
      <c r="I8535">
        <v>0</v>
      </c>
      <c r="J8535">
        <v>0.96222222222222198</v>
      </c>
      <c r="K8535">
        <v>0.99337748344371002</v>
      </c>
      <c r="L8535">
        <v>0.97755168080190902</v>
      </c>
      <c r="M8535">
        <v>0.94701986754966905</v>
      </c>
      <c r="N8535">
        <v>0.94701986754966905</v>
      </c>
      <c r="O8535">
        <v>0.94701986754966905</v>
      </c>
      <c r="P8535" t="s">
        <v>17227</v>
      </c>
      <c r="Q8535" t="s">
        <v>17228</v>
      </c>
      <c r="AF8535" t="s">
        <v>17230</v>
      </c>
    </row>
    <row r="8536" spans="1:32" hidden="1" x14ac:dyDescent="0.35">
      <c r="A8536">
        <v>8535</v>
      </c>
      <c r="B8536" t="s">
        <v>17231</v>
      </c>
      <c r="C8536" t="s">
        <v>277</v>
      </c>
      <c r="D8536" t="s">
        <v>34</v>
      </c>
      <c r="E8536">
        <v>1441</v>
      </c>
      <c r="F8536">
        <v>2</v>
      </c>
      <c r="G8536">
        <v>2</v>
      </c>
      <c r="H8536">
        <v>1</v>
      </c>
      <c r="I8536">
        <v>0</v>
      </c>
      <c r="J8536">
        <v>0.99534883720930201</v>
      </c>
      <c r="K8536">
        <v>0.99080474483700498</v>
      </c>
      <c r="L8536">
        <v>0.99307159284118196</v>
      </c>
      <c r="M8536">
        <v>0.976958525345622</v>
      </c>
      <c r="N8536">
        <v>0.976958525345622</v>
      </c>
      <c r="O8536">
        <v>0.976958525345622</v>
      </c>
      <c r="AF8536" t="s">
        <v>17232</v>
      </c>
    </row>
    <row r="8537" spans="1:32" hidden="1" x14ac:dyDescent="0.35">
      <c r="A8537">
        <v>8536</v>
      </c>
      <c r="B8537" t="s">
        <v>17231</v>
      </c>
      <c r="C8537" t="s">
        <v>277</v>
      </c>
      <c r="D8537" t="s">
        <v>45</v>
      </c>
      <c r="E8537">
        <v>192</v>
      </c>
      <c r="F8537">
        <v>2</v>
      </c>
      <c r="G8537">
        <v>2</v>
      </c>
      <c r="H8537">
        <v>1</v>
      </c>
      <c r="I8537">
        <v>0</v>
      </c>
      <c r="J8537">
        <v>0.99534883720930201</v>
      </c>
      <c r="K8537">
        <v>0.99080474483700498</v>
      </c>
      <c r="L8537">
        <v>0.99307159284118196</v>
      </c>
      <c r="M8537">
        <v>0.976958525345622</v>
      </c>
      <c r="N8537">
        <v>0.976958525345622</v>
      </c>
      <c r="O8537">
        <v>0.976958525345622</v>
      </c>
      <c r="AF8537" t="s">
        <v>17233</v>
      </c>
    </row>
    <row r="8538" spans="1:32" hidden="1" x14ac:dyDescent="0.35">
      <c r="A8538">
        <v>8537</v>
      </c>
      <c r="B8538" t="s">
        <v>17234</v>
      </c>
      <c r="C8538" t="s">
        <v>277</v>
      </c>
      <c r="D8538" t="s">
        <v>60</v>
      </c>
      <c r="E8538">
        <v>1363</v>
      </c>
      <c r="F8538">
        <v>2</v>
      </c>
      <c r="G8538">
        <v>2</v>
      </c>
      <c r="H8538">
        <v>1</v>
      </c>
      <c r="I8538">
        <v>0</v>
      </c>
      <c r="J8538">
        <v>1</v>
      </c>
      <c r="K8538">
        <v>0.96875771287535695</v>
      </c>
      <c r="L8538">
        <v>0.98413096394730404</v>
      </c>
      <c r="M8538">
        <v>0.96832579185520395</v>
      </c>
      <c r="N8538">
        <v>0.96832579185520395</v>
      </c>
      <c r="O8538">
        <v>0.96832579185520395</v>
      </c>
      <c r="P8538" t="s">
        <v>2163</v>
      </c>
      <c r="Q8538" t="s">
        <v>2164</v>
      </c>
      <c r="R8538" t="s">
        <v>113</v>
      </c>
      <c r="S8538" t="s">
        <v>114</v>
      </c>
      <c r="T8538" t="s">
        <v>17235</v>
      </c>
      <c r="U8538" t="s">
        <v>17236</v>
      </c>
      <c r="V8538" t="s">
        <v>2167</v>
      </c>
      <c r="W8538" t="s">
        <v>2168</v>
      </c>
      <c r="AD8538" t="s">
        <v>312</v>
      </c>
      <c r="AE8538" t="s">
        <v>2169</v>
      </c>
      <c r="AF8538" t="s">
        <v>17237</v>
      </c>
    </row>
    <row r="8539" spans="1:32" hidden="1" x14ac:dyDescent="0.35">
      <c r="A8539">
        <v>8538</v>
      </c>
      <c r="B8539" t="s">
        <v>17234</v>
      </c>
      <c r="C8539" t="s">
        <v>277</v>
      </c>
      <c r="D8539" t="s">
        <v>62</v>
      </c>
      <c r="E8539">
        <v>1399</v>
      </c>
      <c r="F8539">
        <v>2</v>
      </c>
      <c r="G8539">
        <v>2</v>
      </c>
      <c r="H8539">
        <v>1</v>
      </c>
      <c r="I8539">
        <v>0</v>
      </c>
      <c r="J8539">
        <v>1</v>
      </c>
      <c r="K8539">
        <v>0.96875771287535695</v>
      </c>
      <c r="L8539">
        <v>0.98413096394730404</v>
      </c>
      <c r="M8539">
        <v>0.96832579185520395</v>
      </c>
      <c r="N8539">
        <v>0.96832579185520395</v>
      </c>
      <c r="O8539">
        <v>0.96832579185520395</v>
      </c>
      <c r="P8539" t="s">
        <v>2163</v>
      </c>
      <c r="Q8539" t="s">
        <v>2164</v>
      </c>
      <c r="R8539" t="s">
        <v>113</v>
      </c>
      <c r="S8539" t="s">
        <v>114</v>
      </c>
      <c r="T8539" t="s">
        <v>17235</v>
      </c>
      <c r="U8539" t="s">
        <v>17236</v>
      </c>
      <c r="V8539" t="s">
        <v>2167</v>
      </c>
      <c r="W8539" t="s">
        <v>2168</v>
      </c>
      <c r="AD8539" t="s">
        <v>312</v>
      </c>
      <c r="AE8539" t="s">
        <v>2169</v>
      </c>
      <c r="AF8539" t="s">
        <v>17238</v>
      </c>
    </row>
    <row r="8540" spans="1:32" hidden="1" x14ac:dyDescent="0.35">
      <c r="A8540">
        <v>8539</v>
      </c>
      <c r="B8540" t="s">
        <v>17239</v>
      </c>
      <c r="C8540" t="s">
        <v>277</v>
      </c>
      <c r="D8540" t="s">
        <v>34</v>
      </c>
      <c r="E8540">
        <v>1208</v>
      </c>
      <c r="F8540">
        <v>2</v>
      </c>
      <c r="G8540">
        <v>2</v>
      </c>
      <c r="H8540">
        <v>1</v>
      </c>
      <c r="I8540">
        <v>0</v>
      </c>
      <c r="J8540">
        <v>0.99222797927461104</v>
      </c>
      <c r="K8540">
        <v>1</v>
      </c>
      <c r="L8540">
        <v>0.99609882964889496</v>
      </c>
      <c r="M8540">
        <v>0.98704663212435195</v>
      </c>
      <c r="N8540">
        <v>0.98704663212435195</v>
      </c>
      <c r="O8540">
        <v>0.98704663212435195</v>
      </c>
      <c r="P8540" t="s">
        <v>4854</v>
      </c>
      <c r="Q8540" t="s">
        <v>4855</v>
      </c>
      <c r="R8540" t="s">
        <v>157</v>
      </c>
      <c r="S8540" t="s">
        <v>158</v>
      </c>
      <c r="T8540" t="s">
        <v>4856</v>
      </c>
      <c r="U8540" t="s">
        <v>4857</v>
      </c>
      <c r="V8540" t="s">
        <v>4858</v>
      </c>
      <c r="W8540" t="s">
        <v>4859</v>
      </c>
      <c r="AD8540" t="s">
        <v>4860</v>
      </c>
      <c r="AE8540" t="s">
        <v>4861</v>
      </c>
      <c r="AF8540" t="s">
        <v>17240</v>
      </c>
    </row>
    <row r="8541" spans="1:32" hidden="1" x14ac:dyDescent="0.35">
      <c r="A8541">
        <v>8540</v>
      </c>
      <c r="B8541" t="s">
        <v>17239</v>
      </c>
      <c r="C8541" t="s">
        <v>277</v>
      </c>
      <c r="D8541" t="s">
        <v>45</v>
      </c>
      <c r="E8541">
        <v>2451</v>
      </c>
      <c r="F8541">
        <v>2</v>
      </c>
      <c r="G8541">
        <v>2</v>
      </c>
      <c r="H8541">
        <v>1</v>
      </c>
      <c r="I8541">
        <v>0</v>
      </c>
      <c r="J8541">
        <v>0.99222797927461104</v>
      </c>
      <c r="K8541">
        <v>1</v>
      </c>
      <c r="L8541">
        <v>0.99609882964889496</v>
      </c>
      <c r="M8541">
        <v>0.98704663212435195</v>
      </c>
      <c r="N8541">
        <v>0.98704663212435195</v>
      </c>
      <c r="O8541">
        <v>0.98704663212435195</v>
      </c>
      <c r="P8541" t="s">
        <v>4854</v>
      </c>
      <c r="Q8541" t="s">
        <v>4855</v>
      </c>
      <c r="R8541" t="s">
        <v>157</v>
      </c>
      <c r="S8541" t="s">
        <v>158</v>
      </c>
      <c r="T8541" t="s">
        <v>4856</v>
      </c>
      <c r="U8541" t="s">
        <v>4857</v>
      </c>
      <c r="V8541" t="s">
        <v>4858</v>
      </c>
      <c r="W8541" t="s">
        <v>4859</v>
      </c>
      <c r="AD8541" t="s">
        <v>4860</v>
      </c>
      <c r="AE8541" t="s">
        <v>4861</v>
      </c>
      <c r="AF8541" t="s">
        <v>17241</v>
      </c>
    </row>
    <row r="8542" spans="1:32" hidden="1" x14ac:dyDescent="0.35">
      <c r="A8542">
        <v>8541</v>
      </c>
      <c r="B8542" t="s">
        <v>17242</v>
      </c>
      <c r="C8542" t="s">
        <v>277</v>
      </c>
      <c r="D8542" t="s">
        <v>34</v>
      </c>
      <c r="E8542">
        <v>95</v>
      </c>
      <c r="F8542">
        <v>2</v>
      </c>
      <c r="G8542">
        <v>2</v>
      </c>
      <c r="H8542">
        <v>1</v>
      </c>
      <c r="I8542">
        <v>0</v>
      </c>
      <c r="J8542">
        <v>0.89814814814814803</v>
      </c>
      <c r="K8542">
        <v>0.99448247200898998</v>
      </c>
      <c r="L8542">
        <v>0.94386361616246905</v>
      </c>
      <c r="M8542">
        <v>0.86740331491712697</v>
      </c>
      <c r="N8542">
        <v>0.86740331491712697</v>
      </c>
      <c r="O8542">
        <v>0.86740331491712697</v>
      </c>
      <c r="AF8542" t="s">
        <v>17243</v>
      </c>
    </row>
    <row r="8543" spans="1:32" hidden="1" x14ac:dyDescent="0.35">
      <c r="A8543">
        <v>8542</v>
      </c>
      <c r="B8543" t="s">
        <v>17242</v>
      </c>
      <c r="C8543" t="s">
        <v>277</v>
      </c>
      <c r="D8543" t="s">
        <v>45</v>
      </c>
      <c r="E8543">
        <v>1355</v>
      </c>
      <c r="F8543">
        <v>2</v>
      </c>
      <c r="G8543">
        <v>2</v>
      </c>
      <c r="H8543">
        <v>1</v>
      </c>
      <c r="I8543">
        <v>0</v>
      </c>
      <c r="J8543">
        <v>0.89814814814814803</v>
      </c>
      <c r="K8543">
        <v>0.99448247200898998</v>
      </c>
      <c r="L8543">
        <v>0.94386361616246905</v>
      </c>
      <c r="M8543">
        <v>0.86740331491712697</v>
      </c>
      <c r="N8543">
        <v>0.86740331491712697</v>
      </c>
      <c r="O8543">
        <v>0.86740331491712697</v>
      </c>
      <c r="AF8543" t="s">
        <v>17244</v>
      </c>
    </row>
    <row r="8544" spans="1:32" hidden="1" x14ac:dyDescent="0.35">
      <c r="A8544">
        <v>8543</v>
      </c>
      <c r="B8544" t="s">
        <v>17245</v>
      </c>
      <c r="C8544" t="s">
        <v>277</v>
      </c>
      <c r="D8544" t="s">
        <v>60</v>
      </c>
      <c r="E8544">
        <v>292</v>
      </c>
      <c r="F8544">
        <v>2</v>
      </c>
      <c r="G8544">
        <v>2</v>
      </c>
      <c r="H8544">
        <v>1</v>
      </c>
      <c r="I8544">
        <v>0</v>
      </c>
      <c r="J8544">
        <v>0.98321891685736096</v>
      </c>
      <c r="K8544">
        <v>1</v>
      </c>
      <c r="L8544">
        <v>0.99153846153846203</v>
      </c>
      <c r="M8544">
        <v>0.98169336384439398</v>
      </c>
      <c r="N8544">
        <v>0.98169336384439398</v>
      </c>
      <c r="O8544">
        <v>0.98169336384439398</v>
      </c>
      <c r="P8544" t="s">
        <v>182</v>
      </c>
      <c r="Q8544" t="s">
        <v>183</v>
      </c>
      <c r="R8544" t="s">
        <v>652</v>
      </c>
      <c r="S8544" t="s">
        <v>653</v>
      </c>
      <c r="T8544" t="s">
        <v>17246</v>
      </c>
      <c r="U8544" t="s">
        <v>17247</v>
      </c>
      <c r="V8544" t="s">
        <v>3104</v>
      </c>
      <c r="W8544" t="s">
        <v>3105</v>
      </c>
      <c r="X8544" t="s">
        <v>3104</v>
      </c>
      <c r="Y8544" t="s">
        <v>3106</v>
      </c>
      <c r="AD8544" t="s">
        <v>410</v>
      </c>
      <c r="AE8544" t="s">
        <v>829</v>
      </c>
      <c r="AF8544" t="s">
        <v>17248</v>
      </c>
    </row>
    <row r="8545" spans="1:32" hidden="1" x14ac:dyDescent="0.35">
      <c r="A8545">
        <v>8544</v>
      </c>
      <c r="B8545" t="s">
        <v>17245</v>
      </c>
      <c r="C8545" t="s">
        <v>277</v>
      </c>
      <c r="D8545" t="s">
        <v>62</v>
      </c>
      <c r="E8545">
        <v>370</v>
      </c>
      <c r="F8545">
        <v>2</v>
      </c>
      <c r="G8545">
        <v>2</v>
      </c>
      <c r="H8545">
        <v>1</v>
      </c>
      <c r="I8545">
        <v>0</v>
      </c>
      <c r="J8545">
        <v>0.98321891685736096</v>
      </c>
      <c r="K8545">
        <v>1</v>
      </c>
      <c r="L8545">
        <v>0.99153846153846203</v>
      </c>
      <c r="M8545">
        <v>0.98169336384439398</v>
      </c>
      <c r="N8545">
        <v>0.98169336384439398</v>
      </c>
      <c r="O8545">
        <v>0.98169336384439398</v>
      </c>
      <c r="P8545" t="s">
        <v>182</v>
      </c>
      <c r="Q8545" t="s">
        <v>183</v>
      </c>
      <c r="R8545" t="s">
        <v>652</v>
      </c>
      <c r="S8545" t="s">
        <v>653</v>
      </c>
      <c r="T8545" t="s">
        <v>17246</v>
      </c>
      <c r="U8545" t="s">
        <v>17247</v>
      </c>
      <c r="V8545" t="s">
        <v>3104</v>
      </c>
      <c r="W8545" t="s">
        <v>3105</v>
      </c>
      <c r="X8545" t="s">
        <v>3104</v>
      </c>
      <c r="Y8545" t="s">
        <v>3106</v>
      </c>
      <c r="AD8545" t="s">
        <v>410</v>
      </c>
      <c r="AE8545" t="s">
        <v>829</v>
      </c>
      <c r="AF8545" t="s">
        <v>17249</v>
      </c>
    </row>
    <row r="8546" spans="1:32" hidden="1" x14ac:dyDescent="0.35">
      <c r="A8546">
        <v>8545</v>
      </c>
      <c r="B8546" t="s">
        <v>17250</v>
      </c>
      <c r="C8546" t="s">
        <v>277</v>
      </c>
      <c r="D8546" t="s">
        <v>34</v>
      </c>
      <c r="E8546">
        <v>2482</v>
      </c>
      <c r="F8546">
        <v>2</v>
      </c>
      <c r="G8546">
        <v>2</v>
      </c>
      <c r="H8546">
        <v>1</v>
      </c>
      <c r="I8546">
        <v>0</v>
      </c>
      <c r="J8546">
        <v>0.97657657657657704</v>
      </c>
      <c r="K8546">
        <v>1</v>
      </c>
      <c r="L8546">
        <v>0.98814949863263402</v>
      </c>
      <c r="M8546">
        <v>0.97297297297297303</v>
      </c>
      <c r="N8546">
        <v>0.97297297297297303</v>
      </c>
      <c r="O8546">
        <v>0.97297297297297303</v>
      </c>
      <c r="AF8546" t="s">
        <v>17251</v>
      </c>
    </row>
    <row r="8547" spans="1:32" hidden="1" x14ac:dyDescent="0.35">
      <c r="A8547">
        <v>8546</v>
      </c>
      <c r="B8547" t="s">
        <v>17250</v>
      </c>
      <c r="C8547" t="s">
        <v>277</v>
      </c>
      <c r="D8547" t="s">
        <v>45</v>
      </c>
      <c r="E8547">
        <v>418</v>
      </c>
      <c r="F8547">
        <v>2</v>
      </c>
      <c r="G8547">
        <v>2</v>
      </c>
      <c r="H8547">
        <v>1</v>
      </c>
      <c r="I8547">
        <v>0</v>
      </c>
      <c r="J8547">
        <v>0.97657657657657704</v>
      </c>
      <c r="K8547">
        <v>1</v>
      </c>
      <c r="L8547">
        <v>0.98814949863263402</v>
      </c>
      <c r="M8547">
        <v>0.97297297297297303</v>
      </c>
      <c r="N8547">
        <v>0.97297297297297303</v>
      </c>
      <c r="O8547">
        <v>0.97297297297297303</v>
      </c>
      <c r="AF8547" t="s">
        <v>17252</v>
      </c>
    </row>
    <row r="8548" spans="1:32" hidden="1" x14ac:dyDescent="0.35">
      <c r="A8548">
        <v>8547</v>
      </c>
      <c r="B8548" t="s">
        <v>17253</v>
      </c>
      <c r="C8548" t="s">
        <v>277</v>
      </c>
      <c r="D8548" t="s">
        <v>60</v>
      </c>
      <c r="E8548">
        <v>473</v>
      </c>
      <c r="F8548">
        <v>2</v>
      </c>
      <c r="G8548">
        <v>2</v>
      </c>
      <c r="H8548">
        <v>1</v>
      </c>
      <c r="I8548">
        <v>0</v>
      </c>
      <c r="J8548">
        <v>0.99253731343283602</v>
      </c>
      <c r="K8548">
        <v>1</v>
      </c>
      <c r="L8548">
        <v>0.99625468164793995</v>
      </c>
      <c r="M8548">
        <v>0.99253731343283602</v>
      </c>
      <c r="N8548">
        <v>0.99253731343283602</v>
      </c>
      <c r="O8548">
        <v>0.99253731343283602</v>
      </c>
      <c r="P8548" t="s">
        <v>14058</v>
      </c>
      <c r="Q8548" t="s">
        <v>3188</v>
      </c>
      <c r="R8548" t="s">
        <v>8647</v>
      </c>
      <c r="S8548" t="s">
        <v>8648</v>
      </c>
      <c r="V8548" t="s">
        <v>14061</v>
      </c>
      <c r="W8548" t="s">
        <v>14062</v>
      </c>
      <c r="AF8548" t="s">
        <v>17254</v>
      </c>
    </row>
    <row r="8549" spans="1:32" hidden="1" x14ac:dyDescent="0.35">
      <c r="A8549">
        <v>8548</v>
      </c>
      <c r="B8549" t="s">
        <v>17253</v>
      </c>
      <c r="C8549" t="s">
        <v>277</v>
      </c>
      <c r="D8549" t="s">
        <v>62</v>
      </c>
      <c r="E8549">
        <v>555</v>
      </c>
      <c r="F8549">
        <v>2</v>
      </c>
      <c r="G8549">
        <v>2</v>
      </c>
      <c r="H8549">
        <v>1</v>
      </c>
      <c r="I8549">
        <v>0</v>
      </c>
      <c r="J8549">
        <v>0.99253731343283602</v>
      </c>
      <c r="K8549">
        <v>1</v>
      </c>
      <c r="L8549">
        <v>0.99625468164793995</v>
      </c>
      <c r="M8549">
        <v>0.99253731343283602</v>
      </c>
      <c r="N8549">
        <v>0.99253731343283602</v>
      </c>
      <c r="O8549">
        <v>0.99253731343283602</v>
      </c>
      <c r="P8549" t="s">
        <v>14058</v>
      </c>
      <c r="Q8549" t="s">
        <v>3188</v>
      </c>
      <c r="R8549" t="s">
        <v>8647</v>
      </c>
      <c r="S8549" t="s">
        <v>8648</v>
      </c>
      <c r="V8549" t="s">
        <v>14061</v>
      </c>
      <c r="W8549" t="s">
        <v>14062</v>
      </c>
      <c r="AF8549" t="s">
        <v>17255</v>
      </c>
    </row>
    <row r="8550" spans="1:32" hidden="1" x14ac:dyDescent="0.35">
      <c r="A8550">
        <v>8549</v>
      </c>
      <c r="B8550" t="s">
        <v>17256</v>
      </c>
      <c r="C8550" t="s">
        <v>277</v>
      </c>
      <c r="D8550" t="s">
        <v>60</v>
      </c>
      <c r="E8550">
        <v>1868</v>
      </c>
      <c r="F8550">
        <v>2</v>
      </c>
      <c r="G8550">
        <v>2</v>
      </c>
      <c r="H8550">
        <v>1</v>
      </c>
      <c r="I8550">
        <v>0</v>
      </c>
      <c r="J8550">
        <v>0.96467991169977896</v>
      </c>
      <c r="K8550">
        <v>0.92364955858147602</v>
      </c>
      <c r="L8550">
        <v>0.94371897344927402</v>
      </c>
      <c r="M8550">
        <v>0.88414634146341498</v>
      </c>
      <c r="N8550">
        <v>0.88414634146341498</v>
      </c>
      <c r="O8550">
        <v>0.88414634146341498</v>
      </c>
      <c r="P8550" t="s">
        <v>3934</v>
      </c>
      <c r="Q8550" t="s">
        <v>3935</v>
      </c>
      <c r="R8550" t="s">
        <v>75</v>
      </c>
      <c r="S8550" t="s">
        <v>76</v>
      </c>
      <c r="V8550" t="s">
        <v>3936</v>
      </c>
      <c r="W8550" t="s">
        <v>3937</v>
      </c>
      <c r="AF8550" t="s">
        <v>17257</v>
      </c>
    </row>
    <row r="8551" spans="1:32" hidden="1" x14ac:dyDescent="0.35">
      <c r="A8551">
        <v>8550</v>
      </c>
      <c r="B8551" t="s">
        <v>17256</v>
      </c>
      <c r="C8551" t="s">
        <v>277</v>
      </c>
      <c r="D8551" t="s">
        <v>62</v>
      </c>
      <c r="E8551">
        <v>1906</v>
      </c>
      <c r="F8551">
        <v>2</v>
      </c>
      <c r="G8551">
        <v>2</v>
      </c>
      <c r="H8551">
        <v>1</v>
      </c>
      <c r="I8551">
        <v>0</v>
      </c>
      <c r="J8551">
        <v>0.96467991169977896</v>
      </c>
      <c r="K8551">
        <v>0.92364955858147602</v>
      </c>
      <c r="L8551">
        <v>0.94371897344927402</v>
      </c>
      <c r="M8551">
        <v>0.88414634146341498</v>
      </c>
      <c r="N8551">
        <v>0.88414634146341498</v>
      </c>
      <c r="O8551">
        <v>0.88414634146341498</v>
      </c>
      <c r="P8551" t="s">
        <v>3934</v>
      </c>
      <c r="Q8551" t="s">
        <v>3935</v>
      </c>
      <c r="R8551" t="s">
        <v>75</v>
      </c>
      <c r="S8551" t="s">
        <v>76</v>
      </c>
      <c r="V8551" t="s">
        <v>3936</v>
      </c>
      <c r="W8551" t="s">
        <v>3937</v>
      </c>
      <c r="AF8551" t="s">
        <v>17258</v>
      </c>
    </row>
    <row r="8552" spans="1:32" hidden="1" x14ac:dyDescent="0.35">
      <c r="A8552">
        <v>8551</v>
      </c>
      <c r="B8552" t="s">
        <v>17259</v>
      </c>
      <c r="C8552" t="s">
        <v>277</v>
      </c>
      <c r="D8552" t="s">
        <v>58</v>
      </c>
      <c r="E8552">
        <v>514</v>
      </c>
      <c r="F8552">
        <v>2</v>
      </c>
      <c r="G8552">
        <v>2</v>
      </c>
      <c r="H8552">
        <v>1</v>
      </c>
      <c r="I8552">
        <v>0</v>
      </c>
      <c r="J8552">
        <v>0.71401869158878495</v>
      </c>
      <c r="K8552">
        <v>0.99077509791795004</v>
      </c>
      <c r="L8552">
        <v>0.82993256243479596</v>
      </c>
      <c r="M8552">
        <v>0.625925925925926</v>
      </c>
      <c r="N8552">
        <v>0.625925925925926</v>
      </c>
      <c r="O8552">
        <v>0.625925925925926</v>
      </c>
      <c r="P8552" t="s">
        <v>17260</v>
      </c>
      <c r="Q8552" t="s">
        <v>17261</v>
      </c>
      <c r="AF8552" t="s">
        <v>17262</v>
      </c>
    </row>
    <row r="8553" spans="1:32" hidden="1" x14ac:dyDescent="0.35">
      <c r="A8553">
        <v>8552</v>
      </c>
      <c r="B8553" t="s">
        <v>17259</v>
      </c>
      <c r="C8553" t="s">
        <v>277</v>
      </c>
      <c r="D8553" t="s">
        <v>60</v>
      </c>
      <c r="E8553">
        <v>685</v>
      </c>
      <c r="F8553">
        <v>2</v>
      </c>
      <c r="G8553">
        <v>2</v>
      </c>
      <c r="H8553">
        <v>1</v>
      </c>
      <c r="I8553">
        <v>0</v>
      </c>
      <c r="J8553">
        <v>0.71401869158878495</v>
      </c>
      <c r="K8553">
        <v>0.99077509791795004</v>
      </c>
      <c r="L8553">
        <v>0.82993256243479596</v>
      </c>
      <c r="M8553">
        <v>0.625925925925926</v>
      </c>
      <c r="N8553">
        <v>0.625925925925926</v>
      </c>
      <c r="O8553">
        <v>0.625925925925926</v>
      </c>
      <c r="P8553" t="s">
        <v>17260</v>
      </c>
      <c r="Q8553" t="s">
        <v>17261</v>
      </c>
      <c r="AF8553" t="s">
        <v>17263</v>
      </c>
    </row>
    <row r="8554" spans="1:32" hidden="1" x14ac:dyDescent="0.35">
      <c r="A8554">
        <v>8553</v>
      </c>
      <c r="B8554" t="s">
        <v>17264</v>
      </c>
      <c r="C8554" t="s">
        <v>277</v>
      </c>
      <c r="D8554" t="s">
        <v>60</v>
      </c>
      <c r="E8554">
        <v>2392</v>
      </c>
      <c r="F8554">
        <v>2</v>
      </c>
      <c r="G8554">
        <v>2</v>
      </c>
      <c r="H8554">
        <v>1</v>
      </c>
      <c r="I8554">
        <v>0</v>
      </c>
      <c r="J8554">
        <v>0.99290780141844004</v>
      </c>
      <c r="K8554">
        <v>1</v>
      </c>
      <c r="L8554">
        <v>0.99644128113879005</v>
      </c>
      <c r="M8554">
        <v>0.97872340425531901</v>
      </c>
      <c r="N8554">
        <v>0.97872340425531901</v>
      </c>
      <c r="O8554">
        <v>0.97872340425531901</v>
      </c>
      <c r="AF8554" t="s">
        <v>17265</v>
      </c>
    </row>
    <row r="8555" spans="1:32" hidden="1" x14ac:dyDescent="0.35">
      <c r="A8555">
        <v>8554</v>
      </c>
      <c r="B8555" t="s">
        <v>17264</v>
      </c>
      <c r="C8555" t="s">
        <v>277</v>
      </c>
      <c r="D8555" t="s">
        <v>62</v>
      </c>
      <c r="E8555">
        <v>2419</v>
      </c>
      <c r="F8555">
        <v>2</v>
      </c>
      <c r="G8555">
        <v>2</v>
      </c>
      <c r="H8555">
        <v>1</v>
      </c>
      <c r="I8555">
        <v>0</v>
      </c>
      <c r="J8555">
        <v>0.99290780141844004</v>
      </c>
      <c r="K8555">
        <v>1</v>
      </c>
      <c r="L8555">
        <v>0.99644128113879005</v>
      </c>
      <c r="M8555">
        <v>0.97872340425531901</v>
      </c>
      <c r="N8555">
        <v>0.97872340425531901</v>
      </c>
      <c r="O8555">
        <v>0.97872340425531901</v>
      </c>
      <c r="AF8555" t="s">
        <v>17266</v>
      </c>
    </row>
    <row r="8556" spans="1:32" hidden="1" x14ac:dyDescent="0.35">
      <c r="A8556">
        <v>8555</v>
      </c>
      <c r="B8556" t="s">
        <v>17267</v>
      </c>
      <c r="C8556" t="s">
        <v>277</v>
      </c>
      <c r="D8556" t="s">
        <v>60</v>
      </c>
      <c r="E8556">
        <v>838</v>
      </c>
      <c r="F8556">
        <v>2</v>
      </c>
      <c r="G8556">
        <v>2</v>
      </c>
      <c r="H8556">
        <v>1</v>
      </c>
      <c r="I8556">
        <v>0</v>
      </c>
      <c r="J8556">
        <v>0.9375</v>
      </c>
      <c r="K8556">
        <v>0.84449760765550297</v>
      </c>
      <c r="L8556">
        <v>0.88857190803826203</v>
      </c>
      <c r="M8556">
        <v>0.75324675324675305</v>
      </c>
      <c r="N8556">
        <v>0.75324675324675305</v>
      </c>
      <c r="O8556">
        <v>0.75324675324675305</v>
      </c>
      <c r="AF8556" t="s">
        <v>17268</v>
      </c>
    </row>
    <row r="8557" spans="1:32" hidden="1" x14ac:dyDescent="0.35">
      <c r="A8557">
        <v>8556</v>
      </c>
      <c r="B8557" t="s">
        <v>17267</v>
      </c>
      <c r="C8557" t="s">
        <v>277</v>
      </c>
      <c r="D8557" t="s">
        <v>62</v>
      </c>
      <c r="E8557">
        <v>872</v>
      </c>
      <c r="F8557">
        <v>2</v>
      </c>
      <c r="G8557">
        <v>2</v>
      </c>
      <c r="H8557">
        <v>1</v>
      </c>
      <c r="I8557">
        <v>0</v>
      </c>
      <c r="J8557">
        <v>0.9375</v>
      </c>
      <c r="K8557">
        <v>0.84449760765550297</v>
      </c>
      <c r="L8557">
        <v>0.88857190803826203</v>
      </c>
      <c r="M8557">
        <v>0.75324675324675305</v>
      </c>
      <c r="N8557">
        <v>0.75324675324675305</v>
      </c>
      <c r="O8557">
        <v>0.75324675324675305</v>
      </c>
      <c r="AF8557" t="s">
        <v>17269</v>
      </c>
    </row>
    <row r="8558" spans="1:32" hidden="1" x14ac:dyDescent="0.35">
      <c r="A8558">
        <v>8557</v>
      </c>
      <c r="B8558" t="s">
        <v>17270</v>
      </c>
      <c r="C8558" t="s">
        <v>277</v>
      </c>
      <c r="D8558" t="s">
        <v>34</v>
      </c>
      <c r="E8558">
        <v>2166</v>
      </c>
      <c r="F8558">
        <v>2</v>
      </c>
      <c r="G8558">
        <v>2</v>
      </c>
      <c r="H8558">
        <v>1</v>
      </c>
      <c r="I8558">
        <v>0</v>
      </c>
      <c r="J8558">
        <v>0.99739583333333304</v>
      </c>
      <c r="K8558">
        <v>1</v>
      </c>
      <c r="L8558">
        <v>0.998696219035202</v>
      </c>
      <c r="M8558">
        <v>0.9921875</v>
      </c>
      <c r="N8558">
        <v>0.9921875</v>
      </c>
      <c r="O8558">
        <v>0.9921875</v>
      </c>
      <c r="P8558" t="s">
        <v>17271</v>
      </c>
      <c r="Q8558" t="s">
        <v>17272</v>
      </c>
      <c r="R8558" t="s">
        <v>235</v>
      </c>
      <c r="S8558" t="s">
        <v>236</v>
      </c>
      <c r="T8558" t="s">
        <v>17273</v>
      </c>
      <c r="U8558" t="s">
        <v>17274</v>
      </c>
      <c r="V8558" t="s">
        <v>17275</v>
      </c>
      <c r="W8558" t="s">
        <v>17276</v>
      </c>
      <c r="X8558" t="s">
        <v>17275</v>
      </c>
      <c r="Y8558" t="s">
        <v>17277</v>
      </c>
      <c r="Z8558" t="s">
        <v>6839</v>
      </c>
      <c r="AA8558" t="s">
        <v>6840</v>
      </c>
      <c r="AB8558" t="s">
        <v>6839</v>
      </c>
      <c r="AC8558" t="s">
        <v>4023</v>
      </c>
      <c r="AD8558" t="s">
        <v>1705</v>
      </c>
      <c r="AE8558" t="s">
        <v>17278</v>
      </c>
      <c r="AF8558" t="s">
        <v>17279</v>
      </c>
    </row>
    <row r="8559" spans="1:32" hidden="1" x14ac:dyDescent="0.35">
      <c r="A8559">
        <v>8558</v>
      </c>
      <c r="B8559" t="s">
        <v>17270</v>
      </c>
      <c r="C8559" t="s">
        <v>277</v>
      </c>
      <c r="D8559" t="s">
        <v>45</v>
      </c>
      <c r="E8559">
        <v>707</v>
      </c>
      <c r="F8559">
        <v>2</v>
      </c>
      <c r="G8559">
        <v>2</v>
      </c>
      <c r="H8559">
        <v>1</v>
      </c>
      <c r="I8559">
        <v>0</v>
      </c>
      <c r="J8559">
        <v>0.99739583333333304</v>
      </c>
      <c r="K8559">
        <v>1</v>
      </c>
      <c r="L8559">
        <v>0.998696219035202</v>
      </c>
      <c r="M8559">
        <v>0.9921875</v>
      </c>
      <c r="N8559">
        <v>0.9921875</v>
      </c>
      <c r="O8559">
        <v>0.9921875</v>
      </c>
      <c r="P8559" t="s">
        <v>17271</v>
      </c>
      <c r="Q8559" t="s">
        <v>17272</v>
      </c>
      <c r="R8559" t="s">
        <v>235</v>
      </c>
      <c r="S8559" t="s">
        <v>236</v>
      </c>
      <c r="T8559" t="s">
        <v>17273</v>
      </c>
      <c r="U8559" t="s">
        <v>17274</v>
      </c>
      <c r="V8559" t="s">
        <v>17275</v>
      </c>
      <c r="W8559" t="s">
        <v>17276</v>
      </c>
      <c r="X8559" t="s">
        <v>17275</v>
      </c>
      <c r="Y8559" t="s">
        <v>17277</v>
      </c>
      <c r="Z8559" t="s">
        <v>6839</v>
      </c>
      <c r="AA8559" t="s">
        <v>6840</v>
      </c>
      <c r="AB8559" t="s">
        <v>6839</v>
      </c>
      <c r="AC8559" t="s">
        <v>4023</v>
      </c>
      <c r="AD8559" t="s">
        <v>1705</v>
      </c>
      <c r="AE8559" t="s">
        <v>17278</v>
      </c>
      <c r="AF8559" t="s">
        <v>17280</v>
      </c>
    </row>
    <row r="8560" spans="1:32" hidden="1" x14ac:dyDescent="0.35">
      <c r="A8560">
        <v>8559</v>
      </c>
      <c r="B8560" t="s">
        <v>17281</v>
      </c>
      <c r="C8560" t="s">
        <v>277</v>
      </c>
      <c r="D8560" t="s">
        <v>34</v>
      </c>
      <c r="E8560">
        <v>971</v>
      </c>
      <c r="F8560">
        <v>2</v>
      </c>
      <c r="G8560">
        <v>2</v>
      </c>
      <c r="H8560">
        <v>1</v>
      </c>
      <c r="I8560">
        <v>0</v>
      </c>
      <c r="J8560">
        <v>0.98709677419354802</v>
      </c>
      <c r="K8560">
        <v>1</v>
      </c>
      <c r="L8560">
        <v>0.993506493506493</v>
      </c>
      <c r="M8560">
        <v>0.98064516129032298</v>
      </c>
      <c r="N8560">
        <v>0.98064516129032298</v>
      </c>
      <c r="O8560">
        <v>0.98064516129032298</v>
      </c>
      <c r="P8560" t="s">
        <v>17282</v>
      </c>
      <c r="Q8560" t="s">
        <v>17283</v>
      </c>
      <c r="R8560" t="s">
        <v>1191</v>
      </c>
      <c r="S8560" t="s">
        <v>1192</v>
      </c>
      <c r="T8560" t="s">
        <v>17284</v>
      </c>
      <c r="U8560" t="s">
        <v>17285</v>
      </c>
      <c r="V8560" t="s">
        <v>17286</v>
      </c>
      <c r="W8560" t="s">
        <v>17287</v>
      </c>
      <c r="AD8560" t="s">
        <v>7708</v>
      </c>
      <c r="AE8560" t="s">
        <v>17288</v>
      </c>
      <c r="AF8560" t="s">
        <v>17289</v>
      </c>
    </row>
    <row r="8561" spans="1:32" hidden="1" x14ac:dyDescent="0.35">
      <c r="A8561">
        <v>8560</v>
      </c>
      <c r="B8561" t="s">
        <v>17281</v>
      </c>
      <c r="C8561" t="s">
        <v>277</v>
      </c>
      <c r="D8561" t="s">
        <v>45</v>
      </c>
      <c r="E8561">
        <v>2225</v>
      </c>
      <c r="F8561">
        <v>2</v>
      </c>
      <c r="G8561">
        <v>2</v>
      </c>
      <c r="H8561">
        <v>1</v>
      </c>
      <c r="I8561">
        <v>0</v>
      </c>
      <c r="J8561">
        <v>0.98709677419354802</v>
      </c>
      <c r="K8561">
        <v>1</v>
      </c>
      <c r="L8561">
        <v>0.993506493506493</v>
      </c>
      <c r="M8561">
        <v>0.98064516129032298</v>
      </c>
      <c r="N8561">
        <v>0.98064516129032298</v>
      </c>
      <c r="O8561">
        <v>0.98064516129032298</v>
      </c>
      <c r="P8561" t="s">
        <v>17282</v>
      </c>
      <c r="Q8561" t="s">
        <v>17283</v>
      </c>
      <c r="R8561" t="s">
        <v>1191</v>
      </c>
      <c r="S8561" t="s">
        <v>1192</v>
      </c>
      <c r="T8561" t="s">
        <v>17284</v>
      </c>
      <c r="U8561" t="s">
        <v>17285</v>
      </c>
      <c r="V8561" t="s">
        <v>17286</v>
      </c>
      <c r="W8561" t="s">
        <v>17287</v>
      </c>
      <c r="AD8561" t="s">
        <v>7708</v>
      </c>
      <c r="AE8561" t="s">
        <v>17288</v>
      </c>
      <c r="AF8561" t="s">
        <v>17290</v>
      </c>
    </row>
    <row r="8562" spans="1:32" hidden="1" x14ac:dyDescent="0.35">
      <c r="A8562">
        <v>8561</v>
      </c>
      <c r="B8562" t="s">
        <v>17291</v>
      </c>
      <c r="C8562" t="s">
        <v>277</v>
      </c>
      <c r="D8562" t="s">
        <v>60</v>
      </c>
      <c r="E8562">
        <v>24</v>
      </c>
      <c r="F8562">
        <v>2</v>
      </c>
      <c r="G8562">
        <v>2</v>
      </c>
      <c r="H8562">
        <v>1</v>
      </c>
      <c r="I8562">
        <v>0</v>
      </c>
      <c r="J8562">
        <v>0.99583333333333302</v>
      </c>
      <c r="K8562">
        <v>1</v>
      </c>
      <c r="L8562">
        <v>0.99791231732776597</v>
      </c>
      <c r="M8562">
        <v>0.99583333333333302</v>
      </c>
      <c r="N8562">
        <v>0.99583333333333302</v>
      </c>
      <c r="O8562">
        <v>0.99583333333333302</v>
      </c>
      <c r="P8562" t="s">
        <v>10904</v>
      </c>
      <c r="Q8562" t="s">
        <v>10905</v>
      </c>
      <c r="R8562" t="s">
        <v>96</v>
      </c>
      <c r="S8562" t="s">
        <v>97</v>
      </c>
      <c r="V8562" t="s">
        <v>10906</v>
      </c>
      <c r="W8562" t="s">
        <v>10907</v>
      </c>
      <c r="AF8562" t="s">
        <v>17292</v>
      </c>
    </row>
    <row r="8563" spans="1:32" hidden="1" x14ac:dyDescent="0.35">
      <c r="A8563">
        <v>8562</v>
      </c>
      <c r="B8563" t="s">
        <v>17291</v>
      </c>
      <c r="C8563" t="s">
        <v>277</v>
      </c>
      <c r="D8563" t="s">
        <v>62</v>
      </c>
      <c r="E8563">
        <v>97</v>
      </c>
      <c r="F8563">
        <v>2</v>
      </c>
      <c r="G8563">
        <v>2</v>
      </c>
      <c r="H8563">
        <v>1</v>
      </c>
      <c r="I8563">
        <v>0</v>
      </c>
      <c r="J8563">
        <v>0.99583333333333302</v>
      </c>
      <c r="K8563">
        <v>1</v>
      </c>
      <c r="L8563">
        <v>0.99791231732776597</v>
      </c>
      <c r="M8563">
        <v>0.99583333333333302</v>
      </c>
      <c r="N8563">
        <v>0.99583333333333302</v>
      </c>
      <c r="O8563">
        <v>0.99583333333333302</v>
      </c>
      <c r="P8563" t="s">
        <v>10904</v>
      </c>
      <c r="Q8563" t="s">
        <v>10905</v>
      </c>
      <c r="R8563" t="s">
        <v>96</v>
      </c>
      <c r="S8563" t="s">
        <v>97</v>
      </c>
      <c r="V8563" t="s">
        <v>10906</v>
      </c>
      <c r="W8563" t="s">
        <v>10907</v>
      </c>
      <c r="AF8563" t="s">
        <v>17293</v>
      </c>
    </row>
    <row r="8564" spans="1:32" hidden="1" x14ac:dyDescent="0.35">
      <c r="A8564">
        <v>8563</v>
      </c>
      <c r="B8564" t="s">
        <v>17294</v>
      </c>
      <c r="C8564" t="s">
        <v>277</v>
      </c>
      <c r="D8564" t="s">
        <v>34</v>
      </c>
      <c r="E8564">
        <v>1993</v>
      </c>
      <c r="F8564">
        <v>2</v>
      </c>
      <c r="G8564">
        <v>2</v>
      </c>
      <c r="H8564">
        <v>1</v>
      </c>
      <c r="I8564">
        <v>0</v>
      </c>
      <c r="J8564">
        <v>0.982222222222222</v>
      </c>
      <c r="K8564">
        <v>1</v>
      </c>
      <c r="L8564">
        <v>0.99103139013452901</v>
      </c>
      <c r="M8564">
        <v>0.97714285714285698</v>
      </c>
      <c r="N8564">
        <v>0.97714285714285698</v>
      </c>
      <c r="O8564">
        <v>0.97714285714285698</v>
      </c>
      <c r="P8564" t="s">
        <v>13648</v>
      </c>
      <c r="Q8564" t="s">
        <v>13649</v>
      </c>
      <c r="AF8564" t="s">
        <v>17295</v>
      </c>
    </row>
    <row r="8565" spans="1:32" hidden="1" x14ac:dyDescent="0.35">
      <c r="A8565">
        <v>8564</v>
      </c>
      <c r="B8565" t="s">
        <v>17294</v>
      </c>
      <c r="C8565" t="s">
        <v>277</v>
      </c>
      <c r="D8565" t="s">
        <v>45</v>
      </c>
      <c r="E8565">
        <v>880</v>
      </c>
      <c r="F8565">
        <v>2</v>
      </c>
      <c r="G8565">
        <v>2</v>
      </c>
      <c r="H8565">
        <v>1</v>
      </c>
      <c r="I8565">
        <v>0</v>
      </c>
      <c r="J8565">
        <v>0.982222222222222</v>
      </c>
      <c r="K8565">
        <v>1</v>
      </c>
      <c r="L8565">
        <v>0.99103139013452901</v>
      </c>
      <c r="M8565">
        <v>0.97714285714285698</v>
      </c>
      <c r="N8565">
        <v>0.97714285714285698</v>
      </c>
      <c r="O8565">
        <v>0.97714285714285698</v>
      </c>
      <c r="P8565" t="s">
        <v>13648</v>
      </c>
      <c r="Q8565" t="s">
        <v>13649</v>
      </c>
      <c r="AF8565" t="s">
        <v>17296</v>
      </c>
    </row>
    <row r="8566" spans="1:32" hidden="1" x14ac:dyDescent="0.35">
      <c r="A8566">
        <v>8565</v>
      </c>
      <c r="B8566" t="s">
        <v>17297</v>
      </c>
      <c r="C8566" t="s">
        <v>277</v>
      </c>
      <c r="D8566" t="s">
        <v>34</v>
      </c>
      <c r="E8566">
        <v>1636</v>
      </c>
      <c r="F8566">
        <v>2</v>
      </c>
      <c r="G8566">
        <v>2</v>
      </c>
      <c r="H8566">
        <v>1</v>
      </c>
      <c r="I8566">
        <v>0</v>
      </c>
      <c r="J8566">
        <v>0.96150885296381805</v>
      </c>
      <c r="K8566">
        <v>1</v>
      </c>
      <c r="L8566">
        <v>0.98037676609105195</v>
      </c>
      <c r="M8566">
        <v>0.95381062355658197</v>
      </c>
      <c r="N8566">
        <v>0.95381062355658197</v>
      </c>
      <c r="O8566">
        <v>0.95381062355658197</v>
      </c>
      <c r="P8566" t="s">
        <v>17298</v>
      </c>
      <c r="Q8566" t="s">
        <v>17299</v>
      </c>
      <c r="AF8566" t="s">
        <v>17300</v>
      </c>
    </row>
    <row r="8567" spans="1:32" hidden="1" x14ac:dyDescent="0.35">
      <c r="A8567">
        <v>8566</v>
      </c>
      <c r="B8567" t="s">
        <v>17297</v>
      </c>
      <c r="C8567" t="s">
        <v>277</v>
      </c>
      <c r="D8567" t="s">
        <v>45</v>
      </c>
      <c r="E8567">
        <v>383</v>
      </c>
      <c r="F8567">
        <v>2</v>
      </c>
      <c r="G8567">
        <v>2</v>
      </c>
      <c r="H8567">
        <v>1</v>
      </c>
      <c r="I8567">
        <v>0</v>
      </c>
      <c r="J8567">
        <v>0.96150885296381805</v>
      </c>
      <c r="K8567">
        <v>1</v>
      </c>
      <c r="L8567">
        <v>0.98037676609105195</v>
      </c>
      <c r="M8567">
        <v>0.95381062355658197</v>
      </c>
      <c r="N8567">
        <v>0.95381062355658197</v>
      </c>
      <c r="O8567">
        <v>0.95381062355658197</v>
      </c>
      <c r="P8567" t="s">
        <v>17298</v>
      </c>
      <c r="Q8567" t="s">
        <v>17299</v>
      </c>
      <c r="AF8567" t="s">
        <v>17301</v>
      </c>
    </row>
    <row r="8568" spans="1:32" hidden="1" x14ac:dyDescent="0.35">
      <c r="A8568">
        <v>8567</v>
      </c>
      <c r="B8568" t="s">
        <v>17302</v>
      </c>
      <c r="C8568" t="s">
        <v>277</v>
      </c>
      <c r="D8568" t="s">
        <v>34</v>
      </c>
      <c r="E8568">
        <v>986</v>
      </c>
      <c r="F8568">
        <v>2</v>
      </c>
      <c r="G8568">
        <v>2</v>
      </c>
      <c r="H8568">
        <v>1</v>
      </c>
      <c r="I8568">
        <v>0</v>
      </c>
      <c r="J8568">
        <v>0.96392496392496396</v>
      </c>
      <c r="K8568">
        <v>1</v>
      </c>
      <c r="L8568">
        <v>0.98163115356355601</v>
      </c>
      <c r="M8568">
        <v>0.95670995670995695</v>
      </c>
      <c r="N8568">
        <v>0.95670995670995695</v>
      </c>
      <c r="O8568">
        <v>0.95670995670995695</v>
      </c>
      <c r="P8568" t="s">
        <v>17303</v>
      </c>
      <c r="Q8568" t="s">
        <v>17304</v>
      </c>
      <c r="R8568" t="s">
        <v>288</v>
      </c>
      <c r="S8568" t="s">
        <v>289</v>
      </c>
      <c r="V8568" t="s">
        <v>17305</v>
      </c>
      <c r="W8568" t="s">
        <v>17306</v>
      </c>
      <c r="AF8568" t="s">
        <v>17307</v>
      </c>
    </row>
    <row r="8569" spans="1:32" hidden="1" x14ac:dyDescent="0.35">
      <c r="A8569">
        <v>8568</v>
      </c>
      <c r="B8569" t="s">
        <v>17302</v>
      </c>
      <c r="C8569" t="s">
        <v>277</v>
      </c>
      <c r="D8569" t="s">
        <v>45</v>
      </c>
      <c r="E8569">
        <v>2241</v>
      </c>
      <c r="F8569">
        <v>2</v>
      </c>
      <c r="G8569">
        <v>2</v>
      </c>
      <c r="H8569">
        <v>1</v>
      </c>
      <c r="I8569">
        <v>0</v>
      </c>
      <c r="J8569">
        <v>0.96392496392496396</v>
      </c>
      <c r="K8569">
        <v>1</v>
      </c>
      <c r="L8569">
        <v>0.98163115356355601</v>
      </c>
      <c r="M8569">
        <v>0.95670995670995695</v>
      </c>
      <c r="N8569">
        <v>0.95670995670995695</v>
      </c>
      <c r="O8569">
        <v>0.95670995670995695</v>
      </c>
      <c r="P8569" t="s">
        <v>17303</v>
      </c>
      <c r="Q8569" t="s">
        <v>17304</v>
      </c>
      <c r="R8569" t="s">
        <v>288</v>
      </c>
      <c r="S8569" t="s">
        <v>289</v>
      </c>
      <c r="V8569" t="s">
        <v>17305</v>
      </c>
      <c r="W8569" t="s">
        <v>17306</v>
      </c>
      <c r="AF8569" t="s">
        <v>17308</v>
      </c>
    </row>
    <row r="8570" spans="1:32" hidden="1" x14ac:dyDescent="0.35">
      <c r="A8570">
        <v>8569</v>
      </c>
      <c r="B8570" t="s">
        <v>17309</v>
      </c>
      <c r="C8570" t="s">
        <v>277</v>
      </c>
      <c r="D8570" t="s">
        <v>60</v>
      </c>
      <c r="E8570">
        <v>1930</v>
      </c>
      <c r="F8570">
        <v>2</v>
      </c>
      <c r="G8570">
        <v>2</v>
      </c>
      <c r="H8570">
        <v>1</v>
      </c>
      <c r="I8570">
        <v>0</v>
      </c>
      <c r="J8570">
        <v>0.99873257287705997</v>
      </c>
      <c r="K8570">
        <v>1</v>
      </c>
      <c r="L8570">
        <v>0.99936588459099596</v>
      </c>
      <c r="M8570">
        <v>0.99771863117870696</v>
      </c>
      <c r="N8570">
        <v>0.99771863117870696</v>
      </c>
      <c r="O8570">
        <v>0.99771863117870696</v>
      </c>
      <c r="P8570" t="s">
        <v>3179</v>
      </c>
      <c r="Q8570" t="s">
        <v>3180</v>
      </c>
      <c r="R8570" t="s">
        <v>17310</v>
      </c>
      <c r="S8570" t="s">
        <v>17311</v>
      </c>
      <c r="V8570" t="s">
        <v>17312</v>
      </c>
      <c r="W8570" t="s">
        <v>17313</v>
      </c>
      <c r="X8570" t="s">
        <v>17312</v>
      </c>
      <c r="Y8570" t="s">
        <v>14215</v>
      </c>
      <c r="AF8570" t="s">
        <v>17314</v>
      </c>
    </row>
    <row r="8571" spans="1:32" hidden="1" x14ac:dyDescent="0.35">
      <c r="A8571">
        <v>8570</v>
      </c>
      <c r="B8571" t="s">
        <v>17309</v>
      </c>
      <c r="C8571" t="s">
        <v>277</v>
      </c>
      <c r="D8571" t="s">
        <v>62</v>
      </c>
      <c r="E8571">
        <v>1970</v>
      </c>
      <c r="F8571">
        <v>2</v>
      </c>
      <c r="G8571">
        <v>2</v>
      </c>
      <c r="H8571">
        <v>1</v>
      </c>
      <c r="I8571">
        <v>0</v>
      </c>
      <c r="J8571">
        <v>0.99873257287705997</v>
      </c>
      <c r="K8571">
        <v>1</v>
      </c>
      <c r="L8571">
        <v>0.99936588459099596</v>
      </c>
      <c r="M8571">
        <v>0.99771863117870696</v>
      </c>
      <c r="N8571">
        <v>0.99771863117870696</v>
      </c>
      <c r="O8571">
        <v>0.99771863117870696</v>
      </c>
      <c r="P8571" t="s">
        <v>3179</v>
      </c>
      <c r="Q8571" t="s">
        <v>3180</v>
      </c>
      <c r="R8571" t="s">
        <v>17310</v>
      </c>
      <c r="S8571" t="s">
        <v>17311</v>
      </c>
      <c r="V8571" t="s">
        <v>17312</v>
      </c>
      <c r="W8571" t="s">
        <v>17313</v>
      </c>
      <c r="X8571" t="s">
        <v>17312</v>
      </c>
      <c r="Y8571" t="s">
        <v>14215</v>
      </c>
      <c r="AF8571" t="s">
        <v>17315</v>
      </c>
    </row>
    <row r="8572" spans="1:32" hidden="1" x14ac:dyDescent="0.35">
      <c r="A8572">
        <v>8571</v>
      </c>
      <c r="B8572" t="s">
        <v>17316</v>
      </c>
      <c r="C8572" t="s">
        <v>277</v>
      </c>
      <c r="D8572" t="s">
        <v>34</v>
      </c>
      <c r="E8572">
        <v>442</v>
      </c>
      <c r="F8572">
        <v>2</v>
      </c>
      <c r="G8572">
        <v>2</v>
      </c>
      <c r="H8572">
        <v>1</v>
      </c>
      <c r="I8572">
        <v>0</v>
      </c>
      <c r="J8572">
        <v>0.90909090909090895</v>
      </c>
      <c r="K8572">
        <v>1</v>
      </c>
      <c r="L8572">
        <v>0.952380952380952</v>
      </c>
      <c r="M8572">
        <v>0.87878787878787901</v>
      </c>
      <c r="N8572">
        <v>0.87878787878787901</v>
      </c>
      <c r="O8572">
        <v>0.87878787878787901</v>
      </c>
      <c r="AF8572" t="s">
        <v>17317</v>
      </c>
    </row>
    <row r="8573" spans="1:32" hidden="1" x14ac:dyDescent="0.35">
      <c r="A8573">
        <v>8572</v>
      </c>
      <c r="B8573" t="s">
        <v>17316</v>
      </c>
      <c r="C8573" t="s">
        <v>277</v>
      </c>
      <c r="D8573" t="s">
        <v>45</v>
      </c>
      <c r="E8573">
        <v>1705</v>
      </c>
      <c r="F8573">
        <v>2</v>
      </c>
      <c r="G8573">
        <v>2</v>
      </c>
      <c r="H8573">
        <v>1</v>
      </c>
      <c r="I8573">
        <v>0</v>
      </c>
      <c r="J8573">
        <v>0.90909090909090895</v>
      </c>
      <c r="K8573">
        <v>1</v>
      </c>
      <c r="L8573">
        <v>0.952380952380952</v>
      </c>
      <c r="M8573">
        <v>0.87878787878787901</v>
      </c>
      <c r="N8573">
        <v>0.87878787878787901</v>
      </c>
      <c r="O8573">
        <v>0.87878787878787901</v>
      </c>
      <c r="AF8573" t="s">
        <v>17318</v>
      </c>
    </row>
    <row r="8574" spans="1:32" hidden="1" x14ac:dyDescent="0.35">
      <c r="A8574">
        <v>8573</v>
      </c>
      <c r="B8574" t="s">
        <v>17319</v>
      </c>
      <c r="C8574" t="s">
        <v>277</v>
      </c>
      <c r="D8574" t="s">
        <v>60</v>
      </c>
      <c r="E8574">
        <v>1944</v>
      </c>
      <c r="F8574">
        <v>2</v>
      </c>
      <c r="G8574">
        <v>2</v>
      </c>
      <c r="H8574">
        <v>1</v>
      </c>
      <c r="I8574">
        <v>0</v>
      </c>
      <c r="J8574">
        <v>0.98393574297188802</v>
      </c>
      <c r="K8574">
        <v>1</v>
      </c>
      <c r="L8574">
        <v>0.99190283400809698</v>
      </c>
      <c r="M8574">
        <v>0.98393574297188802</v>
      </c>
      <c r="N8574">
        <v>0.98393574297188802</v>
      </c>
      <c r="O8574">
        <v>0.98393574297188802</v>
      </c>
      <c r="P8574" t="s">
        <v>17320</v>
      </c>
      <c r="Q8574" t="s">
        <v>17321</v>
      </c>
      <c r="AF8574" t="s">
        <v>17322</v>
      </c>
    </row>
    <row r="8575" spans="1:32" hidden="1" x14ac:dyDescent="0.35">
      <c r="A8575">
        <v>8574</v>
      </c>
      <c r="B8575" t="s">
        <v>17319</v>
      </c>
      <c r="C8575" t="s">
        <v>277</v>
      </c>
      <c r="D8575" t="s">
        <v>62</v>
      </c>
      <c r="E8575">
        <v>1984</v>
      </c>
      <c r="F8575">
        <v>2</v>
      </c>
      <c r="G8575">
        <v>2</v>
      </c>
      <c r="H8575">
        <v>1</v>
      </c>
      <c r="I8575">
        <v>0</v>
      </c>
      <c r="J8575">
        <v>0.98393574297188802</v>
      </c>
      <c r="K8575">
        <v>1</v>
      </c>
      <c r="L8575">
        <v>0.99190283400809698</v>
      </c>
      <c r="M8575">
        <v>0.98393574297188802</v>
      </c>
      <c r="N8575">
        <v>0.98393574297188802</v>
      </c>
      <c r="O8575">
        <v>0.98393574297188802</v>
      </c>
      <c r="P8575" t="s">
        <v>17320</v>
      </c>
      <c r="Q8575" t="s">
        <v>17321</v>
      </c>
      <c r="AF8575" t="s">
        <v>17323</v>
      </c>
    </row>
    <row r="8576" spans="1:32" hidden="1" x14ac:dyDescent="0.35">
      <c r="A8576">
        <v>8575</v>
      </c>
      <c r="B8576" t="s">
        <v>17324</v>
      </c>
      <c r="C8576" t="s">
        <v>277</v>
      </c>
      <c r="D8576" t="s">
        <v>60</v>
      </c>
      <c r="E8576">
        <v>1902</v>
      </c>
      <c r="F8576">
        <v>2</v>
      </c>
      <c r="G8576">
        <v>2</v>
      </c>
      <c r="H8576">
        <v>1</v>
      </c>
      <c r="I8576">
        <v>0</v>
      </c>
      <c r="J8576">
        <v>0.99877450980392202</v>
      </c>
      <c r="K8576">
        <v>1</v>
      </c>
      <c r="L8576">
        <v>0.99938687921520497</v>
      </c>
      <c r="M8576">
        <v>0.99632352941176505</v>
      </c>
      <c r="N8576">
        <v>0.99632352941176505</v>
      </c>
      <c r="O8576">
        <v>0.99632352941176505</v>
      </c>
      <c r="AF8576" t="s">
        <v>17325</v>
      </c>
    </row>
    <row r="8577" spans="1:32" hidden="1" x14ac:dyDescent="0.35">
      <c r="A8577">
        <v>8576</v>
      </c>
      <c r="B8577" t="s">
        <v>17324</v>
      </c>
      <c r="C8577" t="s">
        <v>277</v>
      </c>
      <c r="D8577" t="s">
        <v>62</v>
      </c>
      <c r="E8577">
        <v>1942</v>
      </c>
      <c r="F8577">
        <v>2</v>
      </c>
      <c r="G8577">
        <v>2</v>
      </c>
      <c r="H8577">
        <v>1</v>
      </c>
      <c r="I8577">
        <v>0</v>
      </c>
      <c r="J8577">
        <v>0.99877450980392202</v>
      </c>
      <c r="K8577">
        <v>1</v>
      </c>
      <c r="L8577">
        <v>0.99938687921520497</v>
      </c>
      <c r="M8577">
        <v>0.99632352941176505</v>
      </c>
      <c r="N8577">
        <v>0.99632352941176505</v>
      </c>
      <c r="O8577">
        <v>0.99632352941176505</v>
      </c>
      <c r="AF8577" t="s">
        <v>17326</v>
      </c>
    </row>
    <row r="8578" spans="1:32" hidden="1" x14ac:dyDescent="0.35">
      <c r="A8578">
        <v>8577</v>
      </c>
      <c r="B8578" t="s">
        <v>17327</v>
      </c>
      <c r="C8578" t="s">
        <v>277</v>
      </c>
      <c r="D8578" t="s">
        <v>34</v>
      </c>
      <c r="E8578">
        <v>946</v>
      </c>
      <c r="F8578">
        <v>2</v>
      </c>
      <c r="G8578">
        <v>2</v>
      </c>
      <c r="H8578">
        <v>1</v>
      </c>
      <c r="I8578">
        <v>0</v>
      </c>
      <c r="J8578">
        <v>0.99469696969696997</v>
      </c>
      <c r="K8578">
        <v>1</v>
      </c>
      <c r="L8578">
        <v>0.99734143562476296</v>
      </c>
      <c r="M8578">
        <v>0.99318181818181805</v>
      </c>
      <c r="N8578">
        <v>0.99318181818181805</v>
      </c>
      <c r="O8578">
        <v>0.99318181818181805</v>
      </c>
      <c r="P8578" t="s">
        <v>136</v>
      </c>
      <c r="Q8578" t="s">
        <v>137</v>
      </c>
      <c r="R8578" t="s">
        <v>138</v>
      </c>
      <c r="S8578" t="s">
        <v>139</v>
      </c>
      <c r="V8578" t="s">
        <v>142</v>
      </c>
      <c r="W8578" t="s">
        <v>143</v>
      </c>
      <c r="AF8578" t="s">
        <v>17328</v>
      </c>
    </row>
    <row r="8579" spans="1:32" hidden="1" x14ac:dyDescent="0.35">
      <c r="A8579">
        <v>8578</v>
      </c>
      <c r="B8579" t="s">
        <v>17327</v>
      </c>
      <c r="C8579" t="s">
        <v>277</v>
      </c>
      <c r="D8579" t="s">
        <v>45</v>
      </c>
      <c r="E8579">
        <v>2203</v>
      </c>
      <c r="F8579">
        <v>2</v>
      </c>
      <c r="G8579">
        <v>2</v>
      </c>
      <c r="H8579">
        <v>1</v>
      </c>
      <c r="I8579">
        <v>0</v>
      </c>
      <c r="J8579">
        <v>0.99469696969696997</v>
      </c>
      <c r="K8579">
        <v>1</v>
      </c>
      <c r="L8579">
        <v>0.99734143562476296</v>
      </c>
      <c r="M8579">
        <v>0.99318181818181805</v>
      </c>
      <c r="N8579">
        <v>0.99318181818181805</v>
      </c>
      <c r="O8579">
        <v>0.99318181818181805</v>
      </c>
      <c r="P8579" t="s">
        <v>136</v>
      </c>
      <c r="Q8579" t="s">
        <v>137</v>
      </c>
      <c r="R8579" t="s">
        <v>138</v>
      </c>
      <c r="S8579" t="s">
        <v>139</v>
      </c>
      <c r="V8579" t="s">
        <v>142</v>
      </c>
      <c r="W8579" t="s">
        <v>143</v>
      </c>
      <c r="AF8579" t="s">
        <v>17329</v>
      </c>
    </row>
    <row r="8580" spans="1:32" hidden="1" x14ac:dyDescent="0.35">
      <c r="A8580">
        <v>8579</v>
      </c>
      <c r="B8580" t="s">
        <v>17330</v>
      </c>
      <c r="C8580" t="s">
        <v>277</v>
      </c>
      <c r="D8580" t="s">
        <v>34</v>
      </c>
      <c r="E8580">
        <v>562</v>
      </c>
      <c r="F8580">
        <v>2</v>
      </c>
      <c r="G8580">
        <v>2</v>
      </c>
      <c r="H8580">
        <v>1</v>
      </c>
      <c r="I8580">
        <v>0</v>
      </c>
      <c r="J8580">
        <v>0.98333333333333295</v>
      </c>
      <c r="K8580">
        <v>1</v>
      </c>
      <c r="L8580">
        <v>0.99159663865546199</v>
      </c>
      <c r="M8580">
        <v>0.97499999999999998</v>
      </c>
      <c r="N8580">
        <v>0.97499999999999998</v>
      </c>
      <c r="O8580">
        <v>0.97499999999999998</v>
      </c>
      <c r="P8580" t="s">
        <v>17331</v>
      </c>
      <c r="Q8580" t="s">
        <v>17332</v>
      </c>
      <c r="T8580" t="s">
        <v>17333</v>
      </c>
      <c r="U8580" t="s">
        <v>2977</v>
      </c>
      <c r="AD8580" t="s">
        <v>410</v>
      </c>
      <c r="AE8580" t="s">
        <v>603</v>
      </c>
      <c r="AF8580" t="s">
        <v>17334</v>
      </c>
    </row>
    <row r="8581" spans="1:32" hidden="1" x14ac:dyDescent="0.35">
      <c r="A8581">
        <v>8580</v>
      </c>
      <c r="B8581" t="s">
        <v>17330</v>
      </c>
      <c r="C8581" t="s">
        <v>277</v>
      </c>
      <c r="D8581" t="s">
        <v>45</v>
      </c>
      <c r="E8581">
        <v>1828</v>
      </c>
      <c r="F8581">
        <v>2</v>
      </c>
      <c r="G8581">
        <v>2</v>
      </c>
      <c r="H8581">
        <v>1</v>
      </c>
      <c r="I8581">
        <v>0</v>
      </c>
      <c r="J8581">
        <v>0.98333333333333295</v>
      </c>
      <c r="K8581">
        <v>1</v>
      </c>
      <c r="L8581">
        <v>0.99159663865546199</v>
      </c>
      <c r="M8581">
        <v>0.97499999999999998</v>
      </c>
      <c r="N8581">
        <v>0.97499999999999998</v>
      </c>
      <c r="O8581">
        <v>0.97499999999999998</v>
      </c>
      <c r="P8581" t="s">
        <v>17331</v>
      </c>
      <c r="Q8581" t="s">
        <v>17332</v>
      </c>
      <c r="T8581" t="s">
        <v>17333</v>
      </c>
      <c r="U8581" t="s">
        <v>2977</v>
      </c>
      <c r="AD8581" t="s">
        <v>410</v>
      </c>
      <c r="AE8581" t="s">
        <v>603</v>
      </c>
      <c r="AF8581" t="s">
        <v>17335</v>
      </c>
    </row>
    <row r="8582" spans="1:32" hidden="1" x14ac:dyDescent="0.35">
      <c r="A8582">
        <v>8581</v>
      </c>
      <c r="B8582" t="s">
        <v>17336</v>
      </c>
      <c r="C8582" t="s">
        <v>277</v>
      </c>
      <c r="D8582" t="s">
        <v>34</v>
      </c>
      <c r="E8582">
        <v>1511</v>
      </c>
      <c r="F8582">
        <v>2</v>
      </c>
      <c r="G8582">
        <v>2</v>
      </c>
      <c r="H8582">
        <v>1</v>
      </c>
      <c r="I8582">
        <v>0</v>
      </c>
      <c r="J8582">
        <v>0.96697626418988603</v>
      </c>
      <c r="K8582">
        <v>1</v>
      </c>
      <c r="L8582">
        <v>0.983210912906611</v>
      </c>
      <c r="M8582">
        <v>0.96284829721362197</v>
      </c>
      <c r="N8582">
        <v>0.96284829721362197</v>
      </c>
      <c r="O8582">
        <v>0.96284829721362197</v>
      </c>
      <c r="AF8582" t="s">
        <v>17337</v>
      </c>
    </row>
    <row r="8583" spans="1:32" hidden="1" x14ac:dyDescent="0.35">
      <c r="A8583">
        <v>8582</v>
      </c>
      <c r="B8583" t="s">
        <v>17336</v>
      </c>
      <c r="C8583" t="s">
        <v>277</v>
      </c>
      <c r="D8583" t="s">
        <v>45</v>
      </c>
      <c r="E8583">
        <v>261</v>
      </c>
      <c r="F8583">
        <v>2</v>
      </c>
      <c r="G8583">
        <v>2</v>
      </c>
      <c r="H8583">
        <v>1</v>
      </c>
      <c r="I8583">
        <v>0</v>
      </c>
      <c r="J8583">
        <v>0.96697626418988603</v>
      </c>
      <c r="K8583">
        <v>1</v>
      </c>
      <c r="L8583">
        <v>0.983210912906611</v>
      </c>
      <c r="M8583">
        <v>0.96284829721362197</v>
      </c>
      <c r="N8583">
        <v>0.96284829721362197</v>
      </c>
      <c r="O8583">
        <v>0.96284829721362197</v>
      </c>
      <c r="AF8583" t="s">
        <v>17338</v>
      </c>
    </row>
    <row r="8584" spans="1:32" hidden="1" x14ac:dyDescent="0.35">
      <c r="A8584">
        <v>8583</v>
      </c>
      <c r="B8584" t="s">
        <v>17339</v>
      </c>
      <c r="C8584" t="s">
        <v>277</v>
      </c>
      <c r="D8584" t="s">
        <v>34</v>
      </c>
      <c r="E8584">
        <v>558</v>
      </c>
      <c r="F8584">
        <v>2</v>
      </c>
      <c r="G8584">
        <v>2</v>
      </c>
      <c r="H8584">
        <v>1</v>
      </c>
      <c r="I8584">
        <v>0</v>
      </c>
      <c r="J8584">
        <v>0.98264512268102899</v>
      </c>
      <c r="K8584">
        <v>1</v>
      </c>
      <c r="L8584">
        <v>0.99124660428614597</v>
      </c>
      <c r="M8584">
        <v>0.97307001795332104</v>
      </c>
      <c r="N8584">
        <v>0.97307001795332104</v>
      </c>
      <c r="O8584">
        <v>0.97307001795332104</v>
      </c>
      <c r="P8584" t="s">
        <v>7906</v>
      </c>
      <c r="Q8584" t="s">
        <v>7907</v>
      </c>
      <c r="R8584" t="s">
        <v>319</v>
      </c>
      <c r="S8584" t="s">
        <v>320</v>
      </c>
      <c r="T8584" t="s">
        <v>17340</v>
      </c>
      <c r="U8584" t="s">
        <v>17341</v>
      </c>
      <c r="V8584" t="s">
        <v>9556</v>
      </c>
      <c r="W8584" t="s">
        <v>9557</v>
      </c>
      <c r="AD8584" t="s">
        <v>219</v>
      </c>
      <c r="AE8584" t="s">
        <v>17342</v>
      </c>
      <c r="AF8584" t="s">
        <v>17343</v>
      </c>
    </row>
    <row r="8585" spans="1:32" hidden="1" x14ac:dyDescent="0.35">
      <c r="A8585">
        <v>8584</v>
      </c>
      <c r="B8585" t="s">
        <v>17339</v>
      </c>
      <c r="C8585" t="s">
        <v>277</v>
      </c>
      <c r="D8585" t="s">
        <v>45</v>
      </c>
      <c r="E8585">
        <v>1824</v>
      </c>
      <c r="F8585">
        <v>2</v>
      </c>
      <c r="G8585">
        <v>2</v>
      </c>
      <c r="H8585">
        <v>1</v>
      </c>
      <c r="I8585">
        <v>0</v>
      </c>
      <c r="J8585">
        <v>0.98264512268102899</v>
      </c>
      <c r="K8585">
        <v>1</v>
      </c>
      <c r="L8585">
        <v>0.99124660428614597</v>
      </c>
      <c r="M8585">
        <v>0.97307001795332104</v>
      </c>
      <c r="N8585">
        <v>0.97307001795332104</v>
      </c>
      <c r="O8585">
        <v>0.97307001795332104</v>
      </c>
      <c r="P8585" t="s">
        <v>7906</v>
      </c>
      <c r="Q8585" t="s">
        <v>7907</v>
      </c>
      <c r="R8585" t="s">
        <v>319</v>
      </c>
      <c r="S8585" t="s">
        <v>320</v>
      </c>
      <c r="T8585" t="s">
        <v>17340</v>
      </c>
      <c r="U8585" t="s">
        <v>17341</v>
      </c>
      <c r="V8585" t="s">
        <v>9556</v>
      </c>
      <c r="W8585" t="s">
        <v>9557</v>
      </c>
      <c r="AD8585" t="s">
        <v>219</v>
      </c>
      <c r="AE8585" t="s">
        <v>17342</v>
      </c>
      <c r="AF8585" t="s">
        <v>17344</v>
      </c>
    </row>
    <row r="8586" spans="1:32" hidden="1" x14ac:dyDescent="0.35">
      <c r="A8586">
        <v>8585</v>
      </c>
      <c r="B8586" t="s">
        <v>17345</v>
      </c>
      <c r="C8586" t="s">
        <v>277</v>
      </c>
      <c r="D8586" t="s">
        <v>60</v>
      </c>
      <c r="E8586">
        <v>1057</v>
      </c>
      <c r="F8586">
        <v>2</v>
      </c>
      <c r="G8586">
        <v>2</v>
      </c>
      <c r="H8586">
        <v>1</v>
      </c>
      <c r="I8586">
        <v>0</v>
      </c>
      <c r="J8586">
        <v>0.99435028248587598</v>
      </c>
      <c r="K8586">
        <v>1</v>
      </c>
      <c r="L8586">
        <v>0.99716713881019803</v>
      </c>
      <c r="M8586">
        <v>0.99435028248587598</v>
      </c>
      <c r="N8586">
        <v>0.99435028248587598</v>
      </c>
      <c r="O8586">
        <v>0.99435028248587598</v>
      </c>
      <c r="P8586" t="s">
        <v>3622</v>
      </c>
      <c r="Q8586" t="s">
        <v>3623</v>
      </c>
      <c r="AF8586" t="s">
        <v>17346</v>
      </c>
    </row>
    <row r="8587" spans="1:32" hidden="1" x14ac:dyDescent="0.35">
      <c r="A8587">
        <v>8586</v>
      </c>
      <c r="B8587" t="s">
        <v>17345</v>
      </c>
      <c r="C8587" t="s">
        <v>277</v>
      </c>
      <c r="D8587" t="s">
        <v>62</v>
      </c>
      <c r="E8587">
        <v>1093</v>
      </c>
      <c r="F8587">
        <v>2</v>
      </c>
      <c r="G8587">
        <v>2</v>
      </c>
      <c r="H8587">
        <v>1</v>
      </c>
      <c r="I8587">
        <v>0</v>
      </c>
      <c r="J8587">
        <v>0.99435028248587598</v>
      </c>
      <c r="K8587">
        <v>1</v>
      </c>
      <c r="L8587">
        <v>0.99716713881019803</v>
      </c>
      <c r="M8587">
        <v>0.99435028248587598</v>
      </c>
      <c r="N8587">
        <v>0.99435028248587598</v>
      </c>
      <c r="O8587">
        <v>0.99435028248587598</v>
      </c>
      <c r="P8587" t="s">
        <v>3622</v>
      </c>
      <c r="Q8587" t="s">
        <v>3623</v>
      </c>
      <c r="AF8587" t="s">
        <v>17347</v>
      </c>
    </row>
    <row r="8588" spans="1:32" hidden="1" x14ac:dyDescent="0.35">
      <c r="A8588">
        <v>8587</v>
      </c>
      <c r="B8588" t="s">
        <v>17348</v>
      </c>
      <c r="C8588" t="s">
        <v>277</v>
      </c>
      <c r="D8588" t="s">
        <v>34</v>
      </c>
      <c r="E8588">
        <v>1617</v>
      </c>
      <c r="F8588">
        <v>2</v>
      </c>
      <c r="G8588">
        <v>2</v>
      </c>
      <c r="H8588">
        <v>1</v>
      </c>
      <c r="I8588">
        <v>0</v>
      </c>
      <c r="J8588">
        <v>0.95454545454545503</v>
      </c>
      <c r="K8588">
        <v>1</v>
      </c>
      <c r="L8588">
        <v>0.97674418604651203</v>
      </c>
      <c r="M8588">
        <v>0.95454545454545503</v>
      </c>
      <c r="N8588">
        <v>0.95454545454545503</v>
      </c>
      <c r="O8588">
        <v>0.95454545454545503</v>
      </c>
      <c r="AF8588" t="s">
        <v>17349</v>
      </c>
    </row>
    <row r="8589" spans="1:32" hidden="1" x14ac:dyDescent="0.35">
      <c r="A8589">
        <v>8588</v>
      </c>
      <c r="B8589" t="s">
        <v>17348</v>
      </c>
      <c r="C8589" t="s">
        <v>277</v>
      </c>
      <c r="D8589" t="s">
        <v>45</v>
      </c>
      <c r="E8589">
        <v>367</v>
      </c>
      <c r="F8589">
        <v>2</v>
      </c>
      <c r="G8589">
        <v>2</v>
      </c>
      <c r="H8589">
        <v>1</v>
      </c>
      <c r="I8589">
        <v>0</v>
      </c>
      <c r="J8589">
        <v>0.95454545454545503</v>
      </c>
      <c r="K8589">
        <v>1</v>
      </c>
      <c r="L8589">
        <v>0.97674418604651203</v>
      </c>
      <c r="M8589">
        <v>0.95454545454545503</v>
      </c>
      <c r="N8589">
        <v>0.95454545454545503</v>
      </c>
      <c r="O8589">
        <v>0.95454545454545503</v>
      </c>
      <c r="AF8589" t="s">
        <v>17350</v>
      </c>
    </row>
    <row r="8590" spans="1:32" hidden="1" x14ac:dyDescent="0.35">
      <c r="A8590">
        <v>8589</v>
      </c>
      <c r="B8590" t="s">
        <v>17351</v>
      </c>
      <c r="C8590" t="s">
        <v>277</v>
      </c>
      <c r="D8590" t="s">
        <v>60</v>
      </c>
      <c r="E8590">
        <v>554</v>
      </c>
      <c r="F8590">
        <v>2</v>
      </c>
      <c r="G8590">
        <v>2</v>
      </c>
      <c r="H8590">
        <v>1</v>
      </c>
      <c r="I8590">
        <v>0</v>
      </c>
      <c r="J8590">
        <v>0.98563218390804597</v>
      </c>
      <c r="K8590">
        <v>1</v>
      </c>
      <c r="L8590">
        <v>0.992764109985528</v>
      </c>
      <c r="M8590">
        <v>0.97413793103448298</v>
      </c>
      <c r="N8590">
        <v>0.97413793103448298</v>
      </c>
      <c r="O8590">
        <v>0.97413793103448298</v>
      </c>
      <c r="P8590" t="s">
        <v>17352</v>
      </c>
      <c r="Q8590" t="s">
        <v>17353</v>
      </c>
      <c r="R8590" t="s">
        <v>1259</v>
      </c>
      <c r="S8590" t="s">
        <v>1260</v>
      </c>
      <c r="V8590" t="s">
        <v>17354</v>
      </c>
      <c r="W8590" t="s">
        <v>17355</v>
      </c>
      <c r="AF8590" t="s">
        <v>17356</v>
      </c>
    </row>
    <row r="8591" spans="1:32" hidden="1" x14ac:dyDescent="0.35">
      <c r="A8591">
        <v>8590</v>
      </c>
      <c r="B8591" t="s">
        <v>17351</v>
      </c>
      <c r="C8591" t="s">
        <v>277</v>
      </c>
      <c r="D8591" t="s">
        <v>62</v>
      </c>
      <c r="E8591">
        <v>638</v>
      </c>
      <c r="F8591">
        <v>2</v>
      </c>
      <c r="G8591">
        <v>2</v>
      </c>
      <c r="H8591">
        <v>1</v>
      </c>
      <c r="I8591">
        <v>0</v>
      </c>
      <c r="J8591">
        <v>0.98563218390804597</v>
      </c>
      <c r="K8591">
        <v>1</v>
      </c>
      <c r="L8591">
        <v>0.992764109985528</v>
      </c>
      <c r="M8591">
        <v>0.97413793103448298</v>
      </c>
      <c r="N8591">
        <v>0.97413793103448298</v>
      </c>
      <c r="O8591">
        <v>0.97413793103448298</v>
      </c>
      <c r="P8591" t="s">
        <v>17352</v>
      </c>
      <c r="Q8591" t="s">
        <v>17353</v>
      </c>
      <c r="R8591" t="s">
        <v>1259</v>
      </c>
      <c r="S8591" t="s">
        <v>1260</v>
      </c>
      <c r="V8591" t="s">
        <v>17354</v>
      </c>
      <c r="W8591" t="s">
        <v>17355</v>
      </c>
      <c r="AF8591" t="s">
        <v>17357</v>
      </c>
    </row>
    <row r="8592" spans="1:32" hidden="1" x14ac:dyDescent="0.35">
      <c r="A8592">
        <v>8591</v>
      </c>
      <c r="B8592" t="s">
        <v>17358</v>
      </c>
      <c r="C8592" t="s">
        <v>277</v>
      </c>
      <c r="D8592" t="s">
        <v>60</v>
      </c>
      <c r="E8592">
        <v>1911</v>
      </c>
      <c r="F8592">
        <v>2</v>
      </c>
      <c r="G8592">
        <v>2</v>
      </c>
      <c r="H8592">
        <v>1</v>
      </c>
      <c r="I8592">
        <v>0</v>
      </c>
      <c r="J8592">
        <v>0.99435028248587598</v>
      </c>
      <c r="K8592">
        <v>0.970809308072486</v>
      </c>
      <c r="L8592">
        <v>0.98243879465027695</v>
      </c>
      <c r="M8592">
        <v>0.96381578947368396</v>
      </c>
      <c r="N8592">
        <v>0.96381578947368396</v>
      </c>
      <c r="O8592">
        <v>0.96381578947368396</v>
      </c>
      <c r="P8592" t="s">
        <v>7906</v>
      </c>
      <c r="Q8592" t="s">
        <v>7907</v>
      </c>
      <c r="R8592" t="s">
        <v>319</v>
      </c>
      <c r="S8592" t="s">
        <v>320</v>
      </c>
      <c r="T8592" t="s">
        <v>17359</v>
      </c>
      <c r="U8592" t="s">
        <v>17360</v>
      </c>
      <c r="V8592" t="s">
        <v>9556</v>
      </c>
      <c r="W8592" t="s">
        <v>9557</v>
      </c>
      <c r="AD8592" t="s">
        <v>191</v>
      </c>
      <c r="AE8592" t="s">
        <v>17361</v>
      </c>
      <c r="AF8592" t="s">
        <v>17362</v>
      </c>
    </row>
    <row r="8593" spans="1:32" hidden="1" x14ac:dyDescent="0.35">
      <c r="A8593">
        <v>8592</v>
      </c>
      <c r="B8593" t="s">
        <v>17358</v>
      </c>
      <c r="C8593" t="s">
        <v>277</v>
      </c>
      <c r="D8593" t="s">
        <v>62</v>
      </c>
      <c r="E8593">
        <v>1951</v>
      </c>
      <c r="F8593">
        <v>2</v>
      </c>
      <c r="G8593">
        <v>2</v>
      </c>
      <c r="H8593">
        <v>1</v>
      </c>
      <c r="I8593">
        <v>0</v>
      </c>
      <c r="J8593">
        <v>0.99435028248587598</v>
      </c>
      <c r="K8593">
        <v>0.970809308072486</v>
      </c>
      <c r="L8593">
        <v>0.98243879465027695</v>
      </c>
      <c r="M8593">
        <v>0.96381578947368396</v>
      </c>
      <c r="N8593">
        <v>0.96381578947368396</v>
      </c>
      <c r="O8593">
        <v>0.96381578947368396</v>
      </c>
      <c r="P8593" t="s">
        <v>7906</v>
      </c>
      <c r="Q8593" t="s">
        <v>7907</v>
      </c>
      <c r="R8593" t="s">
        <v>319</v>
      </c>
      <c r="S8593" t="s">
        <v>320</v>
      </c>
      <c r="T8593" t="s">
        <v>17359</v>
      </c>
      <c r="U8593" t="s">
        <v>17360</v>
      </c>
      <c r="V8593" t="s">
        <v>9556</v>
      </c>
      <c r="W8593" t="s">
        <v>9557</v>
      </c>
      <c r="AD8593" t="s">
        <v>191</v>
      </c>
      <c r="AE8593" t="s">
        <v>17361</v>
      </c>
      <c r="AF8593" t="s">
        <v>17363</v>
      </c>
    </row>
    <row r="8594" spans="1:32" hidden="1" x14ac:dyDescent="0.35">
      <c r="A8594">
        <v>8593</v>
      </c>
      <c r="B8594" t="s">
        <v>17364</v>
      </c>
      <c r="C8594" t="s">
        <v>277</v>
      </c>
      <c r="D8594" t="s">
        <v>60</v>
      </c>
      <c r="E8594">
        <v>8</v>
      </c>
      <c r="F8594">
        <v>2</v>
      </c>
      <c r="G8594">
        <v>2</v>
      </c>
      <c r="H8594">
        <v>1</v>
      </c>
      <c r="I8594">
        <v>0</v>
      </c>
      <c r="J8594">
        <v>0.97769953051643199</v>
      </c>
      <c r="K8594">
        <v>0.95711620711620804</v>
      </c>
      <c r="L8594">
        <v>0.96729838211069796</v>
      </c>
      <c r="M8594">
        <v>0.92592592592592604</v>
      </c>
      <c r="N8594">
        <v>0.92592592592592604</v>
      </c>
      <c r="O8594">
        <v>0.92592592592592604</v>
      </c>
      <c r="P8594" t="s">
        <v>17365</v>
      </c>
      <c r="Q8594" t="s">
        <v>17366</v>
      </c>
      <c r="R8594" t="s">
        <v>288</v>
      </c>
      <c r="S8594" t="s">
        <v>289</v>
      </c>
      <c r="T8594" t="s">
        <v>15362</v>
      </c>
      <c r="U8594" t="s">
        <v>15363</v>
      </c>
      <c r="V8594" t="s">
        <v>17367</v>
      </c>
      <c r="W8594" t="s">
        <v>17368</v>
      </c>
      <c r="AD8594" t="s">
        <v>410</v>
      </c>
      <c r="AE8594" t="s">
        <v>603</v>
      </c>
      <c r="AF8594" t="s">
        <v>17369</v>
      </c>
    </row>
    <row r="8595" spans="1:32" hidden="1" x14ac:dyDescent="0.35">
      <c r="A8595">
        <v>8594</v>
      </c>
      <c r="B8595" t="s">
        <v>17364</v>
      </c>
      <c r="C8595" t="s">
        <v>277</v>
      </c>
      <c r="D8595" t="s">
        <v>62</v>
      </c>
      <c r="E8595">
        <v>87</v>
      </c>
      <c r="F8595">
        <v>2</v>
      </c>
      <c r="G8595">
        <v>2</v>
      </c>
      <c r="H8595">
        <v>1</v>
      </c>
      <c r="I8595">
        <v>0</v>
      </c>
      <c r="J8595">
        <v>0.97769953051643199</v>
      </c>
      <c r="K8595">
        <v>0.95711620711620804</v>
      </c>
      <c r="L8595">
        <v>0.96729838211069796</v>
      </c>
      <c r="M8595">
        <v>0.92592592592592604</v>
      </c>
      <c r="N8595">
        <v>0.92592592592592604</v>
      </c>
      <c r="O8595">
        <v>0.92592592592592604</v>
      </c>
      <c r="P8595" t="s">
        <v>17365</v>
      </c>
      <c r="Q8595" t="s">
        <v>17366</v>
      </c>
      <c r="R8595" t="s">
        <v>288</v>
      </c>
      <c r="S8595" t="s">
        <v>289</v>
      </c>
      <c r="V8595" t="s">
        <v>17367</v>
      </c>
      <c r="W8595" t="s">
        <v>17368</v>
      </c>
      <c r="AF8595" t="s">
        <v>17370</v>
      </c>
    </row>
    <row r="8596" spans="1:32" hidden="1" x14ac:dyDescent="0.35">
      <c r="A8596">
        <v>8595</v>
      </c>
      <c r="B8596" t="s">
        <v>17371</v>
      </c>
      <c r="C8596" t="s">
        <v>277</v>
      </c>
      <c r="D8596" t="s">
        <v>34</v>
      </c>
      <c r="E8596">
        <v>1843</v>
      </c>
      <c r="F8596">
        <v>2</v>
      </c>
      <c r="G8596">
        <v>2</v>
      </c>
      <c r="H8596">
        <v>1</v>
      </c>
      <c r="I8596">
        <v>0</v>
      </c>
      <c r="J8596">
        <v>0.99622641509433996</v>
      </c>
      <c r="K8596">
        <v>1</v>
      </c>
      <c r="L8596">
        <v>0.99810964083175802</v>
      </c>
      <c r="M8596">
        <v>0.99622641509433996</v>
      </c>
      <c r="N8596">
        <v>0.99622641509433996</v>
      </c>
      <c r="O8596">
        <v>0.99622641509433996</v>
      </c>
      <c r="P8596" t="s">
        <v>433</v>
      </c>
      <c r="Q8596" t="s">
        <v>434</v>
      </c>
      <c r="R8596" t="s">
        <v>235</v>
      </c>
      <c r="S8596" t="s">
        <v>236</v>
      </c>
      <c r="V8596" t="s">
        <v>437</v>
      </c>
      <c r="W8596" t="s">
        <v>438</v>
      </c>
      <c r="AF8596" t="s">
        <v>17372</v>
      </c>
    </row>
    <row r="8597" spans="1:32" hidden="1" x14ac:dyDescent="0.35">
      <c r="A8597">
        <v>8596</v>
      </c>
      <c r="B8597" t="s">
        <v>17371</v>
      </c>
      <c r="C8597" t="s">
        <v>277</v>
      </c>
      <c r="D8597" t="s">
        <v>45</v>
      </c>
      <c r="E8597">
        <v>1030</v>
      </c>
      <c r="F8597">
        <v>2</v>
      </c>
      <c r="G8597">
        <v>2</v>
      </c>
      <c r="H8597">
        <v>1</v>
      </c>
      <c r="I8597">
        <v>0</v>
      </c>
      <c r="J8597">
        <v>0.99622641509433996</v>
      </c>
      <c r="K8597">
        <v>1</v>
      </c>
      <c r="L8597">
        <v>0.99810964083175802</v>
      </c>
      <c r="M8597">
        <v>0.99622641509433996</v>
      </c>
      <c r="N8597">
        <v>0.99622641509433996</v>
      </c>
      <c r="O8597">
        <v>0.99622641509433996</v>
      </c>
      <c r="P8597" t="s">
        <v>433</v>
      </c>
      <c r="Q8597" t="s">
        <v>434</v>
      </c>
      <c r="R8597" t="s">
        <v>235</v>
      </c>
      <c r="S8597" t="s">
        <v>236</v>
      </c>
      <c r="V8597" t="s">
        <v>437</v>
      </c>
      <c r="W8597" t="s">
        <v>438</v>
      </c>
      <c r="AF8597" t="s">
        <v>17373</v>
      </c>
    </row>
    <row r="8598" spans="1:32" hidden="1" x14ac:dyDescent="0.35">
      <c r="A8598">
        <v>8597</v>
      </c>
      <c r="B8598" t="s">
        <v>17374</v>
      </c>
      <c r="C8598" t="s">
        <v>277</v>
      </c>
      <c r="D8598" t="s">
        <v>34</v>
      </c>
      <c r="E8598">
        <v>436</v>
      </c>
      <c r="F8598">
        <v>2</v>
      </c>
      <c r="G8598">
        <v>2</v>
      </c>
      <c r="H8598">
        <v>1</v>
      </c>
      <c r="I8598">
        <v>0</v>
      </c>
      <c r="J8598">
        <v>0.981012658227848</v>
      </c>
      <c r="K8598">
        <v>0.87651023010139095</v>
      </c>
      <c r="L8598">
        <v>0.92582184176377202</v>
      </c>
      <c r="M8598">
        <v>0.85164835164835195</v>
      </c>
      <c r="N8598">
        <v>0.85164835164835195</v>
      </c>
      <c r="O8598">
        <v>0.85164835164835195</v>
      </c>
      <c r="P8598" t="s">
        <v>2163</v>
      </c>
      <c r="Q8598" t="s">
        <v>2164</v>
      </c>
      <c r="R8598" t="s">
        <v>113</v>
      </c>
      <c r="S8598" t="s">
        <v>114</v>
      </c>
      <c r="V8598" t="s">
        <v>2167</v>
      </c>
      <c r="W8598" t="s">
        <v>2168</v>
      </c>
      <c r="AF8598" t="s">
        <v>17375</v>
      </c>
    </row>
    <row r="8599" spans="1:32" hidden="1" x14ac:dyDescent="0.35">
      <c r="A8599">
        <v>8598</v>
      </c>
      <c r="B8599" t="s">
        <v>17374</v>
      </c>
      <c r="C8599" t="s">
        <v>277</v>
      </c>
      <c r="D8599" t="s">
        <v>45</v>
      </c>
      <c r="E8599">
        <v>1698</v>
      </c>
      <c r="F8599">
        <v>2</v>
      </c>
      <c r="G8599">
        <v>2</v>
      </c>
      <c r="H8599">
        <v>1</v>
      </c>
      <c r="I8599">
        <v>0</v>
      </c>
      <c r="J8599">
        <v>0.981012658227848</v>
      </c>
      <c r="K8599">
        <v>0.87651023010139095</v>
      </c>
      <c r="L8599">
        <v>0.92582184176377202</v>
      </c>
      <c r="M8599">
        <v>0.85164835164835195</v>
      </c>
      <c r="N8599">
        <v>0.85164835164835195</v>
      </c>
      <c r="O8599">
        <v>0.85164835164835195</v>
      </c>
      <c r="AF8599" t="e">
        <f>------------------------MLEISQEAGMAVGGVYTFYRSKLALFQAVYFLENADSKRKIAAMVDWSQPKEALSAYVQANVAAIRDNKILAEWYSKSPGDALRKQYMDQHGSGCVLGEFFTEKIAAWRESGELRPEITDHMIEELFLLFTIVDASGDISQDTMQLCIDATLENLFDV</f>
        <v>#NAME?</v>
      </c>
    </row>
    <row r="8600" spans="1:32" hidden="1" x14ac:dyDescent="0.35">
      <c r="A8600">
        <v>8599</v>
      </c>
      <c r="B8600" t="s">
        <v>17376</v>
      </c>
      <c r="C8600" t="s">
        <v>277</v>
      </c>
      <c r="D8600" t="s">
        <v>34</v>
      </c>
      <c r="E8600">
        <v>1271</v>
      </c>
      <c r="F8600">
        <v>2</v>
      </c>
      <c r="G8600">
        <v>2</v>
      </c>
      <c r="H8600">
        <v>1</v>
      </c>
      <c r="I8600">
        <v>0</v>
      </c>
      <c r="J8600">
        <v>0.994871794871795</v>
      </c>
      <c r="K8600">
        <v>0.98127501429388397</v>
      </c>
      <c r="L8600">
        <v>0.98802662859402501</v>
      </c>
      <c r="M8600">
        <v>0.97358490566037703</v>
      </c>
      <c r="N8600">
        <v>0.97358490566037703</v>
      </c>
      <c r="O8600">
        <v>0.97358490566037703</v>
      </c>
      <c r="P8600" t="s">
        <v>13876</v>
      </c>
      <c r="Q8600" t="s">
        <v>13877</v>
      </c>
      <c r="R8600" t="s">
        <v>75</v>
      </c>
      <c r="S8600" t="s">
        <v>76</v>
      </c>
      <c r="T8600" t="s">
        <v>13878</v>
      </c>
      <c r="U8600" t="s">
        <v>13879</v>
      </c>
      <c r="V8600" t="s">
        <v>13880</v>
      </c>
      <c r="W8600" t="s">
        <v>13881</v>
      </c>
      <c r="AD8600" t="s">
        <v>219</v>
      </c>
      <c r="AE8600" t="s">
        <v>13882</v>
      </c>
      <c r="AF8600" t="s">
        <v>17377</v>
      </c>
    </row>
    <row r="8601" spans="1:32" hidden="1" x14ac:dyDescent="0.35">
      <c r="A8601">
        <v>8600</v>
      </c>
      <c r="B8601" t="s">
        <v>17376</v>
      </c>
      <c r="C8601" t="s">
        <v>277</v>
      </c>
      <c r="D8601" t="s">
        <v>45</v>
      </c>
      <c r="E8601">
        <v>22</v>
      </c>
      <c r="F8601">
        <v>2</v>
      </c>
      <c r="G8601">
        <v>2</v>
      </c>
      <c r="H8601">
        <v>1</v>
      </c>
      <c r="I8601">
        <v>0</v>
      </c>
      <c r="J8601">
        <v>0.994871794871795</v>
      </c>
      <c r="K8601">
        <v>0.98127501429388397</v>
      </c>
      <c r="L8601">
        <v>0.98802662859402501</v>
      </c>
      <c r="M8601">
        <v>0.97358490566037703</v>
      </c>
      <c r="N8601">
        <v>0.97358490566037703</v>
      </c>
      <c r="O8601">
        <v>0.97358490566037703</v>
      </c>
      <c r="P8601" t="s">
        <v>13876</v>
      </c>
      <c r="Q8601" t="s">
        <v>13877</v>
      </c>
      <c r="R8601" t="s">
        <v>75</v>
      </c>
      <c r="S8601" t="s">
        <v>76</v>
      </c>
      <c r="T8601" t="s">
        <v>13878</v>
      </c>
      <c r="U8601" t="s">
        <v>13879</v>
      </c>
      <c r="V8601" t="s">
        <v>13880</v>
      </c>
      <c r="W8601" t="s">
        <v>13881</v>
      </c>
      <c r="AD8601" t="s">
        <v>219</v>
      </c>
      <c r="AE8601" t="s">
        <v>13882</v>
      </c>
      <c r="AF8601" t="s">
        <v>17378</v>
      </c>
    </row>
    <row r="8602" spans="1:32" hidden="1" x14ac:dyDescent="0.35">
      <c r="A8602">
        <v>8601</v>
      </c>
      <c r="B8602" t="s">
        <v>17379</v>
      </c>
      <c r="C8602" t="s">
        <v>277</v>
      </c>
      <c r="D8602" t="s">
        <v>34</v>
      </c>
      <c r="E8602">
        <v>770</v>
      </c>
      <c r="F8602">
        <v>2</v>
      </c>
      <c r="G8602">
        <v>2</v>
      </c>
      <c r="H8602">
        <v>1</v>
      </c>
      <c r="I8602">
        <v>0</v>
      </c>
      <c r="J8602">
        <v>0.99206349206349198</v>
      </c>
      <c r="K8602">
        <v>1</v>
      </c>
      <c r="L8602">
        <v>0.99601593625497997</v>
      </c>
      <c r="M8602">
        <v>0.98571428571428599</v>
      </c>
      <c r="N8602">
        <v>0.98571428571428599</v>
      </c>
      <c r="O8602">
        <v>0.98571428571428599</v>
      </c>
      <c r="P8602" t="s">
        <v>15919</v>
      </c>
      <c r="Q8602" t="s">
        <v>15920</v>
      </c>
      <c r="AF8602" t="s">
        <v>17380</v>
      </c>
    </row>
    <row r="8603" spans="1:32" hidden="1" x14ac:dyDescent="0.35">
      <c r="A8603">
        <v>8602</v>
      </c>
      <c r="B8603" t="s">
        <v>17379</v>
      </c>
      <c r="C8603" t="s">
        <v>277</v>
      </c>
      <c r="D8603" t="s">
        <v>45</v>
      </c>
      <c r="E8603">
        <v>2036</v>
      </c>
      <c r="F8603">
        <v>2</v>
      </c>
      <c r="G8603">
        <v>2</v>
      </c>
      <c r="H8603">
        <v>1</v>
      </c>
      <c r="I8603">
        <v>0</v>
      </c>
      <c r="J8603">
        <v>0.99206349206349198</v>
      </c>
      <c r="K8603">
        <v>1</v>
      </c>
      <c r="L8603">
        <v>0.99601593625497997</v>
      </c>
      <c r="M8603">
        <v>0.98571428571428599</v>
      </c>
      <c r="N8603">
        <v>0.98571428571428599</v>
      </c>
      <c r="O8603">
        <v>0.98571428571428599</v>
      </c>
      <c r="P8603" t="s">
        <v>15919</v>
      </c>
      <c r="Q8603" t="s">
        <v>15920</v>
      </c>
      <c r="AF8603" t="s">
        <v>17381</v>
      </c>
    </row>
    <row r="8604" spans="1:32" hidden="1" x14ac:dyDescent="0.35">
      <c r="A8604">
        <v>8603</v>
      </c>
      <c r="B8604" t="s">
        <v>17382</v>
      </c>
      <c r="C8604" t="s">
        <v>277</v>
      </c>
      <c r="D8604" t="s">
        <v>34</v>
      </c>
      <c r="E8604">
        <v>814</v>
      </c>
      <c r="F8604">
        <v>2</v>
      </c>
      <c r="G8604">
        <v>2</v>
      </c>
      <c r="H8604">
        <v>1</v>
      </c>
      <c r="I8604">
        <v>0</v>
      </c>
      <c r="J8604">
        <v>0.98791540785498499</v>
      </c>
      <c r="K8604">
        <v>0.97377234079472397</v>
      </c>
      <c r="L8604">
        <v>0.98079289109727197</v>
      </c>
      <c r="M8604">
        <v>0.95588235294117696</v>
      </c>
      <c r="N8604">
        <v>0.95588235294117696</v>
      </c>
      <c r="O8604">
        <v>0.95588235294117696</v>
      </c>
      <c r="P8604" t="s">
        <v>13495</v>
      </c>
      <c r="Q8604" t="s">
        <v>2878</v>
      </c>
      <c r="R8604" t="s">
        <v>113</v>
      </c>
      <c r="S8604" t="s">
        <v>114</v>
      </c>
      <c r="V8604" t="s">
        <v>13496</v>
      </c>
      <c r="W8604" t="s">
        <v>13497</v>
      </c>
      <c r="AF8604" t="s">
        <v>17383</v>
      </c>
    </row>
    <row r="8605" spans="1:32" hidden="1" x14ac:dyDescent="0.35">
      <c r="A8605">
        <v>8604</v>
      </c>
      <c r="B8605" t="s">
        <v>17382</v>
      </c>
      <c r="C8605" t="s">
        <v>277</v>
      </c>
      <c r="D8605" t="s">
        <v>45</v>
      </c>
      <c r="E8605">
        <v>2071</v>
      </c>
      <c r="F8605">
        <v>2</v>
      </c>
      <c r="G8605">
        <v>2</v>
      </c>
      <c r="H8605">
        <v>1</v>
      </c>
      <c r="I8605">
        <v>0</v>
      </c>
      <c r="J8605">
        <v>0.98791540785498499</v>
      </c>
      <c r="K8605">
        <v>0.97377234079472397</v>
      </c>
      <c r="L8605">
        <v>0.98079289109727197</v>
      </c>
      <c r="M8605">
        <v>0.95588235294117696</v>
      </c>
      <c r="N8605">
        <v>0.95588235294117696</v>
      </c>
      <c r="O8605">
        <v>0.95588235294117696</v>
      </c>
      <c r="P8605" t="s">
        <v>13495</v>
      </c>
      <c r="Q8605" t="s">
        <v>2878</v>
      </c>
      <c r="R8605" t="s">
        <v>113</v>
      </c>
      <c r="S8605" t="s">
        <v>114</v>
      </c>
      <c r="V8605" t="s">
        <v>13496</v>
      </c>
      <c r="W8605" t="s">
        <v>13497</v>
      </c>
      <c r="AF8605" t="s">
        <v>17384</v>
      </c>
    </row>
    <row r="8606" spans="1:32" hidden="1" x14ac:dyDescent="0.35">
      <c r="A8606">
        <v>8605</v>
      </c>
      <c r="B8606" t="s">
        <v>17385</v>
      </c>
      <c r="C8606" t="s">
        <v>277</v>
      </c>
      <c r="D8606" t="s">
        <v>60</v>
      </c>
      <c r="E8606">
        <v>2110</v>
      </c>
      <c r="F8606">
        <v>2</v>
      </c>
      <c r="G8606">
        <v>2</v>
      </c>
      <c r="H8606">
        <v>1</v>
      </c>
      <c r="I8606">
        <v>0</v>
      </c>
      <c r="J8606">
        <v>0.99170124481327804</v>
      </c>
      <c r="K8606">
        <v>1</v>
      </c>
      <c r="L8606">
        <v>0.99583333333333302</v>
      </c>
      <c r="M8606">
        <v>0.99170124481327804</v>
      </c>
      <c r="N8606">
        <v>0.99170124481327804</v>
      </c>
      <c r="O8606">
        <v>0.99170124481327804</v>
      </c>
      <c r="P8606" t="s">
        <v>10293</v>
      </c>
      <c r="Q8606" t="s">
        <v>10294</v>
      </c>
      <c r="R8606" t="s">
        <v>113</v>
      </c>
      <c r="S8606" t="s">
        <v>114</v>
      </c>
      <c r="T8606" t="s">
        <v>17386</v>
      </c>
      <c r="U8606" t="s">
        <v>17387</v>
      </c>
      <c r="V8606" t="s">
        <v>10295</v>
      </c>
      <c r="W8606" t="s">
        <v>10296</v>
      </c>
      <c r="AD8606" t="s">
        <v>312</v>
      </c>
      <c r="AE8606" t="s">
        <v>11064</v>
      </c>
      <c r="AF8606" t="s">
        <v>17388</v>
      </c>
    </row>
    <row r="8607" spans="1:32" hidden="1" x14ac:dyDescent="0.35">
      <c r="A8607">
        <v>8606</v>
      </c>
      <c r="B8607" t="s">
        <v>17385</v>
      </c>
      <c r="C8607" t="s">
        <v>277</v>
      </c>
      <c r="D8607" t="s">
        <v>62</v>
      </c>
      <c r="E8607">
        <v>2145</v>
      </c>
      <c r="F8607">
        <v>2</v>
      </c>
      <c r="G8607">
        <v>2</v>
      </c>
      <c r="H8607">
        <v>1</v>
      </c>
      <c r="I8607">
        <v>0</v>
      </c>
      <c r="J8607">
        <v>0.99170124481327804</v>
      </c>
      <c r="K8607">
        <v>1</v>
      </c>
      <c r="L8607">
        <v>0.99583333333333302</v>
      </c>
      <c r="M8607">
        <v>0.99170124481327804</v>
      </c>
      <c r="N8607">
        <v>0.99170124481327804</v>
      </c>
      <c r="O8607">
        <v>0.99170124481327804</v>
      </c>
      <c r="P8607" t="s">
        <v>10293</v>
      </c>
      <c r="Q8607" t="s">
        <v>10294</v>
      </c>
      <c r="R8607" t="s">
        <v>113</v>
      </c>
      <c r="S8607" t="s">
        <v>114</v>
      </c>
      <c r="T8607" t="s">
        <v>17386</v>
      </c>
      <c r="U8607" t="s">
        <v>17387</v>
      </c>
      <c r="V8607" t="s">
        <v>10295</v>
      </c>
      <c r="W8607" t="s">
        <v>10296</v>
      </c>
      <c r="AD8607" t="s">
        <v>312</v>
      </c>
      <c r="AE8607" t="s">
        <v>11064</v>
      </c>
      <c r="AF8607" t="s">
        <v>17389</v>
      </c>
    </row>
    <row r="8608" spans="1:32" hidden="1" x14ac:dyDescent="0.35">
      <c r="A8608">
        <v>8607</v>
      </c>
      <c r="B8608" t="s">
        <v>17390</v>
      </c>
      <c r="C8608" t="s">
        <v>277</v>
      </c>
      <c r="D8608" t="s">
        <v>34</v>
      </c>
      <c r="E8608">
        <v>371</v>
      </c>
      <c r="F8608">
        <v>2</v>
      </c>
      <c r="G8608">
        <v>2</v>
      </c>
      <c r="H8608">
        <v>1</v>
      </c>
      <c r="I8608">
        <v>0</v>
      </c>
      <c r="J8608">
        <v>0.98525073746312697</v>
      </c>
      <c r="K8608">
        <v>1</v>
      </c>
      <c r="L8608">
        <v>0.99257057949479899</v>
      </c>
      <c r="M8608">
        <v>0.98525073746312697</v>
      </c>
      <c r="N8608">
        <v>0.98525073746312697</v>
      </c>
      <c r="O8608">
        <v>0.98525073746312697</v>
      </c>
      <c r="P8608" t="s">
        <v>13119</v>
      </c>
      <c r="Q8608" t="s">
        <v>13120</v>
      </c>
      <c r="R8608" t="s">
        <v>1191</v>
      </c>
      <c r="S8608" t="s">
        <v>1192</v>
      </c>
      <c r="V8608" t="s">
        <v>13123</v>
      </c>
      <c r="W8608" t="s">
        <v>13124</v>
      </c>
      <c r="AF8608" t="s">
        <v>17391</v>
      </c>
    </row>
    <row r="8609" spans="1:32" hidden="1" x14ac:dyDescent="0.35">
      <c r="A8609">
        <v>8608</v>
      </c>
      <c r="B8609" t="s">
        <v>17390</v>
      </c>
      <c r="C8609" t="s">
        <v>277</v>
      </c>
      <c r="D8609" t="s">
        <v>45</v>
      </c>
      <c r="E8609">
        <v>1633</v>
      </c>
      <c r="F8609">
        <v>2</v>
      </c>
      <c r="G8609">
        <v>2</v>
      </c>
      <c r="H8609">
        <v>1</v>
      </c>
      <c r="I8609">
        <v>0</v>
      </c>
      <c r="J8609">
        <v>0.98525073746312697</v>
      </c>
      <c r="K8609">
        <v>1</v>
      </c>
      <c r="L8609">
        <v>0.99257057949479899</v>
      </c>
      <c r="M8609">
        <v>0.98525073746312697</v>
      </c>
      <c r="N8609">
        <v>0.98525073746312697</v>
      </c>
      <c r="O8609">
        <v>0.98525073746312697</v>
      </c>
      <c r="P8609" t="s">
        <v>13119</v>
      </c>
      <c r="Q8609" t="s">
        <v>13120</v>
      </c>
      <c r="R8609" t="s">
        <v>1191</v>
      </c>
      <c r="S8609" t="s">
        <v>1192</v>
      </c>
      <c r="V8609" t="s">
        <v>13123</v>
      </c>
      <c r="W8609" t="s">
        <v>13124</v>
      </c>
      <c r="AF8609" t="s">
        <v>17392</v>
      </c>
    </row>
    <row r="8610" spans="1:32" hidden="1" x14ac:dyDescent="0.35">
      <c r="A8610">
        <v>8609</v>
      </c>
      <c r="B8610" t="s">
        <v>17393</v>
      </c>
      <c r="C8610" t="s">
        <v>277</v>
      </c>
      <c r="D8610" t="s">
        <v>34</v>
      </c>
      <c r="E8610">
        <v>765</v>
      </c>
      <c r="F8610">
        <v>2</v>
      </c>
      <c r="G8610">
        <v>2</v>
      </c>
      <c r="H8610">
        <v>1</v>
      </c>
      <c r="I8610">
        <v>0</v>
      </c>
      <c r="J8610">
        <v>0.98654708520179402</v>
      </c>
      <c r="K8610">
        <v>1</v>
      </c>
      <c r="L8610">
        <v>0.99322799097065495</v>
      </c>
      <c r="M8610">
        <v>0.98654708520179402</v>
      </c>
      <c r="N8610">
        <v>0.98654708520179402</v>
      </c>
      <c r="O8610">
        <v>0.98654708520179402</v>
      </c>
      <c r="P8610" t="s">
        <v>2574</v>
      </c>
      <c r="Q8610" t="s">
        <v>2575</v>
      </c>
      <c r="R8610" t="s">
        <v>1498</v>
      </c>
      <c r="S8610" t="s">
        <v>1499</v>
      </c>
      <c r="V8610" t="s">
        <v>1500</v>
      </c>
      <c r="W8610" t="s">
        <v>1501</v>
      </c>
      <c r="AF8610" t="s">
        <v>17394</v>
      </c>
    </row>
    <row r="8611" spans="1:32" hidden="1" x14ac:dyDescent="0.35">
      <c r="A8611">
        <v>8610</v>
      </c>
      <c r="B8611" t="s">
        <v>17393</v>
      </c>
      <c r="C8611" t="s">
        <v>277</v>
      </c>
      <c r="D8611" t="s">
        <v>45</v>
      </c>
      <c r="E8611">
        <v>2031</v>
      </c>
      <c r="F8611">
        <v>2</v>
      </c>
      <c r="G8611">
        <v>2</v>
      </c>
      <c r="H8611">
        <v>1</v>
      </c>
      <c r="I8611">
        <v>0</v>
      </c>
      <c r="J8611">
        <v>0.98654708520179402</v>
      </c>
      <c r="K8611">
        <v>1</v>
      </c>
      <c r="L8611">
        <v>0.99322799097065495</v>
      </c>
      <c r="M8611">
        <v>0.98654708520179402</v>
      </c>
      <c r="N8611">
        <v>0.98654708520179402</v>
      </c>
      <c r="O8611">
        <v>0.98654708520179402</v>
      </c>
      <c r="P8611" t="s">
        <v>2574</v>
      </c>
      <c r="Q8611" t="s">
        <v>2575</v>
      </c>
      <c r="R8611" t="s">
        <v>1498</v>
      </c>
      <c r="S8611" t="s">
        <v>1499</v>
      </c>
      <c r="V8611" t="s">
        <v>1500</v>
      </c>
      <c r="W8611" t="s">
        <v>1501</v>
      </c>
      <c r="AF8611" t="s">
        <v>17395</v>
      </c>
    </row>
    <row r="8612" spans="1:32" hidden="1" x14ac:dyDescent="0.35">
      <c r="A8612">
        <v>8611</v>
      </c>
      <c r="B8612" t="s">
        <v>17396</v>
      </c>
      <c r="C8612" t="s">
        <v>277</v>
      </c>
      <c r="D8612" t="s">
        <v>34</v>
      </c>
      <c r="E8612">
        <v>2481</v>
      </c>
      <c r="F8612">
        <v>2</v>
      </c>
      <c r="G8612">
        <v>2</v>
      </c>
      <c r="H8612">
        <v>1</v>
      </c>
      <c r="I8612">
        <v>0</v>
      </c>
      <c r="J8612">
        <v>0.97572122250785498</v>
      </c>
      <c r="K8612">
        <v>1</v>
      </c>
      <c r="L8612">
        <v>0.98771143559346497</v>
      </c>
      <c r="M8612">
        <v>0.96829477292202204</v>
      </c>
      <c r="N8612">
        <v>0.96829477292202204</v>
      </c>
      <c r="O8612">
        <v>0.96829477292202204</v>
      </c>
      <c r="P8612" t="s">
        <v>17397</v>
      </c>
      <c r="Q8612" t="s">
        <v>17398</v>
      </c>
      <c r="R8612" t="s">
        <v>5180</v>
      </c>
      <c r="S8612" t="s">
        <v>5181</v>
      </c>
      <c r="T8612" t="s">
        <v>17399</v>
      </c>
      <c r="U8612" t="s">
        <v>17400</v>
      </c>
      <c r="V8612" t="s">
        <v>10445</v>
      </c>
      <c r="W8612" t="s">
        <v>10446</v>
      </c>
      <c r="AD8612" t="s">
        <v>125</v>
      </c>
      <c r="AE8612" t="s">
        <v>17401</v>
      </c>
      <c r="AF8612" t="s">
        <v>17402</v>
      </c>
    </row>
    <row r="8613" spans="1:32" hidden="1" x14ac:dyDescent="0.35">
      <c r="A8613">
        <v>8612</v>
      </c>
      <c r="B8613" t="s">
        <v>17396</v>
      </c>
      <c r="C8613" t="s">
        <v>277</v>
      </c>
      <c r="D8613" t="s">
        <v>45</v>
      </c>
      <c r="E8613">
        <v>419</v>
      </c>
      <c r="F8613">
        <v>2</v>
      </c>
      <c r="G8613">
        <v>2</v>
      </c>
      <c r="H8613">
        <v>1</v>
      </c>
      <c r="I8613">
        <v>0</v>
      </c>
      <c r="J8613">
        <v>0.97572122250785498</v>
      </c>
      <c r="K8613">
        <v>1</v>
      </c>
      <c r="L8613">
        <v>0.98771143559346497</v>
      </c>
      <c r="M8613">
        <v>0.96829477292202204</v>
      </c>
      <c r="N8613">
        <v>0.96829477292202204</v>
      </c>
      <c r="O8613">
        <v>0.96829477292202204</v>
      </c>
      <c r="P8613" t="s">
        <v>17397</v>
      </c>
      <c r="Q8613" t="s">
        <v>17398</v>
      </c>
      <c r="R8613" t="s">
        <v>5180</v>
      </c>
      <c r="S8613" t="s">
        <v>5181</v>
      </c>
      <c r="T8613" t="s">
        <v>17399</v>
      </c>
      <c r="U8613" t="s">
        <v>17400</v>
      </c>
      <c r="V8613" t="s">
        <v>10445</v>
      </c>
      <c r="W8613" t="s">
        <v>10446</v>
      </c>
      <c r="AD8613" t="s">
        <v>125</v>
      </c>
      <c r="AE8613" t="s">
        <v>17401</v>
      </c>
      <c r="AF8613" t="s">
        <v>17403</v>
      </c>
    </row>
    <row r="8614" spans="1:32" hidden="1" x14ac:dyDescent="0.35">
      <c r="A8614">
        <v>8613</v>
      </c>
      <c r="B8614" t="s">
        <v>17404</v>
      </c>
      <c r="C8614" t="s">
        <v>277</v>
      </c>
      <c r="D8614" t="s">
        <v>60</v>
      </c>
      <c r="E8614">
        <v>1362</v>
      </c>
      <c r="F8614">
        <v>2</v>
      </c>
      <c r="G8614">
        <v>2</v>
      </c>
      <c r="H8614">
        <v>1</v>
      </c>
      <c r="I8614">
        <v>0</v>
      </c>
      <c r="J8614">
        <v>0.89784946236559104</v>
      </c>
      <c r="K8614">
        <v>1</v>
      </c>
      <c r="L8614">
        <v>0.94617563739376798</v>
      </c>
      <c r="M8614">
        <v>0.87096774193548399</v>
      </c>
      <c r="N8614">
        <v>0.87096774193548399</v>
      </c>
      <c r="O8614">
        <v>0.87096774193548399</v>
      </c>
      <c r="AF8614" t="s">
        <v>17405</v>
      </c>
    </row>
    <row r="8615" spans="1:32" hidden="1" x14ac:dyDescent="0.35">
      <c r="A8615">
        <v>8614</v>
      </c>
      <c r="B8615" t="s">
        <v>17404</v>
      </c>
      <c r="C8615" t="s">
        <v>277</v>
      </c>
      <c r="D8615" t="s">
        <v>62</v>
      </c>
      <c r="E8615">
        <v>1398</v>
      </c>
      <c r="F8615">
        <v>2</v>
      </c>
      <c r="G8615">
        <v>2</v>
      </c>
      <c r="H8615">
        <v>1</v>
      </c>
      <c r="I8615">
        <v>0</v>
      </c>
      <c r="J8615">
        <v>0.89784946236559104</v>
      </c>
      <c r="K8615">
        <v>1</v>
      </c>
      <c r="L8615">
        <v>0.94617563739376798</v>
      </c>
      <c r="M8615">
        <v>0.87096774193548399</v>
      </c>
      <c r="N8615">
        <v>0.87096774193548399</v>
      </c>
      <c r="O8615">
        <v>0.87096774193548399</v>
      </c>
      <c r="AF8615" t="s">
        <v>17406</v>
      </c>
    </row>
    <row r="8616" spans="1:32" hidden="1" x14ac:dyDescent="0.35">
      <c r="A8616">
        <v>8615</v>
      </c>
      <c r="B8616" t="s">
        <v>17407</v>
      </c>
      <c r="C8616" t="s">
        <v>277</v>
      </c>
      <c r="D8616" t="s">
        <v>34</v>
      </c>
      <c r="E8616">
        <v>1598</v>
      </c>
      <c r="F8616">
        <v>2</v>
      </c>
      <c r="G8616">
        <v>2</v>
      </c>
      <c r="H8616">
        <v>1</v>
      </c>
      <c r="I8616">
        <v>0</v>
      </c>
      <c r="J8616">
        <v>0.99656357388316197</v>
      </c>
      <c r="K8616">
        <v>1</v>
      </c>
      <c r="L8616">
        <v>0.99827882960413095</v>
      </c>
      <c r="M8616">
        <v>0.98969072164948502</v>
      </c>
      <c r="N8616">
        <v>0.98969072164948502</v>
      </c>
      <c r="O8616">
        <v>0.98969072164948502</v>
      </c>
      <c r="P8616" t="s">
        <v>4783</v>
      </c>
      <c r="Q8616" t="s">
        <v>4784</v>
      </c>
      <c r="T8616" t="s">
        <v>4785</v>
      </c>
      <c r="U8616" t="s">
        <v>4786</v>
      </c>
      <c r="AD8616" t="s">
        <v>4789</v>
      </c>
      <c r="AE8616" t="s">
        <v>4790</v>
      </c>
      <c r="AF8616" t="s">
        <v>17408</v>
      </c>
    </row>
    <row r="8617" spans="1:32" hidden="1" x14ac:dyDescent="0.35">
      <c r="A8617">
        <v>8616</v>
      </c>
      <c r="B8617" t="s">
        <v>17407</v>
      </c>
      <c r="C8617" t="s">
        <v>277</v>
      </c>
      <c r="D8617" t="s">
        <v>45</v>
      </c>
      <c r="E8617">
        <v>348</v>
      </c>
      <c r="F8617">
        <v>2</v>
      </c>
      <c r="G8617">
        <v>2</v>
      </c>
      <c r="H8617">
        <v>1</v>
      </c>
      <c r="I8617">
        <v>0</v>
      </c>
      <c r="J8617">
        <v>0.99656357388316197</v>
      </c>
      <c r="K8617">
        <v>1</v>
      </c>
      <c r="L8617">
        <v>0.99827882960413095</v>
      </c>
      <c r="M8617">
        <v>0.98969072164948502</v>
      </c>
      <c r="N8617">
        <v>0.98969072164948502</v>
      </c>
      <c r="O8617">
        <v>0.98969072164948502</v>
      </c>
      <c r="P8617" t="s">
        <v>4783</v>
      </c>
      <c r="Q8617" t="s">
        <v>4784</v>
      </c>
      <c r="T8617" t="s">
        <v>4785</v>
      </c>
      <c r="U8617" t="s">
        <v>4786</v>
      </c>
      <c r="AD8617" t="s">
        <v>4789</v>
      </c>
      <c r="AE8617" t="s">
        <v>4790</v>
      </c>
      <c r="AF8617" t="s">
        <v>17409</v>
      </c>
    </row>
    <row r="8618" spans="1:32" hidden="1" x14ac:dyDescent="0.35">
      <c r="A8618">
        <v>8617</v>
      </c>
      <c r="B8618" t="s">
        <v>17410</v>
      </c>
      <c r="C8618" t="s">
        <v>277</v>
      </c>
      <c r="D8618" t="s">
        <v>60</v>
      </c>
      <c r="E8618">
        <v>2100</v>
      </c>
      <c r="F8618">
        <v>2</v>
      </c>
      <c r="G8618">
        <v>2</v>
      </c>
      <c r="H8618">
        <v>1</v>
      </c>
      <c r="I8618">
        <v>0</v>
      </c>
      <c r="J8618">
        <v>0.99581589958159</v>
      </c>
      <c r="K8618">
        <v>1</v>
      </c>
      <c r="L8618">
        <v>0.99790356394129998</v>
      </c>
      <c r="M8618">
        <v>0.99581589958159</v>
      </c>
      <c r="N8618">
        <v>0.99581589958159</v>
      </c>
      <c r="O8618">
        <v>0.99581589958159</v>
      </c>
      <c r="AF8618" t="s">
        <v>17411</v>
      </c>
    </row>
    <row r="8619" spans="1:32" hidden="1" x14ac:dyDescent="0.35">
      <c r="A8619">
        <v>8618</v>
      </c>
      <c r="B8619" t="s">
        <v>17410</v>
      </c>
      <c r="C8619" t="s">
        <v>277</v>
      </c>
      <c r="D8619" t="s">
        <v>62</v>
      </c>
      <c r="E8619">
        <v>2135</v>
      </c>
      <c r="F8619">
        <v>2</v>
      </c>
      <c r="G8619">
        <v>2</v>
      </c>
      <c r="H8619">
        <v>1</v>
      </c>
      <c r="I8619">
        <v>0</v>
      </c>
      <c r="J8619">
        <v>0.99581589958159</v>
      </c>
      <c r="K8619">
        <v>1</v>
      </c>
      <c r="L8619">
        <v>0.99790356394129998</v>
      </c>
      <c r="M8619">
        <v>0.99581589958159</v>
      </c>
      <c r="N8619">
        <v>0.99581589958159</v>
      </c>
      <c r="O8619">
        <v>0.99581589958159</v>
      </c>
      <c r="AF8619" t="s">
        <v>17412</v>
      </c>
    </row>
    <row r="8620" spans="1:32" hidden="1" x14ac:dyDescent="0.35">
      <c r="A8620">
        <v>8619</v>
      </c>
      <c r="B8620" t="s">
        <v>17413</v>
      </c>
      <c r="C8620" t="s">
        <v>277</v>
      </c>
      <c r="D8620" t="s">
        <v>60</v>
      </c>
      <c r="E8620">
        <v>2446</v>
      </c>
      <c r="F8620">
        <v>2</v>
      </c>
      <c r="G8620">
        <v>2</v>
      </c>
      <c r="H8620">
        <v>1</v>
      </c>
      <c r="I8620">
        <v>0</v>
      </c>
      <c r="J8620">
        <v>0.98095238095238102</v>
      </c>
      <c r="K8620">
        <v>1</v>
      </c>
      <c r="L8620">
        <v>0.99038461538461497</v>
      </c>
      <c r="M8620">
        <v>0.97142857142857097</v>
      </c>
      <c r="N8620">
        <v>0.97142857142857097</v>
      </c>
      <c r="O8620">
        <v>0.97142857142857097</v>
      </c>
      <c r="AF8620" t="s">
        <v>17414</v>
      </c>
    </row>
    <row r="8621" spans="1:32" hidden="1" x14ac:dyDescent="0.35">
      <c r="A8621">
        <v>8620</v>
      </c>
      <c r="B8621" t="s">
        <v>17413</v>
      </c>
      <c r="C8621" t="s">
        <v>277</v>
      </c>
      <c r="D8621" t="s">
        <v>62</v>
      </c>
      <c r="E8621">
        <v>2472</v>
      </c>
      <c r="F8621">
        <v>2</v>
      </c>
      <c r="G8621">
        <v>2</v>
      </c>
      <c r="H8621">
        <v>1</v>
      </c>
      <c r="I8621">
        <v>0</v>
      </c>
      <c r="J8621">
        <v>0.98095238095238102</v>
      </c>
      <c r="K8621">
        <v>1</v>
      </c>
      <c r="L8621">
        <v>0.99038461538461497</v>
      </c>
      <c r="M8621">
        <v>0.97142857142857097</v>
      </c>
      <c r="N8621">
        <v>0.97142857142857097</v>
      </c>
      <c r="O8621">
        <v>0.97142857142857097</v>
      </c>
      <c r="AF8621" t="s">
        <v>17415</v>
      </c>
    </row>
    <row r="8622" spans="1:32" hidden="1" x14ac:dyDescent="0.35">
      <c r="A8622">
        <v>8621</v>
      </c>
      <c r="B8622" t="s">
        <v>17416</v>
      </c>
      <c r="C8622" t="s">
        <v>277</v>
      </c>
      <c r="D8622" t="s">
        <v>60</v>
      </c>
      <c r="E8622">
        <v>9</v>
      </c>
      <c r="F8622">
        <v>2</v>
      </c>
      <c r="G8622">
        <v>2</v>
      </c>
      <c r="H8622">
        <v>1</v>
      </c>
      <c r="I8622">
        <v>0</v>
      </c>
      <c r="J8622">
        <v>0.91929824561403495</v>
      </c>
      <c r="K8622">
        <v>1</v>
      </c>
      <c r="L8622">
        <v>0.95795246800731304</v>
      </c>
      <c r="M8622">
        <v>0.86315789473684201</v>
      </c>
      <c r="N8622">
        <v>0.86315789473684201</v>
      </c>
      <c r="O8622">
        <v>0.86315789473684201</v>
      </c>
      <c r="P8622" t="s">
        <v>17417</v>
      </c>
      <c r="Q8622" t="s">
        <v>10345</v>
      </c>
      <c r="R8622" t="s">
        <v>113</v>
      </c>
      <c r="S8622" t="s">
        <v>114</v>
      </c>
      <c r="V8622" t="s">
        <v>2167</v>
      </c>
      <c r="W8622" t="s">
        <v>2168</v>
      </c>
      <c r="AF8622" t="s">
        <v>17418</v>
      </c>
    </row>
    <row r="8623" spans="1:32" hidden="1" x14ac:dyDescent="0.35">
      <c r="A8623">
        <v>8622</v>
      </c>
      <c r="B8623" t="s">
        <v>17416</v>
      </c>
      <c r="C8623" t="s">
        <v>277</v>
      </c>
      <c r="D8623" t="s">
        <v>62</v>
      </c>
      <c r="E8623">
        <v>88</v>
      </c>
      <c r="F8623">
        <v>2</v>
      </c>
      <c r="G8623">
        <v>2</v>
      </c>
      <c r="H8623">
        <v>1</v>
      </c>
      <c r="I8623">
        <v>0</v>
      </c>
      <c r="J8623">
        <v>0.91929824561403495</v>
      </c>
      <c r="K8623">
        <v>1</v>
      </c>
      <c r="L8623">
        <v>0.95795246800731304</v>
      </c>
      <c r="M8623">
        <v>0.86315789473684201</v>
      </c>
      <c r="N8623">
        <v>0.86315789473684201</v>
      </c>
      <c r="O8623">
        <v>0.86315789473684201</v>
      </c>
      <c r="P8623" t="s">
        <v>17417</v>
      </c>
      <c r="Q8623" t="s">
        <v>10345</v>
      </c>
      <c r="R8623" t="s">
        <v>113</v>
      </c>
      <c r="S8623" t="s">
        <v>114</v>
      </c>
      <c r="V8623" t="s">
        <v>2167</v>
      </c>
      <c r="W8623" t="s">
        <v>2168</v>
      </c>
      <c r="AF8623" t="s">
        <v>17419</v>
      </c>
    </row>
    <row r="8624" spans="1:32" hidden="1" x14ac:dyDescent="0.35">
      <c r="A8624">
        <v>8623</v>
      </c>
      <c r="B8624" t="s">
        <v>17420</v>
      </c>
      <c r="C8624" t="s">
        <v>277</v>
      </c>
      <c r="D8624" t="s">
        <v>34</v>
      </c>
      <c r="E8624">
        <v>2523</v>
      </c>
      <c r="F8624">
        <v>2</v>
      </c>
      <c r="G8624">
        <v>2</v>
      </c>
      <c r="H8624">
        <v>1</v>
      </c>
      <c r="I8624">
        <v>0</v>
      </c>
      <c r="J8624">
        <v>0.988267770876467</v>
      </c>
      <c r="K8624">
        <v>0.946655922643035</v>
      </c>
      <c r="L8624">
        <v>0.967014401230193</v>
      </c>
      <c r="M8624">
        <v>0.92759295499021499</v>
      </c>
      <c r="N8624">
        <v>0.92759295499021499</v>
      </c>
      <c r="O8624">
        <v>0.92759295499021499</v>
      </c>
      <c r="P8624" t="s">
        <v>16355</v>
      </c>
      <c r="Q8624" t="s">
        <v>16356</v>
      </c>
      <c r="AF8624" t="s">
        <v>17421</v>
      </c>
    </row>
    <row r="8625" spans="1:32" hidden="1" x14ac:dyDescent="0.35">
      <c r="A8625">
        <v>8624</v>
      </c>
      <c r="B8625" t="s">
        <v>17420</v>
      </c>
      <c r="C8625" t="s">
        <v>277</v>
      </c>
      <c r="D8625" t="s">
        <v>45</v>
      </c>
      <c r="E8625">
        <v>1249</v>
      </c>
      <c r="F8625">
        <v>2</v>
      </c>
      <c r="G8625">
        <v>2</v>
      </c>
      <c r="H8625">
        <v>1</v>
      </c>
      <c r="I8625">
        <v>0</v>
      </c>
      <c r="J8625">
        <v>0.988267770876467</v>
      </c>
      <c r="K8625">
        <v>0.946655922643035</v>
      </c>
      <c r="L8625">
        <v>0.967014401230193</v>
      </c>
      <c r="M8625">
        <v>0.92759295499021499</v>
      </c>
      <c r="N8625">
        <v>0.92759295499021499</v>
      </c>
      <c r="O8625">
        <v>0.92759295499021499</v>
      </c>
      <c r="P8625" t="s">
        <v>16355</v>
      </c>
      <c r="Q8625" t="s">
        <v>16356</v>
      </c>
      <c r="AF8625" t="s">
        <v>17422</v>
      </c>
    </row>
    <row r="8626" spans="1:32" hidden="1" x14ac:dyDescent="0.35">
      <c r="A8626">
        <v>8625</v>
      </c>
      <c r="B8626" t="s">
        <v>17423</v>
      </c>
      <c r="C8626" t="s">
        <v>277</v>
      </c>
      <c r="D8626" t="s">
        <v>60</v>
      </c>
      <c r="E8626">
        <v>183</v>
      </c>
      <c r="F8626">
        <v>2</v>
      </c>
      <c r="G8626">
        <v>2</v>
      </c>
      <c r="H8626">
        <v>1</v>
      </c>
      <c r="I8626">
        <v>0</v>
      </c>
      <c r="J8626">
        <v>0.98284313725490202</v>
      </c>
      <c r="K8626">
        <v>0.98795223206939198</v>
      </c>
      <c r="L8626">
        <v>0.98539106224709805</v>
      </c>
      <c r="M8626">
        <v>0.97094430992736103</v>
      </c>
      <c r="N8626">
        <v>0.97094430992736103</v>
      </c>
      <c r="O8626">
        <v>0.97094430992736103</v>
      </c>
      <c r="P8626" t="s">
        <v>16058</v>
      </c>
      <c r="Q8626" t="s">
        <v>16059</v>
      </c>
      <c r="AF8626" t="s">
        <v>17424</v>
      </c>
    </row>
    <row r="8627" spans="1:32" hidden="1" x14ac:dyDescent="0.35">
      <c r="A8627">
        <v>8626</v>
      </c>
      <c r="B8627" t="s">
        <v>17423</v>
      </c>
      <c r="C8627" t="s">
        <v>277</v>
      </c>
      <c r="D8627" t="s">
        <v>62</v>
      </c>
      <c r="E8627">
        <v>259</v>
      </c>
      <c r="F8627">
        <v>2</v>
      </c>
      <c r="G8627">
        <v>2</v>
      </c>
      <c r="H8627">
        <v>1</v>
      </c>
      <c r="I8627">
        <v>0</v>
      </c>
      <c r="J8627">
        <v>0.98284313725490202</v>
      </c>
      <c r="K8627">
        <v>0.98795223206939198</v>
      </c>
      <c r="L8627">
        <v>0.98539106224709805</v>
      </c>
      <c r="M8627">
        <v>0.97094430992736103</v>
      </c>
      <c r="N8627">
        <v>0.97094430992736103</v>
      </c>
      <c r="O8627">
        <v>0.97094430992736103</v>
      </c>
      <c r="P8627" t="s">
        <v>16058</v>
      </c>
      <c r="Q8627" t="s">
        <v>16059</v>
      </c>
      <c r="AF8627" t="s">
        <v>17425</v>
      </c>
    </row>
    <row r="8628" spans="1:32" hidden="1" x14ac:dyDescent="0.35">
      <c r="A8628">
        <v>8627</v>
      </c>
      <c r="B8628" t="s">
        <v>17426</v>
      </c>
      <c r="C8628" t="s">
        <v>277</v>
      </c>
      <c r="D8628" t="s">
        <v>34</v>
      </c>
      <c r="E8628">
        <v>776</v>
      </c>
      <c r="F8628">
        <v>2</v>
      </c>
      <c r="G8628">
        <v>2</v>
      </c>
      <c r="H8628">
        <v>1</v>
      </c>
      <c r="I8628">
        <v>0</v>
      </c>
      <c r="J8628">
        <v>0.99576719576719597</v>
      </c>
      <c r="K8628">
        <v>1</v>
      </c>
      <c r="L8628">
        <v>0.99787910922587497</v>
      </c>
      <c r="M8628">
        <v>0.99365079365079401</v>
      </c>
      <c r="N8628">
        <v>0.99365079365079401</v>
      </c>
      <c r="O8628">
        <v>0.99365079365079401</v>
      </c>
      <c r="AF8628" t="s">
        <v>17427</v>
      </c>
    </row>
    <row r="8629" spans="1:32" hidden="1" x14ac:dyDescent="0.35">
      <c r="A8629">
        <v>8628</v>
      </c>
      <c r="B8629" t="s">
        <v>17426</v>
      </c>
      <c r="C8629" t="s">
        <v>277</v>
      </c>
      <c r="D8629" t="s">
        <v>45</v>
      </c>
      <c r="E8629">
        <v>2042</v>
      </c>
      <c r="F8629">
        <v>2</v>
      </c>
      <c r="G8629">
        <v>2</v>
      </c>
      <c r="H8629">
        <v>1</v>
      </c>
      <c r="I8629">
        <v>0</v>
      </c>
      <c r="J8629">
        <v>0.99576719576719597</v>
      </c>
      <c r="K8629">
        <v>1</v>
      </c>
      <c r="L8629">
        <v>0.99787910922587497</v>
      </c>
      <c r="M8629">
        <v>0.99365079365079401</v>
      </c>
      <c r="N8629">
        <v>0.99365079365079401</v>
      </c>
      <c r="O8629">
        <v>0.99365079365079401</v>
      </c>
      <c r="AF8629" t="s">
        <v>17428</v>
      </c>
    </row>
    <row r="8630" spans="1:32" hidden="1" x14ac:dyDescent="0.35">
      <c r="A8630">
        <v>8629</v>
      </c>
      <c r="B8630" t="s">
        <v>17429</v>
      </c>
      <c r="C8630" t="s">
        <v>277</v>
      </c>
      <c r="D8630" t="s">
        <v>34</v>
      </c>
      <c r="E8630">
        <v>2364</v>
      </c>
      <c r="F8630">
        <v>2</v>
      </c>
      <c r="G8630">
        <v>2</v>
      </c>
      <c r="H8630">
        <v>1</v>
      </c>
      <c r="I8630">
        <v>0</v>
      </c>
      <c r="J8630">
        <v>0.99206349206349198</v>
      </c>
      <c r="K8630">
        <v>1</v>
      </c>
      <c r="L8630">
        <v>0.99601593625497997</v>
      </c>
      <c r="M8630">
        <v>0.98571428571428599</v>
      </c>
      <c r="N8630">
        <v>0.98571428571428599</v>
      </c>
      <c r="O8630">
        <v>0.98571428571428599</v>
      </c>
      <c r="P8630" t="s">
        <v>1293</v>
      </c>
      <c r="Q8630" t="s">
        <v>1294</v>
      </c>
      <c r="R8630" t="s">
        <v>371</v>
      </c>
      <c r="S8630" t="s">
        <v>372</v>
      </c>
      <c r="T8630" t="s">
        <v>1295</v>
      </c>
      <c r="U8630" t="s">
        <v>1296</v>
      </c>
      <c r="V8630" t="s">
        <v>1297</v>
      </c>
      <c r="W8630" t="s">
        <v>1298</v>
      </c>
      <c r="AD8630" t="s">
        <v>1299</v>
      </c>
      <c r="AE8630" t="s">
        <v>1300</v>
      </c>
      <c r="AF8630" t="s">
        <v>17430</v>
      </c>
    </row>
    <row r="8631" spans="1:32" hidden="1" x14ac:dyDescent="0.35">
      <c r="A8631">
        <v>8630</v>
      </c>
      <c r="B8631" t="s">
        <v>17429</v>
      </c>
      <c r="C8631" t="s">
        <v>277</v>
      </c>
      <c r="D8631" t="s">
        <v>45</v>
      </c>
      <c r="E8631">
        <v>516</v>
      </c>
      <c r="F8631">
        <v>2</v>
      </c>
      <c r="G8631">
        <v>2</v>
      </c>
      <c r="H8631">
        <v>1</v>
      </c>
      <c r="I8631">
        <v>0</v>
      </c>
      <c r="J8631">
        <v>0.99206349206349198</v>
      </c>
      <c r="K8631">
        <v>1</v>
      </c>
      <c r="L8631">
        <v>0.99601593625497997</v>
      </c>
      <c r="M8631">
        <v>0.98571428571428599</v>
      </c>
      <c r="N8631">
        <v>0.98571428571428599</v>
      </c>
      <c r="O8631">
        <v>0.98571428571428599</v>
      </c>
      <c r="P8631" t="s">
        <v>1293</v>
      </c>
      <c r="Q8631" t="s">
        <v>1294</v>
      </c>
      <c r="R8631" t="s">
        <v>371</v>
      </c>
      <c r="S8631" t="s">
        <v>372</v>
      </c>
      <c r="T8631" t="s">
        <v>1295</v>
      </c>
      <c r="U8631" t="s">
        <v>1296</v>
      </c>
      <c r="V8631" t="s">
        <v>1297</v>
      </c>
      <c r="W8631" t="s">
        <v>1298</v>
      </c>
      <c r="AD8631" t="s">
        <v>1299</v>
      </c>
      <c r="AE8631" t="s">
        <v>1300</v>
      </c>
      <c r="AF8631" t="s">
        <v>17431</v>
      </c>
    </row>
    <row r="8632" spans="1:32" hidden="1" x14ac:dyDescent="0.35">
      <c r="A8632">
        <v>8631</v>
      </c>
      <c r="B8632" t="s">
        <v>17432</v>
      </c>
      <c r="C8632" t="s">
        <v>277</v>
      </c>
      <c r="D8632" t="s">
        <v>60</v>
      </c>
      <c r="E8632">
        <v>1175</v>
      </c>
      <c r="F8632">
        <v>2</v>
      </c>
      <c r="G8632">
        <v>2</v>
      </c>
      <c r="H8632">
        <v>1</v>
      </c>
      <c r="I8632">
        <v>0</v>
      </c>
      <c r="J8632">
        <v>0.98408910103420799</v>
      </c>
      <c r="K8632">
        <v>1</v>
      </c>
      <c r="L8632">
        <v>0.99198075380914197</v>
      </c>
      <c r="M8632">
        <v>0.98090692124104994</v>
      </c>
      <c r="N8632">
        <v>0.98090692124104994</v>
      </c>
      <c r="O8632">
        <v>0.98090692124104994</v>
      </c>
      <c r="P8632" t="s">
        <v>14154</v>
      </c>
      <c r="Q8632" t="s">
        <v>14155</v>
      </c>
      <c r="R8632" t="s">
        <v>319</v>
      </c>
      <c r="S8632" t="s">
        <v>320</v>
      </c>
      <c r="T8632" t="s">
        <v>17433</v>
      </c>
      <c r="U8632" t="s">
        <v>17434</v>
      </c>
      <c r="V8632" t="s">
        <v>14156</v>
      </c>
      <c r="W8632" t="s">
        <v>14157</v>
      </c>
      <c r="Z8632" t="s">
        <v>17435</v>
      </c>
      <c r="AA8632" t="s">
        <v>17436</v>
      </c>
      <c r="AB8632" t="s">
        <v>17435</v>
      </c>
      <c r="AC8632" t="s">
        <v>1065</v>
      </c>
      <c r="AD8632" t="s">
        <v>6052</v>
      </c>
      <c r="AE8632" t="s">
        <v>17437</v>
      </c>
      <c r="AF8632" t="s">
        <v>17438</v>
      </c>
    </row>
    <row r="8633" spans="1:32" hidden="1" x14ac:dyDescent="0.35">
      <c r="A8633">
        <v>8632</v>
      </c>
      <c r="B8633" t="s">
        <v>17432</v>
      </c>
      <c r="C8633" t="s">
        <v>277</v>
      </c>
      <c r="D8633" t="s">
        <v>62</v>
      </c>
      <c r="E8633">
        <v>1212</v>
      </c>
      <c r="F8633">
        <v>2</v>
      </c>
      <c r="G8633">
        <v>2</v>
      </c>
      <c r="H8633">
        <v>1</v>
      </c>
      <c r="I8633">
        <v>0</v>
      </c>
      <c r="J8633">
        <v>0.98408910103420799</v>
      </c>
      <c r="K8633">
        <v>1</v>
      </c>
      <c r="L8633">
        <v>0.99198075380914197</v>
      </c>
      <c r="M8633">
        <v>0.98090692124104994</v>
      </c>
      <c r="N8633">
        <v>0.98090692124104994</v>
      </c>
      <c r="O8633">
        <v>0.98090692124104994</v>
      </c>
      <c r="P8633" t="s">
        <v>14154</v>
      </c>
      <c r="Q8633" t="s">
        <v>14155</v>
      </c>
      <c r="R8633" t="s">
        <v>319</v>
      </c>
      <c r="S8633" t="s">
        <v>320</v>
      </c>
      <c r="T8633" t="s">
        <v>17433</v>
      </c>
      <c r="U8633" t="s">
        <v>17434</v>
      </c>
      <c r="V8633" t="s">
        <v>14156</v>
      </c>
      <c r="W8633" t="s">
        <v>14157</v>
      </c>
      <c r="Z8633" t="s">
        <v>17435</v>
      </c>
      <c r="AA8633" t="s">
        <v>17436</v>
      </c>
      <c r="AB8633" t="s">
        <v>17435</v>
      </c>
      <c r="AC8633" t="s">
        <v>1065</v>
      </c>
      <c r="AD8633" t="s">
        <v>6052</v>
      </c>
      <c r="AE8633" t="s">
        <v>17437</v>
      </c>
      <c r="AF8633" t="s">
        <v>17439</v>
      </c>
    </row>
    <row r="8634" spans="1:32" hidden="1" x14ac:dyDescent="0.35">
      <c r="A8634">
        <v>8633</v>
      </c>
      <c r="B8634" t="s">
        <v>17440</v>
      </c>
      <c r="C8634" t="s">
        <v>277</v>
      </c>
      <c r="D8634" t="s">
        <v>34</v>
      </c>
      <c r="E8634">
        <v>443</v>
      </c>
      <c r="F8634">
        <v>2</v>
      </c>
      <c r="G8634">
        <v>2</v>
      </c>
      <c r="H8634">
        <v>1</v>
      </c>
      <c r="I8634">
        <v>0</v>
      </c>
      <c r="J8634">
        <v>0.85159010600706697</v>
      </c>
      <c r="K8634">
        <v>0.93567634909186204</v>
      </c>
      <c r="L8634">
        <v>0.89165520791620201</v>
      </c>
      <c r="M8634">
        <v>0.77557755775577597</v>
      </c>
      <c r="N8634">
        <v>0.77557755775577597</v>
      </c>
      <c r="O8634">
        <v>0.77557755775577597</v>
      </c>
      <c r="P8634" t="s">
        <v>7861</v>
      </c>
      <c r="Q8634" t="s">
        <v>7862</v>
      </c>
      <c r="R8634" t="s">
        <v>5726</v>
      </c>
      <c r="S8634" t="s">
        <v>5727</v>
      </c>
      <c r="T8634" t="s">
        <v>7863</v>
      </c>
      <c r="U8634" t="s">
        <v>7864</v>
      </c>
      <c r="V8634" t="s">
        <v>7865</v>
      </c>
      <c r="W8634" t="s">
        <v>7866</v>
      </c>
      <c r="AD8634" t="s">
        <v>219</v>
      </c>
      <c r="AE8634" t="s">
        <v>7867</v>
      </c>
      <c r="AF8634" t="e">
        <f>----------------MSVLREKPPVSGNRIHKMGSALREDGVVAALDDWETYLLHQTEIVGELVKQLGDFAESNSAVLLGGETMEKNIVPGNGAYMVSGRPKTIISLKEKLRRMPKTPLERIHDVAGARLDCDVTLTQQRRIADELCDLFTKCGATRVDIKDLRDGSHSGYRAIHLHLRFPAGFAEVQVRTALQSHWANVYESAADIFGRHIRYLHEEN-QVPLSLAAKKAVKVKLLHDLSAHISQVEEKRDECSSVHSRDDLDYDMKHRQEIISELESSIQF-ILNLLDEEFRKVRASRKK</f>
        <v>#NAME?</v>
      </c>
    </row>
    <row r="8635" spans="1:32" hidden="1" x14ac:dyDescent="0.35">
      <c r="A8635">
        <v>8634</v>
      </c>
      <c r="B8635" t="s">
        <v>17440</v>
      </c>
      <c r="C8635" t="s">
        <v>277</v>
      </c>
      <c r="D8635" t="s">
        <v>45</v>
      </c>
      <c r="E8635">
        <v>1706</v>
      </c>
      <c r="F8635">
        <v>2</v>
      </c>
      <c r="G8635">
        <v>2</v>
      </c>
      <c r="H8635">
        <v>1</v>
      </c>
      <c r="I8635">
        <v>0</v>
      </c>
      <c r="J8635">
        <v>0.85159010600706697</v>
      </c>
      <c r="K8635">
        <v>0.93567634909186204</v>
      </c>
      <c r="L8635">
        <v>0.89165520791620201</v>
      </c>
      <c r="M8635">
        <v>0.77557755775577597</v>
      </c>
      <c r="N8635">
        <v>0.77557755775577597</v>
      </c>
      <c r="O8635">
        <v>0.77557755775577597</v>
      </c>
      <c r="P8635" t="s">
        <v>7861</v>
      </c>
      <c r="Q8635" t="s">
        <v>7862</v>
      </c>
      <c r="R8635" t="s">
        <v>5726</v>
      </c>
      <c r="S8635" t="s">
        <v>5727</v>
      </c>
      <c r="T8635" t="s">
        <v>7863</v>
      </c>
      <c r="U8635" t="s">
        <v>7864</v>
      </c>
      <c r="V8635" t="s">
        <v>7865</v>
      </c>
      <c r="W8635" t="s">
        <v>7866</v>
      </c>
      <c r="AD8635" t="s">
        <v>219</v>
      </c>
      <c r="AE8635" t="s">
        <v>7867</v>
      </c>
      <c r="AF8635" t="s">
        <v>17441</v>
      </c>
    </row>
    <row r="8636" spans="1:32" hidden="1" x14ac:dyDescent="0.35">
      <c r="A8636">
        <v>8635</v>
      </c>
      <c r="B8636" t="s">
        <v>17442</v>
      </c>
      <c r="C8636" t="s">
        <v>277</v>
      </c>
      <c r="D8636" t="s">
        <v>34</v>
      </c>
      <c r="E8636">
        <v>855</v>
      </c>
      <c r="F8636">
        <v>2</v>
      </c>
      <c r="G8636">
        <v>2</v>
      </c>
      <c r="H8636">
        <v>1</v>
      </c>
      <c r="I8636">
        <v>0</v>
      </c>
      <c r="J8636">
        <v>0.99510831586303305</v>
      </c>
      <c r="K8636">
        <v>1</v>
      </c>
      <c r="L8636">
        <v>0.99754816112084099</v>
      </c>
      <c r="M8636">
        <v>0.99371069182389904</v>
      </c>
      <c r="N8636">
        <v>0.99371069182389904</v>
      </c>
      <c r="O8636">
        <v>0.99371069182389904</v>
      </c>
      <c r="AF8636" t="s">
        <v>17443</v>
      </c>
    </row>
    <row r="8637" spans="1:32" hidden="1" x14ac:dyDescent="0.35">
      <c r="A8637">
        <v>8636</v>
      </c>
      <c r="B8637" t="s">
        <v>17442</v>
      </c>
      <c r="C8637" t="s">
        <v>277</v>
      </c>
      <c r="D8637" t="s">
        <v>45</v>
      </c>
      <c r="E8637">
        <v>2112</v>
      </c>
      <c r="F8637">
        <v>2</v>
      </c>
      <c r="G8637">
        <v>2</v>
      </c>
      <c r="H8637">
        <v>1</v>
      </c>
      <c r="I8637">
        <v>0</v>
      </c>
      <c r="J8637">
        <v>0.99510831586303305</v>
      </c>
      <c r="K8637">
        <v>1</v>
      </c>
      <c r="L8637">
        <v>0.99754816112084099</v>
      </c>
      <c r="M8637">
        <v>0.99371069182389904</v>
      </c>
      <c r="N8637">
        <v>0.99371069182389904</v>
      </c>
      <c r="O8637">
        <v>0.99371069182389904</v>
      </c>
      <c r="AF8637" t="s">
        <v>17444</v>
      </c>
    </row>
    <row r="8638" spans="1:32" hidden="1" x14ac:dyDescent="0.35">
      <c r="A8638">
        <v>8637</v>
      </c>
      <c r="B8638" t="s">
        <v>17445</v>
      </c>
      <c r="C8638" t="s">
        <v>277</v>
      </c>
      <c r="D8638" t="s">
        <v>34</v>
      </c>
      <c r="E8638">
        <v>401</v>
      </c>
      <c r="F8638">
        <v>2</v>
      </c>
      <c r="G8638">
        <v>2</v>
      </c>
      <c r="H8638">
        <v>1</v>
      </c>
      <c r="I8638">
        <v>0</v>
      </c>
      <c r="J8638">
        <v>1</v>
      </c>
      <c r="K8638">
        <v>0.99378881987577605</v>
      </c>
      <c r="L8638">
        <v>0.99688473520249199</v>
      </c>
      <c r="M8638">
        <v>0.99378881987577605</v>
      </c>
      <c r="N8638">
        <v>0.99378881987577605</v>
      </c>
      <c r="O8638">
        <v>0.99378881987577605</v>
      </c>
      <c r="P8638" t="s">
        <v>17446</v>
      </c>
      <c r="Q8638" t="s">
        <v>17447</v>
      </c>
      <c r="R8638" t="s">
        <v>869</v>
      </c>
      <c r="S8638" t="s">
        <v>870</v>
      </c>
      <c r="T8638" t="s">
        <v>17448</v>
      </c>
      <c r="U8638" t="s">
        <v>17449</v>
      </c>
      <c r="V8638" t="s">
        <v>17450</v>
      </c>
      <c r="W8638" t="s">
        <v>17451</v>
      </c>
      <c r="X8638" t="s">
        <v>17450</v>
      </c>
      <c r="Y8638" t="s">
        <v>6133</v>
      </c>
      <c r="Z8638" t="s">
        <v>9395</v>
      </c>
      <c r="AA8638" t="s">
        <v>9396</v>
      </c>
      <c r="AB8638" t="s">
        <v>9395</v>
      </c>
      <c r="AC8638" t="s">
        <v>878</v>
      </c>
      <c r="AD8638" t="s">
        <v>245</v>
      </c>
      <c r="AE8638" t="s">
        <v>17452</v>
      </c>
      <c r="AF8638" t="e">
        <f>-MLRAIWAQNLMGLIGDGKSMPWHVPEDLQHFKKLTLGSPIIMGRRTWESLPVRPLPGRKNLVLSRRTPGKWSNGASVIASVPESGWVIGGGVVYAATIDKVQEIHRTLIDAPTNLFELGDRAVFAPTIPPDFQLVQHSKWLKSSSGLRYKFETWTKNISR</f>
        <v>#NAME?</v>
      </c>
    </row>
    <row r="8639" spans="1:32" hidden="1" x14ac:dyDescent="0.35">
      <c r="A8639">
        <v>8638</v>
      </c>
      <c r="B8639" t="s">
        <v>17445</v>
      </c>
      <c r="C8639" t="s">
        <v>277</v>
      </c>
      <c r="D8639" t="s">
        <v>45</v>
      </c>
      <c r="E8639">
        <v>1662</v>
      </c>
      <c r="F8639">
        <v>2</v>
      </c>
      <c r="G8639">
        <v>2</v>
      </c>
      <c r="H8639">
        <v>1</v>
      </c>
      <c r="I8639">
        <v>0</v>
      </c>
      <c r="J8639">
        <v>1</v>
      </c>
      <c r="K8639">
        <v>0.99378881987577605</v>
      </c>
      <c r="L8639">
        <v>0.99688473520249199</v>
      </c>
      <c r="M8639">
        <v>0.99378881987577605</v>
      </c>
      <c r="N8639">
        <v>0.99378881987577605</v>
      </c>
      <c r="O8639">
        <v>0.99378881987577605</v>
      </c>
      <c r="P8639" t="s">
        <v>17446</v>
      </c>
      <c r="Q8639" t="s">
        <v>17447</v>
      </c>
      <c r="R8639" t="s">
        <v>869</v>
      </c>
      <c r="S8639" t="s">
        <v>870</v>
      </c>
      <c r="T8639" t="s">
        <v>17448</v>
      </c>
      <c r="U8639" t="s">
        <v>17449</v>
      </c>
      <c r="V8639" t="s">
        <v>17450</v>
      </c>
      <c r="W8639" t="s">
        <v>17451</v>
      </c>
      <c r="X8639" t="s">
        <v>17450</v>
      </c>
      <c r="Y8639" t="s">
        <v>6133</v>
      </c>
      <c r="Z8639" t="s">
        <v>9395</v>
      </c>
      <c r="AA8639" t="s">
        <v>9396</v>
      </c>
      <c r="AB8639" t="s">
        <v>9395</v>
      </c>
      <c r="AC8639" t="s">
        <v>878</v>
      </c>
      <c r="AD8639" t="s">
        <v>245</v>
      </c>
      <c r="AE8639" t="s">
        <v>17452</v>
      </c>
      <c r="AF8639" t="s">
        <v>17453</v>
      </c>
    </row>
    <row r="8640" spans="1:32" hidden="1" x14ac:dyDescent="0.35">
      <c r="A8640">
        <v>8639</v>
      </c>
      <c r="B8640" t="s">
        <v>17454</v>
      </c>
      <c r="C8640" t="s">
        <v>277</v>
      </c>
      <c r="D8640" t="s">
        <v>34</v>
      </c>
      <c r="E8640">
        <v>2350</v>
      </c>
      <c r="F8640">
        <v>2</v>
      </c>
      <c r="G8640">
        <v>2</v>
      </c>
      <c r="H8640">
        <v>1</v>
      </c>
      <c r="I8640">
        <v>0</v>
      </c>
      <c r="J8640">
        <v>0.98711340206185605</v>
      </c>
      <c r="K8640">
        <v>1</v>
      </c>
      <c r="L8640">
        <v>0.99351491569390404</v>
      </c>
      <c r="M8640">
        <v>0.98711340206185605</v>
      </c>
      <c r="N8640">
        <v>0.98711340206185605</v>
      </c>
      <c r="O8640">
        <v>0.98711340206185605</v>
      </c>
      <c r="AF8640" t="s">
        <v>17455</v>
      </c>
    </row>
    <row r="8641" spans="1:32" hidden="1" x14ac:dyDescent="0.35">
      <c r="A8641">
        <v>8640</v>
      </c>
      <c r="B8641" t="s">
        <v>17454</v>
      </c>
      <c r="C8641" t="s">
        <v>277</v>
      </c>
      <c r="D8641" t="s">
        <v>45</v>
      </c>
      <c r="E8641">
        <v>529</v>
      </c>
      <c r="F8641">
        <v>2</v>
      </c>
      <c r="G8641">
        <v>2</v>
      </c>
      <c r="H8641">
        <v>1</v>
      </c>
      <c r="I8641">
        <v>0</v>
      </c>
      <c r="J8641">
        <v>0.98711340206185605</v>
      </c>
      <c r="K8641">
        <v>1</v>
      </c>
      <c r="L8641">
        <v>0.99351491569390404</v>
      </c>
      <c r="M8641">
        <v>0.98711340206185605</v>
      </c>
      <c r="N8641">
        <v>0.98711340206185605</v>
      </c>
      <c r="O8641">
        <v>0.98711340206185605</v>
      </c>
      <c r="AF8641" t="s">
        <v>17456</v>
      </c>
    </row>
    <row r="8642" spans="1:32" hidden="1" x14ac:dyDescent="0.35">
      <c r="A8642">
        <v>8641</v>
      </c>
      <c r="B8642" t="s">
        <v>17457</v>
      </c>
      <c r="C8642" t="s">
        <v>277</v>
      </c>
      <c r="D8642" t="s">
        <v>34</v>
      </c>
      <c r="E8642">
        <v>1482</v>
      </c>
      <c r="F8642">
        <v>2</v>
      </c>
      <c r="G8642">
        <v>2</v>
      </c>
      <c r="H8642">
        <v>1</v>
      </c>
      <c r="I8642">
        <v>0</v>
      </c>
      <c r="J8642">
        <v>0.99675587996755899</v>
      </c>
      <c r="K8642">
        <v>0.985697980077474</v>
      </c>
      <c r="L8642">
        <v>0.99119609017487997</v>
      </c>
      <c r="M8642">
        <v>0.98081534772182299</v>
      </c>
      <c r="N8642">
        <v>0.98081534772182299</v>
      </c>
      <c r="O8642">
        <v>0.98081534772182299</v>
      </c>
      <c r="P8642" t="s">
        <v>12891</v>
      </c>
      <c r="Q8642" t="s">
        <v>12892</v>
      </c>
      <c r="R8642" t="s">
        <v>17458</v>
      </c>
      <c r="S8642" t="s">
        <v>17459</v>
      </c>
      <c r="V8642" t="s">
        <v>17460</v>
      </c>
      <c r="W8642" t="s">
        <v>17461</v>
      </c>
      <c r="AF8642" t="s">
        <v>17462</v>
      </c>
    </row>
    <row r="8643" spans="1:32" hidden="1" x14ac:dyDescent="0.35">
      <c r="A8643">
        <v>8642</v>
      </c>
      <c r="B8643" t="s">
        <v>17457</v>
      </c>
      <c r="C8643" t="s">
        <v>277</v>
      </c>
      <c r="D8643" t="s">
        <v>45</v>
      </c>
      <c r="E8643">
        <v>232</v>
      </c>
      <c r="F8643">
        <v>2</v>
      </c>
      <c r="G8643">
        <v>2</v>
      </c>
      <c r="H8643">
        <v>1</v>
      </c>
      <c r="I8643">
        <v>0</v>
      </c>
      <c r="J8643">
        <v>0.99675587996755899</v>
      </c>
      <c r="K8643">
        <v>0.985697980077474</v>
      </c>
      <c r="L8643">
        <v>0.99119609017487997</v>
      </c>
      <c r="M8643">
        <v>0.98081534772182299</v>
      </c>
      <c r="N8643">
        <v>0.98081534772182299</v>
      </c>
      <c r="O8643">
        <v>0.98081534772182299</v>
      </c>
      <c r="P8643" t="s">
        <v>12891</v>
      </c>
      <c r="Q8643" t="s">
        <v>12892</v>
      </c>
      <c r="R8643" t="s">
        <v>17458</v>
      </c>
      <c r="S8643" t="s">
        <v>17459</v>
      </c>
      <c r="V8643" t="s">
        <v>17460</v>
      </c>
      <c r="W8643" t="s">
        <v>17461</v>
      </c>
      <c r="AF8643" t="s">
        <v>17463</v>
      </c>
    </row>
    <row r="8644" spans="1:32" hidden="1" x14ac:dyDescent="0.35">
      <c r="A8644">
        <v>8643</v>
      </c>
      <c r="B8644" t="s">
        <v>17464</v>
      </c>
      <c r="C8644" t="s">
        <v>277</v>
      </c>
      <c r="D8644" t="s">
        <v>34</v>
      </c>
      <c r="E8644">
        <v>769</v>
      </c>
      <c r="F8644">
        <v>2</v>
      </c>
      <c r="G8644">
        <v>2</v>
      </c>
      <c r="H8644">
        <v>1</v>
      </c>
      <c r="I8644">
        <v>0</v>
      </c>
      <c r="J8644">
        <v>0.98687664041994705</v>
      </c>
      <c r="K8644">
        <v>1</v>
      </c>
      <c r="L8644">
        <v>0.99339498018494099</v>
      </c>
      <c r="M8644">
        <v>0.98425196850393704</v>
      </c>
      <c r="N8644">
        <v>0.98425196850393704</v>
      </c>
      <c r="O8644">
        <v>0.98425196850393704</v>
      </c>
      <c r="P8644" t="s">
        <v>626</v>
      </c>
      <c r="Q8644" t="s">
        <v>627</v>
      </c>
      <c r="AF8644" t="s">
        <v>17465</v>
      </c>
    </row>
    <row r="8645" spans="1:32" hidden="1" x14ac:dyDescent="0.35">
      <c r="A8645">
        <v>8644</v>
      </c>
      <c r="B8645" t="s">
        <v>17464</v>
      </c>
      <c r="C8645" t="s">
        <v>277</v>
      </c>
      <c r="D8645" t="s">
        <v>45</v>
      </c>
      <c r="E8645">
        <v>2035</v>
      </c>
      <c r="F8645">
        <v>2</v>
      </c>
      <c r="G8645">
        <v>2</v>
      </c>
      <c r="H8645">
        <v>1</v>
      </c>
      <c r="I8645">
        <v>0</v>
      </c>
      <c r="J8645">
        <v>0.98687664041994705</v>
      </c>
      <c r="K8645">
        <v>1</v>
      </c>
      <c r="L8645">
        <v>0.99339498018494099</v>
      </c>
      <c r="M8645">
        <v>0.98425196850393704</v>
      </c>
      <c r="N8645">
        <v>0.98425196850393704</v>
      </c>
      <c r="O8645">
        <v>0.98425196850393704</v>
      </c>
      <c r="P8645" t="s">
        <v>626</v>
      </c>
      <c r="Q8645" t="s">
        <v>627</v>
      </c>
      <c r="AF8645" t="s">
        <v>17466</v>
      </c>
    </row>
    <row r="8646" spans="1:32" hidden="1" x14ac:dyDescent="0.35">
      <c r="A8646">
        <v>8645</v>
      </c>
      <c r="B8646" t="s">
        <v>17467</v>
      </c>
      <c r="C8646" t="s">
        <v>277</v>
      </c>
      <c r="D8646" t="s">
        <v>60</v>
      </c>
      <c r="E8646">
        <v>1344</v>
      </c>
      <c r="F8646">
        <v>2</v>
      </c>
      <c r="G8646">
        <v>2</v>
      </c>
      <c r="H8646">
        <v>1</v>
      </c>
      <c r="I8646">
        <v>0</v>
      </c>
      <c r="J8646">
        <v>0.98148148148148195</v>
      </c>
      <c r="K8646">
        <v>1</v>
      </c>
      <c r="L8646">
        <v>0.99065420560747697</v>
      </c>
      <c r="M8646">
        <v>0.97863247863247904</v>
      </c>
      <c r="N8646">
        <v>0.97863247863247904</v>
      </c>
      <c r="O8646">
        <v>0.97863247863247904</v>
      </c>
      <c r="P8646" t="s">
        <v>14685</v>
      </c>
      <c r="Q8646" t="s">
        <v>14686</v>
      </c>
      <c r="R8646" t="s">
        <v>16690</v>
      </c>
      <c r="S8646" t="s">
        <v>16691</v>
      </c>
      <c r="V8646" t="s">
        <v>16692</v>
      </c>
      <c r="W8646" t="s">
        <v>16693</v>
      </c>
      <c r="AF8646" t="s">
        <v>17468</v>
      </c>
    </row>
    <row r="8647" spans="1:32" hidden="1" x14ac:dyDescent="0.35">
      <c r="A8647">
        <v>8646</v>
      </c>
      <c r="B8647" t="s">
        <v>17467</v>
      </c>
      <c r="C8647" t="s">
        <v>277</v>
      </c>
      <c r="D8647" t="s">
        <v>62</v>
      </c>
      <c r="E8647">
        <v>1380</v>
      </c>
      <c r="F8647">
        <v>2</v>
      </c>
      <c r="G8647">
        <v>2</v>
      </c>
      <c r="H8647">
        <v>1</v>
      </c>
      <c r="I8647">
        <v>0</v>
      </c>
      <c r="J8647">
        <v>0.98148148148148195</v>
      </c>
      <c r="K8647">
        <v>1</v>
      </c>
      <c r="L8647">
        <v>0.99065420560747697</v>
      </c>
      <c r="M8647">
        <v>0.97863247863247904</v>
      </c>
      <c r="N8647">
        <v>0.97863247863247904</v>
      </c>
      <c r="O8647">
        <v>0.97863247863247904</v>
      </c>
      <c r="P8647" t="s">
        <v>14685</v>
      </c>
      <c r="Q8647" t="s">
        <v>14686</v>
      </c>
      <c r="R8647" t="s">
        <v>16690</v>
      </c>
      <c r="S8647" t="s">
        <v>16691</v>
      </c>
      <c r="V8647" t="s">
        <v>16692</v>
      </c>
      <c r="W8647" t="s">
        <v>16693</v>
      </c>
      <c r="AF8647" t="s">
        <v>17469</v>
      </c>
    </row>
    <row r="8648" spans="1:32" hidden="1" x14ac:dyDescent="0.35">
      <c r="A8648">
        <v>8647</v>
      </c>
      <c r="B8648" t="s">
        <v>17470</v>
      </c>
      <c r="C8648" t="s">
        <v>277</v>
      </c>
      <c r="D8648" t="s">
        <v>34</v>
      </c>
      <c r="E8648">
        <v>1368</v>
      </c>
      <c r="F8648">
        <v>2</v>
      </c>
      <c r="G8648">
        <v>2</v>
      </c>
      <c r="H8648">
        <v>1</v>
      </c>
      <c r="I8648">
        <v>0</v>
      </c>
      <c r="J8648">
        <v>0.97792494481236203</v>
      </c>
      <c r="K8648">
        <v>1</v>
      </c>
      <c r="L8648">
        <v>0.98883928571428603</v>
      </c>
      <c r="M8648">
        <v>0.97350993377483397</v>
      </c>
      <c r="N8648">
        <v>0.97350993377483397</v>
      </c>
      <c r="O8648">
        <v>0.97350993377483397</v>
      </c>
      <c r="R8648" t="s">
        <v>184</v>
      </c>
      <c r="S8648" t="s">
        <v>185</v>
      </c>
      <c r="V8648" t="s">
        <v>188</v>
      </c>
      <c r="W8648" t="s">
        <v>189</v>
      </c>
      <c r="X8648" t="s">
        <v>188</v>
      </c>
      <c r="Y8648" t="s">
        <v>190</v>
      </c>
      <c r="AF8648" t="s">
        <v>17471</v>
      </c>
    </row>
    <row r="8649" spans="1:32" hidden="1" x14ac:dyDescent="0.35">
      <c r="A8649">
        <v>8648</v>
      </c>
      <c r="B8649" t="s">
        <v>17470</v>
      </c>
      <c r="C8649" t="s">
        <v>277</v>
      </c>
      <c r="D8649" t="s">
        <v>45</v>
      </c>
      <c r="E8649">
        <v>117</v>
      </c>
      <c r="F8649">
        <v>2</v>
      </c>
      <c r="G8649">
        <v>2</v>
      </c>
      <c r="H8649">
        <v>1</v>
      </c>
      <c r="I8649">
        <v>0</v>
      </c>
      <c r="J8649">
        <v>0.97792494481236203</v>
      </c>
      <c r="K8649">
        <v>1</v>
      </c>
      <c r="L8649">
        <v>0.98883928571428603</v>
      </c>
      <c r="M8649">
        <v>0.97350993377483397</v>
      </c>
      <c r="N8649">
        <v>0.97350993377483397</v>
      </c>
      <c r="O8649">
        <v>0.97350993377483397</v>
      </c>
      <c r="R8649" t="s">
        <v>184</v>
      </c>
      <c r="S8649" t="s">
        <v>185</v>
      </c>
      <c r="V8649" t="s">
        <v>188</v>
      </c>
      <c r="W8649" t="s">
        <v>189</v>
      </c>
      <c r="X8649" t="s">
        <v>188</v>
      </c>
      <c r="Y8649" t="s">
        <v>190</v>
      </c>
      <c r="AF8649" t="s">
        <v>17472</v>
      </c>
    </row>
    <row r="8650" spans="1:32" hidden="1" x14ac:dyDescent="0.35">
      <c r="A8650">
        <v>8649</v>
      </c>
      <c r="B8650" t="s">
        <v>17473</v>
      </c>
      <c r="C8650" t="s">
        <v>277</v>
      </c>
      <c r="D8650" t="s">
        <v>34</v>
      </c>
      <c r="E8650">
        <v>1406</v>
      </c>
      <c r="F8650">
        <v>2</v>
      </c>
      <c r="G8650">
        <v>2</v>
      </c>
      <c r="H8650">
        <v>1</v>
      </c>
      <c r="I8650">
        <v>0</v>
      </c>
      <c r="J8650">
        <v>0.97959969207082398</v>
      </c>
      <c r="K8650">
        <v>1</v>
      </c>
      <c r="L8650">
        <v>0.98969473070192504</v>
      </c>
      <c r="M8650">
        <v>0.97344110854503496</v>
      </c>
      <c r="N8650">
        <v>0.97344110854503496</v>
      </c>
      <c r="O8650">
        <v>0.97344110854503496</v>
      </c>
      <c r="P8650" t="s">
        <v>16292</v>
      </c>
      <c r="Q8650" t="s">
        <v>16293</v>
      </c>
      <c r="R8650" t="s">
        <v>138</v>
      </c>
      <c r="S8650" t="s">
        <v>139</v>
      </c>
      <c r="T8650" t="s">
        <v>16294</v>
      </c>
      <c r="U8650" t="s">
        <v>16295</v>
      </c>
      <c r="V8650" t="s">
        <v>17474</v>
      </c>
      <c r="W8650" t="s">
        <v>17475</v>
      </c>
      <c r="AD8650" t="s">
        <v>219</v>
      </c>
      <c r="AE8650" t="s">
        <v>16296</v>
      </c>
      <c r="AF8650" t="s">
        <v>17476</v>
      </c>
    </row>
    <row r="8651" spans="1:32" hidden="1" x14ac:dyDescent="0.35">
      <c r="A8651">
        <v>8650</v>
      </c>
      <c r="B8651" t="s">
        <v>17473</v>
      </c>
      <c r="C8651" t="s">
        <v>277</v>
      </c>
      <c r="D8651" t="s">
        <v>45</v>
      </c>
      <c r="E8651">
        <v>157</v>
      </c>
      <c r="F8651">
        <v>2</v>
      </c>
      <c r="G8651">
        <v>2</v>
      </c>
      <c r="H8651">
        <v>1</v>
      </c>
      <c r="I8651">
        <v>0</v>
      </c>
      <c r="J8651">
        <v>0.97959969207082398</v>
      </c>
      <c r="K8651">
        <v>1</v>
      </c>
      <c r="L8651">
        <v>0.98969473070192504</v>
      </c>
      <c r="M8651">
        <v>0.97344110854503496</v>
      </c>
      <c r="N8651">
        <v>0.97344110854503496</v>
      </c>
      <c r="O8651">
        <v>0.97344110854503496</v>
      </c>
      <c r="P8651" t="s">
        <v>16292</v>
      </c>
      <c r="Q8651" t="s">
        <v>16293</v>
      </c>
      <c r="R8651" t="s">
        <v>138</v>
      </c>
      <c r="S8651" t="s">
        <v>139</v>
      </c>
      <c r="T8651" t="s">
        <v>16294</v>
      </c>
      <c r="U8651" t="s">
        <v>16295</v>
      </c>
      <c r="V8651" t="s">
        <v>17474</v>
      </c>
      <c r="W8651" t="s">
        <v>17475</v>
      </c>
      <c r="AD8651" t="s">
        <v>219</v>
      </c>
      <c r="AE8651" t="s">
        <v>16296</v>
      </c>
      <c r="AF8651" t="s">
        <v>17477</v>
      </c>
    </row>
    <row r="8652" spans="1:32" hidden="1" x14ac:dyDescent="0.35">
      <c r="A8652">
        <v>8651</v>
      </c>
      <c r="B8652" t="s">
        <v>17478</v>
      </c>
      <c r="C8652" t="s">
        <v>277</v>
      </c>
      <c r="D8652" t="s">
        <v>34</v>
      </c>
      <c r="E8652">
        <v>245</v>
      </c>
      <c r="F8652">
        <v>2</v>
      </c>
      <c r="G8652">
        <v>2</v>
      </c>
      <c r="H8652">
        <v>1</v>
      </c>
      <c r="I8652">
        <v>0</v>
      </c>
      <c r="J8652">
        <v>0.98342541436464104</v>
      </c>
      <c r="K8652">
        <v>1</v>
      </c>
      <c r="L8652">
        <v>0.99164345403899701</v>
      </c>
      <c r="M8652">
        <v>0.98342541436464104</v>
      </c>
      <c r="N8652">
        <v>0.98342541436464104</v>
      </c>
      <c r="O8652">
        <v>0.98342541436464104</v>
      </c>
      <c r="R8652" t="s">
        <v>213</v>
      </c>
      <c r="S8652" t="s">
        <v>214</v>
      </c>
      <c r="V8652" t="s">
        <v>7677</v>
      </c>
      <c r="W8652" t="s">
        <v>7678</v>
      </c>
      <c r="X8652" t="s">
        <v>7677</v>
      </c>
      <c r="Y8652" t="s">
        <v>2301</v>
      </c>
      <c r="AF8652" t="s">
        <v>17479</v>
      </c>
    </row>
    <row r="8653" spans="1:32" hidden="1" x14ac:dyDescent="0.35">
      <c r="A8653">
        <v>8652</v>
      </c>
      <c r="B8653" t="s">
        <v>17478</v>
      </c>
      <c r="C8653" t="s">
        <v>277</v>
      </c>
      <c r="D8653" t="s">
        <v>45</v>
      </c>
      <c r="E8653">
        <v>1508</v>
      </c>
      <c r="F8653">
        <v>2</v>
      </c>
      <c r="G8653">
        <v>2</v>
      </c>
      <c r="H8653">
        <v>1</v>
      </c>
      <c r="I8653">
        <v>0</v>
      </c>
      <c r="J8653">
        <v>0.98342541436464104</v>
      </c>
      <c r="K8653">
        <v>1</v>
      </c>
      <c r="L8653">
        <v>0.99164345403899701</v>
      </c>
      <c r="M8653">
        <v>0.98342541436464104</v>
      </c>
      <c r="N8653">
        <v>0.98342541436464104</v>
      </c>
      <c r="O8653">
        <v>0.98342541436464104</v>
      </c>
      <c r="R8653" t="s">
        <v>213</v>
      </c>
      <c r="S8653" t="s">
        <v>214</v>
      </c>
      <c r="V8653" t="s">
        <v>7677</v>
      </c>
      <c r="W8653" t="s">
        <v>7678</v>
      </c>
      <c r="X8653" t="s">
        <v>7677</v>
      </c>
      <c r="Y8653" t="s">
        <v>2301</v>
      </c>
      <c r="AF8653" t="s">
        <v>17480</v>
      </c>
    </row>
    <row r="8654" spans="1:32" hidden="1" x14ac:dyDescent="0.35">
      <c r="A8654">
        <v>8653</v>
      </c>
      <c r="B8654" t="s">
        <v>17481</v>
      </c>
      <c r="C8654" t="s">
        <v>277</v>
      </c>
      <c r="D8654" t="s">
        <v>34</v>
      </c>
      <c r="E8654">
        <v>2118</v>
      </c>
      <c r="F8654">
        <v>2</v>
      </c>
      <c r="G8654">
        <v>2</v>
      </c>
      <c r="H8654">
        <v>1</v>
      </c>
      <c r="I8654">
        <v>0</v>
      </c>
      <c r="J8654">
        <v>0.99532163742690105</v>
      </c>
      <c r="K8654">
        <v>0.99304960140102705</v>
      </c>
      <c r="L8654">
        <v>0.99418432132948098</v>
      </c>
      <c r="M8654">
        <v>0.98606271777003496</v>
      </c>
      <c r="N8654">
        <v>0.98606271777003496</v>
      </c>
      <c r="O8654">
        <v>0.98606271777003496</v>
      </c>
      <c r="P8654" t="s">
        <v>1959</v>
      </c>
      <c r="Q8654" t="s">
        <v>1960</v>
      </c>
      <c r="R8654" t="s">
        <v>1474</v>
      </c>
      <c r="S8654" t="s">
        <v>1475</v>
      </c>
      <c r="T8654" t="s">
        <v>1964</v>
      </c>
      <c r="U8654" t="s">
        <v>1965</v>
      </c>
      <c r="V8654" t="s">
        <v>1961</v>
      </c>
      <c r="W8654" t="s">
        <v>1962</v>
      </c>
      <c r="AD8654" t="s">
        <v>166</v>
      </c>
      <c r="AE8654" t="s">
        <v>3695</v>
      </c>
      <c r="AF8654" t="s">
        <v>17482</v>
      </c>
    </row>
    <row r="8655" spans="1:32" hidden="1" x14ac:dyDescent="0.35">
      <c r="A8655">
        <v>8654</v>
      </c>
      <c r="B8655" t="s">
        <v>17481</v>
      </c>
      <c r="C8655" t="s">
        <v>277</v>
      </c>
      <c r="D8655" t="s">
        <v>45</v>
      </c>
      <c r="E8655">
        <v>754</v>
      </c>
      <c r="F8655">
        <v>2</v>
      </c>
      <c r="G8655">
        <v>2</v>
      </c>
      <c r="H8655">
        <v>1</v>
      </c>
      <c r="I8655">
        <v>0</v>
      </c>
      <c r="J8655">
        <v>0.99532163742690105</v>
      </c>
      <c r="K8655">
        <v>0.99304960140102705</v>
      </c>
      <c r="L8655">
        <v>0.99418432132948098</v>
      </c>
      <c r="M8655">
        <v>0.98606271777003496</v>
      </c>
      <c r="N8655">
        <v>0.98606271777003496</v>
      </c>
      <c r="O8655">
        <v>0.98606271777003496</v>
      </c>
      <c r="P8655" t="s">
        <v>1959</v>
      </c>
      <c r="Q8655" t="s">
        <v>1960</v>
      </c>
      <c r="R8655" t="s">
        <v>1474</v>
      </c>
      <c r="S8655" t="s">
        <v>1475</v>
      </c>
      <c r="T8655" t="s">
        <v>1964</v>
      </c>
      <c r="U8655" t="s">
        <v>1965</v>
      </c>
      <c r="V8655" t="s">
        <v>1961</v>
      </c>
      <c r="W8655" t="s">
        <v>1962</v>
      </c>
      <c r="AD8655" t="s">
        <v>166</v>
      </c>
      <c r="AE8655" t="s">
        <v>3695</v>
      </c>
      <c r="AF8655" t="s">
        <v>17483</v>
      </c>
    </row>
    <row r="8656" spans="1:32" hidden="1" x14ac:dyDescent="0.35">
      <c r="A8656">
        <v>8655</v>
      </c>
      <c r="B8656" t="s">
        <v>17484</v>
      </c>
      <c r="C8656" t="s">
        <v>277</v>
      </c>
      <c r="D8656" t="s">
        <v>34</v>
      </c>
      <c r="E8656">
        <v>882</v>
      </c>
      <c r="F8656">
        <v>2</v>
      </c>
      <c r="G8656">
        <v>2</v>
      </c>
      <c r="H8656">
        <v>1</v>
      </c>
      <c r="I8656">
        <v>0</v>
      </c>
      <c r="J8656">
        <v>0.99541809851088203</v>
      </c>
      <c r="K8656">
        <v>1</v>
      </c>
      <c r="L8656">
        <v>0.99770378874856502</v>
      </c>
      <c r="M8656">
        <v>0.99312714776632305</v>
      </c>
      <c r="N8656">
        <v>0.99312714776632305</v>
      </c>
      <c r="O8656">
        <v>0.99312714776632305</v>
      </c>
      <c r="P8656" t="s">
        <v>1531</v>
      </c>
      <c r="Q8656" t="s">
        <v>1532</v>
      </c>
      <c r="R8656" t="s">
        <v>8778</v>
      </c>
      <c r="S8656" t="s">
        <v>8779</v>
      </c>
      <c r="V8656" t="s">
        <v>14006</v>
      </c>
      <c r="W8656" t="s">
        <v>14007</v>
      </c>
      <c r="AF8656" t="s">
        <v>17485</v>
      </c>
    </row>
    <row r="8657" spans="1:32" hidden="1" x14ac:dyDescent="0.35">
      <c r="A8657">
        <v>8656</v>
      </c>
      <c r="B8657" t="s">
        <v>17484</v>
      </c>
      <c r="C8657" t="s">
        <v>277</v>
      </c>
      <c r="D8657" t="s">
        <v>45</v>
      </c>
      <c r="E8657">
        <v>2139</v>
      </c>
      <c r="F8657">
        <v>2</v>
      </c>
      <c r="G8657">
        <v>2</v>
      </c>
      <c r="H8657">
        <v>1</v>
      </c>
      <c r="I8657">
        <v>0</v>
      </c>
      <c r="J8657">
        <v>0.99541809851088203</v>
      </c>
      <c r="K8657">
        <v>1</v>
      </c>
      <c r="L8657">
        <v>0.99770378874856502</v>
      </c>
      <c r="M8657">
        <v>0.99312714776632305</v>
      </c>
      <c r="N8657">
        <v>0.99312714776632305</v>
      </c>
      <c r="O8657">
        <v>0.99312714776632305</v>
      </c>
      <c r="P8657" t="s">
        <v>1531</v>
      </c>
      <c r="Q8657" t="s">
        <v>1532</v>
      </c>
      <c r="R8657" t="s">
        <v>8778</v>
      </c>
      <c r="S8657" t="s">
        <v>8779</v>
      </c>
      <c r="V8657" t="s">
        <v>14006</v>
      </c>
      <c r="W8657" t="s">
        <v>14007</v>
      </c>
      <c r="AF8657" t="s">
        <v>17486</v>
      </c>
    </row>
    <row r="8658" spans="1:32" hidden="1" x14ac:dyDescent="0.35">
      <c r="A8658">
        <v>8657</v>
      </c>
      <c r="B8658" t="s">
        <v>17487</v>
      </c>
      <c r="C8658" t="s">
        <v>277</v>
      </c>
      <c r="D8658" t="s">
        <v>60</v>
      </c>
      <c r="E8658">
        <v>7</v>
      </c>
      <c r="F8658">
        <v>2</v>
      </c>
      <c r="G8658">
        <v>2</v>
      </c>
      <c r="H8658">
        <v>1</v>
      </c>
      <c r="I8658">
        <v>0</v>
      </c>
      <c r="J8658">
        <v>0.99176954732510303</v>
      </c>
      <c r="K8658">
        <v>1</v>
      </c>
      <c r="L8658">
        <v>0.995867768595041</v>
      </c>
      <c r="M8658">
        <v>0.99176954732510303</v>
      </c>
      <c r="N8658">
        <v>0.99176954732510303</v>
      </c>
      <c r="O8658">
        <v>0.99176954732510303</v>
      </c>
      <c r="P8658" t="s">
        <v>1041</v>
      </c>
      <c r="Q8658" t="s">
        <v>1042</v>
      </c>
      <c r="R8658" t="s">
        <v>138</v>
      </c>
      <c r="S8658" t="s">
        <v>139</v>
      </c>
      <c r="V8658" t="s">
        <v>1038</v>
      </c>
      <c r="W8658" t="s">
        <v>1039</v>
      </c>
      <c r="AF8658" t="s">
        <v>17488</v>
      </c>
    </row>
    <row r="8659" spans="1:32" hidden="1" x14ac:dyDescent="0.35">
      <c r="A8659">
        <v>8658</v>
      </c>
      <c r="B8659" t="s">
        <v>17487</v>
      </c>
      <c r="C8659" t="s">
        <v>277</v>
      </c>
      <c r="D8659" t="s">
        <v>62</v>
      </c>
      <c r="E8659">
        <v>86</v>
      </c>
      <c r="F8659">
        <v>2</v>
      </c>
      <c r="G8659">
        <v>2</v>
      </c>
      <c r="H8659">
        <v>1</v>
      </c>
      <c r="I8659">
        <v>0</v>
      </c>
      <c r="J8659">
        <v>0.99176954732510303</v>
      </c>
      <c r="K8659">
        <v>1</v>
      </c>
      <c r="L8659">
        <v>0.995867768595041</v>
      </c>
      <c r="M8659">
        <v>0.99176954732510303</v>
      </c>
      <c r="N8659">
        <v>0.99176954732510303</v>
      </c>
      <c r="O8659">
        <v>0.99176954732510303</v>
      </c>
      <c r="P8659" t="s">
        <v>1041</v>
      </c>
      <c r="Q8659" t="s">
        <v>1042</v>
      </c>
      <c r="R8659" t="s">
        <v>138</v>
      </c>
      <c r="S8659" t="s">
        <v>139</v>
      </c>
      <c r="V8659" t="s">
        <v>1038</v>
      </c>
      <c r="W8659" t="s">
        <v>1039</v>
      </c>
      <c r="AF8659" t="s">
        <v>17489</v>
      </c>
    </row>
    <row r="8660" spans="1:32" hidden="1" x14ac:dyDescent="0.35">
      <c r="A8660">
        <v>8659</v>
      </c>
      <c r="B8660" t="s">
        <v>17490</v>
      </c>
      <c r="C8660" t="s">
        <v>277</v>
      </c>
      <c r="D8660" t="s">
        <v>34</v>
      </c>
      <c r="E8660">
        <v>1220</v>
      </c>
      <c r="F8660">
        <v>2</v>
      </c>
      <c r="G8660">
        <v>2</v>
      </c>
      <c r="H8660">
        <v>1</v>
      </c>
      <c r="I8660">
        <v>0</v>
      </c>
      <c r="J8660">
        <v>0.99382716049382702</v>
      </c>
      <c r="K8660">
        <v>0.99498330579069505</v>
      </c>
      <c r="L8660">
        <v>0.99440489709416302</v>
      </c>
      <c r="M8660">
        <v>0.98659966499162499</v>
      </c>
      <c r="N8660">
        <v>0.98659966499162499</v>
      </c>
      <c r="O8660">
        <v>0.98659966499162499</v>
      </c>
      <c r="P8660" t="s">
        <v>17491</v>
      </c>
      <c r="Q8660" t="s">
        <v>17492</v>
      </c>
      <c r="R8660" t="s">
        <v>652</v>
      </c>
      <c r="S8660" t="s">
        <v>653</v>
      </c>
      <c r="V8660" t="s">
        <v>17493</v>
      </c>
      <c r="W8660" t="s">
        <v>17494</v>
      </c>
      <c r="AF8660" t="s">
        <v>17495</v>
      </c>
    </row>
    <row r="8661" spans="1:32" hidden="1" x14ac:dyDescent="0.35">
      <c r="A8661">
        <v>8660</v>
      </c>
      <c r="B8661" t="s">
        <v>17490</v>
      </c>
      <c r="C8661" t="s">
        <v>277</v>
      </c>
      <c r="D8661" t="s">
        <v>45</v>
      </c>
      <c r="E8661">
        <v>2463</v>
      </c>
      <c r="F8661">
        <v>2</v>
      </c>
      <c r="G8661">
        <v>2</v>
      </c>
      <c r="H8661">
        <v>1</v>
      </c>
      <c r="I8661">
        <v>0</v>
      </c>
      <c r="J8661">
        <v>0.99382716049382702</v>
      </c>
      <c r="K8661">
        <v>0.99498330579069505</v>
      </c>
      <c r="L8661">
        <v>0.99440489709416302</v>
      </c>
      <c r="M8661">
        <v>0.98659966499162499</v>
      </c>
      <c r="N8661">
        <v>0.98659966499162499</v>
      </c>
      <c r="O8661">
        <v>0.98659966499162499</v>
      </c>
      <c r="P8661" t="s">
        <v>17491</v>
      </c>
      <c r="Q8661" t="s">
        <v>17492</v>
      </c>
      <c r="R8661" t="s">
        <v>652</v>
      </c>
      <c r="S8661" t="s">
        <v>653</v>
      </c>
      <c r="V8661" t="s">
        <v>17493</v>
      </c>
      <c r="W8661" t="s">
        <v>17494</v>
      </c>
      <c r="AF8661" t="s">
        <v>17496</v>
      </c>
    </row>
    <row r="8662" spans="1:32" hidden="1" x14ac:dyDescent="0.35">
      <c r="A8662">
        <v>8661</v>
      </c>
      <c r="B8662" t="s">
        <v>17497</v>
      </c>
      <c r="C8662" t="s">
        <v>277</v>
      </c>
      <c r="D8662" t="s">
        <v>60</v>
      </c>
      <c r="E8662">
        <v>2254</v>
      </c>
      <c r="F8662">
        <v>2</v>
      </c>
      <c r="G8662">
        <v>2</v>
      </c>
      <c r="H8662">
        <v>1</v>
      </c>
      <c r="I8662">
        <v>0</v>
      </c>
      <c r="J8662">
        <v>0.99470899470899499</v>
      </c>
      <c r="K8662">
        <v>1</v>
      </c>
      <c r="L8662">
        <v>0.99734748010610097</v>
      </c>
      <c r="M8662">
        <v>0.99206349206349198</v>
      </c>
      <c r="N8662">
        <v>0.99206349206349198</v>
      </c>
      <c r="O8662">
        <v>0.99206349206349198</v>
      </c>
      <c r="P8662" t="s">
        <v>17498</v>
      </c>
      <c r="Q8662" t="s">
        <v>17499</v>
      </c>
      <c r="R8662" t="s">
        <v>113</v>
      </c>
      <c r="S8662" t="s">
        <v>114</v>
      </c>
      <c r="T8662" t="s">
        <v>17500</v>
      </c>
      <c r="U8662" t="s">
        <v>17501</v>
      </c>
      <c r="V8662" t="s">
        <v>6856</v>
      </c>
      <c r="W8662" t="s">
        <v>6857</v>
      </c>
      <c r="AD8662" t="s">
        <v>312</v>
      </c>
      <c r="AE8662" t="s">
        <v>6858</v>
      </c>
      <c r="AF8662" t="s">
        <v>17502</v>
      </c>
    </row>
    <row r="8663" spans="1:32" hidden="1" x14ac:dyDescent="0.35">
      <c r="A8663">
        <v>8662</v>
      </c>
      <c r="B8663" t="s">
        <v>17497</v>
      </c>
      <c r="C8663" t="s">
        <v>277</v>
      </c>
      <c r="D8663" t="s">
        <v>62</v>
      </c>
      <c r="E8663">
        <v>2283</v>
      </c>
      <c r="F8663">
        <v>2</v>
      </c>
      <c r="G8663">
        <v>2</v>
      </c>
      <c r="H8663">
        <v>1</v>
      </c>
      <c r="I8663">
        <v>0</v>
      </c>
      <c r="J8663">
        <v>0.99470899470899499</v>
      </c>
      <c r="K8663">
        <v>1</v>
      </c>
      <c r="L8663">
        <v>0.99734748010610097</v>
      </c>
      <c r="M8663">
        <v>0.99206349206349198</v>
      </c>
      <c r="N8663">
        <v>0.99206349206349198</v>
      </c>
      <c r="O8663">
        <v>0.99206349206349198</v>
      </c>
      <c r="P8663" t="s">
        <v>17498</v>
      </c>
      <c r="Q8663" t="s">
        <v>17499</v>
      </c>
      <c r="R8663" t="s">
        <v>113</v>
      </c>
      <c r="S8663" t="s">
        <v>114</v>
      </c>
      <c r="T8663" t="s">
        <v>17500</v>
      </c>
      <c r="U8663" t="s">
        <v>17501</v>
      </c>
      <c r="V8663" t="s">
        <v>6856</v>
      </c>
      <c r="W8663" t="s">
        <v>6857</v>
      </c>
      <c r="AD8663" t="s">
        <v>312</v>
      </c>
      <c r="AE8663" t="s">
        <v>6858</v>
      </c>
      <c r="AF8663" t="s">
        <v>17503</v>
      </c>
    </row>
    <row r="8664" spans="1:32" hidden="1" x14ac:dyDescent="0.35">
      <c r="A8664">
        <v>8663</v>
      </c>
      <c r="B8664" t="s">
        <v>17504</v>
      </c>
      <c r="C8664" t="s">
        <v>277</v>
      </c>
      <c r="D8664" t="s">
        <v>60</v>
      </c>
      <c r="E8664">
        <v>1888</v>
      </c>
      <c r="F8664">
        <v>2</v>
      </c>
      <c r="G8664">
        <v>2</v>
      </c>
      <c r="H8664">
        <v>1</v>
      </c>
      <c r="I8664">
        <v>0</v>
      </c>
      <c r="J8664">
        <v>0.992869875222816</v>
      </c>
      <c r="K8664">
        <v>1</v>
      </c>
      <c r="L8664">
        <v>0.99642218246869396</v>
      </c>
      <c r="M8664">
        <v>0.989304812834225</v>
      </c>
      <c r="N8664">
        <v>0.989304812834225</v>
      </c>
      <c r="O8664">
        <v>0.989304812834225</v>
      </c>
      <c r="AF8664" t="s">
        <v>17505</v>
      </c>
    </row>
    <row r="8665" spans="1:32" hidden="1" x14ac:dyDescent="0.35">
      <c r="A8665">
        <v>8664</v>
      </c>
      <c r="B8665" t="s">
        <v>17504</v>
      </c>
      <c r="C8665" t="s">
        <v>277</v>
      </c>
      <c r="D8665" t="s">
        <v>62</v>
      </c>
      <c r="E8665">
        <v>1928</v>
      </c>
      <c r="F8665">
        <v>2</v>
      </c>
      <c r="G8665">
        <v>2</v>
      </c>
      <c r="H8665">
        <v>1</v>
      </c>
      <c r="I8665">
        <v>0</v>
      </c>
      <c r="J8665">
        <v>0.992869875222816</v>
      </c>
      <c r="K8665">
        <v>1</v>
      </c>
      <c r="L8665">
        <v>0.99642218246869396</v>
      </c>
      <c r="M8665">
        <v>0.989304812834225</v>
      </c>
      <c r="N8665">
        <v>0.989304812834225</v>
      </c>
      <c r="O8665">
        <v>0.989304812834225</v>
      </c>
      <c r="AF8665" t="s">
        <v>17506</v>
      </c>
    </row>
    <row r="8666" spans="1:32" hidden="1" x14ac:dyDescent="0.35">
      <c r="A8666">
        <v>8665</v>
      </c>
      <c r="B8666" t="s">
        <v>17507</v>
      </c>
      <c r="C8666" t="s">
        <v>277</v>
      </c>
      <c r="D8666" t="s">
        <v>60</v>
      </c>
      <c r="E8666">
        <v>1717</v>
      </c>
      <c r="F8666">
        <v>2</v>
      </c>
      <c r="G8666">
        <v>2</v>
      </c>
      <c r="H8666">
        <v>1</v>
      </c>
      <c r="I8666">
        <v>0</v>
      </c>
      <c r="J8666">
        <v>0.99111111111111105</v>
      </c>
      <c r="K8666">
        <v>1</v>
      </c>
      <c r="L8666">
        <v>0.99553571428571397</v>
      </c>
      <c r="M8666">
        <v>0.98666666666666702</v>
      </c>
      <c r="N8666">
        <v>0.98666666666666702</v>
      </c>
      <c r="O8666">
        <v>0.98666666666666702</v>
      </c>
      <c r="AF8666" t="s">
        <v>17508</v>
      </c>
    </row>
    <row r="8667" spans="1:32" hidden="1" x14ac:dyDescent="0.35">
      <c r="A8667">
        <v>8666</v>
      </c>
      <c r="B8667" t="s">
        <v>17507</v>
      </c>
      <c r="C8667" t="s">
        <v>277</v>
      </c>
      <c r="D8667" t="s">
        <v>62</v>
      </c>
      <c r="E8667">
        <v>1752</v>
      </c>
      <c r="F8667">
        <v>2</v>
      </c>
      <c r="G8667">
        <v>2</v>
      </c>
      <c r="H8667">
        <v>1</v>
      </c>
      <c r="I8667">
        <v>0</v>
      </c>
      <c r="J8667">
        <v>0.99111111111111105</v>
      </c>
      <c r="K8667">
        <v>1</v>
      </c>
      <c r="L8667">
        <v>0.99553571428571397</v>
      </c>
      <c r="M8667">
        <v>0.98666666666666702</v>
      </c>
      <c r="N8667">
        <v>0.98666666666666702</v>
      </c>
      <c r="O8667">
        <v>0.98666666666666702</v>
      </c>
      <c r="AF8667" t="s">
        <v>17509</v>
      </c>
    </row>
    <row r="8668" spans="1:32" hidden="1" x14ac:dyDescent="0.35">
      <c r="A8668">
        <v>8667</v>
      </c>
      <c r="B8668" t="s">
        <v>17510</v>
      </c>
      <c r="C8668" t="s">
        <v>277</v>
      </c>
      <c r="D8668" t="s">
        <v>60</v>
      </c>
      <c r="E8668">
        <v>1940</v>
      </c>
      <c r="F8668">
        <v>2</v>
      </c>
      <c r="G8668">
        <v>2</v>
      </c>
      <c r="H8668">
        <v>1</v>
      </c>
      <c r="I8668">
        <v>0</v>
      </c>
      <c r="J8668">
        <v>0.99078726968174202</v>
      </c>
      <c r="K8668">
        <v>1</v>
      </c>
      <c r="L8668">
        <v>0.99537231804796</v>
      </c>
      <c r="M8668">
        <v>0.98743718592964802</v>
      </c>
      <c r="N8668">
        <v>0.98743718592964802</v>
      </c>
      <c r="O8668">
        <v>0.98743718592964802</v>
      </c>
      <c r="P8668" t="s">
        <v>136</v>
      </c>
      <c r="Q8668" t="s">
        <v>137</v>
      </c>
      <c r="R8668" t="s">
        <v>138</v>
      </c>
      <c r="S8668" t="s">
        <v>139</v>
      </c>
      <c r="T8668" t="s">
        <v>140</v>
      </c>
      <c r="U8668" t="s">
        <v>141</v>
      </c>
      <c r="V8668" t="s">
        <v>142</v>
      </c>
      <c r="W8668" t="s">
        <v>143</v>
      </c>
      <c r="Z8668" t="s">
        <v>144</v>
      </c>
      <c r="AA8668" t="s">
        <v>145</v>
      </c>
      <c r="AB8668" t="s">
        <v>144</v>
      </c>
      <c r="AC8668" t="s">
        <v>146</v>
      </c>
      <c r="AD8668" t="s">
        <v>147</v>
      </c>
      <c r="AE8668" t="s">
        <v>148</v>
      </c>
      <c r="AF8668" t="s">
        <v>17511</v>
      </c>
    </row>
    <row r="8669" spans="1:32" hidden="1" x14ac:dyDescent="0.35">
      <c r="A8669">
        <v>8668</v>
      </c>
      <c r="B8669" t="s">
        <v>17510</v>
      </c>
      <c r="C8669" t="s">
        <v>277</v>
      </c>
      <c r="D8669" t="s">
        <v>62</v>
      </c>
      <c r="E8669">
        <v>1980</v>
      </c>
      <c r="F8669">
        <v>2</v>
      </c>
      <c r="G8669">
        <v>2</v>
      </c>
      <c r="H8669">
        <v>1</v>
      </c>
      <c r="I8669">
        <v>0</v>
      </c>
      <c r="J8669">
        <v>0.99078726968174202</v>
      </c>
      <c r="K8669">
        <v>1</v>
      </c>
      <c r="L8669">
        <v>0.99537231804796</v>
      </c>
      <c r="M8669">
        <v>0.98743718592964802</v>
      </c>
      <c r="N8669">
        <v>0.98743718592964802</v>
      </c>
      <c r="O8669">
        <v>0.98743718592964802</v>
      </c>
      <c r="P8669" t="s">
        <v>136</v>
      </c>
      <c r="Q8669" t="s">
        <v>137</v>
      </c>
      <c r="R8669" t="s">
        <v>138</v>
      </c>
      <c r="S8669" t="s">
        <v>139</v>
      </c>
      <c r="T8669" t="s">
        <v>140</v>
      </c>
      <c r="U8669" t="s">
        <v>141</v>
      </c>
      <c r="V8669" t="s">
        <v>142</v>
      </c>
      <c r="W8669" t="s">
        <v>143</v>
      </c>
      <c r="Z8669" t="s">
        <v>144</v>
      </c>
      <c r="AA8669" t="s">
        <v>145</v>
      </c>
      <c r="AB8669" t="s">
        <v>144</v>
      </c>
      <c r="AC8669" t="s">
        <v>146</v>
      </c>
      <c r="AD8669" t="s">
        <v>147</v>
      </c>
      <c r="AE8669" t="s">
        <v>148</v>
      </c>
      <c r="AF8669" t="s">
        <v>17512</v>
      </c>
    </row>
    <row r="8670" spans="1:32" hidden="1" x14ac:dyDescent="0.35">
      <c r="A8670">
        <v>8669</v>
      </c>
      <c r="B8670" t="s">
        <v>17513</v>
      </c>
      <c r="C8670" t="s">
        <v>277</v>
      </c>
      <c r="D8670" t="s">
        <v>34</v>
      </c>
      <c r="E8670">
        <v>91</v>
      </c>
      <c r="F8670">
        <v>2</v>
      </c>
      <c r="G8670">
        <v>2</v>
      </c>
      <c r="H8670">
        <v>1</v>
      </c>
      <c r="I8670">
        <v>0</v>
      </c>
      <c r="J8670">
        <v>0.99873737373737403</v>
      </c>
      <c r="K8670">
        <v>0.95408884005650396</v>
      </c>
      <c r="L8670">
        <v>0.97590269497554805</v>
      </c>
      <c r="M8670">
        <v>0.94945848375451303</v>
      </c>
      <c r="N8670">
        <v>0.94945848375451303</v>
      </c>
      <c r="O8670">
        <v>0.94945848375451303</v>
      </c>
      <c r="P8670" t="s">
        <v>2331</v>
      </c>
      <c r="Q8670" t="s">
        <v>2332</v>
      </c>
      <c r="R8670" t="s">
        <v>652</v>
      </c>
      <c r="S8670" t="s">
        <v>653</v>
      </c>
      <c r="T8670" t="s">
        <v>17514</v>
      </c>
      <c r="U8670" t="s">
        <v>17515</v>
      </c>
      <c r="V8670" t="s">
        <v>17516</v>
      </c>
      <c r="W8670" t="s">
        <v>17517</v>
      </c>
      <c r="AD8670" t="s">
        <v>219</v>
      </c>
      <c r="AE8670" t="s">
        <v>17518</v>
      </c>
      <c r="AF8670" t="s">
        <v>17519</v>
      </c>
    </row>
    <row r="8671" spans="1:32" hidden="1" x14ac:dyDescent="0.35">
      <c r="A8671">
        <v>8670</v>
      </c>
      <c r="B8671" t="s">
        <v>17513</v>
      </c>
      <c r="C8671" t="s">
        <v>277</v>
      </c>
      <c r="D8671" t="s">
        <v>45</v>
      </c>
      <c r="E8671">
        <v>1351</v>
      </c>
      <c r="F8671">
        <v>2</v>
      </c>
      <c r="G8671">
        <v>2</v>
      </c>
      <c r="H8671">
        <v>1</v>
      </c>
      <c r="I8671">
        <v>0</v>
      </c>
      <c r="J8671">
        <v>0.99873737373737403</v>
      </c>
      <c r="K8671">
        <v>0.95408884005650396</v>
      </c>
      <c r="L8671">
        <v>0.97590269497554805</v>
      </c>
      <c r="M8671">
        <v>0.94945848375451303</v>
      </c>
      <c r="N8671">
        <v>0.94945848375451303</v>
      </c>
      <c r="O8671">
        <v>0.94945848375451303</v>
      </c>
      <c r="P8671" t="s">
        <v>2331</v>
      </c>
      <c r="Q8671" t="s">
        <v>2332</v>
      </c>
      <c r="R8671" t="s">
        <v>652</v>
      </c>
      <c r="S8671" t="s">
        <v>653</v>
      </c>
      <c r="T8671" t="s">
        <v>17514</v>
      </c>
      <c r="U8671" t="s">
        <v>17515</v>
      </c>
      <c r="V8671" t="s">
        <v>17516</v>
      </c>
      <c r="W8671" t="s">
        <v>17517</v>
      </c>
      <c r="AD8671" t="s">
        <v>219</v>
      </c>
      <c r="AE8671" t="s">
        <v>17518</v>
      </c>
      <c r="AF8671" t="s">
        <v>17520</v>
      </c>
    </row>
    <row r="8672" spans="1:32" hidden="1" x14ac:dyDescent="0.35">
      <c r="A8672">
        <v>8671</v>
      </c>
      <c r="B8672" t="s">
        <v>17521</v>
      </c>
      <c r="C8672" t="s">
        <v>277</v>
      </c>
      <c r="D8672" t="s">
        <v>60</v>
      </c>
      <c r="E8672">
        <v>291</v>
      </c>
      <c r="F8672">
        <v>2</v>
      </c>
      <c r="G8672">
        <v>2</v>
      </c>
      <c r="H8672">
        <v>1</v>
      </c>
      <c r="I8672">
        <v>0</v>
      </c>
      <c r="J8672">
        <v>0.98881431767337802</v>
      </c>
      <c r="K8672">
        <v>1</v>
      </c>
      <c r="L8672">
        <v>0.99437570303711997</v>
      </c>
      <c r="M8672">
        <v>0.98657718120805404</v>
      </c>
      <c r="N8672">
        <v>0.98657718120805404</v>
      </c>
      <c r="O8672">
        <v>0.98657718120805404</v>
      </c>
      <c r="P8672" t="s">
        <v>17522</v>
      </c>
      <c r="Q8672" t="s">
        <v>17523</v>
      </c>
      <c r="R8672" t="s">
        <v>4098</v>
      </c>
      <c r="S8672" t="s">
        <v>4099</v>
      </c>
      <c r="V8672" t="s">
        <v>17524</v>
      </c>
      <c r="W8672" t="s">
        <v>17525</v>
      </c>
      <c r="AF8672" t="s">
        <v>17526</v>
      </c>
    </row>
    <row r="8673" spans="1:32" hidden="1" x14ac:dyDescent="0.35">
      <c r="A8673">
        <v>8672</v>
      </c>
      <c r="B8673" t="s">
        <v>17521</v>
      </c>
      <c r="C8673" t="s">
        <v>277</v>
      </c>
      <c r="D8673" t="s">
        <v>62</v>
      </c>
      <c r="E8673">
        <v>369</v>
      </c>
      <c r="F8673">
        <v>2</v>
      </c>
      <c r="G8673">
        <v>2</v>
      </c>
      <c r="H8673">
        <v>1</v>
      </c>
      <c r="I8673">
        <v>0</v>
      </c>
      <c r="J8673">
        <v>0.98881431767337802</v>
      </c>
      <c r="K8673">
        <v>1</v>
      </c>
      <c r="L8673">
        <v>0.99437570303711997</v>
      </c>
      <c r="M8673">
        <v>0.98657718120805404</v>
      </c>
      <c r="N8673">
        <v>0.98657718120805404</v>
      </c>
      <c r="O8673">
        <v>0.98657718120805404</v>
      </c>
      <c r="P8673" t="s">
        <v>17522</v>
      </c>
      <c r="Q8673" t="s">
        <v>17523</v>
      </c>
      <c r="R8673" t="s">
        <v>4098</v>
      </c>
      <c r="S8673" t="s">
        <v>4099</v>
      </c>
      <c r="V8673" t="s">
        <v>17524</v>
      </c>
      <c r="W8673" t="s">
        <v>17525</v>
      </c>
      <c r="AF8673" t="s">
        <v>17527</v>
      </c>
    </row>
    <row r="8674" spans="1:32" hidden="1" x14ac:dyDescent="0.35">
      <c r="A8674">
        <v>8673</v>
      </c>
      <c r="B8674" t="s">
        <v>17528</v>
      </c>
      <c r="C8674" t="s">
        <v>277</v>
      </c>
      <c r="D8674" t="s">
        <v>34</v>
      </c>
      <c r="E8674">
        <v>1635</v>
      </c>
      <c r="F8674">
        <v>2</v>
      </c>
      <c r="G8674">
        <v>2</v>
      </c>
      <c r="H8674">
        <v>1</v>
      </c>
      <c r="I8674">
        <v>0</v>
      </c>
      <c r="J8674">
        <v>0.975169300225734</v>
      </c>
      <c r="K8674">
        <v>1</v>
      </c>
      <c r="L8674">
        <v>0.98742857142857099</v>
      </c>
      <c r="M8674">
        <v>0.96613995485327298</v>
      </c>
      <c r="N8674">
        <v>0.96613995485327298</v>
      </c>
      <c r="O8674">
        <v>0.96613995485327298</v>
      </c>
      <c r="P8674" t="s">
        <v>17298</v>
      </c>
      <c r="Q8674" t="s">
        <v>17299</v>
      </c>
      <c r="AF8674" t="s">
        <v>17529</v>
      </c>
    </row>
    <row r="8675" spans="1:32" hidden="1" x14ac:dyDescent="0.35">
      <c r="A8675">
        <v>8674</v>
      </c>
      <c r="B8675" t="s">
        <v>17528</v>
      </c>
      <c r="C8675" t="s">
        <v>277</v>
      </c>
      <c r="D8675" t="s">
        <v>45</v>
      </c>
      <c r="E8675">
        <v>382</v>
      </c>
      <c r="F8675">
        <v>2</v>
      </c>
      <c r="G8675">
        <v>2</v>
      </c>
      <c r="H8675">
        <v>1</v>
      </c>
      <c r="I8675">
        <v>0</v>
      </c>
      <c r="J8675">
        <v>0.975169300225734</v>
      </c>
      <c r="K8675">
        <v>1</v>
      </c>
      <c r="L8675">
        <v>0.98742857142857099</v>
      </c>
      <c r="M8675">
        <v>0.96613995485327298</v>
      </c>
      <c r="N8675">
        <v>0.96613995485327298</v>
      </c>
      <c r="O8675">
        <v>0.96613995485327298</v>
      </c>
      <c r="P8675" t="s">
        <v>17298</v>
      </c>
      <c r="Q8675" t="s">
        <v>17299</v>
      </c>
      <c r="AF8675" t="s">
        <v>17530</v>
      </c>
    </row>
    <row r="8676" spans="1:32" hidden="1" x14ac:dyDescent="0.35">
      <c r="A8676">
        <v>8675</v>
      </c>
      <c r="B8676" t="s">
        <v>17531</v>
      </c>
      <c r="C8676" t="s">
        <v>277</v>
      </c>
      <c r="D8676" t="s">
        <v>34</v>
      </c>
      <c r="E8676">
        <v>1833</v>
      </c>
      <c r="F8676">
        <v>2</v>
      </c>
      <c r="G8676">
        <v>2</v>
      </c>
      <c r="H8676">
        <v>1</v>
      </c>
      <c r="I8676">
        <v>0</v>
      </c>
      <c r="J8676">
        <v>0.98554652213188798</v>
      </c>
      <c r="K8676">
        <v>1</v>
      </c>
      <c r="L8676">
        <v>0.99272065514103702</v>
      </c>
      <c r="M8676">
        <v>0.98373983739837401</v>
      </c>
      <c r="N8676">
        <v>0.98373983739837401</v>
      </c>
      <c r="O8676">
        <v>0.98373983739837401</v>
      </c>
      <c r="P8676" t="s">
        <v>17157</v>
      </c>
      <c r="Q8676" t="s">
        <v>15723</v>
      </c>
      <c r="R8676" t="s">
        <v>17532</v>
      </c>
      <c r="S8676" t="s">
        <v>17533</v>
      </c>
      <c r="V8676" t="s">
        <v>17534</v>
      </c>
      <c r="W8676" t="s">
        <v>17535</v>
      </c>
      <c r="AF8676" t="s">
        <v>17536</v>
      </c>
    </row>
    <row r="8677" spans="1:32" hidden="1" x14ac:dyDescent="0.35">
      <c r="A8677">
        <v>8676</v>
      </c>
      <c r="B8677" t="s">
        <v>17531</v>
      </c>
      <c r="C8677" t="s">
        <v>277</v>
      </c>
      <c r="D8677" t="s">
        <v>45</v>
      </c>
      <c r="E8677">
        <v>1040</v>
      </c>
      <c r="F8677">
        <v>2</v>
      </c>
      <c r="G8677">
        <v>2</v>
      </c>
      <c r="H8677">
        <v>1</v>
      </c>
      <c r="I8677">
        <v>0</v>
      </c>
      <c r="J8677">
        <v>0.98554652213188798</v>
      </c>
      <c r="K8677">
        <v>1</v>
      </c>
      <c r="L8677">
        <v>0.99272065514103702</v>
      </c>
      <c r="M8677">
        <v>0.98373983739837401</v>
      </c>
      <c r="N8677">
        <v>0.98373983739837401</v>
      </c>
      <c r="O8677">
        <v>0.98373983739837401</v>
      </c>
      <c r="P8677" t="s">
        <v>17157</v>
      </c>
      <c r="Q8677" t="s">
        <v>15723</v>
      </c>
      <c r="R8677" t="s">
        <v>17532</v>
      </c>
      <c r="S8677" t="s">
        <v>17533</v>
      </c>
      <c r="V8677" t="s">
        <v>17534</v>
      </c>
      <c r="W8677" t="s">
        <v>17535</v>
      </c>
      <c r="AF8677" t="s">
        <v>17537</v>
      </c>
    </row>
    <row r="8678" spans="1:32" hidden="1" x14ac:dyDescent="0.35">
      <c r="A8678">
        <v>8677</v>
      </c>
      <c r="B8678" t="s">
        <v>17538</v>
      </c>
      <c r="C8678" t="s">
        <v>277</v>
      </c>
      <c r="D8678" t="s">
        <v>60</v>
      </c>
      <c r="E8678">
        <v>2103</v>
      </c>
      <c r="F8678">
        <v>2</v>
      </c>
      <c r="G8678">
        <v>2</v>
      </c>
      <c r="H8678">
        <v>1</v>
      </c>
      <c r="I8678">
        <v>0</v>
      </c>
      <c r="J8678">
        <v>0.99451303155006898</v>
      </c>
      <c r="K8678">
        <v>1</v>
      </c>
      <c r="L8678">
        <v>0.99724896836313603</v>
      </c>
      <c r="M8678">
        <v>0.99176954732510303</v>
      </c>
      <c r="N8678">
        <v>0.99176954732510303</v>
      </c>
      <c r="O8678">
        <v>0.99176954732510303</v>
      </c>
      <c r="P8678" t="s">
        <v>17539</v>
      </c>
      <c r="Q8678" t="s">
        <v>17540</v>
      </c>
      <c r="R8678" t="s">
        <v>224</v>
      </c>
      <c r="S8678" t="s">
        <v>225</v>
      </c>
      <c r="T8678" t="s">
        <v>17541</v>
      </c>
      <c r="U8678" t="s">
        <v>17542</v>
      </c>
      <c r="V8678" t="s">
        <v>17543</v>
      </c>
      <c r="W8678" t="s">
        <v>17544</v>
      </c>
      <c r="AD8678" t="s">
        <v>12828</v>
      </c>
      <c r="AE8678" t="s">
        <v>12829</v>
      </c>
      <c r="AF8678" t="s">
        <v>17545</v>
      </c>
    </row>
    <row r="8679" spans="1:32" hidden="1" x14ac:dyDescent="0.35">
      <c r="A8679">
        <v>8678</v>
      </c>
      <c r="B8679" t="s">
        <v>17538</v>
      </c>
      <c r="C8679" t="s">
        <v>277</v>
      </c>
      <c r="D8679" t="s">
        <v>62</v>
      </c>
      <c r="E8679">
        <v>2138</v>
      </c>
      <c r="F8679">
        <v>2</v>
      </c>
      <c r="G8679">
        <v>2</v>
      </c>
      <c r="H8679">
        <v>1</v>
      </c>
      <c r="I8679">
        <v>0</v>
      </c>
      <c r="J8679">
        <v>0.99451303155006898</v>
      </c>
      <c r="K8679">
        <v>1</v>
      </c>
      <c r="L8679">
        <v>0.99724896836313603</v>
      </c>
      <c r="M8679">
        <v>0.99176954732510303</v>
      </c>
      <c r="N8679">
        <v>0.99176954732510303</v>
      </c>
      <c r="O8679">
        <v>0.99176954732510303</v>
      </c>
      <c r="P8679" t="s">
        <v>17539</v>
      </c>
      <c r="Q8679" t="s">
        <v>17540</v>
      </c>
      <c r="R8679" t="s">
        <v>224</v>
      </c>
      <c r="S8679" t="s">
        <v>225</v>
      </c>
      <c r="T8679" t="s">
        <v>17541</v>
      </c>
      <c r="U8679" t="s">
        <v>17542</v>
      </c>
      <c r="V8679" t="s">
        <v>17543</v>
      </c>
      <c r="W8679" t="s">
        <v>17544</v>
      </c>
      <c r="AD8679" t="s">
        <v>12828</v>
      </c>
      <c r="AE8679" t="s">
        <v>12829</v>
      </c>
      <c r="AF8679" t="s">
        <v>17546</v>
      </c>
    </row>
    <row r="8680" spans="1:32" hidden="1" x14ac:dyDescent="0.35">
      <c r="A8680">
        <v>8679</v>
      </c>
      <c r="B8680" t="s">
        <v>17547</v>
      </c>
      <c r="C8680" t="s">
        <v>277</v>
      </c>
      <c r="D8680" t="s">
        <v>34</v>
      </c>
      <c r="E8680">
        <v>1839</v>
      </c>
      <c r="F8680">
        <v>2</v>
      </c>
      <c r="G8680">
        <v>2</v>
      </c>
      <c r="H8680">
        <v>1</v>
      </c>
      <c r="I8680">
        <v>0</v>
      </c>
      <c r="J8680">
        <v>0.99696969696969695</v>
      </c>
      <c r="K8680">
        <v>1</v>
      </c>
      <c r="L8680">
        <v>0.99848254931714697</v>
      </c>
      <c r="M8680">
        <v>0.99090909090909096</v>
      </c>
      <c r="N8680">
        <v>0.99090909090909096</v>
      </c>
      <c r="O8680">
        <v>0.99090909090909096</v>
      </c>
      <c r="AF8680" t="s">
        <v>17548</v>
      </c>
    </row>
    <row r="8681" spans="1:32" hidden="1" x14ac:dyDescent="0.35">
      <c r="A8681">
        <v>8680</v>
      </c>
      <c r="B8681" t="s">
        <v>17547</v>
      </c>
      <c r="C8681" t="s">
        <v>277</v>
      </c>
      <c r="D8681" t="s">
        <v>45</v>
      </c>
      <c r="E8681">
        <v>1034</v>
      </c>
      <c r="F8681">
        <v>2</v>
      </c>
      <c r="G8681">
        <v>2</v>
      </c>
      <c r="H8681">
        <v>1</v>
      </c>
      <c r="I8681">
        <v>0</v>
      </c>
      <c r="J8681">
        <v>0.99696969696969695</v>
      </c>
      <c r="K8681">
        <v>1</v>
      </c>
      <c r="L8681">
        <v>0.99848254931714697</v>
      </c>
      <c r="M8681">
        <v>0.99090909090909096</v>
      </c>
      <c r="N8681">
        <v>0.99090909090909096</v>
      </c>
      <c r="O8681">
        <v>0.99090909090909096</v>
      </c>
      <c r="AF8681" t="s">
        <v>17549</v>
      </c>
    </row>
    <row r="8682" spans="1:32" hidden="1" x14ac:dyDescent="0.35">
      <c r="A8682">
        <v>8681</v>
      </c>
      <c r="B8682" t="s">
        <v>17550</v>
      </c>
      <c r="C8682" t="s">
        <v>277</v>
      </c>
      <c r="D8682" t="s">
        <v>34</v>
      </c>
      <c r="E8682">
        <v>1328</v>
      </c>
      <c r="F8682">
        <v>2</v>
      </c>
      <c r="G8682">
        <v>2</v>
      </c>
      <c r="H8682">
        <v>1</v>
      </c>
      <c r="I8682">
        <v>0</v>
      </c>
      <c r="J8682">
        <v>0.95362903225806495</v>
      </c>
      <c r="K8682">
        <v>1</v>
      </c>
      <c r="L8682">
        <v>0.976264189886481</v>
      </c>
      <c r="M8682">
        <v>0.9375</v>
      </c>
      <c r="N8682">
        <v>0.9375</v>
      </c>
      <c r="O8682">
        <v>0.9375</v>
      </c>
      <c r="AF8682" t="s">
        <v>17551</v>
      </c>
    </row>
    <row r="8683" spans="1:32" hidden="1" x14ac:dyDescent="0.35">
      <c r="A8683">
        <v>8682</v>
      </c>
      <c r="B8683" t="s">
        <v>17550</v>
      </c>
      <c r="C8683" t="s">
        <v>277</v>
      </c>
      <c r="D8683" t="s">
        <v>45</v>
      </c>
      <c r="E8683">
        <v>79</v>
      </c>
      <c r="F8683">
        <v>2</v>
      </c>
      <c r="G8683">
        <v>2</v>
      </c>
      <c r="H8683">
        <v>1</v>
      </c>
      <c r="I8683">
        <v>0</v>
      </c>
      <c r="J8683">
        <v>0.95362903225806495</v>
      </c>
      <c r="K8683">
        <v>1</v>
      </c>
      <c r="L8683">
        <v>0.976264189886481</v>
      </c>
      <c r="M8683">
        <v>0.9375</v>
      </c>
      <c r="N8683">
        <v>0.9375</v>
      </c>
      <c r="O8683">
        <v>0.9375</v>
      </c>
      <c r="AF8683" t="s">
        <v>17552</v>
      </c>
    </row>
    <row r="8684" spans="1:32" hidden="1" x14ac:dyDescent="0.35">
      <c r="A8684">
        <v>8683</v>
      </c>
      <c r="B8684" t="s">
        <v>17553</v>
      </c>
      <c r="C8684" t="s">
        <v>277</v>
      </c>
      <c r="D8684" t="s">
        <v>34</v>
      </c>
      <c r="E8684">
        <v>2121</v>
      </c>
      <c r="F8684">
        <v>2</v>
      </c>
      <c r="G8684">
        <v>2</v>
      </c>
      <c r="H8684">
        <v>1</v>
      </c>
      <c r="I8684">
        <v>0</v>
      </c>
      <c r="J8684">
        <v>0.99798387096774199</v>
      </c>
      <c r="K8684">
        <v>1</v>
      </c>
      <c r="L8684">
        <v>0.99899091826437902</v>
      </c>
      <c r="M8684">
        <v>0.99798387096774199</v>
      </c>
      <c r="N8684">
        <v>0.99798387096774199</v>
      </c>
      <c r="O8684">
        <v>0.99798387096774199</v>
      </c>
      <c r="P8684" t="s">
        <v>6293</v>
      </c>
      <c r="Q8684" t="s">
        <v>6294</v>
      </c>
      <c r="R8684" t="s">
        <v>157</v>
      </c>
      <c r="S8684" t="s">
        <v>158</v>
      </c>
      <c r="T8684" t="s">
        <v>17554</v>
      </c>
      <c r="U8684" t="s">
        <v>17555</v>
      </c>
      <c r="V8684" t="s">
        <v>17556</v>
      </c>
      <c r="W8684" t="s">
        <v>17557</v>
      </c>
      <c r="X8684" t="s">
        <v>17556</v>
      </c>
      <c r="Y8684" t="s">
        <v>1357</v>
      </c>
      <c r="AD8684" t="s">
        <v>245</v>
      </c>
      <c r="AE8684" t="s">
        <v>17558</v>
      </c>
      <c r="AF8684" t="s">
        <v>17559</v>
      </c>
    </row>
    <row r="8685" spans="1:32" hidden="1" x14ac:dyDescent="0.35">
      <c r="A8685">
        <v>8684</v>
      </c>
      <c r="B8685" t="s">
        <v>17553</v>
      </c>
      <c r="C8685" t="s">
        <v>277</v>
      </c>
      <c r="D8685" t="s">
        <v>45</v>
      </c>
      <c r="E8685">
        <v>751</v>
      </c>
      <c r="F8685">
        <v>2</v>
      </c>
      <c r="G8685">
        <v>2</v>
      </c>
      <c r="H8685">
        <v>1</v>
      </c>
      <c r="I8685">
        <v>0</v>
      </c>
      <c r="J8685">
        <v>0.99798387096774199</v>
      </c>
      <c r="K8685">
        <v>1</v>
      </c>
      <c r="L8685">
        <v>0.99899091826437902</v>
      </c>
      <c r="M8685">
        <v>0.99798387096774199</v>
      </c>
      <c r="N8685">
        <v>0.99798387096774199</v>
      </c>
      <c r="O8685">
        <v>0.99798387096774199</v>
      </c>
      <c r="P8685" t="s">
        <v>6293</v>
      </c>
      <c r="Q8685" t="s">
        <v>6294</v>
      </c>
      <c r="R8685" t="s">
        <v>157</v>
      </c>
      <c r="S8685" t="s">
        <v>158</v>
      </c>
      <c r="T8685" t="s">
        <v>17554</v>
      </c>
      <c r="U8685" t="s">
        <v>17555</v>
      </c>
      <c r="V8685" t="s">
        <v>17556</v>
      </c>
      <c r="W8685" t="s">
        <v>17557</v>
      </c>
      <c r="X8685" t="s">
        <v>17556</v>
      </c>
      <c r="Y8685" t="s">
        <v>1357</v>
      </c>
      <c r="AD8685" t="s">
        <v>245</v>
      </c>
      <c r="AE8685" t="s">
        <v>17558</v>
      </c>
      <c r="AF8685" t="s">
        <v>17560</v>
      </c>
    </row>
    <row r="8686" spans="1:32" hidden="1" x14ac:dyDescent="0.35">
      <c r="A8686">
        <v>8685</v>
      </c>
      <c r="B8686" t="s">
        <v>17561</v>
      </c>
      <c r="C8686" t="s">
        <v>277</v>
      </c>
      <c r="D8686" t="s">
        <v>34</v>
      </c>
      <c r="E8686">
        <v>1097</v>
      </c>
      <c r="F8686">
        <v>2</v>
      </c>
      <c r="G8686">
        <v>2</v>
      </c>
      <c r="H8686">
        <v>1</v>
      </c>
      <c r="I8686">
        <v>0</v>
      </c>
      <c r="J8686">
        <v>0.99696969696969695</v>
      </c>
      <c r="K8686">
        <v>1</v>
      </c>
      <c r="L8686">
        <v>0.99848254931714697</v>
      </c>
      <c r="M8686">
        <v>0.99090909090909096</v>
      </c>
      <c r="N8686">
        <v>0.99090909090909096</v>
      </c>
      <c r="O8686">
        <v>0.99090909090909096</v>
      </c>
      <c r="AF8686" t="s">
        <v>17562</v>
      </c>
    </row>
    <row r="8687" spans="1:32" hidden="1" x14ac:dyDescent="0.35">
      <c r="A8687">
        <v>8686</v>
      </c>
      <c r="B8687" t="s">
        <v>17561</v>
      </c>
      <c r="C8687" t="s">
        <v>277</v>
      </c>
      <c r="D8687" t="s">
        <v>45</v>
      </c>
      <c r="E8687">
        <v>2351</v>
      </c>
      <c r="F8687">
        <v>2</v>
      </c>
      <c r="G8687">
        <v>2</v>
      </c>
      <c r="H8687">
        <v>1</v>
      </c>
      <c r="I8687">
        <v>0</v>
      </c>
      <c r="J8687">
        <v>0.99696969696969695</v>
      </c>
      <c r="K8687">
        <v>1</v>
      </c>
      <c r="L8687">
        <v>0.99848254931714697</v>
      </c>
      <c r="M8687">
        <v>0.99090909090909096</v>
      </c>
      <c r="N8687">
        <v>0.99090909090909096</v>
      </c>
      <c r="O8687">
        <v>0.99090909090909096</v>
      </c>
      <c r="AF8687" t="s">
        <v>17563</v>
      </c>
    </row>
    <row r="8688" spans="1:32" hidden="1" x14ac:dyDescent="0.35">
      <c r="A8688">
        <v>8687</v>
      </c>
      <c r="B8688" t="s">
        <v>17564</v>
      </c>
      <c r="C8688" t="s">
        <v>277</v>
      </c>
      <c r="D8688" t="s">
        <v>60</v>
      </c>
      <c r="E8688">
        <v>2219</v>
      </c>
      <c r="F8688">
        <v>2</v>
      </c>
      <c r="G8688">
        <v>2</v>
      </c>
      <c r="H8688">
        <v>1</v>
      </c>
      <c r="I8688">
        <v>0</v>
      </c>
      <c r="J8688">
        <v>0.98856209150326801</v>
      </c>
      <c r="K8688">
        <v>1</v>
      </c>
      <c r="L8688">
        <v>0.99424815119145404</v>
      </c>
      <c r="M8688">
        <v>0.98529411764705899</v>
      </c>
      <c r="N8688">
        <v>0.98529411764705899</v>
      </c>
      <c r="O8688">
        <v>0.98529411764705899</v>
      </c>
      <c r="P8688" t="s">
        <v>8280</v>
      </c>
      <c r="Q8688" t="s">
        <v>8281</v>
      </c>
      <c r="R8688" t="s">
        <v>652</v>
      </c>
      <c r="S8688" t="s">
        <v>653</v>
      </c>
      <c r="T8688" t="s">
        <v>17565</v>
      </c>
      <c r="U8688" t="s">
        <v>17566</v>
      </c>
      <c r="V8688" t="s">
        <v>8282</v>
      </c>
      <c r="W8688" t="s">
        <v>8283</v>
      </c>
      <c r="X8688" t="s">
        <v>8282</v>
      </c>
      <c r="Y8688" t="s">
        <v>5826</v>
      </c>
      <c r="AD8688" t="s">
        <v>219</v>
      </c>
      <c r="AE8688" t="s">
        <v>17567</v>
      </c>
      <c r="AF8688" t="s">
        <v>17568</v>
      </c>
    </row>
    <row r="8689" spans="1:32" hidden="1" x14ac:dyDescent="0.35">
      <c r="A8689">
        <v>8688</v>
      </c>
      <c r="B8689" t="s">
        <v>17564</v>
      </c>
      <c r="C8689" t="s">
        <v>277</v>
      </c>
      <c r="D8689" t="s">
        <v>62</v>
      </c>
      <c r="E8689">
        <v>2249</v>
      </c>
      <c r="F8689">
        <v>2</v>
      </c>
      <c r="G8689">
        <v>2</v>
      </c>
      <c r="H8689">
        <v>1</v>
      </c>
      <c r="I8689">
        <v>0</v>
      </c>
      <c r="J8689">
        <v>0.98856209150326801</v>
      </c>
      <c r="K8689">
        <v>1</v>
      </c>
      <c r="L8689">
        <v>0.99424815119145404</v>
      </c>
      <c r="M8689">
        <v>0.98529411764705899</v>
      </c>
      <c r="N8689">
        <v>0.98529411764705899</v>
      </c>
      <c r="O8689">
        <v>0.98529411764705899</v>
      </c>
      <c r="P8689" t="s">
        <v>8280</v>
      </c>
      <c r="Q8689" t="s">
        <v>8281</v>
      </c>
      <c r="R8689" t="s">
        <v>652</v>
      </c>
      <c r="S8689" t="s">
        <v>653</v>
      </c>
      <c r="T8689" t="s">
        <v>17565</v>
      </c>
      <c r="U8689" t="s">
        <v>17566</v>
      </c>
      <c r="V8689" t="s">
        <v>8282</v>
      </c>
      <c r="W8689" t="s">
        <v>8283</v>
      </c>
      <c r="X8689" t="s">
        <v>8282</v>
      </c>
      <c r="Y8689" t="s">
        <v>5826</v>
      </c>
      <c r="AD8689" t="s">
        <v>219</v>
      </c>
      <c r="AE8689" t="s">
        <v>17567</v>
      </c>
      <c r="AF8689" t="s">
        <v>17569</v>
      </c>
    </row>
    <row r="8690" spans="1:32" hidden="1" x14ac:dyDescent="0.35">
      <c r="A8690">
        <v>8689</v>
      </c>
      <c r="B8690" t="s">
        <v>17570</v>
      </c>
      <c r="C8690" t="s">
        <v>277</v>
      </c>
      <c r="D8690" t="s">
        <v>60</v>
      </c>
      <c r="E8690">
        <v>219</v>
      </c>
      <c r="F8690">
        <v>2</v>
      </c>
      <c r="G8690">
        <v>2</v>
      </c>
      <c r="H8690">
        <v>1</v>
      </c>
      <c r="I8690">
        <v>0</v>
      </c>
      <c r="J8690">
        <v>0.98937583001328</v>
      </c>
      <c r="K8690">
        <v>1</v>
      </c>
      <c r="L8690">
        <v>0.99465954606141505</v>
      </c>
      <c r="M8690">
        <v>0.98406374501992</v>
      </c>
      <c r="N8690">
        <v>0.98406374501992</v>
      </c>
      <c r="O8690">
        <v>0.98406374501992</v>
      </c>
      <c r="R8690" t="s">
        <v>9049</v>
      </c>
      <c r="S8690" t="s">
        <v>9050</v>
      </c>
      <c r="T8690" t="s">
        <v>17571</v>
      </c>
      <c r="U8690" t="s">
        <v>17572</v>
      </c>
      <c r="V8690" t="s">
        <v>14244</v>
      </c>
      <c r="W8690" t="s">
        <v>14245</v>
      </c>
      <c r="AD8690" t="s">
        <v>17573</v>
      </c>
      <c r="AE8690" t="s">
        <v>17574</v>
      </c>
      <c r="AF8690" t="s">
        <v>17575</v>
      </c>
    </row>
    <row r="8691" spans="1:32" hidden="1" x14ac:dyDescent="0.35">
      <c r="A8691">
        <v>8690</v>
      </c>
      <c r="B8691" t="s">
        <v>17570</v>
      </c>
      <c r="C8691" t="s">
        <v>277</v>
      </c>
      <c r="D8691" t="s">
        <v>62</v>
      </c>
      <c r="E8691">
        <v>296</v>
      </c>
      <c r="F8691">
        <v>2</v>
      </c>
      <c r="G8691">
        <v>2</v>
      </c>
      <c r="H8691">
        <v>1</v>
      </c>
      <c r="I8691">
        <v>0</v>
      </c>
      <c r="J8691">
        <v>0.98937583001328</v>
      </c>
      <c r="K8691">
        <v>1</v>
      </c>
      <c r="L8691">
        <v>0.99465954606141505</v>
      </c>
      <c r="M8691">
        <v>0.98406374501992</v>
      </c>
      <c r="N8691">
        <v>0.98406374501992</v>
      </c>
      <c r="O8691">
        <v>0.98406374501992</v>
      </c>
      <c r="R8691" t="s">
        <v>9049</v>
      </c>
      <c r="S8691" t="s">
        <v>9050</v>
      </c>
      <c r="T8691" t="s">
        <v>17571</v>
      </c>
      <c r="U8691" t="s">
        <v>17572</v>
      </c>
      <c r="V8691" t="s">
        <v>14244</v>
      </c>
      <c r="W8691" t="s">
        <v>14245</v>
      </c>
      <c r="AD8691" t="s">
        <v>17573</v>
      </c>
      <c r="AE8691" t="s">
        <v>17574</v>
      </c>
      <c r="AF8691" t="s">
        <v>17576</v>
      </c>
    </row>
    <row r="8692" spans="1:32" hidden="1" x14ac:dyDescent="0.35">
      <c r="A8692">
        <v>8691</v>
      </c>
      <c r="B8692" t="s">
        <v>17577</v>
      </c>
      <c r="C8692" t="s">
        <v>277</v>
      </c>
      <c r="D8692" t="s">
        <v>34</v>
      </c>
      <c r="E8692">
        <v>1455</v>
      </c>
      <c r="F8692">
        <v>2</v>
      </c>
      <c r="G8692">
        <v>2</v>
      </c>
      <c r="H8692">
        <v>1</v>
      </c>
      <c r="I8692">
        <v>0</v>
      </c>
      <c r="J8692">
        <v>0.89743589743589702</v>
      </c>
      <c r="K8692">
        <v>0.93917706669821299</v>
      </c>
      <c r="L8692">
        <v>0.91783215098984705</v>
      </c>
      <c r="M8692">
        <v>0.81818181818181801</v>
      </c>
      <c r="N8692">
        <v>0.81818181818181801</v>
      </c>
      <c r="O8692">
        <v>0.81818181818181801</v>
      </c>
      <c r="P8692" t="s">
        <v>12377</v>
      </c>
      <c r="Q8692" t="s">
        <v>2878</v>
      </c>
      <c r="AF8692" t="s">
        <v>17578</v>
      </c>
    </row>
    <row r="8693" spans="1:32" hidden="1" x14ac:dyDescent="0.35">
      <c r="A8693">
        <v>8692</v>
      </c>
      <c r="B8693" t="s">
        <v>17577</v>
      </c>
      <c r="C8693" t="s">
        <v>277</v>
      </c>
      <c r="D8693" t="s">
        <v>45</v>
      </c>
      <c r="E8693">
        <v>206</v>
      </c>
      <c r="F8693">
        <v>2</v>
      </c>
      <c r="G8693">
        <v>2</v>
      </c>
      <c r="H8693">
        <v>1</v>
      </c>
      <c r="I8693">
        <v>0</v>
      </c>
      <c r="J8693">
        <v>0.89743589743589702</v>
      </c>
      <c r="K8693">
        <v>0.93917706669821299</v>
      </c>
      <c r="L8693">
        <v>0.91783215098984705</v>
      </c>
      <c r="M8693">
        <v>0.81818181818181801</v>
      </c>
      <c r="N8693">
        <v>0.81818181818181801</v>
      </c>
      <c r="O8693">
        <v>0.81818181818181801</v>
      </c>
      <c r="AF8693" t="s">
        <v>17579</v>
      </c>
    </row>
    <row r="8694" spans="1:32" hidden="1" x14ac:dyDescent="0.35">
      <c r="A8694">
        <v>8693</v>
      </c>
      <c r="B8694" t="s">
        <v>17580</v>
      </c>
      <c r="C8694" t="s">
        <v>277</v>
      </c>
      <c r="D8694" t="s">
        <v>34</v>
      </c>
      <c r="E8694">
        <v>223</v>
      </c>
      <c r="F8694">
        <v>2</v>
      </c>
      <c r="G8694">
        <v>2</v>
      </c>
      <c r="H8694">
        <v>1</v>
      </c>
      <c r="I8694">
        <v>0</v>
      </c>
      <c r="J8694">
        <v>0.82877959927140299</v>
      </c>
      <c r="K8694">
        <v>1</v>
      </c>
      <c r="L8694">
        <v>0.90637450199203196</v>
      </c>
      <c r="M8694">
        <v>0.79234972677595605</v>
      </c>
      <c r="N8694">
        <v>0.79234972677595605</v>
      </c>
      <c r="O8694">
        <v>0.79234972677595605</v>
      </c>
      <c r="P8694" t="s">
        <v>11770</v>
      </c>
      <c r="Q8694" t="s">
        <v>11771</v>
      </c>
      <c r="R8694" t="s">
        <v>96</v>
      </c>
      <c r="S8694" t="s">
        <v>97</v>
      </c>
      <c r="V8694" t="s">
        <v>11772</v>
      </c>
      <c r="W8694" t="s">
        <v>11773</v>
      </c>
      <c r="AF8694" t="s">
        <v>17581</v>
      </c>
    </row>
    <row r="8695" spans="1:32" hidden="1" x14ac:dyDescent="0.35">
      <c r="A8695">
        <v>8694</v>
      </c>
      <c r="B8695" t="s">
        <v>17580</v>
      </c>
      <c r="C8695" t="s">
        <v>277</v>
      </c>
      <c r="D8695" t="s">
        <v>45</v>
      </c>
      <c r="E8695">
        <v>1486</v>
      </c>
      <c r="F8695">
        <v>2</v>
      </c>
      <c r="G8695">
        <v>2</v>
      </c>
      <c r="H8695">
        <v>1</v>
      </c>
      <c r="I8695">
        <v>0</v>
      </c>
      <c r="J8695">
        <v>0.82877959927140299</v>
      </c>
      <c r="K8695">
        <v>1</v>
      </c>
      <c r="L8695">
        <v>0.90637450199203196</v>
      </c>
      <c r="M8695">
        <v>0.79234972677595605</v>
      </c>
      <c r="N8695">
        <v>0.79234972677595605</v>
      </c>
      <c r="O8695">
        <v>0.79234972677595605</v>
      </c>
      <c r="P8695" t="s">
        <v>11770</v>
      </c>
      <c r="Q8695" t="s">
        <v>11771</v>
      </c>
      <c r="R8695" t="s">
        <v>96</v>
      </c>
      <c r="S8695" t="s">
        <v>97</v>
      </c>
      <c r="V8695" t="s">
        <v>11772</v>
      </c>
      <c r="W8695" t="s">
        <v>11773</v>
      </c>
      <c r="AF8695" t="s">
        <v>17582</v>
      </c>
    </row>
    <row r="8696" spans="1:32" hidden="1" x14ac:dyDescent="0.35">
      <c r="A8696">
        <v>8695</v>
      </c>
      <c r="B8696" t="s">
        <v>17583</v>
      </c>
      <c r="C8696" t="s">
        <v>277</v>
      </c>
      <c r="D8696" t="s">
        <v>34</v>
      </c>
      <c r="E8696">
        <v>1024</v>
      </c>
      <c r="F8696">
        <v>2</v>
      </c>
      <c r="G8696">
        <v>2</v>
      </c>
      <c r="H8696">
        <v>1</v>
      </c>
      <c r="I8696">
        <v>0</v>
      </c>
      <c r="J8696">
        <v>0.96825396825396803</v>
      </c>
      <c r="K8696">
        <v>1</v>
      </c>
      <c r="L8696">
        <v>0.98387096774193505</v>
      </c>
      <c r="M8696">
        <v>0.96825396825396803</v>
      </c>
      <c r="N8696">
        <v>0.96825396825396803</v>
      </c>
      <c r="O8696">
        <v>0.96825396825396803</v>
      </c>
      <c r="P8696" t="s">
        <v>14315</v>
      </c>
      <c r="Q8696" t="s">
        <v>14316</v>
      </c>
      <c r="AF8696" t="s">
        <v>17584</v>
      </c>
    </row>
    <row r="8697" spans="1:32" hidden="1" x14ac:dyDescent="0.35">
      <c r="A8697">
        <v>8696</v>
      </c>
      <c r="B8697" t="s">
        <v>17583</v>
      </c>
      <c r="C8697" t="s">
        <v>277</v>
      </c>
      <c r="D8697" t="s">
        <v>45</v>
      </c>
      <c r="E8697">
        <v>2282</v>
      </c>
      <c r="F8697">
        <v>2</v>
      </c>
      <c r="G8697">
        <v>2</v>
      </c>
      <c r="H8697">
        <v>1</v>
      </c>
      <c r="I8697">
        <v>0</v>
      </c>
      <c r="J8697">
        <v>0.96825396825396803</v>
      </c>
      <c r="K8697">
        <v>1</v>
      </c>
      <c r="L8697">
        <v>0.98387096774193505</v>
      </c>
      <c r="M8697">
        <v>0.96825396825396803</v>
      </c>
      <c r="N8697">
        <v>0.96825396825396803</v>
      </c>
      <c r="O8697">
        <v>0.96825396825396803</v>
      </c>
      <c r="P8697" t="s">
        <v>14315</v>
      </c>
      <c r="Q8697" t="s">
        <v>14316</v>
      </c>
      <c r="AF8697" t="s">
        <v>17585</v>
      </c>
    </row>
    <row r="8698" spans="1:32" hidden="1" x14ac:dyDescent="0.35">
      <c r="A8698">
        <v>8697</v>
      </c>
      <c r="B8698" t="s">
        <v>17586</v>
      </c>
      <c r="C8698" t="s">
        <v>277</v>
      </c>
      <c r="D8698" t="s">
        <v>60</v>
      </c>
      <c r="E8698">
        <v>1871</v>
      </c>
      <c r="F8698">
        <v>2</v>
      </c>
      <c r="G8698">
        <v>2</v>
      </c>
      <c r="H8698">
        <v>1</v>
      </c>
      <c r="I8698">
        <v>0</v>
      </c>
      <c r="J8698">
        <v>0.94098360655737701</v>
      </c>
      <c r="K8698">
        <v>1</v>
      </c>
      <c r="L8698">
        <v>0.96959459459459496</v>
      </c>
      <c r="M8698">
        <v>0.93442622950819698</v>
      </c>
      <c r="N8698">
        <v>0.93442622950819698</v>
      </c>
      <c r="O8698">
        <v>0.93442622950819698</v>
      </c>
      <c r="P8698" t="s">
        <v>17587</v>
      </c>
      <c r="Q8698" t="s">
        <v>17588</v>
      </c>
      <c r="R8698" t="s">
        <v>17589</v>
      </c>
      <c r="S8698" t="s">
        <v>17590</v>
      </c>
      <c r="T8698" t="s">
        <v>17591</v>
      </c>
      <c r="U8698" t="s">
        <v>17592</v>
      </c>
      <c r="V8698" t="s">
        <v>17593</v>
      </c>
      <c r="W8698" t="s">
        <v>17594</v>
      </c>
      <c r="AD8698" t="s">
        <v>14436</v>
      </c>
      <c r="AE8698" t="s">
        <v>17595</v>
      </c>
      <c r="AF8698" t="s">
        <v>17596</v>
      </c>
    </row>
    <row r="8699" spans="1:32" hidden="1" x14ac:dyDescent="0.35">
      <c r="A8699">
        <v>8698</v>
      </c>
      <c r="B8699" t="s">
        <v>17586</v>
      </c>
      <c r="C8699" t="s">
        <v>277</v>
      </c>
      <c r="D8699" t="s">
        <v>62</v>
      </c>
      <c r="E8699">
        <v>1911</v>
      </c>
      <c r="F8699">
        <v>2</v>
      </c>
      <c r="G8699">
        <v>2</v>
      </c>
      <c r="H8699">
        <v>1</v>
      </c>
      <c r="I8699">
        <v>0</v>
      </c>
      <c r="J8699">
        <v>0.94098360655737701</v>
      </c>
      <c r="K8699">
        <v>1</v>
      </c>
      <c r="L8699">
        <v>0.96959459459459496</v>
      </c>
      <c r="M8699">
        <v>0.93442622950819698</v>
      </c>
      <c r="N8699">
        <v>0.93442622950819698</v>
      </c>
      <c r="O8699">
        <v>0.93442622950819698</v>
      </c>
      <c r="P8699" t="s">
        <v>17587</v>
      </c>
      <c r="Q8699" t="s">
        <v>17588</v>
      </c>
      <c r="R8699" t="s">
        <v>17589</v>
      </c>
      <c r="S8699" t="s">
        <v>17590</v>
      </c>
      <c r="T8699" t="s">
        <v>17591</v>
      </c>
      <c r="U8699" t="s">
        <v>17592</v>
      </c>
      <c r="V8699" t="s">
        <v>17593</v>
      </c>
      <c r="W8699" t="s">
        <v>17594</v>
      </c>
      <c r="AD8699" t="s">
        <v>14436</v>
      </c>
      <c r="AE8699" t="s">
        <v>17595</v>
      </c>
      <c r="AF8699" t="s">
        <v>17597</v>
      </c>
    </row>
    <row r="8700" spans="1:32" hidden="1" x14ac:dyDescent="0.35">
      <c r="A8700">
        <v>8699</v>
      </c>
      <c r="B8700" t="s">
        <v>17598</v>
      </c>
      <c r="C8700" t="s">
        <v>277</v>
      </c>
      <c r="D8700" t="s">
        <v>34</v>
      </c>
      <c r="E8700">
        <v>910</v>
      </c>
      <c r="F8700">
        <v>2</v>
      </c>
      <c r="G8700">
        <v>2</v>
      </c>
      <c r="H8700">
        <v>1</v>
      </c>
      <c r="I8700">
        <v>0</v>
      </c>
      <c r="J8700">
        <v>0.98137802607076396</v>
      </c>
      <c r="K8700">
        <v>1</v>
      </c>
      <c r="L8700">
        <v>0.99060150375939804</v>
      </c>
      <c r="M8700">
        <v>0.977653631284916</v>
      </c>
      <c r="N8700">
        <v>0.977653631284916</v>
      </c>
      <c r="O8700">
        <v>0.977653631284916</v>
      </c>
      <c r="P8700" t="s">
        <v>12423</v>
      </c>
      <c r="Q8700" t="s">
        <v>12424</v>
      </c>
      <c r="AF8700" t="s">
        <v>17599</v>
      </c>
    </row>
    <row r="8701" spans="1:32" hidden="1" x14ac:dyDescent="0.35">
      <c r="A8701">
        <v>8700</v>
      </c>
      <c r="B8701" t="s">
        <v>17598</v>
      </c>
      <c r="C8701" t="s">
        <v>277</v>
      </c>
      <c r="D8701" t="s">
        <v>45</v>
      </c>
      <c r="E8701">
        <v>2166</v>
      </c>
      <c r="F8701">
        <v>2</v>
      </c>
      <c r="G8701">
        <v>2</v>
      </c>
      <c r="H8701">
        <v>1</v>
      </c>
      <c r="I8701">
        <v>0</v>
      </c>
      <c r="J8701">
        <v>0.98137802607076396</v>
      </c>
      <c r="K8701">
        <v>1</v>
      </c>
      <c r="L8701">
        <v>0.99060150375939804</v>
      </c>
      <c r="M8701">
        <v>0.977653631284916</v>
      </c>
      <c r="N8701">
        <v>0.977653631284916</v>
      </c>
      <c r="O8701">
        <v>0.977653631284916</v>
      </c>
      <c r="P8701" t="s">
        <v>12423</v>
      </c>
      <c r="Q8701" t="s">
        <v>12424</v>
      </c>
      <c r="AF8701" t="s">
        <v>17600</v>
      </c>
    </row>
    <row r="8702" spans="1:32" hidden="1" x14ac:dyDescent="0.35">
      <c r="A8702">
        <v>8701</v>
      </c>
      <c r="B8702" t="s">
        <v>17601</v>
      </c>
      <c r="C8702" t="s">
        <v>277</v>
      </c>
      <c r="D8702" t="s">
        <v>34</v>
      </c>
      <c r="E8702">
        <v>2267</v>
      </c>
      <c r="F8702">
        <v>2</v>
      </c>
      <c r="G8702">
        <v>2</v>
      </c>
      <c r="H8702">
        <v>1</v>
      </c>
      <c r="I8702">
        <v>0</v>
      </c>
      <c r="J8702">
        <v>0.99844236760124605</v>
      </c>
      <c r="K8702">
        <v>1</v>
      </c>
      <c r="L8702">
        <v>0.99922057677318799</v>
      </c>
      <c r="M8702">
        <v>0.99532710280373804</v>
      </c>
      <c r="N8702">
        <v>0.99532710280373804</v>
      </c>
      <c r="O8702">
        <v>0.99532710280373804</v>
      </c>
      <c r="AF8702" t="s">
        <v>17602</v>
      </c>
    </row>
    <row r="8703" spans="1:32" hidden="1" x14ac:dyDescent="0.35">
      <c r="A8703">
        <v>8702</v>
      </c>
      <c r="B8703" t="s">
        <v>17601</v>
      </c>
      <c r="C8703" t="s">
        <v>277</v>
      </c>
      <c r="D8703" t="s">
        <v>45</v>
      </c>
      <c r="E8703">
        <v>609</v>
      </c>
      <c r="F8703">
        <v>2</v>
      </c>
      <c r="G8703">
        <v>2</v>
      </c>
      <c r="H8703">
        <v>1</v>
      </c>
      <c r="I8703">
        <v>0</v>
      </c>
      <c r="J8703">
        <v>0.99844236760124605</v>
      </c>
      <c r="K8703">
        <v>1</v>
      </c>
      <c r="L8703">
        <v>0.99922057677318799</v>
      </c>
      <c r="M8703">
        <v>0.99532710280373804</v>
      </c>
      <c r="N8703">
        <v>0.99532710280373804</v>
      </c>
      <c r="O8703">
        <v>0.99532710280373804</v>
      </c>
      <c r="AF8703" t="s">
        <v>17603</v>
      </c>
    </row>
    <row r="8704" spans="1:32" hidden="1" x14ac:dyDescent="0.35">
      <c r="A8704">
        <v>8703</v>
      </c>
      <c r="B8704" t="s">
        <v>17604</v>
      </c>
      <c r="C8704" t="s">
        <v>277</v>
      </c>
      <c r="D8704" t="s">
        <v>60</v>
      </c>
      <c r="E8704">
        <v>324</v>
      </c>
      <c r="F8704">
        <v>2</v>
      </c>
      <c r="G8704">
        <v>2</v>
      </c>
      <c r="H8704">
        <v>1</v>
      </c>
      <c r="I8704">
        <v>0</v>
      </c>
      <c r="J8704">
        <v>0.99484915378955097</v>
      </c>
      <c r="K8704">
        <v>1</v>
      </c>
      <c r="L8704">
        <v>0.99741792696422005</v>
      </c>
      <c r="M8704">
        <v>0.99337748344370902</v>
      </c>
      <c r="N8704">
        <v>0.99337748344370902</v>
      </c>
      <c r="O8704">
        <v>0.99337748344370902</v>
      </c>
      <c r="P8704" t="s">
        <v>10138</v>
      </c>
      <c r="Q8704" t="s">
        <v>10139</v>
      </c>
      <c r="AF8704" t="s">
        <v>17605</v>
      </c>
    </row>
    <row r="8705" spans="1:32" hidden="1" x14ac:dyDescent="0.35">
      <c r="A8705">
        <v>8704</v>
      </c>
      <c r="B8705" t="s">
        <v>17604</v>
      </c>
      <c r="C8705" t="s">
        <v>277</v>
      </c>
      <c r="D8705" t="s">
        <v>62</v>
      </c>
      <c r="E8705">
        <v>404</v>
      </c>
      <c r="F8705">
        <v>2</v>
      </c>
      <c r="G8705">
        <v>2</v>
      </c>
      <c r="H8705">
        <v>1</v>
      </c>
      <c r="I8705">
        <v>0</v>
      </c>
      <c r="J8705">
        <v>0.99484915378955097</v>
      </c>
      <c r="K8705">
        <v>1</v>
      </c>
      <c r="L8705">
        <v>0.99741792696422005</v>
      </c>
      <c r="M8705">
        <v>0.99337748344370902</v>
      </c>
      <c r="N8705">
        <v>0.99337748344370902</v>
      </c>
      <c r="O8705">
        <v>0.99337748344370902</v>
      </c>
      <c r="P8705" t="s">
        <v>10138</v>
      </c>
      <c r="Q8705" t="s">
        <v>10139</v>
      </c>
      <c r="AF8705" t="s">
        <v>17606</v>
      </c>
    </row>
    <row r="8706" spans="1:32" hidden="1" x14ac:dyDescent="0.35">
      <c r="A8706">
        <v>8705</v>
      </c>
      <c r="B8706" t="s">
        <v>17607</v>
      </c>
      <c r="C8706" t="s">
        <v>277</v>
      </c>
      <c r="D8706" t="s">
        <v>34</v>
      </c>
      <c r="E8706">
        <v>598</v>
      </c>
      <c r="F8706">
        <v>2</v>
      </c>
      <c r="G8706">
        <v>2</v>
      </c>
      <c r="H8706">
        <v>1</v>
      </c>
      <c r="I8706">
        <v>0</v>
      </c>
      <c r="J8706">
        <v>0.98532494758909805</v>
      </c>
      <c r="K8706">
        <v>1</v>
      </c>
      <c r="L8706">
        <v>0.99260823653643104</v>
      </c>
      <c r="M8706">
        <v>0.98113207547169801</v>
      </c>
      <c r="N8706">
        <v>0.98113207547169801</v>
      </c>
      <c r="O8706">
        <v>0.98113207547169801</v>
      </c>
      <c r="P8706" t="s">
        <v>17608</v>
      </c>
      <c r="Q8706" t="s">
        <v>3623</v>
      </c>
      <c r="R8706" t="s">
        <v>1259</v>
      </c>
      <c r="S8706" t="s">
        <v>1260</v>
      </c>
      <c r="T8706" t="s">
        <v>17609</v>
      </c>
      <c r="U8706" t="s">
        <v>407</v>
      </c>
      <c r="V8706" t="s">
        <v>17610</v>
      </c>
      <c r="W8706" t="s">
        <v>17611</v>
      </c>
      <c r="AD8706" t="s">
        <v>410</v>
      </c>
      <c r="AE8706" t="s">
        <v>411</v>
      </c>
      <c r="AF8706" t="s">
        <v>17612</v>
      </c>
    </row>
    <row r="8707" spans="1:32" hidden="1" x14ac:dyDescent="0.35">
      <c r="A8707">
        <v>8706</v>
      </c>
      <c r="B8707" t="s">
        <v>17607</v>
      </c>
      <c r="C8707" t="s">
        <v>277</v>
      </c>
      <c r="D8707" t="s">
        <v>45</v>
      </c>
      <c r="E8707">
        <v>1865</v>
      </c>
      <c r="F8707">
        <v>2</v>
      </c>
      <c r="G8707">
        <v>2</v>
      </c>
      <c r="H8707">
        <v>1</v>
      </c>
      <c r="I8707">
        <v>0</v>
      </c>
      <c r="J8707">
        <v>0.98532494758909805</v>
      </c>
      <c r="K8707">
        <v>1</v>
      </c>
      <c r="L8707">
        <v>0.99260823653643104</v>
      </c>
      <c r="M8707">
        <v>0.98113207547169801</v>
      </c>
      <c r="N8707">
        <v>0.98113207547169801</v>
      </c>
      <c r="O8707">
        <v>0.98113207547169801</v>
      </c>
      <c r="P8707" t="s">
        <v>17608</v>
      </c>
      <c r="Q8707" t="s">
        <v>3623</v>
      </c>
      <c r="R8707" t="s">
        <v>1259</v>
      </c>
      <c r="S8707" t="s">
        <v>1260</v>
      </c>
      <c r="T8707" t="s">
        <v>17609</v>
      </c>
      <c r="U8707" t="s">
        <v>407</v>
      </c>
      <c r="V8707" t="s">
        <v>17610</v>
      </c>
      <c r="W8707" t="s">
        <v>17611</v>
      </c>
      <c r="AD8707" t="s">
        <v>410</v>
      </c>
      <c r="AE8707" t="s">
        <v>411</v>
      </c>
      <c r="AF8707" t="s">
        <v>17613</v>
      </c>
    </row>
    <row r="8708" spans="1:32" hidden="1" x14ac:dyDescent="0.35">
      <c r="A8708">
        <v>8707</v>
      </c>
      <c r="B8708" t="s">
        <v>17614</v>
      </c>
      <c r="C8708" t="s">
        <v>277</v>
      </c>
      <c r="D8708" t="s">
        <v>34</v>
      </c>
      <c r="E8708">
        <v>1281</v>
      </c>
      <c r="F8708">
        <v>2</v>
      </c>
      <c r="G8708">
        <v>2</v>
      </c>
      <c r="H8708">
        <v>1</v>
      </c>
      <c r="I8708">
        <v>0</v>
      </c>
      <c r="J8708">
        <v>0.96450617283950602</v>
      </c>
      <c r="K8708">
        <v>1</v>
      </c>
      <c r="L8708">
        <v>0.98193244304791805</v>
      </c>
      <c r="M8708">
        <v>0.95833333333333304</v>
      </c>
      <c r="N8708">
        <v>0.95833333333333304</v>
      </c>
      <c r="O8708">
        <v>0.95833333333333304</v>
      </c>
      <c r="P8708" t="s">
        <v>1444</v>
      </c>
      <c r="Q8708" t="s">
        <v>1445</v>
      </c>
      <c r="R8708" t="s">
        <v>319</v>
      </c>
      <c r="S8708" t="s">
        <v>320</v>
      </c>
      <c r="V8708" t="s">
        <v>1446</v>
      </c>
      <c r="W8708" t="s">
        <v>1447</v>
      </c>
      <c r="AF8708" t="s">
        <v>17615</v>
      </c>
    </row>
    <row r="8709" spans="1:32" hidden="1" x14ac:dyDescent="0.35">
      <c r="A8709">
        <v>8708</v>
      </c>
      <c r="B8709" t="s">
        <v>17614</v>
      </c>
      <c r="C8709" t="s">
        <v>277</v>
      </c>
      <c r="D8709" t="s">
        <v>45</v>
      </c>
      <c r="E8709">
        <v>33</v>
      </c>
      <c r="F8709">
        <v>2</v>
      </c>
      <c r="G8709">
        <v>2</v>
      </c>
      <c r="H8709">
        <v>1</v>
      </c>
      <c r="I8709">
        <v>0</v>
      </c>
      <c r="J8709">
        <v>0.96450617283950602</v>
      </c>
      <c r="K8709">
        <v>1</v>
      </c>
      <c r="L8709">
        <v>0.98193244304791805</v>
      </c>
      <c r="M8709">
        <v>0.95833333333333304</v>
      </c>
      <c r="N8709">
        <v>0.95833333333333304</v>
      </c>
      <c r="O8709">
        <v>0.95833333333333304</v>
      </c>
      <c r="P8709" t="s">
        <v>1444</v>
      </c>
      <c r="Q8709" t="s">
        <v>1445</v>
      </c>
      <c r="R8709" t="s">
        <v>319</v>
      </c>
      <c r="S8709" t="s">
        <v>320</v>
      </c>
      <c r="V8709" t="s">
        <v>1446</v>
      </c>
      <c r="W8709" t="s">
        <v>1447</v>
      </c>
      <c r="AF8709" t="s">
        <v>17616</v>
      </c>
    </row>
    <row r="8710" spans="1:32" hidden="1" x14ac:dyDescent="0.35">
      <c r="A8710">
        <v>8709</v>
      </c>
      <c r="B8710" t="s">
        <v>17617</v>
      </c>
      <c r="C8710" t="s">
        <v>277</v>
      </c>
      <c r="D8710" t="s">
        <v>60</v>
      </c>
      <c r="E8710">
        <v>457</v>
      </c>
      <c r="F8710">
        <v>2</v>
      </c>
      <c r="G8710">
        <v>2</v>
      </c>
      <c r="H8710">
        <v>1</v>
      </c>
      <c r="I8710">
        <v>0</v>
      </c>
      <c r="J8710">
        <v>0.99679487179487203</v>
      </c>
      <c r="K8710">
        <v>0.62933449241765704</v>
      </c>
      <c r="L8710">
        <v>0.77154672745158204</v>
      </c>
      <c r="M8710">
        <v>0.50490196078431404</v>
      </c>
      <c r="N8710">
        <v>0.50490196078431404</v>
      </c>
      <c r="O8710">
        <v>0.50490196078431404</v>
      </c>
      <c r="AF8710" t="s">
        <v>17618</v>
      </c>
    </row>
    <row r="8711" spans="1:32" hidden="1" x14ac:dyDescent="0.35">
      <c r="A8711">
        <v>8710</v>
      </c>
      <c r="B8711" t="s">
        <v>17617</v>
      </c>
      <c r="C8711" t="s">
        <v>277</v>
      </c>
      <c r="D8711" t="s">
        <v>62</v>
      </c>
      <c r="E8711">
        <v>539</v>
      </c>
      <c r="F8711">
        <v>2</v>
      </c>
      <c r="G8711">
        <v>2</v>
      </c>
      <c r="H8711">
        <v>1</v>
      </c>
      <c r="I8711">
        <v>0</v>
      </c>
      <c r="J8711">
        <v>0.99679487179487203</v>
      </c>
      <c r="K8711">
        <v>0.62933449241765704</v>
      </c>
      <c r="L8711">
        <v>0.77154672745158204</v>
      </c>
      <c r="M8711">
        <v>0.50490196078431404</v>
      </c>
      <c r="N8711">
        <v>0.50490196078431404</v>
      </c>
      <c r="O8711">
        <v>0.50490196078431404</v>
      </c>
      <c r="AF8711" t="e">
        <f>----------------------------------------------------------------------------------------------------MFQGSIDVSTSDANALDENYAVSNGQVTLNLQDLKPLDKDKTVNVYVDVGTVSVTLPDDVPVEMTAKDSVTLTTPSHKTYNESASGKKLTLNVQVNNGPVTIAE</f>
        <v>#NAME?</v>
      </c>
    </row>
    <row r="8712" spans="1:32" hidden="1" x14ac:dyDescent="0.35">
      <c r="A8712">
        <v>8711</v>
      </c>
      <c r="B8712" t="s">
        <v>17619</v>
      </c>
      <c r="C8712" t="s">
        <v>277</v>
      </c>
      <c r="D8712" t="s">
        <v>60</v>
      </c>
      <c r="E8712">
        <v>1144</v>
      </c>
      <c r="F8712">
        <v>2</v>
      </c>
      <c r="G8712">
        <v>2</v>
      </c>
      <c r="H8712">
        <v>1</v>
      </c>
      <c r="I8712">
        <v>0</v>
      </c>
      <c r="J8712">
        <v>0.99012908124525401</v>
      </c>
      <c r="K8712">
        <v>1</v>
      </c>
      <c r="L8712">
        <v>0.99504006104540299</v>
      </c>
      <c r="M8712">
        <v>0.98405466970387201</v>
      </c>
      <c r="N8712">
        <v>0.98405466970387201</v>
      </c>
      <c r="O8712">
        <v>0.98405466970387201</v>
      </c>
      <c r="P8712" t="s">
        <v>16532</v>
      </c>
      <c r="Q8712" t="s">
        <v>16533</v>
      </c>
      <c r="T8712" t="s">
        <v>16534</v>
      </c>
      <c r="U8712" t="s">
        <v>16535</v>
      </c>
      <c r="AD8712" t="s">
        <v>219</v>
      </c>
      <c r="AE8712" t="s">
        <v>16538</v>
      </c>
      <c r="AF8712" t="s">
        <v>17620</v>
      </c>
    </row>
    <row r="8713" spans="1:32" hidden="1" x14ac:dyDescent="0.35">
      <c r="A8713">
        <v>8712</v>
      </c>
      <c r="B8713" t="s">
        <v>17619</v>
      </c>
      <c r="C8713" t="s">
        <v>277</v>
      </c>
      <c r="D8713" t="s">
        <v>62</v>
      </c>
      <c r="E8713">
        <v>1181</v>
      </c>
      <c r="F8713">
        <v>2</v>
      </c>
      <c r="G8713">
        <v>2</v>
      </c>
      <c r="H8713">
        <v>1</v>
      </c>
      <c r="I8713">
        <v>0</v>
      </c>
      <c r="J8713">
        <v>0.99012908124525401</v>
      </c>
      <c r="K8713">
        <v>1</v>
      </c>
      <c r="L8713">
        <v>0.99504006104540299</v>
      </c>
      <c r="M8713">
        <v>0.98405466970387201</v>
      </c>
      <c r="N8713">
        <v>0.98405466970387201</v>
      </c>
      <c r="O8713">
        <v>0.98405466970387201</v>
      </c>
      <c r="P8713" t="s">
        <v>16532</v>
      </c>
      <c r="Q8713" t="s">
        <v>16533</v>
      </c>
      <c r="T8713" t="s">
        <v>16534</v>
      </c>
      <c r="U8713" t="s">
        <v>16535</v>
      </c>
      <c r="AD8713" t="s">
        <v>219</v>
      </c>
      <c r="AE8713" t="s">
        <v>16538</v>
      </c>
      <c r="AF8713" t="s">
        <v>17621</v>
      </c>
    </row>
    <row r="8714" spans="1:32" hidden="1" x14ac:dyDescent="0.35">
      <c r="A8714">
        <v>8713</v>
      </c>
      <c r="B8714" t="s">
        <v>17622</v>
      </c>
      <c r="C8714" t="s">
        <v>277</v>
      </c>
      <c r="D8714" t="s">
        <v>34</v>
      </c>
      <c r="E8714">
        <v>2164</v>
      </c>
      <c r="F8714">
        <v>2</v>
      </c>
      <c r="G8714">
        <v>2</v>
      </c>
      <c r="H8714">
        <v>1</v>
      </c>
      <c r="I8714">
        <v>0</v>
      </c>
      <c r="J8714">
        <v>0.99467518636847696</v>
      </c>
      <c r="K8714">
        <v>1</v>
      </c>
      <c r="L8714">
        <v>0.99733048585157502</v>
      </c>
      <c r="M8714">
        <v>0.99254526091586803</v>
      </c>
      <c r="N8714">
        <v>0.99254526091586803</v>
      </c>
      <c r="O8714">
        <v>0.99254526091586803</v>
      </c>
      <c r="P8714" t="s">
        <v>17623</v>
      </c>
      <c r="Q8714" t="s">
        <v>17624</v>
      </c>
      <c r="R8714" t="s">
        <v>8195</v>
      </c>
      <c r="S8714" t="s">
        <v>8196</v>
      </c>
      <c r="T8714" t="s">
        <v>17625</v>
      </c>
      <c r="U8714" t="s">
        <v>17626</v>
      </c>
      <c r="V8714" t="s">
        <v>17627</v>
      </c>
      <c r="W8714" t="s">
        <v>17628</v>
      </c>
      <c r="X8714" t="s">
        <v>17627</v>
      </c>
      <c r="Y8714" t="s">
        <v>17629</v>
      </c>
      <c r="Z8714" t="s">
        <v>17630</v>
      </c>
      <c r="AA8714" t="s">
        <v>17631</v>
      </c>
      <c r="AB8714" t="s">
        <v>17630</v>
      </c>
      <c r="AC8714" t="s">
        <v>17632</v>
      </c>
      <c r="AD8714" t="s">
        <v>1140</v>
      </c>
      <c r="AE8714" t="s">
        <v>17633</v>
      </c>
      <c r="AF8714" t="s">
        <v>17634</v>
      </c>
    </row>
    <row r="8715" spans="1:32" hidden="1" x14ac:dyDescent="0.35">
      <c r="A8715">
        <v>8714</v>
      </c>
      <c r="B8715" t="s">
        <v>17622</v>
      </c>
      <c r="C8715" t="s">
        <v>277</v>
      </c>
      <c r="D8715" t="s">
        <v>45</v>
      </c>
      <c r="E8715">
        <v>709</v>
      </c>
      <c r="F8715">
        <v>2</v>
      </c>
      <c r="G8715">
        <v>2</v>
      </c>
      <c r="H8715">
        <v>1</v>
      </c>
      <c r="I8715">
        <v>0</v>
      </c>
      <c r="J8715">
        <v>0.99467518636847696</v>
      </c>
      <c r="K8715">
        <v>1</v>
      </c>
      <c r="L8715">
        <v>0.99733048585157502</v>
      </c>
      <c r="M8715">
        <v>0.99254526091586803</v>
      </c>
      <c r="N8715">
        <v>0.99254526091586803</v>
      </c>
      <c r="O8715">
        <v>0.99254526091586803</v>
      </c>
      <c r="P8715" t="s">
        <v>17623</v>
      </c>
      <c r="Q8715" t="s">
        <v>17624</v>
      </c>
      <c r="R8715" t="s">
        <v>8195</v>
      </c>
      <c r="S8715" t="s">
        <v>8196</v>
      </c>
      <c r="T8715" t="s">
        <v>17625</v>
      </c>
      <c r="U8715" t="s">
        <v>17626</v>
      </c>
      <c r="V8715" t="s">
        <v>17627</v>
      </c>
      <c r="W8715" t="s">
        <v>17628</v>
      </c>
      <c r="X8715" t="s">
        <v>17627</v>
      </c>
      <c r="Y8715" t="s">
        <v>17629</v>
      </c>
      <c r="Z8715" t="s">
        <v>17630</v>
      </c>
      <c r="AA8715" t="s">
        <v>17631</v>
      </c>
      <c r="AB8715" t="s">
        <v>17630</v>
      </c>
      <c r="AC8715" t="s">
        <v>17632</v>
      </c>
      <c r="AD8715" t="s">
        <v>1140</v>
      </c>
      <c r="AE8715" t="s">
        <v>17633</v>
      </c>
      <c r="AF8715" t="s">
        <v>17635</v>
      </c>
    </row>
    <row r="8716" spans="1:32" hidden="1" x14ac:dyDescent="0.35">
      <c r="A8716">
        <v>8715</v>
      </c>
      <c r="B8716" t="s">
        <v>17636</v>
      </c>
      <c r="C8716" t="s">
        <v>277</v>
      </c>
      <c r="D8716" t="s">
        <v>34</v>
      </c>
      <c r="E8716">
        <v>1167</v>
      </c>
      <c r="F8716">
        <v>2</v>
      </c>
      <c r="G8716">
        <v>2</v>
      </c>
      <c r="H8716">
        <v>1</v>
      </c>
      <c r="I8716">
        <v>0</v>
      </c>
      <c r="J8716">
        <v>0.99849170437405699</v>
      </c>
      <c r="K8716">
        <v>1</v>
      </c>
      <c r="L8716">
        <v>0.99924528301886795</v>
      </c>
      <c r="M8716">
        <v>0.99547511312217196</v>
      </c>
      <c r="N8716">
        <v>0.99547511312217196</v>
      </c>
      <c r="O8716">
        <v>0.99547511312217196</v>
      </c>
      <c r="P8716" t="s">
        <v>5019</v>
      </c>
      <c r="Q8716" t="s">
        <v>5020</v>
      </c>
      <c r="R8716" t="s">
        <v>75</v>
      </c>
      <c r="S8716" t="s">
        <v>76</v>
      </c>
      <c r="V8716" t="s">
        <v>11511</v>
      </c>
      <c r="W8716" t="s">
        <v>11512</v>
      </c>
      <c r="X8716" t="s">
        <v>11511</v>
      </c>
      <c r="Y8716" t="s">
        <v>2750</v>
      </c>
      <c r="AF8716" t="s">
        <v>17637</v>
      </c>
    </row>
    <row r="8717" spans="1:32" hidden="1" x14ac:dyDescent="0.35">
      <c r="A8717">
        <v>8716</v>
      </c>
      <c r="B8717" t="s">
        <v>17636</v>
      </c>
      <c r="C8717" t="s">
        <v>277</v>
      </c>
      <c r="D8717" t="s">
        <v>45</v>
      </c>
      <c r="E8717">
        <v>2412</v>
      </c>
      <c r="F8717">
        <v>2</v>
      </c>
      <c r="G8717">
        <v>2</v>
      </c>
      <c r="H8717">
        <v>1</v>
      </c>
      <c r="I8717">
        <v>0</v>
      </c>
      <c r="J8717">
        <v>0.99849170437405699</v>
      </c>
      <c r="K8717">
        <v>1</v>
      </c>
      <c r="L8717">
        <v>0.99924528301886795</v>
      </c>
      <c r="M8717">
        <v>0.99547511312217196</v>
      </c>
      <c r="N8717">
        <v>0.99547511312217196</v>
      </c>
      <c r="O8717">
        <v>0.99547511312217196</v>
      </c>
      <c r="P8717" t="s">
        <v>5019</v>
      </c>
      <c r="Q8717" t="s">
        <v>5020</v>
      </c>
      <c r="R8717" t="s">
        <v>75</v>
      </c>
      <c r="S8717" t="s">
        <v>76</v>
      </c>
      <c r="V8717" t="s">
        <v>11511</v>
      </c>
      <c r="W8717" t="s">
        <v>11512</v>
      </c>
      <c r="X8717" t="s">
        <v>11511</v>
      </c>
      <c r="Y8717" t="s">
        <v>2750</v>
      </c>
      <c r="AF8717" t="s">
        <v>17638</v>
      </c>
    </row>
    <row r="8718" spans="1:32" hidden="1" x14ac:dyDescent="0.35">
      <c r="A8718">
        <v>8717</v>
      </c>
      <c r="B8718" t="s">
        <v>17639</v>
      </c>
      <c r="C8718" t="s">
        <v>277</v>
      </c>
      <c r="D8718" t="s">
        <v>34</v>
      </c>
      <c r="E8718">
        <v>2311</v>
      </c>
      <c r="F8718">
        <v>2</v>
      </c>
      <c r="G8718">
        <v>2</v>
      </c>
      <c r="H8718">
        <v>1</v>
      </c>
      <c r="I8718">
        <v>0</v>
      </c>
      <c r="J8718">
        <v>0.96806387225548896</v>
      </c>
      <c r="K8718">
        <v>1</v>
      </c>
      <c r="L8718">
        <v>0.98377281947261697</v>
      </c>
      <c r="M8718">
        <v>0.95209580838323304</v>
      </c>
      <c r="N8718">
        <v>0.95209580838323304</v>
      </c>
      <c r="O8718">
        <v>0.95209580838323304</v>
      </c>
      <c r="P8718" t="s">
        <v>17640</v>
      </c>
      <c r="Q8718" t="s">
        <v>17641</v>
      </c>
      <c r="R8718" t="s">
        <v>1191</v>
      </c>
      <c r="S8718" t="s">
        <v>1192</v>
      </c>
      <c r="V8718" t="s">
        <v>17642</v>
      </c>
      <c r="W8718" t="s">
        <v>17643</v>
      </c>
      <c r="AF8718" t="s">
        <v>17644</v>
      </c>
    </row>
    <row r="8719" spans="1:32" hidden="1" x14ac:dyDescent="0.35">
      <c r="A8719">
        <v>8718</v>
      </c>
      <c r="B8719" t="s">
        <v>17639</v>
      </c>
      <c r="C8719" t="s">
        <v>277</v>
      </c>
      <c r="D8719" t="s">
        <v>45</v>
      </c>
      <c r="E8719">
        <v>567</v>
      </c>
      <c r="F8719">
        <v>2</v>
      </c>
      <c r="G8719">
        <v>2</v>
      </c>
      <c r="H8719">
        <v>1</v>
      </c>
      <c r="I8719">
        <v>0</v>
      </c>
      <c r="J8719">
        <v>0.96806387225548896</v>
      </c>
      <c r="K8719">
        <v>1</v>
      </c>
      <c r="L8719">
        <v>0.98377281947261697</v>
      </c>
      <c r="M8719">
        <v>0.95209580838323304</v>
      </c>
      <c r="N8719">
        <v>0.95209580838323304</v>
      </c>
      <c r="O8719">
        <v>0.95209580838323304</v>
      </c>
      <c r="P8719" t="s">
        <v>17640</v>
      </c>
      <c r="Q8719" t="s">
        <v>17641</v>
      </c>
      <c r="R8719" t="s">
        <v>1191</v>
      </c>
      <c r="S8719" t="s">
        <v>1192</v>
      </c>
      <c r="V8719" t="s">
        <v>17642</v>
      </c>
      <c r="W8719" t="s">
        <v>17643</v>
      </c>
      <c r="AF8719" t="s">
        <v>17645</v>
      </c>
    </row>
    <row r="8720" spans="1:32" hidden="1" x14ac:dyDescent="0.35">
      <c r="A8720">
        <v>8719</v>
      </c>
      <c r="B8720" t="s">
        <v>17646</v>
      </c>
      <c r="C8720" t="s">
        <v>277</v>
      </c>
      <c r="D8720" t="s">
        <v>34</v>
      </c>
      <c r="E8720">
        <v>2097</v>
      </c>
      <c r="F8720">
        <v>2</v>
      </c>
      <c r="G8720">
        <v>2</v>
      </c>
      <c r="H8720">
        <v>1</v>
      </c>
      <c r="I8720">
        <v>0</v>
      </c>
      <c r="J8720">
        <v>0.99355877616747201</v>
      </c>
      <c r="K8720">
        <v>1</v>
      </c>
      <c r="L8720">
        <v>0.99676898222940202</v>
      </c>
      <c r="M8720">
        <v>0.99033816425120802</v>
      </c>
      <c r="N8720">
        <v>0.99033816425120802</v>
      </c>
      <c r="O8720">
        <v>0.99033816425120802</v>
      </c>
      <c r="AF8720" t="s">
        <v>17647</v>
      </c>
    </row>
    <row r="8721" spans="1:32" hidden="1" x14ac:dyDescent="0.35">
      <c r="A8721">
        <v>8720</v>
      </c>
      <c r="B8721" t="s">
        <v>17646</v>
      </c>
      <c r="C8721" t="s">
        <v>277</v>
      </c>
      <c r="D8721" t="s">
        <v>45</v>
      </c>
      <c r="E8721">
        <v>775</v>
      </c>
      <c r="F8721">
        <v>2</v>
      </c>
      <c r="G8721">
        <v>2</v>
      </c>
      <c r="H8721">
        <v>1</v>
      </c>
      <c r="I8721">
        <v>0</v>
      </c>
      <c r="J8721">
        <v>0.99355877616747201</v>
      </c>
      <c r="K8721">
        <v>1</v>
      </c>
      <c r="L8721">
        <v>0.99676898222940202</v>
      </c>
      <c r="M8721">
        <v>0.99033816425120802</v>
      </c>
      <c r="N8721">
        <v>0.99033816425120802</v>
      </c>
      <c r="O8721">
        <v>0.99033816425120802</v>
      </c>
      <c r="AF8721" t="s">
        <v>17648</v>
      </c>
    </row>
    <row r="8722" spans="1:32" hidden="1" x14ac:dyDescent="0.35">
      <c r="A8722">
        <v>8721</v>
      </c>
      <c r="B8722" t="s">
        <v>17649</v>
      </c>
      <c r="C8722" t="s">
        <v>277</v>
      </c>
      <c r="D8722" t="s">
        <v>60</v>
      </c>
      <c r="E8722">
        <v>2502</v>
      </c>
      <c r="F8722">
        <v>2</v>
      </c>
      <c r="G8722">
        <v>2</v>
      </c>
      <c r="H8722">
        <v>1</v>
      </c>
      <c r="I8722">
        <v>0</v>
      </c>
      <c r="J8722">
        <v>0.99257609502598398</v>
      </c>
      <c r="K8722">
        <v>1</v>
      </c>
      <c r="L8722">
        <v>0.99627421758569301</v>
      </c>
      <c r="M8722">
        <v>0.99109131403118</v>
      </c>
      <c r="N8722">
        <v>0.99109131403118</v>
      </c>
      <c r="O8722">
        <v>0.99109131403118</v>
      </c>
      <c r="P8722" t="s">
        <v>16846</v>
      </c>
      <c r="Q8722" t="s">
        <v>16847</v>
      </c>
      <c r="R8722" t="s">
        <v>113</v>
      </c>
      <c r="S8722" t="s">
        <v>114</v>
      </c>
      <c r="V8722" t="s">
        <v>16848</v>
      </c>
      <c r="W8722" t="s">
        <v>16849</v>
      </c>
      <c r="AF8722" t="s">
        <v>17650</v>
      </c>
    </row>
    <row r="8723" spans="1:32" hidden="1" x14ac:dyDescent="0.35">
      <c r="A8723">
        <v>8722</v>
      </c>
      <c r="B8723" t="s">
        <v>17649</v>
      </c>
      <c r="C8723" t="s">
        <v>277</v>
      </c>
      <c r="D8723" t="s">
        <v>62</v>
      </c>
      <c r="E8723">
        <v>29</v>
      </c>
      <c r="F8723">
        <v>2</v>
      </c>
      <c r="G8723">
        <v>2</v>
      </c>
      <c r="H8723">
        <v>1</v>
      </c>
      <c r="I8723">
        <v>0</v>
      </c>
      <c r="J8723">
        <v>0.99257609502598398</v>
      </c>
      <c r="K8723">
        <v>1</v>
      </c>
      <c r="L8723">
        <v>0.99627421758569301</v>
      </c>
      <c r="M8723">
        <v>0.99109131403118</v>
      </c>
      <c r="N8723">
        <v>0.99109131403118</v>
      </c>
      <c r="O8723">
        <v>0.99109131403118</v>
      </c>
      <c r="P8723" t="s">
        <v>16846</v>
      </c>
      <c r="Q8723" t="s">
        <v>16847</v>
      </c>
      <c r="R8723" t="s">
        <v>113</v>
      </c>
      <c r="S8723" t="s">
        <v>114</v>
      </c>
      <c r="V8723" t="s">
        <v>16848</v>
      </c>
      <c r="W8723" t="s">
        <v>16849</v>
      </c>
      <c r="AF8723" t="s">
        <v>17651</v>
      </c>
    </row>
    <row r="8724" spans="1:32" hidden="1" x14ac:dyDescent="0.35">
      <c r="A8724">
        <v>8723</v>
      </c>
      <c r="B8724" t="s">
        <v>17652</v>
      </c>
      <c r="C8724" t="s">
        <v>277</v>
      </c>
      <c r="D8724" t="s">
        <v>34</v>
      </c>
      <c r="E8724">
        <v>1057</v>
      </c>
      <c r="F8724">
        <v>2</v>
      </c>
      <c r="G8724">
        <v>2</v>
      </c>
      <c r="H8724">
        <v>1</v>
      </c>
      <c r="I8724">
        <v>0</v>
      </c>
      <c r="J8724">
        <v>0.99013389711064104</v>
      </c>
      <c r="K8724">
        <v>1</v>
      </c>
      <c r="L8724">
        <v>0.99504249291784697</v>
      </c>
      <c r="M8724">
        <v>0.98731501057082405</v>
      </c>
      <c r="N8724">
        <v>0.98731501057082405</v>
      </c>
      <c r="O8724">
        <v>0.98731501057082405</v>
      </c>
      <c r="P8724" t="s">
        <v>15119</v>
      </c>
      <c r="Q8724" t="s">
        <v>15120</v>
      </c>
      <c r="R8724" t="s">
        <v>10106</v>
      </c>
      <c r="S8724" t="s">
        <v>10107</v>
      </c>
      <c r="T8724" t="s">
        <v>17653</v>
      </c>
      <c r="U8724" t="s">
        <v>17654</v>
      </c>
      <c r="V8724" t="s">
        <v>10108</v>
      </c>
      <c r="W8724" t="s">
        <v>10109</v>
      </c>
      <c r="X8724" t="s">
        <v>10108</v>
      </c>
      <c r="Y8724" t="s">
        <v>1136</v>
      </c>
      <c r="AD8724" t="s">
        <v>312</v>
      </c>
      <c r="AE8724" t="s">
        <v>11064</v>
      </c>
      <c r="AF8724" t="s">
        <v>17655</v>
      </c>
    </row>
    <row r="8725" spans="1:32" hidden="1" x14ac:dyDescent="0.35">
      <c r="A8725">
        <v>8724</v>
      </c>
      <c r="B8725" t="s">
        <v>17652</v>
      </c>
      <c r="C8725" t="s">
        <v>277</v>
      </c>
      <c r="D8725" t="s">
        <v>45</v>
      </c>
      <c r="E8725">
        <v>2313</v>
      </c>
      <c r="F8725">
        <v>2</v>
      </c>
      <c r="G8725">
        <v>2</v>
      </c>
      <c r="H8725">
        <v>1</v>
      </c>
      <c r="I8725">
        <v>0</v>
      </c>
      <c r="J8725">
        <v>0.99013389711064104</v>
      </c>
      <c r="K8725">
        <v>1</v>
      </c>
      <c r="L8725">
        <v>0.99504249291784697</v>
      </c>
      <c r="M8725">
        <v>0.98731501057082405</v>
      </c>
      <c r="N8725">
        <v>0.98731501057082405</v>
      </c>
      <c r="O8725">
        <v>0.98731501057082405</v>
      </c>
      <c r="P8725" t="s">
        <v>15119</v>
      </c>
      <c r="Q8725" t="s">
        <v>15120</v>
      </c>
      <c r="R8725" t="s">
        <v>10106</v>
      </c>
      <c r="S8725" t="s">
        <v>10107</v>
      </c>
      <c r="T8725" t="s">
        <v>17653</v>
      </c>
      <c r="U8725" t="s">
        <v>17654</v>
      </c>
      <c r="V8725" t="s">
        <v>10108</v>
      </c>
      <c r="W8725" t="s">
        <v>10109</v>
      </c>
      <c r="X8725" t="s">
        <v>10108</v>
      </c>
      <c r="Y8725" t="s">
        <v>1136</v>
      </c>
      <c r="AD8725" t="s">
        <v>312</v>
      </c>
      <c r="AE8725" t="s">
        <v>11064</v>
      </c>
      <c r="AF8725" t="s">
        <v>17656</v>
      </c>
    </row>
    <row r="8726" spans="1:32" hidden="1" x14ac:dyDescent="0.35">
      <c r="A8726">
        <v>8725</v>
      </c>
      <c r="B8726" t="s">
        <v>17657</v>
      </c>
      <c r="C8726" t="s">
        <v>277</v>
      </c>
      <c r="D8726" t="s">
        <v>60</v>
      </c>
      <c r="E8726">
        <v>1188</v>
      </c>
      <c r="F8726">
        <v>2</v>
      </c>
      <c r="G8726">
        <v>2</v>
      </c>
      <c r="H8726">
        <v>1</v>
      </c>
      <c r="I8726">
        <v>0</v>
      </c>
      <c r="J8726">
        <v>0.99252136752136799</v>
      </c>
      <c r="K8726">
        <v>1</v>
      </c>
      <c r="L8726">
        <v>0.99624664879356595</v>
      </c>
      <c r="M8726">
        <v>0.99038461538461497</v>
      </c>
      <c r="N8726">
        <v>0.99038461538461497</v>
      </c>
      <c r="O8726">
        <v>0.99038461538461497</v>
      </c>
      <c r="P8726" t="s">
        <v>17658</v>
      </c>
      <c r="Q8726" t="s">
        <v>17659</v>
      </c>
      <c r="AF8726" t="s">
        <v>17660</v>
      </c>
    </row>
    <row r="8727" spans="1:32" hidden="1" x14ac:dyDescent="0.35">
      <c r="A8727">
        <v>8726</v>
      </c>
      <c r="B8727" t="s">
        <v>17657</v>
      </c>
      <c r="C8727" t="s">
        <v>277</v>
      </c>
      <c r="D8727" t="s">
        <v>62</v>
      </c>
      <c r="E8727">
        <v>1225</v>
      </c>
      <c r="F8727">
        <v>2</v>
      </c>
      <c r="G8727">
        <v>2</v>
      </c>
      <c r="H8727">
        <v>1</v>
      </c>
      <c r="I8727">
        <v>0</v>
      </c>
      <c r="J8727">
        <v>0.99252136752136799</v>
      </c>
      <c r="K8727">
        <v>1</v>
      </c>
      <c r="L8727">
        <v>0.99624664879356595</v>
      </c>
      <c r="M8727">
        <v>0.99038461538461497</v>
      </c>
      <c r="N8727">
        <v>0.99038461538461497</v>
      </c>
      <c r="O8727">
        <v>0.99038461538461497</v>
      </c>
      <c r="P8727" t="s">
        <v>17658</v>
      </c>
      <c r="Q8727" t="s">
        <v>17659</v>
      </c>
      <c r="AF8727" t="s">
        <v>17661</v>
      </c>
    </row>
    <row r="8728" spans="1:32" hidden="1" x14ac:dyDescent="0.35">
      <c r="A8728">
        <v>8727</v>
      </c>
      <c r="B8728" t="s">
        <v>17662</v>
      </c>
      <c r="C8728" t="s">
        <v>277</v>
      </c>
      <c r="D8728" t="s">
        <v>60</v>
      </c>
      <c r="E8728">
        <v>1126</v>
      </c>
      <c r="F8728">
        <v>2</v>
      </c>
      <c r="G8728">
        <v>2</v>
      </c>
      <c r="H8728">
        <v>1</v>
      </c>
      <c r="I8728">
        <v>0</v>
      </c>
      <c r="J8728">
        <v>0.99557032115171695</v>
      </c>
      <c r="K8728">
        <v>1</v>
      </c>
      <c r="L8728">
        <v>0.99778024417314104</v>
      </c>
      <c r="M8728">
        <v>0.99335548172757504</v>
      </c>
      <c r="N8728">
        <v>0.99335548172757504</v>
      </c>
      <c r="O8728">
        <v>0.99335548172757504</v>
      </c>
      <c r="P8728" t="s">
        <v>16894</v>
      </c>
      <c r="Q8728" t="s">
        <v>16895</v>
      </c>
      <c r="R8728" t="s">
        <v>288</v>
      </c>
      <c r="S8728" t="s">
        <v>289</v>
      </c>
      <c r="T8728" t="s">
        <v>16888</v>
      </c>
      <c r="U8728" t="s">
        <v>16889</v>
      </c>
      <c r="V8728" t="s">
        <v>16890</v>
      </c>
      <c r="W8728" t="s">
        <v>16891</v>
      </c>
      <c r="AD8728" t="s">
        <v>219</v>
      </c>
      <c r="AE8728" t="s">
        <v>16892</v>
      </c>
      <c r="AF8728" t="s">
        <v>17663</v>
      </c>
    </row>
    <row r="8729" spans="1:32" hidden="1" x14ac:dyDescent="0.35">
      <c r="A8729">
        <v>8728</v>
      </c>
      <c r="B8729" t="s">
        <v>17662</v>
      </c>
      <c r="C8729" t="s">
        <v>277</v>
      </c>
      <c r="D8729" t="s">
        <v>62</v>
      </c>
      <c r="E8729">
        <v>1162</v>
      </c>
      <c r="F8729">
        <v>2</v>
      </c>
      <c r="G8729">
        <v>2</v>
      </c>
      <c r="H8729">
        <v>1</v>
      </c>
      <c r="I8729">
        <v>0</v>
      </c>
      <c r="J8729">
        <v>0.99557032115171695</v>
      </c>
      <c r="K8729">
        <v>1</v>
      </c>
      <c r="L8729">
        <v>0.99778024417314104</v>
      </c>
      <c r="M8729">
        <v>0.99335548172757504</v>
      </c>
      <c r="N8729">
        <v>0.99335548172757504</v>
      </c>
      <c r="O8729">
        <v>0.99335548172757504</v>
      </c>
      <c r="P8729" t="s">
        <v>16894</v>
      </c>
      <c r="Q8729" t="s">
        <v>16895</v>
      </c>
      <c r="R8729" t="s">
        <v>288</v>
      </c>
      <c r="S8729" t="s">
        <v>289</v>
      </c>
      <c r="T8729" t="s">
        <v>16888</v>
      </c>
      <c r="U8729" t="s">
        <v>16889</v>
      </c>
      <c r="V8729" t="s">
        <v>16890</v>
      </c>
      <c r="W8729" t="s">
        <v>16891</v>
      </c>
      <c r="AD8729" t="s">
        <v>219</v>
      </c>
      <c r="AE8729" t="s">
        <v>16892</v>
      </c>
      <c r="AF8729" t="s">
        <v>17664</v>
      </c>
    </row>
    <row r="8730" spans="1:32" hidden="1" x14ac:dyDescent="0.35">
      <c r="A8730">
        <v>8729</v>
      </c>
      <c r="B8730" t="s">
        <v>17665</v>
      </c>
      <c r="C8730" t="s">
        <v>277</v>
      </c>
      <c r="D8730" t="s">
        <v>60</v>
      </c>
      <c r="E8730">
        <v>2496</v>
      </c>
      <c r="F8730">
        <v>2</v>
      </c>
      <c r="G8730">
        <v>2</v>
      </c>
      <c r="H8730">
        <v>1</v>
      </c>
      <c r="I8730">
        <v>0</v>
      </c>
      <c r="J8730">
        <v>0.994110718492344</v>
      </c>
      <c r="K8730">
        <v>1</v>
      </c>
      <c r="L8730">
        <v>0.99704666272888398</v>
      </c>
      <c r="M8730">
        <v>0.98939929328621901</v>
      </c>
      <c r="N8730">
        <v>0.98939929328621901</v>
      </c>
      <c r="O8730">
        <v>0.98939929328621901</v>
      </c>
      <c r="P8730" t="s">
        <v>17666</v>
      </c>
      <c r="Q8730" t="s">
        <v>17667</v>
      </c>
      <c r="R8730" t="s">
        <v>342</v>
      </c>
      <c r="S8730" t="s">
        <v>343</v>
      </c>
      <c r="V8730" t="s">
        <v>17668</v>
      </c>
      <c r="W8730" t="s">
        <v>17669</v>
      </c>
      <c r="AF8730" t="s">
        <v>17670</v>
      </c>
    </row>
    <row r="8731" spans="1:32" hidden="1" x14ac:dyDescent="0.35">
      <c r="A8731">
        <v>8730</v>
      </c>
      <c r="B8731" t="s">
        <v>17665</v>
      </c>
      <c r="C8731" t="s">
        <v>277</v>
      </c>
      <c r="D8731" t="s">
        <v>62</v>
      </c>
      <c r="E8731">
        <v>23</v>
      </c>
      <c r="F8731">
        <v>2</v>
      </c>
      <c r="G8731">
        <v>2</v>
      </c>
      <c r="H8731">
        <v>1</v>
      </c>
      <c r="I8731">
        <v>0</v>
      </c>
      <c r="J8731">
        <v>0.994110718492344</v>
      </c>
      <c r="K8731">
        <v>1</v>
      </c>
      <c r="L8731">
        <v>0.99704666272888398</v>
      </c>
      <c r="M8731">
        <v>0.98939929328621901</v>
      </c>
      <c r="N8731">
        <v>0.98939929328621901</v>
      </c>
      <c r="O8731">
        <v>0.98939929328621901</v>
      </c>
      <c r="P8731" t="s">
        <v>17666</v>
      </c>
      <c r="Q8731" t="s">
        <v>17667</v>
      </c>
      <c r="R8731" t="s">
        <v>342</v>
      </c>
      <c r="S8731" t="s">
        <v>343</v>
      </c>
      <c r="V8731" t="s">
        <v>17668</v>
      </c>
      <c r="W8731" t="s">
        <v>17669</v>
      </c>
      <c r="AF8731" t="s">
        <v>17671</v>
      </c>
    </row>
    <row r="8732" spans="1:32" hidden="1" x14ac:dyDescent="0.35">
      <c r="A8732">
        <v>8731</v>
      </c>
      <c r="B8732" t="s">
        <v>17672</v>
      </c>
      <c r="C8732" t="s">
        <v>277</v>
      </c>
      <c r="D8732" t="s">
        <v>34</v>
      </c>
      <c r="E8732">
        <v>1199</v>
      </c>
      <c r="F8732">
        <v>2</v>
      </c>
      <c r="G8732">
        <v>2</v>
      </c>
      <c r="H8732">
        <v>1</v>
      </c>
      <c r="I8732">
        <v>0</v>
      </c>
      <c r="J8732">
        <v>0.98969072164948502</v>
      </c>
      <c r="K8732">
        <v>1</v>
      </c>
      <c r="L8732">
        <v>0.99481865284974103</v>
      </c>
      <c r="M8732">
        <v>0.98453608247422697</v>
      </c>
      <c r="N8732">
        <v>0.98453608247422697</v>
      </c>
      <c r="O8732">
        <v>0.98453608247422697</v>
      </c>
      <c r="P8732" t="s">
        <v>4358</v>
      </c>
      <c r="Q8732" t="s">
        <v>4359</v>
      </c>
      <c r="R8732" t="s">
        <v>319</v>
      </c>
      <c r="S8732" t="s">
        <v>320</v>
      </c>
      <c r="V8732" t="s">
        <v>4360</v>
      </c>
      <c r="W8732" t="s">
        <v>4361</v>
      </c>
      <c r="AF8732" t="s">
        <v>17673</v>
      </c>
    </row>
    <row r="8733" spans="1:32" hidden="1" x14ac:dyDescent="0.35">
      <c r="A8733">
        <v>8732</v>
      </c>
      <c r="B8733" t="s">
        <v>17672</v>
      </c>
      <c r="C8733" t="s">
        <v>277</v>
      </c>
      <c r="D8733" t="s">
        <v>45</v>
      </c>
      <c r="E8733">
        <v>2441</v>
      </c>
      <c r="F8733">
        <v>2</v>
      </c>
      <c r="G8733">
        <v>2</v>
      </c>
      <c r="H8733">
        <v>1</v>
      </c>
      <c r="I8733">
        <v>0</v>
      </c>
      <c r="J8733">
        <v>0.98969072164948502</v>
      </c>
      <c r="K8733">
        <v>1</v>
      </c>
      <c r="L8733">
        <v>0.99481865284974103</v>
      </c>
      <c r="M8733">
        <v>0.98453608247422697</v>
      </c>
      <c r="N8733">
        <v>0.98453608247422697</v>
      </c>
      <c r="O8733">
        <v>0.98453608247422697</v>
      </c>
      <c r="P8733" t="s">
        <v>4358</v>
      </c>
      <c r="Q8733" t="s">
        <v>4359</v>
      </c>
      <c r="R8733" t="s">
        <v>319</v>
      </c>
      <c r="S8733" t="s">
        <v>320</v>
      </c>
      <c r="V8733" t="s">
        <v>4360</v>
      </c>
      <c r="W8733" t="s">
        <v>4361</v>
      </c>
      <c r="AF8733" t="s">
        <v>17674</v>
      </c>
    </row>
    <row r="8734" spans="1:32" hidden="1" x14ac:dyDescent="0.35">
      <c r="A8734">
        <v>8733</v>
      </c>
      <c r="B8734" t="s">
        <v>17675</v>
      </c>
      <c r="C8734" t="s">
        <v>277</v>
      </c>
      <c r="D8734" t="s">
        <v>34</v>
      </c>
      <c r="E8734">
        <v>2155</v>
      </c>
      <c r="F8734">
        <v>2</v>
      </c>
      <c r="G8734">
        <v>2</v>
      </c>
      <c r="H8734">
        <v>1</v>
      </c>
      <c r="I8734">
        <v>0</v>
      </c>
      <c r="J8734">
        <v>0.99109414758269698</v>
      </c>
      <c r="K8734">
        <v>1</v>
      </c>
      <c r="L8734">
        <v>0.99552715654952095</v>
      </c>
      <c r="M8734">
        <v>0.98854961832061095</v>
      </c>
      <c r="N8734">
        <v>0.98854961832061095</v>
      </c>
      <c r="O8734">
        <v>0.98854961832061095</v>
      </c>
      <c r="P8734" t="s">
        <v>15403</v>
      </c>
      <c r="Q8734" t="s">
        <v>15404</v>
      </c>
      <c r="AF8734" t="s">
        <v>17676</v>
      </c>
    </row>
    <row r="8735" spans="1:32" hidden="1" x14ac:dyDescent="0.35">
      <c r="A8735">
        <v>8734</v>
      </c>
      <c r="B8735" t="s">
        <v>17675</v>
      </c>
      <c r="C8735" t="s">
        <v>277</v>
      </c>
      <c r="D8735" t="s">
        <v>45</v>
      </c>
      <c r="E8735">
        <v>718</v>
      </c>
      <c r="F8735">
        <v>2</v>
      </c>
      <c r="G8735">
        <v>2</v>
      </c>
      <c r="H8735">
        <v>1</v>
      </c>
      <c r="I8735">
        <v>0</v>
      </c>
      <c r="J8735">
        <v>0.99109414758269698</v>
      </c>
      <c r="K8735">
        <v>1</v>
      </c>
      <c r="L8735">
        <v>0.99552715654952095</v>
      </c>
      <c r="M8735">
        <v>0.98854961832061095</v>
      </c>
      <c r="N8735">
        <v>0.98854961832061095</v>
      </c>
      <c r="O8735">
        <v>0.98854961832061095</v>
      </c>
      <c r="P8735" t="s">
        <v>15403</v>
      </c>
      <c r="Q8735" t="s">
        <v>15404</v>
      </c>
      <c r="AF8735" t="s">
        <v>17677</v>
      </c>
    </row>
    <row r="8736" spans="1:32" hidden="1" x14ac:dyDescent="0.35">
      <c r="A8736">
        <v>8735</v>
      </c>
      <c r="B8736" t="s">
        <v>17678</v>
      </c>
      <c r="C8736" t="s">
        <v>277</v>
      </c>
      <c r="D8736" t="s">
        <v>60</v>
      </c>
      <c r="E8736">
        <v>1729</v>
      </c>
      <c r="F8736">
        <v>2</v>
      </c>
      <c r="G8736">
        <v>2</v>
      </c>
      <c r="H8736">
        <v>1</v>
      </c>
      <c r="I8736">
        <v>0</v>
      </c>
      <c r="J8736">
        <v>0.993670886075949</v>
      </c>
      <c r="K8736">
        <v>1</v>
      </c>
      <c r="L8736">
        <v>0.99682539682539695</v>
      </c>
      <c r="M8736">
        <v>0.993670886075949</v>
      </c>
      <c r="N8736">
        <v>0.993670886075949</v>
      </c>
      <c r="O8736">
        <v>0.993670886075949</v>
      </c>
      <c r="P8736" t="s">
        <v>17679</v>
      </c>
      <c r="Q8736" t="s">
        <v>17680</v>
      </c>
      <c r="AF8736" t="s">
        <v>17681</v>
      </c>
    </row>
    <row r="8737" spans="1:32" hidden="1" x14ac:dyDescent="0.35">
      <c r="A8737">
        <v>8736</v>
      </c>
      <c r="B8737" t="s">
        <v>17678</v>
      </c>
      <c r="C8737" t="s">
        <v>277</v>
      </c>
      <c r="D8737" t="s">
        <v>62</v>
      </c>
      <c r="E8737">
        <v>1766</v>
      </c>
      <c r="F8737">
        <v>2</v>
      </c>
      <c r="G8737">
        <v>2</v>
      </c>
      <c r="H8737">
        <v>1</v>
      </c>
      <c r="I8737">
        <v>0</v>
      </c>
      <c r="J8737">
        <v>0.993670886075949</v>
      </c>
      <c r="K8737">
        <v>1</v>
      </c>
      <c r="L8737">
        <v>0.99682539682539695</v>
      </c>
      <c r="M8737">
        <v>0.993670886075949</v>
      </c>
      <c r="N8737">
        <v>0.993670886075949</v>
      </c>
      <c r="O8737">
        <v>0.993670886075949</v>
      </c>
      <c r="P8737" t="s">
        <v>17679</v>
      </c>
      <c r="Q8737" t="s">
        <v>17680</v>
      </c>
      <c r="AF8737" t="s">
        <v>17682</v>
      </c>
    </row>
    <row r="8738" spans="1:32" hidden="1" x14ac:dyDescent="0.35">
      <c r="A8738">
        <v>8737</v>
      </c>
      <c r="B8738" t="s">
        <v>17683</v>
      </c>
      <c r="C8738" t="s">
        <v>277</v>
      </c>
      <c r="D8738" t="s">
        <v>34</v>
      </c>
      <c r="E8738">
        <v>471</v>
      </c>
      <c r="F8738">
        <v>2</v>
      </c>
      <c r="G8738">
        <v>2</v>
      </c>
      <c r="H8738">
        <v>1</v>
      </c>
      <c r="I8738">
        <v>0</v>
      </c>
      <c r="J8738">
        <v>0.96470588235294097</v>
      </c>
      <c r="K8738">
        <v>1</v>
      </c>
      <c r="L8738">
        <v>0.98203592814371299</v>
      </c>
      <c r="M8738">
        <v>0.96470588235294097</v>
      </c>
      <c r="N8738">
        <v>0.96470588235294097</v>
      </c>
      <c r="O8738">
        <v>0.96470588235294097</v>
      </c>
      <c r="AF8738" t="s">
        <v>17684</v>
      </c>
    </row>
    <row r="8739" spans="1:32" hidden="1" x14ac:dyDescent="0.35">
      <c r="A8739">
        <v>8738</v>
      </c>
      <c r="B8739" t="s">
        <v>17683</v>
      </c>
      <c r="C8739" t="s">
        <v>277</v>
      </c>
      <c r="D8739" t="s">
        <v>45</v>
      </c>
      <c r="E8739">
        <v>1736</v>
      </c>
      <c r="F8739">
        <v>2</v>
      </c>
      <c r="G8739">
        <v>2</v>
      </c>
      <c r="H8739">
        <v>1</v>
      </c>
      <c r="I8739">
        <v>0</v>
      </c>
      <c r="J8739">
        <v>0.96470588235294097</v>
      </c>
      <c r="K8739">
        <v>1</v>
      </c>
      <c r="L8739">
        <v>0.98203592814371299</v>
      </c>
      <c r="M8739">
        <v>0.96470588235294097</v>
      </c>
      <c r="N8739">
        <v>0.96470588235294097</v>
      </c>
      <c r="O8739">
        <v>0.96470588235294097</v>
      </c>
      <c r="AF8739" t="s">
        <v>17685</v>
      </c>
    </row>
    <row r="8740" spans="1:32" hidden="1" x14ac:dyDescent="0.35">
      <c r="A8740">
        <v>8739</v>
      </c>
      <c r="B8740" t="s">
        <v>17686</v>
      </c>
      <c r="C8740" t="s">
        <v>277</v>
      </c>
      <c r="D8740" t="s">
        <v>34</v>
      </c>
      <c r="E8740">
        <v>2014</v>
      </c>
      <c r="F8740">
        <v>2</v>
      </c>
      <c r="G8740">
        <v>2</v>
      </c>
      <c r="H8740">
        <v>1</v>
      </c>
      <c r="I8740">
        <v>0</v>
      </c>
      <c r="J8740">
        <v>0.97652582159624401</v>
      </c>
      <c r="K8740">
        <v>0.98889873078402901</v>
      </c>
      <c r="L8740">
        <v>0.98267333069065599</v>
      </c>
      <c r="M8740">
        <v>0.96378830083565503</v>
      </c>
      <c r="N8740">
        <v>0.96378830083565503</v>
      </c>
      <c r="O8740">
        <v>0.96378830083565503</v>
      </c>
      <c r="P8740" t="s">
        <v>15414</v>
      </c>
      <c r="Q8740" t="s">
        <v>15415</v>
      </c>
      <c r="AF8740" t="s">
        <v>17687</v>
      </c>
    </row>
    <row r="8741" spans="1:32" hidden="1" x14ac:dyDescent="0.35">
      <c r="A8741">
        <v>8740</v>
      </c>
      <c r="B8741" t="s">
        <v>17686</v>
      </c>
      <c r="C8741" t="s">
        <v>277</v>
      </c>
      <c r="D8741" t="s">
        <v>45</v>
      </c>
      <c r="E8741">
        <v>857</v>
      </c>
      <c r="F8741">
        <v>2</v>
      </c>
      <c r="G8741">
        <v>2</v>
      </c>
      <c r="H8741">
        <v>1</v>
      </c>
      <c r="I8741">
        <v>0</v>
      </c>
      <c r="J8741">
        <v>0.97652582159624401</v>
      </c>
      <c r="K8741">
        <v>0.98889873078402901</v>
      </c>
      <c r="L8741">
        <v>0.98267333069065599</v>
      </c>
      <c r="M8741">
        <v>0.96378830083565503</v>
      </c>
      <c r="N8741">
        <v>0.96378830083565503</v>
      </c>
      <c r="O8741">
        <v>0.96378830083565503</v>
      </c>
      <c r="P8741" t="s">
        <v>15414</v>
      </c>
      <c r="Q8741" t="s">
        <v>15415</v>
      </c>
      <c r="AF8741" t="s">
        <v>17688</v>
      </c>
    </row>
    <row r="8742" spans="1:32" hidden="1" x14ac:dyDescent="0.35">
      <c r="A8742">
        <v>8741</v>
      </c>
      <c r="B8742" t="s">
        <v>17689</v>
      </c>
      <c r="C8742" t="s">
        <v>277</v>
      </c>
      <c r="D8742" t="s">
        <v>34</v>
      </c>
      <c r="E8742">
        <v>2011</v>
      </c>
      <c r="F8742">
        <v>2</v>
      </c>
      <c r="G8742">
        <v>2</v>
      </c>
      <c r="H8742">
        <v>1</v>
      </c>
      <c r="I8742">
        <v>0</v>
      </c>
      <c r="J8742">
        <v>0.99864498644986499</v>
      </c>
      <c r="K8742">
        <v>1</v>
      </c>
      <c r="L8742">
        <v>0.99932203389830498</v>
      </c>
      <c r="M8742">
        <v>0.99593495934959397</v>
      </c>
      <c r="N8742">
        <v>0.99593495934959397</v>
      </c>
      <c r="O8742">
        <v>0.99593495934959397</v>
      </c>
      <c r="P8742" t="s">
        <v>15870</v>
      </c>
      <c r="Q8742" t="s">
        <v>15871</v>
      </c>
      <c r="AF8742" t="s">
        <v>17690</v>
      </c>
    </row>
    <row r="8743" spans="1:32" hidden="1" x14ac:dyDescent="0.35">
      <c r="A8743">
        <v>8742</v>
      </c>
      <c r="B8743" t="s">
        <v>17689</v>
      </c>
      <c r="C8743" t="s">
        <v>277</v>
      </c>
      <c r="D8743" t="s">
        <v>45</v>
      </c>
      <c r="E8743">
        <v>860</v>
      </c>
      <c r="F8743">
        <v>2</v>
      </c>
      <c r="G8743">
        <v>2</v>
      </c>
      <c r="H8743">
        <v>1</v>
      </c>
      <c r="I8743">
        <v>0</v>
      </c>
      <c r="J8743">
        <v>0.99864498644986499</v>
      </c>
      <c r="K8743">
        <v>1</v>
      </c>
      <c r="L8743">
        <v>0.99932203389830498</v>
      </c>
      <c r="M8743">
        <v>0.99593495934959397</v>
      </c>
      <c r="N8743">
        <v>0.99593495934959397</v>
      </c>
      <c r="O8743">
        <v>0.99593495934959397</v>
      </c>
      <c r="P8743" t="s">
        <v>15870</v>
      </c>
      <c r="Q8743" t="s">
        <v>15871</v>
      </c>
      <c r="AF8743" t="s">
        <v>17691</v>
      </c>
    </row>
    <row r="8744" spans="1:32" hidden="1" x14ac:dyDescent="0.35">
      <c r="A8744">
        <v>8743</v>
      </c>
      <c r="B8744" t="s">
        <v>17692</v>
      </c>
      <c r="C8744" t="s">
        <v>277</v>
      </c>
      <c r="D8744" t="s">
        <v>60</v>
      </c>
      <c r="E8744">
        <v>1415</v>
      </c>
      <c r="F8744">
        <v>2</v>
      </c>
      <c r="G8744">
        <v>2</v>
      </c>
      <c r="H8744">
        <v>1</v>
      </c>
      <c r="I8744">
        <v>0</v>
      </c>
      <c r="J8744">
        <v>0.99450549450549497</v>
      </c>
      <c r="K8744">
        <v>1</v>
      </c>
      <c r="L8744">
        <v>0.99724517906336096</v>
      </c>
      <c r="M8744">
        <v>0.99450549450549497</v>
      </c>
      <c r="N8744">
        <v>0.99450549450549497</v>
      </c>
      <c r="O8744">
        <v>0.99450549450549497</v>
      </c>
      <c r="P8744" t="s">
        <v>433</v>
      </c>
      <c r="Q8744" t="s">
        <v>434</v>
      </c>
      <c r="R8744" t="s">
        <v>235</v>
      </c>
      <c r="S8744" t="s">
        <v>236</v>
      </c>
      <c r="V8744" t="s">
        <v>437</v>
      </c>
      <c r="W8744" t="s">
        <v>438</v>
      </c>
      <c r="AF8744" t="s">
        <v>17693</v>
      </c>
    </row>
    <row r="8745" spans="1:32" hidden="1" x14ac:dyDescent="0.35">
      <c r="A8745">
        <v>8744</v>
      </c>
      <c r="B8745" t="s">
        <v>17692</v>
      </c>
      <c r="C8745" t="s">
        <v>277</v>
      </c>
      <c r="D8745" t="s">
        <v>62</v>
      </c>
      <c r="E8745">
        <v>1450</v>
      </c>
      <c r="F8745">
        <v>2</v>
      </c>
      <c r="G8745">
        <v>2</v>
      </c>
      <c r="H8745">
        <v>1</v>
      </c>
      <c r="I8745">
        <v>0</v>
      </c>
      <c r="J8745">
        <v>0.99450549450549497</v>
      </c>
      <c r="K8745">
        <v>1</v>
      </c>
      <c r="L8745">
        <v>0.99724517906336096</v>
      </c>
      <c r="M8745">
        <v>0.99450549450549497</v>
      </c>
      <c r="N8745">
        <v>0.99450549450549497</v>
      </c>
      <c r="O8745">
        <v>0.99450549450549497</v>
      </c>
      <c r="P8745" t="s">
        <v>433</v>
      </c>
      <c r="Q8745" t="s">
        <v>434</v>
      </c>
      <c r="R8745" t="s">
        <v>235</v>
      </c>
      <c r="S8745" t="s">
        <v>236</v>
      </c>
      <c r="V8745" t="s">
        <v>437</v>
      </c>
      <c r="W8745" t="s">
        <v>438</v>
      </c>
      <c r="AF8745" t="s">
        <v>17694</v>
      </c>
    </row>
    <row r="8746" spans="1:32" hidden="1" x14ac:dyDescent="0.35">
      <c r="A8746">
        <v>8745</v>
      </c>
      <c r="B8746" t="s">
        <v>17695</v>
      </c>
      <c r="C8746" t="s">
        <v>277</v>
      </c>
      <c r="D8746" t="s">
        <v>60</v>
      </c>
      <c r="E8746">
        <v>694</v>
      </c>
      <c r="F8746">
        <v>2</v>
      </c>
      <c r="G8746">
        <v>2</v>
      </c>
      <c r="H8746">
        <v>1</v>
      </c>
      <c r="I8746">
        <v>0</v>
      </c>
      <c r="J8746">
        <v>0.995215311004785</v>
      </c>
      <c r="K8746">
        <v>1</v>
      </c>
      <c r="L8746">
        <v>0.99760191846522805</v>
      </c>
      <c r="M8746">
        <v>0.995215311004785</v>
      </c>
      <c r="N8746">
        <v>0.995215311004785</v>
      </c>
      <c r="O8746">
        <v>0.995215311004785</v>
      </c>
      <c r="R8746" t="s">
        <v>540</v>
      </c>
      <c r="S8746" t="s">
        <v>541</v>
      </c>
      <c r="T8746" t="s">
        <v>13254</v>
      </c>
      <c r="U8746" t="s">
        <v>407</v>
      </c>
      <c r="V8746" t="s">
        <v>13255</v>
      </c>
      <c r="W8746" t="s">
        <v>13256</v>
      </c>
      <c r="AD8746" t="s">
        <v>410</v>
      </c>
      <c r="AE8746" t="s">
        <v>411</v>
      </c>
      <c r="AF8746" t="s">
        <v>17696</v>
      </c>
    </row>
    <row r="8747" spans="1:32" hidden="1" x14ac:dyDescent="0.35">
      <c r="A8747">
        <v>8746</v>
      </c>
      <c r="B8747" t="s">
        <v>17695</v>
      </c>
      <c r="C8747" t="s">
        <v>277</v>
      </c>
      <c r="D8747" t="s">
        <v>62</v>
      </c>
      <c r="E8747">
        <v>725</v>
      </c>
      <c r="F8747">
        <v>2</v>
      </c>
      <c r="G8747">
        <v>2</v>
      </c>
      <c r="H8747">
        <v>1</v>
      </c>
      <c r="I8747">
        <v>0</v>
      </c>
      <c r="J8747">
        <v>0.995215311004785</v>
      </c>
      <c r="K8747">
        <v>1</v>
      </c>
      <c r="L8747">
        <v>0.99760191846522805</v>
      </c>
      <c r="M8747">
        <v>0.995215311004785</v>
      </c>
      <c r="N8747">
        <v>0.995215311004785</v>
      </c>
      <c r="O8747">
        <v>0.995215311004785</v>
      </c>
      <c r="R8747" t="s">
        <v>540</v>
      </c>
      <c r="S8747" t="s">
        <v>541</v>
      </c>
      <c r="T8747" t="s">
        <v>13254</v>
      </c>
      <c r="U8747" t="s">
        <v>407</v>
      </c>
      <c r="V8747" t="s">
        <v>13255</v>
      </c>
      <c r="W8747" t="s">
        <v>13256</v>
      </c>
      <c r="AD8747" t="s">
        <v>410</v>
      </c>
      <c r="AE8747" t="s">
        <v>411</v>
      </c>
      <c r="AF8747" t="s">
        <v>17697</v>
      </c>
    </row>
    <row r="8748" spans="1:32" hidden="1" x14ac:dyDescent="0.35">
      <c r="A8748">
        <v>8747</v>
      </c>
      <c r="B8748" t="s">
        <v>17698</v>
      </c>
      <c r="C8748" t="s">
        <v>277</v>
      </c>
      <c r="D8748" t="s">
        <v>34</v>
      </c>
      <c r="E8748">
        <v>1734</v>
      </c>
      <c r="F8748">
        <v>2</v>
      </c>
      <c r="G8748">
        <v>2</v>
      </c>
      <c r="H8748">
        <v>1</v>
      </c>
      <c r="I8748">
        <v>0</v>
      </c>
      <c r="J8748">
        <v>0.89492753623188404</v>
      </c>
      <c r="K8748">
        <v>0.60454372654997401</v>
      </c>
      <c r="L8748">
        <v>0.72161813457110302</v>
      </c>
      <c r="M8748">
        <v>0.39303482587064698</v>
      </c>
      <c r="N8748">
        <v>0.39303482587064698</v>
      </c>
      <c r="O8748">
        <v>0.39303482587064698</v>
      </c>
      <c r="P8748" t="s">
        <v>169</v>
      </c>
      <c r="Q8748" t="s">
        <v>170</v>
      </c>
      <c r="R8748" t="s">
        <v>138</v>
      </c>
      <c r="S8748" t="s">
        <v>139</v>
      </c>
      <c r="V8748" t="s">
        <v>11356</v>
      </c>
      <c r="W8748" t="s">
        <v>11357</v>
      </c>
      <c r="AF8748" t="s">
        <v>17699</v>
      </c>
    </row>
    <row r="8749" spans="1:32" hidden="1" x14ac:dyDescent="0.35">
      <c r="A8749">
        <v>8748</v>
      </c>
      <c r="B8749" t="s">
        <v>17698</v>
      </c>
      <c r="C8749" t="s">
        <v>277</v>
      </c>
      <c r="D8749" t="s">
        <v>45</v>
      </c>
      <c r="E8749">
        <v>1139</v>
      </c>
      <c r="F8749">
        <v>2</v>
      </c>
      <c r="G8749">
        <v>2</v>
      </c>
      <c r="H8749">
        <v>1</v>
      </c>
      <c r="I8749">
        <v>0</v>
      </c>
      <c r="J8749">
        <v>0.89492753623188404</v>
      </c>
      <c r="K8749">
        <v>0.60454372654997401</v>
      </c>
      <c r="L8749">
        <v>0.72161813457110302</v>
      </c>
      <c r="M8749">
        <v>0.39303482587064698</v>
      </c>
      <c r="N8749">
        <v>0.39303482587064698</v>
      </c>
      <c r="O8749">
        <v>0.39303482587064698</v>
      </c>
      <c r="R8749" t="s">
        <v>138</v>
      </c>
      <c r="S8749" t="s">
        <v>139</v>
      </c>
      <c r="V8749" t="s">
        <v>11356</v>
      </c>
      <c r="W8749" t="s">
        <v>11357</v>
      </c>
      <c r="AF8749" t="s">
        <v>17700</v>
      </c>
    </row>
    <row r="8750" spans="1:32" hidden="1" x14ac:dyDescent="0.35">
      <c r="A8750">
        <v>8749</v>
      </c>
      <c r="B8750" t="s">
        <v>17701</v>
      </c>
      <c r="C8750" t="s">
        <v>277</v>
      </c>
      <c r="D8750" t="s">
        <v>34</v>
      </c>
      <c r="E8750">
        <v>331</v>
      </c>
      <c r="F8750">
        <v>2</v>
      </c>
      <c r="G8750">
        <v>2</v>
      </c>
      <c r="H8750">
        <v>1</v>
      </c>
      <c r="I8750">
        <v>0</v>
      </c>
      <c r="J8750">
        <v>0.99125364431486895</v>
      </c>
      <c r="K8750">
        <v>1</v>
      </c>
      <c r="L8750">
        <v>0.99560761346998505</v>
      </c>
      <c r="M8750">
        <v>0.98542274052478096</v>
      </c>
      <c r="N8750">
        <v>0.98542274052478096</v>
      </c>
      <c r="O8750">
        <v>0.98542274052478096</v>
      </c>
      <c r="R8750" t="s">
        <v>1259</v>
      </c>
      <c r="S8750" t="s">
        <v>1260</v>
      </c>
      <c r="V8750" t="s">
        <v>17702</v>
      </c>
      <c r="W8750" t="s">
        <v>17703</v>
      </c>
      <c r="AF8750" t="s">
        <v>17704</v>
      </c>
    </row>
    <row r="8751" spans="1:32" hidden="1" x14ac:dyDescent="0.35">
      <c r="A8751">
        <v>8750</v>
      </c>
      <c r="B8751" t="s">
        <v>17701</v>
      </c>
      <c r="C8751" t="s">
        <v>277</v>
      </c>
      <c r="D8751" t="s">
        <v>45</v>
      </c>
      <c r="E8751">
        <v>1593</v>
      </c>
      <c r="F8751">
        <v>2</v>
      </c>
      <c r="G8751">
        <v>2</v>
      </c>
      <c r="H8751">
        <v>1</v>
      </c>
      <c r="I8751">
        <v>0</v>
      </c>
      <c r="J8751">
        <v>0.99125364431486895</v>
      </c>
      <c r="K8751">
        <v>1</v>
      </c>
      <c r="L8751">
        <v>0.99560761346998505</v>
      </c>
      <c r="M8751">
        <v>0.98542274052478096</v>
      </c>
      <c r="N8751">
        <v>0.98542274052478096</v>
      </c>
      <c r="O8751">
        <v>0.98542274052478096</v>
      </c>
      <c r="R8751" t="s">
        <v>1259</v>
      </c>
      <c r="S8751" t="s">
        <v>1260</v>
      </c>
      <c r="V8751" t="s">
        <v>17702</v>
      </c>
      <c r="W8751" t="s">
        <v>17703</v>
      </c>
      <c r="AF8751" t="s">
        <v>17705</v>
      </c>
    </row>
    <row r="8752" spans="1:32" hidden="1" x14ac:dyDescent="0.35">
      <c r="A8752">
        <v>8751</v>
      </c>
      <c r="B8752" t="s">
        <v>17706</v>
      </c>
      <c r="C8752" t="s">
        <v>277</v>
      </c>
      <c r="D8752" t="s">
        <v>60</v>
      </c>
      <c r="E8752">
        <v>2089</v>
      </c>
      <c r="F8752">
        <v>2</v>
      </c>
      <c r="G8752">
        <v>2</v>
      </c>
      <c r="H8752">
        <v>1</v>
      </c>
      <c r="I8752">
        <v>0</v>
      </c>
      <c r="J8752">
        <v>0.99871794871794894</v>
      </c>
      <c r="K8752">
        <v>1</v>
      </c>
      <c r="L8752">
        <v>0.99935856318152705</v>
      </c>
      <c r="M8752">
        <v>0.99615384615384595</v>
      </c>
      <c r="N8752">
        <v>0.99615384615384595</v>
      </c>
      <c r="O8752">
        <v>0.99615384615384595</v>
      </c>
      <c r="P8752" t="s">
        <v>17707</v>
      </c>
      <c r="Q8752" t="s">
        <v>17708</v>
      </c>
      <c r="R8752" t="s">
        <v>342</v>
      </c>
      <c r="S8752" t="s">
        <v>343</v>
      </c>
      <c r="T8752" t="s">
        <v>17709</v>
      </c>
      <c r="U8752" t="s">
        <v>17710</v>
      </c>
      <c r="V8752" t="s">
        <v>17711</v>
      </c>
      <c r="W8752" t="s">
        <v>17712</v>
      </c>
      <c r="AD8752" t="s">
        <v>166</v>
      </c>
      <c r="AE8752" t="s">
        <v>16237</v>
      </c>
      <c r="AF8752" t="s">
        <v>17713</v>
      </c>
    </row>
    <row r="8753" spans="1:32" hidden="1" x14ac:dyDescent="0.35">
      <c r="A8753">
        <v>8752</v>
      </c>
      <c r="B8753" t="s">
        <v>17706</v>
      </c>
      <c r="C8753" t="s">
        <v>277</v>
      </c>
      <c r="D8753" t="s">
        <v>62</v>
      </c>
      <c r="E8753">
        <v>2124</v>
      </c>
      <c r="F8753">
        <v>2</v>
      </c>
      <c r="G8753">
        <v>2</v>
      </c>
      <c r="H8753">
        <v>1</v>
      </c>
      <c r="I8753">
        <v>0</v>
      </c>
      <c r="J8753">
        <v>0.99871794871794894</v>
      </c>
      <c r="K8753">
        <v>1</v>
      </c>
      <c r="L8753">
        <v>0.99935856318152705</v>
      </c>
      <c r="M8753">
        <v>0.99615384615384595</v>
      </c>
      <c r="N8753">
        <v>0.99615384615384595</v>
      </c>
      <c r="O8753">
        <v>0.99615384615384595</v>
      </c>
      <c r="P8753" t="s">
        <v>17707</v>
      </c>
      <c r="Q8753" t="s">
        <v>17708</v>
      </c>
      <c r="R8753" t="s">
        <v>342</v>
      </c>
      <c r="S8753" t="s">
        <v>343</v>
      </c>
      <c r="T8753" t="s">
        <v>17709</v>
      </c>
      <c r="U8753" t="s">
        <v>17710</v>
      </c>
      <c r="V8753" t="s">
        <v>17711</v>
      </c>
      <c r="W8753" t="s">
        <v>17712</v>
      </c>
      <c r="AD8753" t="s">
        <v>166</v>
      </c>
      <c r="AE8753" t="s">
        <v>16237</v>
      </c>
      <c r="AF8753" t="s">
        <v>17714</v>
      </c>
    </row>
    <row r="8754" spans="1:32" hidden="1" x14ac:dyDescent="0.35">
      <c r="A8754">
        <v>8753</v>
      </c>
      <c r="B8754" t="s">
        <v>17715</v>
      </c>
      <c r="C8754" t="s">
        <v>277</v>
      </c>
      <c r="D8754" t="s">
        <v>34</v>
      </c>
      <c r="E8754">
        <v>2472</v>
      </c>
      <c r="F8754">
        <v>2</v>
      </c>
      <c r="G8754">
        <v>2</v>
      </c>
      <c r="H8754">
        <v>1</v>
      </c>
      <c r="I8754">
        <v>0</v>
      </c>
      <c r="J8754">
        <v>0.93493975903614501</v>
      </c>
      <c r="K8754">
        <v>0.99284017761867205</v>
      </c>
      <c r="L8754">
        <v>0.96302045557642302</v>
      </c>
      <c r="M8754">
        <v>0.90909090909090895</v>
      </c>
      <c r="N8754">
        <v>0.90909090909090895</v>
      </c>
      <c r="O8754">
        <v>0.90909090909090895</v>
      </c>
      <c r="AF8754" t="s">
        <v>17716</v>
      </c>
    </row>
    <row r="8755" spans="1:32" hidden="1" x14ac:dyDescent="0.35">
      <c r="A8755">
        <v>8754</v>
      </c>
      <c r="B8755" t="s">
        <v>17715</v>
      </c>
      <c r="C8755" t="s">
        <v>277</v>
      </c>
      <c r="D8755" t="s">
        <v>45</v>
      </c>
      <c r="E8755">
        <v>428</v>
      </c>
      <c r="F8755">
        <v>2</v>
      </c>
      <c r="G8755">
        <v>2</v>
      </c>
      <c r="H8755">
        <v>1</v>
      </c>
      <c r="I8755">
        <v>0</v>
      </c>
      <c r="J8755">
        <v>0.93493975903614501</v>
      </c>
      <c r="K8755">
        <v>0.99284017761867205</v>
      </c>
      <c r="L8755">
        <v>0.96302045557642302</v>
      </c>
      <c r="M8755">
        <v>0.90909090909090895</v>
      </c>
      <c r="N8755">
        <v>0.90909090909090895</v>
      </c>
      <c r="O8755">
        <v>0.90909090909090895</v>
      </c>
      <c r="P8755" t="s">
        <v>9121</v>
      </c>
      <c r="Q8755" t="s">
        <v>7176</v>
      </c>
      <c r="AF8755" t="s">
        <v>17717</v>
      </c>
    </row>
    <row r="8756" spans="1:32" hidden="1" x14ac:dyDescent="0.35">
      <c r="A8756">
        <v>8755</v>
      </c>
      <c r="B8756" t="s">
        <v>17718</v>
      </c>
      <c r="C8756" t="s">
        <v>277</v>
      </c>
      <c r="D8756" t="s">
        <v>34</v>
      </c>
      <c r="E8756">
        <v>1402</v>
      </c>
      <c r="F8756">
        <v>2</v>
      </c>
      <c r="G8756">
        <v>2</v>
      </c>
      <c r="H8756">
        <v>1</v>
      </c>
      <c r="I8756">
        <v>0</v>
      </c>
      <c r="J8756">
        <v>0.86206896551724099</v>
      </c>
      <c r="K8756">
        <v>1</v>
      </c>
      <c r="L8756">
        <v>0.92592592592592604</v>
      </c>
      <c r="M8756">
        <v>0.86206896551724099</v>
      </c>
      <c r="N8756">
        <v>0.86206896551724099</v>
      </c>
      <c r="O8756">
        <v>0.86206896551724099</v>
      </c>
      <c r="AF8756" t="s">
        <v>17719</v>
      </c>
    </row>
    <row r="8757" spans="1:32" hidden="1" x14ac:dyDescent="0.35">
      <c r="A8757">
        <v>8756</v>
      </c>
      <c r="B8757" t="s">
        <v>17718</v>
      </c>
      <c r="C8757" t="s">
        <v>277</v>
      </c>
      <c r="D8757" t="s">
        <v>45</v>
      </c>
      <c r="E8757">
        <v>153</v>
      </c>
      <c r="F8757">
        <v>2</v>
      </c>
      <c r="G8757">
        <v>2</v>
      </c>
      <c r="H8757">
        <v>1</v>
      </c>
      <c r="I8757">
        <v>0</v>
      </c>
      <c r="J8757">
        <v>0.86206896551724099</v>
      </c>
      <c r="K8757">
        <v>1</v>
      </c>
      <c r="L8757">
        <v>0.92592592592592604</v>
      </c>
      <c r="M8757">
        <v>0.86206896551724099</v>
      </c>
      <c r="N8757">
        <v>0.86206896551724099</v>
      </c>
      <c r="O8757">
        <v>0.86206896551724099</v>
      </c>
      <c r="AF8757" t="s">
        <v>17720</v>
      </c>
    </row>
    <row r="8758" spans="1:32" hidden="1" x14ac:dyDescent="0.35">
      <c r="A8758">
        <v>8757</v>
      </c>
      <c r="B8758" t="s">
        <v>17721</v>
      </c>
      <c r="C8758" t="s">
        <v>277</v>
      </c>
      <c r="D8758" t="s">
        <v>60</v>
      </c>
      <c r="E8758">
        <v>177</v>
      </c>
      <c r="F8758">
        <v>2</v>
      </c>
      <c r="G8758">
        <v>2</v>
      </c>
      <c r="H8758">
        <v>1</v>
      </c>
      <c r="I8758">
        <v>0</v>
      </c>
      <c r="J8758">
        <v>0.97101449275362295</v>
      </c>
      <c r="K8758">
        <v>0.65972222222222199</v>
      </c>
      <c r="L8758">
        <v>0.78565697710300497</v>
      </c>
      <c r="M8758">
        <v>0.54320987654320996</v>
      </c>
      <c r="N8758">
        <v>0.54320987654320996</v>
      </c>
      <c r="O8758">
        <v>0.54320987654320996</v>
      </c>
      <c r="AF8758" t="s">
        <v>17722</v>
      </c>
    </row>
    <row r="8759" spans="1:32" hidden="1" x14ac:dyDescent="0.35">
      <c r="A8759">
        <v>8758</v>
      </c>
      <c r="B8759" t="s">
        <v>17721</v>
      </c>
      <c r="C8759" t="s">
        <v>277</v>
      </c>
      <c r="D8759" t="s">
        <v>62</v>
      </c>
      <c r="E8759">
        <v>253</v>
      </c>
      <c r="F8759">
        <v>2</v>
      </c>
      <c r="G8759">
        <v>2</v>
      </c>
      <c r="H8759">
        <v>1</v>
      </c>
      <c r="I8759">
        <v>0</v>
      </c>
      <c r="J8759">
        <v>0.97101449275362295</v>
      </c>
      <c r="K8759">
        <v>0.65972222222222199</v>
      </c>
      <c r="L8759">
        <v>0.78565697710300497</v>
      </c>
      <c r="M8759">
        <v>0.54320987654320996</v>
      </c>
      <c r="N8759">
        <v>0.54320987654320996</v>
      </c>
      <c r="O8759">
        <v>0.54320987654320996</v>
      </c>
      <c r="AF8759" t="s">
        <v>17723</v>
      </c>
    </row>
    <row r="8760" spans="1:32" hidden="1" x14ac:dyDescent="0.35">
      <c r="A8760">
        <v>8759</v>
      </c>
      <c r="B8760" t="s">
        <v>17724</v>
      </c>
      <c r="C8760" t="s">
        <v>277</v>
      </c>
      <c r="D8760" t="s">
        <v>60</v>
      </c>
      <c r="E8760">
        <v>2387</v>
      </c>
      <c r="F8760">
        <v>2</v>
      </c>
      <c r="G8760">
        <v>2</v>
      </c>
      <c r="H8760">
        <v>1</v>
      </c>
      <c r="I8760">
        <v>0</v>
      </c>
      <c r="J8760">
        <v>0.98067632850241504</v>
      </c>
      <c r="K8760">
        <v>1</v>
      </c>
      <c r="L8760">
        <v>0.99024390243902405</v>
      </c>
      <c r="M8760">
        <v>0.98067632850241504</v>
      </c>
      <c r="N8760">
        <v>0.98067632850241504</v>
      </c>
      <c r="O8760">
        <v>0.98067632850241504</v>
      </c>
      <c r="P8760" t="s">
        <v>17725</v>
      </c>
      <c r="Q8760" t="s">
        <v>10345</v>
      </c>
      <c r="R8760" t="s">
        <v>113</v>
      </c>
      <c r="S8760" t="s">
        <v>114</v>
      </c>
      <c r="V8760" t="s">
        <v>2167</v>
      </c>
      <c r="W8760" t="s">
        <v>2168</v>
      </c>
      <c r="AF8760" t="s">
        <v>17726</v>
      </c>
    </row>
    <row r="8761" spans="1:32" hidden="1" x14ac:dyDescent="0.35">
      <c r="A8761">
        <v>8760</v>
      </c>
      <c r="B8761" t="s">
        <v>17724</v>
      </c>
      <c r="C8761" t="s">
        <v>277</v>
      </c>
      <c r="D8761" t="s">
        <v>62</v>
      </c>
      <c r="E8761">
        <v>2415</v>
      </c>
      <c r="F8761">
        <v>2</v>
      </c>
      <c r="G8761">
        <v>2</v>
      </c>
      <c r="H8761">
        <v>1</v>
      </c>
      <c r="I8761">
        <v>0</v>
      </c>
      <c r="J8761">
        <v>0.98067632850241504</v>
      </c>
      <c r="K8761">
        <v>1</v>
      </c>
      <c r="L8761">
        <v>0.99024390243902405</v>
      </c>
      <c r="M8761">
        <v>0.98067632850241504</v>
      </c>
      <c r="N8761">
        <v>0.98067632850241504</v>
      </c>
      <c r="O8761">
        <v>0.98067632850241504</v>
      </c>
      <c r="P8761" t="s">
        <v>17725</v>
      </c>
      <c r="Q8761" t="s">
        <v>10345</v>
      </c>
      <c r="R8761" t="s">
        <v>113</v>
      </c>
      <c r="S8761" t="s">
        <v>114</v>
      </c>
      <c r="V8761" t="s">
        <v>2167</v>
      </c>
      <c r="W8761" t="s">
        <v>2168</v>
      </c>
      <c r="AF8761" t="s">
        <v>17727</v>
      </c>
    </row>
    <row r="8762" spans="1:32" hidden="1" x14ac:dyDescent="0.35">
      <c r="A8762">
        <v>8761</v>
      </c>
      <c r="B8762" t="s">
        <v>17728</v>
      </c>
      <c r="C8762" t="s">
        <v>277</v>
      </c>
      <c r="D8762" t="s">
        <v>60</v>
      </c>
      <c r="E8762">
        <v>40</v>
      </c>
      <c r="F8762">
        <v>2</v>
      </c>
      <c r="G8762">
        <v>2</v>
      </c>
      <c r="H8762">
        <v>1</v>
      </c>
      <c r="I8762">
        <v>0</v>
      </c>
      <c r="J8762">
        <v>0.99131652661064396</v>
      </c>
      <c r="K8762">
        <v>1</v>
      </c>
      <c r="L8762">
        <v>0.99563933042621999</v>
      </c>
      <c r="M8762">
        <v>0.98739495798319299</v>
      </c>
      <c r="N8762">
        <v>0.98739495798319299</v>
      </c>
      <c r="O8762">
        <v>0.98739495798319299</v>
      </c>
      <c r="P8762" t="s">
        <v>3179</v>
      </c>
      <c r="Q8762" t="s">
        <v>3180</v>
      </c>
      <c r="R8762" t="s">
        <v>17729</v>
      </c>
      <c r="S8762" t="s">
        <v>17730</v>
      </c>
      <c r="T8762" t="s">
        <v>17731</v>
      </c>
      <c r="U8762" t="s">
        <v>17732</v>
      </c>
      <c r="V8762" t="s">
        <v>17733</v>
      </c>
      <c r="W8762" t="s">
        <v>17734</v>
      </c>
      <c r="AD8762" t="s">
        <v>14983</v>
      </c>
      <c r="AE8762" t="s">
        <v>17735</v>
      </c>
      <c r="AF8762" t="s">
        <v>17736</v>
      </c>
    </row>
    <row r="8763" spans="1:32" hidden="1" x14ac:dyDescent="0.35">
      <c r="A8763">
        <v>8762</v>
      </c>
      <c r="B8763" t="s">
        <v>17728</v>
      </c>
      <c r="C8763" t="s">
        <v>277</v>
      </c>
      <c r="D8763" t="s">
        <v>62</v>
      </c>
      <c r="E8763">
        <v>113</v>
      </c>
      <c r="F8763">
        <v>2</v>
      </c>
      <c r="G8763">
        <v>2</v>
      </c>
      <c r="H8763">
        <v>1</v>
      </c>
      <c r="I8763">
        <v>0</v>
      </c>
      <c r="J8763">
        <v>0.99131652661064396</v>
      </c>
      <c r="K8763">
        <v>1</v>
      </c>
      <c r="L8763">
        <v>0.99563933042621999</v>
      </c>
      <c r="M8763">
        <v>0.98739495798319299</v>
      </c>
      <c r="N8763">
        <v>0.98739495798319299</v>
      </c>
      <c r="O8763">
        <v>0.98739495798319299</v>
      </c>
      <c r="P8763" t="s">
        <v>3179</v>
      </c>
      <c r="Q8763" t="s">
        <v>3180</v>
      </c>
      <c r="R8763" t="s">
        <v>17729</v>
      </c>
      <c r="S8763" t="s">
        <v>17730</v>
      </c>
      <c r="T8763" t="s">
        <v>17731</v>
      </c>
      <c r="U8763" t="s">
        <v>17732</v>
      </c>
      <c r="V8763" t="s">
        <v>17733</v>
      </c>
      <c r="W8763" t="s">
        <v>17734</v>
      </c>
      <c r="AD8763" t="s">
        <v>14983</v>
      </c>
      <c r="AE8763" t="s">
        <v>17735</v>
      </c>
      <c r="AF8763" t="s">
        <v>17737</v>
      </c>
    </row>
    <row r="8764" spans="1:32" hidden="1" x14ac:dyDescent="0.35">
      <c r="A8764">
        <v>8763</v>
      </c>
      <c r="B8764" t="s">
        <v>17738</v>
      </c>
      <c r="C8764" t="s">
        <v>277</v>
      </c>
      <c r="D8764" t="s">
        <v>34</v>
      </c>
      <c r="E8764">
        <v>1687</v>
      </c>
      <c r="F8764">
        <v>2</v>
      </c>
      <c r="G8764">
        <v>2</v>
      </c>
      <c r="H8764">
        <v>1</v>
      </c>
      <c r="I8764">
        <v>0</v>
      </c>
      <c r="J8764">
        <v>0.99771167048054898</v>
      </c>
      <c r="K8764">
        <v>1</v>
      </c>
      <c r="L8764">
        <v>0.99885452462772095</v>
      </c>
      <c r="M8764">
        <v>0.99313501144164795</v>
      </c>
      <c r="N8764">
        <v>0.99313501144164795</v>
      </c>
      <c r="O8764">
        <v>0.99313501144164795</v>
      </c>
      <c r="P8764" t="s">
        <v>17739</v>
      </c>
      <c r="Q8764" t="s">
        <v>17740</v>
      </c>
      <c r="R8764" t="s">
        <v>75</v>
      </c>
      <c r="S8764" t="s">
        <v>76</v>
      </c>
      <c r="V8764" t="s">
        <v>17741</v>
      </c>
      <c r="W8764" t="s">
        <v>17742</v>
      </c>
      <c r="AF8764" t="s">
        <v>17743</v>
      </c>
    </row>
    <row r="8765" spans="1:32" hidden="1" x14ac:dyDescent="0.35">
      <c r="A8765">
        <v>8764</v>
      </c>
      <c r="B8765" t="s">
        <v>17738</v>
      </c>
      <c r="C8765" t="s">
        <v>277</v>
      </c>
      <c r="D8765" t="s">
        <v>45</v>
      </c>
      <c r="E8765">
        <v>1189</v>
      </c>
      <c r="F8765">
        <v>2</v>
      </c>
      <c r="G8765">
        <v>2</v>
      </c>
      <c r="H8765">
        <v>1</v>
      </c>
      <c r="I8765">
        <v>0</v>
      </c>
      <c r="J8765">
        <v>0.99771167048054898</v>
      </c>
      <c r="K8765">
        <v>1</v>
      </c>
      <c r="L8765">
        <v>0.99885452462772095</v>
      </c>
      <c r="M8765">
        <v>0.99313501144164795</v>
      </c>
      <c r="N8765">
        <v>0.99313501144164795</v>
      </c>
      <c r="O8765">
        <v>0.99313501144164795</v>
      </c>
      <c r="P8765" t="s">
        <v>17739</v>
      </c>
      <c r="Q8765" t="s">
        <v>17740</v>
      </c>
      <c r="R8765" t="s">
        <v>75</v>
      </c>
      <c r="S8765" t="s">
        <v>76</v>
      </c>
      <c r="V8765" t="s">
        <v>17741</v>
      </c>
      <c r="W8765" t="s">
        <v>17742</v>
      </c>
      <c r="AF8765" t="s">
        <v>17744</v>
      </c>
    </row>
    <row r="8766" spans="1:32" hidden="1" x14ac:dyDescent="0.35">
      <c r="A8766">
        <v>8765</v>
      </c>
      <c r="B8766" t="s">
        <v>17745</v>
      </c>
      <c r="C8766" t="s">
        <v>277</v>
      </c>
      <c r="D8766" t="s">
        <v>60</v>
      </c>
      <c r="E8766">
        <v>1656</v>
      </c>
      <c r="F8766">
        <v>2</v>
      </c>
      <c r="G8766">
        <v>2</v>
      </c>
      <c r="H8766">
        <v>1</v>
      </c>
      <c r="I8766">
        <v>0</v>
      </c>
      <c r="J8766">
        <v>0.98009950248756195</v>
      </c>
      <c r="K8766">
        <v>0.961282586833758</v>
      </c>
      <c r="L8766">
        <v>0.97059985284513095</v>
      </c>
      <c r="M8766">
        <v>0.93189964157706096</v>
      </c>
      <c r="N8766">
        <v>0.93189964157706096</v>
      </c>
      <c r="O8766">
        <v>0.93189964157706096</v>
      </c>
      <c r="P8766" t="s">
        <v>10830</v>
      </c>
      <c r="Q8766" t="s">
        <v>10831</v>
      </c>
      <c r="T8766" t="s">
        <v>10832</v>
      </c>
      <c r="U8766" t="s">
        <v>10833</v>
      </c>
      <c r="AD8766" t="s">
        <v>7708</v>
      </c>
      <c r="AE8766" t="s">
        <v>10836</v>
      </c>
      <c r="AF8766" t="s">
        <v>17746</v>
      </c>
    </row>
    <row r="8767" spans="1:32" hidden="1" x14ac:dyDescent="0.35">
      <c r="A8767">
        <v>8766</v>
      </c>
      <c r="B8767" t="s">
        <v>17745</v>
      </c>
      <c r="C8767" t="s">
        <v>277</v>
      </c>
      <c r="D8767" t="s">
        <v>62</v>
      </c>
      <c r="E8767">
        <v>1691</v>
      </c>
      <c r="F8767">
        <v>2</v>
      </c>
      <c r="G8767">
        <v>2</v>
      </c>
      <c r="H8767">
        <v>1</v>
      </c>
      <c r="I8767">
        <v>0</v>
      </c>
      <c r="J8767">
        <v>0.98009950248756195</v>
      </c>
      <c r="K8767">
        <v>0.961282586833758</v>
      </c>
      <c r="L8767">
        <v>0.97059985284513095</v>
      </c>
      <c r="M8767">
        <v>0.93189964157706096</v>
      </c>
      <c r="N8767">
        <v>0.93189964157706096</v>
      </c>
      <c r="O8767">
        <v>0.93189964157706096</v>
      </c>
      <c r="P8767" t="s">
        <v>10830</v>
      </c>
      <c r="Q8767" t="s">
        <v>10831</v>
      </c>
      <c r="T8767" t="s">
        <v>10832</v>
      </c>
      <c r="U8767" t="s">
        <v>10833</v>
      </c>
      <c r="AD8767" t="s">
        <v>7708</v>
      </c>
      <c r="AE8767" t="s">
        <v>10836</v>
      </c>
      <c r="AF8767" t="s">
        <v>17747</v>
      </c>
    </row>
    <row r="8768" spans="1:32" hidden="1" x14ac:dyDescent="0.35">
      <c r="A8768">
        <v>8767</v>
      </c>
      <c r="B8768" t="s">
        <v>17748</v>
      </c>
      <c r="C8768" t="s">
        <v>277</v>
      </c>
      <c r="D8768" t="s">
        <v>60</v>
      </c>
      <c r="E8768">
        <v>2170</v>
      </c>
      <c r="F8768">
        <v>2</v>
      </c>
      <c r="G8768">
        <v>2</v>
      </c>
      <c r="H8768">
        <v>1</v>
      </c>
      <c r="I8768">
        <v>0</v>
      </c>
      <c r="J8768">
        <v>0.99787685774946899</v>
      </c>
      <c r="K8768">
        <v>1</v>
      </c>
      <c r="L8768">
        <v>0.99893730074388998</v>
      </c>
      <c r="M8768">
        <v>0.99787685774946899</v>
      </c>
      <c r="N8768">
        <v>0.99787685774946899</v>
      </c>
      <c r="O8768">
        <v>0.99787685774946899</v>
      </c>
      <c r="AF8768" t="s">
        <v>17749</v>
      </c>
    </row>
    <row r="8769" spans="1:32" hidden="1" x14ac:dyDescent="0.35">
      <c r="A8769">
        <v>8768</v>
      </c>
      <c r="B8769" t="s">
        <v>17748</v>
      </c>
      <c r="C8769" t="s">
        <v>277</v>
      </c>
      <c r="D8769" t="s">
        <v>62</v>
      </c>
      <c r="E8769">
        <v>2204</v>
      </c>
      <c r="F8769">
        <v>2</v>
      </c>
      <c r="G8769">
        <v>2</v>
      </c>
      <c r="H8769">
        <v>1</v>
      </c>
      <c r="I8769">
        <v>0</v>
      </c>
      <c r="J8769">
        <v>0.99787685774946899</v>
      </c>
      <c r="K8769">
        <v>1</v>
      </c>
      <c r="L8769">
        <v>0.99893730074388998</v>
      </c>
      <c r="M8769">
        <v>0.99787685774946899</v>
      </c>
      <c r="N8769">
        <v>0.99787685774946899</v>
      </c>
      <c r="O8769">
        <v>0.99787685774946899</v>
      </c>
      <c r="AF8769" t="s">
        <v>17750</v>
      </c>
    </row>
    <row r="8770" spans="1:32" hidden="1" x14ac:dyDescent="0.35">
      <c r="A8770">
        <v>8769</v>
      </c>
      <c r="B8770" t="s">
        <v>17751</v>
      </c>
      <c r="C8770" t="s">
        <v>277</v>
      </c>
      <c r="D8770" t="s">
        <v>34</v>
      </c>
      <c r="E8770">
        <v>1179</v>
      </c>
      <c r="F8770">
        <v>2</v>
      </c>
      <c r="G8770">
        <v>2</v>
      </c>
      <c r="H8770">
        <v>1</v>
      </c>
      <c r="I8770">
        <v>0</v>
      </c>
      <c r="J8770">
        <v>0.99860917941585503</v>
      </c>
      <c r="K8770">
        <v>1</v>
      </c>
      <c r="L8770">
        <v>0.99930410577592199</v>
      </c>
      <c r="M8770">
        <v>0.99860917941585503</v>
      </c>
      <c r="N8770">
        <v>0.99860917941585503</v>
      </c>
      <c r="O8770">
        <v>0.99860917941585503</v>
      </c>
      <c r="R8770" t="s">
        <v>1191</v>
      </c>
      <c r="S8770" t="s">
        <v>1192</v>
      </c>
      <c r="V8770" t="s">
        <v>6600</v>
      </c>
      <c r="W8770" t="s">
        <v>6601</v>
      </c>
      <c r="AF8770" t="s">
        <v>17752</v>
      </c>
    </row>
    <row r="8771" spans="1:32" hidden="1" x14ac:dyDescent="0.35">
      <c r="A8771">
        <v>8770</v>
      </c>
      <c r="B8771" t="s">
        <v>17751</v>
      </c>
      <c r="C8771" t="s">
        <v>277</v>
      </c>
      <c r="D8771" t="s">
        <v>45</v>
      </c>
      <c r="E8771">
        <v>2423</v>
      </c>
      <c r="F8771">
        <v>2</v>
      </c>
      <c r="G8771">
        <v>2</v>
      </c>
      <c r="H8771">
        <v>1</v>
      </c>
      <c r="I8771">
        <v>0</v>
      </c>
      <c r="J8771">
        <v>0.99860917941585503</v>
      </c>
      <c r="K8771">
        <v>1</v>
      </c>
      <c r="L8771">
        <v>0.99930410577592199</v>
      </c>
      <c r="M8771">
        <v>0.99860917941585503</v>
      </c>
      <c r="N8771">
        <v>0.99860917941585503</v>
      </c>
      <c r="O8771">
        <v>0.99860917941585503</v>
      </c>
      <c r="R8771" t="s">
        <v>1191</v>
      </c>
      <c r="S8771" t="s">
        <v>1192</v>
      </c>
      <c r="V8771" t="s">
        <v>6600</v>
      </c>
      <c r="W8771" t="s">
        <v>6601</v>
      </c>
      <c r="AF8771" t="s">
        <v>17753</v>
      </c>
    </row>
    <row r="8772" spans="1:32" hidden="1" x14ac:dyDescent="0.35">
      <c r="A8772">
        <v>8771</v>
      </c>
      <c r="B8772" t="s">
        <v>17754</v>
      </c>
      <c r="C8772" t="s">
        <v>277</v>
      </c>
      <c r="D8772" t="s">
        <v>60</v>
      </c>
      <c r="E8772">
        <v>2240</v>
      </c>
      <c r="F8772">
        <v>2</v>
      </c>
      <c r="G8772">
        <v>2</v>
      </c>
      <c r="H8772">
        <v>1</v>
      </c>
      <c r="I8772">
        <v>0</v>
      </c>
      <c r="J8772">
        <v>0.99502487562189101</v>
      </c>
      <c r="K8772">
        <v>1</v>
      </c>
      <c r="L8772">
        <v>0.99750623441396502</v>
      </c>
      <c r="M8772">
        <v>0.98507462686567204</v>
      </c>
      <c r="N8772">
        <v>0.98507462686567204</v>
      </c>
      <c r="O8772">
        <v>0.98507462686567204</v>
      </c>
      <c r="P8772" t="s">
        <v>2163</v>
      </c>
      <c r="Q8772" t="s">
        <v>2164</v>
      </c>
      <c r="R8772" t="s">
        <v>113</v>
      </c>
      <c r="S8772" t="s">
        <v>114</v>
      </c>
      <c r="V8772" t="s">
        <v>2167</v>
      </c>
      <c r="W8772" t="s">
        <v>2168</v>
      </c>
      <c r="AF8772" t="s">
        <v>17755</v>
      </c>
    </row>
    <row r="8773" spans="1:32" hidden="1" x14ac:dyDescent="0.35">
      <c r="A8773">
        <v>8772</v>
      </c>
      <c r="B8773" t="s">
        <v>17754</v>
      </c>
      <c r="C8773" t="s">
        <v>277</v>
      </c>
      <c r="D8773" t="s">
        <v>62</v>
      </c>
      <c r="E8773">
        <v>2270</v>
      </c>
      <c r="F8773">
        <v>2</v>
      </c>
      <c r="G8773">
        <v>2</v>
      </c>
      <c r="H8773">
        <v>1</v>
      </c>
      <c r="I8773">
        <v>0</v>
      </c>
      <c r="J8773">
        <v>0.99502487562189101</v>
      </c>
      <c r="K8773">
        <v>1</v>
      </c>
      <c r="L8773">
        <v>0.99750623441396502</v>
      </c>
      <c r="M8773">
        <v>0.98507462686567204</v>
      </c>
      <c r="N8773">
        <v>0.98507462686567204</v>
      </c>
      <c r="O8773">
        <v>0.98507462686567204</v>
      </c>
      <c r="P8773" t="s">
        <v>2163</v>
      </c>
      <c r="Q8773" t="s">
        <v>2164</v>
      </c>
      <c r="R8773" t="s">
        <v>113</v>
      </c>
      <c r="S8773" t="s">
        <v>114</v>
      </c>
      <c r="V8773" t="s">
        <v>2167</v>
      </c>
      <c r="W8773" t="s">
        <v>2168</v>
      </c>
      <c r="AF8773" t="s">
        <v>17756</v>
      </c>
    </row>
    <row r="8774" spans="1:32" hidden="1" x14ac:dyDescent="0.35">
      <c r="A8774">
        <v>8773</v>
      </c>
      <c r="B8774" t="s">
        <v>17757</v>
      </c>
      <c r="C8774" t="s">
        <v>277</v>
      </c>
      <c r="D8774" t="s">
        <v>34</v>
      </c>
      <c r="E8774">
        <v>758</v>
      </c>
      <c r="F8774">
        <v>2</v>
      </c>
      <c r="G8774">
        <v>2</v>
      </c>
      <c r="H8774">
        <v>1</v>
      </c>
      <c r="I8774">
        <v>0</v>
      </c>
      <c r="J8774">
        <v>0.98686868686868701</v>
      </c>
      <c r="K8774">
        <v>1</v>
      </c>
      <c r="L8774">
        <v>0.99339095068632399</v>
      </c>
      <c r="M8774">
        <v>0.98484848484848497</v>
      </c>
      <c r="N8774">
        <v>0.98484848484848497</v>
      </c>
      <c r="O8774">
        <v>0.98484848484848497</v>
      </c>
      <c r="AF8774" t="s">
        <v>17758</v>
      </c>
    </row>
    <row r="8775" spans="1:32" hidden="1" x14ac:dyDescent="0.35">
      <c r="A8775">
        <v>8774</v>
      </c>
      <c r="B8775" t="s">
        <v>17757</v>
      </c>
      <c r="C8775" t="s">
        <v>277</v>
      </c>
      <c r="D8775" t="s">
        <v>45</v>
      </c>
      <c r="E8775">
        <v>2024</v>
      </c>
      <c r="F8775">
        <v>2</v>
      </c>
      <c r="G8775">
        <v>2</v>
      </c>
      <c r="H8775">
        <v>1</v>
      </c>
      <c r="I8775">
        <v>0</v>
      </c>
      <c r="J8775">
        <v>0.98686868686868701</v>
      </c>
      <c r="K8775">
        <v>1</v>
      </c>
      <c r="L8775">
        <v>0.99339095068632399</v>
      </c>
      <c r="M8775">
        <v>0.98484848484848497</v>
      </c>
      <c r="N8775">
        <v>0.98484848484848497</v>
      </c>
      <c r="O8775">
        <v>0.98484848484848497</v>
      </c>
      <c r="AF8775" t="s">
        <v>17759</v>
      </c>
    </row>
    <row r="8776" spans="1:32" hidden="1" x14ac:dyDescent="0.35">
      <c r="A8776">
        <v>8775</v>
      </c>
      <c r="B8776" t="s">
        <v>17760</v>
      </c>
      <c r="C8776" t="s">
        <v>277</v>
      </c>
      <c r="D8776" t="s">
        <v>34</v>
      </c>
      <c r="E8776">
        <v>90</v>
      </c>
      <c r="F8776">
        <v>2</v>
      </c>
      <c r="G8776">
        <v>2</v>
      </c>
      <c r="H8776">
        <v>1</v>
      </c>
      <c r="I8776">
        <v>0</v>
      </c>
      <c r="J8776">
        <v>0.74537037037037002</v>
      </c>
      <c r="K8776">
        <v>0.98630136986301398</v>
      </c>
      <c r="L8776">
        <v>0.84907526094121999</v>
      </c>
      <c r="M8776">
        <v>0.64383561643835596</v>
      </c>
      <c r="N8776">
        <v>0.64383561643835596</v>
      </c>
      <c r="O8776">
        <v>0.64383561643835596</v>
      </c>
      <c r="P8776" t="s">
        <v>17761</v>
      </c>
      <c r="Q8776" t="s">
        <v>17762</v>
      </c>
      <c r="AF8776" t="s">
        <v>17763</v>
      </c>
    </row>
    <row r="8777" spans="1:32" hidden="1" x14ac:dyDescent="0.35">
      <c r="A8777">
        <v>8776</v>
      </c>
      <c r="B8777" t="s">
        <v>17760</v>
      </c>
      <c r="C8777" t="s">
        <v>277</v>
      </c>
      <c r="D8777" t="s">
        <v>45</v>
      </c>
      <c r="E8777">
        <v>1350</v>
      </c>
      <c r="F8777">
        <v>2</v>
      </c>
      <c r="G8777">
        <v>2</v>
      </c>
      <c r="H8777">
        <v>1</v>
      </c>
      <c r="I8777">
        <v>0</v>
      </c>
      <c r="J8777">
        <v>0.74537037037037002</v>
      </c>
      <c r="K8777">
        <v>0.98630136986301398</v>
      </c>
      <c r="L8777">
        <v>0.84907526094121999</v>
      </c>
      <c r="M8777">
        <v>0.64383561643835596</v>
      </c>
      <c r="N8777">
        <v>0.64383561643835596</v>
      </c>
      <c r="O8777">
        <v>0.64383561643835596</v>
      </c>
      <c r="AF8777" t="s">
        <v>17764</v>
      </c>
    </row>
    <row r="8778" spans="1:32" hidden="1" x14ac:dyDescent="0.35">
      <c r="A8778">
        <v>8777</v>
      </c>
      <c r="B8778" t="s">
        <v>17765</v>
      </c>
      <c r="C8778" t="s">
        <v>277</v>
      </c>
      <c r="D8778" t="s">
        <v>34</v>
      </c>
      <c r="E8778">
        <v>1664</v>
      </c>
      <c r="F8778">
        <v>2</v>
      </c>
      <c r="G8778">
        <v>2</v>
      </c>
      <c r="H8778">
        <v>1</v>
      </c>
      <c r="I8778">
        <v>0</v>
      </c>
      <c r="J8778">
        <v>0.91588785046729004</v>
      </c>
      <c r="K8778">
        <v>0.99534883720930301</v>
      </c>
      <c r="L8778">
        <v>0.95396652110625901</v>
      </c>
      <c r="M8778">
        <v>0.89302325581395303</v>
      </c>
      <c r="N8778">
        <v>0.89302325581395303</v>
      </c>
      <c r="O8778">
        <v>0.89302325581395303</v>
      </c>
      <c r="AF8778" t="s">
        <v>17766</v>
      </c>
    </row>
    <row r="8779" spans="1:32" hidden="1" x14ac:dyDescent="0.35">
      <c r="A8779">
        <v>8778</v>
      </c>
      <c r="B8779" t="s">
        <v>17765</v>
      </c>
      <c r="C8779" t="s">
        <v>277</v>
      </c>
      <c r="D8779" t="s">
        <v>45</v>
      </c>
      <c r="E8779">
        <v>1213</v>
      </c>
      <c r="F8779">
        <v>2</v>
      </c>
      <c r="G8779">
        <v>2</v>
      </c>
      <c r="H8779">
        <v>1</v>
      </c>
      <c r="I8779">
        <v>0</v>
      </c>
      <c r="J8779">
        <v>0.91588785046729004</v>
      </c>
      <c r="K8779">
        <v>0.99534883720930301</v>
      </c>
      <c r="L8779">
        <v>0.95396652110625901</v>
      </c>
      <c r="M8779">
        <v>0.89302325581395303</v>
      </c>
      <c r="N8779">
        <v>0.89302325581395303</v>
      </c>
      <c r="O8779">
        <v>0.89302325581395303</v>
      </c>
      <c r="AF8779" t="s">
        <v>17767</v>
      </c>
    </row>
    <row r="8780" spans="1:32" hidden="1" x14ac:dyDescent="0.35">
      <c r="A8780">
        <v>8779</v>
      </c>
      <c r="B8780" t="s">
        <v>17768</v>
      </c>
      <c r="C8780" t="s">
        <v>277</v>
      </c>
      <c r="D8780" t="s">
        <v>34</v>
      </c>
      <c r="E8780">
        <v>1048</v>
      </c>
      <c r="F8780">
        <v>2</v>
      </c>
      <c r="G8780">
        <v>2</v>
      </c>
      <c r="H8780">
        <v>1</v>
      </c>
      <c r="I8780">
        <v>0</v>
      </c>
      <c r="J8780">
        <v>0.99468085106382997</v>
      </c>
      <c r="K8780">
        <v>0.99603175997330795</v>
      </c>
      <c r="L8780">
        <v>0.99535584715133096</v>
      </c>
      <c r="M8780">
        <v>0.99072847682119203</v>
      </c>
      <c r="N8780">
        <v>0.99072847682119203</v>
      </c>
      <c r="O8780">
        <v>0.99072847682119203</v>
      </c>
      <c r="P8780" t="s">
        <v>12226</v>
      </c>
      <c r="Q8780" t="s">
        <v>12227</v>
      </c>
      <c r="R8780" t="s">
        <v>12228</v>
      </c>
      <c r="S8780" t="s">
        <v>12229</v>
      </c>
      <c r="T8780" t="s">
        <v>15428</v>
      </c>
      <c r="U8780" t="s">
        <v>15429</v>
      </c>
      <c r="V8780" t="s">
        <v>12232</v>
      </c>
      <c r="W8780" t="s">
        <v>12233</v>
      </c>
      <c r="AD8780" t="s">
        <v>12234</v>
      </c>
      <c r="AE8780" t="s">
        <v>12235</v>
      </c>
      <c r="AF8780" t="s">
        <v>17769</v>
      </c>
    </row>
    <row r="8781" spans="1:32" hidden="1" x14ac:dyDescent="0.35">
      <c r="A8781">
        <v>8780</v>
      </c>
      <c r="B8781" t="s">
        <v>17768</v>
      </c>
      <c r="C8781" t="s">
        <v>277</v>
      </c>
      <c r="D8781" t="s">
        <v>45</v>
      </c>
      <c r="E8781">
        <v>2303</v>
      </c>
      <c r="F8781">
        <v>2</v>
      </c>
      <c r="G8781">
        <v>2</v>
      </c>
      <c r="H8781">
        <v>1</v>
      </c>
      <c r="I8781">
        <v>0</v>
      </c>
      <c r="J8781">
        <v>0.99468085106382997</v>
      </c>
      <c r="K8781">
        <v>0.99603175997330795</v>
      </c>
      <c r="L8781">
        <v>0.99535584715133096</v>
      </c>
      <c r="M8781">
        <v>0.99072847682119203</v>
      </c>
      <c r="N8781">
        <v>0.99072847682119203</v>
      </c>
      <c r="O8781">
        <v>0.99072847682119203</v>
      </c>
      <c r="P8781" t="s">
        <v>12226</v>
      </c>
      <c r="Q8781" t="s">
        <v>12227</v>
      </c>
      <c r="R8781" t="s">
        <v>12228</v>
      </c>
      <c r="S8781" t="s">
        <v>12229</v>
      </c>
      <c r="T8781" t="s">
        <v>15428</v>
      </c>
      <c r="U8781" t="s">
        <v>15429</v>
      </c>
      <c r="V8781" t="s">
        <v>12232</v>
      </c>
      <c r="W8781" t="s">
        <v>12233</v>
      </c>
      <c r="AD8781" t="s">
        <v>12234</v>
      </c>
      <c r="AE8781" t="s">
        <v>12235</v>
      </c>
      <c r="AF8781" t="s">
        <v>17770</v>
      </c>
    </row>
    <row r="8782" spans="1:32" hidden="1" x14ac:dyDescent="0.35">
      <c r="A8782">
        <v>8781</v>
      </c>
      <c r="B8782" t="s">
        <v>17771</v>
      </c>
      <c r="C8782" t="s">
        <v>277</v>
      </c>
      <c r="D8782" t="s">
        <v>60</v>
      </c>
      <c r="E8782">
        <v>355</v>
      </c>
      <c r="F8782">
        <v>2</v>
      </c>
      <c r="G8782">
        <v>2</v>
      </c>
      <c r="H8782">
        <v>1</v>
      </c>
      <c r="I8782">
        <v>0</v>
      </c>
      <c r="J8782">
        <v>0.99984202211690398</v>
      </c>
      <c r="K8782">
        <v>1</v>
      </c>
      <c r="L8782">
        <v>0.99992100481870605</v>
      </c>
      <c r="M8782">
        <v>0.99952606635071095</v>
      </c>
      <c r="N8782">
        <v>0.99952606635071095</v>
      </c>
      <c r="O8782">
        <v>0.99952606635071095</v>
      </c>
      <c r="P8782" t="s">
        <v>13318</v>
      </c>
      <c r="Q8782" t="s">
        <v>13319</v>
      </c>
      <c r="R8782" t="s">
        <v>157</v>
      </c>
      <c r="S8782" t="s">
        <v>158</v>
      </c>
      <c r="V8782" t="s">
        <v>14219</v>
      </c>
      <c r="W8782" t="s">
        <v>14220</v>
      </c>
      <c r="AF8782" t="s">
        <v>17772</v>
      </c>
    </row>
    <row r="8783" spans="1:32" hidden="1" x14ac:dyDescent="0.35">
      <c r="A8783">
        <v>8782</v>
      </c>
      <c r="B8783" t="s">
        <v>17771</v>
      </c>
      <c r="C8783" t="s">
        <v>277</v>
      </c>
      <c r="D8783" t="s">
        <v>62</v>
      </c>
      <c r="E8783">
        <v>435</v>
      </c>
      <c r="F8783">
        <v>2</v>
      </c>
      <c r="G8783">
        <v>2</v>
      </c>
      <c r="H8783">
        <v>1</v>
      </c>
      <c r="I8783">
        <v>0</v>
      </c>
      <c r="J8783">
        <v>0.99984202211690398</v>
      </c>
      <c r="K8783">
        <v>1</v>
      </c>
      <c r="L8783">
        <v>0.99992100481870605</v>
      </c>
      <c r="M8783">
        <v>0.99952606635071095</v>
      </c>
      <c r="N8783">
        <v>0.99952606635071095</v>
      </c>
      <c r="O8783">
        <v>0.99952606635071095</v>
      </c>
      <c r="P8783" t="s">
        <v>13318</v>
      </c>
      <c r="Q8783" t="s">
        <v>13319</v>
      </c>
      <c r="R8783" t="s">
        <v>157</v>
      </c>
      <c r="S8783" t="s">
        <v>158</v>
      </c>
      <c r="V8783" t="s">
        <v>14219</v>
      </c>
      <c r="W8783" t="s">
        <v>14220</v>
      </c>
      <c r="AF8783" t="s">
        <v>17773</v>
      </c>
    </row>
    <row r="8784" spans="1:32" hidden="1" x14ac:dyDescent="0.35">
      <c r="A8784">
        <v>8783</v>
      </c>
      <c r="B8784" t="s">
        <v>17774</v>
      </c>
      <c r="C8784" t="s">
        <v>277</v>
      </c>
      <c r="D8784" t="s">
        <v>60</v>
      </c>
      <c r="E8784">
        <v>57</v>
      </c>
      <c r="F8784">
        <v>2</v>
      </c>
      <c r="G8784">
        <v>2</v>
      </c>
      <c r="H8784">
        <v>1</v>
      </c>
      <c r="I8784">
        <v>0</v>
      </c>
      <c r="J8784">
        <v>0.99710982658959502</v>
      </c>
      <c r="K8784">
        <v>1</v>
      </c>
      <c r="L8784">
        <v>0.99855282199710604</v>
      </c>
      <c r="M8784">
        <v>0.99710982658959502</v>
      </c>
      <c r="N8784">
        <v>0.99710982658959502</v>
      </c>
      <c r="O8784">
        <v>0.99710982658959502</v>
      </c>
      <c r="P8784" t="s">
        <v>17775</v>
      </c>
      <c r="Q8784" t="s">
        <v>17776</v>
      </c>
      <c r="AF8784" t="s">
        <v>17777</v>
      </c>
    </row>
    <row r="8785" spans="1:32" hidden="1" x14ac:dyDescent="0.35">
      <c r="A8785">
        <v>8784</v>
      </c>
      <c r="B8785" t="s">
        <v>17774</v>
      </c>
      <c r="C8785" t="s">
        <v>277</v>
      </c>
      <c r="D8785" t="s">
        <v>62</v>
      </c>
      <c r="E8785">
        <v>130</v>
      </c>
      <c r="F8785">
        <v>2</v>
      </c>
      <c r="G8785">
        <v>2</v>
      </c>
      <c r="H8785">
        <v>1</v>
      </c>
      <c r="I8785">
        <v>0</v>
      </c>
      <c r="J8785">
        <v>0.99710982658959502</v>
      </c>
      <c r="K8785">
        <v>1</v>
      </c>
      <c r="L8785">
        <v>0.99855282199710604</v>
      </c>
      <c r="M8785">
        <v>0.99710982658959502</v>
      </c>
      <c r="N8785">
        <v>0.99710982658959502</v>
      </c>
      <c r="O8785">
        <v>0.99710982658959502</v>
      </c>
      <c r="P8785" t="s">
        <v>17775</v>
      </c>
      <c r="Q8785" t="s">
        <v>17776</v>
      </c>
      <c r="AF8785" t="s">
        <v>17778</v>
      </c>
    </row>
    <row r="8786" spans="1:32" hidden="1" x14ac:dyDescent="0.35">
      <c r="A8786">
        <v>8785</v>
      </c>
      <c r="B8786" t="s">
        <v>17779</v>
      </c>
      <c r="C8786" t="s">
        <v>277</v>
      </c>
      <c r="D8786" t="s">
        <v>60</v>
      </c>
      <c r="E8786">
        <v>2319</v>
      </c>
      <c r="F8786">
        <v>2</v>
      </c>
      <c r="G8786">
        <v>2</v>
      </c>
      <c r="H8786">
        <v>1</v>
      </c>
      <c r="I8786">
        <v>0</v>
      </c>
      <c r="J8786">
        <v>0.99209486166007899</v>
      </c>
      <c r="K8786">
        <v>1</v>
      </c>
      <c r="L8786">
        <v>0.99603174603174605</v>
      </c>
      <c r="M8786">
        <v>0.99209486166007899</v>
      </c>
      <c r="N8786">
        <v>0.99209486166007899</v>
      </c>
      <c r="O8786">
        <v>0.99209486166007899</v>
      </c>
      <c r="P8786" t="s">
        <v>5019</v>
      </c>
      <c r="Q8786" t="s">
        <v>5020</v>
      </c>
      <c r="R8786" t="s">
        <v>288</v>
      </c>
      <c r="S8786" t="s">
        <v>289</v>
      </c>
      <c r="T8786" t="s">
        <v>17780</v>
      </c>
      <c r="U8786" t="s">
        <v>407</v>
      </c>
      <c r="V8786" t="s">
        <v>5023</v>
      </c>
      <c r="W8786" t="s">
        <v>5024</v>
      </c>
      <c r="AD8786" t="s">
        <v>410</v>
      </c>
      <c r="AE8786" t="s">
        <v>411</v>
      </c>
      <c r="AF8786" t="s">
        <v>17781</v>
      </c>
    </row>
    <row r="8787" spans="1:32" hidden="1" x14ac:dyDescent="0.35">
      <c r="A8787">
        <v>8786</v>
      </c>
      <c r="B8787" t="s">
        <v>17779</v>
      </c>
      <c r="C8787" t="s">
        <v>277</v>
      </c>
      <c r="D8787" t="s">
        <v>62</v>
      </c>
      <c r="E8787">
        <v>2347</v>
      </c>
      <c r="F8787">
        <v>2</v>
      </c>
      <c r="G8787">
        <v>2</v>
      </c>
      <c r="H8787">
        <v>1</v>
      </c>
      <c r="I8787">
        <v>0</v>
      </c>
      <c r="J8787">
        <v>0.99209486166007899</v>
      </c>
      <c r="K8787">
        <v>1</v>
      </c>
      <c r="L8787">
        <v>0.99603174603174605</v>
      </c>
      <c r="M8787">
        <v>0.99209486166007899</v>
      </c>
      <c r="N8787">
        <v>0.99209486166007899</v>
      </c>
      <c r="O8787">
        <v>0.99209486166007899</v>
      </c>
      <c r="P8787" t="s">
        <v>5019</v>
      </c>
      <c r="Q8787" t="s">
        <v>5020</v>
      </c>
      <c r="R8787" t="s">
        <v>288</v>
      </c>
      <c r="S8787" t="s">
        <v>289</v>
      </c>
      <c r="T8787" t="s">
        <v>17780</v>
      </c>
      <c r="U8787" t="s">
        <v>407</v>
      </c>
      <c r="V8787" t="s">
        <v>5023</v>
      </c>
      <c r="W8787" t="s">
        <v>5024</v>
      </c>
      <c r="AD8787" t="s">
        <v>410</v>
      </c>
      <c r="AE8787" t="s">
        <v>411</v>
      </c>
      <c r="AF8787" t="s">
        <v>17782</v>
      </c>
    </row>
    <row r="8788" spans="1:32" hidden="1" x14ac:dyDescent="0.35">
      <c r="A8788">
        <v>8787</v>
      </c>
      <c r="B8788" t="s">
        <v>17783</v>
      </c>
      <c r="C8788" t="s">
        <v>277</v>
      </c>
      <c r="D8788" t="s">
        <v>34</v>
      </c>
      <c r="E8788">
        <v>1396</v>
      </c>
      <c r="F8788">
        <v>2</v>
      </c>
      <c r="G8788">
        <v>2</v>
      </c>
      <c r="H8788">
        <v>1</v>
      </c>
      <c r="I8788">
        <v>0</v>
      </c>
      <c r="J8788">
        <v>0.99199542595768997</v>
      </c>
      <c r="K8788">
        <v>1</v>
      </c>
      <c r="L8788">
        <v>0.99598163030998799</v>
      </c>
      <c r="M8788">
        <v>0.98970840480274402</v>
      </c>
      <c r="N8788">
        <v>0.98970840480274402</v>
      </c>
      <c r="O8788">
        <v>0.98970840480274402</v>
      </c>
      <c r="P8788" t="s">
        <v>169</v>
      </c>
      <c r="Q8788" t="s">
        <v>170</v>
      </c>
      <c r="R8788" t="s">
        <v>138</v>
      </c>
      <c r="S8788" t="s">
        <v>139</v>
      </c>
      <c r="T8788" t="s">
        <v>11557</v>
      </c>
      <c r="U8788" t="s">
        <v>11558</v>
      </c>
      <c r="V8788" t="s">
        <v>11356</v>
      </c>
      <c r="W8788" t="s">
        <v>11357</v>
      </c>
      <c r="AD8788" t="s">
        <v>439</v>
      </c>
      <c r="AE8788" t="s">
        <v>11443</v>
      </c>
      <c r="AF8788" t="s">
        <v>17784</v>
      </c>
    </row>
    <row r="8789" spans="1:32" hidden="1" x14ac:dyDescent="0.35">
      <c r="A8789">
        <v>8788</v>
      </c>
      <c r="B8789" t="s">
        <v>17783</v>
      </c>
      <c r="C8789" t="s">
        <v>277</v>
      </c>
      <c r="D8789" t="s">
        <v>45</v>
      </c>
      <c r="E8789">
        <v>146</v>
      </c>
      <c r="F8789">
        <v>2</v>
      </c>
      <c r="G8789">
        <v>2</v>
      </c>
      <c r="H8789">
        <v>1</v>
      </c>
      <c r="I8789">
        <v>0</v>
      </c>
      <c r="J8789">
        <v>0.99199542595768997</v>
      </c>
      <c r="K8789">
        <v>1</v>
      </c>
      <c r="L8789">
        <v>0.99598163030998799</v>
      </c>
      <c r="M8789">
        <v>0.98970840480274402</v>
      </c>
      <c r="N8789">
        <v>0.98970840480274402</v>
      </c>
      <c r="O8789">
        <v>0.98970840480274402</v>
      </c>
      <c r="P8789" t="s">
        <v>169</v>
      </c>
      <c r="Q8789" t="s">
        <v>170</v>
      </c>
      <c r="R8789" t="s">
        <v>138</v>
      </c>
      <c r="S8789" t="s">
        <v>139</v>
      </c>
      <c r="T8789" t="s">
        <v>11557</v>
      </c>
      <c r="U8789" t="s">
        <v>11558</v>
      </c>
      <c r="V8789" t="s">
        <v>11356</v>
      </c>
      <c r="W8789" t="s">
        <v>11357</v>
      </c>
      <c r="AD8789" t="s">
        <v>439</v>
      </c>
      <c r="AE8789" t="s">
        <v>11443</v>
      </c>
      <c r="AF8789" t="s">
        <v>17785</v>
      </c>
    </row>
    <row r="8790" spans="1:32" hidden="1" x14ac:dyDescent="0.35">
      <c r="A8790">
        <v>8789</v>
      </c>
      <c r="B8790" t="s">
        <v>17786</v>
      </c>
      <c r="C8790" t="s">
        <v>277</v>
      </c>
      <c r="D8790" t="s">
        <v>60</v>
      </c>
      <c r="E8790">
        <v>2411</v>
      </c>
      <c r="F8790">
        <v>2</v>
      </c>
      <c r="G8790">
        <v>2</v>
      </c>
      <c r="H8790">
        <v>1</v>
      </c>
      <c r="I8790">
        <v>0</v>
      </c>
      <c r="J8790">
        <v>0.984732824427481</v>
      </c>
      <c r="K8790">
        <v>1</v>
      </c>
      <c r="L8790">
        <v>0.992307692307692</v>
      </c>
      <c r="M8790">
        <v>0.984732824427481</v>
      </c>
      <c r="N8790">
        <v>0.984732824427481</v>
      </c>
      <c r="O8790">
        <v>0.984732824427481</v>
      </c>
      <c r="AF8790" t="s">
        <v>17787</v>
      </c>
    </row>
    <row r="8791" spans="1:32" hidden="1" x14ac:dyDescent="0.35">
      <c r="A8791">
        <v>8790</v>
      </c>
      <c r="B8791" t="s">
        <v>17786</v>
      </c>
      <c r="C8791" t="s">
        <v>277</v>
      </c>
      <c r="D8791" t="s">
        <v>62</v>
      </c>
      <c r="E8791">
        <v>2438</v>
      </c>
      <c r="F8791">
        <v>2</v>
      </c>
      <c r="G8791">
        <v>2</v>
      </c>
      <c r="H8791">
        <v>1</v>
      </c>
      <c r="I8791">
        <v>0</v>
      </c>
      <c r="J8791">
        <v>0.984732824427481</v>
      </c>
      <c r="K8791">
        <v>1</v>
      </c>
      <c r="L8791">
        <v>0.992307692307692</v>
      </c>
      <c r="M8791">
        <v>0.984732824427481</v>
      </c>
      <c r="N8791">
        <v>0.984732824427481</v>
      </c>
      <c r="O8791">
        <v>0.984732824427481</v>
      </c>
      <c r="AF8791" t="s">
        <v>17788</v>
      </c>
    </row>
    <row r="8792" spans="1:32" hidden="1" x14ac:dyDescent="0.35">
      <c r="A8792">
        <v>8791</v>
      </c>
      <c r="B8792" t="s">
        <v>17789</v>
      </c>
      <c r="C8792" t="s">
        <v>277</v>
      </c>
      <c r="D8792" t="s">
        <v>60</v>
      </c>
      <c r="E8792">
        <v>119</v>
      </c>
      <c r="F8792">
        <v>2</v>
      </c>
      <c r="G8792">
        <v>2</v>
      </c>
      <c r="H8792">
        <v>1</v>
      </c>
      <c r="I8792">
        <v>0</v>
      </c>
      <c r="J8792">
        <v>0.99796747967479704</v>
      </c>
      <c r="K8792">
        <v>1</v>
      </c>
      <c r="L8792">
        <v>0.99898270600203498</v>
      </c>
      <c r="M8792">
        <v>0.99390243902439002</v>
      </c>
      <c r="N8792">
        <v>0.99390243902439002</v>
      </c>
      <c r="O8792">
        <v>0.99390243902439002</v>
      </c>
      <c r="P8792" t="s">
        <v>1486</v>
      </c>
      <c r="Q8792" t="s">
        <v>1487</v>
      </c>
      <c r="R8792" t="s">
        <v>113</v>
      </c>
      <c r="S8792" t="s">
        <v>114</v>
      </c>
      <c r="V8792" t="s">
        <v>1490</v>
      </c>
      <c r="W8792" t="s">
        <v>1491</v>
      </c>
      <c r="AF8792" t="s">
        <v>17790</v>
      </c>
    </row>
    <row r="8793" spans="1:32" hidden="1" x14ac:dyDescent="0.35">
      <c r="A8793">
        <v>8792</v>
      </c>
      <c r="B8793" t="s">
        <v>17789</v>
      </c>
      <c r="C8793" t="s">
        <v>277</v>
      </c>
      <c r="D8793" t="s">
        <v>62</v>
      </c>
      <c r="E8793">
        <v>191</v>
      </c>
      <c r="F8793">
        <v>2</v>
      </c>
      <c r="G8793">
        <v>2</v>
      </c>
      <c r="H8793">
        <v>1</v>
      </c>
      <c r="I8793">
        <v>0</v>
      </c>
      <c r="J8793">
        <v>0.99796747967479704</v>
      </c>
      <c r="K8793">
        <v>1</v>
      </c>
      <c r="L8793">
        <v>0.99898270600203498</v>
      </c>
      <c r="M8793">
        <v>0.99390243902439002</v>
      </c>
      <c r="N8793">
        <v>0.99390243902439002</v>
      </c>
      <c r="O8793">
        <v>0.99390243902439002</v>
      </c>
      <c r="P8793" t="s">
        <v>1486</v>
      </c>
      <c r="Q8793" t="s">
        <v>1487</v>
      </c>
      <c r="R8793" t="s">
        <v>113</v>
      </c>
      <c r="S8793" t="s">
        <v>114</v>
      </c>
      <c r="V8793" t="s">
        <v>1490</v>
      </c>
      <c r="W8793" t="s">
        <v>1491</v>
      </c>
      <c r="AF8793" t="s">
        <v>17791</v>
      </c>
    </row>
    <row r="8794" spans="1:32" hidden="1" x14ac:dyDescent="0.35">
      <c r="A8794">
        <v>8793</v>
      </c>
      <c r="B8794" t="s">
        <v>17792</v>
      </c>
      <c r="C8794" t="s">
        <v>277</v>
      </c>
      <c r="D8794" t="s">
        <v>34</v>
      </c>
      <c r="E8794">
        <v>2036</v>
      </c>
      <c r="F8794">
        <v>2</v>
      </c>
      <c r="G8794">
        <v>2</v>
      </c>
      <c r="H8794">
        <v>1</v>
      </c>
      <c r="I8794">
        <v>0</v>
      </c>
      <c r="J8794">
        <v>0.99666666666666703</v>
      </c>
      <c r="K8794">
        <v>1</v>
      </c>
      <c r="L8794">
        <v>0.998330550918197</v>
      </c>
      <c r="M8794">
        <v>0.99666666666666703</v>
      </c>
      <c r="N8794">
        <v>0.99666666666666703</v>
      </c>
      <c r="O8794">
        <v>0.99666666666666703</v>
      </c>
      <c r="P8794" t="s">
        <v>4551</v>
      </c>
      <c r="Q8794" t="s">
        <v>4552</v>
      </c>
      <c r="R8794" t="s">
        <v>8647</v>
      </c>
      <c r="S8794" t="s">
        <v>8648</v>
      </c>
      <c r="V8794" t="s">
        <v>9316</v>
      </c>
      <c r="W8794" t="s">
        <v>9317</v>
      </c>
      <c r="X8794" t="s">
        <v>9316</v>
      </c>
      <c r="Y8794" t="s">
        <v>875</v>
      </c>
      <c r="AF8794" t="s">
        <v>17793</v>
      </c>
    </row>
    <row r="8795" spans="1:32" hidden="1" x14ac:dyDescent="0.35">
      <c r="A8795">
        <v>8794</v>
      </c>
      <c r="B8795" t="s">
        <v>17792</v>
      </c>
      <c r="C8795" t="s">
        <v>277</v>
      </c>
      <c r="D8795" t="s">
        <v>45</v>
      </c>
      <c r="E8795">
        <v>836</v>
      </c>
      <c r="F8795">
        <v>2</v>
      </c>
      <c r="G8795">
        <v>2</v>
      </c>
      <c r="H8795">
        <v>1</v>
      </c>
      <c r="I8795">
        <v>0</v>
      </c>
      <c r="J8795">
        <v>0.99666666666666703</v>
      </c>
      <c r="K8795">
        <v>1</v>
      </c>
      <c r="L8795">
        <v>0.998330550918197</v>
      </c>
      <c r="M8795">
        <v>0.99666666666666703</v>
      </c>
      <c r="N8795">
        <v>0.99666666666666703</v>
      </c>
      <c r="O8795">
        <v>0.99666666666666703</v>
      </c>
      <c r="P8795" t="s">
        <v>4551</v>
      </c>
      <c r="Q8795" t="s">
        <v>4552</v>
      </c>
      <c r="R8795" t="s">
        <v>8647</v>
      </c>
      <c r="S8795" t="s">
        <v>8648</v>
      </c>
      <c r="V8795" t="s">
        <v>9316</v>
      </c>
      <c r="W8795" t="s">
        <v>9317</v>
      </c>
      <c r="X8795" t="s">
        <v>9316</v>
      </c>
      <c r="Y8795" t="s">
        <v>875</v>
      </c>
      <c r="AF8795" t="s">
        <v>17794</v>
      </c>
    </row>
    <row r="8796" spans="1:32" hidden="1" x14ac:dyDescent="0.35">
      <c r="A8796">
        <v>8795</v>
      </c>
      <c r="B8796" t="s">
        <v>17795</v>
      </c>
      <c r="C8796" t="s">
        <v>277</v>
      </c>
      <c r="D8796" t="s">
        <v>34</v>
      </c>
      <c r="E8796">
        <v>886</v>
      </c>
      <c r="F8796">
        <v>2</v>
      </c>
      <c r="G8796">
        <v>2</v>
      </c>
      <c r="H8796">
        <v>1</v>
      </c>
      <c r="I8796">
        <v>0</v>
      </c>
      <c r="J8796">
        <v>0.99574209245742096</v>
      </c>
      <c r="K8796">
        <v>1</v>
      </c>
      <c r="L8796">
        <v>0.99786650411459898</v>
      </c>
      <c r="M8796">
        <v>0.99452554744525501</v>
      </c>
      <c r="N8796">
        <v>0.99452554744525501</v>
      </c>
      <c r="O8796">
        <v>0.99452554744525501</v>
      </c>
      <c r="P8796" t="s">
        <v>3179</v>
      </c>
      <c r="Q8796" t="s">
        <v>3180</v>
      </c>
      <c r="R8796" t="s">
        <v>75</v>
      </c>
      <c r="S8796" t="s">
        <v>76</v>
      </c>
      <c r="V8796" t="s">
        <v>3181</v>
      </c>
      <c r="W8796" t="s">
        <v>3182</v>
      </c>
      <c r="X8796" t="s">
        <v>3181</v>
      </c>
      <c r="Y8796" t="s">
        <v>875</v>
      </c>
      <c r="AF8796" t="s">
        <v>17796</v>
      </c>
    </row>
    <row r="8797" spans="1:32" hidden="1" x14ac:dyDescent="0.35">
      <c r="A8797">
        <v>8796</v>
      </c>
      <c r="B8797" t="s">
        <v>17795</v>
      </c>
      <c r="C8797" t="s">
        <v>277</v>
      </c>
      <c r="D8797" t="s">
        <v>45</v>
      </c>
      <c r="E8797">
        <v>2143</v>
      </c>
      <c r="F8797">
        <v>2</v>
      </c>
      <c r="G8797">
        <v>2</v>
      </c>
      <c r="H8797">
        <v>1</v>
      </c>
      <c r="I8797">
        <v>0</v>
      </c>
      <c r="J8797">
        <v>0.99574209245742096</v>
      </c>
      <c r="K8797">
        <v>1</v>
      </c>
      <c r="L8797">
        <v>0.99786650411459898</v>
      </c>
      <c r="M8797">
        <v>0.99452554744525501</v>
      </c>
      <c r="N8797">
        <v>0.99452554744525501</v>
      </c>
      <c r="O8797">
        <v>0.99452554744525501</v>
      </c>
      <c r="P8797" t="s">
        <v>3179</v>
      </c>
      <c r="Q8797" t="s">
        <v>3180</v>
      </c>
      <c r="R8797" t="s">
        <v>75</v>
      </c>
      <c r="S8797" t="s">
        <v>76</v>
      </c>
      <c r="V8797" t="s">
        <v>3181</v>
      </c>
      <c r="W8797" t="s">
        <v>3182</v>
      </c>
      <c r="X8797" t="s">
        <v>3181</v>
      </c>
      <c r="Y8797" t="s">
        <v>875</v>
      </c>
      <c r="AF8797" t="s">
        <v>17797</v>
      </c>
    </row>
    <row r="8798" spans="1:32" hidden="1" x14ac:dyDescent="0.35">
      <c r="A8798">
        <v>8797</v>
      </c>
      <c r="B8798" t="s">
        <v>17798</v>
      </c>
      <c r="C8798" t="s">
        <v>277</v>
      </c>
      <c r="D8798" t="s">
        <v>60</v>
      </c>
      <c r="E8798">
        <v>1629</v>
      </c>
      <c r="F8798">
        <v>2</v>
      </c>
      <c r="G8798">
        <v>2</v>
      </c>
      <c r="H8798">
        <v>1</v>
      </c>
      <c r="I8798">
        <v>0</v>
      </c>
      <c r="J8798">
        <v>0.99613526570048305</v>
      </c>
      <c r="K8798">
        <v>1</v>
      </c>
      <c r="L8798">
        <v>0.99806389157792796</v>
      </c>
      <c r="M8798">
        <v>0.99420289855072497</v>
      </c>
      <c r="N8798">
        <v>0.99420289855072497</v>
      </c>
      <c r="O8798">
        <v>0.99420289855072497</v>
      </c>
      <c r="P8798" t="s">
        <v>13048</v>
      </c>
      <c r="Q8798" t="s">
        <v>13049</v>
      </c>
      <c r="R8798" t="s">
        <v>13044</v>
      </c>
      <c r="S8798" t="s">
        <v>13045</v>
      </c>
      <c r="T8798" t="s">
        <v>13050</v>
      </c>
      <c r="U8798" t="s">
        <v>13051</v>
      </c>
      <c r="V8798" t="s">
        <v>13046</v>
      </c>
      <c r="W8798" t="s">
        <v>13047</v>
      </c>
      <c r="AD8798" t="s">
        <v>219</v>
      </c>
      <c r="AE8798" t="s">
        <v>13052</v>
      </c>
      <c r="AF8798" t="s">
        <v>17799</v>
      </c>
    </row>
    <row r="8799" spans="1:32" hidden="1" x14ac:dyDescent="0.35">
      <c r="A8799">
        <v>8798</v>
      </c>
      <c r="B8799" t="s">
        <v>17798</v>
      </c>
      <c r="C8799" t="s">
        <v>277</v>
      </c>
      <c r="D8799" t="s">
        <v>62</v>
      </c>
      <c r="E8799">
        <v>1665</v>
      </c>
      <c r="F8799">
        <v>2</v>
      </c>
      <c r="G8799">
        <v>2</v>
      </c>
      <c r="H8799">
        <v>1</v>
      </c>
      <c r="I8799">
        <v>0</v>
      </c>
      <c r="J8799">
        <v>0.99613526570048305</v>
      </c>
      <c r="K8799">
        <v>1</v>
      </c>
      <c r="L8799">
        <v>0.99806389157792796</v>
      </c>
      <c r="M8799">
        <v>0.99420289855072497</v>
      </c>
      <c r="N8799">
        <v>0.99420289855072497</v>
      </c>
      <c r="O8799">
        <v>0.99420289855072497</v>
      </c>
      <c r="P8799" t="s">
        <v>17800</v>
      </c>
      <c r="Q8799" t="s">
        <v>3501</v>
      </c>
      <c r="R8799" t="s">
        <v>13044</v>
      </c>
      <c r="S8799" t="s">
        <v>13045</v>
      </c>
      <c r="T8799" t="s">
        <v>13050</v>
      </c>
      <c r="U8799" t="s">
        <v>13051</v>
      </c>
      <c r="V8799" t="s">
        <v>13046</v>
      </c>
      <c r="W8799" t="s">
        <v>13047</v>
      </c>
      <c r="AD8799" t="s">
        <v>219</v>
      </c>
      <c r="AE8799" t="s">
        <v>13052</v>
      </c>
      <c r="AF8799" t="s">
        <v>17801</v>
      </c>
    </row>
    <row r="8800" spans="1:32" hidden="1" x14ac:dyDescent="0.35">
      <c r="A8800">
        <v>8799</v>
      </c>
      <c r="B8800" t="s">
        <v>17802</v>
      </c>
      <c r="C8800" t="s">
        <v>277</v>
      </c>
      <c r="D8800" t="s">
        <v>60</v>
      </c>
      <c r="E8800">
        <v>2032</v>
      </c>
      <c r="F8800">
        <v>2</v>
      </c>
      <c r="G8800">
        <v>2</v>
      </c>
      <c r="H8800">
        <v>1</v>
      </c>
      <c r="I8800">
        <v>0</v>
      </c>
      <c r="J8800">
        <v>0.99444444444444402</v>
      </c>
      <c r="K8800">
        <v>1</v>
      </c>
      <c r="L8800">
        <v>0.997214484679666</v>
      </c>
      <c r="M8800">
        <v>0.99166666666666703</v>
      </c>
      <c r="N8800">
        <v>0.99166666666666703</v>
      </c>
      <c r="O8800">
        <v>0.99166666666666703</v>
      </c>
      <c r="P8800" t="s">
        <v>13950</v>
      </c>
      <c r="Q8800" t="s">
        <v>13951</v>
      </c>
      <c r="R8800" t="s">
        <v>157</v>
      </c>
      <c r="S8800" t="s">
        <v>158</v>
      </c>
      <c r="V8800" t="s">
        <v>13320</v>
      </c>
      <c r="W8800" t="s">
        <v>13321</v>
      </c>
      <c r="AF8800" t="s">
        <v>17803</v>
      </c>
    </row>
    <row r="8801" spans="1:32" hidden="1" x14ac:dyDescent="0.35">
      <c r="A8801">
        <v>8800</v>
      </c>
      <c r="B8801" t="s">
        <v>17802</v>
      </c>
      <c r="C8801" t="s">
        <v>277</v>
      </c>
      <c r="D8801" t="s">
        <v>62</v>
      </c>
      <c r="E8801">
        <v>2071</v>
      </c>
      <c r="F8801">
        <v>2</v>
      </c>
      <c r="G8801">
        <v>2</v>
      </c>
      <c r="H8801">
        <v>1</v>
      </c>
      <c r="I8801">
        <v>0</v>
      </c>
      <c r="J8801">
        <v>0.99444444444444402</v>
      </c>
      <c r="K8801">
        <v>1</v>
      </c>
      <c r="L8801">
        <v>0.997214484679666</v>
      </c>
      <c r="M8801">
        <v>0.99166666666666703</v>
      </c>
      <c r="N8801">
        <v>0.99166666666666703</v>
      </c>
      <c r="O8801">
        <v>0.99166666666666703</v>
      </c>
      <c r="P8801" t="s">
        <v>13950</v>
      </c>
      <c r="Q8801" t="s">
        <v>13951</v>
      </c>
      <c r="R8801" t="s">
        <v>157</v>
      </c>
      <c r="S8801" t="s">
        <v>158</v>
      </c>
      <c r="V8801" t="s">
        <v>13320</v>
      </c>
      <c r="W8801" t="s">
        <v>13321</v>
      </c>
      <c r="AF8801" t="s">
        <v>17804</v>
      </c>
    </row>
    <row r="8802" spans="1:32" hidden="1" x14ac:dyDescent="0.35">
      <c r="A8802">
        <v>8801</v>
      </c>
      <c r="B8802" t="s">
        <v>17805</v>
      </c>
      <c r="C8802" t="s">
        <v>277</v>
      </c>
      <c r="D8802" t="s">
        <v>60</v>
      </c>
      <c r="E8802">
        <v>2430</v>
      </c>
      <c r="F8802">
        <v>2</v>
      </c>
      <c r="G8802">
        <v>2</v>
      </c>
      <c r="H8802">
        <v>1</v>
      </c>
      <c r="I8802">
        <v>0</v>
      </c>
      <c r="J8802">
        <v>0.99324650265315995</v>
      </c>
      <c r="K8802">
        <v>1</v>
      </c>
      <c r="L8802">
        <v>0.99661181026137502</v>
      </c>
      <c r="M8802">
        <v>0.99131693198263404</v>
      </c>
      <c r="N8802">
        <v>0.99131693198263404</v>
      </c>
      <c r="O8802">
        <v>0.99131693198263404</v>
      </c>
      <c r="T8802" t="s">
        <v>17806</v>
      </c>
      <c r="U8802" t="s">
        <v>17807</v>
      </c>
      <c r="AD8802" t="s">
        <v>14008</v>
      </c>
      <c r="AE8802" t="s">
        <v>17808</v>
      </c>
      <c r="AF8802" t="s">
        <v>17809</v>
      </c>
    </row>
    <row r="8803" spans="1:32" hidden="1" x14ac:dyDescent="0.35">
      <c r="A8803">
        <v>8802</v>
      </c>
      <c r="B8803" t="s">
        <v>17805</v>
      </c>
      <c r="C8803" t="s">
        <v>277</v>
      </c>
      <c r="D8803" t="s">
        <v>62</v>
      </c>
      <c r="E8803">
        <v>2457</v>
      </c>
      <c r="F8803">
        <v>2</v>
      </c>
      <c r="G8803">
        <v>2</v>
      </c>
      <c r="H8803">
        <v>1</v>
      </c>
      <c r="I8803">
        <v>0</v>
      </c>
      <c r="J8803">
        <v>0.99324650265315995</v>
      </c>
      <c r="K8803">
        <v>1</v>
      </c>
      <c r="L8803">
        <v>0.99661181026137502</v>
      </c>
      <c r="M8803">
        <v>0.99131693198263404</v>
      </c>
      <c r="N8803">
        <v>0.99131693198263404</v>
      </c>
      <c r="O8803">
        <v>0.99131693198263404</v>
      </c>
      <c r="T8803" t="s">
        <v>17806</v>
      </c>
      <c r="U8803" t="s">
        <v>17807</v>
      </c>
      <c r="AD8803" t="s">
        <v>14008</v>
      </c>
      <c r="AE8803" t="s">
        <v>17808</v>
      </c>
      <c r="AF8803" t="s">
        <v>17810</v>
      </c>
    </row>
    <row r="8804" spans="1:32" hidden="1" x14ac:dyDescent="0.35">
      <c r="A8804">
        <v>8803</v>
      </c>
      <c r="B8804" t="s">
        <v>17811</v>
      </c>
      <c r="C8804" t="s">
        <v>277</v>
      </c>
      <c r="D8804" t="s">
        <v>34</v>
      </c>
      <c r="E8804">
        <v>411</v>
      </c>
      <c r="F8804">
        <v>2</v>
      </c>
      <c r="G8804">
        <v>2</v>
      </c>
      <c r="H8804">
        <v>1</v>
      </c>
      <c r="I8804">
        <v>0</v>
      </c>
      <c r="J8804">
        <v>0.97445255474452597</v>
      </c>
      <c r="K8804">
        <v>1</v>
      </c>
      <c r="L8804">
        <v>0.987060998151571</v>
      </c>
      <c r="M8804">
        <v>0.96715328467153305</v>
      </c>
      <c r="N8804">
        <v>0.96715328467153305</v>
      </c>
      <c r="O8804">
        <v>0.96715328467153305</v>
      </c>
      <c r="AF8804" t="s">
        <v>17812</v>
      </c>
    </row>
    <row r="8805" spans="1:32" hidden="1" x14ac:dyDescent="0.35">
      <c r="A8805">
        <v>8804</v>
      </c>
      <c r="B8805" t="s">
        <v>17811</v>
      </c>
      <c r="C8805" t="s">
        <v>277</v>
      </c>
      <c r="D8805" t="s">
        <v>45</v>
      </c>
      <c r="E8805">
        <v>1673</v>
      </c>
      <c r="F8805">
        <v>2</v>
      </c>
      <c r="G8805">
        <v>2</v>
      </c>
      <c r="H8805">
        <v>1</v>
      </c>
      <c r="I8805">
        <v>0</v>
      </c>
      <c r="J8805">
        <v>0.97445255474452597</v>
      </c>
      <c r="K8805">
        <v>1</v>
      </c>
      <c r="L8805">
        <v>0.987060998151571</v>
      </c>
      <c r="M8805">
        <v>0.96715328467153305</v>
      </c>
      <c r="N8805">
        <v>0.96715328467153305</v>
      </c>
      <c r="O8805">
        <v>0.96715328467153305</v>
      </c>
      <c r="AF8805" t="s">
        <v>17813</v>
      </c>
    </row>
    <row r="8806" spans="1:32" hidden="1" x14ac:dyDescent="0.35">
      <c r="A8806">
        <v>8805</v>
      </c>
      <c r="B8806" t="s">
        <v>17814</v>
      </c>
      <c r="C8806" t="s">
        <v>277</v>
      </c>
      <c r="D8806" t="s">
        <v>34</v>
      </c>
      <c r="E8806">
        <v>282</v>
      </c>
      <c r="F8806">
        <v>2</v>
      </c>
      <c r="G8806">
        <v>2</v>
      </c>
      <c r="H8806">
        <v>1</v>
      </c>
      <c r="I8806">
        <v>0</v>
      </c>
      <c r="J8806">
        <v>0.98522167487684698</v>
      </c>
      <c r="K8806">
        <v>1</v>
      </c>
      <c r="L8806">
        <v>0.99255583126550895</v>
      </c>
      <c r="M8806">
        <v>0.98522167487684698</v>
      </c>
      <c r="N8806">
        <v>0.98522167487684698</v>
      </c>
      <c r="O8806">
        <v>0.98522167487684698</v>
      </c>
      <c r="P8806" t="s">
        <v>13336</v>
      </c>
      <c r="Q8806" t="s">
        <v>13337</v>
      </c>
      <c r="AF8806" t="s">
        <v>17815</v>
      </c>
    </row>
    <row r="8807" spans="1:32" hidden="1" x14ac:dyDescent="0.35">
      <c r="A8807">
        <v>8806</v>
      </c>
      <c r="B8807" t="s">
        <v>17814</v>
      </c>
      <c r="C8807" t="s">
        <v>277</v>
      </c>
      <c r="D8807" t="s">
        <v>45</v>
      </c>
      <c r="E8807">
        <v>1544</v>
      </c>
      <c r="F8807">
        <v>2</v>
      </c>
      <c r="G8807">
        <v>2</v>
      </c>
      <c r="H8807">
        <v>1</v>
      </c>
      <c r="I8807">
        <v>0</v>
      </c>
      <c r="J8807">
        <v>0.98522167487684698</v>
      </c>
      <c r="K8807">
        <v>1</v>
      </c>
      <c r="L8807">
        <v>0.99255583126550895</v>
      </c>
      <c r="M8807">
        <v>0.98522167487684698</v>
      </c>
      <c r="N8807">
        <v>0.98522167487684698</v>
      </c>
      <c r="O8807">
        <v>0.98522167487684698</v>
      </c>
      <c r="P8807" t="s">
        <v>13336</v>
      </c>
      <c r="Q8807" t="s">
        <v>13337</v>
      </c>
      <c r="AF8807" t="s">
        <v>17816</v>
      </c>
    </row>
    <row r="8808" spans="1:32" hidden="1" x14ac:dyDescent="0.35">
      <c r="A8808">
        <v>8807</v>
      </c>
      <c r="B8808" t="s">
        <v>17817</v>
      </c>
      <c r="C8808" t="s">
        <v>277</v>
      </c>
      <c r="D8808" t="s">
        <v>60</v>
      </c>
      <c r="E8808">
        <v>440</v>
      </c>
      <c r="F8808">
        <v>2</v>
      </c>
      <c r="G8808">
        <v>2</v>
      </c>
      <c r="H8808">
        <v>1</v>
      </c>
      <c r="I8808">
        <v>0</v>
      </c>
      <c r="J8808">
        <v>0.99754299754299802</v>
      </c>
      <c r="K8808">
        <v>1</v>
      </c>
      <c r="L8808">
        <v>0.99876998769987702</v>
      </c>
      <c r="M8808">
        <v>0.99754299754299802</v>
      </c>
      <c r="N8808">
        <v>0.99754299754299802</v>
      </c>
      <c r="O8808">
        <v>0.99754299754299802</v>
      </c>
      <c r="P8808" t="s">
        <v>17818</v>
      </c>
      <c r="Q8808" t="s">
        <v>17819</v>
      </c>
      <c r="R8808" t="s">
        <v>96</v>
      </c>
      <c r="S8808" t="s">
        <v>97</v>
      </c>
      <c r="T8808" t="s">
        <v>17820</v>
      </c>
      <c r="U8808" t="s">
        <v>17821</v>
      </c>
      <c r="V8808" t="s">
        <v>17822</v>
      </c>
      <c r="W8808" t="s">
        <v>17823</v>
      </c>
      <c r="AD8808" t="s">
        <v>17824</v>
      </c>
      <c r="AE8808" t="s">
        <v>17825</v>
      </c>
      <c r="AF8808" t="s">
        <v>17826</v>
      </c>
    </row>
    <row r="8809" spans="1:32" hidden="1" x14ac:dyDescent="0.35">
      <c r="A8809">
        <v>8808</v>
      </c>
      <c r="B8809" t="s">
        <v>17817</v>
      </c>
      <c r="C8809" t="s">
        <v>277</v>
      </c>
      <c r="D8809" t="s">
        <v>62</v>
      </c>
      <c r="E8809">
        <v>521</v>
      </c>
      <c r="F8809">
        <v>2</v>
      </c>
      <c r="G8809">
        <v>2</v>
      </c>
      <c r="H8809">
        <v>1</v>
      </c>
      <c r="I8809">
        <v>0</v>
      </c>
      <c r="J8809">
        <v>0.99754299754299802</v>
      </c>
      <c r="K8809">
        <v>1</v>
      </c>
      <c r="L8809">
        <v>0.99876998769987702</v>
      </c>
      <c r="M8809">
        <v>0.99754299754299802</v>
      </c>
      <c r="N8809">
        <v>0.99754299754299802</v>
      </c>
      <c r="O8809">
        <v>0.99754299754299802</v>
      </c>
      <c r="P8809" t="s">
        <v>17818</v>
      </c>
      <c r="Q8809" t="s">
        <v>17819</v>
      </c>
      <c r="R8809" t="s">
        <v>96</v>
      </c>
      <c r="S8809" t="s">
        <v>97</v>
      </c>
      <c r="T8809" t="s">
        <v>17820</v>
      </c>
      <c r="U8809" t="s">
        <v>17821</v>
      </c>
      <c r="V8809" t="s">
        <v>17822</v>
      </c>
      <c r="W8809" t="s">
        <v>17823</v>
      </c>
      <c r="AD8809" t="s">
        <v>17824</v>
      </c>
      <c r="AE8809" t="s">
        <v>17825</v>
      </c>
      <c r="AF8809" t="s">
        <v>17827</v>
      </c>
    </row>
    <row r="8810" spans="1:32" hidden="1" x14ac:dyDescent="0.35">
      <c r="A8810">
        <v>8809</v>
      </c>
      <c r="B8810" t="s">
        <v>17828</v>
      </c>
      <c r="C8810" t="s">
        <v>277</v>
      </c>
      <c r="D8810" t="s">
        <v>60</v>
      </c>
      <c r="E8810">
        <v>1657</v>
      </c>
      <c r="F8810">
        <v>2</v>
      </c>
      <c r="G8810">
        <v>2</v>
      </c>
      <c r="H8810">
        <v>1</v>
      </c>
      <c r="I8810">
        <v>0</v>
      </c>
      <c r="J8810">
        <v>0.95804195804195802</v>
      </c>
      <c r="K8810">
        <v>1</v>
      </c>
      <c r="L8810">
        <v>0.97857142857142898</v>
      </c>
      <c r="M8810">
        <v>0.94405594405594395</v>
      </c>
      <c r="N8810">
        <v>0.94405594405594395</v>
      </c>
      <c r="O8810">
        <v>0.94405594405594395</v>
      </c>
      <c r="AF8810" t="s">
        <v>17829</v>
      </c>
    </row>
    <row r="8811" spans="1:32" hidden="1" x14ac:dyDescent="0.35">
      <c r="A8811">
        <v>8810</v>
      </c>
      <c r="B8811" t="s">
        <v>17828</v>
      </c>
      <c r="C8811" t="s">
        <v>277</v>
      </c>
      <c r="D8811" t="s">
        <v>62</v>
      </c>
      <c r="E8811">
        <v>1692</v>
      </c>
      <c r="F8811">
        <v>2</v>
      </c>
      <c r="G8811">
        <v>2</v>
      </c>
      <c r="H8811">
        <v>1</v>
      </c>
      <c r="I8811">
        <v>0</v>
      </c>
      <c r="J8811">
        <v>0.95804195804195802</v>
      </c>
      <c r="K8811">
        <v>1</v>
      </c>
      <c r="L8811">
        <v>0.97857142857142898</v>
      </c>
      <c r="M8811">
        <v>0.94405594405594395</v>
      </c>
      <c r="N8811">
        <v>0.94405594405594395</v>
      </c>
      <c r="O8811">
        <v>0.94405594405594395</v>
      </c>
      <c r="AF8811" t="s">
        <v>17830</v>
      </c>
    </row>
    <row r="8812" spans="1:32" hidden="1" x14ac:dyDescent="0.35">
      <c r="A8812">
        <v>8811</v>
      </c>
      <c r="B8812" t="s">
        <v>17831</v>
      </c>
      <c r="C8812" t="s">
        <v>277</v>
      </c>
      <c r="D8812" t="s">
        <v>34</v>
      </c>
      <c r="E8812">
        <v>2087</v>
      </c>
      <c r="F8812">
        <v>2</v>
      </c>
      <c r="G8812">
        <v>2</v>
      </c>
      <c r="H8812">
        <v>1</v>
      </c>
      <c r="I8812">
        <v>0</v>
      </c>
      <c r="J8812">
        <v>0.98939393939393905</v>
      </c>
      <c r="K8812">
        <v>1</v>
      </c>
      <c r="L8812">
        <v>0.99466869763899501</v>
      </c>
      <c r="M8812">
        <v>0.986363636363636</v>
      </c>
      <c r="N8812">
        <v>0.986363636363636</v>
      </c>
      <c r="O8812">
        <v>0.986363636363636</v>
      </c>
      <c r="P8812" t="s">
        <v>12694</v>
      </c>
      <c r="Q8812" t="s">
        <v>12695</v>
      </c>
      <c r="R8812" t="s">
        <v>288</v>
      </c>
      <c r="S8812" t="s">
        <v>289</v>
      </c>
      <c r="V8812" t="s">
        <v>12696</v>
      </c>
      <c r="W8812" t="s">
        <v>12697</v>
      </c>
      <c r="AF8812" t="s">
        <v>17832</v>
      </c>
    </row>
    <row r="8813" spans="1:32" hidden="1" x14ac:dyDescent="0.35">
      <c r="A8813">
        <v>8812</v>
      </c>
      <c r="B8813" t="s">
        <v>17831</v>
      </c>
      <c r="C8813" t="s">
        <v>277</v>
      </c>
      <c r="D8813" t="s">
        <v>45</v>
      </c>
      <c r="E8813">
        <v>785</v>
      </c>
      <c r="F8813">
        <v>2</v>
      </c>
      <c r="G8813">
        <v>2</v>
      </c>
      <c r="H8813">
        <v>1</v>
      </c>
      <c r="I8813">
        <v>0</v>
      </c>
      <c r="J8813">
        <v>0.98939393939393905</v>
      </c>
      <c r="K8813">
        <v>1</v>
      </c>
      <c r="L8813">
        <v>0.99466869763899501</v>
      </c>
      <c r="M8813">
        <v>0.986363636363636</v>
      </c>
      <c r="N8813">
        <v>0.986363636363636</v>
      </c>
      <c r="O8813">
        <v>0.986363636363636</v>
      </c>
      <c r="P8813" t="s">
        <v>12694</v>
      </c>
      <c r="Q8813" t="s">
        <v>12695</v>
      </c>
      <c r="R8813" t="s">
        <v>288</v>
      </c>
      <c r="S8813" t="s">
        <v>289</v>
      </c>
      <c r="V8813" t="s">
        <v>12696</v>
      </c>
      <c r="W8813" t="s">
        <v>12697</v>
      </c>
      <c r="AF8813" t="s">
        <v>17833</v>
      </c>
    </row>
    <row r="8814" spans="1:32" hidden="1" x14ac:dyDescent="0.35">
      <c r="A8814">
        <v>8813</v>
      </c>
      <c r="B8814" t="s">
        <v>17834</v>
      </c>
      <c r="C8814" t="s">
        <v>277</v>
      </c>
      <c r="D8814" t="s">
        <v>34</v>
      </c>
      <c r="E8814">
        <v>651</v>
      </c>
      <c r="F8814">
        <v>2</v>
      </c>
      <c r="G8814">
        <v>2</v>
      </c>
      <c r="H8814">
        <v>1</v>
      </c>
      <c r="I8814">
        <v>0</v>
      </c>
      <c r="J8814">
        <v>0.98360655737704905</v>
      </c>
      <c r="K8814">
        <v>1</v>
      </c>
      <c r="L8814">
        <v>0.99173553719008301</v>
      </c>
      <c r="M8814">
        <v>0.98360655737704905</v>
      </c>
      <c r="N8814">
        <v>0.98360655737704905</v>
      </c>
      <c r="O8814">
        <v>0.98360655737704905</v>
      </c>
      <c r="AF8814" t="s">
        <v>17835</v>
      </c>
    </row>
    <row r="8815" spans="1:32" hidden="1" x14ac:dyDescent="0.35">
      <c r="A8815">
        <v>8814</v>
      </c>
      <c r="B8815" t="s">
        <v>17834</v>
      </c>
      <c r="C8815" t="s">
        <v>277</v>
      </c>
      <c r="D8815" t="s">
        <v>45</v>
      </c>
      <c r="E8815">
        <v>1917</v>
      </c>
      <c r="F8815">
        <v>2</v>
      </c>
      <c r="G8815">
        <v>2</v>
      </c>
      <c r="H8815">
        <v>1</v>
      </c>
      <c r="I8815">
        <v>0</v>
      </c>
      <c r="J8815">
        <v>0.98360655737704905</v>
      </c>
      <c r="K8815">
        <v>1</v>
      </c>
      <c r="L8815">
        <v>0.99173553719008301</v>
      </c>
      <c r="M8815">
        <v>0.98360655737704905</v>
      </c>
      <c r="N8815">
        <v>0.98360655737704905</v>
      </c>
      <c r="O8815">
        <v>0.98360655737704905</v>
      </c>
      <c r="AF8815" t="s">
        <v>17836</v>
      </c>
    </row>
    <row r="8816" spans="1:32" hidden="1" x14ac:dyDescent="0.35">
      <c r="A8816">
        <v>8815</v>
      </c>
      <c r="B8816" t="s">
        <v>17837</v>
      </c>
      <c r="C8816" t="s">
        <v>277</v>
      </c>
      <c r="D8816" t="s">
        <v>34</v>
      </c>
      <c r="E8816">
        <v>797</v>
      </c>
      <c r="F8816">
        <v>2</v>
      </c>
      <c r="G8816">
        <v>2</v>
      </c>
      <c r="H8816">
        <v>1</v>
      </c>
      <c r="I8816">
        <v>0</v>
      </c>
      <c r="J8816">
        <v>0.99436619718309904</v>
      </c>
      <c r="K8816">
        <v>1</v>
      </c>
      <c r="L8816">
        <v>0.99717514124293805</v>
      </c>
      <c r="M8816">
        <v>0.98873239436619698</v>
      </c>
      <c r="N8816">
        <v>0.98873239436619698</v>
      </c>
      <c r="O8816">
        <v>0.98873239436619698</v>
      </c>
      <c r="P8816" t="s">
        <v>17838</v>
      </c>
      <c r="Q8816" t="s">
        <v>17839</v>
      </c>
      <c r="R8816" t="s">
        <v>138</v>
      </c>
      <c r="S8816" t="s">
        <v>139</v>
      </c>
      <c r="T8816" t="s">
        <v>17840</v>
      </c>
      <c r="U8816" t="s">
        <v>17841</v>
      </c>
      <c r="V8816" t="s">
        <v>17842</v>
      </c>
      <c r="W8816" t="s">
        <v>17843</v>
      </c>
      <c r="X8816" t="s">
        <v>17842</v>
      </c>
      <c r="Y8816" t="s">
        <v>15411</v>
      </c>
      <c r="AD8816" t="s">
        <v>14436</v>
      </c>
      <c r="AE8816" t="s">
        <v>16783</v>
      </c>
      <c r="AF8816" t="s">
        <v>17844</v>
      </c>
    </row>
    <row r="8817" spans="1:32" hidden="1" x14ac:dyDescent="0.35">
      <c r="A8817">
        <v>8816</v>
      </c>
      <c r="B8817" t="s">
        <v>17837</v>
      </c>
      <c r="C8817" t="s">
        <v>277</v>
      </c>
      <c r="D8817" t="s">
        <v>45</v>
      </c>
      <c r="E8817">
        <v>2053</v>
      </c>
      <c r="F8817">
        <v>2</v>
      </c>
      <c r="G8817">
        <v>2</v>
      </c>
      <c r="H8817">
        <v>1</v>
      </c>
      <c r="I8817">
        <v>0</v>
      </c>
      <c r="J8817">
        <v>0.99436619718309904</v>
      </c>
      <c r="K8817">
        <v>1</v>
      </c>
      <c r="L8817">
        <v>0.99717514124293805</v>
      </c>
      <c r="M8817">
        <v>0.98873239436619698</v>
      </c>
      <c r="N8817">
        <v>0.98873239436619698</v>
      </c>
      <c r="O8817">
        <v>0.98873239436619698</v>
      </c>
      <c r="P8817" t="s">
        <v>17838</v>
      </c>
      <c r="Q8817" t="s">
        <v>17839</v>
      </c>
      <c r="R8817" t="s">
        <v>138</v>
      </c>
      <c r="S8817" t="s">
        <v>139</v>
      </c>
      <c r="T8817" t="s">
        <v>17840</v>
      </c>
      <c r="U8817" t="s">
        <v>17841</v>
      </c>
      <c r="V8817" t="s">
        <v>17842</v>
      </c>
      <c r="W8817" t="s">
        <v>17843</v>
      </c>
      <c r="X8817" t="s">
        <v>17842</v>
      </c>
      <c r="Y8817" t="s">
        <v>15411</v>
      </c>
      <c r="AD8817" t="s">
        <v>14436</v>
      </c>
      <c r="AE8817" t="s">
        <v>16783</v>
      </c>
      <c r="AF8817" t="s">
        <v>17845</v>
      </c>
    </row>
    <row r="8818" spans="1:32" hidden="1" x14ac:dyDescent="0.35">
      <c r="A8818">
        <v>8817</v>
      </c>
      <c r="B8818" t="s">
        <v>17846</v>
      </c>
      <c r="C8818" t="s">
        <v>277</v>
      </c>
      <c r="D8818" t="s">
        <v>34</v>
      </c>
      <c r="E8818">
        <v>422</v>
      </c>
      <c r="F8818">
        <v>2</v>
      </c>
      <c r="G8818">
        <v>2</v>
      </c>
      <c r="H8818">
        <v>1</v>
      </c>
      <c r="I8818">
        <v>0</v>
      </c>
      <c r="J8818">
        <v>0.99084967320261397</v>
      </c>
      <c r="K8818">
        <v>1</v>
      </c>
      <c r="L8818">
        <v>0.99540380827314501</v>
      </c>
      <c r="M8818">
        <v>0.98823529411764699</v>
      </c>
      <c r="N8818">
        <v>0.98823529411764699</v>
      </c>
      <c r="O8818">
        <v>0.98823529411764699</v>
      </c>
      <c r="P8818" t="s">
        <v>13391</v>
      </c>
      <c r="Q8818" t="s">
        <v>13392</v>
      </c>
      <c r="AF8818" t="s">
        <v>17847</v>
      </c>
    </row>
    <row r="8819" spans="1:32" hidden="1" x14ac:dyDescent="0.35">
      <c r="A8819">
        <v>8818</v>
      </c>
      <c r="B8819" t="s">
        <v>17846</v>
      </c>
      <c r="C8819" t="s">
        <v>277</v>
      </c>
      <c r="D8819" t="s">
        <v>45</v>
      </c>
      <c r="E8819">
        <v>1684</v>
      </c>
      <c r="F8819">
        <v>2</v>
      </c>
      <c r="G8819">
        <v>2</v>
      </c>
      <c r="H8819">
        <v>1</v>
      </c>
      <c r="I8819">
        <v>0</v>
      </c>
      <c r="J8819">
        <v>0.99084967320261397</v>
      </c>
      <c r="K8819">
        <v>1</v>
      </c>
      <c r="L8819">
        <v>0.99540380827314501</v>
      </c>
      <c r="M8819">
        <v>0.98823529411764699</v>
      </c>
      <c r="N8819">
        <v>0.98823529411764699</v>
      </c>
      <c r="O8819">
        <v>0.98823529411764699</v>
      </c>
      <c r="P8819" t="s">
        <v>13391</v>
      </c>
      <c r="Q8819" t="s">
        <v>13392</v>
      </c>
      <c r="AF8819" t="s">
        <v>17848</v>
      </c>
    </row>
    <row r="8820" spans="1:32" hidden="1" x14ac:dyDescent="0.35">
      <c r="A8820">
        <v>8819</v>
      </c>
      <c r="B8820" t="s">
        <v>17849</v>
      </c>
      <c r="C8820" t="s">
        <v>277</v>
      </c>
      <c r="D8820" t="s">
        <v>34</v>
      </c>
      <c r="E8820">
        <v>73</v>
      </c>
      <c r="F8820">
        <v>2</v>
      </c>
      <c r="G8820">
        <v>2</v>
      </c>
      <c r="H8820">
        <v>1</v>
      </c>
      <c r="I8820">
        <v>0</v>
      </c>
      <c r="J8820">
        <v>0.98562443845462699</v>
      </c>
      <c r="K8820">
        <v>1</v>
      </c>
      <c r="L8820">
        <v>0.99276018099547503</v>
      </c>
      <c r="M8820">
        <v>0.98382749326145602</v>
      </c>
      <c r="N8820">
        <v>0.98382749326145602</v>
      </c>
      <c r="O8820">
        <v>0.98382749326145602</v>
      </c>
      <c r="P8820" t="s">
        <v>17850</v>
      </c>
      <c r="Q8820" t="s">
        <v>17851</v>
      </c>
      <c r="R8820" t="s">
        <v>235</v>
      </c>
      <c r="S8820" t="s">
        <v>236</v>
      </c>
      <c r="T8820" t="s">
        <v>17852</v>
      </c>
      <c r="U8820" t="s">
        <v>17853</v>
      </c>
      <c r="V8820" t="s">
        <v>17854</v>
      </c>
      <c r="W8820" t="s">
        <v>17855</v>
      </c>
      <c r="X8820" t="s">
        <v>17854</v>
      </c>
      <c r="Y8820" t="s">
        <v>4474</v>
      </c>
      <c r="AD8820" t="s">
        <v>245</v>
      </c>
      <c r="AE8820" t="s">
        <v>17856</v>
      </c>
      <c r="AF8820" t="s">
        <v>17857</v>
      </c>
    </row>
    <row r="8821" spans="1:32" hidden="1" x14ac:dyDescent="0.35">
      <c r="A8821">
        <v>8820</v>
      </c>
      <c r="B8821" t="s">
        <v>17849</v>
      </c>
      <c r="C8821" t="s">
        <v>277</v>
      </c>
      <c r="D8821" t="s">
        <v>45</v>
      </c>
      <c r="E8821">
        <v>1331</v>
      </c>
      <c r="F8821">
        <v>2</v>
      </c>
      <c r="G8821">
        <v>2</v>
      </c>
      <c r="H8821">
        <v>1</v>
      </c>
      <c r="I8821">
        <v>0</v>
      </c>
      <c r="J8821">
        <v>0.98562443845462699</v>
      </c>
      <c r="K8821">
        <v>1</v>
      </c>
      <c r="L8821">
        <v>0.99276018099547503</v>
      </c>
      <c r="M8821">
        <v>0.98382749326145602</v>
      </c>
      <c r="N8821">
        <v>0.98382749326145602</v>
      </c>
      <c r="O8821">
        <v>0.98382749326145602</v>
      </c>
      <c r="P8821" t="s">
        <v>17850</v>
      </c>
      <c r="Q8821" t="s">
        <v>17851</v>
      </c>
      <c r="R8821" t="s">
        <v>235</v>
      </c>
      <c r="S8821" t="s">
        <v>236</v>
      </c>
      <c r="T8821" t="s">
        <v>17852</v>
      </c>
      <c r="U8821" t="s">
        <v>17853</v>
      </c>
      <c r="V8821" t="s">
        <v>17854</v>
      </c>
      <c r="W8821" t="s">
        <v>17855</v>
      </c>
      <c r="X8821" t="s">
        <v>17854</v>
      </c>
      <c r="Y8821" t="s">
        <v>4474</v>
      </c>
      <c r="AD8821" t="s">
        <v>245</v>
      </c>
      <c r="AE8821" t="s">
        <v>17856</v>
      </c>
      <c r="AF8821" t="s">
        <v>17858</v>
      </c>
    </row>
    <row r="8822" spans="1:32" hidden="1" x14ac:dyDescent="0.35">
      <c r="A8822">
        <v>8821</v>
      </c>
      <c r="B8822" t="s">
        <v>17859</v>
      </c>
      <c r="C8822" t="s">
        <v>277</v>
      </c>
      <c r="D8822" t="s">
        <v>34</v>
      </c>
      <c r="E8822">
        <v>1397</v>
      </c>
      <c r="F8822">
        <v>2</v>
      </c>
      <c r="G8822">
        <v>2</v>
      </c>
      <c r="H8822">
        <v>1</v>
      </c>
      <c r="I8822">
        <v>0</v>
      </c>
      <c r="J8822">
        <v>0.99043715846994496</v>
      </c>
      <c r="K8822">
        <v>1</v>
      </c>
      <c r="L8822">
        <v>0.99519560741249102</v>
      </c>
      <c r="M8822">
        <v>0.98770491803278704</v>
      </c>
      <c r="N8822">
        <v>0.98770491803278704</v>
      </c>
      <c r="O8822">
        <v>0.98770491803278704</v>
      </c>
      <c r="P8822" t="s">
        <v>17860</v>
      </c>
      <c r="Q8822" t="s">
        <v>17861</v>
      </c>
      <c r="R8822" t="s">
        <v>224</v>
      </c>
      <c r="S8822" t="s">
        <v>225</v>
      </c>
      <c r="T8822" t="s">
        <v>17862</v>
      </c>
      <c r="U8822" t="s">
        <v>17863</v>
      </c>
      <c r="V8822" t="s">
        <v>17864</v>
      </c>
      <c r="W8822" t="s">
        <v>17865</v>
      </c>
      <c r="X8822" t="s">
        <v>17864</v>
      </c>
      <c r="Y8822" t="s">
        <v>1598</v>
      </c>
      <c r="AD8822" t="s">
        <v>2991</v>
      </c>
      <c r="AE8822" t="s">
        <v>17866</v>
      </c>
      <c r="AF8822" t="s">
        <v>17867</v>
      </c>
    </row>
    <row r="8823" spans="1:32" hidden="1" x14ac:dyDescent="0.35">
      <c r="A8823">
        <v>8822</v>
      </c>
      <c r="B8823" t="s">
        <v>17859</v>
      </c>
      <c r="C8823" t="s">
        <v>277</v>
      </c>
      <c r="D8823" t="s">
        <v>45</v>
      </c>
      <c r="E8823">
        <v>147</v>
      </c>
      <c r="F8823">
        <v>2</v>
      </c>
      <c r="G8823">
        <v>2</v>
      </c>
      <c r="H8823">
        <v>1</v>
      </c>
      <c r="I8823">
        <v>0</v>
      </c>
      <c r="J8823">
        <v>0.99043715846994496</v>
      </c>
      <c r="K8823">
        <v>1</v>
      </c>
      <c r="L8823">
        <v>0.99519560741249102</v>
      </c>
      <c r="M8823">
        <v>0.98770491803278704</v>
      </c>
      <c r="N8823">
        <v>0.98770491803278704</v>
      </c>
      <c r="O8823">
        <v>0.98770491803278704</v>
      </c>
      <c r="P8823" t="s">
        <v>17860</v>
      </c>
      <c r="Q8823" t="s">
        <v>17861</v>
      </c>
      <c r="R8823" t="s">
        <v>224</v>
      </c>
      <c r="S8823" t="s">
        <v>225</v>
      </c>
      <c r="T8823" t="s">
        <v>17862</v>
      </c>
      <c r="U8823" t="s">
        <v>17863</v>
      </c>
      <c r="V8823" t="s">
        <v>17864</v>
      </c>
      <c r="W8823" t="s">
        <v>17865</v>
      </c>
      <c r="X8823" t="s">
        <v>17864</v>
      </c>
      <c r="Y8823" t="s">
        <v>1598</v>
      </c>
      <c r="AD8823" t="s">
        <v>2991</v>
      </c>
      <c r="AE8823" t="s">
        <v>17866</v>
      </c>
      <c r="AF8823" t="s">
        <v>17868</v>
      </c>
    </row>
    <row r="8824" spans="1:32" hidden="1" x14ac:dyDescent="0.35">
      <c r="A8824">
        <v>8823</v>
      </c>
      <c r="B8824" t="s">
        <v>17869</v>
      </c>
      <c r="C8824" t="s">
        <v>277</v>
      </c>
      <c r="D8824" t="s">
        <v>34</v>
      </c>
      <c r="E8824">
        <v>1361</v>
      </c>
      <c r="F8824">
        <v>2</v>
      </c>
      <c r="G8824">
        <v>2</v>
      </c>
      <c r="H8824">
        <v>1</v>
      </c>
      <c r="I8824">
        <v>0</v>
      </c>
      <c r="J8824">
        <v>0.99567099567099604</v>
      </c>
      <c r="K8824">
        <v>0.64254440313919903</v>
      </c>
      <c r="L8824">
        <v>0.78104848251466796</v>
      </c>
      <c r="M8824">
        <v>0.562962962962963</v>
      </c>
      <c r="N8824">
        <v>0.562962962962963</v>
      </c>
      <c r="O8824">
        <v>0.562962962962963</v>
      </c>
      <c r="P8824" t="s">
        <v>17870</v>
      </c>
      <c r="Q8824" t="s">
        <v>17871</v>
      </c>
      <c r="R8824" t="s">
        <v>75</v>
      </c>
      <c r="S8824" t="s">
        <v>76</v>
      </c>
      <c r="V8824" t="s">
        <v>17872</v>
      </c>
      <c r="W8824" t="s">
        <v>17873</v>
      </c>
      <c r="AF8824" t="s">
        <v>17874</v>
      </c>
    </row>
    <row r="8825" spans="1:32" hidden="1" x14ac:dyDescent="0.35">
      <c r="A8825">
        <v>8824</v>
      </c>
      <c r="B8825" t="s">
        <v>17869</v>
      </c>
      <c r="C8825" t="s">
        <v>277</v>
      </c>
      <c r="D8825" t="s">
        <v>45</v>
      </c>
      <c r="E8825">
        <v>110</v>
      </c>
      <c r="F8825">
        <v>2</v>
      </c>
      <c r="G8825">
        <v>2</v>
      </c>
      <c r="H8825">
        <v>1</v>
      </c>
      <c r="I8825">
        <v>0</v>
      </c>
      <c r="J8825">
        <v>0.99567099567099604</v>
      </c>
      <c r="K8825">
        <v>0.64254440313919903</v>
      </c>
      <c r="L8825">
        <v>0.78104848251466796</v>
      </c>
      <c r="M8825">
        <v>0.562962962962963</v>
      </c>
      <c r="N8825">
        <v>0.562962962962963</v>
      </c>
      <c r="O8825">
        <v>0.562962962962963</v>
      </c>
      <c r="P8825" t="s">
        <v>17875</v>
      </c>
      <c r="Q8825" t="s">
        <v>17876</v>
      </c>
      <c r="R8825" t="s">
        <v>75</v>
      </c>
      <c r="S8825" t="s">
        <v>76</v>
      </c>
      <c r="V8825" t="s">
        <v>17872</v>
      </c>
      <c r="W8825" t="s">
        <v>17873</v>
      </c>
      <c r="AF8825" t="e">
        <f>------------------------------------------------------------------------------------------------------MVGTLGPARAGKLGVYVGSPDPQLRELAAGIVSPWADPSRLKLVDSQPKAAIGKLLANLALAISAEGMKEALLFGDATGLTAAETLDLLDSIGLSFMANLKRDFVLGDRSTDPGDFTVDALCKDSKLMLDTAGQVLPGIQAAVESFTIQQDHGRGDHDFSAILVHRSE</f>
        <v>#NAME?</v>
      </c>
    </row>
    <row r="8826" spans="1:32" hidden="1" x14ac:dyDescent="0.35">
      <c r="A8826">
        <v>8825</v>
      </c>
      <c r="B8826" t="s">
        <v>17877</v>
      </c>
      <c r="C8826" t="s">
        <v>277</v>
      </c>
      <c r="D8826" t="s">
        <v>60</v>
      </c>
      <c r="E8826">
        <v>2250</v>
      </c>
      <c r="F8826">
        <v>2</v>
      </c>
      <c r="G8826">
        <v>2</v>
      </c>
      <c r="H8826">
        <v>1</v>
      </c>
      <c r="I8826">
        <v>0</v>
      </c>
      <c r="J8826">
        <v>0.96198830409356695</v>
      </c>
      <c r="K8826">
        <v>1</v>
      </c>
      <c r="L8826">
        <v>0.98062593144560395</v>
      </c>
      <c r="M8826">
        <v>0.95614035087719296</v>
      </c>
      <c r="N8826">
        <v>0.95614035087719296</v>
      </c>
      <c r="O8826">
        <v>0.95614035087719296</v>
      </c>
      <c r="P8826" t="s">
        <v>17878</v>
      </c>
      <c r="Q8826" t="s">
        <v>4594</v>
      </c>
      <c r="R8826" t="s">
        <v>652</v>
      </c>
      <c r="S8826" t="s">
        <v>653</v>
      </c>
      <c r="V8826" t="s">
        <v>17879</v>
      </c>
      <c r="W8826" t="s">
        <v>17880</v>
      </c>
      <c r="AF8826" t="s">
        <v>17881</v>
      </c>
    </row>
    <row r="8827" spans="1:32" hidden="1" x14ac:dyDescent="0.35">
      <c r="A8827">
        <v>8826</v>
      </c>
      <c r="B8827" t="s">
        <v>17877</v>
      </c>
      <c r="C8827" t="s">
        <v>277</v>
      </c>
      <c r="D8827" t="s">
        <v>62</v>
      </c>
      <c r="E8827">
        <v>2279</v>
      </c>
      <c r="F8827">
        <v>2</v>
      </c>
      <c r="G8827">
        <v>2</v>
      </c>
      <c r="H8827">
        <v>1</v>
      </c>
      <c r="I8827">
        <v>0</v>
      </c>
      <c r="J8827">
        <v>0.96198830409356695</v>
      </c>
      <c r="K8827">
        <v>1</v>
      </c>
      <c r="L8827">
        <v>0.98062593144560395</v>
      </c>
      <c r="M8827">
        <v>0.95614035087719296</v>
      </c>
      <c r="N8827">
        <v>0.95614035087719296</v>
      </c>
      <c r="O8827">
        <v>0.95614035087719296</v>
      </c>
      <c r="P8827" t="s">
        <v>17878</v>
      </c>
      <c r="Q8827" t="s">
        <v>4594</v>
      </c>
      <c r="R8827" t="s">
        <v>652</v>
      </c>
      <c r="S8827" t="s">
        <v>653</v>
      </c>
      <c r="V8827" t="s">
        <v>17879</v>
      </c>
      <c r="W8827" t="s">
        <v>17880</v>
      </c>
      <c r="AF8827" t="s">
        <v>17882</v>
      </c>
    </row>
    <row r="8828" spans="1:32" hidden="1" x14ac:dyDescent="0.35">
      <c r="A8828">
        <v>8827</v>
      </c>
      <c r="B8828" t="s">
        <v>17883</v>
      </c>
      <c r="C8828" t="s">
        <v>277</v>
      </c>
      <c r="D8828" t="s">
        <v>34</v>
      </c>
      <c r="E8828">
        <v>99</v>
      </c>
      <c r="F8828">
        <v>2</v>
      </c>
      <c r="G8828">
        <v>2</v>
      </c>
      <c r="H8828">
        <v>1</v>
      </c>
      <c r="I8828">
        <v>0</v>
      </c>
      <c r="J8828">
        <v>0.94953959484346195</v>
      </c>
      <c r="K8828">
        <v>1</v>
      </c>
      <c r="L8828">
        <v>0.97411675798224096</v>
      </c>
      <c r="M8828">
        <v>0.93922651933701695</v>
      </c>
      <c r="N8828">
        <v>0.93922651933701695</v>
      </c>
      <c r="O8828">
        <v>0.93922651933701695</v>
      </c>
      <c r="AF8828" t="s">
        <v>17884</v>
      </c>
    </row>
    <row r="8829" spans="1:32" hidden="1" x14ac:dyDescent="0.35">
      <c r="A8829">
        <v>8828</v>
      </c>
      <c r="B8829" t="s">
        <v>17883</v>
      </c>
      <c r="C8829" t="s">
        <v>277</v>
      </c>
      <c r="D8829" t="s">
        <v>45</v>
      </c>
      <c r="E8829">
        <v>1359</v>
      </c>
      <c r="F8829">
        <v>2</v>
      </c>
      <c r="G8829">
        <v>2</v>
      </c>
      <c r="H8829">
        <v>1</v>
      </c>
      <c r="I8829">
        <v>0</v>
      </c>
      <c r="J8829">
        <v>0.94953959484346195</v>
      </c>
      <c r="K8829">
        <v>1</v>
      </c>
      <c r="L8829">
        <v>0.97411675798224096</v>
      </c>
      <c r="M8829">
        <v>0.93922651933701695</v>
      </c>
      <c r="N8829">
        <v>0.93922651933701695</v>
      </c>
      <c r="O8829">
        <v>0.93922651933701695</v>
      </c>
      <c r="AF8829" t="s">
        <v>17885</v>
      </c>
    </row>
    <row r="8830" spans="1:32" hidden="1" x14ac:dyDescent="0.35">
      <c r="A8830">
        <v>8829</v>
      </c>
      <c r="B8830" t="s">
        <v>17886</v>
      </c>
      <c r="C8830" t="s">
        <v>277</v>
      </c>
      <c r="D8830" t="s">
        <v>34</v>
      </c>
      <c r="E8830">
        <v>955</v>
      </c>
      <c r="F8830">
        <v>2</v>
      </c>
      <c r="G8830">
        <v>2</v>
      </c>
      <c r="H8830">
        <v>1</v>
      </c>
      <c r="I8830">
        <v>0</v>
      </c>
      <c r="J8830">
        <v>0.99205448354143</v>
      </c>
      <c r="K8830">
        <v>1</v>
      </c>
      <c r="L8830">
        <v>0.99601139601139599</v>
      </c>
      <c r="M8830">
        <v>0.98751418842224703</v>
      </c>
      <c r="N8830">
        <v>0.98751418842224703</v>
      </c>
      <c r="O8830">
        <v>0.98751418842224703</v>
      </c>
      <c r="P8830" t="s">
        <v>17887</v>
      </c>
      <c r="Q8830" t="s">
        <v>17888</v>
      </c>
      <c r="R8830" t="s">
        <v>342</v>
      </c>
      <c r="S8830" t="s">
        <v>343</v>
      </c>
      <c r="V8830" t="s">
        <v>17889</v>
      </c>
      <c r="W8830" t="s">
        <v>17890</v>
      </c>
      <c r="AF8830" t="s">
        <v>17891</v>
      </c>
    </row>
    <row r="8831" spans="1:32" hidden="1" x14ac:dyDescent="0.35">
      <c r="A8831">
        <v>8830</v>
      </c>
      <c r="B8831" t="s">
        <v>17886</v>
      </c>
      <c r="C8831" t="s">
        <v>277</v>
      </c>
      <c r="D8831" t="s">
        <v>45</v>
      </c>
      <c r="E8831">
        <v>2212</v>
      </c>
      <c r="F8831">
        <v>2</v>
      </c>
      <c r="G8831">
        <v>2</v>
      </c>
      <c r="H8831">
        <v>1</v>
      </c>
      <c r="I8831">
        <v>0</v>
      </c>
      <c r="J8831">
        <v>0.99205448354143</v>
      </c>
      <c r="K8831">
        <v>1</v>
      </c>
      <c r="L8831">
        <v>0.99601139601139599</v>
      </c>
      <c r="M8831">
        <v>0.98751418842224703</v>
      </c>
      <c r="N8831">
        <v>0.98751418842224703</v>
      </c>
      <c r="O8831">
        <v>0.98751418842224703</v>
      </c>
      <c r="P8831" t="s">
        <v>17887</v>
      </c>
      <c r="Q8831" t="s">
        <v>17888</v>
      </c>
      <c r="R8831" t="s">
        <v>342</v>
      </c>
      <c r="S8831" t="s">
        <v>343</v>
      </c>
      <c r="V8831" t="s">
        <v>17889</v>
      </c>
      <c r="W8831" t="s">
        <v>17890</v>
      </c>
      <c r="AF8831" t="s">
        <v>17892</v>
      </c>
    </row>
    <row r="8832" spans="1:32" hidden="1" x14ac:dyDescent="0.35">
      <c r="A8832">
        <v>8831</v>
      </c>
      <c r="B8832" t="s">
        <v>17893</v>
      </c>
      <c r="C8832" t="s">
        <v>277</v>
      </c>
      <c r="D8832" t="s">
        <v>34</v>
      </c>
      <c r="E8832">
        <v>2180</v>
      </c>
      <c r="F8832">
        <v>2</v>
      </c>
      <c r="G8832">
        <v>2</v>
      </c>
      <c r="H8832">
        <v>1</v>
      </c>
      <c r="I8832">
        <v>0</v>
      </c>
      <c r="J8832">
        <v>0.994413407821229</v>
      </c>
      <c r="K8832">
        <v>1</v>
      </c>
      <c r="L8832">
        <v>0.99719887955182096</v>
      </c>
      <c r="M8832">
        <v>0.994413407821229</v>
      </c>
      <c r="N8832">
        <v>0.994413407821229</v>
      </c>
      <c r="O8832">
        <v>0.994413407821229</v>
      </c>
      <c r="P8832" t="s">
        <v>8002</v>
      </c>
      <c r="Q8832" t="s">
        <v>8003</v>
      </c>
      <c r="R8832" t="s">
        <v>213</v>
      </c>
      <c r="S8832" t="s">
        <v>214</v>
      </c>
      <c r="T8832" t="s">
        <v>7208</v>
      </c>
      <c r="U8832" t="s">
        <v>7209</v>
      </c>
      <c r="V8832" t="s">
        <v>8004</v>
      </c>
      <c r="W8832" t="s">
        <v>8005</v>
      </c>
      <c r="AD8832" t="s">
        <v>7210</v>
      </c>
      <c r="AE8832" t="s">
        <v>7211</v>
      </c>
      <c r="AF8832" t="s">
        <v>17894</v>
      </c>
    </row>
    <row r="8833" spans="1:32" hidden="1" x14ac:dyDescent="0.35">
      <c r="A8833">
        <v>8832</v>
      </c>
      <c r="B8833" t="s">
        <v>17893</v>
      </c>
      <c r="C8833" t="s">
        <v>277</v>
      </c>
      <c r="D8833" t="s">
        <v>45</v>
      </c>
      <c r="E8833">
        <v>694</v>
      </c>
      <c r="F8833">
        <v>2</v>
      </c>
      <c r="G8833">
        <v>2</v>
      </c>
      <c r="H8833">
        <v>1</v>
      </c>
      <c r="I8833">
        <v>0</v>
      </c>
      <c r="J8833">
        <v>0.994413407821229</v>
      </c>
      <c r="K8833">
        <v>1</v>
      </c>
      <c r="L8833">
        <v>0.99719887955182096</v>
      </c>
      <c r="M8833">
        <v>0.994413407821229</v>
      </c>
      <c r="N8833">
        <v>0.994413407821229</v>
      </c>
      <c r="O8833">
        <v>0.994413407821229</v>
      </c>
      <c r="P8833" t="s">
        <v>8002</v>
      </c>
      <c r="Q8833" t="s">
        <v>8003</v>
      </c>
      <c r="R8833" t="s">
        <v>213</v>
      </c>
      <c r="S8833" t="s">
        <v>214</v>
      </c>
      <c r="T8833" t="s">
        <v>7208</v>
      </c>
      <c r="U8833" t="s">
        <v>7209</v>
      </c>
      <c r="V8833" t="s">
        <v>8004</v>
      </c>
      <c r="W8833" t="s">
        <v>8005</v>
      </c>
      <c r="AD8833" t="s">
        <v>7210</v>
      </c>
      <c r="AE8833" t="s">
        <v>7211</v>
      </c>
      <c r="AF8833" t="s">
        <v>17895</v>
      </c>
    </row>
    <row r="8834" spans="1:32" hidden="1" x14ac:dyDescent="0.35">
      <c r="A8834">
        <v>8833</v>
      </c>
      <c r="B8834" t="s">
        <v>17896</v>
      </c>
      <c r="C8834" t="s">
        <v>277</v>
      </c>
      <c r="D8834" t="s">
        <v>60</v>
      </c>
      <c r="E8834">
        <v>1390</v>
      </c>
      <c r="F8834">
        <v>2</v>
      </c>
      <c r="G8834">
        <v>2</v>
      </c>
      <c r="H8834">
        <v>1</v>
      </c>
      <c r="I8834">
        <v>0</v>
      </c>
      <c r="J8834">
        <v>0.99484536082474195</v>
      </c>
      <c r="K8834">
        <v>1</v>
      </c>
      <c r="L8834">
        <v>0.99741602067183499</v>
      </c>
      <c r="M8834">
        <v>0.99484536082474195</v>
      </c>
      <c r="N8834">
        <v>0.99484536082474195</v>
      </c>
      <c r="O8834">
        <v>0.99484536082474195</v>
      </c>
      <c r="P8834" t="s">
        <v>17897</v>
      </c>
      <c r="Q8834" t="s">
        <v>17898</v>
      </c>
      <c r="R8834" t="s">
        <v>113</v>
      </c>
      <c r="S8834" t="s">
        <v>114</v>
      </c>
      <c r="T8834" t="s">
        <v>17899</v>
      </c>
      <c r="U8834" t="s">
        <v>17900</v>
      </c>
      <c r="V8834" t="s">
        <v>17901</v>
      </c>
      <c r="W8834" t="s">
        <v>17902</v>
      </c>
      <c r="AD8834" t="s">
        <v>2698</v>
      </c>
      <c r="AE8834" t="s">
        <v>2699</v>
      </c>
      <c r="AF8834" t="s">
        <v>17903</v>
      </c>
    </row>
    <row r="8835" spans="1:32" hidden="1" x14ac:dyDescent="0.35">
      <c r="A8835">
        <v>8834</v>
      </c>
      <c r="B8835" t="s">
        <v>17896</v>
      </c>
      <c r="C8835" t="s">
        <v>277</v>
      </c>
      <c r="D8835" t="s">
        <v>62</v>
      </c>
      <c r="E8835">
        <v>1425</v>
      </c>
      <c r="F8835">
        <v>2</v>
      </c>
      <c r="G8835">
        <v>2</v>
      </c>
      <c r="H8835">
        <v>1</v>
      </c>
      <c r="I8835">
        <v>0</v>
      </c>
      <c r="J8835">
        <v>0.99484536082474195</v>
      </c>
      <c r="K8835">
        <v>1</v>
      </c>
      <c r="L8835">
        <v>0.99741602067183499</v>
      </c>
      <c r="M8835">
        <v>0.99484536082474195</v>
      </c>
      <c r="N8835">
        <v>0.99484536082474195</v>
      </c>
      <c r="O8835">
        <v>0.99484536082474195</v>
      </c>
      <c r="P8835" t="s">
        <v>17897</v>
      </c>
      <c r="Q8835" t="s">
        <v>17898</v>
      </c>
      <c r="R8835" t="s">
        <v>113</v>
      </c>
      <c r="S8835" t="s">
        <v>114</v>
      </c>
      <c r="T8835" t="s">
        <v>17899</v>
      </c>
      <c r="U8835" t="s">
        <v>17900</v>
      </c>
      <c r="V8835" t="s">
        <v>17901</v>
      </c>
      <c r="W8835" t="s">
        <v>17902</v>
      </c>
      <c r="AD8835" t="s">
        <v>2698</v>
      </c>
      <c r="AE8835" t="s">
        <v>2699</v>
      </c>
      <c r="AF8835" t="s">
        <v>17904</v>
      </c>
    </row>
    <row r="8836" spans="1:32" hidden="1" x14ac:dyDescent="0.35">
      <c r="A8836">
        <v>8835</v>
      </c>
      <c r="B8836" t="s">
        <v>17905</v>
      </c>
      <c r="C8836" t="s">
        <v>277</v>
      </c>
      <c r="D8836" t="s">
        <v>60</v>
      </c>
      <c r="E8836">
        <v>244</v>
      </c>
      <c r="F8836">
        <v>2</v>
      </c>
      <c r="G8836">
        <v>2</v>
      </c>
      <c r="H8836">
        <v>1</v>
      </c>
      <c r="I8836">
        <v>0</v>
      </c>
      <c r="J8836">
        <v>0.99634502923976598</v>
      </c>
      <c r="K8836">
        <v>1</v>
      </c>
      <c r="L8836">
        <v>0.99816916880263695</v>
      </c>
      <c r="M8836">
        <v>0.99342105263157898</v>
      </c>
      <c r="N8836">
        <v>0.99342105263157898</v>
      </c>
      <c r="O8836">
        <v>0.99342105263157898</v>
      </c>
      <c r="P8836" t="s">
        <v>9651</v>
      </c>
      <c r="Q8836" t="s">
        <v>9652</v>
      </c>
      <c r="R8836" t="s">
        <v>235</v>
      </c>
      <c r="S8836" t="s">
        <v>236</v>
      </c>
      <c r="V8836" t="s">
        <v>9655</v>
      </c>
      <c r="W8836" t="s">
        <v>9656</v>
      </c>
      <c r="AF8836" t="s">
        <v>17906</v>
      </c>
    </row>
    <row r="8837" spans="1:32" hidden="1" x14ac:dyDescent="0.35">
      <c r="A8837">
        <v>8836</v>
      </c>
      <c r="B8837" t="s">
        <v>17905</v>
      </c>
      <c r="C8837" t="s">
        <v>277</v>
      </c>
      <c r="D8837" t="s">
        <v>62</v>
      </c>
      <c r="E8837">
        <v>322</v>
      </c>
      <c r="F8837">
        <v>2</v>
      </c>
      <c r="G8837">
        <v>2</v>
      </c>
      <c r="H8837">
        <v>1</v>
      </c>
      <c r="I8837">
        <v>0</v>
      </c>
      <c r="J8837">
        <v>0.99634502923976598</v>
      </c>
      <c r="K8837">
        <v>1</v>
      </c>
      <c r="L8837">
        <v>0.99816916880263695</v>
      </c>
      <c r="M8837">
        <v>0.99342105263157898</v>
      </c>
      <c r="N8837">
        <v>0.99342105263157898</v>
      </c>
      <c r="O8837">
        <v>0.99342105263157898</v>
      </c>
      <c r="P8837" t="s">
        <v>9651</v>
      </c>
      <c r="Q8837" t="s">
        <v>9652</v>
      </c>
      <c r="R8837" t="s">
        <v>235</v>
      </c>
      <c r="S8837" t="s">
        <v>236</v>
      </c>
      <c r="V8837" t="s">
        <v>9655</v>
      </c>
      <c r="W8837" t="s">
        <v>9656</v>
      </c>
      <c r="AF8837" t="s">
        <v>17907</v>
      </c>
    </row>
    <row r="8838" spans="1:32" hidden="1" x14ac:dyDescent="0.35">
      <c r="A8838">
        <v>8837</v>
      </c>
      <c r="B8838" t="s">
        <v>17908</v>
      </c>
      <c r="C8838" t="s">
        <v>277</v>
      </c>
      <c r="D8838" t="s">
        <v>34</v>
      </c>
      <c r="E8838">
        <v>2425</v>
      </c>
      <c r="F8838">
        <v>2</v>
      </c>
      <c r="G8838">
        <v>2</v>
      </c>
      <c r="H8838">
        <v>1</v>
      </c>
      <c r="I8838">
        <v>0</v>
      </c>
      <c r="J8838">
        <v>0.99475065616797897</v>
      </c>
      <c r="K8838">
        <v>1</v>
      </c>
      <c r="L8838">
        <v>0.99736842105263201</v>
      </c>
      <c r="M8838">
        <v>0.98950131233595795</v>
      </c>
      <c r="N8838">
        <v>0.98950131233595795</v>
      </c>
      <c r="O8838">
        <v>0.98950131233595795</v>
      </c>
      <c r="P8838" t="s">
        <v>6606</v>
      </c>
      <c r="Q8838" t="s">
        <v>6607</v>
      </c>
      <c r="R8838" t="s">
        <v>1191</v>
      </c>
      <c r="S8838" t="s">
        <v>1192</v>
      </c>
      <c r="T8838" t="s">
        <v>6602</v>
      </c>
      <c r="U8838" t="s">
        <v>6603</v>
      </c>
      <c r="V8838" t="s">
        <v>6600</v>
      </c>
      <c r="W8838" t="s">
        <v>6601</v>
      </c>
      <c r="AD8838" t="s">
        <v>1998</v>
      </c>
      <c r="AE8838" t="s">
        <v>6604</v>
      </c>
      <c r="AF8838" t="s">
        <v>17909</v>
      </c>
    </row>
    <row r="8839" spans="1:32" hidden="1" x14ac:dyDescent="0.35">
      <c r="A8839">
        <v>8838</v>
      </c>
      <c r="B8839" t="s">
        <v>17908</v>
      </c>
      <c r="C8839" t="s">
        <v>277</v>
      </c>
      <c r="D8839" t="s">
        <v>45</v>
      </c>
      <c r="E8839">
        <v>473</v>
      </c>
      <c r="F8839">
        <v>2</v>
      </c>
      <c r="G8839">
        <v>2</v>
      </c>
      <c r="H8839">
        <v>1</v>
      </c>
      <c r="I8839">
        <v>0</v>
      </c>
      <c r="J8839">
        <v>0.99475065616797897</v>
      </c>
      <c r="K8839">
        <v>1</v>
      </c>
      <c r="L8839">
        <v>0.99736842105263201</v>
      </c>
      <c r="M8839">
        <v>0.98950131233595795</v>
      </c>
      <c r="N8839">
        <v>0.98950131233595795</v>
      </c>
      <c r="O8839">
        <v>0.98950131233595795</v>
      </c>
      <c r="P8839" t="s">
        <v>6606</v>
      </c>
      <c r="Q8839" t="s">
        <v>6607</v>
      </c>
      <c r="R8839" t="s">
        <v>1191</v>
      </c>
      <c r="S8839" t="s">
        <v>1192</v>
      </c>
      <c r="T8839" t="s">
        <v>6602</v>
      </c>
      <c r="U8839" t="s">
        <v>6603</v>
      </c>
      <c r="V8839" t="s">
        <v>6600</v>
      </c>
      <c r="W8839" t="s">
        <v>6601</v>
      </c>
      <c r="AD8839" t="s">
        <v>1998</v>
      </c>
      <c r="AE8839" t="s">
        <v>6604</v>
      </c>
      <c r="AF8839" t="s">
        <v>17910</v>
      </c>
    </row>
    <row r="8840" spans="1:32" hidden="1" x14ac:dyDescent="0.35">
      <c r="A8840">
        <v>8839</v>
      </c>
      <c r="B8840" t="s">
        <v>17911</v>
      </c>
      <c r="C8840" t="s">
        <v>277</v>
      </c>
      <c r="D8840" t="s">
        <v>60</v>
      </c>
      <c r="E8840">
        <v>49</v>
      </c>
      <c r="F8840">
        <v>2</v>
      </c>
      <c r="G8840">
        <v>2</v>
      </c>
      <c r="H8840">
        <v>1</v>
      </c>
      <c r="I8840">
        <v>0</v>
      </c>
      <c r="J8840">
        <v>0.94420600858369097</v>
      </c>
      <c r="K8840">
        <v>1</v>
      </c>
      <c r="L8840">
        <v>0.97130242825607105</v>
      </c>
      <c r="M8840">
        <v>0.935622317596567</v>
      </c>
      <c r="N8840">
        <v>0.935622317596567</v>
      </c>
      <c r="O8840">
        <v>0.935622317596567</v>
      </c>
      <c r="P8840" t="s">
        <v>169</v>
      </c>
      <c r="Q8840" t="s">
        <v>170</v>
      </c>
      <c r="R8840" t="s">
        <v>157</v>
      </c>
      <c r="S8840" t="s">
        <v>158</v>
      </c>
      <c r="T8840" t="s">
        <v>159</v>
      </c>
      <c r="U8840" t="s">
        <v>160</v>
      </c>
      <c r="V8840" t="s">
        <v>161</v>
      </c>
      <c r="W8840" t="s">
        <v>162</v>
      </c>
      <c r="AD8840" t="s">
        <v>166</v>
      </c>
      <c r="AE8840" t="s">
        <v>167</v>
      </c>
      <c r="AF8840" t="s">
        <v>17912</v>
      </c>
    </row>
    <row r="8841" spans="1:32" hidden="1" x14ac:dyDescent="0.35">
      <c r="A8841">
        <v>8840</v>
      </c>
      <c r="B8841" t="s">
        <v>17911</v>
      </c>
      <c r="C8841" t="s">
        <v>277</v>
      </c>
      <c r="D8841" t="s">
        <v>62</v>
      </c>
      <c r="E8841">
        <v>122</v>
      </c>
      <c r="F8841">
        <v>2</v>
      </c>
      <c r="G8841">
        <v>2</v>
      </c>
      <c r="H8841">
        <v>1</v>
      </c>
      <c r="I8841">
        <v>0</v>
      </c>
      <c r="J8841">
        <v>0.94420600858369097</v>
      </c>
      <c r="K8841">
        <v>1</v>
      </c>
      <c r="L8841">
        <v>0.97130242825607105</v>
      </c>
      <c r="M8841">
        <v>0.935622317596567</v>
      </c>
      <c r="N8841">
        <v>0.935622317596567</v>
      </c>
      <c r="O8841">
        <v>0.935622317596567</v>
      </c>
      <c r="P8841" t="s">
        <v>169</v>
      </c>
      <c r="Q8841" t="s">
        <v>170</v>
      </c>
      <c r="R8841" t="s">
        <v>157</v>
      </c>
      <c r="S8841" t="s">
        <v>158</v>
      </c>
      <c r="T8841" t="s">
        <v>159</v>
      </c>
      <c r="U8841" t="s">
        <v>160</v>
      </c>
      <c r="V8841" t="s">
        <v>161</v>
      </c>
      <c r="W8841" t="s">
        <v>162</v>
      </c>
      <c r="AD8841" t="s">
        <v>166</v>
      </c>
      <c r="AE8841" t="s">
        <v>167</v>
      </c>
      <c r="AF8841" t="s">
        <v>17913</v>
      </c>
    </row>
    <row r="8842" spans="1:32" hidden="1" x14ac:dyDescent="0.35">
      <c r="A8842">
        <v>8841</v>
      </c>
      <c r="B8842" t="s">
        <v>17914</v>
      </c>
      <c r="C8842" t="s">
        <v>277</v>
      </c>
      <c r="D8842" t="s">
        <v>60</v>
      </c>
      <c r="E8842">
        <v>1065</v>
      </c>
      <c r="F8842">
        <v>2</v>
      </c>
      <c r="G8842">
        <v>2</v>
      </c>
      <c r="H8842">
        <v>1</v>
      </c>
      <c r="I8842">
        <v>0</v>
      </c>
      <c r="J8842">
        <v>0.98953662182361701</v>
      </c>
      <c r="K8842">
        <v>1</v>
      </c>
      <c r="L8842">
        <v>0.99474079639368895</v>
      </c>
      <c r="M8842">
        <v>0.97757847533632303</v>
      </c>
      <c r="N8842">
        <v>0.97757847533632303</v>
      </c>
      <c r="O8842">
        <v>0.97757847533632303</v>
      </c>
      <c r="P8842" t="s">
        <v>1247</v>
      </c>
      <c r="Q8842" t="s">
        <v>1248</v>
      </c>
      <c r="R8842" t="s">
        <v>235</v>
      </c>
      <c r="S8842" t="s">
        <v>236</v>
      </c>
      <c r="T8842" t="s">
        <v>10188</v>
      </c>
      <c r="U8842" t="s">
        <v>10189</v>
      </c>
      <c r="V8842" t="s">
        <v>10190</v>
      </c>
      <c r="W8842" t="s">
        <v>10191</v>
      </c>
      <c r="AD8842" t="s">
        <v>439</v>
      </c>
      <c r="AE8842" t="s">
        <v>10192</v>
      </c>
      <c r="AF8842" t="s">
        <v>17915</v>
      </c>
    </row>
    <row r="8843" spans="1:32" hidden="1" x14ac:dyDescent="0.35">
      <c r="A8843">
        <v>8842</v>
      </c>
      <c r="B8843" t="s">
        <v>17914</v>
      </c>
      <c r="C8843" t="s">
        <v>277</v>
      </c>
      <c r="D8843" t="s">
        <v>62</v>
      </c>
      <c r="E8843">
        <v>1101</v>
      </c>
      <c r="F8843">
        <v>2</v>
      </c>
      <c r="G8843">
        <v>2</v>
      </c>
      <c r="H8843">
        <v>1</v>
      </c>
      <c r="I8843">
        <v>0</v>
      </c>
      <c r="J8843">
        <v>0.98953662182361701</v>
      </c>
      <c r="K8843">
        <v>1</v>
      </c>
      <c r="L8843">
        <v>0.99474079639368895</v>
      </c>
      <c r="M8843">
        <v>0.97757847533632303</v>
      </c>
      <c r="N8843">
        <v>0.97757847533632303</v>
      </c>
      <c r="O8843">
        <v>0.97757847533632303</v>
      </c>
      <c r="P8843" t="s">
        <v>1247</v>
      </c>
      <c r="Q8843" t="s">
        <v>1248</v>
      </c>
      <c r="R8843" t="s">
        <v>235</v>
      </c>
      <c r="S8843" t="s">
        <v>236</v>
      </c>
      <c r="T8843" t="s">
        <v>10188</v>
      </c>
      <c r="U8843" t="s">
        <v>10189</v>
      </c>
      <c r="V8843" t="s">
        <v>10190</v>
      </c>
      <c r="W8843" t="s">
        <v>10191</v>
      </c>
      <c r="AD8843" t="s">
        <v>439</v>
      </c>
      <c r="AE8843" t="s">
        <v>10192</v>
      </c>
      <c r="AF8843" t="s">
        <v>17916</v>
      </c>
    </row>
    <row r="8844" spans="1:32" hidden="1" x14ac:dyDescent="0.35">
      <c r="A8844">
        <v>8843</v>
      </c>
      <c r="B8844" t="s">
        <v>17917</v>
      </c>
      <c r="C8844" t="s">
        <v>277</v>
      </c>
      <c r="D8844" t="s">
        <v>34</v>
      </c>
      <c r="E8844">
        <v>43</v>
      </c>
      <c r="F8844">
        <v>2</v>
      </c>
      <c r="G8844">
        <v>2</v>
      </c>
      <c r="H8844">
        <v>1</v>
      </c>
      <c r="I8844">
        <v>0</v>
      </c>
      <c r="J8844">
        <v>0.988721804511278</v>
      </c>
      <c r="K8844">
        <v>1</v>
      </c>
      <c r="L8844">
        <v>0.99432892249527405</v>
      </c>
      <c r="M8844">
        <v>0.988721804511278</v>
      </c>
      <c r="N8844">
        <v>0.988721804511278</v>
      </c>
      <c r="O8844">
        <v>0.988721804511278</v>
      </c>
      <c r="P8844" t="s">
        <v>17498</v>
      </c>
      <c r="Q8844" t="s">
        <v>17499</v>
      </c>
      <c r="R8844" t="s">
        <v>113</v>
      </c>
      <c r="S8844" t="s">
        <v>114</v>
      </c>
      <c r="T8844" t="s">
        <v>17500</v>
      </c>
      <c r="U8844" t="s">
        <v>17501</v>
      </c>
      <c r="V8844" t="s">
        <v>6856</v>
      </c>
      <c r="W8844" t="s">
        <v>6857</v>
      </c>
      <c r="AD8844" t="s">
        <v>312</v>
      </c>
      <c r="AE8844" t="s">
        <v>6858</v>
      </c>
      <c r="AF8844" t="s">
        <v>17918</v>
      </c>
    </row>
    <row r="8845" spans="1:32" hidden="1" x14ac:dyDescent="0.35">
      <c r="A8845">
        <v>8844</v>
      </c>
      <c r="B8845" t="s">
        <v>17917</v>
      </c>
      <c r="C8845" t="s">
        <v>277</v>
      </c>
      <c r="D8845" t="s">
        <v>45</v>
      </c>
      <c r="E8845">
        <v>1300</v>
      </c>
      <c r="F8845">
        <v>2</v>
      </c>
      <c r="G8845">
        <v>2</v>
      </c>
      <c r="H8845">
        <v>1</v>
      </c>
      <c r="I8845">
        <v>0</v>
      </c>
      <c r="J8845">
        <v>0.988721804511278</v>
      </c>
      <c r="K8845">
        <v>1</v>
      </c>
      <c r="L8845">
        <v>0.99432892249527405</v>
      </c>
      <c r="M8845">
        <v>0.988721804511278</v>
      </c>
      <c r="N8845">
        <v>0.988721804511278</v>
      </c>
      <c r="O8845">
        <v>0.988721804511278</v>
      </c>
      <c r="P8845" t="s">
        <v>17498</v>
      </c>
      <c r="Q8845" t="s">
        <v>17499</v>
      </c>
      <c r="R8845" t="s">
        <v>113</v>
      </c>
      <c r="S8845" t="s">
        <v>114</v>
      </c>
      <c r="T8845" t="s">
        <v>17500</v>
      </c>
      <c r="U8845" t="s">
        <v>17501</v>
      </c>
      <c r="V8845" t="s">
        <v>6856</v>
      </c>
      <c r="W8845" t="s">
        <v>6857</v>
      </c>
      <c r="AD8845" t="s">
        <v>312</v>
      </c>
      <c r="AE8845" t="s">
        <v>6858</v>
      </c>
      <c r="AF8845" t="s">
        <v>17919</v>
      </c>
    </row>
    <row r="8846" spans="1:32" hidden="1" x14ac:dyDescent="0.35">
      <c r="A8846">
        <v>8845</v>
      </c>
      <c r="B8846" t="s">
        <v>17920</v>
      </c>
      <c r="C8846" t="s">
        <v>277</v>
      </c>
      <c r="D8846" t="s">
        <v>34</v>
      </c>
      <c r="E8846">
        <v>263</v>
      </c>
      <c r="F8846">
        <v>2</v>
      </c>
      <c r="G8846">
        <v>2</v>
      </c>
      <c r="H8846">
        <v>1</v>
      </c>
      <c r="I8846">
        <v>0</v>
      </c>
      <c r="J8846">
        <v>0.99145299145299104</v>
      </c>
      <c r="K8846">
        <v>1</v>
      </c>
      <c r="L8846">
        <v>0.99570815450643801</v>
      </c>
      <c r="M8846">
        <v>0.987179487179487</v>
      </c>
      <c r="N8846">
        <v>0.987179487179487</v>
      </c>
      <c r="O8846">
        <v>0.987179487179487</v>
      </c>
      <c r="AF8846" t="s">
        <v>17921</v>
      </c>
    </row>
    <row r="8847" spans="1:32" hidden="1" x14ac:dyDescent="0.35">
      <c r="A8847">
        <v>8846</v>
      </c>
      <c r="B8847" t="s">
        <v>17920</v>
      </c>
      <c r="C8847" t="s">
        <v>277</v>
      </c>
      <c r="D8847" t="s">
        <v>45</v>
      </c>
      <c r="E8847">
        <v>1528</v>
      </c>
      <c r="F8847">
        <v>2</v>
      </c>
      <c r="G8847">
        <v>2</v>
      </c>
      <c r="H8847">
        <v>1</v>
      </c>
      <c r="I8847">
        <v>0</v>
      </c>
      <c r="J8847">
        <v>0.99145299145299104</v>
      </c>
      <c r="K8847">
        <v>1</v>
      </c>
      <c r="L8847">
        <v>0.99570815450643801</v>
      </c>
      <c r="M8847">
        <v>0.987179487179487</v>
      </c>
      <c r="N8847">
        <v>0.987179487179487</v>
      </c>
      <c r="O8847">
        <v>0.987179487179487</v>
      </c>
      <c r="AF8847" t="s">
        <v>17922</v>
      </c>
    </row>
    <row r="8848" spans="1:32" hidden="1" x14ac:dyDescent="0.35">
      <c r="A8848">
        <v>8847</v>
      </c>
      <c r="B8848" t="s">
        <v>17923</v>
      </c>
      <c r="C8848" t="s">
        <v>277</v>
      </c>
      <c r="D8848" t="s">
        <v>34</v>
      </c>
      <c r="E8848">
        <v>1976</v>
      </c>
      <c r="F8848">
        <v>2</v>
      </c>
      <c r="G8848">
        <v>2</v>
      </c>
      <c r="H8848">
        <v>1</v>
      </c>
      <c r="I8848">
        <v>0</v>
      </c>
      <c r="J8848">
        <v>0.99585406301824198</v>
      </c>
      <c r="K8848">
        <v>1</v>
      </c>
      <c r="L8848">
        <v>0.99792272538429605</v>
      </c>
      <c r="M8848">
        <v>0.99253731343283602</v>
      </c>
      <c r="N8848">
        <v>0.99253731343283602</v>
      </c>
      <c r="O8848">
        <v>0.99253731343283602</v>
      </c>
      <c r="P8848" t="s">
        <v>10923</v>
      </c>
      <c r="Q8848" t="s">
        <v>10924</v>
      </c>
      <c r="R8848" t="s">
        <v>75</v>
      </c>
      <c r="S8848" t="s">
        <v>76</v>
      </c>
      <c r="V8848" t="s">
        <v>14811</v>
      </c>
      <c r="W8848" t="s">
        <v>14812</v>
      </c>
      <c r="AF8848" t="s">
        <v>17924</v>
      </c>
    </row>
    <row r="8849" spans="1:32" hidden="1" x14ac:dyDescent="0.35">
      <c r="A8849">
        <v>8848</v>
      </c>
      <c r="B8849" t="s">
        <v>17923</v>
      </c>
      <c r="C8849" t="s">
        <v>277</v>
      </c>
      <c r="D8849" t="s">
        <v>45</v>
      </c>
      <c r="E8849">
        <v>897</v>
      </c>
      <c r="F8849">
        <v>2</v>
      </c>
      <c r="G8849">
        <v>2</v>
      </c>
      <c r="H8849">
        <v>1</v>
      </c>
      <c r="I8849">
        <v>0</v>
      </c>
      <c r="J8849">
        <v>0.99585406301824198</v>
      </c>
      <c r="K8849">
        <v>1</v>
      </c>
      <c r="L8849">
        <v>0.99792272538429605</v>
      </c>
      <c r="M8849">
        <v>0.99253731343283602</v>
      </c>
      <c r="N8849">
        <v>0.99253731343283602</v>
      </c>
      <c r="O8849">
        <v>0.99253731343283602</v>
      </c>
      <c r="P8849" t="s">
        <v>10923</v>
      </c>
      <c r="Q8849" t="s">
        <v>10924</v>
      </c>
      <c r="R8849" t="s">
        <v>75</v>
      </c>
      <c r="S8849" t="s">
        <v>76</v>
      </c>
      <c r="V8849" t="s">
        <v>14811</v>
      </c>
      <c r="W8849" t="s">
        <v>14812</v>
      </c>
      <c r="AF8849" t="s">
        <v>17925</v>
      </c>
    </row>
    <row r="8850" spans="1:32" hidden="1" x14ac:dyDescent="0.35">
      <c r="A8850">
        <v>8849</v>
      </c>
      <c r="B8850" t="s">
        <v>17926</v>
      </c>
      <c r="C8850" t="s">
        <v>277</v>
      </c>
      <c r="D8850" t="s">
        <v>60</v>
      </c>
      <c r="E8850">
        <v>174</v>
      </c>
      <c r="F8850">
        <v>2</v>
      </c>
      <c r="G8850">
        <v>2</v>
      </c>
      <c r="H8850">
        <v>1</v>
      </c>
      <c r="I8850">
        <v>0</v>
      </c>
      <c r="J8850">
        <v>0.99257425742574301</v>
      </c>
      <c r="K8850">
        <v>1</v>
      </c>
      <c r="L8850">
        <v>0.99627329192546599</v>
      </c>
      <c r="M8850">
        <v>0.98762376237623795</v>
      </c>
      <c r="N8850">
        <v>0.98762376237623795</v>
      </c>
      <c r="O8850">
        <v>0.98762376237623795</v>
      </c>
      <c r="AF8850" t="s">
        <v>17927</v>
      </c>
    </row>
    <row r="8851" spans="1:32" hidden="1" x14ac:dyDescent="0.35">
      <c r="A8851">
        <v>8850</v>
      </c>
      <c r="B8851" t="s">
        <v>17926</v>
      </c>
      <c r="C8851" t="s">
        <v>277</v>
      </c>
      <c r="D8851" t="s">
        <v>62</v>
      </c>
      <c r="E8851">
        <v>250</v>
      </c>
      <c r="F8851">
        <v>2</v>
      </c>
      <c r="G8851">
        <v>2</v>
      </c>
      <c r="H8851">
        <v>1</v>
      </c>
      <c r="I8851">
        <v>0</v>
      </c>
      <c r="J8851">
        <v>0.99257425742574301</v>
      </c>
      <c r="K8851">
        <v>1</v>
      </c>
      <c r="L8851">
        <v>0.99627329192546599</v>
      </c>
      <c r="M8851">
        <v>0.98762376237623795</v>
      </c>
      <c r="N8851">
        <v>0.98762376237623795</v>
      </c>
      <c r="O8851">
        <v>0.98762376237623795</v>
      </c>
      <c r="AF8851" t="s">
        <v>17928</v>
      </c>
    </row>
    <row r="8852" spans="1:32" hidden="1" x14ac:dyDescent="0.35">
      <c r="A8852">
        <v>8851</v>
      </c>
      <c r="B8852" t="s">
        <v>17929</v>
      </c>
      <c r="C8852" t="s">
        <v>277</v>
      </c>
      <c r="D8852" t="s">
        <v>60</v>
      </c>
      <c r="E8852">
        <v>2506</v>
      </c>
      <c r="F8852">
        <v>2</v>
      </c>
      <c r="G8852">
        <v>2</v>
      </c>
      <c r="H8852">
        <v>1</v>
      </c>
      <c r="I8852">
        <v>0</v>
      </c>
      <c r="J8852">
        <v>0.97478991596638698</v>
      </c>
      <c r="K8852">
        <v>1</v>
      </c>
      <c r="L8852">
        <v>0.98723404255319103</v>
      </c>
      <c r="M8852">
        <v>0.97478991596638698</v>
      </c>
      <c r="N8852">
        <v>0.97478991596638698</v>
      </c>
      <c r="O8852">
        <v>0.97478991596638698</v>
      </c>
      <c r="P8852" t="s">
        <v>10744</v>
      </c>
      <c r="Q8852" t="s">
        <v>10745</v>
      </c>
      <c r="R8852" t="s">
        <v>113</v>
      </c>
      <c r="S8852" t="s">
        <v>114</v>
      </c>
      <c r="V8852" t="s">
        <v>2881</v>
      </c>
      <c r="W8852" t="s">
        <v>2882</v>
      </c>
      <c r="AF8852" t="s">
        <v>17930</v>
      </c>
    </row>
    <row r="8853" spans="1:32" hidden="1" x14ac:dyDescent="0.35">
      <c r="A8853">
        <v>8852</v>
      </c>
      <c r="B8853" t="s">
        <v>17929</v>
      </c>
      <c r="C8853" t="s">
        <v>277</v>
      </c>
      <c r="D8853" t="s">
        <v>62</v>
      </c>
      <c r="E8853">
        <v>33</v>
      </c>
      <c r="F8853">
        <v>2</v>
      </c>
      <c r="G8853">
        <v>2</v>
      </c>
      <c r="H8853">
        <v>1</v>
      </c>
      <c r="I8853">
        <v>0</v>
      </c>
      <c r="J8853">
        <v>0.97478991596638698</v>
      </c>
      <c r="K8853">
        <v>1</v>
      </c>
      <c r="L8853">
        <v>0.98723404255319103</v>
      </c>
      <c r="M8853">
        <v>0.97478991596638698</v>
      </c>
      <c r="N8853">
        <v>0.97478991596638698</v>
      </c>
      <c r="O8853">
        <v>0.97478991596638698</v>
      </c>
      <c r="P8853" t="s">
        <v>10744</v>
      </c>
      <c r="Q8853" t="s">
        <v>10745</v>
      </c>
      <c r="R8853" t="s">
        <v>113</v>
      </c>
      <c r="S8853" t="s">
        <v>114</v>
      </c>
      <c r="V8853" t="s">
        <v>2881</v>
      </c>
      <c r="W8853" t="s">
        <v>2882</v>
      </c>
      <c r="AF8853" t="s">
        <v>17931</v>
      </c>
    </row>
    <row r="8854" spans="1:32" hidden="1" x14ac:dyDescent="0.35">
      <c r="A8854">
        <v>8853</v>
      </c>
      <c r="B8854" t="s">
        <v>17932</v>
      </c>
      <c r="C8854" t="s">
        <v>277</v>
      </c>
      <c r="D8854" t="s">
        <v>34</v>
      </c>
      <c r="E8854">
        <v>257</v>
      </c>
      <c r="F8854">
        <v>2</v>
      </c>
      <c r="G8854">
        <v>2</v>
      </c>
      <c r="H8854">
        <v>1</v>
      </c>
      <c r="I8854">
        <v>0</v>
      </c>
      <c r="J8854">
        <v>0.99644128113879005</v>
      </c>
      <c r="K8854">
        <v>1</v>
      </c>
      <c r="L8854">
        <v>0.99821746880570394</v>
      </c>
      <c r="M8854">
        <v>0.99644128113879005</v>
      </c>
      <c r="N8854">
        <v>0.99644128113879005</v>
      </c>
      <c r="O8854">
        <v>0.99644128113879005</v>
      </c>
      <c r="P8854" t="s">
        <v>9089</v>
      </c>
      <c r="Q8854" t="s">
        <v>9090</v>
      </c>
      <c r="R8854" t="s">
        <v>138</v>
      </c>
      <c r="S8854" t="s">
        <v>139</v>
      </c>
      <c r="V8854" t="s">
        <v>17933</v>
      </c>
      <c r="W8854" t="s">
        <v>17934</v>
      </c>
      <c r="AF8854" t="s">
        <v>17935</v>
      </c>
    </row>
    <row r="8855" spans="1:32" hidden="1" x14ac:dyDescent="0.35">
      <c r="A8855">
        <v>8854</v>
      </c>
      <c r="B8855" t="s">
        <v>17932</v>
      </c>
      <c r="C8855" t="s">
        <v>277</v>
      </c>
      <c r="D8855" t="s">
        <v>45</v>
      </c>
      <c r="E8855">
        <v>1520</v>
      </c>
      <c r="F8855">
        <v>2</v>
      </c>
      <c r="G8855">
        <v>2</v>
      </c>
      <c r="H8855">
        <v>1</v>
      </c>
      <c r="I8855">
        <v>0</v>
      </c>
      <c r="J8855">
        <v>0.99644128113879005</v>
      </c>
      <c r="K8855">
        <v>1</v>
      </c>
      <c r="L8855">
        <v>0.99821746880570394</v>
      </c>
      <c r="M8855">
        <v>0.99644128113879005</v>
      </c>
      <c r="N8855">
        <v>0.99644128113879005</v>
      </c>
      <c r="O8855">
        <v>0.99644128113879005</v>
      </c>
      <c r="P8855" t="s">
        <v>9089</v>
      </c>
      <c r="Q8855" t="s">
        <v>9090</v>
      </c>
      <c r="R8855" t="s">
        <v>138</v>
      </c>
      <c r="S8855" t="s">
        <v>139</v>
      </c>
      <c r="V8855" t="s">
        <v>17933</v>
      </c>
      <c r="W8855" t="s">
        <v>17934</v>
      </c>
      <c r="AF8855" t="s">
        <v>17936</v>
      </c>
    </row>
    <row r="8856" spans="1:32" hidden="1" x14ac:dyDescent="0.35">
      <c r="A8856">
        <v>8855</v>
      </c>
      <c r="B8856" t="s">
        <v>17937</v>
      </c>
      <c r="C8856" t="s">
        <v>277</v>
      </c>
      <c r="D8856" t="s">
        <v>60</v>
      </c>
      <c r="E8856">
        <v>2509</v>
      </c>
      <c r="F8856">
        <v>2</v>
      </c>
      <c r="G8856">
        <v>2</v>
      </c>
      <c r="H8856">
        <v>1</v>
      </c>
      <c r="I8856">
        <v>0</v>
      </c>
      <c r="J8856">
        <v>0.99435028248587598</v>
      </c>
      <c r="K8856">
        <v>1</v>
      </c>
      <c r="L8856">
        <v>0.99716713881019803</v>
      </c>
      <c r="M8856">
        <v>0.99058380414312597</v>
      </c>
      <c r="N8856">
        <v>0.99058380414312597</v>
      </c>
      <c r="O8856">
        <v>0.99058380414312597</v>
      </c>
      <c r="R8856" t="s">
        <v>540</v>
      </c>
      <c r="S8856" t="s">
        <v>541</v>
      </c>
      <c r="T8856" t="s">
        <v>11431</v>
      </c>
      <c r="U8856" t="s">
        <v>11432</v>
      </c>
      <c r="V8856" t="s">
        <v>11433</v>
      </c>
      <c r="W8856" t="s">
        <v>11434</v>
      </c>
      <c r="AD8856" t="s">
        <v>166</v>
      </c>
      <c r="AE8856" t="s">
        <v>11435</v>
      </c>
      <c r="AF8856" t="s">
        <v>17938</v>
      </c>
    </row>
    <row r="8857" spans="1:32" hidden="1" x14ac:dyDescent="0.35">
      <c r="A8857">
        <v>8856</v>
      </c>
      <c r="B8857" t="s">
        <v>17937</v>
      </c>
      <c r="C8857" t="s">
        <v>277</v>
      </c>
      <c r="D8857" t="s">
        <v>62</v>
      </c>
      <c r="E8857">
        <v>37</v>
      </c>
      <c r="F8857">
        <v>2</v>
      </c>
      <c r="G8857">
        <v>2</v>
      </c>
      <c r="H8857">
        <v>1</v>
      </c>
      <c r="I8857">
        <v>0</v>
      </c>
      <c r="J8857">
        <v>0.99435028248587598</v>
      </c>
      <c r="K8857">
        <v>1</v>
      </c>
      <c r="L8857">
        <v>0.99716713881019803</v>
      </c>
      <c r="M8857">
        <v>0.99058380414312597</v>
      </c>
      <c r="N8857">
        <v>0.99058380414312597</v>
      </c>
      <c r="O8857">
        <v>0.99058380414312597</v>
      </c>
      <c r="R8857" t="s">
        <v>540</v>
      </c>
      <c r="S8857" t="s">
        <v>541</v>
      </c>
      <c r="T8857" t="s">
        <v>11431</v>
      </c>
      <c r="U8857" t="s">
        <v>11432</v>
      </c>
      <c r="V8857" t="s">
        <v>11433</v>
      </c>
      <c r="W8857" t="s">
        <v>11434</v>
      </c>
      <c r="AD8857" t="s">
        <v>166</v>
      </c>
      <c r="AE8857" t="s">
        <v>11435</v>
      </c>
      <c r="AF8857" t="s">
        <v>17939</v>
      </c>
    </row>
    <row r="8858" spans="1:32" hidden="1" x14ac:dyDescent="0.35">
      <c r="A8858">
        <v>8857</v>
      </c>
      <c r="B8858" t="s">
        <v>17940</v>
      </c>
      <c r="C8858" t="s">
        <v>277</v>
      </c>
      <c r="D8858" t="s">
        <v>34</v>
      </c>
      <c r="E8858">
        <v>2172</v>
      </c>
      <c r="F8858">
        <v>2</v>
      </c>
      <c r="G8858">
        <v>2</v>
      </c>
      <c r="H8858">
        <v>1</v>
      </c>
      <c r="I8858">
        <v>0</v>
      </c>
      <c r="J8858">
        <v>0.97297297297297303</v>
      </c>
      <c r="K8858">
        <v>0.95380716294213497</v>
      </c>
      <c r="L8858">
        <v>0.96329474616466004</v>
      </c>
      <c r="M8858">
        <v>0.90987124463519298</v>
      </c>
      <c r="N8858">
        <v>0.90987124463519298</v>
      </c>
      <c r="O8858">
        <v>0.90987124463519298</v>
      </c>
      <c r="P8858" t="s">
        <v>10830</v>
      </c>
      <c r="Q8858" t="s">
        <v>10831</v>
      </c>
      <c r="R8858" t="s">
        <v>96</v>
      </c>
      <c r="S8858" t="s">
        <v>97</v>
      </c>
      <c r="T8858" t="s">
        <v>10832</v>
      </c>
      <c r="U8858" t="s">
        <v>10833</v>
      </c>
      <c r="V8858" t="s">
        <v>10834</v>
      </c>
      <c r="W8858" t="s">
        <v>10835</v>
      </c>
      <c r="AD8858" t="s">
        <v>7708</v>
      </c>
      <c r="AE8858" t="s">
        <v>10836</v>
      </c>
      <c r="AF8858" t="e">
        <f>-----------MVSDRSYVTTIATWVFVLGYASRPLLGSVLPSVVMPGVYVVVVIAALVAYRRVLAEAARRAWQHRARSLAMVVSGYLGILALTVAVGYLTQYLFDYFGVALADPQNTGELSQPRASLVQLILPMVYIGIVAPIVEELFFRQFLIGSLGRYAPTWMSLVVSSMLFGMFHVYSLVASEWINAVSFTATGLGLGLVYVLSGRNVVLSSLLHIANNLPIVIMTLLV</f>
        <v>#NAME?</v>
      </c>
    </row>
    <row r="8859" spans="1:32" hidden="1" x14ac:dyDescent="0.35">
      <c r="A8859">
        <v>8858</v>
      </c>
      <c r="B8859" t="s">
        <v>17940</v>
      </c>
      <c r="C8859" t="s">
        <v>277</v>
      </c>
      <c r="D8859" t="s">
        <v>45</v>
      </c>
      <c r="E8859">
        <v>701</v>
      </c>
      <c r="F8859">
        <v>2</v>
      </c>
      <c r="G8859">
        <v>2</v>
      </c>
      <c r="H8859">
        <v>1</v>
      </c>
      <c r="I8859">
        <v>0</v>
      </c>
      <c r="J8859">
        <v>0.97297297297297303</v>
      </c>
      <c r="K8859">
        <v>0.95380716294213497</v>
      </c>
      <c r="L8859">
        <v>0.96329474616466004</v>
      </c>
      <c r="M8859">
        <v>0.90987124463519298</v>
      </c>
      <c r="N8859">
        <v>0.90987124463519298</v>
      </c>
      <c r="O8859">
        <v>0.90987124463519298</v>
      </c>
      <c r="P8859" t="s">
        <v>10830</v>
      </c>
      <c r="Q8859" t="s">
        <v>10831</v>
      </c>
      <c r="R8859" t="s">
        <v>96</v>
      </c>
      <c r="S8859" t="s">
        <v>97</v>
      </c>
      <c r="T8859" t="s">
        <v>10832</v>
      </c>
      <c r="U8859" t="s">
        <v>10833</v>
      </c>
      <c r="V8859" t="s">
        <v>10834</v>
      </c>
      <c r="W8859" t="s">
        <v>10835</v>
      </c>
      <c r="AD8859" t="s">
        <v>7708</v>
      </c>
      <c r="AE8859" t="s">
        <v>10836</v>
      </c>
      <c r="AF8859" t="s">
        <v>17941</v>
      </c>
    </row>
    <row r="8860" spans="1:32" hidden="1" x14ac:dyDescent="0.35">
      <c r="A8860">
        <v>8859</v>
      </c>
      <c r="B8860" t="s">
        <v>17942</v>
      </c>
      <c r="C8860" t="s">
        <v>277</v>
      </c>
      <c r="D8860" t="s">
        <v>60</v>
      </c>
      <c r="E8860">
        <v>1589</v>
      </c>
      <c r="F8860">
        <v>2</v>
      </c>
      <c r="G8860">
        <v>2</v>
      </c>
      <c r="H8860">
        <v>1</v>
      </c>
      <c r="I8860">
        <v>0</v>
      </c>
      <c r="J8860">
        <v>0.99960876369327101</v>
      </c>
      <c r="K8860">
        <v>1</v>
      </c>
      <c r="L8860">
        <v>0.99980434357268599</v>
      </c>
      <c r="M8860">
        <v>0.99882629107981202</v>
      </c>
      <c r="N8860">
        <v>0.99882629107981202</v>
      </c>
      <c r="O8860">
        <v>0.99882629107981202</v>
      </c>
      <c r="AF8860" t="s">
        <v>17943</v>
      </c>
    </row>
    <row r="8861" spans="1:32" hidden="1" x14ac:dyDescent="0.35">
      <c r="A8861">
        <v>8860</v>
      </c>
      <c r="B8861" t="s">
        <v>17942</v>
      </c>
      <c r="C8861" t="s">
        <v>277</v>
      </c>
      <c r="D8861" t="s">
        <v>62</v>
      </c>
      <c r="E8861">
        <v>1625</v>
      </c>
      <c r="F8861">
        <v>2</v>
      </c>
      <c r="G8861">
        <v>2</v>
      </c>
      <c r="H8861">
        <v>1</v>
      </c>
      <c r="I8861">
        <v>0</v>
      </c>
      <c r="J8861">
        <v>0.99960876369327101</v>
      </c>
      <c r="K8861">
        <v>1</v>
      </c>
      <c r="L8861">
        <v>0.99980434357268599</v>
      </c>
      <c r="M8861">
        <v>0.99882629107981202</v>
      </c>
      <c r="N8861">
        <v>0.99882629107981202</v>
      </c>
      <c r="O8861">
        <v>0.99882629107981202</v>
      </c>
      <c r="AF8861" t="s">
        <v>17944</v>
      </c>
    </row>
    <row r="8862" spans="1:32" hidden="1" x14ac:dyDescent="0.35">
      <c r="A8862">
        <v>8861</v>
      </c>
      <c r="B8862" t="s">
        <v>17945</v>
      </c>
      <c r="C8862" t="s">
        <v>277</v>
      </c>
      <c r="D8862" t="s">
        <v>34</v>
      </c>
      <c r="E8862">
        <v>2158</v>
      </c>
      <c r="F8862">
        <v>2</v>
      </c>
      <c r="G8862">
        <v>2</v>
      </c>
      <c r="H8862">
        <v>1</v>
      </c>
      <c r="I8862">
        <v>0</v>
      </c>
      <c r="J8862">
        <v>0.98069498069498096</v>
      </c>
      <c r="K8862">
        <v>1</v>
      </c>
      <c r="L8862">
        <v>0.99025341130604305</v>
      </c>
      <c r="M8862">
        <v>0.97297297297297303</v>
      </c>
      <c r="N8862">
        <v>0.97297297297297303</v>
      </c>
      <c r="O8862">
        <v>0.97297297297297303</v>
      </c>
      <c r="P8862" t="s">
        <v>14921</v>
      </c>
      <c r="Q8862" t="s">
        <v>14922</v>
      </c>
      <c r="R8862" t="s">
        <v>869</v>
      </c>
      <c r="S8862" t="s">
        <v>870</v>
      </c>
      <c r="T8862" t="s">
        <v>14923</v>
      </c>
      <c r="U8862" t="s">
        <v>14924</v>
      </c>
      <c r="V8862" t="s">
        <v>14925</v>
      </c>
      <c r="W8862" t="s">
        <v>14926</v>
      </c>
      <c r="X8862" t="s">
        <v>14925</v>
      </c>
      <c r="Y8862" t="s">
        <v>1091</v>
      </c>
      <c r="Z8862" t="s">
        <v>1092</v>
      </c>
      <c r="AA8862" t="s">
        <v>1093</v>
      </c>
      <c r="AB8862" t="s">
        <v>1092</v>
      </c>
      <c r="AC8862" t="s">
        <v>1094</v>
      </c>
      <c r="AD8862" t="s">
        <v>219</v>
      </c>
      <c r="AE8862" t="s">
        <v>14927</v>
      </c>
      <c r="AF8862" t="s">
        <v>17946</v>
      </c>
    </row>
    <row r="8863" spans="1:32" hidden="1" x14ac:dyDescent="0.35">
      <c r="A8863">
        <v>8862</v>
      </c>
      <c r="B8863" t="s">
        <v>17945</v>
      </c>
      <c r="C8863" t="s">
        <v>277</v>
      </c>
      <c r="D8863" t="s">
        <v>45</v>
      </c>
      <c r="E8863">
        <v>715</v>
      </c>
      <c r="F8863">
        <v>2</v>
      </c>
      <c r="G8863">
        <v>2</v>
      </c>
      <c r="H8863">
        <v>1</v>
      </c>
      <c r="I8863">
        <v>0</v>
      </c>
      <c r="J8863">
        <v>0.98069498069498096</v>
      </c>
      <c r="K8863">
        <v>1</v>
      </c>
      <c r="L8863">
        <v>0.99025341130604305</v>
      </c>
      <c r="M8863">
        <v>0.97297297297297303</v>
      </c>
      <c r="N8863">
        <v>0.97297297297297303</v>
      </c>
      <c r="O8863">
        <v>0.97297297297297303</v>
      </c>
      <c r="P8863" t="s">
        <v>14921</v>
      </c>
      <c r="Q8863" t="s">
        <v>14922</v>
      </c>
      <c r="R8863" t="s">
        <v>869</v>
      </c>
      <c r="S8863" t="s">
        <v>870</v>
      </c>
      <c r="T8863" t="s">
        <v>14923</v>
      </c>
      <c r="U8863" t="s">
        <v>14924</v>
      </c>
      <c r="V8863" t="s">
        <v>14925</v>
      </c>
      <c r="W8863" t="s">
        <v>14926</v>
      </c>
      <c r="X8863" t="s">
        <v>14925</v>
      </c>
      <c r="Y8863" t="s">
        <v>1091</v>
      </c>
      <c r="Z8863" t="s">
        <v>1092</v>
      </c>
      <c r="AA8863" t="s">
        <v>1093</v>
      </c>
      <c r="AB8863" t="s">
        <v>1092</v>
      </c>
      <c r="AC8863" t="s">
        <v>1094</v>
      </c>
      <c r="AD8863" t="s">
        <v>219</v>
      </c>
      <c r="AE8863" t="s">
        <v>14927</v>
      </c>
      <c r="AF8863" t="s">
        <v>17947</v>
      </c>
    </row>
    <row r="8864" spans="1:32" hidden="1" x14ac:dyDescent="0.35">
      <c r="A8864">
        <v>8863</v>
      </c>
      <c r="B8864" t="s">
        <v>17948</v>
      </c>
      <c r="C8864" t="s">
        <v>277</v>
      </c>
      <c r="D8864" t="s">
        <v>34</v>
      </c>
      <c r="E8864">
        <v>1317</v>
      </c>
      <c r="F8864">
        <v>2</v>
      </c>
      <c r="G8864">
        <v>2</v>
      </c>
      <c r="H8864">
        <v>1</v>
      </c>
      <c r="I8864">
        <v>0</v>
      </c>
      <c r="J8864">
        <v>0.95977011494252895</v>
      </c>
      <c r="K8864">
        <v>0.99145299145299104</v>
      </c>
      <c r="L8864">
        <v>0.97535432872643002</v>
      </c>
      <c r="M8864">
        <v>0.94017094017094005</v>
      </c>
      <c r="N8864">
        <v>0.94017094017094005</v>
      </c>
      <c r="O8864">
        <v>0.94017094017094005</v>
      </c>
      <c r="P8864" t="s">
        <v>14286</v>
      </c>
      <c r="Q8864" t="s">
        <v>14287</v>
      </c>
      <c r="AF8864" t="s">
        <v>17949</v>
      </c>
    </row>
    <row r="8865" spans="1:32" hidden="1" x14ac:dyDescent="0.35">
      <c r="A8865">
        <v>8864</v>
      </c>
      <c r="B8865" t="s">
        <v>17948</v>
      </c>
      <c r="C8865" t="s">
        <v>277</v>
      </c>
      <c r="D8865" t="s">
        <v>45</v>
      </c>
      <c r="E8865">
        <v>69</v>
      </c>
      <c r="F8865">
        <v>2</v>
      </c>
      <c r="G8865">
        <v>2</v>
      </c>
      <c r="H8865">
        <v>1</v>
      </c>
      <c r="I8865">
        <v>0</v>
      </c>
      <c r="J8865">
        <v>0.95977011494252895</v>
      </c>
      <c r="K8865">
        <v>0.99145299145299104</v>
      </c>
      <c r="L8865">
        <v>0.97535432872643002</v>
      </c>
      <c r="M8865">
        <v>0.94017094017094005</v>
      </c>
      <c r="N8865">
        <v>0.94017094017094005</v>
      </c>
      <c r="O8865">
        <v>0.94017094017094005</v>
      </c>
      <c r="P8865" t="s">
        <v>14286</v>
      </c>
      <c r="Q8865" t="s">
        <v>14287</v>
      </c>
      <c r="AF8865" t="s">
        <v>17950</v>
      </c>
    </row>
    <row r="8866" spans="1:32" hidden="1" x14ac:dyDescent="0.35">
      <c r="A8866">
        <v>8865</v>
      </c>
      <c r="B8866" t="s">
        <v>17951</v>
      </c>
      <c r="C8866" t="s">
        <v>277</v>
      </c>
      <c r="D8866" t="s">
        <v>60</v>
      </c>
      <c r="E8866">
        <v>2126</v>
      </c>
      <c r="F8866">
        <v>2</v>
      </c>
      <c r="G8866">
        <v>2</v>
      </c>
      <c r="H8866">
        <v>1</v>
      </c>
      <c r="I8866">
        <v>0</v>
      </c>
      <c r="J8866">
        <v>0.94444444444444398</v>
      </c>
      <c r="K8866">
        <v>1</v>
      </c>
      <c r="L8866">
        <v>0.97142857142857097</v>
      </c>
      <c r="M8866">
        <v>0.94444444444444398</v>
      </c>
      <c r="N8866">
        <v>0.94444444444444398</v>
      </c>
      <c r="O8866">
        <v>0.94444444444444398</v>
      </c>
      <c r="P8866" t="s">
        <v>12866</v>
      </c>
      <c r="Q8866" t="s">
        <v>2878</v>
      </c>
      <c r="R8866" t="s">
        <v>113</v>
      </c>
      <c r="S8866" t="s">
        <v>114</v>
      </c>
      <c r="V8866" t="s">
        <v>10757</v>
      </c>
      <c r="W8866" t="s">
        <v>10758</v>
      </c>
      <c r="AF8866" t="s">
        <v>17952</v>
      </c>
    </row>
    <row r="8867" spans="1:32" hidden="1" x14ac:dyDescent="0.35">
      <c r="A8867">
        <v>8866</v>
      </c>
      <c r="B8867" t="s">
        <v>17951</v>
      </c>
      <c r="C8867" t="s">
        <v>277</v>
      </c>
      <c r="D8867" t="s">
        <v>62</v>
      </c>
      <c r="E8867">
        <v>2160</v>
      </c>
      <c r="F8867">
        <v>2</v>
      </c>
      <c r="G8867">
        <v>2</v>
      </c>
      <c r="H8867">
        <v>1</v>
      </c>
      <c r="I8867">
        <v>0</v>
      </c>
      <c r="J8867">
        <v>0.94444444444444398</v>
      </c>
      <c r="K8867">
        <v>1</v>
      </c>
      <c r="L8867">
        <v>0.97142857142857097</v>
      </c>
      <c r="M8867">
        <v>0.94444444444444398</v>
      </c>
      <c r="N8867">
        <v>0.94444444444444398</v>
      </c>
      <c r="O8867">
        <v>0.94444444444444398</v>
      </c>
      <c r="P8867" t="s">
        <v>12866</v>
      </c>
      <c r="Q8867" t="s">
        <v>2878</v>
      </c>
      <c r="R8867" t="s">
        <v>113</v>
      </c>
      <c r="S8867" t="s">
        <v>114</v>
      </c>
      <c r="V8867" t="s">
        <v>10757</v>
      </c>
      <c r="W8867" t="s">
        <v>10758</v>
      </c>
      <c r="AF8867" t="s">
        <v>17953</v>
      </c>
    </row>
    <row r="8868" spans="1:32" hidden="1" x14ac:dyDescent="0.35">
      <c r="A8868">
        <v>8867</v>
      </c>
      <c r="B8868" t="s">
        <v>17954</v>
      </c>
      <c r="C8868" t="s">
        <v>277</v>
      </c>
      <c r="D8868" t="s">
        <v>60</v>
      </c>
      <c r="E8868">
        <v>1916</v>
      </c>
      <c r="F8868">
        <v>2</v>
      </c>
      <c r="G8868">
        <v>2</v>
      </c>
      <c r="H8868">
        <v>1</v>
      </c>
      <c r="I8868">
        <v>0</v>
      </c>
      <c r="J8868">
        <v>0.986767485822306</v>
      </c>
      <c r="K8868">
        <v>1</v>
      </c>
      <c r="L8868">
        <v>0.99333967649857302</v>
      </c>
      <c r="M8868">
        <v>0.98298676748582203</v>
      </c>
      <c r="N8868">
        <v>0.98298676748582203</v>
      </c>
      <c r="O8868">
        <v>0.98298676748582203</v>
      </c>
      <c r="P8868" t="s">
        <v>10786</v>
      </c>
      <c r="Q8868" t="s">
        <v>10787</v>
      </c>
      <c r="R8868" t="s">
        <v>516</v>
      </c>
      <c r="S8868" t="s">
        <v>517</v>
      </c>
      <c r="T8868" t="s">
        <v>16489</v>
      </c>
      <c r="U8868" t="s">
        <v>16490</v>
      </c>
      <c r="V8868" t="s">
        <v>13525</v>
      </c>
      <c r="W8868" t="s">
        <v>13526</v>
      </c>
      <c r="AD8868" t="s">
        <v>16491</v>
      </c>
      <c r="AE8868" t="s">
        <v>16492</v>
      </c>
      <c r="AF8868" t="s">
        <v>17955</v>
      </c>
    </row>
    <row r="8869" spans="1:32" hidden="1" x14ac:dyDescent="0.35">
      <c r="A8869">
        <v>8868</v>
      </c>
      <c r="B8869" t="s">
        <v>17954</v>
      </c>
      <c r="C8869" t="s">
        <v>277</v>
      </c>
      <c r="D8869" t="s">
        <v>62</v>
      </c>
      <c r="E8869">
        <v>1956</v>
      </c>
      <c r="F8869">
        <v>2</v>
      </c>
      <c r="G8869">
        <v>2</v>
      </c>
      <c r="H8869">
        <v>1</v>
      </c>
      <c r="I8869">
        <v>0</v>
      </c>
      <c r="J8869">
        <v>0.986767485822306</v>
      </c>
      <c r="K8869">
        <v>1</v>
      </c>
      <c r="L8869">
        <v>0.99333967649857302</v>
      </c>
      <c r="M8869">
        <v>0.98298676748582203</v>
      </c>
      <c r="N8869">
        <v>0.98298676748582203</v>
      </c>
      <c r="O8869">
        <v>0.98298676748582203</v>
      </c>
      <c r="P8869" t="s">
        <v>10786</v>
      </c>
      <c r="Q8869" t="s">
        <v>10787</v>
      </c>
      <c r="R8869" t="s">
        <v>516</v>
      </c>
      <c r="S8869" t="s">
        <v>517</v>
      </c>
      <c r="T8869" t="s">
        <v>16489</v>
      </c>
      <c r="U8869" t="s">
        <v>16490</v>
      </c>
      <c r="V8869" t="s">
        <v>13525</v>
      </c>
      <c r="W8869" t="s">
        <v>13526</v>
      </c>
      <c r="AD8869" t="s">
        <v>16491</v>
      </c>
      <c r="AE8869" t="s">
        <v>16492</v>
      </c>
      <c r="AF8869" t="s">
        <v>17956</v>
      </c>
    </row>
    <row r="8870" spans="1:32" hidden="1" x14ac:dyDescent="0.35">
      <c r="A8870">
        <v>8869</v>
      </c>
      <c r="B8870" t="s">
        <v>17957</v>
      </c>
      <c r="C8870" t="s">
        <v>277</v>
      </c>
      <c r="D8870" t="s">
        <v>60</v>
      </c>
      <c r="E8870">
        <v>1811</v>
      </c>
      <c r="F8870">
        <v>2</v>
      </c>
      <c r="G8870">
        <v>2</v>
      </c>
      <c r="H8870">
        <v>1</v>
      </c>
      <c r="I8870">
        <v>0</v>
      </c>
      <c r="J8870">
        <v>0.99941622883829495</v>
      </c>
      <c r="K8870">
        <v>1</v>
      </c>
      <c r="L8870">
        <v>0.99970802919708002</v>
      </c>
      <c r="M8870">
        <v>0.99824868651488596</v>
      </c>
      <c r="N8870">
        <v>0.99824868651488596</v>
      </c>
      <c r="O8870">
        <v>0.99824868651488596</v>
      </c>
      <c r="P8870" t="s">
        <v>8484</v>
      </c>
      <c r="Q8870" t="s">
        <v>8485</v>
      </c>
      <c r="R8870" t="s">
        <v>235</v>
      </c>
      <c r="S8870" t="s">
        <v>236</v>
      </c>
      <c r="T8870" t="s">
        <v>17958</v>
      </c>
      <c r="U8870" t="s">
        <v>17959</v>
      </c>
      <c r="V8870" t="s">
        <v>17960</v>
      </c>
      <c r="W8870" t="s">
        <v>17961</v>
      </c>
      <c r="AD8870" t="s">
        <v>951</v>
      </c>
      <c r="AE8870" t="s">
        <v>13378</v>
      </c>
      <c r="AF8870" t="s">
        <v>17962</v>
      </c>
    </row>
    <row r="8871" spans="1:32" hidden="1" x14ac:dyDescent="0.35">
      <c r="A8871">
        <v>8870</v>
      </c>
      <c r="B8871" t="s">
        <v>17957</v>
      </c>
      <c r="C8871" t="s">
        <v>277</v>
      </c>
      <c r="D8871" t="s">
        <v>62</v>
      </c>
      <c r="E8871">
        <v>1849</v>
      </c>
      <c r="F8871">
        <v>2</v>
      </c>
      <c r="G8871">
        <v>2</v>
      </c>
      <c r="H8871">
        <v>1</v>
      </c>
      <c r="I8871">
        <v>0</v>
      </c>
      <c r="J8871">
        <v>0.99941622883829495</v>
      </c>
      <c r="K8871">
        <v>1</v>
      </c>
      <c r="L8871">
        <v>0.99970802919708002</v>
      </c>
      <c r="M8871">
        <v>0.99824868651488596</v>
      </c>
      <c r="N8871">
        <v>0.99824868651488596</v>
      </c>
      <c r="O8871">
        <v>0.99824868651488596</v>
      </c>
      <c r="P8871" t="s">
        <v>8484</v>
      </c>
      <c r="Q8871" t="s">
        <v>8485</v>
      </c>
      <c r="R8871" t="s">
        <v>235</v>
      </c>
      <c r="S8871" t="s">
        <v>236</v>
      </c>
      <c r="T8871" t="s">
        <v>17958</v>
      </c>
      <c r="U8871" t="s">
        <v>17959</v>
      </c>
      <c r="V8871" t="s">
        <v>17960</v>
      </c>
      <c r="W8871" t="s">
        <v>17961</v>
      </c>
      <c r="AD8871" t="s">
        <v>951</v>
      </c>
      <c r="AE8871" t="s">
        <v>13378</v>
      </c>
      <c r="AF8871" t="s">
        <v>17963</v>
      </c>
    </row>
    <row r="8872" spans="1:32" hidden="1" x14ac:dyDescent="0.35">
      <c r="A8872">
        <v>8871</v>
      </c>
      <c r="B8872" t="s">
        <v>17964</v>
      </c>
      <c r="C8872" t="s">
        <v>277</v>
      </c>
      <c r="D8872" t="s">
        <v>60</v>
      </c>
      <c r="E8872">
        <v>2386</v>
      </c>
      <c r="F8872">
        <v>2</v>
      </c>
      <c r="G8872">
        <v>2</v>
      </c>
      <c r="H8872">
        <v>1</v>
      </c>
      <c r="I8872">
        <v>0</v>
      </c>
      <c r="J8872">
        <v>0.95608108108108103</v>
      </c>
      <c r="K8872">
        <v>1</v>
      </c>
      <c r="L8872">
        <v>0.977547495682211</v>
      </c>
      <c r="M8872">
        <v>0.94932432432432401</v>
      </c>
      <c r="N8872">
        <v>0.94932432432432401</v>
      </c>
      <c r="O8872">
        <v>0.94932432432432401</v>
      </c>
      <c r="P8872" t="s">
        <v>169</v>
      </c>
      <c r="Q8872" t="s">
        <v>170</v>
      </c>
      <c r="R8872" t="s">
        <v>138</v>
      </c>
      <c r="S8872" t="s">
        <v>139</v>
      </c>
      <c r="T8872" t="s">
        <v>17965</v>
      </c>
      <c r="U8872" t="s">
        <v>17966</v>
      </c>
      <c r="V8872" t="s">
        <v>3693</v>
      </c>
      <c r="W8872" t="s">
        <v>3694</v>
      </c>
      <c r="AD8872" t="s">
        <v>166</v>
      </c>
      <c r="AE8872" t="s">
        <v>3695</v>
      </c>
      <c r="AF8872" t="s">
        <v>17967</v>
      </c>
    </row>
    <row r="8873" spans="1:32" hidden="1" x14ac:dyDescent="0.35">
      <c r="A8873">
        <v>8872</v>
      </c>
      <c r="B8873" t="s">
        <v>17964</v>
      </c>
      <c r="C8873" t="s">
        <v>277</v>
      </c>
      <c r="D8873" t="s">
        <v>62</v>
      </c>
      <c r="E8873">
        <v>2414</v>
      </c>
      <c r="F8873">
        <v>2</v>
      </c>
      <c r="G8873">
        <v>2</v>
      </c>
      <c r="H8873">
        <v>1</v>
      </c>
      <c r="I8873">
        <v>0</v>
      </c>
      <c r="J8873">
        <v>0.95608108108108103</v>
      </c>
      <c r="K8873">
        <v>1</v>
      </c>
      <c r="L8873">
        <v>0.977547495682211</v>
      </c>
      <c r="M8873">
        <v>0.94932432432432401</v>
      </c>
      <c r="N8873">
        <v>0.94932432432432401</v>
      </c>
      <c r="O8873">
        <v>0.94932432432432401</v>
      </c>
      <c r="P8873" t="s">
        <v>169</v>
      </c>
      <c r="Q8873" t="s">
        <v>170</v>
      </c>
      <c r="R8873" t="s">
        <v>138</v>
      </c>
      <c r="S8873" t="s">
        <v>139</v>
      </c>
      <c r="T8873" t="s">
        <v>17965</v>
      </c>
      <c r="U8873" t="s">
        <v>17966</v>
      </c>
      <c r="V8873" t="s">
        <v>3693</v>
      </c>
      <c r="W8873" t="s">
        <v>3694</v>
      </c>
      <c r="AD8873" t="s">
        <v>166</v>
      </c>
      <c r="AE8873" t="s">
        <v>3695</v>
      </c>
      <c r="AF8873" t="s">
        <v>17968</v>
      </c>
    </row>
    <row r="8874" spans="1:32" hidden="1" x14ac:dyDescent="0.35">
      <c r="A8874">
        <v>8873</v>
      </c>
      <c r="B8874" t="s">
        <v>17969</v>
      </c>
      <c r="C8874" t="s">
        <v>277</v>
      </c>
      <c r="D8874" t="s">
        <v>60</v>
      </c>
      <c r="E8874">
        <v>1046</v>
      </c>
      <c r="F8874">
        <v>2</v>
      </c>
      <c r="G8874">
        <v>2</v>
      </c>
      <c r="H8874">
        <v>1</v>
      </c>
      <c r="I8874">
        <v>0</v>
      </c>
      <c r="J8874">
        <v>0.96256684491978595</v>
      </c>
      <c r="K8874">
        <v>1</v>
      </c>
      <c r="L8874">
        <v>0.980926430517711</v>
      </c>
      <c r="M8874">
        <v>0.95187165775401095</v>
      </c>
      <c r="N8874">
        <v>0.95187165775401095</v>
      </c>
      <c r="O8874">
        <v>0.95187165775401095</v>
      </c>
      <c r="P8874" t="s">
        <v>2163</v>
      </c>
      <c r="Q8874" t="s">
        <v>2164</v>
      </c>
      <c r="R8874" t="s">
        <v>113</v>
      </c>
      <c r="S8874" t="s">
        <v>114</v>
      </c>
      <c r="V8874" t="s">
        <v>2167</v>
      </c>
      <c r="W8874" t="s">
        <v>2168</v>
      </c>
      <c r="AF8874" t="s">
        <v>17970</v>
      </c>
    </row>
    <row r="8875" spans="1:32" hidden="1" x14ac:dyDescent="0.35">
      <c r="A8875">
        <v>8874</v>
      </c>
      <c r="B8875" t="s">
        <v>17969</v>
      </c>
      <c r="C8875" t="s">
        <v>277</v>
      </c>
      <c r="D8875" t="s">
        <v>62</v>
      </c>
      <c r="E8875">
        <v>1082</v>
      </c>
      <c r="F8875">
        <v>2</v>
      </c>
      <c r="G8875">
        <v>2</v>
      </c>
      <c r="H8875">
        <v>1</v>
      </c>
      <c r="I8875">
        <v>0</v>
      </c>
      <c r="J8875">
        <v>0.96256684491978595</v>
      </c>
      <c r="K8875">
        <v>1</v>
      </c>
      <c r="L8875">
        <v>0.980926430517711</v>
      </c>
      <c r="M8875">
        <v>0.95187165775401095</v>
      </c>
      <c r="N8875">
        <v>0.95187165775401095</v>
      </c>
      <c r="O8875">
        <v>0.95187165775401095</v>
      </c>
      <c r="P8875" t="s">
        <v>2163</v>
      </c>
      <c r="Q8875" t="s">
        <v>2164</v>
      </c>
      <c r="R8875" t="s">
        <v>113</v>
      </c>
      <c r="S8875" t="s">
        <v>114</v>
      </c>
      <c r="V8875" t="s">
        <v>2167</v>
      </c>
      <c r="W8875" t="s">
        <v>2168</v>
      </c>
      <c r="AF8875" t="s">
        <v>17971</v>
      </c>
    </row>
    <row r="8876" spans="1:32" hidden="1" x14ac:dyDescent="0.35">
      <c r="A8876">
        <v>8875</v>
      </c>
      <c r="B8876" t="s">
        <v>17972</v>
      </c>
      <c r="C8876" t="s">
        <v>277</v>
      </c>
      <c r="D8876" t="s">
        <v>60</v>
      </c>
      <c r="E8876">
        <v>2536</v>
      </c>
      <c r="F8876">
        <v>2</v>
      </c>
      <c r="G8876">
        <v>2</v>
      </c>
      <c r="H8876">
        <v>1</v>
      </c>
      <c r="I8876">
        <v>0</v>
      </c>
      <c r="J8876">
        <v>0.98820058997050098</v>
      </c>
      <c r="K8876">
        <v>1</v>
      </c>
      <c r="L8876">
        <v>0.99406528189911003</v>
      </c>
      <c r="M8876">
        <v>0.98230088495575196</v>
      </c>
      <c r="N8876">
        <v>0.98230088495575196</v>
      </c>
      <c r="O8876">
        <v>0.98230088495575196</v>
      </c>
      <c r="P8876" t="s">
        <v>17973</v>
      </c>
      <c r="Q8876" t="s">
        <v>17974</v>
      </c>
      <c r="R8876" t="s">
        <v>235</v>
      </c>
      <c r="S8876" t="s">
        <v>236</v>
      </c>
      <c r="T8876" t="s">
        <v>17975</v>
      </c>
      <c r="U8876" t="s">
        <v>17976</v>
      </c>
      <c r="V8876" t="s">
        <v>17977</v>
      </c>
      <c r="W8876" t="s">
        <v>17978</v>
      </c>
      <c r="AD8876" t="s">
        <v>166</v>
      </c>
      <c r="AE8876" t="s">
        <v>818</v>
      </c>
      <c r="AF8876" t="s">
        <v>17979</v>
      </c>
    </row>
    <row r="8877" spans="1:32" hidden="1" x14ac:dyDescent="0.35">
      <c r="A8877">
        <v>8876</v>
      </c>
      <c r="B8877" t="s">
        <v>17972</v>
      </c>
      <c r="C8877" t="s">
        <v>277</v>
      </c>
      <c r="D8877" t="s">
        <v>62</v>
      </c>
      <c r="E8877">
        <v>61</v>
      </c>
      <c r="F8877">
        <v>2</v>
      </c>
      <c r="G8877">
        <v>2</v>
      </c>
      <c r="H8877">
        <v>1</v>
      </c>
      <c r="I8877">
        <v>0</v>
      </c>
      <c r="J8877">
        <v>0.98820058997050098</v>
      </c>
      <c r="K8877">
        <v>1</v>
      </c>
      <c r="L8877">
        <v>0.99406528189911003</v>
      </c>
      <c r="M8877">
        <v>0.98230088495575196</v>
      </c>
      <c r="N8877">
        <v>0.98230088495575196</v>
      </c>
      <c r="O8877">
        <v>0.98230088495575196</v>
      </c>
      <c r="P8877" t="s">
        <v>17973</v>
      </c>
      <c r="Q8877" t="s">
        <v>17974</v>
      </c>
      <c r="R8877" t="s">
        <v>235</v>
      </c>
      <c r="S8877" t="s">
        <v>236</v>
      </c>
      <c r="T8877" t="s">
        <v>17975</v>
      </c>
      <c r="U8877" t="s">
        <v>17976</v>
      </c>
      <c r="V8877" t="s">
        <v>17977</v>
      </c>
      <c r="W8877" t="s">
        <v>17978</v>
      </c>
      <c r="AD8877" t="s">
        <v>166</v>
      </c>
      <c r="AE8877" t="s">
        <v>818</v>
      </c>
      <c r="AF8877" t="s">
        <v>17980</v>
      </c>
    </row>
    <row r="8878" spans="1:32" hidden="1" x14ac:dyDescent="0.35">
      <c r="A8878">
        <v>8877</v>
      </c>
      <c r="B8878" t="s">
        <v>17981</v>
      </c>
      <c r="C8878" t="s">
        <v>277</v>
      </c>
      <c r="D8878" t="s">
        <v>34</v>
      </c>
      <c r="E8878">
        <v>1164</v>
      </c>
      <c r="F8878">
        <v>2</v>
      </c>
      <c r="G8878">
        <v>2</v>
      </c>
      <c r="H8878">
        <v>1</v>
      </c>
      <c r="I8878">
        <v>0</v>
      </c>
      <c r="J8878">
        <v>0.99180327868852503</v>
      </c>
      <c r="K8878">
        <v>1</v>
      </c>
      <c r="L8878">
        <v>0.99588477366255101</v>
      </c>
      <c r="M8878">
        <v>0.99180327868852503</v>
      </c>
      <c r="N8878">
        <v>0.99180327868852503</v>
      </c>
      <c r="O8878">
        <v>0.99180327868852503</v>
      </c>
      <c r="P8878" t="s">
        <v>16211</v>
      </c>
      <c r="Q8878" t="s">
        <v>16212</v>
      </c>
      <c r="R8878" t="s">
        <v>319</v>
      </c>
      <c r="S8878" t="s">
        <v>320</v>
      </c>
      <c r="T8878" t="s">
        <v>17982</v>
      </c>
      <c r="U8878" t="s">
        <v>17983</v>
      </c>
      <c r="V8878" t="s">
        <v>17984</v>
      </c>
      <c r="W8878" t="s">
        <v>17985</v>
      </c>
      <c r="AD8878" t="s">
        <v>219</v>
      </c>
      <c r="AE8878" t="s">
        <v>17986</v>
      </c>
      <c r="AF8878" t="s">
        <v>17987</v>
      </c>
    </row>
    <row r="8879" spans="1:32" hidden="1" x14ac:dyDescent="0.35">
      <c r="A8879">
        <v>8878</v>
      </c>
      <c r="B8879" t="s">
        <v>17981</v>
      </c>
      <c r="C8879" t="s">
        <v>277</v>
      </c>
      <c r="D8879" t="s">
        <v>45</v>
      </c>
      <c r="E8879">
        <v>2409</v>
      </c>
      <c r="F8879">
        <v>2</v>
      </c>
      <c r="G8879">
        <v>2</v>
      </c>
      <c r="H8879">
        <v>1</v>
      </c>
      <c r="I8879">
        <v>0</v>
      </c>
      <c r="J8879">
        <v>0.99180327868852503</v>
      </c>
      <c r="K8879">
        <v>1</v>
      </c>
      <c r="L8879">
        <v>0.99588477366255101</v>
      </c>
      <c r="M8879">
        <v>0.99180327868852503</v>
      </c>
      <c r="N8879">
        <v>0.99180327868852503</v>
      </c>
      <c r="O8879">
        <v>0.99180327868852503</v>
      </c>
      <c r="P8879" t="s">
        <v>16211</v>
      </c>
      <c r="Q8879" t="s">
        <v>16212</v>
      </c>
      <c r="R8879" t="s">
        <v>319</v>
      </c>
      <c r="S8879" t="s">
        <v>320</v>
      </c>
      <c r="T8879" t="s">
        <v>17982</v>
      </c>
      <c r="U8879" t="s">
        <v>17983</v>
      </c>
      <c r="V8879" t="s">
        <v>17984</v>
      </c>
      <c r="W8879" t="s">
        <v>17985</v>
      </c>
      <c r="AD8879" t="s">
        <v>219</v>
      </c>
      <c r="AE8879" t="s">
        <v>17986</v>
      </c>
      <c r="AF8879" t="s">
        <v>17988</v>
      </c>
    </row>
    <row r="8880" spans="1:32" hidden="1" x14ac:dyDescent="0.35">
      <c r="A8880">
        <v>8879</v>
      </c>
      <c r="B8880" t="s">
        <v>17989</v>
      </c>
      <c r="C8880" t="s">
        <v>277</v>
      </c>
      <c r="D8880" t="s">
        <v>60</v>
      </c>
      <c r="E8880">
        <v>1813</v>
      </c>
      <c r="F8880">
        <v>2</v>
      </c>
      <c r="G8880">
        <v>2</v>
      </c>
      <c r="H8880">
        <v>1</v>
      </c>
      <c r="I8880">
        <v>0</v>
      </c>
      <c r="J8880">
        <v>0.99111111111111105</v>
      </c>
      <c r="K8880">
        <v>1</v>
      </c>
      <c r="L8880">
        <v>0.99553571428571397</v>
      </c>
      <c r="M8880">
        <v>0.99111111111111105</v>
      </c>
      <c r="N8880">
        <v>0.99111111111111105</v>
      </c>
      <c r="O8880">
        <v>0.99111111111111105</v>
      </c>
      <c r="P8880" t="s">
        <v>17990</v>
      </c>
      <c r="Q8880" t="s">
        <v>17991</v>
      </c>
      <c r="R8880" t="s">
        <v>96</v>
      </c>
      <c r="S8880" t="s">
        <v>97</v>
      </c>
      <c r="T8880" t="s">
        <v>17992</v>
      </c>
      <c r="U8880" t="s">
        <v>15581</v>
      </c>
      <c r="V8880" t="s">
        <v>17993</v>
      </c>
      <c r="W8880" t="s">
        <v>17994</v>
      </c>
      <c r="AD8880" t="s">
        <v>410</v>
      </c>
      <c r="AE8880" t="s">
        <v>1637</v>
      </c>
      <c r="AF8880" t="s">
        <v>17995</v>
      </c>
    </row>
    <row r="8881" spans="1:32" hidden="1" x14ac:dyDescent="0.35">
      <c r="A8881">
        <v>8880</v>
      </c>
      <c r="B8881" t="s">
        <v>17989</v>
      </c>
      <c r="C8881" t="s">
        <v>277</v>
      </c>
      <c r="D8881" t="s">
        <v>62</v>
      </c>
      <c r="E8881">
        <v>1851</v>
      </c>
      <c r="F8881">
        <v>2</v>
      </c>
      <c r="G8881">
        <v>2</v>
      </c>
      <c r="H8881">
        <v>1</v>
      </c>
      <c r="I8881">
        <v>0</v>
      </c>
      <c r="J8881">
        <v>0.99111111111111105</v>
      </c>
      <c r="K8881">
        <v>1</v>
      </c>
      <c r="L8881">
        <v>0.99553571428571397</v>
      </c>
      <c r="M8881">
        <v>0.99111111111111105</v>
      </c>
      <c r="N8881">
        <v>0.99111111111111105</v>
      </c>
      <c r="O8881">
        <v>0.99111111111111105</v>
      </c>
      <c r="P8881" t="s">
        <v>17990</v>
      </c>
      <c r="Q8881" t="s">
        <v>17991</v>
      </c>
      <c r="R8881" t="s">
        <v>96</v>
      </c>
      <c r="S8881" t="s">
        <v>97</v>
      </c>
      <c r="T8881" t="s">
        <v>17992</v>
      </c>
      <c r="U8881" t="s">
        <v>15581</v>
      </c>
      <c r="V8881" t="s">
        <v>17993</v>
      </c>
      <c r="W8881" t="s">
        <v>17994</v>
      </c>
      <c r="AD8881" t="s">
        <v>410</v>
      </c>
      <c r="AE8881" t="s">
        <v>1637</v>
      </c>
      <c r="AF8881" t="s">
        <v>17996</v>
      </c>
    </row>
    <row r="8882" spans="1:32" hidden="1" x14ac:dyDescent="0.35">
      <c r="A8882">
        <v>8881</v>
      </c>
      <c r="B8882" t="s">
        <v>17997</v>
      </c>
      <c r="C8882" t="s">
        <v>277</v>
      </c>
      <c r="D8882" t="s">
        <v>60</v>
      </c>
      <c r="E8882">
        <v>2129</v>
      </c>
      <c r="F8882">
        <v>2</v>
      </c>
      <c r="G8882">
        <v>2</v>
      </c>
      <c r="H8882">
        <v>1</v>
      </c>
      <c r="I8882">
        <v>0</v>
      </c>
      <c r="J8882">
        <v>0.952380952380952</v>
      </c>
      <c r="K8882">
        <v>1</v>
      </c>
      <c r="L8882">
        <v>0.97560975609756095</v>
      </c>
      <c r="M8882">
        <v>0.94117647058823495</v>
      </c>
      <c r="N8882">
        <v>0.94117647058823495</v>
      </c>
      <c r="O8882">
        <v>0.94117647058823495</v>
      </c>
      <c r="P8882" t="s">
        <v>17998</v>
      </c>
      <c r="Q8882" t="s">
        <v>17999</v>
      </c>
      <c r="R8882" t="s">
        <v>113</v>
      </c>
      <c r="S8882" t="s">
        <v>114</v>
      </c>
      <c r="T8882" t="s">
        <v>18000</v>
      </c>
      <c r="U8882" t="s">
        <v>18001</v>
      </c>
      <c r="V8882" t="s">
        <v>18002</v>
      </c>
      <c r="W8882" t="s">
        <v>18003</v>
      </c>
      <c r="AD8882" t="s">
        <v>410</v>
      </c>
      <c r="AE8882" t="s">
        <v>18004</v>
      </c>
      <c r="AF8882" t="s">
        <v>18005</v>
      </c>
    </row>
    <row r="8883" spans="1:32" hidden="1" x14ac:dyDescent="0.35">
      <c r="A8883">
        <v>8882</v>
      </c>
      <c r="B8883" t="s">
        <v>17997</v>
      </c>
      <c r="C8883" t="s">
        <v>277</v>
      </c>
      <c r="D8883" t="s">
        <v>62</v>
      </c>
      <c r="E8883">
        <v>2163</v>
      </c>
      <c r="F8883">
        <v>2</v>
      </c>
      <c r="G8883">
        <v>2</v>
      </c>
      <c r="H8883">
        <v>1</v>
      </c>
      <c r="I8883">
        <v>0</v>
      </c>
      <c r="J8883">
        <v>0.952380952380952</v>
      </c>
      <c r="K8883">
        <v>1</v>
      </c>
      <c r="L8883">
        <v>0.97560975609756095</v>
      </c>
      <c r="M8883">
        <v>0.94117647058823495</v>
      </c>
      <c r="N8883">
        <v>0.94117647058823495</v>
      </c>
      <c r="O8883">
        <v>0.94117647058823495</v>
      </c>
      <c r="P8883" t="s">
        <v>17998</v>
      </c>
      <c r="Q8883" t="s">
        <v>17999</v>
      </c>
      <c r="R8883" t="s">
        <v>113</v>
      </c>
      <c r="S8883" t="s">
        <v>114</v>
      </c>
      <c r="V8883" t="s">
        <v>18002</v>
      </c>
      <c r="W8883" t="s">
        <v>18003</v>
      </c>
      <c r="AF8883" t="s">
        <v>18006</v>
      </c>
    </row>
    <row r="8884" spans="1:32" hidden="1" x14ac:dyDescent="0.35">
      <c r="A8884">
        <v>8883</v>
      </c>
      <c r="B8884" t="s">
        <v>18007</v>
      </c>
      <c r="C8884" t="s">
        <v>277</v>
      </c>
      <c r="D8884" t="s">
        <v>34</v>
      </c>
      <c r="E8884">
        <v>703</v>
      </c>
      <c r="F8884">
        <v>2</v>
      </c>
      <c r="G8884">
        <v>2</v>
      </c>
      <c r="H8884">
        <v>1</v>
      </c>
      <c r="I8884">
        <v>0</v>
      </c>
      <c r="J8884">
        <v>0.994994994994995</v>
      </c>
      <c r="K8884">
        <v>1</v>
      </c>
      <c r="L8884">
        <v>0.997491219267436</v>
      </c>
      <c r="M8884">
        <v>0.99099099099099097</v>
      </c>
      <c r="N8884">
        <v>0.99099099099099097</v>
      </c>
      <c r="O8884">
        <v>0.99099099099099097</v>
      </c>
      <c r="P8884" t="s">
        <v>8909</v>
      </c>
      <c r="Q8884" t="s">
        <v>8910</v>
      </c>
      <c r="R8884" t="s">
        <v>342</v>
      </c>
      <c r="S8884" t="s">
        <v>343</v>
      </c>
      <c r="T8884" t="s">
        <v>12565</v>
      </c>
      <c r="U8884" t="s">
        <v>12566</v>
      </c>
      <c r="V8884" t="s">
        <v>8913</v>
      </c>
      <c r="W8884" t="s">
        <v>8914</v>
      </c>
      <c r="AD8884" t="s">
        <v>439</v>
      </c>
      <c r="AE8884" t="s">
        <v>11415</v>
      </c>
      <c r="AF8884" t="s">
        <v>18008</v>
      </c>
    </row>
    <row r="8885" spans="1:32" hidden="1" x14ac:dyDescent="0.35">
      <c r="A8885">
        <v>8884</v>
      </c>
      <c r="B8885" t="s">
        <v>18007</v>
      </c>
      <c r="C8885" t="s">
        <v>277</v>
      </c>
      <c r="D8885" t="s">
        <v>45</v>
      </c>
      <c r="E8885">
        <v>1969</v>
      </c>
      <c r="F8885">
        <v>2</v>
      </c>
      <c r="G8885">
        <v>2</v>
      </c>
      <c r="H8885">
        <v>1</v>
      </c>
      <c r="I8885">
        <v>0</v>
      </c>
      <c r="J8885">
        <v>0.994994994994995</v>
      </c>
      <c r="K8885">
        <v>1</v>
      </c>
      <c r="L8885">
        <v>0.997491219267436</v>
      </c>
      <c r="M8885">
        <v>0.99099099099099097</v>
      </c>
      <c r="N8885">
        <v>0.99099099099099097</v>
      </c>
      <c r="O8885">
        <v>0.99099099099099097</v>
      </c>
      <c r="P8885" t="s">
        <v>8909</v>
      </c>
      <c r="Q8885" t="s">
        <v>8910</v>
      </c>
      <c r="R8885" t="s">
        <v>342</v>
      </c>
      <c r="S8885" t="s">
        <v>343</v>
      </c>
      <c r="T8885" t="s">
        <v>12565</v>
      </c>
      <c r="U8885" t="s">
        <v>12566</v>
      </c>
      <c r="V8885" t="s">
        <v>8913</v>
      </c>
      <c r="W8885" t="s">
        <v>8914</v>
      </c>
      <c r="AD8885" t="s">
        <v>439</v>
      </c>
      <c r="AE8885" t="s">
        <v>11415</v>
      </c>
      <c r="AF8885" t="s">
        <v>18009</v>
      </c>
    </row>
    <row r="8886" spans="1:32" hidden="1" x14ac:dyDescent="0.35">
      <c r="A8886">
        <v>8885</v>
      </c>
      <c r="B8886" t="s">
        <v>18010</v>
      </c>
      <c r="C8886" t="s">
        <v>277</v>
      </c>
      <c r="D8886" t="s">
        <v>34</v>
      </c>
      <c r="E8886">
        <v>880</v>
      </c>
      <c r="F8886">
        <v>2</v>
      </c>
      <c r="G8886">
        <v>2</v>
      </c>
      <c r="H8886">
        <v>1</v>
      </c>
      <c r="I8886">
        <v>0</v>
      </c>
      <c r="J8886">
        <v>0.98690242305173503</v>
      </c>
      <c r="K8886">
        <v>1</v>
      </c>
      <c r="L8886">
        <v>0.99340804218852996</v>
      </c>
      <c r="M8886">
        <v>0.98428290766208204</v>
      </c>
      <c r="N8886">
        <v>0.98428290766208204</v>
      </c>
      <c r="O8886">
        <v>0.98428290766208204</v>
      </c>
      <c r="P8886" t="s">
        <v>16753</v>
      </c>
      <c r="Q8886" t="s">
        <v>16754</v>
      </c>
      <c r="R8886" t="s">
        <v>5842</v>
      </c>
      <c r="S8886" t="s">
        <v>5843</v>
      </c>
      <c r="T8886" t="s">
        <v>18011</v>
      </c>
      <c r="U8886" t="s">
        <v>18012</v>
      </c>
      <c r="V8886" t="s">
        <v>18013</v>
      </c>
      <c r="W8886" t="s">
        <v>18014</v>
      </c>
      <c r="Z8886" t="s">
        <v>6065</v>
      </c>
      <c r="AA8886" t="s">
        <v>6066</v>
      </c>
      <c r="AB8886" t="s">
        <v>6065</v>
      </c>
      <c r="AC8886" t="s">
        <v>4023</v>
      </c>
      <c r="AD8886" t="s">
        <v>147</v>
      </c>
      <c r="AE8886" t="s">
        <v>18015</v>
      </c>
      <c r="AF8886" t="s">
        <v>18016</v>
      </c>
    </row>
    <row r="8887" spans="1:32" hidden="1" x14ac:dyDescent="0.35">
      <c r="A8887">
        <v>8886</v>
      </c>
      <c r="B8887" t="s">
        <v>18010</v>
      </c>
      <c r="C8887" t="s">
        <v>277</v>
      </c>
      <c r="D8887" t="s">
        <v>45</v>
      </c>
      <c r="E8887">
        <v>2137</v>
      </c>
      <c r="F8887">
        <v>2</v>
      </c>
      <c r="G8887">
        <v>2</v>
      </c>
      <c r="H8887">
        <v>1</v>
      </c>
      <c r="I8887">
        <v>0</v>
      </c>
      <c r="J8887">
        <v>0.98690242305173503</v>
      </c>
      <c r="K8887">
        <v>1</v>
      </c>
      <c r="L8887">
        <v>0.99340804218852996</v>
      </c>
      <c r="M8887">
        <v>0.98428290766208204</v>
      </c>
      <c r="N8887">
        <v>0.98428290766208204</v>
      </c>
      <c r="O8887">
        <v>0.98428290766208204</v>
      </c>
      <c r="P8887" t="s">
        <v>16753</v>
      </c>
      <c r="Q8887" t="s">
        <v>16754</v>
      </c>
      <c r="R8887" t="s">
        <v>5842</v>
      </c>
      <c r="S8887" t="s">
        <v>5843</v>
      </c>
      <c r="T8887" t="s">
        <v>18011</v>
      </c>
      <c r="U8887" t="s">
        <v>18012</v>
      </c>
      <c r="V8887" t="s">
        <v>18013</v>
      </c>
      <c r="W8887" t="s">
        <v>18014</v>
      </c>
      <c r="Z8887" t="s">
        <v>6065</v>
      </c>
      <c r="AA8887" t="s">
        <v>6066</v>
      </c>
      <c r="AB8887" t="s">
        <v>6065</v>
      </c>
      <c r="AC8887" t="s">
        <v>4023</v>
      </c>
      <c r="AD8887" t="s">
        <v>147</v>
      </c>
      <c r="AE8887" t="s">
        <v>18015</v>
      </c>
      <c r="AF8887" t="s">
        <v>18017</v>
      </c>
    </row>
    <row r="8888" spans="1:32" hidden="1" x14ac:dyDescent="0.35">
      <c r="A8888">
        <v>8887</v>
      </c>
      <c r="B8888" t="s">
        <v>18018</v>
      </c>
      <c r="C8888" t="s">
        <v>277</v>
      </c>
      <c r="D8888" t="s">
        <v>34</v>
      </c>
      <c r="E8888">
        <v>487</v>
      </c>
      <c r="F8888">
        <v>2</v>
      </c>
      <c r="G8888">
        <v>2</v>
      </c>
      <c r="H8888">
        <v>1</v>
      </c>
      <c r="I8888">
        <v>0</v>
      </c>
      <c r="J8888">
        <v>0.99545454545454504</v>
      </c>
      <c r="K8888">
        <v>1</v>
      </c>
      <c r="L8888">
        <v>0.997722095671982</v>
      </c>
      <c r="M8888">
        <v>0.99545454545454504</v>
      </c>
      <c r="N8888">
        <v>0.99545454545454504</v>
      </c>
      <c r="O8888">
        <v>0.99545454545454504</v>
      </c>
      <c r="P8888" t="s">
        <v>16864</v>
      </c>
      <c r="Q8888" t="s">
        <v>16865</v>
      </c>
      <c r="AF8888" t="s">
        <v>18019</v>
      </c>
    </row>
    <row r="8889" spans="1:32" hidden="1" x14ac:dyDescent="0.35">
      <c r="A8889">
        <v>8888</v>
      </c>
      <c r="B8889" t="s">
        <v>18018</v>
      </c>
      <c r="C8889" t="s">
        <v>277</v>
      </c>
      <c r="D8889" t="s">
        <v>45</v>
      </c>
      <c r="E8889">
        <v>1752</v>
      </c>
      <c r="F8889">
        <v>2</v>
      </c>
      <c r="G8889">
        <v>2</v>
      </c>
      <c r="H8889">
        <v>1</v>
      </c>
      <c r="I8889">
        <v>0</v>
      </c>
      <c r="J8889">
        <v>0.99545454545454504</v>
      </c>
      <c r="K8889">
        <v>1</v>
      </c>
      <c r="L8889">
        <v>0.997722095671982</v>
      </c>
      <c r="M8889">
        <v>0.99545454545454504</v>
      </c>
      <c r="N8889">
        <v>0.99545454545454504</v>
      </c>
      <c r="O8889">
        <v>0.99545454545454504</v>
      </c>
      <c r="P8889" t="s">
        <v>16864</v>
      </c>
      <c r="Q8889" t="s">
        <v>16865</v>
      </c>
      <c r="AF8889" t="s">
        <v>18020</v>
      </c>
    </row>
    <row r="8890" spans="1:32" hidden="1" x14ac:dyDescent="0.35">
      <c r="A8890">
        <v>8889</v>
      </c>
      <c r="B8890" t="s">
        <v>18021</v>
      </c>
      <c r="C8890" t="s">
        <v>277</v>
      </c>
      <c r="D8890" t="s">
        <v>60</v>
      </c>
      <c r="E8890">
        <v>1816</v>
      </c>
      <c r="F8890">
        <v>2</v>
      </c>
      <c r="G8890">
        <v>2</v>
      </c>
      <c r="H8890">
        <v>1</v>
      </c>
      <c r="I8890">
        <v>0</v>
      </c>
      <c r="J8890">
        <v>0.993311036789298</v>
      </c>
      <c r="K8890">
        <v>1</v>
      </c>
      <c r="L8890">
        <v>0.99664429530201304</v>
      </c>
      <c r="M8890">
        <v>0.98662207357859499</v>
      </c>
      <c r="N8890">
        <v>0.98662207357859499</v>
      </c>
      <c r="O8890">
        <v>0.98662207357859499</v>
      </c>
      <c r="P8890" t="s">
        <v>18022</v>
      </c>
      <c r="Q8890" t="s">
        <v>18023</v>
      </c>
      <c r="R8890" t="s">
        <v>235</v>
      </c>
      <c r="S8890" t="s">
        <v>236</v>
      </c>
      <c r="T8890" t="s">
        <v>18024</v>
      </c>
      <c r="U8890" t="s">
        <v>18025</v>
      </c>
      <c r="V8890" t="s">
        <v>18026</v>
      </c>
      <c r="W8890" t="s">
        <v>18027</v>
      </c>
      <c r="AD8890" t="s">
        <v>166</v>
      </c>
      <c r="AE8890" t="s">
        <v>2843</v>
      </c>
      <c r="AF8890" t="s">
        <v>18028</v>
      </c>
    </row>
    <row r="8891" spans="1:32" hidden="1" x14ac:dyDescent="0.35">
      <c r="A8891">
        <v>8890</v>
      </c>
      <c r="B8891" t="s">
        <v>18021</v>
      </c>
      <c r="C8891" t="s">
        <v>277</v>
      </c>
      <c r="D8891" t="s">
        <v>62</v>
      </c>
      <c r="E8891">
        <v>1854</v>
      </c>
      <c r="F8891">
        <v>2</v>
      </c>
      <c r="G8891">
        <v>2</v>
      </c>
      <c r="H8891">
        <v>1</v>
      </c>
      <c r="I8891">
        <v>0</v>
      </c>
      <c r="J8891">
        <v>0.993311036789298</v>
      </c>
      <c r="K8891">
        <v>1</v>
      </c>
      <c r="L8891">
        <v>0.99664429530201304</v>
      </c>
      <c r="M8891">
        <v>0.98662207357859499</v>
      </c>
      <c r="N8891">
        <v>0.98662207357859499</v>
      </c>
      <c r="O8891">
        <v>0.98662207357859499</v>
      </c>
      <c r="P8891" t="s">
        <v>18022</v>
      </c>
      <c r="Q8891" t="s">
        <v>18023</v>
      </c>
      <c r="R8891" t="s">
        <v>235</v>
      </c>
      <c r="S8891" t="s">
        <v>236</v>
      </c>
      <c r="T8891" t="s">
        <v>18024</v>
      </c>
      <c r="U8891" t="s">
        <v>18025</v>
      </c>
      <c r="V8891" t="s">
        <v>18026</v>
      </c>
      <c r="W8891" t="s">
        <v>18027</v>
      </c>
      <c r="AD8891" t="s">
        <v>166</v>
      </c>
      <c r="AE8891" t="s">
        <v>2843</v>
      </c>
      <c r="AF8891" t="s">
        <v>18029</v>
      </c>
    </row>
    <row r="8892" spans="1:32" hidden="1" x14ac:dyDescent="0.35">
      <c r="A8892">
        <v>8891</v>
      </c>
      <c r="B8892" t="s">
        <v>18030</v>
      </c>
      <c r="C8892" t="s">
        <v>277</v>
      </c>
      <c r="D8892" t="s">
        <v>34</v>
      </c>
      <c r="E8892">
        <v>1862</v>
      </c>
      <c r="F8892">
        <v>2</v>
      </c>
      <c r="G8892">
        <v>2</v>
      </c>
      <c r="H8892">
        <v>1</v>
      </c>
      <c r="I8892">
        <v>0</v>
      </c>
      <c r="J8892">
        <v>0.99470899470899499</v>
      </c>
      <c r="K8892">
        <v>1</v>
      </c>
      <c r="L8892">
        <v>0.99734748010610097</v>
      </c>
      <c r="M8892">
        <v>0.99470899470899499</v>
      </c>
      <c r="N8892">
        <v>0.99470899470899499</v>
      </c>
      <c r="O8892">
        <v>0.99470899470899499</v>
      </c>
      <c r="AF8892" t="s">
        <v>18031</v>
      </c>
    </row>
    <row r="8893" spans="1:32" hidden="1" x14ac:dyDescent="0.35">
      <c r="A8893">
        <v>8892</v>
      </c>
      <c r="B8893" t="s">
        <v>18030</v>
      </c>
      <c r="C8893" t="s">
        <v>277</v>
      </c>
      <c r="D8893" t="s">
        <v>45</v>
      </c>
      <c r="E8893">
        <v>1011</v>
      </c>
      <c r="F8893">
        <v>2</v>
      </c>
      <c r="G8893">
        <v>2</v>
      </c>
      <c r="H8893">
        <v>1</v>
      </c>
      <c r="I8893">
        <v>0</v>
      </c>
      <c r="J8893">
        <v>0.99470899470899499</v>
      </c>
      <c r="K8893">
        <v>1</v>
      </c>
      <c r="L8893">
        <v>0.99734748010610097</v>
      </c>
      <c r="M8893">
        <v>0.99470899470899499</v>
      </c>
      <c r="N8893">
        <v>0.99470899470899499</v>
      </c>
      <c r="O8893">
        <v>0.99470899470899499</v>
      </c>
      <c r="AF8893" t="s">
        <v>18032</v>
      </c>
    </row>
    <row r="8894" spans="1:32" hidden="1" x14ac:dyDescent="0.35">
      <c r="A8894">
        <v>8893</v>
      </c>
      <c r="B8894" t="s">
        <v>18033</v>
      </c>
      <c r="C8894" t="s">
        <v>277</v>
      </c>
      <c r="D8894" t="s">
        <v>34</v>
      </c>
      <c r="E8894">
        <v>1592</v>
      </c>
      <c r="F8894">
        <v>2</v>
      </c>
      <c r="G8894">
        <v>2</v>
      </c>
      <c r="H8894">
        <v>1</v>
      </c>
      <c r="I8894">
        <v>0</v>
      </c>
      <c r="J8894">
        <v>0.99701715137956703</v>
      </c>
      <c r="K8894">
        <v>1</v>
      </c>
      <c r="L8894">
        <v>0.99850634802091098</v>
      </c>
      <c r="M8894">
        <v>0.99552572706935105</v>
      </c>
      <c r="N8894">
        <v>0.99552572706935105</v>
      </c>
      <c r="O8894">
        <v>0.99552572706935105</v>
      </c>
      <c r="P8894" t="s">
        <v>6358</v>
      </c>
      <c r="Q8894" t="s">
        <v>6359</v>
      </c>
      <c r="R8894" t="s">
        <v>1474</v>
      </c>
      <c r="S8894" t="s">
        <v>1475</v>
      </c>
      <c r="T8894" t="s">
        <v>11405</v>
      </c>
      <c r="U8894" t="s">
        <v>11406</v>
      </c>
      <c r="V8894" t="s">
        <v>6362</v>
      </c>
      <c r="W8894" t="s">
        <v>6363</v>
      </c>
      <c r="AD8894" t="s">
        <v>4789</v>
      </c>
      <c r="AE8894" t="s">
        <v>4790</v>
      </c>
      <c r="AF8894" t="s">
        <v>18034</v>
      </c>
    </row>
    <row r="8895" spans="1:32" hidden="1" x14ac:dyDescent="0.35">
      <c r="A8895">
        <v>8894</v>
      </c>
      <c r="B8895" t="s">
        <v>18033</v>
      </c>
      <c r="C8895" t="s">
        <v>277</v>
      </c>
      <c r="D8895" t="s">
        <v>45</v>
      </c>
      <c r="E8895">
        <v>342</v>
      </c>
      <c r="F8895">
        <v>2</v>
      </c>
      <c r="G8895">
        <v>2</v>
      </c>
      <c r="H8895">
        <v>1</v>
      </c>
      <c r="I8895">
        <v>0</v>
      </c>
      <c r="J8895">
        <v>0.99701715137956703</v>
      </c>
      <c r="K8895">
        <v>1</v>
      </c>
      <c r="L8895">
        <v>0.99850634802091098</v>
      </c>
      <c r="M8895">
        <v>0.99552572706935105</v>
      </c>
      <c r="N8895">
        <v>0.99552572706935105</v>
      </c>
      <c r="O8895">
        <v>0.99552572706935105</v>
      </c>
      <c r="P8895" t="s">
        <v>6358</v>
      </c>
      <c r="Q8895" t="s">
        <v>6359</v>
      </c>
      <c r="R8895" t="s">
        <v>1474</v>
      </c>
      <c r="S8895" t="s">
        <v>1475</v>
      </c>
      <c r="T8895" t="s">
        <v>11405</v>
      </c>
      <c r="U8895" t="s">
        <v>11406</v>
      </c>
      <c r="V8895" t="s">
        <v>6362</v>
      </c>
      <c r="W8895" t="s">
        <v>6363</v>
      </c>
      <c r="AD8895" t="s">
        <v>4789</v>
      </c>
      <c r="AE8895" t="s">
        <v>4790</v>
      </c>
      <c r="AF8895" t="s">
        <v>18035</v>
      </c>
    </row>
    <row r="8896" spans="1:32" hidden="1" x14ac:dyDescent="0.35">
      <c r="A8896">
        <v>8895</v>
      </c>
      <c r="B8896" t="s">
        <v>18036</v>
      </c>
      <c r="C8896" t="s">
        <v>277</v>
      </c>
      <c r="D8896" t="s">
        <v>60</v>
      </c>
      <c r="E8896">
        <v>2052</v>
      </c>
      <c r="F8896">
        <v>2</v>
      </c>
      <c r="G8896">
        <v>2</v>
      </c>
      <c r="H8896">
        <v>1</v>
      </c>
      <c r="I8896">
        <v>0</v>
      </c>
      <c r="J8896">
        <v>0.90949227373068398</v>
      </c>
      <c r="K8896">
        <v>0.76302954292084801</v>
      </c>
      <c r="L8896">
        <v>0.82984803786192296</v>
      </c>
      <c r="M8896">
        <v>0.65384615384615397</v>
      </c>
      <c r="N8896">
        <v>0.65384615384615397</v>
      </c>
      <c r="O8896">
        <v>0.65384615384615397</v>
      </c>
      <c r="AF8896" t="s">
        <v>18037</v>
      </c>
    </row>
    <row r="8897" spans="1:32" hidden="1" x14ac:dyDescent="0.35">
      <c r="A8897">
        <v>8896</v>
      </c>
      <c r="B8897" t="s">
        <v>18036</v>
      </c>
      <c r="C8897" t="s">
        <v>277</v>
      </c>
      <c r="D8897" t="s">
        <v>62</v>
      </c>
      <c r="E8897">
        <v>2089</v>
      </c>
      <c r="F8897">
        <v>2</v>
      </c>
      <c r="G8897">
        <v>2</v>
      </c>
      <c r="H8897">
        <v>1</v>
      </c>
      <c r="I8897">
        <v>0</v>
      </c>
      <c r="J8897">
        <v>0.90949227373068398</v>
      </c>
      <c r="K8897">
        <v>0.76302954292084801</v>
      </c>
      <c r="L8897">
        <v>0.82984803786192296</v>
      </c>
      <c r="M8897">
        <v>0.65384615384615397</v>
      </c>
      <c r="N8897">
        <v>0.65384615384615397</v>
      </c>
      <c r="O8897">
        <v>0.65384615384615397</v>
      </c>
      <c r="AF8897" t="s">
        <v>18038</v>
      </c>
    </row>
    <row r="8898" spans="1:32" hidden="1" x14ac:dyDescent="0.35">
      <c r="A8898">
        <v>8897</v>
      </c>
      <c r="B8898" t="s">
        <v>18039</v>
      </c>
      <c r="C8898" t="s">
        <v>277</v>
      </c>
      <c r="D8898" t="s">
        <v>34</v>
      </c>
      <c r="E8898">
        <v>1133</v>
      </c>
      <c r="F8898">
        <v>2</v>
      </c>
      <c r="G8898">
        <v>2</v>
      </c>
      <c r="H8898">
        <v>1</v>
      </c>
      <c r="I8898">
        <v>0</v>
      </c>
      <c r="J8898">
        <v>0.97795071335927397</v>
      </c>
      <c r="K8898">
        <v>1</v>
      </c>
      <c r="L8898">
        <v>0.98885245901639296</v>
      </c>
      <c r="M8898">
        <v>0.97276264591439698</v>
      </c>
      <c r="N8898">
        <v>0.97276264591439698</v>
      </c>
      <c r="O8898">
        <v>0.97276264591439698</v>
      </c>
      <c r="AF8898" t="s">
        <v>18040</v>
      </c>
    </row>
    <row r="8899" spans="1:32" hidden="1" x14ac:dyDescent="0.35">
      <c r="A8899">
        <v>8898</v>
      </c>
      <c r="B8899" t="s">
        <v>18039</v>
      </c>
      <c r="C8899" t="s">
        <v>277</v>
      </c>
      <c r="D8899" t="s">
        <v>45</v>
      </c>
      <c r="E8899">
        <v>2383</v>
      </c>
      <c r="F8899">
        <v>2</v>
      </c>
      <c r="G8899">
        <v>2</v>
      </c>
      <c r="H8899">
        <v>1</v>
      </c>
      <c r="I8899">
        <v>0</v>
      </c>
      <c r="J8899">
        <v>0.97795071335927397</v>
      </c>
      <c r="K8899">
        <v>1</v>
      </c>
      <c r="L8899">
        <v>0.98885245901639296</v>
      </c>
      <c r="M8899">
        <v>0.97276264591439698</v>
      </c>
      <c r="N8899">
        <v>0.97276264591439698</v>
      </c>
      <c r="O8899">
        <v>0.97276264591439698</v>
      </c>
      <c r="AF8899" t="s">
        <v>18041</v>
      </c>
    </row>
    <row r="8900" spans="1:32" hidden="1" x14ac:dyDescent="0.35">
      <c r="A8900">
        <v>8899</v>
      </c>
      <c r="B8900" t="s">
        <v>18042</v>
      </c>
      <c r="C8900" t="s">
        <v>277</v>
      </c>
      <c r="D8900" t="s">
        <v>60</v>
      </c>
      <c r="E8900">
        <v>33</v>
      </c>
      <c r="F8900">
        <v>2</v>
      </c>
      <c r="G8900">
        <v>2</v>
      </c>
      <c r="H8900">
        <v>1</v>
      </c>
      <c r="I8900">
        <v>0</v>
      </c>
      <c r="J8900">
        <v>0.99786780383795304</v>
      </c>
      <c r="K8900">
        <v>1</v>
      </c>
      <c r="L8900">
        <v>0.99893276414087495</v>
      </c>
      <c r="M8900">
        <v>0.99786780383795304</v>
      </c>
      <c r="N8900">
        <v>0.99786780383795304</v>
      </c>
      <c r="O8900">
        <v>0.99786780383795304</v>
      </c>
      <c r="P8900" t="s">
        <v>3647</v>
      </c>
      <c r="Q8900" t="s">
        <v>3648</v>
      </c>
      <c r="R8900" t="s">
        <v>10106</v>
      </c>
      <c r="S8900" t="s">
        <v>10107</v>
      </c>
      <c r="V8900" t="s">
        <v>10108</v>
      </c>
      <c r="W8900" t="s">
        <v>10109</v>
      </c>
      <c r="X8900" t="s">
        <v>10108</v>
      </c>
      <c r="Y8900" t="s">
        <v>1136</v>
      </c>
      <c r="AF8900" t="s">
        <v>18043</v>
      </c>
    </row>
    <row r="8901" spans="1:32" hidden="1" x14ac:dyDescent="0.35">
      <c r="A8901">
        <v>8900</v>
      </c>
      <c r="B8901" t="s">
        <v>18042</v>
      </c>
      <c r="C8901" t="s">
        <v>277</v>
      </c>
      <c r="D8901" t="s">
        <v>62</v>
      </c>
      <c r="E8901">
        <v>106</v>
      </c>
      <c r="F8901">
        <v>2</v>
      </c>
      <c r="G8901">
        <v>2</v>
      </c>
      <c r="H8901">
        <v>1</v>
      </c>
      <c r="I8901">
        <v>0</v>
      </c>
      <c r="J8901">
        <v>0.99786780383795304</v>
      </c>
      <c r="K8901">
        <v>1</v>
      </c>
      <c r="L8901">
        <v>0.99893276414087495</v>
      </c>
      <c r="M8901">
        <v>0.99786780383795304</v>
      </c>
      <c r="N8901">
        <v>0.99786780383795304</v>
      </c>
      <c r="O8901">
        <v>0.99786780383795304</v>
      </c>
      <c r="P8901" t="s">
        <v>3647</v>
      </c>
      <c r="Q8901" t="s">
        <v>3648</v>
      </c>
      <c r="R8901" t="s">
        <v>10106</v>
      </c>
      <c r="S8901" t="s">
        <v>10107</v>
      </c>
      <c r="V8901" t="s">
        <v>10108</v>
      </c>
      <c r="W8901" t="s">
        <v>10109</v>
      </c>
      <c r="X8901" t="s">
        <v>10108</v>
      </c>
      <c r="Y8901" t="s">
        <v>1136</v>
      </c>
      <c r="AF8901" t="s">
        <v>18044</v>
      </c>
    </row>
    <row r="8902" spans="1:32" hidden="1" x14ac:dyDescent="0.35">
      <c r="A8902">
        <v>8901</v>
      </c>
      <c r="B8902" t="s">
        <v>18045</v>
      </c>
      <c r="C8902" t="s">
        <v>277</v>
      </c>
      <c r="D8902" t="s">
        <v>34</v>
      </c>
      <c r="E8902">
        <v>1745</v>
      </c>
      <c r="F8902">
        <v>2</v>
      </c>
      <c r="G8902">
        <v>2</v>
      </c>
      <c r="H8902">
        <v>1</v>
      </c>
      <c r="I8902">
        <v>0</v>
      </c>
      <c r="J8902">
        <v>0.98412698412698396</v>
      </c>
      <c r="K8902">
        <v>1</v>
      </c>
      <c r="L8902">
        <v>0.99199999999999999</v>
      </c>
      <c r="M8902">
        <v>0.97435897435897401</v>
      </c>
      <c r="N8902">
        <v>0.97435897435897401</v>
      </c>
      <c r="O8902">
        <v>0.97435897435897401</v>
      </c>
      <c r="P8902" t="s">
        <v>12647</v>
      </c>
      <c r="Q8902" t="s">
        <v>12648</v>
      </c>
      <c r="R8902" t="s">
        <v>869</v>
      </c>
      <c r="S8902" t="s">
        <v>870</v>
      </c>
      <c r="T8902" t="s">
        <v>12649</v>
      </c>
      <c r="U8902" t="s">
        <v>12650</v>
      </c>
      <c r="V8902" t="s">
        <v>12651</v>
      </c>
      <c r="W8902" t="s">
        <v>12652</v>
      </c>
      <c r="Z8902" t="s">
        <v>4286</v>
      </c>
      <c r="AA8902" t="s">
        <v>4287</v>
      </c>
      <c r="AB8902" t="s">
        <v>4286</v>
      </c>
      <c r="AC8902" t="s">
        <v>729</v>
      </c>
      <c r="AD8902" t="s">
        <v>12653</v>
      </c>
      <c r="AE8902" t="s">
        <v>12654</v>
      </c>
      <c r="AF8902" t="s">
        <v>18046</v>
      </c>
    </row>
    <row r="8903" spans="1:32" hidden="1" x14ac:dyDescent="0.35">
      <c r="A8903">
        <v>8902</v>
      </c>
      <c r="B8903" t="s">
        <v>18045</v>
      </c>
      <c r="C8903" t="s">
        <v>277</v>
      </c>
      <c r="D8903" t="s">
        <v>45</v>
      </c>
      <c r="E8903">
        <v>1128</v>
      </c>
      <c r="F8903">
        <v>2</v>
      </c>
      <c r="G8903">
        <v>2</v>
      </c>
      <c r="H8903">
        <v>1</v>
      </c>
      <c r="I8903">
        <v>0</v>
      </c>
      <c r="J8903">
        <v>0.98412698412698396</v>
      </c>
      <c r="K8903">
        <v>1</v>
      </c>
      <c r="L8903">
        <v>0.99199999999999999</v>
      </c>
      <c r="M8903">
        <v>0.97435897435897401</v>
      </c>
      <c r="N8903">
        <v>0.97435897435897401</v>
      </c>
      <c r="O8903">
        <v>0.97435897435897401</v>
      </c>
      <c r="P8903" t="s">
        <v>12647</v>
      </c>
      <c r="Q8903" t="s">
        <v>12648</v>
      </c>
      <c r="R8903" t="s">
        <v>869</v>
      </c>
      <c r="S8903" t="s">
        <v>870</v>
      </c>
      <c r="T8903" t="s">
        <v>12649</v>
      </c>
      <c r="U8903" t="s">
        <v>12650</v>
      </c>
      <c r="V8903" t="s">
        <v>12651</v>
      </c>
      <c r="W8903" t="s">
        <v>12652</v>
      </c>
      <c r="Z8903" t="s">
        <v>4286</v>
      </c>
      <c r="AA8903" t="s">
        <v>4287</v>
      </c>
      <c r="AB8903" t="s">
        <v>4286</v>
      </c>
      <c r="AC8903" t="s">
        <v>729</v>
      </c>
      <c r="AD8903" t="s">
        <v>12653</v>
      </c>
      <c r="AE8903" t="s">
        <v>12654</v>
      </c>
      <c r="AF8903" t="s">
        <v>18047</v>
      </c>
    </row>
    <row r="8904" spans="1:32" hidden="1" x14ac:dyDescent="0.35">
      <c r="A8904">
        <v>8903</v>
      </c>
      <c r="B8904" t="s">
        <v>18048</v>
      </c>
      <c r="C8904" t="s">
        <v>277</v>
      </c>
      <c r="D8904" t="s">
        <v>60</v>
      </c>
      <c r="E8904">
        <v>1622</v>
      </c>
      <c r="F8904">
        <v>2</v>
      </c>
      <c r="G8904">
        <v>2</v>
      </c>
      <c r="H8904">
        <v>1</v>
      </c>
      <c r="I8904">
        <v>0</v>
      </c>
      <c r="J8904">
        <v>0.98312236286919796</v>
      </c>
      <c r="K8904">
        <v>0.85592171424150798</v>
      </c>
      <c r="L8904">
        <v>0.91512301266666296</v>
      </c>
      <c r="M8904">
        <v>0.82795698924731198</v>
      </c>
      <c r="N8904">
        <v>0.82795698924731198</v>
      </c>
      <c r="O8904">
        <v>0.82795698924731198</v>
      </c>
      <c r="R8904" t="s">
        <v>371</v>
      </c>
      <c r="S8904" t="s">
        <v>372</v>
      </c>
      <c r="V8904" t="s">
        <v>12084</v>
      </c>
      <c r="W8904" t="s">
        <v>12085</v>
      </c>
      <c r="AF8904" t="s">
        <v>18049</v>
      </c>
    </row>
    <row r="8905" spans="1:32" hidden="1" x14ac:dyDescent="0.35">
      <c r="A8905">
        <v>8904</v>
      </c>
      <c r="B8905" t="s">
        <v>18048</v>
      </c>
      <c r="C8905" t="s">
        <v>277</v>
      </c>
      <c r="D8905" t="s">
        <v>62</v>
      </c>
      <c r="E8905">
        <v>1658</v>
      </c>
      <c r="F8905">
        <v>2</v>
      </c>
      <c r="G8905">
        <v>2</v>
      </c>
      <c r="H8905">
        <v>1</v>
      </c>
      <c r="I8905">
        <v>0</v>
      </c>
      <c r="J8905">
        <v>0.98312236286919796</v>
      </c>
      <c r="K8905">
        <v>0.85592171424150798</v>
      </c>
      <c r="L8905">
        <v>0.91512301266666296</v>
      </c>
      <c r="M8905">
        <v>0.82795698924731198</v>
      </c>
      <c r="N8905">
        <v>0.82795698924731198</v>
      </c>
      <c r="O8905">
        <v>0.82795698924731198</v>
      </c>
      <c r="R8905" t="s">
        <v>371</v>
      </c>
      <c r="S8905" t="s">
        <v>372</v>
      </c>
      <c r="V8905" t="s">
        <v>12084</v>
      </c>
      <c r="W8905" t="s">
        <v>12085</v>
      </c>
      <c r="AF8905" t="e">
        <f>------------------------------MLRTEGSTHVDIITRARAHHLTAPEAVIDSWAAASYAGLSYWTDTAPVTLLMRSGFYKTTTLRRPNRRRLGASLETCTPDPEFPNLRTTMLPYAAAQCLRDIMNNAHGWWTYNVPGLSYGETRSVQFIDAIRQLDPHLNLGDIQAEAKGVVKKTIVEKAVGLSDPGAQSPPETALRLIAAQVHPGLTTQIPIYYGGRLVTRLDCGWCKEKVGLFYDGEHHLTRKQHDYDAEVTLILHDLGWESMRVTNA</f>
        <v>#NAME?</v>
      </c>
    </row>
    <row r="8906" spans="1:32" hidden="1" x14ac:dyDescent="0.35">
      <c r="A8906">
        <v>8905</v>
      </c>
      <c r="B8906" t="s">
        <v>18050</v>
      </c>
      <c r="C8906" t="s">
        <v>277</v>
      </c>
      <c r="D8906" t="s">
        <v>60</v>
      </c>
      <c r="E8906">
        <v>1855</v>
      </c>
      <c r="F8906">
        <v>2</v>
      </c>
      <c r="G8906">
        <v>2</v>
      </c>
      <c r="H8906">
        <v>1</v>
      </c>
      <c r="I8906">
        <v>0</v>
      </c>
      <c r="J8906">
        <v>0.97647058823529398</v>
      </c>
      <c r="K8906">
        <v>1</v>
      </c>
      <c r="L8906">
        <v>0.98809523809523803</v>
      </c>
      <c r="M8906">
        <v>0.97647058823529398</v>
      </c>
      <c r="N8906">
        <v>0.97647058823529398</v>
      </c>
      <c r="O8906">
        <v>0.97647058823529398</v>
      </c>
      <c r="P8906" t="s">
        <v>15066</v>
      </c>
      <c r="Q8906" t="s">
        <v>15067</v>
      </c>
      <c r="R8906" t="s">
        <v>75</v>
      </c>
      <c r="S8906" t="s">
        <v>76</v>
      </c>
      <c r="T8906" t="s">
        <v>15068</v>
      </c>
      <c r="U8906" t="s">
        <v>15069</v>
      </c>
      <c r="V8906" t="s">
        <v>15070</v>
      </c>
      <c r="W8906" t="s">
        <v>15071</v>
      </c>
      <c r="X8906" t="s">
        <v>15070</v>
      </c>
      <c r="Y8906" t="s">
        <v>2750</v>
      </c>
      <c r="Z8906" t="s">
        <v>15072</v>
      </c>
      <c r="AA8906" t="s">
        <v>15073</v>
      </c>
      <c r="AB8906" t="s">
        <v>15072</v>
      </c>
      <c r="AC8906" t="s">
        <v>15074</v>
      </c>
      <c r="AD8906" t="s">
        <v>15075</v>
      </c>
      <c r="AE8906" t="s">
        <v>15076</v>
      </c>
      <c r="AF8906" t="s">
        <v>18051</v>
      </c>
    </row>
    <row r="8907" spans="1:32" hidden="1" x14ac:dyDescent="0.35">
      <c r="A8907">
        <v>8906</v>
      </c>
      <c r="B8907" t="s">
        <v>18050</v>
      </c>
      <c r="C8907" t="s">
        <v>277</v>
      </c>
      <c r="D8907" t="s">
        <v>62</v>
      </c>
      <c r="E8907">
        <v>1893</v>
      </c>
      <c r="F8907">
        <v>2</v>
      </c>
      <c r="G8907">
        <v>2</v>
      </c>
      <c r="H8907">
        <v>1</v>
      </c>
      <c r="I8907">
        <v>0</v>
      </c>
      <c r="J8907">
        <v>0.97647058823529398</v>
      </c>
      <c r="K8907">
        <v>1</v>
      </c>
      <c r="L8907">
        <v>0.98809523809523803</v>
      </c>
      <c r="M8907">
        <v>0.97647058823529398</v>
      </c>
      <c r="N8907">
        <v>0.97647058823529398</v>
      </c>
      <c r="O8907">
        <v>0.97647058823529398</v>
      </c>
      <c r="P8907" t="s">
        <v>15066</v>
      </c>
      <c r="Q8907" t="s">
        <v>15067</v>
      </c>
      <c r="R8907" t="s">
        <v>75</v>
      </c>
      <c r="S8907" t="s">
        <v>76</v>
      </c>
      <c r="T8907" t="s">
        <v>15068</v>
      </c>
      <c r="U8907" t="s">
        <v>15069</v>
      </c>
      <c r="V8907" t="s">
        <v>15070</v>
      </c>
      <c r="W8907" t="s">
        <v>15071</v>
      </c>
      <c r="X8907" t="s">
        <v>15070</v>
      </c>
      <c r="Y8907" t="s">
        <v>2750</v>
      </c>
      <c r="Z8907" t="s">
        <v>15072</v>
      </c>
      <c r="AA8907" t="s">
        <v>15073</v>
      </c>
      <c r="AB8907" t="s">
        <v>15072</v>
      </c>
      <c r="AC8907" t="s">
        <v>15074</v>
      </c>
      <c r="AD8907" t="s">
        <v>15075</v>
      </c>
      <c r="AE8907" t="s">
        <v>15076</v>
      </c>
      <c r="AF8907" t="s">
        <v>18052</v>
      </c>
    </row>
    <row r="8908" spans="1:32" hidden="1" x14ac:dyDescent="0.35">
      <c r="A8908">
        <v>8907</v>
      </c>
      <c r="B8908" t="s">
        <v>18053</v>
      </c>
      <c r="C8908" t="s">
        <v>277</v>
      </c>
      <c r="D8908" t="s">
        <v>60</v>
      </c>
      <c r="E8908">
        <v>85</v>
      </c>
      <c r="F8908">
        <v>2</v>
      </c>
      <c r="G8908">
        <v>2</v>
      </c>
      <c r="H8908">
        <v>1</v>
      </c>
      <c r="I8908">
        <v>0</v>
      </c>
      <c r="J8908">
        <v>0.98639455782312901</v>
      </c>
      <c r="K8908">
        <v>0.98992462698046602</v>
      </c>
      <c r="L8908">
        <v>0.98815643972576495</v>
      </c>
      <c r="M8908">
        <v>0.96969696969696995</v>
      </c>
      <c r="N8908">
        <v>0.96969696969696995</v>
      </c>
      <c r="O8908">
        <v>0.96969696969696995</v>
      </c>
      <c r="P8908" t="s">
        <v>2233</v>
      </c>
      <c r="Q8908" t="s">
        <v>2234</v>
      </c>
      <c r="R8908" t="s">
        <v>288</v>
      </c>
      <c r="S8908" t="s">
        <v>289</v>
      </c>
      <c r="T8908" t="s">
        <v>18054</v>
      </c>
      <c r="U8908" t="s">
        <v>18055</v>
      </c>
      <c r="V8908" t="s">
        <v>18056</v>
      </c>
      <c r="W8908" t="s">
        <v>18057</v>
      </c>
      <c r="AD8908" t="s">
        <v>219</v>
      </c>
      <c r="AE8908" t="s">
        <v>18058</v>
      </c>
      <c r="AF8908" t="s">
        <v>18059</v>
      </c>
    </row>
    <row r="8909" spans="1:32" hidden="1" x14ac:dyDescent="0.35">
      <c r="A8909">
        <v>8908</v>
      </c>
      <c r="B8909" t="s">
        <v>18053</v>
      </c>
      <c r="C8909" t="s">
        <v>277</v>
      </c>
      <c r="D8909" t="s">
        <v>62</v>
      </c>
      <c r="E8909">
        <v>156</v>
      </c>
      <c r="F8909">
        <v>2</v>
      </c>
      <c r="G8909">
        <v>2</v>
      </c>
      <c r="H8909">
        <v>1</v>
      </c>
      <c r="I8909">
        <v>0</v>
      </c>
      <c r="J8909">
        <v>0.98639455782312901</v>
      </c>
      <c r="K8909">
        <v>0.98992462698046602</v>
      </c>
      <c r="L8909">
        <v>0.98815643972576495</v>
      </c>
      <c r="M8909">
        <v>0.96969696969696995</v>
      </c>
      <c r="N8909">
        <v>0.96969696969696995</v>
      </c>
      <c r="O8909">
        <v>0.96969696969696995</v>
      </c>
      <c r="P8909" t="s">
        <v>2233</v>
      </c>
      <c r="Q8909" t="s">
        <v>2234</v>
      </c>
      <c r="R8909" t="s">
        <v>288</v>
      </c>
      <c r="S8909" t="s">
        <v>289</v>
      </c>
      <c r="T8909" t="s">
        <v>18054</v>
      </c>
      <c r="U8909" t="s">
        <v>18055</v>
      </c>
      <c r="V8909" t="s">
        <v>18056</v>
      </c>
      <c r="W8909" t="s">
        <v>18057</v>
      </c>
      <c r="AD8909" t="s">
        <v>219</v>
      </c>
      <c r="AE8909" t="s">
        <v>18058</v>
      </c>
      <c r="AF8909" t="s">
        <v>18060</v>
      </c>
    </row>
    <row r="8910" spans="1:32" hidden="1" x14ac:dyDescent="0.35">
      <c r="A8910">
        <v>8909</v>
      </c>
      <c r="B8910" t="s">
        <v>18061</v>
      </c>
      <c r="C8910" t="s">
        <v>277</v>
      </c>
      <c r="D8910" t="s">
        <v>34</v>
      </c>
      <c r="E8910">
        <v>151</v>
      </c>
      <c r="F8910">
        <v>2</v>
      </c>
      <c r="G8910">
        <v>2</v>
      </c>
      <c r="H8910">
        <v>1</v>
      </c>
      <c r="I8910">
        <v>0</v>
      </c>
      <c r="J8910">
        <v>0.98202614379084996</v>
      </c>
      <c r="K8910">
        <v>1</v>
      </c>
      <c r="L8910">
        <v>0.99093157460840897</v>
      </c>
      <c r="M8910">
        <v>0.97549019607843102</v>
      </c>
      <c r="N8910">
        <v>0.97549019607843102</v>
      </c>
      <c r="O8910">
        <v>0.97549019607843102</v>
      </c>
      <c r="P8910" t="s">
        <v>18062</v>
      </c>
      <c r="Q8910" t="s">
        <v>18063</v>
      </c>
      <c r="R8910" t="s">
        <v>869</v>
      </c>
      <c r="S8910" t="s">
        <v>870</v>
      </c>
      <c r="T8910" t="s">
        <v>18064</v>
      </c>
      <c r="U8910" t="s">
        <v>18065</v>
      </c>
      <c r="V8910" t="s">
        <v>18066</v>
      </c>
      <c r="W8910" t="s">
        <v>18067</v>
      </c>
      <c r="X8910" t="s">
        <v>18066</v>
      </c>
      <c r="Y8910" t="s">
        <v>2116</v>
      </c>
      <c r="AD8910" t="s">
        <v>219</v>
      </c>
      <c r="AE8910" t="s">
        <v>18068</v>
      </c>
      <c r="AF8910" t="s">
        <v>18069</v>
      </c>
    </row>
    <row r="8911" spans="1:32" hidden="1" x14ac:dyDescent="0.35">
      <c r="A8911">
        <v>8910</v>
      </c>
      <c r="B8911" t="s">
        <v>18061</v>
      </c>
      <c r="C8911" t="s">
        <v>277</v>
      </c>
      <c r="D8911" t="s">
        <v>45</v>
      </c>
      <c r="E8911">
        <v>1412</v>
      </c>
      <c r="F8911">
        <v>2</v>
      </c>
      <c r="G8911">
        <v>2</v>
      </c>
      <c r="H8911">
        <v>1</v>
      </c>
      <c r="I8911">
        <v>0</v>
      </c>
      <c r="J8911">
        <v>0.98202614379084996</v>
      </c>
      <c r="K8911">
        <v>1</v>
      </c>
      <c r="L8911">
        <v>0.99093157460840897</v>
      </c>
      <c r="M8911">
        <v>0.97549019607843102</v>
      </c>
      <c r="N8911">
        <v>0.97549019607843102</v>
      </c>
      <c r="O8911">
        <v>0.97549019607843102</v>
      </c>
      <c r="P8911" t="s">
        <v>18062</v>
      </c>
      <c r="Q8911" t="s">
        <v>18063</v>
      </c>
      <c r="R8911" t="s">
        <v>869</v>
      </c>
      <c r="S8911" t="s">
        <v>870</v>
      </c>
      <c r="T8911" t="s">
        <v>18064</v>
      </c>
      <c r="U8911" t="s">
        <v>18065</v>
      </c>
      <c r="V8911" t="s">
        <v>18066</v>
      </c>
      <c r="W8911" t="s">
        <v>18067</v>
      </c>
      <c r="X8911" t="s">
        <v>18066</v>
      </c>
      <c r="Y8911" t="s">
        <v>2116</v>
      </c>
      <c r="AD8911" t="s">
        <v>219</v>
      </c>
      <c r="AE8911" t="s">
        <v>18068</v>
      </c>
      <c r="AF8911" t="s">
        <v>18070</v>
      </c>
    </row>
    <row r="8912" spans="1:32" hidden="1" x14ac:dyDescent="0.35">
      <c r="A8912">
        <v>8911</v>
      </c>
      <c r="B8912" t="s">
        <v>18071</v>
      </c>
      <c r="C8912" t="s">
        <v>277</v>
      </c>
      <c r="D8912" t="s">
        <v>34</v>
      </c>
      <c r="E8912">
        <v>1613</v>
      </c>
      <c r="F8912">
        <v>2</v>
      </c>
      <c r="G8912">
        <v>2</v>
      </c>
      <c r="H8912">
        <v>1</v>
      </c>
      <c r="I8912">
        <v>0</v>
      </c>
      <c r="J8912">
        <v>0.98867924528301898</v>
      </c>
      <c r="K8912">
        <v>1</v>
      </c>
      <c r="L8912">
        <v>0.99430740037950704</v>
      </c>
      <c r="M8912">
        <v>0.98867924528301898</v>
      </c>
      <c r="N8912">
        <v>0.98867924528301898</v>
      </c>
      <c r="O8912">
        <v>0.98867924528301898</v>
      </c>
      <c r="AF8912" t="s">
        <v>18072</v>
      </c>
    </row>
    <row r="8913" spans="1:32" hidden="1" x14ac:dyDescent="0.35">
      <c r="A8913">
        <v>8912</v>
      </c>
      <c r="B8913" t="s">
        <v>18071</v>
      </c>
      <c r="C8913" t="s">
        <v>277</v>
      </c>
      <c r="D8913" t="s">
        <v>45</v>
      </c>
      <c r="E8913">
        <v>364</v>
      </c>
      <c r="F8913">
        <v>2</v>
      </c>
      <c r="G8913">
        <v>2</v>
      </c>
      <c r="H8913">
        <v>1</v>
      </c>
      <c r="I8913">
        <v>0</v>
      </c>
      <c r="J8913">
        <v>0.98867924528301898</v>
      </c>
      <c r="K8913">
        <v>1</v>
      </c>
      <c r="L8913">
        <v>0.99430740037950704</v>
      </c>
      <c r="M8913">
        <v>0.98867924528301898</v>
      </c>
      <c r="N8913">
        <v>0.98867924528301898</v>
      </c>
      <c r="O8913">
        <v>0.98867924528301898</v>
      </c>
      <c r="AF8913" t="s">
        <v>18073</v>
      </c>
    </row>
    <row r="8914" spans="1:32" hidden="1" x14ac:dyDescent="0.35">
      <c r="A8914">
        <v>8913</v>
      </c>
      <c r="B8914" t="s">
        <v>18074</v>
      </c>
      <c r="C8914" t="s">
        <v>277</v>
      </c>
      <c r="D8914" t="s">
        <v>60</v>
      </c>
      <c r="E8914">
        <v>2351</v>
      </c>
      <c r="F8914">
        <v>2</v>
      </c>
      <c r="G8914">
        <v>2</v>
      </c>
      <c r="H8914">
        <v>1</v>
      </c>
      <c r="I8914">
        <v>0</v>
      </c>
      <c r="J8914">
        <v>0.97172619047619002</v>
      </c>
      <c r="K8914">
        <v>1</v>
      </c>
      <c r="L8914">
        <v>0.98566037735849099</v>
      </c>
      <c r="M8914">
        <v>0.96875</v>
      </c>
      <c r="N8914">
        <v>0.96875</v>
      </c>
      <c r="O8914">
        <v>0.96875</v>
      </c>
      <c r="P8914" t="s">
        <v>18075</v>
      </c>
      <c r="Q8914" t="s">
        <v>18076</v>
      </c>
      <c r="R8914" t="s">
        <v>869</v>
      </c>
      <c r="S8914" t="s">
        <v>870</v>
      </c>
      <c r="T8914" t="s">
        <v>18077</v>
      </c>
      <c r="U8914" t="s">
        <v>18078</v>
      </c>
      <c r="V8914" t="s">
        <v>18079</v>
      </c>
      <c r="W8914" t="s">
        <v>18080</v>
      </c>
      <c r="X8914" t="s">
        <v>18079</v>
      </c>
      <c r="Y8914" t="s">
        <v>1091</v>
      </c>
      <c r="Z8914" t="s">
        <v>18081</v>
      </c>
      <c r="AA8914" t="s">
        <v>18082</v>
      </c>
      <c r="AB8914" t="s">
        <v>18081</v>
      </c>
      <c r="AC8914" t="s">
        <v>1094</v>
      </c>
      <c r="AD8914" t="s">
        <v>219</v>
      </c>
      <c r="AE8914" t="s">
        <v>18083</v>
      </c>
      <c r="AF8914" t="s">
        <v>18084</v>
      </c>
    </row>
    <row r="8915" spans="1:32" hidden="1" x14ac:dyDescent="0.35">
      <c r="A8915">
        <v>8914</v>
      </c>
      <c r="B8915" t="s">
        <v>18074</v>
      </c>
      <c r="C8915" t="s">
        <v>277</v>
      </c>
      <c r="D8915" t="s">
        <v>62</v>
      </c>
      <c r="E8915">
        <v>2379</v>
      </c>
      <c r="F8915">
        <v>2</v>
      </c>
      <c r="G8915">
        <v>2</v>
      </c>
      <c r="H8915">
        <v>1</v>
      </c>
      <c r="I8915">
        <v>0</v>
      </c>
      <c r="J8915">
        <v>0.97172619047619002</v>
      </c>
      <c r="K8915">
        <v>1</v>
      </c>
      <c r="L8915">
        <v>0.98566037735849099</v>
      </c>
      <c r="M8915">
        <v>0.96875</v>
      </c>
      <c r="N8915">
        <v>0.96875</v>
      </c>
      <c r="O8915">
        <v>0.96875</v>
      </c>
      <c r="P8915" t="s">
        <v>18075</v>
      </c>
      <c r="Q8915" t="s">
        <v>18076</v>
      </c>
      <c r="R8915" t="s">
        <v>869</v>
      </c>
      <c r="S8915" t="s">
        <v>870</v>
      </c>
      <c r="T8915" t="s">
        <v>18077</v>
      </c>
      <c r="U8915" t="s">
        <v>18078</v>
      </c>
      <c r="V8915" t="s">
        <v>18079</v>
      </c>
      <c r="W8915" t="s">
        <v>18080</v>
      </c>
      <c r="X8915" t="s">
        <v>18079</v>
      </c>
      <c r="Y8915" t="s">
        <v>1091</v>
      </c>
      <c r="Z8915" t="s">
        <v>18081</v>
      </c>
      <c r="AA8915" t="s">
        <v>18082</v>
      </c>
      <c r="AB8915" t="s">
        <v>18081</v>
      </c>
      <c r="AC8915" t="s">
        <v>1094</v>
      </c>
      <c r="AD8915" t="s">
        <v>219</v>
      </c>
      <c r="AE8915" t="s">
        <v>18083</v>
      </c>
      <c r="AF8915" t="s">
        <v>18085</v>
      </c>
    </row>
    <row r="8916" spans="1:32" hidden="1" x14ac:dyDescent="0.35">
      <c r="A8916">
        <v>8915</v>
      </c>
      <c r="B8916" t="s">
        <v>18086</v>
      </c>
      <c r="C8916" t="s">
        <v>277</v>
      </c>
      <c r="D8916" t="s">
        <v>34</v>
      </c>
      <c r="E8916">
        <v>1580</v>
      </c>
      <c r="F8916">
        <v>2</v>
      </c>
      <c r="G8916">
        <v>2</v>
      </c>
      <c r="H8916">
        <v>1</v>
      </c>
      <c r="I8916">
        <v>0</v>
      </c>
      <c r="J8916">
        <v>0.99530516431924898</v>
      </c>
      <c r="K8916">
        <v>1</v>
      </c>
      <c r="L8916">
        <v>0.997647058823529</v>
      </c>
      <c r="M8916">
        <v>0.99530516431924898</v>
      </c>
      <c r="N8916">
        <v>0.99530516431924898</v>
      </c>
      <c r="O8916">
        <v>0.99530516431924898</v>
      </c>
      <c r="AF8916" t="s">
        <v>18087</v>
      </c>
    </row>
    <row r="8917" spans="1:32" hidden="1" x14ac:dyDescent="0.35">
      <c r="A8917">
        <v>8916</v>
      </c>
      <c r="B8917" t="s">
        <v>18086</v>
      </c>
      <c r="C8917" t="s">
        <v>277</v>
      </c>
      <c r="D8917" t="s">
        <v>45</v>
      </c>
      <c r="E8917">
        <v>330</v>
      </c>
      <c r="F8917">
        <v>2</v>
      </c>
      <c r="G8917">
        <v>2</v>
      </c>
      <c r="H8917">
        <v>1</v>
      </c>
      <c r="I8917">
        <v>0</v>
      </c>
      <c r="J8917">
        <v>0.99530516431924898</v>
      </c>
      <c r="K8917">
        <v>1</v>
      </c>
      <c r="L8917">
        <v>0.997647058823529</v>
      </c>
      <c r="M8917">
        <v>0.99530516431924898</v>
      </c>
      <c r="N8917">
        <v>0.99530516431924898</v>
      </c>
      <c r="O8917">
        <v>0.99530516431924898</v>
      </c>
      <c r="AF8917" t="s">
        <v>18088</v>
      </c>
    </row>
    <row r="8918" spans="1:32" hidden="1" x14ac:dyDescent="0.35">
      <c r="A8918">
        <v>8917</v>
      </c>
      <c r="B8918" t="s">
        <v>18089</v>
      </c>
      <c r="C8918" t="s">
        <v>277</v>
      </c>
      <c r="D8918" t="s">
        <v>60</v>
      </c>
      <c r="E8918">
        <v>1054</v>
      </c>
      <c r="F8918">
        <v>2</v>
      </c>
      <c r="G8918">
        <v>2</v>
      </c>
      <c r="H8918">
        <v>1</v>
      </c>
      <c r="I8918">
        <v>0</v>
      </c>
      <c r="J8918">
        <v>0.99606918238993702</v>
      </c>
      <c r="K8918">
        <v>1</v>
      </c>
      <c r="L8918">
        <v>0.99803072075620303</v>
      </c>
      <c r="M8918">
        <v>0.99292452830188704</v>
      </c>
      <c r="N8918">
        <v>0.99292452830188704</v>
      </c>
      <c r="O8918">
        <v>0.99292452830188704</v>
      </c>
      <c r="P8918" t="s">
        <v>12891</v>
      </c>
      <c r="Q8918" t="s">
        <v>12892</v>
      </c>
      <c r="R8918" t="s">
        <v>1259</v>
      </c>
      <c r="S8918" t="s">
        <v>1260</v>
      </c>
      <c r="T8918" t="s">
        <v>14577</v>
      </c>
      <c r="U8918" t="s">
        <v>14578</v>
      </c>
      <c r="V8918" t="s">
        <v>14579</v>
      </c>
      <c r="W8918" t="s">
        <v>2923</v>
      </c>
      <c r="AD8918" t="s">
        <v>5013</v>
      </c>
      <c r="AE8918" t="s">
        <v>5014</v>
      </c>
      <c r="AF8918" t="s">
        <v>18090</v>
      </c>
    </row>
    <row r="8919" spans="1:32" hidden="1" x14ac:dyDescent="0.35">
      <c r="A8919">
        <v>8918</v>
      </c>
      <c r="B8919" t="s">
        <v>18089</v>
      </c>
      <c r="C8919" t="s">
        <v>277</v>
      </c>
      <c r="D8919" t="s">
        <v>62</v>
      </c>
      <c r="E8919">
        <v>1090</v>
      </c>
      <c r="F8919">
        <v>2</v>
      </c>
      <c r="G8919">
        <v>2</v>
      </c>
      <c r="H8919">
        <v>1</v>
      </c>
      <c r="I8919">
        <v>0</v>
      </c>
      <c r="J8919">
        <v>0.99606918238993702</v>
      </c>
      <c r="K8919">
        <v>1</v>
      </c>
      <c r="L8919">
        <v>0.99803072075620303</v>
      </c>
      <c r="M8919">
        <v>0.99292452830188704</v>
      </c>
      <c r="N8919">
        <v>0.99292452830188704</v>
      </c>
      <c r="O8919">
        <v>0.99292452830188704</v>
      </c>
      <c r="P8919" t="s">
        <v>12891</v>
      </c>
      <c r="Q8919" t="s">
        <v>12892</v>
      </c>
      <c r="R8919" t="s">
        <v>1259</v>
      </c>
      <c r="S8919" t="s">
        <v>1260</v>
      </c>
      <c r="T8919" t="s">
        <v>14577</v>
      </c>
      <c r="U8919" t="s">
        <v>14578</v>
      </c>
      <c r="V8919" t="s">
        <v>14579</v>
      </c>
      <c r="W8919" t="s">
        <v>2923</v>
      </c>
      <c r="AD8919" t="s">
        <v>5013</v>
      </c>
      <c r="AE8919" t="s">
        <v>5014</v>
      </c>
      <c r="AF8919" t="s">
        <v>18091</v>
      </c>
    </row>
    <row r="8920" spans="1:32" hidden="1" x14ac:dyDescent="0.35">
      <c r="A8920">
        <v>8919</v>
      </c>
      <c r="B8920" t="s">
        <v>18092</v>
      </c>
      <c r="C8920" t="s">
        <v>277</v>
      </c>
      <c r="D8920" t="s">
        <v>34</v>
      </c>
      <c r="E8920">
        <v>1238</v>
      </c>
      <c r="F8920">
        <v>2</v>
      </c>
      <c r="G8920">
        <v>2</v>
      </c>
      <c r="H8920">
        <v>1</v>
      </c>
      <c r="I8920">
        <v>0</v>
      </c>
      <c r="J8920">
        <v>0.97711015736766804</v>
      </c>
      <c r="K8920">
        <v>1</v>
      </c>
      <c r="L8920">
        <v>0.98842257597684502</v>
      </c>
      <c r="M8920">
        <v>0.96566523605150201</v>
      </c>
      <c r="N8920">
        <v>0.96566523605150201</v>
      </c>
      <c r="O8920">
        <v>0.96566523605150201</v>
      </c>
      <c r="R8920" t="s">
        <v>113</v>
      </c>
      <c r="S8920" t="s">
        <v>114</v>
      </c>
      <c r="V8920" t="s">
        <v>18093</v>
      </c>
      <c r="W8920" t="s">
        <v>18094</v>
      </c>
      <c r="AF8920" t="s">
        <v>18095</v>
      </c>
    </row>
    <row r="8921" spans="1:32" hidden="1" x14ac:dyDescent="0.35">
      <c r="A8921">
        <v>8920</v>
      </c>
      <c r="B8921" t="s">
        <v>18092</v>
      </c>
      <c r="C8921" t="s">
        <v>277</v>
      </c>
      <c r="D8921" t="s">
        <v>45</v>
      </c>
      <c r="E8921">
        <v>2482</v>
      </c>
      <c r="F8921">
        <v>2</v>
      </c>
      <c r="G8921">
        <v>2</v>
      </c>
      <c r="H8921">
        <v>1</v>
      </c>
      <c r="I8921">
        <v>0</v>
      </c>
      <c r="J8921">
        <v>0.97711015736766804</v>
      </c>
      <c r="K8921">
        <v>1</v>
      </c>
      <c r="L8921">
        <v>0.98842257597684502</v>
      </c>
      <c r="M8921">
        <v>0.96566523605150201</v>
      </c>
      <c r="N8921">
        <v>0.96566523605150201</v>
      </c>
      <c r="O8921">
        <v>0.96566523605150201</v>
      </c>
      <c r="R8921" t="s">
        <v>113</v>
      </c>
      <c r="S8921" t="s">
        <v>114</v>
      </c>
      <c r="V8921" t="s">
        <v>18093</v>
      </c>
      <c r="W8921" t="s">
        <v>18094</v>
      </c>
      <c r="AF8921" t="s">
        <v>18096</v>
      </c>
    </row>
    <row r="8922" spans="1:32" hidden="1" x14ac:dyDescent="0.35">
      <c r="A8922">
        <v>8921</v>
      </c>
      <c r="B8922" t="s">
        <v>18097</v>
      </c>
      <c r="C8922" t="s">
        <v>277</v>
      </c>
      <c r="D8922" t="s">
        <v>60</v>
      </c>
      <c r="E8922">
        <v>1122</v>
      </c>
      <c r="F8922">
        <v>2</v>
      </c>
      <c r="G8922">
        <v>2</v>
      </c>
      <c r="H8922">
        <v>1</v>
      </c>
      <c r="I8922">
        <v>0</v>
      </c>
      <c r="J8922">
        <v>0.99248120300751896</v>
      </c>
      <c r="K8922">
        <v>1</v>
      </c>
      <c r="L8922">
        <v>0.99622641509433996</v>
      </c>
      <c r="M8922">
        <v>0.99248120300751896</v>
      </c>
      <c r="N8922">
        <v>0.99248120300751896</v>
      </c>
      <c r="O8922">
        <v>0.99248120300751896</v>
      </c>
      <c r="AF8922" t="s">
        <v>18098</v>
      </c>
    </row>
    <row r="8923" spans="1:32" hidden="1" x14ac:dyDescent="0.35">
      <c r="A8923">
        <v>8922</v>
      </c>
      <c r="B8923" t="s">
        <v>18097</v>
      </c>
      <c r="C8923" t="s">
        <v>277</v>
      </c>
      <c r="D8923" t="s">
        <v>62</v>
      </c>
      <c r="E8923">
        <v>1158</v>
      </c>
      <c r="F8923">
        <v>2</v>
      </c>
      <c r="G8923">
        <v>2</v>
      </c>
      <c r="H8923">
        <v>1</v>
      </c>
      <c r="I8923">
        <v>0</v>
      </c>
      <c r="J8923">
        <v>0.99248120300751896</v>
      </c>
      <c r="K8923">
        <v>1</v>
      </c>
      <c r="L8923">
        <v>0.99622641509433996</v>
      </c>
      <c r="M8923">
        <v>0.99248120300751896</v>
      </c>
      <c r="N8923">
        <v>0.99248120300751896</v>
      </c>
      <c r="O8923">
        <v>0.99248120300751896</v>
      </c>
      <c r="AF8923" t="s">
        <v>18099</v>
      </c>
    </row>
    <row r="8924" spans="1:32" hidden="1" x14ac:dyDescent="0.35">
      <c r="A8924">
        <v>8923</v>
      </c>
      <c r="B8924" t="s">
        <v>18100</v>
      </c>
      <c r="C8924" t="s">
        <v>277</v>
      </c>
      <c r="D8924" t="s">
        <v>34</v>
      </c>
      <c r="E8924">
        <v>202</v>
      </c>
      <c r="F8924">
        <v>2</v>
      </c>
      <c r="G8924">
        <v>2</v>
      </c>
      <c r="H8924">
        <v>1</v>
      </c>
      <c r="I8924">
        <v>0</v>
      </c>
      <c r="J8924">
        <v>0.97095959595959602</v>
      </c>
      <c r="K8924">
        <v>1</v>
      </c>
      <c r="L8924">
        <v>0.98526585522101195</v>
      </c>
      <c r="M8924">
        <v>0.95075757575757602</v>
      </c>
      <c r="N8924">
        <v>0.95075757575757602</v>
      </c>
      <c r="O8924">
        <v>0.95075757575757602</v>
      </c>
      <c r="P8924" t="s">
        <v>13409</v>
      </c>
      <c r="Q8924" t="s">
        <v>13410</v>
      </c>
      <c r="AF8924" t="s">
        <v>18101</v>
      </c>
    </row>
    <row r="8925" spans="1:32" hidden="1" x14ac:dyDescent="0.35">
      <c r="A8925">
        <v>8924</v>
      </c>
      <c r="B8925" t="s">
        <v>18100</v>
      </c>
      <c r="C8925" t="s">
        <v>277</v>
      </c>
      <c r="D8925" t="s">
        <v>45</v>
      </c>
      <c r="E8925">
        <v>1465</v>
      </c>
      <c r="F8925">
        <v>2</v>
      </c>
      <c r="G8925">
        <v>2</v>
      </c>
      <c r="H8925">
        <v>1</v>
      </c>
      <c r="I8925">
        <v>0</v>
      </c>
      <c r="J8925">
        <v>0.97095959595959602</v>
      </c>
      <c r="K8925">
        <v>1</v>
      </c>
      <c r="L8925">
        <v>0.98526585522101195</v>
      </c>
      <c r="M8925">
        <v>0.95075757575757602</v>
      </c>
      <c r="N8925">
        <v>0.95075757575757602</v>
      </c>
      <c r="O8925">
        <v>0.95075757575757602</v>
      </c>
      <c r="P8925" t="s">
        <v>13409</v>
      </c>
      <c r="Q8925" t="s">
        <v>13410</v>
      </c>
      <c r="AF8925" t="s">
        <v>18102</v>
      </c>
    </row>
    <row r="8926" spans="1:32" hidden="1" x14ac:dyDescent="0.35">
      <c r="A8926">
        <v>8925</v>
      </c>
      <c r="B8926" t="s">
        <v>18103</v>
      </c>
      <c r="C8926" t="s">
        <v>277</v>
      </c>
      <c r="D8926" t="s">
        <v>60</v>
      </c>
      <c r="E8926">
        <v>905</v>
      </c>
      <c r="F8926">
        <v>2</v>
      </c>
      <c r="G8926">
        <v>2</v>
      </c>
      <c r="H8926">
        <v>1</v>
      </c>
      <c r="I8926">
        <v>0</v>
      </c>
      <c r="J8926">
        <v>0.98881431767337802</v>
      </c>
      <c r="K8926">
        <v>1</v>
      </c>
      <c r="L8926">
        <v>0.99437570303711997</v>
      </c>
      <c r="M8926">
        <v>0.98657718120805404</v>
      </c>
      <c r="N8926">
        <v>0.98657718120805404</v>
      </c>
      <c r="O8926">
        <v>0.98657718120805404</v>
      </c>
      <c r="P8926" t="s">
        <v>18104</v>
      </c>
      <c r="Q8926" t="s">
        <v>18105</v>
      </c>
      <c r="R8926" t="s">
        <v>75</v>
      </c>
      <c r="S8926" t="s">
        <v>76</v>
      </c>
      <c r="T8926" t="s">
        <v>18106</v>
      </c>
      <c r="U8926" t="s">
        <v>18107</v>
      </c>
      <c r="V8926" t="s">
        <v>18108</v>
      </c>
      <c r="W8926" t="s">
        <v>18109</v>
      </c>
      <c r="AD8926" t="s">
        <v>410</v>
      </c>
      <c r="AE8926" t="s">
        <v>603</v>
      </c>
      <c r="AF8926" t="s">
        <v>18110</v>
      </c>
    </row>
    <row r="8927" spans="1:32" hidden="1" x14ac:dyDescent="0.35">
      <c r="A8927">
        <v>8926</v>
      </c>
      <c r="B8927" t="s">
        <v>18103</v>
      </c>
      <c r="C8927" t="s">
        <v>277</v>
      </c>
      <c r="D8927" t="s">
        <v>62</v>
      </c>
      <c r="E8927">
        <v>939</v>
      </c>
      <c r="F8927">
        <v>2</v>
      </c>
      <c r="G8927">
        <v>2</v>
      </c>
      <c r="H8927">
        <v>1</v>
      </c>
      <c r="I8927">
        <v>0</v>
      </c>
      <c r="J8927">
        <v>0.98881431767337802</v>
      </c>
      <c r="K8927">
        <v>1</v>
      </c>
      <c r="L8927">
        <v>0.99437570303711997</v>
      </c>
      <c r="M8927">
        <v>0.98657718120805404</v>
      </c>
      <c r="N8927">
        <v>0.98657718120805404</v>
      </c>
      <c r="O8927">
        <v>0.98657718120805404</v>
      </c>
      <c r="P8927" t="s">
        <v>18104</v>
      </c>
      <c r="Q8927" t="s">
        <v>18105</v>
      </c>
      <c r="R8927" t="s">
        <v>75</v>
      </c>
      <c r="S8927" t="s">
        <v>76</v>
      </c>
      <c r="T8927" t="s">
        <v>18106</v>
      </c>
      <c r="U8927" t="s">
        <v>18107</v>
      </c>
      <c r="V8927" t="s">
        <v>18108</v>
      </c>
      <c r="W8927" t="s">
        <v>18109</v>
      </c>
      <c r="AD8927" t="s">
        <v>410</v>
      </c>
      <c r="AE8927" t="s">
        <v>603</v>
      </c>
      <c r="AF8927" t="s">
        <v>18111</v>
      </c>
    </row>
    <row r="8928" spans="1:32" hidden="1" x14ac:dyDescent="0.35">
      <c r="A8928">
        <v>8927</v>
      </c>
      <c r="B8928" t="s">
        <v>18112</v>
      </c>
      <c r="C8928" t="s">
        <v>277</v>
      </c>
      <c r="D8928" t="s">
        <v>34</v>
      </c>
      <c r="E8928">
        <v>1543</v>
      </c>
      <c r="F8928">
        <v>2</v>
      </c>
      <c r="G8928">
        <v>2</v>
      </c>
      <c r="H8928">
        <v>1</v>
      </c>
      <c r="I8928">
        <v>0</v>
      </c>
      <c r="J8928">
        <v>0.98557692307692302</v>
      </c>
      <c r="K8928">
        <v>1</v>
      </c>
      <c r="L8928">
        <v>0.99273607748184001</v>
      </c>
      <c r="M8928">
        <v>0.97596153846153799</v>
      </c>
      <c r="N8928">
        <v>0.97596153846153799</v>
      </c>
      <c r="O8928">
        <v>0.97596153846153799</v>
      </c>
      <c r="AF8928" t="s">
        <v>18113</v>
      </c>
    </row>
    <row r="8929" spans="1:32" hidden="1" x14ac:dyDescent="0.35">
      <c r="A8929">
        <v>8928</v>
      </c>
      <c r="B8929" t="s">
        <v>18112</v>
      </c>
      <c r="C8929" t="s">
        <v>277</v>
      </c>
      <c r="D8929" t="s">
        <v>45</v>
      </c>
      <c r="E8929">
        <v>293</v>
      </c>
      <c r="F8929">
        <v>2</v>
      </c>
      <c r="G8929">
        <v>2</v>
      </c>
      <c r="H8929">
        <v>1</v>
      </c>
      <c r="I8929">
        <v>0</v>
      </c>
      <c r="J8929">
        <v>0.98557692307692302</v>
      </c>
      <c r="K8929">
        <v>1</v>
      </c>
      <c r="L8929">
        <v>0.99273607748184001</v>
      </c>
      <c r="M8929">
        <v>0.97596153846153799</v>
      </c>
      <c r="N8929">
        <v>0.97596153846153799</v>
      </c>
      <c r="O8929">
        <v>0.97596153846153799</v>
      </c>
      <c r="AF8929" t="s">
        <v>18114</v>
      </c>
    </row>
    <row r="8930" spans="1:32" hidden="1" x14ac:dyDescent="0.35">
      <c r="A8930">
        <v>8929</v>
      </c>
      <c r="B8930" t="s">
        <v>18115</v>
      </c>
      <c r="C8930" t="s">
        <v>277</v>
      </c>
      <c r="D8930" t="s">
        <v>60</v>
      </c>
      <c r="E8930">
        <v>2065</v>
      </c>
      <c r="F8930">
        <v>2</v>
      </c>
      <c r="G8930">
        <v>2</v>
      </c>
      <c r="H8930">
        <v>1</v>
      </c>
      <c r="I8930">
        <v>0</v>
      </c>
      <c r="J8930">
        <v>0.99763593380614701</v>
      </c>
      <c r="K8930">
        <v>1</v>
      </c>
      <c r="L8930">
        <v>0.99881656804733698</v>
      </c>
      <c r="M8930">
        <v>0.99290780141844004</v>
      </c>
      <c r="N8930">
        <v>0.99290780141844004</v>
      </c>
      <c r="O8930">
        <v>0.99290780141844004</v>
      </c>
      <c r="P8930" t="s">
        <v>17331</v>
      </c>
      <c r="Q8930" t="s">
        <v>17332</v>
      </c>
      <c r="R8930" t="s">
        <v>1259</v>
      </c>
      <c r="S8930" t="s">
        <v>1260</v>
      </c>
      <c r="T8930" t="s">
        <v>17333</v>
      </c>
      <c r="U8930" t="s">
        <v>2977</v>
      </c>
      <c r="V8930" t="s">
        <v>18116</v>
      </c>
      <c r="W8930" t="s">
        <v>18117</v>
      </c>
      <c r="AD8930" t="s">
        <v>410</v>
      </c>
      <c r="AE8930" t="s">
        <v>603</v>
      </c>
      <c r="AF8930" t="s">
        <v>18118</v>
      </c>
    </row>
    <row r="8931" spans="1:32" hidden="1" x14ac:dyDescent="0.35">
      <c r="A8931">
        <v>8930</v>
      </c>
      <c r="B8931" t="s">
        <v>18115</v>
      </c>
      <c r="C8931" t="s">
        <v>277</v>
      </c>
      <c r="D8931" t="s">
        <v>62</v>
      </c>
      <c r="E8931">
        <v>2103</v>
      </c>
      <c r="F8931">
        <v>2</v>
      </c>
      <c r="G8931">
        <v>2</v>
      </c>
      <c r="H8931">
        <v>1</v>
      </c>
      <c r="I8931">
        <v>0</v>
      </c>
      <c r="J8931">
        <v>0.99763593380614701</v>
      </c>
      <c r="K8931">
        <v>1</v>
      </c>
      <c r="L8931">
        <v>0.99881656804733698</v>
      </c>
      <c r="M8931">
        <v>0.99290780141844004</v>
      </c>
      <c r="N8931">
        <v>0.99290780141844004</v>
      </c>
      <c r="O8931">
        <v>0.99290780141844004</v>
      </c>
      <c r="P8931" t="s">
        <v>17331</v>
      </c>
      <c r="Q8931" t="s">
        <v>17332</v>
      </c>
      <c r="R8931" t="s">
        <v>1259</v>
      </c>
      <c r="S8931" t="s">
        <v>1260</v>
      </c>
      <c r="T8931" t="s">
        <v>17333</v>
      </c>
      <c r="U8931" t="s">
        <v>2977</v>
      </c>
      <c r="V8931" t="s">
        <v>18116</v>
      </c>
      <c r="W8931" t="s">
        <v>18117</v>
      </c>
      <c r="AD8931" t="s">
        <v>410</v>
      </c>
      <c r="AE8931" t="s">
        <v>603</v>
      </c>
      <c r="AF8931" t="s">
        <v>18119</v>
      </c>
    </row>
    <row r="8932" spans="1:32" hidden="1" x14ac:dyDescent="0.35">
      <c r="A8932">
        <v>8931</v>
      </c>
      <c r="B8932" t="s">
        <v>18120</v>
      </c>
      <c r="C8932" t="s">
        <v>277</v>
      </c>
      <c r="D8932" t="s">
        <v>34</v>
      </c>
      <c r="E8932">
        <v>333</v>
      </c>
      <c r="F8932">
        <v>2</v>
      </c>
      <c r="G8932">
        <v>2</v>
      </c>
      <c r="H8932">
        <v>1</v>
      </c>
      <c r="I8932">
        <v>0</v>
      </c>
      <c r="J8932">
        <v>0.99716713881019803</v>
      </c>
      <c r="K8932">
        <v>1</v>
      </c>
      <c r="L8932">
        <v>0.99858156028368805</v>
      </c>
      <c r="M8932">
        <v>0.99716713881019803</v>
      </c>
      <c r="N8932">
        <v>0.99716713881019803</v>
      </c>
      <c r="O8932">
        <v>0.99716713881019803</v>
      </c>
      <c r="P8932" t="s">
        <v>17320</v>
      </c>
      <c r="Q8932" t="s">
        <v>17321</v>
      </c>
      <c r="AF8932" t="s">
        <v>18121</v>
      </c>
    </row>
    <row r="8933" spans="1:32" hidden="1" x14ac:dyDescent="0.35">
      <c r="A8933">
        <v>8932</v>
      </c>
      <c r="B8933" t="s">
        <v>18120</v>
      </c>
      <c r="C8933" t="s">
        <v>277</v>
      </c>
      <c r="D8933" t="s">
        <v>45</v>
      </c>
      <c r="E8933">
        <v>1595</v>
      </c>
      <c r="F8933">
        <v>2</v>
      </c>
      <c r="G8933">
        <v>2</v>
      </c>
      <c r="H8933">
        <v>1</v>
      </c>
      <c r="I8933">
        <v>0</v>
      </c>
      <c r="J8933">
        <v>0.99716713881019803</v>
      </c>
      <c r="K8933">
        <v>1</v>
      </c>
      <c r="L8933">
        <v>0.99858156028368805</v>
      </c>
      <c r="M8933">
        <v>0.99716713881019803</v>
      </c>
      <c r="N8933">
        <v>0.99716713881019803</v>
      </c>
      <c r="O8933">
        <v>0.99716713881019803</v>
      </c>
      <c r="P8933" t="s">
        <v>17320</v>
      </c>
      <c r="Q8933" t="s">
        <v>17321</v>
      </c>
      <c r="AF8933" t="s">
        <v>18122</v>
      </c>
    </row>
    <row r="8934" spans="1:32" hidden="1" x14ac:dyDescent="0.35">
      <c r="A8934">
        <v>8933</v>
      </c>
      <c r="B8934" t="s">
        <v>18123</v>
      </c>
      <c r="C8934" t="s">
        <v>277</v>
      </c>
      <c r="D8934" t="s">
        <v>60</v>
      </c>
      <c r="E8934">
        <v>2072</v>
      </c>
      <c r="F8934">
        <v>2</v>
      </c>
      <c r="G8934">
        <v>2</v>
      </c>
      <c r="H8934">
        <v>1</v>
      </c>
      <c r="I8934">
        <v>0</v>
      </c>
      <c r="J8934">
        <v>0.97949979499795004</v>
      </c>
      <c r="K8934">
        <v>1</v>
      </c>
      <c r="L8934">
        <v>0.98964374482187201</v>
      </c>
      <c r="M8934">
        <v>0.97047970479704804</v>
      </c>
      <c r="N8934">
        <v>0.97047970479704804</v>
      </c>
      <c r="O8934">
        <v>0.97047970479704804</v>
      </c>
      <c r="P8934" t="s">
        <v>18124</v>
      </c>
      <c r="Q8934" t="s">
        <v>18125</v>
      </c>
      <c r="R8934" t="s">
        <v>319</v>
      </c>
      <c r="S8934" t="s">
        <v>320</v>
      </c>
      <c r="T8934" t="s">
        <v>18126</v>
      </c>
      <c r="U8934" t="s">
        <v>18127</v>
      </c>
      <c r="V8934" t="s">
        <v>18128</v>
      </c>
      <c r="W8934" t="s">
        <v>18129</v>
      </c>
      <c r="X8934" t="s">
        <v>18128</v>
      </c>
      <c r="Y8934" t="s">
        <v>3369</v>
      </c>
      <c r="AD8934" t="s">
        <v>219</v>
      </c>
      <c r="AE8934" t="s">
        <v>18130</v>
      </c>
      <c r="AF8934" t="s">
        <v>18131</v>
      </c>
    </row>
    <row r="8935" spans="1:32" hidden="1" x14ac:dyDescent="0.35">
      <c r="A8935">
        <v>8934</v>
      </c>
      <c r="B8935" t="s">
        <v>18123</v>
      </c>
      <c r="C8935" t="s">
        <v>277</v>
      </c>
      <c r="D8935" t="s">
        <v>62</v>
      </c>
      <c r="E8935">
        <v>2112</v>
      </c>
      <c r="F8935">
        <v>2</v>
      </c>
      <c r="G8935">
        <v>2</v>
      </c>
      <c r="H8935">
        <v>1</v>
      </c>
      <c r="I8935">
        <v>0</v>
      </c>
      <c r="J8935">
        <v>0.97949979499795004</v>
      </c>
      <c r="K8935">
        <v>1</v>
      </c>
      <c r="L8935">
        <v>0.98964374482187201</v>
      </c>
      <c r="M8935">
        <v>0.97047970479704804</v>
      </c>
      <c r="N8935">
        <v>0.97047970479704804</v>
      </c>
      <c r="O8935">
        <v>0.97047970479704804</v>
      </c>
      <c r="P8935" t="s">
        <v>18124</v>
      </c>
      <c r="Q8935" t="s">
        <v>18125</v>
      </c>
      <c r="R8935" t="s">
        <v>319</v>
      </c>
      <c r="S8935" t="s">
        <v>320</v>
      </c>
      <c r="T8935" t="s">
        <v>18126</v>
      </c>
      <c r="U8935" t="s">
        <v>18127</v>
      </c>
      <c r="V8935" t="s">
        <v>18128</v>
      </c>
      <c r="W8935" t="s">
        <v>18129</v>
      </c>
      <c r="X8935" t="s">
        <v>18128</v>
      </c>
      <c r="Y8935" t="s">
        <v>3369</v>
      </c>
      <c r="Z8935" t="s">
        <v>18132</v>
      </c>
      <c r="AA8935" t="s">
        <v>18133</v>
      </c>
      <c r="AB8935" t="s">
        <v>18132</v>
      </c>
      <c r="AC8935" t="s">
        <v>18134</v>
      </c>
      <c r="AD8935" t="s">
        <v>1140</v>
      </c>
      <c r="AE8935" t="s">
        <v>18135</v>
      </c>
      <c r="AF8935" t="s">
        <v>18136</v>
      </c>
    </row>
    <row r="8936" spans="1:32" hidden="1" x14ac:dyDescent="0.35">
      <c r="A8936">
        <v>8935</v>
      </c>
      <c r="B8936" t="s">
        <v>18137</v>
      </c>
      <c r="C8936" t="s">
        <v>277</v>
      </c>
      <c r="D8936" t="s">
        <v>60</v>
      </c>
      <c r="E8936">
        <v>1102</v>
      </c>
      <c r="F8936">
        <v>2</v>
      </c>
      <c r="G8936">
        <v>2</v>
      </c>
      <c r="H8936">
        <v>1</v>
      </c>
      <c r="I8936">
        <v>0</v>
      </c>
      <c r="J8936">
        <v>0.95762711864406802</v>
      </c>
      <c r="K8936">
        <v>1</v>
      </c>
      <c r="L8936">
        <v>0.97835497835497798</v>
      </c>
      <c r="M8936">
        <v>0.95762711864406802</v>
      </c>
      <c r="N8936">
        <v>0.95762711864406802</v>
      </c>
      <c r="O8936">
        <v>0.95762711864406802</v>
      </c>
      <c r="P8936" t="s">
        <v>2732</v>
      </c>
      <c r="Q8936" t="s">
        <v>2733</v>
      </c>
      <c r="R8936" t="s">
        <v>288</v>
      </c>
      <c r="S8936" t="s">
        <v>289</v>
      </c>
      <c r="T8936" t="s">
        <v>2734</v>
      </c>
      <c r="U8936" t="s">
        <v>407</v>
      </c>
      <c r="V8936" t="s">
        <v>2735</v>
      </c>
      <c r="W8936" t="s">
        <v>2736</v>
      </c>
      <c r="AD8936" t="s">
        <v>410</v>
      </c>
      <c r="AE8936" t="s">
        <v>411</v>
      </c>
      <c r="AF8936" t="s">
        <v>18138</v>
      </c>
    </row>
    <row r="8937" spans="1:32" hidden="1" x14ac:dyDescent="0.35">
      <c r="A8937">
        <v>8936</v>
      </c>
      <c r="B8937" t="s">
        <v>18137</v>
      </c>
      <c r="C8937" t="s">
        <v>277</v>
      </c>
      <c r="D8937" t="s">
        <v>62</v>
      </c>
      <c r="E8937">
        <v>1138</v>
      </c>
      <c r="F8937">
        <v>2</v>
      </c>
      <c r="G8937">
        <v>2</v>
      </c>
      <c r="H8937">
        <v>1</v>
      </c>
      <c r="I8937">
        <v>0</v>
      </c>
      <c r="J8937">
        <v>0.95762711864406802</v>
      </c>
      <c r="K8937">
        <v>1</v>
      </c>
      <c r="L8937">
        <v>0.97835497835497798</v>
      </c>
      <c r="M8937">
        <v>0.95762711864406802</v>
      </c>
      <c r="N8937">
        <v>0.95762711864406802</v>
      </c>
      <c r="O8937">
        <v>0.95762711864406802</v>
      </c>
      <c r="P8937" t="s">
        <v>2732</v>
      </c>
      <c r="Q8937" t="s">
        <v>2733</v>
      </c>
      <c r="R8937" t="s">
        <v>288</v>
      </c>
      <c r="S8937" t="s">
        <v>289</v>
      </c>
      <c r="T8937" t="s">
        <v>2734</v>
      </c>
      <c r="U8937" t="s">
        <v>407</v>
      </c>
      <c r="V8937" t="s">
        <v>2735</v>
      </c>
      <c r="W8937" t="s">
        <v>2736</v>
      </c>
      <c r="AD8937" t="s">
        <v>410</v>
      </c>
      <c r="AE8937" t="s">
        <v>411</v>
      </c>
      <c r="AF8937" t="s">
        <v>18139</v>
      </c>
    </row>
    <row r="8938" spans="1:32" hidden="1" x14ac:dyDescent="0.35">
      <c r="A8938">
        <v>8937</v>
      </c>
      <c r="B8938" t="s">
        <v>18140</v>
      </c>
      <c r="C8938" t="s">
        <v>277</v>
      </c>
      <c r="D8938" t="s">
        <v>58</v>
      </c>
      <c r="E8938">
        <v>506</v>
      </c>
      <c r="F8938">
        <v>2</v>
      </c>
      <c r="G8938">
        <v>2</v>
      </c>
      <c r="H8938">
        <v>1</v>
      </c>
      <c r="I8938">
        <v>0</v>
      </c>
      <c r="J8938">
        <v>0.70402298850574696</v>
      </c>
      <c r="K8938">
        <v>0.97500356074633199</v>
      </c>
      <c r="L8938">
        <v>0.81764629742888195</v>
      </c>
      <c r="M8938">
        <v>0.61344537815126099</v>
      </c>
      <c r="N8938">
        <v>0.61344537815126099</v>
      </c>
      <c r="O8938">
        <v>0.61344537815126099</v>
      </c>
      <c r="AF8938" t="s">
        <v>18141</v>
      </c>
    </row>
    <row r="8939" spans="1:32" hidden="1" x14ac:dyDescent="0.35">
      <c r="A8939">
        <v>8938</v>
      </c>
      <c r="B8939" t="s">
        <v>18140</v>
      </c>
      <c r="C8939" t="s">
        <v>277</v>
      </c>
      <c r="D8939" t="s">
        <v>60</v>
      </c>
      <c r="E8939">
        <v>677</v>
      </c>
      <c r="F8939">
        <v>2</v>
      </c>
      <c r="G8939">
        <v>2</v>
      </c>
      <c r="H8939">
        <v>1</v>
      </c>
      <c r="I8939">
        <v>0</v>
      </c>
      <c r="J8939">
        <v>0.70402298850574696</v>
      </c>
      <c r="K8939">
        <v>0.97500356074633199</v>
      </c>
      <c r="L8939">
        <v>0.81764629742888195</v>
      </c>
      <c r="M8939">
        <v>0.61344537815126099</v>
      </c>
      <c r="N8939">
        <v>0.61344537815126099</v>
      </c>
      <c r="O8939">
        <v>0.61344537815126099</v>
      </c>
      <c r="AF8939" t="e">
        <f>---MIFNQRISILRAGKKQSPYSTKPVADWGNPIVIPVDFFVSIQPQSTSEGPLERPKVEASWRMYTPPGTDLDLRSGDRVRLSGMLDMNVVGKPAKWPDPFNPGAVHHVEASLEVVDG</f>
        <v>#NAME?</v>
      </c>
    </row>
    <row r="8940" spans="1:32" hidden="1" x14ac:dyDescent="0.35">
      <c r="A8940">
        <v>8939</v>
      </c>
      <c r="B8940" t="s">
        <v>18142</v>
      </c>
      <c r="C8940" t="s">
        <v>277</v>
      </c>
      <c r="D8940" t="s">
        <v>60</v>
      </c>
      <c r="E8940">
        <v>899</v>
      </c>
      <c r="F8940">
        <v>2</v>
      </c>
      <c r="G8940">
        <v>2</v>
      </c>
      <c r="H8940">
        <v>1</v>
      </c>
      <c r="I8940">
        <v>0</v>
      </c>
      <c r="J8940">
        <v>0.99007092198581603</v>
      </c>
      <c r="K8940">
        <v>1</v>
      </c>
      <c r="L8940">
        <v>0.99501069137562403</v>
      </c>
      <c r="M8940">
        <v>0.98723404255319103</v>
      </c>
      <c r="N8940">
        <v>0.98723404255319103</v>
      </c>
      <c r="O8940">
        <v>0.98723404255319103</v>
      </c>
      <c r="P8940" t="s">
        <v>5019</v>
      </c>
      <c r="Q8940" t="s">
        <v>5020</v>
      </c>
      <c r="R8940" t="s">
        <v>652</v>
      </c>
      <c r="S8940" t="s">
        <v>653</v>
      </c>
      <c r="V8940" t="s">
        <v>9415</v>
      </c>
      <c r="W8940" t="s">
        <v>9416</v>
      </c>
      <c r="X8940" t="s">
        <v>9415</v>
      </c>
      <c r="Y8940" t="s">
        <v>5826</v>
      </c>
      <c r="AF8940" t="s">
        <v>18143</v>
      </c>
    </row>
    <row r="8941" spans="1:32" hidden="1" x14ac:dyDescent="0.35">
      <c r="A8941">
        <v>8940</v>
      </c>
      <c r="B8941" t="s">
        <v>18142</v>
      </c>
      <c r="C8941" t="s">
        <v>277</v>
      </c>
      <c r="D8941" t="s">
        <v>62</v>
      </c>
      <c r="E8941">
        <v>933</v>
      </c>
      <c r="F8941">
        <v>2</v>
      </c>
      <c r="G8941">
        <v>2</v>
      </c>
      <c r="H8941">
        <v>1</v>
      </c>
      <c r="I8941">
        <v>0</v>
      </c>
      <c r="J8941">
        <v>0.99007092198581603</v>
      </c>
      <c r="K8941">
        <v>1</v>
      </c>
      <c r="L8941">
        <v>0.99501069137562403</v>
      </c>
      <c r="M8941">
        <v>0.98723404255319103</v>
      </c>
      <c r="N8941">
        <v>0.98723404255319103</v>
      </c>
      <c r="O8941">
        <v>0.98723404255319103</v>
      </c>
      <c r="P8941" t="s">
        <v>5019</v>
      </c>
      <c r="Q8941" t="s">
        <v>5020</v>
      </c>
      <c r="R8941" t="s">
        <v>652</v>
      </c>
      <c r="S8941" t="s">
        <v>653</v>
      </c>
      <c r="V8941" t="s">
        <v>9415</v>
      </c>
      <c r="W8941" t="s">
        <v>9416</v>
      </c>
      <c r="X8941" t="s">
        <v>9415</v>
      </c>
      <c r="Y8941" t="s">
        <v>5826</v>
      </c>
      <c r="AF8941" t="s">
        <v>18144</v>
      </c>
    </row>
    <row r="8942" spans="1:32" hidden="1" x14ac:dyDescent="0.35">
      <c r="A8942">
        <v>8941</v>
      </c>
      <c r="B8942" t="s">
        <v>18145</v>
      </c>
      <c r="C8942" t="s">
        <v>277</v>
      </c>
      <c r="D8942" t="s">
        <v>60</v>
      </c>
      <c r="E8942">
        <v>38</v>
      </c>
      <c r="F8942">
        <v>2</v>
      </c>
      <c r="G8942">
        <v>2</v>
      </c>
      <c r="H8942">
        <v>1</v>
      </c>
      <c r="I8942">
        <v>0</v>
      </c>
      <c r="J8942">
        <v>0.98759555747872496</v>
      </c>
      <c r="K8942">
        <v>0.99293374328448003</v>
      </c>
      <c r="L8942">
        <v>0.99025745628765904</v>
      </c>
      <c r="M8942">
        <v>0.97701396348012903</v>
      </c>
      <c r="N8942">
        <v>0.97701396348012903</v>
      </c>
      <c r="O8942">
        <v>0.97701396348012903</v>
      </c>
      <c r="P8942" t="s">
        <v>3179</v>
      </c>
      <c r="Q8942" t="s">
        <v>3180</v>
      </c>
      <c r="R8942" t="s">
        <v>18146</v>
      </c>
      <c r="S8942" t="s">
        <v>18147</v>
      </c>
      <c r="V8942" t="s">
        <v>18148</v>
      </c>
      <c r="W8942" t="s">
        <v>18149</v>
      </c>
      <c r="X8942" t="s">
        <v>18148</v>
      </c>
      <c r="Y8942" t="s">
        <v>2750</v>
      </c>
      <c r="AF8942" t="s">
        <v>18150</v>
      </c>
    </row>
    <row r="8943" spans="1:32" hidden="1" x14ac:dyDescent="0.35">
      <c r="A8943">
        <v>8942</v>
      </c>
      <c r="B8943" t="s">
        <v>18145</v>
      </c>
      <c r="C8943" t="s">
        <v>277</v>
      </c>
      <c r="D8943" t="s">
        <v>62</v>
      </c>
      <c r="E8943">
        <v>111</v>
      </c>
      <c r="F8943">
        <v>2</v>
      </c>
      <c r="G8943">
        <v>2</v>
      </c>
      <c r="H8943">
        <v>1</v>
      </c>
      <c r="I8943">
        <v>0</v>
      </c>
      <c r="J8943">
        <v>0.98759555747872496</v>
      </c>
      <c r="K8943">
        <v>0.99293374328448003</v>
      </c>
      <c r="L8943">
        <v>0.99025745628765904</v>
      </c>
      <c r="M8943">
        <v>0.97701396348012903</v>
      </c>
      <c r="N8943">
        <v>0.97701396348012903</v>
      </c>
      <c r="O8943">
        <v>0.97701396348012903</v>
      </c>
      <c r="P8943" t="s">
        <v>3179</v>
      </c>
      <c r="Q8943" t="s">
        <v>3180</v>
      </c>
      <c r="R8943" t="s">
        <v>18146</v>
      </c>
      <c r="S8943" t="s">
        <v>18147</v>
      </c>
      <c r="V8943" t="s">
        <v>18148</v>
      </c>
      <c r="W8943" t="s">
        <v>18149</v>
      </c>
      <c r="X8943" t="s">
        <v>18148</v>
      </c>
      <c r="Y8943" t="s">
        <v>2750</v>
      </c>
      <c r="AF8943" t="s">
        <v>18151</v>
      </c>
    </row>
    <row r="8944" spans="1:32" hidden="1" x14ac:dyDescent="0.35">
      <c r="A8944">
        <v>8943</v>
      </c>
      <c r="B8944" t="s">
        <v>18152</v>
      </c>
      <c r="C8944" t="s">
        <v>277</v>
      </c>
      <c r="D8944" t="s">
        <v>60</v>
      </c>
      <c r="E8944">
        <v>579</v>
      </c>
      <c r="F8944">
        <v>2</v>
      </c>
      <c r="G8944">
        <v>2</v>
      </c>
      <c r="H8944">
        <v>1</v>
      </c>
      <c r="I8944">
        <v>0</v>
      </c>
      <c r="J8944">
        <v>0.98921832884097005</v>
      </c>
      <c r="K8944">
        <v>1</v>
      </c>
      <c r="L8944">
        <v>0.99457994579945797</v>
      </c>
      <c r="M8944">
        <v>0.98921832884097005</v>
      </c>
      <c r="N8944">
        <v>0.98921832884097005</v>
      </c>
      <c r="O8944">
        <v>0.98921832884097005</v>
      </c>
      <c r="AF8944" t="s">
        <v>18153</v>
      </c>
    </row>
    <row r="8945" spans="1:32" hidden="1" x14ac:dyDescent="0.35">
      <c r="A8945">
        <v>8944</v>
      </c>
      <c r="B8945" t="s">
        <v>18152</v>
      </c>
      <c r="C8945" t="s">
        <v>277</v>
      </c>
      <c r="D8945" t="s">
        <v>62</v>
      </c>
      <c r="E8945">
        <v>663</v>
      </c>
      <c r="F8945">
        <v>2</v>
      </c>
      <c r="G8945">
        <v>2</v>
      </c>
      <c r="H8945">
        <v>1</v>
      </c>
      <c r="I8945">
        <v>0</v>
      </c>
      <c r="J8945">
        <v>0.98921832884097005</v>
      </c>
      <c r="K8945">
        <v>1</v>
      </c>
      <c r="L8945">
        <v>0.99457994579945797</v>
      </c>
      <c r="M8945">
        <v>0.98921832884097005</v>
      </c>
      <c r="N8945">
        <v>0.98921832884097005</v>
      </c>
      <c r="O8945">
        <v>0.98921832884097005</v>
      </c>
      <c r="AF8945" t="s">
        <v>18154</v>
      </c>
    </row>
    <row r="8946" spans="1:32" hidden="1" x14ac:dyDescent="0.35">
      <c r="A8946">
        <v>8945</v>
      </c>
      <c r="B8946" t="s">
        <v>18155</v>
      </c>
      <c r="C8946" t="s">
        <v>277</v>
      </c>
      <c r="D8946" t="s">
        <v>60</v>
      </c>
      <c r="E8946">
        <v>2503</v>
      </c>
      <c r="F8946">
        <v>2</v>
      </c>
      <c r="G8946">
        <v>2</v>
      </c>
      <c r="H8946">
        <v>1</v>
      </c>
      <c r="I8946">
        <v>0</v>
      </c>
      <c r="J8946">
        <v>0.99261603375527396</v>
      </c>
      <c r="K8946">
        <v>1</v>
      </c>
      <c r="L8946">
        <v>0.99629433562731595</v>
      </c>
      <c r="M8946">
        <v>0.990506329113924</v>
      </c>
      <c r="N8946">
        <v>0.990506329113924</v>
      </c>
      <c r="O8946">
        <v>0.990506329113924</v>
      </c>
      <c r="AF8946" t="s">
        <v>18156</v>
      </c>
    </row>
    <row r="8947" spans="1:32" hidden="1" x14ac:dyDescent="0.35">
      <c r="A8947">
        <v>8946</v>
      </c>
      <c r="B8947" t="s">
        <v>18155</v>
      </c>
      <c r="C8947" t="s">
        <v>277</v>
      </c>
      <c r="D8947" t="s">
        <v>62</v>
      </c>
      <c r="E8947">
        <v>30</v>
      </c>
      <c r="F8947">
        <v>2</v>
      </c>
      <c r="G8947">
        <v>2</v>
      </c>
      <c r="H8947">
        <v>1</v>
      </c>
      <c r="I8947">
        <v>0</v>
      </c>
      <c r="J8947">
        <v>0.99261603375527396</v>
      </c>
      <c r="K8947">
        <v>1</v>
      </c>
      <c r="L8947">
        <v>0.99629433562731595</v>
      </c>
      <c r="M8947">
        <v>0.990506329113924</v>
      </c>
      <c r="N8947">
        <v>0.990506329113924</v>
      </c>
      <c r="O8947">
        <v>0.990506329113924</v>
      </c>
      <c r="AF8947" t="s">
        <v>18157</v>
      </c>
    </row>
    <row r="8948" spans="1:32" hidden="1" x14ac:dyDescent="0.35">
      <c r="A8948">
        <v>8947</v>
      </c>
      <c r="B8948" t="s">
        <v>18158</v>
      </c>
      <c r="C8948" t="s">
        <v>277</v>
      </c>
      <c r="D8948" t="s">
        <v>60</v>
      </c>
      <c r="E8948">
        <v>73</v>
      </c>
      <c r="F8948">
        <v>2</v>
      </c>
      <c r="G8948">
        <v>2</v>
      </c>
      <c r="H8948">
        <v>1</v>
      </c>
      <c r="I8948">
        <v>0</v>
      </c>
      <c r="J8948">
        <v>0.96951219512195097</v>
      </c>
      <c r="K8948">
        <v>1</v>
      </c>
      <c r="L8948">
        <v>0.984520123839009</v>
      </c>
      <c r="M8948">
        <v>0.96951219512195097</v>
      </c>
      <c r="N8948">
        <v>0.96951219512195097</v>
      </c>
      <c r="O8948">
        <v>0.96951219512195097</v>
      </c>
      <c r="P8948" t="s">
        <v>2732</v>
      </c>
      <c r="Q8948" t="s">
        <v>2733</v>
      </c>
      <c r="R8948" t="s">
        <v>652</v>
      </c>
      <c r="S8948" t="s">
        <v>653</v>
      </c>
      <c r="T8948" t="s">
        <v>15362</v>
      </c>
      <c r="U8948" t="s">
        <v>15363</v>
      </c>
      <c r="V8948" t="s">
        <v>11737</v>
      </c>
      <c r="W8948" t="s">
        <v>11738</v>
      </c>
      <c r="AD8948" t="s">
        <v>410</v>
      </c>
      <c r="AE8948" t="s">
        <v>603</v>
      </c>
      <c r="AF8948" t="s">
        <v>18159</v>
      </c>
    </row>
    <row r="8949" spans="1:32" hidden="1" x14ac:dyDescent="0.35">
      <c r="A8949">
        <v>8948</v>
      </c>
      <c r="B8949" t="s">
        <v>18158</v>
      </c>
      <c r="C8949" t="s">
        <v>277</v>
      </c>
      <c r="D8949" t="s">
        <v>62</v>
      </c>
      <c r="E8949">
        <v>146</v>
      </c>
      <c r="F8949">
        <v>2</v>
      </c>
      <c r="G8949">
        <v>2</v>
      </c>
      <c r="H8949">
        <v>1</v>
      </c>
      <c r="I8949">
        <v>0</v>
      </c>
      <c r="J8949">
        <v>0.96951219512195097</v>
      </c>
      <c r="K8949">
        <v>1</v>
      </c>
      <c r="L8949">
        <v>0.984520123839009</v>
      </c>
      <c r="M8949">
        <v>0.96951219512195097</v>
      </c>
      <c r="N8949">
        <v>0.96951219512195097</v>
      </c>
      <c r="O8949">
        <v>0.96951219512195097</v>
      </c>
      <c r="P8949" t="s">
        <v>2732</v>
      </c>
      <c r="Q8949" t="s">
        <v>2733</v>
      </c>
      <c r="R8949" t="s">
        <v>652</v>
      </c>
      <c r="S8949" t="s">
        <v>653</v>
      </c>
      <c r="T8949" t="s">
        <v>15362</v>
      </c>
      <c r="U8949" t="s">
        <v>15363</v>
      </c>
      <c r="V8949" t="s">
        <v>11737</v>
      </c>
      <c r="W8949" t="s">
        <v>11738</v>
      </c>
      <c r="AD8949" t="s">
        <v>410</v>
      </c>
      <c r="AE8949" t="s">
        <v>603</v>
      </c>
      <c r="AF8949" t="s">
        <v>18160</v>
      </c>
    </row>
    <row r="8950" spans="1:32" hidden="1" x14ac:dyDescent="0.35">
      <c r="A8950">
        <v>8949</v>
      </c>
      <c r="B8950" t="s">
        <v>18161</v>
      </c>
      <c r="C8950" t="s">
        <v>277</v>
      </c>
      <c r="D8950" t="s">
        <v>34</v>
      </c>
      <c r="E8950">
        <v>357</v>
      </c>
      <c r="F8950">
        <v>2</v>
      </c>
      <c r="G8950">
        <v>2</v>
      </c>
      <c r="H8950">
        <v>1</v>
      </c>
      <c r="I8950">
        <v>0</v>
      </c>
      <c r="J8950">
        <v>0.99598393574297195</v>
      </c>
      <c r="K8950">
        <v>0.604450583179865</v>
      </c>
      <c r="L8950">
        <v>0.75232452647022996</v>
      </c>
      <c r="M8950">
        <v>0.45303867403314901</v>
      </c>
      <c r="N8950">
        <v>0.45303867403314901</v>
      </c>
      <c r="O8950">
        <v>0.45303867403314901</v>
      </c>
      <c r="P8950" t="s">
        <v>16106</v>
      </c>
      <c r="Q8950" t="s">
        <v>16107</v>
      </c>
      <c r="R8950" t="s">
        <v>869</v>
      </c>
      <c r="S8950" t="s">
        <v>870</v>
      </c>
      <c r="T8950" t="s">
        <v>16108</v>
      </c>
      <c r="U8950" t="s">
        <v>16109</v>
      </c>
      <c r="V8950" t="s">
        <v>16110</v>
      </c>
      <c r="W8950" t="s">
        <v>16111</v>
      </c>
      <c r="AD8950" t="s">
        <v>219</v>
      </c>
      <c r="AE8950" t="s">
        <v>16112</v>
      </c>
      <c r="AF8950" t="s">
        <v>18162</v>
      </c>
    </row>
    <row r="8951" spans="1:32" hidden="1" x14ac:dyDescent="0.35">
      <c r="A8951">
        <v>8950</v>
      </c>
      <c r="B8951" t="s">
        <v>18161</v>
      </c>
      <c r="C8951" t="s">
        <v>277</v>
      </c>
      <c r="D8951" t="s">
        <v>45</v>
      </c>
      <c r="E8951">
        <v>1619</v>
      </c>
      <c r="F8951">
        <v>2</v>
      </c>
      <c r="G8951">
        <v>2</v>
      </c>
      <c r="H8951">
        <v>1</v>
      </c>
      <c r="I8951">
        <v>0</v>
      </c>
      <c r="J8951">
        <v>0.99598393574297195</v>
      </c>
      <c r="K8951">
        <v>0.604450583179865</v>
      </c>
      <c r="L8951">
        <v>0.75232452647022996</v>
      </c>
      <c r="M8951">
        <v>0.45303867403314901</v>
      </c>
      <c r="N8951">
        <v>0.45303867403314901</v>
      </c>
      <c r="O8951">
        <v>0.45303867403314901</v>
      </c>
      <c r="P8951" t="s">
        <v>16106</v>
      </c>
      <c r="Q8951" t="s">
        <v>16107</v>
      </c>
      <c r="R8951" t="s">
        <v>869</v>
      </c>
      <c r="S8951" t="s">
        <v>870</v>
      </c>
      <c r="T8951" t="s">
        <v>16108</v>
      </c>
      <c r="U8951" t="s">
        <v>16109</v>
      </c>
      <c r="V8951" t="s">
        <v>16110</v>
      </c>
      <c r="W8951" t="s">
        <v>16111</v>
      </c>
      <c r="AD8951" t="s">
        <v>219</v>
      </c>
      <c r="AE8951" t="s">
        <v>16112</v>
      </c>
      <c r="AF8951" t="e">
        <f>--------------------------------------------------------------------------------------------------MWGILEPRDAPQESDFLGSLDGVFVPAIAVDDQGFRLGQGAGFYDRALAGCAAPTVAVVYASEIMPVPHEPHDVMLDIIVSDG</f>
        <v>#NAME?</v>
      </c>
    </row>
    <row r="8952" spans="1:32" hidden="1" x14ac:dyDescent="0.35">
      <c r="A8952">
        <v>8951</v>
      </c>
      <c r="B8952" t="s">
        <v>18163</v>
      </c>
      <c r="C8952" t="s">
        <v>277</v>
      </c>
      <c r="D8952" t="s">
        <v>60</v>
      </c>
      <c r="E8952">
        <v>1826</v>
      </c>
      <c r="F8952">
        <v>2</v>
      </c>
      <c r="G8952">
        <v>2</v>
      </c>
      <c r="H8952">
        <v>1</v>
      </c>
      <c r="I8952">
        <v>0</v>
      </c>
      <c r="J8952">
        <v>0.9375</v>
      </c>
      <c r="K8952">
        <v>1</v>
      </c>
      <c r="L8952">
        <v>0.967741935483871</v>
      </c>
      <c r="M8952">
        <v>0.92613636363636398</v>
      </c>
      <c r="N8952">
        <v>0.92613636363636398</v>
      </c>
      <c r="O8952">
        <v>0.92613636363636398</v>
      </c>
      <c r="AF8952" t="s">
        <v>18164</v>
      </c>
    </row>
    <row r="8953" spans="1:32" hidden="1" x14ac:dyDescent="0.35">
      <c r="A8953">
        <v>8952</v>
      </c>
      <c r="B8953" t="s">
        <v>18163</v>
      </c>
      <c r="C8953" t="s">
        <v>277</v>
      </c>
      <c r="D8953" t="s">
        <v>62</v>
      </c>
      <c r="E8953">
        <v>1864</v>
      </c>
      <c r="F8953">
        <v>2</v>
      </c>
      <c r="G8953">
        <v>2</v>
      </c>
      <c r="H8953">
        <v>1</v>
      </c>
      <c r="I8953">
        <v>0</v>
      </c>
      <c r="J8953">
        <v>0.9375</v>
      </c>
      <c r="K8953">
        <v>1</v>
      </c>
      <c r="L8953">
        <v>0.967741935483871</v>
      </c>
      <c r="M8953">
        <v>0.92613636363636398</v>
      </c>
      <c r="N8953">
        <v>0.92613636363636398</v>
      </c>
      <c r="O8953">
        <v>0.92613636363636398</v>
      </c>
      <c r="P8953" t="s">
        <v>18165</v>
      </c>
      <c r="Q8953" t="s">
        <v>18166</v>
      </c>
      <c r="AF8953" t="s">
        <v>18167</v>
      </c>
    </row>
    <row r="8954" spans="1:32" hidden="1" x14ac:dyDescent="0.35">
      <c r="A8954">
        <v>8953</v>
      </c>
      <c r="B8954" t="s">
        <v>18168</v>
      </c>
      <c r="C8954" t="s">
        <v>277</v>
      </c>
      <c r="D8954" t="s">
        <v>60</v>
      </c>
      <c r="E8954">
        <v>216</v>
      </c>
      <c r="F8954">
        <v>2</v>
      </c>
      <c r="G8954">
        <v>2</v>
      </c>
      <c r="H8954">
        <v>1</v>
      </c>
      <c r="I8954">
        <v>0</v>
      </c>
      <c r="J8954">
        <v>0.99684542586750802</v>
      </c>
      <c r="K8954">
        <v>0.98759735202492105</v>
      </c>
      <c r="L8954">
        <v>0.99219983960482006</v>
      </c>
      <c r="M8954">
        <v>0.98442367601246095</v>
      </c>
      <c r="N8954">
        <v>0.98442367601246095</v>
      </c>
      <c r="O8954">
        <v>0.98442367601246095</v>
      </c>
      <c r="P8954" t="s">
        <v>4889</v>
      </c>
      <c r="Q8954" t="s">
        <v>4890</v>
      </c>
      <c r="R8954" t="s">
        <v>4891</v>
      </c>
      <c r="S8954" t="s">
        <v>4892</v>
      </c>
      <c r="V8954" t="s">
        <v>4895</v>
      </c>
      <c r="W8954" t="s">
        <v>4896</v>
      </c>
      <c r="AF8954" t="s">
        <v>18169</v>
      </c>
    </row>
    <row r="8955" spans="1:32" hidden="1" x14ac:dyDescent="0.35">
      <c r="A8955">
        <v>8954</v>
      </c>
      <c r="B8955" t="s">
        <v>18168</v>
      </c>
      <c r="C8955" t="s">
        <v>277</v>
      </c>
      <c r="D8955" t="s">
        <v>62</v>
      </c>
      <c r="E8955">
        <v>293</v>
      </c>
      <c r="F8955">
        <v>2</v>
      </c>
      <c r="G8955">
        <v>2</v>
      </c>
      <c r="H8955">
        <v>1</v>
      </c>
      <c r="I8955">
        <v>0</v>
      </c>
      <c r="J8955">
        <v>0.99684542586750802</v>
      </c>
      <c r="K8955">
        <v>0.98759735202492105</v>
      </c>
      <c r="L8955">
        <v>0.99219983960482006</v>
      </c>
      <c r="M8955">
        <v>0.98442367601246095</v>
      </c>
      <c r="N8955">
        <v>0.98442367601246095</v>
      </c>
      <c r="O8955">
        <v>0.98442367601246095</v>
      </c>
      <c r="P8955" t="s">
        <v>13013</v>
      </c>
      <c r="Q8955" t="s">
        <v>4890</v>
      </c>
      <c r="R8955" t="s">
        <v>4891</v>
      </c>
      <c r="S8955" t="s">
        <v>4892</v>
      </c>
      <c r="V8955" t="s">
        <v>4895</v>
      </c>
      <c r="W8955" t="s">
        <v>4896</v>
      </c>
      <c r="AF8955" t="s">
        <v>18170</v>
      </c>
    </row>
    <row r="8956" spans="1:32" hidden="1" x14ac:dyDescent="0.35">
      <c r="A8956">
        <v>8955</v>
      </c>
      <c r="B8956" t="s">
        <v>18171</v>
      </c>
      <c r="C8956" t="s">
        <v>277</v>
      </c>
      <c r="D8956" t="s">
        <v>34</v>
      </c>
      <c r="E8956">
        <v>803</v>
      </c>
      <c r="F8956">
        <v>2</v>
      </c>
      <c r="G8956">
        <v>2</v>
      </c>
      <c r="H8956">
        <v>1</v>
      </c>
      <c r="I8956">
        <v>0</v>
      </c>
      <c r="J8956">
        <v>0.99694189602446504</v>
      </c>
      <c r="K8956">
        <v>1</v>
      </c>
      <c r="L8956">
        <v>0.99846860643185298</v>
      </c>
      <c r="M8956">
        <v>0.99082568807339499</v>
      </c>
      <c r="N8956">
        <v>0.99082568807339499</v>
      </c>
      <c r="O8956">
        <v>0.99082568807339499</v>
      </c>
      <c r="P8956" t="s">
        <v>18172</v>
      </c>
      <c r="Q8956" t="s">
        <v>18173</v>
      </c>
      <c r="R8956" t="s">
        <v>138</v>
      </c>
      <c r="S8956" t="s">
        <v>139</v>
      </c>
      <c r="V8956" t="s">
        <v>15942</v>
      </c>
      <c r="W8956" t="s">
        <v>15943</v>
      </c>
      <c r="X8956" t="s">
        <v>15942</v>
      </c>
      <c r="Y8956" t="s">
        <v>15411</v>
      </c>
      <c r="AF8956" t="s">
        <v>18174</v>
      </c>
    </row>
    <row r="8957" spans="1:32" hidden="1" x14ac:dyDescent="0.35">
      <c r="A8957">
        <v>8956</v>
      </c>
      <c r="B8957" t="s">
        <v>18171</v>
      </c>
      <c r="C8957" t="s">
        <v>277</v>
      </c>
      <c r="D8957" t="s">
        <v>45</v>
      </c>
      <c r="E8957">
        <v>2059</v>
      </c>
      <c r="F8957">
        <v>2</v>
      </c>
      <c r="G8957">
        <v>2</v>
      </c>
      <c r="H8957">
        <v>1</v>
      </c>
      <c r="I8957">
        <v>0</v>
      </c>
      <c r="J8957">
        <v>0.99694189602446504</v>
      </c>
      <c r="K8957">
        <v>1</v>
      </c>
      <c r="L8957">
        <v>0.99846860643185298</v>
      </c>
      <c r="M8957">
        <v>0.99082568807339499</v>
      </c>
      <c r="N8957">
        <v>0.99082568807339499</v>
      </c>
      <c r="O8957">
        <v>0.99082568807339499</v>
      </c>
      <c r="P8957" t="s">
        <v>18172</v>
      </c>
      <c r="Q8957" t="s">
        <v>18173</v>
      </c>
      <c r="R8957" t="s">
        <v>138</v>
      </c>
      <c r="S8957" t="s">
        <v>139</v>
      </c>
      <c r="V8957" t="s">
        <v>15942</v>
      </c>
      <c r="W8957" t="s">
        <v>15943</v>
      </c>
      <c r="X8957" t="s">
        <v>15942</v>
      </c>
      <c r="Y8957" t="s">
        <v>15411</v>
      </c>
      <c r="AF8957" t="s">
        <v>18175</v>
      </c>
    </row>
    <row r="8958" spans="1:32" hidden="1" x14ac:dyDescent="0.35">
      <c r="A8958">
        <v>8957</v>
      </c>
      <c r="B8958" t="s">
        <v>18176</v>
      </c>
      <c r="C8958" t="s">
        <v>277</v>
      </c>
      <c r="D8958" t="s">
        <v>34</v>
      </c>
      <c r="E8958">
        <v>1369</v>
      </c>
      <c r="F8958">
        <v>2</v>
      </c>
      <c r="G8958">
        <v>2</v>
      </c>
      <c r="H8958">
        <v>1</v>
      </c>
      <c r="I8958">
        <v>0</v>
      </c>
      <c r="J8958">
        <v>0.99834983498349805</v>
      </c>
      <c r="K8958">
        <v>0.97607992120444698</v>
      </c>
      <c r="L8958">
        <v>0.98708928510739702</v>
      </c>
      <c r="M8958">
        <v>0.97101449275362295</v>
      </c>
      <c r="N8958">
        <v>0.97101449275362295</v>
      </c>
      <c r="O8958">
        <v>0.97101449275362295</v>
      </c>
      <c r="P8958" t="s">
        <v>15014</v>
      </c>
      <c r="Q8958" t="s">
        <v>15015</v>
      </c>
      <c r="R8958" t="s">
        <v>11927</v>
      </c>
      <c r="S8958" t="s">
        <v>11928</v>
      </c>
      <c r="T8958" t="s">
        <v>15016</v>
      </c>
      <c r="U8958" t="s">
        <v>15017</v>
      </c>
      <c r="V8958" t="s">
        <v>11931</v>
      </c>
      <c r="W8958" t="s">
        <v>11932</v>
      </c>
      <c r="X8958" t="s">
        <v>11931</v>
      </c>
      <c r="Y8958" t="s">
        <v>875</v>
      </c>
      <c r="Z8958" t="s">
        <v>15018</v>
      </c>
      <c r="AA8958" t="s">
        <v>15019</v>
      </c>
      <c r="AB8958" t="s">
        <v>15018</v>
      </c>
      <c r="AC8958" t="s">
        <v>15020</v>
      </c>
      <c r="AD8958" t="s">
        <v>219</v>
      </c>
      <c r="AE8958" t="s">
        <v>15021</v>
      </c>
      <c r="AF8958" t="s">
        <v>18177</v>
      </c>
    </row>
    <row r="8959" spans="1:32" hidden="1" x14ac:dyDescent="0.35">
      <c r="A8959">
        <v>8958</v>
      </c>
      <c r="B8959" t="s">
        <v>18176</v>
      </c>
      <c r="C8959" t="s">
        <v>277</v>
      </c>
      <c r="D8959" t="s">
        <v>45</v>
      </c>
      <c r="E8959">
        <v>118</v>
      </c>
      <c r="F8959">
        <v>2</v>
      </c>
      <c r="G8959">
        <v>2</v>
      </c>
      <c r="H8959">
        <v>1</v>
      </c>
      <c r="I8959">
        <v>0</v>
      </c>
      <c r="J8959">
        <v>0.99834983498349805</v>
      </c>
      <c r="K8959">
        <v>0.97607992120444698</v>
      </c>
      <c r="L8959">
        <v>0.98708928510739702</v>
      </c>
      <c r="M8959">
        <v>0.97101449275362295</v>
      </c>
      <c r="N8959">
        <v>0.97101449275362295</v>
      </c>
      <c r="O8959">
        <v>0.97101449275362295</v>
      </c>
      <c r="P8959" t="s">
        <v>15014</v>
      </c>
      <c r="Q8959" t="s">
        <v>15015</v>
      </c>
      <c r="R8959" t="s">
        <v>11927</v>
      </c>
      <c r="S8959" t="s">
        <v>11928</v>
      </c>
      <c r="T8959" t="s">
        <v>15016</v>
      </c>
      <c r="U8959" t="s">
        <v>15017</v>
      </c>
      <c r="V8959" t="s">
        <v>11931</v>
      </c>
      <c r="W8959" t="s">
        <v>11932</v>
      </c>
      <c r="X8959" t="s">
        <v>11931</v>
      </c>
      <c r="Y8959" t="s">
        <v>875</v>
      </c>
      <c r="Z8959" t="s">
        <v>15018</v>
      </c>
      <c r="AA8959" t="s">
        <v>15019</v>
      </c>
      <c r="AB8959" t="s">
        <v>15018</v>
      </c>
      <c r="AC8959" t="s">
        <v>15020</v>
      </c>
      <c r="AD8959" t="s">
        <v>219</v>
      </c>
      <c r="AE8959" t="s">
        <v>15021</v>
      </c>
      <c r="AF8959" t="e">
        <f>-----MNKIIDTLVYNETMILYVSATQGEAAQVPSDYPLIVTGIGIIRATLTLTEYLARADELPERIINFGTAGSLNGNTGIFEIDHVFQHDFDHKVIEQIIGKPFPNGIDLPTVSTLPTAHLATGDSFVNDPDTRARLVQQAQLCDMEGYAIAFVAQHFGIPCTLIKQVSDNADDAAADTWVDAVDRGAQDLAGAIRTLNQRLNRL</f>
        <v>#NAME?</v>
      </c>
    </row>
    <row r="8960" spans="1:32" hidden="1" x14ac:dyDescent="0.35">
      <c r="A8960">
        <v>8959</v>
      </c>
      <c r="B8960" t="s">
        <v>18178</v>
      </c>
      <c r="C8960" t="s">
        <v>277</v>
      </c>
      <c r="D8960" t="s">
        <v>34</v>
      </c>
      <c r="E8960">
        <v>2326</v>
      </c>
      <c r="F8960">
        <v>2</v>
      </c>
      <c r="G8960">
        <v>2</v>
      </c>
      <c r="H8960">
        <v>1</v>
      </c>
      <c r="I8960">
        <v>0</v>
      </c>
      <c r="J8960">
        <v>0.94616977225672905</v>
      </c>
      <c r="K8960">
        <v>1</v>
      </c>
      <c r="L8960">
        <v>0.97234042553191502</v>
      </c>
      <c r="M8960">
        <v>0.92546583850931696</v>
      </c>
      <c r="N8960">
        <v>0.92546583850931696</v>
      </c>
      <c r="O8960">
        <v>0.92546583850931696</v>
      </c>
      <c r="AF8960" t="s">
        <v>18179</v>
      </c>
    </row>
    <row r="8961" spans="1:32" hidden="1" x14ac:dyDescent="0.35">
      <c r="A8961">
        <v>8960</v>
      </c>
      <c r="B8961" t="s">
        <v>18178</v>
      </c>
      <c r="C8961" t="s">
        <v>277</v>
      </c>
      <c r="D8961" t="s">
        <v>45</v>
      </c>
      <c r="E8961">
        <v>552</v>
      </c>
      <c r="F8961">
        <v>2</v>
      </c>
      <c r="G8961">
        <v>2</v>
      </c>
      <c r="H8961">
        <v>1</v>
      </c>
      <c r="I8961">
        <v>0</v>
      </c>
      <c r="J8961">
        <v>0.94616977225672905</v>
      </c>
      <c r="K8961">
        <v>1</v>
      </c>
      <c r="L8961">
        <v>0.97234042553191502</v>
      </c>
      <c r="M8961">
        <v>0.92546583850931696</v>
      </c>
      <c r="N8961">
        <v>0.92546583850931696</v>
      </c>
      <c r="O8961">
        <v>0.92546583850931696</v>
      </c>
      <c r="AF8961" t="s">
        <v>18180</v>
      </c>
    </row>
    <row r="8962" spans="1:32" hidden="1" x14ac:dyDescent="0.35">
      <c r="A8962">
        <v>8961</v>
      </c>
      <c r="B8962" t="s">
        <v>18181</v>
      </c>
      <c r="C8962" t="s">
        <v>277</v>
      </c>
      <c r="D8962" t="s">
        <v>60</v>
      </c>
      <c r="E8962">
        <v>1587</v>
      </c>
      <c r="F8962">
        <v>2</v>
      </c>
      <c r="G8962">
        <v>2</v>
      </c>
      <c r="H8962">
        <v>1</v>
      </c>
      <c r="I8962">
        <v>0</v>
      </c>
      <c r="J8962">
        <v>0.96879432624113504</v>
      </c>
      <c r="K8962">
        <v>1</v>
      </c>
      <c r="L8962">
        <v>0.98414985590778103</v>
      </c>
      <c r="M8962">
        <v>0.95744680851063801</v>
      </c>
      <c r="N8962">
        <v>0.95744680851063801</v>
      </c>
      <c r="O8962">
        <v>0.95744680851063801</v>
      </c>
      <c r="AF8962" t="s">
        <v>18182</v>
      </c>
    </row>
    <row r="8963" spans="1:32" hidden="1" x14ac:dyDescent="0.35">
      <c r="A8963">
        <v>8962</v>
      </c>
      <c r="B8963" t="s">
        <v>18181</v>
      </c>
      <c r="C8963" t="s">
        <v>277</v>
      </c>
      <c r="D8963" t="s">
        <v>62</v>
      </c>
      <c r="E8963">
        <v>1623</v>
      </c>
      <c r="F8963">
        <v>2</v>
      </c>
      <c r="G8963">
        <v>2</v>
      </c>
      <c r="H8963">
        <v>1</v>
      </c>
      <c r="I8963">
        <v>0</v>
      </c>
      <c r="J8963">
        <v>0.96879432624113504</v>
      </c>
      <c r="K8963">
        <v>1</v>
      </c>
      <c r="L8963">
        <v>0.98414985590778103</v>
      </c>
      <c r="M8963">
        <v>0.95744680851063801</v>
      </c>
      <c r="N8963">
        <v>0.95744680851063801</v>
      </c>
      <c r="O8963">
        <v>0.95744680851063801</v>
      </c>
      <c r="AF8963" t="s">
        <v>18183</v>
      </c>
    </row>
    <row r="8964" spans="1:32" hidden="1" x14ac:dyDescent="0.35">
      <c r="A8964">
        <v>8963</v>
      </c>
      <c r="B8964" t="s">
        <v>18184</v>
      </c>
      <c r="C8964" t="s">
        <v>277</v>
      </c>
      <c r="D8964" t="s">
        <v>34</v>
      </c>
      <c r="E8964">
        <v>1602</v>
      </c>
      <c r="F8964">
        <v>2</v>
      </c>
      <c r="G8964">
        <v>2</v>
      </c>
      <c r="H8964">
        <v>1</v>
      </c>
      <c r="I8964">
        <v>0</v>
      </c>
      <c r="J8964">
        <v>0.98168498168498197</v>
      </c>
      <c r="K8964">
        <v>1</v>
      </c>
      <c r="L8964">
        <v>0.99075785582255105</v>
      </c>
      <c r="M8964">
        <v>0.97802197802197799</v>
      </c>
      <c r="N8964">
        <v>0.97802197802197799</v>
      </c>
      <c r="O8964">
        <v>0.97802197802197799</v>
      </c>
      <c r="AF8964" t="s">
        <v>18185</v>
      </c>
    </row>
    <row r="8965" spans="1:32" hidden="1" x14ac:dyDescent="0.35">
      <c r="A8965">
        <v>8964</v>
      </c>
      <c r="B8965" t="s">
        <v>18184</v>
      </c>
      <c r="C8965" t="s">
        <v>277</v>
      </c>
      <c r="D8965" t="s">
        <v>45</v>
      </c>
      <c r="E8965">
        <v>352</v>
      </c>
      <c r="F8965">
        <v>2</v>
      </c>
      <c r="G8965">
        <v>2</v>
      </c>
      <c r="H8965">
        <v>1</v>
      </c>
      <c r="I8965">
        <v>0</v>
      </c>
      <c r="J8965">
        <v>0.98168498168498197</v>
      </c>
      <c r="K8965">
        <v>1</v>
      </c>
      <c r="L8965">
        <v>0.99075785582255105</v>
      </c>
      <c r="M8965">
        <v>0.97802197802197799</v>
      </c>
      <c r="N8965">
        <v>0.97802197802197799</v>
      </c>
      <c r="O8965">
        <v>0.97802197802197799</v>
      </c>
      <c r="AF8965" t="s">
        <v>18186</v>
      </c>
    </row>
    <row r="8966" spans="1:32" hidden="1" x14ac:dyDescent="0.35">
      <c r="A8966">
        <v>8965</v>
      </c>
      <c r="B8966" t="s">
        <v>18187</v>
      </c>
      <c r="C8966" t="s">
        <v>277</v>
      </c>
      <c r="D8966" t="s">
        <v>60</v>
      </c>
      <c r="E8966">
        <v>2128</v>
      </c>
      <c r="F8966">
        <v>2</v>
      </c>
      <c r="G8966">
        <v>2</v>
      </c>
      <c r="H8966">
        <v>1</v>
      </c>
      <c r="I8966">
        <v>0</v>
      </c>
      <c r="J8966">
        <v>0.98275862068965503</v>
      </c>
      <c r="K8966">
        <v>1</v>
      </c>
      <c r="L8966">
        <v>0.99130434782608701</v>
      </c>
      <c r="M8966">
        <v>0.98275862068965503</v>
      </c>
      <c r="N8966">
        <v>0.98275862068965503</v>
      </c>
      <c r="O8966">
        <v>0.98275862068965503</v>
      </c>
      <c r="P8966" t="s">
        <v>15432</v>
      </c>
      <c r="Q8966" t="s">
        <v>10341</v>
      </c>
      <c r="R8966" t="s">
        <v>288</v>
      </c>
      <c r="S8966" t="s">
        <v>289</v>
      </c>
      <c r="V8966" t="s">
        <v>15434</v>
      </c>
      <c r="W8966" t="s">
        <v>15435</v>
      </c>
      <c r="AF8966" t="s">
        <v>18188</v>
      </c>
    </row>
    <row r="8967" spans="1:32" hidden="1" x14ac:dyDescent="0.35">
      <c r="A8967">
        <v>8966</v>
      </c>
      <c r="B8967" t="s">
        <v>18187</v>
      </c>
      <c r="C8967" t="s">
        <v>277</v>
      </c>
      <c r="D8967" t="s">
        <v>62</v>
      </c>
      <c r="E8967">
        <v>2162</v>
      </c>
      <c r="F8967">
        <v>2</v>
      </c>
      <c r="G8967">
        <v>2</v>
      </c>
      <c r="H8967">
        <v>1</v>
      </c>
      <c r="I8967">
        <v>0</v>
      </c>
      <c r="J8967">
        <v>0.98275862068965503</v>
      </c>
      <c r="K8967">
        <v>1</v>
      </c>
      <c r="L8967">
        <v>0.99130434782608701</v>
      </c>
      <c r="M8967">
        <v>0.98275862068965503</v>
      </c>
      <c r="N8967">
        <v>0.98275862068965503</v>
      </c>
      <c r="O8967">
        <v>0.98275862068965503</v>
      </c>
      <c r="P8967" t="s">
        <v>15432</v>
      </c>
      <c r="Q8967" t="s">
        <v>10341</v>
      </c>
      <c r="R8967" t="s">
        <v>288</v>
      </c>
      <c r="S8967" t="s">
        <v>289</v>
      </c>
      <c r="V8967" t="s">
        <v>15434</v>
      </c>
      <c r="W8967" t="s">
        <v>15435</v>
      </c>
      <c r="AF8967" t="s">
        <v>18189</v>
      </c>
    </row>
    <row r="8968" spans="1:32" hidden="1" x14ac:dyDescent="0.35">
      <c r="A8968">
        <v>8967</v>
      </c>
      <c r="B8968" t="s">
        <v>18190</v>
      </c>
      <c r="C8968" t="s">
        <v>277</v>
      </c>
      <c r="D8968" t="s">
        <v>34</v>
      </c>
      <c r="E8968">
        <v>813</v>
      </c>
      <c r="F8968">
        <v>2</v>
      </c>
      <c r="G8968">
        <v>2</v>
      </c>
      <c r="H8968">
        <v>1</v>
      </c>
      <c r="I8968">
        <v>0</v>
      </c>
      <c r="J8968">
        <v>0.99485199485199505</v>
      </c>
      <c r="K8968">
        <v>1</v>
      </c>
      <c r="L8968">
        <v>0.99741935483871003</v>
      </c>
      <c r="M8968">
        <v>0.99227799227799196</v>
      </c>
      <c r="N8968">
        <v>0.99227799227799196</v>
      </c>
      <c r="O8968">
        <v>0.99227799227799196</v>
      </c>
      <c r="P8968" t="s">
        <v>5019</v>
      </c>
      <c r="Q8968" t="s">
        <v>5020</v>
      </c>
      <c r="R8968" t="s">
        <v>288</v>
      </c>
      <c r="S8968" t="s">
        <v>289</v>
      </c>
      <c r="T8968" t="s">
        <v>17780</v>
      </c>
      <c r="U8968" t="s">
        <v>407</v>
      </c>
      <c r="V8968" t="s">
        <v>5023</v>
      </c>
      <c r="W8968" t="s">
        <v>5024</v>
      </c>
      <c r="AD8968" t="s">
        <v>410</v>
      </c>
      <c r="AE8968" t="s">
        <v>411</v>
      </c>
      <c r="AF8968" t="s">
        <v>18191</v>
      </c>
    </row>
    <row r="8969" spans="1:32" hidden="1" x14ac:dyDescent="0.35">
      <c r="A8969">
        <v>8968</v>
      </c>
      <c r="B8969" t="s">
        <v>18190</v>
      </c>
      <c r="C8969" t="s">
        <v>277</v>
      </c>
      <c r="D8969" t="s">
        <v>45</v>
      </c>
      <c r="E8969">
        <v>2070</v>
      </c>
      <c r="F8969">
        <v>2</v>
      </c>
      <c r="G8969">
        <v>2</v>
      </c>
      <c r="H8969">
        <v>1</v>
      </c>
      <c r="I8969">
        <v>0</v>
      </c>
      <c r="J8969">
        <v>0.99485199485199505</v>
      </c>
      <c r="K8969">
        <v>1</v>
      </c>
      <c r="L8969">
        <v>0.99741935483871003</v>
      </c>
      <c r="M8969">
        <v>0.99227799227799196</v>
      </c>
      <c r="N8969">
        <v>0.99227799227799196</v>
      </c>
      <c r="O8969">
        <v>0.99227799227799196</v>
      </c>
      <c r="P8969" t="s">
        <v>5019</v>
      </c>
      <c r="Q8969" t="s">
        <v>5020</v>
      </c>
      <c r="R8969" t="s">
        <v>288</v>
      </c>
      <c r="S8969" t="s">
        <v>289</v>
      </c>
      <c r="T8969" t="s">
        <v>17780</v>
      </c>
      <c r="U8969" t="s">
        <v>407</v>
      </c>
      <c r="V8969" t="s">
        <v>5023</v>
      </c>
      <c r="W8969" t="s">
        <v>5024</v>
      </c>
      <c r="AD8969" t="s">
        <v>410</v>
      </c>
      <c r="AE8969" t="s">
        <v>411</v>
      </c>
      <c r="AF8969" t="s">
        <v>18192</v>
      </c>
    </row>
    <row r="8970" spans="1:32" hidden="1" x14ac:dyDescent="0.35">
      <c r="A8970">
        <v>8969</v>
      </c>
      <c r="B8970" t="s">
        <v>18193</v>
      </c>
      <c r="C8970" t="s">
        <v>277</v>
      </c>
      <c r="D8970" t="s">
        <v>34</v>
      </c>
      <c r="E8970">
        <v>189</v>
      </c>
      <c r="F8970">
        <v>2</v>
      </c>
      <c r="G8970">
        <v>2</v>
      </c>
      <c r="H8970">
        <v>1</v>
      </c>
      <c r="I8970">
        <v>0</v>
      </c>
      <c r="J8970">
        <v>0.97128851540616201</v>
      </c>
      <c r="K8970">
        <v>1</v>
      </c>
      <c r="L8970">
        <v>0.98543516873889903</v>
      </c>
      <c r="M8970">
        <v>0.95588235294117696</v>
      </c>
      <c r="N8970">
        <v>0.95588235294117696</v>
      </c>
      <c r="O8970">
        <v>0.95588235294117696</v>
      </c>
      <c r="P8970" t="s">
        <v>16344</v>
      </c>
      <c r="Q8970" t="s">
        <v>16345</v>
      </c>
      <c r="AF8970" t="s">
        <v>18194</v>
      </c>
    </row>
    <row r="8971" spans="1:32" hidden="1" x14ac:dyDescent="0.35">
      <c r="A8971">
        <v>8970</v>
      </c>
      <c r="B8971" t="s">
        <v>18193</v>
      </c>
      <c r="C8971" t="s">
        <v>277</v>
      </c>
      <c r="D8971" t="s">
        <v>45</v>
      </c>
      <c r="E8971">
        <v>1452</v>
      </c>
      <c r="F8971">
        <v>2</v>
      </c>
      <c r="G8971">
        <v>2</v>
      </c>
      <c r="H8971">
        <v>1</v>
      </c>
      <c r="I8971">
        <v>0</v>
      </c>
      <c r="J8971">
        <v>0.97128851540616201</v>
      </c>
      <c r="K8971">
        <v>1</v>
      </c>
      <c r="L8971">
        <v>0.98543516873889903</v>
      </c>
      <c r="M8971">
        <v>0.95588235294117696</v>
      </c>
      <c r="N8971">
        <v>0.95588235294117696</v>
      </c>
      <c r="O8971">
        <v>0.95588235294117696</v>
      </c>
      <c r="P8971" t="s">
        <v>16344</v>
      </c>
      <c r="Q8971" t="s">
        <v>16345</v>
      </c>
      <c r="AF8971" t="s">
        <v>18195</v>
      </c>
    </row>
    <row r="8972" spans="1:32" hidden="1" x14ac:dyDescent="0.35">
      <c r="A8972">
        <v>8971</v>
      </c>
      <c r="B8972" t="s">
        <v>18196</v>
      </c>
      <c r="C8972" t="s">
        <v>277</v>
      </c>
      <c r="D8972" t="s">
        <v>60</v>
      </c>
      <c r="E8972">
        <v>762</v>
      </c>
      <c r="F8972">
        <v>2</v>
      </c>
      <c r="G8972">
        <v>2</v>
      </c>
      <c r="H8972">
        <v>1</v>
      </c>
      <c r="I8972">
        <v>0</v>
      </c>
      <c r="J8972">
        <v>0.99671052631578905</v>
      </c>
      <c r="K8972">
        <v>1</v>
      </c>
      <c r="L8972">
        <v>0.99835255354201002</v>
      </c>
      <c r="M8972">
        <v>0.99671052631578905</v>
      </c>
      <c r="N8972">
        <v>0.99671052631578905</v>
      </c>
      <c r="O8972">
        <v>0.99671052631578905</v>
      </c>
      <c r="P8972" t="s">
        <v>13119</v>
      </c>
      <c r="Q8972" t="s">
        <v>13120</v>
      </c>
      <c r="R8972" t="s">
        <v>1191</v>
      </c>
      <c r="S8972" t="s">
        <v>1192</v>
      </c>
      <c r="V8972" t="s">
        <v>13123</v>
      </c>
      <c r="W8972" t="s">
        <v>13124</v>
      </c>
      <c r="AF8972" t="s">
        <v>18197</v>
      </c>
    </row>
    <row r="8973" spans="1:32" hidden="1" x14ac:dyDescent="0.35">
      <c r="A8973">
        <v>8972</v>
      </c>
      <c r="B8973" t="s">
        <v>18196</v>
      </c>
      <c r="C8973" t="s">
        <v>277</v>
      </c>
      <c r="D8973" t="s">
        <v>62</v>
      </c>
      <c r="E8973">
        <v>795</v>
      </c>
      <c r="F8973">
        <v>2</v>
      </c>
      <c r="G8973">
        <v>2</v>
      </c>
      <c r="H8973">
        <v>1</v>
      </c>
      <c r="I8973">
        <v>0</v>
      </c>
      <c r="J8973">
        <v>0.99671052631578905</v>
      </c>
      <c r="K8973">
        <v>1</v>
      </c>
      <c r="L8973">
        <v>0.99835255354201002</v>
      </c>
      <c r="M8973">
        <v>0.99671052631578905</v>
      </c>
      <c r="N8973">
        <v>0.99671052631578905</v>
      </c>
      <c r="O8973">
        <v>0.99671052631578905</v>
      </c>
      <c r="P8973" t="s">
        <v>13119</v>
      </c>
      <c r="Q8973" t="s">
        <v>13120</v>
      </c>
      <c r="R8973" t="s">
        <v>1191</v>
      </c>
      <c r="S8973" t="s">
        <v>1192</v>
      </c>
      <c r="V8973" t="s">
        <v>13123</v>
      </c>
      <c r="W8973" t="s">
        <v>13124</v>
      </c>
      <c r="AF8973" t="s">
        <v>18198</v>
      </c>
    </row>
    <row r="8974" spans="1:32" hidden="1" x14ac:dyDescent="0.35">
      <c r="A8974">
        <v>8973</v>
      </c>
      <c r="B8974" t="s">
        <v>18199</v>
      </c>
      <c r="C8974" t="s">
        <v>277</v>
      </c>
      <c r="D8974" t="s">
        <v>60</v>
      </c>
      <c r="E8974">
        <v>1929</v>
      </c>
      <c r="F8974">
        <v>2</v>
      </c>
      <c r="G8974">
        <v>2</v>
      </c>
      <c r="H8974">
        <v>1</v>
      </c>
      <c r="I8974">
        <v>0</v>
      </c>
      <c r="J8974">
        <v>0.99551282051282097</v>
      </c>
      <c r="K8974">
        <v>1</v>
      </c>
      <c r="L8974">
        <v>0.99775136524253105</v>
      </c>
      <c r="M8974">
        <v>0.99423076923076903</v>
      </c>
      <c r="N8974">
        <v>0.99423076923076903</v>
      </c>
      <c r="O8974">
        <v>0.99423076923076903</v>
      </c>
      <c r="P8974" t="s">
        <v>18200</v>
      </c>
      <c r="Q8974" t="s">
        <v>18201</v>
      </c>
      <c r="R8974" t="s">
        <v>319</v>
      </c>
      <c r="S8974" t="s">
        <v>320</v>
      </c>
      <c r="T8974" t="s">
        <v>18202</v>
      </c>
      <c r="U8974" t="s">
        <v>18203</v>
      </c>
      <c r="V8974" t="s">
        <v>18204</v>
      </c>
      <c r="W8974" t="s">
        <v>18205</v>
      </c>
      <c r="Z8974" t="s">
        <v>18206</v>
      </c>
      <c r="AA8974" t="s">
        <v>18207</v>
      </c>
      <c r="AB8974" t="s">
        <v>18206</v>
      </c>
      <c r="AC8974" t="s">
        <v>4023</v>
      </c>
      <c r="AD8974" t="s">
        <v>326</v>
      </c>
      <c r="AE8974" t="s">
        <v>18208</v>
      </c>
      <c r="AF8974" t="s">
        <v>18209</v>
      </c>
    </row>
    <row r="8975" spans="1:32" hidden="1" x14ac:dyDescent="0.35">
      <c r="A8975">
        <v>8974</v>
      </c>
      <c r="B8975" t="s">
        <v>18199</v>
      </c>
      <c r="C8975" t="s">
        <v>277</v>
      </c>
      <c r="D8975" t="s">
        <v>62</v>
      </c>
      <c r="E8975">
        <v>1969</v>
      </c>
      <c r="F8975">
        <v>2</v>
      </c>
      <c r="G8975">
        <v>2</v>
      </c>
      <c r="H8975">
        <v>1</v>
      </c>
      <c r="I8975">
        <v>0</v>
      </c>
      <c r="J8975">
        <v>0.99551282051282097</v>
      </c>
      <c r="K8975">
        <v>1</v>
      </c>
      <c r="L8975">
        <v>0.99775136524253105</v>
      </c>
      <c r="M8975">
        <v>0.99423076923076903</v>
      </c>
      <c r="N8975">
        <v>0.99423076923076903</v>
      </c>
      <c r="O8975">
        <v>0.99423076923076903</v>
      </c>
      <c r="P8975" t="s">
        <v>18200</v>
      </c>
      <c r="Q8975" t="s">
        <v>18201</v>
      </c>
      <c r="R8975" t="s">
        <v>319</v>
      </c>
      <c r="S8975" t="s">
        <v>320</v>
      </c>
      <c r="T8975" t="s">
        <v>18202</v>
      </c>
      <c r="U8975" t="s">
        <v>18203</v>
      </c>
      <c r="V8975" t="s">
        <v>18204</v>
      </c>
      <c r="W8975" t="s">
        <v>18205</v>
      </c>
      <c r="Z8975" t="s">
        <v>18206</v>
      </c>
      <c r="AA8975" t="s">
        <v>18207</v>
      </c>
      <c r="AB8975" t="s">
        <v>18206</v>
      </c>
      <c r="AC8975" t="s">
        <v>4023</v>
      </c>
      <c r="AD8975" t="s">
        <v>326</v>
      </c>
      <c r="AE8975" t="s">
        <v>18208</v>
      </c>
      <c r="AF8975" t="s">
        <v>18210</v>
      </c>
    </row>
    <row r="8976" spans="1:32" hidden="1" x14ac:dyDescent="0.35">
      <c r="A8976">
        <v>8975</v>
      </c>
      <c r="B8976" t="s">
        <v>18211</v>
      </c>
      <c r="C8976" t="s">
        <v>277</v>
      </c>
      <c r="D8976" t="s">
        <v>34</v>
      </c>
      <c r="E8976">
        <v>149</v>
      </c>
      <c r="F8976">
        <v>2</v>
      </c>
      <c r="G8976">
        <v>2</v>
      </c>
      <c r="H8976">
        <v>1</v>
      </c>
      <c r="I8976">
        <v>0</v>
      </c>
      <c r="J8976">
        <v>0.98453209590100499</v>
      </c>
      <c r="K8976">
        <v>1</v>
      </c>
      <c r="L8976">
        <v>0.99220576773187796</v>
      </c>
      <c r="M8976">
        <v>0.98143851508120605</v>
      </c>
      <c r="N8976">
        <v>0.98143851508120605</v>
      </c>
      <c r="O8976">
        <v>0.98143851508120605</v>
      </c>
      <c r="P8976" t="s">
        <v>2112</v>
      </c>
      <c r="Q8976" t="s">
        <v>2113</v>
      </c>
      <c r="R8976" t="s">
        <v>869</v>
      </c>
      <c r="S8976" t="s">
        <v>870</v>
      </c>
      <c r="T8976" t="s">
        <v>5384</v>
      </c>
      <c r="U8976" t="s">
        <v>5385</v>
      </c>
      <c r="V8976" t="s">
        <v>5386</v>
      </c>
      <c r="W8976" t="s">
        <v>5387</v>
      </c>
      <c r="X8976" t="s">
        <v>5386</v>
      </c>
      <c r="Y8976" t="s">
        <v>2116</v>
      </c>
      <c r="Z8976" t="s">
        <v>5388</v>
      </c>
      <c r="AA8976" t="s">
        <v>5389</v>
      </c>
      <c r="AB8976" t="s">
        <v>5388</v>
      </c>
      <c r="AC8976" t="s">
        <v>1094</v>
      </c>
      <c r="AD8976" t="s">
        <v>219</v>
      </c>
      <c r="AE8976" t="s">
        <v>5390</v>
      </c>
      <c r="AF8976" t="s">
        <v>18212</v>
      </c>
    </row>
    <row r="8977" spans="1:32" hidden="1" x14ac:dyDescent="0.35">
      <c r="A8977">
        <v>8976</v>
      </c>
      <c r="B8977" t="s">
        <v>18211</v>
      </c>
      <c r="C8977" t="s">
        <v>277</v>
      </c>
      <c r="D8977" t="s">
        <v>45</v>
      </c>
      <c r="E8977">
        <v>1410</v>
      </c>
      <c r="F8977">
        <v>2</v>
      </c>
      <c r="G8977">
        <v>2</v>
      </c>
      <c r="H8977">
        <v>1</v>
      </c>
      <c r="I8977">
        <v>0</v>
      </c>
      <c r="J8977">
        <v>0.98453209590100499</v>
      </c>
      <c r="K8977">
        <v>1</v>
      </c>
      <c r="L8977">
        <v>0.99220576773187796</v>
      </c>
      <c r="M8977">
        <v>0.98143851508120605</v>
      </c>
      <c r="N8977">
        <v>0.98143851508120605</v>
      </c>
      <c r="O8977">
        <v>0.98143851508120605</v>
      </c>
      <c r="P8977" t="s">
        <v>2112</v>
      </c>
      <c r="Q8977" t="s">
        <v>2113</v>
      </c>
      <c r="R8977" t="s">
        <v>869</v>
      </c>
      <c r="S8977" t="s">
        <v>870</v>
      </c>
      <c r="T8977" t="s">
        <v>5384</v>
      </c>
      <c r="U8977" t="s">
        <v>5385</v>
      </c>
      <c r="V8977" t="s">
        <v>5386</v>
      </c>
      <c r="W8977" t="s">
        <v>5387</v>
      </c>
      <c r="X8977" t="s">
        <v>5386</v>
      </c>
      <c r="Y8977" t="s">
        <v>2116</v>
      </c>
      <c r="Z8977" t="s">
        <v>5388</v>
      </c>
      <c r="AA8977" t="s">
        <v>5389</v>
      </c>
      <c r="AB8977" t="s">
        <v>5388</v>
      </c>
      <c r="AC8977" t="s">
        <v>1094</v>
      </c>
      <c r="AD8977" t="s">
        <v>219</v>
      </c>
      <c r="AE8977" t="s">
        <v>5390</v>
      </c>
      <c r="AF8977" t="s">
        <v>18213</v>
      </c>
    </row>
    <row r="8978" spans="1:32" hidden="1" x14ac:dyDescent="0.35">
      <c r="A8978">
        <v>8977</v>
      </c>
      <c r="B8978" t="s">
        <v>18214</v>
      </c>
      <c r="C8978" t="s">
        <v>277</v>
      </c>
      <c r="D8978" t="s">
        <v>60</v>
      </c>
      <c r="E8978">
        <v>564</v>
      </c>
      <c r="F8978">
        <v>2</v>
      </c>
      <c r="G8978">
        <v>2</v>
      </c>
      <c r="H8978">
        <v>1</v>
      </c>
      <c r="I8978">
        <v>0</v>
      </c>
      <c r="J8978">
        <v>0.98701298701298701</v>
      </c>
      <c r="K8978">
        <v>1</v>
      </c>
      <c r="L8978">
        <v>0.99346405228758194</v>
      </c>
      <c r="M8978">
        <v>0.98701298701298701</v>
      </c>
      <c r="N8978">
        <v>0.98701298701298701</v>
      </c>
      <c r="O8978">
        <v>0.98701298701298701</v>
      </c>
      <c r="P8978" t="s">
        <v>16461</v>
      </c>
      <c r="Q8978" t="s">
        <v>16462</v>
      </c>
      <c r="R8978" t="s">
        <v>96</v>
      </c>
      <c r="S8978" t="s">
        <v>97</v>
      </c>
      <c r="T8978" t="s">
        <v>16463</v>
      </c>
      <c r="U8978" t="s">
        <v>16464</v>
      </c>
      <c r="V8978" t="s">
        <v>16465</v>
      </c>
      <c r="W8978" t="s">
        <v>16466</v>
      </c>
      <c r="AD8978" t="s">
        <v>410</v>
      </c>
      <c r="AE8978" t="s">
        <v>1637</v>
      </c>
      <c r="AF8978" t="s">
        <v>18215</v>
      </c>
    </row>
    <row r="8979" spans="1:32" hidden="1" x14ac:dyDescent="0.35">
      <c r="A8979">
        <v>8978</v>
      </c>
      <c r="B8979" t="s">
        <v>18214</v>
      </c>
      <c r="C8979" t="s">
        <v>277</v>
      </c>
      <c r="D8979" t="s">
        <v>62</v>
      </c>
      <c r="E8979">
        <v>648</v>
      </c>
      <c r="F8979">
        <v>2</v>
      </c>
      <c r="G8979">
        <v>2</v>
      </c>
      <c r="H8979">
        <v>1</v>
      </c>
      <c r="I8979">
        <v>0</v>
      </c>
      <c r="J8979">
        <v>0.98701298701298701</v>
      </c>
      <c r="K8979">
        <v>1</v>
      </c>
      <c r="L8979">
        <v>0.99346405228758194</v>
      </c>
      <c r="M8979">
        <v>0.98701298701298701</v>
      </c>
      <c r="N8979">
        <v>0.98701298701298701</v>
      </c>
      <c r="O8979">
        <v>0.98701298701298701</v>
      </c>
      <c r="P8979" t="s">
        <v>16461</v>
      </c>
      <c r="Q8979" t="s">
        <v>16462</v>
      </c>
      <c r="R8979" t="s">
        <v>96</v>
      </c>
      <c r="S8979" t="s">
        <v>97</v>
      </c>
      <c r="T8979" t="s">
        <v>16463</v>
      </c>
      <c r="U8979" t="s">
        <v>16464</v>
      </c>
      <c r="V8979" t="s">
        <v>16465</v>
      </c>
      <c r="W8979" t="s">
        <v>16466</v>
      </c>
      <c r="AD8979" t="s">
        <v>410</v>
      </c>
      <c r="AE8979" t="s">
        <v>1637</v>
      </c>
      <c r="AF8979" t="s">
        <v>18216</v>
      </c>
    </row>
    <row r="8980" spans="1:32" hidden="1" x14ac:dyDescent="0.35">
      <c r="A8980">
        <v>8979</v>
      </c>
      <c r="B8980" t="s">
        <v>18217</v>
      </c>
      <c r="C8980" t="s">
        <v>277</v>
      </c>
      <c r="D8980" t="s">
        <v>34</v>
      </c>
      <c r="E8980">
        <v>2478</v>
      </c>
      <c r="F8980">
        <v>2</v>
      </c>
      <c r="G8980">
        <v>2</v>
      </c>
      <c r="H8980">
        <v>1</v>
      </c>
      <c r="I8980">
        <v>0</v>
      </c>
      <c r="J8980">
        <v>0.97316821465428305</v>
      </c>
      <c r="K8980">
        <v>0.96730862599126399</v>
      </c>
      <c r="L8980">
        <v>0.97022957332739101</v>
      </c>
      <c r="M8980">
        <v>0.93712574850299402</v>
      </c>
      <c r="N8980">
        <v>0.93712574850299402</v>
      </c>
      <c r="O8980">
        <v>0.93712574850299402</v>
      </c>
      <c r="P8980" t="s">
        <v>3168</v>
      </c>
      <c r="Q8980" t="s">
        <v>3169</v>
      </c>
      <c r="R8980" t="s">
        <v>15189</v>
      </c>
      <c r="S8980" t="s">
        <v>15190</v>
      </c>
      <c r="V8980" t="s">
        <v>15191</v>
      </c>
      <c r="W8980" t="s">
        <v>15192</v>
      </c>
      <c r="AF8980" t="s">
        <v>18218</v>
      </c>
    </row>
    <row r="8981" spans="1:32" hidden="1" x14ac:dyDescent="0.35">
      <c r="A8981">
        <v>8980</v>
      </c>
      <c r="B8981" t="s">
        <v>18217</v>
      </c>
      <c r="C8981" t="s">
        <v>277</v>
      </c>
      <c r="D8981" t="s">
        <v>45</v>
      </c>
      <c r="E8981">
        <v>423</v>
      </c>
      <c r="F8981">
        <v>2</v>
      </c>
      <c r="G8981">
        <v>2</v>
      </c>
      <c r="H8981">
        <v>1</v>
      </c>
      <c r="I8981">
        <v>0</v>
      </c>
      <c r="J8981">
        <v>0.97316821465428305</v>
      </c>
      <c r="K8981">
        <v>0.96730862599126399</v>
      </c>
      <c r="L8981">
        <v>0.97022957332739101</v>
      </c>
      <c r="M8981">
        <v>0.93712574850299402</v>
      </c>
      <c r="N8981">
        <v>0.93712574850299402</v>
      </c>
      <c r="O8981">
        <v>0.93712574850299402</v>
      </c>
      <c r="P8981" t="s">
        <v>3168</v>
      </c>
      <c r="Q8981" t="s">
        <v>3169</v>
      </c>
      <c r="R8981" t="s">
        <v>15189</v>
      </c>
      <c r="S8981" t="s">
        <v>15190</v>
      </c>
      <c r="V8981" t="s">
        <v>15191</v>
      </c>
      <c r="W8981" t="s">
        <v>15192</v>
      </c>
      <c r="AF8981" t="s">
        <v>18219</v>
      </c>
    </row>
    <row r="8982" spans="1:32" hidden="1" x14ac:dyDescent="0.35">
      <c r="A8982">
        <v>8981</v>
      </c>
      <c r="B8982" t="s">
        <v>18220</v>
      </c>
      <c r="C8982" t="s">
        <v>277</v>
      </c>
      <c r="D8982" t="s">
        <v>34</v>
      </c>
      <c r="E8982">
        <v>720</v>
      </c>
      <c r="F8982">
        <v>2</v>
      </c>
      <c r="G8982">
        <v>2</v>
      </c>
      <c r="H8982">
        <v>1</v>
      </c>
      <c r="I8982">
        <v>0</v>
      </c>
      <c r="J8982">
        <v>0.98591549295774605</v>
      </c>
      <c r="K8982">
        <v>1</v>
      </c>
      <c r="L8982">
        <v>0.99290780141844004</v>
      </c>
      <c r="M8982">
        <v>0.98591549295774605</v>
      </c>
      <c r="N8982">
        <v>0.98591549295774605</v>
      </c>
      <c r="O8982">
        <v>0.98591549295774605</v>
      </c>
      <c r="P8982" t="s">
        <v>15066</v>
      </c>
      <c r="Q8982" t="s">
        <v>15067</v>
      </c>
      <c r="R8982" t="s">
        <v>18146</v>
      </c>
      <c r="S8982" t="s">
        <v>18147</v>
      </c>
      <c r="T8982" t="s">
        <v>15068</v>
      </c>
      <c r="U8982" t="s">
        <v>15069</v>
      </c>
      <c r="V8982" t="s">
        <v>18221</v>
      </c>
      <c r="W8982" t="s">
        <v>18222</v>
      </c>
      <c r="Z8982" t="s">
        <v>15072</v>
      </c>
      <c r="AA8982" t="s">
        <v>15073</v>
      </c>
      <c r="AB8982" t="s">
        <v>15072</v>
      </c>
      <c r="AC8982" t="s">
        <v>15074</v>
      </c>
      <c r="AD8982" t="s">
        <v>15075</v>
      </c>
      <c r="AE8982" t="s">
        <v>15076</v>
      </c>
      <c r="AF8982" t="s">
        <v>18223</v>
      </c>
    </row>
    <row r="8983" spans="1:32" hidden="1" x14ac:dyDescent="0.35">
      <c r="A8983">
        <v>8982</v>
      </c>
      <c r="B8983" t="s">
        <v>18220</v>
      </c>
      <c r="C8983" t="s">
        <v>277</v>
      </c>
      <c r="D8983" t="s">
        <v>45</v>
      </c>
      <c r="E8983">
        <v>1986</v>
      </c>
      <c r="F8983">
        <v>2</v>
      </c>
      <c r="G8983">
        <v>2</v>
      </c>
      <c r="H8983">
        <v>1</v>
      </c>
      <c r="I8983">
        <v>0</v>
      </c>
      <c r="J8983">
        <v>0.98591549295774605</v>
      </c>
      <c r="K8983">
        <v>1</v>
      </c>
      <c r="L8983">
        <v>0.99290780141844004</v>
      </c>
      <c r="M8983">
        <v>0.98591549295774605</v>
      </c>
      <c r="N8983">
        <v>0.98591549295774605</v>
      </c>
      <c r="O8983">
        <v>0.98591549295774605</v>
      </c>
      <c r="P8983" t="s">
        <v>15066</v>
      </c>
      <c r="Q8983" t="s">
        <v>15067</v>
      </c>
      <c r="R8983" t="s">
        <v>18146</v>
      </c>
      <c r="S8983" t="s">
        <v>18147</v>
      </c>
      <c r="T8983" t="s">
        <v>15068</v>
      </c>
      <c r="U8983" t="s">
        <v>15069</v>
      </c>
      <c r="V8983" t="s">
        <v>18221</v>
      </c>
      <c r="W8983" t="s">
        <v>18222</v>
      </c>
      <c r="Z8983" t="s">
        <v>15072</v>
      </c>
      <c r="AA8983" t="s">
        <v>15073</v>
      </c>
      <c r="AB8983" t="s">
        <v>15072</v>
      </c>
      <c r="AC8983" t="s">
        <v>15074</v>
      </c>
      <c r="AD8983" t="s">
        <v>15075</v>
      </c>
      <c r="AE8983" t="s">
        <v>15076</v>
      </c>
      <c r="AF8983" t="s">
        <v>18224</v>
      </c>
    </row>
    <row r="8984" spans="1:32" hidden="1" x14ac:dyDescent="0.35">
      <c r="A8984">
        <v>8983</v>
      </c>
      <c r="B8984" t="s">
        <v>18225</v>
      </c>
      <c r="C8984" t="s">
        <v>277</v>
      </c>
      <c r="D8984" t="s">
        <v>34</v>
      </c>
      <c r="E8984">
        <v>1551</v>
      </c>
      <c r="F8984">
        <v>2</v>
      </c>
      <c r="G8984">
        <v>2</v>
      </c>
      <c r="H8984">
        <v>1</v>
      </c>
      <c r="I8984">
        <v>0</v>
      </c>
      <c r="J8984">
        <v>0.99319727891156495</v>
      </c>
      <c r="K8984">
        <v>1</v>
      </c>
      <c r="L8984">
        <v>0.99658703071672305</v>
      </c>
      <c r="M8984">
        <v>0.99183673469387801</v>
      </c>
      <c r="N8984">
        <v>0.99183673469387801</v>
      </c>
      <c r="O8984">
        <v>0.99183673469387801</v>
      </c>
      <c r="P8984" t="s">
        <v>4358</v>
      </c>
      <c r="Q8984" t="s">
        <v>4359</v>
      </c>
      <c r="R8984" t="s">
        <v>4917</v>
      </c>
      <c r="S8984" t="s">
        <v>4918</v>
      </c>
      <c r="T8984" t="s">
        <v>13078</v>
      </c>
      <c r="U8984" t="s">
        <v>6729</v>
      </c>
      <c r="V8984" t="s">
        <v>4919</v>
      </c>
      <c r="W8984" t="s">
        <v>4920</v>
      </c>
      <c r="Z8984" t="s">
        <v>13079</v>
      </c>
      <c r="AA8984" t="s">
        <v>13080</v>
      </c>
      <c r="AB8984" t="s">
        <v>13079</v>
      </c>
      <c r="AC8984" t="s">
        <v>3240</v>
      </c>
      <c r="AD8984" t="s">
        <v>13081</v>
      </c>
      <c r="AE8984" t="s">
        <v>13082</v>
      </c>
      <c r="AF8984" t="s">
        <v>18226</v>
      </c>
    </row>
    <row r="8985" spans="1:32" hidden="1" x14ac:dyDescent="0.35">
      <c r="A8985">
        <v>8984</v>
      </c>
      <c r="B8985" t="s">
        <v>18225</v>
      </c>
      <c r="C8985" t="s">
        <v>277</v>
      </c>
      <c r="D8985" t="s">
        <v>45</v>
      </c>
      <c r="E8985">
        <v>301</v>
      </c>
      <c r="F8985">
        <v>2</v>
      </c>
      <c r="G8985">
        <v>2</v>
      </c>
      <c r="H8985">
        <v>1</v>
      </c>
      <c r="I8985">
        <v>0</v>
      </c>
      <c r="J8985">
        <v>0.99319727891156495</v>
      </c>
      <c r="K8985">
        <v>1</v>
      </c>
      <c r="L8985">
        <v>0.99658703071672305</v>
      </c>
      <c r="M8985">
        <v>0.99183673469387801</v>
      </c>
      <c r="N8985">
        <v>0.99183673469387801</v>
      </c>
      <c r="O8985">
        <v>0.99183673469387801</v>
      </c>
      <c r="P8985" t="s">
        <v>4358</v>
      </c>
      <c r="Q8985" t="s">
        <v>4359</v>
      </c>
      <c r="R8985" t="s">
        <v>4917</v>
      </c>
      <c r="S8985" t="s">
        <v>4918</v>
      </c>
      <c r="T8985" t="s">
        <v>13078</v>
      </c>
      <c r="U8985" t="s">
        <v>6729</v>
      </c>
      <c r="V8985" t="s">
        <v>4919</v>
      </c>
      <c r="W8985" t="s">
        <v>4920</v>
      </c>
      <c r="Z8985" t="s">
        <v>13079</v>
      </c>
      <c r="AA8985" t="s">
        <v>13080</v>
      </c>
      <c r="AB8985" t="s">
        <v>13079</v>
      </c>
      <c r="AC8985" t="s">
        <v>3240</v>
      </c>
      <c r="AD8985" t="s">
        <v>13081</v>
      </c>
      <c r="AE8985" t="s">
        <v>13082</v>
      </c>
      <c r="AF8985" t="s">
        <v>18227</v>
      </c>
    </row>
    <row r="8986" spans="1:32" hidden="1" x14ac:dyDescent="0.35">
      <c r="A8986">
        <v>8985</v>
      </c>
      <c r="B8986" t="s">
        <v>18228</v>
      </c>
      <c r="C8986" t="s">
        <v>277</v>
      </c>
      <c r="D8986" t="s">
        <v>34</v>
      </c>
      <c r="E8986">
        <v>572</v>
      </c>
      <c r="F8986">
        <v>2</v>
      </c>
      <c r="G8986">
        <v>2</v>
      </c>
      <c r="H8986">
        <v>1</v>
      </c>
      <c r="I8986">
        <v>0</v>
      </c>
      <c r="J8986">
        <v>1</v>
      </c>
      <c r="K8986">
        <v>0.71438878581735699</v>
      </c>
      <c r="L8986">
        <v>0.83340347501953904</v>
      </c>
      <c r="M8986">
        <v>0.65656565656565702</v>
      </c>
      <c r="N8986">
        <v>0.65656565656565702</v>
      </c>
      <c r="O8986">
        <v>0.65656565656565702</v>
      </c>
      <c r="AF8986" t="e">
        <f>----------------------------------MVPPAVMLPAGSEIVGGVCDLAELVDGIITFELVWPRYASDTEPFTEDQAFAINAGINGYRGSRY</f>
        <v>#NAME?</v>
      </c>
    </row>
    <row r="8987" spans="1:32" hidden="1" x14ac:dyDescent="0.35">
      <c r="A8987">
        <v>8986</v>
      </c>
      <c r="B8987" t="s">
        <v>18228</v>
      </c>
      <c r="C8987" t="s">
        <v>277</v>
      </c>
      <c r="D8987" t="s">
        <v>45</v>
      </c>
      <c r="E8987">
        <v>1838</v>
      </c>
      <c r="F8987">
        <v>2</v>
      </c>
      <c r="G8987">
        <v>2</v>
      </c>
      <c r="H8987">
        <v>1</v>
      </c>
      <c r="I8987">
        <v>0</v>
      </c>
      <c r="J8987">
        <v>1</v>
      </c>
      <c r="K8987">
        <v>0.71438878581735699</v>
      </c>
      <c r="L8987">
        <v>0.83340347501953904</v>
      </c>
      <c r="M8987">
        <v>0.65656565656565702</v>
      </c>
      <c r="N8987">
        <v>0.65656565656565702</v>
      </c>
      <c r="O8987">
        <v>0.65656565656565702</v>
      </c>
      <c r="R8987" t="s">
        <v>113</v>
      </c>
      <c r="S8987" t="s">
        <v>114</v>
      </c>
      <c r="V8987" t="s">
        <v>2881</v>
      </c>
      <c r="W8987" t="s">
        <v>2882</v>
      </c>
      <c r="AF8987" t="s">
        <v>18229</v>
      </c>
    </row>
    <row r="8988" spans="1:32" hidden="1" x14ac:dyDescent="0.35">
      <c r="A8988">
        <v>8987</v>
      </c>
      <c r="B8988" t="s">
        <v>18230</v>
      </c>
      <c r="C8988" t="s">
        <v>277</v>
      </c>
      <c r="D8988" t="s">
        <v>34</v>
      </c>
      <c r="E8988">
        <v>1382</v>
      </c>
      <c r="F8988">
        <v>2</v>
      </c>
      <c r="G8988">
        <v>2</v>
      </c>
      <c r="H8988">
        <v>1</v>
      </c>
      <c r="I8988">
        <v>0</v>
      </c>
      <c r="J8988">
        <v>0.97350069735007005</v>
      </c>
      <c r="K8988">
        <v>0.98765474435032896</v>
      </c>
      <c r="L8988">
        <v>0.98052664457082195</v>
      </c>
      <c r="M8988">
        <v>0.95867768595041303</v>
      </c>
      <c r="N8988">
        <v>0.95867768595041303</v>
      </c>
      <c r="O8988">
        <v>0.95867768595041303</v>
      </c>
      <c r="P8988" t="s">
        <v>12340</v>
      </c>
      <c r="Q8988" t="s">
        <v>12341</v>
      </c>
      <c r="R8988" t="s">
        <v>96</v>
      </c>
      <c r="S8988" t="s">
        <v>97</v>
      </c>
      <c r="T8988" t="s">
        <v>12342</v>
      </c>
      <c r="U8988" t="s">
        <v>12343</v>
      </c>
      <c r="V8988" t="s">
        <v>12344</v>
      </c>
      <c r="W8988" t="s">
        <v>12345</v>
      </c>
      <c r="AD8988" t="s">
        <v>1345</v>
      </c>
      <c r="AE8988" t="s">
        <v>12346</v>
      </c>
      <c r="AF8988" t="s">
        <v>18231</v>
      </c>
    </row>
    <row r="8989" spans="1:32" hidden="1" x14ac:dyDescent="0.35">
      <c r="A8989">
        <v>8988</v>
      </c>
      <c r="B8989" t="s">
        <v>18230</v>
      </c>
      <c r="C8989" t="s">
        <v>277</v>
      </c>
      <c r="D8989" t="s">
        <v>45</v>
      </c>
      <c r="E8989">
        <v>132</v>
      </c>
      <c r="F8989">
        <v>2</v>
      </c>
      <c r="G8989">
        <v>2</v>
      </c>
      <c r="H8989">
        <v>1</v>
      </c>
      <c r="I8989">
        <v>0</v>
      </c>
      <c r="J8989">
        <v>0.97350069735007005</v>
      </c>
      <c r="K8989">
        <v>0.98765474435032896</v>
      </c>
      <c r="L8989">
        <v>0.98052664457082195</v>
      </c>
      <c r="M8989">
        <v>0.95867768595041303</v>
      </c>
      <c r="N8989">
        <v>0.95867768595041303</v>
      </c>
      <c r="O8989">
        <v>0.95867768595041303</v>
      </c>
      <c r="P8989" t="s">
        <v>12340</v>
      </c>
      <c r="Q8989" t="s">
        <v>12341</v>
      </c>
      <c r="R8989" t="s">
        <v>96</v>
      </c>
      <c r="S8989" t="s">
        <v>97</v>
      </c>
      <c r="T8989" t="s">
        <v>12342</v>
      </c>
      <c r="U8989" t="s">
        <v>12343</v>
      </c>
      <c r="V8989" t="s">
        <v>12344</v>
      </c>
      <c r="W8989" t="s">
        <v>12345</v>
      </c>
      <c r="AD8989" t="s">
        <v>1345</v>
      </c>
      <c r="AE8989" t="s">
        <v>12346</v>
      </c>
      <c r="AF8989" t="s">
        <v>18232</v>
      </c>
    </row>
    <row r="8990" spans="1:32" hidden="1" x14ac:dyDescent="0.35">
      <c r="A8990">
        <v>8989</v>
      </c>
      <c r="B8990" t="s">
        <v>18233</v>
      </c>
      <c r="C8990" t="s">
        <v>277</v>
      </c>
      <c r="D8990" t="s">
        <v>60</v>
      </c>
      <c r="E8990">
        <v>1928</v>
      </c>
      <c r="F8990">
        <v>2</v>
      </c>
      <c r="G8990">
        <v>2</v>
      </c>
      <c r="H8990">
        <v>1</v>
      </c>
      <c r="I8990">
        <v>0</v>
      </c>
      <c r="J8990">
        <v>0.99206349206349198</v>
      </c>
      <c r="K8990">
        <v>1</v>
      </c>
      <c r="L8990">
        <v>0.99601593625497997</v>
      </c>
      <c r="M8990">
        <v>0.99206349206349198</v>
      </c>
      <c r="N8990">
        <v>0.99206349206349198</v>
      </c>
      <c r="O8990">
        <v>0.99206349206349198</v>
      </c>
      <c r="P8990" t="s">
        <v>11244</v>
      </c>
      <c r="Q8990" t="s">
        <v>11245</v>
      </c>
      <c r="R8990" t="s">
        <v>18234</v>
      </c>
      <c r="S8990" t="s">
        <v>18235</v>
      </c>
      <c r="T8990" t="s">
        <v>18236</v>
      </c>
      <c r="U8990" t="s">
        <v>18237</v>
      </c>
      <c r="V8990" t="s">
        <v>18238</v>
      </c>
      <c r="W8990" t="s">
        <v>18239</v>
      </c>
      <c r="Z8990" t="s">
        <v>18206</v>
      </c>
      <c r="AA8990" t="s">
        <v>18207</v>
      </c>
      <c r="AB8990" t="s">
        <v>18206</v>
      </c>
      <c r="AC8990" t="s">
        <v>4023</v>
      </c>
      <c r="AD8990" t="s">
        <v>10157</v>
      </c>
      <c r="AE8990" t="s">
        <v>18240</v>
      </c>
      <c r="AF8990" t="s">
        <v>18241</v>
      </c>
    </row>
    <row r="8991" spans="1:32" hidden="1" x14ac:dyDescent="0.35">
      <c r="A8991">
        <v>8990</v>
      </c>
      <c r="B8991" t="s">
        <v>18233</v>
      </c>
      <c r="C8991" t="s">
        <v>277</v>
      </c>
      <c r="D8991" t="s">
        <v>62</v>
      </c>
      <c r="E8991">
        <v>1968</v>
      </c>
      <c r="F8991">
        <v>2</v>
      </c>
      <c r="G8991">
        <v>2</v>
      </c>
      <c r="H8991">
        <v>1</v>
      </c>
      <c r="I8991">
        <v>0</v>
      </c>
      <c r="J8991">
        <v>0.99206349206349198</v>
      </c>
      <c r="K8991">
        <v>1</v>
      </c>
      <c r="L8991">
        <v>0.99601593625497997</v>
      </c>
      <c r="M8991">
        <v>0.99206349206349198</v>
      </c>
      <c r="N8991">
        <v>0.99206349206349198</v>
      </c>
      <c r="O8991">
        <v>0.99206349206349198</v>
      </c>
      <c r="P8991" t="s">
        <v>11244</v>
      </c>
      <c r="Q8991" t="s">
        <v>11245</v>
      </c>
      <c r="R8991" t="s">
        <v>18234</v>
      </c>
      <c r="S8991" t="s">
        <v>18235</v>
      </c>
      <c r="T8991" t="s">
        <v>18236</v>
      </c>
      <c r="U8991" t="s">
        <v>18237</v>
      </c>
      <c r="V8991" t="s">
        <v>18238</v>
      </c>
      <c r="W8991" t="s">
        <v>18239</v>
      </c>
      <c r="Z8991" t="s">
        <v>18206</v>
      </c>
      <c r="AA8991" t="s">
        <v>18207</v>
      </c>
      <c r="AB8991" t="s">
        <v>18206</v>
      </c>
      <c r="AC8991" t="s">
        <v>4023</v>
      </c>
      <c r="AD8991" t="s">
        <v>10157</v>
      </c>
      <c r="AE8991" t="s">
        <v>18240</v>
      </c>
      <c r="AF8991" t="s">
        <v>18242</v>
      </c>
    </row>
    <row r="8992" spans="1:32" hidden="1" x14ac:dyDescent="0.35">
      <c r="A8992">
        <v>8991</v>
      </c>
      <c r="B8992" t="s">
        <v>18243</v>
      </c>
      <c r="C8992" t="s">
        <v>277</v>
      </c>
      <c r="D8992" t="s">
        <v>34</v>
      </c>
      <c r="E8992">
        <v>606</v>
      </c>
      <c r="F8992">
        <v>2</v>
      </c>
      <c r="G8992">
        <v>2</v>
      </c>
      <c r="H8992">
        <v>1</v>
      </c>
      <c r="I8992">
        <v>0</v>
      </c>
      <c r="J8992">
        <v>0.99380804953560398</v>
      </c>
      <c r="K8992">
        <v>1</v>
      </c>
      <c r="L8992">
        <v>0.99689440993788803</v>
      </c>
      <c r="M8992">
        <v>0.99380804953560398</v>
      </c>
      <c r="N8992">
        <v>0.99380804953560398</v>
      </c>
      <c r="O8992">
        <v>0.99380804953560398</v>
      </c>
      <c r="P8992" t="s">
        <v>18244</v>
      </c>
      <c r="Q8992" t="s">
        <v>18245</v>
      </c>
      <c r="R8992" t="s">
        <v>1259</v>
      </c>
      <c r="S8992" t="s">
        <v>1260</v>
      </c>
      <c r="T8992" t="s">
        <v>18246</v>
      </c>
      <c r="U8992" t="s">
        <v>407</v>
      </c>
      <c r="V8992" t="s">
        <v>18247</v>
      </c>
      <c r="W8992" t="s">
        <v>18248</v>
      </c>
      <c r="AD8992" t="s">
        <v>410</v>
      </c>
      <c r="AE8992" t="s">
        <v>411</v>
      </c>
      <c r="AF8992" t="s">
        <v>18249</v>
      </c>
    </row>
    <row r="8993" spans="1:32" hidden="1" x14ac:dyDescent="0.35">
      <c r="A8993">
        <v>8992</v>
      </c>
      <c r="B8993" t="s">
        <v>18243</v>
      </c>
      <c r="C8993" t="s">
        <v>277</v>
      </c>
      <c r="D8993" t="s">
        <v>45</v>
      </c>
      <c r="E8993">
        <v>1873</v>
      </c>
      <c r="F8993">
        <v>2</v>
      </c>
      <c r="G8993">
        <v>2</v>
      </c>
      <c r="H8993">
        <v>1</v>
      </c>
      <c r="I8993">
        <v>0</v>
      </c>
      <c r="J8993">
        <v>0.99380804953560398</v>
      </c>
      <c r="K8993">
        <v>1</v>
      </c>
      <c r="L8993">
        <v>0.99689440993788803</v>
      </c>
      <c r="M8993">
        <v>0.99380804953560398</v>
      </c>
      <c r="N8993">
        <v>0.99380804953560398</v>
      </c>
      <c r="O8993">
        <v>0.99380804953560398</v>
      </c>
      <c r="P8993" t="s">
        <v>18244</v>
      </c>
      <c r="Q8993" t="s">
        <v>18245</v>
      </c>
      <c r="R8993" t="s">
        <v>1259</v>
      </c>
      <c r="S8993" t="s">
        <v>1260</v>
      </c>
      <c r="T8993" t="s">
        <v>18246</v>
      </c>
      <c r="U8993" t="s">
        <v>407</v>
      </c>
      <c r="V8993" t="s">
        <v>18247</v>
      </c>
      <c r="W8993" t="s">
        <v>18248</v>
      </c>
      <c r="AD8993" t="s">
        <v>410</v>
      </c>
      <c r="AE8993" t="s">
        <v>411</v>
      </c>
      <c r="AF8993" t="s">
        <v>18250</v>
      </c>
    </row>
    <row r="8994" spans="1:32" hidden="1" x14ac:dyDescent="0.35">
      <c r="A8994">
        <v>8993</v>
      </c>
      <c r="B8994" t="s">
        <v>18251</v>
      </c>
      <c r="C8994" t="s">
        <v>277</v>
      </c>
      <c r="D8994" t="s">
        <v>60</v>
      </c>
      <c r="E8994">
        <v>2124</v>
      </c>
      <c r="F8994">
        <v>2</v>
      </c>
      <c r="G8994">
        <v>2</v>
      </c>
      <c r="H8994">
        <v>1</v>
      </c>
      <c r="I8994">
        <v>0</v>
      </c>
      <c r="J8994">
        <v>0.98765432098765404</v>
      </c>
      <c r="K8994">
        <v>1</v>
      </c>
      <c r="L8994">
        <v>0.99378881987577605</v>
      </c>
      <c r="M8994">
        <v>0.98765432098765404</v>
      </c>
      <c r="N8994">
        <v>0.98765432098765404</v>
      </c>
      <c r="O8994">
        <v>0.98765432098765404</v>
      </c>
      <c r="AF8994" t="s">
        <v>18252</v>
      </c>
    </row>
    <row r="8995" spans="1:32" hidden="1" x14ac:dyDescent="0.35">
      <c r="A8995">
        <v>8994</v>
      </c>
      <c r="B8995" t="s">
        <v>18251</v>
      </c>
      <c r="C8995" t="s">
        <v>277</v>
      </c>
      <c r="D8995" t="s">
        <v>62</v>
      </c>
      <c r="E8995">
        <v>2158</v>
      </c>
      <c r="F8995">
        <v>2</v>
      </c>
      <c r="G8995">
        <v>2</v>
      </c>
      <c r="H8995">
        <v>1</v>
      </c>
      <c r="I8995">
        <v>0</v>
      </c>
      <c r="J8995">
        <v>0.98765432098765404</v>
      </c>
      <c r="K8995">
        <v>1</v>
      </c>
      <c r="L8995">
        <v>0.99378881987577605</v>
      </c>
      <c r="M8995">
        <v>0.98765432098765404</v>
      </c>
      <c r="N8995">
        <v>0.98765432098765404</v>
      </c>
      <c r="O8995">
        <v>0.98765432098765404</v>
      </c>
      <c r="AF8995" t="s">
        <v>18253</v>
      </c>
    </row>
    <row r="8996" spans="1:32" hidden="1" x14ac:dyDescent="0.35">
      <c r="A8996">
        <v>8995</v>
      </c>
      <c r="B8996" t="s">
        <v>18254</v>
      </c>
      <c r="C8996" t="s">
        <v>277</v>
      </c>
      <c r="D8996" t="s">
        <v>60</v>
      </c>
      <c r="E8996">
        <v>402</v>
      </c>
      <c r="F8996">
        <v>2</v>
      </c>
      <c r="G8996">
        <v>2</v>
      </c>
      <c r="H8996">
        <v>1</v>
      </c>
      <c r="I8996">
        <v>0</v>
      </c>
      <c r="J8996">
        <v>0.99283154121863804</v>
      </c>
      <c r="K8996">
        <v>1</v>
      </c>
      <c r="L8996">
        <v>0.99640287769784197</v>
      </c>
      <c r="M8996">
        <v>0.99283154121863804</v>
      </c>
      <c r="N8996">
        <v>0.99283154121863804</v>
      </c>
      <c r="O8996">
        <v>0.99283154121863804</v>
      </c>
      <c r="P8996" t="s">
        <v>14606</v>
      </c>
      <c r="Q8996" t="s">
        <v>14607</v>
      </c>
      <c r="R8996" t="s">
        <v>1259</v>
      </c>
      <c r="S8996" t="s">
        <v>1260</v>
      </c>
      <c r="V8996" t="s">
        <v>14608</v>
      </c>
      <c r="W8996" t="s">
        <v>14609</v>
      </c>
      <c r="AF8996" t="s">
        <v>18255</v>
      </c>
    </row>
    <row r="8997" spans="1:32" hidden="1" x14ac:dyDescent="0.35">
      <c r="A8997">
        <v>8996</v>
      </c>
      <c r="B8997" t="s">
        <v>18254</v>
      </c>
      <c r="C8997" t="s">
        <v>277</v>
      </c>
      <c r="D8997" t="s">
        <v>62</v>
      </c>
      <c r="E8997">
        <v>483</v>
      </c>
      <c r="F8997">
        <v>2</v>
      </c>
      <c r="G8997">
        <v>2</v>
      </c>
      <c r="H8997">
        <v>1</v>
      </c>
      <c r="I8997">
        <v>0</v>
      </c>
      <c r="J8997">
        <v>0.99283154121863804</v>
      </c>
      <c r="K8997">
        <v>1</v>
      </c>
      <c r="L8997">
        <v>0.99640287769784197</v>
      </c>
      <c r="M8997">
        <v>0.99283154121863804</v>
      </c>
      <c r="N8997">
        <v>0.99283154121863804</v>
      </c>
      <c r="O8997">
        <v>0.99283154121863804</v>
      </c>
      <c r="P8997" t="s">
        <v>14606</v>
      </c>
      <c r="Q8997" t="s">
        <v>14607</v>
      </c>
      <c r="R8997" t="s">
        <v>1259</v>
      </c>
      <c r="S8997" t="s">
        <v>1260</v>
      </c>
      <c r="V8997" t="s">
        <v>14608</v>
      </c>
      <c r="W8997" t="s">
        <v>14609</v>
      </c>
      <c r="AF8997" t="s">
        <v>18256</v>
      </c>
    </row>
    <row r="8998" spans="1:32" hidden="1" x14ac:dyDescent="0.35">
      <c r="A8998">
        <v>8997</v>
      </c>
      <c r="B8998" t="s">
        <v>18257</v>
      </c>
      <c r="C8998" t="s">
        <v>277</v>
      </c>
      <c r="D8998" t="s">
        <v>34</v>
      </c>
      <c r="E8998">
        <v>394</v>
      </c>
      <c r="F8998">
        <v>2</v>
      </c>
      <c r="G8998">
        <v>2</v>
      </c>
      <c r="H8998">
        <v>1</v>
      </c>
      <c r="I8998">
        <v>0</v>
      </c>
      <c r="J8998">
        <v>0.98982785602503898</v>
      </c>
      <c r="K8998">
        <v>1</v>
      </c>
      <c r="L8998">
        <v>0.99488792764451395</v>
      </c>
      <c r="M8998">
        <v>0.98826291079812201</v>
      </c>
      <c r="N8998">
        <v>0.98826291079812201</v>
      </c>
      <c r="O8998">
        <v>0.98826291079812201</v>
      </c>
      <c r="P8998" t="s">
        <v>14945</v>
      </c>
      <c r="Q8998" t="s">
        <v>14946</v>
      </c>
      <c r="AF8998" t="s">
        <v>18258</v>
      </c>
    </row>
    <row r="8999" spans="1:32" hidden="1" x14ac:dyDescent="0.35">
      <c r="A8999">
        <v>8998</v>
      </c>
      <c r="B8999" t="s">
        <v>18257</v>
      </c>
      <c r="C8999" t="s">
        <v>277</v>
      </c>
      <c r="D8999" t="s">
        <v>45</v>
      </c>
      <c r="E8999">
        <v>1655</v>
      </c>
      <c r="F8999">
        <v>2</v>
      </c>
      <c r="G8999">
        <v>2</v>
      </c>
      <c r="H8999">
        <v>1</v>
      </c>
      <c r="I8999">
        <v>0</v>
      </c>
      <c r="J8999">
        <v>0.98982785602503898</v>
      </c>
      <c r="K8999">
        <v>1</v>
      </c>
      <c r="L8999">
        <v>0.99488792764451395</v>
      </c>
      <c r="M8999">
        <v>0.98826291079812201</v>
      </c>
      <c r="N8999">
        <v>0.98826291079812201</v>
      </c>
      <c r="O8999">
        <v>0.98826291079812201</v>
      </c>
      <c r="P8999" t="s">
        <v>14945</v>
      </c>
      <c r="Q8999" t="s">
        <v>14946</v>
      </c>
      <c r="AF8999" t="s">
        <v>18259</v>
      </c>
    </row>
    <row r="9000" spans="1:32" hidden="1" x14ac:dyDescent="0.35">
      <c r="A9000">
        <v>8999</v>
      </c>
      <c r="B9000" t="s">
        <v>18260</v>
      </c>
      <c r="C9000" t="s">
        <v>277</v>
      </c>
      <c r="D9000" t="s">
        <v>34</v>
      </c>
      <c r="E9000">
        <v>1869</v>
      </c>
      <c r="F9000">
        <v>2</v>
      </c>
      <c r="G9000">
        <v>2</v>
      </c>
      <c r="H9000">
        <v>1</v>
      </c>
      <c r="I9000">
        <v>0</v>
      </c>
      <c r="J9000">
        <v>0.97549019607843102</v>
      </c>
      <c r="K9000">
        <v>1</v>
      </c>
      <c r="L9000">
        <v>0.98759305210918102</v>
      </c>
      <c r="M9000">
        <v>0.97058823529411797</v>
      </c>
      <c r="N9000">
        <v>0.97058823529411797</v>
      </c>
      <c r="O9000">
        <v>0.97058823529411797</v>
      </c>
      <c r="P9000" t="s">
        <v>13678</v>
      </c>
      <c r="Q9000" t="s">
        <v>13679</v>
      </c>
      <c r="R9000" t="s">
        <v>113</v>
      </c>
      <c r="S9000" t="s">
        <v>114</v>
      </c>
      <c r="V9000" t="s">
        <v>13680</v>
      </c>
      <c r="W9000" t="s">
        <v>13681</v>
      </c>
      <c r="AF9000" t="s">
        <v>18261</v>
      </c>
    </row>
    <row r="9001" spans="1:32" hidden="1" x14ac:dyDescent="0.35">
      <c r="A9001">
        <v>9000</v>
      </c>
      <c r="B9001" t="s">
        <v>18260</v>
      </c>
      <c r="C9001" t="s">
        <v>277</v>
      </c>
      <c r="D9001" t="s">
        <v>45</v>
      </c>
      <c r="E9001">
        <v>1004</v>
      </c>
      <c r="F9001">
        <v>2</v>
      </c>
      <c r="G9001">
        <v>2</v>
      </c>
      <c r="H9001">
        <v>1</v>
      </c>
      <c r="I9001">
        <v>0</v>
      </c>
      <c r="J9001">
        <v>0.97549019607843102</v>
      </c>
      <c r="K9001">
        <v>1</v>
      </c>
      <c r="L9001">
        <v>0.98759305210918102</v>
      </c>
      <c r="M9001">
        <v>0.97058823529411797</v>
      </c>
      <c r="N9001">
        <v>0.97058823529411797</v>
      </c>
      <c r="O9001">
        <v>0.97058823529411797</v>
      </c>
      <c r="P9001" t="s">
        <v>13678</v>
      </c>
      <c r="Q9001" t="s">
        <v>13679</v>
      </c>
      <c r="R9001" t="s">
        <v>113</v>
      </c>
      <c r="S9001" t="s">
        <v>114</v>
      </c>
      <c r="V9001" t="s">
        <v>13680</v>
      </c>
      <c r="W9001" t="s">
        <v>13681</v>
      </c>
      <c r="AF9001" t="s">
        <v>18262</v>
      </c>
    </row>
    <row r="9002" spans="1:32" hidden="1" x14ac:dyDescent="0.35">
      <c r="A9002">
        <v>9001</v>
      </c>
      <c r="B9002" t="s">
        <v>18263</v>
      </c>
      <c r="C9002" t="s">
        <v>277</v>
      </c>
      <c r="D9002" t="s">
        <v>60</v>
      </c>
      <c r="E9002">
        <v>1635</v>
      </c>
      <c r="F9002">
        <v>2</v>
      </c>
      <c r="G9002">
        <v>2</v>
      </c>
      <c r="H9002">
        <v>1</v>
      </c>
      <c r="I9002">
        <v>0</v>
      </c>
      <c r="J9002">
        <v>0.98576214405360096</v>
      </c>
      <c r="K9002">
        <v>1</v>
      </c>
      <c r="L9002">
        <v>0.99283002952340804</v>
      </c>
      <c r="M9002">
        <v>0.98241206030150796</v>
      </c>
      <c r="N9002">
        <v>0.98241206030150796</v>
      </c>
      <c r="O9002">
        <v>0.98241206030150796</v>
      </c>
      <c r="P9002" t="s">
        <v>5950</v>
      </c>
      <c r="Q9002" t="s">
        <v>5951</v>
      </c>
      <c r="R9002" t="s">
        <v>288</v>
      </c>
      <c r="S9002" t="s">
        <v>289</v>
      </c>
      <c r="V9002" t="s">
        <v>18264</v>
      </c>
      <c r="W9002" t="s">
        <v>18265</v>
      </c>
      <c r="AF9002" t="s">
        <v>18266</v>
      </c>
    </row>
    <row r="9003" spans="1:32" hidden="1" x14ac:dyDescent="0.35">
      <c r="A9003">
        <v>9002</v>
      </c>
      <c r="B9003" t="s">
        <v>18263</v>
      </c>
      <c r="C9003" t="s">
        <v>277</v>
      </c>
      <c r="D9003" t="s">
        <v>62</v>
      </c>
      <c r="E9003">
        <v>1670</v>
      </c>
      <c r="F9003">
        <v>2</v>
      </c>
      <c r="G9003">
        <v>2</v>
      </c>
      <c r="H9003">
        <v>1</v>
      </c>
      <c r="I9003">
        <v>0</v>
      </c>
      <c r="J9003">
        <v>0.98576214405360096</v>
      </c>
      <c r="K9003">
        <v>1</v>
      </c>
      <c r="L9003">
        <v>0.99283002952340804</v>
      </c>
      <c r="M9003">
        <v>0.98241206030150796</v>
      </c>
      <c r="N9003">
        <v>0.98241206030150796</v>
      </c>
      <c r="O9003">
        <v>0.98241206030150796</v>
      </c>
      <c r="P9003" t="s">
        <v>5950</v>
      </c>
      <c r="Q9003" t="s">
        <v>5951</v>
      </c>
      <c r="R9003" t="s">
        <v>288</v>
      </c>
      <c r="S9003" t="s">
        <v>289</v>
      </c>
      <c r="V9003" t="s">
        <v>18264</v>
      </c>
      <c r="W9003" t="s">
        <v>18265</v>
      </c>
      <c r="AF9003" t="s">
        <v>18267</v>
      </c>
    </row>
    <row r="9004" spans="1:32" hidden="1" x14ac:dyDescent="0.35">
      <c r="A9004">
        <v>9003</v>
      </c>
      <c r="B9004" t="s">
        <v>18268</v>
      </c>
      <c r="C9004" t="s">
        <v>277</v>
      </c>
      <c r="D9004" t="s">
        <v>60</v>
      </c>
      <c r="E9004">
        <v>70</v>
      </c>
      <c r="F9004">
        <v>2</v>
      </c>
      <c r="G9004">
        <v>2</v>
      </c>
      <c r="H9004">
        <v>1</v>
      </c>
      <c r="I9004">
        <v>0</v>
      </c>
      <c r="J9004">
        <v>0.99876314162028401</v>
      </c>
      <c r="K9004">
        <v>1</v>
      </c>
      <c r="L9004">
        <v>0.99938118811881205</v>
      </c>
      <c r="M9004">
        <v>0.99628942486085303</v>
      </c>
      <c r="N9004">
        <v>0.99628942486085303</v>
      </c>
      <c r="O9004">
        <v>0.99628942486085303</v>
      </c>
      <c r="P9004" t="s">
        <v>18269</v>
      </c>
      <c r="Q9004" t="s">
        <v>18270</v>
      </c>
      <c r="R9004" t="s">
        <v>1259</v>
      </c>
      <c r="S9004" t="s">
        <v>1260</v>
      </c>
      <c r="V9004" t="s">
        <v>18271</v>
      </c>
      <c r="W9004" t="s">
        <v>18272</v>
      </c>
      <c r="AF9004" t="s">
        <v>18273</v>
      </c>
    </row>
    <row r="9005" spans="1:32" hidden="1" x14ac:dyDescent="0.35">
      <c r="A9005">
        <v>9004</v>
      </c>
      <c r="B9005" t="s">
        <v>18268</v>
      </c>
      <c r="C9005" t="s">
        <v>277</v>
      </c>
      <c r="D9005" t="s">
        <v>62</v>
      </c>
      <c r="E9005">
        <v>143</v>
      </c>
      <c r="F9005">
        <v>2</v>
      </c>
      <c r="G9005">
        <v>2</v>
      </c>
      <c r="H9005">
        <v>1</v>
      </c>
      <c r="I9005">
        <v>0</v>
      </c>
      <c r="J9005">
        <v>0.99876314162028401</v>
      </c>
      <c r="K9005">
        <v>1</v>
      </c>
      <c r="L9005">
        <v>0.99938118811881205</v>
      </c>
      <c r="M9005">
        <v>0.99628942486085303</v>
      </c>
      <c r="N9005">
        <v>0.99628942486085303</v>
      </c>
      <c r="O9005">
        <v>0.99628942486085303</v>
      </c>
      <c r="P9005" t="s">
        <v>18269</v>
      </c>
      <c r="Q9005" t="s">
        <v>18270</v>
      </c>
      <c r="R9005" t="s">
        <v>1259</v>
      </c>
      <c r="S9005" t="s">
        <v>1260</v>
      </c>
      <c r="V9005" t="s">
        <v>18271</v>
      </c>
      <c r="W9005" t="s">
        <v>18272</v>
      </c>
      <c r="AF9005" t="s">
        <v>18274</v>
      </c>
    </row>
    <row r="9006" spans="1:32" hidden="1" x14ac:dyDescent="0.35">
      <c r="A9006">
        <v>9005</v>
      </c>
      <c r="B9006" t="s">
        <v>18275</v>
      </c>
      <c r="C9006" t="s">
        <v>277</v>
      </c>
      <c r="D9006" t="s">
        <v>34</v>
      </c>
      <c r="E9006">
        <v>322</v>
      </c>
      <c r="F9006">
        <v>2</v>
      </c>
      <c r="G9006">
        <v>2</v>
      </c>
      <c r="H9006">
        <v>1</v>
      </c>
      <c r="I9006">
        <v>0</v>
      </c>
      <c r="J9006">
        <v>1</v>
      </c>
      <c r="K9006">
        <v>0.96099009900990096</v>
      </c>
      <c r="L9006">
        <v>0.98010703827123102</v>
      </c>
      <c r="M9006">
        <v>0.96039603960396003</v>
      </c>
      <c r="N9006">
        <v>0.96039603960396003</v>
      </c>
      <c r="O9006">
        <v>0.96039603960396003</v>
      </c>
      <c r="AF9006" t="e">
        <f>----MSLDVVFADAARKSTKAQAAELIEAAVMTALGTTPPTTSEAKLRRQLAETTKVKRKCCRSKPRCKKCPTVMHRLAKQNALQLDDAALKAALLKSRMW</f>
        <v>#NAME?</v>
      </c>
    </row>
    <row r="9007" spans="1:32" hidden="1" x14ac:dyDescent="0.35">
      <c r="A9007">
        <v>9006</v>
      </c>
      <c r="B9007" t="s">
        <v>18275</v>
      </c>
      <c r="C9007" t="s">
        <v>277</v>
      </c>
      <c r="D9007" t="s">
        <v>45</v>
      </c>
      <c r="E9007">
        <v>1584</v>
      </c>
      <c r="F9007">
        <v>2</v>
      </c>
      <c r="G9007">
        <v>2</v>
      </c>
      <c r="H9007">
        <v>1</v>
      </c>
      <c r="I9007">
        <v>0</v>
      </c>
      <c r="J9007">
        <v>1</v>
      </c>
      <c r="K9007">
        <v>0.96099009900990096</v>
      </c>
      <c r="L9007">
        <v>0.98010703827123102</v>
      </c>
      <c r="M9007">
        <v>0.96039603960396003</v>
      </c>
      <c r="N9007">
        <v>0.96039603960396003</v>
      </c>
      <c r="O9007">
        <v>0.96039603960396003</v>
      </c>
      <c r="AF9007" t="s">
        <v>18276</v>
      </c>
    </row>
    <row r="9008" spans="1:32" hidden="1" x14ac:dyDescent="0.35">
      <c r="A9008">
        <v>9007</v>
      </c>
      <c r="B9008" t="s">
        <v>18277</v>
      </c>
      <c r="C9008" t="s">
        <v>277</v>
      </c>
      <c r="D9008" t="s">
        <v>34</v>
      </c>
      <c r="E9008">
        <v>1812</v>
      </c>
      <c r="F9008">
        <v>2</v>
      </c>
      <c r="G9008">
        <v>2</v>
      </c>
      <c r="H9008">
        <v>1</v>
      </c>
      <c r="I9008">
        <v>0</v>
      </c>
      <c r="J9008">
        <v>0.97761194029850795</v>
      </c>
      <c r="K9008">
        <v>1</v>
      </c>
      <c r="L9008">
        <v>0.98867924528301898</v>
      </c>
      <c r="M9008">
        <v>0.97014925373134298</v>
      </c>
      <c r="N9008">
        <v>0.97014925373134298</v>
      </c>
      <c r="O9008">
        <v>0.97014925373134298</v>
      </c>
      <c r="P9008" t="s">
        <v>17897</v>
      </c>
      <c r="Q9008" t="s">
        <v>17898</v>
      </c>
      <c r="R9008" t="s">
        <v>113</v>
      </c>
      <c r="S9008" t="s">
        <v>114</v>
      </c>
      <c r="T9008" t="s">
        <v>17899</v>
      </c>
      <c r="U9008" t="s">
        <v>17900</v>
      </c>
      <c r="V9008" t="s">
        <v>17901</v>
      </c>
      <c r="W9008" t="s">
        <v>17902</v>
      </c>
      <c r="AD9008" t="s">
        <v>2698</v>
      </c>
      <c r="AE9008" t="s">
        <v>2699</v>
      </c>
      <c r="AF9008" t="s">
        <v>18278</v>
      </c>
    </row>
    <row r="9009" spans="1:32" hidden="1" x14ac:dyDescent="0.35">
      <c r="A9009">
        <v>9008</v>
      </c>
      <c r="B9009" t="s">
        <v>18277</v>
      </c>
      <c r="C9009" t="s">
        <v>277</v>
      </c>
      <c r="D9009" t="s">
        <v>45</v>
      </c>
      <c r="E9009">
        <v>1061</v>
      </c>
      <c r="F9009">
        <v>2</v>
      </c>
      <c r="G9009">
        <v>2</v>
      </c>
      <c r="H9009">
        <v>1</v>
      </c>
      <c r="I9009">
        <v>0</v>
      </c>
      <c r="J9009">
        <v>0.97761194029850795</v>
      </c>
      <c r="K9009">
        <v>1</v>
      </c>
      <c r="L9009">
        <v>0.98867924528301898</v>
      </c>
      <c r="M9009">
        <v>0.97014925373134298</v>
      </c>
      <c r="N9009">
        <v>0.97014925373134298</v>
      </c>
      <c r="O9009">
        <v>0.97014925373134298</v>
      </c>
      <c r="P9009" t="s">
        <v>17897</v>
      </c>
      <c r="Q9009" t="s">
        <v>17898</v>
      </c>
      <c r="R9009" t="s">
        <v>113</v>
      </c>
      <c r="S9009" t="s">
        <v>114</v>
      </c>
      <c r="T9009" t="s">
        <v>17899</v>
      </c>
      <c r="U9009" t="s">
        <v>17900</v>
      </c>
      <c r="V9009" t="s">
        <v>17901</v>
      </c>
      <c r="W9009" t="s">
        <v>17902</v>
      </c>
      <c r="AD9009" t="s">
        <v>2698</v>
      </c>
      <c r="AE9009" t="s">
        <v>2699</v>
      </c>
      <c r="AF9009" t="s">
        <v>18279</v>
      </c>
    </row>
    <row r="9010" spans="1:32" hidden="1" x14ac:dyDescent="0.35">
      <c r="A9010">
        <v>9009</v>
      </c>
      <c r="B9010" t="s">
        <v>18280</v>
      </c>
      <c r="C9010" t="s">
        <v>277</v>
      </c>
      <c r="D9010" t="s">
        <v>60</v>
      </c>
      <c r="E9010">
        <v>42</v>
      </c>
      <c r="F9010">
        <v>2</v>
      </c>
      <c r="G9010">
        <v>2</v>
      </c>
      <c r="H9010">
        <v>1</v>
      </c>
      <c r="I9010">
        <v>0</v>
      </c>
      <c r="J9010">
        <v>1</v>
      </c>
      <c r="K9010">
        <v>0.93623942745608202</v>
      </c>
      <c r="L9010">
        <v>0.96706989247311803</v>
      </c>
      <c r="M9010">
        <v>0.93416927899686497</v>
      </c>
      <c r="N9010">
        <v>0.93416927899686497</v>
      </c>
      <c r="O9010">
        <v>0.93416927899686497</v>
      </c>
      <c r="AF9010" t="s">
        <v>18281</v>
      </c>
    </row>
    <row r="9011" spans="1:32" hidden="1" x14ac:dyDescent="0.35">
      <c r="A9011">
        <v>9010</v>
      </c>
      <c r="B9011" t="s">
        <v>18280</v>
      </c>
      <c r="C9011" t="s">
        <v>277</v>
      </c>
      <c r="D9011" t="s">
        <v>62</v>
      </c>
      <c r="E9011">
        <v>115</v>
      </c>
      <c r="F9011">
        <v>2</v>
      </c>
      <c r="G9011">
        <v>2</v>
      </c>
      <c r="H9011">
        <v>1</v>
      </c>
      <c r="I9011">
        <v>0</v>
      </c>
      <c r="J9011">
        <v>1</v>
      </c>
      <c r="K9011">
        <v>0.93623942745608202</v>
      </c>
      <c r="L9011">
        <v>0.96706989247311803</v>
      </c>
      <c r="M9011">
        <v>0.93416927899686497</v>
      </c>
      <c r="N9011">
        <v>0.93416927899686497</v>
      </c>
      <c r="O9011">
        <v>0.93416927899686497</v>
      </c>
      <c r="AF9011" t="s">
        <v>18282</v>
      </c>
    </row>
    <row r="9012" spans="1:32" hidden="1" x14ac:dyDescent="0.35">
      <c r="A9012">
        <v>9011</v>
      </c>
      <c r="B9012" t="s">
        <v>18283</v>
      </c>
      <c r="C9012" t="s">
        <v>277</v>
      </c>
      <c r="D9012" t="s">
        <v>34</v>
      </c>
      <c r="E9012">
        <v>64</v>
      </c>
      <c r="F9012">
        <v>2</v>
      </c>
      <c r="G9012">
        <v>2</v>
      </c>
      <c r="H9012">
        <v>1</v>
      </c>
      <c r="I9012">
        <v>0</v>
      </c>
      <c r="J9012">
        <v>0.99535423925667799</v>
      </c>
      <c r="K9012">
        <v>1</v>
      </c>
      <c r="L9012">
        <v>0.9976717112922</v>
      </c>
      <c r="M9012">
        <v>0.99303135888501703</v>
      </c>
      <c r="N9012">
        <v>0.99303135888501703</v>
      </c>
      <c r="O9012">
        <v>0.99303135888501703</v>
      </c>
      <c r="P9012" t="s">
        <v>15407</v>
      </c>
      <c r="Q9012" t="s">
        <v>15408</v>
      </c>
      <c r="R9012" t="s">
        <v>157</v>
      </c>
      <c r="S9012" t="s">
        <v>158</v>
      </c>
      <c r="V9012" t="s">
        <v>18284</v>
      </c>
      <c r="W9012" t="s">
        <v>18285</v>
      </c>
      <c r="AF9012" t="s">
        <v>18286</v>
      </c>
    </row>
    <row r="9013" spans="1:32" hidden="1" x14ac:dyDescent="0.35">
      <c r="A9013">
        <v>9012</v>
      </c>
      <c r="B9013" t="s">
        <v>18283</v>
      </c>
      <c r="C9013" t="s">
        <v>277</v>
      </c>
      <c r="D9013" t="s">
        <v>45</v>
      </c>
      <c r="E9013">
        <v>1322</v>
      </c>
      <c r="F9013">
        <v>2</v>
      </c>
      <c r="G9013">
        <v>2</v>
      </c>
      <c r="H9013">
        <v>1</v>
      </c>
      <c r="I9013">
        <v>0</v>
      </c>
      <c r="J9013">
        <v>0.99535423925667799</v>
      </c>
      <c r="K9013">
        <v>1</v>
      </c>
      <c r="L9013">
        <v>0.9976717112922</v>
      </c>
      <c r="M9013">
        <v>0.99303135888501703</v>
      </c>
      <c r="N9013">
        <v>0.99303135888501703</v>
      </c>
      <c r="O9013">
        <v>0.99303135888501703</v>
      </c>
      <c r="P9013" t="s">
        <v>15407</v>
      </c>
      <c r="Q9013" t="s">
        <v>15408</v>
      </c>
      <c r="R9013" t="s">
        <v>157</v>
      </c>
      <c r="S9013" t="s">
        <v>158</v>
      </c>
      <c r="V9013" t="s">
        <v>18284</v>
      </c>
      <c r="W9013" t="s">
        <v>18285</v>
      </c>
      <c r="AF9013" t="s">
        <v>18287</v>
      </c>
    </row>
    <row r="9014" spans="1:32" hidden="1" x14ac:dyDescent="0.35">
      <c r="A9014">
        <v>9013</v>
      </c>
      <c r="B9014" t="s">
        <v>18288</v>
      </c>
      <c r="C9014" t="s">
        <v>277</v>
      </c>
      <c r="D9014" t="s">
        <v>60</v>
      </c>
      <c r="E9014">
        <v>2308</v>
      </c>
      <c r="F9014">
        <v>2</v>
      </c>
      <c r="G9014">
        <v>2</v>
      </c>
      <c r="H9014">
        <v>1</v>
      </c>
      <c r="I9014">
        <v>0</v>
      </c>
      <c r="J9014">
        <v>1</v>
      </c>
      <c r="K9014">
        <v>0.97312306961273398</v>
      </c>
      <c r="L9014">
        <v>0.98637848251779803</v>
      </c>
      <c r="M9014">
        <v>0.97282608695652195</v>
      </c>
      <c r="N9014">
        <v>0.97282608695652195</v>
      </c>
      <c r="O9014">
        <v>0.97282608695652195</v>
      </c>
      <c r="AF9014" t="e">
        <f>-----MQTSTITQTRTHRTRTSPHPISPIRSTCRTLSDDPFRSRFGHQLPPGLREEARGMQWRTFTATYSPASSLRIHNIESQRLRAGRFHYTATLTSTDAGCRRSENKDIIAMGPISACTNLLADAGRRVEILEFHQYEIFEATVIFIRTCDHDKQAWAMGFGATTELAAASALSAAAERLHG</f>
        <v>#NAME?</v>
      </c>
    </row>
    <row r="9015" spans="1:32" hidden="1" x14ac:dyDescent="0.35">
      <c r="A9015">
        <v>9014</v>
      </c>
      <c r="B9015" t="s">
        <v>18288</v>
      </c>
      <c r="C9015" t="s">
        <v>277</v>
      </c>
      <c r="D9015" t="s">
        <v>62</v>
      </c>
      <c r="E9015">
        <v>2337</v>
      </c>
      <c r="F9015">
        <v>2</v>
      </c>
      <c r="G9015">
        <v>2</v>
      </c>
      <c r="H9015">
        <v>1</v>
      </c>
      <c r="I9015">
        <v>0</v>
      </c>
      <c r="J9015">
        <v>1</v>
      </c>
      <c r="K9015">
        <v>0.97312306961273398</v>
      </c>
      <c r="L9015">
        <v>0.98637848251779803</v>
      </c>
      <c r="M9015">
        <v>0.97282608695652195</v>
      </c>
      <c r="N9015">
        <v>0.97282608695652195</v>
      </c>
      <c r="O9015">
        <v>0.97282608695652195</v>
      </c>
      <c r="AF9015" t="s">
        <v>18289</v>
      </c>
    </row>
    <row r="9016" spans="1:32" hidden="1" x14ac:dyDescent="0.35">
      <c r="A9016">
        <v>9015</v>
      </c>
      <c r="B9016" t="s">
        <v>18290</v>
      </c>
      <c r="C9016" t="s">
        <v>277</v>
      </c>
      <c r="D9016" t="s">
        <v>60</v>
      </c>
      <c r="E9016">
        <v>79</v>
      </c>
      <c r="F9016">
        <v>2</v>
      </c>
      <c r="G9016">
        <v>2</v>
      </c>
      <c r="H9016">
        <v>1</v>
      </c>
      <c r="I9016">
        <v>0</v>
      </c>
      <c r="J9016">
        <v>0.983108108108108</v>
      </c>
      <c r="K9016">
        <v>1</v>
      </c>
      <c r="L9016">
        <v>0.99148211243611595</v>
      </c>
      <c r="M9016">
        <v>0.97635135135135098</v>
      </c>
      <c r="N9016">
        <v>0.97635135135135098</v>
      </c>
      <c r="O9016">
        <v>0.97635135135135098</v>
      </c>
      <c r="R9016" t="s">
        <v>288</v>
      </c>
      <c r="S9016" t="s">
        <v>289</v>
      </c>
      <c r="V9016" t="s">
        <v>18291</v>
      </c>
      <c r="W9016" t="s">
        <v>18292</v>
      </c>
      <c r="AF9016" t="s">
        <v>18293</v>
      </c>
    </row>
    <row r="9017" spans="1:32" hidden="1" x14ac:dyDescent="0.35">
      <c r="A9017">
        <v>9016</v>
      </c>
      <c r="B9017" t="s">
        <v>18290</v>
      </c>
      <c r="C9017" t="s">
        <v>277</v>
      </c>
      <c r="D9017" t="s">
        <v>62</v>
      </c>
      <c r="E9017">
        <v>152</v>
      </c>
      <c r="F9017">
        <v>2</v>
      </c>
      <c r="G9017">
        <v>2</v>
      </c>
      <c r="H9017">
        <v>1</v>
      </c>
      <c r="I9017">
        <v>0</v>
      </c>
      <c r="J9017">
        <v>0.983108108108108</v>
      </c>
      <c r="K9017">
        <v>1</v>
      </c>
      <c r="L9017">
        <v>0.99148211243611595</v>
      </c>
      <c r="M9017">
        <v>0.97635135135135098</v>
      </c>
      <c r="N9017">
        <v>0.97635135135135098</v>
      </c>
      <c r="O9017">
        <v>0.97635135135135098</v>
      </c>
      <c r="R9017" t="s">
        <v>288</v>
      </c>
      <c r="S9017" t="s">
        <v>289</v>
      </c>
      <c r="V9017" t="s">
        <v>18291</v>
      </c>
      <c r="W9017" t="s">
        <v>18292</v>
      </c>
      <c r="AF9017" t="s">
        <v>18294</v>
      </c>
    </row>
    <row r="9018" spans="1:32" hidden="1" x14ac:dyDescent="0.35">
      <c r="A9018">
        <v>9017</v>
      </c>
      <c r="B9018" t="s">
        <v>18295</v>
      </c>
      <c r="C9018" t="s">
        <v>277</v>
      </c>
      <c r="D9018" t="s">
        <v>34</v>
      </c>
      <c r="E9018">
        <v>334</v>
      </c>
      <c r="F9018">
        <v>2</v>
      </c>
      <c r="G9018">
        <v>2</v>
      </c>
      <c r="H9018">
        <v>1</v>
      </c>
      <c r="I9018">
        <v>0</v>
      </c>
      <c r="J9018">
        <v>0.98371647509578497</v>
      </c>
      <c r="K9018">
        <v>1</v>
      </c>
      <c r="L9018">
        <v>0.9917914051183</v>
      </c>
      <c r="M9018">
        <v>0.97413793103448298</v>
      </c>
      <c r="N9018">
        <v>0.97413793103448298</v>
      </c>
      <c r="O9018">
        <v>0.97413793103448298</v>
      </c>
      <c r="P9018" t="s">
        <v>12515</v>
      </c>
      <c r="Q9018" t="s">
        <v>10273</v>
      </c>
      <c r="R9018" t="s">
        <v>75</v>
      </c>
      <c r="S9018" t="s">
        <v>76</v>
      </c>
      <c r="T9018" t="s">
        <v>12516</v>
      </c>
      <c r="U9018" t="s">
        <v>12517</v>
      </c>
      <c r="V9018" t="s">
        <v>12518</v>
      </c>
      <c r="W9018" t="s">
        <v>12519</v>
      </c>
      <c r="X9018" t="s">
        <v>12518</v>
      </c>
      <c r="Y9018" t="s">
        <v>2750</v>
      </c>
      <c r="Z9018" t="s">
        <v>12520</v>
      </c>
      <c r="AA9018" t="s">
        <v>12521</v>
      </c>
      <c r="AB9018" t="s">
        <v>12520</v>
      </c>
      <c r="AC9018" t="s">
        <v>4023</v>
      </c>
      <c r="AD9018" t="s">
        <v>951</v>
      </c>
      <c r="AE9018" t="s">
        <v>12522</v>
      </c>
      <c r="AF9018" t="s">
        <v>18296</v>
      </c>
    </row>
    <row r="9019" spans="1:32" hidden="1" x14ac:dyDescent="0.35">
      <c r="A9019">
        <v>9018</v>
      </c>
      <c r="B9019" t="s">
        <v>18295</v>
      </c>
      <c r="C9019" t="s">
        <v>277</v>
      </c>
      <c r="D9019" t="s">
        <v>45</v>
      </c>
      <c r="E9019">
        <v>1596</v>
      </c>
      <c r="F9019">
        <v>2</v>
      </c>
      <c r="G9019">
        <v>2</v>
      </c>
      <c r="H9019">
        <v>1</v>
      </c>
      <c r="I9019">
        <v>0</v>
      </c>
      <c r="J9019">
        <v>0.98371647509578497</v>
      </c>
      <c r="K9019">
        <v>1</v>
      </c>
      <c r="L9019">
        <v>0.9917914051183</v>
      </c>
      <c r="M9019">
        <v>0.97413793103448298</v>
      </c>
      <c r="N9019">
        <v>0.97413793103448298</v>
      </c>
      <c r="O9019">
        <v>0.97413793103448298</v>
      </c>
      <c r="P9019" t="s">
        <v>12515</v>
      </c>
      <c r="Q9019" t="s">
        <v>10273</v>
      </c>
      <c r="R9019" t="s">
        <v>75</v>
      </c>
      <c r="S9019" t="s">
        <v>76</v>
      </c>
      <c r="T9019" t="s">
        <v>12516</v>
      </c>
      <c r="U9019" t="s">
        <v>12517</v>
      </c>
      <c r="V9019" t="s">
        <v>12518</v>
      </c>
      <c r="W9019" t="s">
        <v>12519</v>
      </c>
      <c r="X9019" t="s">
        <v>12518</v>
      </c>
      <c r="Y9019" t="s">
        <v>2750</v>
      </c>
      <c r="Z9019" t="s">
        <v>12520</v>
      </c>
      <c r="AA9019" t="s">
        <v>12521</v>
      </c>
      <c r="AB9019" t="s">
        <v>12520</v>
      </c>
      <c r="AC9019" t="s">
        <v>4023</v>
      </c>
      <c r="AD9019" t="s">
        <v>951</v>
      </c>
      <c r="AE9019" t="s">
        <v>12522</v>
      </c>
      <c r="AF9019" t="s">
        <v>18297</v>
      </c>
    </row>
    <row r="9020" spans="1:32" hidden="1" x14ac:dyDescent="0.35">
      <c r="A9020">
        <v>9019</v>
      </c>
      <c r="B9020" t="s">
        <v>18298</v>
      </c>
      <c r="C9020" t="s">
        <v>277</v>
      </c>
      <c r="D9020" t="s">
        <v>34</v>
      </c>
      <c r="E9020">
        <v>2202</v>
      </c>
      <c r="F9020">
        <v>2</v>
      </c>
      <c r="G9020">
        <v>2</v>
      </c>
      <c r="H9020">
        <v>1</v>
      </c>
      <c r="I9020">
        <v>0</v>
      </c>
      <c r="J9020">
        <v>0.98230088495575196</v>
      </c>
      <c r="K9020">
        <v>1</v>
      </c>
      <c r="L9020">
        <v>0.99107142857142905</v>
      </c>
      <c r="M9020">
        <v>0.98230088495575196</v>
      </c>
      <c r="N9020">
        <v>0.98230088495575196</v>
      </c>
      <c r="O9020">
        <v>0.98230088495575196</v>
      </c>
      <c r="AF9020" t="s">
        <v>18299</v>
      </c>
    </row>
    <row r="9021" spans="1:32" hidden="1" x14ac:dyDescent="0.35">
      <c r="A9021">
        <v>9020</v>
      </c>
      <c r="B9021" t="s">
        <v>18298</v>
      </c>
      <c r="C9021" t="s">
        <v>277</v>
      </c>
      <c r="D9021" t="s">
        <v>45</v>
      </c>
      <c r="E9021">
        <v>672</v>
      </c>
      <c r="F9021">
        <v>2</v>
      </c>
      <c r="G9021">
        <v>2</v>
      </c>
      <c r="H9021">
        <v>1</v>
      </c>
      <c r="I9021">
        <v>0</v>
      </c>
      <c r="J9021">
        <v>0.98230088495575196</v>
      </c>
      <c r="K9021">
        <v>1</v>
      </c>
      <c r="L9021">
        <v>0.99107142857142905</v>
      </c>
      <c r="M9021">
        <v>0.98230088495575196</v>
      </c>
      <c r="N9021">
        <v>0.98230088495575196</v>
      </c>
      <c r="O9021">
        <v>0.98230088495575196</v>
      </c>
      <c r="AF9021" t="s">
        <v>18300</v>
      </c>
    </row>
    <row r="9022" spans="1:32" hidden="1" x14ac:dyDescent="0.35">
      <c r="A9022">
        <v>9021</v>
      </c>
      <c r="B9022" t="s">
        <v>18301</v>
      </c>
      <c r="C9022" t="s">
        <v>277</v>
      </c>
      <c r="D9022" t="s">
        <v>34</v>
      </c>
      <c r="E9022">
        <v>98</v>
      </c>
      <c r="F9022">
        <v>2</v>
      </c>
      <c r="G9022">
        <v>2</v>
      </c>
      <c r="H9022">
        <v>1</v>
      </c>
      <c r="I9022">
        <v>0</v>
      </c>
      <c r="J9022">
        <v>0.96144505160898597</v>
      </c>
      <c r="K9022">
        <v>0.99727768144661499</v>
      </c>
      <c r="L9022">
        <v>0.97903360769307302</v>
      </c>
      <c r="M9022">
        <v>0.95277020890099895</v>
      </c>
      <c r="N9022">
        <v>0.95277020890099895</v>
      </c>
      <c r="O9022">
        <v>0.95277020890099895</v>
      </c>
      <c r="AF9022" t="s">
        <v>18302</v>
      </c>
    </row>
    <row r="9023" spans="1:32" hidden="1" x14ac:dyDescent="0.35">
      <c r="A9023">
        <v>9022</v>
      </c>
      <c r="B9023" t="s">
        <v>18301</v>
      </c>
      <c r="C9023" t="s">
        <v>277</v>
      </c>
      <c r="D9023" t="s">
        <v>45</v>
      </c>
      <c r="E9023">
        <v>1358</v>
      </c>
      <c r="F9023">
        <v>2</v>
      </c>
      <c r="G9023">
        <v>2</v>
      </c>
      <c r="H9023">
        <v>1</v>
      </c>
      <c r="I9023">
        <v>0</v>
      </c>
      <c r="J9023">
        <v>0.96144505160898597</v>
      </c>
      <c r="K9023">
        <v>0.99727768144661499</v>
      </c>
      <c r="L9023">
        <v>0.97903360769307302</v>
      </c>
      <c r="M9023">
        <v>0.95277020890099895</v>
      </c>
      <c r="N9023">
        <v>0.95277020890099895</v>
      </c>
      <c r="O9023">
        <v>0.95277020890099895</v>
      </c>
      <c r="AF9023" t="s">
        <v>18303</v>
      </c>
    </row>
    <row r="9024" spans="1:32" hidden="1" x14ac:dyDescent="0.35">
      <c r="A9024">
        <v>9023</v>
      </c>
      <c r="B9024" t="s">
        <v>18304</v>
      </c>
      <c r="C9024" t="s">
        <v>277</v>
      </c>
      <c r="D9024" t="s">
        <v>34</v>
      </c>
      <c r="E9024">
        <v>1139</v>
      </c>
      <c r="F9024">
        <v>2</v>
      </c>
      <c r="G9024">
        <v>2</v>
      </c>
      <c r="H9024">
        <v>1</v>
      </c>
      <c r="I9024">
        <v>0</v>
      </c>
      <c r="J9024">
        <v>0.931034482758621</v>
      </c>
      <c r="K9024">
        <v>0.800155252716924</v>
      </c>
      <c r="L9024">
        <v>0.86064758422941601</v>
      </c>
      <c r="M9024">
        <v>0.70053475935828902</v>
      </c>
      <c r="N9024">
        <v>0.70053475935828902</v>
      </c>
      <c r="O9024">
        <v>0.70053475935828902</v>
      </c>
      <c r="AF9024" t="s">
        <v>18305</v>
      </c>
    </row>
    <row r="9025" spans="1:32" hidden="1" x14ac:dyDescent="0.35">
      <c r="A9025">
        <v>9024</v>
      </c>
      <c r="B9025" t="s">
        <v>18304</v>
      </c>
      <c r="C9025" t="s">
        <v>277</v>
      </c>
      <c r="D9025" t="s">
        <v>45</v>
      </c>
      <c r="E9025">
        <v>2385</v>
      </c>
      <c r="F9025">
        <v>2</v>
      </c>
      <c r="G9025">
        <v>2</v>
      </c>
      <c r="H9025">
        <v>1</v>
      </c>
      <c r="I9025">
        <v>0</v>
      </c>
      <c r="J9025">
        <v>0.931034482758621</v>
      </c>
      <c r="K9025">
        <v>0.800155252716924</v>
      </c>
      <c r="L9025">
        <v>0.86064758422941601</v>
      </c>
      <c r="M9025">
        <v>0.70053475935828902</v>
      </c>
      <c r="N9025">
        <v>0.70053475935828902</v>
      </c>
      <c r="O9025">
        <v>0.70053475935828902</v>
      </c>
      <c r="AF9025" t="s">
        <v>18306</v>
      </c>
    </row>
    <row r="9026" spans="1:32" hidden="1" x14ac:dyDescent="0.35">
      <c r="A9026">
        <v>9025</v>
      </c>
      <c r="B9026" t="s">
        <v>18307</v>
      </c>
      <c r="C9026" t="s">
        <v>277</v>
      </c>
      <c r="D9026" t="s">
        <v>60</v>
      </c>
      <c r="E9026">
        <v>1058</v>
      </c>
      <c r="F9026">
        <v>2</v>
      </c>
      <c r="G9026">
        <v>2</v>
      </c>
      <c r="H9026">
        <v>1</v>
      </c>
      <c r="I9026">
        <v>0</v>
      </c>
      <c r="J9026">
        <v>0.98830409356725102</v>
      </c>
      <c r="K9026">
        <v>0.99824868651489096</v>
      </c>
      <c r="L9026">
        <v>0.99325149895086595</v>
      </c>
      <c r="M9026">
        <v>0.984238178633975</v>
      </c>
      <c r="N9026">
        <v>0.984238178633975</v>
      </c>
      <c r="O9026">
        <v>0.984238178633975</v>
      </c>
      <c r="P9026" t="s">
        <v>18308</v>
      </c>
      <c r="Q9026" t="s">
        <v>18309</v>
      </c>
      <c r="R9026" t="s">
        <v>157</v>
      </c>
      <c r="S9026" t="s">
        <v>158</v>
      </c>
      <c r="T9026" t="s">
        <v>18310</v>
      </c>
      <c r="U9026" t="s">
        <v>18311</v>
      </c>
      <c r="V9026" t="s">
        <v>18312</v>
      </c>
      <c r="W9026" t="s">
        <v>18313</v>
      </c>
      <c r="AD9026" t="s">
        <v>166</v>
      </c>
      <c r="AE9026" t="s">
        <v>2843</v>
      </c>
      <c r="AF9026" t="s">
        <v>18314</v>
      </c>
    </row>
    <row r="9027" spans="1:32" hidden="1" x14ac:dyDescent="0.35">
      <c r="A9027">
        <v>9026</v>
      </c>
      <c r="B9027" t="s">
        <v>18307</v>
      </c>
      <c r="C9027" t="s">
        <v>277</v>
      </c>
      <c r="D9027" t="s">
        <v>62</v>
      </c>
      <c r="E9027">
        <v>1094</v>
      </c>
      <c r="F9027">
        <v>2</v>
      </c>
      <c r="G9027">
        <v>2</v>
      </c>
      <c r="H9027">
        <v>1</v>
      </c>
      <c r="I9027">
        <v>0</v>
      </c>
      <c r="J9027">
        <v>0.98830409356725102</v>
      </c>
      <c r="K9027">
        <v>0.99824868651489096</v>
      </c>
      <c r="L9027">
        <v>0.99325149895086595</v>
      </c>
      <c r="M9027">
        <v>0.984238178633975</v>
      </c>
      <c r="N9027">
        <v>0.984238178633975</v>
      </c>
      <c r="O9027">
        <v>0.984238178633975</v>
      </c>
      <c r="P9027" t="s">
        <v>18308</v>
      </c>
      <c r="Q9027" t="s">
        <v>18309</v>
      </c>
      <c r="R9027" t="s">
        <v>157</v>
      </c>
      <c r="S9027" t="s">
        <v>158</v>
      </c>
      <c r="T9027" t="s">
        <v>18310</v>
      </c>
      <c r="U9027" t="s">
        <v>18311</v>
      </c>
      <c r="V9027" t="s">
        <v>18312</v>
      </c>
      <c r="W9027" t="s">
        <v>18313</v>
      </c>
      <c r="AD9027" t="s">
        <v>166</v>
      </c>
      <c r="AE9027" t="s">
        <v>2843</v>
      </c>
      <c r="AF9027" t="s">
        <v>18315</v>
      </c>
    </row>
    <row r="9028" spans="1:32" hidden="1" x14ac:dyDescent="0.35">
      <c r="A9028">
        <v>9027</v>
      </c>
      <c r="B9028" t="s">
        <v>18316</v>
      </c>
      <c r="C9028" t="s">
        <v>277</v>
      </c>
      <c r="D9028" t="s">
        <v>34</v>
      </c>
      <c r="E9028">
        <v>1330</v>
      </c>
      <c r="F9028">
        <v>2</v>
      </c>
      <c r="G9028">
        <v>2</v>
      </c>
      <c r="H9028">
        <v>1</v>
      </c>
      <c r="I9028">
        <v>0</v>
      </c>
      <c r="J9028">
        <v>0.99150141643059497</v>
      </c>
      <c r="K9028">
        <v>1</v>
      </c>
      <c r="L9028">
        <v>0.99573257467994303</v>
      </c>
      <c r="M9028">
        <v>0.98583569405099103</v>
      </c>
      <c r="N9028">
        <v>0.98583569405099103</v>
      </c>
      <c r="O9028">
        <v>0.98583569405099103</v>
      </c>
      <c r="P9028" t="s">
        <v>12884</v>
      </c>
      <c r="Q9028" t="s">
        <v>12885</v>
      </c>
      <c r="R9028" t="s">
        <v>157</v>
      </c>
      <c r="S9028" t="s">
        <v>158</v>
      </c>
      <c r="T9028" t="s">
        <v>16984</v>
      </c>
      <c r="U9028" t="s">
        <v>16985</v>
      </c>
      <c r="V9028" t="s">
        <v>14734</v>
      </c>
      <c r="W9028" t="s">
        <v>14735</v>
      </c>
      <c r="AD9028" t="s">
        <v>410</v>
      </c>
      <c r="AE9028" t="s">
        <v>563</v>
      </c>
      <c r="AF9028" t="s">
        <v>18317</v>
      </c>
    </row>
    <row r="9029" spans="1:32" hidden="1" x14ac:dyDescent="0.35">
      <c r="A9029">
        <v>9028</v>
      </c>
      <c r="B9029" t="s">
        <v>18316</v>
      </c>
      <c r="C9029" t="s">
        <v>277</v>
      </c>
      <c r="D9029" t="s">
        <v>45</v>
      </c>
      <c r="E9029">
        <v>81</v>
      </c>
      <c r="F9029">
        <v>2</v>
      </c>
      <c r="G9029">
        <v>2</v>
      </c>
      <c r="H9029">
        <v>1</v>
      </c>
      <c r="I9029">
        <v>0</v>
      </c>
      <c r="J9029">
        <v>0.99150141643059497</v>
      </c>
      <c r="K9029">
        <v>1</v>
      </c>
      <c r="L9029">
        <v>0.99573257467994303</v>
      </c>
      <c r="M9029">
        <v>0.98583569405099103</v>
      </c>
      <c r="N9029">
        <v>0.98583569405099103</v>
      </c>
      <c r="O9029">
        <v>0.98583569405099103</v>
      </c>
      <c r="P9029" t="s">
        <v>12884</v>
      </c>
      <c r="Q9029" t="s">
        <v>12885</v>
      </c>
      <c r="R9029" t="s">
        <v>157</v>
      </c>
      <c r="S9029" t="s">
        <v>158</v>
      </c>
      <c r="T9029" t="s">
        <v>16984</v>
      </c>
      <c r="U9029" t="s">
        <v>16985</v>
      </c>
      <c r="V9029" t="s">
        <v>14734</v>
      </c>
      <c r="W9029" t="s">
        <v>14735</v>
      </c>
      <c r="AD9029" t="s">
        <v>410</v>
      </c>
      <c r="AE9029" t="s">
        <v>563</v>
      </c>
      <c r="AF9029" t="s">
        <v>18318</v>
      </c>
    </row>
    <row r="9030" spans="1:32" hidden="1" x14ac:dyDescent="0.35">
      <c r="A9030">
        <v>9029</v>
      </c>
      <c r="B9030" t="s">
        <v>18319</v>
      </c>
      <c r="C9030" t="s">
        <v>277</v>
      </c>
      <c r="D9030" t="s">
        <v>60</v>
      </c>
      <c r="E9030">
        <v>1260</v>
      </c>
      <c r="F9030">
        <v>2</v>
      </c>
      <c r="G9030">
        <v>2</v>
      </c>
      <c r="H9030">
        <v>1</v>
      </c>
      <c r="I9030">
        <v>0</v>
      </c>
      <c r="J9030">
        <v>0.99875156054931302</v>
      </c>
      <c r="K9030">
        <v>1</v>
      </c>
      <c r="L9030">
        <v>0.99937539038101197</v>
      </c>
      <c r="M9030">
        <v>0.99625468164793995</v>
      </c>
      <c r="N9030">
        <v>0.99625468164793995</v>
      </c>
      <c r="O9030">
        <v>0.99625468164793995</v>
      </c>
      <c r="P9030" t="s">
        <v>12647</v>
      </c>
      <c r="Q9030" t="s">
        <v>12648</v>
      </c>
      <c r="R9030" t="s">
        <v>869</v>
      </c>
      <c r="S9030" t="s">
        <v>870</v>
      </c>
      <c r="T9030" t="s">
        <v>12649</v>
      </c>
      <c r="U9030" t="s">
        <v>12650</v>
      </c>
      <c r="V9030" t="s">
        <v>12651</v>
      </c>
      <c r="W9030" t="s">
        <v>12652</v>
      </c>
      <c r="Z9030" t="s">
        <v>4286</v>
      </c>
      <c r="AA9030" t="s">
        <v>4287</v>
      </c>
      <c r="AB9030" t="s">
        <v>4286</v>
      </c>
      <c r="AC9030" t="s">
        <v>729</v>
      </c>
      <c r="AD9030" t="s">
        <v>12653</v>
      </c>
      <c r="AE9030" t="s">
        <v>12654</v>
      </c>
      <c r="AF9030" t="s">
        <v>18320</v>
      </c>
    </row>
    <row r="9031" spans="1:32" hidden="1" x14ac:dyDescent="0.35">
      <c r="A9031">
        <v>9030</v>
      </c>
      <c r="B9031" t="s">
        <v>18319</v>
      </c>
      <c r="C9031" t="s">
        <v>277</v>
      </c>
      <c r="D9031" t="s">
        <v>62</v>
      </c>
      <c r="E9031">
        <v>1297</v>
      </c>
      <c r="F9031">
        <v>2</v>
      </c>
      <c r="G9031">
        <v>2</v>
      </c>
      <c r="H9031">
        <v>1</v>
      </c>
      <c r="I9031">
        <v>0</v>
      </c>
      <c r="J9031">
        <v>0.99875156054931302</v>
      </c>
      <c r="K9031">
        <v>1</v>
      </c>
      <c r="L9031">
        <v>0.99937539038101197</v>
      </c>
      <c r="M9031">
        <v>0.99625468164793995</v>
      </c>
      <c r="N9031">
        <v>0.99625468164793995</v>
      </c>
      <c r="O9031">
        <v>0.99625468164793995</v>
      </c>
      <c r="P9031" t="s">
        <v>12647</v>
      </c>
      <c r="Q9031" t="s">
        <v>12648</v>
      </c>
      <c r="R9031" t="s">
        <v>869</v>
      </c>
      <c r="S9031" t="s">
        <v>870</v>
      </c>
      <c r="T9031" t="s">
        <v>12649</v>
      </c>
      <c r="U9031" t="s">
        <v>12650</v>
      </c>
      <c r="V9031" t="s">
        <v>12651</v>
      </c>
      <c r="W9031" t="s">
        <v>12652</v>
      </c>
      <c r="Z9031" t="s">
        <v>4286</v>
      </c>
      <c r="AA9031" t="s">
        <v>4287</v>
      </c>
      <c r="AB9031" t="s">
        <v>4286</v>
      </c>
      <c r="AC9031" t="s">
        <v>729</v>
      </c>
      <c r="AD9031" t="s">
        <v>12653</v>
      </c>
      <c r="AE9031" t="s">
        <v>12654</v>
      </c>
      <c r="AF9031" t="s">
        <v>18321</v>
      </c>
    </row>
    <row r="9032" spans="1:32" hidden="1" x14ac:dyDescent="0.35">
      <c r="A9032">
        <v>9031</v>
      </c>
      <c r="B9032" t="s">
        <v>18322</v>
      </c>
      <c r="C9032" t="s">
        <v>277</v>
      </c>
      <c r="D9032" t="s">
        <v>60</v>
      </c>
      <c r="E9032">
        <v>2231</v>
      </c>
      <c r="F9032">
        <v>2</v>
      </c>
      <c r="G9032">
        <v>2</v>
      </c>
      <c r="H9032">
        <v>1</v>
      </c>
      <c r="I9032">
        <v>0</v>
      </c>
      <c r="J9032">
        <v>0.99381443298969097</v>
      </c>
      <c r="K9032">
        <v>1</v>
      </c>
      <c r="L9032">
        <v>0.99689762150982397</v>
      </c>
      <c r="M9032">
        <v>0.99381443298969097</v>
      </c>
      <c r="N9032">
        <v>0.99381443298969097</v>
      </c>
      <c r="O9032">
        <v>0.99381443298969097</v>
      </c>
      <c r="P9032" t="s">
        <v>18323</v>
      </c>
      <c r="Q9032" t="s">
        <v>18324</v>
      </c>
      <c r="R9032" t="s">
        <v>319</v>
      </c>
      <c r="S9032" t="s">
        <v>320</v>
      </c>
      <c r="T9032" t="s">
        <v>18325</v>
      </c>
      <c r="U9032" t="s">
        <v>18326</v>
      </c>
      <c r="V9032" t="s">
        <v>12756</v>
      </c>
      <c r="W9032" t="s">
        <v>12757</v>
      </c>
      <c r="AD9032" t="s">
        <v>410</v>
      </c>
      <c r="AE9032" t="s">
        <v>532</v>
      </c>
      <c r="AF9032" t="s">
        <v>18327</v>
      </c>
    </row>
    <row r="9033" spans="1:32" hidden="1" x14ac:dyDescent="0.35">
      <c r="A9033">
        <v>9032</v>
      </c>
      <c r="B9033" t="s">
        <v>18322</v>
      </c>
      <c r="C9033" t="s">
        <v>277</v>
      </c>
      <c r="D9033" t="s">
        <v>62</v>
      </c>
      <c r="E9033">
        <v>2261</v>
      </c>
      <c r="F9033">
        <v>2</v>
      </c>
      <c r="G9033">
        <v>2</v>
      </c>
      <c r="H9033">
        <v>1</v>
      </c>
      <c r="I9033">
        <v>0</v>
      </c>
      <c r="J9033">
        <v>0.99381443298969097</v>
      </c>
      <c r="K9033">
        <v>1</v>
      </c>
      <c r="L9033">
        <v>0.99689762150982397</v>
      </c>
      <c r="M9033">
        <v>0.99381443298969097</v>
      </c>
      <c r="N9033">
        <v>0.99381443298969097</v>
      </c>
      <c r="O9033">
        <v>0.99381443298969097</v>
      </c>
      <c r="P9033" t="s">
        <v>18323</v>
      </c>
      <c r="Q9033" t="s">
        <v>18324</v>
      </c>
      <c r="R9033" t="s">
        <v>319</v>
      </c>
      <c r="S9033" t="s">
        <v>320</v>
      </c>
      <c r="T9033" t="s">
        <v>18325</v>
      </c>
      <c r="U9033" t="s">
        <v>18326</v>
      </c>
      <c r="V9033" t="s">
        <v>12756</v>
      </c>
      <c r="W9033" t="s">
        <v>12757</v>
      </c>
      <c r="AD9033" t="s">
        <v>410</v>
      </c>
      <c r="AE9033" t="s">
        <v>532</v>
      </c>
      <c r="AF9033" t="s">
        <v>18328</v>
      </c>
    </row>
    <row r="9034" spans="1:32" hidden="1" x14ac:dyDescent="0.35">
      <c r="A9034">
        <v>9033</v>
      </c>
      <c r="B9034" t="s">
        <v>18329</v>
      </c>
      <c r="C9034" t="s">
        <v>277</v>
      </c>
      <c r="D9034" t="s">
        <v>60</v>
      </c>
      <c r="E9034">
        <v>47</v>
      </c>
      <c r="F9034">
        <v>2</v>
      </c>
      <c r="G9034">
        <v>2</v>
      </c>
      <c r="H9034">
        <v>1</v>
      </c>
      <c r="I9034">
        <v>0</v>
      </c>
      <c r="J9034">
        <v>0.99852832965415705</v>
      </c>
      <c r="K9034">
        <v>1</v>
      </c>
      <c r="L9034">
        <v>0.99926362297496296</v>
      </c>
      <c r="M9034">
        <v>0.99558498896247205</v>
      </c>
      <c r="N9034">
        <v>0.99558498896247205</v>
      </c>
      <c r="O9034">
        <v>0.99558498896247205</v>
      </c>
      <c r="P9034" t="s">
        <v>18330</v>
      </c>
      <c r="Q9034" t="s">
        <v>18331</v>
      </c>
      <c r="R9034" t="s">
        <v>516</v>
      </c>
      <c r="S9034" t="s">
        <v>517</v>
      </c>
      <c r="T9034" t="s">
        <v>18332</v>
      </c>
      <c r="U9034" t="s">
        <v>18333</v>
      </c>
      <c r="V9034" t="s">
        <v>18334</v>
      </c>
      <c r="W9034" t="s">
        <v>18335</v>
      </c>
      <c r="AD9034" t="s">
        <v>191</v>
      </c>
      <c r="AE9034" t="s">
        <v>18336</v>
      </c>
      <c r="AF9034" t="s">
        <v>18337</v>
      </c>
    </row>
    <row r="9035" spans="1:32" hidden="1" x14ac:dyDescent="0.35">
      <c r="A9035">
        <v>9034</v>
      </c>
      <c r="B9035" t="s">
        <v>18329</v>
      </c>
      <c r="C9035" t="s">
        <v>277</v>
      </c>
      <c r="D9035" t="s">
        <v>62</v>
      </c>
      <c r="E9035">
        <v>120</v>
      </c>
      <c r="F9035">
        <v>2</v>
      </c>
      <c r="G9035">
        <v>2</v>
      </c>
      <c r="H9035">
        <v>1</v>
      </c>
      <c r="I9035">
        <v>0</v>
      </c>
      <c r="J9035">
        <v>0.99852832965415705</v>
      </c>
      <c r="K9035">
        <v>1</v>
      </c>
      <c r="L9035">
        <v>0.99926362297496296</v>
      </c>
      <c r="M9035">
        <v>0.99558498896247205</v>
      </c>
      <c r="N9035">
        <v>0.99558498896247205</v>
      </c>
      <c r="O9035">
        <v>0.99558498896247205</v>
      </c>
      <c r="P9035" t="s">
        <v>18330</v>
      </c>
      <c r="Q9035" t="s">
        <v>18331</v>
      </c>
      <c r="R9035" t="s">
        <v>516</v>
      </c>
      <c r="S9035" t="s">
        <v>517</v>
      </c>
      <c r="T9035" t="s">
        <v>18332</v>
      </c>
      <c r="U9035" t="s">
        <v>18333</v>
      </c>
      <c r="V9035" t="s">
        <v>18334</v>
      </c>
      <c r="W9035" t="s">
        <v>18335</v>
      </c>
      <c r="AD9035" t="s">
        <v>191</v>
      </c>
      <c r="AE9035" t="s">
        <v>18336</v>
      </c>
      <c r="AF9035" t="s">
        <v>18338</v>
      </c>
    </row>
    <row r="9036" spans="1:32" hidden="1" x14ac:dyDescent="0.35">
      <c r="A9036">
        <v>9035</v>
      </c>
      <c r="B9036" t="s">
        <v>18339</v>
      </c>
      <c r="C9036" t="s">
        <v>277</v>
      </c>
      <c r="D9036" t="s">
        <v>60</v>
      </c>
      <c r="E9036">
        <v>1156</v>
      </c>
      <c r="F9036">
        <v>2</v>
      </c>
      <c r="G9036">
        <v>2</v>
      </c>
      <c r="H9036">
        <v>1</v>
      </c>
      <c r="I9036">
        <v>0</v>
      </c>
      <c r="J9036">
        <v>0.98643410852713198</v>
      </c>
      <c r="K9036">
        <v>1</v>
      </c>
      <c r="L9036">
        <v>0.99317073170731696</v>
      </c>
      <c r="M9036">
        <v>0.98255813953488402</v>
      </c>
      <c r="N9036">
        <v>0.98255813953488402</v>
      </c>
      <c r="O9036">
        <v>0.98255813953488402</v>
      </c>
      <c r="P9036" t="s">
        <v>13314</v>
      </c>
      <c r="Q9036" t="s">
        <v>13315</v>
      </c>
      <c r="R9036" t="s">
        <v>288</v>
      </c>
      <c r="S9036" t="s">
        <v>289</v>
      </c>
      <c r="V9036" t="s">
        <v>628</v>
      </c>
      <c r="W9036" t="s">
        <v>629</v>
      </c>
      <c r="AF9036" t="s">
        <v>18340</v>
      </c>
    </row>
    <row r="9037" spans="1:32" hidden="1" x14ac:dyDescent="0.35">
      <c r="A9037">
        <v>9036</v>
      </c>
      <c r="B9037" t="s">
        <v>18339</v>
      </c>
      <c r="C9037" t="s">
        <v>277</v>
      </c>
      <c r="D9037" t="s">
        <v>62</v>
      </c>
      <c r="E9037">
        <v>1193</v>
      </c>
      <c r="F9037">
        <v>2</v>
      </c>
      <c r="G9037">
        <v>2</v>
      </c>
      <c r="H9037">
        <v>1</v>
      </c>
      <c r="I9037">
        <v>0</v>
      </c>
      <c r="J9037">
        <v>0.98643410852713198</v>
      </c>
      <c r="K9037">
        <v>1</v>
      </c>
      <c r="L9037">
        <v>0.99317073170731696</v>
      </c>
      <c r="M9037">
        <v>0.98255813953488402</v>
      </c>
      <c r="N9037">
        <v>0.98255813953488402</v>
      </c>
      <c r="O9037">
        <v>0.98255813953488402</v>
      </c>
      <c r="P9037" t="s">
        <v>13314</v>
      </c>
      <c r="Q9037" t="s">
        <v>13315</v>
      </c>
      <c r="R9037" t="s">
        <v>288</v>
      </c>
      <c r="S9037" t="s">
        <v>289</v>
      </c>
      <c r="V9037" t="s">
        <v>628</v>
      </c>
      <c r="W9037" t="s">
        <v>629</v>
      </c>
      <c r="AF9037" t="s">
        <v>18341</v>
      </c>
    </row>
    <row r="9038" spans="1:32" hidden="1" x14ac:dyDescent="0.35">
      <c r="A9038">
        <v>9037</v>
      </c>
      <c r="B9038" t="s">
        <v>18342</v>
      </c>
      <c r="C9038" t="s">
        <v>277</v>
      </c>
      <c r="D9038" t="s">
        <v>34</v>
      </c>
      <c r="E9038">
        <v>1622</v>
      </c>
      <c r="F9038">
        <v>2</v>
      </c>
      <c r="G9038">
        <v>2</v>
      </c>
      <c r="H9038">
        <v>1</v>
      </c>
      <c r="I9038">
        <v>0</v>
      </c>
      <c r="J9038">
        <v>0.99106002554278405</v>
      </c>
      <c r="K9038">
        <v>1</v>
      </c>
      <c r="L9038">
        <v>0.99550994227068601</v>
      </c>
      <c r="M9038">
        <v>0.98850574712643702</v>
      </c>
      <c r="N9038">
        <v>0.98850574712643702</v>
      </c>
      <c r="O9038">
        <v>0.98850574712643702</v>
      </c>
      <c r="P9038" t="s">
        <v>13565</v>
      </c>
      <c r="Q9038" t="s">
        <v>13566</v>
      </c>
      <c r="AF9038" t="s">
        <v>18343</v>
      </c>
    </row>
    <row r="9039" spans="1:32" hidden="1" x14ac:dyDescent="0.35">
      <c r="A9039">
        <v>9038</v>
      </c>
      <c r="B9039" t="s">
        <v>18342</v>
      </c>
      <c r="C9039" t="s">
        <v>277</v>
      </c>
      <c r="D9039" t="s">
        <v>45</v>
      </c>
      <c r="E9039">
        <v>372</v>
      </c>
      <c r="F9039">
        <v>2</v>
      </c>
      <c r="G9039">
        <v>2</v>
      </c>
      <c r="H9039">
        <v>1</v>
      </c>
      <c r="I9039">
        <v>0</v>
      </c>
      <c r="J9039">
        <v>0.99106002554278405</v>
      </c>
      <c r="K9039">
        <v>1</v>
      </c>
      <c r="L9039">
        <v>0.99550994227068601</v>
      </c>
      <c r="M9039">
        <v>0.98850574712643702</v>
      </c>
      <c r="N9039">
        <v>0.98850574712643702</v>
      </c>
      <c r="O9039">
        <v>0.98850574712643702</v>
      </c>
      <c r="P9039" t="s">
        <v>13565</v>
      </c>
      <c r="Q9039" t="s">
        <v>13566</v>
      </c>
      <c r="AF9039" t="s">
        <v>18344</v>
      </c>
    </row>
    <row r="9040" spans="1:32" hidden="1" x14ac:dyDescent="0.35">
      <c r="A9040">
        <v>9039</v>
      </c>
      <c r="B9040" t="s">
        <v>18345</v>
      </c>
      <c r="C9040" t="s">
        <v>277</v>
      </c>
      <c r="D9040" t="s">
        <v>34</v>
      </c>
      <c r="E9040">
        <v>362</v>
      </c>
      <c r="F9040">
        <v>2</v>
      </c>
      <c r="G9040">
        <v>2</v>
      </c>
      <c r="H9040">
        <v>1</v>
      </c>
      <c r="I9040">
        <v>0</v>
      </c>
      <c r="J9040">
        <v>0.99790356394129998</v>
      </c>
      <c r="K9040">
        <v>1</v>
      </c>
      <c r="L9040">
        <v>0.99895068205666304</v>
      </c>
      <c r="M9040">
        <v>0.99790356394129998</v>
      </c>
      <c r="N9040">
        <v>0.99790356394129998</v>
      </c>
      <c r="O9040">
        <v>0.99790356394129998</v>
      </c>
      <c r="P9040" t="s">
        <v>597</v>
      </c>
      <c r="Q9040" t="s">
        <v>598</v>
      </c>
      <c r="R9040" t="s">
        <v>96</v>
      </c>
      <c r="S9040" t="s">
        <v>97</v>
      </c>
      <c r="T9040" t="s">
        <v>18346</v>
      </c>
      <c r="U9040" t="s">
        <v>18347</v>
      </c>
      <c r="V9040" t="s">
        <v>601</v>
      </c>
      <c r="W9040" t="s">
        <v>602</v>
      </c>
      <c r="AD9040" t="s">
        <v>5658</v>
      </c>
      <c r="AE9040" t="s">
        <v>18348</v>
      </c>
      <c r="AF9040" t="s">
        <v>18349</v>
      </c>
    </row>
    <row r="9041" spans="1:32" hidden="1" x14ac:dyDescent="0.35">
      <c r="A9041">
        <v>9040</v>
      </c>
      <c r="B9041" t="s">
        <v>18345</v>
      </c>
      <c r="C9041" t="s">
        <v>277</v>
      </c>
      <c r="D9041" t="s">
        <v>45</v>
      </c>
      <c r="E9041">
        <v>1624</v>
      </c>
      <c r="F9041">
        <v>2</v>
      </c>
      <c r="G9041">
        <v>2</v>
      </c>
      <c r="H9041">
        <v>1</v>
      </c>
      <c r="I9041">
        <v>0</v>
      </c>
      <c r="J9041">
        <v>0.99790356394129998</v>
      </c>
      <c r="K9041">
        <v>1</v>
      </c>
      <c r="L9041">
        <v>0.99895068205666304</v>
      </c>
      <c r="M9041">
        <v>0.99790356394129998</v>
      </c>
      <c r="N9041">
        <v>0.99790356394129998</v>
      </c>
      <c r="O9041">
        <v>0.99790356394129998</v>
      </c>
      <c r="P9041" t="s">
        <v>597</v>
      </c>
      <c r="Q9041" t="s">
        <v>598</v>
      </c>
      <c r="R9041" t="s">
        <v>96</v>
      </c>
      <c r="S9041" t="s">
        <v>97</v>
      </c>
      <c r="T9041" t="s">
        <v>18346</v>
      </c>
      <c r="U9041" t="s">
        <v>18347</v>
      </c>
      <c r="V9041" t="s">
        <v>601</v>
      </c>
      <c r="W9041" t="s">
        <v>602</v>
      </c>
      <c r="AD9041" t="s">
        <v>5658</v>
      </c>
      <c r="AE9041" t="s">
        <v>18348</v>
      </c>
      <c r="AF9041" t="s">
        <v>18350</v>
      </c>
    </row>
    <row r="9042" spans="1:32" hidden="1" x14ac:dyDescent="0.35">
      <c r="A9042">
        <v>9041</v>
      </c>
      <c r="B9042" t="s">
        <v>18351</v>
      </c>
      <c r="C9042" t="s">
        <v>277</v>
      </c>
      <c r="D9042" t="s">
        <v>34</v>
      </c>
      <c r="E9042">
        <v>44</v>
      </c>
      <c r="F9042">
        <v>2</v>
      </c>
      <c r="G9042">
        <v>2</v>
      </c>
      <c r="H9042">
        <v>1</v>
      </c>
      <c r="I9042">
        <v>0</v>
      </c>
      <c r="J9042">
        <v>0.98285714285714298</v>
      </c>
      <c r="K9042">
        <v>1</v>
      </c>
      <c r="L9042">
        <v>0.99135446685879003</v>
      </c>
      <c r="M9042">
        <v>0.98285714285714298</v>
      </c>
      <c r="N9042">
        <v>0.98285714285714298</v>
      </c>
      <c r="O9042">
        <v>0.98285714285714298</v>
      </c>
      <c r="P9042" t="s">
        <v>18352</v>
      </c>
      <c r="Q9042" t="s">
        <v>10345</v>
      </c>
      <c r="R9042" t="s">
        <v>113</v>
      </c>
      <c r="S9042" t="s">
        <v>114</v>
      </c>
      <c r="T9042" t="s">
        <v>15885</v>
      </c>
      <c r="U9042" t="s">
        <v>15886</v>
      </c>
      <c r="V9042" t="s">
        <v>2167</v>
      </c>
      <c r="W9042" t="s">
        <v>2168</v>
      </c>
      <c r="AD9042" t="s">
        <v>312</v>
      </c>
      <c r="AE9042" t="s">
        <v>2169</v>
      </c>
      <c r="AF9042" t="s">
        <v>18353</v>
      </c>
    </row>
    <row r="9043" spans="1:32" hidden="1" x14ac:dyDescent="0.35">
      <c r="A9043">
        <v>9042</v>
      </c>
      <c r="B9043" t="s">
        <v>18351</v>
      </c>
      <c r="C9043" t="s">
        <v>277</v>
      </c>
      <c r="D9043" t="s">
        <v>45</v>
      </c>
      <c r="E9043">
        <v>1301</v>
      </c>
      <c r="F9043">
        <v>2</v>
      </c>
      <c r="G9043">
        <v>2</v>
      </c>
      <c r="H9043">
        <v>1</v>
      </c>
      <c r="I9043">
        <v>0</v>
      </c>
      <c r="J9043">
        <v>0.98285714285714298</v>
      </c>
      <c r="K9043">
        <v>1</v>
      </c>
      <c r="L9043">
        <v>0.99135446685879003</v>
      </c>
      <c r="M9043">
        <v>0.98285714285714298</v>
      </c>
      <c r="N9043">
        <v>0.98285714285714298</v>
      </c>
      <c r="O9043">
        <v>0.98285714285714298</v>
      </c>
      <c r="P9043" t="s">
        <v>18352</v>
      </c>
      <c r="Q9043" t="s">
        <v>10345</v>
      </c>
      <c r="R9043" t="s">
        <v>113</v>
      </c>
      <c r="S9043" t="s">
        <v>114</v>
      </c>
      <c r="T9043" t="s">
        <v>15885</v>
      </c>
      <c r="U9043" t="s">
        <v>15886</v>
      </c>
      <c r="V9043" t="s">
        <v>2167</v>
      </c>
      <c r="W9043" t="s">
        <v>2168</v>
      </c>
      <c r="AD9043" t="s">
        <v>312</v>
      </c>
      <c r="AE9043" t="s">
        <v>2169</v>
      </c>
      <c r="AF9043" t="s">
        <v>18354</v>
      </c>
    </row>
    <row r="9044" spans="1:32" hidden="1" x14ac:dyDescent="0.35">
      <c r="A9044">
        <v>9043</v>
      </c>
      <c r="B9044" t="s">
        <v>18355</v>
      </c>
      <c r="C9044" t="s">
        <v>277</v>
      </c>
      <c r="D9044" t="s">
        <v>60</v>
      </c>
      <c r="E9044">
        <v>2025</v>
      </c>
      <c r="F9044">
        <v>2</v>
      </c>
      <c r="G9044">
        <v>2</v>
      </c>
      <c r="H9044">
        <v>1</v>
      </c>
      <c r="I9044">
        <v>0</v>
      </c>
      <c r="J9044">
        <v>0.99063670411985005</v>
      </c>
      <c r="K9044">
        <v>1</v>
      </c>
      <c r="L9044">
        <v>0.99529633113828797</v>
      </c>
      <c r="M9044">
        <v>0.98689138576779001</v>
      </c>
      <c r="N9044">
        <v>0.98689138576779001</v>
      </c>
      <c r="O9044">
        <v>0.98689138576779001</v>
      </c>
      <c r="P9044" t="s">
        <v>16615</v>
      </c>
      <c r="Q9044" t="s">
        <v>16616</v>
      </c>
      <c r="R9044" t="s">
        <v>18356</v>
      </c>
      <c r="S9044" t="s">
        <v>18357</v>
      </c>
      <c r="T9044" t="s">
        <v>16617</v>
      </c>
      <c r="U9044" t="s">
        <v>16618</v>
      </c>
      <c r="V9044" t="s">
        <v>18358</v>
      </c>
      <c r="W9044" t="s">
        <v>18359</v>
      </c>
      <c r="X9044" t="s">
        <v>18358</v>
      </c>
      <c r="Y9044" t="s">
        <v>18360</v>
      </c>
      <c r="AD9044" t="s">
        <v>16621</v>
      </c>
      <c r="AE9044" t="s">
        <v>16622</v>
      </c>
      <c r="AF9044" t="s">
        <v>18361</v>
      </c>
    </row>
    <row r="9045" spans="1:32" hidden="1" x14ac:dyDescent="0.35">
      <c r="A9045">
        <v>9044</v>
      </c>
      <c r="B9045" t="s">
        <v>18355</v>
      </c>
      <c r="C9045" t="s">
        <v>277</v>
      </c>
      <c r="D9045" t="s">
        <v>62</v>
      </c>
      <c r="E9045">
        <v>2065</v>
      </c>
      <c r="F9045">
        <v>2</v>
      </c>
      <c r="G9045">
        <v>2</v>
      </c>
      <c r="H9045">
        <v>1</v>
      </c>
      <c r="I9045">
        <v>0</v>
      </c>
      <c r="J9045">
        <v>0.99063670411985005</v>
      </c>
      <c r="K9045">
        <v>1</v>
      </c>
      <c r="L9045">
        <v>0.99529633113828797</v>
      </c>
      <c r="M9045">
        <v>0.98689138576779001</v>
      </c>
      <c r="N9045">
        <v>0.98689138576779001</v>
      </c>
      <c r="O9045">
        <v>0.98689138576779001</v>
      </c>
      <c r="P9045" t="s">
        <v>16615</v>
      </c>
      <c r="Q9045" t="s">
        <v>16616</v>
      </c>
      <c r="R9045" t="s">
        <v>18356</v>
      </c>
      <c r="S9045" t="s">
        <v>18357</v>
      </c>
      <c r="T9045" t="s">
        <v>16617</v>
      </c>
      <c r="U9045" t="s">
        <v>16618</v>
      </c>
      <c r="V9045" t="s">
        <v>18358</v>
      </c>
      <c r="W9045" t="s">
        <v>18359</v>
      </c>
      <c r="X9045" t="s">
        <v>18358</v>
      </c>
      <c r="Y9045" t="s">
        <v>18360</v>
      </c>
      <c r="AD9045" t="s">
        <v>16621</v>
      </c>
      <c r="AE9045" t="s">
        <v>16622</v>
      </c>
      <c r="AF9045" t="s">
        <v>18362</v>
      </c>
    </row>
    <row r="9046" spans="1:32" hidden="1" x14ac:dyDescent="0.35">
      <c r="A9046">
        <v>9045</v>
      </c>
      <c r="B9046" t="s">
        <v>18363</v>
      </c>
      <c r="C9046" t="s">
        <v>277</v>
      </c>
      <c r="D9046" t="s">
        <v>60</v>
      </c>
      <c r="E9046">
        <v>1725</v>
      </c>
      <c r="F9046">
        <v>2</v>
      </c>
      <c r="G9046">
        <v>2</v>
      </c>
      <c r="H9046">
        <v>1</v>
      </c>
      <c r="I9046">
        <v>0</v>
      </c>
      <c r="J9046">
        <v>0.99410029498525099</v>
      </c>
      <c r="K9046">
        <v>0.986957021374399</v>
      </c>
      <c r="L9046">
        <v>0.99051577961304704</v>
      </c>
      <c r="M9046">
        <v>0.97816593886462899</v>
      </c>
      <c r="N9046">
        <v>0.97816593886462899</v>
      </c>
      <c r="O9046">
        <v>0.97816593886462899</v>
      </c>
      <c r="AF9046" t="s">
        <v>18364</v>
      </c>
    </row>
    <row r="9047" spans="1:32" hidden="1" x14ac:dyDescent="0.35">
      <c r="A9047">
        <v>9046</v>
      </c>
      <c r="B9047" t="s">
        <v>18363</v>
      </c>
      <c r="C9047" t="s">
        <v>277</v>
      </c>
      <c r="D9047" t="s">
        <v>62</v>
      </c>
      <c r="E9047">
        <v>1762</v>
      </c>
      <c r="F9047">
        <v>2</v>
      </c>
      <c r="G9047">
        <v>2</v>
      </c>
      <c r="H9047">
        <v>1</v>
      </c>
      <c r="I9047">
        <v>0</v>
      </c>
      <c r="J9047">
        <v>0.99410029498525099</v>
      </c>
      <c r="K9047">
        <v>0.986957021374399</v>
      </c>
      <c r="L9047">
        <v>0.99051577961304704</v>
      </c>
      <c r="M9047">
        <v>0.97816593886462899</v>
      </c>
      <c r="N9047">
        <v>0.97816593886462899</v>
      </c>
      <c r="O9047">
        <v>0.97816593886462899</v>
      </c>
      <c r="AF9047" t="s">
        <v>18365</v>
      </c>
    </row>
    <row r="9048" spans="1:32" hidden="1" x14ac:dyDescent="0.35">
      <c r="A9048">
        <v>9047</v>
      </c>
      <c r="B9048" t="s">
        <v>18366</v>
      </c>
      <c r="C9048" t="s">
        <v>277</v>
      </c>
      <c r="D9048" t="s">
        <v>34</v>
      </c>
      <c r="E9048">
        <v>760</v>
      </c>
      <c r="F9048">
        <v>2</v>
      </c>
      <c r="G9048">
        <v>2</v>
      </c>
      <c r="H9048">
        <v>1</v>
      </c>
      <c r="I9048">
        <v>0</v>
      </c>
      <c r="J9048">
        <v>0.97033898305084698</v>
      </c>
      <c r="K9048">
        <v>1</v>
      </c>
      <c r="L9048">
        <v>0.98494623655914004</v>
      </c>
      <c r="M9048">
        <v>0.96186440677966101</v>
      </c>
      <c r="N9048">
        <v>0.96186440677966101</v>
      </c>
      <c r="O9048">
        <v>0.96186440677966101</v>
      </c>
      <c r="P9048" t="s">
        <v>7762</v>
      </c>
      <c r="Q9048" t="s">
        <v>364</v>
      </c>
      <c r="R9048" t="s">
        <v>157</v>
      </c>
      <c r="S9048" t="s">
        <v>158</v>
      </c>
      <c r="V9048" t="s">
        <v>358</v>
      </c>
      <c r="W9048" t="s">
        <v>359</v>
      </c>
      <c r="AF9048" t="s">
        <v>18367</v>
      </c>
    </row>
    <row r="9049" spans="1:32" hidden="1" x14ac:dyDescent="0.35">
      <c r="A9049">
        <v>9048</v>
      </c>
      <c r="B9049" t="s">
        <v>18366</v>
      </c>
      <c r="C9049" t="s">
        <v>277</v>
      </c>
      <c r="D9049" t="s">
        <v>45</v>
      </c>
      <c r="E9049">
        <v>2026</v>
      </c>
      <c r="F9049">
        <v>2</v>
      </c>
      <c r="G9049">
        <v>2</v>
      </c>
      <c r="H9049">
        <v>1</v>
      </c>
      <c r="I9049">
        <v>0</v>
      </c>
      <c r="J9049">
        <v>0.97033898305084698</v>
      </c>
      <c r="K9049">
        <v>1</v>
      </c>
      <c r="L9049">
        <v>0.98494623655914004</v>
      </c>
      <c r="M9049">
        <v>0.96186440677966101</v>
      </c>
      <c r="N9049">
        <v>0.96186440677966101</v>
      </c>
      <c r="O9049">
        <v>0.96186440677966101</v>
      </c>
      <c r="P9049" t="s">
        <v>7762</v>
      </c>
      <c r="Q9049" t="s">
        <v>364</v>
      </c>
      <c r="R9049" t="s">
        <v>157</v>
      </c>
      <c r="S9049" t="s">
        <v>158</v>
      </c>
      <c r="V9049" t="s">
        <v>358</v>
      </c>
      <c r="W9049" t="s">
        <v>359</v>
      </c>
      <c r="AF9049" t="s">
        <v>18368</v>
      </c>
    </row>
    <row r="9050" spans="1:32" hidden="1" x14ac:dyDescent="0.35">
      <c r="A9050">
        <v>9049</v>
      </c>
      <c r="B9050" t="s">
        <v>18369</v>
      </c>
      <c r="C9050" t="s">
        <v>277</v>
      </c>
      <c r="D9050" t="s">
        <v>34</v>
      </c>
      <c r="E9050">
        <v>2196</v>
      </c>
      <c r="F9050">
        <v>2</v>
      </c>
      <c r="G9050">
        <v>2</v>
      </c>
      <c r="H9050">
        <v>1</v>
      </c>
      <c r="I9050">
        <v>0</v>
      </c>
      <c r="J9050">
        <v>0.99576271186440701</v>
      </c>
      <c r="K9050">
        <v>1</v>
      </c>
      <c r="L9050">
        <v>0.99787685774946899</v>
      </c>
      <c r="M9050">
        <v>0.99576271186440701</v>
      </c>
      <c r="N9050">
        <v>0.99576271186440701</v>
      </c>
      <c r="O9050">
        <v>0.99576271186440701</v>
      </c>
      <c r="P9050" t="s">
        <v>18370</v>
      </c>
      <c r="Q9050" t="s">
        <v>18371</v>
      </c>
      <c r="R9050" t="s">
        <v>288</v>
      </c>
      <c r="S9050" t="s">
        <v>289</v>
      </c>
      <c r="T9050" t="s">
        <v>13421</v>
      </c>
      <c r="U9050" t="s">
        <v>407</v>
      </c>
      <c r="V9050" t="s">
        <v>13422</v>
      </c>
      <c r="W9050" t="s">
        <v>13423</v>
      </c>
      <c r="AD9050" t="s">
        <v>410</v>
      </c>
      <c r="AE9050" t="s">
        <v>411</v>
      </c>
      <c r="AF9050" t="s">
        <v>18372</v>
      </c>
    </row>
    <row r="9051" spans="1:32" hidden="1" x14ac:dyDescent="0.35">
      <c r="A9051">
        <v>9050</v>
      </c>
      <c r="B9051" t="s">
        <v>18369</v>
      </c>
      <c r="C9051" t="s">
        <v>277</v>
      </c>
      <c r="D9051" t="s">
        <v>45</v>
      </c>
      <c r="E9051">
        <v>678</v>
      </c>
      <c r="F9051">
        <v>2</v>
      </c>
      <c r="G9051">
        <v>2</v>
      </c>
      <c r="H9051">
        <v>1</v>
      </c>
      <c r="I9051">
        <v>0</v>
      </c>
      <c r="J9051">
        <v>0.99576271186440701</v>
      </c>
      <c r="K9051">
        <v>1</v>
      </c>
      <c r="L9051">
        <v>0.99787685774946899</v>
      </c>
      <c r="M9051">
        <v>0.99576271186440701</v>
      </c>
      <c r="N9051">
        <v>0.99576271186440701</v>
      </c>
      <c r="O9051">
        <v>0.99576271186440701</v>
      </c>
      <c r="P9051" t="s">
        <v>18370</v>
      </c>
      <c r="Q9051" t="s">
        <v>18371</v>
      </c>
      <c r="R9051" t="s">
        <v>288</v>
      </c>
      <c r="S9051" t="s">
        <v>289</v>
      </c>
      <c r="T9051" t="s">
        <v>13421</v>
      </c>
      <c r="U9051" t="s">
        <v>407</v>
      </c>
      <c r="V9051" t="s">
        <v>13422</v>
      </c>
      <c r="W9051" t="s">
        <v>13423</v>
      </c>
      <c r="AD9051" t="s">
        <v>410</v>
      </c>
      <c r="AE9051" t="s">
        <v>411</v>
      </c>
      <c r="AF9051" t="s">
        <v>18373</v>
      </c>
    </row>
    <row r="9052" spans="1:32" hidden="1" x14ac:dyDescent="0.35">
      <c r="A9052">
        <v>9051</v>
      </c>
      <c r="B9052" t="s">
        <v>18374</v>
      </c>
      <c r="C9052" t="s">
        <v>277</v>
      </c>
      <c r="D9052" t="s">
        <v>34</v>
      </c>
      <c r="E9052">
        <v>2089</v>
      </c>
      <c r="F9052">
        <v>2</v>
      </c>
      <c r="G9052">
        <v>2</v>
      </c>
      <c r="H9052">
        <v>1</v>
      </c>
      <c r="I9052">
        <v>0</v>
      </c>
      <c r="J9052">
        <v>0.97167755991285398</v>
      </c>
      <c r="K9052">
        <v>0.96286123716264804</v>
      </c>
      <c r="L9052">
        <v>0.96724930911205598</v>
      </c>
      <c r="M9052">
        <v>0.93081761006289299</v>
      </c>
      <c r="N9052">
        <v>0.93081761006289299</v>
      </c>
      <c r="O9052">
        <v>0.93081761006289299</v>
      </c>
      <c r="AF9052" t="s">
        <v>18375</v>
      </c>
    </row>
    <row r="9053" spans="1:32" hidden="1" x14ac:dyDescent="0.35">
      <c r="A9053">
        <v>9052</v>
      </c>
      <c r="B9053" t="s">
        <v>18374</v>
      </c>
      <c r="C9053" t="s">
        <v>277</v>
      </c>
      <c r="D9053" t="s">
        <v>45</v>
      </c>
      <c r="E9053">
        <v>783</v>
      </c>
      <c r="F9053">
        <v>2</v>
      </c>
      <c r="G9053">
        <v>2</v>
      </c>
      <c r="H9053">
        <v>1</v>
      </c>
      <c r="I9053">
        <v>0</v>
      </c>
      <c r="J9053">
        <v>0.97167755991285398</v>
      </c>
      <c r="K9053">
        <v>0.96286123716264804</v>
      </c>
      <c r="L9053">
        <v>0.96724930911205598</v>
      </c>
      <c r="M9053">
        <v>0.93081761006289299</v>
      </c>
      <c r="N9053">
        <v>0.93081761006289299</v>
      </c>
      <c r="O9053">
        <v>0.93081761006289299</v>
      </c>
      <c r="AF9053" t="s">
        <v>18376</v>
      </c>
    </row>
    <row r="9054" spans="1:32" hidden="1" x14ac:dyDescent="0.35">
      <c r="A9054">
        <v>9053</v>
      </c>
      <c r="B9054" t="s">
        <v>18377</v>
      </c>
      <c r="C9054" t="s">
        <v>277</v>
      </c>
      <c r="D9054" t="s">
        <v>34</v>
      </c>
      <c r="E9054">
        <v>2352</v>
      </c>
      <c r="F9054">
        <v>2</v>
      </c>
      <c r="G9054">
        <v>2</v>
      </c>
      <c r="H9054">
        <v>1</v>
      </c>
      <c r="I9054">
        <v>0</v>
      </c>
      <c r="J9054">
        <v>0.98669991687448</v>
      </c>
      <c r="K9054">
        <v>0.99259268358597397</v>
      </c>
      <c r="L9054">
        <v>0.989637528232719</v>
      </c>
      <c r="M9054">
        <v>0.97277227722772297</v>
      </c>
      <c r="N9054">
        <v>0.97277227722772297</v>
      </c>
      <c r="O9054">
        <v>0.97277227722772297</v>
      </c>
      <c r="AF9054" t="s">
        <v>18378</v>
      </c>
    </row>
    <row r="9055" spans="1:32" hidden="1" x14ac:dyDescent="0.35">
      <c r="A9055">
        <v>9054</v>
      </c>
      <c r="B9055" t="s">
        <v>18377</v>
      </c>
      <c r="C9055" t="s">
        <v>277</v>
      </c>
      <c r="D9055" t="s">
        <v>45</v>
      </c>
      <c r="E9055">
        <v>527</v>
      </c>
      <c r="F9055">
        <v>2</v>
      </c>
      <c r="G9055">
        <v>2</v>
      </c>
      <c r="H9055">
        <v>1</v>
      </c>
      <c r="I9055">
        <v>0</v>
      </c>
      <c r="J9055">
        <v>0.98669991687448</v>
      </c>
      <c r="K9055">
        <v>0.99259268358597397</v>
      </c>
      <c r="L9055">
        <v>0.989637528232719</v>
      </c>
      <c r="M9055">
        <v>0.97277227722772297</v>
      </c>
      <c r="N9055">
        <v>0.97277227722772297</v>
      </c>
      <c r="O9055">
        <v>0.97277227722772297</v>
      </c>
      <c r="AF9055" t="s">
        <v>18379</v>
      </c>
    </row>
    <row r="9056" spans="1:32" hidden="1" x14ac:dyDescent="0.35">
      <c r="A9056">
        <v>9055</v>
      </c>
      <c r="B9056" t="s">
        <v>18380</v>
      </c>
      <c r="C9056" t="s">
        <v>277</v>
      </c>
      <c r="D9056" t="s">
        <v>60</v>
      </c>
      <c r="E9056">
        <v>1956</v>
      </c>
      <c r="F9056">
        <v>2</v>
      </c>
      <c r="G9056">
        <v>2</v>
      </c>
      <c r="H9056">
        <v>1</v>
      </c>
      <c r="I9056">
        <v>0</v>
      </c>
      <c r="J9056">
        <v>0.99849170437405699</v>
      </c>
      <c r="K9056">
        <v>1</v>
      </c>
      <c r="L9056">
        <v>0.99924528301886795</v>
      </c>
      <c r="M9056">
        <v>0.99547511312217196</v>
      </c>
      <c r="N9056">
        <v>0.99547511312217196</v>
      </c>
      <c r="O9056">
        <v>0.99547511312217196</v>
      </c>
      <c r="P9056" t="s">
        <v>18381</v>
      </c>
      <c r="Q9056" t="s">
        <v>18382</v>
      </c>
      <c r="R9056" t="s">
        <v>371</v>
      </c>
      <c r="S9056" t="s">
        <v>372</v>
      </c>
      <c r="T9056" t="s">
        <v>18383</v>
      </c>
      <c r="U9056" t="s">
        <v>18384</v>
      </c>
      <c r="V9056" t="s">
        <v>18385</v>
      </c>
      <c r="W9056" t="s">
        <v>18386</v>
      </c>
      <c r="AD9056" t="s">
        <v>4789</v>
      </c>
      <c r="AE9056" t="s">
        <v>10384</v>
      </c>
      <c r="AF9056" t="s">
        <v>18387</v>
      </c>
    </row>
    <row r="9057" spans="1:32" hidden="1" x14ac:dyDescent="0.35">
      <c r="A9057">
        <v>9056</v>
      </c>
      <c r="B9057" t="s">
        <v>18380</v>
      </c>
      <c r="C9057" t="s">
        <v>277</v>
      </c>
      <c r="D9057" t="s">
        <v>62</v>
      </c>
      <c r="E9057">
        <v>1997</v>
      </c>
      <c r="F9057">
        <v>2</v>
      </c>
      <c r="G9057">
        <v>2</v>
      </c>
      <c r="H9057">
        <v>1</v>
      </c>
      <c r="I9057">
        <v>0</v>
      </c>
      <c r="J9057">
        <v>0.99849170437405699</v>
      </c>
      <c r="K9057">
        <v>1</v>
      </c>
      <c r="L9057">
        <v>0.99924528301886795</v>
      </c>
      <c r="M9057">
        <v>0.99547511312217196</v>
      </c>
      <c r="N9057">
        <v>0.99547511312217196</v>
      </c>
      <c r="O9057">
        <v>0.99547511312217196</v>
      </c>
      <c r="P9057" t="s">
        <v>18381</v>
      </c>
      <c r="Q9057" t="s">
        <v>18382</v>
      </c>
      <c r="R9057" t="s">
        <v>371</v>
      </c>
      <c r="S9057" t="s">
        <v>372</v>
      </c>
      <c r="T9057" t="s">
        <v>18383</v>
      </c>
      <c r="U9057" t="s">
        <v>18384</v>
      </c>
      <c r="V9057" t="s">
        <v>18385</v>
      </c>
      <c r="W9057" t="s">
        <v>18386</v>
      </c>
      <c r="AD9057" t="s">
        <v>4789</v>
      </c>
      <c r="AE9057" t="s">
        <v>10384</v>
      </c>
      <c r="AF9057" t="s">
        <v>18388</v>
      </c>
    </row>
    <row r="9058" spans="1:32" hidden="1" x14ac:dyDescent="0.35">
      <c r="A9058">
        <v>9057</v>
      </c>
      <c r="B9058" t="s">
        <v>18389</v>
      </c>
      <c r="C9058" t="s">
        <v>277</v>
      </c>
      <c r="D9058" t="s">
        <v>60</v>
      </c>
      <c r="E9058">
        <v>1933</v>
      </c>
      <c r="F9058">
        <v>2</v>
      </c>
      <c r="G9058">
        <v>2</v>
      </c>
      <c r="H9058">
        <v>1</v>
      </c>
      <c r="I9058">
        <v>0</v>
      </c>
      <c r="J9058">
        <v>0.98522458628841603</v>
      </c>
      <c r="K9058">
        <v>1</v>
      </c>
      <c r="L9058">
        <v>0.99255730872283399</v>
      </c>
      <c r="M9058">
        <v>0.98404255319148903</v>
      </c>
      <c r="N9058">
        <v>0.98404255319148903</v>
      </c>
      <c r="O9058">
        <v>0.98404255319148903</v>
      </c>
      <c r="P9058" t="s">
        <v>13582</v>
      </c>
      <c r="Q9058" t="s">
        <v>13583</v>
      </c>
      <c r="AF9058" t="s">
        <v>18390</v>
      </c>
    </row>
    <row r="9059" spans="1:32" hidden="1" x14ac:dyDescent="0.35">
      <c r="A9059">
        <v>9058</v>
      </c>
      <c r="B9059" t="s">
        <v>18389</v>
      </c>
      <c r="C9059" t="s">
        <v>277</v>
      </c>
      <c r="D9059" t="s">
        <v>62</v>
      </c>
      <c r="E9059">
        <v>1973</v>
      </c>
      <c r="F9059">
        <v>2</v>
      </c>
      <c r="G9059">
        <v>2</v>
      </c>
      <c r="H9059">
        <v>1</v>
      </c>
      <c r="I9059">
        <v>0</v>
      </c>
      <c r="J9059">
        <v>0.98522458628841603</v>
      </c>
      <c r="K9059">
        <v>1</v>
      </c>
      <c r="L9059">
        <v>0.99255730872283399</v>
      </c>
      <c r="M9059">
        <v>0.98404255319148903</v>
      </c>
      <c r="N9059">
        <v>0.98404255319148903</v>
      </c>
      <c r="O9059">
        <v>0.98404255319148903</v>
      </c>
      <c r="P9059" t="s">
        <v>13582</v>
      </c>
      <c r="Q9059" t="s">
        <v>13583</v>
      </c>
      <c r="T9059" t="s">
        <v>18391</v>
      </c>
      <c r="U9059" t="s">
        <v>18392</v>
      </c>
      <c r="AD9059" t="s">
        <v>10919</v>
      </c>
      <c r="AE9059" t="s">
        <v>18393</v>
      </c>
      <c r="AF9059" t="s">
        <v>18394</v>
      </c>
    </row>
    <row r="9060" spans="1:32" hidden="1" x14ac:dyDescent="0.35">
      <c r="A9060">
        <v>9059</v>
      </c>
      <c r="B9060" t="s">
        <v>18395</v>
      </c>
      <c r="C9060" t="s">
        <v>277</v>
      </c>
      <c r="D9060" t="s">
        <v>34</v>
      </c>
      <c r="E9060">
        <v>2108</v>
      </c>
      <c r="F9060">
        <v>2</v>
      </c>
      <c r="G9060">
        <v>2</v>
      </c>
      <c r="H9060">
        <v>1</v>
      </c>
      <c r="I9060">
        <v>0</v>
      </c>
      <c r="J9060">
        <v>0.96269554753309305</v>
      </c>
      <c r="K9060">
        <v>0.83759008054260098</v>
      </c>
      <c r="L9060">
        <v>0.89579589885205002</v>
      </c>
      <c r="M9060">
        <v>0.78338278931750704</v>
      </c>
      <c r="N9060">
        <v>0.78338278931750704</v>
      </c>
      <c r="O9060">
        <v>0.78338278931750704</v>
      </c>
      <c r="AF9060" t="s">
        <v>18396</v>
      </c>
    </row>
    <row r="9061" spans="1:32" hidden="1" x14ac:dyDescent="0.35">
      <c r="A9061">
        <v>9060</v>
      </c>
      <c r="B9061" t="s">
        <v>18395</v>
      </c>
      <c r="C9061" t="s">
        <v>277</v>
      </c>
      <c r="D9061" t="s">
        <v>45</v>
      </c>
      <c r="E9061">
        <v>764</v>
      </c>
      <c r="F9061">
        <v>2</v>
      </c>
      <c r="G9061">
        <v>2</v>
      </c>
      <c r="H9061">
        <v>1</v>
      </c>
      <c r="I9061">
        <v>0</v>
      </c>
      <c r="J9061">
        <v>0.96269554753309305</v>
      </c>
      <c r="K9061">
        <v>0.83759008054260098</v>
      </c>
      <c r="L9061">
        <v>0.89579589885205002</v>
      </c>
      <c r="M9061">
        <v>0.78338278931750704</v>
      </c>
      <c r="N9061">
        <v>0.78338278931750704</v>
      </c>
      <c r="O9061">
        <v>0.78338278931750704</v>
      </c>
      <c r="AF9061" t="s">
        <v>18397</v>
      </c>
    </row>
    <row r="9062" spans="1:32" hidden="1" x14ac:dyDescent="0.35">
      <c r="A9062">
        <v>9061</v>
      </c>
      <c r="B9062" t="s">
        <v>18398</v>
      </c>
      <c r="C9062" t="s">
        <v>277</v>
      </c>
      <c r="D9062" t="s">
        <v>60</v>
      </c>
      <c r="E9062">
        <v>1138</v>
      </c>
      <c r="F9062">
        <v>2</v>
      </c>
      <c r="G9062">
        <v>2</v>
      </c>
      <c r="H9062">
        <v>1</v>
      </c>
      <c r="I9062">
        <v>0</v>
      </c>
      <c r="J9062">
        <v>0.98260869565217401</v>
      </c>
      <c r="K9062">
        <v>1</v>
      </c>
      <c r="L9062">
        <v>0.99122807017543901</v>
      </c>
      <c r="M9062">
        <v>0.96521739130434803</v>
      </c>
      <c r="N9062">
        <v>0.96521739130434803</v>
      </c>
      <c r="O9062">
        <v>0.96521739130434803</v>
      </c>
      <c r="AF9062" t="s">
        <v>18399</v>
      </c>
    </row>
    <row r="9063" spans="1:32" hidden="1" x14ac:dyDescent="0.35">
      <c r="A9063">
        <v>9062</v>
      </c>
      <c r="B9063" t="s">
        <v>18398</v>
      </c>
      <c r="C9063" t="s">
        <v>277</v>
      </c>
      <c r="D9063" t="s">
        <v>62</v>
      </c>
      <c r="E9063">
        <v>1175</v>
      </c>
      <c r="F9063">
        <v>2</v>
      </c>
      <c r="G9063">
        <v>2</v>
      </c>
      <c r="H9063">
        <v>1</v>
      </c>
      <c r="I9063">
        <v>0</v>
      </c>
      <c r="J9063">
        <v>0.98260869565217401</v>
      </c>
      <c r="K9063">
        <v>1</v>
      </c>
      <c r="L9063">
        <v>0.99122807017543901</v>
      </c>
      <c r="M9063">
        <v>0.96521739130434803</v>
      </c>
      <c r="N9063">
        <v>0.96521739130434803</v>
      </c>
      <c r="O9063">
        <v>0.96521739130434803</v>
      </c>
      <c r="AF9063" t="s">
        <v>18400</v>
      </c>
    </row>
    <row r="9064" spans="1:32" hidden="1" x14ac:dyDescent="0.35">
      <c r="A9064">
        <v>9063</v>
      </c>
      <c r="B9064" t="s">
        <v>18401</v>
      </c>
      <c r="C9064" t="s">
        <v>277</v>
      </c>
      <c r="D9064" t="s">
        <v>34</v>
      </c>
      <c r="E9064">
        <v>167</v>
      </c>
      <c r="F9064">
        <v>2</v>
      </c>
      <c r="G9064">
        <v>2</v>
      </c>
      <c r="H9064">
        <v>1</v>
      </c>
      <c r="I9064">
        <v>0</v>
      </c>
      <c r="J9064">
        <v>0.94291539245667699</v>
      </c>
      <c r="K9064">
        <v>0.98211765982850197</v>
      </c>
      <c r="L9064">
        <v>0.96211735955028899</v>
      </c>
      <c r="M9064">
        <v>0.90990990990991005</v>
      </c>
      <c r="N9064">
        <v>0.90990990990991005</v>
      </c>
      <c r="O9064">
        <v>0.90990990990991005</v>
      </c>
      <c r="AF9064" t="s">
        <v>18402</v>
      </c>
    </row>
    <row r="9065" spans="1:32" hidden="1" x14ac:dyDescent="0.35">
      <c r="A9065">
        <v>9064</v>
      </c>
      <c r="B9065" t="s">
        <v>18401</v>
      </c>
      <c r="C9065" t="s">
        <v>277</v>
      </c>
      <c r="D9065" t="s">
        <v>45</v>
      </c>
      <c r="E9065">
        <v>1428</v>
      </c>
      <c r="F9065">
        <v>2</v>
      </c>
      <c r="G9065">
        <v>2</v>
      </c>
      <c r="H9065">
        <v>1</v>
      </c>
      <c r="I9065">
        <v>0</v>
      </c>
      <c r="J9065">
        <v>0.94291539245667699</v>
      </c>
      <c r="K9065">
        <v>0.98211765982850197</v>
      </c>
      <c r="L9065">
        <v>0.96211735955028899</v>
      </c>
      <c r="M9065">
        <v>0.90990990990991005</v>
      </c>
      <c r="N9065">
        <v>0.90990990990991005</v>
      </c>
      <c r="O9065">
        <v>0.90990990990991005</v>
      </c>
      <c r="AF9065" t="s">
        <v>18403</v>
      </c>
    </row>
    <row r="9066" spans="1:32" hidden="1" x14ac:dyDescent="0.35">
      <c r="A9066">
        <v>9065</v>
      </c>
      <c r="B9066" t="s">
        <v>18404</v>
      </c>
      <c r="C9066" t="s">
        <v>277</v>
      </c>
      <c r="D9066" t="s">
        <v>34</v>
      </c>
      <c r="E9066">
        <v>652</v>
      </c>
      <c r="F9066">
        <v>2</v>
      </c>
      <c r="G9066">
        <v>2</v>
      </c>
      <c r="H9066">
        <v>1</v>
      </c>
      <c r="I9066">
        <v>0</v>
      </c>
      <c r="J9066">
        <v>0.97539149888143195</v>
      </c>
      <c r="K9066">
        <v>1</v>
      </c>
      <c r="L9066">
        <v>0.98754246885617203</v>
      </c>
      <c r="M9066">
        <v>0.96644295302013405</v>
      </c>
      <c r="N9066">
        <v>0.96644295302013405</v>
      </c>
      <c r="O9066">
        <v>0.96644295302013405</v>
      </c>
      <c r="AF9066" t="s">
        <v>18405</v>
      </c>
    </row>
    <row r="9067" spans="1:32" hidden="1" x14ac:dyDescent="0.35">
      <c r="A9067">
        <v>9066</v>
      </c>
      <c r="B9067" t="s">
        <v>18404</v>
      </c>
      <c r="C9067" t="s">
        <v>277</v>
      </c>
      <c r="D9067" t="s">
        <v>45</v>
      </c>
      <c r="E9067">
        <v>1918</v>
      </c>
      <c r="F9067">
        <v>2</v>
      </c>
      <c r="G9067">
        <v>2</v>
      </c>
      <c r="H9067">
        <v>1</v>
      </c>
      <c r="I9067">
        <v>0</v>
      </c>
      <c r="J9067">
        <v>0.97539149888143195</v>
      </c>
      <c r="K9067">
        <v>1</v>
      </c>
      <c r="L9067">
        <v>0.98754246885617203</v>
      </c>
      <c r="M9067">
        <v>0.96644295302013405</v>
      </c>
      <c r="N9067">
        <v>0.96644295302013405</v>
      </c>
      <c r="O9067">
        <v>0.96644295302013405</v>
      </c>
      <c r="AF9067" t="s">
        <v>18406</v>
      </c>
    </row>
    <row r="9068" spans="1:32" hidden="1" x14ac:dyDescent="0.35">
      <c r="A9068">
        <v>9067</v>
      </c>
      <c r="B9068" t="s">
        <v>18407</v>
      </c>
      <c r="C9068" t="s">
        <v>277</v>
      </c>
      <c r="D9068" t="s">
        <v>34</v>
      </c>
      <c r="E9068">
        <v>1454</v>
      </c>
      <c r="F9068">
        <v>2</v>
      </c>
      <c r="G9068">
        <v>2</v>
      </c>
      <c r="H9068">
        <v>1</v>
      </c>
      <c r="I9068">
        <v>0</v>
      </c>
      <c r="J9068">
        <v>0.811594202898551</v>
      </c>
      <c r="K9068">
        <v>1</v>
      </c>
      <c r="L9068">
        <v>0.89600000000000002</v>
      </c>
      <c r="M9068">
        <v>0.74782608695652197</v>
      </c>
      <c r="N9068">
        <v>0.74782608695652197</v>
      </c>
      <c r="O9068">
        <v>0.74782608695652197</v>
      </c>
      <c r="AF9068" t="s">
        <v>18408</v>
      </c>
    </row>
    <row r="9069" spans="1:32" hidden="1" x14ac:dyDescent="0.35">
      <c r="A9069">
        <v>9068</v>
      </c>
      <c r="B9069" t="s">
        <v>18407</v>
      </c>
      <c r="C9069" t="s">
        <v>277</v>
      </c>
      <c r="D9069" t="s">
        <v>45</v>
      </c>
      <c r="E9069">
        <v>205</v>
      </c>
      <c r="F9069">
        <v>2</v>
      </c>
      <c r="G9069">
        <v>2</v>
      </c>
      <c r="H9069">
        <v>1</v>
      </c>
      <c r="I9069">
        <v>0</v>
      </c>
      <c r="J9069">
        <v>0.811594202898551</v>
      </c>
      <c r="K9069">
        <v>1</v>
      </c>
      <c r="L9069">
        <v>0.89600000000000002</v>
      </c>
      <c r="M9069">
        <v>0.74782608695652197</v>
      </c>
      <c r="N9069">
        <v>0.74782608695652197</v>
      </c>
      <c r="O9069">
        <v>0.74782608695652197</v>
      </c>
      <c r="AF9069" t="s">
        <v>18409</v>
      </c>
    </row>
    <row r="9070" spans="1:32" hidden="1" x14ac:dyDescent="0.35">
      <c r="A9070">
        <v>9069</v>
      </c>
      <c r="B9070" t="s">
        <v>18410</v>
      </c>
      <c r="C9070" t="s">
        <v>277</v>
      </c>
      <c r="D9070" t="s">
        <v>34</v>
      </c>
      <c r="E9070">
        <v>667</v>
      </c>
      <c r="F9070">
        <v>2</v>
      </c>
      <c r="G9070">
        <v>2</v>
      </c>
      <c r="H9070">
        <v>1</v>
      </c>
      <c r="I9070">
        <v>0</v>
      </c>
      <c r="J9070">
        <v>0.99346405228758194</v>
      </c>
      <c r="K9070">
        <v>1</v>
      </c>
      <c r="L9070">
        <v>0.99672131147540999</v>
      </c>
      <c r="M9070">
        <v>0.98823529411764699</v>
      </c>
      <c r="N9070">
        <v>0.98823529411764699</v>
      </c>
      <c r="O9070">
        <v>0.98823529411764699</v>
      </c>
      <c r="P9070" t="s">
        <v>18411</v>
      </c>
      <c r="Q9070" t="s">
        <v>7176</v>
      </c>
      <c r="AF9070" t="s">
        <v>18412</v>
      </c>
    </row>
    <row r="9071" spans="1:32" hidden="1" x14ac:dyDescent="0.35">
      <c r="A9071">
        <v>9070</v>
      </c>
      <c r="B9071" t="s">
        <v>18410</v>
      </c>
      <c r="C9071" t="s">
        <v>277</v>
      </c>
      <c r="D9071" t="s">
        <v>45</v>
      </c>
      <c r="E9071">
        <v>1933</v>
      </c>
      <c r="F9071">
        <v>2</v>
      </c>
      <c r="G9071">
        <v>2</v>
      </c>
      <c r="H9071">
        <v>1</v>
      </c>
      <c r="I9071">
        <v>0</v>
      </c>
      <c r="J9071">
        <v>0.99346405228758194</v>
      </c>
      <c r="K9071">
        <v>1</v>
      </c>
      <c r="L9071">
        <v>0.99672131147540999</v>
      </c>
      <c r="M9071">
        <v>0.98823529411764699</v>
      </c>
      <c r="N9071">
        <v>0.98823529411764699</v>
      </c>
      <c r="O9071">
        <v>0.98823529411764699</v>
      </c>
      <c r="P9071" t="s">
        <v>18411</v>
      </c>
      <c r="Q9071" t="s">
        <v>7176</v>
      </c>
      <c r="AF9071" t="s">
        <v>18413</v>
      </c>
    </row>
    <row r="9072" spans="1:32" hidden="1" x14ac:dyDescent="0.35">
      <c r="A9072">
        <v>9071</v>
      </c>
      <c r="B9072" t="s">
        <v>18414</v>
      </c>
      <c r="C9072" t="s">
        <v>277</v>
      </c>
      <c r="D9072" t="s">
        <v>34</v>
      </c>
      <c r="E9072">
        <v>1528</v>
      </c>
      <c r="F9072">
        <v>2</v>
      </c>
      <c r="G9072">
        <v>2</v>
      </c>
      <c r="H9072">
        <v>1</v>
      </c>
      <c r="I9072">
        <v>0</v>
      </c>
      <c r="J9072">
        <v>0.97142857142857097</v>
      </c>
      <c r="K9072">
        <v>1</v>
      </c>
      <c r="L9072">
        <v>0.98550724637681197</v>
      </c>
      <c r="M9072">
        <v>0.952380952380952</v>
      </c>
      <c r="N9072">
        <v>0.952380952380952</v>
      </c>
      <c r="O9072">
        <v>0.952380952380952</v>
      </c>
      <c r="AF9072" t="s">
        <v>18415</v>
      </c>
    </row>
    <row r="9073" spans="1:32" hidden="1" x14ac:dyDescent="0.35">
      <c r="A9073">
        <v>9072</v>
      </c>
      <c r="B9073" t="s">
        <v>18414</v>
      </c>
      <c r="C9073" t="s">
        <v>277</v>
      </c>
      <c r="D9073" t="s">
        <v>45</v>
      </c>
      <c r="E9073">
        <v>278</v>
      </c>
      <c r="F9073">
        <v>2</v>
      </c>
      <c r="G9073">
        <v>2</v>
      </c>
      <c r="H9073">
        <v>1</v>
      </c>
      <c r="I9073">
        <v>0</v>
      </c>
      <c r="J9073">
        <v>0.97142857142857097</v>
      </c>
      <c r="K9073">
        <v>1</v>
      </c>
      <c r="L9073">
        <v>0.98550724637681197</v>
      </c>
      <c r="M9073">
        <v>0.952380952380952</v>
      </c>
      <c r="N9073">
        <v>0.952380952380952</v>
      </c>
      <c r="O9073">
        <v>0.952380952380952</v>
      </c>
      <c r="AF9073" t="s">
        <v>18416</v>
      </c>
    </row>
    <row r="9074" spans="1:32" hidden="1" x14ac:dyDescent="0.35">
      <c r="A9074">
        <v>9073</v>
      </c>
      <c r="B9074" t="s">
        <v>18417</v>
      </c>
      <c r="C9074" t="s">
        <v>277</v>
      </c>
      <c r="D9074" t="s">
        <v>60</v>
      </c>
      <c r="E9074">
        <v>1364</v>
      </c>
      <c r="F9074">
        <v>2</v>
      </c>
      <c r="G9074">
        <v>2</v>
      </c>
      <c r="H9074">
        <v>1</v>
      </c>
      <c r="I9074">
        <v>0</v>
      </c>
      <c r="J9074">
        <v>0.98651252408477796</v>
      </c>
      <c r="K9074">
        <v>0.98033897759464095</v>
      </c>
      <c r="L9074">
        <v>0.98341606208683896</v>
      </c>
      <c r="M9074">
        <v>0.95750708215297498</v>
      </c>
      <c r="N9074">
        <v>0.95750708215297498</v>
      </c>
      <c r="O9074">
        <v>0.95750708215297498</v>
      </c>
      <c r="P9074" t="s">
        <v>11639</v>
      </c>
      <c r="Q9074" t="s">
        <v>11640</v>
      </c>
      <c r="R9074" t="s">
        <v>1259</v>
      </c>
      <c r="S9074" t="s">
        <v>1260</v>
      </c>
      <c r="T9074" t="s">
        <v>11641</v>
      </c>
      <c r="U9074" t="s">
        <v>407</v>
      </c>
      <c r="V9074" t="s">
        <v>11642</v>
      </c>
      <c r="W9074" t="s">
        <v>11643</v>
      </c>
      <c r="AD9074" t="s">
        <v>410</v>
      </c>
      <c r="AE9074" t="s">
        <v>411</v>
      </c>
      <c r="AF9074" t="s">
        <v>18418</v>
      </c>
    </row>
    <row r="9075" spans="1:32" hidden="1" x14ac:dyDescent="0.35">
      <c r="A9075">
        <v>9074</v>
      </c>
      <c r="B9075" t="s">
        <v>18417</v>
      </c>
      <c r="C9075" t="s">
        <v>277</v>
      </c>
      <c r="D9075" t="s">
        <v>62</v>
      </c>
      <c r="E9075">
        <v>1400</v>
      </c>
      <c r="F9075">
        <v>2</v>
      </c>
      <c r="G9075">
        <v>2</v>
      </c>
      <c r="H9075">
        <v>1</v>
      </c>
      <c r="I9075">
        <v>0</v>
      </c>
      <c r="J9075">
        <v>0.98651252408477796</v>
      </c>
      <c r="K9075">
        <v>0.98033897759464095</v>
      </c>
      <c r="L9075">
        <v>0.98341606208683896</v>
      </c>
      <c r="M9075">
        <v>0.95750708215297498</v>
      </c>
      <c r="N9075">
        <v>0.95750708215297498</v>
      </c>
      <c r="O9075">
        <v>0.95750708215297498</v>
      </c>
      <c r="P9075" t="s">
        <v>11639</v>
      </c>
      <c r="Q9075" t="s">
        <v>11640</v>
      </c>
      <c r="R9075" t="s">
        <v>1259</v>
      </c>
      <c r="S9075" t="s">
        <v>1260</v>
      </c>
      <c r="T9075" t="s">
        <v>11641</v>
      </c>
      <c r="U9075" t="s">
        <v>407</v>
      </c>
      <c r="V9075" t="s">
        <v>11642</v>
      </c>
      <c r="W9075" t="s">
        <v>11643</v>
      </c>
      <c r="AD9075" t="s">
        <v>410</v>
      </c>
      <c r="AE9075" t="s">
        <v>411</v>
      </c>
      <c r="AF9075" t="s">
        <v>18419</v>
      </c>
    </row>
    <row r="9076" spans="1:32" hidden="1" x14ac:dyDescent="0.35">
      <c r="A9076">
        <v>9075</v>
      </c>
      <c r="B9076" t="s">
        <v>18420</v>
      </c>
      <c r="C9076" t="s">
        <v>277</v>
      </c>
      <c r="D9076" t="s">
        <v>34</v>
      </c>
      <c r="E9076">
        <v>574</v>
      </c>
      <c r="F9076">
        <v>2</v>
      </c>
      <c r="G9076">
        <v>2</v>
      </c>
      <c r="H9076">
        <v>1</v>
      </c>
      <c r="I9076">
        <v>0</v>
      </c>
      <c r="J9076">
        <v>0.97590361445783103</v>
      </c>
      <c r="K9076">
        <v>1</v>
      </c>
      <c r="L9076">
        <v>0.98780487804878003</v>
      </c>
      <c r="M9076">
        <v>0.97590361445783103</v>
      </c>
      <c r="N9076">
        <v>0.97590361445783103</v>
      </c>
      <c r="O9076">
        <v>0.97590361445783103</v>
      </c>
      <c r="AF9076" t="s">
        <v>18421</v>
      </c>
    </row>
    <row r="9077" spans="1:32" hidden="1" x14ac:dyDescent="0.35">
      <c r="A9077">
        <v>9076</v>
      </c>
      <c r="B9077" t="s">
        <v>18420</v>
      </c>
      <c r="C9077" t="s">
        <v>277</v>
      </c>
      <c r="D9077" t="s">
        <v>45</v>
      </c>
      <c r="E9077">
        <v>1840</v>
      </c>
      <c r="F9077">
        <v>2</v>
      </c>
      <c r="G9077">
        <v>2</v>
      </c>
      <c r="H9077">
        <v>1</v>
      </c>
      <c r="I9077">
        <v>0</v>
      </c>
      <c r="J9077">
        <v>0.97590361445783103</v>
      </c>
      <c r="K9077">
        <v>1</v>
      </c>
      <c r="L9077">
        <v>0.98780487804878003</v>
      </c>
      <c r="M9077">
        <v>0.97590361445783103</v>
      </c>
      <c r="N9077">
        <v>0.97590361445783103</v>
      </c>
      <c r="O9077">
        <v>0.97590361445783103</v>
      </c>
      <c r="AF9077" t="s">
        <v>18422</v>
      </c>
    </row>
    <row r="9078" spans="1:32" hidden="1" x14ac:dyDescent="0.35">
      <c r="A9078">
        <v>9077</v>
      </c>
      <c r="B9078" t="s">
        <v>18423</v>
      </c>
      <c r="C9078" t="s">
        <v>277</v>
      </c>
      <c r="D9078" t="s">
        <v>34</v>
      </c>
      <c r="E9078">
        <v>2236</v>
      </c>
      <c r="F9078">
        <v>2</v>
      </c>
      <c r="G9078">
        <v>2</v>
      </c>
      <c r="H9078">
        <v>1</v>
      </c>
      <c r="I9078">
        <v>0</v>
      </c>
      <c r="J9078">
        <v>0.99175682637815599</v>
      </c>
      <c r="K9078">
        <v>0.97327882960413403</v>
      </c>
      <c r="L9078">
        <v>0.982430950085459</v>
      </c>
      <c r="M9078">
        <v>0.96390977443609005</v>
      </c>
      <c r="N9078">
        <v>0.96390977443609005</v>
      </c>
      <c r="O9078">
        <v>0.96390977443609005</v>
      </c>
      <c r="P9078" t="s">
        <v>18424</v>
      </c>
      <c r="Q9078" t="s">
        <v>18425</v>
      </c>
      <c r="R9078" t="s">
        <v>1259</v>
      </c>
      <c r="S9078" t="s">
        <v>1260</v>
      </c>
      <c r="V9078" t="s">
        <v>18426</v>
      </c>
      <c r="W9078" t="s">
        <v>18427</v>
      </c>
      <c r="AF9078" t="s">
        <v>18428</v>
      </c>
    </row>
    <row r="9079" spans="1:32" hidden="1" x14ac:dyDescent="0.35">
      <c r="A9079">
        <v>9078</v>
      </c>
      <c r="B9079" t="s">
        <v>18423</v>
      </c>
      <c r="C9079" t="s">
        <v>277</v>
      </c>
      <c r="D9079" t="s">
        <v>45</v>
      </c>
      <c r="E9079">
        <v>641</v>
      </c>
      <c r="F9079">
        <v>2</v>
      </c>
      <c r="G9079">
        <v>2</v>
      </c>
      <c r="H9079">
        <v>1</v>
      </c>
      <c r="I9079">
        <v>0</v>
      </c>
      <c r="J9079">
        <v>0.99175682637815599</v>
      </c>
      <c r="K9079">
        <v>0.97327882960413403</v>
      </c>
      <c r="L9079">
        <v>0.982430950085459</v>
      </c>
      <c r="M9079">
        <v>0.96390977443609005</v>
      </c>
      <c r="N9079">
        <v>0.96390977443609005</v>
      </c>
      <c r="O9079">
        <v>0.96390977443609005</v>
      </c>
      <c r="P9079" t="s">
        <v>18424</v>
      </c>
      <c r="Q9079" t="s">
        <v>18425</v>
      </c>
      <c r="R9079" t="s">
        <v>1259</v>
      </c>
      <c r="S9079" t="s">
        <v>1260</v>
      </c>
      <c r="V9079" t="s">
        <v>18426</v>
      </c>
      <c r="W9079" t="s">
        <v>18427</v>
      </c>
      <c r="AF9079" t="s">
        <v>18429</v>
      </c>
    </row>
    <row r="9080" spans="1:32" hidden="1" x14ac:dyDescent="0.35">
      <c r="A9080">
        <v>9079</v>
      </c>
      <c r="B9080" t="s">
        <v>18430</v>
      </c>
      <c r="C9080" t="s">
        <v>277</v>
      </c>
      <c r="D9080" t="s">
        <v>34</v>
      </c>
      <c r="E9080">
        <v>1619</v>
      </c>
      <c r="F9080">
        <v>2</v>
      </c>
      <c r="G9080">
        <v>2</v>
      </c>
      <c r="H9080">
        <v>1</v>
      </c>
      <c r="I9080">
        <v>0</v>
      </c>
      <c r="J9080">
        <v>0.98581560283687897</v>
      </c>
      <c r="K9080">
        <v>1</v>
      </c>
      <c r="L9080">
        <v>0.99285714285714299</v>
      </c>
      <c r="M9080">
        <v>0.98404255319148903</v>
      </c>
      <c r="N9080">
        <v>0.98404255319148903</v>
      </c>
      <c r="O9080">
        <v>0.98404255319148903</v>
      </c>
      <c r="P9080" t="s">
        <v>11398</v>
      </c>
      <c r="Q9080" t="s">
        <v>11399</v>
      </c>
      <c r="R9080" t="s">
        <v>8647</v>
      </c>
      <c r="S9080" t="s">
        <v>8648</v>
      </c>
      <c r="V9080" t="s">
        <v>9316</v>
      </c>
      <c r="W9080" t="s">
        <v>9317</v>
      </c>
      <c r="X9080" t="s">
        <v>9316</v>
      </c>
      <c r="Y9080" t="s">
        <v>875</v>
      </c>
      <c r="AF9080" t="s">
        <v>18431</v>
      </c>
    </row>
    <row r="9081" spans="1:32" hidden="1" x14ac:dyDescent="0.35">
      <c r="A9081">
        <v>9080</v>
      </c>
      <c r="B9081" t="s">
        <v>18430</v>
      </c>
      <c r="C9081" t="s">
        <v>277</v>
      </c>
      <c r="D9081" t="s">
        <v>45</v>
      </c>
      <c r="E9081">
        <v>369</v>
      </c>
      <c r="F9081">
        <v>2</v>
      </c>
      <c r="G9081">
        <v>2</v>
      </c>
      <c r="H9081">
        <v>1</v>
      </c>
      <c r="I9081">
        <v>0</v>
      </c>
      <c r="J9081">
        <v>0.98581560283687897</v>
      </c>
      <c r="K9081">
        <v>1</v>
      </c>
      <c r="L9081">
        <v>0.99285714285714299</v>
      </c>
      <c r="M9081">
        <v>0.98404255319148903</v>
      </c>
      <c r="N9081">
        <v>0.98404255319148903</v>
      </c>
      <c r="O9081">
        <v>0.98404255319148903</v>
      </c>
      <c r="P9081" t="s">
        <v>11398</v>
      </c>
      <c r="Q9081" t="s">
        <v>11399</v>
      </c>
      <c r="R9081" t="s">
        <v>8647</v>
      </c>
      <c r="S9081" t="s">
        <v>8648</v>
      </c>
      <c r="V9081" t="s">
        <v>9316</v>
      </c>
      <c r="W9081" t="s">
        <v>9317</v>
      </c>
      <c r="X9081" t="s">
        <v>9316</v>
      </c>
      <c r="Y9081" t="s">
        <v>875</v>
      </c>
      <c r="AF9081" t="s">
        <v>18432</v>
      </c>
    </row>
    <row r="9082" spans="1:32" hidden="1" x14ac:dyDescent="0.35">
      <c r="A9082">
        <v>9081</v>
      </c>
      <c r="B9082" t="s">
        <v>18433</v>
      </c>
      <c r="C9082" t="s">
        <v>277</v>
      </c>
      <c r="D9082" t="s">
        <v>60</v>
      </c>
      <c r="E9082">
        <v>169</v>
      </c>
      <c r="F9082">
        <v>2</v>
      </c>
      <c r="G9082">
        <v>2</v>
      </c>
      <c r="H9082">
        <v>1</v>
      </c>
      <c r="I9082">
        <v>0</v>
      </c>
      <c r="J9082">
        <v>0.98761904761904795</v>
      </c>
      <c r="K9082">
        <v>0.98874857956818896</v>
      </c>
      <c r="L9082">
        <v>0.98818349081904799</v>
      </c>
      <c r="M9082">
        <v>0.97457627118644097</v>
      </c>
      <c r="N9082">
        <v>0.97457627118644097</v>
      </c>
      <c r="O9082">
        <v>0.97457627118644097</v>
      </c>
      <c r="AF9082" t="s">
        <v>18434</v>
      </c>
    </row>
    <row r="9083" spans="1:32" hidden="1" x14ac:dyDescent="0.35">
      <c r="A9083">
        <v>9082</v>
      </c>
      <c r="B9083" t="s">
        <v>18433</v>
      </c>
      <c r="C9083" t="s">
        <v>277</v>
      </c>
      <c r="D9083" t="s">
        <v>62</v>
      </c>
      <c r="E9083">
        <v>245</v>
      </c>
      <c r="F9083">
        <v>2</v>
      </c>
      <c r="G9083">
        <v>2</v>
      </c>
      <c r="H9083">
        <v>1</v>
      </c>
      <c r="I9083">
        <v>0</v>
      </c>
      <c r="J9083">
        <v>0.98761904761904795</v>
      </c>
      <c r="K9083">
        <v>0.98874857956818896</v>
      </c>
      <c r="L9083">
        <v>0.98818349081904799</v>
      </c>
      <c r="M9083">
        <v>0.97457627118644097</v>
      </c>
      <c r="N9083">
        <v>0.97457627118644097</v>
      </c>
      <c r="O9083">
        <v>0.97457627118644097</v>
      </c>
      <c r="AF9083" t="s">
        <v>18435</v>
      </c>
    </row>
    <row r="9084" spans="1:32" hidden="1" x14ac:dyDescent="0.35">
      <c r="A9084">
        <v>9083</v>
      </c>
      <c r="B9084" t="s">
        <v>18436</v>
      </c>
      <c r="C9084" t="s">
        <v>277</v>
      </c>
      <c r="D9084" t="s">
        <v>60</v>
      </c>
      <c r="E9084">
        <v>1696</v>
      </c>
      <c r="F9084">
        <v>2</v>
      </c>
      <c r="G9084">
        <v>2</v>
      </c>
      <c r="H9084">
        <v>1</v>
      </c>
      <c r="I9084">
        <v>0</v>
      </c>
      <c r="J9084">
        <v>0.99127906976744196</v>
      </c>
      <c r="K9084">
        <v>1</v>
      </c>
      <c r="L9084">
        <v>0.99562043795620403</v>
      </c>
      <c r="M9084">
        <v>0.98546511627906996</v>
      </c>
      <c r="N9084">
        <v>0.98546511627906996</v>
      </c>
      <c r="O9084">
        <v>0.98546511627906996</v>
      </c>
      <c r="P9084" t="s">
        <v>15681</v>
      </c>
      <c r="Q9084" t="s">
        <v>15682</v>
      </c>
      <c r="AF9084" t="s">
        <v>18437</v>
      </c>
    </row>
    <row r="9085" spans="1:32" hidden="1" x14ac:dyDescent="0.35">
      <c r="A9085">
        <v>9084</v>
      </c>
      <c r="B9085" t="s">
        <v>18436</v>
      </c>
      <c r="C9085" t="s">
        <v>277</v>
      </c>
      <c r="D9085" t="s">
        <v>62</v>
      </c>
      <c r="E9085">
        <v>1731</v>
      </c>
      <c r="F9085">
        <v>2</v>
      </c>
      <c r="G9085">
        <v>2</v>
      </c>
      <c r="H9085">
        <v>1</v>
      </c>
      <c r="I9085">
        <v>0</v>
      </c>
      <c r="J9085">
        <v>0.99127906976744196</v>
      </c>
      <c r="K9085">
        <v>1</v>
      </c>
      <c r="L9085">
        <v>0.99562043795620403</v>
      </c>
      <c r="M9085">
        <v>0.98546511627906996</v>
      </c>
      <c r="N9085">
        <v>0.98546511627906996</v>
      </c>
      <c r="O9085">
        <v>0.98546511627906996</v>
      </c>
      <c r="P9085" t="s">
        <v>15681</v>
      </c>
      <c r="Q9085" t="s">
        <v>15682</v>
      </c>
      <c r="AF9085" t="s">
        <v>18438</v>
      </c>
    </row>
    <row r="9086" spans="1:32" hidden="1" x14ac:dyDescent="0.35">
      <c r="A9086">
        <v>9085</v>
      </c>
      <c r="B9086" t="s">
        <v>18439</v>
      </c>
      <c r="C9086" t="s">
        <v>277</v>
      </c>
      <c r="D9086" t="s">
        <v>34</v>
      </c>
      <c r="E9086">
        <v>2314</v>
      </c>
      <c r="F9086">
        <v>2</v>
      </c>
      <c r="G9086">
        <v>2</v>
      </c>
      <c r="H9086">
        <v>1</v>
      </c>
      <c r="I9086">
        <v>0</v>
      </c>
      <c r="J9086">
        <v>0.97256515775034302</v>
      </c>
      <c r="K9086">
        <v>0.99183673469387601</v>
      </c>
      <c r="L9086">
        <v>0.98210641524061404</v>
      </c>
      <c r="M9086">
        <v>0.95102040816326505</v>
      </c>
      <c r="N9086">
        <v>0.95102040816326505</v>
      </c>
      <c r="O9086">
        <v>0.95102040816326505</v>
      </c>
      <c r="P9086" t="s">
        <v>18381</v>
      </c>
      <c r="Q9086" t="s">
        <v>18382</v>
      </c>
      <c r="R9086" t="s">
        <v>371</v>
      </c>
      <c r="S9086" t="s">
        <v>372</v>
      </c>
      <c r="T9086" t="s">
        <v>18383</v>
      </c>
      <c r="U9086" t="s">
        <v>18384</v>
      </c>
      <c r="V9086" t="s">
        <v>18385</v>
      </c>
      <c r="W9086" t="s">
        <v>18386</v>
      </c>
      <c r="AD9086" t="s">
        <v>4789</v>
      </c>
      <c r="AE9086" t="s">
        <v>10384</v>
      </c>
      <c r="AF9086" t="s">
        <v>18440</v>
      </c>
    </row>
    <row r="9087" spans="1:32" hidden="1" x14ac:dyDescent="0.35">
      <c r="A9087">
        <v>9086</v>
      </c>
      <c r="B9087" t="s">
        <v>18439</v>
      </c>
      <c r="C9087" t="s">
        <v>277</v>
      </c>
      <c r="D9087" t="s">
        <v>45</v>
      </c>
      <c r="E9087">
        <v>564</v>
      </c>
      <c r="F9087">
        <v>2</v>
      </c>
      <c r="G9087">
        <v>2</v>
      </c>
      <c r="H9087">
        <v>1</v>
      </c>
      <c r="I9087">
        <v>0</v>
      </c>
      <c r="J9087">
        <v>0.97256515775034302</v>
      </c>
      <c r="K9087">
        <v>0.99183673469387601</v>
      </c>
      <c r="L9087">
        <v>0.98210641524061404</v>
      </c>
      <c r="M9087">
        <v>0.95102040816326505</v>
      </c>
      <c r="N9087">
        <v>0.95102040816326505</v>
      </c>
      <c r="O9087">
        <v>0.95102040816326505</v>
      </c>
      <c r="P9087" t="s">
        <v>18381</v>
      </c>
      <c r="Q9087" t="s">
        <v>18382</v>
      </c>
      <c r="R9087" t="s">
        <v>371</v>
      </c>
      <c r="S9087" t="s">
        <v>372</v>
      </c>
      <c r="T9087" t="s">
        <v>18383</v>
      </c>
      <c r="U9087" t="s">
        <v>18384</v>
      </c>
      <c r="V9087" t="s">
        <v>18385</v>
      </c>
      <c r="W9087" t="s">
        <v>18386</v>
      </c>
      <c r="AD9087" t="s">
        <v>4789</v>
      </c>
      <c r="AE9087" t="s">
        <v>10384</v>
      </c>
      <c r="AF9087" t="s">
        <v>18441</v>
      </c>
    </row>
    <row r="9088" spans="1:32" hidden="1" x14ac:dyDescent="0.35">
      <c r="A9088">
        <v>9087</v>
      </c>
      <c r="B9088" t="s">
        <v>18442</v>
      </c>
      <c r="C9088" t="s">
        <v>277</v>
      </c>
      <c r="D9088" t="s">
        <v>34</v>
      </c>
      <c r="E9088">
        <v>1122</v>
      </c>
      <c r="F9088">
        <v>2</v>
      </c>
      <c r="G9088">
        <v>2</v>
      </c>
      <c r="H9088">
        <v>1</v>
      </c>
      <c r="I9088">
        <v>0</v>
      </c>
      <c r="J9088">
        <v>0.954337899543379</v>
      </c>
      <c r="K9088">
        <v>0.79428891377379596</v>
      </c>
      <c r="L9088">
        <v>0.86698889417519498</v>
      </c>
      <c r="M9088">
        <v>0.72631578947368403</v>
      </c>
      <c r="N9088">
        <v>0.72631578947368403</v>
      </c>
      <c r="O9088">
        <v>0.72631578947368403</v>
      </c>
      <c r="P9088" t="s">
        <v>10744</v>
      </c>
      <c r="Q9088" t="s">
        <v>10745</v>
      </c>
      <c r="R9088" t="s">
        <v>113</v>
      </c>
      <c r="S9088" t="s">
        <v>114</v>
      </c>
      <c r="V9088" t="s">
        <v>2881</v>
      </c>
      <c r="W9088" t="s">
        <v>2882</v>
      </c>
      <c r="AF9088" t="s">
        <v>18443</v>
      </c>
    </row>
    <row r="9089" spans="1:32" hidden="1" x14ac:dyDescent="0.35">
      <c r="A9089">
        <v>9088</v>
      </c>
      <c r="B9089" t="s">
        <v>18442</v>
      </c>
      <c r="C9089" t="s">
        <v>277</v>
      </c>
      <c r="D9089" t="s">
        <v>45</v>
      </c>
      <c r="E9089">
        <v>2375</v>
      </c>
      <c r="F9089">
        <v>2</v>
      </c>
      <c r="G9089">
        <v>2</v>
      </c>
      <c r="H9089">
        <v>1</v>
      </c>
      <c r="I9089">
        <v>0</v>
      </c>
      <c r="J9089">
        <v>0.954337899543379</v>
      </c>
      <c r="K9089">
        <v>0.79428891377379596</v>
      </c>
      <c r="L9089">
        <v>0.86698889417519498</v>
      </c>
      <c r="M9089">
        <v>0.72631578947368403</v>
      </c>
      <c r="N9089">
        <v>0.72631578947368403</v>
      </c>
      <c r="O9089">
        <v>0.72631578947368403</v>
      </c>
      <c r="P9089" t="s">
        <v>10744</v>
      </c>
      <c r="Q9089" t="s">
        <v>10745</v>
      </c>
      <c r="R9089" t="s">
        <v>113</v>
      </c>
      <c r="S9089" t="s">
        <v>114</v>
      </c>
      <c r="V9089" t="s">
        <v>2881</v>
      </c>
      <c r="W9089" t="s">
        <v>2882</v>
      </c>
      <c r="AF9089" t="s">
        <v>18444</v>
      </c>
    </row>
    <row r="9090" spans="1:32" hidden="1" x14ac:dyDescent="0.35">
      <c r="A9090">
        <v>9089</v>
      </c>
      <c r="B9090" t="s">
        <v>18445</v>
      </c>
      <c r="C9090" t="s">
        <v>277</v>
      </c>
      <c r="D9090" t="s">
        <v>60</v>
      </c>
      <c r="E9090">
        <v>167</v>
      </c>
      <c r="F9090">
        <v>2</v>
      </c>
      <c r="G9090">
        <v>2</v>
      </c>
      <c r="H9090">
        <v>1</v>
      </c>
      <c r="I9090">
        <v>0</v>
      </c>
      <c r="J9090">
        <v>0.98495109104589895</v>
      </c>
      <c r="K9090">
        <v>1</v>
      </c>
      <c r="L9090">
        <v>0.992418498862775</v>
      </c>
      <c r="M9090">
        <v>0.98194130925507905</v>
      </c>
      <c r="N9090">
        <v>0.98194130925507905</v>
      </c>
      <c r="O9090">
        <v>0.98194130925507905</v>
      </c>
      <c r="P9090" t="s">
        <v>18446</v>
      </c>
      <c r="Q9090" t="s">
        <v>18447</v>
      </c>
      <c r="AF9090" t="s">
        <v>18448</v>
      </c>
    </row>
    <row r="9091" spans="1:32" hidden="1" x14ac:dyDescent="0.35">
      <c r="A9091">
        <v>9090</v>
      </c>
      <c r="B9091" t="s">
        <v>18445</v>
      </c>
      <c r="C9091" t="s">
        <v>277</v>
      </c>
      <c r="D9091" t="s">
        <v>62</v>
      </c>
      <c r="E9091">
        <v>243</v>
      </c>
      <c r="F9091">
        <v>2</v>
      </c>
      <c r="G9091">
        <v>2</v>
      </c>
      <c r="H9091">
        <v>1</v>
      </c>
      <c r="I9091">
        <v>0</v>
      </c>
      <c r="J9091">
        <v>0.98495109104589895</v>
      </c>
      <c r="K9091">
        <v>1</v>
      </c>
      <c r="L9091">
        <v>0.992418498862775</v>
      </c>
      <c r="M9091">
        <v>0.98194130925507905</v>
      </c>
      <c r="N9091">
        <v>0.98194130925507905</v>
      </c>
      <c r="O9091">
        <v>0.98194130925507905</v>
      </c>
      <c r="P9091" t="s">
        <v>18446</v>
      </c>
      <c r="Q9091" t="s">
        <v>18447</v>
      </c>
      <c r="AF9091" t="s">
        <v>18449</v>
      </c>
    </row>
    <row r="9092" spans="1:32" hidden="1" x14ac:dyDescent="0.35">
      <c r="A9092">
        <v>9091</v>
      </c>
      <c r="B9092" t="s">
        <v>18450</v>
      </c>
      <c r="C9092" t="s">
        <v>277</v>
      </c>
      <c r="D9092" t="s">
        <v>60</v>
      </c>
      <c r="E9092">
        <v>2035</v>
      </c>
      <c r="F9092">
        <v>2</v>
      </c>
      <c r="G9092">
        <v>2</v>
      </c>
      <c r="H9092">
        <v>1</v>
      </c>
      <c r="I9092">
        <v>0</v>
      </c>
      <c r="J9092">
        <v>0.99422442244224396</v>
      </c>
      <c r="K9092">
        <v>1</v>
      </c>
      <c r="L9092">
        <v>0.99710384774513805</v>
      </c>
      <c r="M9092">
        <v>0.99257425742574301</v>
      </c>
      <c r="N9092">
        <v>0.99257425742574301</v>
      </c>
      <c r="O9092">
        <v>0.99257425742574301</v>
      </c>
      <c r="AF9092" t="s">
        <v>18451</v>
      </c>
    </row>
    <row r="9093" spans="1:32" hidden="1" x14ac:dyDescent="0.35">
      <c r="A9093">
        <v>9092</v>
      </c>
      <c r="B9093" t="s">
        <v>18450</v>
      </c>
      <c r="C9093" t="s">
        <v>277</v>
      </c>
      <c r="D9093" t="s">
        <v>62</v>
      </c>
      <c r="E9093">
        <v>2074</v>
      </c>
      <c r="F9093">
        <v>2</v>
      </c>
      <c r="G9093">
        <v>2</v>
      </c>
      <c r="H9093">
        <v>1</v>
      </c>
      <c r="I9093">
        <v>0</v>
      </c>
      <c r="J9093">
        <v>0.99422442244224396</v>
      </c>
      <c r="K9093">
        <v>1</v>
      </c>
      <c r="L9093">
        <v>0.99710384774513805</v>
      </c>
      <c r="M9093">
        <v>0.99257425742574301</v>
      </c>
      <c r="N9093">
        <v>0.99257425742574301</v>
      </c>
      <c r="O9093">
        <v>0.99257425742574301</v>
      </c>
      <c r="AF9093" t="s">
        <v>18452</v>
      </c>
    </row>
    <row r="9094" spans="1:32" hidden="1" x14ac:dyDescent="0.35">
      <c r="A9094">
        <v>9093</v>
      </c>
      <c r="B9094" t="s">
        <v>18453</v>
      </c>
      <c r="C9094" t="s">
        <v>277</v>
      </c>
      <c r="D9094" t="s">
        <v>34</v>
      </c>
      <c r="E9094">
        <v>908</v>
      </c>
      <c r="F9094">
        <v>2</v>
      </c>
      <c r="G9094">
        <v>2</v>
      </c>
      <c r="H9094">
        <v>1</v>
      </c>
      <c r="I9094">
        <v>0</v>
      </c>
      <c r="J9094">
        <v>0.99658703071672305</v>
      </c>
      <c r="K9094">
        <v>1</v>
      </c>
      <c r="L9094">
        <v>0.99829059829059796</v>
      </c>
      <c r="M9094">
        <v>0.99658703071672305</v>
      </c>
      <c r="N9094">
        <v>0.99658703071672305</v>
      </c>
      <c r="O9094">
        <v>0.99658703071672305</v>
      </c>
      <c r="P9094" t="s">
        <v>13648</v>
      </c>
      <c r="Q9094" t="s">
        <v>13649</v>
      </c>
      <c r="R9094" t="s">
        <v>14484</v>
      </c>
      <c r="S9094" t="s">
        <v>14485</v>
      </c>
      <c r="V9094" t="s">
        <v>14486</v>
      </c>
      <c r="W9094" t="s">
        <v>14487</v>
      </c>
      <c r="AF9094" t="s">
        <v>18454</v>
      </c>
    </row>
    <row r="9095" spans="1:32" hidden="1" x14ac:dyDescent="0.35">
      <c r="A9095">
        <v>9094</v>
      </c>
      <c r="B9095" t="s">
        <v>18453</v>
      </c>
      <c r="C9095" t="s">
        <v>277</v>
      </c>
      <c r="D9095" t="s">
        <v>45</v>
      </c>
      <c r="E9095">
        <v>2164</v>
      </c>
      <c r="F9095">
        <v>2</v>
      </c>
      <c r="G9095">
        <v>2</v>
      </c>
      <c r="H9095">
        <v>1</v>
      </c>
      <c r="I9095">
        <v>0</v>
      </c>
      <c r="J9095">
        <v>0.99658703071672305</v>
      </c>
      <c r="K9095">
        <v>1</v>
      </c>
      <c r="L9095">
        <v>0.99829059829059796</v>
      </c>
      <c r="M9095">
        <v>0.99658703071672305</v>
      </c>
      <c r="N9095">
        <v>0.99658703071672305</v>
      </c>
      <c r="O9095">
        <v>0.99658703071672305</v>
      </c>
      <c r="P9095" t="s">
        <v>13648</v>
      </c>
      <c r="Q9095" t="s">
        <v>13649</v>
      </c>
      <c r="R9095" t="s">
        <v>14484</v>
      </c>
      <c r="S9095" t="s">
        <v>14485</v>
      </c>
      <c r="V9095" t="s">
        <v>14486</v>
      </c>
      <c r="W9095" t="s">
        <v>14487</v>
      </c>
      <c r="AF9095" t="s">
        <v>18455</v>
      </c>
    </row>
    <row r="9096" spans="1:32" hidden="1" x14ac:dyDescent="0.35">
      <c r="A9096">
        <v>9095</v>
      </c>
      <c r="B9096" t="s">
        <v>18456</v>
      </c>
      <c r="C9096" t="s">
        <v>277</v>
      </c>
      <c r="D9096" t="s">
        <v>34</v>
      </c>
      <c r="E9096">
        <v>1725</v>
      </c>
      <c r="F9096">
        <v>2</v>
      </c>
      <c r="G9096">
        <v>2</v>
      </c>
      <c r="H9096">
        <v>1</v>
      </c>
      <c r="I9096">
        <v>0</v>
      </c>
      <c r="J9096">
        <v>0.99847792998477902</v>
      </c>
      <c r="K9096">
        <v>1</v>
      </c>
      <c r="L9096">
        <v>0.99923838537699905</v>
      </c>
      <c r="M9096">
        <v>0.99543378995433796</v>
      </c>
      <c r="N9096">
        <v>0.99543378995433796</v>
      </c>
      <c r="O9096">
        <v>0.99543378995433796</v>
      </c>
      <c r="P9096" t="s">
        <v>18457</v>
      </c>
      <c r="Q9096" t="s">
        <v>18458</v>
      </c>
      <c r="AF9096" t="s">
        <v>18459</v>
      </c>
    </row>
    <row r="9097" spans="1:32" hidden="1" x14ac:dyDescent="0.35">
      <c r="A9097">
        <v>9096</v>
      </c>
      <c r="B9097" t="s">
        <v>18456</v>
      </c>
      <c r="C9097" t="s">
        <v>277</v>
      </c>
      <c r="D9097" t="s">
        <v>45</v>
      </c>
      <c r="E9097">
        <v>1149</v>
      </c>
      <c r="F9097">
        <v>2</v>
      </c>
      <c r="G9097">
        <v>2</v>
      </c>
      <c r="H9097">
        <v>1</v>
      </c>
      <c r="I9097">
        <v>0</v>
      </c>
      <c r="J9097">
        <v>0.99847792998477902</v>
      </c>
      <c r="K9097">
        <v>1</v>
      </c>
      <c r="L9097">
        <v>0.99923838537699905</v>
      </c>
      <c r="M9097">
        <v>0.99543378995433796</v>
      </c>
      <c r="N9097">
        <v>0.99543378995433796</v>
      </c>
      <c r="O9097">
        <v>0.99543378995433796</v>
      </c>
      <c r="P9097" t="s">
        <v>18457</v>
      </c>
      <c r="Q9097" t="s">
        <v>18458</v>
      </c>
      <c r="AF9097" t="s">
        <v>18460</v>
      </c>
    </row>
    <row r="9098" spans="1:32" hidden="1" x14ac:dyDescent="0.35">
      <c r="A9098">
        <v>9097</v>
      </c>
      <c r="B9098" t="s">
        <v>18461</v>
      </c>
      <c r="C9098" t="s">
        <v>277</v>
      </c>
      <c r="D9098" t="s">
        <v>60</v>
      </c>
      <c r="E9098">
        <v>2008</v>
      </c>
      <c r="F9098">
        <v>2</v>
      </c>
      <c r="G9098">
        <v>2</v>
      </c>
      <c r="H9098">
        <v>1</v>
      </c>
      <c r="I9098">
        <v>0</v>
      </c>
      <c r="J9098">
        <v>0.99754299754299802</v>
      </c>
      <c r="K9098">
        <v>1</v>
      </c>
      <c r="L9098">
        <v>0.99876998769987702</v>
      </c>
      <c r="M9098">
        <v>0.99754299754299802</v>
      </c>
      <c r="N9098">
        <v>0.99754299754299802</v>
      </c>
      <c r="O9098">
        <v>0.99754299754299802</v>
      </c>
      <c r="P9098" t="s">
        <v>10946</v>
      </c>
      <c r="Q9098" t="s">
        <v>10947</v>
      </c>
      <c r="R9098" t="s">
        <v>319</v>
      </c>
      <c r="S9098" t="s">
        <v>320</v>
      </c>
      <c r="T9098" t="s">
        <v>10948</v>
      </c>
      <c r="U9098" t="s">
        <v>10949</v>
      </c>
      <c r="V9098" t="s">
        <v>10950</v>
      </c>
      <c r="W9098" t="s">
        <v>10951</v>
      </c>
      <c r="X9098" t="s">
        <v>10950</v>
      </c>
      <c r="Y9098" t="s">
        <v>10466</v>
      </c>
      <c r="AD9098" t="s">
        <v>951</v>
      </c>
      <c r="AE9098" t="s">
        <v>10952</v>
      </c>
      <c r="AF9098" t="s">
        <v>18462</v>
      </c>
    </row>
    <row r="9099" spans="1:32" hidden="1" x14ac:dyDescent="0.35">
      <c r="A9099">
        <v>9098</v>
      </c>
      <c r="B9099" t="s">
        <v>18461</v>
      </c>
      <c r="C9099" t="s">
        <v>277</v>
      </c>
      <c r="D9099" t="s">
        <v>62</v>
      </c>
      <c r="E9099">
        <v>2048</v>
      </c>
      <c r="F9099">
        <v>2</v>
      </c>
      <c r="G9099">
        <v>2</v>
      </c>
      <c r="H9099">
        <v>1</v>
      </c>
      <c r="I9099">
        <v>0</v>
      </c>
      <c r="J9099">
        <v>0.99754299754299802</v>
      </c>
      <c r="K9099">
        <v>1</v>
      </c>
      <c r="L9099">
        <v>0.99876998769987702</v>
      </c>
      <c r="M9099">
        <v>0.99754299754299802</v>
      </c>
      <c r="N9099">
        <v>0.99754299754299802</v>
      </c>
      <c r="O9099">
        <v>0.99754299754299802</v>
      </c>
      <c r="P9099" t="s">
        <v>10946</v>
      </c>
      <c r="Q9099" t="s">
        <v>10947</v>
      </c>
      <c r="R9099" t="s">
        <v>319</v>
      </c>
      <c r="S9099" t="s">
        <v>320</v>
      </c>
      <c r="T9099" t="s">
        <v>10948</v>
      </c>
      <c r="U9099" t="s">
        <v>10949</v>
      </c>
      <c r="V9099" t="s">
        <v>10950</v>
      </c>
      <c r="W9099" t="s">
        <v>10951</v>
      </c>
      <c r="X9099" t="s">
        <v>10950</v>
      </c>
      <c r="Y9099" t="s">
        <v>10466</v>
      </c>
      <c r="AD9099" t="s">
        <v>951</v>
      </c>
      <c r="AE9099" t="s">
        <v>10952</v>
      </c>
      <c r="AF9099" t="s">
        <v>18463</v>
      </c>
    </row>
    <row r="9100" spans="1:32" hidden="1" x14ac:dyDescent="0.35">
      <c r="A9100">
        <v>9099</v>
      </c>
      <c r="B9100" t="s">
        <v>18464</v>
      </c>
      <c r="C9100" t="s">
        <v>277</v>
      </c>
      <c r="D9100" t="s">
        <v>34</v>
      </c>
      <c r="E9100">
        <v>42</v>
      </c>
      <c r="F9100">
        <v>2</v>
      </c>
      <c r="G9100">
        <v>2</v>
      </c>
      <c r="H9100">
        <v>1</v>
      </c>
      <c r="I9100">
        <v>0</v>
      </c>
      <c r="J9100">
        <v>0.95772357723577195</v>
      </c>
      <c r="K9100">
        <v>1</v>
      </c>
      <c r="L9100">
        <v>0.97840531561461797</v>
      </c>
      <c r="M9100">
        <v>0.931707317073171</v>
      </c>
      <c r="N9100">
        <v>0.931707317073171</v>
      </c>
      <c r="O9100">
        <v>0.931707317073171</v>
      </c>
      <c r="P9100" t="s">
        <v>14319</v>
      </c>
      <c r="Q9100" t="s">
        <v>2035</v>
      </c>
      <c r="R9100" t="s">
        <v>869</v>
      </c>
      <c r="S9100" t="s">
        <v>870</v>
      </c>
      <c r="V9100" t="s">
        <v>7964</v>
      </c>
      <c r="W9100" t="s">
        <v>7965</v>
      </c>
      <c r="X9100" t="s">
        <v>7964</v>
      </c>
      <c r="Y9100" t="s">
        <v>2190</v>
      </c>
      <c r="AF9100" t="s">
        <v>18465</v>
      </c>
    </row>
    <row r="9101" spans="1:32" hidden="1" x14ac:dyDescent="0.35">
      <c r="A9101">
        <v>9100</v>
      </c>
      <c r="B9101" t="s">
        <v>18464</v>
      </c>
      <c r="C9101" t="s">
        <v>277</v>
      </c>
      <c r="D9101" t="s">
        <v>45</v>
      </c>
      <c r="E9101">
        <v>1299</v>
      </c>
      <c r="F9101">
        <v>2</v>
      </c>
      <c r="G9101">
        <v>2</v>
      </c>
      <c r="H9101">
        <v>1</v>
      </c>
      <c r="I9101">
        <v>0</v>
      </c>
      <c r="J9101">
        <v>0.95772357723577195</v>
      </c>
      <c r="K9101">
        <v>1</v>
      </c>
      <c r="L9101">
        <v>0.97840531561461797</v>
      </c>
      <c r="M9101">
        <v>0.931707317073171</v>
      </c>
      <c r="N9101">
        <v>0.931707317073171</v>
      </c>
      <c r="O9101">
        <v>0.931707317073171</v>
      </c>
      <c r="P9101" t="s">
        <v>14319</v>
      </c>
      <c r="Q9101" t="s">
        <v>2035</v>
      </c>
      <c r="R9101" t="s">
        <v>869</v>
      </c>
      <c r="S9101" t="s">
        <v>870</v>
      </c>
      <c r="V9101" t="s">
        <v>7964</v>
      </c>
      <c r="W9101" t="s">
        <v>7965</v>
      </c>
      <c r="X9101" t="s">
        <v>7964</v>
      </c>
      <c r="Y9101" t="s">
        <v>2190</v>
      </c>
      <c r="AF9101" t="s">
        <v>18466</v>
      </c>
    </row>
    <row r="9102" spans="1:32" hidden="1" x14ac:dyDescent="0.35">
      <c r="A9102">
        <v>9101</v>
      </c>
      <c r="B9102" t="s">
        <v>18467</v>
      </c>
      <c r="C9102" t="s">
        <v>277</v>
      </c>
      <c r="D9102" t="s">
        <v>60</v>
      </c>
      <c r="E9102">
        <v>448</v>
      </c>
      <c r="F9102">
        <v>2</v>
      </c>
      <c r="G9102">
        <v>2</v>
      </c>
      <c r="H9102">
        <v>1</v>
      </c>
      <c r="I9102">
        <v>0</v>
      </c>
      <c r="J9102">
        <v>0.98198198198198205</v>
      </c>
      <c r="K9102">
        <v>0.71726190476190499</v>
      </c>
      <c r="L9102">
        <v>0.82900197238658802</v>
      </c>
      <c r="M9102">
        <v>0.64285714285714302</v>
      </c>
      <c r="N9102">
        <v>0.64285714285714302</v>
      </c>
      <c r="O9102">
        <v>0.64285714285714302</v>
      </c>
      <c r="AF9102" t="s">
        <v>18468</v>
      </c>
    </row>
    <row r="9103" spans="1:32" hidden="1" x14ac:dyDescent="0.35">
      <c r="A9103">
        <v>9102</v>
      </c>
      <c r="B9103" t="s">
        <v>18467</v>
      </c>
      <c r="C9103" t="s">
        <v>277</v>
      </c>
      <c r="D9103" t="s">
        <v>62</v>
      </c>
      <c r="E9103">
        <v>529</v>
      </c>
      <c r="F9103">
        <v>2</v>
      </c>
      <c r="G9103">
        <v>2</v>
      </c>
      <c r="H9103">
        <v>1</v>
      </c>
      <c r="I9103">
        <v>0</v>
      </c>
      <c r="J9103">
        <v>0.98198198198198205</v>
      </c>
      <c r="K9103">
        <v>0.71726190476190499</v>
      </c>
      <c r="L9103">
        <v>0.82900197238658802</v>
      </c>
      <c r="M9103">
        <v>0.64285714285714302</v>
      </c>
      <c r="N9103">
        <v>0.64285714285714302</v>
      </c>
      <c r="O9103">
        <v>0.64285714285714302</v>
      </c>
      <c r="AF9103" t="e">
        <f>--------------------------------------MTVILPKDGIKKSIFQGQKVLIGLGKATKSEPSSSSTQPTEPQKPGTPGEPAQKSQHLAVARQAFVRAVFGGRR</f>
        <v>#NAME?</v>
      </c>
    </row>
    <row r="9104" spans="1:32" hidden="1" x14ac:dyDescent="0.35">
      <c r="A9104">
        <v>9103</v>
      </c>
      <c r="B9104" t="s">
        <v>18469</v>
      </c>
      <c r="C9104" t="s">
        <v>277</v>
      </c>
      <c r="D9104" t="s">
        <v>34</v>
      </c>
      <c r="E9104">
        <v>2272</v>
      </c>
      <c r="F9104">
        <v>2</v>
      </c>
      <c r="G9104">
        <v>2</v>
      </c>
      <c r="H9104">
        <v>1</v>
      </c>
      <c r="I9104">
        <v>0</v>
      </c>
      <c r="J9104">
        <v>0.99673202614379097</v>
      </c>
      <c r="K9104">
        <v>1</v>
      </c>
      <c r="L9104">
        <v>0.99836333878887096</v>
      </c>
      <c r="M9104">
        <v>0.99673202614379097</v>
      </c>
      <c r="N9104">
        <v>0.99673202614379097</v>
      </c>
      <c r="O9104">
        <v>0.99673202614379097</v>
      </c>
      <c r="P9104" t="s">
        <v>6464</v>
      </c>
      <c r="Q9104" t="s">
        <v>6465</v>
      </c>
      <c r="R9104" t="s">
        <v>319</v>
      </c>
      <c r="S9104" t="s">
        <v>320</v>
      </c>
      <c r="V9104" t="s">
        <v>16923</v>
      </c>
      <c r="W9104" t="s">
        <v>16924</v>
      </c>
      <c r="AF9104" t="s">
        <v>18470</v>
      </c>
    </row>
    <row r="9105" spans="1:32" hidden="1" x14ac:dyDescent="0.35">
      <c r="A9105">
        <v>9104</v>
      </c>
      <c r="B9105" t="s">
        <v>18469</v>
      </c>
      <c r="C9105" t="s">
        <v>277</v>
      </c>
      <c r="D9105" t="s">
        <v>45</v>
      </c>
      <c r="E9105">
        <v>603</v>
      </c>
      <c r="F9105">
        <v>2</v>
      </c>
      <c r="G9105">
        <v>2</v>
      </c>
      <c r="H9105">
        <v>1</v>
      </c>
      <c r="I9105">
        <v>0</v>
      </c>
      <c r="J9105">
        <v>0.99673202614379097</v>
      </c>
      <c r="K9105">
        <v>1</v>
      </c>
      <c r="L9105">
        <v>0.99836333878887096</v>
      </c>
      <c r="M9105">
        <v>0.99673202614379097</v>
      </c>
      <c r="N9105">
        <v>0.99673202614379097</v>
      </c>
      <c r="O9105">
        <v>0.99673202614379097</v>
      </c>
      <c r="P9105" t="s">
        <v>6464</v>
      </c>
      <c r="Q9105" t="s">
        <v>6465</v>
      </c>
      <c r="R9105" t="s">
        <v>319</v>
      </c>
      <c r="S9105" t="s">
        <v>320</v>
      </c>
      <c r="V9105" t="s">
        <v>16923</v>
      </c>
      <c r="W9105" t="s">
        <v>16924</v>
      </c>
      <c r="AF9105" t="s">
        <v>18471</v>
      </c>
    </row>
    <row r="9106" spans="1:32" hidden="1" x14ac:dyDescent="0.35">
      <c r="A9106">
        <v>9105</v>
      </c>
      <c r="B9106" t="s">
        <v>18472</v>
      </c>
      <c r="C9106" t="s">
        <v>277</v>
      </c>
      <c r="D9106" t="s">
        <v>60</v>
      </c>
      <c r="E9106">
        <v>240</v>
      </c>
      <c r="F9106">
        <v>2</v>
      </c>
      <c r="G9106">
        <v>2</v>
      </c>
      <c r="H9106">
        <v>1</v>
      </c>
      <c r="I9106">
        <v>0</v>
      </c>
      <c r="J9106">
        <v>0.984615384615385</v>
      </c>
      <c r="K9106">
        <v>1</v>
      </c>
      <c r="L9106">
        <v>0.99224806201550397</v>
      </c>
      <c r="M9106">
        <v>0.984615384615385</v>
      </c>
      <c r="N9106">
        <v>0.984615384615385</v>
      </c>
      <c r="O9106">
        <v>0.984615384615385</v>
      </c>
      <c r="AF9106" t="s">
        <v>18473</v>
      </c>
    </row>
    <row r="9107" spans="1:32" hidden="1" x14ac:dyDescent="0.35">
      <c r="A9107">
        <v>9106</v>
      </c>
      <c r="B9107" t="s">
        <v>18472</v>
      </c>
      <c r="C9107" t="s">
        <v>277</v>
      </c>
      <c r="D9107" t="s">
        <v>62</v>
      </c>
      <c r="E9107">
        <v>317</v>
      </c>
      <c r="F9107">
        <v>2</v>
      </c>
      <c r="G9107">
        <v>2</v>
      </c>
      <c r="H9107">
        <v>1</v>
      </c>
      <c r="I9107">
        <v>0</v>
      </c>
      <c r="J9107">
        <v>0.984615384615385</v>
      </c>
      <c r="K9107">
        <v>1</v>
      </c>
      <c r="L9107">
        <v>0.99224806201550397</v>
      </c>
      <c r="M9107">
        <v>0.984615384615385</v>
      </c>
      <c r="N9107">
        <v>0.984615384615385</v>
      </c>
      <c r="O9107">
        <v>0.984615384615385</v>
      </c>
      <c r="AF9107" t="s">
        <v>18474</v>
      </c>
    </row>
    <row r="9108" spans="1:32" hidden="1" x14ac:dyDescent="0.35">
      <c r="A9108">
        <v>9107</v>
      </c>
      <c r="B9108" t="s">
        <v>18475</v>
      </c>
      <c r="C9108" t="s">
        <v>277</v>
      </c>
      <c r="D9108" t="s">
        <v>60</v>
      </c>
      <c r="E9108">
        <v>451</v>
      </c>
      <c r="F9108">
        <v>2</v>
      </c>
      <c r="G9108">
        <v>2</v>
      </c>
      <c r="H9108">
        <v>1</v>
      </c>
      <c r="I9108">
        <v>0</v>
      </c>
      <c r="J9108">
        <v>0.98125366139425896</v>
      </c>
      <c r="K9108">
        <v>1</v>
      </c>
      <c r="L9108">
        <v>0.99053814311058497</v>
      </c>
      <c r="M9108">
        <v>0.97891036906854101</v>
      </c>
      <c r="N9108">
        <v>0.97891036906854101</v>
      </c>
      <c r="O9108">
        <v>0.97891036906854101</v>
      </c>
      <c r="AF9108" t="s">
        <v>18476</v>
      </c>
    </row>
    <row r="9109" spans="1:32" hidden="1" x14ac:dyDescent="0.35">
      <c r="A9109">
        <v>9108</v>
      </c>
      <c r="B9109" t="s">
        <v>18475</v>
      </c>
      <c r="C9109" t="s">
        <v>277</v>
      </c>
      <c r="D9109" t="s">
        <v>62</v>
      </c>
      <c r="E9109">
        <v>532</v>
      </c>
      <c r="F9109">
        <v>2</v>
      </c>
      <c r="G9109">
        <v>2</v>
      </c>
      <c r="H9109">
        <v>1</v>
      </c>
      <c r="I9109">
        <v>0</v>
      </c>
      <c r="J9109">
        <v>0.98125366139425896</v>
      </c>
      <c r="K9109">
        <v>1</v>
      </c>
      <c r="L9109">
        <v>0.99053814311058497</v>
      </c>
      <c r="M9109">
        <v>0.97891036906854101</v>
      </c>
      <c r="N9109">
        <v>0.97891036906854101</v>
      </c>
      <c r="O9109">
        <v>0.97891036906854101</v>
      </c>
      <c r="AF9109" t="s">
        <v>18477</v>
      </c>
    </row>
    <row r="9110" spans="1:32" hidden="1" x14ac:dyDescent="0.35">
      <c r="A9110">
        <v>9109</v>
      </c>
      <c r="B9110" t="s">
        <v>18478</v>
      </c>
      <c r="C9110" t="s">
        <v>277</v>
      </c>
      <c r="D9110" t="s">
        <v>34</v>
      </c>
      <c r="E9110">
        <v>1445</v>
      </c>
      <c r="F9110">
        <v>2</v>
      </c>
      <c r="G9110">
        <v>2</v>
      </c>
      <c r="H9110">
        <v>1</v>
      </c>
      <c r="I9110">
        <v>0</v>
      </c>
      <c r="J9110">
        <v>0.98557692307692302</v>
      </c>
      <c r="K9110">
        <v>1</v>
      </c>
      <c r="L9110">
        <v>0.99273607748184001</v>
      </c>
      <c r="M9110">
        <v>0.96634615384615397</v>
      </c>
      <c r="N9110">
        <v>0.96634615384615397</v>
      </c>
      <c r="O9110">
        <v>0.96634615384615397</v>
      </c>
      <c r="AF9110" t="s">
        <v>18479</v>
      </c>
    </row>
    <row r="9111" spans="1:32" hidden="1" x14ac:dyDescent="0.35">
      <c r="A9111">
        <v>9110</v>
      </c>
      <c r="B9111" t="s">
        <v>18478</v>
      </c>
      <c r="C9111" t="s">
        <v>277</v>
      </c>
      <c r="D9111" t="s">
        <v>45</v>
      </c>
      <c r="E9111">
        <v>196</v>
      </c>
      <c r="F9111">
        <v>2</v>
      </c>
      <c r="G9111">
        <v>2</v>
      </c>
      <c r="H9111">
        <v>1</v>
      </c>
      <c r="I9111">
        <v>0</v>
      </c>
      <c r="J9111">
        <v>0.98557692307692302</v>
      </c>
      <c r="K9111">
        <v>1</v>
      </c>
      <c r="L9111">
        <v>0.99273607748184001</v>
      </c>
      <c r="M9111">
        <v>0.96634615384615397</v>
      </c>
      <c r="N9111">
        <v>0.96634615384615397</v>
      </c>
      <c r="O9111">
        <v>0.96634615384615397</v>
      </c>
      <c r="AF9111" t="s">
        <v>18480</v>
      </c>
    </row>
    <row r="9112" spans="1:32" s="1" customFormat="1" hidden="1" x14ac:dyDescent="0.35">
      <c r="A9112" s="1">
        <v>9111</v>
      </c>
      <c r="B9112" s="1" t="s">
        <v>18481</v>
      </c>
      <c r="C9112" s="1" t="s">
        <v>277</v>
      </c>
      <c r="D9112" s="1" t="s">
        <v>34</v>
      </c>
      <c r="E9112" s="1">
        <v>2498</v>
      </c>
      <c r="F9112" s="1">
        <v>2</v>
      </c>
      <c r="G9112" s="1">
        <v>2</v>
      </c>
      <c r="H9112" s="1">
        <v>1</v>
      </c>
      <c r="I9112" s="1">
        <v>0</v>
      </c>
      <c r="J9112" s="1">
        <v>0.97597597597597596</v>
      </c>
      <c r="K9112" s="1">
        <v>1</v>
      </c>
      <c r="L9112" s="1">
        <v>0.98784194528875402</v>
      </c>
      <c r="M9112" s="1">
        <v>0.963963963963964</v>
      </c>
      <c r="N9112" s="1">
        <v>0.963963963963964</v>
      </c>
      <c r="O9112" s="1">
        <v>0.963963963963964</v>
      </c>
      <c r="P9112" s="1" t="s">
        <v>18482</v>
      </c>
      <c r="Q9112" s="1" t="s">
        <v>18483</v>
      </c>
      <c r="R9112" s="1" t="s">
        <v>18484</v>
      </c>
      <c r="S9112" s="1" t="s">
        <v>18485</v>
      </c>
      <c r="T9112" s="1" t="s">
        <v>18486</v>
      </c>
      <c r="U9112" s="1" t="s">
        <v>18487</v>
      </c>
      <c r="V9112" s="1" t="s">
        <v>18488</v>
      </c>
      <c r="W9112" s="1" t="s">
        <v>18489</v>
      </c>
      <c r="AD9112" s="1" t="s">
        <v>166</v>
      </c>
      <c r="AE9112" s="1" t="s">
        <v>2843</v>
      </c>
      <c r="AF9112" s="1" t="s">
        <v>18490</v>
      </c>
    </row>
    <row r="9113" spans="1:32" s="1" customFormat="1" hidden="1" x14ac:dyDescent="0.35">
      <c r="A9113" s="1">
        <v>9112</v>
      </c>
      <c r="B9113" s="1" t="s">
        <v>18481</v>
      </c>
      <c r="C9113" s="1" t="s">
        <v>277</v>
      </c>
      <c r="D9113" s="1" t="s">
        <v>45</v>
      </c>
      <c r="E9113" s="1">
        <v>403</v>
      </c>
      <c r="F9113" s="1">
        <v>2</v>
      </c>
      <c r="G9113" s="1">
        <v>2</v>
      </c>
      <c r="H9113" s="1">
        <v>1</v>
      </c>
      <c r="I9113" s="1">
        <v>0</v>
      </c>
      <c r="J9113" s="1">
        <v>0.97597597597597596</v>
      </c>
      <c r="K9113" s="1">
        <v>1</v>
      </c>
      <c r="L9113" s="1">
        <v>0.98784194528875402</v>
      </c>
      <c r="M9113" s="1">
        <v>0.963963963963964</v>
      </c>
      <c r="N9113" s="1">
        <v>0.963963963963964</v>
      </c>
      <c r="O9113" s="1">
        <v>0.963963963963964</v>
      </c>
      <c r="P9113" s="1" t="s">
        <v>18482</v>
      </c>
      <c r="Q9113" s="1" t="s">
        <v>18483</v>
      </c>
      <c r="R9113" s="1" t="s">
        <v>18484</v>
      </c>
      <c r="S9113" s="1" t="s">
        <v>18485</v>
      </c>
      <c r="T9113" s="1" t="s">
        <v>18486</v>
      </c>
      <c r="U9113" s="1" t="s">
        <v>18487</v>
      </c>
      <c r="V9113" s="1" t="s">
        <v>18488</v>
      </c>
      <c r="W9113" s="1" t="s">
        <v>18489</v>
      </c>
      <c r="AD9113" s="1" t="s">
        <v>166</v>
      </c>
      <c r="AE9113" s="1" t="s">
        <v>2843</v>
      </c>
      <c r="AF9113" s="1" t="s">
        <v>18491</v>
      </c>
    </row>
    <row r="9114" spans="1:32" hidden="1" x14ac:dyDescent="0.35">
      <c r="A9114">
        <v>9113</v>
      </c>
      <c r="B9114" t="s">
        <v>18492</v>
      </c>
      <c r="C9114" t="s">
        <v>277</v>
      </c>
      <c r="D9114" t="s">
        <v>60</v>
      </c>
      <c r="E9114">
        <v>1882</v>
      </c>
      <c r="F9114">
        <v>2</v>
      </c>
      <c r="G9114">
        <v>2</v>
      </c>
      <c r="H9114">
        <v>1</v>
      </c>
      <c r="I9114">
        <v>0</v>
      </c>
      <c r="J9114">
        <v>0.98302469135802495</v>
      </c>
      <c r="K9114">
        <v>1</v>
      </c>
      <c r="L9114">
        <v>0.991439688715953</v>
      </c>
      <c r="M9114">
        <v>0.97685185185185197</v>
      </c>
      <c r="N9114">
        <v>0.97685185185185197</v>
      </c>
      <c r="O9114">
        <v>0.97685185185185197</v>
      </c>
      <c r="P9114" t="s">
        <v>14476</v>
      </c>
      <c r="Q9114" t="s">
        <v>14477</v>
      </c>
      <c r="R9114" t="s">
        <v>157</v>
      </c>
      <c r="S9114" t="s">
        <v>158</v>
      </c>
      <c r="V9114" t="s">
        <v>14478</v>
      </c>
      <c r="W9114" t="s">
        <v>14479</v>
      </c>
      <c r="AF9114" t="s">
        <v>18493</v>
      </c>
    </row>
    <row r="9115" spans="1:32" hidden="1" x14ac:dyDescent="0.35">
      <c r="A9115">
        <v>9114</v>
      </c>
      <c r="B9115" t="s">
        <v>18492</v>
      </c>
      <c r="C9115" t="s">
        <v>277</v>
      </c>
      <c r="D9115" t="s">
        <v>62</v>
      </c>
      <c r="E9115">
        <v>1921</v>
      </c>
      <c r="F9115">
        <v>2</v>
      </c>
      <c r="G9115">
        <v>2</v>
      </c>
      <c r="H9115">
        <v>1</v>
      </c>
      <c r="I9115">
        <v>0</v>
      </c>
      <c r="J9115">
        <v>0.98302469135802495</v>
      </c>
      <c r="K9115">
        <v>1</v>
      </c>
      <c r="L9115">
        <v>0.991439688715953</v>
      </c>
      <c r="M9115">
        <v>0.97685185185185197</v>
      </c>
      <c r="N9115">
        <v>0.97685185185185197</v>
      </c>
      <c r="O9115">
        <v>0.97685185185185197</v>
      </c>
      <c r="P9115" t="s">
        <v>14476</v>
      </c>
      <c r="Q9115" t="s">
        <v>14477</v>
      </c>
      <c r="R9115" t="s">
        <v>157</v>
      </c>
      <c r="S9115" t="s">
        <v>158</v>
      </c>
      <c r="V9115" t="s">
        <v>14478</v>
      </c>
      <c r="W9115" t="s">
        <v>14479</v>
      </c>
      <c r="AF9115" t="s">
        <v>18494</v>
      </c>
    </row>
    <row r="9116" spans="1:32" hidden="1" x14ac:dyDescent="0.35">
      <c r="A9116">
        <v>9115</v>
      </c>
      <c r="B9116" t="s">
        <v>18495</v>
      </c>
      <c r="C9116" t="s">
        <v>277</v>
      </c>
      <c r="D9116" t="s">
        <v>34</v>
      </c>
      <c r="E9116">
        <v>1388</v>
      </c>
      <c r="F9116">
        <v>2</v>
      </c>
      <c r="G9116">
        <v>2</v>
      </c>
      <c r="H9116">
        <v>1</v>
      </c>
      <c r="I9116">
        <v>0</v>
      </c>
      <c r="J9116">
        <v>0.97453703703703698</v>
      </c>
      <c r="K9116">
        <v>0.91203130615341699</v>
      </c>
      <c r="L9116">
        <v>0.94224870250994397</v>
      </c>
      <c r="M9116">
        <v>0.88328075709779197</v>
      </c>
      <c r="N9116">
        <v>0.88328075709779197</v>
      </c>
      <c r="O9116">
        <v>0.88328075709779197</v>
      </c>
      <c r="P9116" t="s">
        <v>13950</v>
      </c>
      <c r="Q9116" t="s">
        <v>13951</v>
      </c>
      <c r="R9116" t="s">
        <v>371</v>
      </c>
      <c r="S9116" t="s">
        <v>372</v>
      </c>
      <c r="V9116" t="s">
        <v>13952</v>
      </c>
      <c r="W9116" t="s">
        <v>13953</v>
      </c>
      <c r="AF9116" t="s">
        <v>18496</v>
      </c>
    </row>
    <row r="9117" spans="1:32" hidden="1" x14ac:dyDescent="0.35">
      <c r="A9117">
        <v>9116</v>
      </c>
      <c r="B9117" t="s">
        <v>18495</v>
      </c>
      <c r="C9117" t="s">
        <v>277</v>
      </c>
      <c r="D9117" t="s">
        <v>45</v>
      </c>
      <c r="E9117">
        <v>138</v>
      </c>
      <c r="F9117">
        <v>2</v>
      </c>
      <c r="G9117">
        <v>2</v>
      </c>
      <c r="H9117">
        <v>1</v>
      </c>
      <c r="I9117">
        <v>0</v>
      </c>
      <c r="J9117">
        <v>0.97453703703703698</v>
      </c>
      <c r="K9117">
        <v>0.91203130615341699</v>
      </c>
      <c r="L9117">
        <v>0.94224870250994397</v>
      </c>
      <c r="M9117">
        <v>0.88328075709779197</v>
      </c>
      <c r="N9117">
        <v>0.88328075709779197</v>
      </c>
      <c r="O9117">
        <v>0.88328075709779197</v>
      </c>
      <c r="P9117" t="s">
        <v>13950</v>
      </c>
      <c r="Q9117" t="s">
        <v>13951</v>
      </c>
      <c r="R9117" t="s">
        <v>371</v>
      </c>
      <c r="S9117" t="s">
        <v>372</v>
      </c>
      <c r="V9117" t="s">
        <v>13952</v>
      </c>
      <c r="W9117" t="s">
        <v>13953</v>
      </c>
      <c r="AF9117" t="s">
        <v>18497</v>
      </c>
    </row>
    <row r="9118" spans="1:32" hidden="1" x14ac:dyDescent="0.35">
      <c r="A9118">
        <v>9117</v>
      </c>
      <c r="B9118" t="s">
        <v>18498</v>
      </c>
      <c r="C9118" t="s">
        <v>277</v>
      </c>
      <c r="D9118" t="s">
        <v>60</v>
      </c>
      <c r="E9118">
        <v>924</v>
      </c>
      <c r="F9118">
        <v>2</v>
      </c>
      <c r="G9118">
        <v>2</v>
      </c>
      <c r="H9118">
        <v>1</v>
      </c>
      <c r="I9118">
        <v>0</v>
      </c>
      <c r="J9118">
        <v>0.99587750294464095</v>
      </c>
      <c r="K9118">
        <v>1</v>
      </c>
      <c r="L9118">
        <v>0.99793449395101796</v>
      </c>
      <c r="M9118">
        <v>0.99469964664310995</v>
      </c>
      <c r="N9118">
        <v>0.99469964664310995</v>
      </c>
      <c r="O9118">
        <v>0.99469964664310995</v>
      </c>
      <c r="P9118" t="s">
        <v>433</v>
      </c>
      <c r="Q9118" t="s">
        <v>434</v>
      </c>
      <c r="R9118" t="s">
        <v>235</v>
      </c>
      <c r="S9118" t="s">
        <v>236</v>
      </c>
      <c r="V9118" t="s">
        <v>437</v>
      </c>
      <c r="W9118" t="s">
        <v>438</v>
      </c>
      <c r="AF9118" t="s">
        <v>18499</v>
      </c>
    </row>
    <row r="9119" spans="1:32" hidden="1" x14ac:dyDescent="0.35">
      <c r="A9119">
        <v>9118</v>
      </c>
      <c r="B9119" t="s">
        <v>18498</v>
      </c>
      <c r="C9119" t="s">
        <v>277</v>
      </c>
      <c r="D9119" t="s">
        <v>62</v>
      </c>
      <c r="E9119">
        <v>960</v>
      </c>
      <c r="F9119">
        <v>2</v>
      </c>
      <c r="G9119">
        <v>2</v>
      </c>
      <c r="H9119">
        <v>1</v>
      </c>
      <c r="I9119">
        <v>0</v>
      </c>
      <c r="J9119">
        <v>0.99587750294464095</v>
      </c>
      <c r="K9119">
        <v>1</v>
      </c>
      <c r="L9119">
        <v>0.99793449395101796</v>
      </c>
      <c r="M9119">
        <v>0.99469964664310995</v>
      </c>
      <c r="N9119">
        <v>0.99469964664310995</v>
      </c>
      <c r="O9119">
        <v>0.99469964664310995</v>
      </c>
      <c r="P9119" t="s">
        <v>433</v>
      </c>
      <c r="Q9119" t="s">
        <v>434</v>
      </c>
      <c r="R9119" t="s">
        <v>235</v>
      </c>
      <c r="S9119" t="s">
        <v>236</v>
      </c>
      <c r="V9119" t="s">
        <v>437</v>
      </c>
      <c r="W9119" t="s">
        <v>438</v>
      </c>
      <c r="AF9119" t="s">
        <v>18500</v>
      </c>
    </row>
    <row r="9120" spans="1:32" hidden="1" x14ac:dyDescent="0.35">
      <c r="A9120">
        <v>9119</v>
      </c>
      <c r="B9120" t="s">
        <v>18501</v>
      </c>
      <c r="C9120" t="s">
        <v>277</v>
      </c>
      <c r="D9120" t="s">
        <v>34</v>
      </c>
      <c r="E9120">
        <v>948</v>
      </c>
      <c r="F9120">
        <v>2</v>
      </c>
      <c r="G9120">
        <v>2</v>
      </c>
      <c r="H9120">
        <v>1</v>
      </c>
      <c r="I9120">
        <v>0</v>
      </c>
      <c r="J9120">
        <v>0.99362041467304596</v>
      </c>
      <c r="K9120">
        <v>1</v>
      </c>
      <c r="L9120">
        <v>0.99680000000000002</v>
      </c>
      <c r="M9120">
        <v>0.99043062200956899</v>
      </c>
      <c r="N9120">
        <v>0.99043062200956899</v>
      </c>
      <c r="O9120">
        <v>0.99043062200956899</v>
      </c>
      <c r="P9120" t="s">
        <v>11398</v>
      </c>
      <c r="Q9120" t="s">
        <v>11399</v>
      </c>
      <c r="AF9120" t="s">
        <v>18502</v>
      </c>
    </row>
    <row r="9121" spans="1:32" hidden="1" x14ac:dyDescent="0.35">
      <c r="A9121">
        <v>9120</v>
      </c>
      <c r="B9121" t="s">
        <v>18501</v>
      </c>
      <c r="C9121" t="s">
        <v>277</v>
      </c>
      <c r="D9121" t="s">
        <v>45</v>
      </c>
      <c r="E9121">
        <v>2205</v>
      </c>
      <c r="F9121">
        <v>2</v>
      </c>
      <c r="G9121">
        <v>2</v>
      </c>
      <c r="H9121">
        <v>1</v>
      </c>
      <c r="I9121">
        <v>0</v>
      </c>
      <c r="J9121">
        <v>0.99362041467304596</v>
      </c>
      <c r="K9121">
        <v>1</v>
      </c>
      <c r="L9121">
        <v>0.99680000000000002</v>
      </c>
      <c r="M9121">
        <v>0.99043062200956899</v>
      </c>
      <c r="N9121">
        <v>0.99043062200956899</v>
      </c>
      <c r="O9121">
        <v>0.99043062200956899</v>
      </c>
      <c r="P9121" t="s">
        <v>11398</v>
      </c>
      <c r="Q9121" t="s">
        <v>11399</v>
      </c>
      <c r="AF9121" t="s">
        <v>18503</v>
      </c>
    </row>
    <row r="9122" spans="1:32" hidden="1" x14ac:dyDescent="0.35">
      <c r="A9122">
        <v>9121</v>
      </c>
      <c r="B9122" t="s">
        <v>18504</v>
      </c>
      <c r="C9122" t="s">
        <v>277</v>
      </c>
      <c r="D9122" t="s">
        <v>60</v>
      </c>
      <c r="E9122">
        <v>828</v>
      </c>
      <c r="F9122">
        <v>2</v>
      </c>
      <c r="G9122">
        <v>2</v>
      </c>
      <c r="H9122">
        <v>1</v>
      </c>
      <c r="I9122">
        <v>0</v>
      </c>
      <c r="J9122">
        <v>0.99421965317919103</v>
      </c>
      <c r="K9122">
        <v>1</v>
      </c>
      <c r="L9122">
        <v>0.99710144927536204</v>
      </c>
      <c r="M9122">
        <v>0.99421965317919103</v>
      </c>
      <c r="N9122">
        <v>0.99421965317919103</v>
      </c>
      <c r="O9122">
        <v>0.99421965317919103</v>
      </c>
      <c r="AF9122" t="s">
        <v>18505</v>
      </c>
    </row>
    <row r="9123" spans="1:32" hidden="1" x14ac:dyDescent="0.35">
      <c r="A9123">
        <v>9122</v>
      </c>
      <c r="B9123" t="s">
        <v>18504</v>
      </c>
      <c r="C9123" t="s">
        <v>277</v>
      </c>
      <c r="D9123" t="s">
        <v>62</v>
      </c>
      <c r="E9123">
        <v>861</v>
      </c>
      <c r="F9123">
        <v>2</v>
      </c>
      <c r="G9123">
        <v>2</v>
      </c>
      <c r="H9123">
        <v>1</v>
      </c>
      <c r="I9123">
        <v>0</v>
      </c>
      <c r="J9123">
        <v>0.99421965317919103</v>
      </c>
      <c r="K9123">
        <v>1</v>
      </c>
      <c r="L9123">
        <v>0.99710144927536204</v>
      </c>
      <c r="M9123">
        <v>0.99421965317919103</v>
      </c>
      <c r="N9123">
        <v>0.99421965317919103</v>
      </c>
      <c r="O9123">
        <v>0.99421965317919103</v>
      </c>
      <c r="AF9123" t="s">
        <v>18506</v>
      </c>
    </row>
    <row r="9124" spans="1:32" hidden="1" x14ac:dyDescent="0.35">
      <c r="A9124">
        <v>9123</v>
      </c>
      <c r="B9124" t="s">
        <v>18507</v>
      </c>
      <c r="C9124" t="s">
        <v>277</v>
      </c>
      <c r="D9124" t="s">
        <v>60</v>
      </c>
      <c r="E9124">
        <v>1508</v>
      </c>
      <c r="F9124">
        <v>2</v>
      </c>
      <c r="G9124">
        <v>2</v>
      </c>
      <c r="H9124">
        <v>1</v>
      </c>
      <c r="I9124">
        <v>0</v>
      </c>
      <c r="J9124">
        <v>0.99453551912568305</v>
      </c>
      <c r="K9124">
        <v>1</v>
      </c>
      <c r="L9124">
        <v>0.99726027397260297</v>
      </c>
      <c r="M9124">
        <v>0.99453551912568305</v>
      </c>
      <c r="N9124">
        <v>0.99453551912568305</v>
      </c>
      <c r="O9124">
        <v>0.99453551912568305</v>
      </c>
      <c r="P9124" t="s">
        <v>18508</v>
      </c>
      <c r="Q9124" t="s">
        <v>18509</v>
      </c>
      <c r="R9124" t="s">
        <v>869</v>
      </c>
      <c r="S9124" t="s">
        <v>870</v>
      </c>
      <c r="T9124" t="s">
        <v>18510</v>
      </c>
      <c r="U9124" t="s">
        <v>18511</v>
      </c>
      <c r="V9124" t="s">
        <v>18512</v>
      </c>
      <c r="W9124" t="s">
        <v>18513</v>
      </c>
      <c r="X9124" t="s">
        <v>18512</v>
      </c>
      <c r="Y9124" t="s">
        <v>4240</v>
      </c>
      <c r="AD9124" t="s">
        <v>219</v>
      </c>
      <c r="AE9124" t="s">
        <v>18514</v>
      </c>
      <c r="AF9124" t="s">
        <v>18515</v>
      </c>
    </row>
    <row r="9125" spans="1:32" hidden="1" x14ac:dyDescent="0.35">
      <c r="A9125">
        <v>9124</v>
      </c>
      <c r="B9125" t="s">
        <v>18507</v>
      </c>
      <c r="C9125" t="s">
        <v>277</v>
      </c>
      <c r="D9125" t="s">
        <v>62</v>
      </c>
      <c r="E9125">
        <v>1543</v>
      </c>
      <c r="F9125">
        <v>2</v>
      </c>
      <c r="G9125">
        <v>2</v>
      </c>
      <c r="H9125">
        <v>1</v>
      </c>
      <c r="I9125">
        <v>0</v>
      </c>
      <c r="J9125">
        <v>0.99453551912568305</v>
      </c>
      <c r="K9125">
        <v>1</v>
      </c>
      <c r="L9125">
        <v>0.99726027397260297</v>
      </c>
      <c r="M9125">
        <v>0.99453551912568305</v>
      </c>
      <c r="N9125">
        <v>0.99453551912568305</v>
      </c>
      <c r="O9125">
        <v>0.99453551912568305</v>
      </c>
      <c r="P9125" t="s">
        <v>18508</v>
      </c>
      <c r="Q9125" t="s">
        <v>18509</v>
      </c>
      <c r="R9125" t="s">
        <v>869</v>
      </c>
      <c r="S9125" t="s">
        <v>870</v>
      </c>
      <c r="T9125" t="s">
        <v>18510</v>
      </c>
      <c r="U9125" t="s">
        <v>18511</v>
      </c>
      <c r="V9125" t="s">
        <v>18512</v>
      </c>
      <c r="W9125" t="s">
        <v>18513</v>
      </c>
      <c r="X9125" t="s">
        <v>18512</v>
      </c>
      <c r="Y9125" t="s">
        <v>4240</v>
      </c>
      <c r="AD9125" t="s">
        <v>219</v>
      </c>
      <c r="AE9125" t="s">
        <v>18514</v>
      </c>
      <c r="AF9125" t="s">
        <v>18516</v>
      </c>
    </row>
    <row r="9126" spans="1:32" hidden="1" x14ac:dyDescent="0.35">
      <c r="A9126">
        <v>9125</v>
      </c>
      <c r="B9126" t="s">
        <v>18517</v>
      </c>
      <c r="C9126" t="s">
        <v>277</v>
      </c>
      <c r="D9126" t="s">
        <v>60</v>
      </c>
      <c r="E9126">
        <v>1522</v>
      </c>
      <c r="F9126">
        <v>2</v>
      </c>
      <c r="G9126">
        <v>2</v>
      </c>
      <c r="H9126">
        <v>1</v>
      </c>
      <c r="I9126">
        <v>0</v>
      </c>
      <c r="J9126">
        <v>0.99620493358633799</v>
      </c>
      <c r="K9126">
        <v>1</v>
      </c>
      <c r="L9126">
        <v>0.99809885931558895</v>
      </c>
      <c r="M9126">
        <v>0.99620493358633799</v>
      </c>
      <c r="N9126">
        <v>0.99620493358633799</v>
      </c>
      <c r="O9126">
        <v>0.99620493358633799</v>
      </c>
      <c r="P9126" t="s">
        <v>4358</v>
      </c>
      <c r="Q9126" t="s">
        <v>4359</v>
      </c>
      <c r="R9126" t="s">
        <v>4917</v>
      </c>
      <c r="S9126" t="s">
        <v>4918</v>
      </c>
      <c r="V9126" t="s">
        <v>4919</v>
      </c>
      <c r="W9126" t="s">
        <v>4920</v>
      </c>
      <c r="AF9126" t="s">
        <v>18518</v>
      </c>
    </row>
    <row r="9127" spans="1:32" hidden="1" x14ac:dyDescent="0.35">
      <c r="A9127">
        <v>9126</v>
      </c>
      <c r="B9127" t="s">
        <v>18517</v>
      </c>
      <c r="C9127" t="s">
        <v>277</v>
      </c>
      <c r="D9127" t="s">
        <v>62</v>
      </c>
      <c r="E9127">
        <v>1557</v>
      </c>
      <c r="F9127">
        <v>2</v>
      </c>
      <c r="G9127">
        <v>2</v>
      </c>
      <c r="H9127">
        <v>1</v>
      </c>
      <c r="I9127">
        <v>0</v>
      </c>
      <c r="J9127">
        <v>0.99620493358633799</v>
      </c>
      <c r="K9127">
        <v>1</v>
      </c>
      <c r="L9127">
        <v>0.99809885931558895</v>
      </c>
      <c r="M9127">
        <v>0.99620493358633799</v>
      </c>
      <c r="N9127">
        <v>0.99620493358633799</v>
      </c>
      <c r="O9127">
        <v>0.99620493358633799</v>
      </c>
      <c r="P9127" t="s">
        <v>4358</v>
      </c>
      <c r="Q9127" t="s">
        <v>4359</v>
      </c>
      <c r="R9127" t="s">
        <v>4917</v>
      </c>
      <c r="S9127" t="s">
        <v>4918</v>
      </c>
      <c r="V9127" t="s">
        <v>4919</v>
      </c>
      <c r="W9127" t="s">
        <v>4920</v>
      </c>
      <c r="AF9127" t="s">
        <v>18519</v>
      </c>
    </row>
    <row r="9128" spans="1:32" hidden="1" x14ac:dyDescent="0.35">
      <c r="A9128">
        <v>9127</v>
      </c>
      <c r="B9128" t="s">
        <v>18520</v>
      </c>
      <c r="C9128" t="s">
        <v>277</v>
      </c>
      <c r="D9128" t="s">
        <v>34</v>
      </c>
      <c r="E9128">
        <v>977</v>
      </c>
      <c r="F9128">
        <v>2</v>
      </c>
      <c r="G9128">
        <v>2</v>
      </c>
      <c r="H9128">
        <v>1</v>
      </c>
      <c r="I9128">
        <v>0</v>
      </c>
      <c r="J9128">
        <v>1</v>
      </c>
      <c r="K9128">
        <v>0.98969072164948502</v>
      </c>
      <c r="L9128">
        <v>0.99481865284974103</v>
      </c>
      <c r="M9128">
        <v>0.98969072164948502</v>
      </c>
      <c r="N9128">
        <v>0.98969072164948502</v>
      </c>
      <c r="O9128">
        <v>0.98969072164948502</v>
      </c>
      <c r="P9128" t="s">
        <v>11420</v>
      </c>
      <c r="Q9128" t="s">
        <v>11421</v>
      </c>
      <c r="R9128" t="s">
        <v>113</v>
      </c>
      <c r="S9128" t="s">
        <v>114</v>
      </c>
      <c r="V9128" t="s">
        <v>18521</v>
      </c>
      <c r="W9128" t="s">
        <v>18522</v>
      </c>
      <c r="AF9128" t="s">
        <v>18523</v>
      </c>
    </row>
    <row r="9129" spans="1:32" hidden="1" x14ac:dyDescent="0.35">
      <c r="A9129">
        <v>9128</v>
      </c>
      <c r="B9129" t="s">
        <v>18520</v>
      </c>
      <c r="C9129" t="s">
        <v>277</v>
      </c>
      <c r="D9129" t="s">
        <v>45</v>
      </c>
      <c r="E9129">
        <v>2232</v>
      </c>
      <c r="F9129">
        <v>2</v>
      </c>
      <c r="G9129">
        <v>2</v>
      </c>
      <c r="H9129">
        <v>1</v>
      </c>
      <c r="I9129">
        <v>0</v>
      </c>
      <c r="J9129">
        <v>1</v>
      </c>
      <c r="K9129">
        <v>0.98969072164948502</v>
      </c>
      <c r="L9129">
        <v>0.99481865284974103</v>
      </c>
      <c r="M9129">
        <v>0.98969072164948502</v>
      </c>
      <c r="N9129">
        <v>0.98969072164948502</v>
      </c>
      <c r="O9129">
        <v>0.98969072164948502</v>
      </c>
      <c r="P9129" t="s">
        <v>11420</v>
      </c>
      <c r="Q9129" t="s">
        <v>11421</v>
      </c>
      <c r="R9129" t="s">
        <v>113</v>
      </c>
      <c r="S9129" t="s">
        <v>114</v>
      </c>
      <c r="V9129" t="s">
        <v>18521</v>
      </c>
      <c r="W9129" t="s">
        <v>18522</v>
      </c>
      <c r="AF9129" t="e">
        <f>-MIELDDLTERVLALCDSIPQGQVASYGDVGAACGTTPRVVGRIMATHGQLTCWWRVVRSDGTSAVADQAVAHWDAENIPHLGLRVTIRECRAQLKC</f>
        <v>#NAME?</v>
      </c>
    </row>
    <row r="9130" spans="1:32" hidden="1" x14ac:dyDescent="0.35">
      <c r="A9130">
        <v>9129</v>
      </c>
      <c r="B9130" t="s">
        <v>18524</v>
      </c>
      <c r="C9130" t="s">
        <v>277</v>
      </c>
      <c r="D9130" t="s">
        <v>60</v>
      </c>
      <c r="E9130">
        <v>2120</v>
      </c>
      <c r="F9130">
        <v>2</v>
      </c>
      <c r="G9130">
        <v>2</v>
      </c>
      <c r="H9130">
        <v>1</v>
      </c>
      <c r="I9130">
        <v>0</v>
      </c>
      <c r="J9130">
        <v>0.95950155763239897</v>
      </c>
      <c r="K9130">
        <v>1</v>
      </c>
      <c r="L9130">
        <v>0.97933227344992002</v>
      </c>
      <c r="M9130">
        <v>0.94392523364486003</v>
      </c>
      <c r="N9130">
        <v>0.94392523364486003</v>
      </c>
      <c r="O9130">
        <v>0.94392523364486003</v>
      </c>
      <c r="P9130" t="s">
        <v>15377</v>
      </c>
      <c r="Q9130" t="s">
        <v>10223</v>
      </c>
      <c r="R9130" t="s">
        <v>224</v>
      </c>
      <c r="S9130" t="s">
        <v>225</v>
      </c>
      <c r="T9130" t="s">
        <v>18525</v>
      </c>
      <c r="U9130" t="s">
        <v>18526</v>
      </c>
      <c r="V9130" t="s">
        <v>8738</v>
      </c>
      <c r="W9130" t="s">
        <v>8739</v>
      </c>
      <c r="Z9130" t="s">
        <v>18527</v>
      </c>
      <c r="AA9130" t="s">
        <v>18528</v>
      </c>
      <c r="AB9130" t="s">
        <v>18527</v>
      </c>
      <c r="AC9130" t="s">
        <v>244</v>
      </c>
      <c r="AD9130" t="s">
        <v>219</v>
      </c>
      <c r="AE9130" t="s">
        <v>18529</v>
      </c>
      <c r="AF9130" t="s">
        <v>18530</v>
      </c>
    </row>
    <row r="9131" spans="1:32" hidden="1" x14ac:dyDescent="0.35">
      <c r="A9131">
        <v>9130</v>
      </c>
      <c r="B9131" t="s">
        <v>18524</v>
      </c>
      <c r="C9131" t="s">
        <v>277</v>
      </c>
      <c r="D9131" t="s">
        <v>62</v>
      </c>
      <c r="E9131">
        <v>2154</v>
      </c>
      <c r="F9131">
        <v>2</v>
      </c>
      <c r="G9131">
        <v>2</v>
      </c>
      <c r="H9131">
        <v>1</v>
      </c>
      <c r="I9131">
        <v>0</v>
      </c>
      <c r="J9131">
        <v>0.95950155763239897</v>
      </c>
      <c r="K9131">
        <v>1</v>
      </c>
      <c r="L9131">
        <v>0.97933227344992002</v>
      </c>
      <c r="M9131">
        <v>0.94392523364486003</v>
      </c>
      <c r="N9131">
        <v>0.94392523364486003</v>
      </c>
      <c r="O9131">
        <v>0.94392523364486003</v>
      </c>
      <c r="P9131" t="s">
        <v>15377</v>
      </c>
      <c r="Q9131" t="s">
        <v>10223</v>
      </c>
      <c r="R9131" t="s">
        <v>224</v>
      </c>
      <c r="S9131" t="s">
        <v>225</v>
      </c>
      <c r="T9131" t="s">
        <v>18525</v>
      </c>
      <c r="U9131" t="s">
        <v>18526</v>
      </c>
      <c r="V9131" t="s">
        <v>8738</v>
      </c>
      <c r="W9131" t="s">
        <v>8739</v>
      </c>
      <c r="Z9131" t="s">
        <v>18527</v>
      </c>
      <c r="AA9131" t="s">
        <v>18528</v>
      </c>
      <c r="AB9131" t="s">
        <v>18527</v>
      </c>
      <c r="AC9131" t="s">
        <v>244</v>
      </c>
      <c r="AD9131" t="s">
        <v>219</v>
      </c>
      <c r="AE9131" t="s">
        <v>18529</v>
      </c>
      <c r="AF9131" t="s">
        <v>18531</v>
      </c>
    </row>
    <row r="9132" spans="1:32" hidden="1" x14ac:dyDescent="0.35">
      <c r="A9132">
        <v>9131</v>
      </c>
      <c r="B9132" t="s">
        <v>18532</v>
      </c>
      <c r="C9132" t="s">
        <v>277</v>
      </c>
      <c r="D9132" t="s">
        <v>58</v>
      </c>
      <c r="E9132">
        <v>502</v>
      </c>
      <c r="F9132">
        <v>2</v>
      </c>
      <c r="G9132">
        <v>2</v>
      </c>
      <c r="H9132">
        <v>1</v>
      </c>
      <c r="I9132">
        <v>0</v>
      </c>
      <c r="J9132">
        <v>0.63350785340314097</v>
      </c>
      <c r="K9132">
        <v>0.62937611408199601</v>
      </c>
      <c r="L9132">
        <v>0.631435224899216</v>
      </c>
      <c r="M9132">
        <v>0.274666666666667</v>
      </c>
      <c r="N9132">
        <v>0.274666666666667</v>
      </c>
      <c r="O9132">
        <v>0.274666666666667</v>
      </c>
      <c r="P9132" t="s">
        <v>18533</v>
      </c>
      <c r="Q9132" t="s">
        <v>18534</v>
      </c>
      <c r="R9132" t="s">
        <v>13853</v>
      </c>
      <c r="S9132" t="s">
        <v>13854</v>
      </c>
      <c r="T9132" t="s">
        <v>18535</v>
      </c>
      <c r="U9132" t="s">
        <v>18536</v>
      </c>
      <c r="V9132" t="s">
        <v>18537</v>
      </c>
      <c r="W9132" t="s">
        <v>18538</v>
      </c>
      <c r="AD9132" t="s">
        <v>7708</v>
      </c>
      <c r="AE9132" t="s">
        <v>18539</v>
      </c>
      <c r="AF9132" t="s">
        <v>18540</v>
      </c>
    </row>
    <row r="9133" spans="1:32" hidden="1" x14ac:dyDescent="0.35">
      <c r="A9133">
        <v>9132</v>
      </c>
      <c r="B9133" t="s">
        <v>18532</v>
      </c>
      <c r="C9133" t="s">
        <v>277</v>
      </c>
      <c r="D9133" t="s">
        <v>60</v>
      </c>
      <c r="E9133">
        <v>673</v>
      </c>
      <c r="F9133">
        <v>2</v>
      </c>
      <c r="G9133">
        <v>2</v>
      </c>
      <c r="H9133">
        <v>1</v>
      </c>
      <c r="I9133">
        <v>0</v>
      </c>
      <c r="J9133">
        <v>0.63350785340314097</v>
      </c>
      <c r="K9133">
        <v>0.62937611408199601</v>
      </c>
      <c r="L9133">
        <v>0.631435224899216</v>
      </c>
      <c r="M9133">
        <v>0.274666666666667</v>
      </c>
      <c r="N9133">
        <v>0.274666666666667</v>
      </c>
      <c r="O9133">
        <v>0.274666666666667</v>
      </c>
      <c r="P9133" t="s">
        <v>18533</v>
      </c>
      <c r="Q9133" t="s">
        <v>18534</v>
      </c>
      <c r="R9133" t="s">
        <v>13853</v>
      </c>
      <c r="S9133" t="s">
        <v>13854</v>
      </c>
      <c r="T9133" t="s">
        <v>18535</v>
      </c>
      <c r="U9133" t="s">
        <v>18536</v>
      </c>
      <c r="V9133" t="s">
        <v>18537</v>
      </c>
      <c r="W9133" t="s">
        <v>18538</v>
      </c>
      <c r="AD9133" t="s">
        <v>7708</v>
      </c>
      <c r="AE9133" t="s">
        <v>18539</v>
      </c>
      <c r="AF9133" t="e">
        <f>----------------------------MKTKNVNILVKAVGD---------------------------EGDTGD------------------------------------------------------------------------------------------QGVIEAYASVFGNRDSYGDVVMPGAFTETLQEWAESGNAIPLLYGHDFGDPFSNIGAVTSASEDEHGLKITASLDLDNAKAKQVYRLLKERRLTQMSFAYDIIDGGEGKLDDEWCFELRKLKLYEVSVVPIGANQETEVTSVKS-------------------------------FDDAEKKESTGR--NNYINSRLLILE------KE</f>
        <v>#NAME?</v>
      </c>
    </row>
    <row r="9134" spans="1:32" hidden="1" x14ac:dyDescent="0.35">
      <c r="A9134">
        <v>9133</v>
      </c>
      <c r="B9134" t="s">
        <v>18541</v>
      </c>
      <c r="C9134" t="s">
        <v>277</v>
      </c>
      <c r="D9134" t="s">
        <v>34</v>
      </c>
      <c r="E9134">
        <v>1870</v>
      </c>
      <c r="F9134">
        <v>2</v>
      </c>
      <c r="G9134">
        <v>2</v>
      </c>
      <c r="H9134">
        <v>1</v>
      </c>
      <c r="I9134">
        <v>0</v>
      </c>
      <c r="J9134">
        <v>0.98067632850241504</v>
      </c>
      <c r="K9134">
        <v>1</v>
      </c>
      <c r="L9134">
        <v>0.99024390243902405</v>
      </c>
      <c r="M9134">
        <v>0.97101449275362295</v>
      </c>
      <c r="N9134">
        <v>0.97101449275362295</v>
      </c>
      <c r="O9134">
        <v>0.97101449275362295</v>
      </c>
      <c r="P9134" t="s">
        <v>1486</v>
      </c>
      <c r="Q9134" t="s">
        <v>1487</v>
      </c>
      <c r="R9134" t="s">
        <v>113</v>
      </c>
      <c r="S9134" t="s">
        <v>114</v>
      </c>
      <c r="V9134" t="s">
        <v>1490</v>
      </c>
      <c r="W9134" t="s">
        <v>1491</v>
      </c>
      <c r="AF9134" t="s">
        <v>18542</v>
      </c>
    </row>
    <row r="9135" spans="1:32" hidden="1" x14ac:dyDescent="0.35">
      <c r="A9135">
        <v>9134</v>
      </c>
      <c r="B9135" t="s">
        <v>18541</v>
      </c>
      <c r="C9135" t="s">
        <v>277</v>
      </c>
      <c r="D9135" t="s">
        <v>45</v>
      </c>
      <c r="E9135">
        <v>1003</v>
      </c>
      <c r="F9135">
        <v>2</v>
      </c>
      <c r="G9135">
        <v>2</v>
      </c>
      <c r="H9135">
        <v>1</v>
      </c>
      <c r="I9135">
        <v>0</v>
      </c>
      <c r="J9135">
        <v>0.98067632850241504</v>
      </c>
      <c r="K9135">
        <v>1</v>
      </c>
      <c r="L9135">
        <v>0.99024390243902405</v>
      </c>
      <c r="M9135">
        <v>0.97101449275362295</v>
      </c>
      <c r="N9135">
        <v>0.97101449275362295</v>
      </c>
      <c r="O9135">
        <v>0.97101449275362295</v>
      </c>
      <c r="P9135" t="s">
        <v>1486</v>
      </c>
      <c r="Q9135" t="s">
        <v>1487</v>
      </c>
      <c r="R9135" t="s">
        <v>113</v>
      </c>
      <c r="S9135" t="s">
        <v>114</v>
      </c>
      <c r="V9135" t="s">
        <v>1490</v>
      </c>
      <c r="W9135" t="s">
        <v>1491</v>
      </c>
      <c r="AF9135" t="s">
        <v>18543</v>
      </c>
    </row>
    <row r="9136" spans="1:32" hidden="1" x14ac:dyDescent="0.35">
      <c r="A9136">
        <v>9135</v>
      </c>
      <c r="B9136" t="s">
        <v>18544</v>
      </c>
      <c r="C9136" t="s">
        <v>277</v>
      </c>
      <c r="D9136" t="s">
        <v>60</v>
      </c>
      <c r="E9136">
        <v>1367</v>
      </c>
      <c r="F9136">
        <v>2</v>
      </c>
      <c r="G9136">
        <v>2</v>
      </c>
      <c r="H9136">
        <v>1</v>
      </c>
      <c r="I9136">
        <v>0</v>
      </c>
      <c r="J9136">
        <v>0.98333333333333295</v>
      </c>
      <c r="K9136">
        <v>1</v>
      </c>
      <c r="L9136">
        <v>0.99159663865546199</v>
      </c>
      <c r="M9136">
        <v>0.98</v>
      </c>
      <c r="N9136">
        <v>0.98</v>
      </c>
      <c r="O9136">
        <v>0.98</v>
      </c>
      <c r="P9136" t="s">
        <v>14298</v>
      </c>
      <c r="Q9136" t="s">
        <v>14299</v>
      </c>
      <c r="R9136" t="s">
        <v>288</v>
      </c>
      <c r="S9136" t="s">
        <v>289</v>
      </c>
      <c r="V9136" t="s">
        <v>14301</v>
      </c>
      <c r="W9136" t="s">
        <v>14302</v>
      </c>
      <c r="AF9136" t="s">
        <v>18545</v>
      </c>
    </row>
    <row r="9137" spans="1:32" hidden="1" x14ac:dyDescent="0.35">
      <c r="A9137">
        <v>9136</v>
      </c>
      <c r="B9137" t="s">
        <v>18544</v>
      </c>
      <c r="C9137" t="s">
        <v>277</v>
      </c>
      <c r="D9137" t="s">
        <v>62</v>
      </c>
      <c r="E9137">
        <v>1403</v>
      </c>
      <c r="F9137">
        <v>2</v>
      </c>
      <c r="G9137">
        <v>2</v>
      </c>
      <c r="H9137">
        <v>1</v>
      </c>
      <c r="I9137">
        <v>0</v>
      </c>
      <c r="J9137">
        <v>0.98333333333333295</v>
      </c>
      <c r="K9137">
        <v>1</v>
      </c>
      <c r="L9137">
        <v>0.99159663865546199</v>
      </c>
      <c r="M9137">
        <v>0.98</v>
      </c>
      <c r="N9137">
        <v>0.98</v>
      </c>
      <c r="O9137">
        <v>0.98</v>
      </c>
      <c r="P9137" t="s">
        <v>14298</v>
      </c>
      <c r="Q9137" t="s">
        <v>14299</v>
      </c>
      <c r="R9137" t="s">
        <v>288</v>
      </c>
      <c r="S9137" t="s">
        <v>289</v>
      </c>
      <c r="V9137" t="s">
        <v>14301</v>
      </c>
      <c r="W9137" t="s">
        <v>14302</v>
      </c>
      <c r="AF9137" t="s">
        <v>18546</v>
      </c>
    </row>
    <row r="9138" spans="1:32" hidden="1" x14ac:dyDescent="0.35">
      <c r="A9138">
        <v>9137</v>
      </c>
      <c r="B9138" t="s">
        <v>18547</v>
      </c>
      <c r="C9138" t="s">
        <v>277</v>
      </c>
      <c r="D9138" t="s">
        <v>34</v>
      </c>
      <c r="E9138">
        <v>2083</v>
      </c>
      <c r="F9138">
        <v>2</v>
      </c>
      <c r="G9138">
        <v>2</v>
      </c>
      <c r="H9138">
        <v>1</v>
      </c>
      <c r="I9138">
        <v>0</v>
      </c>
      <c r="J9138">
        <v>0.97627520759193398</v>
      </c>
      <c r="K9138">
        <v>1</v>
      </c>
      <c r="L9138">
        <v>0.98799519807923197</v>
      </c>
      <c r="M9138">
        <v>0.97153024911032004</v>
      </c>
      <c r="N9138">
        <v>0.97153024911032004</v>
      </c>
      <c r="O9138">
        <v>0.97153024911032004</v>
      </c>
      <c r="AF9138" t="s">
        <v>18548</v>
      </c>
    </row>
    <row r="9139" spans="1:32" hidden="1" x14ac:dyDescent="0.35">
      <c r="A9139">
        <v>9138</v>
      </c>
      <c r="B9139" t="s">
        <v>18547</v>
      </c>
      <c r="C9139" t="s">
        <v>277</v>
      </c>
      <c r="D9139" t="s">
        <v>45</v>
      </c>
      <c r="E9139">
        <v>789</v>
      </c>
      <c r="F9139">
        <v>2</v>
      </c>
      <c r="G9139">
        <v>2</v>
      </c>
      <c r="H9139">
        <v>1</v>
      </c>
      <c r="I9139">
        <v>0</v>
      </c>
      <c r="J9139">
        <v>0.97627520759193398</v>
      </c>
      <c r="K9139">
        <v>1</v>
      </c>
      <c r="L9139">
        <v>0.98799519807923197</v>
      </c>
      <c r="M9139">
        <v>0.97153024911032004</v>
      </c>
      <c r="N9139">
        <v>0.97153024911032004</v>
      </c>
      <c r="O9139">
        <v>0.97153024911032004</v>
      </c>
      <c r="AF9139" t="s">
        <v>18549</v>
      </c>
    </row>
    <row r="9140" spans="1:32" hidden="1" x14ac:dyDescent="0.35">
      <c r="A9140">
        <v>9139</v>
      </c>
      <c r="B9140" t="s">
        <v>18550</v>
      </c>
      <c r="C9140" t="s">
        <v>277</v>
      </c>
      <c r="D9140" t="s">
        <v>60</v>
      </c>
      <c r="E9140">
        <v>1062</v>
      </c>
      <c r="F9140">
        <v>2</v>
      </c>
      <c r="G9140">
        <v>2</v>
      </c>
      <c r="H9140">
        <v>1</v>
      </c>
      <c r="I9140">
        <v>0</v>
      </c>
      <c r="J9140">
        <v>0.97499999999999998</v>
      </c>
      <c r="K9140">
        <v>1</v>
      </c>
      <c r="L9140">
        <v>0.987341772151899</v>
      </c>
      <c r="M9140">
        <v>0.969444444444444</v>
      </c>
      <c r="N9140">
        <v>0.969444444444444</v>
      </c>
      <c r="O9140">
        <v>0.969444444444444</v>
      </c>
      <c r="P9140" t="s">
        <v>18551</v>
      </c>
      <c r="Q9140" t="s">
        <v>18552</v>
      </c>
      <c r="R9140" t="s">
        <v>371</v>
      </c>
      <c r="S9140" t="s">
        <v>372</v>
      </c>
      <c r="V9140" t="s">
        <v>18553</v>
      </c>
      <c r="W9140" t="s">
        <v>18554</v>
      </c>
      <c r="AF9140" t="s">
        <v>18555</v>
      </c>
    </row>
    <row r="9141" spans="1:32" hidden="1" x14ac:dyDescent="0.35">
      <c r="A9141">
        <v>9140</v>
      </c>
      <c r="B9141" t="s">
        <v>18550</v>
      </c>
      <c r="C9141" t="s">
        <v>277</v>
      </c>
      <c r="D9141" t="s">
        <v>62</v>
      </c>
      <c r="E9141">
        <v>1098</v>
      </c>
      <c r="F9141">
        <v>2</v>
      </c>
      <c r="G9141">
        <v>2</v>
      </c>
      <c r="H9141">
        <v>1</v>
      </c>
      <c r="I9141">
        <v>0</v>
      </c>
      <c r="J9141">
        <v>0.97499999999999998</v>
      </c>
      <c r="K9141">
        <v>1</v>
      </c>
      <c r="L9141">
        <v>0.987341772151899</v>
      </c>
      <c r="M9141">
        <v>0.969444444444444</v>
      </c>
      <c r="N9141">
        <v>0.969444444444444</v>
      </c>
      <c r="O9141">
        <v>0.969444444444444</v>
      </c>
      <c r="P9141" t="s">
        <v>18551</v>
      </c>
      <c r="Q9141" t="s">
        <v>18552</v>
      </c>
      <c r="R9141" t="s">
        <v>371</v>
      </c>
      <c r="S9141" t="s">
        <v>372</v>
      </c>
      <c r="V9141" t="s">
        <v>18553</v>
      </c>
      <c r="W9141" t="s">
        <v>18554</v>
      </c>
      <c r="AF9141" t="s">
        <v>18556</v>
      </c>
    </row>
    <row r="9142" spans="1:32" hidden="1" x14ac:dyDescent="0.35">
      <c r="A9142">
        <v>9141</v>
      </c>
      <c r="B9142" t="s">
        <v>18557</v>
      </c>
      <c r="C9142" t="s">
        <v>277</v>
      </c>
      <c r="D9142" t="s">
        <v>60</v>
      </c>
      <c r="E9142">
        <v>2537</v>
      </c>
      <c r="F9142">
        <v>2</v>
      </c>
      <c r="G9142">
        <v>2</v>
      </c>
      <c r="H9142">
        <v>1</v>
      </c>
      <c r="I9142">
        <v>0</v>
      </c>
      <c r="J9142">
        <v>0.97404371584699501</v>
      </c>
      <c r="K9142">
        <v>1</v>
      </c>
      <c r="L9142">
        <v>0.98685121107266405</v>
      </c>
      <c r="M9142">
        <v>0.95491803278688503</v>
      </c>
      <c r="N9142">
        <v>0.95491803278688503</v>
      </c>
      <c r="O9142">
        <v>0.95491803278688503</v>
      </c>
      <c r="P9142" t="s">
        <v>18558</v>
      </c>
      <c r="Q9142" t="s">
        <v>18559</v>
      </c>
      <c r="R9142" t="s">
        <v>235</v>
      </c>
      <c r="S9142" t="s">
        <v>236</v>
      </c>
      <c r="T9142" t="s">
        <v>18560</v>
      </c>
      <c r="U9142" t="s">
        <v>17976</v>
      </c>
      <c r="V9142" t="s">
        <v>18561</v>
      </c>
      <c r="W9142" t="s">
        <v>18562</v>
      </c>
      <c r="AD9142" t="s">
        <v>166</v>
      </c>
      <c r="AE9142" t="s">
        <v>818</v>
      </c>
      <c r="AF9142" t="s">
        <v>18563</v>
      </c>
    </row>
    <row r="9143" spans="1:32" hidden="1" x14ac:dyDescent="0.35">
      <c r="A9143">
        <v>9142</v>
      </c>
      <c r="B9143" t="s">
        <v>18557</v>
      </c>
      <c r="C9143" t="s">
        <v>277</v>
      </c>
      <c r="D9143" t="s">
        <v>62</v>
      </c>
      <c r="E9143">
        <v>62</v>
      </c>
      <c r="F9143">
        <v>2</v>
      </c>
      <c r="G9143">
        <v>2</v>
      </c>
      <c r="H9143">
        <v>1</v>
      </c>
      <c r="I9143">
        <v>0</v>
      </c>
      <c r="J9143">
        <v>0.97404371584699501</v>
      </c>
      <c r="K9143">
        <v>1</v>
      </c>
      <c r="L9143">
        <v>0.98685121107266405</v>
      </c>
      <c r="M9143">
        <v>0.95491803278688503</v>
      </c>
      <c r="N9143">
        <v>0.95491803278688503</v>
      </c>
      <c r="O9143">
        <v>0.95491803278688503</v>
      </c>
      <c r="P9143" t="s">
        <v>18558</v>
      </c>
      <c r="Q9143" t="s">
        <v>18559</v>
      </c>
      <c r="R9143" t="s">
        <v>235</v>
      </c>
      <c r="S9143" t="s">
        <v>236</v>
      </c>
      <c r="T9143" t="s">
        <v>18560</v>
      </c>
      <c r="U9143" t="s">
        <v>17976</v>
      </c>
      <c r="V9143" t="s">
        <v>18561</v>
      </c>
      <c r="W9143" t="s">
        <v>18562</v>
      </c>
      <c r="AD9143" t="s">
        <v>166</v>
      </c>
      <c r="AE9143" t="s">
        <v>818</v>
      </c>
      <c r="AF9143" t="s">
        <v>18564</v>
      </c>
    </row>
    <row r="9144" spans="1:32" hidden="1" x14ac:dyDescent="0.35">
      <c r="A9144">
        <v>9143</v>
      </c>
      <c r="B9144" t="s">
        <v>18565</v>
      </c>
      <c r="C9144" t="s">
        <v>277</v>
      </c>
      <c r="D9144" t="s">
        <v>60</v>
      </c>
      <c r="E9144">
        <v>1704</v>
      </c>
      <c r="F9144">
        <v>2</v>
      </c>
      <c r="G9144">
        <v>2</v>
      </c>
      <c r="H9144">
        <v>1</v>
      </c>
      <c r="I9144">
        <v>0</v>
      </c>
      <c r="J9144">
        <v>0.97577854671280295</v>
      </c>
      <c r="K9144">
        <v>1</v>
      </c>
      <c r="L9144">
        <v>0.98774080560420296</v>
      </c>
      <c r="M9144">
        <v>0.96193771626297597</v>
      </c>
      <c r="N9144">
        <v>0.96193771626297597</v>
      </c>
      <c r="O9144">
        <v>0.96193771626297597</v>
      </c>
      <c r="P9144" t="s">
        <v>4551</v>
      </c>
      <c r="Q9144" t="s">
        <v>4552</v>
      </c>
      <c r="R9144" t="s">
        <v>8647</v>
      </c>
      <c r="S9144" t="s">
        <v>8648</v>
      </c>
      <c r="V9144" t="s">
        <v>9316</v>
      </c>
      <c r="W9144" t="s">
        <v>9317</v>
      </c>
      <c r="X9144" t="s">
        <v>9316</v>
      </c>
      <c r="Y9144" t="s">
        <v>875</v>
      </c>
      <c r="AF9144" t="s">
        <v>18566</v>
      </c>
    </row>
    <row r="9145" spans="1:32" hidden="1" x14ac:dyDescent="0.35">
      <c r="A9145">
        <v>9144</v>
      </c>
      <c r="B9145" t="s">
        <v>18565</v>
      </c>
      <c r="C9145" t="s">
        <v>277</v>
      </c>
      <c r="D9145" t="s">
        <v>62</v>
      </c>
      <c r="E9145">
        <v>1739</v>
      </c>
      <c r="F9145">
        <v>2</v>
      </c>
      <c r="G9145">
        <v>2</v>
      </c>
      <c r="H9145">
        <v>1</v>
      </c>
      <c r="I9145">
        <v>0</v>
      </c>
      <c r="J9145">
        <v>0.97577854671280295</v>
      </c>
      <c r="K9145">
        <v>1</v>
      </c>
      <c r="L9145">
        <v>0.98774080560420296</v>
      </c>
      <c r="M9145">
        <v>0.96193771626297597</v>
      </c>
      <c r="N9145">
        <v>0.96193771626297597</v>
      </c>
      <c r="O9145">
        <v>0.96193771626297597</v>
      </c>
      <c r="P9145" t="s">
        <v>4551</v>
      </c>
      <c r="Q9145" t="s">
        <v>4552</v>
      </c>
      <c r="R9145" t="s">
        <v>8647</v>
      </c>
      <c r="S9145" t="s">
        <v>8648</v>
      </c>
      <c r="V9145" t="s">
        <v>9316</v>
      </c>
      <c r="W9145" t="s">
        <v>9317</v>
      </c>
      <c r="X9145" t="s">
        <v>9316</v>
      </c>
      <c r="Y9145" t="s">
        <v>875</v>
      </c>
      <c r="AF9145" t="s">
        <v>18567</v>
      </c>
    </row>
    <row r="9146" spans="1:32" hidden="1" x14ac:dyDescent="0.35">
      <c r="A9146">
        <v>9145</v>
      </c>
      <c r="B9146" t="s">
        <v>18568</v>
      </c>
      <c r="C9146" t="s">
        <v>277</v>
      </c>
      <c r="D9146" t="s">
        <v>34</v>
      </c>
      <c r="E9146">
        <v>799</v>
      </c>
      <c r="F9146">
        <v>2</v>
      </c>
      <c r="G9146">
        <v>2</v>
      </c>
      <c r="H9146">
        <v>1</v>
      </c>
      <c r="I9146">
        <v>0</v>
      </c>
      <c r="J9146">
        <v>0.98837209302325602</v>
      </c>
      <c r="K9146">
        <v>1</v>
      </c>
      <c r="L9146">
        <v>0.99415204678362601</v>
      </c>
      <c r="M9146">
        <v>0.98062015503875999</v>
      </c>
      <c r="N9146">
        <v>0.98062015503875999</v>
      </c>
      <c r="O9146">
        <v>0.98062015503875999</v>
      </c>
      <c r="P9146" t="s">
        <v>18569</v>
      </c>
      <c r="Q9146" t="s">
        <v>18570</v>
      </c>
      <c r="T9146" t="s">
        <v>18571</v>
      </c>
      <c r="U9146" t="s">
        <v>18572</v>
      </c>
      <c r="AD9146" t="s">
        <v>14436</v>
      </c>
      <c r="AE9146" t="s">
        <v>16783</v>
      </c>
      <c r="AF9146" t="s">
        <v>18573</v>
      </c>
    </row>
    <row r="9147" spans="1:32" hidden="1" x14ac:dyDescent="0.35">
      <c r="A9147">
        <v>9146</v>
      </c>
      <c r="B9147" t="s">
        <v>18568</v>
      </c>
      <c r="C9147" t="s">
        <v>277</v>
      </c>
      <c r="D9147" t="s">
        <v>45</v>
      </c>
      <c r="E9147">
        <v>2055</v>
      </c>
      <c r="F9147">
        <v>2</v>
      </c>
      <c r="G9147">
        <v>2</v>
      </c>
      <c r="H9147">
        <v>1</v>
      </c>
      <c r="I9147">
        <v>0</v>
      </c>
      <c r="J9147">
        <v>0.98837209302325602</v>
      </c>
      <c r="K9147">
        <v>1</v>
      </c>
      <c r="L9147">
        <v>0.99415204678362601</v>
      </c>
      <c r="M9147">
        <v>0.98062015503875999</v>
      </c>
      <c r="N9147">
        <v>0.98062015503875999</v>
      </c>
      <c r="O9147">
        <v>0.98062015503875999</v>
      </c>
      <c r="P9147" t="s">
        <v>18569</v>
      </c>
      <c r="Q9147" t="s">
        <v>18570</v>
      </c>
      <c r="T9147" t="s">
        <v>18571</v>
      </c>
      <c r="U9147" t="s">
        <v>18572</v>
      </c>
      <c r="AD9147" t="s">
        <v>14436</v>
      </c>
      <c r="AE9147" t="s">
        <v>16783</v>
      </c>
      <c r="AF9147" t="s">
        <v>18574</v>
      </c>
    </row>
    <row r="9148" spans="1:32" hidden="1" x14ac:dyDescent="0.35">
      <c r="A9148">
        <v>9147</v>
      </c>
      <c r="B9148" t="s">
        <v>18575</v>
      </c>
      <c r="C9148" t="s">
        <v>277</v>
      </c>
      <c r="D9148" t="s">
        <v>34</v>
      </c>
      <c r="E9148">
        <v>1111</v>
      </c>
      <c r="F9148">
        <v>2</v>
      </c>
      <c r="G9148">
        <v>2</v>
      </c>
      <c r="H9148">
        <v>1</v>
      </c>
      <c r="I9148">
        <v>0</v>
      </c>
      <c r="J9148">
        <v>0.99271402550091103</v>
      </c>
      <c r="K9148">
        <v>1</v>
      </c>
      <c r="L9148">
        <v>0.99634369287020097</v>
      </c>
      <c r="M9148">
        <v>0.989071038251366</v>
      </c>
      <c r="N9148">
        <v>0.989071038251366</v>
      </c>
      <c r="O9148">
        <v>0.989071038251366</v>
      </c>
      <c r="P9148" t="s">
        <v>18576</v>
      </c>
      <c r="Q9148" t="s">
        <v>18577</v>
      </c>
      <c r="R9148" t="s">
        <v>652</v>
      </c>
      <c r="S9148" t="s">
        <v>653</v>
      </c>
      <c r="V9148" t="s">
        <v>18578</v>
      </c>
      <c r="W9148" t="s">
        <v>18579</v>
      </c>
      <c r="AF9148" t="s">
        <v>18580</v>
      </c>
    </row>
    <row r="9149" spans="1:32" hidden="1" x14ac:dyDescent="0.35">
      <c r="A9149">
        <v>9148</v>
      </c>
      <c r="B9149" t="s">
        <v>18575</v>
      </c>
      <c r="C9149" t="s">
        <v>277</v>
      </c>
      <c r="D9149" t="s">
        <v>45</v>
      </c>
      <c r="E9149">
        <v>2364</v>
      </c>
      <c r="F9149">
        <v>2</v>
      </c>
      <c r="G9149">
        <v>2</v>
      </c>
      <c r="H9149">
        <v>1</v>
      </c>
      <c r="I9149">
        <v>0</v>
      </c>
      <c r="J9149">
        <v>0.99271402550091103</v>
      </c>
      <c r="K9149">
        <v>1</v>
      </c>
      <c r="L9149">
        <v>0.99634369287020097</v>
      </c>
      <c r="M9149">
        <v>0.989071038251366</v>
      </c>
      <c r="N9149">
        <v>0.989071038251366</v>
      </c>
      <c r="O9149">
        <v>0.989071038251366</v>
      </c>
      <c r="P9149" t="s">
        <v>18576</v>
      </c>
      <c r="Q9149" t="s">
        <v>18577</v>
      </c>
      <c r="R9149" t="s">
        <v>652</v>
      </c>
      <c r="S9149" t="s">
        <v>653</v>
      </c>
      <c r="V9149" t="s">
        <v>18578</v>
      </c>
      <c r="W9149" t="s">
        <v>18579</v>
      </c>
      <c r="AF9149" t="s">
        <v>18581</v>
      </c>
    </row>
    <row r="9150" spans="1:32" hidden="1" x14ac:dyDescent="0.35">
      <c r="A9150">
        <v>9149</v>
      </c>
      <c r="B9150" t="s">
        <v>18582</v>
      </c>
      <c r="C9150" t="s">
        <v>277</v>
      </c>
      <c r="D9150" t="s">
        <v>34</v>
      </c>
      <c r="E9150">
        <v>54</v>
      </c>
      <c r="F9150">
        <v>2</v>
      </c>
      <c r="G9150">
        <v>2</v>
      </c>
      <c r="H9150">
        <v>1</v>
      </c>
      <c r="I9150">
        <v>0</v>
      </c>
      <c r="J9150">
        <v>0.98281374900079899</v>
      </c>
      <c r="K9150">
        <v>1</v>
      </c>
      <c r="L9150">
        <v>0.99133239266276996</v>
      </c>
      <c r="M9150">
        <v>0.98201438848920897</v>
      </c>
      <c r="N9150">
        <v>0.98201438848920897</v>
      </c>
      <c r="O9150">
        <v>0.98201438848920897</v>
      </c>
      <c r="P9150" t="s">
        <v>18411</v>
      </c>
      <c r="Q9150" t="s">
        <v>7176</v>
      </c>
      <c r="AF9150" t="s">
        <v>18583</v>
      </c>
    </row>
    <row r="9151" spans="1:32" hidden="1" x14ac:dyDescent="0.35">
      <c r="A9151">
        <v>9150</v>
      </c>
      <c r="B9151" t="s">
        <v>18582</v>
      </c>
      <c r="C9151" t="s">
        <v>277</v>
      </c>
      <c r="D9151" t="s">
        <v>45</v>
      </c>
      <c r="E9151">
        <v>1312</v>
      </c>
      <c r="F9151">
        <v>2</v>
      </c>
      <c r="G9151">
        <v>2</v>
      </c>
      <c r="H9151">
        <v>1</v>
      </c>
      <c r="I9151">
        <v>0</v>
      </c>
      <c r="J9151">
        <v>0.98281374900079899</v>
      </c>
      <c r="K9151">
        <v>1</v>
      </c>
      <c r="L9151">
        <v>0.99133239266276996</v>
      </c>
      <c r="M9151">
        <v>0.98201438848920897</v>
      </c>
      <c r="N9151">
        <v>0.98201438848920897</v>
      </c>
      <c r="O9151">
        <v>0.98201438848920897</v>
      </c>
      <c r="AF9151" t="s">
        <v>18584</v>
      </c>
    </row>
    <row r="9152" spans="1:32" hidden="1" x14ac:dyDescent="0.35">
      <c r="A9152">
        <v>9151</v>
      </c>
      <c r="B9152" t="s">
        <v>18585</v>
      </c>
      <c r="C9152" t="s">
        <v>277</v>
      </c>
      <c r="D9152" t="s">
        <v>60</v>
      </c>
      <c r="E9152">
        <v>1878</v>
      </c>
      <c r="F9152">
        <v>2</v>
      </c>
      <c r="G9152">
        <v>2</v>
      </c>
      <c r="H9152">
        <v>1</v>
      </c>
      <c r="I9152">
        <v>0</v>
      </c>
      <c r="J9152">
        <v>0.95918367346938804</v>
      </c>
      <c r="K9152">
        <v>1</v>
      </c>
      <c r="L9152">
        <v>0.97916666666666696</v>
      </c>
      <c r="M9152">
        <v>0.94557823129251695</v>
      </c>
      <c r="N9152">
        <v>0.94557823129251695</v>
      </c>
      <c r="O9152">
        <v>0.94557823129251695</v>
      </c>
      <c r="P9152" t="s">
        <v>1486</v>
      </c>
      <c r="Q9152" t="s">
        <v>1487</v>
      </c>
      <c r="R9152" t="s">
        <v>113</v>
      </c>
      <c r="S9152" t="s">
        <v>114</v>
      </c>
      <c r="V9152" t="s">
        <v>1490</v>
      </c>
      <c r="W9152" t="s">
        <v>1491</v>
      </c>
      <c r="AF9152" t="s">
        <v>18586</v>
      </c>
    </row>
    <row r="9153" spans="1:32" hidden="1" x14ac:dyDescent="0.35">
      <c r="A9153">
        <v>9152</v>
      </c>
      <c r="B9153" t="s">
        <v>18585</v>
      </c>
      <c r="C9153" t="s">
        <v>277</v>
      </c>
      <c r="D9153" t="s">
        <v>62</v>
      </c>
      <c r="E9153">
        <v>1917</v>
      </c>
      <c r="F9153">
        <v>2</v>
      </c>
      <c r="G9153">
        <v>2</v>
      </c>
      <c r="H9153">
        <v>1</v>
      </c>
      <c r="I9153">
        <v>0</v>
      </c>
      <c r="J9153">
        <v>0.95918367346938804</v>
      </c>
      <c r="K9153">
        <v>1</v>
      </c>
      <c r="L9153">
        <v>0.97916666666666696</v>
      </c>
      <c r="M9153">
        <v>0.94557823129251695</v>
      </c>
      <c r="N9153">
        <v>0.94557823129251695</v>
      </c>
      <c r="O9153">
        <v>0.94557823129251695</v>
      </c>
      <c r="P9153" t="s">
        <v>1486</v>
      </c>
      <c r="Q9153" t="s">
        <v>1487</v>
      </c>
      <c r="R9153" t="s">
        <v>113</v>
      </c>
      <c r="S9153" t="s">
        <v>114</v>
      </c>
      <c r="V9153" t="s">
        <v>1490</v>
      </c>
      <c r="W9153" t="s">
        <v>1491</v>
      </c>
      <c r="AF9153" t="s">
        <v>18587</v>
      </c>
    </row>
    <row r="9154" spans="1:32" hidden="1" x14ac:dyDescent="0.35">
      <c r="A9154">
        <v>9153</v>
      </c>
      <c r="B9154" t="s">
        <v>18588</v>
      </c>
      <c r="C9154" t="s">
        <v>277</v>
      </c>
      <c r="D9154" t="s">
        <v>34</v>
      </c>
      <c r="E9154">
        <v>1395</v>
      </c>
      <c r="F9154">
        <v>2</v>
      </c>
      <c r="G9154">
        <v>2</v>
      </c>
      <c r="H9154">
        <v>1</v>
      </c>
      <c r="I9154">
        <v>0</v>
      </c>
      <c r="J9154">
        <v>0.98967297762478501</v>
      </c>
      <c r="K9154">
        <v>1</v>
      </c>
      <c r="L9154">
        <v>0.99480968858131502</v>
      </c>
      <c r="M9154">
        <v>0.98623063683304601</v>
      </c>
      <c r="N9154">
        <v>0.98623063683304601</v>
      </c>
      <c r="O9154">
        <v>0.98623063683304601</v>
      </c>
      <c r="P9154" t="s">
        <v>169</v>
      </c>
      <c r="Q9154" t="s">
        <v>170</v>
      </c>
      <c r="R9154" t="s">
        <v>138</v>
      </c>
      <c r="S9154" t="s">
        <v>139</v>
      </c>
      <c r="T9154" t="s">
        <v>11441</v>
      </c>
      <c r="U9154" t="s">
        <v>11442</v>
      </c>
      <c r="V9154" t="s">
        <v>11356</v>
      </c>
      <c r="W9154" t="s">
        <v>11357</v>
      </c>
      <c r="AD9154" t="s">
        <v>439</v>
      </c>
      <c r="AE9154" t="s">
        <v>11443</v>
      </c>
      <c r="AF9154" t="s">
        <v>18589</v>
      </c>
    </row>
    <row r="9155" spans="1:32" hidden="1" x14ac:dyDescent="0.35">
      <c r="A9155">
        <v>9154</v>
      </c>
      <c r="B9155" t="s">
        <v>18588</v>
      </c>
      <c r="C9155" t="s">
        <v>277</v>
      </c>
      <c r="D9155" t="s">
        <v>45</v>
      </c>
      <c r="E9155">
        <v>145</v>
      </c>
      <c r="F9155">
        <v>2</v>
      </c>
      <c r="G9155">
        <v>2</v>
      </c>
      <c r="H9155">
        <v>1</v>
      </c>
      <c r="I9155">
        <v>0</v>
      </c>
      <c r="J9155">
        <v>0.98967297762478501</v>
      </c>
      <c r="K9155">
        <v>1</v>
      </c>
      <c r="L9155">
        <v>0.99480968858131502</v>
      </c>
      <c r="M9155">
        <v>0.98623063683304601</v>
      </c>
      <c r="N9155">
        <v>0.98623063683304601</v>
      </c>
      <c r="O9155">
        <v>0.98623063683304601</v>
      </c>
      <c r="P9155" t="s">
        <v>169</v>
      </c>
      <c r="Q9155" t="s">
        <v>170</v>
      </c>
      <c r="R9155" t="s">
        <v>138</v>
      </c>
      <c r="S9155" t="s">
        <v>139</v>
      </c>
      <c r="T9155" t="s">
        <v>11441</v>
      </c>
      <c r="U9155" t="s">
        <v>11442</v>
      </c>
      <c r="V9155" t="s">
        <v>11356</v>
      </c>
      <c r="W9155" t="s">
        <v>11357</v>
      </c>
      <c r="AD9155" t="s">
        <v>439</v>
      </c>
      <c r="AE9155" t="s">
        <v>11443</v>
      </c>
      <c r="AF9155" t="s">
        <v>18590</v>
      </c>
    </row>
    <row r="9156" spans="1:32" hidden="1" x14ac:dyDescent="0.35">
      <c r="A9156">
        <v>9155</v>
      </c>
      <c r="B9156" t="s">
        <v>18591</v>
      </c>
      <c r="C9156" t="s">
        <v>277</v>
      </c>
      <c r="D9156" t="s">
        <v>60</v>
      </c>
      <c r="E9156">
        <v>1937</v>
      </c>
      <c r="F9156">
        <v>2</v>
      </c>
      <c r="G9156">
        <v>2</v>
      </c>
      <c r="H9156">
        <v>1</v>
      </c>
      <c r="I9156">
        <v>0</v>
      </c>
      <c r="J9156">
        <v>0.99115044247787598</v>
      </c>
      <c r="K9156">
        <v>1</v>
      </c>
      <c r="L9156">
        <v>0.99555555555555597</v>
      </c>
      <c r="M9156">
        <v>0.98230088495575196</v>
      </c>
      <c r="N9156">
        <v>0.98230088495575196</v>
      </c>
      <c r="O9156">
        <v>0.98230088495575196</v>
      </c>
      <c r="AF9156" t="s">
        <v>18592</v>
      </c>
    </row>
    <row r="9157" spans="1:32" hidden="1" x14ac:dyDescent="0.35">
      <c r="A9157">
        <v>9156</v>
      </c>
      <c r="B9157" t="s">
        <v>18591</v>
      </c>
      <c r="C9157" t="s">
        <v>277</v>
      </c>
      <c r="D9157" t="s">
        <v>62</v>
      </c>
      <c r="E9157">
        <v>1977</v>
      </c>
      <c r="F9157">
        <v>2</v>
      </c>
      <c r="G9157">
        <v>2</v>
      </c>
      <c r="H9157">
        <v>1</v>
      </c>
      <c r="I9157">
        <v>0</v>
      </c>
      <c r="J9157">
        <v>0.99115044247787598</v>
      </c>
      <c r="K9157">
        <v>1</v>
      </c>
      <c r="L9157">
        <v>0.99555555555555597</v>
      </c>
      <c r="M9157">
        <v>0.98230088495575196</v>
      </c>
      <c r="N9157">
        <v>0.98230088495575196</v>
      </c>
      <c r="O9157">
        <v>0.98230088495575196</v>
      </c>
      <c r="AF9157" t="s">
        <v>18593</v>
      </c>
    </row>
    <row r="9158" spans="1:32" hidden="1" x14ac:dyDescent="0.35">
      <c r="A9158">
        <v>9157</v>
      </c>
      <c r="B9158" t="s">
        <v>18594</v>
      </c>
      <c r="C9158" t="s">
        <v>277</v>
      </c>
      <c r="D9158" t="s">
        <v>34</v>
      </c>
      <c r="E9158">
        <v>410</v>
      </c>
      <c r="F9158">
        <v>2</v>
      </c>
      <c r="G9158">
        <v>2</v>
      </c>
      <c r="H9158">
        <v>1</v>
      </c>
      <c r="I9158">
        <v>0</v>
      </c>
      <c r="J9158">
        <v>0.99558498896247205</v>
      </c>
      <c r="K9158">
        <v>1</v>
      </c>
      <c r="L9158">
        <v>0.99778761061946897</v>
      </c>
      <c r="M9158">
        <v>0.99337748344370902</v>
      </c>
      <c r="N9158">
        <v>0.99337748344370902</v>
      </c>
      <c r="O9158">
        <v>0.99337748344370902</v>
      </c>
      <c r="AF9158" t="s">
        <v>18595</v>
      </c>
    </row>
    <row r="9159" spans="1:32" hidden="1" x14ac:dyDescent="0.35">
      <c r="A9159">
        <v>9158</v>
      </c>
      <c r="B9159" t="s">
        <v>18594</v>
      </c>
      <c r="C9159" t="s">
        <v>277</v>
      </c>
      <c r="D9159" t="s">
        <v>45</v>
      </c>
      <c r="E9159">
        <v>1672</v>
      </c>
      <c r="F9159">
        <v>2</v>
      </c>
      <c r="G9159">
        <v>2</v>
      </c>
      <c r="H9159">
        <v>1</v>
      </c>
      <c r="I9159">
        <v>0</v>
      </c>
      <c r="J9159">
        <v>0.99558498896247205</v>
      </c>
      <c r="K9159">
        <v>1</v>
      </c>
      <c r="L9159">
        <v>0.99778761061946897</v>
      </c>
      <c r="M9159">
        <v>0.99337748344370902</v>
      </c>
      <c r="N9159">
        <v>0.99337748344370902</v>
      </c>
      <c r="O9159">
        <v>0.99337748344370902</v>
      </c>
      <c r="AF9159" t="s">
        <v>18596</v>
      </c>
    </row>
    <row r="9160" spans="1:32" hidden="1" x14ac:dyDescent="0.35">
      <c r="A9160">
        <v>9159</v>
      </c>
      <c r="B9160" t="s">
        <v>18597</v>
      </c>
      <c r="C9160" t="s">
        <v>277</v>
      </c>
      <c r="D9160" t="s">
        <v>60</v>
      </c>
      <c r="E9160">
        <v>737</v>
      </c>
      <c r="F9160">
        <v>2</v>
      </c>
      <c r="G9160">
        <v>2</v>
      </c>
      <c r="H9160">
        <v>1</v>
      </c>
      <c r="I9160">
        <v>0</v>
      </c>
      <c r="J9160">
        <v>0.952380952380952</v>
      </c>
      <c r="K9160">
        <v>1</v>
      </c>
      <c r="L9160">
        <v>0.97560975609756095</v>
      </c>
      <c r="M9160">
        <v>0.93714285714285706</v>
      </c>
      <c r="N9160">
        <v>0.93714285714285706</v>
      </c>
      <c r="O9160">
        <v>0.93714285714285706</v>
      </c>
      <c r="P9160" t="s">
        <v>17446</v>
      </c>
      <c r="Q9160" t="s">
        <v>17447</v>
      </c>
      <c r="R9160" t="s">
        <v>869</v>
      </c>
      <c r="S9160" t="s">
        <v>870</v>
      </c>
      <c r="T9160" t="s">
        <v>17448</v>
      </c>
      <c r="U9160" t="s">
        <v>17449</v>
      </c>
      <c r="V9160" t="s">
        <v>17450</v>
      </c>
      <c r="W9160" t="s">
        <v>17451</v>
      </c>
      <c r="X9160" t="s">
        <v>17450</v>
      </c>
      <c r="Y9160" t="s">
        <v>6133</v>
      </c>
      <c r="Z9160" t="s">
        <v>9395</v>
      </c>
      <c r="AA9160" t="s">
        <v>9396</v>
      </c>
      <c r="AB9160" t="s">
        <v>9395</v>
      </c>
      <c r="AC9160" t="s">
        <v>878</v>
      </c>
      <c r="AD9160" t="s">
        <v>245</v>
      </c>
      <c r="AE9160" t="s">
        <v>17452</v>
      </c>
      <c r="AF9160" t="s">
        <v>18598</v>
      </c>
    </row>
    <row r="9161" spans="1:32" hidden="1" x14ac:dyDescent="0.35">
      <c r="A9161">
        <v>9160</v>
      </c>
      <c r="B9161" t="s">
        <v>18597</v>
      </c>
      <c r="C9161" t="s">
        <v>277</v>
      </c>
      <c r="D9161" t="s">
        <v>62</v>
      </c>
      <c r="E9161">
        <v>769</v>
      </c>
      <c r="F9161">
        <v>2</v>
      </c>
      <c r="G9161">
        <v>2</v>
      </c>
      <c r="H9161">
        <v>1</v>
      </c>
      <c r="I9161">
        <v>0</v>
      </c>
      <c r="J9161">
        <v>0.952380952380952</v>
      </c>
      <c r="K9161">
        <v>1</v>
      </c>
      <c r="L9161">
        <v>0.97560975609756095</v>
      </c>
      <c r="M9161">
        <v>0.93714285714285706</v>
      </c>
      <c r="N9161">
        <v>0.93714285714285706</v>
      </c>
      <c r="O9161">
        <v>0.93714285714285706</v>
      </c>
      <c r="P9161" t="s">
        <v>17446</v>
      </c>
      <c r="Q9161" t="s">
        <v>17447</v>
      </c>
      <c r="R9161" t="s">
        <v>869</v>
      </c>
      <c r="S9161" t="s">
        <v>870</v>
      </c>
      <c r="T9161" t="s">
        <v>17448</v>
      </c>
      <c r="U9161" t="s">
        <v>17449</v>
      </c>
      <c r="V9161" t="s">
        <v>17450</v>
      </c>
      <c r="W9161" t="s">
        <v>17451</v>
      </c>
      <c r="X9161" t="s">
        <v>17450</v>
      </c>
      <c r="Y9161" t="s">
        <v>6133</v>
      </c>
      <c r="Z9161" t="s">
        <v>9395</v>
      </c>
      <c r="AA9161" t="s">
        <v>9396</v>
      </c>
      <c r="AB9161" t="s">
        <v>9395</v>
      </c>
      <c r="AC9161" t="s">
        <v>878</v>
      </c>
      <c r="AD9161" t="s">
        <v>245</v>
      </c>
      <c r="AE9161" t="s">
        <v>17452</v>
      </c>
      <c r="AF9161" t="s">
        <v>18599</v>
      </c>
    </row>
    <row r="9162" spans="1:32" hidden="1" x14ac:dyDescent="0.35">
      <c r="A9162">
        <v>9161</v>
      </c>
      <c r="B9162" t="s">
        <v>18600</v>
      </c>
      <c r="C9162" t="s">
        <v>277</v>
      </c>
      <c r="D9162" t="s">
        <v>60</v>
      </c>
      <c r="E9162">
        <v>1195</v>
      </c>
      <c r="F9162">
        <v>2</v>
      </c>
      <c r="G9162">
        <v>2</v>
      </c>
      <c r="H9162">
        <v>1</v>
      </c>
      <c r="I9162">
        <v>0</v>
      </c>
      <c r="J9162">
        <v>0.99815837937384899</v>
      </c>
      <c r="K9162">
        <v>1</v>
      </c>
      <c r="L9162">
        <v>0.99907834101382498</v>
      </c>
      <c r="M9162">
        <v>0.99447513812154698</v>
      </c>
      <c r="N9162">
        <v>0.99447513812154698</v>
      </c>
      <c r="O9162">
        <v>0.99447513812154698</v>
      </c>
      <c r="P9162" t="s">
        <v>18601</v>
      </c>
      <c r="Q9162" t="s">
        <v>18602</v>
      </c>
      <c r="R9162" t="s">
        <v>224</v>
      </c>
      <c r="S9162" t="s">
        <v>225</v>
      </c>
      <c r="T9162" t="s">
        <v>18603</v>
      </c>
      <c r="U9162" t="s">
        <v>18604</v>
      </c>
      <c r="V9162" t="s">
        <v>18605</v>
      </c>
      <c r="W9162" t="s">
        <v>18606</v>
      </c>
      <c r="AD9162" t="s">
        <v>2991</v>
      </c>
      <c r="AE9162" t="s">
        <v>18607</v>
      </c>
      <c r="AF9162" t="s">
        <v>18608</v>
      </c>
    </row>
    <row r="9163" spans="1:32" hidden="1" x14ac:dyDescent="0.35">
      <c r="A9163">
        <v>9162</v>
      </c>
      <c r="B9163" t="s">
        <v>18600</v>
      </c>
      <c r="C9163" t="s">
        <v>277</v>
      </c>
      <c r="D9163" t="s">
        <v>62</v>
      </c>
      <c r="E9163">
        <v>1232</v>
      </c>
      <c r="F9163">
        <v>2</v>
      </c>
      <c r="G9163">
        <v>2</v>
      </c>
      <c r="H9163">
        <v>1</v>
      </c>
      <c r="I9163">
        <v>0</v>
      </c>
      <c r="J9163">
        <v>0.99815837937384899</v>
      </c>
      <c r="K9163">
        <v>1</v>
      </c>
      <c r="L9163">
        <v>0.99907834101382498</v>
      </c>
      <c r="M9163">
        <v>0.99447513812154698</v>
      </c>
      <c r="N9163">
        <v>0.99447513812154698</v>
      </c>
      <c r="O9163">
        <v>0.99447513812154698</v>
      </c>
      <c r="P9163" t="s">
        <v>18601</v>
      </c>
      <c r="Q9163" t="s">
        <v>18602</v>
      </c>
      <c r="R9163" t="s">
        <v>224</v>
      </c>
      <c r="S9163" t="s">
        <v>225</v>
      </c>
      <c r="T9163" t="s">
        <v>18603</v>
      </c>
      <c r="U9163" t="s">
        <v>18604</v>
      </c>
      <c r="V9163" t="s">
        <v>18605</v>
      </c>
      <c r="W9163" t="s">
        <v>18606</v>
      </c>
      <c r="AD9163" t="s">
        <v>2991</v>
      </c>
      <c r="AE9163" t="s">
        <v>18607</v>
      </c>
      <c r="AF9163" t="s">
        <v>18609</v>
      </c>
    </row>
    <row r="9164" spans="1:32" hidden="1" x14ac:dyDescent="0.35">
      <c r="A9164">
        <v>9163</v>
      </c>
      <c r="B9164" t="s">
        <v>18610</v>
      </c>
      <c r="C9164" t="s">
        <v>277</v>
      </c>
      <c r="D9164" t="s">
        <v>34</v>
      </c>
      <c r="E9164">
        <v>1581</v>
      </c>
      <c r="F9164">
        <v>2</v>
      </c>
      <c r="G9164">
        <v>2</v>
      </c>
      <c r="H9164">
        <v>1</v>
      </c>
      <c r="I9164">
        <v>0</v>
      </c>
      <c r="J9164">
        <v>0.99427753934191698</v>
      </c>
      <c r="K9164">
        <v>1</v>
      </c>
      <c r="L9164">
        <v>0.99713055954088903</v>
      </c>
      <c r="M9164">
        <v>0.99141630901287603</v>
      </c>
      <c r="N9164">
        <v>0.99141630901287603</v>
      </c>
      <c r="O9164">
        <v>0.99141630901287603</v>
      </c>
      <c r="AF9164" t="s">
        <v>18611</v>
      </c>
    </row>
    <row r="9165" spans="1:32" hidden="1" x14ac:dyDescent="0.35">
      <c r="A9165">
        <v>9164</v>
      </c>
      <c r="B9165" t="s">
        <v>18610</v>
      </c>
      <c r="C9165" t="s">
        <v>277</v>
      </c>
      <c r="D9165" t="s">
        <v>45</v>
      </c>
      <c r="E9165">
        <v>331</v>
      </c>
      <c r="F9165">
        <v>2</v>
      </c>
      <c r="G9165">
        <v>2</v>
      </c>
      <c r="H9165">
        <v>1</v>
      </c>
      <c r="I9165">
        <v>0</v>
      </c>
      <c r="J9165">
        <v>0.99427753934191698</v>
      </c>
      <c r="K9165">
        <v>1</v>
      </c>
      <c r="L9165">
        <v>0.99713055954088903</v>
      </c>
      <c r="M9165">
        <v>0.99141630901287603</v>
      </c>
      <c r="N9165">
        <v>0.99141630901287603</v>
      </c>
      <c r="O9165">
        <v>0.99141630901287603</v>
      </c>
      <c r="AF9165" t="s">
        <v>18612</v>
      </c>
    </row>
    <row r="9166" spans="1:32" hidden="1" x14ac:dyDescent="0.35">
      <c r="A9166">
        <v>9165</v>
      </c>
      <c r="B9166" t="s">
        <v>18613</v>
      </c>
      <c r="C9166" t="s">
        <v>277</v>
      </c>
      <c r="D9166" t="s">
        <v>34</v>
      </c>
      <c r="E9166">
        <v>2216</v>
      </c>
      <c r="F9166">
        <v>2</v>
      </c>
      <c r="G9166">
        <v>2</v>
      </c>
      <c r="H9166">
        <v>1</v>
      </c>
      <c r="I9166">
        <v>0</v>
      </c>
      <c r="J9166">
        <v>0.99656357388316197</v>
      </c>
      <c r="K9166">
        <v>1</v>
      </c>
      <c r="L9166">
        <v>0.99827882960413095</v>
      </c>
      <c r="M9166">
        <v>0.98969072164948502</v>
      </c>
      <c r="N9166">
        <v>0.98969072164948502</v>
      </c>
      <c r="O9166">
        <v>0.98969072164948502</v>
      </c>
      <c r="AF9166" t="s">
        <v>18614</v>
      </c>
    </row>
    <row r="9167" spans="1:32" hidden="1" x14ac:dyDescent="0.35">
      <c r="A9167">
        <v>9166</v>
      </c>
      <c r="B9167" t="s">
        <v>18613</v>
      </c>
      <c r="C9167" t="s">
        <v>277</v>
      </c>
      <c r="D9167" t="s">
        <v>45</v>
      </c>
      <c r="E9167">
        <v>660</v>
      </c>
      <c r="F9167">
        <v>2</v>
      </c>
      <c r="G9167">
        <v>2</v>
      </c>
      <c r="H9167">
        <v>1</v>
      </c>
      <c r="I9167">
        <v>0</v>
      </c>
      <c r="J9167">
        <v>0.99656357388316197</v>
      </c>
      <c r="K9167">
        <v>1</v>
      </c>
      <c r="L9167">
        <v>0.99827882960413095</v>
      </c>
      <c r="M9167">
        <v>0.98969072164948502</v>
      </c>
      <c r="N9167">
        <v>0.98969072164948502</v>
      </c>
      <c r="O9167">
        <v>0.98969072164948502</v>
      </c>
      <c r="AF9167" t="s">
        <v>18615</v>
      </c>
    </row>
    <row r="9168" spans="1:32" hidden="1" x14ac:dyDescent="0.35">
      <c r="A9168">
        <v>9167</v>
      </c>
      <c r="B9168" t="s">
        <v>18616</v>
      </c>
      <c r="C9168" t="s">
        <v>277</v>
      </c>
      <c r="D9168" t="s">
        <v>60</v>
      </c>
      <c r="E9168">
        <v>2101</v>
      </c>
      <c r="F9168">
        <v>2</v>
      </c>
      <c r="G9168">
        <v>2</v>
      </c>
      <c r="H9168">
        <v>1</v>
      </c>
      <c r="I9168">
        <v>0</v>
      </c>
      <c r="J9168">
        <v>0.97186700767263401</v>
      </c>
      <c r="K9168">
        <v>0.99744897959183898</v>
      </c>
      <c r="L9168">
        <v>0.98449183510523797</v>
      </c>
      <c r="M9168">
        <v>0.96428571428571397</v>
      </c>
      <c r="N9168">
        <v>0.96428571428571397</v>
      </c>
      <c r="O9168">
        <v>0.96428571428571397</v>
      </c>
      <c r="AF9168" t="s">
        <v>18617</v>
      </c>
    </row>
    <row r="9169" spans="1:32" hidden="1" x14ac:dyDescent="0.35">
      <c r="A9169">
        <v>9168</v>
      </c>
      <c r="B9169" t="s">
        <v>18616</v>
      </c>
      <c r="C9169" t="s">
        <v>277</v>
      </c>
      <c r="D9169" t="s">
        <v>62</v>
      </c>
      <c r="E9169">
        <v>2136</v>
      </c>
      <c r="F9169">
        <v>2</v>
      </c>
      <c r="G9169">
        <v>2</v>
      </c>
      <c r="H9169">
        <v>1</v>
      </c>
      <c r="I9169">
        <v>0</v>
      </c>
      <c r="J9169">
        <v>0.97186700767263401</v>
      </c>
      <c r="K9169">
        <v>0.99744897959183898</v>
      </c>
      <c r="L9169">
        <v>0.98449183510523797</v>
      </c>
      <c r="M9169">
        <v>0.96428571428571397</v>
      </c>
      <c r="N9169">
        <v>0.96428571428571397</v>
      </c>
      <c r="O9169">
        <v>0.96428571428571397</v>
      </c>
      <c r="AF9169" t="s">
        <v>18618</v>
      </c>
    </row>
    <row r="9170" spans="1:32" hidden="1" x14ac:dyDescent="0.35">
      <c r="A9170">
        <v>9169</v>
      </c>
      <c r="B9170" t="s">
        <v>18619</v>
      </c>
      <c r="C9170" t="s">
        <v>277</v>
      </c>
      <c r="D9170" t="s">
        <v>34</v>
      </c>
      <c r="E9170">
        <v>597</v>
      </c>
      <c r="F9170">
        <v>2</v>
      </c>
      <c r="G9170">
        <v>2</v>
      </c>
      <c r="H9170">
        <v>1</v>
      </c>
      <c r="I9170">
        <v>0</v>
      </c>
      <c r="J9170">
        <v>0.99919289749798201</v>
      </c>
      <c r="K9170">
        <v>1</v>
      </c>
      <c r="L9170">
        <v>0.999596285829633</v>
      </c>
      <c r="M9170">
        <v>0.99757869249394704</v>
      </c>
      <c r="N9170">
        <v>0.99757869249394704</v>
      </c>
      <c r="O9170">
        <v>0.99757869249394704</v>
      </c>
      <c r="P9170" t="s">
        <v>17608</v>
      </c>
      <c r="Q9170" t="s">
        <v>3623</v>
      </c>
      <c r="R9170" t="s">
        <v>1259</v>
      </c>
      <c r="S9170" t="s">
        <v>1260</v>
      </c>
      <c r="T9170" t="s">
        <v>18620</v>
      </c>
      <c r="U9170" t="s">
        <v>2977</v>
      </c>
      <c r="V9170" t="s">
        <v>18621</v>
      </c>
      <c r="W9170" t="s">
        <v>18622</v>
      </c>
      <c r="AD9170" t="s">
        <v>410</v>
      </c>
      <c r="AE9170" t="s">
        <v>603</v>
      </c>
      <c r="AF9170" t="s">
        <v>18623</v>
      </c>
    </row>
    <row r="9171" spans="1:32" hidden="1" x14ac:dyDescent="0.35">
      <c r="A9171">
        <v>9170</v>
      </c>
      <c r="B9171" t="s">
        <v>18619</v>
      </c>
      <c r="C9171" t="s">
        <v>277</v>
      </c>
      <c r="D9171" t="s">
        <v>45</v>
      </c>
      <c r="E9171">
        <v>1864</v>
      </c>
      <c r="F9171">
        <v>2</v>
      </c>
      <c r="G9171">
        <v>2</v>
      </c>
      <c r="H9171">
        <v>1</v>
      </c>
      <c r="I9171">
        <v>0</v>
      </c>
      <c r="J9171">
        <v>0.99919289749798201</v>
      </c>
      <c r="K9171">
        <v>1</v>
      </c>
      <c r="L9171">
        <v>0.999596285829633</v>
      </c>
      <c r="M9171">
        <v>0.99757869249394704</v>
      </c>
      <c r="N9171">
        <v>0.99757869249394704</v>
      </c>
      <c r="O9171">
        <v>0.99757869249394704</v>
      </c>
      <c r="P9171" t="s">
        <v>17608</v>
      </c>
      <c r="Q9171" t="s">
        <v>3623</v>
      </c>
      <c r="R9171" t="s">
        <v>1259</v>
      </c>
      <c r="S9171" t="s">
        <v>1260</v>
      </c>
      <c r="T9171" t="s">
        <v>18620</v>
      </c>
      <c r="U9171" t="s">
        <v>2977</v>
      </c>
      <c r="V9171" t="s">
        <v>18621</v>
      </c>
      <c r="W9171" t="s">
        <v>18622</v>
      </c>
      <c r="AD9171" t="s">
        <v>410</v>
      </c>
      <c r="AE9171" t="s">
        <v>603</v>
      </c>
      <c r="AF9171" t="s">
        <v>18624</v>
      </c>
    </row>
    <row r="9172" spans="1:32" hidden="1" x14ac:dyDescent="0.35">
      <c r="A9172">
        <v>9171</v>
      </c>
      <c r="B9172" t="s">
        <v>18625</v>
      </c>
      <c r="C9172" t="s">
        <v>277</v>
      </c>
      <c r="D9172" t="s">
        <v>34</v>
      </c>
      <c r="E9172">
        <v>2109</v>
      </c>
      <c r="F9172">
        <v>2</v>
      </c>
      <c r="G9172">
        <v>2</v>
      </c>
      <c r="H9172">
        <v>1</v>
      </c>
      <c r="I9172">
        <v>0</v>
      </c>
      <c r="J9172">
        <v>0.92592592592592604</v>
      </c>
      <c r="K9172">
        <v>1</v>
      </c>
      <c r="L9172">
        <v>0.96153846153846101</v>
      </c>
      <c r="M9172">
        <v>0.90123456790123502</v>
      </c>
      <c r="N9172">
        <v>0.90123456790123502</v>
      </c>
      <c r="O9172">
        <v>0.90123456790123502</v>
      </c>
      <c r="AF9172" t="s">
        <v>18626</v>
      </c>
    </row>
    <row r="9173" spans="1:32" hidden="1" x14ac:dyDescent="0.35">
      <c r="A9173">
        <v>9172</v>
      </c>
      <c r="B9173" t="s">
        <v>18625</v>
      </c>
      <c r="C9173" t="s">
        <v>277</v>
      </c>
      <c r="D9173" t="s">
        <v>45</v>
      </c>
      <c r="E9173">
        <v>763</v>
      </c>
      <c r="F9173">
        <v>2</v>
      </c>
      <c r="G9173">
        <v>2</v>
      </c>
      <c r="H9173">
        <v>1</v>
      </c>
      <c r="I9173">
        <v>0</v>
      </c>
      <c r="J9173">
        <v>0.92592592592592604</v>
      </c>
      <c r="K9173">
        <v>1</v>
      </c>
      <c r="L9173">
        <v>0.96153846153846101</v>
      </c>
      <c r="M9173">
        <v>0.90123456790123502</v>
      </c>
      <c r="N9173">
        <v>0.90123456790123502</v>
      </c>
      <c r="O9173">
        <v>0.90123456790123502</v>
      </c>
      <c r="AF9173" t="s">
        <v>18627</v>
      </c>
    </row>
    <row r="9174" spans="1:32" hidden="1" x14ac:dyDescent="0.35">
      <c r="A9174">
        <v>9173</v>
      </c>
      <c r="B9174" t="s">
        <v>18628</v>
      </c>
      <c r="C9174" t="s">
        <v>277</v>
      </c>
      <c r="D9174" t="s">
        <v>34</v>
      </c>
      <c r="E9174">
        <v>2313</v>
      </c>
      <c r="F9174">
        <v>2</v>
      </c>
      <c r="G9174">
        <v>2</v>
      </c>
      <c r="H9174">
        <v>1</v>
      </c>
      <c r="I9174">
        <v>0</v>
      </c>
      <c r="J9174">
        <v>0.97482014388489202</v>
      </c>
      <c r="K9174">
        <v>1</v>
      </c>
      <c r="L9174">
        <v>0.98724954462659398</v>
      </c>
      <c r="M9174">
        <v>0.96762589928057596</v>
      </c>
      <c r="N9174">
        <v>0.96762589928057596</v>
      </c>
      <c r="O9174">
        <v>0.96762589928057596</v>
      </c>
      <c r="P9174" t="s">
        <v>18629</v>
      </c>
      <c r="Q9174" t="s">
        <v>18630</v>
      </c>
      <c r="R9174" t="s">
        <v>540</v>
      </c>
      <c r="S9174" t="s">
        <v>541</v>
      </c>
      <c r="T9174" t="s">
        <v>18631</v>
      </c>
      <c r="U9174" t="s">
        <v>18632</v>
      </c>
      <c r="V9174" t="s">
        <v>18633</v>
      </c>
      <c r="W9174" t="s">
        <v>18634</v>
      </c>
      <c r="AD9174" t="s">
        <v>4789</v>
      </c>
      <c r="AE9174" t="s">
        <v>10384</v>
      </c>
      <c r="AF9174" t="s">
        <v>18635</v>
      </c>
    </row>
    <row r="9175" spans="1:32" hidden="1" x14ac:dyDescent="0.35">
      <c r="A9175">
        <v>9174</v>
      </c>
      <c r="B9175" t="s">
        <v>18628</v>
      </c>
      <c r="C9175" t="s">
        <v>277</v>
      </c>
      <c r="D9175" t="s">
        <v>45</v>
      </c>
      <c r="E9175">
        <v>565</v>
      </c>
      <c r="F9175">
        <v>2</v>
      </c>
      <c r="G9175">
        <v>2</v>
      </c>
      <c r="H9175">
        <v>1</v>
      </c>
      <c r="I9175">
        <v>0</v>
      </c>
      <c r="J9175">
        <v>0.97482014388489202</v>
      </c>
      <c r="K9175">
        <v>1</v>
      </c>
      <c r="L9175">
        <v>0.98724954462659398</v>
      </c>
      <c r="M9175">
        <v>0.96762589928057596</v>
      </c>
      <c r="N9175">
        <v>0.96762589928057596</v>
      </c>
      <c r="O9175">
        <v>0.96762589928057596</v>
      </c>
      <c r="P9175" t="s">
        <v>18629</v>
      </c>
      <c r="Q9175" t="s">
        <v>18630</v>
      </c>
      <c r="R9175" t="s">
        <v>540</v>
      </c>
      <c r="S9175" t="s">
        <v>541</v>
      </c>
      <c r="T9175" t="s">
        <v>18631</v>
      </c>
      <c r="U9175" t="s">
        <v>18632</v>
      </c>
      <c r="V9175" t="s">
        <v>18633</v>
      </c>
      <c r="W9175" t="s">
        <v>18634</v>
      </c>
      <c r="AD9175" t="s">
        <v>4789</v>
      </c>
      <c r="AE9175" t="s">
        <v>10384</v>
      </c>
      <c r="AF9175" t="s">
        <v>18636</v>
      </c>
    </row>
    <row r="9176" spans="1:32" hidden="1" x14ac:dyDescent="0.35">
      <c r="A9176">
        <v>9175</v>
      </c>
      <c r="B9176" t="s">
        <v>18637</v>
      </c>
      <c r="C9176" t="s">
        <v>277</v>
      </c>
      <c r="D9176" t="s">
        <v>34</v>
      </c>
      <c r="E9176">
        <v>1339</v>
      </c>
      <c r="F9176">
        <v>2</v>
      </c>
      <c r="G9176">
        <v>2</v>
      </c>
      <c r="H9176">
        <v>1</v>
      </c>
      <c r="I9176">
        <v>0</v>
      </c>
      <c r="J9176">
        <v>0.99665831244778602</v>
      </c>
      <c r="K9176">
        <v>1</v>
      </c>
      <c r="L9176">
        <v>0.99832635983263596</v>
      </c>
      <c r="M9176">
        <v>0.98997493734335795</v>
      </c>
      <c r="N9176">
        <v>0.98997493734335795</v>
      </c>
      <c r="O9176">
        <v>0.98997493734335795</v>
      </c>
      <c r="P9176" t="s">
        <v>18638</v>
      </c>
      <c r="Q9176" t="s">
        <v>18639</v>
      </c>
      <c r="R9176" t="s">
        <v>319</v>
      </c>
      <c r="S9176" t="s">
        <v>320</v>
      </c>
      <c r="T9176" t="s">
        <v>18640</v>
      </c>
      <c r="U9176" t="s">
        <v>18641</v>
      </c>
      <c r="V9176" t="s">
        <v>18642</v>
      </c>
      <c r="W9176" t="s">
        <v>18643</v>
      </c>
      <c r="AD9176" t="s">
        <v>245</v>
      </c>
      <c r="AE9176" t="s">
        <v>18644</v>
      </c>
      <c r="AF9176" t="s">
        <v>18645</v>
      </c>
    </row>
    <row r="9177" spans="1:32" hidden="1" x14ac:dyDescent="0.35">
      <c r="A9177">
        <v>9176</v>
      </c>
      <c r="B9177" t="s">
        <v>18637</v>
      </c>
      <c r="C9177" t="s">
        <v>277</v>
      </c>
      <c r="D9177" t="s">
        <v>45</v>
      </c>
      <c r="E9177">
        <v>90</v>
      </c>
      <c r="F9177">
        <v>2</v>
      </c>
      <c r="G9177">
        <v>2</v>
      </c>
      <c r="H9177">
        <v>1</v>
      </c>
      <c r="I9177">
        <v>0</v>
      </c>
      <c r="J9177">
        <v>0.99665831244778602</v>
      </c>
      <c r="K9177">
        <v>1</v>
      </c>
      <c r="L9177">
        <v>0.99832635983263596</v>
      </c>
      <c r="M9177">
        <v>0.98997493734335795</v>
      </c>
      <c r="N9177">
        <v>0.98997493734335795</v>
      </c>
      <c r="O9177">
        <v>0.98997493734335795</v>
      </c>
      <c r="P9177" t="s">
        <v>18638</v>
      </c>
      <c r="Q9177" t="s">
        <v>18639</v>
      </c>
      <c r="R9177" t="s">
        <v>319</v>
      </c>
      <c r="S9177" t="s">
        <v>320</v>
      </c>
      <c r="T9177" t="s">
        <v>18640</v>
      </c>
      <c r="U9177" t="s">
        <v>18641</v>
      </c>
      <c r="V9177" t="s">
        <v>18642</v>
      </c>
      <c r="W9177" t="s">
        <v>18643</v>
      </c>
      <c r="AD9177" t="s">
        <v>245</v>
      </c>
      <c r="AE9177" t="s">
        <v>18644</v>
      </c>
      <c r="AF9177" t="s">
        <v>18646</v>
      </c>
    </row>
    <row r="9178" spans="1:32" hidden="1" x14ac:dyDescent="0.35">
      <c r="A9178">
        <v>9177</v>
      </c>
      <c r="B9178" t="s">
        <v>18647</v>
      </c>
      <c r="C9178" t="s">
        <v>277</v>
      </c>
      <c r="D9178" t="s">
        <v>34</v>
      </c>
      <c r="E9178">
        <v>1296</v>
      </c>
      <c r="F9178">
        <v>2</v>
      </c>
      <c r="G9178">
        <v>2</v>
      </c>
      <c r="H9178">
        <v>1</v>
      </c>
      <c r="I9178">
        <v>0</v>
      </c>
      <c r="J9178">
        <v>0.972524624157595</v>
      </c>
      <c r="K9178">
        <v>0.98183346172701702</v>
      </c>
      <c r="L9178">
        <v>0.97715687339786095</v>
      </c>
      <c r="M9178">
        <v>0.94656488549618301</v>
      </c>
      <c r="N9178">
        <v>0.94656488549618301</v>
      </c>
      <c r="O9178">
        <v>0.94656488549618301</v>
      </c>
      <c r="P9178" t="s">
        <v>6914</v>
      </c>
      <c r="Q9178" t="s">
        <v>6915</v>
      </c>
      <c r="R9178" t="s">
        <v>96</v>
      </c>
      <c r="S9178" t="s">
        <v>97</v>
      </c>
      <c r="V9178" t="s">
        <v>6918</v>
      </c>
      <c r="W9178" t="s">
        <v>6919</v>
      </c>
      <c r="AF9178" t="s">
        <v>18648</v>
      </c>
    </row>
    <row r="9179" spans="1:32" hidden="1" x14ac:dyDescent="0.35">
      <c r="A9179">
        <v>9178</v>
      </c>
      <c r="B9179" t="s">
        <v>18647</v>
      </c>
      <c r="C9179" t="s">
        <v>277</v>
      </c>
      <c r="D9179" t="s">
        <v>45</v>
      </c>
      <c r="E9179">
        <v>48</v>
      </c>
      <c r="F9179">
        <v>2</v>
      </c>
      <c r="G9179">
        <v>2</v>
      </c>
      <c r="H9179">
        <v>1</v>
      </c>
      <c r="I9179">
        <v>0</v>
      </c>
      <c r="J9179">
        <v>0.972524624157595</v>
      </c>
      <c r="K9179">
        <v>0.98183346172701702</v>
      </c>
      <c r="L9179">
        <v>0.97715687339786095</v>
      </c>
      <c r="M9179">
        <v>0.94656488549618301</v>
      </c>
      <c r="N9179">
        <v>0.94656488549618301</v>
      </c>
      <c r="O9179">
        <v>0.94656488549618301</v>
      </c>
      <c r="P9179" t="s">
        <v>6914</v>
      </c>
      <c r="Q9179" t="s">
        <v>6915</v>
      </c>
      <c r="R9179" t="s">
        <v>96</v>
      </c>
      <c r="S9179" t="s">
        <v>97</v>
      </c>
      <c r="V9179" t="s">
        <v>6918</v>
      </c>
      <c r="W9179" t="s">
        <v>6919</v>
      </c>
      <c r="AF9179" t="s">
        <v>18649</v>
      </c>
    </row>
    <row r="9180" spans="1:32" hidden="1" x14ac:dyDescent="0.35">
      <c r="A9180">
        <v>9179</v>
      </c>
      <c r="B9180" t="s">
        <v>18650</v>
      </c>
      <c r="C9180" t="s">
        <v>277</v>
      </c>
      <c r="D9180" t="s">
        <v>34</v>
      </c>
      <c r="E9180">
        <v>839</v>
      </c>
      <c r="F9180">
        <v>2</v>
      </c>
      <c r="G9180">
        <v>2</v>
      </c>
      <c r="H9180">
        <v>1</v>
      </c>
      <c r="I9180">
        <v>0</v>
      </c>
      <c r="J9180">
        <v>0.990291262135922</v>
      </c>
      <c r="K9180">
        <v>1</v>
      </c>
      <c r="L9180">
        <v>0.99512195121951197</v>
      </c>
      <c r="M9180">
        <v>0.980582524271845</v>
      </c>
      <c r="N9180">
        <v>0.980582524271845</v>
      </c>
      <c r="O9180">
        <v>0.980582524271845</v>
      </c>
      <c r="P9180" t="s">
        <v>11564</v>
      </c>
      <c r="Q9180" t="s">
        <v>11565</v>
      </c>
      <c r="R9180" t="s">
        <v>288</v>
      </c>
      <c r="S9180" t="s">
        <v>289</v>
      </c>
      <c r="T9180" t="s">
        <v>18651</v>
      </c>
      <c r="U9180" t="s">
        <v>407</v>
      </c>
      <c r="V9180" t="s">
        <v>14175</v>
      </c>
      <c r="W9180" t="s">
        <v>14176</v>
      </c>
      <c r="AD9180" t="s">
        <v>410</v>
      </c>
      <c r="AE9180" t="s">
        <v>411</v>
      </c>
      <c r="AF9180" t="s">
        <v>18652</v>
      </c>
    </row>
    <row r="9181" spans="1:32" hidden="1" x14ac:dyDescent="0.35">
      <c r="A9181">
        <v>9180</v>
      </c>
      <c r="B9181" t="s">
        <v>18650</v>
      </c>
      <c r="C9181" t="s">
        <v>277</v>
      </c>
      <c r="D9181" t="s">
        <v>45</v>
      </c>
      <c r="E9181">
        <v>2096</v>
      </c>
      <c r="F9181">
        <v>2</v>
      </c>
      <c r="G9181">
        <v>2</v>
      </c>
      <c r="H9181">
        <v>1</v>
      </c>
      <c r="I9181">
        <v>0</v>
      </c>
      <c r="J9181">
        <v>0.990291262135922</v>
      </c>
      <c r="K9181">
        <v>1</v>
      </c>
      <c r="L9181">
        <v>0.99512195121951197</v>
      </c>
      <c r="M9181">
        <v>0.980582524271845</v>
      </c>
      <c r="N9181">
        <v>0.980582524271845</v>
      </c>
      <c r="O9181">
        <v>0.980582524271845</v>
      </c>
      <c r="P9181" t="s">
        <v>11564</v>
      </c>
      <c r="Q9181" t="s">
        <v>11565</v>
      </c>
      <c r="R9181" t="s">
        <v>288</v>
      </c>
      <c r="S9181" t="s">
        <v>289</v>
      </c>
      <c r="T9181" t="s">
        <v>18651</v>
      </c>
      <c r="U9181" t="s">
        <v>407</v>
      </c>
      <c r="V9181" t="s">
        <v>14175</v>
      </c>
      <c r="W9181" t="s">
        <v>14176</v>
      </c>
      <c r="AD9181" t="s">
        <v>410</v>
      </c>
      <c r="AE9181" t="s">
        <v>411</v>
      </c>
      <c r="AF9181" t="s">
        <v>18653</v>
      </c>
    </row>
    <row r="9182" spans="1:32" hidden="1" x14ac:dyDescent="0.35">
      <c r="A9182">
        <v>9181</v>
      </c>
      <c r="B9182" t="s">
        <v>18654</v>
      </c>
      <c r="C9182" t="s">
        <v>277</v>
      </c>
      <c r="D9182" t="s">
        <v>34</v>
      </c>
      <c r="E9182">
        <v>1831</v>
      </c>
      <c r="F9182">
        <v>2</v>
      </c>
      <c r="G9182">
        <v>2</v>
      </c>
      <c r="H9182">
        <v>1</v>
      </c>
      <c r="I9182">
        <v>0</v>
      </c>
      <c r="J9182">
        <v>0.99203187250996006</v>
      </c>
      <c r="K9182">
        <v>1</v>
      </c>
      <c r="L9182">
        <v>0.996</v>
      </c>
      <c r="M9182">
        <v>0.99203187250996006</v>
      </c>
      <c r="N9182">
        <v>0.99203187250996006</v>
      </c>
      <c r="O9182">
        <v>0.99203187250996006</v>
      </c>
      <c r="R9182" t="s">
        <v>113</v>
      </c>
      <c r="S9182" t="s">
        <v>114</v>
      </c>
      <c r="V9182" t="s">
        <v>15177</v>
      </c>
      <c r="W9182" t="s">
        <v>15178</v>
      </c>
      <c r="AF9182" t="s">
        <v>18655</v>
      </c>
    </row>
    <row r="9183" spans="1:32" hidden="1" x14ac:dyDescent="0.35">
      <c r="A9183">
        <v>9182</v>
      </c>
      <c r="B9183" t="s">
        <v>18654</v>
      </c>
      <c r="C9183" t="s">
        <v>277</v>
      </c>
      <c r="D9183" t="s">
        <v>45</v>
      </c>
      <c r="E9183">
        <v>1042</v>
      </c>
      <c r="F9183">
        <v>2</v>
      </c>
      <c r="G9183">
        <v>2</v>
      </c>
      <c r="H9183">
        <v>1</v>
      </c>
      <c r="I9183">
        <v>0</v>
      </c>
      <c r="J9183">
        <v>0.99203187250996006</v>
      </c>
      <c r="K9183">
        <v>1</v>
      </c>
      <c r="L9183">
        <v>0.996</v>
      </c>
      <c r="M9183">
        <v>0.99203187250996006</v>
      </c>
      <c r="N9183">
        <v>0.99203187250996006</v>
      </c>
      <c r="O9183">
        <v>0.99203187250996006</v>
      </c>
      <c r="R9183" t="s">
        <v>113</v>
      </c>
      <c r="S9183" t="s">
        <v>114</v>
      </c>
      <c r="V9183" t="s">
        <v>15177</v>
      </c>
      <c r="W9183" t="s">
        <v>15178</v>
      </c>
      <c r="AF9183" t="s">
        <v>18656</v>
      </c>
    </row>
    <row r="9184" spans="1:32" hidden="1" x14ac:dyDescent="0.35">
      <c r="A9184">
        <v>9183</v>
      </c>
      <c r="B9184" t="s">
        <v>18657</v>
      </c>
      <c r="C9184" t="s">
        <v>277</v>
      </c>
      <c r="D9184" t="s">
        <v>34</v>
      </c>
      <c r="E9184">
        <v>1550</v>
      </c>
      <c r="F9184">
        <v>2</v>
      </c>
      <c r="G9184">
        <v>2</v>
      </c>
      <c r="H9184">
        <v>1</v>
      </c>
      <c r="I9184">
        <v>0</v>
      </c>
      <c r="J9184">
        <v>0.96894409937888204</v>
      </c>
      <c r="K9184">
        <v>1</v>
      </c>
      <c r="L9184">
        <v>0.98422712933753898</v>
      </c>
      <c r="M9184">
        <v>0.96894409937888204</v>
      </c>
      <c r="N9184">
        <v>0.96894409937888204</v>
      </c>
      <c r="O9184">
        <v>0.96894409937888204</v>
      </c>
      <c r="P9184" t="s">
        <v>18352</v>
      </c>
      <c r="Q9184" t="s">
        <v>10345</v>
      </c>
      <c r="R9184" t="s">
        <v>113</v>
      </c>
      <c r="S9184" t="s">
        <v>114</v>
      </c>
      <c r="V9184" t="s">
        <v>2167</v>
      </c>
      <c r="W9184" t="s">
        <v>2168</v>
      </c>
      <c r="AF9184" t="s">
        <v>18658</v>
      </c>
    </row>
    <row r="9185" spans="1:32" hidden="1" x14ac:dyDescent="0.35">
      <c r="A9185">
        <v>9184</v>
      </c>
      <c r="B9185" t="s">
        <v>18657</v>
      </c>
      <c r="C9185" t="s">
        <v>277</v>
      </c>
      <c r="D9185" t="s">
        <v>45</v>
      </c>
      <c r="E9185">
        <v>300</v>
      </c>
      <c r="F9185">
        <v>2</v>
      </c>
      <c r="G9185">
        <v>2</v>
      </c>
      <c r="H9185">
        <v>1</v>
      </c>
      <c r="I9185">
        <v>0</v>
      </c>
      <c r="J9185">
        <v>0.96894409937888204</v>
      </c>
      <c r="K9185">
        <v>1</v>
      </c>
      <c r="L9185">
        <v>0.98422712933753898</v>
      </c>
      <c r="M9185">
        <v>0.96894409937888204</v>
      </c>
      <c r="N9185">
        <v>0.96894409937888204</v>
      </c>
      <c r="O9185">
        <v>0.96894409937888204</v>
      </c>
      <c r="P9185" t="s">
        <v>18352</v>
      </c>
      <c r="Q9185" t="s">
        <v>10345</v>
      </c>
      <c r="R9185" t="s">
        <v>113</v>
      </c>
      <c r="S9185" t="s">
        <v>114</v>
      </c>
      <c r="V9185" t="s">
        <v>2167</v>
      </c>
      <c r="W9185" t="s">
        <v>2168</v>
      </c>
      <c r="AF9185" t="s">
        <v>18659</v>
      </c>
    </row>
    <row r="9186" spans="1:32" hidden="1" x14ac:dyDescent="0.35">
      <c r="A9186">
        <v>9185</v>
      </c>
      <c r="B9186" t="s">
        <v>18660</v>
      </c>
      <c r="C9186" t="s">
        <v>277</v>
      </c>
      <c r="D9186" t="s">
        <v>34</v>
      </c>
      <c r="E9186">
        <v>1064</v>
      </c>
      <c r="F9186">
        <v>2</v>
      </c>
      <c r="G9186">
        <v>2</v>
      </c>
      <c r="H9186">
        <v>1</v>
      </c>
      <c r="I9186">
        <v>0</v>
      </c>
      <c r="J9186">
        <v>0.99121027721433397</v>
      </c>
      <c r="K9186">
        <v>0.91513657835284801</v>
      </c>
      <c r="L9186">
        <v>0.95165554879909098</v>
      </c>
      <c r="M9186">
        <v>0.89833641404805897</v>
      </c>
      <c r="N9186">
        <v>0.89833641404805897</v>
      </c>
      <c r="O9186">
        <v>0.89833641404805897</v>
      </c>
      <c r="P9186" t="s">
        <v>169</v>
      </c>
      <c r="Q9186" t="s">
        <v>170</v>
      </c>
      <c r="R9186" t="s">
        <v>1869</v>
      </c>
      <c r="S9186" t="s">
        <v>1870</v>
      </c>
      <c r="V9186" t="s">
        <v>18661</v>
      </c>
      <c r="W9186" t="s">
        <v>18662</v>
      </c>
      <c r="AF9186" t="s">
        <v>18663</v>
      </c>
    </row>
    <row r="9187" spans="1:32" hidden="1" x14ac:dyDescent="0.35">
      <c r="A9187">
        <v>9186</v>
      </c>
      <c r="B9187" t="s">
        <v>18660</v>
      </c>
      <c r="C9187" t="s">
        <v>277</v>
      </c>
      <c r="D9187" t="s">
        <v>45</v>
      </c>
      <c r="E9187">
        <v>2321</v>
      </c>
      <c r="F9187">
        <v>2</v>
      </c>
      <c r="G9187">
        <v>2</v>
      </c>
      <c r="H9187">
        <v>1</v>
      </c>
      <c r="I9187">
        <v>0</v>
      </c>
      <c r="J9187">
        <v>0.99121027721433397</v>
      </c>
      <c r="K9187">
        <v>0.91513657835284801</v>
      </c>
      <c r="L9187">
        <v>0.95165554879909098</v>
      </c>
      <c r="M9187">
        <v>0.89833641404805897</v>
      </c>
      <c r="N9187">
        <v>0.89833641404805897</v>
      </c>
      <c r="O9187">
        <v>0.89833641404805897</v>
      </c>
      <c r="P9187" t="s">
        <v>169</v>
      </c>
      <c r="Q9187" t="s">
        <v>170</v>
      </c>
      <c r="R9187" t="s">
        <v>1869</v>
      </c>
      <c r="S9187" t="s">
        <v>1870</v>
      </c>
      <c r="V9187" t="s">
        <v>18661</v>
      </c>
      <c r="W9187" t="s">
        <v>18662</v>
      </c>
      <c r="AF9187" t="s">
        <v>18664</v>
      </c>
    </row>
    <row r="9188" spans="1:32" hidden="1" x14ac:dyDescent="0.35">
      <c r="A9188">
        <v>9187</v>
      </c>
      <c r="B9188" t="s">
        <v>18665</v>
      </c>
      <c r="C9188" t="s">
        <v>277</v>
      </c>
      <c r="D9188" t="s">
        <v>60</v>
      </c>
      <c r="E9188">
        <v>2535</v>
      </c>
      <c r="F9188">
        <v>2</v>
      </c>
      <c r="G9188">
        <v>2</v>
      </c>
      <c r="H9188">
        <v>1</v>
      </c>
      <c r="I9188">
        <v>0</v>
      </c>
      <c r="J9188">
        <v>0.99</v>
      </c>
      <c r="K9188">
        <v>1</v>
      </c>
      <c r="L9188">
        <v>0.99497487437185905</v>
      </c>
      <c r="M9188">
        <v>0.99</v>
      </c>
      <c r="N9188">
        <v>0.99</v>
      </c>
      <c r="O9188">
        <v>0.99</v>
      </c>
      <c r="AF9188" t="s">
        <v>18666</v>
      </c>
    </row>
    <row r="9189" spans="1:32" hidden="1" x14ac:dyDescent="0.35">
      <c r="A9189">
        <v>9188</v>
      </c>
      <c r="B9189" t="s">
        <v>18665</v>
      </c>
      <c r="C9189" t="s">
        <v>277</v>
      </c>
      <c r="D9189" t="s">
        <v>62</v>
      </c>
      <c r="E9189">
        <v>60</v>
      </c>
      <c r="F9189">
        <v>2</v>
      </c>
      <c r="G9189">
        <v>2</v>
      </c>
      <c r="H9189">
        <v>1</v>
      </c>
      <c r="I9189">
        <v>0</v>
      </c>
      <c r="J9189">
        <v>0.99</v>
      </c>
      <c r="K9189">
        <v>1</v>
      </c>
      <c r="L9189">
        <v>0.99497487437185905</v>
      </c>
      <c r="M9189">
        <v>0.99</v>
      </c>
      <c r="N9189">
        <v>0.99</v>
      </c>
      <c r="O9189">
        <v>0.99</v>
      </c>
      <c r="AF9189" t="s">
        <v>18667</v>
      </c>
    </row>
    <row r="9190" spans="1:32" hidden="1" x14ac:dyDescent="0.35">
      <c r="A9190">
        <v>9189</v>
      </c>
      <c r="B9190" t="s">
        <v>18668</v>
      </c>
      <c r="C9190" t="s">
        <v>277</v>
      </c>
      <c r="D9190" t="s">
        <v>34</v>
      </c>
      <c r="E9190">
        <v>867</v>
      </c>
      <c r="F9190">
        <v>2</v>
      </c>
      <c r="G9190">
        <v>2</v>
      </c>
      <c r="H9190">
        <v>1</v>
      </c>
      <c r="I9190">
        <v>0</v>
      </c>
      <c r="J9190">
        <v>0.98913043478260898</v>
      </c>
      <c r="K9190">
        <v>1</v>
      </c>
      <c r="L9190">
        <v>0.99453551912568305</v>
      </c>
      <c r="M9190">
        <v>0.98913043478260898</v>
      </c>
      <c r="N9190">
        <v>0.98913043478260898</v>
      </c>
      <c r="O9190">
        <v>0.98913043478260898</v>
      </c>
      <c r="P9190" t="s">
        <v>14500</v>
      </c>
      <c r="Q9190" t="s">
        <v>14501</v>
      </c>
      <c r="AF9190" t="s">
        <v>18669</v>
      </c>
    </row>
    <row r="9191" spans="1:32" hidden="1" x14ac:dyDescent="0.35">
      <c r="A9191">
        <v>9190</v>
      </c>
      <c r="B9191" t="s">
        <v>18668</v>
      </c>
      <c r="C9191" t="s">
        <v>277</v>
      </c>
      <c r="D9191" t="s">
        <v>45</v>
      </c>
      <c r="E9191">
        <v>2124</v>
      </c>
      <c r="F9191">
        <v>2</v>
      </c>
      <c r="G9191">
        <v>2</v>
      </c>
      <c r="H9191">
        <v>1</v>
      </c>
      <c r="I9191">
        <v>0</v>
      </c>
      <c r="J9191">
        <v>0.98913043478260898</v>
      </c>
      <c r="K9191">
        <v>1</v>
      </c>
      <c r="L9191">
        <v>0.99453551912568305</v>
      </c>
      <c r="M9191">
        <v>0.98913043478260898</v>
      </c>
      <c r="N9191">
        <v>0.98913043478260898</v>
      </c>
      <c r="O9191">
        <v>0.98913043478260898</v>
      </c>
      <c r="P9191" t="s">
        <v>14500</v>
      </c>
      <c r="Q9191" t="s">
        <v>14501</v>
      </c>
      <c r="AF9191" t="s">
        <v>18670</v>
      </c>
    </row>
    <row r="9192" spans="1:32" hidden="1" x14ac:dyDescent="0.35">
      <c r="A9192">
        <v>9191</v>
      </c>
      <c r="B9192" t="s">
        <v>18671</v>
      </c>
      <c r="C9192" t="s">
        <v>277</v>
      </c>
      <c r="D9192" t="s">
        <v>60</v>
      </c>
      <c r="E9192">
        <v>228</v>
      </c>
      <c r="F9192">
        <v>2</v>
      </c>
      <c r="G9192">
        <v>2</v>
      </c>
      <c r="H9192">
        <v>1</v>
      </c>
      <c r="I9192">
        <v>0</v>
      </c>
      <c r="J9192">
        <v>0.99501424501424496</v>
      </c>
      <c r="K9192">
        <v>1</v>
      </c>
      <c r="L9192">
        <v>0.99750089253837904</v>
      </c>
      <c r="M9192">
        <v>0.98931623931623902</v>
      </c>
      <c r="N9192">
        <v>0.98931623931623902</v>
      </c>
      <c r="O9192">
        <v>0.98931623931623902</v>
      </c>
      <c r="P9192" t="s">
        <v>4358</v>
      </c>
      <c r="Q9192" t="s">
        <v>4359</v>
      </c>
      <c r="R9192" t="s">
        <v>319</v>
      </c>
      <c r="S9192" t="s">
        <v>320</v>
      </c>
      <c r="V9192" t="s">
        <v>4360</v>
      </c>
      <c r="W9192" t="s">
        <v>4361</v>
      </c>
      <c r="AF9192" t="s">
        <v>18672</v>
      </c>
    </row>
    <row r="9193" spans="1:32" hidden="1" x14ac:dyDescent="0.35">
      <c r="A9193">
        <v>9192</v>
      </c>
      <c r="B9193" t="s">
        <v>18671</v>
      </c>
      <c r="C9193" t="s">
        <v>277</v>
      </c>
      <c r="D9193" t="s">
        <v>62</v>
      </c>
      <c r="E9193">
        <v>305</v>
      </c>
      <c r="F9193">
        <v>2</v>
      </c>
      <c r="G9193">
        <v>2</v>
      </c>
      <c r="H9193">
        <v>1</v>
      </c>
      <c r="I9193">
        <v>0</v>
      </c>
      <c r="J9193">
        <v>0.99501424501424496</v>
      </c>
      <c r="K9193">
        <v>1</v>
      </c>
      <c r="L9193">
        <v>0.99750089253837904</v>
      </c>
      <c r="M9193">
        <v>0.98931623931623902</v>
      </c>
      <c r="N9193">
        <v>0.98931623931623902</v>
      </c>
      <c r="O9193">
        <v>0.98931623931623902</v>
      </c>
      <c r="P9193" t="s">
        <v>4358</v>
      </c>
      <c r="Q9193" t="s">
        <v>4359</v>
      </c>
      <c r="R9193" t="s">
        <v>319</v>
      </c>
      <c r="S9193" t="s">
        <v>320</v>
      </c>
      <c r="V9193" t="s">
        <v>4360</v>
      </c>
      <c r="W9193" t="s">
        <v>4361</v>
      </c>
      <c r="AF9193" t="s">
        <v>18673</v>
      </c>
    </row>
    <row r="9194" spans="1:32" hidden="1" x14ac:dyDescent="0.35">
      <c r="A9194">
        <v>9193</v>
      </c>
      <c r="B9194" t="s">
        <v>18674</v>
      </c>
      <c r="C9194" t="s">
        <v>277</v>
      </c>
      <c r="D9194" t="s">
        <v>60</v>
      </c>
      <c r="E9194">
        <v>558</v>
      </c>
      <c r="F9194">
        <v>2</v>
      </c>
      <c r="G9194">
        <v>2</v>
      </c>
      <c r="H9194">
        <v>1</v>
      </c>
      <c r="I9194">
        <v>0</v>
      </c>
      <c r="J9194">
        <v>0.989489489489489</v>
      </c>
      <c r="K9194">
        <v>0.98891385618835903</v>
      </c>
      <c r="L9194">
        <v>0.98920158909621902</v>
      </c>
      <c r="M9194">
        <v>0.97550111358574598</v>
      </c>
      <c r="N9194">
        <v>0.97550111358574598</v>
      </c>
      <c r="O9194">
        <v>0.97550111358574598</v>
      </c>
      <c r="P9194" t="s">
        <v>18675</v>
      </c>
      <c r="Q9194" t="s">
        <v>18676</v>
      </c>
      <c r="R9194" t="s">
        <v>652</v>
      </c>
      <c r="S9194" t="s">
        <v>653</v>
      </c>
      <c r="T9194" t="s">
        <v>18677</v>
      </c>
      <c r="U9194" t="s">
        <v>18678</v>
      </c>
      <c r="V9194" t="s">
        <v>18679</v>
      </c>
      <c r="W9194" t="s">
        <v>18680</v>
      </c>
      <c r="AD9194" t="s">
        <v>245</v>
      </c>
      <c r="AE9194" t="s">
        <v>15490</v>
      </c>
      <c r="AF9194" t="s">
        <v>18681</v>
      </c>
    </row>
    <row r="9195" spans="1:32" hidden="1" x14ac:dyDescent="0.35">
      <c r="A9195">
        <v>9194</v>
      </c>
      <c r="B9195" t="s">
        <v>18674</v>
      </c>
      <c r="C9195" t="s">
        <v>277</v>
      </c>
      <c r="D9195" t="s">
        <v>62</v>
      </c>
      <c r="E9195">
        <v>642</v>
      </c>
      <c r="F9195">
        <v>2</v>
      </c>
      <c r="G9195">
        <v>2</v>
      </c>
      <c r="H9195">
        <v>1</v>
      </c>
      <c r="I9195">
        <v>0</v>
      </c>
      <c r="J9195">
        <v>0.989489489489489</v>
      </c>
      <c r="K9195">
        <v>0.98891385618835903</v>
      </c>
      <c r="L9195">
        <v>0.98920158909621902</v>
      </c>
      <c r="M9195">
        <v>0.97550111358574598</v>
      </c>
      <c r="N9195">
        <v>0.97550111358574598</v>
      </c>
      <c r="O9195">
        <v>0.97550111358574598</v>
      </c>
      <c r="P9195" t="s">
        <v>18675</v>
      </c>
      <c r="Q9195" t="s">
        <v>18676</v>
      </c>
      <c r="R9195" t="s">
        <v>652</v>
      </c>
      <c r="S9195" t="s">
        <v>653</v>
      </c>
      <c r="T9195" t="s">
        <v>18677</v>
      </c>
      <c r="U9195" t="s">
        <v>18678</v>
      </c>
      <c r="V9195" t="s">
        <v>18679</v>
      </c>
      <c r="W9195" t="s">
        <v>18680</v>
      </c>
      <c r="AD9195" t="s">
        <v>245</v>
      </c>
      <c r="AE9195" t="s">
        <v>15490</v>
      </c>
      <c r="AF9195" t="s">
        <v>18682</v>
      </c>
    </row>
    <row r="9196" spans="1:32" hidden="1" x14ac:dyDescent="0.35">
      <c r="A9196">
        <v>9195</v>
      </c>
      <c r="B9196" t="s">
        <v>18683</v>
      </c>
      <c r="C9196" t="s">
        <v>277</v>
      </c>
      <c r="D9196" t="s">
        <v>60</v>
      </c>
      <c r="E9196">
        <v>2135</v>
      </c>
      <c r="F9196">
        <v>2</v>
      </c>
      <c r="G9196">
        <v>2</v>
      </c>
      <c r="H9196">
        <v>1</v>
      </c>
      <c r="I9196">
        <v>0</v>
      </c>
      <c r="J9196">
        <v>0.98979591836734704</v>
      </c>
      <c r="K9196">
        <v>1</v>
      </c>
      <c r="L9196">
        <v>0.994871794871795</v>
      </c>
      <c r="M9196">
        <v>0.98979591836734704</v>
      </c>
      <c r="N9196">
        <v>0.98979591836734704</v>
      </c>
      <c r="O9196">
        <v>0.98979591836734704</v>
      </c>
      <c r="P9196" t="s">
        <v>18482</v>
      </c>
      <c r="Q9196" t="s">
        <v>18483</v>
      </c>
      <c r="T9196" t="s">
        <v>18486</v>
      </c>
      <c r="U9196" t="s">
        <v>18487</v>
      </c>
      <c r="AD9196" t="s">
        <v>166</v>
      </c>
      <c r="AE9196" t="s">
        <v>2843</v>
      </c>
      <c r="AF9196" t="s">
        <v>18684</v>
      </c>
    </row>
    <row r="9197" spans="1:32" hidden="1" x14ac:dyDescent="0.35">
      <c r="A9197">
        <v>9196</v>
      </c>
      <c r="B9197" t="s">
        <v>18683</v>
      </c>
      <c r="C9197" t="s">
        <v>277</v>
      </c>
      <c r="D9197" t="s">
        <v>62</v>
      </c>
      <c r="E9197">
        <v>2168</v>
      </c>
      <c r="F9197">
        <v>2</v>
      </c>
      <c r="G9197">
        <v>2</v>
      </c>
      <c r="H9197">
        <v>1</v>
      </c>
      <c r="I9197">
        <v>0</v>
      </c>
      <c r="J9197">
        <v>0.98979591836734704</v>
      </c>
      <c r="K9197">
        <v>1</v>
      </c>
      <c r="L9197">
        <v>0.994871794871795</v>
      </c>
      <c r="M9197">
        <v>0.98979591836734704</v>
      </c>
      <c r="N9197">
        <v>0.98979591836734704</v>
      </c>
      <c r="O9197">
        <v>0.98979591836734704</v>
      </c>
      <c r="P9197" t="s">
        <v>18482</v>
      </c>
      <c r="Q9197" t="s">
        <v>18483</v>
      </c>
      <c r="T9197" t="s">
        <v>18486</v>
      </c>
      <c r="U9197" t="s">
        <v>18487</v>
      </c>
      <c r="AD9197" t="s">
        <v>166</v>
      </c>
      <c r="AE9197" t="s">
        <v>2843</v>
      </c>
      <c r="AF9197" t="s">
        <v>18685</v>
      </c>
    </row>
    <row r="9198" spans="1:32" hidden="1" x14ac:dyDescent="0.35">
      <c r="A9198">
        <v>9197</v>
      </c>
      <c r="B9198" t="s">
        <v>18686</v>
      </c>
      <c r="C9198" t="s">
        <v>277</v>
      </c>
      <c r="D9198" t="s">
        <v>34</v>
      </c>
      <c r="E9198">
        <v>15</v>
      </c>
      <c r="F9198">
        <v>2</v>
      </c>
      <c r="G9198">
        <v>2</v>
      </c>
      <c r="H9198">
        <v>1</v>
      </c>
      <c r="I9198">
        <v>0</v>
      </c>
      <c r="J9198">
        <v>0.99825479930191996</v>
      </c>
      <c r="K9198">
        <v>1</v>
      </c>
      <c r="L9198">
        <v>0.99912663755458497</v>
      </c>
      <c r="M9198">
        <v>0.99476439790575899</v>
      </c>
      <c r="N9198">
        <v>0.99476439790575899</v>
      </c>
      <c r="O9198">
        <v>0.99476439790575899</v>
      </c>
      <c r="P9198" t="s">
        <v>17417</v>
      </c>
      <c r="Q9198" t="s">
        <v>10345</v>
      </c>
      <c r="R9198" t="s">
        <v>113</v>
      </c>
      <c r="S9198" t="s">
        <v>114</v>
      </c>
      <c r="V9198" t="s">
        <v>2167</v>
      </c>
      <c r="W9198" t="s">
        <v>2168</v>
      </c>
      <c r="AF9198" t="s">
        <v>18687</v>
      </c>
    </row>
    <row r="9199" spans="1:32" hidden="1" x14ac:dyDescent="0.35">
      <c r="A9199">
        <v>9198</v>
      </c>
      <c r="B9199" t="s">
        <v>18686</v>
      </c>
      <c r="C9199" t="s">
        <v>277</v>
      </c>
      <c r="D9199" t="s">
        <v>45</v>
      </c>
      <c r="E9199">
        <v>1271</v>
      </c>
      <c r="F9199">
        <v>2</v>
      </c>
      <c r="G9199">
        <v>2</v>
      </c>
      <c r="H9199">
        <v>1</v>
      </c>
      <c r="I9199">
        <v>0</v>
      </c>
      <c r="J9199">
        <v>0.99825479930191996</v>
      </c>
      <c r="K9199">
        <v>1</v>
      </c>
      <c r="L9199">
        <v>0.99912663755458497</v>
      </c>
      <c r="M9199">
        <v>0.99476439790575899</v>
      </c>
      <c r="N9199">
        <v>0.99476439790575899</v>
      </c>
      <c r="O9199">
        <v>0.99476439790575899</v>
      </c>
      <c r="P9199" t="s">
        <v>17417</v>
      </c>
      <c r="Q9199" t="s">
        <v>10345</v>
      </c>
      <c r="R9199" t="s">
        <v>113</v>
      </c>
      <c r="S9199" t="s">
        <v>114</v>
      </c>
      <c r="V9199" t="s">
        <v>2167</v>
      </c>
      <c r="W9199" t="s">
        <v>2168</v>
      </c>
      <c r="AF9199" t="s">
        <v>18688</v>
      </c>
    </row>
    <row r="9200" spans="1:32" hidden="1" x14ac:dyDescent="0.35">
      <c r="A9200">
        <v>9199</v>
      </c>
      <c r="B9200" t="s">
        <v>18689</v>
      </c>
      <c r="C9200" t="s">
        <v>277</v>
      </c>
      <c r="D9200" t="s">
        <v>60</v>
      </c>
      <c r="E9200">
        <v>1043</v>
      </c>
      <c r="F9200">
        <v>2</v>
      </c>
      <c r="G9200">
        <v>2</v>
      </c>
      <c r="H9200">
        <v>1</v>
      </c>
      <c r="I9200">
        <v>0</v>
      </c>
      <c r="J9200">
        <v>0.99209039548022604</v>
      </c>
      <c r="K9200">
        <v>1</v>
      </c>
      <c r="L9200">
        <v>0.99602949517867301</v>
      </c>
      <c r="M9200">
        <v>0.98983050847457599</v>
      </c>
      <c r="N9200">
        <v>0.98983050847457599</v>
      </c>
      <c r="O9200">
        <v>0.98983050847457599</v>
      </c>
      <c r="P9200" t="s">
        <v>18690</v>
      </c>
      <c r="Q9200" t="s">
        <v>18691</v>
      </c>
      <c r="AF9200" t="s">
        <v>18692</v>
      </c>
    </row>
    <row r="9201" spans="1:32" hidden="1" x14ac:dyDescent="0.35">
      <c r="A9201">
        <v>9200</v>
      </c>
      <c r="B9201" t="s">
        <v>18689</v>
      </c>
      <c r="C9201" t="s">
        <v>277</v>
      </c>
      <c r="D9201" t="s">
        <v>62</v>
      </c>
      <c r="E9201">
        <v>1079</v>
      </c>
      <c r="F9201">
        <v>2</v>
      </c>
      <c r="G9201">
        <v>2</v>
      </c>
      <c r="H9201">
        <v>1</v>
      </c>
      <c r="I9201">
        <v>0</v>
      </c>
      <c r="J9201">
        <v>0.99209039548022604</v>
      </c>
      <c r="K9201">
        <v>1</v>
      </c>
      <c r="L9201">
        <v>0.99602949517867301</v>
      </c>
      <c r="M9201">
        <v>0.98983050847457599</v>
      </c>
      <c r="N9201">
        <v>0.98983050847457599</v>
      </c>
      <c r="O9201">
        <v>0.98983050847457599</v>
      </c>
      <c r="P9201" t="s">
        <v>18690</v>
      </c>
      <c r="Q9201" t="s">
        <v>18691</v>
      </c>
      <c r="AF9201" t="s">
        <v>18693</v>
      </c>
    </row>
    <row r="9202" spans="1:32" hidden="1" x14ac:dyDescent="0.35">
      <c r="A9202">
        <v>9201</v>
      </c>
      <c r="B9202" t="s">
        <v>18694</v>
      </c>
      <c r="C9202" t="s">
        <v>277</v>
      </c>
      <c r="D9202" t="s">
        <v>60</v>
      </c>
      <c r="E9202">
        <v>1346</v>
      </c>
      <c r="F9202">
        <v>2</v>
      </c>
      <c r="G9202">
        <v>2</v>
      </c>
      <c r="H9202">
        <v>1</v>
      </c>
      <c r="I9202">
        <v>0</v>
      </c>
      <c r="J9202">
        <v>0.99858757062146897</v>
      </c>
      <c r="K9202">
        <v>1</v>
      </c>
      <c r="L9202">
        <v>0.99929328621908098</v>
      </c>
      <c r="M9202">
        <v>0.99576271186440701</v>
      </c>
      <c r="N9202">
        <v>0.99576271186440701</v>
      </c>
      <c r="O9202">
        <v>0.99576271186440701</v>
      </c>
      <c r="P9202" t="s">
        <v>1711</v>
      </c>
      <c r="Q9202" t="s">
        <v>1712</v>
      </c>
      <c r="R9202" t="s">
        <v>869</v>
      </c>
      <c r="S9202" t="s">
        <v>870</v>
      </c>
      <c r="T9202" t="s">
        <v>15820</v>
      </c>
      <c r="U9202" t="s">
        <v>15821</v>
      </c>
      <c r="V9202" t="s">
        <v>15822</v>
      </c>
      <c r="W9202" t="s">
        <v>15823</v>
      </c>
      <c r="AD9202" t="s">
        <v>410</v>
      </c>
      <c r="AE9202" t="s">
        <v>11908</v>
      </c>
      <c r="AF9202" t="s">
        <v>18695</v>
      </c>
    </row>
    <row r="9203" spans="1:32" hidden="1" x14ac:dyDescent="0.35">
      <c r="A9203">
        <v>9202</v>
      </c>
      <c r="B9203" t="s">
        <v>18694</v>
      </c>
      <c r="C9203" t="s">
        <v>277</v>
      </c>
      <c r="D9203" t="s">
        <v>62</v>
      </c>
      <c r="E9203">
        <v>1382</v>
      </c>
      <c r="F9203">
        <v>2</v>
      </c>
      <c r="G9203">
        <v>2</v>
      </c>
      <c r="H9203">
        <v>1</v>
      </c>
      <c r="I9203">
        <v>0</v>
      </c>
      <c r="J9203">
        <v>0.99858757062146897</v>
      </c>
      <c r="K9203">
        <v>1</v>
      </c>
      <c r="L9203">
        <v>0.99929328621908098</v>
      </c>
      <c r="M9203">
        <v>0.99576271186440701</v>
      </c>
      <c r="N9203">
        <v>0.99576271186440701</v>
      </c>
      <c r="O9203">
        <v>0.99576271186440701</v>
      </c>
      <c r="P9203" t="s">
        <v>1711</v>
      </c>
      <c r="Q9203" t="s">
        <v>1712</v>
      </c>
      <c r="R9203" t="s">
        <v>869</v>
      </c>
      <c r="S9203" t="s">
        <v>870</v>
      </c>
      <c r="T9203" t="s">
        <v>15820</v>
      </c>
      <c r="U9203" t="s">
        <v>15821</v>
      </c>
      <c r="V9203" t="s">
        <v>15822</v>
      </c>
      <c r="W9203" t="s">
        <v>15823</v>
      </c>
      <c r="AD9203" t="s">
        <v>410</v>
      </c>
      <c r="AE9203" t="s">
        <v>11908</v>
      </c>
      <c r="AF9203" t="s">
        <v>18696</v>
      </c>
    </row>
    <row r="9204" spans="1:32" hidden="1" x14ac:dyDescent="0.35">
      <c r="A9204">
        <v>9203</v>
      </c>
      <c r="B9204" t="s">
        <v>18697</v>
      </c>
      <c r="C9204" t="s">
        <v>277</v>
      </c>
      <c r="D9204" t="s">
        <v>34</v>
      </c>
      <c r="E9204">
        <v>96</v>
      </c>
      <c r="F9204">
        <v>2</v>
      </c>
      <c r="G9204">
        <v>2</v>
      </c>
      <c r="H9204">
        <v>1</v>
      </c>
      <c r="I9204">
        <v>0</v>
      </c>
      <c r="J9204">
        <v>0.85464098073555195</v>
      </c>
      <c r="K9204">
        <v>0.974633178728742</v>
      </c>
      <c r="L9204">
        <v>0.91070160414890999</v>
      </c>
      <c r="M9204">
        <v>0.79522184300341303</v>
      </c>
      <c r="N9204">
        <v>0.79522184300341303</v>
      </c>
      <c r="O9204">
        <v>0.79522184300341303</v>
      </c>
      <c r="AF9204" t="s">
        <v>18698</v>
      </c>
    </row>
    <row r="9205" spans="1:32" hidden="1" x14ac:dyDescent="0.35">
      <c r="A9205">
        <v>9204</v>
      </c>
      <c r="B9205" t="s">
        <v>18697</v>
      </c>
      <c r="C9205" t="s">
        <v>277</v>
      </c>
      <c r="D9205" t="s">
        <v>45</v>
      </c>
      <c r="E9205">
        <v>1356</v>
      </c>
      <c r="F9205">
        <v>2</v>
      </c>
      <c r="G9205">
        <v>2</v>
      </c>
      <c r="H9205">
        <v>1</v>
      </c>
      <c r="I9205">
        <v>0</v>
      </c>
      <c r="J9205">
        <v>0.85464098073555195</v>
      </c>
      <c r="K9205">
        <v>0.974633178728742</v>
      </c>
      <c r="L9205">
        <v>0.91070160414890999</v>
      </c>
      <c r="M9205">
        <v>0.79522184300341303</v>
      </c>
      <c r="N9205">
        <v>0.79522184300341303</v>
      </c>
      <c r="O9205">
        <v>0.79522184300341303</v>
      </c>
      <c r="AF9205" t="s">
        <v>18699</v>
      </c>
    </row>
    <row r="9206" spans="1:32" hidden="1" x14ac:dyDescent="0.35">
      <c r="A9206">
        <v>9205</v>
      </c>
      <c r="B9206" t="s">
        <v>18700</v>
      </c>
      <c r="C9206" t="s">
        <v>277</v>
      </c>
      <c r="D9206" t="s">
        <v>34</v>
      </c>
      <c r="E9206">
        <v>197</v>
      </c>
      <c r="F9206">
        <v>2</v>
      </c>
      <c r="G9206">
        <v>2</v>
      </c>
      <c r="H9206">
        <v>1</v>
      </c>
      <c r="I9206">
        <v>0</v>
      </c>
      <c r="J9206">
        <v>0.96928635953026199</v>
      </c>
      <c r="K9206">
        <v>1</v>
      </c>
      <c r="L9206">
        <v>0.984403669724771</v>
      </c>
      <c r="M9206">
        <v>0.96205962059620598</v>
      </c>
      <c r="N9206">
        <v>0.96205962059620598</v>
      </c>
      <c r="O9206">
        <v>0.96205962059620598</v>
      </c>
      <c r="P9206" t="s">
        <v>169</v>
      </c>
      <c r="Q9206" t="s">
        <v>170</v>
      </c>
      <c r="R9206" t="s">
        <v>224</v>
      </c>
      <c r="S9206" t="s">
        <v>225</v>
      </c>
      <c r="V9206" t="s">
        <v>13863</v>
      </c>
      <c r="W9206" t="s">
        <v>13864</v>
      </c>
      <c r="AF9206" t="s">
        <v>18701</v>
      </c>
    </row>
    <row r="9207" spans="1:32" hidden="1" x14ac:dyDescent="0.35">
      <c r="A9207">
        <v>9206</v>
      </c>
      <c r="B9207" t="s">
        <v>18700</v>
      </c>
      <c r="C9207" t="s">
        <v>277</v>
      </c>
      <c r="D9207" t="s">
        <v>45</v>
      </c>
      <c r="E9207">
        <v>1460</v>
      </c>
      <c r="F9207">
        <v>2</v>
      </c>
      <c r="G9207">
        <v>2</v>
      </c>
      <c r="H9207">
        <v>1</v>
      </c>
      <c r="I9207">
        <v>0</v>
      </c>
      <c r="J9207">
        <v>0.96928635953026199</v>
      </c>
      <c r="K9207">
        <v>1</v>
      </c>
      <c r="L9207">
        <v>0.984403669724771</v>
      </c>
      <c r="M9207">
        <v>0.96205962059620598</v>
      </c>
      <c r="N9207">
        <v>0.96205962059620598</v>
      </c>
      <c r="O9207">
        <v>0.96205962059620598</v>
      </c>
      <c r="P9207" t="s">
        <v>169</v>
      </c>
      <c r="Q9207" t="s">
        <v>170</v>
      </c>
      <c r="R9207" t="s">
        <v>224</v>
      </c>
      <c r="S9207" t="s">
        <v>225</v>
      </c>
      <c r="V9207" t="s">
        <v>13863</v>
      </c>
      <c r="W9207" t="s">
        <v>13864</v>
      </c>
      <c r="AF9207" t="s">
        <v>18702</v>
      </c>
    </row>
    <row r="9208" spans="1:32" hidden="1" x14ac:dyDescent="0.35">
      <c r="A9208">
        <v>9207</v>
      </c>
      <c r="B9208" t="s">
        <v>18703</v>
      </c>
      <c r="C9208" t="s">
        <v>277</v>
      </c>
      <c r="D9208" t="s">
        <v>34</v>
      </c>
      <c r="E9208">
        <v>1584</v>
      </c>
      <c r="F9208">
        <v>2</v>
      </c>
      <c r="G9208">
        <v>2</v>
      </c>
      <c r="H9208">
        <v>1</v>
      </c>
      <c r="I9208">
        <v>0</v>
      </c>
      <c r="J9208">
        <v>0.99839999999999995</v>
      </c>
      <c r="K9208">
        <v>1</v>
      </c>
      <c r="L9208">
        <v>0.99919935948758998</v>
      </c>
      <c r="M9208">
        <v>0.99839999999999995</v>
      </c>
      <c r="N9208">
        <v>0.99839999999999995</v>
      </c>
      <c r="O9208">
        <v>0.99839999999999995</v>
      </c>
      <c r="P9208" t="s">
        <v>18704</v>
      </c>
      <c r="Q9208" t="s">
        <v>18705</v>
      </c>
      <c r="R9208" t="s">
        <v>516</v>
      </c>
      <c r="S9208" t="s">
        <v>517</v>
      </c>
      <c r="V9208" t="s">
        <v>18706</v>
      </c>
      <c r="W9208" t="s">
        <v>18707</v>
      </c>
      <c r="AF9208" t="s">
        <v>18708</v>
      </c>
    </row>
    <row r="9209" spans="1:32" hidden="1" x14ac:dyDescent="0.35">
      <c r="A9209">
        <v>9208</v>
      </c>
      <c r="B9209" t="s">
        <v>18703</v>
      </c>
      <c r="C9209" t="s">
        <v>277</v>
      </c>
      <c r="D9209" t="s">
        <v>45</v>
      </c>
      <c r="E9209">
        <v>334</v>
      </c>
      <c r="F9209">
        <v>2</v>
      </c>
      <c r="G9209">
        <v>2</v>
      </c>
      <c r="H9209">
        <v>1</v>
      </c>
      <c r="I9209">
        <v>0</v>
      </c>
      <c r="J9209">
        <v>0.99839999999999995</v>
      </c>
      <c r="K9209">
        <v>1</v>
      </c>
      <c r="L9209">
        <v>0.99919935948758998</v>
      </c>
      <c r="M9209">
        <v>0.99839999999999995</v>
      </c>
      <c r="N9209">
        <v>0.99839999999999995</v>
      </c>
      <c r="O9209">
        <v>0.99839999999999995</v>
      </c>
      <c r="P9209" t="s">
        <v>18704</v>
      </c>
      <c r="Q9209" t="s">
        <v>18705</v>
      </c>
      <c r="R9209" t="s">
        <v>516</v>
      </c>
      <c r="S9209" t="s">
        <v>517</v>
      </c>
      <c r="V9209" t="s">
        <v>18706</v>
      </c>
      <c r="W9209" t="s">
        <v>18707</v>
      </c>
      <c r="AF9209" t="s">
        <v>18709</v>
      </c>
    </row>
    <row r="9210" spans="1:32" hidden="1" x14ac:dyDescent="0.35">
      <c r="A9210">
        <v>9209</v>
      </c>
      <c r="B9210" t="s">
        <v>18710</v>
      </c>
      <c r="C9210" t="s">
        <v>277</v>
      </c>
      <c r="D9210" t="s">
        <v>60</v>
      </c>
      <c r="E9210">
        <v>938</v>
      </c>
      <c r="F9210">
        <v>2</v>
      </c>
      <c r="G9210">
        <v>2</v>
      </c>
      <c r="H9210">
        <v>1</v>
      </c>
      <c r="I9210">
        <v>0</v>
      </c>
      <c r="J9210">
        <v>0.99571734475374696</v>
      </c>
      <c r="K9210">
        <v>1</v>
      </c>
      <c r="L9210">
        <v>0.99785407725321895</v>
      </c>
      <c r="M9210">
        <v>0.99571734475374696</v>
      </c>
      <c r="N9210">
        <v>0.99571734475374696</v>
      </c>
      <c r="O9210">
        <v>0.99571734475374696</v>
      </c>
      <c r="P9210" t="s">
        <v>15601</v>
      </c>
      <c r="Q9210" t="s">
        <v>15602</v>
      </c>
      <c r="R9210" t="s">
        <v>319</v>
      </c>
      <c r="S9210" t="s">
        <v>320</v>
      </c>
      <c r="T9210" t="s">
        <v>15603</v>
      </c>
      <c r="U9210" t="s">
        <v>15604</v>
      </c>
      <c r="V9210" t="s">
        <v>15605</v>
      </c>
      <c r="W9210" t="s">
        <v>15606</v>
      </c>
      <c r="AD9210" t="s">
        <v>245</v>
      </c>
      <c r="AE9210" t="s">
        <v>15607</v>
      </c>
      <c r="AF9210" t="s">
        <v>18711</v>
      </c>
    </row>
    <row r="9211" spans="1:32" hidden="1" x14ac:dyDescent="0.35">
      <c r="A9211">
        <v>9210</v>
      </c>
      <c r="B9211" t="s">
        <v>18710</v>
      </c>
      <c r="C9211" t="s">
        <v>277</v>
      </c>
      <c r="D9211" t="s">
        <v>62</v>
      </c>
      <c r="E9211">
        <v>974</v>
      </c>
      <c r="F9211">
        <v>2</v>
      </c>
      <c r="G9211">
        <v>2</v>
      </c>
      <c r="H9211">
        <v>1</v>
      </c>
      <c r="I9211">
        <v>0</v>
      </c>
      <c r="J9211">
        <v>0.99571734475374696</v>
      </c>
      <c r="K9211">
        <v>1</v>
      </c>
      <c r="L9211">
        <v>0.99785407725321895</v>
      </c>
      <c r="M9211">
        <v>0.99571734475374696</v>
      </c>
      <c r="N9211">
        <v>0.99571734475374696</v>
      </c>
      <c r="O9211">
        <v>0.99571734475374696</v>
      </c>
      <c r="P9211" t="s">
        <v>15601</v>
      </c>
      <c r="Q9211" t="s">
        <v>15602</v>
      </c>
      <c r="R9211" t="s">
        <v>319</v>
      </c>
      <c r="S9211" t="s">
        <v>320</v>
      </c>
      <c r="T9211" t="s">
        <v>15603</v>
      </c>
      <c r="U9211" t="s">
        <v>15604</v>
      </c>
      <c r="V9211" t="s">
        <v>15605</v>
      </c>
      <c r="W9211" t="s">
        <v>15606</v>
      </c>
      <c r="AD9211" t="s">
        <v>245</v>
      </c>
      <c r="AE9211" t="s">
        <v>15607</v>
      </c>
      <c r="AF9211" t="s">
        <v>18712</v>
      </c>
    </row>
    <row r="9212" spans="1:32" hidden="1" x14ac:dyDescent="0.35">
      <c r="A9212">
        <v>9211</v>
      </c>
      <c r="B9212" t="s">
        <v>18713</v>
      </c>
      <c r="C9212" t="s">
        <v>277</v>
      </c>
      <c r="D9212" t="s">
        <v>34</v>
      </c>
      <c r="E9212">
        <v>1527</v>
      </c>
      <c r="F9212">
        <v>2</v>
      </c>
      <c r="G9212">
        <v>2</v>
      </c>
      <c r="H9212">
        <v>1</v>
      </c>
      <c r="I9212">
        <v>0</v>
      </c>
      <c r="J9212">
        <v>0.94666666666666699</v>
      </c>
      <c r="K9212">
        <v>0.99012363922959301</v>
      </c>
      <c r="L9212">
        <v>0.96790761734384001</v>
      </c>
      <c r="M9212">
        <v>0.92079207920792105</v>
      </c>
      <c r="N9212">
        <v>0.92079207920792105</v>
      </c>
      <c r="O9212">
        <v>0.92079207920792105</v>
      </c>
      <c r="AF9212" t="s">
        <v>18714</v>
      </c>
    </row>
    <row r="9213" spans="1:32" hidden="1" x14ac:dyDescent="0.35">
      <c r="A9213">
        <v>9212</v>
      </c>
      <c r="B9213" t="s">
        <v>18713</v>
      </c>
      <c r="C9213" t="s">
        <v>277</v>
      </c>
      <c r="D9213" t="s">
        <v>45</v>
      </c>
      <c r="E9213">
        <v>277</v>
      </c>
      <c r="F9213">
        <v>2</v>
      </c>
      <c r="G9213">
        <v>2</v>
      </c>
      <c r="H9213">
        <v>1</v>
      </c>
      <c r="I9213">
        <v>0</v>
      </c>
      <c r="J9213">
        <v>0.94666666666666699</v>
      </c>
      <c r="K9213">
        <v>0.99012363922959301</v>
      </c>
      <c r="L9213">
        <v>0.96790761734384001</v>
      </c>
      <c r="M9213">
        <v>0.92079207920792105</v>
      </c>
      <c r="N9213">
        <v>0.92079207920792105</v>
      </c>
      <c r="O9213">
        <v>0.92079207920792105</v>
      </c>
      <c r="AF9213" t="e">
        <f>--MIAHKNTTVVNKKFVAIGFLLWLVSAVAYVLHAVPFYSEEERQRIRAVGAAVEKYEAILDAEWTDEHCTLEHCPNSSKSLPGMPPDRASLTTHERTNMERHGPYAHLQPVTTMNIFRVTARDDGTVEALTQTTVTKCYSPADADPYGSALNFYAITLAPSTIRGEYVVVDDVYYDVLKHPLPVDASPVYVGEPKSPPPCA</f>
        <v>#NAME?</v>
      </c>
    </row>
    <row r="9214" spans="1:32" hidden="1" x14ac:dyDescent="0.35">
      <c r="A9214">
        <v>9213</v>
      </c>
      <c r="B9214" t="s">
        <v>18715</v>
      </c>
      <c r="C9214" t="s">
        <v>277</v>
      </c>
      <c r="D9214" t="s">
        <v>34</v>
      </c>
      <c r="E9214">
        <v>2112</v>
      </c>
      <c r="F9214">
        <v>2</v>
      </c>
      <c r="G9214">
        <v>2</v>
      </c>
      <c r="H9214">
        <v>1</v>
      </c>
      <c r="I9214">
        <v>0</v>
      </c>
      <c r="J9214">
        <v>0.99324324324324298</v>
      </c>
      <c r="K9214">
        <v>1</v>
      </c>
      <c r="L9214">
        <v>0.99661016949152503</v>
      </c>
      <c r="M9214">
        <v>0.99324324324324298</v>
      </c>
      <c r="N9214">
        <v>0.99324324324324298</v>
      </c>
      <c r="O9214">
        <v>0.99324324324324298</v>
      </c>
      <c r="P9214" t="s">
        <v>15570</v>
      </c>
      <c r="Q9214" t="s">
        <v>15571</v>
      </c>
      <c r="R9214" t="s">
        <v>1474</v>
      </c>
      <c r="S9214" t="s">
        <v>1475</v>
      </c>
      <c r="T9214" t="s">
        <v>15572</v>
      </c>
      <c r="U9214" t="s">
        <v>15573</v>
      </c>
      <c r="V9214" t="s">
        <v>15574</v>
      </c>
      <c r="W9214" t="s">
        <v>15575</v>
      </c>
      <c r="AD9214" t="s">
        <v>1480</v>
      </c>
      <c r="AE9214" t="s">
        <v>1481</v>
      </c>
      <c r="AF9214" t="s">
        <v>18716</v>
      </c>
    </row>
    <row r="9215" spans="1:32" hidden="1" x14ac:dyDescent="0.35">
      <c r="A9215">
        <v>9214</v>
      </c>
      <c r="B9215" t="s">
        <v>18715</v>
      </c>
      <c r="C9215" t="s">
        <v>277</v>
      </c>
      <c r="D9215" t="s">
        <v>45</v>
      </c>
      <c r="E9215">
        <v>760</v>
      </c>
      <c r="F9215">
        <v>2</v>
      </c>
      <c r="G9215">
        <v>2</v>
      </c>
      <c r="H9215">
        <v>1</v>
      </c>
      <c r="I9215">
        <v>0</v>
      </c>
      <c r="J9215">
        <v>0.99324324324324298</v>
      </c>
      <c r="K9215">
        <v>1</v>
      </c>
      <c r="L9215">
        <v>0.99661016949152503</v>
      </c>
      <c r="M9215">
        <v>0.99324324324324298</v>
      </c>
      <c r="N9215">
        <v>0.99324324324324298</v>
      </c>
      <c r="O9215">
        <v>0.99324324324324298</v>
      </c>
      <c r="P9215" t="s">
        <v>15570</v>
      </c>
      <c r="Q9215" t="s">
        <v>15571</v>
      </c>
      <c r="R9215" t="s">
        <v>1474</v>
      </c>
      <c r="S9215" t="s">
        <v>1475</v>
      </c>
      <c r="T9215" t="s">
        <v>15572</v>
      </c>
      <c r="U9215" t="s">
        <v>15573</v>
      </c>
      <c r="V9215" t="s">
        <v>15574</v>
      </c>
      <c r="W9215" t="s">
        <v>15575</v>
      </c>
      <c r="AD9215" t="s">
        <v>1480</v>
      </c>
      <c r="AE9215" t="s">
        <v>1481</v>
      </c>
      <c r="AF9215" t="s">
        <v>18717</v>
      </c>
    </row>
    <row r="9216" spans="1:32" hidden="1" x14ac:dyDescent="0.35">
      <c r="A9216">
        <v>9215</v>
      </c>
      <c r="B9216" t="s">
        <v>18718</v>
      </c>
      <c r="C9216" t="s">
        <v>277</v>
      </c>
      <c r="D9216" t="s">
        <v>34</v>
      </c>
      <c r="E9216">
        <v>1879</v>
      </c>
      <c r="F9216">
        <v>2</v>
      </c>
      <c r="G9216">
        <v>2</v>
      </c>
      <c r="H9216">
        <v>1</v>
      </c>
      <c r="I9216">
        <v>0</v>
      </c>
      <c r="J9216">
        <v>0.99350046425255301</v>
      </c>
      <c r="K9216">
        <v>1</v>
      </c>
      <c r="L9216">
        <v>0.99673963670237498</v>
      </c>
      <c r="M9216">
        <v>0.99164345403899701</v>
      </c>
      <c r="N9216">
        <v>0.99164345403899701</v>
      </c>
      <c r="O9216">
        <v>0.99164345403899701</v>
      </c>
      <c r="P9216" t="s">
        <v>3363</v>
      </c>
      <c r="Q9216" t="s">
        <v>3364</v>
      </c>
      <c r="R9216" t="s">
        <v>319</v>
      </c>
      <c r="S9216" t="s">
        <v>320</v>
      </c>
      <c r="T9216" t="s">
        <v>4019</v>
      </c>
      <c r="U9216" t="s">
        <v>4020</v>
      </c>
      <c r="V9216" t="s">
        <v>3367</v>
      </c>
      <c r="W9216" t="s">
        <v>3368</v>
      </c>
      <c r="X9216" t="s">
        <v>3367</v>
      </c>
      <c r="Y9216" t="s">
        <v>3369</v>
      </c>
      <c r="Z9216" t="s">
        <v>4021</v>
      </c>
      <c r="AA9216" t="s">
        <v>4022</v>
      </c>
      <c r="AB9216" t="s">
        <v>4021</v>
      </c>
      <c r="AC9216" t="s">
        <v>4023</v>
      </c>
      <c r="AD9216" t="s">
        <v>951</v>
      </c>
      <c r="AE9216" t="s">
        <v>4024</v>
      </c>
      <c r="AF9216" t="s">
        <v>18719</v>
      </c>
    </row>
    <row r="9217" spans="1:32" hidden="1" x14ac:dyDescent="0.35">
      <c r="A9217">
        <v>9216</v>
      </c>
      <c r="B9217" t="s">
        <v>18718</v>
      </c>
      <c r="C9217" t="s">
        <v>277</v>
      </c>
      <c r="D9217" t="s">
        <v>45</v>
      </c>
      <c r="E9217">
        <v>994</v>
      </c>
      <c r="F9217">
        <v>2</v>
      </c>
      <c r="G9217">
        <v>2</v>
      </c>
      <c r="H9217">
        <v>1</v>
      </c>
      <c r="I9217">
        <v>0</v>
      </c>
      <c r="J9217">
        <v>0.99350046425255301</v>
      </c>
      <c r="K9217">
        <v>1</v>
      </c>
      <c r="L9217">
        <v>0.99673963670237498</v>
      </c>
      <c r="M9217">
        <v>0.99164345403899701</v>
      </c>
      <c r="N9217">
        <v>0.99164345403899701</v>
      </c>
      <c r="O9217">
        <v>0.99164345403899701</v>
      </c>
      <c r="P9217" t="s">
        <v>3363</v>
      </c>
      <c r="Q9217" t="s">
        <v>3364</v>
      </c>
      <c r="R9217" t="s">
        <v>319</v>
      </c>
      <c r="S9217" t="s">
        <v>320</v>
      </c>
      <c r="T9217" t="s">
        <v>4019</v>
      </c>
      <c r="U9217" t="s">
        <v>4020</v>
      </c>
      <c r="V9217" t="s">
        <v>3367</v>
      </c>
      <c r="W9217" t="s">
        <v>3368</v>
      </c>
      <c r="X9217" t="s">
        <v>3367</v>
      </c>
      <c r="Y9217" t="s">
        <v>3369</v>
      </c>
      <c r="Z9217" t="s">
        <v>4021</v>
      </c>
      <c r="AA9217" t="s">
        <v>4022</v>
      </c>
      <c r="AB9217" t="s">
        <v>4021</v>
      </c>
      <c r="AC9217" t="s">
        <v>4023</v>
      </c>
      <c r="AD9217" t="s">
        <v>951</v>
      </c>
      <c r="AE9217" t="s">
        <v>4024</v>
      </c>
      <c r="AF9217" t="s">
        <v>18720</v>
      </c>
    </row>
    <row r="9218" spans="1:32" hidden="1" x14ac:dyDescent="0.35">
      <c r="A9218">
        <v>9217</v>
      </c>
      <c r="B9218" t="s">
        <v>18721</v>
      </c>
      <c r="C9218" t="s">
        <v>277</v>
      </c>
      <c r="D9218" t="s">
        <v>60</v>
      </c>
      <c r="E9218">
        <v>1654</v>
      </c>
      <c r="F9218">
        <v>2</v>
      </c>
      <c r="G9218">
        <v>2</v>
      </c>
      <c r="H9218">
        <v>1</v>
      </c>
      <c r="I9218">
        <v>0</v>
      </c>
      <c r="J9218">
        <v>0.99</v>
      </c>
      <c r="K9218">
        <v>1</v>
      </c>
      <c r="L9218">
        <v>0.99497487437185905</v>
      </c>
      <c r="M9218">
        <v>0.99</v>
      </c>
      <c r="N9218">
        <v>0.99</v>
      </c>
      <c r="O9218">
        <v>0.99</v>
      </c>
      <c r="P9218" t="s">
        <v>18722</v>
      </c>
      <c r="Q9218" t="s">
        <v>10345</v>
      </c>
      <c r="R9218" t="s">
        <v>113</v>
      </c>
      <c r="S9218" t="s">
        <v>114</v>
      </c>
      <c r="V9218" t="s">
        <v>2167</v>
      </c>
      <c r="W9218" t="s">
        <v>2168</v>
      </c>
      <c r="AF9218" t="s">
        <v>18723</v>
      </c>
    </row>
    <row r="9219" spans="1:32" hidden="1" x14ac:dyDescent="0.35">
      <c r="A9219">
        <v>9218</v>
      </c>
      <c r="B9219" t="s">
        <v>18721</v>
      </c>
      <c r="C9219" t="s">
        <v>277</v>
      </c>
      <c r="D9219" t="s">
        <v>62</v>
      </c>
      <c r="E9219">
        <v>1689</v>
      </c>
      <c r="F9219">
        <v>2</v>
      </c>
      <c r="G9219">
        <v>2</v>
      </c>
      <c r="H9219">
        <v>1</v>
      </c>
      <c r="I9219">
        <v>0</v>
      </c>
      <c r="J9219">
        <v>0.99</v>
      </c>
      <c r="K9219">
        <v>1</v>
      </c>
      <c r="L9219">
        <v>0.99497487437185905</v>
      </c>
      <c r="M9219">
        <v>0.99</v>
      </c>
      <c r="N9219">
        <v>0.99</v>
      </c>
      <c r="O9219">
        <v>0.99</v>
      </c>
      <c r="P9219" t="s">
        <v>18722</v>
      </c>
      <c r="Q9219" t="s">
        <v>10345</v>
      </c>
      <c r="R9219" t="s">
        <v>113</v>
      </c>
      <c r="S9219" t="s">
        <v>114</v>
      </c>
      <c r="V9219" t="s">
        <v>2167</v>
      </c>
      <c r="W9219" t="s">
        <v>2168</v>
      </c>
      <c r="AF9219" t="s">
        <v>18724</v>
      </c>
    </row>
    <row r="9220" spans="1:32" hidden="1" x14ac:dyDescent="0.35">
      <c r="A9220">
        <v>9219</v>
      </c>
      <c r="B9220" t="s">
        <v>18725</v>
      </c>
      <c r="C9220" t="s">
        <v>277</v>
      </c>
      <c r="D9220" t="s">
        <v>34</v>
      </c>
      <c r="E9220">
        <v>1365</v>
      </c>
      <c r="F9220">
        <v>2</v>
      </c>
      <c r="G9220">
        <v>2</v>
      </c>
      <c r="H9220">
        <v>1</v>
      </c>
      <c r="I9220">
        <v>0</v>
      </c>
      <c r="J9220">
        <v>0.98412698412698396</v>
      </c>
      <c r="K9220">
        <v>0.76716826265389904</v>
      </c>
      <c r="L9220">
        <v>0.86220868814815199</v>
      </c>
      <c r="M9220">
        <v>0.72093023255813904</v>
      </c>
      <c r="N9220">
        <v>0.72093023255813904</v>
      </c>
      <c r="O9220">
        <v>0.72093023255813904</v>
      </c>
      <c r="P9220" t="s">
        <v>10744</v>
      </c>
      <c r="Q9220" t="s">
        <v>10745</v>
      </c>
      <c r="R9220" t="s">
        <v>113</v>
      </c>
      <c r="S9220" t="s">
        <v>114</v>
      </c>
      <c r="T9220" t="s">
        <v>10770</v>
      </c>
      <c r="U9220" t="s">
        <v>10727</v>
      </c>
      <c r="V9220" t="s">
        <v>10748</v>
      </c>
      <c r="W9220" t="s">
        <v>10749</v>
      </c>
      <c r="AD9220" t="s">
        <v>312</v>
      </c>
      <c r="AE9220" t="s">
        <v>1656</v>
      </c>
      <c r="AF9220" t="s">
        <v>18726</v>
      </c>
    </row>
    <row r="9221" spans="1:32" hidden="1" x14ac:dyDescent="0.35">
      <c r="A9221">
        <v>9220</v>
      </c>
      <c r="B9221" t="s">
        <v>18725</v>
      </c>
      <c r="C9221" t="s">
        <v>277</v>
      </c>
      <c r="D9221" t="s">
        <v>45</v>
      </c>
      <c r="E9221">
        <v>114</v>
      </c>
      <c r="F9221">
        <v>2</v>
      </c>
      <c r="G9221">
        <v>2</v>
      </c>
      <c r="H9221">
        <v>1</v>
      </c>
      <c r="I9221">
        <v>0</v>
      </c>
      <c r="J9221">
        <v>0.98412698412698396</v>
      </c>
      <c r="K9221">
        <v>0.76716826265389904</v>
      </c>
      <c r="L9221">
        <v>0.86220868814815199</v>
      </c>
      <c r="M9221">
        <v>0.72093023255813904</v>
      </c>
      <c r="N9221">
        <v>0.72093023255813904</v>
      </c>
      <c r="O9221">
        <v>0.72093023255813904</v>
      </c>
      <c r="P9221" t="s">
        <v>10744</v>
      </c>
      <c r="Q9221" t="s">
        <v>10745</v>
      </c>
      <c r="R9221" t="s">
        <v>113</v>
      </c>
      <c r="S9221" t="s">
        <v>114</v>
      </c>
      <c r="T9221" t="s">
        <v>10770</v>
      </c>
      <c r="U9221" t="s">
        <v>10727</v>
      </c>
      <c r="V9221" t="s">
        <v>10748</v>
      </c>
      <c r="W9221" t="s">
        <v>10749</v>
      </c>
      <c r="AD9221" t="s">
        <v>312</v>
      </c>
      <c r="AE9221" t="s">
        <v>1656</v>
      </c>
      <c r="AF9221" t="e">
        <f>-----------------------MTRAQLAARVDVNPQTIGALERGDHSPSLDLAMRICEVFELPVEAVFSRKQFEPMSTHIYNQG</f>
        <v>#NAME?</v>
      </c>
    </row>
    <row r="9222" spans="1:32" hidden="1" x14ac:dyDescent="0.35">
      <c r="A9222">
        <v>9221</v>
      </c>
      <c r="B9222" t="s">
        <v>18727</v>
      </c>
      <c r="C9222" t="s">
        <v>277</v>
      </c>
      <c r="D9222" t="s">
        <v>60</v>
      </c>
      <c r="E9222">
        <v>1697</v>
      </c>
      <c r="F9222">
        <v>2</v>
      </c>
      <c r="G9222">
        <v>2</v>
      </c>
      <c r="H9222">
        <v>1</v>
      </c>
      <c r="I9222">
        <v>0</v>
      </c>
      <c r="J9222">
        <v>0.99107142857142905</v>
      </c>
      <c r="K9222">
        <v>1</v>
      </c>
      <c r="L9222">
        <v>0.99551569506726501</v>
      </c>
      <c r="M9222">
        <v>0.99107142857142905</v>
      </c>
      <c r="N9222">
        <v>0.99107142857142905</v>
      </c>
      <c r="O9222">
        <v>0.99107142857142905</v>
      </c>
      <c r="AF9222" t="s">
        <v>18728</v>
      </c>
    </row>
    <row r="9223" spans="1:32" hidden="1" x14ac:dyDescent="0.35">
      <c r="A9223">
        <v>9222</v>
      </c>
      <c r="B9223" t="s">
        <v>18727</v>
      </c>
      <c r="C9223" t="s">
        <v>277</v>
      </c>
      <c r="D9223" t="s">
        <v>62</v>
      </c>
      <c r="E9223">
        <v>1732</v>
      </c>
      <c r="F9223">
        <v>2</v>
      </c>
      <c r="G9223">
        <v>2</v>
      </c>
      <c r="H9223">
        <v>1</v>
      </c>
      <c r="I9223">
        <v>0</v>
      </c>
      <c r="J9223">
        <v>0.99107142857142905</v>
      </c>
      <c r="K9223">
        <v>1</v>
      </c>
      <c r="L9223">
        <v>0.99551569506726501</v>
      </c>
      <c r="M9223">
        <v>0.99107142857142905</v>
      </c>
      <c r="N9223">
        <v>0.99107142857142905</v>
      </c>
      <c r="O9223">
        <v>0.99107142857142905</v>
      </c>
      <c r="AF9223" t="s">
        <v>18729</v>
      </c>
    </row>
    <row r="9224" spans="1:32" hidden="1" x14ac:dyDescent="0.35">
      <c r="A9224">
        <v>9223</v>
      </c>
      <c r="B9224" t="s">
        <v>18730</v>
      </c>
      <c r="C9224" t="s">
        <v>277</v>
      </c>
      <c r="D9224" t="s">
        <v>34</v>
      </c>
      <c r="E9224">
        <v>468</v>
      </c>
      <c r="F9224">
        <v>2</v>
      </c>
      <c r="G9224">
        <v>2</v>
      </c>
      <c r="H9224">
        <v>1</v>
      </c>
      <c r="I9224">
        <v>0</v>
      </c>
      <c r="J9224">
        <v>0.83168316831683198</v>
      </c>
      <c r="K9224">
        <v>0.71156263091746996</v>
      </c>
      <c r="L9224">
        <v>0.76694803074264295</v>
      </c>
      <c r="M9224">
        <v>0.52903225806451604</v>
      </c>
      <c r="N9224">
        <v>0.52903225806451604</v>
      </c>
      <c r="O9224">
        <v>0.52903225806451604</v>
      </c>
      <c r="AF9224" t="s">
        <v>18731</v>
      </c>
    </row>
    <row r="9225" spans="1:32" hidden="1" x14ac:dyDescent="0.35">
      <c r="A9225">
        <v>9224</v>
      </c>
      <c r="B9225" t="s">
        <v>18730</v>
      </c>
      <c r="C9225" t="s">
        <v>277</v>
      </c>
      <c r="D9225" t="s">
        <v>45</v>
      </c>
      <c r="E9225">
        <v>1733</v>
      </c>
      <c r="F9225">
        <v>2</v>
      </c>
      <c r="G9225">
        <v>2</v>
      </c>
      <c r="H9225">
        <v>1</v>
      </c>
      <c r="I9225">
        <v>0</v>
      </c>
      <c r="J9225">
        <v>0.83168316831683198</v>
      </c>
      <c r="K9225">
        <v>0.71156263091746996</v>
      </c>
      <c r="L9225">
        <v>0.76694803074264295</v>
      </c>
      <c r="M9225">
        <v>0.52903225806451604</v>
      </c>
      <c r="N9225">
        <v>0.52903225806451604</v>
      </c>
      <c r="O9225">
        <v>0.52903225806451604</v>
      </c>
      <c r="AF9225" t="e">
        <f>------------------------------------------------------MVFWEKDIPSDSIVVATQPTYRDDFPTTYVGTHDQTESAIAACMSIKDIKEGRRWLIRQATNTYNSLEQRADYARTIISTDNILKLRTPKKITALAQPVGQ</f>
        <v>#NAME?</v>
      </c>
    </row>
    <row r="9226" spans="1:32" hidden="1" x14ac:dyDescent="0.35">
      <c r="A9226">
        <v>9225</v>
      </c>
      <c r="B9226" t="s">
        <v>18732</v>
      </c>
      <c r="C9226" t="s">
        <v>277</v>
      </c>
      <c r="D9226" t="s">
        <v>34</v>
      </c>
      <c r="E9226">
        <v>1863</v>
      </c>
      <c r="F9226">
        <v>2</v>
      </c>
      <c r="G9226">
        <v>2</v>
      </c>
      <c r="H9226">
        <v>1</v>
      </c>
      <c r="I9226">
        <v>0</v>
      </c>
      <c r="J9226">
        <v>0.99135220125786205</v>
      </c>
      <c r="K9226">
        <v>1</v>
      </c>
      <c r="L9226">
        <v>0.99565732333201695</v>
      </c>
      <c r="M9226">
        <v>0.98349056603773599</v>
      </c>
      <c r="N9226">
        <v>0.98349056603773599</v>
      </c>
      <c r="O9226">
        <v>0.98349056603773599</v>
      </c>
      <c r="P9226" t="s">
        <v>12891</v>
      </c>
      <c r="Q9226" t="s">
        <v>12892</v>
      </c>
      <c r="T9226" t="s">
        <v>12893</v>
      </c>
      <c r="U9226" t="s">
        <v>12894</v>
      </c>
      <c r="AD9226" t="s">
        <v>360</v>
      </c>
      <c r="AE9226" t="s">
        <v>12895</v>
      </c>
      <c r="AF9226" t="s">
        <v>18733</v>
      </c>
    </row>
    <row r="9227" spans="1:32" hidden="1" x14ac:dyDescent="0.35">
      <c r="A9227">
        <v>9226</v>
      </c>
      <c r="B9227" t="s">
        <v>18732</v>
      </c>
      <c r="C9227" t="s">
        <v>277</v>
      </c>
      <c r="D9227" t="s">
        <v>45</v>
      </c>
      <c r="E9227">
        <v>1010</v>
      </c>
      <c r="F9227">
        <v>2</v>
      </c>
      <c r="G9227">
        <v>2</v>
      </c>
      <c r="H9227">
        <v>1</v>
      </c>
      <c r="I9227">
        <v>0</v>
      </c>
      <c r="J9227">
        <v>0.99135220125786205</v>
      </c>
      <c r="K9227">
        <v>1</v>
      </c>
      <c r="L9227">
        <v>0.99565732333201695</v>
      </c>
      <c r="M9227">
        <v>0.98349056603773599</v>
      </c>
      <c r="N9227">
        <v>0.98349056603773599</v>
      </c>
      <c r="O9227">
        <v>0.98349056603773599</v>
      </c>
      <c r="P9227" t="s">
        <v>12891</v>
      </c>
      <c r="Q9227" t="s">
        <v>12892</v>
      </c>
      <c r="T9227" t="s">
        <v>12893</v>
      </c>
      <c r="U9227" t="s">
        <v>12894</v>
      </c>
      <c r="AD9227" t="s">
        <v>360</v>
      </c>
      <c r="AE9227" t="s">
        <v>12895</v>
      </c>
      <c r="AF9227" t="s">
        <v>18734</v>
      </c>
    </row>
    <row r="9228" spans="1:32" hidden="1" x14ac:dyDescent="0.35">
      <c r="A9228">
        <v>9227</v>
      </c>
      <c r="B9228" t="s">
        <v>18735</v>
      </c>
      <c r="C9228" t="s">
        <v>277</v>
      </c>
      <c r="D9228" t="s">
        <v>34</v>
      </c>
      <c r="E9228">
        <v>209</v>
      </c>
      <c r="F9228">
        <v>2</v>
      </c>
      <c r="G9228">
        <v>2</v>
      </c>
      <c r="H9228">
        <v>1</v>
      </c>
      <c r="I9228">
        <v>0</v>
      </c>
      <c r="J9228">
        <v>0.99180327868852503</v>
      </c>
      <c r="K9228">
        <v>1</v>
      </c>
      <c r="L9228">
        <v>0.99588477366255101</v>
      </c>
      <c r="M9228">
        <v>0.99180327868852503</v>
      </c>
      <c r="N9228">
        <v>0.99180327868852503</v>
      </c>
      <c r="O9228">
        <v>0.99180327868852503</v>
      </c>
      <c r="P9228" t="s">
        <v>10485</v>
      </c>
      <c r="Q9228" t="s">
        <v>10486</v>
      </c>
      <c r="AF9228" t="s">
        <v>18736</v>
      </c>
    </row>
    <row r="9229" spans="1:32" hidden="1" x14ac:dyDescent="0.35">
      <c r="A9229">
        <v>9228</v>
      </c>
      <c r="B9229" t="s">
        <v>18735</v>
      </c>
      <c r="C9229" t="s">
        <v>277</v>
      </c>
      <c r="D9229" t="s">
        <v>45</v>
      </c>
      <c r="E9229">
        <v>1472</v>
      </c>
      <c r="F9229">
        <v>2</v>
      </c>
      <c r="G9229">
        <v>2</v>
      </c>
      <c r="H9229">
        <v>1</v>
      </c>
      <c r="I9229">
        <v>0</v>
      </c>
      <c r="J9229">
        <v>0.99180327868852503</v>
      </c>
      <c r="K9229">
        <v>1</v>
      </c>
      <c r="L9229">
        <v>0.99588477366255101</v>
      </c>
      <c r="M9229">
        <v>0.99180327868852503</v>
      </c>
      <c r="N9229">
        <v>0.99180327868852503</v>
      </c>
      <c r="O9229">
        <v>0.99180327868852503</v>
      </c>
      <c r="P9229" t="s">
        <v>10485</v>
      </c>
      <c r="Q9229" t="s">
        <v>10486</v>
      </c>
      <c r="AF9229" t="s">
        <v>18737</v>
      </c>
    </row>
    <row r="9230" spans="1:32" hidden="1" x14ac:dyDescent="0.35">
      <c r="A9230">
        <v>9229</v>
      </c>
      <c r="B9230" t="s">
        <v>18738</v>
      </c>
      <c r="C9230" t="s">
        <v>277</v>
      </c>
      <c r="D9230" t="s">
        <v>34</v>
      </c>
      <c r="E9230">
        <v>439</v>
      </c>
      <c r="F9230">
        <v>2</v>
      </c>
      <c r="G9230">
        <v>2</v>
      </c>
      <c r="H9230">
        <v>1</v>
      </c>
      <c r="I9230">
        <v>0</v>
      </c>
      <c r="J9230">
        <v>0.994413407821229</v>
      </c>
      <c r="K9230">
        <v>1</v>
      </c>
      <c r="L9230">
        <v>0.99719887955182096</v>
      </c>
      <c r="M9230">
        <v>0.994413407821229</v>
      </c>
      <c r="N9230">
        <v>0.994413407821229</v>
      </c>
      <c r="O9230">
        <v>0.994413407821229</v>
      </c>
      <c r="P9230" t="s">
        <v>18739</v>
      </c>
      <c r="Q9230" t="s">
        <v>18740</v>
      </c>
      <c r="AF9230" t="s">
        <v>18741</v>
      </c>
    </row>
    <row r="9231" spans="1:32" hidden="1" x14ac:dyDescent="0.35">
      <c r="A9231">
        <v>9230</v>
      </c>
      <c r="B9231" t="s">
        <v>18738</v>
      </c>
      <c r="C9231" t="s">
        <v>277</v>
      </c>
      <c r="D9231" t="s">
        <v>45</v>
      </c>
      <c r="E9231">
        <v>1702</v>
      </c>
      <c r="F9231">
        <v>2</v>
      </c>
      <c r="G9231">
        <v>2</v>
      </c>
      <c r="H9231">
        <v>1</v>
      </c>
      <c r="I9231">
        <v>0</v>
      </c>
      <c r="J9231">
        <v>0.994413407821229</v>
      </c>
      <c r="K9231">
        <v>1</v>
      </c>
      <c r="L9231">
        <v>0.99719887955182096</v>
      </c>
      <c r="M9231">
        <v>0.994413407821229</v>
      </c>
      <c r="N9231">
        <v>0.994413407821229</v>
      </c>
      <c r="O9231">
        <v>0.994413407821229</v>
      </c>
      <c r="P9231" t="s">
        <v>18739</v>
      </c>
      <c r="Q9231" t="s">
        <v>18740</v>
      </c>
      <c r="AF9231" t="s">
        <v>18742</v>
      </c>
    </row>
    <row r="9232" spans="1:32" hidden="1" x14ac:dyDescent="0.35">
      <c r="A9232">
        <v>9231</v>
      </c>
      <c r="B9232" t="s">
        <v>18743</v>
      </c>
      <c r="C9232" t="s">
        <v>277</v>
      </c>
      <c r="D9232" t="s">
        <v>34</v>
      </c>
      <c r="E9232">
        <v>2082</v>
      </c>
      <c r="F9232">
        <v>2</v>
      </c>
      <c r="G9232">
        <v>2</v>
      </c>
      <c r="H9232">
        <v>1</v>
      </c>
      <c r="I9232">
        <v>0</v>
      </c>
      <c r="J9232">
        <v>0.99099099099099097</v>
      </c>
      <c r="K9232">
        <v>1</v>
      </c>
      <c r="L9232">
        <v>0.99547511312217196</v>
      </c>
      <c r="M9232">
        <v>0.99099099099099097</v>
      </c>
      <c r="N9232">
        <v>0.99099099099099097</v>
      </c>
      <c r="O9232">
        <v>0.99099099099099097</v>
      </c>
      <c r="P9232" t="s">
        <v>5831</v>
      </c>
      <c r="Q9232" t="s">
        <v>5832</v>
      </c>
      <c r="R9232" t="s">
        <v>4098</v>
      </c>
      <c r="S9232" t="s">
        <v>4099</v>
      </c>
      <c r="T9232" t="s">
        <v>5833</v>
      </c>
      <c r="U9232" t="s">
        <v>5834</v>
      </c>
      <c r="V9232" t="s">
        <v>18744</v>
      </c>
      <c r="W9232" t="s">
        <v>18745</v>
      </c>
      <c r="AD9232" t="s">
        <v>3961</v>
      </c>
      <c r="AE9232" t="s">
        <v>3962</v>
      </c>
      <c r="AF9232" t="s">
        <v>18746</v>
      </c>
    </row>
    <row r="9233" spans="1:32" hidden="1" x14ac:dyDescent="0.35">
      <c r="A9233">
        <v>9232</v>
      </c>
      <c r="B9233" t="s">
        <v>18743</v>
      </c>
      <c r="C9233" t="s">
        <v>277</v>
      </c>
      <c r="D9233" t="s">
        <v>45</v>
      </c>
      <c r="E9233">
        <v>790</v>
      </c>
      <c r="F9233">
        <v>2</v>
      </c>
      <c r="G9233">
        <v>2</v>
      </c>
      <c r="H9233">
        <v>1</v>
      </c>
      <c r="I9233">
        <v>0</v>
      </c>
      <c r="J9233">
        <v>0.99099099099099097</v>
      </c>
      <c r="K9233">
        <v>1</v>
      </c>
      <c r="L9233">
        <v>0.99547511312217196</v>
      </c>
      <c r="M9233">
        <v>0.99099099099099097</v>
      </c>
      <c r="N9233">
        <v>0.99099099099099097</v>
      </c>
      <c r="O9233">
        <v>0.99099099099099097</v>
      </c>
      <c r="P9233" t="s">
        <v>5831</v>
      </c>
      <c r="Q9233" t="s">
        <v>5832</v>
      </c>
      <c r="R9233" t="s">
        <v>4098</v>
      </c>
      <c r="S9233" t="s">
        <v>4099</v>
      </c>
      <c r="T9233" t="s">
        <v>5833</v>
      </c>
      <c r="U9233" t="s">
        <v>5834</v>
      </c>
      <c r="V9233" t="s">
        <v>18744</v>
      </c>
      <c r="W9233" t="s">
        <v>18745</v>
      </c>
      <c r="AD9233" t="s">
        <v>3961</v>
      </c>
      <c r="AE9233" t="s">
        <v>3962</v>
      </c>
      <c r="AF9233" t="s">
        <v>18747</v>
      </c>
    </row>
    <row r="9234" spans="1:32" hidden="1" x14ac:dyDescent="0.35">
      <c r="A9234">
        <v>9233</v>
      </c>
      <c r="B9234" t="s">
        <v>18748</v>
      </c>
      <c r="C9234" t="s">
        <v>277</v>
      </c>
      <c r="D9234" t="s">
        <v>60</v>
      </c>
      <c r="E9234">
        <v>66</v>
      </c>
      <c r="F9234">
        <v>2</v>
      </c>
      <c r="G9234">
        <v>2</v>
      </c>
      <c r="H9234">
        <v>1</v>
      </c>
      <c r="I9234">
        <v>0</v>
      </c>
      <c r="J9234">
        <v>0.98979591836734704</v>
      </c>
      <c r="K9234">
        <v>1</v>
      </c>
      <c r="L9234">
        <v>0.994871794871795</v>
      </c>
      <c r="M9234">
        <v>0.98979591836734704</v>
      </c>
      <c r="N9234">
        <v>0.98979591836734704</v>
      </c>
      <c r="O9234">
        <v>0.98979591836734704</v>
      </c>
      <c r="P9234" t="s">
        <v>3495</v>
      </c>
      <c r="Q9234" t="s">
        <v>3188</v>
      </c>
      <c r="R9234" t="s">
        <v>869</v>
      </c>
      <c r="S9234" t="s">
        <v>870</v>
      </c>
      <c r="V9234" t="s">
        <v>3496</v>
      </c>
      <c r="W9234" t="s">
        <v>3497</v>
      </c>
      <c r="AF9234" t="s">
        <v>18749</v>
      </c>
    </row>
    <row r="9235" spans="1:32" hidden="1" x14ac:dyDescent="0.35">
      <c r="A9235">
        <v>9234</v>
      </c>
      <c r="B9235" t="s">
        <v>18748</v>
      </c>
      <c r="C9235" t="s">
        <v>277</v>
      </c>
      <c r="D9235" t="s">
        <v>62</v>
      </c>
      <c r="E9235">
        <v>139</v>
      </c>
      <c r="F9235">
        <v>2</v>
      </c>
      <c r="G9235">
        <v>2</v>
      </c>
      <c r="H9235">
        <v>1</v>
      </c>
      <c r="I9235">
        <v>0</v>
      </c>
      <c r="J9235">
        <v>0.98979591836734704</v>
      </c>
      <c r="K9235">
        <v>1</v>
      </c>
      <c r="L9235">
        <v>0.994871794871795</v>
      </c>
      <c r="M9235">
        <v>0.98979591836734704</v>
      </c>
      <c r="N9235">
        <v>0.98979591836734704</v>
      </c>
      <c r="O9235">
        <v>0.98979591836734704</v>
      </c>
      <c r="P9235" t="s">
        <v>3495</v>
      </c>
      <c r="Q9235" t="s">
        <v>3188</v>
      </c>
      <c r="R9235" t="s">
        <v>869</v>
      </c>
      <c r="S9235" t="s">
        <v>870</v>
      </c>
      <c r="V9235" t="s">
        <v>3496</v>
      </c>
      <c r="W9235" t="s">
        <v>3497</v>
      </c>
      <c r="AF9235" t="s">
        <v>18750</v>
      </c>
    </row>
    <row r="9236" spans="1:32" hidden="1" x14ac:dyDescent="0.35">
      <c r="A9236">
        <v>9235</v>
      </c>
      <c r="B9236" t="s">
        <v>18751</v>
      </c>
      <c r="C9236" t="s">
        <v>277</v>
      </c>
      <c r="D9236" t="s">
        <v>60</v>
      </c>
      <c r="E9236">
        <v>715</v>
      </c>
      <c r="F9236">
        <v>2</v>
      </c>
      <c r="G9236">
        <v>2</v>
      </c>
      <c r="H9236">
        <v>1</v>
      </c>
      <c r="I9236">
        <v>0</v>
      </c>
      <c r="J9236">
        <v>0.99843505477308303</v>
      </c>
      <c r="K9236">
        <v>1</v>
      </c>
      <c r="L9236">
        <v>0.999216914643696</v>
      </c>
      <c r="M9236">
        <v>0.99843505477308303</v>
      </c>
      <c r="N9236">
        <v>0.99843505477308303</v>
      </c>
      <c r="O9236">
        <v>0.99843505477308303</v>
      </c>
      <c r="P9236" t="s">
        <v>10047</v>
      </c>
      <c r="Q9236" t="s">
        <v>10048</v>
      </c>
      <c r="R9236" t="s">
        <v>18752</v>
      </c>
      <c r="S9236" t="s">
        <v>18753</v>
      </c>
      <c r="T9236" t="s">
        <v>18754</v>
      </c>
      <c r="U9236" t="s">
        <v>18755</v>
      </c>
      <c r="V9236" t="s">
        <v>18756</v>
      </c>
      <c r="W9236" t="s">
        <v>18757</v>
      </c>
      <c r="X9236" t="s">
        <v>18756</v>
      </c>
      <c r="Y9236" t="s">
        <v>8625</v>
      </c>
      <c r="AD9236" t="s">
        <v>219</v>
      </c>
      <c r="AE9236" t="s">
        <v>18758</v>
      </c>
      <c r="AF9236" t="s">
        <v>18759</v>
      </c>
    </row>
    <row r="9237" spans="1:32" hidden="1" x14ac:dyDescent="0.35">
      <c r="A9237">
        <v>9236</v>
      </c>
      <c r="B9237" t="s">
        <v>18751</v>
      </c>
      <c r="C9237" t="s">
        <v>277</v>
      </c>
      <c r="D9237" t="s">
        <v>62</v>
      </c>
      <c r="E9237">
        <v>746</v>
      </c>
      <c r="F9237">
        <v>2</v>
      </c>
      <c r="G9237">
        <v>2</v>
      </c>
      <c r="H9237">
        <v>1</v>
      </c>
      <c r="I9237">
        <v>0</v>
      </c>
      <c r="J9237">
        <v>0.99843505477308303</v>
      </c>
      <c r="K9237">
        <v>1</v>
      </c>
      <c r="L9237">
        <v>0.999216914643696</v>
      </c>
      <c r="M9237">
        <v>0.99843505477308303</v>
      </c>
      <c r="N9237">
        <v>0.99843505477308303</v>
      </c>
      <c r="O9237">
        <v>0.99843505477308303</v>
      </c>
      <c r="P9237" t="s">
        <v>10047</v>
      </c>
      <c r="Q9237" t="s">
        <v>10048</v>
      </c>
      <c r="R9237" t="s">
        <v>18752</v>
      </c>
      <c r="S9237" t="s">
        <v>18753</v>
      </c>
      <c r="T9237" t="s">
        <v>18754</v>
      </c>
      <c r="U9237" t="s">
        <v>18755</v>
      </c>
      <c r="V9237" t="s">
        <v>18756</v>
      </c>
      <c r="W9237" t="s">
        <v>18757</v>
      </c>
      <c r="X9237" t="s">
        <v>18756</v>
      </c>
      <c r="Y9237" t="s">
        <v>8625</v>
      </c>
      <c r="AD9237" t="s">
        <v>219</v>
      </c>
      <c r="AE9237" t="s">
        <v>18758</v>
      </c>
      <c r="AF9237" t="s">
        <v>18760</v>
      </c>
    </row>
    <row r="9238" spans="1:32" hidden="1" x14ac:dyDescent="0.35">
      <c r="A9238">
        <v>9237</v>
      </c>
      <c r="B9238" t="s">
        <v>18761</v>
      </c>
      <c r="C9238" t="s">
        <v>277</v>
      </c>
      <c r="D9238" t="s">
        <v>34</v>
      </c>
      <c r="E9238">
        <v>431</v>
      </c>
      <c r="F9238">
        <v>2</v>
      </c>
      <c r="G9238">
        <v>2</v>
      </c>
      <c r="H9238">
        <v>1</v>
      </c>
      <c r="I9238">
        <v>0</v>
      </c>
      <c r="J9238">
        <v>0.98095238095238102</v>
      </c>
      <c r="K9238">
        <v>1</v>
      </c>
      <c r="L9238">
        <v>0.99038461538461497</v>
      </c>
      <c r="M9238">
        <v>0.97142857142857097</v>
      </c>
      <c r="N9238">
        <v>0.97142857142857097</v>
      </c>
      <c r="O9238">
        <v>0.97142857142857097</v>
      </c>
      <c r="P9238" t="s">
        <v>18762</v>
      </c>
      <c r="Q9238" t="s">
        <v>18763</v>
      </c>
      <c r="AF9238" t="s">
        <v>18764</v>
      </c>
    </row>
    <row r="9239" spans="1:32" hidden="1" x14ac:dyDescent="0.35">
      <c r="A9239">
        <v>9238</v>
      </c>
      <c r="B9239" t="s">
        <v>18761</v>
      </c>
      <c r="C9239" t="s">
        <v>277</v>
      </c>
      <c r="D9239" t="s">
        <v>45</v>
      </c>
      <c r="E9239">
        <v>1693</v>
      </c>
      <c r="F9239">
        <v>2</v>
      </c>
      <c r="G9239">
        <v>2</v>
      </c>
      <c r="H9239">
        <v>1</v>
      </c>
      <c r="I9239">
        <v>0</v>
      </c>
      <c r="J9239">
        <v>0.98095238095238102</v>
      </c>
      <c r="K9239">
        <v>1</v>
      </c>
      <c r="L9239">
        <v>0.99038461538461497</v>
      </c>
      <c r="M9239">
        <v>0.97142857142857097</v>
      </c>
      <c r="N9239">
        <v>0.97142857142857097</v>
      </c>
      <c r="O9239">
        <v>0.97142857142857097</v>
      </c>
      <c r="P9239" t="s">
        <v>18762</v>
      </c>
      <c r="Q9239" t="s">
        <v>18763</v>
      </c>
      <c r="AF9239" t="s">
        <v>18765</v>
      </c>
    </row>
    <row r="9240" spans="1:32" hidden="1" x14ac:dyDescent="0.35">
      <c r="A9240">
        <v>9239</v>
      </c>
      <c r="B9240" t="s">
        <v>18766</v>
      </c>
      <c r="C9240" t="s">
        <v>277</v>
      </c>
      <c r="D9240" t="s">
        <v>60</v>
      </c>
      <c r="E9240">
        <v>1249</v>
      </c>
      <c r="F9240">
        <v>2</v>
      </c>
      <c r="G9240">
        <v>2</v>
      </c>
      <c r="H9240">
        <v>1</v>
      </c>
      <c r="I9240">
        <v>0</v>
      </c>
      <c r="J9240">
        <v>0.99468085106382997</v>
      </c>
      <c r="K9240">
        <v>0.99297637677919903</v>
      </c>
      <c r="L9240">
        <v>0.99382788310320602</v>
      </c>
      <c r="M9240">
        <v>0.98767605633802802</v>
      </c>
      <c r="N9240">
        <v>0.98767605633802802</v>
      </c>
      <c r="O9240">
        <v>0.98767605633802802</v>
      </c>
      <c r="P9240" t="s">
        <v>4167</v>
      </c>
      <c r="Q9240" t="s">
        <v>4168</v>
      </c>
      <c r="R9240" t="s">
        <v>18767</v>
      </c>
      <c r="S9240" t="s">
        <v>18768</v>
      </c>
      <c r="T9240" t="s">
        <v>18769</v>
      </c>
      <c r="U9240" t="s">
        <v>18770</v>
      </c>
      <c r="V9240" t="s">
        <v>18771</v>
      </c>
      <c r="W9240" t="s">
        <v>18772</v>
      </c>
      <c r="AD9240" t="s">
        <v>4173</v>
      </c>
      <c r="AE9240" t="s">
        <v>4174</v>
      </c>
      <c r="AF9240" t="s">
        <v>18773</v>
      </c>
    </row>
    <row r="9241" spans="1:32" hidden="1" x14ac:dyDescent="0.35">
      <c r="A9241">
        <v>9240</v>
      </c>
      <c r="B9241" t="s">
        <v>18766</v>
      </c>
      <c r="C9241" t="s">
        <v>277</v>
      </c>
      <c r="D9241" t="s">
        <v>62</v>
      </c>
      <c r="E9241">
        <v>1286</v>
      </c>
      <c r="F9241">
        <v>2</v>
      </c>
      <c r="G9241">
        <v>2</v>
      </c>
      <c r="H9241">
        <v>1</v>
      </c>
      <c r="I9241">
        <v>0</v>
      </c>
      <c r="J9241">
        <v>0.99468085106382997</v>
      </c>
      <c r="K9241">
        <v>0.99297637677919903</v>
      </c>
      <c r="L9241">
        <v>0.99382788310320602</v>
      </c>
      <c r="M9241">
        <v>0.98767605633802802</v>
      </c>
      <c r="N9241">
        <v>0.98767605633802802</v>
      </c>
      <c r="O9241">
        <v>0.98767605633802802</v>
      </c>
      <c r="P9241" t="s">
        <v>4167</v>
      </c>
      <c r="Q9241" t="s">
        <v>4168</v>
      </c>
      <c r="R9241" t="s">
        <v>18767</v>
      </c>
      <c r="S9241" t="s">
        <v>18768</v>
      </c>
      <c r="T9241" t="s">
        <v>18769</v>
      </c>
      <c r="U9241" t="s">
        <v>18770</v>
      </c>
      <c r="V9241" t="s">
        <v>18771</v>
      </c>
      <c r="W9241" t="s">
        <v>18772</v>
      </c>
      <c r="AD9241" t="s">
        <v>4173</v>
      </c>
      <c r="AE9241" t="s">
        <v>4174</v>
      </c>
      <c r="AF9241" t="s">
        <v>18774</v>
      </c>
    </row>
    <row r="9242" spans="1:32" hidden="1" x14ac:dyDescent="0.35">
      <c r="A9242">
        <v>9241</v>
      </c>
      <c r="B9242" t="s">
        <v>18775</v>
      </c>
      <c r="C9242" t="s">
        <v>277</v>
      </c>
      <c r="D9242" t="s">
        <v>60</v>
      </c>
      <c r="E9242">
        <v>836</v>
      </c>
      <c r="F9242">
        <v>2</v>
      </c>
      <c r="G9242">
        <v>2</v>
      </c>
      <c r="H9242">
        <v>1</v>
      </c>
      <c r="I9242">
        <v>0</v>
      </c>
      <c r="J9242">
        <v>0.99633699633699602</v>
      </c>
      <c r="K9242">
        <v>1</v>
      </c>
      <c r="L9242">
        <v>0.99816513761467895</v>
      </c>
      <c r="M9242">
        <v>0.99633699633699602</v>
      </c>
      <c r="N9242">
        <v>0.99633699633699602</v>
      </c>
      <c r="O9242">
        <v>0.99633699633699602</v>
      </c>
      <c r="P9242" t="s">
        <v>13511</v>
      </c>
      <c r="Q9242" t="s">
        <v>13512</v>
      </c>
      <c r="AF9242" t="s">
        <v>18776</v>
      </c>
    </row>
    <row r="9243" spans="1:32" hidden="1" x14ac:dyDescent="0.35">
      <c r="A9243">
        <v>9242</v>
      </c>
      <c r="B9243" t="s">
        <v>18775</v>
      </c>
      <c r="C9243" t="s">
        <v>277</v>
      </c>
      <c r="D9243" t="s">
        <v>62</v>
      </c>
      <c r="E9243">
        <v>870</v>
      </c>
      <c r="F9243">
        <v>2</v>
      </c>
      <c r="G9243">
        <v>2</v>
      </c>
      <c r="H9243">
        <v>1</v>
      </c>
      <c r="I9243">
        <v>0</v>
      </c>
      <c r="J9243">
        <v>0.99633699633699602</v>
      </c>
      <c r="K9243">
        <v>1</v>
      </c>
      <c r="L9243">
        <v>0.99816513761467895</v>
      </c>
      <c r="M9243">
        <v>0.99633699633699602</v>
      </c>
      <c r="N9243">
        <v>0.99633699633699602</v>
      </c>
      <c r="O9243">
        <v>0.99633699633699602</v>
      </c>
      <c r="P9243" t="s">
        <v>13511</v>
      </c>
      <c r="Q9243" t="s">
        <v>13512</v>
      </c>
      <c r="AF9243" t="s">
        <v>18777</v>
      </c>
    </row>
    <row r="9244" spans="1:32" hidden="1" x14ac:dyDescent="0.35">
      <c r="A9244">
        <v>9243</v>
      </c>
      <c r="B9244" t="s">
        <v>18778</v>
      </c>
      <c r="C9244" t="s">
        <v>277</v>
      </c>
      <c r="D9244" t="s">
        <v>34</v>
      </c>
      <c r="E9244">
        <v>2265</v>
      </c>
      <c r="F9244">
        <v>2</v>
      </c>
      <c r="G9244">
        <v>2</v>
      </c>
      <c r="H9244">
        <v>1</v>
      </c>
      <c r="I9244">
        <v>0</v>
      </c>
      <c r="J9244">
        <v>0.93267651888341496</v>
      </c>
      <c r="K9244">
        <v>1</v>
      </c>
      <c r="L9244">
        <v>0.96516567544604903</v>
      </c>
      <c r="M9244">
        <v>0.92610837438423599</v>
      </c>
      <c r="N9244">
        <v>0.92610837438423599</v>
      </c>
      <c r="O9244">
        <v>0.92610837438423599</v>
      </c>
      <c r="AF9244" t="s">
        <v>18779</v>
      </c>
    </row>
    <row r="9245" spans="1:32" hidden="1" x14ac:dyDescent="0.35">
      <c r="A9245">
        <v>9244</v>
      </c>
      <c r="B9245" t="s">
        <v>18778</v>
      </c>
      <c r="C9245" t="s">
        <v>277</v>
      </c>
      <c r="D9245" t="s">
        <v>45</v>
      </c>
      <c r="E9245">
        <v>611</v>
      </c>
      <c r="F9245">
        <v>2</v>
      </c>
      <c r="G9245">
        <v>2</v>
      </c>
      <c r="H9245">
        <v>1</v>
      </c>
      <c r="I9245">
        <v>0</v>
      </c>
      <c r="J9245">
        <v>0.93267651888341496</v>
      </c>
      <c r="K9245">
        <v>1</v>
      </c>
      <c r="L9245">
        <v>0.96516567544604903</v>
      </c>
      <c r="M9245">
        <v>0.92610837438423599</v>
      </c>
      <c r="N9245">
        <v>0.92610837438423599</v>
      </c>
      <c r="O9245">
        <v>0.92610837438423599</v>
      </c>
      <c r="AF9245" t="s">
        <v>18780</v>
      </c>
    </row>
    <row r="9246" spans="1:32" hidden="1" x14ac:dyDescent="0.35">
      <c r="A9246">
        <v>9245</v>
      </c>
      <c r="B9246" t="s">
        <v>18781</v>
      </c>
      <c r="C9246" t="s">
        <v>277</v>
      </c>
      <c r="D9246" t="s">
        <v>60</v>
      </c>
      <c r="E9246">
        <v>1094</v>
      </c>
      <c r="F9246">
        <v>2</v>
      </c>
      <c r="G9246">
        <v>2</v>
      </c>
      <c r="H9246">
        <v>1</v>
      </c>
      <c r="I9246">
        <v>0</v>
      </c>
      <c r="J9246">
        <v>0.98420615128844602</v>
      </c>
      <c r="K9246">
        <v>1</v>
      </c>
      <c r="L9246">
        <v>0.99204021784666896</v>
      </c>
      <c r="M9246">
        <v>0.98254364089775603</v>
      </c>
      <c r="N9246">
        <v>0.98254364089775603</v>
      </c>
      <c r="O9246">
        <v>0.98254364089775603</v>
      </c>
      <c r="P9246" t="s">
        <v>5382</v>
      </c>
      <c r="Q9246" t="s">
        <v>5383</v>
      </c>
      <c r="R9246" t="s">
        <v>869</v>
      </c>
      <c r="S9246" t="s">
        <v>870</v>
      </c>
      <c r="T9246" t="s">
        <v>5384</v>
      </c>
      <c r="U9246" t="s">
        <v>5385</v>
      </c>
      <c r="V9246" t="s">
        <v>5386</v>
      </c>
      <c r="W9246" t="s">
        <v>5387</v>
      </c>
      <c r="X9246" t="s">
        <v>5386</v>
      </c>
      <c r="Y9246" t="s">
        <v>2116</v>
      </c>
      <c r="Z9246" t="s">
        <v>5388</v>
      </c>
      <c r="AA9246" t="s">
        <v>5389</v>
      </c>
      <c r="AB9246" t="s">
        <v>5388</v>
      </c>
      <c r="AC9246" t="s">
        <v>1094</v>
      </c>
      <c r="AD9246" t="s">
        <v>219</v>
      </c>
      <c r="AE9246" t="s">
        <v>5390</v>
      </c>
      <c r="AF9246" t="s">
        <v>18782</v>
      </c>
    </row>
    <row r="9247" spans="1:32" hidden="1" x14ac:dyDescent="0.35">
      <c r="A9247">
        <v>9246</v>
      </c>
      <c r="B9247" t="s">
        <v>18781</v>
      </c>
      <c r="C9247" t="s">
        <v>277</v>
      </c>
      <c r="D9247" t="s">
        <v>62</v>
      </c>
      <c r="E9247">
        <v>1130</v>
      </c>
      <c r="F9247">
        <v>2</v>
      </c>
      <c r="G9247">
        <v>2</v>
      </c>
      <c r="H9247">
        <v>1</v>
      </c>
      <c r="I9247">
        <v>0</v>
      </c>
      <c r="J9247">
        <v>0.98420615128844602</v>
      </c>
      <c r="K9247">
        <v>1</v>
      </c>
      <c r="L9247">
        <v>0.99204021784666896</v>
      </c>
      <c r="M9247">
        <v>0.98254364089775603</v>
      </c>
      <c r="N9247">
        <v>0.98254364089775603</v>
      </c>
      <c r="O9247">
        <v>0.98254364089775603</v>
      </c>
      <c r="P9247" t="s">
        <v>5382</v>
      </c>
      <c r="Q9247" t="s">
        <v>5383</v>
      </c>
      <c r="R9247" t="s">
        <v>869</v>
      </c>
      <c r="S9247" t="s">
        <v>870</v>
      </c>
      <c r="T9247" t="s">
        <v>5384</v>
      </c>
      <c r="U9247" t="s">
        <v>5385</v>
      </c>
      <c r="V9247" t="s">
        <v>5386</v>
      </c>
      <c r="W9247" t="s">
        <v>5387</v>
      </c>
      <c r="X9247" t="s">
        <v>5386</v>
      </c>
      <c r="Y9247" t="s">
        <v>2116</v>
      </c>
      <c r="Z9247" t="s">
        <v>5388</v>
      </c>
      <c r="AA9247" t="s">
        <v>5389</v>
      </c>
      <c r="AB9247" t="s">
        <v>5388</v>
      </c>
      <c r="AC9247" t="s">
        <v>1094</v>
      </c>
      <c r="AD9247" t="s">
        <v>219</v>
      </c>
      <c r="AE9247" t="s">
        <v>5390</v>
      </c>
      <c r="AF9247" t="s">
        <v>18783</v>
      </c>
    </row>
    <row r="9248" spans="1:32" hidden="1" x14ac:dyDescent="0.35">
      <c r="A9248">
        <v>9247</v>
      </c>
      <c r="B9248" t="s">
        <v>18784</v>
      </c>
      <c r="C9248" t="s">
        <v>277</v>
      </c>
      <c r="D9248" t="s">
        <v>34</v>
      </c>
      <c r="E9248">
        <v>1576</v>
      </c>
      <c r="F9248">
        <v>2</v>
      </c>
      <c r="G9248">
        <v>2</v>
      </c>
      <c r="H9248">
        <v>1</v>
      </c>
      <c r="I9248">
        <v>0</v>
      </c>
      <c r="J9248">
        <v>0.99870298313878103</v>
      </c>
      <c r="K9248">
        <v>1</v>
      </c>
      <c r="L9248">
        <v>0.99935107073328999</v>
      </c>
      <c r="M9248">
        <v>0.99610894941634198</v>
      </c>
      <c r="N9248">
        <v>0.99610894941634198</v>
      </c>
      <c r="O9248">
        <v>0.99610894941634198</v>
      </c>
      <c r="P9248" t="s">
        <v>14500</v>
      </c>
      <c r="Q9248" t="s">
        <v>14501</v>
      </c>
      <c r="AF9248" t="s">
        <v>18785</v>
      </c>
    </row>
    <row r="9249" spans="1:32" hidden="1" x14ac:dyDescent="0.35">
      <c r="A9249">
        <v>9248</v>
      </c>
      <c r="B9249" t="s">
        <v>18784</v>
      </c>
      <c r="C9249" t="s">
        <v>277</v>
      </c>
      <c r="D9249" t="s">
        <v>45</v>
      </c>
      <c r="E9249">
        <v>326</v>
      </c>
      <c r="F9249">
        <v>2</v>
      </c>
      <c r="G9249">
        <v>2</v>
      </c>
      <c r="H9249">
        <v>1</v>
      </c>
      <c r="I9249">
        <v>0</v>
      </c>
      <c r="J9249">
        <v>0.99870298313878103</v>
      </c>
      <c r="K9249">
        <v>1</v>
      </c>
      <c r="L9249">
        <v>0.99935107073328999</v>
      </c>
      <c r="M9249">
        <v>0.99610894941634198</v>
      </c>
      <c r="N9249">
        <v>0.99610894941634198</v>
      </c>
      <c r="O9249">
        <v>0.99610894941634198</v>
      </c>
      <c r="P9249" t="s">
        <v>14500</v>
      </c>
      <c r="Q9249" t="s">
        <v>14501</v>
      </c>
      <c r="AF9249" t="s">
        <v>18786</v>
      </c>
    </row>
    <row r="9250" spans="1:32" hidden="1" x14ac:dyDescent="0.35">
      <c r="A9250">
        <v>9249</v>
      </c>
      <c r="B9250" t="s">
        <v>18787</v>
      </c>
      <c r="C9250" t="s">
        <v>277</v>
      </c>
      <c r="D9250" t="s">
        <v>60</v>
      </c>
      <c r="E9250">
        <v>759</v>
      </c>
      <c r="F9250">
        <v>2</v>
      </c>
      <c r="G9250">
        <v>2</v>
      </c>
      <c r="H9250">
        <v>1</v>
      </c>
      <c r="I9250">
        <v>0</v>
      </c>
      <c r="J9250">
        <v>0.99193548387096797</v>
      </c>
      <c r="K9250">
        <v>1</v>
      </c>
      <c r="L9250">
        <v>0.99595141700404899</v>
      </c>
      <c r="M9250">
        <v>0.99193548387096797</v>
      </c>
      <c r="N9250">
        <v>0.99193548387096797</v>
      </c>
      <c r="O9250">
        <v>0.99193548387096797</v>
      </c>
      <c r="P9250" t="s">
        <v>18788</v>
      </c>
      <c r="Q9250" t="s">
        <v>18789</v>
      </c>
      <c r="R9250" t="s">
        <v>157</v>
      </c>
      <c r="S9250" t="s">
        <v>158</v>
      </c>
      <c r="T9250" t="s">
        <v>18790</v>
      </c>
      <c r="U9250" t="s">
        <v>18791</v>
      </c>
      <c r="V9250" t="s">
        <v>18792</v>
      </c>
      <c r="W9250" t="s">
        <v>18793</v>
      </c>
      <c r="AD9250" t="s">
        <v>219</v>
      </c>
      <c r="AE9250" t="s">
        <v>18794</v>
      </c>
      <c r="AF9250" t="s">
        <v>18795</v>
      </c>
    </row>
    <row r="9251" spans="1:32" hidden="1" x14ac:dyDescent="0.35">
      <c r="A9251">
        <v>9250</v>
      </c>
      <c r="B9251" t="s">
        <v>18787</v>
      </c>
      <c r="C9251" t="s">
        <v>277</v>
      </c>
      <c r="D9251" t="s">
        <v>62</v>
      </c>
      <c r="E9251">
        <v>792</v>
      </c>
      <c r="F9251">
        <v>2</v>
      </c>
      <c r="G9251">
        <v>2</v>
      </c>
      <c r="H9251">
        <v>1</v>
      </c>
      <c r="I9251">
        <v>0</v>
      </c>
      <c r="J9251">
        <v>0.99193548387096797</v>
      </c>
      <c r="K9251">
        <v>1</v>
      </c>
      <c r="L9251">
        <v>0.99595141700404899</v>
      </c>
      <c r="M9251">
        <v>0.99193548387096797</v>
      </c>
      <c r="N9251">
        <v>0.99193548387096797</v>
      </c>
      <c r="O9251">
        <v>0.99193548387096797</v>
      </c>
      <c r="P9251" t="s">
        <v>18788</v>
      </c>
      <c r="Q9251" t="s">
        <v>18789</v>
      </c>
      <c r="R9251" t="s">
        <v>157</v>
      </c>
      <c r="S9251" t="s">
        <v>158</v>
      </c>
      <c r="T9251" t="s">
        <v>18790</v>
      </c>
      <c r="U9251" t="s">
        <v>18791</v>
      </c>
      <c r="V9251" t="s">
        <v>18792</v>
      </c>
      <c r="W9251" t="s">
        <v>18793</v>
      </c>
      <c r="AD9251" t="s">
        <v>219</v>
      </c>
      <c r="AE9251" t="s">
        <v>18794</v>
      </c>
      <c r="AF9251" t="s">
        <v>18796</v>
      </c>
    </row>
    <row r="9252" spans="1:32" hidden="1" x14ac:dyDescent="0.35">
      <c r="A9252">
        <v>9251</v>
      </c>
      <c r="B9252" t="s">
        <v>18797</v>
      </c>
      <c r="C9252" t="s">
        <v>277</v>
      </c>
      <c r="D9252" t="s">
        <v>60</v>
      </c>
      <c r="E9252">
        <v>512</v>
      </c>
      <c r="F9252">
        <v>2</v>
      </c>
      <c r="G9252">
        <v>2</v>
      </c>
      <c r="H9252">
        <v>1</v>
      </c>
      <c r="I9252">
        <v>0</v>
      </c>
      <c r="J9252">
        <v>1</v>
      </c>
      <c r="K9252">
        <v>0.99667774086378802</v>
      </c>
      <c r="L9252">
        <v>0.99833610648918503</v>
      </c>
      <c r="M9252">
        <v>0.99667774086378702</v>
      </c>
      <c r="N9252">
        <v>0.99667774086378702</v>
      </c>
      <c r="O9252">
        <v>0.99667774086378702</v>
      </c>
      <c r="P9252" t="s">
        <v>5134</v>
      </c>
      <c r="Q9252" t="s">
        <v>5135</v>
      </c>
      <c r="R9252" t="s">
        <v>157</v>
      </c>
      <c r="S9252" t="s">
        <v>158</v>
      </c>
      <c r="V9252" t="s">
        <v>15327</v>
      </c>
      <c r="W9252" t="s">
        <v>15328</v>
      </c>
      <c r="AF9252" t="s">
        <v>18798</v>
      </c>
    </row>
    <row r="9253" spans="1:32" hidden="1" x14ac:dyDescent="0.35">
      <c r="A9253">
        <v>9252</v>
      </c>
      <c r="B9253" t="s">
        <v>18797</v>
      </c>
      <c r="C9253" t="s">
        <v>277</v>
      </c>
      <c r="D9253" t="s">
        <v>62</v>
      </c>
      <c r="E9253">
        <v>596</v>
      </c>
      <c r="F9253">
        <v>2</v>
      </c>
      <c r="G9253">
        <v>2</v>
      </c>
      <c r="H9253">
        <v>1</v>
      </c>
      <c r="I9253">
        <v>0</v>
      </c>
      <c r="J9253">
        <v>1</v>
      </c>
      <c r="K9253">
        <v>0.99667774086378802</v>
      </c>
      <c r="L9253">
        <v>0.99833610648918503</v>
      </c>
      <c r="M9253">
        <v>0.99667774086378702</v>
      </c>
      <c r="N9253">
        <v>0.99667774086378702</v>
      </c>
      <c r="O9253">
        <v>0.99667774086378702</v>
      </c>
      <c r="P9253" t="s">
        <v>5134</v>
      </c>
      <c r="Q9253" t="s">
        <v>5135</v>
      </c>
      <c r="R9253" t="s">
        <v>157</v>
      </c>
      <c r="S9253" t="s">
        <v>158</v>
      </c>
      <c r="V9253" t="s">
        <v>15327</v>
      </c>
      <c r="W9253" t="s">
        <v>15328</v>
      </c>
      <c r="AF9253" t="s">
        <v>18799</v>
      </c>
    </row>
    <row r="9254" spans="1:32" hidden="1" x14ac:dyDescent="0.35">
      <c r="A9254">
        <v>9253</v>
      </c>
      <c r="B9254" t="s">
        <v>18800</v>
      </c>
      <c r="C9254" t="s">
        <v>277</v>
      </c>
      <c r="D9254" t="s">
        <v>34</v>
      </c>
      <c r="E9254">
        <v>1699</v>
      </c>
      <c r="F9254">
        <v>2</v>
      </c>
      <c r="G9254">
        <v>2</v>
      </c>
      <c r="H9254">
        <v>1</v>
      </c>
      <c r="I9254">
        <v>0</v>
      </c>
      <c r="J9254">
        <v>0.98333333333333295</v>
      </c>
      <c r="K9254">
        <v>1</v>
      </c>
      <c r="L9254">
        <v>0.99159663865546199</v>
      </c>
      <c r="M9254">
        <v>0.97631578947368403</v>
      </c>
      <c r="N9254">
        <v>0.97631578947368403</v>
      </c>
      <c r="O9254">
        <v>0.97631578947368403</v>
      </c>
      <c r="P9254" t="s">
        <v>12476</v>
      </c>
      <c r="Q9254" t="s">
        <v>12477</v>
      </c>
      <c r="R9254" t="s">
        <v>342</v>
      </c>
      <c r="S9254" t="s">
        <v>343</v>
      </c>
      <c r="T9254" t="s">
        <v>12478</v>
      </c>
      <c r="U9254" t="s">
        <v>12479</v>
      </c>
      <c r="V9254" t="s">
        <v>11985</v>
      </c>
      <c r="W9254" t="s">
        <v>11986</v>
      </c>
      <c r="X9254" t="s">
        <v>11985</v>
      </c>
      <c r="Y9254" t="s">
        <v>4418</v>
      </c>
      <c r="Z9254" t="s">
        <v>5716</v>
      </c>
      <c r="AA9254" t="s">
        <v>5717</v>
      </c>
      <c r="AB9254" t="s">
        <v>5716</v>
      </c>
      <c r="AC9254" t="s">
        <v>1094</v>
      </c>
      <c r="AD9254" t="s">
        <v>219</v>
      </c>
      <c r="AE9254" t="s">
        <v>12480</v>
      </c>
      <c r="AF9254" t="s">
        <v>18801</v>
      </c>
    </row>
    <row r="9255" spans="1:32" hidden="1" x14ac:dyDescent="0.35">
      <c r="A9255">
        <v>9254</v>
      </c>
      <c r="B9255" t="s">
        <v>18800</v>
      </c>
      <c r="C9255" t="s">
        <v>277</v>
      </c>
      <c r="D9255" t="s">
        <v>45</v>
      </c>
      <c r="E9255">
        <v>1176</v>
      </c>
      <c r="F9255">
        <v>2</v>
      </c>
      <c r="G9255">
        <v>2</v>
      </c>
      <c r="H9255">
        <v>1</v>
      </c>
      <c r="I9255">
        <v>0</v>
      </c>
      <c r="J9255">
        <v>0.98333333333333295</v>
      </c>
      <c r="K9255">
        <v>1</v>
      </c>
      <c r="L9255">
        <v>0.99159663865546199</v>
      </c>
      <c r="M9255">
        <v>0.97631578947368403</v>
      </c>
      <c r="N9255">
        <v>0.97631578947368403</v>
      </c>
      <c r="O9255">
        <v>0.97631578947368403</v>
      </c>
      <c r="P9255" t="s">
        <v>12476</v>
      </c>
      <c r="Q9255" t="s">
        <v>12477</v>
      </c>
      <c r="R9255" t="s">
        <v>342</v>
      </c>
      <c r="S9255" t="s">
        <v>343</v>
      </c>
      <c r="T9255" t="s">
        <v>12478</v>
      </c>
      <c r="U9255" t="s">
        <v>12479</v>
      </c>
      <c r="V9255" t="s">
        <v>11985</v>
      </c>
      <c r="W9255" t="s">
        <v>11986</v>
      </c>
      <c r="X9255" t="s">
        <v>11985</v>
      </c>
      <c r="Y9255" t="s">
        <v>4418</v>
      </c>
      <c r="Z9255" t="s">
        <v>5716</v>
      </c>
      <c r="AA9255" t="s">
        <v>5717</v>
      </c>
      <c r="AB9255" t="s">
        <v>5716</v>
      </c>
      <c r="AC9255" t="s">
        <v>1094</v>
      </c>
      <c r="AD9255" t="s">
        <v>219</v>
      </c>
      <c r="AE9255" t="s">
        <v>12480</v>
      </c>
      <c r="AF9255" t="s">
        <v>18802</v>
      </c>
    </row>
    <row r="9256" spans="1:32" hidden="1" x14ac:dyDescent="0.35">
      <c r="A9256">
        <v>9255</v>
      </c>
      <c r="B9256" t="s">
        <v>18803</v>
      </c>
      <c r="C9256" t="s">
        <v>277</v>
      </c>
      <c r="D9256" t="s">
        <v>60</v>
      </c>
      <c r="E9256">
        <v>1727</v>
      </c>
      <c r="F9256">
        <v>2</v>
      </c>
      <c r="G9256">
        <v>2</v>
      </c>
      <c r="H9256">
        <v>1</v>
      </c>
      <c r="I9256">
        <v>0</v>
      </c>
      <c r="J9256">
        <v>0.98173515981735204</v>
      </c>
      <c r="K9256">
        <v>1</v>
      </c>
      <c r="L9256">
        <v>0.990783410138249</v>
      </c>
      <c r="M9256">
        <v>0.97260273972602695</v>
      </c>
      <c r="N9256">
        <v>0.97260273972602695</v>
      </c>
      <c r="O9256">
        <v>0.97260273972602695</v>
      </c>
      <c r="AF9256" t="s">
        <v>18804</v>
      </c>
    </row>
    <row r="9257" spans="1:32" hidden="1" x14ac:dyDescent="0.35">
      <c r="A9257">
        <v>9256</v>
      </c>
      <c r="B9257" t="s">
        <v>18803</v>
      </c>
      <c r="C9257" t="s">
        <v>277</v>
      </c>
      <c r="D9257" t="s">
        <v>62</v>
      </c>
      <c r="E9257">
        <v>1764</v>
      </c>
      <c r="F9257">
        <v>2</v>
      </c>
      <c r="G9257">
        <v>2</v>
      </c>
      <c r="H9257">
        <v>1</v>
      </c>
      <c r="I9257">
        <v>0</v>
      </c>
      <c r="J9257">
        <v>0.98173515981735204</v>
      </c>
      <c r="K9257">
        <v>1</v>
      </c>
      <c r="L9257">
        <v>0.990783410138249</v>
      </c>
      <c r="M9257">
        <v>0.97260273972602695</v>
      </c>
      <c r="N9257">
        <v>0.97260273972602695</v>
      </c>
      <c r="O9257">
        <v>0.97260273972602695</v>
      </c>
      <c r="AF9257" t="s">
        <v>18805</v>
      </c>
    </row>
    <row r="9258" spans="1:32" hidden="1" x14ac:dyDescent="0.35">
      <c r="A9258">
        <v>9257</v>
      </c>
      <c r="B9258" t="s">
        <v>18806</v>
      </c>
      <c r="C9258" t="s">
        <v>277</v>
      </c>
      <c r="D9258" t="s">
        <v>34</v>
      </c>
      <c r="E9258">
        <v>1350</v>
      </c>
      <c r="F9258">
        <v>2</v>
      </c>
      <c r="G9258">
        <v>2</v>
      </c>
      <c r="H9258">
        <v>1</v>
      </c>
      <c r="I9258">
        <v>0</v>
      </c>
      <c r="J9258">
        <v>0.99127725856697801</v>
      </c>
      <c r="K9258">
        <v>1</v>
      </c>
      <c r="L9258">
        <v>0.99561952440550705</v>
      </c>
      <c r="M9258">
        <v>0.98878504672897205</v>
      </c>
      <c r="N9258">
        <v>0.98878504672897205</v>
      </c>
      <c r="O9258">
        <v>0.98878504672897205</v>
      </c>
      <c r="AF9258" t="s">
        <v>18807</v>
      </c>
    </row>
    <row r="9259" spans="1:32" hidden="1" x14ac:dyDescent="0.35">
      <c r="A9259">
        <v>9258</v>
      </c>
      <c r="B9259" t="s">
        <v>18806</v>
      </c>
      <c r="C9259" t="s">
        <v>277</v>
      </c>
      <c r="D9259" t="s">
        <v>45</v>
      </c>
      <c r="E9259">
        <v>100</v>
      </c>
      <c r="F9259">
        <v>2</v>
      </c>
      <c r="G9259">
        <v>2</v>
      </c>
      <c r="H9259">
        <v>1</v>
      </c>
      <c r="I9259">
        <v>0</v>
      </c>
      <c r="J9259">
        <v>0.99127725856697801</v>
      </c>
      <c r="K9259">
        <v>1</v>
      </c>
      <c r="L9259">
        <v>0.99561952440550705</v>
      </c>
      <c r="M9259">
        <v>0.98878504672897205</v>
      </c>
      <c r="N9259">
        <v>0.98878504672897205</v>
      </c>
      <c r="O9259">
        <v>0.98878504672897205</v>
      </c>
      <c r="AF9259" t="s">
        <v>18808</v>
      </c>
    </row>
    <row r="9260" spans="1:32" hidden="1" x14ac:dyDescent="0.35">
      <c r="A9260">
        <v>9259</v>
      </c>
      <c r="B9260" t="s">
        <v>18809</v>
      </c>
      <c r="C9260" t="s">
        <v>277</v>
      </c>
      <c r="D9260" t="s">
        <v>60</v>
      </c>
      <c r="E9260">
        <v>2401</v>
      </c>
      <c r="F9260">
        <v>2</v>
      </c>
      <c r="G9260">
        <v>2</v>
      </c>
      <c r="H9260">
        <v>1</v>
      </c>
      <c r="I9260">
        <v>0</v>
      </c>
      <c r="J9260">
        <v>0.98976982097186705</v>
      </c>
      <c r="K9260">
        <v>1</v>
      </c>
      <c r="L9260">
        <v>0.99485861182519297</v>
      </c>
      <c r="M9260">
        <v>0.98465473145780003</v>
      </c>
      <c r="N9260">
        <v>0.98465473145780003</v>
      </c>
      <c r="O9260">
        <v>0.98465473145780003</v>
      </c>
      <c r="P9260" t="s">
        <v>18638</v>
      </c>
      <c r="Q9260" t="s">
        <v>18639</v>
      </c>
      <c r="R9260" t="s">
        <v>319</v>
      </c>
      <c r="S9260" t="s">
        <v>320</v>
      </c>
      <c r="T9260" t="s">
        <v>18640</v>
      </c>
      <c r="U9260" t="s">
        <v>18641</v>
      </c>
      <c r="V9260" t="s">
        <v>18642</v>
      </c>
      <c r="W9260" t="s">
        <v>18643</v>
      </c>
      <c r="AD9260" t="s">
        <v>245</v>
      </c>
      <c r="AE9260" t="s">
        <v>18644</v>
      </c>
      <c r="AF9260" t="s">
        <v>18810</v>
      </c>
    </row>
    <row r="9261" spans="1:32" hidden="1" x14ac:dyDescent="0.35">
      <c r="A9261">
        <v>9260</v>
      </c>
      <c r="B9261" t="s">
        <v>18809</v>
      </c>
      <c r="C9261" t="s">
        <v>277</v>
      </c>
      <c r="D9261" t="s">
        <v>62</v>
      </c>
      <c r="E9261">
        <v>2428</v>
      </c>
      <c r="F9261">
        <v>2</v>
      </c>
      <c r="G9261">
        <v>2</v>
      </c>
      <c r="H9261">
        <v>1</v>
      </c>
      <c r="I9261">
        <v>0</v>
      </c>
      <c r="J9261">
        <v>0.98976982097186705</v>
      </c>
      <c r="K9261">
        <v>1</v>
      </c>
      <c r="L9261">
        <v>0.99485861182519297</v>
      </c>
      <c r="M9261">
        <v>0.98465473145780003</v>
      </c>
      <c r="N9261">
        <v>0.98465473145780003</v>
      </c>
      <c r="O9261">
        <v>0.98465473145780003</v>
      </c>
      <c r="P9261" t="s">
        <v>18638</v>
      </c>
      <c r="Q9261" t="s">
        <v>18639</v>
      </c>
      <c r="R9261" t="s">
        <v>319</v>
      </c>
      <c r="S9261" t="s">
        <v>320</v>
      </c>
      <c r="T9261" t="s">
        <v>18640</v>
      </c>
      <c r="U9261" t="s">
        <v>18641</v>
      </c>
      <c r="V9261" t="s">
        <v>18642</v>
      </c>
      <c r="W9261" t="s">
        <v>18643</v>
      </c>
      <c r="AD9261" t="s">
        <v>245</v>
      </c>
      <c r="AE9261" t="s">
        <v>18644</v>
      </c>
      <c r="AF9261" t="s">
        <v>18811</v>
      </c>
    </row>
    <row r="9262" spans="1:32" hidden="1" x14ac:dyDescent="0.35">
      <c r="A9262">
        <v>9261</v>
      </c>
      <c r="B9262" t="s">
        <v>18812</v>
      </c>
      <c r="C9262" t="s">
        <v>277</v>
      </c>
      <c r="D9262" t="s">
        <v>34</v>
      </c>
      <c r="E9262">
        <v>2483</v>
      </c>
      <c r="F9262">
        <v>2</v>
      </c>
      <c r="G9262">
        <v>2</v>
      </c>
      <c r="H9262">
        <v>1</v>
      </c>
      <c r="I9262">
        <v>0</v>
      </c>
      <c r="J9262">
        <v>0.98224852071005897</v>
      </c>
      <c r="K9262">
        <v>1</v>
      </c>
      <c r="L9262">
        <v>0.991044776119403</v>
      </c>
      <c r="M9262">
        <v>0.976331360946746</v>
      </c>
      <c r="N9262">
        <v>0.976331360946746</v>
      </c>
      <c r="O9262">
        <v>0.976331360946746</v>
      </c>
      <c r="AF9262" t="s">
        <v>18813</v>
      </c>
    </row>
    <row r="9263" spans="1:32" hidden="1" x14ac:dyDescent="0.35">
      <c r="A9263">
        <v>9262</v>
      </c>
      <c r="B9263" t="s">
        <v>18812</v>
      </c>
      <c r="C9263" t="s">
        <v>277</v>
      </c>
      <c r="D9263" t="s">
        <v>45</v>
      </c>
      <c r="E9263">
        <v>417</v>
      </c>
      <c r="F9263">
        <v>2</v>
      </c>
      <c r="G9263">
        <v>2</v>
      </c>
      <c r="H9263">
        <v>1</v>
      </c>
      <c r="I9263">
        <v>0</v>
      </c>
      <c r="J9263">
        <v>0.98224852071005897</v>
      </c>
      <c r="K9263">
        <v>1</v>
      </c>
      <c r="L9263">
        <v>0.991044776119403</v>
      </c>
      <c r="M9263">
        <v>0.976331360946746</v>
      </c>
      <c r="N9263">
        <v>0.976331360946746</v>
      </c>
      <c r="O9263">
        <v>0.976331360946746</v>
      </c>
      <c r="AF9263" t="s">
        <v>18814</v>
      </c>
    </row>
    <row r="9264" spans="1:32" hidden="1" x14ac:dyDescent="0.35">
      <c r="A9264">
        <v>9263</v>
      </c>
      <c r="B9264" t="s">
        <v>18815</v>
      </c>
      <c r="C9264" t="s">
        <v>277</v>
      </c>
      <c r="D9264" t="s">
        <v>34</v>
      </c>
      <c r="E9264">
        <v>840</v>
      </c>
      <c r="F9264">
        <v>2</v>
      </c>
      <c r="G9264">
        <v>2</v>
      </c>
      <c r="H9264">
        <v>1</v>
      </c>
      <c r="I9264">
        <v>0</v>
      </c>
      <c r="J9264">
        <v>1</v>
      </c>
      <c r="K9264">
        <v>0.98393653291371497</v>
      </c>
      <c r="L9264">
        <v>0.99190323540103698</v>
      </c>
      <c r="M9264">
        <v>0.98387096774193505</v>
      </c>
      <c r="N9264">
        <v>0.98387096774193505</v>
      </c>
      <c r="O9264">
        <v>0.98387096774193505</v>
      </c>
      <c r="P9264" t="s">
        <v>12169</v>
      </c>
      <c r="Q9264" t="s">
        <v>12170</v>
      </c>
      <c r="R9264" t="s">
        <v>113</v>
      </c>
      <c r="S9264" t="s">
        <v>114</v>
      </c>
      <c r="V9264" t="s">
        <v>12171</v>
      </c>
      <c r="W9264" t="s">
        <v>12172</v>
      </c>
      <c r="AF9264" t="s">
        <v>18816</v>
      </c>
    </row>
    <row r="9265" spans="1:32" hidden="1" x14ac:dyDescent="0.35">
      <c r="A9265">
        <v>9264</v>
      </c>
      <c r="B9265" t="s">
        <v>18815</v>
      </c>
      <c r="C9265" t="s">
        <v>277</v>
      </c>
      <c r="D9265" t="s">
        <v>45</v>
      </c>
      <c r="E9265">
        <v>2097</v>
      </c>
      <c r="F9265">
        <v>2</v>
      </c>
      <c r="G9265">
        <v>2</v>
      </c>
      <c r="H9265">
        <v>1</v>
      </c>
      <c r="I9265">
        <v>0</v>
      </c>
      <c r="J9265">
        <v>1</v>
      </c>
      <c r="K9265">
        <v>0.98393653291371497</v>
      </c>
      <c r="L9265">
        <v>0.99190323540103698</v>
      </c>
      <c r="M9265">
        <v>0.98387096774193505</v>
      </c>
      <c r="N9265">
        <v>0.98387096774193505</v>
      </c>
      <c r="O9265">
        <v>0.98387096774193505</v>
      </c>
      <c r="P9265" t="s">
        <v>12169</v>
      </c>
      <c r="Q9265" t="s">
        <v>12170</v>
      </c>
      <c r="R9265" t="s">
        <v>113</v>
      </c>
      <c r="S9265" t="s">
        <v>114</v>
      </c>
      <c r="V9265" t="s">
        <v>12171</v>
      </c>
      <c r="W9265" t="s">
        <v>12172</v>
      </c>
      <c r="AF9265" t="s">
        <v>18817</v>
      </c>
    </row>
    <row r="9266" spans="1:32" hidden="1" x14ac:dyDescent="0.35">
      <c r="A9266">
        <v>9265</v>
      </c>
      <c r="B9266" t="s">
        <v>18818</v>
      </c>
      <c r="C9266" t="s">
        <v>277</v>
      </c>
      <c r="D9266" t="s">
        <v>34</v>
      </c>
      <c r="E9266">
        <v>1052</v>
      </c>
      <c r="F9266">
        <v>2</v>
      </c>
      <c r="G9266">
        <v>2</v>
      </c>
      <c r="H9266">
        <v>1</v>
      </c>
      <c r="I9266">
        <v>0</v>
      </c>
      <c r="J9266">
        <v>0.99530516431924898</v>
      </c>
      <c r="K9266">
        <v>0.97291692849063804</v>
      </c>
      <c r="L9266">
        <v>0.983983714965735</v>
      </c>
      <c r="M9266">
        <v>0.96803652968036502</v>
      </c>
      <c r="N9266">
        <v>0.96803652968036502</v>
      </c>
      <c r="O9266">
        <v>0.96803652968036502</v>
      </c>
      <c r="AF9266" t="s">
        <v>18819</v>
      </c>
    </row>
    <row r="9267" spans="1:32" hidden="1" x14ac:dyDescent="0.35">
      <c r="A9267">
        <v>9266</v>
      </c>
      <c r="B9267" t="s">
        <v>18818</v>
      </c>
      <c r="C9267" t="s">
        <v>277</v>
      </c>
      <c r="D9267" t="s">
        <v>45</v>
      </c>
      <c r="E9267">
        <v>2308</v>
      </c>
      <c r="F9267">
        <v>2</v>
      </c>
      <c r="G9267">
        <v>2</v>
      </c>
      <c r="H9267">
        <v>1</v>
      </c>
      <c r="I9267">
        <v>0</v>
      </c>
      <c r="J9267">
        <v>0.99530516431924898</v>
      </c>
      <c r="K9267">
        <v>0.97291692849063804</v>
      </c>
      <c r="L9267">
        <v>0.983983714965735</v>
      </c>
      <c r="M9267">
        <v>0.96803652968036502</v>
      </c>
      <c r="N9267">
        <v>0.96803652968036502</v>
      </c>
      <c r="O9267">
        <v>0.96803652968036502</v>
      </c>
      <c r="AF9267" t="s">
        <v>18820</v>
      </c>
    </row>
    <row r="9268" spans="1:32" hidden="1" x14ac:dyDescent="0.35">
      <c r="A9268">
        <v>9267</v>
      </c>
      <c r="B9268" t="s">
        <v>18821</v>
      </c>
      <c r="C9268" t="s">
        <v>277</v>
      </c>
      <c r="D9268" t="s">
        <v>34</v>
      </c>
      <c r="E9268">
        <v>643</v>
      </c>
      <c r="F9268">
        <v>2</v>
      </c>
      <c r="G9268">
        <v>2</v>
      </c>
      <c r="H9268">
        <v>1</v>
      </c>
      <c r="I9268">
        <v>0</v>
      </c>
      <c r="J9268">
        <v>0.98425925925925895</v>
      </c>
      <c r="K9268">
        <v>1</v>
      </c>
      <c r="L9268">
        <v>0.99206719552029898</v>
      </c>
      <c r="M9268">
        <v>0.98055555555555596</v>
      </c>
      <c r="N9268">
        <v>0.98055555555555596</v>
      </c>
      <c r="O9268">
        <v>0.98055555555555596</v>
      </c>
      <c r="AF9268" t="s">
        <v>18822</v>
      </c>
    </row>
    <row r="9269" spans="1:32" hidden="1" x14ac:dyDescent="0.35">
      <c r="A9269">
        <v>9268</v>
      </c>
      <c r="B9269" t="s">
        <v>18821</v>
      </c>
      <c r="C9269" t="s">
        <v>277</v>
      </c>
      <c r="D9269" t="s">
        <v>45</v>
      </c>
      <c r="E9269">
        <v>1909</v>
      </c>
      <c r="F9269">
        <v>2</v>
      </c>
      <c r="G9269">
        <v>2</v>
      </c>
      <c r="H9269">
        <v>1</v>
      </c>
      <c r="I9269">
        <v>0</v>
      </c>
      <c r="J9269">
        <v>0.98425925925925895</v>
      </c>
      <c r="K9269">
        <v>1</v>
      </c>
      <c r="L9269">
        <v>0.99206719552029898</v>
      </c>
      <c r="M9269">
        <v>0.98055555555555596</v>
      </c>
      <c r="N9269">
        <v>0.98055555555555596</v>
      </c>
      <c r="O9269">
        <v>0.98055555555555596</v>
      </c>
      <c r="AF9269" t="s">
        <v>18823</v>
      </c>
    </row>
    <row r="9270" spans="1:32" hidden="1" x14ac:dyDescent="0.35">
      <c r="A9270">
        <v>9269</v>
      </c>
      <c r="B9270" t="s">
        <v>18824</v>
      </c>
      <c r="C9270" t="s">
        <v>277</v>
      </c>
      <c r="D9270" t="s">
        <v>60</v>
      </c>
      <c r="E9270">
        <v>293</v>
      </c>
      <c r="F9270">
        <v>2</v>
      </c>
      <c r="G9270">
        <v>2</v>
      </c>
      <c r="H9270">
        <v>1</v>
      </c>
      <c r="I9270">
        <v>0</v>
      </c>
      <c r="J9270">
        <v>0.97757847533632303</v>
      </c>
      <c r="K9270">
        <v>1</v>
      </c>
      <c r="L9270">
        <v>0.98866213151927396</v>
      </c>
      <c r="M9270">
        <v>0.96860986547085204</v>
      </c>
      <c r="N9270">
        <v>0.96860986547085204</v>
      </c>
      <c r="O9270">
        <v>0.96860986547085204</v>
      </c>
      <c r="P9270" t="s">
        <v>18825</v>
      </c>
      <c r="Q9270" t="s">
        <v>18826</v>
      </c>
      <c r="R9270" t="s">
        <v>371</v>
      </c>
      <c r="S9270" t="s">
        <v>372</v>
      </c>
      <c r="T9270" t="s">
        <v>18827</v>
      </c>
      <c r="U9270" t="s">
        <v>18828</v>
      </c>
      <c r="V9270" t="s">
        <v>18829</v>
      </c>
      <c r="W9270" t="s">
        <v>18830</v>
      </c>
      <c r="AD9270" t="s">
        <v>7210</v>
      </c>
      <c r="AE9270" t="s">
        <v>18831</v>
      </c>
      <c r="AF9270" t="s">
        <v>18832</v>
      </c>
    </row>
    <row r="9271" spans="1:32" hidden="1" x14ac:dyDescent="0.35">
      <c r="A9271">
        <v>9270</v>
      </c>
      <c r="B9271" t="s">
        <v>18824</v>
      </c>
      <c r="C9271" t="s">
        <v>277</v>
      </c>
      <c r="D9271" t="s">
        <v>62</v>
      </c>
      <c r="E9271">
        <v>373</v>
      </c>
      <c r="F9271">
        <v>2</v>
      </c>
      <c r="G9271">
        <v>2</v>
      </c>
      <c r="H9271">
        <v>1</v>
      </c>
      <c r="I9271">
        <v>0</v>
      </c>
      <c r="J9271">
        <v>0.97757847533632303</v>
      </c>
      <c r="K9271">
        <v>1</v>
      </c>
      <c r="L9271">
        <v>0.98866213151927396</v>
      </c>
      <c r="M9271">
        <v>0.96860986547085204</v>
      </c>
      <c r="N9271">
        <v>0.96860986547085204</v>
      </c>
      <c r="O9271">
        <v>0.96860986547085204</v>
      </c>
      <c r="P9271" t="s">
        <v>18825</v>
      </c>
      <c r="Q9271" t="s">
        <v>18826</v>
      </c>
      <c r="R9271" t="s">
        <v>371</v>
      </c>
      <c r="S9271" t="s">
        <v>372</v>
      </c>
      <c r="T9271" t="s">
        <v>18827</v>
      </c>
      <c r="U9271" t="s">
        <v>18828</v>
      </c>
      <c r="V9271" t="s">
        <v>18829</v>
      </c>
      <c r="W9271" t="s">
        <v>18830</v>
      </c>
      <c r="AD9271" t="s">
        <v>7210</v>
      </c>
      <c r="AE9271" t="s">
        <v>18831</v>
      </c>
      <c r="AF9271" t="s">
        <v>18833</v>
      </c>
    </row>
    <row r="9272" spans="1:32" hidden="1" x14ac:dyDescent="0.35">
      <c r="A9272">
        <v>9271</v>
      </c>
      <c r="B9272" t="s">
        <v>18834</v>
      </c>
      <c r="C9272" t="s">
        <v>277</v>
      </c>
      <c r="D9272" t="s">
        <v>34</v>
      </c>
      <c r="E9272">
        <v>1595</v>
      </c>
      <c r="F9272">
        <v>2</v>
      </c>
      <c r="G9272">
        <v>2</v>
      </c>
      <c r="H9272">
        <v>1</v>
      </c>
      <c r="I9272">
        <v>0</v>
      </c>
      <c r="J9272">
        <v>0.99047619047619095</v>
      </c>
      <c r="K9272">
        <v>1</v>
      </c>
      <c r="L9272">
        <v>0.995215311004785</v>
      </c>
      <c r="M9272">
        <v>0.99047619047619095</v>
      </c>
      <c r="N9272">
        <v>0.99047619047619095</v>
      </c>
      <c r="O9272">
        <v>0.99047619047619095</v>
      </c>
      <c r="AF9272" t="s">
        <v>18835</v>
      </c>
    </row>
    <row r="9273" spans="1:32" hidden="1" x14ac:dyDescent="0.35">
      <c r="A9273">
        <v>9272</v>
      </c>
      <c r="B9273" t="s">
        <v>18834</v>
      </c>
      <c r="C9273" t="s">
        <v>277</v>
      </c>
      <c r="D9273" t="s">
        <v>45</v>
      </c>
      <c r="E9273">
        <v>345</v>
      </c>
      <c r="F9273">
        <v>2</v>
      </c>
      <c r="G9273">
        <v>2</v>
      </c>
      <c r="H9273">
        <v>1</v>
      </c>
      <c r="I9273">
        <v>0</v>
      </c>
      <c r="J9273">
        <v>0.99047619047619095</v>
      </c>
      <c r="K9273">
        <v>1</v>
      </c>
      <c r="L9273">
        <v>0.995215311004785</v>
      </c>
      <c r="M9273">
        <v>0.99047619047619095</v>
      </c>
      <c r="N9273">
        <v>0.99047619047619095</v>
      </c>
      <c r="O9273">
        <v>0.99047619047619095</v>
      </c>
      <c r="AF9273" t="s">
        <v>18836</v>
      </c>
    </row>
    <row r="9274" spans="1:32" hidden="1" x14ac:dyDescent="0.35">
      <c r="A9274">
        <v>9273</v>
      </c>
      <c r="B9274" t="s">
        <v>18837</v>
      </c>
      <c r="C9274" t="s">
        <v>277</v>
      </c>
      <c r="D9274" t="s">
        <v>34</v>
      </c>
      <c r="E9274">
        <v>1186</v>
      </c>
      <c r="F9274">
        <v>2</v>
      </c>
      <c r="G9274">
        <v>2</v>
      </c>
      <c r="H9274">
        <v>1</v>
      </c>
      <c r="I9274">
        <v>0</v>
      </c>
      <c r="J9274">
        <v>0.96766169154228898</v>
      </c>
      <c r="K9274">
        <v>0.99260636100784905</v>
      </c>
      <c r="L9274">
        <v>0.97997531417089101</v>
      </c>
      <c r="M9274">
        <v>0.95555555555555605</v>
      </c>
      <c r="N9274">
        <v>0.95555555555555605</v>
      </c>
      <c r="O9274">
        <v>0.95555555555555605</v>
      </c>
      <c r="AF9274" t="s">
        <v>18838</v>
      </c>
    </row>
    <row r="9275" spans="1:32" hidden="1" x14ac:dyDescent="0.35">
      <c r="A9275">
        <v>9274</v>
      </c>
      <c r="B9275" t="s">
        <v>18837</v>
      </c>
      <c r="C9275" t="s">
        <v>277</v>
      </c>
      <c r="D9275" t="s">
        <v>45</v>
      </c>
      <c r="E9275">
        <v>2430</v>
      </c>
      <c r="F9275">
        <v>2</v>
      </c>
      <c r="G9275">
        <v>2</v>
      </c>
      <c r="H9275">
        <v>1</v>
      </c>
      <c r="I9275">
        <v>0</v>
      </c>
      <c r="J9275">
        <v>0.96766169154228898</v>
      </c>
      <c r="K9275">
        <v>0.99260636100784905</v>
      </c>
      <c r="L9275">
        <v>0.97997531417089101</v>
      </c>
      <c r="M9275">
        <v>0.95555555555555605</v>
      </c>
      <c r="N9275">
        <v>0.95555555555555605</v>
      </c>
      <c r="O9275">
        <v>0.95555555555555605</v>
      </c>
      <c r="AF9275" t="s">
        <v>18839</v>
      </c>
    </row>
    <row r="9276" spans="1:32" hidden="1" x14ac:dyDescent="0.35">
      <c r="A9276">
        <v>9275</v>
      </c>
      <c r="B9276" t="s">
        <v>18840</v>
      </c>
      <c r="C9276" t="s">
        <v>277</v>
      </c>
      <c r="D9276" t="s">
        <v>34</v>
      </c>
      <c r="E9276">
        <v>1032</v>
      </c>
      <c r="F9276">
        <v>2</v>
      </c>
      <c r="G9276">
        <v>2</v>
      </c>
      <c r="H9276">
        <v>1</v>
      </c>
      <c r="I9276">
        <v>0</v>
      </c>
      <c r="J9276">
        <v>0.98518518518518505</v>
      </c>
      <c r="K9276">
        <v>1</v>
      </c>
      <c r="L9276">
        <v>0.99253731343283602</v>
      </c>
      <c r="M9276">
        <v>0.98518518518518505</v>
      </c>
      <c r="N9276">
        <v>0.98518518518518505</v>
      </c>
      <c r="O9276">
        <v>0.98518518518518505</v>
      </c>
      <c r="P9276" t="s">
        <v>693</v>
      </c>
      <c r="Q9276" t="s">
        <v>694</v>
      </c>
      <c r="R9276" t="s">
        <v>342</v>
      </c>
      <c r="S9276" t="s">
        <v>343</v>
      </c>
      <c r="T9276" t="s">
        <v>695</v>
      </c>
      <c r="U9276" t="s">
        <v>696</v>
      </c>
      <c r="V9276" t="s">
        <v>697</v>
      </c>
      <c r="W9276" t="s">
        <v>698</v>
      </c>
      <c r="AD9276" t="s">
        <v>439</v>
      </c>
      <c r="AE9276" t="s">
        <v>699</v>
      </c>
      <c r="AF9276" t="s">
        <v>18841</v>
      </c>
    </row>
    <row r="9277" spans="1:32" hidden="1" x14ac:dyDescent="0.35">
      <c r="A9277">
        <v>9276</v>
      </c>
      <c r="B9277" t="s">
        <v>18840</v>
      </c>
      <c r="C9277" t="s">
        <v>277</v>
      </c>
      <c r="D9277" t="s">
        <v>45</v>
      </c>
      <c r="E9277">
        <v>2287</v>
      </c>
      <c r="F9277">
        <v>2</v>
      </c>
      <c r="G9277">
        <v>2</v>
      </c>
      <c r="H9277">
        <v>1</v>
      </c>
      <c r="I9277">
        <v>0</v>
      </c>
      <c r="J9277">
        <v>0.98518518518518505</v>
      </c>
      <c r="K9277">
        <v>1</v>
      </c>
      <c r="L9277">
        <v>0.99253731343283602</v>
      </c>
      <c r="M9277">
        <v>0.98518518518518505</v>
      </c>
      <c r="N9277">
        <v>0.98518518518518505</v>
      </c>
      <c r="O9277">
        <v>0.98518518518518505</v>
      </c>
      <c r="P9277" t="s">
        <v>693</v>
      </c>
      <c r="Q9277" t="s">
        <v>694</v>
      </c>
      <c r="R9277" t="s">
        <v>342</v>
      </c>
      <c r="S9277" t="s">
        <v>343</v>
      </c>
      <c r="T9277" t="s">
        <v>695</v>
      </c>
      <c r="U9277" t="s">
        <v>696</v>
      </c>
      <c r="V9277" t="s">
        <v>697</v>
      </c>
      <c r="W9277" t="s">
        <v>698</v>
      </c>
      <c r="AD9277" t="s">
        <v>439</v>
      </c>
      <c r="AE9277" t="s">
        <v>699</v>
      </c>
      <c r="AF9277" t="s">
        <v>18842</v>
      </c>
    </row>
    <row r="9278" spans="1:32" hidden="1" x14ac:dyDescent="0.35">
      <c r="A9278">
        <v>9277</v>
      </c>
      <c r="B9278" t="s">
        <v>18843</v>
      </c>
      <c r="C9278" t="s">
        <v>277</v>
      </c>
      <c r="D9278" t="s">
        <v>60</v>
      </c>
      <c r="E9278">
        <v>1824</v>
      </c>
      <c r="F9278">
        <v>2</v>
      </c>
      <c r="G9278">
        <v>2</v>
      </c>
      <c r="H9278">
        <v>1</v>
      </c>
      <c r="I9278">
        <v>0</v>
      </c>
      <c r="J9278">
        <v>0.99196787148594401</v>
      </c>
      <c r="K9278">
        <v>1</v>
      </c>
      <c r="L9278">
        <v>0.99596774193548399</v>
      </c>
      <c r="M9278">
        <v>0.99196787148594401</v>
      </c>
      <c r="N9278">
        <v>0.99196787148594401</v>
      </c>
      <c r="O9278">
        <v>0.99196787148594401</v>
      </c>
      <c r="P9278" t="s">
        <v>169</v>
      </c>
      <c r="Q9278" t="s">
        <v>170</v>
      </c>
      <c r="R9278" t="s">
        <v>342</v>
      </c>
      <c r="S9278" t="s">
        <v>343</v>
      </c>
      <c r="V9278" t="s">
        <v>18844</v>
      </c>
      <c r="W9278" t="s">
        <v>18845</v>
      </c>
      <c r="AF9278" t="s">
        <v>18846</v>
      </c>
    </row>
    <row r="9279" spans="1:32" hidden="1" x14ac:dyDescent="0.35">
      <c r="A9279">
        <v>9278</v>
      </c>
      <c r="B9279" t="s">
        <v>18843</v>
      </c>
      <c r="C9279" t="s">
        <v>12865</v>
      </c>
      <c r="D9279" t="s">
        <v>62</v>
      </c>
      <c r="E9279">
        <v>1862</v>
      </c>
      <c r="F9279">
        <v>2</v>
      </c>
      <c r="G9279">
        <v>2</v>
      </c>
      <c r="H9279">
        <v>1</v>
      </c>
      <c r="I9279">
        <v>0</v>
      </c>
      <c r="J9279">
        <v>0.99196787148594401</v>
      </c>
      <c r="K9279">
        <v>1</v>
      </c>
      <c r="L9279">
        <v>0.99596774193548399</v>
      </c>
      <c r="M9279">
        <v>0.99196787148594401</v>
      </c>
      <c r="N9279">
        <v>0.99196787148594401</v>
      </c>
      <c r="O9279">
        <v>0.99196787148594401</v>
      </c>
      <c r="P9279" t="s">
        <v>169</v>
      </c>
      <c r="Q9279" t="s">
        <v>170</v>
      </c>
      <c r="R9279" t="s">
        <v>342</v>
      </c>
      <c r="S9279" t="s">
        <v>343</v>
      </c>
      <c r="V9279" t="s">
        <v>18844</v>
      </c>
      <c r="W9279" t="s">
        <v>18845</v>
      </c>
      <c r="AF9279" t="s">
        <v>18847</v>
      </c>
    </row>
    <row r="9280" spans="1:32" hidden="1" x14ac:dyDescent="0.35">
      <c r="A9280">
        <v>9279</v>
      </c>
      <c r="B9280" t="s">
        <v>18848</v>
      </c>
      <c r="C9280" t="s">
        <v>12865</v>
      </c>
      <c r="D9280" t="s">
        <v>60</v>
      </c>
      <c r="E9280">
        <v>1860</v>
      </c>
      <c r="F9280">
        <v>2</v>
      </c>
      <c r="G9280">
        <v>2</v>
      </c>
      <c r="H9280">
        <v>1</v>
      </c>
      <c r="I9280">
        <v>0</v>
      </c>
      <c r="J9280">
        <v>0.99272197962154296</v>
      </c>
      <c r="K9280">
        <v>0.92617866004962701</v>
      </c>
      <c r="L9280">
        <v>0.95829653071067999</v>
      </c>
      <c r="M9280">
        <v>0.91129032258064502</v>
      </c>
      <c r="N9280">
        <v>0.91129032258064502</v>
      </c>
      <c r="O9280">
        <v>0.91129032258064502</v>
      </c>
      <c r="P9280" t="s">
        <v>18849</v>
      </c>
      <c r="Q9280" t="s">
        <v>18850</v>
      </c>
      <c r="R9280" t="s">
        <v>235</v>
      </c>
      <c r="S9280" t="s">
        <v>236</v>
      </c>
      <c r="T9280" t="s">
        <v>18851</v>
      </c>
      <c r="U9280" t="s">
        <v>18852</v>
      </c>
      <c r="V9280" t="s">
        <v>18853</v>
      </c>
      <c r="W9280" t="s">
        <v>18854</v>
      </c>
      <c r="AD9280" t="s">
        <v>1140</v>
      </c>
      <c r="AE9280" t="s">
        <v>18855</v>
      </c>
      <c r="AF9280" t="s">
        <v>18856</v>
      </c>
    </row>
    <row r="9281" spans="1:32" hidden="1" x14ac:dyDescent="0.35">
      <c r="A9281">
        <v>9280</v>
      </c>
      <c r="B9281" t="s">
        <v>18848</v>
      </c>
      <c r="C9281" t="s">
        <v>12865</v>
      </c>
      <c r="D9281" t="s">
        <v>62</v>
      </c>
      <c r="E9281">
        <v>1898</v>
      </c>
      <c r="F9281">
        <v>2</v>
      </c>
      <c r="G9281">
        <v>2</v>
      </c>
      <c r="H9281">
        <v>1</v>
      </c>
      <c r="I9281">
        <v>0</v>
      </c>
      <c r="J9281">
        <v>0.99272197962154296</v>
      </c>
      <c r="K9281">
        <v>0.92617866004962701</v>
      </c>
      <c r="L9281">
        <v>0.95829653071067999</v>
      </c>
      <c r="M9281">
        <v>0.91129032258064502</v>
      </c>
      <c r="N9281">
        <v>0.91129032258064502</v>
      </c>
      <c r="O9281">
        <v>0.91129032258064502</v>
      </c>
      <c r="P9281" t="s">
        <v>18849</v>
      </c>
      <c r="Q9281" t="s">
        <v>18850</v>
      </c>
      <c r="R9281" t="s">
        <v>235</v>
      </c>
      <c r="S9281" t="s">
        <v>236</v>
      </c>
      <c r="T9281" t="s">
        <v>18851</v>
      </c>
      <c r="U9281" t="s">
        <v>18852</v>
      </c>
      <c r="V9281" t="s">
        <v>18853</v>
      </c>
      <c r="W9281" t="s">
        <v>18854</v>
      </c>
      <c r="AD9281" t="s">
        <v>1140</v>
      </c>
      <c r="AE9281" t="s">
        <v>18855</v>
      </c>
      <c r="AF9281" t="s">
        <v>18857</v>
      </c>
    </row>
    <row r="9282" spans="1:32" hidden="1" x14ac:dyDescent="0.35">
      <c r="A9282">
        <v>9281</v>
      </c>
      <c r="B9282" t="s">
        <v>18858</v>
      </c>
      <c r="C9282" t="s">
        <v>12865</v>
      </c>
      <c r="D9282" t="s">
        <v>60</v>
      </c>
      <c r="E9282">
        <v>1694</v>
      </c>
      <c r="F9282">
        <v>2</v>
      </c>
      <c r="G9282">
        <v>2</v>
      </c>
      <c r="H9282">
        <v>1</v>
      </c>
      <c r="I9282">
        <v>0</v>
      </c>
      <c r="J9282">
        <v>0.99160369437447504</v>
      </c>
      <c r="K9282">
        <v>1</v>
      </c>
      <c r="L9282">
        <v>0.99578414839797602</v>
      </c>
      <c r="M9282">
        <v>0.98992443324936996</v>
      </c>
      <c r="N9282">
        <v>0.98992443324936996</v>
      </c>
      <c r="O9282">
        <v>0.98992443324936996</v>
      </c>
      <c r="P9282" t="s">
        <v>12884</v>
      </c>
      <c r="Q9282" t="s">
        <v>12885</v>
      </c>
      <c r="R9282" t="s">
        <v>157</v>
      </c>
      <c r="S9282" t="s">
        <v>158</v>
      </c>
      <c r="V9282" t="s">
        <v>14734</v>
      </c>
      <c r="W9282" t="s">
        <v>14735</v>
      </c>
      <c r="AF9282" t="s">
        <v>18859</v>
      </c>
    </row>
    <row r="9283" spans="1:32" hidden="1" x14ac:dyDescent="0.35">
      <c r="A9283">
        <v>9282</v>
      </c>
      <c r="B9283" t="s">
        <v>18858</v>
      </c>
      <c r="C9283" t="s">
        <v>12865</v>
      </c>
      <c r="D9283" t="s">
        <v>62</v>
      </c>
      <c r="E9283">
        <v>1729</v>
      </c>
      <c r="F9283">
        <v>2</v>
      </c>
      <c r="G9283">
        <v>2</v>
      </c>
      <c r="H9283">
        <v>1</v>
      </c>
      <c r="I9283">
        <v>0</v>
      </c>
      <c r="J9283">
        <v>0.99160369437447504</v>
      </c>
      <c r="K9283">
        <v>1</v>
      </c>
      <c r="L9283">
        <v>0.99578414839797602</v>
      </c>
      <c r="M9283">
        <v>0.98992443324936996</v>
      </c>
      <c r="N9283">
        <v>0.98992443324936996</v>
      </c>
      <c r="O9283">
        <v>0.98992443324936996</v>
      </c>
      <c r="P9283" t="s">
        <v>12884</v>
      </c>
      <c r="Q9283" t="s">
        <v>12885</v>
      </c>
      <c r="R9283" t="s">
        <v>157</v>
      </c>
      <c r="S9283" t="s">
        <v>158</v>
      </c>
      <c r="V9283" t="s">
        <v>14734</v>
      </c>
      <c r="W9283" t="s">
        <v>14735</v>
      </c>
      <c r="AF9283" t="s">
        <v>18860</v>
      </c>
    </row>
    <row r="9284" spans="1:32" hidden="1" x14ac:dyDescent="0.35">
      <c r="A9284">
        <v>9283</v>
      </c>
      <c r="B9284" t="s">
        <v>18861</v>
      </c>
      <c r="C9284" t="s">
        <v>12865</v>
      </c>
      <c r="D9284" t="s">
        <v>34</v>
      </c>
      <c r="E9284">
        <v>277</v>
      </c>
      <c r="F9284">
        <v>2</v>
      </c>
      <c r="G9284">
        <v>2</v>
      </c>
      <c r="H9284">
        <v>1</v>
      </c>
      <c r="I9284">
        <v>0</v>
      </c>
      <c r="J9284">
        <v>0.99479166666666696</v>
      </c>
      <c r="K9284">
        <v>1</v>
      </c>
      <c r="L9284">
        <v>0.99738903394255896</v>
      </c>
      <c r="M9284">
        <v>0.99479166666666696</v>
      </c>
      <c r="N9284">
        <v>0.99479166666666696</v>
      </c>
      <c r="O9284">
        <v>0.99479166666666696</v>
      </c>
      <c r="AF9284" t="s">
        <v>18862</v>
      </c>
    </row>
    <row r="9285" spans="1:32" hidden="1" x14ac:dyDescent="0.35">
      <c r="A9285">
        <v>9284</v>
      </c>
      <c r="B9285" t="s">
        <v>18861</v>
      </c>
      <c r="C9285" t="s">
        <v>287</v>
      </c>
      <c r="D9285" t="s">
        <v>45</v>
      </c>
      <c r="E9285">
        <v>1539</v>
      </c>
      <c r="F9285">
        <v>2</v>
      </c>
      <c r="G9285">
        <v>2</v>
      </c>
      <c r="H9285">
        <v>1</v>
      </c>
      <c r="I9285">
        <v>0</v>
      </c>
      <c r="J9285">
        <v>0.99479166666666696</v>
      </c>
      <c r="K9285">
        <v>1</v>
      </c>
      <c r="L9285">
        <v>0.99738903394255896</v>
      </c>
      <c r="M9285">
        <v>0.99479166666666696</v>
      </c>
      <c r="N9285">
        <v>0.99479166666666696</v>
      </c>
      <c r="O9285">
        <v>0.99479166666666696</v>
      </c>
      <c r="AF9285" t="s">
        <v>18863</v>
      </c>
    </row>
    <row r="9286" spans="1:32" hidden="1" x14ac:dyDescent="0.35">
      <c r="A9286">
        <v>9285</v>
      </c>
      <c r="B9286" t="s">
        <v>18864</v>
      </c>
      <c r="C9286" t="s">
        <v>287</v>
      </c>
      <c r="D9286" t="s">
        <v>60</v>
      </c>
      <c r="E9286">
        <v>229</v>
      </c>
      <c r="F9286">
        <v>2</v>
      </c>
      <c r="G9286">
        <v>2</v>
      </c>
      <c r="H9286">
        <v>1</v>
      </c>
      <c r="I9286">
        <v>0</v>
      </c>
      <c r="J9286">
        <v>0.98029944838455496</v>
      </c>
      <c r="K9286">
        <v>1</v>
      </c>
      <c r="L9286">
        <v>0.99005173099880595</v>
      </c>
      <c r="M9286">
        <v>0.97399527186761203</v>
      </c>
      <c r="N9286">
        <v>0.97399527186761203</v>
      </c>
      <c r="O9286">
        <v>0.97399527186761203</v>
      </c>
      <c r="P9286" t="s">
        <v>18865</v>
      </c>
      <c r="Q9286" t="s">
        <v>18866</v>
      </c>
      <c r="R9286" t="s">
        <v>288</v>
      </c>
      <c r="S9286" t="s">
        <v>289</v>
      </c>
      <c r="T9286" t="s">
        <v>18867</v>
      </c>
      <c r="U9286" t="s">
        <v>407</v>
      </c>
      <c r="V9286" t="s">
        <v>18868</v>
      </c>
      <c r="W9286" t="s">
        <v>18869</v>
      </c>
      <c r="AD9286" t="s">
        <v>410</v>
      </c>
      <c r="AE9286" t="s">
        <v>411</v>
      </c>
      <c r="AF9286" t="s">
        <v>18870</v>
      </c>
    </row>
    <row r="9287" spans="1:32" hidden="1" x14ac:dyDescent="0.35">
      <c r="A9287">
        <v>9286</v>
      </c>
      <c r="B9287" t="s">
        <v>18864</v>
      </c>
      <c r="C9287" t="s">
        <v>287</v>
      </c>
      <c r="D9287" t="s">
        <v>62</v>
      </c>
      <c r="E9287">
        <v>306</v>
      </c>
      <c r="F9287">
        <v>2</v>
      </c>
      <c r="G9287">
        <v>2</v>
      </c>
      <c r="H9287">
        <v>1</v>
      </c>
      <c r="I9287">
        <v>0</v>
      </c>
      <c r="J9287">
        <v>0.98029944838455496</v>
      </c>
      <c r="K9287">
        <v>1</v>
      </c>
      <c r="L9287">
        <v>0.99005173099880595</v>
      </c>
      <c r="M9287">
        <v>0.97399527186761203</v>
      </c>
      <c r="N9287">
        <v>0.97399527186761203</v>
      </c>
      <c r="O9287">
        <v>0.97399527186761203</v>
      </c>
      <c r="P9287" t="s">
        <v>18865</v>
      </c>
      <c r="Q9287" t="s">
        <v>18866</v>
      </c>
      <c r="R9287" t="s">
        <v>288</v>
      </c>
      <c r="S9287" t="s">
        <v>289</v>
      </c>
      <c r="T9287" t="s">
        <v>18867</v>
      </c>
      <c r="U9287" t="s">
        <v>407</v>
      </c>
      <c r="V9287" t="s">
        <v>18868</v>
      </c>
      <c r="W9287" t="s">
        <v>18869</v>
      </c>
      <c r="AD9287" t="s">
        <v>410</v>
      </c>
      <c r="AE9287" t="s">
        <v>411</v>
      </c>
      <c r="AF9287" t="s">
        <v>18871</v>
      </c>
    </row>
    <row r="9288" spans="1:32" hidden="1" x14ac:dyDescent="0.35">
      <c r="A9288">
        <v>9287</v>
      </c>
      <c r="B9288" t="s">
        <v>18872</v>
      </c>
      <c r="C9288" t="s">
        <v>287</v>
      </c>
      <c r="D9288" t="s">
        <v>34</v>
      </c>
      <c r="E9288">
        <v>446</v>
      </c>
      <c r="F9288">
        <v>2</v>
      </c>
      <c r="G9288">
        <v>2</v>
      </c>
      <c r="H9288">
        <v>1</v>
      </c>
      <c r="I9288">
        <v>0</v>
      </c>
      <c r="J9288">
        <v>0.99224806201550397</v>
      </c>
      <c r="K9288">
        <v>0.97727272727272696</v>
      </c>
      <c r="L9288">
        <v>0.98470346184810797</v>
      </c>
      <c r="M9288">
        <v>0.95454545454545503</v>
      </c>
      <c r="N9288">
        <v>0.95454545454545503</v>
      </c>
      <c r="O9288">
        <v>0.95454545454545503</v>
      </c>
      <c r="AF9288" t="s">
        <v>18873</v>
      </c>
    </row>
    <row r="9289" spans="1:32" hidden="1" x14ac:dyDescent="0.35">
      <c r="A9289">
        <v>9288</v>
      </c>
      <c r="B9289" t="s">
        <v>18872</v>
      </c>
      <c r="C9289" t="s">
        <v>287</v>
      </c>
      <c r="D9289" t="s">
        <v>45</v>
      </c>
      <c r="E9289">
        <v>1709</v>
      </c>
      <c r="F9289">
        <v>2</v>
      </c>
      <c r="G9289">
        <v>2</v>
      </c>
      <c r="H9289">
        <v>1</v>
      </c>
      <c r="I9289">
        <v>0</v>
      </c>
      <c r="J9289">
        <v>0.99224806201550397</v>
      </c>
      <c r="K9289">
        <v>0.97727272727272696</v>
      </c>
      <c r="L9289">
        <v>0.98470346184810797</v>
      </c>
      <c r="M9289">
        <v>0.95454545454545503</v>
      </c>
      <c r="N9289">
        <v>0.95454545454545503</v>
      </c>
      <c r="O9289">
        <v>0.95454545454545503</v>
      </c>
      <c r="AF9289" t="e">
        <f>-MKTSIRWGVSVAVAVFLYTRPNPLWLLIYTIGIITLLAREFDR</f>
        <v>#NAME?</v>
      </c>
    </row>
    <row r="9290" spans="1:32" hidden="1" x14ac:dyDescent="0.35">
      <c r="A9290">
        <v>9289</v>
      </c>
      <c r="B9290" t="s">
        <v>18874</v>
      </c>
      <c r="C9290" t="s">
        <v>287</v>
      </c>
      <c r="D9290" t="s">
        <v>60</v>
      </c>
      <c r="E9290">
        <v>697</v>
      </c>
      <c r="F9290">
        <v>2</v>
      </c>
      <c r="G9290">
        <v>2</v>
      </c>
      <c r="H9290">
        <v>1</v>
      </c>
      <c r="I9290">
        <v>0</v>
      </c>
      <c r="J9290">
        <v>0.98739495798319299</v>
      </c>
      <c r="K9290">
        <v>1</v>
      </c>
      <c r="L9290">
        <v>0.99365750528541197</v>
      </c>
      <c r="M9290">
        <v>0.98739495798319299</v>
      </c>
      <c r="N9290">
        <v>0.98739495798319299</v>
      </c>
      <c r="O9290">
        <v>0.98739495798319299</v>
      </c>
      <c r="P9290" t="s">
        <v>15014</v>
      </c>
      <c r="Q9290" t="s">
        <v>15015</v>
      </c>
      <c r="R9290" t="s">
        <v>213</v>
      </c>
      <c r="S9290" t="s">
        <v>214</v>
      </c>
      <c r="T9290" t="s">
        <v>18875</v>
      </c>
      <c r="U9290" t="s">
        <v>18876</v>
      </c>
      <c r="V9290" t="s">
        <v>18877</v>
      </c>
      <c r="W9290" t="s">
        <v>18878</v>
      </c>
      <c r="X9290" t="s">
        <v>18877</v>
      </c>
      <c r="Y9290" t="s">
        <v>5003</v>
      </c>
      <c r="Z9290" t="s">
        <v>18879</v>
      </c>
      <c r="AA9290" t="s">
        <v>18880</v>
      </c>
      <c r="AB9290" t="s">
        <v>18879</v>
      </c>
      <c r="AC9290" t="s">
        <v>9182</v>
      </c>
      <c r="AD9290" t="s">
        <v>245</v>
      </c>
      <c r="AE9290" t="s">
        <v>18881</v>
      </c>
      <c r="AF9290" t="s">
        <v>18882</v>
      </c>
    </row>
    <row r="9291" spans="1:32" hidden="1" x14ac:dyDescent="0.35">
      <c r="A9291">
        <v>9290</v>
      </c>
      <c r="B9291" t="s">
        <v>18874</v>
      </c>
      <c r="C9291" t="s">
        <v>287</v>
      </c>
      <c r="D9291" t="s">
        <v>62</v>
      </c>
      <c r="E9291">
        <v>728</v>
      </c>
      <c r="F9291">
        <v>2</v>
      </c>
      <c r="G9291">
        <v>2</v>
      </c>
      <c r="H9291">
        <v>1</v>
      </c>
      <c r="I9291">
        <v>0</v>
      </c>
      <c r="J9291">
        <v>0.98739495798319299</v>
      </c>
      <c r="K9291">
        <v>1</v>
      </c>
      <c r="L9291">
        <v>0.99365750528541197</v>
      </c>
      <c r="M9291">
        <v>0.98739495798319299</v>
      </c>
      <c r="N9291">
        <v>0.98739495798319299</v>
      </c>
      <c r="O9291">
        <v>0.98739495798319299</v>
      </c>
      <c r="P9291" t="s">
        <v>15014</v>
      </c>
      <c r="Q9291" t="s">
        <v>15015</v>
      </c>
      <c r="R9291" t="s">
        <v>213</v>
      </c>
      <c r="S9291" t="s">
        <v>214</v>
      </c>
      <c r="T9291" t="s">
        <v>18875</v>
      </c>
      <c r="U9291" t="s">
        <v>18876</v>
      </c>
      <c r="V9291" t="s">
        <v>18877</v>
      </c>
      <c r="W9291" t="s">
        <v>18878</v>
      </c>
      <c r="X9291" t="s">
        <v>18877</v>
      </c>
      <c r="Y9291" t="s">
        <v>5003</v>
      </c>
      <c r="Z9291" t="s">
        <v>18879</v>
      </c>
      <c r="AA9291" t="s">
        <v>18880</v>
      </c>
      <c r="AB9291" t="s">
        <v>18879</v>
      </c>
      <c r="AC9291" t="s">
        <v>9182</v>
      </c>
      <c r="AD9291" t="s">
        <v>245</v>
      </c>
      <c r="AE9291" t="s">
        <v>18881</v>
      </c>
      <c r="AF9291" t="s">
        <v>18883</v>
      </c>
    </row>
    <row r="9292" spans="1:32" hidden="1" x14ac:dyDescent="0.35">
      <c r="A9292">
        <v>9291</v>
      </c>
      <c r="B9292" t="s">
        <v>18884</v>
      </c>
      <c r="C9292" t="s">
        <v>287</v>
      </c>
      <c r="D9292" t="s">
        <v>60</v>
      </c>
      <c r="E9292">
        <v>2412</v>
      </c>
      <c r="F9292">
        <v>2</v>
      </c>
      <c r="G9292">
        <v>2</v>
      </c>
      <c r="H9292">
        <v>1</v>
      </c>
      <c r="I9292">
        <v>0</v>
      </c>
      <c r="J9292">
        <v>0.97819971870604805</v>
      </c>
      <c r="K9292">
        <v>1</v>
      </c>
      <c r="L9292">
        <v>0.988979736935656</v>
      </c>
      <c r="M9292">
        <v>0.97679324894514796</v>
      </c>
      <c r="N9292">
        <v>0.97679324894514796</v>
      </c>
      <c r="O9292">
        <v>0.97679324894514796</v>
      </c>
      <c r="AF9292" t="s">
        <v>18885</v>
      </c>
    </row>
    <row r="9293" spans="1:32" hidden="1" x14ac:dyDescent="0.35">
      <c r="A9293">
        <v>9292</v>
      </c>
      <c r="B9293" t="s">
        <v>18884</v>
      </c>
      <c r="C9293" t="s">
        <v>11136</v>
      </c>
      <c r="D9293" t="s">
        <v>62</v>
      </c>
      <c r="E9293">
        <v>2439</v>
      </c>
      <c r="F9293">
        <v>2</v>
      </c>
      <c r="G9293">
        <v>2</v>
      </c>
      <c r="H9293">
        <v>1</v>
      </c>
      <c r="I9293">
        <v>0</v>
      </c>
      <c r="J9293">
        <v>0.97819971870604805</v>
      </c>
      <c r="K9293">
        <v>1</v>
      </c>
      <c r="L9293">
        <v>0.988979736935656</v>
      </c>
      <c r="M9293">
        <v>0.97679324894514796</v>
      </c>
      <c r="N9293">
        <v>0.97679324894514796</v>
      </c>
      <c r="O9293">
        <v>0.97679324894514796</v>
      </c>
      <c r="AF9293" t="s">
        <v>18886</v>
      </c>
    </row>
    <row r="9294" spans="1:32" hidden="1" x14ac:dyDescent="0.35">
      <c r="A9294">
        <v>9293</v>
      </c>
      <c r="B9294" t="s">
        <v>18887</v>
      </c>
      <c r="C9294" t="s">
        <v>11136</v>
      </c>
      <c r="D9294" t="s">
        <v>60</v>
      </c>
      <c r="E9294">
        <v>1715</v>
      </c>
      <c r="F9294">
        <v>2</v>
      </c>
      <c r="G9294">
        <v>2</v>
      </c>
      <c r="H9294">
        <v>1</v>
      </c>
      <c r="I9294">
        <v>0</v>
      </c>
      <c r="J9294">
        <v>0.99601593625497997</v>
      </c>
      <c r="K9294">
        <v>1</v>
      </c>
      <c r="L9294">
        <v>0.99800399201596801</v>
      </c>
      <c r="M9294">
        <v>0.99601593625497997</v>
      </c>
      <c r="N9294">
        <v>0.99601593625497997</v>
      </c>
      <c r="O9294">
        <v>0.99601593625497997</v>
      </c>
      <c r="P9294" t="s">
        <v>18888</v>
      </c>
      <c r="Q9294" t="s">
        <v>18889</v>
      </c>
      <c r="AF9294" t="s">
        <v>18890</v>
      </c>
    </row>
    <row r="9295" spans="1:32" hidden="1" x14ac:dyDescent="0.35">
      <c r="A9295">
        <v>9294</v>
      </c>
      <c r="B9295" t="s">
        <v>18887</v>
      </c>
      <c r="C9295" t="s">
        <v>11136</v>
      </c>
      <c r="D9295" t="s">
        <v>62</v>
      </c>
      <c r="E9295">
        <v>1750</v>
      </c>
      <c r="F9295">
        <v>2</v>
      </c>
      <c r="G9295">
        <v>2</v>
      </c>
      <c r="H9295">
        <v>1</v>
      </c>
      <c r="I9295">
        <v>0</v>
      </c>
      <c r="J9295">
        <v>0.99601593625497997</v>
      </c>
      <c r="K9295">
        <v>1</v>
      </c>
      <c r="L9295">
        <v>0.99800399201596801</v>
      </c>
      <c r="M9295">
        <v>0.99601593625497997</v>
      </c>
      <c r="N9295">
        <v>0.99601593625497997</v>
      </c>
      <c r="O9295">
        <v>0.99601593625497997</v>
      </c>
      <c r="P9295" t="s">
        <v>18888</v>
      </c>
      <c r="Q9295" t="s">
        <v>18889</v>
      </c>
      <c r="AF9295" t="s">
        <v>18891</v>
      </c>
    </row>
    <row r="9296" spans="1:32" hidden="1" x14ac:dyDescent="0.35">
      <c r="A9296">
        <v>9295</v>
      </c>
      <c r="B9296" t="s">
        <v>18892</v>
      </c>
      <c r="C9296" t="s">
        <v>11136</v>
      </c>
      <c r="D9296" t="s">
        <v>34</v>
      </c>
      <c r="E9296">
        <v>567</v>
      </c>
      <c r="F9296">
        <v>2</v>
      </c>
      <c r="G9296">
        <v>2</v>
      </c>
      <c r="H9296">
        <v>1</v>
      </c>
      <c r="I9296">
        <v>0</v>
      </c>
      <c r="J9296">
        <v>0.98709677419354802</v>
      </c>
      <c r="K9296">
        <v>0.97508160178329595</v>
      </c>
      <c r="L9296">
        <v>0.98105240122891701</v>
      </c>
      <c r="M9296">
        <v>0.96226415094339601</v>
      </c>
      <c r="N9296">
        <v>0.96226415094339601</v>
      </c>
      <c r="O9296">
        <v>0.96226415094339601</v>
      </c>
      <c r="AF9296" t="s">
        <v>18893</v>
      </c>
    </row>
    <row r="9297" spans="1:32" hidden="1" x14ac:dyDescent="0.35">
      <c r="A9297">
        <v>9296</v>
      </c>
      <c r="B9297" t="s">
        <v>18892</v>
      </c>
      <c r="C9297" t="s">
        <v>11136</v>
      </c>
      <c r="D9297" t="s">
        <v>45</v>
      </c>
      <c r="E9297">
        <v>1833</v>
      </c>
      <c r="F9297">
        <v>2</v>
      </c>
      <c r="G9297">
        <v>2</v>
      </c>
      <c r="H9297">
        <v>1</v>
      </c>
      <c r="I9297">
        <v>0</v>
      </c>
      <c r="J9297">
        <v>0.98709677419354802</v>
      </c>
      <c r="K9297">
        <v>0.97508160178329595</v>
      </c>
      <c r="L9297">
        <v>0.98105240122891701</v>
      </c>
      <c r="M9297">
        <v>0.96226415094339601</v>
      </c>
      <c r="N9297">
        <v>0.96226415094339601</v>
      </c>
      <c r="O9297">
        <v>0.96226415094339601</v>
      </c>
      <c r="AF9297" t="s">
        <v>18894</v>
      </c>
    </row>
    <row r="9298" spans="1:32" hidden="1" x14ac:dyDescent="0.35">
      <c r="A9298">
        <v>9315</v>
      </c>
      <c r="B9298" t="s">
        <v>18933</v>
      </c>
      <c r="C9298" t="s">
        <v>11136</v>
      </c>
      <c r="D9298" t="s">
        <v>34</v>
      </c>
      <c r="E9298">
        <v>115</v>
      </c>
      <c r="F9298">
        <v>2</v>
      </c>
      <c r="G9298">
        <v>2</v>
      </c>
      <c r="H9298">
        <v>1</v>
      </c>
      <c r="I9298">
        <v>0</v>
      </c>
      <c r="J9298">
        <v>0.99026763990267597</v>
      </c>
      <c r="K9298">
        <v>1</v>
      </c>
      <c r="L9298">
        <v>0.99511002444987795</v>
      </c>
      <c r="M9298">
        <v>0.98540145985401495</v>
      </c>
      <c r="N9298">
        <v>0.98540145985401495</v>
      </c>
      <c r="O9298">
        <v>0.98540145985401495</v>
      </c>
      <c r="R9298" t="s">
        <v>235</v>
      </c>
      <c r="S9298" t="s">
        <v>236</v>
      </c>
      <c r="V9298" t="s">
        <v>18934</v>
      </c>
      <c r="W9298" t="s">
        <v>18935</v>
      </c>
      <c r="AF9298" t="s">
        <v>18936</v>
      </c>
    </row>
    <row r="9299" spans="1:32" hidden="1" x14ac:dyDescent="0.35">
      <c r="A9299">
        <v>9316</v>
      </c>
      <c r="B9299" t="s">
        <v>18933</v>
      </c>
      <c r="C9299" t="s">
        <v>11136</v>
      </c>
      <c r="D9299" t="s">
        <v>45</v>
      </c>
      <c r="E9299">
        <v>1376</v>
      </c>
      <c r="F9299">
        <v>2</v>
      </c>
      <c r="G9299">
        <v>2</v>
      </c>
      <c r="H9299">
        <v>1</v>
      </c>
      <c r="I9299">
        <v>0</v>
      </c>
      <c r="J9299">
        <v>0.99026763990267597</v>
      </c>
      <c r="K9299">
        <v>1</v>
      </c>
      <c r="L9299">
        <v>0.99511002444987795</v>
      </c>
      <c r="M9299">
        <v>0.98540145985401495</v>
      </c>
      <c r="N9299">
        <v>0.98540145985401495</v>
      </c>
      <c r="O9299">
        <v>0.98540145985401495</v>
      </c>
      <c r="R9299" t="s">
        <v>235</v>
      </c>
      <c r="S9299" t="s">
        <v>236</v>
      </c>
      <c r="V9299" t="s">
        <v>18934</v>
      </c>
      <c r="W9299" t="s">
        <v>18935</v>
      </c>
      <c r="AF9299" t="s">
        <v>18937</v>
      </c>
    </row>
    <row r="9300" spans="1:32" hidden="1" x14ac:dyDescent="0.35">
      <c r="A9300">
        <v>9299</v>
      </c>
      <c r="B9300" t="s">
        <v>18904</v>
      </c>
      <c r="C9300" t="s">
        <v>11136</v>
      </c>
      <c r="D9300" t="s">
        <v>34</v>
      </c>
      <c r="E9300">
        <v>923</v>
      </c>
      <c r="F9300">
        <v>2</v>
      </c>
      <c r="G9300">
        <v>2</v>
      </c>
      <c r="H9300">
        <v>1</v>
      </c>
      <c r="I9300">
        <v>0</v>
      </c>
      <c r="J9300">
        <v>0.99637681159420299</v>
      </c>
      <c r="K9300">
        <v>0.744332859257541</v>
      </c>
      <c r="L9300">
        <v>0.85210763574253801</v>
      </c>
      <c r="M9300">
        <v>0.69201520912547498</v>
      </c>
      <c r="N9300">
        <v>0.69201520912547498</v>
      </c>
      <c r="O9300">
        <v>0.69201520912547498</v>
      </c>
      <c r="P9300" t="s">
        <v>18905</v>
      </c>
      <c r="Q9300" t="s">
        <v>18906</v>
      </c>
      <c r="AF9300" t="s">
        <v>18907</v>
      </c>
    </row>
    <row r="9301" spans="1:32" hidden="1" x14ac:dyDescent="0.35">
      <c r="A9301">
        <v>9300</v>
      </c>
      <c r="B9301" t="s">
        <v>18904</v>
      </c>
      <c r="C9301" t="s">
        <v>11136</v>
      </c>
      <c r="D9301" t="s">
        <v>45</v>
      </c>
      <c r="E9301">
        <v>2179</v>
      </c>
      <c r="F9301">
        <v>2</v>
      </c>
      <c r="G9301">
        <v>2</v>
      </c>
      <c r="H9301">
        <v>1</v>
      </c>
      <c r="I9301">
        <v>0</v>
      </c>
      <c r="J9301">
        <v>0.99637681159420299</v>
      </c>
      <c r="K9301">
        <v>0.744332859257541</v>
      </c>
      <c r="L9301">
        <v>0.85210763574253801</v>
      </c>
      <c r="M9301">
        <v>0.69201520912547498</v>
      </c>
      <c r="N9301">
        <v>0.69201520912547498</v>
      </c>
      <c r="O9301">
        <v>0.69201520912547498</v>
      </c>
      <c r="P9301" t="s">
        <v>18905</v>
      </c>
      <c r="Q9301" t="s">
        <v>18906</v>
      </c>
      <c r="AF9301" t="e">
        <f>-------------------------------------------------------------------------------MDIHETAAWIDGLFDGEMSLHEAKREEGYPTILATFETEEQISLCSTMGFNEVDTGLESGGLDVRCEFFTITEASQSDAMHVVDATVQTLVQANGTLHAQPDTIIPGIGLAVLPEHLTVCHGLFVAPEVWGPSVPQFIEEDRWTLMLELLLITEDEFNYAVTYGARDLLDELEKTGVNLLDWQR</f>
        <v>#NAME?</v>
      </c>
    </row>
    <row r="9302" spans="1:32" hidden="1" x14ac:dyDescent="0.35">
      <c r="A9302">
        <v>9329</v>
      </c>
      <c r="B9302" t="s">
        <v>18962</v>
      </c>
      <c r="C9302" t="s">
        <v>11136</v>
      </c>
      <c r="D9302" t="s">
        <v>34</v>
      </c>
      <c r="E9302">
        <v>1033</v>
      </c>
      <c r="F9302">
        <v>2</v>
      </c>
      <c r="G9302">
        <v>2</v>
      </c>
      <c r="H9302">
        <v>1</v>
      </c>
      <c r="I9302">
        <v>0</v>
      </c>
      <c r="J9302">
        <v>0.97804391217564901</v>
      </c>
      <c r="K9302">
        <v>1</v>
      </c>
      <c r="L9302">
        <v>0.98890010090817304</v>
      </c>
      <c r="M9302">
        <v>0.97604790419161702</v>
      </c>
      <c r="N9302">
        <v>0.97604790419161702</v>
      </c>
      <c r="O9302">
        <v>0.97604790419161702</v>
      </c>
      <c r="P9302" t="s">
        <v>169</v>
      </c>
      <c r="Q9302" t="s">
        <v>170</v>
      </c>
      <c r="R9302" t="s">
        <v>235</v>
      </c>
      <c r="S9302" t="s">
        <v>236</v>
      </c>
      <c r="T9302" t="s">
        <v>6496</v>
      </c>
      <c r="U9302" t="s">
        <v>6497</v>
      </c>
      <c r="V9302" t="s">
        <v>6498</v>
      </c>
      <c r="W9302" t="s">
        <v>6499</v>
      </c>
      <c r="AD9302" t="s">
        <v>439</v>
      </c>
      <c r="AE9302" t="s">
        <v>699</v>
      </c>
      <c r="AF9302" t="s">
        <v>18963</v>
      </c>
    </row>
    <row r="9303" spans="1:32" hidden="1" x14ac:dyDescent="0.35">
      <c r="A9303">
        <v>9330</v>
      </c>
      <c r="B9303" t="s">
        <v>18962</v>
      </c>
      <c r="C9303" t="s">
        <v>11136</v>
      </c>
      <c r="D9303" t="s">
        <v>45</v>
      </c>
      <c r="E9303">
        <v>2288</v>
      </c>
      <c r="F9303">
        <v>2</v>
      </c>
      <c r="G9303">
        <v>2</v>
      </c>
      <c r="H9303">
        <v>1</v>
      </c>
      <c r="I9303">
        <v>0</v>
      </c>
      <c r="J9303">
        <v>0.97804391217564901</v>
      </c>
      <c r="K9303">
        <v>1</v>
      </c>
      <c r="L9303">
        <v>0.98890010090817304</v>
      </c>
      <c r="M9303">
        <v>0.97604790419161702</v>
      </c>
      <c r="N9303">
        <v>0.97604790419161702</v>
      </c>
      <c r="O9303">
        <v>0.97604790419161702</v>
      </c>
      <c r="P9303" t="s">
        <v>169</v>
      </c>
      <c r="Q9303" t="s">
        <v>170</v>
      </c>
      <c r="R9303" t="s">
        <v>235</v>
      </c>
      <c r="S9303" t="s">
        <v>236</v>
      </c>
      <c r="T9303" t="s">
        <v>6496</v>
      </c>
      <c r="U9303" t="s">
        <v>6497</v>
      </c>
      <c r="V9303" t="s">
        <v>6498</v>
      </c>
      <c r="W9303" t="s">
        <v>6499</v>
      </c>
      <c r="AD9303" t="s">
        <v>439</v>
      </c>
      <c r="AE9303" t="s">
        <v>699</v>
      </c>
      <c r="AF9303" t="s">
        <v>18964</v>
      </c>
    </row>
    <row r="9304" spans="1:32" hidden="1" x14ac:dyDescent="0.35">
      <c r="A9304">
        <v>9303</v>
      </c>
      <c r="B9304" t="s">
        <v>18915</v>
      </c>
      <c r="C9304" t="s">
        <v>11136</v>
      </c>
      <c r="D9304" t="s">
        <v>60</v>
      </c>
      <c r="E9304">
        <v>1586</v>
      </c>
      <c r="F9304">
        <v>2</v>
      </c>
      <c r="G9304">
        <v>2</v>
      </c>
      <c r="H9304">
        <v>1</v>
      </c>
      <c r="I9304">
        <v>0</v>
      </c>
      <c r="J9304">
        <v>0.98406374501992</v>
      </c>
      <c r="K9304">
        <v>1</v>
      </c>
      <c r="L9304">
        <v>0.99196787148594401</v>
      </c>
      <c r="M9304">
        <v>0.968127490039841</v>
      </c>
      <c r="N9304">
        <v>0.968127490039841</v>
      </c>
      <c r="O9304">
        <v>0.968127490039841</v>
      </c>
      <c r="P9304" t="s">
        <v>14606</v>
      </c>
      <c r="Q9304" t="s">
        <v>14607</v>
      </c>
      <c r="R9304" t="s">
        <v>1259</v>
      </c>
      <c r="S9304" t="s">
        <v>1260</v>
      </c>
      <c r="V9304" t="s">
        <v>14608</v>
      </c>
      <c r="W9304" t="s">
        <v>14609</v>
      </c>
      <c r="AF9304" t="s">
        <v>18916</v>
      </c>
    </row>
    <row r="9305" spans="1:32" hidden="1" x14ac:dyDescent="0.35">
      <c r="A9305">
        <v>9304</v>
      </c>
      <c r="B9305" t="s">
        <v>18915</v>
      </c>
      <c r="C9305" t="s">
        <v>11136</v>
      </c>
      <c r="D9305" t="s">
        <v>62</v>
      </c>
      <c r="E9305">
        <v>1622</v>
      </c>
      <c r="F9305">
        <v>2</v>
      </c>
      <c r="G9305">
        <v>2</v>
      </c>
      <c r="H9305">
        <v>1</v>
      </c>
      <c r="I9305">
        <v>0</v>
      </c>
      <c r="J9305">
        <v>0.98406374501992</v>
      </c>
      <c r="K9305">
        <v>1</v>
      </c>
      <c r="L9305">
        <v>0.99196787148594401</v>
      </c>
      <c r="M9305">
        <v>0.968127490039841</v>
      </c>
      <c r="N9305">
        <v>0.968127490039841</v>
      </c>
      <c r="O9305">
        <v>0.968127490039841</v>
      </c>
      <c r="P9305" t="s">
        <v>14606</v>
      </c>
      <c r="Q9305" t="s">
        <v>14607</v>
      </c>
      <c r="R9305" t="s">
        <v>1259</v>
      </c>
      <c r="S9305" t="s">
        <v>1260</v>
      </c>
      <c r="V9305" t="s">
        <v>14608</v>
      </c>
      <c r="W9305" t="s">
        <v>14609</v>
      </c>
      <c r="AF9305" t="s">
        <v>18917</v>
      </c>
    </row>
    <row r="9306" spans="1:32" hidden="1" x14ac:dyDescent="0.35">
      <c r="A9306">
        <v>9305</v>
      </c>
      <c r="B9306" t="s">
        <v>18918</v>
      </c>
      <c r="C9306" t="s">
        <v>11136</v>
      </c>
      <c r="D9306" t="s">
        <v>34</v>
      </c>
      <c r="E9306">
        <v>63</v>
      </c>
      <c r="F9306">
        <v>2</v>
      </c>
      <c r="G9306">
        <v>2</v>
      </c>
      <c r="H9306">
        <v>1</v>
      </c>
      <c r="I9306">
        <v>0</v>
      </c>
      <c r="J9306">
        <v>0.99725274725274704</v>
      </c>
      <c r="K9306">
        <v>1</v>
      </c>
      <c r="L9306">
        <v>0.99862448418156802</v>
      </c>
      <c r="M9306">
        <v>0.99725274725274704</v>
      </c>
      <c r="N9306">
        <v>0.99725274725274704</v>
      </c>
      <c r="O9306">
        <v>0.99725274725274704</v>
      </c>
      <c r="R9306" t="s">
        <v>1259</v>
      </c>
      <c r="S9306" t="s">
        <v>1260</v>
      </c>
      <c r="T9306" t="s">
        <v>1506</v>
      </c>
      <c r="U9306" t="s">
        <v>1507</v>
      </c>
      <c r="V9306" t="s">
        <v>1508</v>
      </c>
      <c r="W9306" t="s">
        <v>1509</v>
      </c>
      <c r="AD9306" t="s">
        <v>410</v>
      </c>
      <c r="AE9306" t="s">
        <v>1510</v>
      </c>
      <c r="AF9306" t="s">
        <v>18919</v>
      </c>
    </row>
    <row r="9307" spans="1:32" hidden="1" x14ac:dyDescent="0.35">
      <c r="A9307">
        <v>9306</v>
      </c>
      <c r="B9307" t="s">
        <v>18918</v>
      </c>
      <c r="C9307" t="s">
        <v>11136</v>
      </c>
      <c r="D9307" t="s">
        <v>45</v>
      </c>
      <c r="E9307">
        <v>1321</v>
      </c>
      <c r="F9307">
        <v>2</v>
      </c>
      <c r="G9307">
        <v>2</v>
      </c>
      <c r="H9307">
        <v>1</v>
      </c>
      <c r="I9307">
        <v>0</v>
      </c>
      <c r="J9307">
        <v>0.99725274725274704</v>
      </c>
      <c r="K9307">
        <v>1</v>
      </c>
      <c r="L9307">
        <v>0.99862448418156802</v>
      </c>
      <c r="M9307">
        <v>0.99725274725274704</v>
      </c>
      <c r="N9307">
        <v>0.99725274725274704</v>
      </c>
      <c r="O9307">
        <v>0.99725274725274704</v>
      </c>
      <c r="R9307" t="s">
        <v>1259</v>
      </c>
      <c r="S9307" t="s">
        <v>1260</v>
      </c>
      <c r="T9307" t="s">
        <v>1506</v>
      </c>
      <c r="U9307" t="s">
        <v>1507</v>
      </c>
      <c r="V9307" t="s">
        <v>1508</v>
      </c>
      <c r="W9307" t="s">
        <v>1509</v>
      </c>
      <c r="AD9307" t="s">
        <v>410</v>
      </c>
      <c r="AE9307" t="s">
        <v>1510</v>
      </c>
      <c r="AF9307" t="s">
        <v>18920</v>
      </c>
    </row>
    <row r="9308" spans="1:32" hidden="1" x14ac:dyDescent="0.35">
      <c r="A9308">
        <v>9327</v>
      </c>
      <c r="B9308" t="s">
        <v>18955</v>
      </c>
      <c r="C9308" t="s">
        <v>11136</v>
      </c>
      <c r="D9308" t="s">
        <v>34</v>
      </c>
      <c r="E9308">
        <v>2461</v>
      </c>
      <c r="F9308">
        <v>2</v>
      </c>
      <c r="G9308">
        <v>2</v>
      </c>
      <c r="H9308">
        <v>1</v>
      </c>
      <c r="I9308">
        <v>0</v>
      </c>
      <c r="J9308">
        <v>0.98065984072809997</v>
      </c>
      <c r="K9308">
        <v>1</v>
      </c>
      <c r="L9308">
        <v>0.99023549684089596</v>
      </c>
      <c r="M9308">
        <v>0.97610921501706505</v>
      </c>
      <c r="N9308">
        <v>0.97610921501706505</v>
      </c>
      <c r="O9308">
        <v>0.97610921501706505</v>
      </c>
      <c r="P9308" t="s">
        <v>18956</v>
      </c>
      <c r="Q9308" t="s">
        <v>18957</v>
      </c>
      <c r="R9308" t="s">
        <v>319</v>
      </c>
      <c r="S9308" t="s">
        <v>320</v>
      </c>
      <c r="V9308" t="s">
        <v>18958</v>
      </c>
      <c r="W9308" t="s">
        <v>18959</v>
      </c>
      <c r="AF9308" t="s">
        <v>18960</v>
      </c>
    </row>
    <row r="9309" spans="1:32" hidden="1" x14ac:dyDescent="0.35">
      <c r="A9309">
        <v>9328</v>
      </c>
      <c r="B9309" t="s">
        <v>18955</v>
      </c>
      <c r="C9309" t="s">
        <v>11136</v>
      </c>
      <c r="D9309" t="s">
        <v>45</v>
      </c>
      <c r="E9309">
        <v>440</v>
      </c>
      <c r="F9309">
        <v>2</v>
      </c>
      <c r="G9309">
        <v>2</v>
      </c>
      <c r="H9309">
        <v>1</v>
      </c>
      <c r="I9309">
        <v>0</v>
      </c>
      <c r="J9309">
        <v>0.98065984072809997</v>
      </c>
      <c r="K9309">
        <v>1</v>
      </c>
      <c r="L9309">
        <v>0.99023549684089596</v>
      </c>
      <c r="M9309">
        <v>0.97610921501706505</v>
      </c>
      <c r="N9309">
        <v>0.97610921501706505</v>
      </c>
      <c r="O9309">
        <v>0.97610921501706505</v>
      </c>
      <c r="P9309" t="s">
        <v>18956</v>
      </c>
      <c r="Q9309" t="s">
        <v>18957</v>
      </c>
      <c r="R9309" t="s">
        <v>319</v>
      </c>
      <c r="S9309" t="s">
        <v>320</v>
      </c>
      <c r="V9309" t="s">
        <v>18958</v>
      </c>
      <c r="W9309" t="s">
        <v>18959</v>
      </c>
      <c r="AF9309" t="s">
        <v>18961</v>
      </c>
    </row>
    <row r="9310" spans="1:32" hidden="1" x14ac:dyDescent="0.35">
      <c r="A9310">
        <v>9309</v>
      </c>
      <c r="B9310" t="s">
        <v>18924</v>
      </c>
      <c r="C9310" t="s">
        <v>11136</v>
      </c>
      <c r="D9310" t="s">
        <v>60</v>
      </c>
      <c r="E9310">
        <v>545</v>
      </c>
      <c r="F9310">
        <v>2</v>
      </c>
      <c r="G9310">
        <v>2</v>
      </c>
      <c r="H9310">
        <v>1</v>
      </c>
      <c r="I9310">
        <v>0</v>
      </c>
      <c r="J9310">
        <v>0.99481865284974103</v>
      </c>
      <c r="K9310">
        <v>1</v>
      </c>
      <c r="L9310">
        <v>0.99740259740259696</v>
      </c>
      <c r="M9310">
        <v>0.99481865284974103</v>
      </c>
      <c r="N9310">
        <v>0.99481865284974103</v>
      </c>
      <c r="O9310">
        <v>0.99481865284974103</v>
      </c>
      <c r="AF9310" t="s">
        <v>18925</v>
      </c>
    </row>
    <row r="9311" spans="1:32" hidden="1" x14ac:dyDescent="0.35">
      <c r="A9311">
        <v>9310</v>
      </c>
      <c r="B9311" t="s">
        <v>18924</v>
      </c>
      <c r="C9311" t="s">
        <v>11136</v>
      </c>
      <c r="D9311" t="s">
        <v>62</v>
      </c>
      <c r="E9311">
        <v>629</v>
      </c>
      <c r="F9311">
        <v>2</v>
      </c>
      <c r="G9311">
        <v>2</v>
      </c>
      <c r="H9311">
        <v>1</v>
      </c>
      <c r="I9311">
        <v>0</v>
      </c>
      <c r="J9311">
        <v>0.99481865284974103</v>
      </c>
      <c r="K9311">
        <v>1</v>
      </c>
      <c r="L9311">
        <v>0.99740259740259696</v>
      </c>
      <c r="M9311">
        <v>0.99481865284974103</v>
      </c>
      <c r="N9311">
        <v>0.99481865284974103</v>
      </c>
      <c r="O9311">
        <v>0.99481865284974103</v>
      </c>
      <c r="AF9311" t="s">
        <v>18926</v>
      </c>
    </row>
    <row r="9312" spans="1:32" hidden="1" x14ac:dyDescent="0.35">
      <c r="A9312">
        <v>9345</v>
      </c>
      <c r="B9312" t="s">
        <v>18988</v>
      </c>
      <c r="C9312" t="s">
        <v>11136</v>
      </c>
      <c r="D9312" t="s">
        <v>34</v>
      </c>
      <c r="E9312">
        <v>2115</v>
      </c>
      <c r="F9312">
        <v>2</v>
      </c>
      <c r="G9312">
        <v>2</v>
      </c>
      <c r="H9312">
        <v>1</v>
      </c>
      <c r="I9312">
        <v>0</v>
      </c>
      <c r="J9312">
        <v>0.99382716049382702</v>
      </c>
      <c r="K9312">
        <v>1</v>
      </c>
      <c r="L9312">
        <v>0.99690402476780204</v>
      </c>
      <c r="M9312">
        <v>0.99074074074074103</v>
      </c>
      <c r="N9312">
        <v>0.99074074074074103</v>
      </c>
      <c r="O9312">
        <v>0.99074074074074103</v>
      </c>
      <c r="P9312" t="s">
        <v>13626</v>
      </c>
      <c r="Q9312" t="s">
        <v>13627</v>
      </c>
      <c r="R9312" t="s">
        <v>1474</v>
      </c>
      <c r="S9312" t="s">
        <v>1475</v>
      </c>
      <c r="T9312" t="s">
        <v>13628</v>
      </c>
      <c r="U9312" t="s">
        <v>13629</v>
      </c>
      <c r="V9312" t="s">
        <v>13630</v>
      </c>
      <c r="W9312" t="s">
        <v>13631</v>
      </c>
      <c r="AD9312" t="s">
        <v>13632</v>
      </c>
      <c r="AE9312" t="s">
        <v>13633</v>
      </c>
      <c r="AF9312" t="s">
        <v>18989</v>
      </c>
    </row>
    <row r="9313" spans="1:32" hidden="1" x14ac:dyDescent="0.35">
      <c r="A9313">
        <v>9346</v>
      </c>
      <c r="B9313" t="s">
        <v>18988</v>
      </c>
      <c r="C9313" t="s">
        <v>11136</v>
      </c>
      <c r="D9313" t="s">
        <v>45</v>
      </c>
      <c r="E9313">
        <v>757</v>
      </c>
      <c r="F9313">
        <v>2</v>
      </c>
      <c r="G9313">
        <v>2</v>
      </c>
      <c r="H9313">
        <v>1</v>
      </c>
      <c r="I9313">
        <v>0</v>
      </c>
      <c r="J9313">
        <v>0.99382716049382702</v>
      </c>
      <c r="K9313">
        <v>1</v>
      </c>
      <c r="L9313">
        <v>0.99690402476780204</v>
      </c>
      <c r="M9313">
        <v>0.99074074074074103</v>
      </c>
      <c r="N9313">
        <v>0.99074074074074103</v>
      </c>
      <c r="O9313">
        <v>0.99074074074074103</v>
      </c>
      <c r="P9313" t="s">
        <v>13626</v>
      </c>
      <c r="Q9313" t="s">
        <v>13627</v>
      </c>
      <c r="R9313" t="s">
        <v>1474</v>
      </c>
      <c r="S9313" t="s">
        <v>1475</v>
      </c>
      <c r="T9313" t="s">
        <v>13628</v>
      </c>
      <c r="U9313" t="s">
        <v>13629</v>
      </c>
      <c r="V9313" t="s">
        <v>13630</v>
      </c>
      <c r="W9313" t="s">
        <v>13631</v>
      </c>
      <c r="AD9313" t="s">
        <v>13632</v>
      </c>
      <c r="AE9313" t="s">
        <v>13633</v>
      </c>
      <c r="AF9313" t="s">
        <v>18990</v>
      </c>
    </row>
    <row r="9314" spans="1:32" hidden="1" x14ac:dyDescent="0.35">
      <c r="A9314">
        <v>9313</v>
      </c>
      <c r="B9314" t="s">
        <v>18930</v>
      </c>
      <c r="C9314" t="s">
        <v>11136</v>
      </c>
      <c r="D9314" t="s">
        <v>60</v>
      </c>
      <c r="E9314">
        <v>2047</v>
      </c>
      <c r="F9314">
        <v>2</v>
      </c>
      <c r="G9314">
        <v>2</v>
      </c>
      <c r="H9314">
        <v>1</v>
      </c>
      <c r="I9314">
        <v>0</v>
      </c>
      <c r="J9314">
        <v>0.97821350762527204</v>
      </c>
      <c r="K9314">
        <v>1</v>
      </c>
      <c r="L9314">
        <v>0.98898678414096897</v>
      </c>
      <c r="M9314">
        <v>0.973856209150327</v>
      </c>
      <c r="N9314">
        <v>0.973856209150327</v>
      </c>
      <c r="O9314">
        <v>0.973856209150327</v>
      </c>
      <c r="AF9314" t="s">
        <v>18931</v>
      </c>
    </row>
    <row r="9315" spans="1:32" hidden="1" x14ac:dyDescent="0.35">
      <c r="A9315">
        <v>9314</v>
      </c>
      <c r="B9315" t="s">
        <v>18930</v>
      </c>
      <c r="C9315" t="s">
        <v>11136</v>
      </c>
      <c r="D9315" t="s">
        <v>62</v>
      </c>
      <c r="E9315">
        <v>2084</v>
      </c>
      <c r="F9315">
        <v>2</v>
      </c>
      <c r="G9315">
        <v>2</v>
      </c>
      <c r="H9315">
        <v>1</v>
      </c>
      <c r="I9315">
        <v>0</v>
      </c>
      <c r="J9315">
        <v>0.97821350762527204</v>
      </c>
      <c r="K9315">
        <v>1</v>
      </c>
      <c r="L9315">
        <v>0.98898678414096897</v>
      </c>
      <c r="M9315">
        <v>0.973856209150327</v>
      </c>
      <c r="N9315">
        <v>0.973856209150327</v>
      </c>
      <c r="O9315">
        <v>0.973856209150327</v>
      </c>
      <c r="AF9315" t="s">
        <v>18932</v>
      </c>
    </row>
    <row r="9316" spans="1:32" hidden="1" x14ac:dyDescent="0.35">
      <c r="A9316">
        <v>9297</v>
      </c>
      <c r="B9316" t="s">
        <v>18895</v>
      </c>
      <c r="C9316" t="s">
        <v>11136</v>
      </c>
      <c r="D9316" t="s">
        <v>34</v>
      </c>
      <c r="E9316">
        <v>265</v>
      </c>
      <c r="F9316">
        <v>2</v>
      </c>
      <c r="G9316">
        <v>2</v>
      </c>
      <c r="H9316">
        <v>1</v>
      </c>
      <c r="I9316">
        <v>0</v>
      </c>
      <c r="J9316">
        <v>0.93297746144721205</v>
      </c>
      <c r="K9316">
        <v>0.98434878790671998</v>
      </c>
      <c r="L9316">
        <v>0.95797492328633205</v>
      </c>
      <c r="M9316">
        <v>0.90542907180385301</v>
      </c>
      <c r="N9316">
        <v>0.90542907180385301</v>
      </c>
      <c r="O9316">
        <v>0.90542907180385301</v>
      </c>
      <c r="P9316" t="s">
        <v>18896</v>
      </c>
      <c r="Q9316" t="s">
        <v>18897</v>
      </c>
      <c r="R9316" t="s">
        <v>138</v>
      </c>
      <c r="S9316" t="s">
        <v>139</v>
      </c>
      <c r="T9316" t="s">
        <v>18898</v>
      </c>
      <c r="U9316" t="s">
        <v>16384</v>
      </c>
      <c r="V9316" t="s">
        <v>18899</v>
      </c>
      <c r="W9316" t="s">
        <v>18900</v>
      </c>
      <c r="AD9316" t="s">
        <v>14829</v>
      </c>
      <c r="AE9316" t="s">
        <v>18901</v>
      </c>
      <c r="AF9316" t="s">
        <v>18902</v>
      </c>
    </row>
    <row r="9317" spans="1:32" hidden="1" x14ac:dyDescent="0.35">
      <c r="A9317">
        <v>9298</v>
      </c>
      <c r="B9317" t="s">
        <v>18895</v>
      </c>
      <c r="C9317" t="s">
        <v>11136</v>
      </c>
      <c r="D9317" t="s">
        <v>45</v>
      </c>
      <c r="E9317">
        <v>1530</v>
      </c>
      <c r="F9317">
        <v>2</v>
      </c>
      <c r="G9317">
        <v>2</v>
      </c>
      <c r="H9317">
        <v>1</v>
      </c>
      <c r="I9317">
        <v>0</v>
      </c>
      <c r="J9317">
        <v>0.93297746144721205</v>
      </c>
      <c r="K9317">
        <v>0.98434878790671998</v>
      </c>
      <c r="L9317">
        <v>0.95797492328633205</v>
      </c>
      <c r="M9317">
        <v>0.90542907180385301</v>
      </c>
      <c r="N9317">
        <v>0.90542907180385301</v>
      </c>
      <c r="O9317">
        <v>0.90542907180385301</v>
      </c>
      <c r="P9317" t="s">
        <v>18896</v>
      </c>
      <c r="Q9317" t="s">
        <v>18897</v>
      </c>
      <c r="R9317" t="s">
        <v>138</v>
      </c>
      <c r="S9317" t="s">
        <v>139</v>
      </c>
      <c r="T9317" t="s">
        <v>18898</v>
      </c>
      <c r="U9317" t="s">
        <v>16384</v>
      </c>
      <c r="V9317" t="s">
        <v>18899</v>
      </c>
      <c r="W9317" t="s">
        <v>18900</v>
      </c>
      <c r="AD9317" t="s">
        <v>14829</v>
      </c>
      <c r="AE9317" t="s">
        <v>18901</v>
      </c>
      <c r="AF9317" t="s">
        <v>18903</v>
      </c>
    </row>
    <row r="9318" spans="1:32" hidden="1" x14ac:dyDescent="0.35">
      <c r="A9318">
        <v>9317</v>
      </c>
      <c r="B9318" t="s">
        <v>18938</v>
      </c>
      <c r="C9318" t="s">
        <v>11136</v>
      </c>
      <c r="D9318" t="s">
        <v>34</v>
      </c>
      <c r="E9318">
        <v>218</v>
      </c>
      <c r="F9318">
        <v>2</v>
      </c>
      <c r="G9318">
        <v>2</v>
      </c>
      <c r="H9318">
        <v>1</v>
      </c>
      <c r="I9318">
        <v>0</v>
      </c>
      <c r="J9318">
        <v>0.99281609195402298</v>
      </c>
      <c r="K9318">
        <v>1</v>
      </c>
      <c r="L9318">
        <v>0.99639509733237197</v>
      </c>
      <c r="M9318">
        <v>0.98706896551724099</v>
      </c>
      <c r="N9318">
        <v>0.98706896551724099</v>
      </c>
      <c r="O9318">
        <v>0.98706896551724099</v>
      </c>
      <c r="P9318" t="s">
        <v>14518</v>
      </c>
      <c r="Q9318" t="s">
        <v>14519</v>
      </c>
      <c r="AF9318" t="s">
        <v>18939</v>
      </c>
    </row>
    <row r="9319" spans="1:32" hidden="1" x14ac:dyDescent="0.35">
      <c r="A9319">
        <v>9318</v>
      </c>
      <c r="B9319" t="s">
        <v>18938</v>
      </c>
      <c r="C9319" t="s">
        <v>11136</v>
      </c>
      <c r="D9319" t="s">
        <v>45</v>
      </c>
      <c r="E9319">
        <v>1481</v>
      </c>
      <c r="F9319">
        <v>2</v>
      </c>
      <c r="G9319">
        <v>2</v>
      </c>
      <c r="H9319">
        <v>1</v>
      </c>
      <c r="I9319">
        <v>0</v>
      </c>
      <c r="J9319">
        <v>0.99281609195402298</v>
      </c>
      <c r="K9319">
        <v>1</v>
      </c>
      <c r="L9319">
        <v>0.99639509733237197</v>
      </c>
      <c r="M9319">
        <v>0.98706896551724099</v>
      </c>
      <c r="N9319">
        <v>0.98706896551724099</v>
      </c>
      <c r="O9319">
        <v>0.98706896551724099</v>
      </c>
      <c r="P9319" t="s">
        <v>14518</v>
      </c>
      <c r="Q9319" t="s">
        <v>14519</v>
      </c>
      <c r="AF9319" t="s">
        <v>18940</v>
      </c>
    </row>
    <row r="9320" spans="1:32" hidden="1" x14ac:dyDescent="0.35">
      <c r="A9320">
        <v>9335</v>
      </c>
      <c r="B9320" t="s">
        <v>18971</v>
      </c>
      <c r="C9320" t="s">
        <v>11136</v>
      </c>
      <c r="D9320" t="s">
        <v>34</v>
      </c>
      <c r="E9320">
        <v>1407</v>
      </c>
      <c r="F9320">
        <v>2</v>
      </c>
      <c r="G9320">
        <v>2</v>
      </c>
      <c r="H9320">
        <v>1</v>
      </c>
      <c r="I9320">
        <v>0</v>
      </c>
      <c r="J9320">
        <v>0.99858356940509896</v>
      </c>
      <c r="K9320">
        <v>1</v>
      </c>
      <c r="L9320">
        <v>0.99929128277817203</v>
      </c>
      <c r="M9320">
        <v>0.99858356940509896</v>
      </c>
      <c r="N9320">
        <v>0.99858356940509896</v>
      </c>
      <c r="O9320">
        <v>0.99858356940509896</v>
      </c>
      <c r="P9320" t="s">
        <v>169</v>
      </c>
      <c r="Q9320" t="s">
        <v>170</v>
      </c>
      <c r="R9320" t="s">
        <v>138</v>
      </c>
      <c r="S9320" t="s">
        <v>139</v>
      </c>
      <c r="V9320" t="s">
        <v>18972</v>
      </c>
      <c r="W9320" t="s">
        <v>18973</v>
      </c>
      <c r="AF9320" t="s">
        <v>18974</v>
      </c>
    </row>
    <row r="9321" spans="1:32" hidden="1" x14ac:dyDescent="0.35">
      <c r="A9321">
        <v>9336</v>
      </c>
      <c r="B9321" t="s">
        <v>18971</v>
      </c>
      <c r="C9321" t="s">
        <v>11136</v>
      </c>
      <c r="D9321" t="s">
        <v>45</v>
      </c>
      <c r="E9321">
        <v>158</v>
      </c>
      <c r="F9321">
        <v>2</v>
      </c>
      <c r="G9321">
        <v>2</v>
      </c>
      <c r="H9321">
        <v>1</v>
      </c>
      <c r="I9321">
        <v>0</v>
      </c>
      <c r="J9321">
        <v>0.99858356940509896</v>
      </c>
      <c r="K9321">
        <v>1</v>
      </c>
      <c r="L9321">
        <v>0.99929128277817203</v>
      </c>
      <c r="M9321">
        <v>0.99858356940509896</v>
      </c>
      <c r="N9321">
        <v>0.99858356940509896</v>
      </c>
      <c r="O9321">
        <v>0.99858356940509896</v>
      </c>
      <c r="P9321" t="s">
        <v>169</v>
      </c>
      <c r="Q9321" t="s">
        <v>170</v>
      </c>
      <c r="R9321" t="s">
        <v>138</v>
      </c>
      <c r="S9321" t="s">
        <v>139</v>
      </c>
      <c r="V9321" t="s">
        <v>18972</v>
      </c>
      <c r="W9321" t="s">
        <v>18973</v>
      </c>
      <c r="AF9321" t="s">
        <v>18975</v>
      </c>
    </row>
    <row r="9322" spans="1:32" hidden="1" x14ac:dyDescent="0.35">
      <c r="A9322">
        <v>9321</v>
      </c>
      <c r="B9322" t="s">
        <v>18944</v>
      </c>
      <c r="C9322" t="s">
        <v>11136</v>
      </c>
      <c r="D9322" t="s">
        <v>34</v>
      </c>
      <c r="E9322">
        <v>892</v>
      </c>
      <c r="F9322">
        <v>2</v>
      </c>
      <c r="G9322">
        <v>2</v>
      </c>
      <c r="H9322">
        <v>1</v>
      </c>
      <c r="I9322">
        <v>0</v>
      </c>
      <c r="J9322">
        <v>0.98571428571428599</v>
      </c>
      <c r="K9322">
        <v>1</v>
      </c>
      <c r="L9322">
        <v>0.99280575539568305</v>
      </c>
      <c r="M9322">
        <v>0.98571428571428599</v>
      </c>
      <c r="N9322">
        <v>0.98571428571428599</v>
      </c>
      <c r="O9322">
        <v>0.98571428571428599</v>
      </c>
      <c r="P9322" t="s">
        <v>18945</v>
      </c>
      <c r="Q9322" t="s">
        <v>18946</v>
      </c>
      <c r="AF9322" t="s">
        <v>18947</v>
      </c>
    </row>
    <row r="9323" spans="1:32" hidden="1" x14ac:dyDescent="0.35">
      <c r="A9323">
        <v>9322</v>
      </c>
      <c r="B9323" t="s">
        <v>18944</v>
      </c>
      <c r="C9323" t="s">
        <v>11136</v>
      </c>
      <c r="D9323" t="s">
        <v>45</v>
      </c>
      <c r="E9323">
        <v>2149</v>
      </c>
      <c r="F9323">
        <v>2</v>
      </c>
      <c r="G9323">
        <v>2</v>
      </c>
      <c r="H9323">
        <v>1</v>
      </c>
      <c r="I9323">
        <v>0</v>
      </c>
      <c r="J9323">
        <v>0.98571428571428599</v>
      </c>
      <c r="K9323">
        <v>1</v>
      </c>
      <c r="L9323">
        <v>0.99280575539568305</v>
      </c>
      <c r="M9323">
        <v>0.98571428571428599</v>
      </c>
      <c r="N9323">
        <v>0.98571428571428599</v>
      </c>
      <c r="O9323">
        <v>0.98571428571428599</v>
      </c>
      <c r="P9323" t="s">
        <v>18945</v>
      </c>
      <c r="Q9323" t="s">
        <v>18946</v>
      </c>
      <c r="AF9323" t="s">
        <v>18948</v>
      </c>
    </row>
    <row r="9324" spans="1:32" hidden="1" x14ac:dyDescent="0.35">
      <c r="A9324">
        <v>9323</v>
      </c>
      <c r="B9324" t="s">
        <v>18949</v>
      </c>
      <c r="C9324" t="s">
        <v>11136</v>
      </c>
      <c r="D9324" t="s">
        <v>60</v>
      </c>
      <c r="E9324">
        <v>2280</v>
      </c>
      <c r="F9324">
        <v>2</v>
      </c>
      <c r="G9324">
        <v>2</v>
      </c>
      <c r="H9324">
        <v>1</v>
      </c>
      <c r="I9324">
        <v>0</v>
      </c>
      <c r="J9324">
        <v>0.99466666666666703</v>
      </c>
      <c r="K9324">
        <v>1</v>
      </c>
      <c r="L9324">
        <v>0.99732620320855603</v>
      </c>
      <c r="M9324">
        <v>0.99466666666666703</v>
      </c>
      <c r="N9324">
        <v>0.99466666666666703</v>
      </c>
      <c r="O9324">
        <v>0.99466666666666703</v>
      </c>
      <c r="AF9324" t="s">
        <v>18950</v>
      </c>
    </row>
    <row r="9325" spans="1:32" hidden="1" x14ac:dyDescent="0.35">
      <c r="A9325">
        <v>9324</v>
      </c>
      <c r="B9325" t="s">
        <v>18949</v>
      </c>
      <c r="C9325" t="s">
        <v>11136</v>
      </c>
      <c r="D9325" t="s">
        <v>62</v>
      </c>
      <c r="E9325">
        <v>2309</v>
      </c>
      <c r="F9325">
        <v>2</v>
      </c>
      <c r="G9325">
        <v>2</v>
      </c>
      <c r="H9325">
        <v>1</v>
      </c>
      <c r="I9325">
        <v>0</v>
      </c>
      <c r="J9325">
        <v>0.99466666666666703</v>
      </c>
      <c r="K9325">
        <v>1</v>
      </c>
      <c r="L9325">
        <v>0.99732620320855603</v>
      </c>
      <c r="M9325">
        <v>0.99466666666666703</v>
      </c>
      <c r="N9325">
        <v>0.99466666666666703</v>
      </c>
      <c r="O9325">
        <v>0.99466666666666703</v>
      </c>
      <c r="AF9325" t="s">
        <v>18951</v>
      </c>
    </row>
    <row r="9326" spans="1:32" hidden="1" x14ac:dyDescent="0.35">
      <c r="A9326">
        <v>9319</v>
      </c>
      <c r="B9326" t="s">
        <v>18941</v>
      </c>
      <c r="C9326" t="s">
        <v>11136</v>
      </c>
      <c r="D9326" t="s">
        <v>34</v>
      </c>
      <c r="E9326">
        <v>1846</v>
      </c>
      <c r="F9326">
        <v>2</v>
      </c>
      <c r="G9326">
        <v>2</v>
      </c>
      <c r="H9326">
        <v>1</v>
      </c>
      <c r="I9326">
        <v>0</v>
      </c>
      <c r="J9326">
        <v>0.98677248677248697</v>
      </c>
      <c r="K9326">
        <v>1</v>
      </c>
      <c r="L9326">
        <v>0.993342210386152</v>
      </c>
      <c r="M9326">
        <v>0.97619047619047605</v>
      </c>
      <c r="N9326">
        <v>0.97619047619047605</v>
      </c>
      <c r="O9326">
        <v>0.97619047619047605</v>
      </c>
      <c r="P9326" t="s">
        <v>14413</v>
      </c>
      <c r="Q9326" t="s">
        <v>14414</v>
      </c>
      <c r="R9326" t="s">
        <v>540</v>
      </c>
      <c r="S9326" t="s">
        <v>541</v>
      </c>
      <c r="T9326" t="s">
        <v>14415</v>
      </c>
      <c r="U9326" t="s">
        <v>14416</v>
      </c>
      <c r="V9326" t="s">
        <v>14417</v>
      </c>
      <c r="W9326" t="s">
        <v>14418</v>
      </c>
      <c r="AD9326" t="s">
        <v>1079</v>
      </c>
      <c r="AE9326" t="s">
        <v>1080</v>
      </c>
      <c r="AF9326" t="s">
        <v>18942</v>
      </c>
    </row>
    <row r="9327" spans="1:32" hidden="1" x14ac:dyDescent="0.35">
      <c r="A9327">
        <v>9320</v>
      </c>
      <c r="B9327" t="s">
        <v>18941</v>
      </c>
      <c r="C9327" t="s">
        <v>11136</v>
      </c>
      <c r="D9327" t="s">
        <v>45</v>
      </c>
      <c r="E9327">
        <v>1027</v>
      </c>
      <c r="F9327">
        <v>2</v>
      </c>
      <c r="G9327">
        <v>2</v>
      </c>
      <c r="H9327">
        <v>1</v>
      </c>
      <c r="I9327">
        <v>0</v>
      </c>
      <c r="J9327">
        <v>0.98677248677248697</v>
      </c>
      <c r="K9327">
        <v>1</v>
      </c>
      <c r="L9327">
        <v>0.993342210386152</v>
      </c>
      <c r="M9327">
        <v>0.97619047619047605</v>
      </c>
      <c r="N9327">
        <v>0.97619047619047605</v>
      </c>
      <c r="O9327">
        <v>0.97619047619047605</v>
      </c>
      <c r="P9327" t="s">
        <v>14413</v>
      </c>
      <c r="Q9327" t="s">
        <v>14414</v>
      </c>
      <c r="R9327" t="s">
        <v>540</v>
      </c>
      <c r="S9327" t="s">
        <v>541</v>
      </c>
      <c r="T9327" t="s">
        <v>14415</v>
      </c>
      <c r="U9327" t="s">
        <v>14416</v>
      </c>
      <c r="V9327" t="s">
        <v>14417</v>
      </c>
      <c r="W9327" t="s">
        <v>14418</v>
      </c>
      <c r="AD9327" t="s">
        <v>1079</v>
      </c>
      <c r="AE9327" t="s">
        <v>1080</v>
      </c>
      <c r="AF9327" t="s">
        <v>18943</v>
      </c>
    </row>
    <row r="9328" spans="1:32" hidden="1" x14ac:dyDescent="0.35">
      <c r="A9328">
        <v>9311</v>
      </c>
      <c r="B9328" t="s">
        <v>18927</v>
      </c>
      <c r="C9328" t="s">
        <v>11136</v>
      </c>
      <c r="D9328" t="s">
        <v>34</v>
      </c>
      <c r="E9328">
        <v>1295</v>
      </c>
      <c r="F9328">
        <v>2</v>
      </c>
      <c r="G9328">
        <v>2</v>
      </c>
      <c r="H9328">
        <v>1</v>
      </c>
      <c r="I9328">
        <v>0</v>
      </c>
      <c r="J9328">
        <v>0.99404761904761896</v>
      </c>
      <c r="K9328">
        <v>1</v>
      </c>
      <c r="L9328">
        <v>0.99701492537313396</v>
      </c>
      <c r="M9328">
        <v>0.99404761904761896</v>
      </c>
      <c r="N9328">
        <v>0.99404761904761896</v>
      </c>
      <c r="O9328">
        <v>0.99404761904761896</v>
      </c>
      <c r="P9328" t="s">
        <v>7145</v>
      </c>
      <c r="Q9328" t="s">
        <v>7146</v>
      </c>
      <c r="R9328" t="s">
        <v>75</v>
      </c>
      <c r="S9328" t="s">
        <v>76</v>
      </c>
      <c r="T9328" t="s">
        <v>14793</v>
      </c>
      <c r="U9328" t="s">
        <v>3223</v>
      </c>
      <c r="V9328" t="s">
        <v>7149</v>
      </c>
      <c r="W9328" t="s">
        <v>7150</v>
      </c>
      <c r="X9328" t="s">
        <v>7149</v>
      </c>
      <c r="Y9328" t="s">
        <v>2392</v>
      </c>
      <c r="AD9328" t="s">
        <v>2264</v>
      </c>
      <c r="AE9328" t="s">
        <v>3226</v>
      </c>
      <c r="AF9328" t="s">
        <v>18928</v>
      </c>
    </row>
    <row r="9329" spans="1:32" hidden="1" x14ac:dyDescent="0.35">
      <c r="A9329">
        <v>9312</v>
      </c>
      <c r="B9329" t="s">
        <v>18927</v>
      </c>
      <c r="C9329" t="s">
        <v>11136</v>
      </c>
      <c r="D9329" t="s">
        <v>45</v>
      </c>
      <c r="E9329">
        <v>47</v>
      </c>
      <c r="F9329">
        <v>2</v>
      </c>
      <c r="G9329">
        <v>2</v>
      </c>
      <c r="H9329">
        <v>1</v>
      </c>
      <c r="I9329">
        <v>0</v>
      </c>
      <c r="J9329">
        <v>0.99404761904761896</v>
      </c>
      <c r="K9329">
        <v>1</v>
      </c>
      <c r="L9329">
        <v>0.99701492537313396</v>
      </c>
      <c r="M9329">
        <v>0.99404761904761896</v>
      </c>
      <c r="N9329">
        <v>0.99404761904761896</v>
      </c>
      <c r="O9329">
        <v>0.99404761904761896</v>
      </c>
      <c r="P9329" t="s">
        <v>7145</v>
      </c>
      <c r="Q9329" t="s">
        <v>7146</v>
      </c>
      <c r="R9329" t="s">
        <v>75</v>
      </c>
      <c r="S9329" t="s">
        <v>76</v>
      </c>
      <c r="T9329" t="s">
        <v>14793</v>
      </c>
      <c r="U9329" t="s">
        <v>3223</v>
      </c>
      <c r="V9329" t="s">
        <v>7149</v>
      </c>
      <c r="W9329" t="s">
        <v>7150</v>
      </c>
      <c r="X9329" t="s">
        <v>7149</v>
      </c>
      <c r="Y9329" t="s">
        <v>2392</v>
      </c>
      <c r="AD9329" t="s">
        <v>2264</v>
      </c>
      <c r="AE9329" t="s">
        <v>3226</v>
      </c>
      <c r="AF9329" t="s">
        <v>18929</v>
      </c>
    </row>
    <row r="9330" spans="1:32" hidden="1" x14ac:dyDescent="0.35">
      <c r="A9330">
        <v>9325</v>
      </c>
      <c r="B9330" t="s">
        <v>18952</v>
      </c>
      <c r="C9330" t="s">
        <v>11136</v>
      </c>
      <c r="D9330" t="s">
        <v>60</v>
      </c>
      <c r="E9330">
        <v>1288</v>
      </c>
      <c r="F9330">
        <v>2</v>
      </c>
      <c r="G9330">
        <v>2</v>
      </c>
      <c r="H9330">
        <v>1</v>
      </c>
      <c r="I9330">
        <v>0</v>
      </c>
      <c r="J9330">
        <v>0.997010463378176</v>
      </c>
      <c r="K9330">
        <v>1</v>
      </c>
      <c r="L9330">
        <v>0.99850299401197595</v>
      </c>
      <c r="M9330">
        <v>0.99551569506726501</v>
      </c>
      <c r="N9330">
        <v>0.99551569506726501</v>
      </c>
      <c r="O9330">
        <v>0.99551569506726501</v>
      </c>
      <c r="P9330" t="s">
        <v>17739</v>
      </c>
      <c r="Q9330" t="s">
        <v>17740</v>
      </c>
      <c r="R9330" t="s">
        <v>75</v>
      </c>
      <c r="S9330" t="s">
        <v>76</v>
      </c>
      <c r="V9330" t="s">
        <v>17741</v>
      </c>
      <c r="W9330" t="s">
        <v>17742</v>
      </c>
      <c r="AF9330" t="s">
        <v>18953</v>
      </c>
    </row>
    <row r="9331" spans="1:32" hidden="1" x14ac:dyDescent="0.35">
      <c r="A9331">
        <v>9326</v>
      </c>
      <c r="B9331" t="s">
        <v>18952</v>
      </c>
      <c r="C9331" t="s">
        <v>11136</v>
      </c>
      <c r="D9331" t="s">
        <v>62</v>
      </c>
      <c r="E9331">
        <v>1324</v>
      </c>
      <c r="F9331">
        <v>2</v>
      </c>
      <c r="G9331">
        <v>2</v>
      </c>
      <c r="H9331">
        <v>1</v>
      </c>
      <c r="I9331">
        <v>0</v>
      </c>
      <c r="J9331">
        <v>0.997010463378176</v>
      </c>
      <c r="K9331">
        <v>1</v>
      </c>
      <c r="L9331">
        <v>0.99850299401197595</v>
      </c>
      <c r="M9331">
        <v>0.99551569506726501</v>
      </c>
      <c r="N9331">
        <v>0.99551569506726501</v>
      </c>
      <c r="O9331">
        <v>0.99551569506726501</v>
      </c>
      <c r="P9331" t="s">
        <v>17739</v>
      </c>
      <c r="Q9331" t="s">
        <v>17740</v>
      </c>
      <c r="R9331" t="s">
        <v>75</v>
      </c>
      <c r="S9331" t="s">
        <v>76</v>
      </c>
      <c r="V9331" t="s">
        <v>17741</v>
      </c>
      <c r="W9331" t="s">
        <v>17742</v>
      </c>
      <c r="AF9331" t="s">
        <v>18954</v>
      </c>
    </row>
    <row r="9332" spans="1:32" hidden="1" x14ac:dyDescent="0.35">
      <c r="A9332">
        <v>9331</v>
      </c>
      <c r="B9332" t="s">
        <v>18965</v>
      </c>
      <c r="C9332" t="s">
        <v>11136</v>
      </c>
      <c r="D9332" t="s">
        <v>60</v>
      </c>
      <c r="E9332">
        <v>1388</v>
      </c>
      <c r="F9332">
        <v>2</v>
      </c>
      <c r="G9332">
        <v>2</v>
      </c>
      <c r="H9332">
        <v>1</v>
      </c>
      <c r="I9332">
        <v>0</v>
      </c>
      <c r="J9332">
        <v>0.99569892473118304</v>
      </c>
      <c r="K9332">
        <v>1</v>
      </c>
      <c r="L9332">
        <v>0.99784482758620696</v>
      </c>
      <c r="M9332">
        <v>0.98709677419354802</v>
      </c>
      <c r="N9332">
        <v>0.98709677419354802</v>
      </c>
      <c r="O9332">
        <v>0.98709677419354802</v>
      </c>
      <c r="P9332" t="s">
        <v>15681</v>
      </c>
      <c r="Q9332" t="s">
        <v>15682</v>
      </c>
      <c r="AF9332" t="s">
        <v>18966</v>
      </c>
    </row>
    <row r="9333" spans="1:32" hidden="1" x14ac:dyDescent="0.35">
      <c r="A9333">
        <v>9332</v>
      </c>
      <c r="B9333" t="s">
        <v>18965</v>
      </c>
      <c r="C9333" t="s">
        <v>11136</v>
      </c>
      <c r="D9333" t="s">
        <v>62</v>
      </c>
      <c r="E9333">
        <v>1423</v>
      </c>
      <c r="F9333">
        <v>2</v>
      </c>
      <c r="G9333">
        <v>2</v>
      </c>
      <c r="H9333">
        <v>1</v>
      </c>
      <c r="I9333">
        <v>0</v>
      </c>
      <c r="J9333">
        <v>0.99569892473118304</v>
      </c>
      <c r="K9333">
        <v>1</v>
      </c>
      <c r="L9333">
        <v>0.99784482758620696</v>
      </c>
      <c r="M9333">
        <v>0.98709677419354802</v>
      </c>
      <c r="N9333">
        <v>0.98709677419354802</v>
      </c>
      <c r="O9333">
        <v>0.98709677419354802</v>
      </c>
      <c r="P9333" t="s">
        <v>15681</v>
      </c>
      <c r="Q9333" t="s">
        <v>15682</v>
      </c>
      <c r="AF9333" t="s">
        <v>18967</v>
      </c>
    </row>
    <row r="9334" spans="1:32" hidden="1" x14ac:dyDescent="0.35">
      <c r="A9334">
        <v>9333</v>
      </c>
      <c r="B9334" t="s">
        <v>18968</v>
      </c>
      <c r="C9334" t="s">
        <v>11136</v>
      </c>
      <c r="D9334" t="s">
        <v>34</v>
      </c>
      <c r="E9334">
        <v>2100</v>
      </c>
      <c r="F9334">
        <v>2</v>
      </c>
      <c r="G9334">
        <v>2</v>
      </c>
      <c r="H9334">
        <v>1</v>
      </c>
      <c r="I9334">
        <v>0</v>
      </c>
      <c r="J9334">
        <v>0.97043832823649301</v>
      </c>
      <c r="K9334">
        <v>1</v>
      </c>
      <c r="L9334">
        <v>0.98499741334712898</v>
      </c>
      <c r="M9334">
        <v>0.96024464831804301</v>
      </c>
      <c r="N9334">
        <v>0.96024464831804301</v>
      </c>
      <c r="O9334">
        <v>0.96024464831804301</v>
      </c>
      <c r="AF9334" t="s">
        <v>18969</v>
      </c>
    </row>
    <row r="9335" spans="1:32" hidden="1" x14ac:dyDescent="0.35">
      <c r="A9335">
        <v>9334</v>
      </c>
      <c r="B9335" t="s">
        <v>18968</v>
      </c>
      <c r="C9335" t="s">
        <v>11136</v>
      </c>
      <c r="D9335" t="s">
        <v>45</v>
      </c>
      <c r="E9335">
        <v>772</v>
      </c>
      <c r="F9335">
        <v>2</v>
      </c>
      <c r="G9335">
        <v>2</v>
      </c>
      <c r="H9335">
        <v>1</v>
      </c>
      <c r="I9335">
        <v>0</v>
      </c>
      <c r="J9335">
        <v>0.97043832823649301</v>
      </c>
      <c r="K9335">
        <v>1</v>
      </c>
      <c r="L9335">
        <v>0.98499741334712898</v>
      </c>
      <c r="M9335">
        <v>0.96024464831804301</v>
      </c>
      <c r="N9335">
        <v>0.96024464831804301</v>
      </c>
      <c r="O9335">
        <v>0.96024464831804301</v>
      </c>
      <c r="AF9335" t="s">
        <v>18970</v>
      </c>
    </row>
    <row r="9336" spans="1:32" hidden="1" x14ac:dyDescent="0.35">
      <c r="A9336">
        <v>9307</v>
      </c>
      <c r="B9336" t="s">
        <v>18921</v>
      </c>
      <c r="C9336" t="s">
        <v>11136</v>
      </c>
      <c r="D9336" t="s">
        <v>34</v>
      </c>
      <c r="E9336">
        <v>0</v>
      </c>
      <c r="F9336">
        <v>2</v>
      </c>
      <c r="G9336">
        <v>2</v>
      </c>
      <c r="H9336">
        <v>1</v>
      </c>
      <c r="I9336">
        <v>0</v>
      </c>
      <c r="J9336">
        <v>0.84963768115941996</v>
      </c>
      <c r="K9336">
        <v>0.71706505763131501</v>
      </c>
      <c r="L9336">
        <v>0.77774229625278501</v>
      </c>
      <c r="M9336">
        <v>0.54838709677419395</v>
      </c>
      <c r="N9336">
        <v>0.54838709677419395</v>
      </c>
      <c r="O9336">
        <v>0.54838709677419395</v>
      </c>
      <c r="P9336" t="s">
        <v>376</v>
      </c>
      <c r="Q9336" t="s">
        <v>377</v>
      </c>
      <c r="R9336" t="s">
        <v>371</v>
      </c>
      <c r="S9336" t="s">
        <v>372</v>
      </c>
      <c r="V9336" t="s">
        <v>373</v>
      </c>
      <c r="W9336" t="s">
        <v>374</v>
      </c>
      <c r="AF9336" t="s">
        <v>18922</v>
      </c>
    </row>
    <row r="9337" spans="1:32" hidden="1" x14ac:dyDescent="0.35">
      <c r="A9337">
        <v>9308</v>
      </c>
      <c r="B9337" t="s">
        <v>18921</v>
      </c>
      <c r="C9337" t="s">
        <v>11136</v>
      </c>
      <c r="D9337" t="s">
        <v>45</v>
      </c>
      <c r="E9337">
        <v>1257</v>
      </c>
      <c r="F9337">
        <v>2</v>
      </c>
      <c r="G9337">
        <v>2</v>
      </c>
      <c r="H9337">
        <v>1</v>
      </c>
      <c r="I9337">
        <v>0</v>
      </c>
      <c r="J9337">
        <v>0.84963768115941996</v>
      </c>
      <c r="K9337">
        <v>0.71706505763131501</v>
      </c>
      <c r="L9337">
        <v>0.77774229625278501</v>
      </c>
      <c r="M9337">
        <v>0.54838709677419395</v>
      </c>
      <c r="N9337">
        <v>0.54838709677419395</v>
      </c>
      <c r="O9337">
        <v>0.54838709677419395</v>
      </c>
      <c r="R9337" t="s">
        <v>371</v>
      </c>
      <c r="S9337" t="s">
        <v>372</v>
      </c>
      <c r="V9337" t="s">
        <v>373</v>
      </c>
      <c r="W9337" t="s">
        <v>374</v>
      </c>
      <c r="AF9337" t="s">
        <v>18923</v>
      </c>
    </row>
    <row r="9338" spans="1:32" hidden="1" x14ac:dyDescent="0.35">
      <c r="A9338">
        <v>9337</v>
      </c>
      <c r="B9338" t="s">
        <v>18976</v>
      </c>
      <c r="C9338" t="s">
        <v>11136</v>
      </c>
      <c r="D9338" t="s">
        <v>60</v>
      </c>
      <c r="E9338">
        <v>775</v>
      </c>
      <c r="F9338">
        <v>2</v>
      </c>
      <c r="G9338">
        <v>2</v>
      </c>
      <c r="H9338">
        <v>1</v>
      </c>
      <c r="I9338">
        <v>0</v>
      </c>
      <c r="J9338">
        <v>0.97006802721088403</v>
      </c>
      <c r="K9338">
        <v>1</v>
      </c>
      <c r="L9338">
        <v>0.98480662983425404</v>
      </c>
      <c r="M9338">
        <v>0.95918367346938804</v>
      </c>
      <c r="N9338">
        <v>0.95918367346938804</v>
      </c>
      <c r="O9338">
        <v>0.95918367346938804</v>
      </c>
      <c r="P9338" t="s">
        <v>16832</v>
      </c>
      <c r="Q9338" t="s">
        <v>16833</v>
      </c>
      <c r="R9338" t="s">
        <v>9049</v>
      </c>
      <c r="S9338" t="s">
        <v>9050</v>
      </c>
      <c r="T9338" t="s">
        <v>16834</v>
      </c>
      <c r="U9338" t="s">
        <v>16835</v>
      </c>
      <c r="V9338" t="s">
        <v>16836</v>
      </c>
      <c r="W9338" t="s">
        <v>16837</v>
      </c>
      <c r="AD9338" t="s">
        <v>16838</v>
      </c>
      <c r="AE9338" t="s">
        <v>16839</v>
      </c>
      <c r="AF9338" t="s">
        <v>18977</v>
      </c>
    </row>
    <row r="9339" spans="1:32" hidden="1" x14ac:dyDescent="0.35">
      <c r="A9339">
        <v>9338</v>
      </c>
      <c r="B9339" t="s">
        <v>18976</v>
      </c>
      <c r="C9339" t="s">
        <v>11136</v>
      </c>
      <c r="D9339" t="s">
        <v>62</v>
      </c>
      <c r="E9339">
        <v>808</v>
      </c>
      <c r="F9339">
        <v>2</v>
      </c>
      <c r="G9339">
        <v>2</v>
      </c>
      <c r="H9339">
        <v>1</v>
      </c>
      <c r="I9339">
        <v>0</v>
      </c>
      <c r="J9339">
        <v>0.97006802721088403</v>
      </c>
      <c r="K9339">
        <v>1</v>
      </c>
      <c r="L9339">
        <v>0.98480662983425404</v>
      </c>
      <c r="M9339">
        <v>0.95918367346938804</v>
      </c>
      <c r="N9339">
        <v>0.95918367346938804</v>
      </c>
      <c r="O9339">
        <v>0.95918367346938804</v>
      </c>
      <c r="P9339" t="s">
        <v>16832</v>
      </c>
      <c r="Q9339" t="s">
        <v>16833</v>
      </c>
      <c r="R9339" t="s">
        <v>9049</v>
      </c>
      <c r="S9339" t="s">
        <v>9050</v>
      </c>
      <c r="T9339" t="s">
        <v>16834</v>
      </c>
      <c r="U9339" t="s">
        <v>16835</v>
      </c>
      <c r="V9339" t="s">
        <v>16836</v>
      </c>
      <c r="W9339" t="s">
        <v>16837</v>
      </c>
      <c r="AD9339" t="s">
        <v>16838</v>
      </c>
      <c r="AE9339" t="s">
        <v>16839</v>
      </c>
      <c r="AF9339" t="s">
        <v>18978</v>
      </c>
    </row>
    <row r="9340" spans="1:32" hidden="1" x14ac:dyDescent="0.35">
      <c r="A9340">
        <v>9339</v>
      </c>
      <c r="B9340" t="s">
        <v>18979</v>
      </c>
      <c r="C9340" t="s">
        <v>11136</v>
      </c>
      <c r="D9340" t="s">
        <v>60</v>
      </c>
      <c r="E9340">
        <v>1465</v>
      </c>
      <c r="F9340">
        <v>2</v>
      </c>
      <c r="G9340">
        <v>2</v>
      </c>
      <c r="H9340">
        <v>1</v>
      </c>
      <c r="I9340">
        <v>0</v>
      </c>
      <c r="J9340">
        <v>0.99236641221374</v>
      </c>
      <c r="K9340">
        <v>1</v>
      </c>
      <c r="L9340">
        <v>0.99616858237547901</v>
      </c>
      <c r="M9340">
        <v>0.99236641221374</v>
      </c>
      <c r="N9340">
        <v>0.99236641221374</v>
      </c>
      <c r="O9340">
        <v>0.99236641221374</v>
      </c>
      <c r="P9340" t="s">
        <v>169</v>
      </c>
      <c r="Q9340" t="s">
        <v>170</v>
      </c>
      <c r="R9340" t="s">
        <v>12738</v>
      </c>
      <c r="S9340" t="s">
        <v>12739</v>
      </c>
      <c r="V9340" t="s">
        <v>15909</v>
      </c>
      <c r="W9340" t="s">
        <v>15910</v>
      </c>
      <c r="AF9340" t="s">
        <v>18980</v>
      </c>
    </row>
    <row r="9341" spans="1:32" hidden="1" x14ac:dyDescent="0.35">
      <c r="A9341">
        <v>9340</v>
      </c>
      <c r="B9341" t="s">
        <v>18979</v>
      </c>
      <c r="C9341" t="s">
        <v>11136</v>
      </c>
      <c r="D9341" t="s">
        <v>62</v>
      </c>
      <c r="E9341">
        <v>1500</v>
      </c>
      <c r="F9341">
        <v>2</v>
      </c>
      <c r="G9341">
        <v>2</v>
      </c>
      <c r="H9341">
        <v>1</v>
      </c>
      <c r="I9341">
        <v>0</v>
      </c>
      <c r="J9341">
        <v>0.99236641221374</v>
      </c>
      <c r="K9341">
        <v>1</v>
      </c>
      <c r="L9341">
        <v>0.99616858237547901</v>
      </c>
      <c r="M9341">
        <v>0.99236641221374</v>
      </c>
      <c r="N9341">
        <v>0.99236641221374</v>
      </c>
      <c r="O9341">
        <v>0.99236641221374</v>
      </c>
      <c r="P9341" t="s">
        <v>169</v>
      </c>
      <c r="Q9341" t="s">
        <v>170</v>
      </c>
      <c r="R9341" t="s">
        <v>12738</v>
      </c>
      <c r="S9341" t="s">
        <v>12739</v>
      </c>
      <c r="V9341" t="s">
        <v>15909</v>
      </c>
      <c r="W9341" t="s">
        <v>15910</v>
      </c>
      <c r="AF9341" t="s">
        <v>18981</v>
      </c>
    </row>
    <row r="9342" spans="1:32" hidden="1" x14ac:dyDescent="0.35">
      <c r="A9342">
        <v>9341</v>
      </c>
      <c r="B9342" t="s">
        <v>18982</v>
      </c>
      <c r="C9342" t="s">
        <v>11136</v>
      </c>
      <c r="D9342" t="s">
        <v>60</v>
      </c>
      <c r="E9342">
        <v>113</v>
      </c>
      <c r="F9342">
        <v>2</v>
      </c>
      <c r="G9342">
        <v>2</v>
      </c>
      <c r="H9342">
        <v>1</v>
      </c>
      <c r="I9342">
        <v>0</v>
      </c>
      <c r="J9342">
        <v>0.97184377838328795</v>
      </c>
      <c r="K9342">
        <v>1</v>
      </c>
      <c r="L9342">
        <v>0.98572086596038699</v>
      </c>
      <c r="M9342">
        <v>0.97002724795640305</v>
      </c>
      <c r="N9342">
        <v>0.97002724795640305</v>
      </c>
      <c r="O9342">
        <v>0.97002724795640305</v>
      </c>
      <c r="AF9342" t="s">
        <v>18983</v>
      </c>
    </row>
    <row r="9343" spans="1:32" hidden="1" x14ac:dyDescent="0.35">
      <c r="A9343">
        <v>9342</v>
      </c>
      <c r="B9343" t="s">
        <v>18982</v>
      </c>
      <c r="C9343" t="s">
        <v>11136</v>
      </c>
      <c r="D9343" t="s">
        <v>62</v>
      </c>
      <c r="E9343">
        <v>185</v>
      </c>
      <c r="F9343">
        <v>2</v>
      </c>
      <c r="G9343">
        <v>2</v>
      </c>
      <c r="H9343">
        <v>1</v>
      </c>
      <c r="I9343">
        <v>0</v>
      </c>
      <c r="J9343">
        <v>0.97184377838328795</v>
      </c>
      <c r="K9343">
        <v>1</v>
      </c>
      <c r="L9343">
        <v>0.98572086596038699</v>
      </c>
      <c r="M9343">
        <v>0.97002724795640305</v>
      </c>
      <c r="N9343">
        <v>0.97002724795640305</v>
      </c>
      <c r="O9343">
        <v>0.97002724795640305</v>
      </c>
      <c r="AF9343" t="s">
        <v>18984</v>
      </c>
    </row>
    <row r="9344" spans="1:32" hidden="1" x14ac:dyDescent="0.35">
      <c r="A9344">
        <v>9343</v>
      </c>
      <c r="B9344" t="s">
        <v>18985</v>
      </c>
      <c r="C9344" t="s">
        <v>11136</v>
      </c>
      <c r="D9344" t="s">
        <v>60</v>
      </c>
      <c r="E9344">
        <v>1268</v>
      </c>
      <c r="F9344">
        <v>2</v>
      </c>
      <c r="G9344">
        <v>2</v>
      </c>
      <c r="H9344">
        <v>1</v>
      </c>
      <c r="I9344">
        <v>0</v>
      </c>
      <c r="J9344">
        <v>0.99122807017543901</v>
      </c>
      <c r="K9344">
        <v>1</v>
      </c>
      <c r="L9344">
        <v>0.99559471365638796</v>
      </c>
      <c r="M9344">
        <v>0.99122807017543901</v>
      </c>
      <c r="N9344">
        <v>0.99122807017543901</v>
      </c>
      <c r="O9344">
        <v>0.99122807017543901</v>
      </c>
      <c r="AF9344" t="s">
        <v>18986</v>
      </c>
    </row>
    <row r="9345" spans="1:32" hidden="1" x14ac:dyDescent="0.35">
      <c r="A9345">
        <v>9344</v>
      </c>
      <c r="B9345" t="s">
        <v>18985</v>
      </c>
      <c r="C9345" t="s">
        <v>11136</v>
      </c>
      <c r="D9345" t="s">
        <v>62</v>
      </c>
      <c r="E9345">
        <v>1304</v>
      </c>
      <c r="F9345">
        <v>2</v>
      </c>
      <c r="G9345">
        <v>2</v>
      </c>
      <c r="H9345">
        <v>1</v>
      </c>
      <c r="I9345">
        <v>0</v>
      </c>
      <c r="J9345">
        <v>0.99122807017543901</v>
      </c>
      <c r="K9345">
        <v>1</v>
      </c>
      <c r="L9345">
        <v>0.99559471365638796</v>
      </c>
      <c r="M9345">
        <v>0.99122807017543901</v>
      </c>
      <c r="N9345">
        <v>0.99122807017543901</v>
      </c>
      <c r="O9345">
        <v>0.99122807017543901</v>
      </c>
      <c r="AF9345" t="s">
        <v>18987</v>
      </c>
    </row>
    <row r="9346" spans="1:32" hidden="1" x14ac:dyDescent="0.35">
      <c r="A9346">
        <v>9301</v>
      </c>
      <c r="B9346" t="s">
        <v>18908</v>
      </c>
      <c r="C9346" t="s">
        <v>11136</v>
      </c>
      <c r="D9346" t="s">
        <v>34</v>
      </c>
      <c r="E9346">
        <v>738</v>
      </c>
      <c r="F9346">
        <v>2</v>
      </c>
      <c r="G9346">
        <v>2</v>
      </c>
      <c r="H9346">
        <v>1</v>
      </c>
      <c r="I9346">
        <v>0</v>
      </c>
      <c r="J9346">
        <v>0.99202790234180405</v>
      </c>
      <c r="K9346">
        <v>1</v>
      </c>
      <c r="L9346">
        <v>0.99599799899950003</v>
      </c>
      <c r="M9346">
        <v>0.99103139013452901</v>
      </c>
      <c r="N9346">
        <v>0.99103139013452901</v>
      </c>
      <c r="O9346">
        <v>0.99103139013452901</v>
      </c>
      <c r="P9346" t="s">
        <v>169</v>
      </c>
      <c r="Q9346" t="s">
        <v>170</v>
      </c>
      <c r="R9346" t="s">
        <v>516</v>
      </c>
      <c r="S9346" t="s">
        <v>517</v>
      </c>
      <c r="T9346" t="s">
        <v>18909</v>
      </c>
      <c r="U9346" t="s">
        <v>18910</v>
      </c>
      <c r="V9346" t="s">
        <v>18911</v>
      </c>
      <c r="W9346" t="s">
        <v>18912</v>
      </c>
      <c r="AD9346" t="s">
        <v>439</v>
      </c>
      <c r="AE9346" t="s">
        <v>440</v>
      </c>
      <c r="AF9346" t="s">
        <v>18913</v>
      </c>
    </row>
    <row r="9347" spans="1:32" hidden="1" x14ac:dyDescent="0.35">
      <c r="A9347">
        <v>9302</v>
      </c>
      <c r="B9347" t="s">
        <v>18908</v>
      </c>
      <c r="C9347" t="s">
        <v>11136</v>
      </c>
      <c r="D9347" t="s">
        <v>45</v>
      </c>
      <c r="E9347">
        <v>2004</v>
      </c>
      <c r="F9347">
        <v>2</v>
      </c>
      <c r="G9347">
        <v>2</v>
      </c>
      <c r="H9347">
        <v>1</v>
      </c>
      <c r="I9347">
        <v>0</v>
      </c>
      <c r="J9347">
        <v>0.99202790234180405</v>
      </c>
      <c r="K9347">
        <v>1</v>
      </c>
      <c r="L9347">
        <v>0.99599799899950003</v>
      </c>
      <c r="M9347">
        <v>0.99103139013452901</v>
      </c>
      <c r="N9347">
        <v>0.99103139013452901</v>
      </c>
      <c r="O9347">
        <v>0.99103139013452901</v>
      </c>
      <c r="P9347" t="s">
        <v>169</v>
      </c>
      <c r="Q9347" t="s">
        <v>170</v>
      </c>
      <c r="R9347" t="s">
        <v>516</v>
      </c>
      <c r="S9347" t="s">
        <v>517</v>
      </c>
      <c r="T9347" t="s">
        <v>18909</v>
      </c>
      <c r="U9347" t="s">
        <v>18910</v>
      </c>
      <c r="V9347" t="s">
        <v>18911</v>
      </c>
      <c r="W9347" t="s">
        <v>18912</v>
      </c>
      <c r="AD9347" t="s">
        <v>439</v>
      </c>
      <c r="AE9347" t="s">
        <v>440</v>
      </c>
      <c r="AF9347" t="s">
        <v>18914</v>
      </c>
    </row>
    <row r="9348" spans="1:32" hidden="1" x14ac:dyDescent="0.35">
      <c r="A9348">
        <v>9347</v>
      </c>
      <c r="B9348" t="s">
        <v>18991</v>
      </c>
      <c r="C9348" t="s">
        <v>11136</v>
      </c>
      <c r="D9348" t="s">
        <v>34</v>
      </c>
      <c r="E9348">
        <v>781</v>
      </c>
      <c r="F9348">
        <v>1</v>
      </c>
      <c r="G9348">
        <v>2</v>
      </c>
      <c r="H9348">
        <v>2</v>
      </c>
      <c r="I9348">
        <v>0</v>
      </c>
      <c r="J9348">
        <v>0.65972222222222199</v>
      </c>
      <c r="K9348">
        <v>0.9700061842919</v>
      </c>
      <c r="L9348">
        <v>0.78532672427196304</v>
      </c>
      <c r="M9348">
        <v>0.54545454545454497</v>
      </c>
      <c r="N9348">
        <v>0.54545454545454497</v>
      </c>
      <c r="O9348">
        <v>0.54545454545454497</v>
      </c>
      <c r="AF9348" t="e">
        <f>-MIGKQAAYSVFREEANKIVKKGTPHASAEGMENSEYFFTPIAAVEAFDGDERFLNPEGTPLTLIRKSTGEVVHLHFQT--DEWGKIVETMTPVNYITA</f>
        <v>#NAME?</v>
      </c>
    </row>
    <row r="9349" spans="1:32" hidden="1" x14ac:dyDescent="0.35">
      <c r="A9349">
        <v>9348</v>
      </c>
      <c r="B9349" t="s">
        <v>18991</v>
      </c>
      <c r="C9349" t="s">
        <v>11136</v>
      </c>
      <c r="D9349" t="s">
        <v>34</v>
      </c>
      <c r="E9349">
        <v>794</v>
      </c>
      <c r="F9349">
        <v>1</v>
      </c>
      <c r="G9349">
        <v>2</v>
      </c>
      <c r="H9349">
        <v>2</v>
      </c>
      <c r="I9349">
        <v>0</v>
      </c>
      <c r="J9349">
        <v>0.65972222222222199</v>
      </c>
      <c r="K9349">
        <v>0.9700061842919</v>
      </c>
      <c r="L9349">
        <v>0.78532672427196304</v>
      </c>
      <c r="M9349">
        <v>0.54545454545454497</v>
      </c>
      <c r="N9349">
        <v>0.54545454545454497</v>
      </c>
      <c r="O9349">
        <v>0.54545454545454497</v>
      </c>
      <c r="AF9349" t="s">
        <v>18992</v>
      </c>
    </row>
    <row r="9350" spans="1:32" hidden="1" x14ac:dyDescent="0.35">
      <c r="A9350">
        <v>9349</v>
      </c>
      <c r="B9350" t="s">
        <v>18993</v>
      </c>
      <c r="C9350" t="s">
        <v>11136</v>
      </c>
      <c r="D9350" t="s">
        <v>34</v>
      </c>
      <c r="E9350">
        <v>848</v>
      </c>
      <c r="F9350">
        <v>2</v>
      </c>
      <c r="G9350">
        <v>2</v>
      </c>
      <c r="H9350">
        <v>1</v>
      </c>
      <c r="I9350">
        <v>0</v>
      </c>
      <c r="J9350">
        <v>0.99615384615384595</v>
      </c>
      <c r="K9350">
        <v>1</v>
      </c>
      <c r="L9350">
        <v>0.99807321772639701</v>
      </c>
      <c r="M9350">
        <v>0.99615384615384595</v>
      </c>
      <c r="N9350">
        <v>0.99615384615384595</v>
      </c>
      <c r="O9350">
        <v>0.99615384615384595</v>
      </c>
      <c r="P9350" t="s">
        <v>12619</v>
      </c>
      <c r="Q9350" t="s">
        <v>12620</v>
      </c>
      <c r="R9350" t="s">
        <v>7230</v>
      </c>
      <c r="S9350" t="s">
        <v>7231</v>
      </c>
      <c r="T9350" t="s">
        <v>18994</v>
      </c>
      <c r="U9350" t="s">
        <v>18995</v>
      </c>
      <c r="V9350" t="s">
        <v>12623</v>
      </c>
      <c r="W9350" t="s">
        <v>12624</v>
      </c>
      <c r="X9350" t="s">
        <v>12623</v>
      </c>
      <c r="Y9350" t="s">
        <v>12625</v>
      </c>
      <c r="Z9350" t="s">
        <v>1154</v>
      </c>
      <c r="AA9350" t="s">
        <v>1155</v>
      </c>
      <c r="AB9350" t="s">
        <v>1154</v>
      </c>
      <c r="AC9350" t="s">
        <v>1156</v>
      </c>
      <c r="AD9350" t="s">
        <v>219</v>
      </c>
      <c r="AE9350" t="s">
        <v>18996</v>
      </c>
      <c r="AF9350" t="s">
        <v>18997</v>
      </c>
    </row>
    <row r="9351" spans="1:32" hidden="1" x14ac:dyDescent="0.35">
      <c r="A9351">
        <v>9350</v>
      </c>
      <c r="B9351" t="s">
        <v>18993</v>
      </c>
      <c r="C9351" t="s">
        <v>12532</v>
      </c>
      <c r="D9351" t="s">
        <v>45</v>
      </c>
      <c r="E9351">
        <v>2105</v>
      </c>
      <c r="F9351">
        <v>2</v>
      </c>
      <c r="G9351">
        <v>2</v>
      </c>
      <c r="H9351">
        <v>1</v>
      </c>
      <c r="I9351">
        <v>0</v>
      </c>
      <c r="J9351">
        <v>0.99615384615384595</v>
      </c>
      <c r="K9351">
        <v>1</v>
      </c>
      <c r="L9351">
        <v>0.99807321772639701</v>
      </c>
      <c r="M9351">
        <v>0.99615384615384595</v>
      </c>
      <c r="N9351">
        <v>0.99615384615384595</v>
      </c>
      <c r="O9351">
        <v>0.99615384615384595</v>
      </c>
      <c r="P9351" t="s">
        <v>12619</v>
      </c>
      <c r="Q9351" t="s">
        <v>12620</v>
      </c>
      <c r="R9351" t="s">
        <v>7230</v>
      </c>
      <c r="S9351" t="s">
        <v>7231</v>
      </c>
      <c r="T9351" t="s">
        <v>18994</v>
      </c>
      <c r="U9351" t="s">
        <v>18995</v>
      </c>
      <c r="V9351" t="s">
        <v>12623</v>
      </c>
      <c r="W9351" t="s">
        <v>12624</v>
      </c>
      <c r="X9351" t="s">
        <v>12623</v>
      </c>
      <c r="Y9351" t="s">
        <v>12625</v>
      </c>
      <c r="Z9351" t="s">
        <v>1154</v>
      </c>
      <c r="AA9351" t="s">
        <v>1155</v>
      </c>
      <c r="AB9351" t="s">
        <v>1154</v>
      </c>
      <c r="AC9351" t="s">
        <v>1156</v>
      </c>
      <c r="AD9351" t="s">
        <v>219</v>
      </c>
      <c r="AE9351" t="s">
        <v>18996</v>
      </c>
      <c r="AF9351" t="s">
        <v>18998</v>
      </c>
    </row>
    <row r="9352" spans="1:32" hidden="1" x14ac:dyDescent="0.35">
      <c r="A9352">
        <v>9351</v>
      </c>
      <c r="B9352" t="s">
        <v>18999</v>
      </c>
      <c r="C9352" t="s">
        <v>12532</v>
      </c>
      <c r="D9352" t="s">
        <v>34</v>
      </c>
      <c r="E9352">
        <v>990</v>
      </c>
      <c r="F9352">
        <v>2</v>
      </c>
      <c r="G9352">
        <v>2</v>
      </c>
      <c r="H9352">
        <v>1</v>
      </c>
      <c r="I9352">
        <v>0</v>
      </c>
      <c r="J9352">
        <v>0.99468085106382997</v>
      </c>
      <c r="K9352">
        <v>0.93293433820994198</v>
      </c>
      <c r="L9352">
        <v>0.96281864417861196</v>
      </c>
      <c r="M9352">
        <v>0.92574257425742601</v>
      </c>
      <c r="N9352">
        <v>0.92574257425742601</v>
      </c>
      <c r="O9352">
        <v>0.92574257425742601</v>
      </c>
      <c r="AF9352" t="s">
        <v>19000</v>
      </c>
    </row>
    <row r="9353" spans="1:32" hidden="1" x14ac:dyDescent="0.35">
      <c r="A9353">
        <v>9352</v>
      </c>
      <c r="B9353" t="s">
        <v>18999</v>
      </c>
      <c r="C9353" t="s">
        <v>12532</v>
      </c>
      <c r="D9353" t="s">
        <v>45</v>
      </c>
      <c r="E9353">
        <v>2245</v>
      </c>
      <c r="F9353">
        <v>2</v>
      </c>
      <c r="G9353">
        <v>2</v>
      </c>
      <c r="H9353">
        <v>1</v>
      </c>
      <c r="I9353">
        <v>0</v>
      </c>
      <c r="J9353">
        <v>0.99468085106382997</v>
      </c>
      <c r="K9353">
        <v>0.93293433820994198</v>
      </c>
      <c r="L9353">
        <v>0.96281864417861196</v>
      </c>
      <c r="M9353">
        <v>0.92574257425742601</v>
      </c>
      <c r="N9353">
        <v>0.92574257425742601</v>
      </c>
      <c r="O9353">
        <v>0.92574257425742601</v>
      </c>
      <c r="AF9353" t="e">
        <f>--------------MKIMDVNSYSRYTHNVPLLTPIQSAFAPPEDPRFPVRRLSYFDKSNSVIVTYYLCLLSVLILDSVSRTLTVLRTPYVFLPFLGVVIVLMYKTKFANTGSLIIGNTGVNVRTKANEGFFIKWGEVSEFRVVWTLTGRMVEFDYRTVMPGDTSQVYLTRRLSHTQEFRVVQLAKLLNSYRSHYSVGHVAL</f>
        <v>#NAME?</v>
      </c>
    </row>
    <row r="9354" spans="1:32" hidden="1" x14ac:dyDescent="0.35">
      <c r="A9354">
        <v>9353</v>
      </c>
      <c r="B9354" t="s">
        <v>19001</v>
      </c>
      <c r="C9354" t="s">
        <v>12532</v>
      </c>
      <c r="D9354" t="s">
        <v>60</v>
      </c>
      <c r="E9354">
        <v>1659</v>
      </c>
      <c r="F9354">
        <v>2</v>
      </c>
      <c r="G9354">
        <v>2</v>
      </c>
      <c r="H9354">
        <v>1</v>
      </c>
      <c r="I9354">
        <v>0</v>
      </c>
      <c r="J9354">
        <v>0.99747474747474796</v>
      </c>
      <c r="K9354">
        <v>1</v>
      </c>
      <c r="L9354">
        <v>0.99873577749683995</v>
      </c>
      <c r="M9354">
        <v>0.99747474747474796</v>
      </c>
      <c r="N9354">
        <v>0.99747474747474796</v>
      </c>
      <c r="O9354">
        <v>0.99747474747474796</v>
      </c>
      <c r="P9354" t="s">
        <v>19002</v>
      </c>
      <c r="Q9354" t="s">
        <v>19003</v>
      </c>
      <c r="R9354" t="s">
        <v>19004</v>
      </c>
      <c r="S9354" t="s">
        <v>19005</v>
      </c>
      <c r="V9354" t="s">
        <v>19006</v>
      </c>
      <c r="W9354" t="s">
        <v>19007</v>
      </c>
      <c r="AF9354" t="s">
        <v>19008</v>
      </c>
    </row>
    <row r="9355" spans="1:32" hidden="1" x14ac:dyDescent="0.35">
      <c r="A9355">
        <v>9354</v>
      </c>
      <c r="B9355" t="s">
        <v>19001</v>
      </c>
      <c r="C9355" t="s">
        <v>12532</v>
      </c>
      <c r="D9355" t="s">
        <v>62</v>
      </c>
      <c r="E9355">
        <v>1694</v>
      </c>
      <c r="F9355">
        <v>2</v>
      </c>
      <c r="G9355">
        <v>2</v>
      </c>
      <c r="H9355">
        <v>1</v>
      </c>
      <c r="I9355">
        <v>0</v>
      </c>
      <c r="J9355">
        <v>0.99747474747474796</v>
      </c>
      <c r="K9355">
        <v>1</v>
      </c>
      <c r="L9355">
        <v>0.99873577749683995</v>
      </c>
      <c r="M9355">
        <v>0.99747474747474796</v>
      </c>
      <c r="N9355">
        <v>0.99747474747474796</v>
      </c>
      <c r="O9355">
        <v>0.99747474747474796</v>
      </c>
      <c r="P9355" t="s">
        <v>19009</v>
      </c>
      <c r="Q9355" t="s">
        <v>19003</v>
      </c>
      <c r="R9355" t="s">
        <v>19004</v>
      </c>
      <c r="S9355" t="s">
        <v>19005</v>
      </c>
      <c r="V9355" t="s">
        <v>19006</v>
      </c>
      <c r="W9355" t="s">
        <v>19007</v>
      </c>
      <c r="AF9355" t="s">
        <v>19010</v>
      </c>
    </row>
    <row r="9356" spans="1:32" hidden="1" x14ac:dyDescent="0.35">
      <c r="A9356">
        <v>9355</v>
      </c>
      <c r="B9356" t="s">
        <v>19011</v>
      </c>
      <c r="C9356" t="s">
        <v>12532</v>
      </c>
      <c r="D9356" t="s">
        <v>60</v>
      </c>
      <c r="E9356">
        <v>171</v>
      </c>
      <c r="F9356">
        <v>2</v>
      </c>
      <c r="G9356">
        <v>2</v>
      </c>
      <c r="H9356">
        <v>1</v>
      </c>
      <c r="I9356">
        <v>0</v>
      </c>
      <c r="J9356">
        <v>0.99346405228758194</v>
      </c>
      <c r="K9356">
        <v>1</v>
      </c>
      <c r="L9356">
        <v>0.99672131147540999</v>
      </c>
      <c r="M9356">
        <v>0.99346405228758194</v>
      </c>
      <c r="N9356">
        <v>0.99346405228758194</v>
      </c>
      <c r="O9356">
        <v>0.99346405228758194</v>
      </c>
      <c r="AF9356" t="s">
        <v>19012</v>
      </c>
    </row>
    <row r="9357" spans="1:32" hidden="1" x14ac:dyDescent="0.35">
      <c r="A9357">
        <v>9356</v>
      </c>
      <c r="B9357" t="s">
        <v>19011</v>
      </c>
      <c r="C9357" t="s">
        <v>15816</v>
      </c>
      <c r="D9357" t="s">
        <v>62</v>
      </c>
      <c r="E9357">
        <v>247</v>
      </c>
      <c r="F9357">
        <v>2</v>
      </c>
      <c r="G9357">
        <v>2</v>
      </c>
      <c r="H9357">
        <v>1</v>
      </c>
      <c r="I9357">
        <v>0</v>
      </c>
      <c r="J9357">
        <v>0.99346405228758194</v>
      </c>
      <c r="K9357">
        <v>1</v>
      </c>
      <c r="L9357">
        <v>0.99672131147540999</v>
      </c>
      <c r="M9357">
        <v>0.99346405228758194</v>
      </c>
      <c r="N9357">
        <v>0.99346405228758194</v>
      </c>
      <c r="O9357">
        <v>0.99346405228758194</v>
      </c>
      <c r="AF9357" t="s">
        <v>19013</v>
      </c>
    </row>
    <row r="9358" spans="1:32" hidden="1" x14ac:dyDescent="0.35">
      <c r="A9358">
        <v>9357</v>
      </c>
      <c r="B9358" t="s">
        <v>19014</v>
      </c>
      <c r="C9358" t="s">
        <v>15816</v>
      </c>
      <c r="D9358" t="s">
        <v>34</v>
      </c>
      <c r="E9358">
        <v>1963</v>
      </c>
      <c r="F9358">
        <v>2</v>
      </c>
      <c r="G9358">
        <v>2</v>
      </c>
      <c r="H9358">
        <v>1</v>
      </c>
      <c r="I9358">
        <v>0</v>
      </c>
      <c r="J9358">
        <v>0.995798319327731</v>
      </c>
      <c r="K9358">
        <v>0.953060240963854</v>
      </c>
      <c r="L9358">
        <v>0.97396066139134496</v>
      </c>
      <c r="M9358">
        <v>0.94799999999999995</v>
      </c>
      <c r="N9358">
        <v>0.94799999999999995</v>
      </c>
      <c r="O9358">
        <v>0.94799999999999995</v>
      </c>
      <c r="AF9358" t="s">
        <v>19015</v>
      </c>
    </row>
    <row r="9359" spans="1:32" hidden="1" x14ac:dyDescent="0.35">
      <c r="A9359">
        <v>9358</v>
      </c>
      <c r="B9359" t="s">
        <v>19014</v>
      </c>
      <c r="C9359" t="s">
        <v>15816</v>
      </c>
      <c r="D9359" t="s">
        <v>45</v>
      </c>
      <c r="E9359">
        <v>910</v>
      </c>
      <c r="F9359">
        <v>2</v>
      </c>
      <c r="G9359">
        <v>2</v>
      </c>
      <c r="H9359">
        <v>1</v>
      </c>
      <c r="I9359">
        <v>0</v>
      </c>
      <c r="J9359">
        <v>0.995798319327731</v>
      </c>
      <c r="K9359">
        <v>0.953060240963854</v>
      </c>
      <c r="L9359">
        <v>0.97396066139134496</v>
      </c>
      <c r="M9359">
        <v>0.94799999999999995</v>
      </c>
      <c r="N9359">
        <v>0.94799999999999995</v>
      </c>
      <c r="O9359">
        <v>0.94799999999999995</v>
      </c>
      <c r="AF9359" t="e">
        <f>------------MAAFTLAACANPSPNEALSKLLAVAPESEKPALTAEIVRLCGHHKNSEIPKSCDPAAATANIDLPDAGSSGVLQVLADVPQESLPVVVNLYLSYVASEQTTPDLPNVTLDPARSEGDARAAAITAAKAALEAEYAFDYAVGIIEAFGDEQVDNAADGVDDRHEAVAEKLREALGDQAPARLPAYTFNQPLPTDSATAQSFLTELTKELDALHVHDAEAATTPAWRLLSLSIAGYLRAK</f>
        <v>#NAME?</v>
      </c>
    </row>
    <row r="9360" spans="1:32" hidden="1" x14ac:dyDescent="0.35">
      <c r="A9360">
        <v>9385</v>
      </c>
      <c r="B9360" t="s">
        <v>19065</v>
      </c>
      <c r="C9360" t="s">
        <v>15816</v>
      </c>
      <c r="D9360" t="s">
        <v>60</v>
      </c>
      <c r="E9360">
        <v>117</v>
      </c>
      <c r="F9360">
        <v>2</v>
      </c>
      <c r="G9360">
        <v>2</v>
      </c>
      <c r="H9360">
        <v>1</v>
      </c>
      <c r="I9360">
        <v>0</v>
      </c>
      <c r="J9360">
        <v>0.99759036144578295</v>
      </c>
      <c r="K9360">
        <v>1</v>
      </c>
      <c r="L9360">
        <v>0.99879372738238803</v>
      </c>
      <c r="M9360">
        <v>0.99759036144578295</v>
      </c>
      <c r="N9360">
        <v>0.99759036144578295</v>
      </c>
      <c r="O9360">
        <v>0.99759036144578295</v>
      </c>
      <c r="P9360" t="s">
        <v>4806</v>
      </c>
      <c r="Q9360" t="s">
        <v>4807</v>
      </c>
      <c r="R9360" t="s">
        <v>235</v>
      </c>
      <c r="S9360" t="s">
        <v>236</v>
      </c>
      <c r="V9360" t="s">
        <v>6075</v>
      </c>
      <c r="W9360" t="s">
        <v>6076</v>
      </c>
      <c r="AF9360" t="s">
        <v>19066</v>
      </c>
    </row>
    <row r="9361" spans="1:32" hidden="1" x14ac:dyDescent="0.35">
      <c r="A9361">
        <v>9386</v>
      </c>
      <c r="B9361" t="s">
        <v>19065</v>
      </c>
      <c r="C9361" t="s">
        <v>15816</v>
      </c>
      <c r="D9361" t="s">
        <v>62</v>
      </c>
      <c r="E9361">
        <v>189</v>
      </c>
      <c r="F9361">
        <v>2</v>
      </c>
      <c r="G9361">
        <v>2</v>
      </c>
      <c r="H9361">
        <v>1</v>
      </c>
      <c r="I9361">
        <v>0</v>
      </c>
      <c r="J9361">
        <v>0.99759036144578295</v>
      </c>
      <c r="K9361">
        <v>1</v>
      </c>
      <c r="L9361">
        <v>0.99879372738238803</v>
      </c>
      <c r="M9361">
        <v>0.99759036144578295</v>
      </c>
      <c r="N9361">
        <v>0.99759036144578295</v>
      </c>
      <c r="O9361">
        <v>0.99759036144578295</v>
      </c>
      <c r="P9361" t="s">
        <v>4806</v>
      </c>
      <c r="Q9361" t="s">
        <v>4807</v>
      </c>
      <c r="R9361" t="s">
        <v>235</v>
      </c>
      <c r="S9361" t="s">
        <v>236</v>
      </c>
      <c r="V9361" t="s">
        <v>6075</v>
      </c>
      <c r="W9361" t="s">
        <v>6076</v>
      </c>
      <c r="AF9361" t="s">
        <v>19067</v>
      </c>
    </row>
    <row r="9362" spans="1:32" hidden="1" x14ac:dyDescent="0.35">
      <c r="A9362">
        <v>9361</v>
      </c>
      <c r="B9362" t="s">
        <v>19023</v>
      </c>
      <c r="C9362" t="s">
        <v>15816</v>
      </c>
      <c r="D9362" t="s">
        <v>34</v>
      </c>
      <c r="E9362">
        <v>718</v>
      </c>
      <c r="F9362">
        <v>2</v>
      </c>
      <c r="G9362">
        <v>2</v>
      </c>
      <c r="H9362">
        <v>1</v>
      </c>
      <c r="I9362">
        <v>0</v>
      </c>
      <c r="J9362">
        <v>0.98200757575757602</v>
      </c>
      <c r="K9362">
        <v>1</v>
      </c>
      <c r="L9362">
        <v>0.99092212135690405</v>
      </c>
      <c r="M9362">
        <v>0.98011363636363602</v>
      </c>
      <c r="N9362">
        <v>0.98011363636363602</v>
      </c>
      <c r="O9362">
        <v>0.98011363636363602</v>
      </c>
      <c r="P9362" t="s">
        <v>10047</v>
      </c>
      <c r="Q9362" t="s">
        <v>10048</v>
      </c>
      <c r="R9362" t="s">
        <v>12242</v>
      </c>
      <c r="S9362" t="s">
        <v>12243</v>
      </c>
      <c r="V9362" t="s">
        <v>12246</v>
      </c>
      <c r="W9362" t="s">
        <v>12247</v>
      </c>
      <c r="X9362" t="s">
        <v>12246</v>
      </c>
      <c r="Y9362" t="s">
        <v>875</v>
      </c>
      <c r="AF9362" t="s">
        <v>19024</v>
      </c>
    </row>
    <row r="9363" spans="1:32" hidden="1" x14ac:dyDescent="0.35">
      <c r="A9363">
        <v>9362</v>
      </c>
      <c r="B9363" t="s">
        <v>19023</v>
      </c>
      <c r="C9363" t="s">
        <v>15816</v>
      </c>
      <c r="D9363" t="s">
        <v>45</v>
      </c>
      <c r="E9363">
        <v>1984</v>
      </c>
      <c r="F9363">
        <v>2</v>
      </c>
      <c r="G9363">
        <v>2</v>
      </c>
      <c r="H9363">
        <v>1</v>
      </c>
      <c r="I9363">
        <v>0</v>
      </c>
      <c r="J9363">
        <v>0.98200757575757602</v>
      </c>
      <c r="K9363">
        <v>1</v>
      </c>
      <c r="L9363">
        <v>0.99092212135690405</v>
      </c>
      <c r="M9363">
        <v>0.98011363636363602</v>
      </c>
      <c r="N9363">
        <v>0.98011363636363602</v>
      </c>
      <c r="O9363">
        <v>0.98011363636363602</v>
      </c>
      <c r="P9363" t="s">
        <v>10047</v>
      </c>
      <c r="Q9363" t="s">
        <v>10048</v>
      </c>
      <c r="R9363" t="s">
        <v>12242</v>
      </c>
      <c r="S9363" t="s">
        <v>12243</v>
      </c>
      <c r="T9363" t="s">
        <v>12244</v>
      </c>
      <c r="U9363" t="s">
        <v>12245</v>
      </c>
      <c r="V9363" t="s">
        <v>12246</v>
      </c>
      <c r="W9363" t="s">
        <v>12247</v>
      </c>
      <c r="X9363" t="s">
        <v>12246</v>
      </c>
      <c r="Y9363" t="s">
        <v>875</v>
      </c>
      <c r="AD9363" t="s">
        <v>245</v>
      </c>
      <c r="AE9363" t="s">
        <v>12248</v>
      </c>
      <c r="AF9363" t="s">
        <v>19025</v>
      </c>
    </row>
    <row r="9364" spans="1:32" hidden="1" x14ac:dyDescent="0.35">
      <c r="A9364">
        <v>9363</v>
      </c>
      <c r="B9364" t="s">
        <v>19026</v>
      </c>
      <c r="C9364" t="s">
        <v>15816</v>
      </c>
      <c r="D9364" t="s">
        <v>34</v>
      </c>
      <c r="E9364">
        <v>664</v>
      </c>
      <c r="F9364">
        <v>2</v>
      </c>
      <c r="G9364">
        <v>2</v>
      </c>
      <c r="H9364">
        <v>1</v>
      </c>
      <c r="I9364">
        <v>0</v>
      </c>
      <c r="J9364">
        <v>0.99783080260303703</v>
      </c>
      <c r="K9364">
        <v>1</v>
      </c>
      <c r="L9364">
        <v>0.998914223669924</v>
      </c>
      <c r="M9364">
        <v>0.99783080260303703</v>
      </c>
      <c r="N9364">
        <v>0.99783080260303703</v>
      </c>
      <c r="O9364">
        <v>0.99783080260303703</v>
      </c>
      <c r="P9364" t="s">
        <v>18411</v>
      </c>
      <c r="Q9364" t="s">
        <v>7176</v>
      </c>
      <c r="AF9364" t="s">
        <v>19027</v>
      </c>
    </row>
    <row r="9365" spans="1:32" hidden="1" x14ac:dyDescent="0.35">
      <c r="A9365">
        <v>9364</v>
      </c>
      <c r="B9365" t="s">
        <v>19026</v>
      </c>
      <c r="C9365" t="s">
        <v>15816</v>
      </c>
      <c r="D9365" t="s">
        <v>45</v>
      </c>
      <c r="E9365">
        <v>1930</v>
      </c>
      <c r="F9365">
        <v>2</v>
      </c>
      <c r="G9365">
        <v>2</v>
      </c>
      <c r="H9365">
        <v>1</v>
      </c>
      <c r="I9365">
        <v>0</v>
      </c>
      <c r="J9365">
        <v>0.99783080260303703</v>
      </c>
      <c r="K9365">
        <v>1</v>
      </c>
      <c r="L9365">
        <v>0.998914223669924</v>
      </c>
      <c r="M9365">
        <v>0.99783080260303703</v>
      </c>
      <c r="N9365">
        <v>0.99783080260303703</v>
      </c>
      <c r="O9365">
        <v>0.99783080260303703</v>
      </c>
      <c r="P9365" t="s">
        <v>18411</v>
      </c>
      <c r="Q9365" t="s">
        <v>7176</v>
      </c>
      <c r="AF9365" t="s">
        <v>19028</v>
      </c>
    </row>
    <row r="9366" spans="1:32" hidden="1" x14ac:dyDescent="0.35">
      <c r="A9366">
        <v>9359</v>
      </c>
      <c r="B9366" t="s">
        <v>19016</v>
      </c>
      <c r="C9366" t="s">
        <v>15816</v>
      </c>
      <c r="D9366" t="s">
        <v>60</v>
      </c>
      <c r="E9366">
        <v>2007</v>
      </c>
      <c r="F9366">
        <v>2</v>
      </c>
      <c r="G9366">
        <v>2</v>
      </c>
      <c r="H9366">
        <v>1</v>
      </c>
      <c r="I9366">
        <v>0</v>
      </c>
      <c r="J9366">
        <v>0.98361581920903995</v>
      </c>
      <c r="K9366">
        <v>0.99162493280139796</v>
      </c>
      <c r="L9366">
        <v>0.98760413851607498</v>
      </c>
      <c r="M9366">
        <v>0.97310924369747898</v>
      </c>
      <c r="N9366">
        <v>0.97310924369747898</v>
      </c>
      <c r="O9366">
        <v>0.97310924369747898</v>
      </c>
      <c r="P9366" t="s">
        <v>19017</v>
      </c>
      <c r="Q9366" t="s">
        <v>19018</v>
      </c>
      <c r="R9366" t="s">
        <v>319</v>
      </c>
      <c r="S9366" t="s">
        <v>320</v>
      </c>
      <c r="V9366" t="s">
        <v>19019</v>
      </c>
      <c r="W9366" t="s">
        <v>19020</v>
      </c>
      <c r="AF9366" t="s">
        <v>19021</v>
      </c>
    </row>
    <row r="9367" spans="1:32" hidden="1" x14ac:dyDescent="0.35">
      <c r="A9367">
        <v>9360</v>
      </c>
      <c r="B9367" t="s">
        <v>19016</v>
      </c>
      <c r="C9367" t="s">
        <v>15816</v>
      </c>
      <c r="D9367" t="s">
        <v>62</v>
      </c>
      <c r="E9367">
        <v>2047</v>
      </c>
      <c r="F9367">
        <v>2</v>
      </c>
      <c r="G9367">
        <v>2</v>
      </c>
      <c r="H9367">
        <v>1</v>
      </c>
      <c r="I9367">
        <v>0</v>
      </c>
      <c r="J9367">
        <v>0.98361581920903995</v>
      </c>
      <c r="K9367">
        <v>0.99162493280139796</v>
      </c>
      <c r="L9367">
        <v>0.98760413851607498</v>
      </c>
      <c r="M9367">
        <v>0.97310924369747898</v>
      </c>
      <c r="N9367">
        <v>0.97310924369747898</v>
      </c>
      <c r="O9367">
        <v>0.97310924369747898</v>
      </c>
      <c r="P9367" t="s">
        <v>19017</v>
      </c>
      <c r="Q9367" t="s">
        <v>19018</v>
      </c>
      <c r="R9367" t="s">
        <v>319</v>
      </c>
      <c r="S9367" t="s">
        <v>320</v>
      </c>
      <c r="V9367" t="s">
        <v>19019</v>
      </c>
      <c r="W9367" t="s">
        <v>19020</v>
      </c>
      <c r="AF9367" t="s">
        <v>19022</v>
      </c>
    </row>
    <row r="9368" spans="1:32" hidden="1" x14ac:dyDescent="0.35">
      <c r="A9368">
        <v>9367</v>
      </c>
      <c r="B9368" t="s">
        <v>19032</v>
      </c>
      <c r="C9368" t="s">
        <v>15816</v>
      </c>
      <c r="D9368" t="s">
        <v>60</v>
      </c>
      <c r="E9368">
        <v>2069</v>
      </c>
      <c r="F9368">
        <v>2</v>
      </c>
      <c r="G9368">
        <v>2</v>
      </c>
      <c r="H9368">
        <v>1</v>
      </c>
      <c r="I9368">
        <v>0</v>
      </c>
      <c r="J9368">
        <v>0.97341513292433501</v>
      </c>
      <c r="K9368">
        <v>1</v>
      </c>
      <c r="L9368">
        <v>0.98652849740932602</v>
      </c>
      <c r="M9368">
        <v>0.96932515337423297</v>
      </c>
      <c r="N9368">
        <v>0.96932515337423297</v>
      </c>
      <c r="O9368">
        <v>0.96932515337423297</v>
      </c>
      <c r="AF9368" t="s">
        <v>19033</v>
      </c>
    </row>
    <row r="9369" spans="1:32" hidden="1" x14ac:dyDescent="0.35">
      <c r="A9369">
        <v>9368</v>
      </c>
      <c r="B9369" t="s">
        <v>19032</v>
      </c>
      <c r="C9369" t="s">
        <v>15816</v>
      </c>
      <c r="D9369" t="s">
        <v>62</v>
      </c>
      <c r="E9369">
        <v>2107</v>
      </c>
      <c r="F9369">
        <v>2</v>
      </c>
      <c r="G9369">
        <v>2</v>
      </c>
      <c r="H9369">
        <v>1</v>
      </c>
      <c r="I9369">
        <v>0</v>
      </c>
      <c r="J9369">
        <v>0.97341513292433501</v>
      </c>
      <c r="K9369">
        <v>1</v>
      </c>
      <c r="L9369">
        <v>0.98652849740932602</v>
      </c>
      <c r="M9369">
        <v>0.96932515337423297</v>
      </c>
      <c r="N9369">
        <v>0.96932515337423297</v>
      </c>
      <c r="O9369">
        <v>0.96932515337423297</v>
      </c>
      <c r="AF9369" t="s">
        <v>19034</v>
      </c>
    </row>
    <row r="9370" spans="1:32" hidden="1" x14ac:dyDescent="0.35">
      <c r="A9370">
        <v>9369</v>
      </c>
      <c r="B9370" t="s">
        <v>19035</v>
      </c>
      <c r="C9370" t="s">
        <v>15816</v>
      </c>
      <c r="D9370" t="s">
        <v>60</v>
      </c>
      <c r="E9370">
        <v>2049</v>
      </c>
      <c r="F9370">
        <v>2</v>
      </c>
      <c r="G9370">
        <v>2</v>
      </c>
      <c r="H9370">
        <v>1</v>
      </c>
      <c r="I9370">
        <v>0</v>
      </c>
      <c r="J9370">
        <v>0.98373983739837401</v>
      </c>
      <c r="K9370">
        <v>1</v>
      </c>
      <c r="L9370">
        <v>0.99180327868852503</v>
      </c>
      <c r="M9370">
        <v>0.977827050997783</v>
      </c>
      <c r="N9370">
        <v>0.977827050997783</v>
      </c>
      <c r="O9370">
        <v>0.977827050997783</v>
      </c>
      <c r="P9370" t="s">
        <v>19036</v>
      </c>
      <c r="Q9370" t="s">
        <v>1382</v>
      </c>
      <c r="AF9370" t="s">
        <v>19037</v>
      </c>
    </row>
    <row r="9371" spans="1:32" hidden="1" x14ac:dyDescent="0.35">
      <c r="A9371">
        <v>9370</v>
      </c>
      <c r="B9371" t="s">
        <v>19035</v>
      </c>
      <c r="C9371" t="s">
        <v>15816</v>
      </c>
      <c r="D9371" t="s">
        <v>62</v>
      </c>
      <c r="E9371">
        <v>2086</v>
      </c>
      <c r="F9371">
        <v>2</v>
      </c>
      <c r="G9371">
        <v>2</v>
      </c>
      <c r="H9371">
        <v>1</v>
      </c>
      <c r="I9371">
        <v>0</v>
      </c>
      <c r="J9371">
        <v>0.98373983739837401</v>
      </c>
      <c r="K9371">
        <v>1</v>
      </c>
      <c r="L9371">
        <v>0.99180327868852503</v>
      </c>
      <c r="M9371">
        <v>0.977827050997783</v>
      </c>
      <c r="N9371">
        <v>0.977827050997783</v>
      </c>
      <c r="O9371">
        <v>0.977827050997783</v>
      </c>
      <c r="P9371" t="s">
        <v>19036</v>
      </c>
      <c r="Q9371" t="s">
        <v>1382</v>
      </c>
      <c r="AF9371" t="s">
        <v>19038</v>
      </c>
    </row>
    <row r="9372" spans="1:32" hidden="1" x14ac:dyDescent="0.35">
      <c r="A9372">
        <v>9379</v>
      </c>
      <c r="B9372" t="s">
        <v>19056</v>
      </c>
      <c r="C9372" t="s">
        <v>15816</v>
      </c>
      <c r="D9372" t="s">
        <v>60</v>
      </c>
      <c r="E9372">
        <v>359</v>
      </c>
      <c r="F9372">
        <v>2</v>
      </c>
      <c r="G9372">
        <v>2</v>
      </c>
      <c r="H9372">
        <v>1</v>
      </c>
      <c r="I9372">
        <v>0</v>
      </c>
      <c r="J9372">
        <v>0.99413735343383602</v>
      </c>
      <c r="K9372">
        <v>1</v>
      </c>
      <c r="L9372">
        <v>0.99706005879882398</v>
      </c>
      <c r="M9372">
        <v>0.99246231155778897</v>
      </c>
      <c r="N9372">
        <v>0.99246231155778897</v>
      </c>
      <c r="O9372">
        <v>0.99246231155778897</v>
      </c>
      <c r="P9372" t="s">
        <v>4358</v>
      </c>
      <c r="Q9372" t="s">
        <v>4359</v>
      </c>
      <c r="R9372" t="s">
        <v>319</v>
      </c>
      <c r="S9372" t="s">
        <v>320</v>
      </c>
      <c r="V9372" t="s">
        <v>4360</v>
      </c>
      <c r="W9372" t="s">
        <v>4361</v>
      </c>
      <c r="AF9372" t="s">
        <v>19057</v>
      </c>
    </row>
    <row r="9373" spans="1:32" hidden="1" x14ac:dyDescent="0.35">
      <c r="A9373">
        <v>9380</v>
      </c>
      <c r="B9373" t="s">
        <v>19056</v>
      </c>
      <c r="C9373" t="s">
        <v>15816</v>
      </c>
      <c r="D9373" t="s">
        <v>62</v>
      </c>
      <c r="E9373">
        <v>439</v>
      </c>
      <c r="F9373">
        <v>2</v>
      </c>
      <c r="G9373">
        <v>2</v>
      </c>
      <c r="H9373">
        <v>1</v>
      </c>
      <c r="I9373">
        <v>0</v>
      </c>
      <c r="J9373">
        <v>0.99413735343383602</v>
      </c>
      <c r="K9373">
        <v>1</v>
      </c>
      <c r="L9373">
        <v>0.99706005879882398</v>
      </c>
      <c r="M9373">
        <v>0.99246231155778897</v>
      </c>
      <c r="N9373">
        <v>0.99246231155778897</v>
      </c>
      <c r="O9373">
        <v>0.99246231155778897</v>
      </c>
      <c r="P9373" t="s">
        <v>4358</v>
      </c>
      <c r="Q9373" t="s">
        <v>4359</v>
      </c>
      <c r="R9373" t="s">
        <v>319</v>
      </c>
      <c r="S9373" t="s">
        <v>320</v>
      </c>
      <c r="V9373" t="s">
        <v>4360</v>
      </c>
      <c r="W9373" t="s">
        <v>4361</v>
      </c>
      <c r="AF9373" t="s">
        <v>19058</v>
      </c>
    </row>
    <row r="9374" spans="1:32" hidden="1" x14ac:dyDescent="0.35">
      <c r="A9374">
        <v>9373</v>
      </c>
      <c r="B9374" t="s">
        <v>19042</v>
      </c>
      <c r="C9374" t="s">
        <v>15816</v>
      </c>
      <c r="D9374" t="s">
        <v>34</v>
      </c>
      <c r="E9374">
        <v>1616</v>
      </c>
      <c r="F9374">
        <v>2</v>
      </c>
      <c r="G9374">
        <v>2</v>
      </c>
      <c r="H9374">
        <v>1</v>
      </c>
      <c r="I9374">
        <v>0</v>
      </c>
      <c r="J9374">
        <v>0.99843505477308303</v>
      </c>
      <c r="K9374">
        <v>1</v>
      </c>
      <c r="L9374">
        <v>0.999216914643696</v>
      </c>
      <c r="M9374">
        <v>0.99530516431924898</v>
      </c>
      <c r="N9374">
        <v>0.99530516431924898</v>
      </c>
      <c r="O9374">
        <v>0.99530516431924898</v>
      </c>
      <c r="R9374" t="s">
        <v>157</v>
      </c>
      <c r="S9374" t="s">
        <v>158</v>
      </c>
      <c r="V9374" t="s">
        <v>2228</v>
      </c>
      <c r="W9374" t="s">
        <v>2229</v>
      </c>
      <c r="AF9374" t="s">
        <v>19043</v>
      </c>
    </row>
    <row r="9375" spans="1:32" hidden="1" x14ac:dyDescent="0.35">
      <c r="A9375">
        <v>9374</v>
      </c>
      <c r="B9375" t="s">
        <v>19042</v>
      </c>
      <c r="C9375" t="s">
        <v>15816</v>
      </c>
      <c r="D9375" t="s">
        <v>45</v>
      </c>
      <c r="E9375">
        <v>366</v>
      </c>
      <c r="F9375">
        <v>2</v>
      </c>
      <c r="G9375">
        <v>2</v>
      </c>
      <c r="H9375">
        <v>1</v>
      </c>
      <c r="I9375">
        <v>0</v>
      </c>
      <c r="J9375">
        <v>0.99843505477308303</v>
      </c>
      <c r="K9375">
        <v>1</v>
      </c>
      <c r="L9375">
        <v>0.999216914643696</v>
      </c>
      <c r="M9375">
        <v>0.99530516431924898</v>
      </c>
      <c r="N9375">
        <v>0.99530516431924898</v>
      </c>
      <c r="O9375">
        <v>0.99530516431924898</v>
      </c>
      <c r="R9375" t="s">
        <v>157</v>
      </c>
      <c r="S9375" t="s">
        <v>158</v>
      </c>
      <c r="V9375" t="s">
        <v>2228</v>
      </c>
      <c r="W9375" t="s">
        <v>2229</v>
      </c>
      <c r="AF9375" t="s">
        <v>19044</v>
      </c>
    </row>
    <row r="9376" spans="1:32" hidden="1" x14ac:dyDescent="0.35">
      <c r="A9376">
        <v>9375</v>
      </c>
      <c r="B9376" t="s">
        <v>19045</v>
      </c>
      <c r="C9376" t="s">
        <v>15816</v>
      </c>
      <c r="D9376" t="s">
        <v>34</v>
      </c>
      <c r="E9376">
        <v>434</v>
      </c>
      <c r="F9376">
        <v>2</v>
      </c>
      <c r="G9376">
        <v>2</v>
      </c>
      <c r="H9376">
        <v>1</v>
      </c>
      <c r="I9376">
        <v>0</v>
      </c>
      <c r="J9376">
        <v>0.951080773606371</v>
      </c>
      <c r="K9376">
        <v>1</v>
      </c>
      <c r="L9376">
        <v>0.97492711370262397</v>
      </c>
      <c r="M9376">
        <v>0.93856655290102398</v>
      </c>
      <c r="N9376">
        <v>0.93856655290102398</v>
      </c>
      <c r="O9376">
        <v>0.93856655290102398</v>
      </c>
      <c r="P9376" t="s">
        <v>169</v>
      </c>
      <c r="Q9376" t="s">
        <v>170</v>
      </c>
      <c r="R9376" t="s">
        <v>288</v>
      </c>
      <c r="S9376" t="s">
        <v>289</v>
      </c>
      <c r="T9376" t="s">
        <v>19046</v>
      </c>
      <c r="U9376" t="s">
        <v>19047</v>
      </c>
      <c r="V9376" t="s">
        <v>3589</v>
      </c>
      <c r="W9376" t="s">
        <v>3590</v>
      </c>
      <c r="AD9376" t="s">
        <v>19048</v>
      </c>
      <c r="AE9376" t="s">
        <v>19049</v>
      </c>
      <c r="AF9376" t="s">
        <v>19050</v>
      </c>
    </row>
    <row r="9377" spans="1:32" hidden="1" x14ac:dyDescent="0.35">
      <c r="A9377">
        <v>9376</v>
      </c>
      <c r="B9377" t="s">
        <v>19045</v>
      </c>
      <c r="C9377" t="s">
        <v>15816</v>
      </c>
      <c r="D9377" t="s">
        <v>45</v>
      </c>
      <c r="E9377">
        <v>1696</v>
      </c>
      <c r="F9377">
        <v>2</v>
      </c>
      <c r="G9377">
        <v>2</v>
      </c>
      <c r="H9377">
        <v>1</v>
      </c>
      <c r="I9377">
        <v>0</v>
      </c>
      <c r="J9377">
        <v>0.951080773606371</v>
      </c>
      <c r="K9377">
        <v>1</v>
      </c>
      <c r="L9377">
        <v>0.97492711370262397</v>
      </c>
      <c r="M9377">
        <v>0.93856655290102398</v>
      </c>
      <c r="N9377">
        <v>0.93856655290102398</v>
      </c>
      <c r="O9377">
        <v>0.93856655290102398</v>
      </c>
      <c r="P9377" t="s">
        <v>169</v>
      </c>
      <c r="Q9377" t="s">
        <v>170</v>
      </c>
      <c r="R9377" t="s">
        <v>288</v>
      </c>
      <c r="S9377" t="s">
        <v>289</v>
      </c>
      <c r="T9377" t="s">
        <v>19046</v>
      </c>
      <c r="U9377" t="s">
        <v>19047</v>
      </c>
      <c r="V9377" t="s">
        <v>3589</v>
      </c>
      <c r="W9377" t="s">
        <v>3590</v>
      </c>
      <c r="AD9377" t="s">
        <v>19048</v>
      </c>
      <c r="AE9377" t="s">
        <v>19049</v>
      </c>
      <c r="AF9377" t="s">
        <v>19051</v>
      </c>
    </row>
    <row r="9378" spans="1:32" hidden="1" x14ac:dyDescent="0.35">
      <c r="A9378">
        <v>9377</v>
      </c>
      <c r="B9378" t="s">
        <v>19052</v>
      </c>
      <c r="C9378" t="s">
        <v>15816</v>
      </c>
      <c r="D9378" t="s">
        <v>60</v>
      </c>
      <c r="E9378">
        <v>1867</v>
      </c>
      <c r="F9378">
        <v>2</v>
      </c>
      <c r="G9378">
        <v>2</v>
      </c>
      <c r="H9378">
        <v>1</v>
      </c>
      <c r="I9378">
        <v>0</v>
      </c>
      <c r="J9378">
        <v>0.99627560521415304</v>
      </c>
      <c r="K9378">
        <v>1</v>
      </c>
      <c r="L9378">
        <v>0.99813432835820903</v>
      </c>
      <c r="M9378">
        <v>0.994413407821229</v>
      </c>
      <c r="N9378">
        <v>0.994413407821229</v>
      </c>
      <c r="O9378">
        <v>0.994413407821229</v>
      </c>
      <c r="P9378" t="s">
        <v>17157</v>
      </c>
      <c r="Q9378" t="s">
        <v>15723</v>
      </c>
      <c r="R9378" t="s">
        <v>17532</v>
      </c>
      <c r="S9378" t="s">
        <v>17533</v>
      </c>
      <c r="T9378" t="s">
        <v>19053</v>
      </c>
      <c r="U9378" t="s">
        <v>407</v>
      </c>
      <c r="V9378" t="s">
        <v>17534</v>
      </c>
      <c r="W9378" t="s">
        <v>17535</v>
      </c>
      <c r="AD9378" t="s">
        <v>410</v>
      </c>
      <c r="AE9378" t="s">
        <v>411</v>
      </c>
      <c r="AF9378" t="s">
        <v>19054</v>
      </c>
    </row>
    <row r="9379" spans="1:32" hidden="1" x14ac:dyDescent="0.35">
      <c r="A9379">
        <v>9378</v>
      </c>
      <c r="B9379" t="s">
        <v>19052</v>
      </c>
      <c r="C9379" t="s">
        <v>15816</v>
      </c>
      <c r="D9379" t="s">
        <v>62</v>
      </c>
      <c r="E9379">
        <v>1905</v>
      </c>
      <c r="F9379">
        <v>2</v>
      </c>
      <c r="G9379">
        <v>2</v>
      </c>
      <c r="H9379">
        <v>1</v>
      </c>
      <c r="I9379">
        <v>0</v>
      </c>
      <c r="J9379">
        <v>0.99627560521415304</v>
      </c>
      <c r="K9379">
        <v>1</v>
      </c>
      <c r="L9379">
        <v>0.99813432835820903</v>
      </c>
      <c r="M9379">
        <v>0.994413407821229</v>
      </c>
      <c r="N9379">
        <v>0.994413407821229</v>
      </c>
      <c r="O9379">
        <v>0.994413407821229</v>
      </c>
      <c r="P9379" t="s">
        <v>17157</v>
      </c>
      <c r="Q9379" t="s">
        <v>15723</v>
      </c>
      <c r="R9379" t="s">
        <v>17532</v>
      </c>
      <c r="S9379" t="s">
        <v>17533</v>
      </c>
      <c r="T9379" t="s">
        <v>19053</v>
      </c>
      <c r="U9379" t="s">
        <v>407</v>
      </c>
      <c r="V9379" t="s">
        <v>17534</v>
      </c>
      <c r="W9379" t="s">
        <v>17535</v>
      </c>
      <c r="AD9379" t="s">
        <v>410</v>
      </c>
      <c r="AE9379" t="s">
        <v>411</v>
      </c>
      <c r="AF9379" t="s">
        <v>19055</v>
      </c>
    </row>
    <row r="9380" spans="1:32" hidden="1" x14ac:dyDescent="0.35">
      <c r="A9380">
        <v>9395</v>
      </c>
      <c r="B9380" t="s">
        <v>19082</v>
      </c>
      <c r="C9380" t="s">
        <v>15816</v>
      </c>
      <c r="D9380" t="s">
        <v>60</v>
      </c>
      <c r="E9380">
        <v>2218</v>
      </c>
      <c r="F9380">
        <v>2</v>
      </c>
      <c r="G9380">
        <v>2</v>
      </c>
      <c r="H9380">
        <v>1</v>
      </c>
      <c r="I9380">
        <v>0</v>
      </c>
      <c r="J9380">
        <v>0.98283261802575095</v>
      </c>
      <c r="K9380">
        <v>0.99572649572649397</v>
      </c>
      <c r="L9380">
        <v>0.98923754345307002</v>
      </c>
      <c r="M9380">
        <v>0.97008547008546997</v>
      </c>
      <c r="N9380">
        <v>0.97008547008546997</v>
      </c>
      <c r="O9380">
        <v>0.97008547008546997</v>
      </c>
      <c r="P9380" t="s">
        <v>14476</v>
      </c>
      <c r="Q9380" t="s">
        <v>14477</v>
      </c>
      <c r="R9380" t="s">
        <v>157</v>
      </c>
      <c r="S9380" t="s">
        <v>158</v>
      </c>
      <c r="V9380" t="s">
        <v>14478</v>
      </c>
      <c r="W9380" t="s">
        <v>14479</v>
      </c>
      <c r="AF9380" t="s">
        <v>19083</v>
      </c>
    </row>
    <row r="9381" spans="1:32" hidden="1" x14ac:dyDescent="0.35">
      <c r="A9381">
        <v>9396</v>
      </c>
      <c r="B9381" t="s">
        <v>19082</v>
      </c>
      <c r="C9381" t="s">
        <v>15816</v>
      </c>
      <c r="D9381" t="s">
        <v>62</v>
      </c>
      <c r="E9381">
        <v>2248</v>
      </c>
      <c r="F9381">
        <v>2</v>
      </c>
      <c r="G9381">
        <v>2</v>
      </c>
      <c r="H9381">
        <v>1</v>
      </c>
      <c r="I9381">
        <v>0</v>
      </c>
      <c r="J9381">
        <v>0.98283261802575095</v>
      </c>
      <c r="K9381">
        <v>0.99572649572649397</v>
      </c>
      <c r="L9381">
        <v>0.98923754345307002</v>
      </c>
      <c r="M9381">
        <v>0.97008547008546997</v>
      </c>
      <c r="N9381">
        <v>0.97008547008546997</v>
      </c>
      <c r="O9381">
        <v>0.97008547008546997</v>
      </c>
      <c r="P9381" t="s">
        <v>14476</v>
      </c>
      <c r="Q9381" t="s">
        <v>14477</v>
      </c>
      <c r="R9381" t="s">
        <v>157</v>
      </c>
      <c r="S9381" t="s">
        <v>158</v>
      </c>
      <c r="V9381" t="s">
        <v>14478</v>
      </c>
      <c r="W9381" t="s">
        <v>14479</v>
      </c>
      <c r="AF9381" t="s">
        <v>19084</v>
      </c>
    </row>
    <row r="9382" spans="1:32" hidden="1" x14ac:dyDescent="0.35">
      <c r="A9382">
        <v>9381</v>
      </c>
      <c r="B9382" t="s">
        <v>19059</v>
      </c>
      <c r="C9382" t="s">
        <v>15816</v>
      </c>
      <c r="D9382" t="s">
        <v>34</v>
      </c>
      <c r="E9382">
        <v>1417</v>
      </c>
      <c r="F9382">
        <v>2</v>
      </c>
      <c r="G9382">
        <v>2</v>
      </c>
      <c r="H9382">
        <v>1</v>
      </c>
      <c r="I9382">
        <v>0</v>
      </c>
      <c r="J9382">
        <v>0.97871485943775105</v>
      </c>
      <c r="K9382">
        <v>1</v>
      </c>
      <c r="L9382">
        <v>0.98924294702658799</v>
      </c>
      <c r="M9382">
        <v>0.97228915662650595</v>
      </c>
      <c r="N9382">
        <v>0.97228915662650595</v>
      </c>
      <c r="O9382">
        <v>0.97228915662650595</v>
      </c>
      <c r="AF9382" t="s">
        <v>19060</v>
      </c>
    </row>
    <row r="9383" spans="1:32" hidden="1" x14ac:dyDescent="0.35">
      <c r="A9383">
        <v>9382</v>
      </c>
      <c r="B9383" t="s">
        <v>19059</v>
      </c>
      <c r="C9383" t="s">
        <v>15816</v>
      </c>
      <c r="D9383" t="s">
        <v>45</v>
      </c>
      <c r="E9383">
        <v>168</v>
      </c>
      <c r="F9383">
        <v>2</v>
      </c>
      <c r="G9383">
        <v>2</v>
      </c>
      <c r="H9383">
        <v>1</v>
      </c>
      <c r="I9383">
        <v>0</v>
      </c>
      <c r="J9383">
        <v>0.97871485943775105</v>
      </c>
      <c r="K9383">
        <v>1</v>
      </c>
      <c r="L9383">
        <v>0.98924294702658799</v>
      </c>
      <c r="M9383">
        <v>0.97228915662650595</v>
      </c>
      <c r="N9383">
        <v>0.97228915662650595</v>
      </c>
      <c r="O9383">
        <v>0.97228915662650595</v>
      </c>
      <c r="AF9383" t="s">
        <v>19061</v>
      </c>
    </row>
    <row r="9384" spans="1:32" hidden="1" x14ac:dyDescent="0.35">
      <c r="A9384">
        <v>9383</v>
      </c>
      <c r="B9384" t="s">
        <v>19062</v>
      </c>
      <c r="C9384" t="s">
        <v>15816</v>
      </c>
      <c r="D9384" t="s">
        <v>60</v>
      </c>
      <c r="E9384">
        <v>718</v>
      </c>
      <c r="F9384">
        <v>2</v>
      </c>
      <c r="G9384">
        <v>2</v>
      </c>
      <c r="H9384">
        <v>1</v>
      </c>
      <c r="I9384">
        <v>0</v>
      </c>
      <c r="J9384">
        <v>0.99731903485254703</v>
      </c>
      <c r="K9384">
        <v>1</v>
      </c>
      <c r="L9384">
        <v>0.99865771812080495</v>
      </c>
      <c r="M9384">
        <v>0.99731903485254703</v>
      </c>
      <c r="N9384">
        <v>0.99731903485254703</v>
      </c>
      <c r="O9384">
        <v>0.99731903485254703</v>
      </c>
      <c r="P9384" t="s">
        <v>14188</v>
      </c>
      <c r="Q9384" t="s">
        <v>14189</v>
      </c>
      <c r="AF9384" t="s">
        <v>19063</v>
      </c>
    </row>
    <row r="9385" spans="1:32" hidden="1" x14ac:dyDescent="0.35">
      <c r="A9385">
        <v>9384</v>
      </c>
      <c r="B9385" t="s">
        <v>19062</v>
      </c>
      <c r="C9385" t="s">
        <v>15816</v>
      </c>
      <c r="D9385" t="s">
        <v>62</v>
      </c>
      <c r="E9385">
        <v>749</v>
      </c>
      <c r="F9385">
        <v>2</v>
      </c>
      <c r="G9385">
        <v>2</v>
      </c>
      <c r="H9385">
        <v>1</v>
      </c>
      <c r="I9385">
        <v>0</v>
      </c>
      <c r="J9385">
        <v>0.99731903485254703</v>
      </c>
      <c r="K9385">
        <v>1</v>
      </c>
      <c r="L9385">
        <v>0.99865771812080495</v>
      </c>
      <c r="M9385">
        <v>0.99731903485254703</v>
      </c>
      <c r="N9385">
        <v>0.99731903485254703</v>
      </c>
      <c r="O9385">
        <v>0.99731903485254703</v>
      </c>
      <c r="P9385" t="s">
        <v>14188</v>
      </c>
      <c r="Q9385" t="s">
        <v>14189</v>
      </c>
      <c r="AF9385" t="s">
        <v>19064</v>
      </c>
    </row>
    <row r="9386" spans="1:32" hidden="1" x14ac:dyDescent="0.35">
      <c r="A9386">
        <v>9451</v>
      </c>
      <c r="B9386" t="s">
        <v>19198</v>
      </c>
      <c r="C9386" t="s">
        <v>15816</v>
      </c>
      <c r="D9386" t="s">
        <v>34</v>
      </c>
      <c r="E9386">
        <v>532</v>
      </c>
      <c r="F9386">
        <v>2</v>
      </c>
      <c r="G9386">
        <v>2</v>
      </c>
      <c r="H9386">
        <v>1</v>
      </c>
      <c r="I9386">
        <v>0</v>
      </c>
      <c r="J9386">
        <v>0.99382716049382702</v>
      </c>
      <c r="K9386">
        <v>1</v>
      </c>
      <c r="L9386">
        <v>0.99690402476780204</v>
      </c>
      <c r="M9386">
        <v>0.99382716049382702</v>
      </c>
      <c r="N9386">
        <v>0.99382716049382702</v>
      </c>
      <c r="O9386">
        <v>0.99382716049382702</v>
      </c>
      <c r="P9386" t="s">
        <v>14476</v>
      </c>
      <c r="Q9386" t="s">
        <v>14477</v>
      </c>
      <c r="R9386" t="s">
        <v>157</v>
      </c>
      <c r="S9386" t="s">
        <v>158</v>
      </c>
      <c r="V9386" t="s">
        <v>14478</v>
      </c>
      <c r="W9386" t="s">
        <v>14479</v>
      </c>
      <c r="AF9386" t="s">
        <v>19199</v>
      </c>
    </row>
    <row r="9387" spans="1:32" hidden="1" x14ac:dyDescent="0.35">
      <c r="A9387">
        <v>9452</v>
      </c>
      <c r="B9387" t="s">
        <v>19198</v>
      </c>
      <c r="C9387" t="s">
        <v>15816</v>
      </c>
      <c r="D9387" t="s">
        <v>45</v>
      </c>
      <c r="E9387">
        <v>1798</v>
      </c>
      <c r="F9387">
        <v>2</v>
      </c>
      <c r="G9387">
        <v>2</v>
      </c>
      <c r="H9387">
        <v>1</v>
      </c>
      <c r="I9387">
        <v>0</v>
      </c>
      <c r="J9387">
        <v>0.99382716049382702</v>
      </c>
      <c r="K9387">
        <v>1</v>
      </c>
      <c r="L9387">
        <v>0.99690402476780204</v>
      </c>
      <c r="M9387">
        <v>0.99382716049382702</v>
      </c>
      <c r="N9387">
        <v>0.99382716049382702</v>
      </c>
      <c r="O9387">
        <v>0.99382716049382702</v>
      </c>
      <c r="P9387" t="s">
        <v>14476</v>
      </c>
      <c r="Q9387" t="s">
        <v>14477</v>
      </c>
      <c r="R9387" t="s">
        <v>157</v>
      </c>
      <c r="S9387" t="s">
        <v>158</v>
      </c>
      <c r="V9387" t="s">
        <v>14478</v>
      </c>
      <c r="W9387" t="s">
        <v>14479</v>
      </c>
      <c r="AF9387" t="s">
        <v>19200</v>
      </c>
    </row>
    <row r="9388" spans="1:32" hidden="1" x14ac:dyDescent="0.35">
      <c r="A9388">
        <v>9387</v>
      </c>
      <c r="B9388" t="s">
        <v>19068</v>
      </c>
      <c r="C9388" t="s">
        <v>15816</v>
      </c>
      <c r="D9388" t="s">
        <v>34</v>
      </c>
      <c r="E9388">
        <v>1882</v>
      </c>
      <c r="F9388">
        <v>2</v>
      </c>
      <c r="G9388">
        <v>2</v>
      </c>
      <c r="H9388">
        <v>1</v>
      </c>
      <c r="I9388">
        <v>0</v>
      </c>
      <c r="J9388">
        <v>0.98660714285714302</v>
      </c>
      <c r="K9388">
        <v>1</v>
      </c>
      <c r="L9388">
        <v>0.99325842696629196</v>
      </c>
      <c r="M9388">
        <v>0.97767857142857095</v>
      </c>
      <c r="N9388">
        <v>0.97767857142857095</v>
      </c>
      <c r="O9388">
        <v>0.97767857142857095</v>
      </c>
      <c r="AF9388" t="s">
        <v>19069</v>
      </c>
    </row>
    <row r="9389" spans="1:32" hidden="1" x14ac:dyDescent="0.35">
      <c r="A9389">
        <v>9388</v>
      </c>
      <c r="B9389" t="s">
        <v>19068</v>
      </c>
      <c r="C9389" t="s">
        <v>15816</v>
      </c>
      <c r="D9389" t="s">
        <v>45</v>
      </c>
      <c r="E9389">
        <v>991</v>
      </c>
      <c r="F9389">
        <v>2</v>
      </c>
      <c r="G9389">
        <v>2</v>
      </c>
      <c r="H9389">
        <v>1</v>
      </c>
      <c r="I9389">
        <v>0</v>
      </c>
      <c r="J9389">
        <v>0.98660714285714302</v>
      </c>
      <c r="K9389">
        <v>1</v>
      </c>
      <c r="L9389">
        <v>0.99325842696629196</v>
      </c>
      <c r="M9389">
        <v>0.97767857142857095</v>
      </c>
      <c r="N9389">
        <v>0.97767857142857095</v>
      </c>
      <c r="O9389">
        <v>0.97767857142857095</v>
      </c>
      <c r="AF9389" t="s">
        <v>19070</v>
      </c>
    </row>
    <row r="9390" spans="1:32" hidden="1" x14ac:dyDescent="0.35">
      <c r="A9390">
        <v>9389</v>
      </c>
      <c r="B9390" t="s">
        <v>19071</v>
      </c>
      <c r="C9390" t="s">
        <v>15816</v>
      </c>
      <c r="D9390" t="s">
        <v>34</v>
      </c>
      <c r="E9390">
        <v>723</v>
      </c>
      <c r="F9390">
        <v>2</v>
      </c>
      <c r="G9390">
        <v>2</v>
      </c>
      <c r="H9390">
        <v>1</v>
      </c>
      <c r="I9390">
        <v>0</v>
      </c>
      <c r="J9390">
        <v>0.98557692307692302</v>
      </c>
      <c r="K9390">
        <v>1</v>
      </c>
      <c r="L9390">
        <v>0.99273607748184001</v>
      </c>
      <c r="M9390">
        <v>0.97115384615384603</v>
      </c>
      <c r="N9390">
        <v>0.97115384615384603</v>
      </c>
      <c r="O9390">
        <v>0.97115384615384603</v>
      </c>
      <c r="P9390" t="s">
        <v>18865</v>
      </c>
      <c r="Q9390" t="s">
        <v>18866</v>
      </c>
      <c r="R9390" t="s">
        <v>288</v>
      </c>
      <c r="S9390" t="s">
        <v>289</v>
      </c>
      <c r="T9390" t="s">
        <v>18867</v>
      </c>
      <c r="U9390" t="s">
        <v>407</v>
      </c>
      <c r="V9390" t="s">
        <v>18868</v>
      </c>
      <c r="W9390" t="s">
        <v>18869</v>
      </c>
      <c r="AD9390" t="s">
        <v>410</v>
      </c>
      <c r="AE9390" t="s">
        <v>411</v>
      </c>
      <c r="AF9390" t="s">
        <v>19072</v>
      </c>
    </row>
    <row r="9391" spans="1:32" hidden="1" x14ac:dyDescent="0.35">
      <c r="A9391">
        <v>9390</v>
      </c>
      <c r="B9391" t="s">
        <v>19071</v>
      </c>
      <c r="C9391" t="s">
        <v>15816</v>
      </c>
      <c r="D9391" t="s">
        <v>45</v>
      </c>
      <c r="E9391">
        <v>1989</v>
      </c>
      <c r="F9391">
        <v>2</v>
      </c>
      <c r="G9391">
        <v>2</v>
      </c>
      <c r="H9391">
        <v>1</v>
      </c>
      <c r="I9391">
        <v>0</v>
      </c>
      <c r="J9391">
        <v>0.98557692307692302</v>
      </c>
      <c r="K9391">
        <v>1</v>
      </c>
      <c r="L9391">
        <v>0.99273607748184001</v>
      </c>
      <c r="M9391">
        <v>0.97115384615384603</v>
      </c>
      <c r="N9391">
        <v>0.97115384615384603</v>
      </c>
      <c r="O9391">
        <v>0.97115384615384603</v>
      </c>
      <c r="P9391" t="s">
        <v>18865</v>
      </c>
      <c r="Q9391" t="s">
        <v>18866</v>
      </c>
      <c r="R9391" t="s">
        <v>288</v>
      </c>
      <c r="S9391" t="s">
        <v>289</v>
      </c>
      <c r="T9391" t="s">
        <v>18867</v>
      </c>
      <c r="U9391" t="s">
        <v>407</v>
      </c>
      <c r="V9391" t="s">
        <v>18868</v>
      </c>
      <c r="W9391" t="s">
        <v>18869</v>
      </c>
      <c r="AD9391" t="s">
        <v>410</v>
      </c>
      <c r="AE9391" t="s">
        <v>411</v>
      </c>
      <c r="AF9391" t="s">
        <v>19073</v>
      </c>
    </row>
    <row r="9392" spans="1:32" hidden="1" x14ac:dyDescent="0.35">
      <c r="A9392">
        <v>9391</v>
      </c>
      <c r="B9392" t="s">
        <v>19074</v>
      </c>
      <c r="C9392" t="s">
        <v>15816</v>
      </c>
      <c r="D9392" t="s">
        <v>60</v>
      </c>
      <c r="E9392">
        <v>2046</v>
      </c>
      <c r="F9392">
        <v>2</v>
      </c>
      <c r="G9392">
        <v>2</v>
      </c>
      <c r="H9392">
        <v>1</v>
      </c>
      <c r="I9392">
        <v>0</v>
      </c>
      <c r="J9392">
        <v>0.97167755991285398</v>
      </c>
      <c r="K9392">
        <v>1</v>
      </c>
      <c r="L9392">
        <v>0.98563535911602196</v>
      </c>
      <c r="M9392">
        <v>0.96732026143790895</v>
      </c>
      <c r="N9392">
        <v>0.96732026143790895</v>
      </c>
      <c r="O9392">
        <v>0.96732026143790895</v>
      </c>
      <c r="AF9392" t="s">
        <v>19075</v>
      </c>
    </row>
    <row r="9393" spans="1:32" hidden="1" x14ac:dyDescent="0.35">
      <c r="A9393">
        <v>9392</v>
      </c>
      <c r="B9393" t="s">
        <v>19074</v>
      </c>
      <c r="C9393" t="s">
        <v>15816</v>
      </c>
      <c r="D9393" t="s">
        <v>62</v>
      </c>
      <c r="E9393">
        <v>2083</v>
      </c>
      <c r="F9393">
        <v>2</v>
      </c>
      <c r="G9393">
        <v>2</v>
      </c>
      <c r="H9393">
        <v>1</v>
      </c>
      <c r="I9393">
        <v>0</v>
      </c>
      <c r="J9393">
        <v>0.97167755991285398</v>
      </c>
      <c r="K9393">
        <v>1</v>
      </c>
      <c r="L9393">
        <v>0.98563535911602196</v>
      </c>
      <c r="M9393">
        <v>0.96732026143790895</v>
      </c>
      <c r="N9393">
        <v>0.96732026143790895</v>
      </c>
      <c r="O9393">
        <v>0.96732026143790895</v>
      </c>
      <c r="AF9393" t="s">
        <v>19076</v>
      </c>
    </row>
    <row r="9394" spans="1:32" hidden="1" x14ac:dyDescent="0.35">
      <c r="A9394">
        <v>9425</v>
      </c>
      <c r="B9394" t="s">
        <v>19135</v>
      </c>
      <c r="C9394" t="s">
        <v>15816</v>
      </c>
      <c r="D9394" t="s">
        <v>34</v>
      </c>
      <c r="E9394">
        <v>2249</v>
      </c>
      <c r="F9394">
        <v>2</v>
      </c>
      <c r="G9394">
        <v>2</v>
      </c>
      <c r="H9394">
        <v>1</v>
      </c>
      <c r="I9394">
        <v>0</v>
      </c>
      <c r="J9394">
        <v>0.991755005889282</v>
      </c>
      <c r="K9394">
        <v>1</v>
      </c>
      <c r="L9394">
        <v>0.99586043761088106</v>
      </c>
      <c r="M9394">
        <v>0.98939929328621901</v>
      </c>
      <c r="N9394">
        <v>0.98939929328621901</v>
      </c>
      <c r="O9394">
        <v>0.98939929328621901</v>
      </c>
      <c r="P9394" t="s">
        <v>10553</v>
      </c>
      <c r="Q9394" t="s">
        <v>10554</v>
      </c>
      <c r="R9394" t="s">
        <v>869</v>
      </c>
      <c r="S9394" t="s">
        <v>870</v>
      </c>
      <c r="T9394" t="s">
        <v>19136</v>
      </c>
      <c r="U9394" t="s">
        <v>19137</v>
      </c>
      <c r="V9394" t="s">
        <v>19138</v>
      </c>
      <c r="W9394" t="s">
        <v>19139</v>
      </c>
      <c r="X9394" t="s">
        <v>19138</v>
      </c>
      <c r="Y9394" t="s">
        <v>2060</v>
      </c>
      <c r="AD9394" t="s">
        <v>219</v>
      </c>
      <c r="AE9394" t="s">
        <v>19140</v>
      </c>
      <c r="AF9394" t="s">
        <v>19141</v>
      </c>
    </row>
    <row r="9395" spans="1:32" hidden="1" x14ac:dyDescent="0.35">
      <c r="A9395">
        <v>9426</v>
      </c>
      <c r="B9395" t="s">
        <v>19135</v>
      </c>
      <c r="C9395" t="s">
        <v>15816</v>
      </c>
      <c r="D9395" t="s">
        <v>45</v>
      </c>
      <c r="E9395">
        <v>628</v>
      </c>
      <c r="F9395">
        <v>2</v>
      </c>
      <c r="G9395">
        <v>2</v>
      </c>
      <c r="H9395">
        <v>1</v>
      </c>
      <c r="I9395">
        <v>0</v>
      </c>
      <c r="J9395">
        <v>0.991755005889282</v>
      </c>
      <c r="K9395">
        <v>1</v>
      </c>
      <c r="L9395">
        <v>0.99586043761088106</v>
      </c>
      <c r="M9395">
        <v>0.98939929328621901</v>
      </c>
      <c r="N9395">
        <v>0.98939929328621901</v>
      </c>
      <c r="O9395">
        <v>0.98939929328621901</v>
      </c>
      <c r="P9395" t="s">
        <v>10553</v>
      </c>
      <c r="Q9395" t="s">
        <v>10554</v>
      </c>
      <c r="R9395" t="s">
        <v>869</v>
      </c>
      <c r="S9395" t="s">
        <v>870</v>
      </c>
      <c r="T9395" t="s">
        <v>19136</v>
      </c>
      <c r="U9395" t="s">
        <v>19137</v>
      </c>
      <c r="V9395" t="s">
        <v>19138</v>
      </c>
      <c r="W9395" t="s">
        <v>19139</v>
      </c>
      <c r="X9395" t="s">
        <v>19138</v>
      </c>
      <c r="Y9395" t="s">
        <v>2060</v>
      </c>
      <c r="AD9395" t="s">
        <v>219</v>
      </c>
      <c r="AE9395" t="s">
        <v>19140</v>
      </c>
      <c r="AF9395" t="s">
        <v>19142</v>
      </c>
    </row>
    <row r="9396" spans="1:32" hidden="1" x14ac:dyDescent="0.35">
      <c r="A9396">
        <v>9401</v>
      </c>
      <c r="B9396" t="s">
        <v>19091</v>
      </c>
      <c r="C9396" t="s">
        <v>15816</v>
      </c>
      <c r="D9396" t="s">
        <v>34</v>
      </c>
      <c r="E9396">
        <v>70</v>
      </c>
      <c r="F9396">
        <v>2</v>
      </c>
      <c r="G9396">
        <v>2</v>
      </c>
      <c r="H9396">
        <v>1</v>
      </c>
      <c r="I9396">
        <v>0</v>
      </c>
      <c r="J9396">
        <v>0.99066666666666703</v>
      </c>
      <c r="K9396">
        <v>1</v>
      </c>
      <c r="L9396">
        <v>0.99531145344943095</v>
      </c>
      <c r="M9396">
        <v>0.98799999999999999</v>
      </c>
      <c r="N9396">
        <v>0.98799999999999999</v>
      </c>
      <c r="O9396">
        <v>0.98799999999999999</v>
      </c>
      <c r="P9396" t="s">
        <v>10471</v>
      </c>
      <c r="Q9396" t="s">
        <v>1037</v>
      </c>
      <c r="R9396" t="s">
        <v>138</v>
      </c>
      <c r="S9396" t="s">
        <v>139</v>
      </c>
      <c r="T9396" t="s">
        <v>15313</v>
      </c>
      <c r="U9396" t="s">
        <v>15314</v>
      </c>
      <c r="V9396" t="s">
        <v>15315</v>
      </c>
      <c r="W9396" t="s">
        <v>15316</v>
      </c>
      <c r="AD9396" t="s">
        <v>439</v>
      </c>
      <c r="AE9396" t="s">
        <v>10862</v>
      </c>
      <c r="AF9396" t="s">
        <v>19092</v>
      </c>
    </row>
    <row r="9397" spans="1:32" hidden="1" x14ac:dyDescent="0.35">
      <c r="A9397">
        <v>9402</v>
      </c>
      <c r="B9397" t="s">
        <v>19091</v>
      </c>
      <c r="C9397" t="s">
        <v>15816</v>
      </c>
      <c r="D9397" t="s">
        <v>45</v>
      </c>
      <c r="E9397">
        <v>1328</v>
      </c>
      <c r="F9397">
        <v>2</v>
      </c>
      <c r="G9397">
        <v>2</v>
      </c>
      <c r="H9397">
        <v>1</v>
      </c>
      <c r="I9397">
        <v>0</v>
      </c>
      <c r="J9397">
        <v>0.99066666666666703</v>
      </c>
      <c r="K9397">
        <v>1</v>
      </c>
      <c r="L9397">
        <v>0.99531145344943095</v>
      </c>
      <c r="M9397">
        <v>0.98799999999999999</v>
      </c>
      <c r="N9397">
        <v>0.98799999999999999</v>
      </c>
      <c r="O9397">
        <v>0.98799999999999999</v>
      </c>
      <c r="P9397" t="s">
        <v>10471</v>
      </c>
      <c r="Q9397" t="s">
        <v>1037</v>
      </c>
      <c r="R9397" t="s">
        <v>138</v>
      </c>
      <c r="S9397" t="s">
        <v>139</v>
      </c>
      <c r="T9397" t="s">
        <v>15313</v>
      </c>
      <c r="U9397" t="s">
        <v>15314</v>
      </c>
      <c r="V9397" t="s">
        <v>15315</v>
      </c>
      <c r="W9397" t="s">
        <v>15316</v>
      </c>
      <c r="AD9397" t="s">
        <v>439</v>
      </c>
      <c r="AE9397" t="s">
        <v>10862</v>
      </c>
      <c r="AF9397" t="s">
        <v>19093</v>
      </c>
    </row>
    <row r="9398" spans="1:32" hidden="1" x14ac:dyDescent="0.35">
      <c r="A9398">
        <v>9397</v>
      </c>
      <c r="B9398" t="s">
        <v>19085</v>
      </c>
      <c r="C9398" t="s">
        <v>15816</v>
      </c>
      <c r="D9398" t="s">
        <v>34</v>
      </c>
      <c r="E9398">
        <v>388</v>
      </c>
      <c r="F9398">
        <v>2</v>
      </c>
      <c r="G9398">
        <v>2</v>
      </c>
      <c r="H9398">
        <v>1</v>
      </c>
      <c r="I9398">
        <v>0</v>
      </c>
      <c r="J9398">
        <v>0.97</v>
      </c>
      <c r="K9398">
        <v>1</v>
      </c>
      <c r="L9398">
        <v>0.98477157360406098</v>
      </c>
      <c r="M9398">
        <v>0.97</v>
      </c>
      <c r="N9398">
        <v>0.97</v>
      </c>
      <c r="O9398">
        <v>0.97</v>
      </c>
      <c r="AF9398" t="s">
        <v>19086</v>
      </c>
    </row>
    <row r="9399" spans="1:32" hidden="1" x14ac:dyDescent="0.35">
      <c r="A9399">
        <v>9398</v>
      </c>
      <c r="B9399" t="s">
        <v>19085</v>
      </c>
      <c r="C9399" t="s">
        <v>15816</v>
      </c>
      <c r="D9399" t="s">
        <v>45</v>
      </c>
      <c r="E9399">
        <v>1649</v>
      </c>
      <c r="F9399">
        <v>2</v>
      </c>
      <c r="G9399">
        <v>2</v>
      </c>
      <c r="H9399">
        <v>1</v>
      </c>
      <c r="I9399">
        <v>0</v>
      </c>
      <c r="J9399">
        <v>0.97</v>
      </c>
      <c r="K9399">
        <v>1</v>
      </c>
      <c r="L9399">
        <v>0.98477157360406098</v>
      </c>
      <c r="M9399">
        <v>0.97</v>
      </c>
      <c r="N9399">
        <v>0.97</v>
      </c>
      <c r="O9399">
        <v>0.97</v>
      </c>
      <c r="AF9399" t="s">
        <v>19087</v>
      </c>
    </row>
    <row r="9400" spans="1:32" hidden="1" x14ac:dyDescent="0.35">
      <c r="A9400">
        <v>9399</v>
      </c>
      <c r="B9400" t="s">
        <v>19088</v>
      </c>
      <c r="C9400" t="s">
        <v>15816</v>
      </c>
      <c r="D9400" t="s">
        <v>34</v>
      </c>
      <c r="E9400">
        <v>192</v>
      </c>
      <c r="F9400">
        <v>2</v>
      </c>
      <c r="G9400">
        <v>2</v>
      </c>
      <c r="H9400">
        <v>1</v>
      </c>
      <c r="I9400">
        <v>0</v>
      </c>
      <c r="J9400">
        <v>0.99061032863849796</v>
      </c>
      <c r="K9400">
        <v>0.99300699300699302</v>
      </c>
      <c r="L9400">
        <v>0.99180721296281005</v>
      </c>
      <c r="M9400">
        <v>0.97902097902097895</v>
      </c>
      <c r="N9400">
        <v>0.97902097902097895</v>
      </c>
      <c r="O9400">
        <v>0.97902097902097895</v>
      </c>
      <c r="AF9400" t="s">
        <v>19089</v>
      </c>
    </row>
    <row r="9401" spans="1:32" hidden="1" x14ac:dyDescent="0.35">
      <c r="A9401">
        <v>9400</v>
      </c>
      <c r="B9401" t="s">
        <v>19088</v>
      </c>
      <c r="C9401" t="s">
        <v>15816</v>
      </c>
      <c r="D9401" t="s">
        <v>45</v>
      </c>
      <c r="E9401">
        <v>1455</v>
      </c>
      <c r="F9401">
        <v>2</v>
      </c>
      <c r="G9401">
        <v>2</v>
      </c>
      <c r="H9401">
        <v>1</v>
      </c>
      <c r="I9401">
        <v>0</v>
      </c>
      <c r="J9401">
        <v>0.99061032863849796</v>
      </c>
      <c r="K9401">
        <v>0.99300699300699302</v>
      </c>
      <c r="L9401">
        <v>0.99180721296281005</v>
      </c>
      <c r="M9401">
        <v>0.97902097902097895</v>
      </c>
      <c r="N9401">
        <v>0.97902097902097895</v>
      </c>
      <c r="O9401">
        <v>0.97902097902097895</v>
      </c>
      <c r="AF9401" t="s">
        <v>19090</v>
      </c>
    </row>
    <row r="9402" spans="1:32" hidden="1" x14ac:dyDescent="0.35">
      <c r="A9402">
        <v>9433</v>
      </c>
      <c r="B9402" t="s">
        <v>19157</v>
      </c>
      <c r="C9402" t="s">
        <v>15816</v>
      </c>
      <c r="D9402" t="s">
        <v>60</v>
      </c>
      <c r="E9402">
        <v>1638</v>
      </c>
      <c r="F9402">
        <v>2</v>
      </c>
      <c r="G9402">
        <v>2</v>
      </c>
      <c r="H9402">
        <v>1</v>
      </c>
      <c r="I9402">
        <v>0</v>
      </c>
      <c r="J9402">
        <v>0.99731182795698903</v>
      </c>
      <c r="K9402">
        <v>1</v>
      </c>
      <c r="L9402">
        <v>0.998654104979812</v>
      </c>
      <c r="M9402">
        <v>0.99516129032258105</v>
      </c>
      <c r="N9402">
        <v>0.99516129032258105</v>
      </c>
      <c r="O9402">
        <v>0.99516129032258105</v>
      </c>
      <c r="P9402" t="s">
        <v>15233</v>
      </c>
      <c r="Q9402" t="s">
        <v>15234</v>
      </c>
      <c r="R9402" t="s">
        <v>138</v>
      </c>
      <c r="S9402" t="s">
        <v>139</v>
      </c>
      <c r="V9402" t="s">
        <v>11356</v>
      </c>
      <c r="W9402" t="s">
        <v>11357</v>
      </c>
      <c r="AF9402" t="s">
        <v>19158</v>
      </c>
    </row>
    <row r="9403" spans="1:32" hidden="1" x14ac:dyDescent="0.35">
      <c r="A9403">
        <v>9434</v>
      </c>
      <c r="B9403" t="s">
        <v>19157</v>
      </c>
      <c r="C9403" t="s">
        <v>15816</v>
      </c>
      <c r="D9403" t="s">
        <v>62</v>
      </c>
      <c r="E9403">
        <v>1673</v>
      </c>
      <c r="F9403">
        <v>2</v>
      </c>
      <c r="G9403">
        <v>2</v>
      </c>
      <c r="H9403">
        <v>1</v>
      </c>
      <c r="I9403">
        <v>0</v>
      </c>
      <c r="J9403">
        <v>0.99731182795698903</v>
      </c>
      <c r="K9403">
        <v>1</v>
      </c>
      <c r="L9403">
        <v>0.998654104979812</v>
      </c>
      <c r="M9403">
        <v>0.99516129032258105</v>
      </c>
      <c r="N9403">
        <v>0.99516129032258105</v>
      </c>
      <c r="O9403">
        <v>0.99516129032258105</v>
      </c>
      <c r="P9403" t="s">
        <v>15233</v>
      </c>
      <c r="Q9403" t="s">
        <v>15234</v>
      </c>
      <c r="R9403" t="s">
        <v>138</v>
      </c>
      <c r="S9403" t="s">
        <v>139</v>
      </c>
      <c r="V9403" t="s">
        <v>11356</v>
      </c>
      <c r="W9403" t="s">
        <v>11357</v>
      </c>
      <c r="AF9403" t="s">
        <v>19159</v>
      </c>
    </row>
    <row r="9404" spans="1:32" hidden="1" x14ac:dyDescent="0.35">
      <c r="A9404">
        <v>9403</v>
      </c>
      <c r="B9404" t="s">
        <v>19094</v>
      </c>
      <c r="C9404" t="s">
        <v>15816</v>
      </c>
      <c r="D9404" t="s">
        <v>60</v>
      </c>
      <c r="E9404">
        <v>2150</v>
      </c>
      <c r="F9404">
        <v>2</v>
      </c>
      <c r="G9404">
        <v>2</v>
      </c>
      <c r="H9404">
        <v>1</v>
      </c>
      <c r="I9404">
        <v>0</v>
      </c>
      <c r="J9404">
        <v>0.98840579710144905</v>
      </c>
      <c r="K9404">
        <v>1</v>
      </c>
      <c r="L9404">
        <v>0.99416909620991301</v>
      </c>
      <c r="M9404">
        <v>0.98260869565217401</v>
      </c>
      <c r="N9404">
        <v>0.98260869565217401</v>
      </c>
      <c r="O9404">
        <v>0.98260869565217401</v>
      </c>
      <c r="AF9404" t="s">
        <v>19095</v>
      </c>
    </row>
    <row r="9405" spans="1:32" hidden="1" x14ac:dyDescent="0.35">
      <c r="A9405">
        <v>9404</v>
      </c>
      <c r="B9405" t="s">
        <v>19094</v>
      </c>
      <c r="C9405" t="s">
        <v>15816</v>
      </c>
      <c r="D9405" t="s">
        <v>62</v>
      </c>
      <c r="E9405">
        <v>2184</v>
      </c>
      <c r="F9405">
        <v>2</v>
      </c>
      <c r="G9405">
        <v>2</v>
      </c>
      <c r="H9405">
        <v>1</v>
      </c>
      <c r="I9405">
        <v>0</v>
      </c>
      <c r="J9405">
        <v>0.98840579710144905</v>
      </c>
      <c r="K9405">
        <v>1</v>
      </c>
      <c r="L9405">
        <v>0.99416909620991301</v>
      </c>
      <c r="M9405">
        <v>0.98260869565217401</v>
      </c>
      <c r="N9405">
        <v>0.98260869565217401</v>
      </c>
      <c r="O9405">
        <v>0.98260869565217401</v>
      </c>
      <c r="AF9405" t="s">
        <v>19096</v>
      </c>
    </row>
    <row r="9406" spans="1:32" hidden="1" x14ac:dyDescent="0.35">
      <c r="A9406">
        <v>9405</v>
      </c>
      <c r="B9406" t="s">
        <v>19097</v>
      </c>
      <c r="C9406" t="s">
        <v>15816</v>
      </c>
      <c r="D9406" t="s">
        <v>60</v>
      </c>
      <c r="E9406">
        <v>358</v>
      </c>
      <c r="F9406">
        <v>2</v>
      </c>
      <c r="G9406">
        <v>2</v>
      </c>
      <c r="H9406">
        <v>1</v>
      </c>
      <c r="I9406">
        <v>0</v>
      </c>
      <c r="J9406">
        <v>0.99253731343283602</v>
      </c>
      <c r="K9406">
        <v>1</v>
      </c>
      <c r="L9406">
        <v>0.99625468164793995</v>
      </c>
      <c r="M9406">
        <v>0.99253731343283602</v>
      </c>
      <c r="N9406">
        <v>0.99253731343283602</v>
      </c>
      <c r="O9406">
        <v>0.99253731343283602</v>
      </c>
      <c r="AF9406" t="s">
        <v>19098</v>
      </c>
    </row>
    <row r="9407" spans="1:32" hidden="1" x14ac:dyDescent="0.35">
      <c r="A9407">
        <v>9406</v>
      </c>
      <c r="B9407" t="s">
        <v>19097</v>
      </c>
      <c r="C9407" t="s">
        <v>15816</v>
      </c>
      <c r="D9407" t="s">
        <v>62</v>
      </c>
      <c r="E9407">
        <v>438</v>
      </c>
      <c r="F9407">
        <v>2</v>
      </c>
      <c r="G9407">
        <v>2</v>
      </c>
      <c r="H9407">
        <v>1</v>
      </c>
      <c r="I9407">
        <v>0</v>
      </c>
      <c r="J9407">
        <v>0.99253731343283602</v>
      </c>
      <c r="K9407">
        <v>1</v>
      </c>
      <c r="L9407">
        <v>0.99625468164793995</v>
      </c>
      <c r="M9407">
        <v>0.99253731343283602</v>
      </c>
      <c r="N9407">
        <v>0.99253731343283602</v>
      </c>
      <c r="O9407">
        <v>0.99253731343283602</v>
      </c>
      <c r="AF9407" t="s">
        <v>19099</v>
      </c>
    </row>
    <row r="9408" spans="1:32" hidden="1" x14ac:dyDescent="0.35">
      <c r="A9408">
        <v>9435</v>
      </c>
      <c r="B9408" t="s">
        <v>19160</v>
      </c>
      <c r="C9408" t="s">
        <v>15816</v>
      </c>
      <c r="D9408" t="s">
        <v>60</v>
      </c>
      <c r="E9408">
        <v>2452</v>
      </c>
      <c r="F9408">
        <v>2</v>
      </c>
      <c r="G9408">
        <v>2</v>
      </c>
      <c r="H9408">
        <v>1</v>
      </c>
      <c r="I9408">
        <v>0</v>
      </c>
      <c r="J9408">
        <v>0.99250936329588002</v>
      </c>
      <c r="K9408">
        <v>1</v>
      </c>
      <c r="L9408">
        <v>0.99624060150375904</v>
      </c>
      <c r="M9408">
        <v>0.98876404494381998</v>
      </c>
      <c r="N9408">
        <v>0.98876404494381998</v>
      </c>
      <c r="O9408">
        <v>0.98876404494381998</v>
      </c>
      <c r="P9408" t="s">
        <v>19161</v>
      </c>
      <c r="Q9408" t="s">
        <v>19162</v>
      </c>
      <c r="R9408" t="s">
        <v>652</v>
      </c>
      <c r="S9408" t="s">
        <v>653</v>
      </c>
      <c r="T9408" t="s">
        <v>19163</v>
      </c>
      <c r="U9408" t="s">
        <v>19164</v>
      </c>
      <c r="V9408" t="s">
        <v>19165</v>
      </c>
      <c r="W9408" t="s">
        <v>19166</v>
      </c>
      <c r="AD9408" t="s">
        <v>410</v>
      </c>
      <c r="AE9408" t="s">
        <v>19167</v>
      </c>
      <c r="AF9408" t="s">
        <v>19168</v>
      </c>
    </row>
    <row r="9409" spans="1:32" hidden="1" x14ac:dyDescent="0.35">
      <c r="A9409">
        <v>9436</v>
      </c>
      <c r="B9409" t="s">
        <v>19160</v>
      </c>
      <c r="C9409" t="s">
        <v>15816</v>
      </c>
      <c r="D9409" t="s">
        <v>62</v>
      </c>
      <c r="E9409">
        <v>2478</v>
      </c>
      <c r="F9409">
        <v>2</v>
      </c>
      <c r="G9409">
        <v>2</v>
      </c>
      <c r="H9409">
        <v>1</v>
      </c>
      <c r="I9409">
        <v>0</v>
      </c>
      <c r="J9409">
        <v>0.99250936329588002</v>
      </c>
      <c r="K9409">
        <v>1</v>
      </c>
      <c r="L9409">
        <v>0.99624060150375904</v>
      </c>
      <c r="M9409">
        <v>0.98876404494381998</v>
      </c>
      <c r="N9409">
        <v>0.98876404494381998</v>
      </c>
      <c r="O9409">
        <v>0.98876404494381998</v>
      </c>
      <c r="P9409" t="s">
        <v>19161</v>
      </c>
      <c r="Q9409" t="s">
        <v>19162</v>
      </c>
      <c r="R9409" t="s">
        <v>652</v>
      </c>
      <c r="S9409" t="s">
        <v>653</v>
      </c>
      <c r="T9409" t="s">
        <v>19163</v>
      </c>
      <c r="U9409" t="s">
        <v>19164</v>
      </c>
      <c r="V9409" t="s">
        <v>19165</v>
      </c>
      <c r="W9409" t="s">
        <v>19166</v>
      </c>
      <c r="AD9409" t="s">
        <v>410</v>
      </c>
      <c r="AE9409" t="s">
        <v>19167</v>
      </c>
      <c r="AF9409" t="s">
        <v>19169</v>
      </c>
    </row>
    <row r="9410" spans="1:32" hidden="1" x14ac:dyDescent="0.35">
      <c r="A9410">
        <v>9409</v>
      </c>
      <c r="B9410" t="s">
        <v>19105</v>
      </c>
      <c r="C9410" t="s">
        <v>15816</v>
      </c>
      <c r="D9410" t="s">
        <v>34</v>
      </c>
      <c r="E9410">
        <v>2192</v>
      </c>
      <c r="F9410">
        <v>2</v>
      </c>
      <c r="G9410">
        <v>2</v>
      </c>
      <c r="H9410">
        <v>1</v>
      </c>
      <c r="I9410">
        <v>0</v>
      </c>
      <c r="J9410">
        <v>0.984615384615385</v>
      </c>
      <c r="K9410">
        <v>1</v>
      </c>
      <c r="L9410">
        <v>0.99224806201550397</v>
      </c>
      <c r="M9410">
        <v>0.984615384615385</v>
      </c>
      <c r="N9410">
        <v>0.984615384615385</v>
      </c>
      <c r="O9410">
        <v>0.984615384615385</v>
      </c>
      <c r="AF9410" t="s">
        <v>19106</v>
      </c>
    </row>
    <row r="9411" spans="1:32" hidden="1" x14ac:dyDescent="0.35">
      <c r="A9411">
        <v>9410</v>
      </c>
      <c r="B9411" t="s">
        <v>19105</v>
      </c>
      <c r="C9411" t="s">
        <v>15816</v>
      </c>
      <c r="D9411" t="s">
        <v>45</v>
      </c>
      <c r="E9411">
        <v>682</v>
      </c>
      <c r="F9411">
        <v>2</v>
      </c>
      <c r="G9411">
        <v>2</v>
      </c>
      <c r="H9411">
        <v>1</v>
      </c>
      <c r="I9411">
        <v>0</v>
      </c>
      <c r="J9411">
        <v>0.984615384615385</v>
      </c>
      <c r="K9411">
        <v>1</v>
      </c>
      <c r="L9411">
        <v>0.99224806201550397</v>
      </c>
      <c r="M9411">
        <v>0.984615384615385</v>
      </c>
      <c r="N9411">
        <v>0.984615384615385</v>
      </c>
      <c r="O9411">
        <v>0.984615384615385</v>
      </c>
      <c r="AF9411" t="s">
        <v>19107</v>
      </c>
    </row>
    <row r="9412" spans="1:32" hidden="1" x14ac:dyDescent="0.35">
      <c r="A9412">
        <v>9411</v>
      </c>
      <c r="B9412" t="s">
        <v>19108</v>
      </c>
      <c r="C9412" t="s">
        <v>15816</v>
      </c>
      <c r="D9412" t="s">
        <v>34</v>
      </c>
      <c r="E9412">
        <v>1633</v>
      </c>
      <c r="F9412">
        <v>2</v>
      </c>
      <c r="G9412">
        <v>2</v>
      </c>
      <c r="H9412">
        <v>1</v>
      </c>
      <c r="I9412">
        <v>0</v>
      </c>
      <c r="J9412">
        <v>0.96096096096096095</v>
      </c>
      <c r="K9412">
        <v>0.99775280898876595</v>
      </c>
      <c r="L9412">
        <v>0.97901134186844596</v>
      </c>
      <c r="M9412">
        <v>0.94831460674157297</v>
      </c>
      <c r="N9412">
        <v>0.94831460674157297</v>
      </c>
      <c r="O9412">
        <v>0.94831460674157297</v>
      </c>
      <c r="P9412" t="s">
        <v>17298</v>
      </c>
      <c r="Q9412" t="s">
        <v>17299</v>
      </c>
      <c r="AF9412" t="s">
        <v>19109</v>
      </c>
    </row>
    <row r="9413" spans="1:32" hidden="1" x14ac:dyDescent="0.35">
      <c r="A9413">
        <v>9412</v>
      </c>
      <c r="B9413" t="s">
        <v>19108</v>
      </c>
      <c r="C9413" t="s">
        <v>15816</v>
      </c>
      <c r="D9413" t="s">
        <v>45</v>
      </c>
      <c r="E9413">
        <v>380</v>
      </c>
      <c r="F9413">
        <v>2</v>
      </c>
      <c r="G9413">
        <v>2</v>
      </c>
      <c r="H9413">
        <v>1</v>
      </c>
      <c r="I9413">
        <v>0</v>
      </c>
      <c r="J9413">
        <v>0.96096096096096095</v>
      </c>
      <c r="K9413">
        <v>0.99775280898876595</v>
      </c>
      <c r="L9413">
        <v>0.97901134186844596</v>
      </c>
      <c r="M9413">
        <v>0.94831460674157297</v>
      </c>
      <c r="N9413">
        <v>0.94831460674157297</v>
      </c>
      <c r="O9413">
        <v>0.94831460674157297</v>
      </c>
      <c r="P9413" t="s">
        <v>17298</v>
      </c>
      <c r="Q9413" t="s">
        <v>17299</v>
      </c>
      <c r="AF9413" t="s">
        <v>19110</v>
      </c>
    </row>
    <row r="9414" spans="1:32" hidden="1" x14ac:dyDescent="0.35">
      <c r="A9414">
        <v>9413</v>
      </c>
      <c r="B9414" t="s">
        <v>19111</v>
      </c>
      <c r="C9414" t="s">
        <v>15816</v>
      </c>
      <c r="D9414" t="s">
        <v>34</v>
      </c>
      <c r="E9414">
        <v>675</v>
      </c>
      <c r="F9414">
        <v>2</v>
      </c>
      <c r="G9414">
        <v>2</v>
      </c>
      <c r="H9414">
        <v>1</v>
      </c>
      <c r="I9414">
        <v>0</v>
      </c>
      <c r="J9414">
        <v>0.93406593406593397</v>
      </c>
      <c r="K9414">
        <v>0.86666666666666803</v>
      </c>
      <c r="L9414">
        <v>0.89910496338486601</v>
      </c>
      <c r="M9414">
        <v>0.78301886792452802</v>
      </c>
      <c r="N9414">
        <v>0.78301886792452802</v>
      </c>
      <c r="O9414">
        <v>0.78301886792452802</v>
      </c>
      <c r="AF9414" t="s">
        <v>19112</v>
      </c>
    </row>
    <row r="9415" spans="1:32" hidden="1" x14ac:dyDescent="0.35">
      <c r="A9415">
        <v>9414</v>
      </c>
      <c r="B9415" t="s">
        <v>19111</v>
      </c>
      <c r="C9415" t="s">
        <v>15816</v>
      </c>
      <c r="D9415" t="s">
        <v>45</v>
      </c>
      <c r="E9415">
        <v>1941</v>
      </c>
      <c r="F9415">
        <v>2</v>
      </c>
      <c r="G9415">
        <v>2</v>
      </c>
      <c r="H9415">
        <v>1</v>
      </c>
      <c r="I9415">
        <v>0</v>
      </c>
      <c r="J9415">
        <v>0.93406593406593397</v>
      </c>
      <c r="K9415">
        <v>0.86666666666666803</v>
      </c>
      <c r="L9415">
        <v>0.89910496338486601</v>
      </c>
      <c r="M9415">
        <v>0.78301886792452802</v>
      </c>
      <c r="N9415">
        <v>0.78301886792452802</v>
      </c>
      <c r="O9415">
        <v>0.78301886792452802</v>
      </c>
      <c r="AF9415" t="s">
        <v>19113</v>
      </c>
    </row>
    <row r="9416" spans="1:32" hidden="1" x14ac:dyDescent="0.35">
      <c r="A9416">
        <v>9415</v>
      </c>
      <c r="B9416" t="s">
        <v>19114</v>
      </c>
      <c r="C9416" t="s">
        <v>15816</v>
      </c>
      <c r="D9416" t="s">
        <v>34</v>
      </c>
      <c r="E9416">
        <v>10</v>
      </c>
      <c r="F9416">
        <v>2</v>
      </c>
      <c r="G9416">
        <v>2</v>
      </c>
      <c r="H9416">
        <v>1</v>
      </c>
      <c r="I9416">
        <v>0</v>
      </c>
      <c r="J9416">
        <v>0.96739130434782605</v>
      </c>
      <c r="K9416">
        <v>0.63747126436781598</v>
      </c>
      <c r="L9416">
        <v>0.76851958534314402</v>
      </c>
      <c r="M9416">
        <v>0.50857142857142901</v>
      </c>
      <c r="N9416">
        <v>0.50857142857142901</v>
      </c>
      <c r="O9416">
        <v>0.50857142857142901</v>
      </c>
      <c r="AF9416" t="e">
        <f>-----------------------------------------------------------------------------------MLFWFPNENGKFDVSAEGIPAKTTIKISYTDGYKKPTHYSDIFKLNAVLLLGTAKPKTPVHRIQTDLKNIHQELKSLREGCGFPQTDISNKY</f>
        <v>#NAME?</v>
      </c>
    </row>
    <row r="9417" spans="1:32" hidden="1" x14ac:dyDescent="0.35">
      <c r="A9417">
        <v>9416</v>
      </c>
      <c r="B9417" t="s">
        <v>19114</v>
      </c>
      <c r="C9417" t="s">
        <v>15816</v>
      </c>
      <c r="D9417" t="s">
        <v>45</v>
      </c>
      <c r="E9417">
        <v>1267</v>
      </c>
      <c r="F9417">
        <v>2</v>
      </c>
      <c r="G9417">
        <v>2</v>
      </c>
      <c r="H9417">
        <v>1</v>
      </c>
      <c r="I9417">
        <v>0</v>
      </c>
      <c r="J9417">
        <v>0.96739130434782605</v>
      </c>
      <c r="K9417">
        <v>0.63747126436781598</v>
      </c>
      <c r="L9417">
        <v>0.76851958534314402</v>
      </c>
      <c r="M9417">
        <v>0.50857142857142901</v>
      </c>
      <c r="N9417">
        <v>0.50857142857142901</v>
      </c>
      <c r="O9417">
        <v>0.50857142857142901</v>
      </c>
      <c r="AF9417" t="s">
        <v>19115</v>
      </c>
    </row>
    <row r="9418" spans="1:32" hidden="1" x14ac:dyDescent="0.35">
      <c r="A9418">
        <v>9417</v>
      </c>
      <c r="B9418" t="s">
        <v>19116</v>
      </c>
      <c r="C9418" t="s">
        <v>15816</v>
      </c>
      <c r="D9418" t="s">
        <v>34</v>
      </c>
      <c r="E9418">
        <v>1061</v>
      </c>
      <c r="F9418">
        <v>2</v>
      </c>
      <c r="G9418">
        <v>2</v>
      </c>
      <c r="H9418">
        <v>1</v>
      </c>
      <c r="I9418">
        <v>0</v>
      </c>
      <c r="J9418">
        <v>0.92839506172839503</v>
      </c>
      <c r="K9418">
        <v>1</v>
      </c>
      <c r="L9418">
        <v>0.96286811779769499</v>
      </c>
      <c r="M9418">
        <v>0.91851851851851896</v>
      </c>
      <c r="N9418">
        <v>0.91851851851851896</v>
      </c>
      <c r="O9418">
        <v>0.91851851851851896</v>
      </c>
      <c r="AF9418" t="s">
        <v>19117</v>
      </c>
    </row>
    <row r="9419" spans="1:32" hidden="1" x14ac:dyDescent="0.35">
      <c r="A9419">
        <v>9418</v>
      </c>
      <c r="B9419" t="s">
        <v>19116</v>
      </c>
      <c r="C9419" t="s">
        <v>15816</v>
      </c>
      <c r="D9419" t="s">
        <v>45</v>
      </c>
      <c r="E9419">
        <v>2316</v>
      </c>
      <c r="F9419">
        <v>2</v>
      </c>
      <c r="G9419">
        <v>2</v>
      </c>
      <c r="H9419">
        <v>1</v>
      </c>
      <c r="I9419">
        <v>0</v>
      </c>
      <c r="J9419">
        <v>0.92839506172839503</v>
      </c>
      <c r="K9419">
        <v>1</v>
      </c>
      <c r="L9419">
        <v>0.96286811779769499</v>
      </c>
      <c r="M9419">
        <v>0.91851851851851896</v>
      </c>
      <c r="N9419">
        <v>0.91851851851851896</v>
      </c>
      <c r="O9419">
        <v>0.91851851851851896</v>
      </c>
      <c r="AF9419" t="s">
        <v>19118</v>
      </c>
    </row>
    <row r="9420" spans="1:32" hidden="1" x14ac:dyDescent="0.35">
      <c r="A9420">
        <v>9419</v>
      </c>
      <c r="B9420" t="s">
        <v>19119</v>
      </c>
      <c r="C9420" t="s">
        <v>15816</v>
      </c>
      <c r="D9420" t="s">
        <v>34</v>
      </c>
      <c r="E9420">
        <v>2086</v>
      </c>
      <c r="F9420">
        <v>2</v>
      </c>
      <c r="G9420">
        <v>2</v>
      </c>
      <c r="H9420">
        <v>1</v>
      </c>
      <c r="I9420">
        <v>0</v>
      </c>
      <c r="J9420">
        <v>0.98353909465020595</v>
      </c>
      <c r="K9420">
        <v>1</v>
      </c>
      <c r="L9420">
        <v>0.99170124481327804</v>
      </c>
      <c r="M9420">
        <v>0.97530864197530898</v>
      </c>
      <c r="N9420">
        <v>0.97530864197530898</v>
      </c>
      <c r="O9420">
        <v>0.97530864197530898</v>
      </c>
      <c r="AF9420" t="s">
        <v>19120</v>
      </c>
    </row>
    <row r="9421" spans="1:32" hidden="1" x14ac:dyDescent="0.35">
      <c r="A9421">
        <v>9420</v>
      </c>
      <c r="B9421" t="s">
        <v>19119</v>
      </c>
      <c r="C9421" t="s">
        <v>15816</v>
      </c>
      <c r="D9421" t="s">
        <v>45</v>
      </c>
      <c r="E9421">
        <v>786</v>
      </c>
      <c r="F9421">
        <v>2</v>
      </c>
      <c r="G9421">
        <v>2</v>
      </c>
      <c r="H9421">
        <v>1</v>
      </c>
      <c r="I9421">
        <v>0</v>
      </c>
      <c r="J9421">
        <v>0.98353909465020595</v>
      </c>
      <c r="K9421">
        <v>1</v>
      </c>
      <c r="L9421">
        <v>0.99170124481327804</v>
      </c>
      <c r="M9421">
        <v>0.97530864197530898</v>
      </c>
      <c r="N9421">
        <v>0.97530864197530898</v>
      </c>
      <c r="O9421">
        <v>0.97530864197530898</v>
      </c>
      <c r="AF9421" t="s">
        <v>19121</v>
      </c>
    </row>
    <row r="9422" spans="1:32" hidden="1" x14ac:dyDescent="0.35">
      <c r="A9422">
        <v>9421</v>
      </c>
      <c r="B9422" t="s">
        <v>19122</v>
      </c>
      <c r="C9422" t="s">
        <v>15816</v>
      </c>
      <c r="D9422" t="s">
        <v>34</v>
      </c>
      <c r="E9422">
        <v>1438</v>
      </c>
      <c r="F9422">
        <v>2</v>
      </c>
      <c r="G9422">
        <v>2</v>
      </c>
      <c r="H9422">
        <v>1</v>
      </c>
      <c r="I9422">
        <v>0</v>
      </c>
      <c r="J9422">
        <v>0.99437148217635996</v>
      </c>
      <c r="K9422">
        <v>0.99812734082396604</v>
      </c>
      <c r="L9422">
        <v>0.99624587160492795</v>
      </c>
      <c r="M9422">
        <v>0.99250936329588002</v>
      </c>
      <c r="N9422">
        <v>0.99250936329588002</v>
      </c>
      <c r="O9422">
        <v>0.99250936329588002</v>
      </c>
      <c r="AF9422" t="s">
        <v>19123</v>
      </c>
    </row>
    <row r="9423" spans="1:32" hidden="1" x14ac:dyDescent="0.35">
      <c r="A9423">
        <v>9422</v>
      </c>
      <c r="B9423" t="s">
        <v>19122</v>
      </c>
      <c r="C9423" t="s">
        <v>15816</v>
      </c>
      <c r="D9423" t="s">
        <v>45</v>
      </c>
      <c r="E9423">
        <v>189</v>
      </c>
      <c r="F9423">
        <v>2</v>
      </c>
      <c r="G9423">
        <v>2</v>
      </c>
      <c r="H9423">
        <v>1</v>
      </c>
      <c r="I9423">
        <v>0</v>
      </c>
      <c r="J9423">
        <v>0.99437148217635996</v>
      </c>
      <c r="K9423">
        <v>0.99812734082396604</v>
      </c>
      <c r="L9423">
        <v>0.99624587160492795</v>
      </c>
      <c r="M9423">
        <v>0.99250936329588002</v>
      </c>
      <c r="N9423">
        <v>0.99250936329588002</v>
      </c>
      <c r="O9423">
        <v>0.99250936329588002</v>
      </c>
      <c r="AF9423" t="s">
        <v>19124</v>
      </c>
    </row>
    <row r="9424" spans="1:32" hidden="1" x14ac:dyDescent="0.35">
      <c r="A9424">
        <v>9407</v>
      </c>
      <c r="B9424" t="s">
        <v>19100</v>
      </c>
      <c r="C9424" t="s">
        <v>15816</v>
      </c>
      <c r="D9424" t="s">
        <v>60</v>
      </c>
      <c r="E9424">
        <v>792</v>
      </c>
      <c r="F9424">
        <v>2</v>
      </c>
      <c r="G9424">
        <v>2</v>
      </c>
      <c r="H9424">
        <v>1</v>
      </c>
      <c r="I9424">
        <v>0</v>
      </c>
      <c r="J9424">
        <v>0.98793859649122795</v>
      </c>
      <c r="K9424">
        <v>1</v>
      </c>
      <c r="L9424">
        <v>0.99393270821842195</v>
      </c>
      <c r="M9424">
        <v>0.97697368421052599</v>
      </c>
      <c r="N9424">
        <v>0.97697368421052599</v>
      </c>
      <c r="O9424">
        <v>0.97697368421052599</v>
      </c>
      <c r="P9424" t="s">
        <v>19101</v>
      </c>
      <c r="Q9424" t="s">
        <v>19102</v>
      </c>
      <c r="R9424" t="s">
        <v>342</v>
      </c>
      <c r="S9424" t="s">
        <v>343</v>
      </c>
      <c r="V9424" t="s">
        <v>17668</v>
      </c>
      <c r="W9424" t="s">
        <v>17669</v>
      </c>
      <c r="AF9424" t="s">
        <v>19103</v>
      </c>
    </row>
    <row r="9425" spans="1:32" hidden="1" x14ac:dyDescent="0.35">
      <c r="A9425">
        <v>9408</v>
      </c>
      <c r="B9425" t="s">
        <v>19100</v>
      </c>
      <c r="C9425" t="s">
        <v>15816</v>
      </c>
      <c r="D9425" t="s">
        <v>62</v>
      </c>
      <c r="E9425">
        <v>825</v>
      </c>
      <c r="F9425">
        <v>2</v>
      </c>
      <c r="G9425">
        <v>2</v>
      </c>
      <c r="H9425">
        <v>1</v>
      </c>
      <c r="I9425">
        <v>0</v>
      </c>
      <c r="J9425">
        <v>0.98793859649122795</v>
      </c>
      <c r="K9425">
        <v>1</v>
      </c>
      <c r="L9425">
        <v>0.99393270821842195</v>
      </c>
      <c r="M9425">
        <v>0.97697368421052599</v>
      </c>
      <c r="N9425">
        <v>0.97697368421052599</v>
      </c>
      <c r="O9425">
        <v>0.97697368421052599</v>
      </c>
      <c r="P9425" t="s">
        <v>19101</v>
      </c>
      <c r="Q9425" t="s">
        <v>19102</v>
      </c>
      <c r="R9425" t="s">
        <v>342</v>
      </c>
      <c r="S9425" t="s">
        <v>343</v>
      </c>
      <c r="V9425" t="s">
        <v>17668</v>
      </c>
      <c r="W9425" t="s">
        <v>17669</v>
      </c>
      <c r="AF9425" t="s">
        <v>19104</v>
      </c>
    </row>
    <row r="9426" spans="1:32" hidden="1" x14ac:dyDescent="0.35">
      <c r="A9426">
        <v>9423</v>
      </c>
      <c r="B9426" t="s">
        <v>19125</v>
      </c>
      <c r="C9426" t="s">
        <v>15816</v>
      </c>
      <c r="D9426" t="s">
        <v>34</v>
      </c>
      <c r="E9426">
        <v>1155</v>
      </c>
      <c r="F9426">
        <v>2</v>
      </c>
      <c r="G9426">
        <v>2</v>
      </c>
      <c r="H9426">
        <v>1</v>
      </c>
      <c r="I9426">
        <v>0</v>
      </c>
      <c r="J9426">
        <v>0.98782961460446295</v>
      </c>
      <c r="K9426">
        <v>1</v>
      </c>
      <c r="L9426">
        <v>0.99387755102040798</v>
      </c>
      <c r="M9426">
        <v>0.98377281947261697</v>
      </c>
      <c r="N9426">
        <v>0.98377281947261697</v>
      </c>
      <c r="O9426">
        <v>0.98377281947261697</v>
      </c>
      <c r="P9426" t="s">
        <v>19126</v>
      </c>
      <c r="Q9426" t="s">
        <v>19127</v>
      </c>
      <c r="R9426" t="s">
        <v>1852</v>
      </c>
      <c r="S9426" t="s">
        <v>1853</v>
      </c>
      <c r="T9426" t="s">
        <v>19128</v>
      </c>
      <c r="U9426" t="s">
        <v>19129</v>
      </c>
      <c r="V9426" t="s">
        <v>19130</v>
      </c>
      <c r="W9426" t="s">
        <v>19131</v>
      </c>
      <c r="AD9426" t="s">
        <v>191</v>
      </c>
      <c r="AE9426" t="s">
        <v>19132</v>
      </c>
      <c r="AF9426" t="s">
        <v>19133</v>
      </c>
    </row>
    <row r="9427" spans="1:32" hidden="1" x14ac:dyDescent="0.35">
      <c r="A9427">
        <v>9424</v>
      </c>
      <c r="B9427" t="s">
        <v>19125</v>
      </c>
      <c r="C9427" t="s">
        <v>15816</v>
      </c>
      <c r="D9427" t="s">
        <v>45</v>
      </c>
      <c r="E9427">
        <v>2400</v>
      </c>
      <c r="F9427">
        <v>2</v>
      </c>
      <c r="G9427">
        <v>2</v>
      </c>
      <c r="H9427">
        <v>1</v>
      </c>
      <c r="I9427">
        <v>0</v>
      </c>
      <c r="J9427">
        <v>0.98782961460446295</v>
      </c>
      <c r="K9427">
        <v>1</v>
      </c>
      <c r="L9427">
        <v>0.99387755102040798</v>
      </c>
      <c r="M9427">
        <v>0.98377281947261697</v>
      </c>
      <c r="N9427">
        <v>0.98377281947261697</v>
      </c>
      <c r="O9427">
        <v>0.98377281947261697</v>
      </c>
      <c r="P9427" t="s">
        <v>19126</v>
      </c>
      <c r="Q9427" t="s">
        <v>19127</v>
      </c>
      <c r="R9427" t="s">
        <v>1852</v>
      </c>
      <c r="S9427" t="s">
        <v>1853</v>
      </c>
      <c r="T9427" t="s">
        <v>19128</v>
      </c>
      <c r="U9427" t="s">
        <v>19129</v>
      </c>
      <c r="V9427" t="s">
        <v>19130</v>
      </c>
      <c r="W9427" t="s">
        <v>19131</v>
      </c>
      <c r="AD9427" t="s">
        <v>191</v>
      </c>
      <c r="AE9427" t="s">
        <v>19132</v>
      </c>
      <c r="AF9427" t="s">
        <v>19134</v>
      </c>
    </row>
    <row r="9428" spans="1:32" hidden="1" x14ac:dyDescent="0.35">
      <c r="A9428">
        <v>9371</v>
      </c>
      <c r="B9428" t="s">
        <v>19039</v>
      </c>
      <c r="C9428" t="s">
        <v>15816</v>
      </c>
      <c r="D9428" t="s">
        <v>60</v>
      </c>
      <c r="E9428">
        <v>503</v>
      </c>
      <c r="F9428">
        <v>2</v>
      </c>
      <c r="G9428">
        <v>2</v>
      </c>
      <c r="H9428">
        <v>1</v>
      </c>
      <c r="I9428">
        <v>0</v>
      </c>
      <c r="J9428">
        <v>0.99009900990098998</v>
      </c>
      <c r="K9428">
        <v>1</v>
      </c>
      <c r="L9428">
        <v>0.99502487562189101</v>
      </c>
      <c r="M9428">
        <v>0.99009900990098998</v>
      </c>
      <c r="N9428">
        <v>0.99009900990098998</v>
      </c>
      <c r="O9428">
        <v>0.99009900990098998</v>
      </c>
      <c r="P9428" t="s">
        <v>4389</v>
      </c>
      <c r="Q9428" t="s">
        <v>4390</v>
      </c>
      <c r="R9428" t="s">
        <v>96</v>
      </c>
      <c r="S9428" t="s">
        <v>97</v>
      </c>
      <c r="T9428" t="s">
        <v>4391</v>
      </c>
      <c r="U9428" t="s">
        <v>4392</v>
      </c>
      <c r="V9428" t="s">
        <v>4393</v>
      </c>
      <c r="W9428" t="s">
        <v>4394</v>
      </c>
      <c r="AD9428" t="s">
        <v>546</v>
      </c>
      <c r="AE9428" t="s">
        <v>4395</v>
      </c>
      <c r="AF9428" t="s">
        <v>19040</v>
      </c>
    </row>
    <row r="9429" spans="1:32" hidden="1" x14ac:dyDescent="0.35">
      <c r="A9429">
        <v>9372</v>
      </c>
      <c r="B9429" t="s">
        <v>19039</v>
      </c>
      <c r="C9429" t="s">
        <v>15816</v>
      </c>
      <c r="D9429" t="s">
        <v>62</v>
      </c>
      <c r="E9429">
        <v>587</v>
      </c>
      <c r="F9429">
        <v>2</v>
      </c>
      <c r="G9429">
        <v>2</v>
      </c>
      <c r="H9429">
        <v>1</v>
      </c>
      <c r="I9429">
        <v>0</v>
      </c>
      <c r="J9429">
        <v>0.99009900990098998</v>
      </c>
      <c r="K9429">
        <v>1</v>
      </c>
      <c r="L9429">
        <v>0.99502487562189101</v>
      </c>
      <c r="M9429">
        <v>0.99009900990098998</v>
      </c>
      <c r="N9429">
        <v>0.99009900990098998</v>
      </c>
      <c r="O9429">
        <v>0.99009900990098998</v>
      </c>
      <c r="P9429" t="s">
        <v>4389</v>
      </c>
      <c r="Q9429" t="s">
        <v>4390</v>
      </c>
      <c r="R9429" t="s">
        <v>96</v>
      </c>
      <c r="S9429" t="s">
        <v>97</v>
      </c>
      <c r="T9429" t="s">
        <v>4391</v>
      </c>
      <c r="U9429" t="s">
        <v>4392</v>
      </c>
      <c r="V9429" t="s">
        <v>4393</v>
      </c>
      <c r="W9429" t="s">
        <v>4394</v>
      </c>
      <c r="AD9429" t="s">
        <v>546</v>
      </c>
      <c r="AE9429" t="s">
        <v>4395</v>
      </c>
      <c r="AF9429" t="s">
        <v>19041</v>
      </c>
    </row>
    <row r="9430" spans="1:32" hidden="1" x14ac:dyDescent="0.35">
      <c r="A9430">
        <v>9445</v>
      </c>
      <c r="B9430" t="s">
        <v>19189</v>
      </c>
      <c r="C9430" t="s">
        <v>15816</v>
      </c>
      <c r="D9430" t="s">
        <v>34</v>
      </c>
      <c r="E9430">
        <v>2424</v>
      </c>
      <c r="F9430">
        <v>2</v>
      </c>
      <c r="G9430">
        <v>2</v>
      </c>
      <c r="H9430">
        <v>1</v>
      </c>
      <c r="I9430">
        <v>0</v>
      </c>
      <c r="J9430">
        <v>0.98245614035087703</v>
      </c>
      <c r="K9430">
        <v>1</v>
      </c>
      <c r="L9430">
        <v>0.99115044247787598</v>
      </c>
      <c r="M9430">
        <v>0.97543859649122799</v>
      </c>
      <c r="N9430">
        <v>0.97543859649122799</v>
      </c>
      <c r="O9430">
        <v>0.97543859649122799</v>
      </c>
      <c r="P9430" t="s">
        <v>10830</v>
      </c>
      <c r="Q9430" t="s">
        <v>10831</v>
      </c>
      <c r="R9430" t="s">
        <v>96</v>
      </c>
      <c r="S9430" t="s">
        <v>97</v>
      </c>
      <c r="T9430" t="s">
        <v>10832</v>
      </c>
      <c r="U9430" t="s">
        <v>10833</v>
      </c>
      <c r="V9430" t="s">
        <v>10834</v>
      </c>
      <c r="W9430" t="s">
        <v>10835</v>
      </c>
      <c r="AD9430" t="s">
        <v>7708</v>
      </c>
      <c r="AE9430" t="s">
        <v>10836</v>
      </c>
      <c r="AF9430" t="s">
        <v>19190</v>
      </c>
    </row>
    <row r="9431" spans="1:32" hidden="1" x14ac:dyDescent="0.35">
      <c r="A9431">
        <v>9446</v>
      </c>
      <c r="B9431" t="s">
        <v>19189</v>
      </c>
      <c r="C9431" t="s">
        <v>15816</v>
      </c>
      <c r="D9431" t="s">
        <v>45</v>
      </c>
      <c r="E9431">
        <v>474</v>
      </c>
      <c r="F9431">
        <v>2</v>
      </c>
      <c r="G9431">
        <v>2</v>
      </c>
      <c r="H9431">
        <v>1</v>
      </c>
      <c r="I9431">
        <v>0</v>
      </c>
      <c r="J9431">
        <v>0.98245614035087703</v>
      </c>
      <c r="K9431">
        <v>1</v>
      </c>
      <c r="L9431">
        <v>0.99115044247787598</v>
      </c>
      <c r="M9431">
        <v>0.97543859649122799</v>
      </c>
      <c r="N9431">
        <v>0.97543859649122799</v>
      </c>
      <c r="O9431">
        <v>0.97543859649122799</v>
      </c>
      <c r="P9431" t="s">
        <v>10830</v>
      </c>
      <c r="Q9431" t="s">
        <v>10831</v>
      </c>
      <c r="R9431" t="s">
        <v>96</v>
      </c>
      <c r="S9431" t="s">
        <v>97</v>
      </c>
      <c r="T9431" t="s">
        <v>10832</v>
      </c>
      <c r="U9431" t="s">
        <v>10833</v>
      </c>
      <c r="V9431" t="s">
        <v>10834</v>
      </c>
      <c r="W9431" t="s">
        <v>10835</v>
      </c>
      <c r="AD9431" t="s">
        <v>7708</v>
      </c>
      <c r="AE9431" t="s">
        <v>10836</v>
      </c>
      <c r="AF9431" t="s">
        <v>19191</v>
      </c>
    </row>
    <row r="9432" spans="1:32" hidden="1" x14ac:dyDescent="0.35">
      <c r="A9432">
        <v>9431</v>
      </c>
      <c r="B9432" t="s">
        <v>19152</v>
      </c>
      <c r="C9432" t="s">
        <v>15816</v>
      </c>
      <c r="D9432" t="s">
        <v>34</v>
      </c>
      <c r="E9432">
        <v>255</v>
      </c>
      <c r="F9432">
        <v>2</v>
      </c>
      <c r="G9432">
        <v>2</v>
      </c>
      <c r="H9432">
        <v>1</v>
      </c>
      <c r="I9432">
        <v>0</v>
      </c>
      <c r="J9432">
        <v>0.99157641395908502</v>
      </c>
      <c r="K9432">
        <v>1</v>
      </c>
      <c r="L9432">
        <v>0.99577039274924495</v>
      </c>
      <c r="M9432">
        <v>0.989169675090253</v>
      </c>
      <c r="N9432">
        <v>0.989169675090253</v>
      </c>
      <c r="O9432">
        <v>0.989169675090253</v>
      </c>
      <c r="P9432" t="s">
        <v>3260</v>
      </c>
      <c r="Q9432" t="s">
        <v>3261</v>
      </c>
      <c r="R9432" t="s">
        <v>404</v>
      </c>
      <c r="S9432" t="s">
        <v>405</v>
      </c>
      <c r="T9432" t="s">
        <v>11083</v>
      </c>
      <c r="U9432" t="s">
        <v>11084</v>
      </c>
      <c r="V9432" t="s">
        <v>19153</v>
      </c>
      <c r="W9432" t="s">
        <v>19154</v>
      </c>
      <c r="AD9432" t="s">
        <v>219</v>
      </c>
      <c r="AE9432" t="s">
        <v>11085</v>
      </c>
      <c r="AF9432" t="s">
        <v>19155</v>
      </c>
    </row>
    <row r="9433" spans="1:32" hidden="1" x14ac:dyDescent="0.35">
      <c r="A9433">
        <v>9432</v>
      </c>
      <c r="B9433" t="s">
        <v>19152</v>
      </c>
      <c r="C9433" t="s">
        <v>15816</v>
      </c>
      <c r="D9433" t="s">
        <v>45</v>
      </c>
      <c r="E9433">
        <v>1518</v>
      </c>
      <c r="F9433">
        <v>2</v>
      </c>
      <c r="G9433">
        <v>2</v>
      </c>
      <c r="H9433">
        <v>1</v>
      </c>
      <c r="I9433">
        <v>0</v>
      </c>
      <c r="J9433">
        <v>0.99157641395908502</v>
      </c>
      <c r="K9433">
        <v>1</v>
      </c>
      <c r="L9433">
        <v>0.99577039274924495</v>
      </c>
      <c r="M9433">
        <v>0.989169675090253</v>
      </c>
      <c r="N9433">
        <v>0.989169675090253</v>
      </c>
      <c r="O9433">
        <v>0.989169675090253</v>
      </c>
      <c r="P9433" t="s">
        <v>3260</v>
      </c>
      <c r="Q9433" t="s">
        <v>3261</v>
      </c>
      <c r="R9433" t="s">
        <v>404</v>
      </c>
      <c r="S9433" t="s">
        <v>405</v>
      </c>
      <c r="T9433" t="s">
        <v>11083</v>
      </c>
      <c r="U9433" t="s">
        <v>11084</v>
      </c>
      <c r="V9433" t="s">
        <v>19153</v>
      </c>
      <c r="W9433" t="s">
        <v>19154</v>
      </c>
      <c r="AD9433" t="s">
        <v>219</v>
      </c>
      <c r="AE9433" t="s">
        <v>11085</v>
      </c>
      <c r="AF9433" t="s">
        <v>19156</v>
      </c>
    </row>
    <row r="9434" spans="1:32" hidden="1" x14ac:dyDescent="0.35">
      <c r="A9434">
        <v>9365</v>
      </c>
      <c r="B9434" t="s">
        <v>19029</v>
      </c>
      <c r="C9434" t="s">
        <v>15816</v>
      </c>
      <c r="D9434" t="s">
        <v>34</v>
      </c>
      <c r="E9434">
        <v>184</v>
      </c>
      <c r="F9434">
        <v>2</v>
      </c>
      <c r="G9434">
        <v>2</v>
      </c>
      <c r="H9434">
        <v>1</v>
      </c>
      <c r="I9434">
        <v>0</v>
      </c>
      <c r="J9434">
        <v>0.99127399650959902</v>
      </c>
      <c r="K9434">
        <v>1</v>
      </c>
      <c r="L9434">
        <v>0.995617879053462</v>
      </c>
      <c r="M9434">
        <v>0.98952879581151798</v>
      </c>
      <c r="N9434">
        <v>0.98952879581151798</v>
      </c>
      <c r="O9434">
        <v>0.98952879581151798</v>
      </c>
      <c r="P9434" t="s">
        <v>1189</v>
      </c>
      <c r="Q9434" t="s">
        <v>1190</v>
      </c>
      <c r="R9434" t="s">
        <v>371</v>
      </c>
      <c r="S9434" t="s">
        <v>372</v>
      </c>
      <c r="T9434" t="s">
        <v>14181</v>
      </c>
      <c r="U9434" t="s">
        <v>14182</v>
      </c>
      <c r="V9434" t="s">
        <v>14183</v>
      </c>
      <c r="W9434" t="s">
        <v>14184</v>
      </c>
      <c r="AD9434" t="s">
        <v>454</v>
      </c>
      <c r="AE9434" t="s">
        <v>14185</v>
      </c>
      <c r="AF9434" t="s">
        <v>19030</v>
      </c>
    </row>
    <row r="9435" spans="1:32" hidden="1" x14ac:dyDescent="0.35">
      <c r="A9435">
        <v>9366</v>
      </c>
      <c r="B9435" t="s">
        <v>19029</v>
      </c>
      <c r="C9435" t="s">
        <v>15816</v>
      </c>
      <c r="D9435" t="s">
        <v>45</v>
      </c>
      <c r="E9435">
        <v>1447</v>
      </c>
      <c r="F9435">
        <v>2</v>
      </c>
      <c r="G9435">
        <v>2</v>
      </c>
      <c r="H9435">
        <v>1</v>
      </c>
      <c r="I9435">
        <v>0</v>
      </c>
      <c r="J9435">
        <v>0.99127399650959902</v>
      </c>
      <c r="K9435">
        <v>1</v>
      </c>
      <c r="L9435">
        <v>0.995617879053462</v>
      </c>
      <c r="M9435">
        <v>0.98952879581151798</v>
      </c>
      <c r="N9435">
        <v>0.98952879581151798</v>
      </c>
      <c r="O9435">
        <v>0.98952879581151798</v>
      </c>
      <c r="P9435" t="s">
        <v>1189</v>
      </c>
      <c r="Q9435" t="s">
        <v>1190</v>
      </c>
      <c r="R9435" t="s">
        <v>371</v>
      </c>
      <c r="S9435" t="s">
        <v>372</v>
      </c>
      <c r="T9435" t="s">
        <v>14181</v>
      </c>
      <c r="U9435" t="s">
        <v>14182</v>
      </c>
      <c r="V9435" t="s">
        <v>14183</v>
      </c>
      <c r="W9435" t="s">
        <v>14184</v>
      </c>
      <c r="AD9435" t="s">
        <v>454</v>
      </c>
      <c r="AE9435" t="s">
        <v>14185</v>
      </c>
      <c r="AF9435" t="s">
        <v>19031</v>
      </c>
    </row>
    <row r="9436" spans="1:32" hidden="1" x14ac:dyDescent="0.35">
      <c r="A9436">
        <v>9393</v>
      </c>
      <c r="B9436" t="s">
        <v>19077</v>
      </c>
      <c r="C9436" t="s">
        <v>15816</v>
      </c>
      <c r="D9436" t="s">
        <v>34</v>
      </c>
      <c r="E9436">
        <v>1025</v>
      </c>
      <c r="F9436">
        <v>2</v>
      </c>
      <c r="G9436">
        <v>2</v>
      </c>
      <c r="H9436">
        <v>1</v>
      </c>
      <c r="I9436">
        <v>0</v>
      </c>
      <c r="J9436">
        <v>0.87254901960784303</v>
      </c>
      <c r="K9436">
        <v>0.58107248834251601</v>
      </c>
      <c r="L9436">
        <v>0.69758768324672704</v>
      </c>
      <c r="M9436">
        <v>0.344213649851632</v>
      </c>
      <c r="N9436">
        <v>0.344213649851632</v>
      </c>
      <c r="O9436">
        <v>0.344213649851632</v>
      </c>
      <c r="P9436" t="s">
        <v>16381</v>
      </c>
      <c r="Q9436" t="s">
        <v>16382</v>
      </c>
      <c r="R9436" t="s">
        <v>371</v>
      </c>
      <c r="S9436" t="s">
        <v>372</v>
      </c>
      <c r="V9436" t="s">
        <v>19078</v>
      </c>
      <c r="W9436" t="s">
        <v>19079</v>
      </c>
      <c r="AF9436" t="s">
        <v>19080</v>
      </c>
    </row>
    <row r="9437" spans="1:32" hidden="1" x14ac:dyDescent="0.35">
      <c r="A9437">
        <v>9394</v>
      </c>
      <c r="B9437" t="s">
        <v>19077</v>
      </c>
      <c r="C9437" t="s">
        <v>15816</v>
      </c>
      <c r="D9437" t="s">
        <v>45</v>
      </c>
      <c r="E9437">
        <v>2283</v>
      </c>
      <c r="F9437">
        <v>2</v>
      </c>
      <c r="G9437">
        <v>2</v>
      </c>
      <c r="H9437">
        <v>1</v>
      </c>
      <c r="I9437">
        <v>0</v>
      </c>
      <c r="J9437">
        <v>0.87254901960784303</v>
      </c>
      <c r="K9437">
        <v>0.58107248834251601</v>
      </c>
      <c r="L9437">
        <v>0.69758768324672704</v>
      </c>
      <c r="M9437">
        <v>0.344213649851632</v>
      </c>
      <c r="N9437">
        <v>0.344213649851632</v>
      </c>
      <c r="O9437">
        <v>0.344213649851632</v>
      </c>
      <c r="R9437" t="s">
        <v>371</v>
      </c>
      <c r="S9437" t="s">
        <v>372</v>
      </c>
      <c r="V9437" t="s">
        <v>19078</v>
      </c>
      <c r="W9437" t="s">
        <v>19079</v>
      </c>
      <c r="AF9437" t="s">
        <v>19081</v>
      </c>
    </row>
    <row r="9438" spans="1:32" hidden="1" x14ac:dyDescent="0.35">
      <c r="A9438">
        <v>9437</v>
      </c>
      <c r="B9438" t="s">
        <v>19170</v>
      </c>
      <c r="C9438" t="s">
        <v>15816</v>
      </c>
      <c r="D9438" t="s">
        <v>60</v>
      </c>
      <c r="E9438">
        <v>93</v>
      </c>
      <c r="F9438">
        <v>2</v>
      </c>
      <c r="G9438">
        <v>2</v>
      </c>
      <c r="H9438">
        <v>1</v>
      </c>
      <c r="I9438">
        <v>0</v>
      </c>
      <c r="J9438">
        <v>0.99349593495934996</v>
      </c>
      <c r="K9438">
        <v>1</v>
      </c>
      <c r="L9438">
        <v>0.99673735725937995</v>
      </c>
      <c r="M9438">
        <v>0.99024390243902405</v>
      </c>
      <c r="N9438">
        <v>0.99024390243902405</v>
      </c>
      <c r="O9438">
        <v>0.99024390243902405</v>
      </c>
      <c r="P9438" t="s">
        <v>11564</v>
      </c>
      <c r="Q9438" t="s">
        <v>11565</v>
      </c>
      <c r="R9438" t="s">
        <v>288</v>
      </c>
      <c r="S9438" t="s">
        <v>289</v>
      </c>
      <c r="T9438" t="s">
        <v>18651</v>
      </c>
      <c r="U9438" t="s">
        <v>407</v>
      </c>
      <c r="V9438" t="s">
        <v>14175</v>
      </c>
      <c r="W9438" t="s">
        <v>14176</v>
      </c>
      <c r="AD9438" t="s">
        <v>410</v>
      </c>
      <c r="AE9438" t="s">
        <v>411</v>
      </c>
      <c r="AF9438" t="s">
        <v>19171</v>
      </c>
    </row>
    <row r="9439" spans="1:32" hidden="1" x14ac:dyDescent="0.35">
      <c r="A9439">
        <v>9438</v>
      </c>
      <c r="B9439" t="s">
        <v>19170</v>
      </c>
      <c r="C9439" t="s">
        <v>15816</v>
      </c>
      <c r="D9439" t="s">
        <v>62</v>
      </c>
      <c r="E9439">
        <v>165</v>
      </c>
      <c r="F9439">
        <v>2</v>
      </c>
      <c r="G9439">
        <v>2</v>
      </c>
      <c r="H9439">
        <v>1</v>
      </c>
      <c r="I9439">
        <v>0</v>
      </c>
      <c r="J9439">
        <v>0.99349593495934996</v>
      </c>
      <c r="K9439">
        <v>1</v>
      </c>
      <c r="L9439">
        <v>0.99673735725937995</v>
      </c>
      <c r="M9439">
        <v>0.99024390243902405</v>
      </c>
      <c r="N9439">
        <v>0.99024390243902405</v>
      </c>
      <c r="O9439">
        <v>0.99024390243902405</v>
      </c>
      <c r="P9439" t="s">
        <v>11564</v>
      </c>
      <c r="Q9439" t="s">
        <v>11565</v>
      </c>
      <c r="R9439" t="s">
        <v>288</v>
      </c>
      <c r="S9439" t="s">
        <v>289</v>
      </c>
      <c r="T9439" t="s">
        <v>18651</v>
      </c>
      <c r="U9439" t="s">
        <v>407</v>
      </c>
      <c r="V9439" t="s">
        <v>14175</v>
      </c>
      <c r="W9439" t="s">
        <v>14176</v>
      </c>
      <c r="AD9439" t="s">
        <v>410</v>
      </c>
      <c r="AE9439" t="s">
        <v>411</v>
      </c>
      <c r="AF9439" t="s">
        <v>19172</v>
      </c>
    </row>
    <row r="9440" spans="1:32" hidden="1" x14ac:dyDescent="0.35">
      <c r="A9440">
        <v>9429</v>
      </c>
      <c r="B9440" t="s">
        <v>19147</v>
      </c>
      <c r="C9440" t="s">
        <v>15816</v>
      </c>
      <c r="D9440" t="s">
        <v>34</v>
      </c>
      <c r="E9440">
        <v>1868</v>
      </c>
      <c r="F9440">
        <v>2</v>
      </c>
      <c r="G9440">
        <v>2</v>
      </c>
      <c r="H9440">
        <v>1</v>
      </c>
      <c r="I9440">
        <v>0</v>
      </c>
      <c r="J9440">
        <v>0.99744520640043</v>
      </c>
      <c r="K9440">
        <v>1</v>
      </c>
      <c r="L9440">
        <v>0.99872096937058197</v>
      </c>
      <c r="M9440">
        <v>0.99717628075836995</v>
      </c>
      <c r="N9440">
        <v>0.99717628075836995</v>
      </c>
      <c r="O9440">
        <v>0.99717628075836995</v>
      </c>
      <c r="P9440" t="s">
        <v>5831</v>
      </c>
      <c r="Q9440" t="s">
        <v>5832</v>
      </c>
      <c r="R9440" t="s">
        <v>371</v>
      </c>
      <c r="S9440" t="s">
        <v>372</v>
      </c>
      <c r="T9440" t="s">
        <v>5833</v>
      </c>
      <c r="U9440" t="s">
        <v>5834</v>
      </c>
      <c r="V9440" t="s">
        <v>19148</v>
      </c>
      <c r="W9440" t="s">
        <v>19149</v>
      </c>
      <c r="AD9440" t="s">
        <v>3961</v>
      </c>
      <c r="AE9440" t="s">
        <v>3962</v>
      </c>
      <c r="AF9440" t="s">
        <v>19150</v>
      </c>
    </row>
    <row r="9441" spans="1:32" hidden="1" x14ac:dyDescent="0.35">
      <c r="A9441">
        <v>9430</v>
      </c>
      <c r="B9441" t="s">
        <v>19147</v>
      </c>
      <c r="C9441" t="s">
        <v>15816</v>
      </c>
      <c r="D9441" t="s">
        <v>45</v>
      </c>
      <c r="E9441">
        <v>1005</v>
      </c>
      <c r="F9441">
        <v>2</v>
      </c>
      <c r="G9441">
        <v>2</v>
      </c>
      <c r="H9441">
        <v>1</v>
      </c>
      <c r="I9441">
        <v>0</v>
      </c>
      <c r="J9441">
        <v>0.99744520640043</v>
      </c>
      <c r="K9441">
        <v>1</v>
      </c>
      <c r="L9441">
        <v>0.99872096937058197</v>
      </c>
      <c r="M9441">
        <v>0.99717628075836995</v>
      </c>
      <c r="N9441">
        <v>0.99717628075836995</v>
      </c>
      <c r="O9441">
        <v>0.99717628075836995</v>
      </c>
      <c r="P9441" t="s">
        <v>5831</v>
      </c>
      <c r="Q9441" t="s">
        <v>5832</v>
      </c>
      <c r="R9441" t="s">
        <v>371</v>
      </c>
      <c r="S9441" t="s">
        <v>372</v>
      </c>
      <c r="T9441" t="s">
        <v>5833</v>
      </c>
      <c r="U9441" t="s">
        <v>5834</v>
      </c>
      <c r="V9441" t="s">
        <v>19148</v>
      </c>
      <c r="W9441" t="s">
        <v>19149</v>
      </c>
      <c r="AD9441" t="s">
        <v>3961</v>
      </c>
      <c r="AE9441" t="s">
        <v>3962</v>
      </c>
      <c r="AF9441" t="s">
        <v>19151</v>
      </c>
    </row>
    <row r="9442" spans="1:32" hidden="1" x14ac:dyDescent="0.35">
      <c r="A9442">
        <v>9441</v>
      </c>
      <c r="B9442" t="s">
        <v>19176</v>
      </c>
      <c r="C9442" t="s">
        <v>15816</v>
      </c>
      <c r="D9442" t="s">
        <v>60</v>
      </c>
      <c r="E9442">
        <v>755</v>
      </c>
      <c r="F9442">
        <v>2</v>
      </c>
      <c r="G9442">
        <v>2</v>
      </c>
      <c r="H9442">
        <v>1</v>
      </c>
      <c r="I9442">
        <v>0</v>
      </c>
      <c r="J9442">
        <v>0.98892988929889303</v>
      </c>
      <c r="K9442">
        <v>1</v>
      </c>
      <c r="L9442">
        <v>0.99443413729128005</v>
      </c>
      <c r="M9442">
        <v>0.98892988929889303</v>
      </c>
      <c r="N9442">
        <v>0.98892988929889303</v>
      </c>
      <c r="O9442">
        <v>0.98892988929889303</v>
      </c>
      <c r="P9442" t="s">
        <v>19177</v>
      </c>
      <c r="Q9442" t="s">
        <v>19178</v>
      </c>
      <c r="R9442" t="s">
        <v>9640</v>
      </c>
      <c r="S9442" t="s">
        <v>9641</v>
      </c>
      <c r="T9442" t="s">
        <v>19179</v>
      </c>
      <c r="U9442" t="s">
        <v>19180</v>
      </c>
      <c r="V9442" t="s">
        <v>19181</v>
      </c>
      <c r="W9442" t="s">
        <v>19182</v>
      </c>
      <c r="X9442" t="s">
        <v>19181</v>
      </c>
      <c r="Y9442" t="s">
        <v>4474</v>
      </c>
      <c r="AD9442" t="s">
        <v>245</v>
      </c>
      <c r="AE9442" t="s">
        <v>19183</v>
      </c>
      <c r="AF9442" t="s">
        <v>19184</v>
      </c>
    </row>
    <row r="9443" spans="1:32" hidden="1" x14ac:dyDescent="0.35">
      <c r="A9443">
        <v>9442</v>
      </c>
      <c r="B9443" t="s">
        <v>19176</v>
      </c>
      <c r="C9443" t="s">
        <v>15816</v>
      </c>
      <c r="D9443" t="s">
        <v>62</v>
      </c>
      <c r="E9443">
        <v>787</v>
      </c>
      <c r="F9443">
        <v>2</v>
      </c>
      <c r="G9443">
        <v>2</v>
      </c>
      <c r="H9443">
        <v>1</v>
      </c>
      <c r="I9443">
        <v>0</v>
      </c>
      <c r="J9443">
        <v>0.98892988929889303</v>
      </c>
      <c r="K9443">
        <v>1</v>
      </c>
      <c r="L9443">
        <v>0.99443413729128005</v>
      </c>
      <c r="M9443">
        <v>0.98892988929889303</v>
      </c>
      <c r="N9443">
        <v>0.98892988929889303</v>
      </c>
      <c r="O9443">
        <v>0.98892988929889303</v>
      </c>
      <c r="P9443" t="s">
        <v>19177</v>
      </c>
      <c r="Q9443" t="s">
        <v>19178</v>
      </c>
      <c r="R9443" t="s">
        <v>9640</v>
      </c>
      <c r="S9443" t="s">
        <v>9641</v>
      </c>
      <c r="T9443" t="s">
        <v>19179</v>
      </c>
      <c r="U9443" t="s">
        <v>19180</v>
      </c>
      <c r="V9443" t="s">
        <v>19181</v>
      </c>
      <c r="W9443" t="s">
        <v>19182</v>
      </c>
      <c r="X9443" t="s">
        <v>19181</v>
      </c>
      <c r="Y9443" t="s">
        <v>4474</v>
      </c>
      <c r="AD9443" t="s">
        <v>245</v>
      </c>
      <c r="AE9443" t="s">
        <v>19183</v>
      </c>
      <c r="AF9443" t="s">
        <v>19185</v>
      </c>
    </row>
    <row r="9444" spans="1:32" hidden="1" x14ac:dyDescent="0.35">
      <c r="A9444">
        <v>9443</v>
      </c>
      <c r="B9444" t="s">
        <v>19186</v>
      </c>
      <c r="C9444" t="s">
        <v>15816</v>
      </c>
      <c r="D9444" t="s">
        <v>34</v>
      </c>
      <c r="E9444">
        <v>1083</v>
      </c>
      <c r="F9444">
        <v>2</v>
      </c>
      <c r="G9444">
        <v>2</v>
      </c>
      <c r="H9444">
        <v>1</v>
      </c>
      <c r="I9444">
        <v>0</v>
      </c>
      <c r="J9444">
        <v>0.97560975609756095</v>
      </c>
      <c r="K9444">
        <v>1</v>
      </c>
      <c r="L9444">
        <v>0.98765432098765404</v>
      </c>
      <c r="M9444">
        <v>0.95121951219512202</v>
      </c>
      <c r="N9444">
        <v>0.95121951219512202</v>
      </c>
      <c r="O9444">
        <v>0.95121951219512202</v>
      </c>
      <c r="AF9444" t="s">
        <v>19187</v>
      </c>
    </row>
    <row r="9445" spans="1:32" hidden="1" x14ac:dyDescent="0.35">
      <c r="A9445">
        <v>9444</v>
      </c>
      <c r="B9445" t="s">
        <v>19186</v>
      </c>
      <c r="C9445" t="s">
        <v>15816</v>
      </c>
      <c r="D9445" t="s">
        <v>45</v>
      </c>
      <c r="E9445">
        <v>2341</v>
      </c>
      <c r="F9445">
        <v>2</v>
      </c>
      <c r="G9445">
        <v>2</v>
      </c>
      <c r="H9445">
        <v>1</v>
      </c>
      <c r="I9445">
        <v>0</v>
      </c>
      <c r="J9445">
        <v>0.97560975609756095</v>
      </c>
      <c r="K9445">
        <v>1</v>
      </c>
      <c r="L9445">
        <v>0.98765432098765404</v>
      </c>
      <c r="M9445">
        <v>0.95121951219512202</v>
      </c>
      <c r="N9445">
        <v>0.95121951219512202</v>
      </c>
      <c r="O9445">
        <v>0.95121951219512202</v>
      </c>
      <c r="AF9445" t="s">
        <v>19188</v>
      </c>
    </row>
    <row r="9446" spans="1:32" hidden="1" x14ac:dyDescent="0.35">
      <c r="A9446">
        <v>9439</v>
      </c>
      <c r="B9446" t="s">
        <v>19173</v>
      </c>
      <c r="C9446" t="s">
        <v>15816</v>
      </c>
      <c r="D9446" t="s">
        <v>34</v>
      </c>
      <c r="E9446">
        <v>350</v>
      </c>
      <c r="F9446">
        <v>2</v>
      </c>
      <c r="G9446">
        <v>2</v>
      </c>
      <c r="H9446">
        <v>1</v>
      </c>
      <c r="I9446">
        <v>0</v>
      </c>
      <c r="J9446">
        <v>0.98914728682170505</v>
      </c>
      <c r="K9446">
        <v>1</v>
      </c>
      <c r="L9446">
        <v>0.99454403741231501</v>
      </c>
      <c r="M9446">
        <v>0.98604651162790702</v>
      </c>
      <c r="N9446">
        <v>0.98604651162790702</v>
      </c>
      <c r="O9446">
        <v>0.98604651162790702</v>
      </c>
      <c r="P9446" t="s">
        <v>13476</v>
      </c>
      <c r="Q9446" t="s">
        <v>13477</v>
      </c>
      <c r="R9446" t="s">
        <v>1191</v>
      </c>
      <c r="S9446" t="s">
        <v>1192</v>
      </c>
      <c r="V9446" t="s">
        <v>13478</v>
      </c>
      <c r="W9446" t="s">
        <v>13479</v>
      </c>
      <c r="AF9446" t="s">
        <v>19174</v>
      </c>
    </row>
    <row r="9447" spans="1:32" hidden="1" x14ac:dyDescent="0.35">
      <c r="A9447">
        <v>9440</v>
      </c>
      <c r="B9447" t="s">
        <v>19173</v>
      </c>
      <c r="C9447" t="s">
        <v>15816</v>
      </c>
      <c r="D9447" t="s">
        <v>45</v>
      </c>
      <c r="E9447">
        <v>1612</v>
      </c>
      <c r="F9447">
        <v>2</v>
      </c>
      <c r="G9447">
        <v>2</v>
      </c>
      <c r="H9447">
        <v>1</v>
      </c>
      <c r="I9447">
        <v>0</v>
      </c>
      <c r="J9447">
        <v>0.98914728682170505</v>
      </c>
      <c r="K9447">
        <v>1</v>
      </c>
      <c r="L9447">
        <v>0.99454403741231501</v>
      </c>
      <c r="M9447">
        <v>0.98604651162790702</v>
      </c>
      <c r="N9447">
        <v>0.98604651162790702</v>
      </c>
      <c r="O9447">
        <v>0.98604651162790702</v>
      </c>
      <c r="P9447" t="s">
        <v>13476</v>
      </c>
      <c r="Q9447" t="s">
        <v>13477</v>
      </c>
      <c r="R9447" t="s">
        <v>1191</v>
      </c>
      <c r="S9447" t="s">
        <v>1192</v>
      </c>
      <c r="V9447" t="s">
        <v>13478</v>
      </c>
      <c r="W9447" t="s">
        <v>13479</v>
      </c>
      <c r="AF9447" t="s">
        <v>19175</v>
      </c>
    </row>
    <row r="9448" spans="1:32" hidden="1" x14ac:dyDescent="0.35">
      <c r="A9448">
        <v>9447</v>
      </c>
      <c r="B9448" t="s">
        <v>19192</v>
      </c>
      <c r="C9448" t="s">
        <v>15816</v>
      </c>
      <c r="D9448" t="s">
        <v>34</v>
      </c>
      <c r="E9448">
        <v>2502</v>
      </c>
      <c r="F9448">
        <v>2</v>
      </c>
      <c r="G9448">
        <v>2</v>
      </c>
      <c r="H9448">
        <v>1</v>
      </c>
      <c r="I9448">
        <v>0</v>
      </c>
      <c r="J9448">
        <v>0.98837209302325602</v>
      </c>
      <c r="K9448">
        <v>1</v>
      </c>
      <c r="L9448">
        <v>0.99415204678362601</v>
      </c>
      <c r="M9448">
        <v>0.98837209302325602</v>
      </c>
      <c r="N9448">
        <v>0.98837209302325602</v>
      </c>
      <c r="O9448">
        <v>0.98837209302325602</v>
      </c>
      <c r="AF9448" t="s">
        <v>19193</v>
      </c>
    </row>
    <row r="9449" spans="1:32" hidden="1" x14ac:dyDescent="0.35">
      <c r="A9449">
        <v>9448</v>
      </c>
      <c r="B9449" t="s">
        <v>19192</v>
      </c>
      <c r="C9449" t="s">
        <v>15816</v>
      </c>
      <c r="D9449" t="s">
        <v>45</v>
      </c>
      <c r="E9449">
        <v>399</v>
      </c>
      <c r="F9449">
        <v>2</v>
      </c>
      <c r="G9449">
        <v>2</v>
      </c>
      <c r="H9449">
        <v>1</v>
      </c>
      <c r="I9449">
        <v>0</v>
      </c>
      <c r="J9449">
        <v>0.98837209302325602</v>
      </c>
      <c r="K9449">
        <v>1</v>
      </c>
      <c r="L9449">
        <v>0.99415204678362601</v>
      </c>
      <c r="M9449">
        <v>0.98837209302325602</v>
      </c>
      <c r="N9449">
        <v>0.98837209302325602</v>
      </c>
      <c r="O9449">
        <v>0.98837209302325602</v>
      </c>
      <c r="AF9449" t="s">
        <v>19194</v>
      </c>
    </row>
    <row r="9450" spans="1:32" hidden="1" x14ac:dyDescent="0.35">
      <c r="A9450">
        <v>9449</v>
      </c>
      <c r="B9450" t="s">
        <v>19195</v>
      </c>
      <c r="C9450" t="s">
        <v>15816</v>
      </c>
      <c r="D9450" t="s">
        <v>34</v>
      </c>
      <c r="E9450">
        <v>1442</v>
      </c>
      <c r="F9450">
        <v>2</v>
      </c>
      <c r="G9450">
        <v>2</v>
      </c>
      <c r="H9450">
        <v>1</v>
      </c>
      <c r="I9450">
        <v>0</v>
      </c>
      <c r="J9450">
        <v>0.99490538573508003</v>
      </c>
      <c r="K9450">
        <v>1</v>
      </c>
      <c r="L9450">
        <v>0.99744618752280201</v>
      </c>
      <c r="M9450">
        <v>0.99344978165938902</v>
      </c>
      <c r="N9450">
        <v>0.99344978165938902</v>
      </c>
      <c r="O9450">
        <v>0.99344978165938902</v>
      </c>
      <c r="P9450" t="s">
        <v>12985</v>
      </c>
      <c r="Q9450" t="s">
        <v>12986</v>
      </c>
      <c r="R9450" t="s">
        <v>1191</v>
      </c>
      <c r="S9450" t="s">
        <v>1192</v>
      </c>
      <c r="V9450" t="s">
        <v>5877</v>
      </c>
      <c r="W9450" t="s">
        <v>5878</v>
      </c>
      <c r="AF9450" t="s">
        <v>19196</v>
      </c>
    </row>
    <row r="9451" spans="1:32" hidden="1" x14ac:dyDescent="0.35">
      <c r="A9451">
        <v>9450</v>
      </c>
      <c r="B9451" t="s">
        <v>19195</v>
      </c>
      <c r="C9451" t="s">
        <v>15816</v>
      </c>
      <c r="D9451" t="s">
        <v>45</v>
      </c>
      <c r="E9451">
        <v>193</v>
      </c>
      <c r="F9451">
        <v>2</v>
      </c>
      <c r="G9451">
        <v>2</v>
      </c>
      <c r="H9451">
        <v>1</v>
      </c>
      <c r="I9451">
        <v>0</v>
      </c>
      <c r="J9451">
        <v>0.99490538573508003</v>
      </c>
      <c r="K9451">
        <v>1</v>
      </c>
      <c r="L9451">
        <v>0.99744618752280201</v>
      </c>
      <c r="M9451">
        <v>0.99344978165938902</v>
      </c>
      <c r="N9451">
        <v>0.99344978165938902</v>
      </c>
      <c r="O9451">
        <v>0.99344978165938902</v>
      </c>
      <c r="P9451" t="s">
        <v>12985</v>
      </c>
      <c r="Q9451" t="s">
        <v>12986</v>
      </c>
      <c r="R9451" t="s">
        <v>1191</v>
      </c>
      <c r="S9451" t="s">
        <v>1192</v>
      </c>
      <c r="V9451" t="s">
        <v>5877</v>
      </c>
      <c r="W9451" t="s">
        <v>5878</v>
      </c>
      <c r="AF9451" t="s">
        <v>19197</v>
      </c>
    </row>
    <row r="9452" spans="1:32" hidden="1" x14ac:dyDescent="0.35">
      <c r="A9452">
        <v>9427</v>
      </c>
      <c r="B9452" t="s">
        <v>19143</v>
      </c>
      <c r="C9452" t="s">
        <v>15816</v>
      </c>
      <c r="D9452" t="s">
        <v>60</v>
      </c>
      <c r="E9452">
        <v>704</v>
      </c>
      <c r="F9452">
        <v>2</v>
      </c>
      <c r="G9452">
        <v>2</v>
      </c>
      <c r="H9452">
        <v>1</v>
      </c>
      <c r="I9452">
        <v>0</v>
      </c>
      <c r="J9452">
        <v>0.993702770780856</v>
      </c>
      <c r="K9452">
        <v>1</v>
      </c>
      <c r="L9452">
        <v>0.99684144030322197</v>
      </c>
      <c r="M9452">
        <v>0.993702770780856</v>
      </c>
      <c r="N9452">
        <v>0.993702770780856</v>
      </c>
      <c r="O9452">
        <v>0.993702770780856</v>
      </c>
      <c r="P9452" t="s">
        <v>19144</v>
      </c>
      <c r="Q9452" t="s">
        <v>17398</v>
      </c>
      <c r="R9452" t="s">
        <v>113</v>
      </c>
      <c r="S9452" t="s">
        <v>114</v>
      </c>
      <c r="V9452" t="s">
        <v>14052</v>
      </c>
      <c r="W9452" t="s">
        <v>14053</v>
      </c>
      <c r="AF9452" t="s">
        <v>19145</v>
      </c>
    </row>
    <row r="9453" spans="1:32" hidden="1" x14ac:dyDescent="0.35">
      <c r="A9453">
        <v>9428</v>
      </c>
      <c r="B9453" t="s">
        <v>19143</v>
      </c>
      <c r="C9453" t="s">
        <v>15816</v>
      </c>
      <c r="D9453" t="s">
        <v>62</v>
      </c>
      <c r="E9453">
        <v>735</v>
      </c>
      <c r="F9453">
        <v>2</v>
      </c>
      <c r="G9453">
        <v>2</v>
      </c>
      <c r="H9453">
        <v>1</v>
      </c>
      <c r="I9453">
        <v>0</v>
      </c>
      <c r="J9453">
        <v>0.993702770780856</v>
      </c>
      <c r="K9453">
        <v>1</v>
      </c>
      <c r="L9453">
        <v>0.99684144030322197</v>
      </c>
      <c r="M9453">
        <v>0.993702770780856</v>
      </c>
      <c r="N9453">
        <v>0.993702770780856</v>
      </c>
      <c r="O9453">
        <v>0.993702770780856</v>
      </c>
      <c r="P9453" t="s">
        <v>19144</v>
      </c>
      <c r="Q9453" t="s">
        <v>17398</v>
      </c>
      <c r="R9453" t="s">
        <v>113</v>
      </c>
      <c r="S9453" t="s">
        <v>114</v>
      </c>
      <c r="V9453" t="s">
        <v>14052</v>
      </c>
      <c r="W9453" t="s">
        <v>14053</v>
      </c>
      <c r="AF9453" t="s">
        <v>19146</v>
      </c>
    </row>
    <row r="9454" spans="1:32" hidden="1" x14ac:dyDescent="0.35">
      <c r="A9454">
        <v>9453</v>
      </c>
      <c r="B9454" t="s">
        <v>19201</v>
      </c>
      <c r="C9454" t="s">
        <v>15816</v>
      </c>
      <c r="D9454" t="s">
        <v>34</v>
      </c>
      <c r="E9454">
        <v>1029</v>
      </c>
      <c r="F9454">
        <v>2</v>
      </c>
      <c r="G9454">
        <v>2</v>
      </c>
      <c r="H9454">
        <v>1</v>
      </c>
      <c r="I9454">
        <v>0</v>
      </c>
      <c r="J9454">
        <v>0.96134208606856297</v>
      </c>
      <c r="K9454">
        <v>1</v>
      </c>
      <c r="L9454">
        <v>0.98029007065823703</v>
      </c>
      <c r="M9454">
        <v>0.95404814004376404</v>
      </c>
      <c r="N9454">
        <v>0.95404814004376404</v>
      </c>
      <c r="O9454">
        <v>0.95404814004376404</v>
      </c>
      <c r="P9454" t="s">
        <v>14945</v>
      </c>
      <c r="Q9454" t="s">
        <v>14946</v>
      </c>
      <c r="AF9454" t="s">
        <v>19202</v>
      </c>
    </row>
    <row r="9455" spans="1:32" hidden="1" x14ac:dyDescent="0.35">
      <c r="A9455">
        <v>9454</v>
      </c>
      <c r="B9455" t="s">
        <v>19201</v>
      </c>
      <c r="C9455" t="s">
        <v>15816</v>
      </c>
      <c r="D9455" t="s">
        <v>45</v>
      </c>
      <c r="E9455">
        <v>2284</v>
      </c>
      <c r="F9455">
        <v>2</v>
      </c>
      <c r="G9455">
        <v>2</v>
      </c>
      <c r="H9455">
        <v>1</v>
      </c>
      <c r="I9455">
        <v>0</v>
      </c>
      <c r="J9455">
        <v>0.96134208606856297</v>
      </c>
      <c r="K9455">
        <v>1</v>
      </c>
      <c r="L9455">
        <v>0.98029007065823703</v>
      </c>
      <c r="M9455">
        <v>0.95404814004376404</v>
      </c>
      <c r="N9455">
        <v>0.95404814004376404</v>
      </c>
      <c r="O9455">
        <v>0.95404814004376404</v>
      </c>
      <c r="P9455" t="s">
        <v>14945</v>
      </c>
      <c r="Q9455" t="s">
        <v>14946</v>
      </c>
      <c r="AF9455" t="s">
        <v>19203</v>
      </c>
    </row>
    <row r="9456" spans="1:32" hidden="1" x14ac:dyDescent="0.35">
      <c r="A9456">
        <v>9455</v>
      </c>
      <c r="B9456" t="s">
        <v>19204</v>
      </c>
      <c r="C9456" t="s">
        <v>15816</v>
      </c>
      <c r="D9456" t="s">
        <v>60</v>
      </c>
      <c r="E9456">
        <v>530</v>
      </c>
      <c r="F9456">
        <v>2</v>
      </c>
      <c r="G9456">
        <v>2</v>
      </c>
      <c r="H9456">
        <v>1</v>
      </c>
      <c r="I9456">
        <v>0</v>
      </c>
      <c r="J9456">
        <v>0.99817850637522798</v>
      </c>
      <c r="K9456">
        <v>1</v>
      </c>
      <c r="L9456">
        <v>0.99908842297174105</v>
      </c>
      <c r="M9456">
        <v>0.99453551912568305</v>
      </c>
      <c r="N9456">
        <v>0.99453551912568305</v>
      </c>
      <c r="O9456">
        <v>0.99453551912568305</v>
      </c>
      <c r="P9456" t="s">
        <v>626</v>
      </c>
      <c r="Q9456" t="s">
        <v>627</v>
      </c>
      <c r="AF9456" t="s">
        <v>19205</v>
      </c>
    </row>
    <row r="9457" spans="1:32" hidden="1" x14ac:dyDescent="0.35">
      <c r="A9457">
        <v>9456</v>
      </c>
      <c r="B9457" t="s">
        <v>19204</v>
      </c>
      <c r="C9457" t="s">
        <v>15816</v>
      </c>
      <c r="D9457" t="s">
        <v>62</v>
      </c>
      <c r="E9457">
        <v>614</v>
      </c>
      <c r="F9457">
        <v>2</v>
      </c>
      <c r="G9457">
        <v>2</v>
      </c>
      <c r="H9457">
        <v>1</v>
      </c>
      <c r="I9457">
        <v>0</v>
      </c>
      <c r="J9457">
        <v>0.99817850637522798</v>
      </c>
      <c r="K9457">
        <v>1</v>
      </c>
      <c r="L9457">
        <v>0.99908842297174105</v>
      </c>
      <c r="M9457">
        <v>0.99453551912568305</v>
      </c>
      <c r="N9457">
        <v>0.99453551912568305</v>
      </c>
      <c r="O9457">
        <v>0.99453551912568305</v>
      </c>
      <c r="P9457" t="s">
        <v>626</v>
      </c>
      <c r="Q9457" t="s">
        <v>627</v>
      </c>
      <c r="AF9457" t="s">
        <v>19206</v>
      </c>
    </row>
    <row r="9458" spans="1:32" hidden="1" x14ac:dyDescent="0.35">
      <c r="A9458">
        <v>9457</v>
      </c>
      <c r="B9458" t="s">
        <v>19207</v>
      </c>
      <c r="C9458" t="s">
        <v>15816</v>
      </c>
      <c r="D9458" t="s">
        <v>60</v>
      </c>
      <c r="E9458">
        <v>23</v>
      </c>
      <c r="F9458">
        <v>2</v>
      </c>
      <c r="G9458">
        <v>2</v>
      </c>
      <c r="H9458">
        <v>1</v>
      </c>
      <c r="I9458">
        <v>0</v>
      </c>
      <c r="J9458">
        <v>0.99238095238095203</v>
      </c>
      <c r="K9458">
        <v>0.60298295454545403</v>
      </c>
      <c r="L9458">
        <v>0.75015962954074999</v>
      </c>
      <c r="M9458">
        <v>0.449350649350649</v>
      </c>
      <c r="N9458">
        <v>0.449350649350649</v>
      </c>
      <c r="O9458">
        <v>0.449350649350649</v>
      </c>
      <c r="AF9458" t="s">
        <v>19208</v>
      </c>
    </row>
    <row r="9459" spans="1:32" hidden="1" x14ac:dyDescent="0.35">
      <c r="A9459">
        <v>9458</v>
      </c>
      <c r="B9459" t="s">
        <v>19207</v>
      </c>
      <c r="C9459" t="s">
        <v>15816</v>
      </c>
      <c r="D9459" t="s">
        <v>62</v>
      </c>
      <c r="E9459">
        <v>95</v>
      </c>
      <c r="F9459">
        <v>2</v>
      </c>
      <c r="G9459">
        <v>2</v>
      </c>
      <c r="H9459">
        <v>1</v>
      </c>
      <c r="I9459">
        <v>0</v>
      </c>
      <c r="J9459">
        <v>0.99238095238095203</v>
      </c>
      <c r="K9459">
        <v>0.60298295454545403</v>
      </c>
      <c r="L9459">
        <v>0.75015962954074999</v>
      </c>
      <c r="M9459">
        <v>0.449350649350649</v>
      </c>
      <c r="N9459">
        <v>0.449350649350649</v>
      </c>
      <c r="O9459">
        <v>0.449350649350649</v>
      </c>
      <c r="AF9459" t="e">
        <f>------------------------------------------------------------------------------------------------------------------------------------------------------------------------------------------------------------------MTPQTVRLAYKTGKTAYRTFKDYRNRKTAEAYDATSEVLNDAANTYHSLRANVRELAGDIGEELNNRRQELVKETSATGKKLSRAARRKAAKLEKRAAKKAGKKKCCRKVGKLGKFALFGTLFAGIAGGIYYWWARSTAEEPGTEPPRVEEHSRDDYVESRLVYTTQTPEDNDEE</f>
        <v>#NAME?</v>
      </c>
    </row>
    <row r="9460" spans="1:32" hidden="1" x14ac:dyDescent="0.35">
      <c r="A9460">
        <v>9459</v>
      </c>
      <c r="B9460" t="s">
        <v>19209</v>
      </c>
      <c r="C9460" t="s">
        <v>33</v>
      </c>
      <c r="D9460" t="s">
        <v>34</v>
      </c>
      <c r="E9460">
        <v>481</v>
      </c>
      <c r="F9460">
        <v>2</v>
      </c>
      <c r="G9460">
        <v>2</v>
      </c>
      <c r="H9460">
        <v>1</v>
      </c>
      <c r="I9460">
        <v>0</v>
      </c>
      <c r="J9460">
        <v>0.98751902587519003</v>
      </c>
      <c r="K9460">
        <v>1</v>
      </c>
      <c r="L9460">
        <v>0.99372032470516203</v>
      </c>
      <c r="M9460">
        <v>0.98447488584474896</v>
      </c>
      <c r="N9460">
        <v>0.98447488584474896</v>
      </c>
      <c r="O9460">
        <v>0.98447488584474896</v>
      </c>
      <c r="P9460" t="s">
        <v>381</v>
      </c>
      <c r="Q9460" t="s">
        <v>382</v>
      </c>
      <c r="R9460" t="s">
        <v>4098</v>
      </c>
      <c r="S9460" t="s">
        <v>4099</v>
      </c>
      <c r="T9460" t="s">
        <v>4100</v>
      </c>
      <c r="U9460" t="s">
        <v>4101</v>
      </c>
      <c r="V9460" t="s">
        <v>16086</v>
      </c>
      <c r="W9460" t="s">
        <v>16087</v>
      </c>
      <c r="AD9460" t="s">
        <v>3017</v>
      </c>
      <c r="AE9460" t="s">
        <v>4104</v>
      </c>
      <c r="AF9460" t="s">
        <v>19210</v>
      </c>
    </row>
    <row r="9461" spans="1:32" hidden="1" x14ac:dyDescent="0.35">
      <c r="A9461">
        <v>9460</v>
      </c>
      <c r="B9461" t="s">
        <v>19209</v>
      </c>
      <c r="C9461" t="s">
        <v>33</v>
      </c>
      <c r="D9461" t="s">
        <v>45</v>
      </c>
      <c r="E9461">
        <v>1746</v>
      </c>
      <c r="F9461">
        <v>2</v>
      </c>
      <c r="G9461">
        <v>2</v>
      </c>
      <c r="H9461">
        <v>1</v>
      </c>
      <c r="I9461">
        <v>0</v>
      </c>
      <c r="J9461">
        <v>0.98751902587519003</v>
      </c>
      <c r="K9461">
        <v>1</v>
      </c>
      <c r="L9461">
        <v>0.99372032470516203</v>
      </c>
      <c r="M9461">
        <v>0.98447488584474896</v>
      </c>
      <c r="N9461">
        <v>0.98447488584474896</v>
      </c>
      <c r="O9461">
        <v>0.98447488584474896</v>
      </c>
      <c r="P9461" t="s">
        <v>381</v>
      </c>
      <c r="Q9461" t="s">
        <v>382</v>
      </c>
      <c r="R9461" t="s">
        <v>4098</v>
      </c>
      <c r="S9461" t="s">
        <v>4099</v>
      </c>
      <c r="T9461" t="s">
        <v>4100</v>
      </c>
      <c r="U9461" t="s">
        <v>4101</v>
      </c>
      <c r="V9461" t="s">
        <v>16086</v>
      </c>
      <c r="W9461" t="s">
        <v>16087</v>
      </c>
      <c r="AD9461" t="s">
        <v>3017</v>
      </c>
      <c r="AE9461" t="s">
        <v>4104</v>
      </c>
      <c r="AF9461" t="s">
        <v>19211</v>
      </c>
    </row>
    <row r="9462" spans="1:32" hidden="1" x14ac:dyDescent="0.35">
      <c r="A9462">
        <v>9461</v>
      </c>
      <c r="B9462" t="s">
        <v>19212</v>
      </c>
      <c r="C9462" t="s">
        <v>33</v>
      </c>
      <c r="D9462" t="s">
        <v>34</v>
      </c>
      <c r="E9462">
        <v>1145</v>
      </c>
      <c r="F9462">
        <v>2</v>
      </c>
      <c r="G9462">
        <v>2</v>
      </c>
      <c r="H9462">
        <v>1</v>
      </c>
      <c r="I9462">
        <v>0</v>
      </c>
      <c r="J9462">
        <v>0.98684210526315796</v>
      </c>
      <c r="K9462">
        <v>1</v>
      </c>
      <c r="L9462">
        <v>0.99337748344370902</v>
      </c>
      <c r="M9462">
        <v>0.98684210526315796</v>
      </c>
      <c r="N9462">
        <v>0.98684210526315796</v>
      </c>
      <c r="O9462">
        <v>0.98684210526315796</v>
      </c>
      <c r="AF9462" t="s">
        <v>19213</v>
      </c>
    </row>
    <row r="9463" spans="1:32" hidden="1" x14ac:dyDescent="0.35">
      <c r="A9463">
        <v>9462</v>
      </c>
      <c r="B9463" t="s">
        <v>19212</v>
      </c>
      <c r="C9463" t="s">
        <v>33</v>
      </c>
      <c r="D9463" t="s">
        <v>45</v>
      </c>
      <c r="E9463">
        <v>2390</v>
      </c>
      <c r="F9463">
        <v>2</v>
      </c>
      <c r="G9463">
        <v>2</v>
      </c>
      <c r="H9463">
        <v>1</v>
      </c>
      <c r="I9463">
        <v>0</v>
      </c>
      <c r="J9463">
        <v>0.98684210526315796</v>
      </c>
      <c r="K9463">
        <v>1</v>
      </c>
      <c r="L9463">
        <v>0.99337748344370902</v>
      </c>
      <c r="M9463">
        <v>0.98684210526315796</v>
      </c>
      <c r="N9463">
        <v>0.98684210526315796</v>
      </c>
      <c r="O9463">
        <v>0.98684210526315796</v>
      </c>
      <c r="AF9463" t="s">
        <v>19214</v>
      </c>
    </row>
    <row r="9464" spans="1:32" hidden="1" x14ac:dyDescent="0.35">
      <c r="A9464">
        <v>9463</v>
      </c>
      <c r="B9464" t="s">
        <v>19215</v>
      </c>
      <c r="C9464" t="s">
        <v>33</v>
      </c>
      <c r="D9464" t="s">
        <v>60</v>
      </c>
      <c r="E9464">
        <v>780</v>
      </c>
      <c r="F9464">
        <v>2</v>
      </c>
      <c r="G9464">
        <v>2</v>
      </c>
      <c r="H9464">
        <v>1</v>
      </c>
      <c r="I9464">
        <v>0</v>
      </c>
      <c r="J9464">
        <v>0.995444191343964</v>
      </c>
      <c r="K9464">
        <v>1</v>
      </c>
      <c r="L9464">
        <v>0.99771689497716898</v>
      </c>
      <c r="M9464">
        <v>0.995444191343964</v>
      </c>
      <c r="N9464">
        <v>0.995444191343964</v>
      </c>
      <c r="O9464">
        <v>0.995444191343964</v>
      </c>
      <c r="AF9464" t="s">
        <v>19216</v>
      </c>
    </row>
    <row r="9465" spans="1:32" hidden="1" x14ac:dyDescent="0.35">
      <c r="A9465">
        <v>9464</v>
      </c>
      <c r="B9465" t="s">
        <v>19215</v>
      </c>
      <c r="C9465" t="s">
        <v>33</v>
      </c>
      <c r="D9465" t="s">
        <v>62</v>
      </c>
      <c r="E9465">
        <v>813</v>
      </c>
      <c r="F9465">
        <v>2</v>
      </c>
      <c r="G9465">
        <v>2</v>
      </c>
      <c r="H9465">
        <v>1</v>
      </c>
      <c r="I9465">
        <v>0</v>
      </c>
      <c r="J9465">
        <v>0.995444191343964</v>
      </c>
      <c r="K9465">
        <v>1</v>
      </c>
      <c r="L9465">
        <v>0.99771689497716898</v>
      </c>
      <c r="M9465">
        <v>0.995444191343964</v>
      </c>
      <c r="N9465">
        <v>0.995444191343964</v>
      </c>
      <c r="O9465">
        <v>0.995444191343964</v>
      </c>
      <c r="AF9465" t="s">
        <v>19217</v>
      </c>
    </row>
    <row r="9466" spans="1:32" hidden="1" x14ac:dyDescent="0.35">
      <c r="A9466">
        <v>9465</v>
      </c>
      <c r="B9466" t="s">
        <v>19218</v>
      </c>
      <c r="C9466" t="s">
        <v>33</v>
      </c>
      <c r="D9466" t="s">
        <v>34</v>
      </c>
      <c r="E9466">
        <v>1702</v>
      </c>
      <c r="F9466">
        <v>2</v>
      </c>
      <c r="G9466">
        <v>2</v>
      </c>
      <c r="H9466">
        <v>1</v>
      </c>
      <c r="I9466">
        <v>0</v>
      </c>
      <c r="J9466">
        <v>0.99285714285714299</v>
      </c>
      <c r="K9466">
        <v>1</v>
      </c>
      <c r="L9466">
        <v>0.99641577060931896</v>
      </c>
      <c r="M9466">
        <v>0.99285714285714299</v>
      </c>
      <c r="N9466">
        <v>0.99285714285714299</v>
      </c>
      <c r="O9466">
        <v>0.99285714285714299</v>
      </c>
      <c r="AF9466" t="s">
        <v>19219</v>
      </c>
    </row>
    <row r="9467" spans="1:32" hidden="1" x14ac:dyDescent="0.35">
      <c r="A9467">
        <v>9466</v>
      </c>
      <c r="B9467" t="s">
        <v>19218</v>
      </c>
      <c r="C9467" t="s">
        <v>33</v>
      </c>
      <c r="D9467" t="s">
        <v>45</v>
      </c>
      <c r="E9467">
        <v>1173</v>
      </c>
      <c r="F9467">
        <v>2</v>
      </c>
      <c r="G9467">
        <v>2</v>
      </c>
      <c r="H9467">
        <v>1</v>
      </c>
      <c r="I9467">
        <v>0</v>
      </c>
      <c r="J9467">
        <v>0.99285714285714299</v>
      </c>
      <c r="K9467">
        <v>1</v>
      </c>
      <c r="L9467">
        <v>0.99641577060931896</v>
      </c>
      <c r="M9467">
        <v>0.99285714285714299</v>
      </c>
      <c r="N9467">
        <v>0.99285714285714299</v>
      </c>
      <c r="O9467">
        <v>0.99285714285714299</v>
      </c>
      <c r="AF9467" t="s">
        <v>19220</v>
      </c>
    </row>
    <row r="9468" spans="1:32" hidden="1" x14ac:dyDescent="0.35">
      <c r="A9468">
        <v>9467</v>
      </c>
      <c r="B9468" t="s">
        <v>19221</v>
      </c>
      <c r="C9468" t="s">
        <v>33</v>
      </c>
      <c r="D9468" t="s">
        <v>34</v>
      </c>
      <c r="E9468">
        <v>1921</v>
      </c>
      <c r="F9468">
        <v>2</v>
      </c>
      <c r="G9468">
        <v>2</v>
      </c>
      <c r="H9468">
        <v>1</v>
      </c>
      <c r="I9468">
        <v>0</v>
      </c>
      <c r="J9468">
        <v>0.99847792998477902</v>
      </c>
      <c r="K9468">
        <v>1</v>
      </c>
      <c r="L9468">
        <v>0.99923838537699905</v>
      </c>
      <c r="M9468">
        <v>0.99543378995433796</v>
      </c>
      <c r="N9468">
        <v>0.99543378995433796</v>
      </c>
      <c r="O9468">
        <v>0.99543378995433796</v>
      </c>
      <c r="P9468" t="s">
        <v>19222</v>
      </c>
      <c r="Q9468" t="s">
        <v>19223</v>
      </c>
      <c r="T9468" t="s">
        <v>19224</v>
      </c>
      <c r="U9468" t="s">
        <v>19225</v>
      </c>
      <c r="AD9468" t="s">
        <v>5476</v>
      </c>
      <c r="AE9468" t="s">
        <v>19226</v>
      </c>
      <c r="AF9468" t="s">
        <v>19227</v>
      </c>
    </row>
    <row r="9469" spans="1:32" hidden="1" x14ac:dyDescent="0.35">
      <c r="A9469">
        <v>9468</v>
      </c>
      <c r="B9469" t="s">
        <v>19221</v>
      </c>
      <c r="C9469" t="s">
        <v>33</v>
      </c>
      <c r="D9469" t="s">
        <v>45</v>
      </c>
      <c r="E9469">
        <v>953</v>
      </c>
      <c r="F9469">
        <v>2</v>
      </c>
      <c r="G9469">
        <v>2</v>
      </c>
      <c r="H9469">
        <v>1</v>
      </c>
      <c r="I9469">
        <v>0</v>
      </c>
      <c r="J9469">
        <v>0.99847792998477902</v>
      </c>
      <c r="K9469">
        <v>1</v>
      </c>
      <c r="L9469">
        <v>0.99923838537699905</v>
      </c>
      <c r="M9469">
        <v>0.99543378995433796</v>
      </c>
      <c r="N9469">
        <v>0.99543378995433796</v>
      </c>
      <c r="O9469">
        <v>0.99543378995433796</v>
      </c>
      <c r="P9469" t="s">
        <v>19222</v>
      </c>
      <c r="Q9469" t="s">
        <v>19223</v>
      </c>
      <c r="T9469" t="s">
        <v>19224</v>
      </c>
      <c r="U9469" t="s">
        <v>19225</v>
      </c>
      <c r="AD9469" t="s">
        <v>5476</v>
      </c>
      <c r="AE9469" t="s">
        <v>19226</v>
      </c>
      <c r="AF9469" t="s">
        <v>19228</v>
      </c>
    </row>
    <row r="9470" spans="1:32" hidden="1" x14ac:dyDescent="0.35">
      <c r="A9470">
        <v>9469</v>
      </c>
      <c r="B9470" t="s">
        <v>19229</v>
      </c>
      <c r="C9470" t="s">
        <v>33</v>
      </c>
      <c r="D9470" t="s">
        <v>34</v>
      </c>
      <c r="E9470">
        <v>2367</v>
      </c>
      <c r="F9470">
        <v>2</v>
      </c>
      <c r="G9470">
        <v>2</v>
      </c>
      <c r="H9470">
        <v>1</v>
      </c>
      <c r="I9470">
        <v>0</v>
      </c>
      <c r="J9470">
        <v>0.95911949685534603</v>
      </c>
      <c r="K9470">
        <v>1</v>
      </c>
      <c r="L9470">
        <v>0.97913322632423705</v>
      </c>
      <c r="M9470">
        <v>0.946540880503145</v>
      </c>
      <c r="N9470">
        <v>0.946540880503145</v>
      </c>
      <c r="O9470">
        <v>0.946540880503145</v>
      </c>
      <c r="P9470" t="s">
        <v>169</v>
      </c>
      <c r="Q9470" t="s">
        <v>170</v>
      </c>
      <c r="R9470" t="s">
        <v>138</v>
      </c>
      <c r="S9470" t="s">
        <v>139</v>
      </c>
      <c r="T9470" t="s">
        <v>3691</v>
      </c>
      <c r="U9470" t="s">
        <v>3692</v>
      </c>
      <c r="V9470" t="s">
        <v>3693</v>
      </c>
      <c r="W9470" t="s">
        <v>3694</v>
      </c>
      <c r="AD9470" t="s">
        <v>166</v>
      </c>
      <c r="AE9470" t="s">
        <v>3695</v>
      </c>
      <c r="AF9470" t="s">
        <v>19230</v>
      </c>
    </row>
    <row r="9471" spans="1:32" hidden="1" x14ac:dyDescent="0.35">
      <c r="A9471">
        <v>9470</v>
      </c>
      <c r="B9471" t="s">
        <v>19229</v>
      </c>
      <c r="C9471" t="s">
        <v>33</v>
      </c>
      <c r="D9471" t="s">
        <v>45</v>
      </c>
      <c r="E9471">
        <v>512</v>
      </c>
      <c r="F9471">
        <v>2</v>
      </c>
      <c r="G9471">
        <v>2</v>
      </c>
      <c r="H9471">
        <v>1</v>
      </c>
      <c r="I9471">
        <v>0</v>
      </c>
      <c r="J9471">
        <v>0.95911949685534603</v>
      </c>
      <c r="K9471">
        <v>1</v>
      </c>
      <c r="L9471">
        <v>0.97913322632423705</v>
      </c>
      <c r="M9471">
        <v>0.946540880503145</v>
      </c>
      <c r="N9471">
        <v>0.946540880503145</v>
      </c>
      <c r="O9471">
        <v>0.946540880503145</v>
      </c>
      <c r="P9471" t="s">
        <v>169</v>
      </c>
      <c r="Q9471" t="s">
        <v>170</v>
      </c>
      <c r="R9471" t="s">
        <v>138</v>
      </c>
      <c r="S9471" t="s">
        <v>139</v>
      </c>
      <c r="T9471" t="s">
        <v>3691</v>
      </c>
      <c r="U9471" t="s">
        <v>3692</v>
      </c>
      <c r="V9471" t="s">
        <v>3693</v>
      </c>
      <c r="W9471" t="s">
        <v>3694</v>
      </c>
      <c r="AD9471" t="s">
        <v>166</v>
      </c>
      <c r="AE9471" t="s">
        <v>3695</v>
      </c>
      <c r="AF9471" t="s">
        <v>19231</v>
      </c>
    </row>
    <row r="9472" spans="1:32" hidden="1" x14ac:dyDescent="0.35">
      <c r="A9472">
        <v>9471</v>
      </c>
      <c r="B9472" t="s">
        <v>19232</v>
      </c>
      <c r="C9472" t="s">
        <v>33</v>
      </c>
      <c r="D9472" t="s">
        <v>60</v>
      </c>
      <c r="E9472">
        <v>568</v>
      </c>
      <c r="F9472">
        <v>2</v>
      </c>
      <c r="G9472">
        <v>2</v>
      </c>
      <c r="H9472">
        <v>1</v>
      </c>
      <c r="I9472">
        <v>0</v>
      </c>
      <c r="J9472">
        <v>0.99549549549549599</v>
      </c>
      <c r="K9472">
        <v>1</v>
      </c>
      <c r="L9472">
        <v>0.99774266365688502</v>
      </c>
      <c r="M9472">
        <v>0.99549549549549599</v>
      </c>
      <c r="N9472">
        <v>0.99549549549549599</v>
      </c>
      <c r="O9472">
        <v>0.99549549549549599</v>
      </c>
      <c r="R9472" t="s">
        <v>75</v>
      </c>
      <c r="S9472" t="s">
        <v>76</v>
      </c>
      <c r="V9472" t="s">
        <v>19233</v>
      </c>
      <c r="W9472" t="s">
        <v>19234</v>
      </c>
      <c r="AF9472" t="s">
        <v>19235</v>
      </c>
    </row>
    <row r="9473" spans="1:32" hidden="1" x14ac:dyDescent="0.35">
      <c r="A9473">
        <v>9472</v>
      </c>
      <c r="B9473" t="s">
        <v>19232</v>
      </c>
      <c r="C9473" t="s">
        <v>33</v>
      </c>
      <c r="D9473" t="s">
        <v>62</v>
      </c>
      <c r="E9473">
        <v>652</v>
      </c>
      <c r="F9473">
        <v>2</v>
      </c>
      <c r="G9473">
        <v>2</v>
      </c>
      <c r="H9473">
        <v>1</v>
      </c>
      <c r="I9473">
        <v>0</v>
      </c>
      <c r="J9473">
        <v>0.99549549549549599</v>
      </c>
      <c r="K9473">
        <v>1</v>
      </c>
      <c r="L9473">
        <v>0.99774266365688502</v>
      </c>
      <c r="M9473">
        <v>0.99549549549549599</v>
      </c>
      <c r="N9473">
        <v>0.99549549549549599</v>
      </c>
      <c r="O9473">
        <v>0.99549549549549599</v>
      </c>
      <c r="R9473" t="s">
        <v>75</v>
      </c>
      <c r="S9473" t="s">
        <v>76</v>
      </c>
      <c r="V9473" t="s">
        <v>19233</v>
      </c>
      <c r="W9473" t="s">
        <v>19234</v>
      </c>
      <c r="AF9473" t="s">
        <v>19236</v>
      </c>
    </row>
    <row r="9474" spans="1:32" hidden="1" x14ac:dyDescent="0.35">
      <c r="A9474">
        <v>9473</v>
      </c>
      <c r="B9474" t="s">
        <v>19237</v>
      </c>
      <c r="C9474" t="s">
        <v>33</v>
      </c>
      <c r="D9474" t="s">
        <v>34</v>
      </c>
      <c r="E9474">
        <v>206</v>
      </c>
      <c r="F9474">
        <v>2</v>
      </c>
      <c r="G9474">
        <v>2</v>
      </c>
      <c r="H9474">
        <v>1</v>
      </c>
      <c r="I9474">
        <v>0</v>
      </c>
      <c r="J9474">
        <v>0.99016480595428003</v>
      </c>
      <c r="K9474">
        <v>1</v>
      </c>
      <c r="L9474">
        <v>0.99505810070789402</v>
      </c>
      <c r="M9474">
        <v>0.98803827751196205</v>
      </c>
      <c r="N9474">
        <v>0.98803827751196205</v>
      </c>
      <c r="O9474">
        <v>0.98803827751196205</v>
      </c>
      <c r="P9474" t="s">
        <v>15233</v>
      </c>
      <c r="Q9474" t="s">
        <v>15234</v>
      </c>
      <c r="R9474" t="s">
        <v>138</v>
      </c>
      <c r="S9474" t="s">
        <v>139</v>
      </c>
      <c r="V9474" t="s">
        <v>11356</v>
      </c>
      <c r="W9474" t="s">
        <v>11357</v>
      </c>
      <c r="AF9474" t="s">
        <v>19238</v>
      </c>
    </row>
    <row r="9475" spans="1:32" hidden="1" x14ac:dyDescent="0.35">
      <c r="A9475">
        <v>9474</v>
      </c>
      <c r="B9475" t="s">
        <v>19237</v>
      </c>
      <c r="C9475" t="s">
        <v>33</v>
      </c>
      <c r="D9475" t="s">
        <v>45</v>
      </c>
      <c r="E9475">
        <v>1469</v>
      </c>
      <c r="F9475">
        <v>2</v>
      </c>
      <c r="G9475">
        <v>2</v>
      </c>
      <c r="H9475">
        <v>1</v>
      </c>
      <c r="I9475">
        <v>0</v>
      </c>
      <c r="J9475">
        <v>0.99016480595428003</v>
      </c>
      <c r="K9475">
        <v>1</v>
      </c>
      <c r="L9475">
        <v>0.99505810070789402</v>
      </c>
      <c r="M9475">
        <v>0.98803827751196205</v>
      </c>
      <c r="N9475">
        <v>0.98803827751196205</v>
      </c>
      <c r="O9475">
        <v>0.98803827751196205</v>
      </c>
      <c r="P9475" t="s">
        <v>15233</v>
      </c>
      <c r="Q9475" t="s">
        <v>15234</v>
      </c>
      <c r="R9475" t="s">
        <v>138</v>
      </c>
      <c r="S9475" t="s">
        <v>139</v>
      </c>
      <c r="V9475" t="s">
        <v>11356</v>
      </c>
      <c r="W9475" t="s">
        <v>11357</v>
      </c>
      <c r="AF9475" t="s">
        <v>19239</v>
      </c>
    </row>
    <row r="9476" spans="1:32" hidden="1" x14ac:dyDescent="0.35">
      <c r="A9476">
        <v>9475</v>
      </c>
      <c r="B9476" t="s">
        <v>19240</v>
      </c>
      <c r="C9476" t="s">
        <v>33</v>
      </c>
      <c r="D9476" t="s">
        <v>60</v>
      </c>
      <c r="E9476">
        <v>2005</v>
      </c>
      <c r="F9476">
        <v>2</v>
      </c>
      <c r="G9476">
        <v>2</v>
      </c>
      <c r="H9476">
        <v>1</v>
      </c>
      <c r="I9476">
        <v>0</v>
      </c>
      <c r="J9476">
        <v>0.999334664005323</v>
      </c>
      <c r="K9476">
        <v>1</v>
      </c>
      <c r="L9476">
        <v>0.99966722129783703</v>
      </c>
      <c r="M9476">
        <v>0.99800399201596801</v>
      </c>
      <c r="N9476">
        <v>0.99800399201596801</v>
      </c>
      <c r="O9476">
        <v>0.99800399201596801</v>
      </c>
      <c r="P9476" t="s">
        <v>1992</v>
      </c>
      <c r="Q9476" t="s">
        <v>1993</v>
      </c>
      <c r="R9476" t="s">
        <v>1191</v>
      </c>
      <c r="S9476" t="s">
        <v>1192</v>
      </c>
      <c r="T9476" t="s">
        <v>15769</v>
      </c>
      <c r="U9476" t="s">
        <v>15770</v>
      </c>
      <c r="V9476" t="s">
        <v>15771</v>
      </c>
      <c r="W9476" t="s">
        <v>15772</v>
      </c>
      <c r="AD9476" t="s">
        <v>15773</v>
      </c>
      <c r="AE9476" t="s">
        <v>15774</v>
      </c>
      <c r="AF9476" t="s">
        <v>19241</v>
      </c>
    </row>
    <row r="9477" spans="1:32" hidden="1" x14ac:dyDescent="0.35">
      <c r="A9477">
        <v>9476</v>
      </c>
      <c r="B9477" t="s">
        <v>19240</v>
      </c>
      <c r="C9477" t="s">
        <v>33</v>
      </c>
      <c r="D9477" t="s">
        <v>62</v>
      </c>
      <c r="E9477">
        <v>2045</v>
      </c>
      <c r="F9477">
        <v>2</v>
      </c>
      <c r="G9477">
        <v>2</v>
      </c>
      <c r="H9477">
        <v>1</v>
      </c>
      <c r="I9477">
        <v>0</v>
      </c>
      <c r="J9477">
        <v>0.999334664005323</v>
      </c>
      <c r="K9477">
        <v>1</v>
      </c>
      <c r="L9477">
        <v>0.99966722129783703</v>
      </c>
      <c r="M9477">
        <v>0.99800399201596801</v>
      </c>
      <c r="N9477">
        <v>0.99800399201596801</v>
      </c>
      <c r="O9477">
        <v>0.99800399201596801</v>
      </c>
      <c r="P9477" t="s">
        <v>1992</v>
      </c>
      <c r="Q9477" t="s">
        <v>1993</v>
      </c>
      <c r="R9477" t="s">
        <v>1191</v>
      </c>
      <c r="S9477" t="s">
        <v>1192</v>
      </c>
      <c r="T9477" t="s">
        <v>15769</v>
      </c>
      <c r="U9477" t="s">
        <v>15770</v>
      </c>
      <c r="V9477" t="s">
        <v>15771</v>
      </c>
      <c r="W9477" t="s">
        <v>15772</v>
      </c>
      <c r="AD9477" t="s">
        <v>15773</v>
      </c>
      <c r="AE9477" t="s">
        <v>15774</v>
      </c>
      <c r="AF9477" t="s">
        <v>19242</v>
      </c>
    </row>
    <row r="9478" spans="1:32" hidden="1" x14ac:dyDescent="0.35">
      <c r="A9478">
        <v>9477</v>
      </c>
      <c r="B9478" t="s">
        <v>19243</v>
      </c>
      <c r="C9478" t="s">
        <v>33</v>
      </c>
      <c r="D9478" t="s">
        <v>60</v>
      </c>
      <c r="E9478">
        <v>1496</v>
      </c>
      <c r="F9478">
        <v>2</v>
      </c>
      <c r="G9478">
        <v>2</v>
      </c>
      <c r="H9478">
        <v>1</v>
      </c>
      <c r="I9478">
        <v>0</v>
      </c>
      <c r="J9478">
        <v>0.99862825788751697</v>
      </c>
      <c r="K9478">
        <v>1</v>
      </c>
      <c r="L9478">
        <v>0.99931365820178497</v>
      </c>
      <c r="M9478">
        <v>0.99588477366255101</v>
      </c>
      <c r="N9478">
        <v>0.99588477366255101</v>
      </c>
      <c r="O9478">
        <v>0.99588477366255101</v>
      </c>
      <c r="AF9478" t="s">
        <v>19244</v>
      </c>
    </row>
    <row r="9479" spans="1:32" hidden="1" x14ac:dyDescent="0.35">
      <c r="A9479">
        <v>9478</v>
      </c>
      <c r="B9479" t="s">
        <v>19243</v>
      </c>
      <c r="C9479" t="s">
        <v>33</v>
      </c>
      <c r="D9479" t="s">
        <v>62</v>
      </c>
      <c r="E9479">
        <v>1531</v>
      </c>
      <c r="F9479">
        <v>2</v>
      </c>
      <c r="G9479">
        <v>2</v>
      </c>
      <c r="H9479">
        <v>1</v>
      </c>
      <c r="I9479">
        <v>0</v>
      </c>
      <c r="J9479">
        <v>0.99862825788751697</v>
      </c>
      <c r="K9479">
        <v>1</v>
      </c>
      <c r="L9479">
        <v>0.99931365820178497</v>
      </c>
      <c r="M9479">
        <v>0.99588477366255101</v>
      </c>
      <c r="N9479">
        <v>0.99588477366255101</v>
      </c>
      <c r="O9479">
        <v>0.99588477366255101</v>
      </c>
      <c r="AF9479" t="s">
        <v>19245</v>
      </c>
    </row>
    <row r="9480" spans="1:32" hidden="1" x14ac:dyDescent="0.35">
      <c r="A9480">
        <v>9479</v>
      </c>
      <c r="B9480" t="s">
        <v>19246</v>
      </c>
      <c r="C9480" t="s">
        <v>33</v>
      </c>
      <c r="D9480" t="s">
        <v>60</v>
      </c>
      <c r="E9480">
        <v>1048</v>
      </c>
      <c r="F9480">
        <v>2</v>
      </c>
      <c r="G9480">
        <v>2</v>
      </c>
      <c r="H9480">
        <v>1</v>
      </c>
      <c r="I9480">
        <v>0</v>
      </c>
      <c r="J9480">
        <v>0.97505668934240397</v>
      </c>
      <c r="K9480">
        <v>1</v>
      </c>
      <c r="L9480">
        <v>0.98737083811710702</v>
      </c>
      <c r="M9480">
        <v>0.96598639455782298</v>
      </c>
      <c r="N9480">
        <v>0.96598639455782298</v>
      </c>
      <c r="O9480">
        <v>0.96598639455782298</v>
      </c>
      <c r="P9480" t="s">
        <v>19247</v>
      </c>
      <c r="Q9480" t="s">
        <v>19248</v>
      </c>
      <c r="R9480" t="s">
        <v>138</v>
      </c>
      <c r="S9480" t="s">
        <v>139</v>
      </c>
      <c r="T9480" t="s">
        <v>19249</v>
      </c>
      <c r="U9480" t="s">
        <v>19250</v>
      </c>
      <c r="V9480" t="s">
        <v>19251</v>
      </c>
      <c r="W9480" t="s">
        <v>19252</v>
      </c>
      <c r="AD9480" t="s">
        <v>19253</v>
      </c>
      <c r="AE9480" t="s">
        <v>19254</v>
      </c>
      <c r="AF9480" t="s">
        <v>19255</v>
      </c>
    </row>
    <row r="9481" spans="1:32" hidden="1" x14ac:dyDescent="0.35">
      <c r="A9481">
        <v>9480</v>
      </c>
      <c r="B9481" t="s">
        <v>19246</v>
      </c>
      <c r="C9481" t="s">
        <v>33</v>
      </c>
      <c r="D9481" t="s">
        <v>62</v>
      </c>
      <c r="E9481">
        <v>1084</v>
      </c>
      <c r="F9481">
        <v>2</v>
      </c>
      <c r="G9481">
        <v>2</v>
      </c>
      <c r="H9481">
        <v>1</v>
      </c>
      <c r="I9481">
        <v>0</v>
      </c>
      <c r="J9481">
        <v>0.97505668934240397</v>
      </c>
      <c r="K9481">
        <v>1</v>
      </c>
      <c r="L9481">
        <v>0.98737083811710702</v>
      </c>
      <c r="M9481">
        <v>0.96598639455782298</v>
      </c>
      <c r="N9481">
        <v>0.96598639455782298</v>
      </c>
      <c r="O9481">
        <v>0.96598639455782298</v>
      </c>
      <c r="P9481" t="s">
        <v>19247</v>
      </c>
      <c r="Q9481" t="s">
        <v>19248</v>
      </c>
      <c r="R9481" t="s">
        <v>138</v>
      </c>
      <c r="S9481" t="s">
        <v>139</v>
      </c>
      <c r="T9481" t="s">
        <v>19249</v>
      </c>
      <c r="U9481" t="s">
        <v>19250</v>
      </c>
      <c r="V9481" t="s">
        <v>19251</v>
      </c>
      <c r="W9481" t="s">
        <v>19252</v>
      </c>
      <c r="AD9481" t="s">
        <v>19253</v>
      </c>
      <c r="AE9481" t="s">
        <v>19254</v>
      </c>
      <c r="AF9481" t="s">
        <v>19256</v>
      </c>
    </row>
    <row r="9482" spans="1:32" hidden="1" x14ac:dyDescent="0.35">
      <c r="A9482">
        <v>9481</v>
      </c>
      <c r="B9482" t="s">
        <v>19257</v>
      </c>
      <c r="C9482" t="s">
        <v>33</v>
      </c>
      <c r="D9482" t="s">
        <v>34</v>
      </c>
      <c r="E9482">
        <v>533</v>
      </c>
      <c r="F9482">
        <v>2</v>
      </c>
      <c r="G9482">
        <v>2</v>
      </c>
      <c r="H9482">
        <v>1</v>
      </c>
      <c r="I9482">
        <v>0</v>
      </c>
      <c r="J9482">
        <v>0.99242424242424199</v>
      </c>
      <c r="K9482">
        <v>1</v>
      </c>
      <c r="L9482">
        <v>0.99619771863117901</v>
      </c>
      <c r="M9482">
        <v>0.99025974025973995</v>
      </c>
      <c r="N9482">
        <v>0.99025974025973995</v>
      </c>
      <c r="O9482">
        <v>0.99025974025973995</v>
      </c>
      <c r="P9482" t="s">
        <v>19258</v>
      </c>
      <c r="Q9482" t="s">
        <v>19259</v>
      </c>
      <c r="R9482" t="s">
        <v>75</v>
      </c>
      <c r="S9482" t="s">
        <v>76</v>
      </c>
      <c r="T9482" t="s">
        <v>19260</v>
      </c>
      <c r="U9482" t="s">
        <v>19261</v>
      </c>
      <c r="V9482" t="s">
        <v>19262</v>
      </c>
      <c r="W9482" t="s">
        <v>19263</v>
      </c>
      <c r="Z9482" t="s">
        <v>15474</v>
      </c>
      <c r="AA9482" t="s">
        <v>15475</v>
      </c>
      <c r="AB9482" t="s">
        <v>15474</v>
      </c>
      <c r="AC9482" t="s">
        <v>15476</v>
      </c>
      <c r="AD9482" t="s">
        <v>1231</v>
      </c>
      <c r="AE9482" t="s">
        <v>19264</v>
      </c>
      <c r="AF9482" t="s">
        <v>19265</v>
      </c>
    </row>
    <row r="9483" spans="1:32" hidden="1" x14ac:dyDescent="0.35">
      <c r="A9483">
        <v>9482</v>
      </c>
      <c r="B9483" t="s">
        <v>19257</v>
      </c>
      <c r="C9483" t="s">
        <v>33</v>
      </c>
      <c r="D9483" t="s">
        <v>45</v>
      </c>
      <c r="E9483">
        <v>1799</v>
      </c>
      <c r="F9483">
        <v>2</v>
      </c>
      <c r="G9483">
        <v>2</v>
      </c>
      <c r="H9483">
        <v>1</v>
      </c>
      <c r="I9483">
        <v>0</v>
      </c>
      <c r="J9483">
        <v>0.99242424242424199</v>
      </c>
      <c r="K9483">
        <v>1</v>
      </c>
      <c r="L9483">
        <v>0.99619771863117901</v>
      </c>
      <c r="M9483">
        <v>0.99025974025973995</v>
      </c>
      <c r="N9483">
        <v>0.99025974025973995</v>
      </c>
      <c r="O9483">
        <v>0.99025974025973995</v>
      </c>
      <c r="P9483" t="s">
        <v>19258</v>
      </c>
      <c r="Q9483" t="s">
        <v>19259</v>
      </c>
      <c r="R9483" t="s">
        <v>75</v>
      </c>
      <c r="S9483" t="s">
        <v>76</v>
      </c>
      <c r="T9483" t="s">
        <v>19260</v>
      </c>
      <c r="U9483" t="s">
        <v>19261</v>
      </c>
      <c r="V9483" t="s">
        <v>19262</v>
      </c>
      <c r="W9483" t="s">
        <v>19263</v>
      </c>
      <c r="Z9483" t="s">
        <v>15474</v>
      </c>
      <c r="AA9483" t="s">
        <v>15475</v>
      </c>
      <c r="AB9483" t="s">
        <v>15474</v>
      </c>
      <c r="AC9483" t="s">
        <v>15476</v>
      </c>
      <c r="AD9483" t="s">
        <v>1231</v>
      </c>
      <c r="AE9483" t="s">
        <v>19264</v>
      </c>
      <c r="AF9483" t="s">
        <v>19266</v>
      </c>
    </row>
    <row r="9484" spans="1:32" hidden="1" x14ac:dyDescent="0.35">
      <c r="A9484">
        <v>9483</v>
      </c>
      <c r="B9484" t="s">
        <v>19267</v>
      </c>
      <c r="C9484" t="s">
        <v>33</v>
      </c>
      <c r="D9484" t="s">
        <v>34</v>
      </c>
      <c r="E9484">
        <v>2324</v>
      </c>
      <c r="F9484">
        <v>2</v>
      </c>
      <c r="G9484">
        <v>2</v>
      </c>
      <c r="H9484">
        <v>1</v>
      </c>
      <c r="I9484">
        <v>0</v>
      </c>
      <c r="J9484">
        <v>0.98750000000000004</v>
      </c>
      <c r="K9484">
        <v>1</v>
      </c>
      <c r="L9484">
        <v>0.99371069182389904</v>
      </c>
      <c r="M9484">
        <v>0.98333333333333295</v>
      </c>
      <c r="N9484">
        <v>0.98333333333333295</v>
      </c>
      <c r="O9484">
        <v>0.98333333333333295</v>
      </c>
      <c r="AF9484" t="s">
        <v>19268</v>
      </c>
    </row>
    <row r="9485" spans="1:32" hidden="1" x14ac:dyDescent="0.35">
      <c r="A9485">
        <v>9484</v>
      </c>
      <c r="B9485" t="s">
        <v>19267</v>
      </c>
      <c r="C9485" t="s">
        <v>33</v>
      </c>
      <c r="D9485" t="s">
        <v>45</v>
      </c>
      <c r="E9485">
        <v>554</v>
      </c>
      <c r="F9485">
        <v>2</v>
      </c>
      <c r="G9485">
        <v>2</v>
      </c>
      <c r="H9485">
        <v>1</v>
      </c>
      <c r="I9485">
        <v>0</v>
      </c>
      <c r="J9485">
        <v>0.98750000000000004</v>
      </c>
      <c r="K9485">
        <v>1</v>
      </c>
      <c r="L9485">
        <v>0.99371069182389904</v>
      </c>
      <c r="M9485">
        <v>0.98333333333333295</v>
      </c>
      <c r="N9485">
        <v>0.98333333333333295</v>
      </c>
      <c r="O9485">
        <v>0.98333333333333295</v>
      </c>
      <c r="AF9485" t="s">
        <v>19269</v>
      </c>
    </row>
    <row r="9486" spans="1:32" hidden="1" x14ac:dyDescent="0.35">
      <c r="A9486">
        <v>9485</v>
      </c>
      <c r="B9486" t="s">
        <v>19270</v>
      </c>
      <c r="C9486" t="s">
        <v>33</v>
      </c>
      <c r="D9486" t="s">
        <v>60</v>
      </c>
      <c r="E9486">
        <v>1340</v>
      </c>
      <c r="F9486">
        <v>2</v>
      </c>
      <c r="G9486">
        <v>2</v>
      </c>
      <c r="H9486">
        <v>1</v>
      </c>
      <c r="I9486">
        <v>0</v>
      </c>
      <c r="J9486">
        <v>0.99878123095673399</v>
      </c>
      <c r="K9486">
        <v>1</v>
      </c>
      <c r="L9486">
        <v>0.99939024390243902</v>
      </c>
      <c r="M9486">
        <v>0.99634369287020097</v>
      </c>
      <c r="N9486">
        <v>0.99634369287020097</v>
      </c>
      <c r="O9486">
        <v>0.99634369287020097</v>
      </c>
      <c r="AF9486" t="s">
        <v>19271</v>
      </c>
    </row>
    <row r="9487" spans="1:32" hidden="1" x14ac:dyDescent="0.35">
      <c r="A9487">
        <v>9486</v>
      </c>
      <c r="B9487" t="s">
        <v>19270</v>
      </c>
      <c r="C9487" t="s">
        <v>33</v>
      </c>
      <c r="D9487" t="s">
        <v>62</v>
      </c>
      <c r="E9487">
        <v>1376</v>
      </c>
      <c r="F9487">
        <v>2</v>
      </c>
      <c r="G9487">
        <v>2</v>
      </c>
      <c r="H9487">
        <v>1</v>
      </c>
      <c r="I9487">
        <v>0</v>
      </c>
      <c r="J9487">
        <v>0.99878123095673399</v>
      </c>
      <c r="K9487">
        <v>1</v>
      </c>
      <c r="L9487">
        <v>0.99939024390243902</v>
      </c>
      <c r="M9487">
        <v>0.99634369287020097</v>
      </c>
      <c r="N9487">
        <v>0.99634369287020097</v>
      </c>
      <c r="O9487">
        <v>0.99634369287020097</v>
      </c>
      <c r="AF9487" t="s">
        <v>19272</v>
      </c>
    </row>
    <row r="9488" spans="1:32" hidden="1" x14ac:dyDescent="0.35">
      <c r="A9488">
        <v>9487</v>
      </c>
      <c r="B9488" t="s">
        <v>19273</v>
      </c>
      <c r="C9488" t="s">
        <v>33</v>
      </c>
      <c r="D9488" t="s">
        <v>34</v>
      </c>
      <c r="E9488">
        <v>2090</v>
      </c>
      <c r="F9488">
        <v>2</v>
      </c>
      <c r="G9488">
        <v>2</v>
      </c>
      <c r="H9488">
        <v>1</v>
      </c>
      <c r="I9488">
        <v>0</v>
      </c>
      <c r="J9488">
        <v>0.97821350762527204</v>
      </c>
      <c r="K9488">
        <v>0.98713866778382697</v>
      </c>
      <c r="L9488">
        <v>0.98265582200233803</v>
      </c>
      <c r="M9488">
        <v>0.96129032258064495</v>
      </c>
      <c r="N9488">
        <v>0.96129032258064495</v>
      </c>
      <c r="O9488">
        <v>0.96129032258064495</v>
      </c>
      <c r="AF9488" t="s">
        <v>19274</v>
      </c>
    </row>
    <row r="9489" spans="1:32" hidden="1" x14ac:dyDescent="0.35">
      <c r="A9489">
        <v>9488</v>
      </c>
      <c r="B9489" t="s">
        <v>19273</v>
      </c>
      <c r="C9489" t="s">
        <v>33</v>
      </c>
      <c r="D9489" t="s">
        <v>45</v>
      </c>
      <c r="E9489">
        <v>782</v>
      </c>
      <c r="F9489">
        <v>2</v>
      </c>
      <c r="G9489">
        <v>2</v>
      </c>
      <c r="H9489">
        <v>1</v>
      </c>
      <c r="I9489">
        <v>0</v>
      </c>
      <c r="J9489">
        <v>0.97821350762527204</v>
      </c>
      <c r="K9489">
        <v>0.98713866778382697</v>
      </c>
      <c r="L9489">
        <v>0.98265582200233803</v>
      </c>
      <c r="M9489">
        <v>0.96129032258064495</v>
      </c>
      <c r="N9489">
        <v>0.96129032258064495</v>
      </c>
      <c r="O9489">
        <v>0.96129032258064495</v>
      </c>
      <c r="AF9489" t="s">
        <v>19275</v>
      </c>
    </row>
    <row r="9490" spans="1:32" hidden="1" x14ac:dyDescent="0.35">
      <c r="A9490">
        <v>9489</v>
      </c>
      <c r="B9490" t="s">
        <v>19276</v>
      </c>
      <c r="C9490" t="s">
        <v>33</v>
      </c>
      <c r="D9490" t="s">
        <v>34</v>
      </c>
      <c r="E9490">
        <v>538</v>
      </c>
      <c r="F9490">
        <v>2</v>
      </c>
      <c r="G9490">
        <v>2</v>
      </c>
      <c r="H9490">
        <v>1</v>
      </c>
      <c r="I9490">
        <v>0</v>
      </c>
      <c r="J9490">
        <v>0.97916666666666696</v>
      </c>
      <c r="K9490">
        <v>1</v>
      </c>
      <c r="L9490">
        <v>0.98947368421052595</v>
      </c>
      <c r="M9490">
        <v>0.97499999999999998</v>
      </c>
      <c r="N9490">
        <v>0.97499999999999998</v>
      </c>
      <c r="O9490">
        <v>0.97499999999999998</v>
      </c>
      <c r="AF9490" t="s">
        <v>19277</v>
      </c>
    </row>
    <row r="9491" spans="1:32" hidden="1" x14ac:dyDescent="0.35">
      <c r="A9491">
        <v>9490</v>
      </c>
      <c r="B9491" t="s">
        <v>19276</v>
      </c>
      <c r="C9491" t="s">
        <v>33</v>
      </c>
      <c r="D9491" t="s">
        <v>45</v>
      </c>
      <c r="E9491">
        <v>1805</v>
      </c>
      <c r="F9491">
        <v>2</v>
      </c>
      <c r="G9491">
        <v>2</v>
      </c>
      <c r="H9491">
        <v>1</v>
      </c>
      <c r="I9491">
        <v>0</v>
      </c>
      <c r="J9491">
        <v>0.97916666666666696</v>
      </c>
      <c r="K9491">
        <v>1</v>
      </c>
      <c r="L9491">
        <v>0.98947368421052595</v>
      </c>
      <c r="M9491">
        <v>0.97499999999999998</v>
      </c>
      <c r="N9491">
        <v>0.97499999999999998</v>
      </c>
      <c r="O9491">
        <v>0.97499999999999998</v>
      </c>
      <c r="AF9491" t="s">
        <v>19278</v>
      </c>
    </row>
    <row r="9492" spans="1:32" hidden="1" x14ac:dyDescent="0.35">
      <c r="A9492">
        <v>9491</v>
      </c>
      <c r="B9492" t="s">
        <v>19279</v>
      </c>
      <c r="C9492" t="s">
        <v>33</v>
      </c>
      <c r="D9492" t="s">
        <v>60</v>
      </c>
      <c r="E9492">
        <v>1636</v>
      </c>
      <c r="F9492">
        <v>2</v>
      </c>
      <c r="G9492">
        <v>2</v>
      </c>
      <c r="H9492">
        <v>1</v>
      </c>
      <c r="I9492">
        <v>0</v>
      </c>
      <c r="J9492">
        <v>0.99917287014061196</v>
      </c>
      <c r="K9492">
        <v>1</v>
      </c>
      <c r="L9492">
        <v>0.99958626396359096</v>
      </c>
      <c r="M9492">
        <v>0.99751861042183598</v>
      </c>
      <c r="N9492">
        <v>0.99751861042183598</v>
      </c>
      <c r="O9492">
        <v>0.99751861042183598</v>
      </c>
      <c r="P9492" t="s">
        <v>363</v>
      </c>
      <c r="Q9492" t="s">
        <v>364</v>
      </c>
      <c r="R9492" t="s">
        <v>157</v>
      </c>
      <c r="S9492" t="s">
        <v>158</v>
      </c>
      <c r="T9492" t="s">
        <v>19280</v>
      </c>
      <c r="U9492" t="s">
        <v>19281</v>
      </c>
      <c r="V9492" t="s">
        <v>358</v>
      </c>
      <c r="W9492" t="s">
        <v>359</v>
      </c>
      <c r="AD9492" t="s">
        <v>5013</v>
      </c>
      <c r="AE9492" t="s">
        <v>19282</v>
      </c>
      <c r="AF9492" t="s">
        <v>19283</v>
      </c>
    </row>
    <row r="9493" spans="1:32" hidden="1" x14ac:dyDescent="0.35">
      <c r="A9493">
        <v>9492</v>
      </c>
      <c r="B9493" t="s">
        <v>19279</v>
      </c>
      <c r="C9493" t="s">
        <v>33</v>
      </c>
      <c r="D9493" t="s">
        <v>62</v>
      </c>
      <c r="E9493">
        <v>1671</v>
      </c>
      <c r="F9493">
        <v>2</v>
      </c>
      <c r="G9493">
        <v>2</v>
      </c>
      <c r="H9493">
        <v>1</v>
      </c>
      <c r="I9493">
        <v>0</v>
      </c>
      <c r="J9493">
        <v>0.99917287014061196</v>
      </c>
      <c r="K9493">
        <v>1</v>
      </c>
      <c r="L9493">
        <v>0.99958626396359096</v>
      </c>
      <c r="M9493">
        <v>0.99751861042183598</v>
      </c>
      <c r="N9493">
        <v>0.99751861042183598</v>
      </c>
      <c r="O9493">
        <v>0.99751861042183598</v>
      </c>
      <c r="P9493" t="s">
        <v>363</v>
      </c>
      <c r="Q9493" t="s">
        <v>364</v>
      </c>
      <c r="R9493" t="s">
        <v>157</v>
      </c>
      <c r="S9493" t="s">
        <v>158</v>
      </c>
      <c r="T9493" t="s">
        <v>19280</v>
      </c>
      <c r="U9493" t="s">
        <v>19281</v>
      </c>
      <c r="V9493" t="s">
        <v>358</v>
      </c>
      <c r="W9493" t="s">
        <v>359</v>
      </c>
      <c r="AD9493" t="s">
        <v>5013</v>
      </c>
      <c r="AE9493" t="s">
        <v>19282</v>
      </c>
      <c r="AF9493" t="s">
        <v>19284</v>
      </c>
    </row>
    <row r="9494" spans="1:32" hidden="1" x14ac:dyDescent="0.35">
      <c r="A9494">
        <v>9493</v>
      </c>
      <c r="B9494" t="s">
        <v>19285</v>
      </c>
      <c r="C9494" t="s">
        <v>33</v>
      </c>
      <c r="D9494" t="s">
        <v>34</v>
      </c>
      <c r="E9494">
        <v>891</v>
      </c>
      <c r="F9494">
        <v>2</v>
      </c>
      <c r="G9494">
        <v>2</v>
      </c>
      <c r="H9494">
        <v>1</v>
      </c>
      <c r="I9494">
        <v>0</v>
      </c>
      <c r="J9494">
        <v>0.99300699300699302</v>
      </c>
      <c r="K9494">
        <v>1</v>
      </c>
      <c r="L9494">
        <v>0.99649122807017598</v>
      </c>
      <c r="M9494">
        <v>0.99300699300699302</v>
      </c>
      <c r="N9494">
        <v>0.99300699300699302</v>
      </c>
      <c r="O9494">
        <v>0.99300699300699302</v>
      </c>
      <c r="P9494" t="s">
        <v>13314</v>
      </c>
      <c r="Q9494" t="s">
        <v>13315</v>
      </c>
      <c r="AF9494" t="s">
        <v>19286</v>
      </c>
    </row>
    <row r="9495" spans="1:32" hidden="1" x14ac:dyDescent="0.35">
      <c r="A9495">
        <v>9494</v>
      </c>
      <c r="B9495" t="s">
        <v>19285</v>
      </c>
      <c r="C9495" t="s">
        <v>33</v>
      </c>
      <c r="D9495" t="s">
        <v>45</v>
      </c>
      <c r="E9495">
        <v>2147</v>
      </c>
      <c r="F9495">
        <v>2</v>
      </c>
      <c r="G9495">
        <v>2</v>
      </c>
      <c r="H9495">
        <v>1</v>
      </c>
      <c r="I9495">
        <v>0</v>
      </c>
      <c r="J9495">
        <v>0.99300699300699302</v>
      </c>
      <c r="K9495">
        <v>1</v>
      </c>
      <c r="L9495">
        <v>0.99649122807017598</v>
      </c>
      <c r="M9495">
        <v>0.99300699300699302</v>
      </c>
      <c r="N9495">
        <v>0.99300699300699302</v>
      </c>
      <c r="O9495">
        <v>0.99300699300699302</v>
      </c>
      <c r="P9495" t="s">
        <v>13314</v>
      </c>
      <c r="Q9495" t="s">
        <v>13315</v>
      </c>
      <c r="AF9495" t="s">
        <v>19287</v>
      </c>
    </row>
    <row r="9496" spans="1:32" hidden="1" x14ac:dyDescent="0.35">
      <c r="A9496">
        <v>9495</v>
      </c>
      <c r="B9496" t="s">
        <v>19288</v>
      </c>
      <c r="C9496" t="s">
        <v>33</v>
      </c>
      <c r="D9496" t="s">
        <v>34</v>
      </c>
      <c r="E9496">
        <v>1758</v>
      </c>
      <c r="F9496">
        <v>2</v>
      </c>
      <c r="G9496">
        <v>2</v>
      </c>
      <c r="H9496">
        <v>1</v>
      </c>
      <c r="I9496">
        <v>0</v>
      </c>
      <c r="J9496">
        <v>0.99596774193548399</v>
      </c>
      <c r="K9496">
        <v>1</v>
      </c>
      <c r="L9496">
        <v>0.99797979797979797</v>
      </c>
      <c r="M9496">
        <v>0.99596774193548399</v>
      </c>
      <c r="N9496">
        <v>0.99596774193548399</v>
      </c>
      <c r="O9496">
        <v>0.99596774193548399</v>
      </c>
      <c r="R9496" t="s">
        <v>213</v>
      </c>
      <c r="S9496" t="s">
        <v>214</v>
      </c>
      <c r="T9496" t="s">
        <v>8408</v>
      </c>
      <c r="U9496" t="s">
        <v>8409</v>
      </c>
      <c r="V9496" t="s">
        <v>11752</v>
      </c>
      <c r="W9496" t="s">
        <v>11753</v>
      </c>
      <c r="X9496" t="s">
        <v>11752</v>
      </c>
      <c r="Y9496" t="s">
        <v>710</v>
      </c>
      <c r="Z9496" t="s">
        <v>5732</v>
      </c>
      <c r="AA9496" t="s">
        <v>5733</v>
      </c>
      <c r="AB9496" t="s">
        <v>5732</v>
      </c>
      <c r="AC9496" t="s">
        <v>713</v>
      </c>
      <c r="AD9496" t="s">
        <v>3948</v>
      </c>
      <c r="AE9496" t="s">
        <v>8410</v>
      </c>
      <c r="AF9496" t="s">
        <v>19289</v>
      </c>
    </row>
    <row r="9497" spans="1:32" hidden="1" x14ac:dyDescent="0.35">
      <c r="A9497">
        <v>9496</v>
      </c>
      <c r="B9497" t="s">
        <v>19288</v>
      </c>
      <c r="C9497" t="s">
        <v>33</v>
      </c>
      <c r="D9497" t="s">
        <v>45</v>
      </c>
      <c r="E9497">
        <v>1115</v>
      </c>
      <c r="F9497">
        <v>2</v>
      </c>
      <c r="G9497">
        <v>2</v>
      </c>
      <c r="H9497">
        <v>1</v>
      </c>
      <c r="I9497">
        <v>0</v>
      </c>
      <c r="J9497">
        <v>0.99596774193548399</v>
      </c>
      <c r="K9497">
        <v>1</v>
      </c>
      <c r="L9497">
        <v>0.99797979797979797</v>
      </c>
      <c r="M9497">
        <v>0.99596774193548399</v>
      </c>
      <c r="N9497">
        <v>0.99596774193548399</v>
      </c>
      <c r="O9497">
        <v>0.99596774193548399</v>
      </c>
      <c r="R9497" t="s">
        <v>213</v>
      </c>
      <c r="S9497" t="s">
        <v>214</v>
      </c>
      <c r="T9497" t="s">
        <v>8408</v>
      </c>
      <c r="U9497" t="s">
        <v>8409</v>
      </c>
      <c r="V9497" t="s">
        <v>11752</v>
      </c>
      <c r="W9497" t="s">
        <v>11753</v>
      </c>
      <c r="X9497" t="s">
        <v>11752</v>
      </c>
      <c r="Y9497" t="s">
        <v>710</v>
      </c>
      <c r="Z9497" t="s">
        <v>5732</v>
      </c>
      <c r="AA9497" t="s">
        <v>5733</v>
      </c>
      <c r="AB9497" t="s">
        <v>5732</v>
      </c>
      <c r="AC9497" t="s">
        <v>713</v>
      </c>
      <c r="AD9497" t="s">
        <v>3948</v>
      </c>
      <c r="AE9497" t="s">
        <v>8410</v>
      </c>
      <c r="AF9497" t="s">
        <v>19290</v>
      </c>
    </row>
    <row r="9498" spans="1:32" hidden="1" x14ac:dyDescent="0.35">
      <c r="A9498">
        <v>9497</v>
      </c>
      <c r="B9498" t="s">
        <v>19291</v>
      </c>
      <c r="C9498" t="s">
        <v>33</v>
      </c>
      <c r="D9498" t="s">
        <v>60</v>
      </c>
      <c r="E9498">
        <v>1864</v>
      </c>
      <c r="F9498">
        <v>2</v>
      </c>
      <c r="G9498">
        <v>2</v>
      </c>
      <c r="H9498">
        <v>1</v>
      </c>
      <c r="I9498">
        <v>0</v>
      </c>
      <c r="J9498">
        <v>0.99925760950259801</v>
      </c>
      <c r="K9498">
        <v>1</v>
      </c>
      <c r="L9498">
        <v>0.99962866691422203</v>
      </c>
      <c r="M9498">
        <v>0.99777282850779503</v>
      </c>
      <c r="N9498">
        <v>0.99777282850779503</v>
      </c>
      <c r="O9498">
        <v>0.99777282850779503</v>
      </c>
      <c r="P9498" t="s">
        <v>19292</v>
      </c>
      <c r="Q9498" t="s">
        <v>19293</v>
      </c>
      <c r="R9498" t="s">
        <v>19294</v>
      </c>
      <c r="S9498" t="s">
        <v>19295</v>
      </c>
      <c r="V9498" t="s">
        <v>19296</v>
      </c>
      <c r="W9498" t="s">
        <v>19297</v>
      </c>
      <c r="X9498" t="s">
        <v>19296</v>
      </c>
      <c r="Y9498" t="s">
        <v>2392</v>
      </c>
      <c r="AF9498" t="s">
        <v>19298</v>
      </c>
    </row>
    <row r="9499" spans="1:32" hidden="1" x14ac:dyDescent="0.35">
      <c r="A9499">
        <v>9498</v>
      </c>
      <c r="B9499" t="s">
        <v>19291</v>
      </c>
      <c r="C9499" t="s">
        <v>33</v>
      </c>
      <c r="D9499" t="s">
        <v>62</v>
      </c>
      <c r="E9499">
        <v>1902</v>
      </c>
      <c r="F9499">
        <v>2</v>
      </c>
      <c r="G9499">
        <v>2</v>
      </c>
      <c r="H9499">
        <v>1</v>
      </c>
      <c r="I9499">
        <v>0</v>
      </c>
      <c r="J9499">
        <v>0.99925760950259801</v>
      </c>
      <c r="K9499">
        <v>1</v>
      </c>
      <c r="L9499">
        <v>0.99962866691422203</v>
      </c>
      <c r="M9499">
        <v>0.99777282850779503</v>
      </c>
      <c r="N9499">
        <v>0.99777282850779503</v>
      </c>
      <c r="O9499">
        <v>0.99777282850779503</v>
      </c>
      <c r="P9499" t="s">
        <v>19292</v>
      </c>
      <c r="Q9499" t="s">
        <v>19293</v>
      </c>
      <c r="R9499" t="s">
        <v>19294</v>
      </c>
      <c r="S9499" t="s">
        <v>19295</v>
      </c>
      <c r="V9499" t="s">
        <v>19296</v>
      </c>
      <c r="W9499" t="s">
        <v>19297</v>
      </c>
      <c r="X9499" t="s">
        <v>19296</v>
      </c>
      <c r="Y9499" t="s">
        <v>2392</v>
      </c>
      <c r="AF9499" t="s">
        <v>19299</v>
      </c>
    </row>
    <row r="9500" spans="1:32" hidden="1" x14ac:dyDescent="0.35">
      <c r="A9500">
        <v>9499</v>
      </c>
      <c r="B9500" t="s">
        <v>19300</v>
      </c>
      <c r="C9500" t="s">
        <v>33</v>
      </c>
      <c r="D9500" t="s">
        <v>34</v>
      </c>
      <c r="E9500">
        <v>71</v>
      </c>
      <c r="F9500">
        <v>2</v>
      </c>
      <c r="G9500">
        <v>2</v>
      </c>
      <c r="H9500">
        <v>1</v>
      </c>
      <c r="I9500">
        <v>0</v>
      </c>
      <c r="J9500">
        <v>0.99862258953168004</v>
      </c>
      <c r="K9500">
        <v>1</v>
      </c>
      <c r="L9500">
        <v>0.99931082012405203</v>
      </c>
      <c r="M9500">
        <v>0.995867768595041</v>
      </c>
      <c r="N9500">
        <v>0.995867768595041</v>
      </c>
      <c r="O9500">
        <v>0.995867768595041</v>
      </c>
      <c r="P9500" t="s">
        <v>10471</v>
      </c>
      <c r="Q9500" t="s">
        <v>1037</v>
      </c>
      <c r="T9500" t="s">
        <v>15535</v>
      </c>
      <c r="U9500" t="s">
        <v>15314</v>
      </c>
      <c r="AD9500" t="s">
        <v>439</v>
      </c>
      <c r="AE9500" t="s">
        <v>10862</v>
      </c>
      <c r="AF9500" t="s">
        <v>19301</v>
      </c>
    </row>
    <row r="9501" spans="1:32" hidden="1" x14ac:dyDescent="0.35">
      <c r="A9501">
        <v>9500</v>
      </c>
      <c r="B9501" t="s">
        <v>19300</v>
      </c>
      <c r="C9501" t="s">
        <v>33</v>
      </c>
      <c r="D9501" t="s">
        <v>45</v>
      </c>
      <c r="E9501">
        <v>1329</v>
      </c>
      <c r="F9501">
        <v>2</v>
      </c>
      <c r="G9501">
        <v>2</v>
      </c>
      <c r="H9501">
        <v>1</v>
      </c>
      <c r="I9501">
        <v>0</v>
      </c>
      <c r="J9501">
        <v>0.99862258953168004</v>
      </c>
      <c r="K9501">
        <v>1</v>
      </c>
      <c r="L9501">
        <v>0.99931082012405203</v>
      </c>
      <c r="M9501">
        <v>0.995867768595041</v>
      </c>
      <c r="N9501">
        <v>0.995867768595041</v>
      </c>
      <c r="O9501">
        <v>0.995867768595041</v>
      </c>
      <c r="P9501" t="s">
        <v>10471</v>
      </c>
      <c r="Q9501" t="s">
        <v>1037</v>
      </c>
      <c r="T9501" t="s">
        <v>15535</v>
      </c>
      <c r="U9501" t="s">
        <v>15314</v>
      </c>
      <c r="AD9501" t="s">
        <v>439</v>
      </c>
      <c r="AE9501" t="s">
        <v>10862</v>
      </c>
      <c r="AF9501" t="s">
        <v>19302</v>
      </c>
    </row>
    <row r="9502" spans="1:32" hidden="1" x14ac:dyDescent="0.35">
      <c r="A9502">
        <v>9501</v>
      </c>
      <c r="B9502" t="s">
        <v>19303</v>
      </c>
      <c r="C9502" t="s">
        <v>33</v>
      </c>
      <c r="D9502" t="s">
        <v>34</v>
      </c>
      <c r="E9502">
        <v>1302</v>
      </c>
      <c r="F9502">
        <v>2</v>
      </c>
      <c r="G9502">
        <v>2</v>
      </c>
      <c r="H9502">
        <v>1</v>
      </c>
      <c r="I9502">
        <v>0</v>
      </c>
      <c r="J9502">
        <v>0.995635570103655</v>
      </c>
      <c r="K9502">
        <v>1</v>
      </c>
      <c r="L9502">
        <v>0.99781301257517796</v>
      </c>
      <c r="M9502">
        <v>0.99345335515548305</v>
      </c>
      <c r="N9502">
        <v>0.99345335515548305</v>
      </c>
      <c r="O9502">
        <v>0.99345335515548305</v>
      </c>
      <c r="T9502" t="s">
        <v>17806</v>
      </c>
      <c r="U9502" t="s">
        <v>17807</v>
      </c>
      <c r="AD9502" t="s">
        <v>14008</v>
      </c>
      <c r="AE9502" t="s">
        <v>17808</v>
      </c>
      <c r="AF9502" t="s">
        <v>19304</v>
      </c>
    </row>
    <row r="9503" spans="1:32" hidden="1" x14ac:dyDescent="0.35">
      <c r="A9503">
        <v>9502</v>
      </c>
      <c r="B9503" t="s">
        <v>19303</v>
      </c>
      <c r="C9503" t="s">
        <v>33</v>
      </c>
      <c r="D9503" t="s">
        <v>45</v>
      </c>
      <c r="E9503">
        <v>54</v>
      </c>
      <c r="F9503">
        <v>2</v>
      </c>
      <c r="G9503">
        <v>2</v>
      </c>
      <c r="H9503">
        <v>1</v>
      </c>
      <c r="I9503">
        <v>0</v>
      </c>
      <c r="J9503">
        <v>0.995635570103655</v>
      </c>
      <c r="K9503">
        <v>1</v>
      </c>
      <c r="L9503">
        <v>0.99781301257517796</v>
      </c>
      <c r="M9503">
        <v>0.99345335515548305</v>
      </c>
      <c r="N9503">
        <v>0.99345335515548305</v>
      </c>
      <c r="O9503">
        <v>0.99345335515548305</v>
      </c>
      <c r="T9503" t="s">
        <v>17806</v>
      </c>
      <c r="U9503" t="s">
        <v>17807</v>
      </c>
      <c r="AD9503" t="s">
        <v>14008</v>
      </c>
      <c r="AE9503" t="s">
        <v>17808</v>
      </c>
      <c r="AF9503" t="s">
        <v>19305</v>
      </c>
    </row>
    <row r="9504" spans="1:32" hidden="1" x14ac:dyDescent="0.35">
      <c r="A9504">
        <v>9503</v>
      </c>
      <c r="B9504" t="s">
        <v>19306</v>
      </c>
      <c r="C9504" t="s">
        <v>33</v>
      </c>
      <c r="D9504" t="s">
        <v>58</v>
      </c>
      <c r="E9504">
        <v>507</v>
      </c>
      <c r="F9504">
        <v>2</v>
      </c>
      <c r="G9504">
        <v>2</v>
      </c>
      <c r="H9504">
        <v>1</v>
      </c>
      <c r="I9504">
        <v>0</v>
      </c>
      <c r="J9504">
        <v>0.64074074074074105</v>
      </c>
      <c r="K9504">
        <v>0.96809256661991505</v>
      </c>
      <c r="L9504">
        <v>0.77111326002973701</v>
      </c>
      <c r="M9504">
        <v>0.52688172043010795</v>
      </c>
      <c r="N9504">
        <v>0.52688172043010795</v>
      </c>
      <c r="O9504">
        <v>0.52688172043010795</v>
      </c>
      <c r="AF9504" t="s">
        <v>19307</v>
      </c>
    </row>
    <row r="9505" spans="1:32" hidden="1" x14ac:dyDescent="0.35">
      <c r="A9505">
        <v>9504</v>
      </c>
      <c r="B9505" t="s">
        <v>19306</v>
      </c>
      <c r="C9505" t="s">
        <v>33</v>
      </c>
      <c r="D9505" t="s">
        <v>60</v>
      </c>
      <c r="E9505">
        <v>678</v>
      </c>
      <c r="F9505">
        <v>2</v>
      </c>
      <c r="G9505">
        <v>2</v>
      </c>
      <c r="H9505">
        <v>1</v>
      </c>
      <c r="I9505">
        <v>0</v>
      </c>
      <c r="J9505">
        <v>0.64074074074074105</v>
      </c>
      <c r="K9505">
        <v>0.96809256661991505</v>
      </c>
      <c r="L9505">
        <v>0.77111326002973701</v>
      </c>
      <c r="M9505">
        <v>0.52688172043010795</v>
      </c>
      <c r="N9505">
        <v>0.52688172043010795</v>
      </c>
      <c r="O9505">
        <v>0.52688172043010795</v>
      </c>
      <c r="AF9505" t="e">
        <f>--MDKVTDAVWRAANKNGELTRKMQEVAERIAASATMISRREGGKANYRVETSIRPAGRAQVLVVSDDRDEEYGTEKTKRIGALRRAAK-GEH</f>
        <v>#NAME?</v>
      </c>
    </row>
    <row r="9506" spans="1:32" hidden="1" x14ac:dyDescent="0.35">
      <c r="A9506">
        <v>9505</v>
      </c>
      <c r="B9506" t="s">
        <v>19308</v>
      </c>
      <c r="C9506" t="s">
        <v>33</v>
      </c>
      <c r="D9506" t="s">
        <v>34</v>
      </c>
      <c r="E9506">
        <v>1078</v>
      </c>
      <c r="F9506">
        <v>2</v>
      </c>
      <c r="G9506">
        <v>2</v>
      </c>
      <c r="H9506">
        <v>1</v>
      </c>
      <c r="I9506">
        <v>0</v>
      </c>
      <c r="J9506">
        <v>0.99224806201550397</v>
      </c>
      <c r="K9506">
        <v>1</v>
      </c>
      <c r="L9506">
        <v>0.99610894941634198</v>
      </c>
      <c r="M9506">
        <v>0.97674418604651203</v>
      </c>
      <c r="N9506">
        <v>0.97674418604651203</v>
      </c>
      <c r="O9506">
        <v>0.97674418604651203</v>
      </c>
      <c r="AF9506" t="s">
        <v>19309</v>
      </c>
    </row>
    <row r="9507" spans="1:32" hidden="1" x14ac:dyDescent="0.35">
      <c r="A9507">
        <v>9506</v>
      </c>
      <c r="B9507" t="s">
        <v>19308</v>
      </c>
      <c r="C9507" t="s">
        <v>33</v>
      </c>
      <c r="D9507" t="s">
        <v>45</v>
      </c>
      <c r="E9507">
        <v>2335</v>
      </c>
      <c r="F9507">
        <v>2</v>
      </c>
      <c r="G9507">
        <v>2</v>
      </c>
      <c r="H9507">
        <v>1</v>
      </c>
      <c r="I9507">
        <v>0</v>
      </c>
      <c r="J9507">
        <v>0.99224806201550397</v>
      </c>
      <c r="K9507">
        <v>1</v>
      </c>
      <c r="L9507">
        <v>0.99610894941634198</v>
      </c>
      <c r="M9507">
        <v>0.97674418604651203</v>
      </c>
      <c r="N9507">
        <v>0.97674418604651203</v>
      </c>
      <c r="O9507">
        <v>0.97674418604651203</v>
      </c>
      <c r="AF9507" t="s">
        <v>19310</v>
      </c>
    </row>
    <row r="9508" spans="1:32" hidden="1" x14ac:dyDescent="0.35">
      <c r="A9508">
        <v>9507</v>
      </c>
      <c r="B9508" t="s">
        <v>19311</v>
      </c>
      <c r="C9508" t="s">
        <v>33</v>
      </c>
      <c r="D9508" t="s">
        <v>34</v>
      </c>
      <c r="E9508">
        <v>2199</v>
      </c>
      <c r="F9508">
        <v>2</v>
      </c>
      <c r="G9508">
        <v>2</v>
      </c>
      <c r="H9508">
        <v>1</v>
      </c>
      <c r="I9508">
        <v>0</v>
      </c>
      <c r="J9508">
        <v>0.99598393574297195</v>
      </c>
      <c r="K9508">
        <v>1</v>
      </c>
      <c r="L9508">
        <v>0.99798792756539201</v>
      </c>
      <c r="M9508">
        <v>0.99598393574297195</v>
      </c>
      <c r="N9508">
        <v>0.99598393574297195</v>
      </c>
      <c r="O9508">
        <v>0.99598393574297195</v>
      </c>
      <c r="P9508" t="s">
        <v>12538</v>
      </c>
      <c r="Q9508" t="s">
        <v>8516</v>
      </c>
      <c r="R9508" t="s">
        <v>652</v>
      </c>
      <c r="S9508" t="s">
        <v>653</v>
      </c>
      <c r="T9508" t="s">
        <v>12539</v>
      </c>
      <c r="U9508" t="s">
        <v>12540</v>
      </c>
      <c r="V9508" t="s">
        <v>14542</v>
      </c>
      <c r="W9508" t="s">
        <v>14543</v>
      </c>
      <c r="AD9508" t="s">
        <v>219</v>
      </c>
      <c r="AE9508" t="s">
        <v>12541</v>
      </c>
      <c r="AF9508" t="s">
        <v>19312</v>
      </c>
    </row>
    <row r="9509" spans="1:32" hidden="1" x14ac:dyDescent="0.35">
      <c r="A9509">
        <v>9508</v>
      </c>
      <c r="B9509" t="s">
        <v>19311</v>
      </c>
      <c r="C9509" t="s">
        <v>33</v>
      </c>
      <c r="D9509" t="s">
        <v>45</v>
      </c>
      <c r="E9509">
        <v>675</v>
      </c>
      <c r="F9509">
        <v>2</v>
      </c>
      <c r="G9509">
        <v>2</v>
      </c>
      <c r="H9509">
        <v>1</v>
      </c>
      <c r="I9509">
        <v>0</v>
      </c>
      <c r="J9509">
        <v>0.99598393574297195</v>
      </c>
      <c r="K9509">
        <v>1</v>
      </c>
      <c r="L9509">
        <v>0.99798792756539201</v>
      </c>
      <c r="M9509">
        <v>0.99598393574297195</v>
      </c>
      <c r="N9509">
        <v>0.99598393574297195</v>
      </c>
      <c r="O9509">
        <v>0.99598393574297195</v>
      </c>
      <c r="P9509" t="s">
        <v>12538</v>
      </c>
      <c r="Q9509" t="s">
        <v>8516</v>
      </c>
      <c r="R9509" t="s">
        <v>652</v>
      </c>
      <c r="S9509" t="s">
        <v>653</v>
      </c>
      <c r="T9509" t="s">
        <v>12539</v>
      </c>
      <c r="U9509" t="s">
        <v>12540</v>
      </c>
      <c r="V9509" t="s">
        <v>14542</v>
      </c>
      <c r="W9509" t="s">
        <v>14543</v>
      </c>
      <c r="AD9509" t="s">
        <v>219</v>
      </c>
      <c r="AE9509" t="s">
        <v>12541</v>
      </c>
      <c r="AF9509" t="s">
        <v>19313</v>
      </c>
    </row>
    <row r="9510" spans="1:32" hidden="1" x14ac:dyDescent="0.35">
      <c r="A9510">
        <v>9509</v>
      </c>
      <c r="B9510" t="s">
        <v>19314</v>
      </c>
      <c r="C9510" t="s">
        <v>33</v>
      </c>
      <c r="D9510" t="s">
        <v>34</v>
      </c>
      <c r="E9510">
        <v>1480</v>
      </c>
      <c r="F9510">
        <v>2</v>
      </c>
      <c r="G9510">
        <v>2</v>
      </c>
      <c r="H9510">
        <v>1</v>
      </c>
      <c r="I9510">
        <v>0</v>
      </c>
      <c r="J9510">
        <v>0.99221183800623103</v>
      </c>
      <c r="K9510">
        <v>0.99076227390180704</v>
      </c>
      <c r="L9510">
        <v>0.99148652613467303</v>
      </c>
      <c r="M9510">
        <v>0.97685185185185197</v>
      </c>
      <c r="N9510">
        <v>0.97685185185185197</v>
      </c>
      <c r="O9510">
        <v>0.97685185185185197</v>
      </c>
      <c r="P9510" t="s">
        <v>14105</v>
      </c>
      <c r="Q9510" t="s">
        <v>14106</v>
      </c>
      <c r="AF9510" t="s">
        <v>19315</v>
      </c>
    </row>
    <row r="9511" spans="1:32" hidden="1" x14ac:dyDescent="0.35">
      <c r="A9511">
        <v>9510</v>
      </c>
      <c r="B9511" t="s">
        <v>19314</v>
      </c>
      <c r="C9511" t="s">
        <v>33</v>
      </c>
      <c r="D9511" t="s">
        <v>45</v>
      </c>
      <c r="E9511">
        <v>230</v>
      </c>
      <c r="F9511">
        <v>2</v>
      </c>
      <c r="G9511">
        <v>2</v>
      </c>
      <c r="H9511">
        <v>1</v>
      </c>
      <c r="I9511">
        <v>0</v>
      </c>
      <c r="J9511">
        <v>0.99221183800623103</v>
      </c>
      <c r="K9511">
        <v>0.99076227390180704</v>
      </c>
      <c r="L9511">
        <v>0.99148652613467303</v>
      </c>
      <c r="M9511">
        <v>0.97685185185185197</v>
      </c>
      <c r="N9511">
        <v>0.97685185185185197</v>
      </c>
      <c r="O9511">
        <v>0.97685185185185197</v>
      </c>
      <c r="P9511" t="s">
        <v>14105</v>
      </c>
      <c r="Q9511" t="s">
        <v>14106</v>
      </c>
      <c r="AF9511" t="s">
        <v>19316</v>
      </c>
    </row>
    <row r="9512" spans="1:32" hidden="1" x14ac:dyDescent="0.35">
      <c r="A9512">
        <v>9511</v>
      </c>
      <c r="B9512" t="s">
        <v>19317</v>
      </c>
      <c r="C9512" t="s">
        <v>33</v>
      </c>
      <c r="D9512" t="s">
        <v>60</v>
      </c>
      <c r="E9512">
        <v>1856</v>
      </c>
      <c r="F9512">
        <v>2</v>
      </c>
      <c r="G9512">
        <v>2</v>
      </c>
      <c r="H9512">
        <v>1</v>
      </c>
      <c r="I9512">
        <v>0</v>
      </c>
      <c r="J9512">
        <v>0.98198198198198205</v>
      </c>
      <c r="K9512">
        <v>1</v>
      </c>
      <c r="L9512">
        <v>0.99090909090909096</v>
      </c>
      <c r="M9512">
        <v>0.98198198198198205</v>
      </c>
      <c r="N9512">
        <v>0.98198198198198205</v>
      </c>
      <c r="O9512">
        <v>0.98198198198198205</v>
      </c>
      <c r="AF9512" t="s">
        <v>19318</v>
      </c>
    </row>
    <row r="9513" spans="1:32" hidden="1" x14ac:dyDescent="0.35">
      <c r="A9513">
        <v>9512</v>
      </c>
      <c r="B9513" t="s">
        <v>19317</v>
      </c>
      <c r="C9513" t="s">
        <v>33</v>
      </c>
      <c r="D9513" t="s">
        <v>62</v>
      </c>
      <c r="E9513">
        <v>1894</v>
      </c>
      <c r="F9513">
        <v>2</v>
      </c>
      <c r="G9513">
        <v>2</v>
      </c>
      <c r="H9513">
        <v>1</v>
      </c>
      <c r="I9513">
        <v>0</v>
      </c>
      <c r="J9513">
        <v>0.98198198198198205</v>
      </c>
      <c r="K9513">
        <v>1</v>
      </c>
      <c r="L9513">
        <v>0.99090909090909096</v>
      </c>
      <c r="M9513">
        <v>0.98198198198198205</v>
      </c>
      <c r="N9513">
        <v>0.98198198198198205</v>
      </c>
      <c r="O9513">
        <v>0.98198198198198205</v>
      </c>
      <c r="AF9513" t="s">
        <v>19319</v>
      </c>
    </row>
    <row r="9514" spans="1:32" hidden="1" x14ac:dyDescent="0.35">
      <c r="A9514">
        <v>9513</v>
      </c>
      <c r="B9514" t="s">
        <v>19320</v>
      </c>
      <c r="C9514" t="s">
        <v>33</v>
      </c>
      <c r="D9514" t="s">
        <v>34</v>
      </c>
      <c r="E9514">
        <v>1419</v>
      </c>
      <c r="F9514">
        <v>2</v>
      </c>
      <c r="G9514">
        <v>2</v>
      </c>
      <c r="H9514">
        <v>1</v>
      </c>
      <c r="I9514">
        <v>0</v>
      </c>
      <c r="J9514">
        <v>0.9375</v>
      </c>
      <c r="K9514">
        <v>1</v>
      </c>
      <c r="L9514">
        <v>0.967741935483871</v>
      </c>
      <c r="M9514">
        <v>0.92361111111111105</v>
      </c>
      <c r="N9514">
        <v>0.92361111111111105</v>
      </c>
      <c r="O9514">
        <v>0.92361111111111105</v>
      </c>
      <c r="AF9514" t="s">
        <v>19321</v>
      </c>
    </row>
    <row r="9515" spans="1:32" hidden="1" x14ac:dyDescent="0.35">
      <c r="A9515">
        <v>9514</v>
      </c>
      <c r="B9515" t="s">
        <v>19320</v>
      </c>
      <c r="C9515" t="s">
        <v>33</v>
      </c>
      <c r="D9515" t="s">
        <v>45</v>
      </c>
      <c r="E9515">
        <v>170</v>
      </c>
      <c r="F9515">
        <v>2</v>
      </c>
      <c r="G9515">
        <v>2</v>
      </c>
      <c r="H9515">
        <v>1</v>
      </c>
      <c r="I9515">
        <v>0</v>
      </c>
      <c r="J9515">
        <v>0.9375</v>
      </c>
      <c r="K9515">
        <v>1</v>
      </c>
      <c r="L9515">
        <v>0.967741935483871</v>
      </c>
      <c r="M9515">
        <v>0.92361111111111105</v>
      </c>
      <c r="N9515">
        <v>0.92361111111111105</v>
      </c>
      <c r="O9515">
        <v>0.92361111111111105</v>
      </c>
      <c r="AF9515" t="s">
        <v>19322</v>
      </c>
    </row>
    <row r="9516" spans="1:32" hidden="1" x14ac:dyDescent="0.35">
      <c r="A9516">
        <v>9515</v>
      </c>
      <c r="B9516" t="s">
        <v>19323</v>
      </c>
      <c r="C9516" t="s">
        <v>33</v>
      </c>
      <c r="D9516" t="s">
        <v>34</v>
      </c>
      <c r="E9516">
        <v>2175</v>
      </c>
      <c r="F9516">
        <v>2</v>
      </c>
      <c r="G9516">
        <v>2</v>
      </c>
      <c r="H9516">
        <v>1</v>
      </c>
      <c r="I9516">
        <v>0</v>
      </c>
      <c r="J9516">
        <v>0.947176684881603</v>
      </c>
      <c r="K9516">
        <v>0.98921856639247896</v>
      </c>
      <c r="L9516">
        <v>0.96774123126202605</v>
      </c>
      <c r="M9516">
        <v>0.90810810810810805</v>
      </c>
      <c r="N9516">
        <v>0.90810810810810805</v>
      </c>
      <c r="O9516">
        <v>0.90810810810810805</v>
      </c>
      <c r="AF9516" t="s">
        <v>19324</v>
      </c>
    </row>
    <row r="9517" spans="1:32" hidden="1" x14ac:dyDescent="0.35">
      <c r="A9517">
        <v>9516</v>
      </c>
      <c r="B9517" t="s">
        <v>19323</v>
      </c>
      <c r="C9517" t="s">
        <v>33</v>
      </c>
      <c r="D9517" t="s">
        <v>45</v>
      </c>
      <c r="E9517">
        <v>699</v>
      </c>
      <c r="F9517">
        <v>2</v>
      </c>
      <c r="G9517">
        <v>2</v>
      </c>
      <c r="H9517">
        <v>1</v>
      </c>
      <c r="I9517">
        <v>0</v>
      </c>
      <c r="J9517">
        <v>0.947176684881603</v>
      </c>
      <c r="K9517">
        <v>0.98921856639247896</v>
      </c>
      <c r="L9517">
        <v>0.96774123126202605</v>
      </c>
      <c r="M9517">
        <v>0.90810810810810805</v>
      </c>
      <c r="N9517">
        <v>0.90810810810810805</v>
      </c>
      <c r="O9517">
        <v>0.90810810810810805</v>
      </c>
      <c r="AF9517" t="s">
        <v>19325</v>
      </c>
    </row>
    <row r="9518" spans="1:32" hidden="1" x14ac:dyDescent="0.35">
      <c r="A9518">
        <v>9517</v>
      </c>
      <c r="B9518" t="s">
        <v>19326</v>
      </c>
      <c r="C9518" t="s">
        <v>33</v>
      </c>
      <c r="D9518" t="s">
        <v>34</v>
      </c>
      <c r="E9518">
        <v>1037</v>
      </c>
      <c r="F9518">
        <v>2</v>
      </c>
      <c r="G9518">
        <v>2</v>
      </c>
      <c r="H9518">
        <v>1</v>
      </c>
      <c r="I9518">
        <v>0</v>
      </c>
      <c r="J9518">
        <v>0.98333333333333295</v>
      </c>
      <c r="K9518">
        <v>0.98510720423486897</v>
      </c>
      <c r="L9518">
        <v>0.98421946951739303</v>
      </c>
      <c r="M9518">
        <v>0.96573875802997899</v>
      </c>
      <c r="N9518">
        <v>0.96573875802997899</v>
      </c>
      <c r="O9518">
        <v>0.96573875802997899</v>
      </c>
      <c r="P9518" t="s">
        <v>2795</v>
      </c>
      <c r="Q9518" t="s">
        <v>2796</v>
      </c>
      <c r="R9518" t="s">
        <v>235</v>
      </c>
      <c r="S9518" t="s">
        <v>236</v>
      </c>
      <c r="V9518" t="s">
        <v>2930</v>
      </c>
      <c r="W9518" t="s">
        <v>2931</v>
      </c>
      <c r="X9518" t="s">
        <v>2930</v>
      </c>
      <c r="Y9518" t="s">
        <v>2932</v>
      </c>
      <c r="AF9518" t="s">
        <v>19327</v>
      </c>
    </row>
    <row r="9519" spans="1:32" hidden="1" x14ac:dyDescent="0.35">
      <c r="A9519">
        <v>9518</v>
      </c>
      <c r="B9519" t="s">
        <v>19326</v>
      </c>
      <c r="C9519" t="s">
        <v>33</v>
      </c>
      <c r="D9519" t="s">
        <v>45</v>
      </c>
      <c r="E9519">
        <v>2292</v>
      </c>
      <c r="F9519">
        <v>2</v>
      </c>
      <c r="G9519">
        <v>2</v>
      </c>
      <c r="H9519">
        <v>1</v>
      </c>
      <c r="I9519">
        <v>0</v>
      </c>
      <c r="J9519">
        <v>0.98333333333333295</v>
      </c>
      <c r="K9519">
        <v>0.98510720423486897</v>
      </c>
      <c r="L9519">
        <v>0.98421946951739303</v>
      </c>
      <c r="M9519">
        <v>0.96573875802997899</v>
      </c>
      <c r="N9519">
        <v>0.96573875802997899</v>
      </c>
      <c r="O9519">
        <v>0.96573875802997899</v>
      </c>
      <c r="P9519" t="s">
        <v>2795</v>
      </c>
      <c r="Q9519" t="s">
        <v>2796</v>
      </c>
      <c r="R9519" t="s">
        <v>235</v>
      </c>
      <c r="S9519" t="s">
        <v>236</v>
      </c>
      <c r="V9519" t="s">
        <v>2930</v>
      </c>
      <c r="W9519" t="s">
        <v>2931</v>
      </c>
      <c r="X9519" t="s">
        <v>2930</v>
      </c>
      <c r="Y9519" t="s">
        <v>2932</v>
      </c>
      <c r="AF9519" t="s">
        <v>19328</v>
      </c>
    </row>
    <row r="9520" spans="1:32" hidden="1" x14ac:dyDescent="0.35">
      <c r="A9520">
        <v>9519</v>
      </c>
      <c r="B9520" t="s">
        <v>19329</v>
      </c>
      <c r="C9520" t="s">
        <v>33</v>
      </c>
      <c r="D9520" t="s">
        <v>34</v>
      </c>
      <c r="E9520">
        <v>2380</v>
      </c>
      <c r="F9520">
        <v>2</v>
      </c>
      <c r="G9520">
        <v>2</v>
      </c>
      <c r="H9520">
        <v>1</v>
      </c>
      <c r="I9520">
        <v>0</v>
      </c>
      <c r="J9520">
        <v>0.98605830164765496</v>
      </c>
      <c r="K9520">
        <v>1</v>
      </c>
      <c r="L9520">
        <v>0.99298021697511196</v>
      </c>
      <c r="M9520">
        <v>0.98098859315589304</v>
      </c>
      <c r="N9520">
        <v>0.98098859315589304</v>
      </c>
      <c r="O9520">
        <v>0.98098859315589304</v>
      </c>
      <c r="P9520" t="s">
        <v>5019</v>
      </c>
      <c r="Q9520" t="s">
        <v>5020</v>
      </c>
      <c r="R9520" t="s">
        <v>75</v>
      </c>
      <c r="S9520" t="s">
        <v>76</v>
      </c>
      <c r="V9520" t="s">
        <v>11511</v>
      </c>
      <c r="W9520" t="s">
        <v>11512</v>
      </c>
      <c r="X9520" t="s">
        <v>11511</v>
      </c>
      <c r="Y9520" t="s">
        <v>2750</v>
      </c>
      <c r="AF9520" t="s">
        <v>19330</v>
      </c>
    </row>
    <row r="9521" spans="1:32" hidden="1" x14ac:dyDescent="0.35">
      <c r="A9521">
        <v>9520</v>
      </c>
      <c r="B9521" t="s">
        <v>19329</v>
      </c>
      <c r="C9521" t="s">
        <v>33</v>
      </c>
      <c r="D9521" t="s">
        <v>45</v>
      </c>
      <c r="E9521">
        <v>498</v>
      </c>
      <c r="F9521">
        <v>2</v>
      </c>
      <c r="G9521">
        <v>2</v>
      </c>
      <c r="H9521">
        <v>1</v>
      </c>
      <c r="I9521">
        <v>0</v>
      </c>
      <c r="J9521">
        <v>0.98605830164765496</v>
      </c>
      <c r="K9521">
        <v>1</v>
      </c>
      <c r="L9521">
        <v>0.99298021697511196</v>
      </c>
      <c r="M9521">
        <v>0.98098859315589304</v>
      </c>
      <c r="N9521">
        <v>0.98098859315589304</v>
      </c>
      <c r="O9521">
        <v>0.98098859315589304</v>
      </c>
      <c r="P9521" t="s">
        <v>5019</v>
      </c>
      <c r="Q9521" t="s">
        <v>5020</v>
      </c>
      <c r="R9521" t="s">
        <v>75</v>
      </c>
      <c r="S9521" t="s">
        <v>76</v>
      </c>
      <c r="V9521" t="s">
        <v>11511</v>
      </c>
      <c r="W9521" t="s">
        <v>11512</v>
      </c>
      <c r="X9521" t="s">
        <v>11511</v>
      </c>
      <c r="Y9521" t="s">
        <v>2750</v>
      </c>
      <c r="AF9521" t="s">
        <v>19331</v>
      </c>
    </row>
    <row r="9522" spans="1:32" hidden="1" x14ac:dyDescent="0.35">
      <c r="A9522">
        <v>9521</v>
      </c>
      <c r="B9522" t="s">
        <v>19332</v>
      </c>
      <c r="C9522" t="s">
        <v>33</v>
      </c>
      <c r="D9522" t="s">
        <v>34</v>
      </c>
      <c r="E9522">
        <v>2465</v>
      </c>
      <c r="F9522">
        <v>2</v>
      </c>
      <c r="G9522">
        <v>2</v>
      </c>
      <c r="H9522">
        <v>1</v>
      </c>
      <c r="I9522">
        <v>0</v>
      </c>
      <c r="J9522">
        <v>0.99002493765585997</v>
      </c>
      <c r="K9522">
        <v>0.98534876121082804</v>
      </c>
      <c r="L9522">
        <v>0.98768131462589104</v>
      </c>
      <c r="M9522">
        <v>0.975429975429975</v>
      </c>
      <c r="N9522">
        <v>0.975429975429975</v>
      </c>
      <c r="O9522">
        <v>0.975429975429975</v>
      </c>
      <c r="P9522" t="s">
        <v>2163</v>
      </c>
      <c r="Q9522" t="s">
        <v>2164</v>
      </c>
      <c r="R9522" t="s">
        <v>113</v>
      </c>
      <c r="S9522" t="s">
        <v>114</v>
      </c>
      <c r="V9522" t="s">
        <v>2167</v>
      </c>
      <c r="W9522" t="s">
        <v>2168</v>
      </c>
      <c r="AF9522" t="s">
        <v>19333</v>
      </c>
    </row>
    <row r="9523" spans="1:32" hidden="1" x14ac:dyDescent="0.35">
      <c r="A9523">
        <v>9522</v>
      </c>
      <c r="B9523" t="s">
        <v>19332</v>
      </c>
      <c r="C9523" t="s">
        <v>33</v>
      </c>
      <c r="D9523" t="s">
        <v>45</v>
      </c>
      <c r="E9523">
        <v>436</v>
      </c>
      <c r="F9523">
        <v>2</v>
      </c>
      <c r="G9523">
        <v>2</v>
      </c>
      <c r="H9523">
        <v>1</v>
      </c>
      <c r="I9523">
        <v>0</v>
      </c>
      <c r="J9523">
        <v>0.99002493765585997</v>
      </c>
      <c r="K9523">
        <v>0.98534876121082804</v>
      </c>
      <c r="L9523">
        <v>0.98768131462589104</v>
      </c>
      <c r="M9523">
        <v>0.975429975429975</v>
      </c>
      <c r="N9523">
        <v>0.975429975429975</v>
      </c>
      <c r="O9523">
        <v>0.975429975429975</v>
      </c>
      <c r="P9523" t="s">
        <v>2163</v>
      </c>
      <c r="Q9523" t="s">
        <v>2164</v>
      </c>
      <c r="R9523" t="s">
        <v>113</v>
      </c>
      <c r="S9523" t="s">
        <v>114</v>
      </c>
      <c r="V9523" t="s">
        <v>2167</v>
      </c>
      <c r="W9523" t="s">
        <v>2168</v>
      </c>
      <c r="AF9523" t="s">
        <v>19334</v>
      </c>
    </row>
    <row r="9524" spans="1:32" hidden="1" x14ac:dyDescent="0.35">
      <c r="A9524">
        <v>9523</v>
      </c>
      <c r="B9524" t="s">
        <v>19335</v>
      </c>
      <c r="C9524" t="s">
        <v>33</v>
      </c>
      <c r="D9524" t="s">
        <v>60</v>
      </c>
      <c r="E9524">
        <v>1466</v>
      </c>
      <c r="F9524">
        <v>2</v>
      </c>
      <c r="G9524">
        <v>2</v>
      </c>
      <c r="H9524">
        <v>1</v>
      </c>
      <c r="I9524">
        <v>0</v>
      </c>
      <c r="J9524">
        <v>0.99619771863117901</v>
      </c>
      <c r="K9524">
        <v>1</v>
      </c>
      <c r="L9524">
        <v>0.99809523809523804</v>
      </c>
      <c r="M9524">
        <v>0.99619771863117901</v>
      </c>
      <c r="N9524">
        <v>0.99619771863117901</v>
      </c>
      <c r="O9524">
        <v>0.99619771863117901</v>
      </c>
      <c r="P9524" t="s">
        <v>169</v>
      </c>
      <c r="Q9524" t="s">
        <v>170</v>
      </c>
      <c r="R9524" t="s">
        <v>96</v>
      </c>
      <c r="S9524" t="s">
        <v>97</v>
      </c>
      <c r="V9524" t="s">
        <v>11799</v>
      </c>
      <c r="W9524" t="s">
        <v>11800</v>
      </c>
      <c r="AF9524" t="s">
        <v>19336</v>
      </c>
    </row>
    <row r="9525" spans="1:32" hidden="1" x14ac:dyDescent="0.35">
      <c r="A9525">
        <v>9524</v>
      </c>
      <c r="B9525" t="s">
        <v>19335</v>
      </c>
      <c r="C9525" t="s">
        <v>33</v>
      </c>
      <c r="D9525" t="s">
        <v>62</v>
      </c>
      <c r="E9525">
        <v>1501</v>
      </c>
      <c r="F9525">
        <v>2</v>
      </c>
      <c r="G9525">
        <v>2</v>
      </c>
      <c r="H9525">
        <v>1</v>
      </c>
      <c r="I9525">
        <v>0</v>
      </c>
      <c r="J9525">
        <v>0.99619771863117901</v>
      </c>
      <c r="K9525">
        <v>1</v>
      </c>
      <c r="L9525">
        <v>0.99809523809523804</v>
      </c>
      <c r="M9525">
        <v>0.99619771863117901</v>
      </c>
      <c r="N9525">
        <v>0.99619771863117901</v>
      </c>
      <c r="O9525">
        <v>0.99619771863117901</v>
      </c>
      <c r="P9525" t="s">
        <v>169</v>
      </c>
      <c r="Q9525" t="s">
        <v>170</v>
      </c>
      <c r="R9525" t="s">
        <v>96</v>
      </c>
      <c r="S9525" t="s">
        <v>97</v>
      </c>
      <c r="V9525" t="s">
        <v>11799</v>
      </c>
      <c r="W9525" t="s">
        <v>11800</v>
      </c>
      <c r="AF9525" t="s">
        <v>19337</v>
      </c>
    </row>
    <row r="9526" spans="1:32" hidden="1" x14ac:dyDescent="0.35">
      <c r="A9526">
        <v>9525</v>
      </c>
      <c r="B9526" t="s">
        <v>19338</v>
      </c>
      <c r="C9526" t="s">
        <v>33</v>
      </c>
      <c r="D9526" t="s">
        <v>60</v>
      </c>
      <c r="E9526">
        <v>1861</v>
      </c>
      <c r="F9526">
        <v>2</v>
      </c>
      <c r="G9526">
        <v>2</v>
      </c>
      <c r="H9526">
        <v>1</v>
      </c>
      <c r="I9526">
        <v>0</v>
      </c>
      <c r="J9526">
        <v>0.99253731343283602</v>
      </c>
      <c r="K9526">
        <v>1</v>
      </c>
      <c r="L9526">
        <v>0.99625468164793995</v>
      </c>
      <c r="M9526">
        <v>0.99253731343283602</v>
      </c>
      <c r="N9526">
        <v>0.99253731343283602</v>
      </c>
      <c r="O9526">
        <v>0.99253731343283602</v>
      </c>
      <c r="P9526" t="s">
        <v>19339</v>
      </c>
      <c r="Q9526" t="s">
        <v>19340</v>
      </c>
      <c r="AF9526" t="s">
        <v>19341</v>
      </c>
    </row>
    <row r="9527" spans="1:32" hidden="1" x14ac:dyDescent="0.35">
      <c r="A9527">
        <v>9526</v>
      </c>
      <c r="B9527" t="s">
        <v>19338</v>
      </c>
      <c r="C9527" t="s">
        <v>33</v>
      </c>
      <c r="D9527" t="s">
        <v>62</v>
      </c>
      <c r="E9527">
        <v>1899</v>
      </c>
      <c r="F9527">
        <v>2</v>
      </c>
      <c r="G9527">
        <v>2</v>
      </c>
      <c r="H9527">
        <v>1</v>
      </c>
      <c r="I9527">
        <v>0</v>
      </c>
      <c r="J9527">
        <v>0.99253731343283602</v>
      </c>
      <c r="K9527">
        <v>1</v>
      </c>
      <c r="L9527">
        <v>0.99625468164793995</v>
      </c>
      <c r="M9527">
        <v>0.99253731343283602</v>
      </c>
      <c r="N9527">
        <v>0.99253731343283602</v>
      </c>
      <c r="O9527">
        <v>0.99253731343283602</v>
      </c>
      <c r="P9527" t="s">
        <v>19339</v>
      </c>
      <c r="Q9527" t="s">
        <v>19340</v>
      </c>
      <c r="AF9527" t="s">
        <v>19342</v>
      </c>
    </row>
    <row r="9528" spans="1:32" hidden="1" x14ac:dyDescent="0.35">
      <c r="A9528">
        <v>9527</v>
      </c>
      <c r="B9528" t="s">
        <v>19343</v>
      </c>
      <c r="C9528" t="s">
        <v>33</v>
      </c>
      <c r="D9528" t="s">
        <v>60</v>
      </c>
      <c r="E9528">
        <v>803</v>
      </c>
      <c r="F9528">
        <v>2</v>
      </c>
      <c r="G9528">
        <v>2</v>
      </c>
      <c r="H9528">
        <v>1</v>
      </c>
      <c r="I9528">
        <v>0</v>
      </c>
      <c r="J9528">
        <v>0.98825256975036702</v>
      </c>
      <c r="K9528">
        <v>1</v>
      </c>
      <c r="L9528">
        <v>0.99409158050221602</v>
      </c>
      <c r="M9528">
        <v>0.986784140969163</v>
      </c>
      <c r="N9528">
        <v>0.986784140969163</v>
      </c>
      <c r="O9528">
        <v>0.986784140969163</v>
      </c>
      <c r="P9528" t="s">
        <v>136</v>
      </c>
      <c r="Q9528" t="s">
        <v>137</v>
      </c>
      <c r="R9528" t="s">
        <v>138</v>
      </c>
      <c r="S9528" t="s">
        <v>139</v>
      </c>
      <c r="T9528" t="s">
        <v>140</v>
      </c>
      <c r="U9528" t="s">
        <v>141</v>
      </c>
      <c r="V9528" t="s">
        <v>142</v>
      </c>
      <c r="W9528" t="s">
        <v>143</v>
      </c>
      <c r="Z9528" t="s">
        <v>144</v>
      </c>
      <c r="AA9528" t="s">
        <v>145</v>
      </c>
      <c r="AB9528" t="s">
        <v>144</v>
      </c>
      <c r="AC9528" t="s">
        <v>146</v>
      </c>
      <c r="AD9528" t="s">
        <v>147</v>
      </c>
      <c r="AE9528" t="s">
        <v>148</v>
      </c>
      <c r="AF9528" t="s">
        <v>19344</v>
      </c>
    </row>
    <row r="9529" spans="1:32" hidden="1" x14ac:dyDescent="0.35">
      <c r="A9529">
        <v>9528</v>
      </c>
      <c r="B9529" t="s">
        <v>19343</v>
      </c>
      <c r="C9529" t="s">
        <v>33</v>
      </c>
      <c r="D9529" t="s">
        <v>62</v>
      </c>
      <c r="E9529">
        <v>836</v>
      </c>
      <c r="F9529">
        <v>2</v>
      </c>
      <c r="G9529">
        <v>2</v>
      </c>
      <c r="H9529">
        <v>1</v>
      </c>
      <c r="I9529">
        <v>0</v>
      </c>
      <c r="J9529">
        <v>0.98825256975036702</v>
      </c>
      <c r="K9529">
        <v>1</v>
      </c>
      <c r="L9529">
        <v>0.99409158050221602</v>
      </c>
      <c r="M9529">
        <v>0.986784140969163</v>
      </c>
      <c r="N9529">
        <v>0.986784140969163</v>
      </c>
      <c r="O9529">
        <v>0.986784140969163</v>
      </c>
      <c r="P9529" t="s">
        <v>136</v>
      </c>
      <c r="Q9529" t="s">
        <v>137</v>
      </c>
      <c r="R9529" t="s">
        <v>138</v>
      </c>
      <c r="S9529" t="s">
        <v>139</v>
      </c>
      <c r="T9529" t="s">
        <v>140</v>
      </c>
      <c r="U9529" t="s">
        <v>141</v>
      </c>
      <c r="V9529" t="s">
        <v>142</v>
      </c>
      <c r="W9529" t="s">
        <v>143</v>
      </c>
      <c r="Z9529" t="s">
        <v>144</v>
      </c>
      <c r="AA9529" t="s">
        <v>145</v>
      </c>
      <c r="AB9529" t="s">
        <v>144</v>
      </c>
      <c r="AC9529" t="s">
        <v>146</v>
      </c>
      <c r="AD9529" t="s">
        <v>147</v>
      </c>
      <c r="AE9529" t="s">
        <v>148</v>
      </c>
      <c r="AF9529" t="s">
        <v>19345</v>
      </c>
    </row>
    <row r="9530" spans="1:32" hidden="1" x14ac:dyDescent="0.35">
      <c r="A9530">
        <v>9529</v>
      </c>
      <c r="B9530" t="s">
        <v>19346</v>
      </c>
      <c r="C9530" t="s">
        <v>33</v>
      </c>
      <c r="D9530" t="s">
        <v>34</v>
      </c>
      <c r="E9530">
        <v>2005</v>
      </c>
      <c r="F9530">
        <v>2</v>
      </c>
      <c r="G9530">
        <v>2</v>
      </c>
      <c r="H9530">
        <v>1</v>
      </c>
      <c r="I9530">
        <v>0</v>
      </c>
      <c r="J9530">
        <v>0.96794871794871795</v>
      </c>
      <c r="K9530">
        <v>1</v>
      </c>
      <c r="L9530">
        <v>0.98371335504886004</v>
      </c>
      <c r="M9530">
        <v>0.96794871794871795</v>
      </c>
      <c r="N9530">
        <v>0.96794871794871795</v>
      </c>
      <c r="O9530">
        <v>0.96794871794871795</v>
      </c>
      <c r="P9530" t="s">
        <v>16975</v>
      </c>
      <c r="Q9530" t="s">
        <v>16976</v>
      </c>
      <c r="R9530" t="s">
        <v>371</v>
      </c>
      <c r="S9530" t="s">
        <v>372</v>
      </c>
      <c r="T9530" t="s">
        <v>16977</v>
      </c>
      <c r="U9530" t="s">
        <v>16978</v>
      </c>
      <c r="V9530" t="s">
        <v>16979</v>
      </c>
      <c r="W9530" t="s">
        <v>16980</v>
      </c>
      <c r="AD9530" t="s">
        <v>410</v>
      </c>
      <c r="AE9530" t="s">
        <v>1217</v>
      </c>
      <c r="AF9530" t="s">
        <v>19347</v>
      </c>
    </row>
    <row r="9531" spans="1:32" hidden="1" x14ac:dyDescent="0.35">
      <c r="A9531">
        <v>9530</v>
      </c>
      <c r="B9531" t="s">
        <v>19346</v>
      </c>
      <c r="C9531" t="s">
        <v>33</v>
      </c>
      <c r="D9531" t="s">
        <v>45</v>
      </c>
      <c r="E9531">
        <v>867</v>
      </c>
      <c r="F9531">
        <v>2</v>
      </c>
      <c r="G9531">
        <v>2</v>
      </c>
      <c r="H9531">
        <v>1</v>
      </c>
      <c r="I9531">
        <v>0</v>
      </c>
      <c r="J9531">
        <v>0.96794871794871795</v>
      </c>
      <c r="K9531">
        <v>1</v>
      </c>
      <c r="L9531">
        <v>0.98371335504886004</v>
      </c>
      <c r="M9531">
        <v>0.96794871794871795</v>
      </c>
      <c r="N9531">
        <v>0.96794871794871795</v>
      </c>
      <c r="O9531">
        <v>0.96794871794871795</v>
      </c>
      <c r="P9531" t="s">
        <v>16975</v>
      </c>
      <c r="Q9531" t="s">
        <v>16976</v>
      </c>
      <c r="R9531" t="s">
        <v>371</v>
      </c>
      <c r="S9531" t="s">
        <v>372</v>
      </c>
      <c r="T9531" t="s">
        <v>16977</v>
      </c>
      <c r="U9531" t="s">
        <v>16978</v>
      </c>
      <c r="V9531" t="s">
        <v>16979</v>
      </c>
      <c r="W9531" t="s">
        <v>16980</v>
      </c>
      <c r="AD9531" t="s">
        <v>410</v>
      </c>
      <c r="AE9531" t="s">
        <v>1217</v>
      </c>
      <c r="AF9531" t="s">
        <v>19348</v>
      </c>
    </row>
    <row r="9532" spans="1:32" hidden="1" x14ac:dyDescent="0.35">
      <c r="A9532">
        <v>9531</v>
      </c>
      <c r="B9532" t="s">
        <v>19349</v>
      </c>
      <c r="C9532" t="s">
        <v>33</v>
      </c>
      <c r="D9532" t="s">
        <v>34</v>
      </c>
      <c r="E9532">
        <v>1429</v>
      </c>
      <c r="F9532">
        <v>2</v>
      </c>
      <c r="G9532">
        <v>2</v>
      </c>
      <c r="H9532">
        <v>1</v>
      </c>
      <c r="I9532">
        <v>0</v>
      </c>
      <c r="J9532">
        <v>0.99886363636363595</v>
      </c>
      <c r="K9532">
        <v>1</v>
      </c>
      <c r="L9532">
        <v>0.99943149516770902</v>
      </c>
      <c r="M9532">
        <v>0.99886363636363595</v>
      </c>
      <c r="N9532">
        <v>0.99886363636363595</v>
      </c>
      <c r="O9532">
        <v>0.99886363636363595</v>
      </c>
      <c r="P9532" t="s">
        <v>19350</v>
      </c>
      <c r="Q9532" t="s">
        <v>12502</v>
      </c>
      <c r="AF9532" t="s">
        <v>19351</v>
      </c>
    </row>
    <row r="9533" spans="1:32" hidden="1" x14ac:dyDescent="0.35">
      <c r="A9533">
        <v>9532</v>
      </c>
      <c r="B9533" t="s">
        <v>19349</v>
      </c>
      <c r="C9533" t="s">
        <v>33</v>
      </c>
      <c r="D9533" t="s">
        <v>45</v>
      </c>
      <c r="E9533">
        <v>180</v>
      </c>
      <c r="F9533">
        <v>2</v>
      </c>
      <c r="G9533">
        <v>2</v>
      </c>
      <c r="H9533">
        <v>1</v>
      </c>
      <c r="I9533">
        <v>0</v>
      </c>
      <c r="J9533">
        <v>0.99886363636363595</v>
      </c>
      <c r="K9533">
        <v>1</v>
      </c>
      <c r="L9533">
        <v>0.99943149516770902</v>
      </c>
      <c r="M9533">
        <v>0.99886363636363595</v>
      </c>
      <c r="N9533">
        <v>0.99886363636363595</v>
      </c>
      <c r="O9533">
        <v>0.99886363636363595</v>
      </c>
      <c r="P9533" t="s">
        <v>19350</v>
      </c>
      <c r="Q9533" t="s">
        <v>12502</v>
      </c>
      <c r="AF9533" t="s">
        <v>19352</v>
      </c>
    </row>
    <row r="9534" spans="1:32" hidden="1" x14ac:dyDescent="0.35">
      <c r="A9534">
        <v>9533</v>
      </c>
      <c r="B9534" t="s">
        <v>19353</v>
      </c>
      <c r="C9534" t="s">
        <v>33</v>
      </c>
      <c r="D9534" t="s">
        <v>34</v>
      </c>
      <c r="E9534">
        <v>822</v>
      </c>
      <c r="F9534">
        <v>2</v>
      </c>
      <c r="G9534">
        <v>2</v>
      </c>
      <c r="H9534">
        <v>1</v>
      </c>
      <c r="I9534">
        <v>0</v>
      </c>
      <c r="J9534">
        <v>0.96756756756756801</v>
      </c>
      <c r="K9534">
        <v>1</v>
      </c>
      <c r="L9534">
        <v>0.98351648351648402</v>
      </c>
      <c r="M9534">
        <v>0.95135135135135096</v>
      </c>
      <c r="N9534">
        <v>0.95135135135135096</v>
      </c>
      <c r="O9534">
        <v>0.95135135135135096</v>
      </c>
      <c r="P9534" t="s">
        <v>354</v>
      </c>
      <c r="Q9534" t="s">
        <v>355</v>
      </c>
      <c r="R9534" t="s">
        <v>157</v>
      </c>
      <c r="S9534" t="s">
        <v>158</v>
      </c>
      <c r="T9534" t="s">
        <v>12484</v>
      </c>
      <c r="U9534" t="s">
        <v>12485</v>
      </c>
      <c r="V9534" t="s">
        <v>358</v>
      </c>
      <c r="W9534" t="s">
        <v>359</v>
      </c>
      <c r="AD9534" t="s">
        <v>12486</v>
      </c>
      <c r="AE9534" t="s">
        <v>12487</v>
      </c>
      <c r="AF9534" t="s">
        <v>19354</v>
      </c>
    </row>
    <row r="9535" spans="1:32" hidden="1" x14ac:dyDescent="0.35">
      <c r="A9535">
        <v>9534</v>
      </c>
      <c r="B9535" t="s">
        <v>19353</v>
      </c>
      <c r="C9535" t="s">
        <v>33</v>
      </c>
      <c r="D9535" t="s">
        <v>45</v>
      </c>
      <c r="E9535">
        <v>2079</v>
      </c>
      <c r="F9535">
        <v>2</v>
      </c>
      <c r="G9535">
        <v>2</v>
      </c>
      <c r="H9535">
        <v>1</v>
      </c>
      <c r="I9535">
        <v>0</v>
      </c>
      <c r="J9535">
        <v>0.96756756756756801</v>
      </c>
      <c r="K9535">
        <v>1</v>
      </c>
      <c r="L9535">
        <v>0.98351648351648402</v>
      </c>
      <c r="M9535">
        <v>0.95135135135135096</v>
      </c>
      <c r="N9535">
        <v>0.95135135135135096</v>
      </c>
      <c r="O9535">
        <v>0.95135135135135096</v>
      </c>
      <c r="P9535" t="s">
        <v>354</v>
      </c>
      <c r="Q9535" t="s">
        <v>355</v>
      </c>
      <c r="R9535" t="s">
        <v>157</v>
      </c>
      <c r="S9535" t="s">
        <v>158</v>
      </c>
      <c r="T9535" t="s">
        <v>12484</v>
      </c>
      <c r="U9535" t="s">
        <v>12485</v>
      </c>
      <c r="V9535" t="s">
        <v>358</v>
      </c>
      <c r="W9535" t="s">
        <v>359</v>
      </c>
      <c r="AD9535" t="s">
        <v>12486</v>
      </c>
      <c r="AE9535" t="s">
        <v>12487</v>
      </c>
      <c r="AF9535" t="s">
        <v>19355</v>
      </c>
    </row>
    <row r="9536" spans="1:32" hidden="1" x14ac:dyDescent="0.35">
      <c r="A9536">
        <v>9535</v>
      </c>
      <c r="B9536" t="s">
        <v>19356</v>
      </c>
      <c r="C9536" t="s">
        <v>33</v>
      </c>
      <c r="D9536" t="s">
        <v>34</v>
      </c>
      <c r="E9536">
        <v>1458</v>
      </c>
      <c r="F9536">
        <v>2</v>
      </c>
      <c r="G9536">
        <v>2</v>
      </c>
      <c r="H9536">
        <v>1</v>
      </c>
      <c r="I9536">
        <v>0</v>
      </c>
      <c r="J9536">
        <v>0.99770114942528698</v>
      </c>
      <c r="K9536">
        <v>1</v>
      </c>
      <c r="L9536">
        <v>0.99884925201380903</v>
      </c>
      <c r="M9536">
        <v>0.99310344827586206</v>
      </c>
      <c r="N9536">
        <v>0.99310344827586206</v>
      </c>
      <c r="O9536">
        <v>0.99310344827586206</v>
      </c>
      <c r="AF9536" t="s">
        <v>19357</v>
      </c>
    </row>
    <row r="9537" spans="1:32" hidden="1" x14ac:dyDescent="0.35">
      <c r="A9537">
        <v>9536</v>
      </c>
      <c r="B9537" t="s">
        <v>19356</v>
      </c>
      <c r="C9537" t="s">
        <v>33</v>
      </c>
      <c r="D9537" t="s">
        <v>45</v>
      </c>
      <c r="E9537">
        <v>209</v>
      </c>
      <c r="F9537">
        <v>2</v>
      </c>
      <c r="G9537">
        <v>2</v>
      </c>
      <c r="H9537">
        <v>1</v>
      </c>
      <c r="I9537">
        <v>0</v>
      </c>
      <c r="J9537">
        <v>0.99770114942528698</v>
      </c>
      <c r="K9537">
        <v>1</v>
      </c>
      <c r="L9537">
        <v>0.99884925201380903</v>
      </c>
      <c r="M9537">
        <v>0.99310344827586206</v>
      </c>
      <c r="N9537">
        <v>0.99310344827586206</v>
      </c>
      <c r="O9537">
        <v>0.99310344827586206</v>
      </c>
      <c r="AF9537" t="s">
        <v>19358</v>
      </c>
    </row>
    <row r="9538" spans="1:32" hidden="1" x14ac:dyDescent="0.35">
      <c r="A9538">
        <v>9537</v>
      </c>
      <c r="B9538" t="s">
        <v>19359</v>
      </c>
      <c r="C9538" t="s">
        <v>33</v>
      </c>
      <c r="D9538" t="s">
        <v>34</v>
      </c>
      <c r="E9538">
        <v>714</v>
      </c>
      <c r="F9538">
        <v>2</v>
      </c>
      <c r="G9538">
        <v>2</v>
      </c>
      <c r="H9538">
        <v>1</v>
      </c>
      <c r="I9538">
        <v>0</v>
      </c>
      <c r="J9538">
        <v>0.98905309250136797</v>
      </c>
      <c r="K9538">
        <v>1</v>
      </c>
      <c r="L9538">
        <v>0.99449642267473903</v>
      </c>
      <c r="M9538">
        <v>0.98686371100164205</v>
      </c>
      <c r="N9538">
        <v>0.98686371100164205</v>
      </c>
      <c r="O9538">
        <v>0.98686371100164205</v>
      </c>
      <c r="AF9538" t="s">
        <v>19360</v>
      </c>
    </row>
    <row r="9539" spans="1:32" hidden="1" x14ac:dyDescent="0.35">
      <c r="A9539">
        <v>9538</v>
      </c>
      <c r="B9539" t="s">
        <v>19359</v>
      </c>
      <c r="C9539" t="s">
        <v>33</v>
      </c>
      <c r="D9539" t="s">
        <v>45</v>
      </c>
      <c r="E9539">
        <v>1981</v>
      </c>
      <c r="F9539">
        <v>2</v>
      </c>
      <c r="G9539">
        <v>2</v>
      </c>
      <c r="H9539">
        <v>1</v>
      </c>
      <c r="I9539">
        <v>0</v>
      </c>
      <c r="J9539">
        <v>0.98905309250136797</v>
      </c>
      <c r="K9539">
        <v>1</v>
      </c>
      <c r="L9539">
        <v>0.99449642267473903</v>
      </c>
      <c r="M9539">
        <v>0.98686371100164205</v>
      </c>
      <c r="N9539">
        <v>0.98686371100164205</v>
      </c>
      <c r="O9539">
        <v>0.98686371100164205</v>
      </c>
      <c r="AF9539" t="s">
        <v>19361</v>
      </c>
    </row>
    <row r="9540" spans="1:32" hidden="1" x14ac:dyDescent="0.35">
      <c r="A9540">
        <v>9539</v>
      </c>
      <c r="B9540" t="s">
        <v>19362</v>
      </c>
      <c r="C9540" t="s">
        <v>33</v>
      </c>
      <c r="D9540" t="s">
        <v>60</v>
      </c>
      <c r="E9540">
        <v>1946</v>
      </c>
      <c r="F9540">
        <v>2</v>
      </c>
      <c r="G9540">
        <v>2</v>
      </c>
      <c r="H9540">
        <v>1</v>
      </c>
      <c r="I9540">
        <v>0</v>
      </c>
      <c r="J9540">
        <v>0.98785425101214597</v>
      </c>
      <c r="K9540">
        <v>1</v>
      </c>
      <c r="L9540">
        <v>0.99389002036659901</v>
      </c>
      <c r="M9540">
        <v>0.97165991902834004</v>
      </c>
      <c r="N9540">
        <v>0.97165991902834004</v>
      </c>
      <c r="O9540">
        <v>0.97165991902834004</v>
      </c>
      <c r="P9540" t="s">
        <v>11964</v>
      </c>
      <c r="Q9540" t="s">
        <v>11965</v>
      </c>
      <c r="AF9540" t="s">
        <v>19363</v>
      </c>
    </row>
    <row r="9541" spans="1:32" hidden="1" x14ac:dyDescent="0.35">
      <c r="A9541">
        <v>9540</v>
      </c>
      <c r="B9541" t="s">
        <v>19362</v>
      </c>
      <c r="C9541" t="s">
        <v>33</v>
      </c>
      <c r="D9541" t="s">
        <v>62</v>
      </c>
      <c r="E9541">
        <v>1986</v>
      </c>
      <c r="F9541">
        <v>2</v>
      </c>
      <c r="G9541">
        <v>2</v>
      </c>
      <c r="H9541">
        <v>1</v>
      </c>
      <c r="I9541">
        <v>0</v>
      </c>
      <c r="J9541">
        <v>0.98785425101214597</v>
      </c>
      <c r="K9541">
        <v>1</v>
      </c>
      <c r="L9541">
        <v>0.99389002036659901</v>
      </c>
      <c r="M9541">
        <v>0.97165991902834004</v>
      </c>
      <c r="N9541">
        <v>0.97165991902834004</v>
      </c>
      <c r="O9541">
        <v>0.97165991902834004</v>
      </c>
      <c r="P9541" t="s">
        <v>11964</v>
      </c>
      <c r="Q9541" t="s">
        <v>11965</v>
      </c>
      <c r="AF9541" t="s">
        <v>19364</v>
      </c>
    </row>
    <row r="9542" spans="1:32" hidden="1" x14ac:dyDescent="0.35">
      <c r="A9542">
        <v>9541</v>
      </c>
      <c r="B9542" t="s">
        <v>19365</v>
      </c>
      <c r="C9542" t="s">
        <v>33</v>
      </c>
      <c r="D9542" t="s">
        <v>58</v>
      </c>
      <c r="E9542">
        <v>515</v>
      </c>
      <c r="F9542">
        <v>2</v>
      </c>
      <c r="G9542">
        <v>2</v>
      </c>
      <c r="H9542">
        <v>1</v>
      </c>
      <c r="I9542">
        <v>0</v>
      </c>
      <c r="J9542">
        <v>0.69333333333333302</v>
      </c>
      <c r="K9542">
        <v>0.95507927187316399</v>
      </c>
      <c r="L9542">
        <v>0.80342542040006004</v>
      </c>
      <c r="M9542">
        <v>0.59541984732824405</v>
      </c>
      <c r="N9542">
        <v>0.59541984732824405</v>
      </c>
      <c r="O9542">
        <v>0.59541984732824405</v>
      </c>
      <c r="P9542" t="s">
        <v>19366</v>
      </c>
      <c r="Q9542" t="s">
        <v>19367</v>
      </c>
      <c r="AF9542" t="s">
        <v>19368</v>
      </c>
    </row>
    <row r="9543" spans="1:32" hidden="1" x14ac:dyDescent="0.35">
      <c r="A9543">
        <v>9542</v>
      </c>
      <c r="B9543" t="s">
        <v>19365</v>
      </c>
      <c r="C9543" t="s">
        <v>33</v>
      </c>
      <c r="D9543" t="s">
        <v>60</v>
      </c>
      <c r="E9543">
        <v>686</v>
      </c>
      <c r="F9543">
        <v>2</v>
      </c>
      <c r="G9543">
        <v>2</v>
      </c>
      <c r="H9543">
        <v>1</v>
      </c>
      <c r="I9543">
        <v>0</v>
      </c>
      <c r="J9543">
        <v>0.69333333333333302</v>
      </c>
      <c r="K9543">
        <v>0.95507927187316399</v>
      </c>
      <c r="L9543">
        <v>0.80342542040006004</v>
      </c>
      <c r="M9543">
        <v>0.59541984732824405</v>
      </c>
      <c r="N9543">
        <v>0.59541984732824405</v>
      </c>
      <c r="O9543">
        <v>0.59541984732824405</v>
      </c>
      <c r="P9543" t="s">
        <v>19366</v>
      </c>
      <c r="Q9543" t="s">
        <v>19367</v>
      </c>
      <c r="AF9543" t="s">
        <v>19369</v>
      </c>
    </row>
    <row r="9544" spans="1:32" hidden="1" x14ac:dyDescent="0.35">
      <c r="A9544">
        <v>9543</v>
      </c>
      <c r="B9544" t="s">
        <v>19370</v>
      </c>
      <c r="C9544" t="s">
        <v>33</v>
      </c>
      <c r="D9544" t="s">
        <v>34</v>
      </c>
      <c r="E9544">
        <v>747</v>
      </c>
      <c r="F9544">
        <v>2</v>
      </c>
      <c r="G9544">
        <v>2</v>
      </c>
      <c r="H9544">
        <v>1</v>
      </c>
      <c r="I9544">
        <v>0</v>
      </c>
      <c r="J9544">
        <v>0.99239543726235702</v>
      </c>
      <c r="K9544">
        <v>0.81926940470012699</v>
      </c>
      <c r="L9544">
        <v>0.897560299544512</v>
      </c>
      <c r="M9544">
        <v>0.78723404255319196</v>
      </c>
      <c r="N9544">
        <v>0.78723404255319196</v>
      </c>
      <c r="O9544">
        <v>0.78723404255319196</v>
      </c>
      <c r="P9544" t="s">
        <v>19371</v>
      </c>
      <c r="Q9544" t="s">
        <v>19372</v>
      </c>
      <c r="R9544" t="s">
        <v>96</v>
      </c>
      <c r="S9544" t="s">
        <v>97</v>
      </c>
      <c r="V9544" t="s">
        <v>19373</v>
      </c>
      <c r="W9544" t="s">
        <v>19374</v>
      </c>
      <c r="AF9544" t="s">
        <v>19375</v>
      </c>
    </row>
    <row r="9545" spans="1:32" hidden="1" x14ac:dyDescent="0.35">
      <c r="A9545">
        <v>9544</v>
      </c>
      <c r="B9545" t="s">
        <v>19370</v>
      </c>
      <c r="C9545" t="s">
        <v>33</v>
      </c>
      <c r="D9545" t="s">
        <v>45</v>
      </c>
      <c r="E9545">
        <v>2013</v>
      </c>
      <c r="F9545">
        <v>2</v>
      </c>
      <c r="G9545">
        <v>2</v>
      </c>
      <c r="H9545">
        <v>1</v>
      </c>
      <c r="I9545">
        <v>0</v>
      </c>
      <c r="J9545">
        <v>0.99239543726235702</v>
      </c>
      <c r="K9545">
        <v>0.81926940470012699</v>
      </c>
      <c r="L9545">
        <v>0.897560299544512</v>
      </c>
      <c r="M9545">
        <v>0.78723404255319196</v>
      </c>
      <c r="N9545">
        <v>0.78723404255319196</v>
      </c>
      <c r="O9545">
        <v>0.78723404255319196</v>
      </c>
      <c r="P9545" t="s">
        <v>19371</v>
      </c>
      <c r="Q9545" t="s">
        <v>19372</v>
      </c>
      <c r="R9545" t="s">
        <v>96</v>
      </c>
      <c r="S9545" t="s">
        <v>97</v>
      </c>
      <c r="V9545" t="s">
        <v>19373</v>
      </c>
      <c r="W9545" t="s">
        <v>19374</v>
      </c>
      <c r="AF9545" t="s">
        <v>19376</v>
      </c>
    </row>
    <row r="9546" spans="1:32" hidden="1" x14ac:dyDescent="0.35">
      <c r="A9546">
        <v>9545</v>
      </c>
      <c r="B9546" t="s">
        <v>19377</v>
      </c>
      <c r="C9546" t="s">
        <v>33</v>
      </c>
      <c r="D9546" t="s">
        <v>34</v>
      </c>
      <c r="E9546">
        <v>1333</v>
      </c>
      <c r="F9546">
        <v>2</v>
      </c>
      <c r="G9546">
        <v>2</v>
      </c>
      <c r="H9546">
        <v>1</v>
      </c>
      <c r="I9546">
        <v>0</v>
      </c>
      <c r="J9546">
        <v>0.998914223669924</v>
      </c>
      <c r="K9546">
        <v>1</v>
      </c>
      <c r="L9546">
        <v>0.99945681694731103</v>
      </c>
      <c r="M9546">
        <v>0.99674267100977199</v>
      </c>
      <c r="N9546">
        <v>0.99674267100977199</v>
      </c>
      <c r="O9546">
        <v>0.99674267100977199</v>
      </c>
      <c r="P9546" t="s">
        <v>11686</v>
      </c>
      <c r="Q9546" t="s">
        <v>11687</v>
      </c>
      <c r="R9546" t="s">
        <v>342</v>
      </c>
      <c r="S9546" t="s">
        <v>343</v>
      </c>
      <c r="T9546" t="s">
        <v>12350</v>
      </c>
      <c r="U9546" t="s">
        <v>12351</v>
      </c>
      <c r="V9546" t="s">
        <v>11690</v>
      </c>
      <c r="W9546" t="s">
        <v>11691</v>
      </c>
      <c r="AD9546" t="s">
        <v>166</v>
      </c>
      <c r="AE9546" t="s">
        <v>6779</v>
      </c>
      <c r="AF9546" t="s">
        <v>19378</v>
      </c>
    </row>
    <row r="9547" spans="1:32" hidden="1" x14ac:dyDescent="0.35">
      <c r="A9547">
        <v>9546</v>
      </c>
      <c r="B9547" t="s">
        <v>19377</v>
      </c>
      <c r="C9547" t="s">
        <v>33</v>
      </c>
      <c r="D9547" t="s">
        <v>45</v>
      </c>
      <c r="E9547">
        <v>84</v>
      </c>
      <c r="F9547">
        <v>2</v>
      </c>
      <c r="G9547">
        <v>2</v>
      </c>
      <c r="H9547">
        <v>1</v>
      </c>
      <c r="I9547">
        <v>0</v>
      </c>
      <c r="J9547">
        <v>0.998914223669924</v>
      </c>
      <c r="K9547">
        <v>1</v>
      </c>
      <c r="L9547">
        <v>0.99945681694731103</v>
      </c>
      <c r="M9547">
        <v>0.99674267100977199</v>
      </c>
      <c r="N9547">
        <v>0.99674267100977199</v>
      </c>
      <c r="O9547">
        <v>0.99674267100977199</v>
      </c>
      <c r="P9547" t="s">
        <v>11686</v>
      </c>
      <c r="Q9547" t="s">
        <v>11687</v>
      </c>
      <c r="R9547" t="s">
        <v>342</v>
      </c>
      <c r="S9547" t="s">
        <v>343</v>
      </c>
      <c r="T9547" t="s">
        <v>12350</v>
      </c>
      <c r="U9547" t="s">
        <v>12351</v>
      </c>
      <c r="V9547" t="s">
        <v>11690</v>
      </c>
      <c r="W9547" t="s">
        <v>11691</v>
      </c>
      <c r="AD9547" t="s">
        <v>166</v>
      </c>
      <c r="AE9547" t="s">
        <v>6779</v>
      </c>
      <c r="AF9547" t="s">
        <v>19379</v>
      </c>
    </row>
    <row r="9548" spans="1:32" hidden="1" x14ac:dyDescent="0.35">
      <c r="A9548">
        <v>9547</v>
      </c>
      <c r="B9548" t="s">
        <v>19380</v>
      </c>
      <c r="C9548" t="s">
        <v>33</v>
      </c>
      <c r="D9548" t="s">
        <v>60</v>
      </c>
      <c r="E9548">
        <v>1703</v>
      </c>
      <c r="F9548">
        <v>2</v>
      </c>
      <c r="G9548">
        <v>2</v>
      </c>
      <c r="H9548">
        <v>1</v>
      </c>
      <c r="I9548">
        <v>0</v>
      </c>
      <c r="J9548">
        <v>0.97396963123644298</v>
      </c>
      <c r="K9548">
        <v>1</v>
      </c>
      <c r="L9548">
        <v>0.98681318681318697</v>
      </c>
      <c r="M9548">
        <v>0.96963123644251603</v>
      </c>
      <c r="N9548">
        <v>0.96963123644251603</v>
      </c>
      <c r="O9548">
        <v>0.96963123644251603</v>
      </c>
      <c r="P9548" t="s">
        <v>5831</v>
      </c>
      <c r="Q9548" t="s">
        <v>5832</v>
      </c>
      <c r="R9548" t="s">
        <v>4098</v>
      </c>
      <c r="S9548" t="s">
        <v>4099</v>
      </c>
      <c r="T9548" t="s">
        <v>5833</v>
      </c>
      <c r="U9548" t="s">
        <v>5834</v>
      </c>
      <c r="V9548" t="s">
        <v>18744</v>
      </c>
      <c r="W9548" t="s">
        <v>18745</v>
      </c>
      <c r="AD9548" t="s">
        <v>3961</v>
      </c>
      <c r="AE9548" t="s">
        <v>3962</v>
      </c>
      <c r="AF9548" t="s">
        <v>19381</v>
      </c>
    </row>
    <row r="9549" spans="1:32" hidden="1" x14ac:dyDescent="0.35">
      <c r="A9549">
        <v>9548</v>
      </c>
      <c r="B9549" t="s">
        <v>19380</v>
      </c>
      <c r="C9549" t="s">
        <v>33</v>
      </c>
      <c r="D9549" t="s">
        <v>62</v>
      </c>
      <c r="E9549">
        <v>1738</v>
      </c>
      <c r="F9549">
        <v>2</v>
      </c>
      <c r="G9549">
        <v>2</v>
      </c>
      <c r="H9549">
        <v>1</v>
      </c>
      <c r="I9549">
        <v>0</v>
      </c>
      <c r="J9549">
        <v>0.97396963123644298</v>
      </c>
      <c r="K9549">
        <v>1</v>
      </c>
      <c r="L9549">
        <v>0.98681318681318697</v>
      </c>
      <c r="M9549">
        <v>0.96963123644251603</v>
      </c>
      <c r="N9549">
        <v>0.96963123644251603</v>
      </c>
      <c r="O9549">
        <v>0.96963123644251603</v>
      </c>
      <c r="P9549" t="s">
        <v>5831</v>
      </c>
      <c r="Q9549" t="s">
        <v>5832</v>
      </c>
      <c r="R9549" t="s">
        <v>4098</v>
      </c>
      <c r="S9549" t="s">
        <v>4099</v>
      </c>
      <c r="T9549" t="s">
        <v>5833</v>
      </c>
      <c r="U9549" t="s">
        <v>5834</v>
      </c>
      <c r="V9549" t="s">
        <v>18744</v>
      </c>
      <c r="W9549" t="s">
        <v>18745</v>
      </c>
      <c r="AD9549" t="s">
        <v>3961</v>
      </c>
      <c r="AE9549" t="s">
        <v>3962</v>
      </c>
      <c r="AF9549" t="s">
        <v>19382</v>
      </c>
    </row>
    <row r="9550" spans="1:32" hidden="1" x14ac:dyDescent="0.35">
      <c r="A9550">
        <v>9549</v>
      </c>
      <c r="B9550" t="s">
        <v>19383</v>
      </c>
      <c r="C9550" t="s">
        <v>33</v>
      </c>
      <c r="D9550" t="s">
        <v>60</v>
      </c>
      <c r="E9550">
        <v>107</v>
      </c>
      <c r="F9550">
        <v>2</v>
      </c>
      <c r="G9550">
        <v>2</v>
      </c>
      <c r="H9550">
        <v>1</v>
      </c>
      <c r="I9550">
        <v>0</v>
      </c>
      <c r="J9550">
        <v>0.991981672394044</v>
      </c>
      <c r="K9550">
        <v>1</v>
      </c>
      <c r="L9550">
        <v>0.99597469810235795</v>
      </c>
      <c r="M9550">
        <v>0.98969072164948502</v>
      </c>
      <c r="N9550">
        <v>0.98969072164948502</v>
      </c>
      <c r="O9550">
        <v>0.98969072164948502</v>
      </c>
      <c r="AF9550" t="s">
        <v>19384</v>
      </c>
    </row>
    <row r="9551" spans="1:32" hidden="1" x14ac:dyDescent="0.35">
      <c r="A9551">
        <v>9550</v>
      </c>
      <c r="B9551" t="s">
        <v>19383</v>
      </c>
      <c r="C9551" t="s">
        <v>33</v>
      </c>
      <c r="D9551" t="s">
        <v>62</v>
      </c>
      <c r="E9551">
        <v>179</v>
      </c>
      <c r="F9551">
        <v>2</v>
      </c>
      <c r="G9551">
        <v>2</v>
      </c>
      <c r="H9551">
        <v>1</v>
      </c>
      <c r="I9551">
        <v>0</v>
      </c>
      <c r="J9551">
        <v>0.991981672394044</v>
      </c>
      <c r="K9551">
        <v>1</v>
      </c>
      <c r="L9551">
        <v>0.99597469810235795</v>
      </c>
      <c r="M9551">
        <v>0.98969072164948502</v>
      </c>
      <c r="N9551">
        <v>0.98969072164948502</v>
      </c>
      <c r="O9551">
        <v>0.98969072164948502</v>
      </c>
      <c r="AF9551" t="s">
        <v>19385</v>
      </c>
    </row>
    <row r="9552" spans="1:32" hidden="1" x14ac:dyDescent="0.35">
      <c r="A9552">
        <v>9551</v>
      </c>
      <c r="B9552" t="s">
        <v>19386</v>
      </c>
      <c r="C9552" t="s">
        <v>33</v>
      </c>
      <c r="D9552" t="s">
        <v>34</v>
      </c>
      <c r="E9552">
        <v>1385</v>
      </c>
      <c r="F9552">
        <v>2</v>
      </c>
      <c r="G9552">
        <v>2</v>
      </c>
      <c r="H9552">
        <v>1</v>
      </c>
      <c r="I9552">
        <v>0</v>
      </c>
      <c r="J9552">
        <v>0.98039215686274495</v>
      </c>
      <c r="K9552">
        <v>1</v>
      </c>
      <c r="L9552">
        <v>0.99009900990098998</v>
      </c>
      <c r="M9552">
        <v>0.96078431372549</v>
      </c>
      <c r="N9552">
        <v>0.96078431372549</v>
      </c>
      <c r="O9552">
        <v>0.96078431372549</v>
      </c>
      <c r="AF9552" t="s">
        <v>19387</v>
      </c>
    </row>
    <row r="9553" spans="1:32" hidden="1" x14ac:dyDescent="0.35">
      <c r="A9553">
        <v>9552</v>
      </c>
      <c r="B9553" t="s">
        <v>19386</v>
      </c>
      <c r="C9553" t="s">
        <v>33</v>
      </c>
      <c r="D9553" t="s">
        <v>45</v>
      </c>
      <c r="E9553">
        <v>135</v>
      </c>
      <c r="F9553">
        <v>2</v>
      </c>
      <c r="G9553">
        <v>2</v>
      </c>
      <c r="H9553">
        <v>1</v>
      </c>
      <c r="I9553">
        <v>0</v>
      </c>
      <c r="J9553">
        <v>0.98039215686274495</v>
      </c>
      <c r="K9553">
        <v>1</v>
      </c>
      <c r="L9553">
        <v>0.99009900990098998</v>
      </c>
      <c r="M9553">
        <v>0.96078431372549</v>
      </c>
      <c r="N9553">
        <v>0.96078431372549</v>
      </c>
      <c r="O9553">
        <v>0.96078431372549</v>
      </c>
      <c r="AF9553" t="s">
        <v>19388</v>
      </c>
    </row>
    <row r="9554" spans="1:32" s="1" customFormat="1" hidden="1" x14ac:dyDescent="0.35">
      <c r="A9554" s="1">
        <v>9553</v>
      </c>
      <c r="B9554" s="1" t="s">
        <v>19389</v>
      </c>
      <c r="C9554" s="1" t="s">
        <v>33</v>
      </c>
      <c r="D9554" s="1" t="s">
        <v>60</v>
      </c>
      <c r="E9554" s="1">
        <v>2518</v>
      </c>
      <c r="F9554" s="1">
        <v>2</v>
      </c>
      <c r="G9554" s="1">
        <v>2</v>
      </c>
      <c r="H9554" s="1">
        <v>1</v>
      </c>
      <c r="I9554" s="1">
        <v>0</v>
      </c>
      <c r="J9554" s="1">
        <v>0.992932862190813</v>
      </c>
      <c r="K9554" s="1">
        <v>1</v>
      </c>
      <c r="L9554" s="1">
        <v>0.99645390070922002</v>
      </c>
      <c r="M9554" s="1">
        <v>0.992932862190813</v>
      </c>
      <c r="N9554" s="1">
        <v>0.992932862190813</v>
      </c>
      <c r="O9554" s="1">
        <v>0.992932862190813</v>
      </c>
      <c r="P9554" s="1" t="s">
        <v>4878</v>
      </c>
      <c r="Q9554" s="1" t="s">
        <v>4879</v>
      </c>
      <c r="R9554" s="1" t="s">
        <v>157</v>
      </c>
      <c r="S9554" s="1" t="s">
        <v>158</v>
      </c>
      <c r="T9554" s="1" t="s">
        <v>4880</v>
      </c>
      <c r="U9554" s="1" t="s">
        <v>4881</v>
      </c>
      <c r="V9554" s="1" t="s">
        <v>4882</v>
      </c>
      <c r="W9554" s="1" t="s">
        <v>4883</v>
      </c>
      <c r="AD9554" s="1" t="s">
        <v>4884</v>
      </c>
      <c r="AE9554" s="1" t="s">
        <v>4885</v>
      </c>
      <c r="AF9554" s="1" t="s">
        <v>19390</v>
      </c>
    </row>
    <row r="9555" spans="1:32" s="1" customFormat="1" hidden="1" x14ac:dyDescent="0.35">
      <c r="A9555" s="1">
        <v>9554</v>
      </c>
      <c r="B9555" s="1" t="s">
        <v>19389</v>
      </c>
      <c r="C9555" s="1" t="s">
        <v>33</v>
      </c>
      <c r="D9555" s="1" t="s">
        <v>62</v>
      </c>
      <c r="E9555" s="1">
        <v>44</v>
      </c>
      <c r="F9555" s="1">
        <v>2</v>
      </c>
      <c r="G9555" s="1">
        <v>2</v>
      </c>
      <c r="H9555" s="1">
        <v>1</v>
      </c>
      <c r="I9555" s="1">
        <v>0</v>
      </c>
      <c r="J9555" s="1">
        <v>0.992932862190813</v>
      </c>
      <c r="K9555" s="1">
        <v>1</v>
      </c>
      <c r="L9555" s="1">
        <v>0.99645390070922002</v>
      </c>
      <c r="M9555" s="1">
        <v>0.992932862190813</v>
      </c>
      <c r="N9555" s="1">
        <v>0.992932862190813</v>
      </c>
      <c r="O9555" s="1">
        <v>0.992932862190813</v>
      </c>
      <c r="P9555" s="1" t="s">
        <v>4878</v>
      </c>
      <c r="Q9555" s="1" t="s">
        <v>4879</v>
      </c>
      <c r="R9555" s="1" t="s">
        <v>157</v>
      </c>
      <c r="S9555" s="1" t="s">
        <v>158</v>
      </c>
      <c r="T9555" s="1" t="s">
        <v>4880</v>
      </c>
      <c r="U9555" s="1" t="s">
        <v>4881</v>
      </c>
      <c r="V9555" s="1" t="s">
        <v>4882</v>
      </c>
      <c r="W9555" s="1" t="s">
        <v>4883</v>
      </c>
      <c r="AD9555" s="1" t="s">
        <v>4884</v>
      </c>
      <c r="AE9555" s="1" t="s">
        <v>4885</v>
      </c>
      <c r="AF9555" s="1" t="s">
        <v>19391</v>
      </c>
    </row>
    <row r="9556" spans="1:32" hidden="1" x14ac:dyDescent="0.35">
      <c r="A9556">
        <v>9555</v>
      </c>
      <c r="B9556" t="s">
        <v>19392</v>
      </c>
      <c r="C9556" t="s">
        <v>33</v>
      </c>
      <c r="D9556" t="s">
        <v>34</v>
      </c>
      <c r="E9556">
        <v>97</v>
      </c>
      <c r="F9556">
        <v>2</v>
      </c>
      <c r="G9556">
        <v>2</v>
      </c>
      <c r="H9556">
        <v>1</v>
      </c>
      <c r="I9556">
        <v>0</v>
      </c>
      <c r="J9556">
        <v>0.96308479532163704</v>
      </c>
      <c r="K9556">
        <v>1</v>
      </c>
      <c r="L9556">
        <v>0.98119530813628797</v>
      </c>
      <c r="M9556">
        <v>0.94846491228070196</v>
      </c>
      <c r="N9556">
        <v>0.94846491228070196</v>
      </c>
      <c r="O9556">
        <v>0.94846491228070196</v>
      </c>
      <c r="AF9556" t="s">
        <v>19393</v>
      </c>
    </row>
    <row r="9557" spans="1:32" hidden="1" x14ac:dyDescent="0.35">
      <c r="A9557">
        <v>9556</v>
      </c>
      <c r="B9557" t="s">
        <v>19392</v>
      </c>
      <c r="C9557" t="s">
        <v>33</v>
      </c>
      <c r="D9557" t="s">
        <v>45</v>
      </c>
      <c r="E9557">
        <v>1357</v>
      </c>
      <c r="F9557">
        <v>2</v>
      </c>
      <c r="G9557">
        <v>2</v>
      </c>
      <c r="H9557">
        <v>1</v>
      </c>
      <c r="I9557">
        <v>0</v>
      </c>
      <c r="J9557">
        <v>0.96308479532163704</v>
      </c>
      <c r="K9557">
        <v>1</v>
      </c>
      <c r="L9557">
        <v>0.98119530813628797</v>
      </c>
      <c r="M9557">
        <v>0.94846491228070196</v>
      </c>
      <c r="N9557">
        <v>0.94846491228070196</v>
      </c>
      <c r="O9557">
        <v>0.94846491228070196</v>
      </c>
      <c r="AF9557" t="s">
        <v>19394</v>
      </c>
    </row>
    <row r="9558" spans="1:32" hidden="1" x14ac:dyDescent="0.35">
      <c r="A9558">
        <v>9557</v>
      </c>
      <c r="B9558" t="s">
        <v>19395</v>
      </c>
      <c r="C9558" t="s">
        <v>33</v>
      </c>
      <c r="D9558" t="s">
        <v>60</v>
      </c>
      <c r="E9558">
        <v>2036</v>
      </c>
      <c r="F9558">
        <v>2</v>
      </c>
      <c r="G9558">
        <v>2</v>
      </c>
      <c r="H9558">
        <v>1</v>
      </c>
      <c r="I9558">
        <v>0</v>
      </c>
      <c r="J9558">
        <v>0.96845694799658999</v>
      </c>
      <c r="K9558">
        <v>1</v>
      </c>
      <c r="L9558">
        <v>0.98397574707665703</v>
      </c>
      <c r="M9558">
        <v>0.95652173913043503</v>
      </c>
      <c r="N9558">
        <v>0.95652173913043503</v>
      </c>
      <c r="O9558">
        <v>0.95652173913043503</v>
      </c>
      <c r="P9558" t="s">
        <v>19396</v>
      </c>
      <c r="Q9558" t="s">
        <v>19397</v>
      </c>
      <c r="R9558" t="s">
        <v>342</v>
      </c>
      <c r="S9558" t="s">
        <v>343</v>
      </c>
      <c r="V9558" t="s">
        <v>16338</v>
      </c>
      <c r="W9558" t="s">
        <v>16339</v>
      </c>
      <c r="AF9558" t="s">
        <v>19398</v>
      </c>
    </row>
    <row r="9559" spans="1:32" hidden="1" x14ac:dyDescent="0.35">
      <c r="A9559">
        <v>9558</v>
      </c>
      <c r="B9559" t="s">
        <v>19395</v>
      </c>
      <c r="C9559" t="s">
        <v>33</v>
      </c>
      <c r="D9559" t="s">
        <v>62</v>
      </c>
      <c r="E9559">
        <v>2075</v>
      </c>
      <c r="F9559">
        <v>2</v>
      </c>
      <c r="G9559">
        <v>2</v>
      </c>
      <c r="H9559">
        <v>1</v>
      </c>
      <c r="I9559">
        <v>0</v>
      </c>
      <c r="J9559">
        <v>0.96845694799658999</v>
      </c>
      <c r="K9559">
        <v>1</v>
      </c>
      <c r="L9559">
        <v>0.98397574707665703</v>
      </c>
      <c r="M9559">
        <v>0.95652173913043503</v>
      </c>
      <c r="N9559">
        <v>0.95652173913043503</v>
      </c>
      <c r="O9559">
        <v>0.95652173913043503</v>
      </c>
      <c r="P9559" t="s">
        <v>136</v>
      </c>
      <c r="Q9559" t="s">
        <v>137</v>
      </c>
      <c r="R9559" t="s">
        <v>342</v>
      </c>
      <c r="S9559" t="s">
        <v>343</v>
      </c>
      <c r="V9559" t="s">
        <v>16338</v>
      </c>
      <c r="W9559" t="s">
        <v>16339</v>
      </c>
      <c r="AF9559" t="s">
        <v>19399</v>
      </c>
    </row>
    <row r="9560" spans="1:32" hidden="1" x14ac:dyDescent="0.35">
      <c r="A9560">
        <v>9559</v>
      </c>
      <c r="B9560" t="s">
        <v>19400</v>
      </c>
      <c r="C9560" t="s">
        <v>33</v>
      </c>
      <c r="D9560" t="s">
        <v>34</v>
      </c>
      <c r="E9560">
        <v>214</v>
      </c>
      <c r="F9560">
        <v>2</v>
      </c>
      <c r="G9560">
        <v>2</v>
      </c>
      <c r="H9560">
        <v>1</v>
      </c>
      <c r="I9560">
        <v>0</v>
      </c>
      <c r="J9560">
        <v>0.99259259259259303</v>
      </c>
      <c r="K9560">
        <v>1</v>
      </c>
      <c r="L9560">
        <v>0.99628252788104099</v>
      </c>
      <c r="M9560">
        <v>0.99259259259259303</v>
      </c>
      <c r="N9560">
        <v>0.99259259259259303</v>
      </c>
      <c r="O9560">
        <v>0.99259259259259303</v>
      </c>
      <c r="R9560" t="s">
        <v>540</v>
      </c>
      <c r="S9560" t="s">
        <v>541</v>
      </c>
      <c r="T9560" t="s">
        <v>15519</v>
      </c>
      <c r="U9560" t="s">
        <v>15520</v>
      </c>
      <c r="V9560" t="s">
        <v>15299</v>
      </c>
      <c r="W9560" t="s">
        <v>15300</v>
      </c>
      <c r="AD9560" t="s">
        <v>1321</v>
      </c>
      <c r="AE9560" t="s">
        <v>1322</v>
      </c>
      <c r="AF9560" t="s">
        <v>19401</v>
      </c>
    </row>
    <row r="9561" spans="1:32" hidden="1" x14ac:dyDescent="0.35">
      <c r="A9561">
        <v>9560</v>
      </c>
      <c r="B9561" t="s">
        <v>19400</v>
      </c>
      <c r="C9561" t="s">
        <v>33</v>
      </c>
      <c r="D9561" t="s">
        <v>45</v>
      </c>
      <c r="E9561">
        <v>1477</v>
      </c>
      <c r="F9561">
        <v>2</v>
      </c>
      <c r="G9561">
        <v>2</v>
      </c>
      <c r="H9561">
        <v>1</v>
      </c>
      <c r="I9561">
        <v>0</v>
      </c>
      <c r="J9561">
        <v>0.99259259259259303</v>
      </c>
      <c r="K9561">
        <v>1</v>
      </c>
      <c r="L9561">
        <v>0.99628252788104099</v>
      </c>
      <c r="M9561">
        <v>0.99259259259259303</v>
      </c>
      <c r="N9561">
        <v>0.99259259259259303</v>
      </c>
      <c r="O9561">
        <v>0.99259259259259303</v>
      </c>
      <c r="R9561" t="s">
        <v>540</v>
      </c>
      <c r="S9561" t="s">
        <v>541</v>
      </c>
      <c r="T9561" t="s">
        <v>15519</v>
      </c>
      <c r="U9561" t="s">
        <v>15520</v>
      </c>
      <c r="V9561" t="s">
        <v>15299</v>
      </c>
      <c r="W9561" t="s">
        <v>15300</v>
      </c>
      <c r="AD9561" t="s">
        <v>1321</v>
      </c>
      <c r="AE9561" t="s">
        <v>1322</v>
      </c>
      <c r="AF9561" t="s">
        <v>19402</v>
      </c>
    </row>
    <row r="9562" spans="1:32" hidden="1" x14ac:dyDescent="0.35">
      <c r="A9562">
        <v>9561</v>
      </c>
      <c r="B9562" t="s">
        <v>19403</v>
      </c>
      <c r="C9562" t="s">
        <v>33</v>
      </c>
      <c r="D9562" t="s">
        <v>34</v>
      </c>
      <c r="E9562">
        <v>1618</v>
      </c>
      <c r="F9562">
        <v>2</v>
      </c>
      <c r="G9562">
        <v>2</v>
      </c>
      <c r="H9562">
        <v>1</v>
      </c>
      <c r="I9562">
        <v>0</v>
      </c>
      <c r="J9562">
        <v>0.96559139784946202</v>
      </c>
      <c r="K9562">
        <v>0.88749999999999896</v>
      </c>
      <c r="L9562">
        <v>0.92490026836875305</v>
      </c>
      <c r="M9562">
        <v>0.84659090909090895</v>
      </c>
      <c r="N9562">
        <v>0.84659090909090895</v>
      </c>
      <c r="O9562">
        <v>0.84659090909090895</v>
      </c>
      <c r="P9562" t="s">
        <v>19404</v>
      </c>
      <c r="Q9562" t="s">
        <v>19405</v>
      </c>
      <c r="AF9562" t="s">
        <v>19406</v>
      </c>
    </row>
    <row r="9563" spans="1:32" hidden="1" x14ac:dyDescent="0.35">
      <c r="A9563">
        <v>9562</v>
      </c>
      <c r="B9563" t="s">
        <v>19403</v>
      </c>
      <c r="C9563" t="s">
        <v>33</v>
      </c>
      <c r="D9563" t="s">
        <v>45</v>
      </c>
      <c r="E9563">
        <v>368</v>
      </c>
      <c r="F9563">
        <v>2</v>
      </c>
      <c r="G9563">
        <v>2</v>
      </c>
      <c r="H9563">
        <v>1</v>
      </c>
      <c r="I9563">
        <v>0</v>
      </c>
      <c r="J9563">
        <v>0.96559139784946202</v>
      </c>
      <c r="K9563">
        <v>0.88749999999999896</v>
      </c>
      <c r="L9563">
        <v>0.92490026836875305</v>
      </c>
      <c r="M9563">
        <v>0.84659090909090895</v>
      </c>
      <c r="N9563">
        <v>0.84659090909090895</v>
      </c>
      <c r="O9563">
        <v>0.84659090909090895</v>
      </c>
      <c r="P9563" t="s">
        <v>19404</v>
      </c>
      <c r="Q9563" t="s">
        <v>19405</v>
      </c>
      <c r="AF9563" t="e">
        <f>---------------------MDIYAYQRPLGRIADDEKLRNRFIELYDAKTHQQIVQFCRDYARHLHNVAGFPYPYHEDIADADAGMRRWLAGEANYHEARNCSFRIGRLAKETTDPVTVRFLRTMAQITASPHVKYHGLWATDFAVTFINTQKPGDMAAVRAEREHQITLLSAL</f>
        <v>#NAME?</v>
      </c>
    </row>
    <row r="9564" spans="1:32" hidden="1" x14ac:dyDescent="0.35">
      <c r="A9564">
        <v>9563</v>
      </c>
      <c r="B9564" t="s">
        <v>19407</v>
      </c>
      <c r="C9564" t="s">
        <v>33</v>
      </c>
      <c r="D9564" t="s">
        <v>34</v>
      </c>
      <c r="E9564">
        <v>798</v>
      </c>
      <c r="F9564">
        <v>2</v>
      </c>
      <c r="G9564">
        <v>2</v>
      </c>
      <c r="H9564">
        <v>1</v>
      </c>
      <c r="I9564">
        <v>0</v>
      </c>
      <c r="J9564">
        <v>0.99468085106382997</v>
      </c>
      <c r="K9564">
        <v>1</v>
      </c>
      <c r="L9564">
        <v>0.99733333333333296</v>
      </c>
      <c r="M9564">
        <v>0.99468085106382997</v>
      </c>
      <c r="N9564">
        <v>0.99468085106382997</v>
      </c>
      <c r="O9564">
        <v>0.99468085106382997</v>
      </c>
      <c r="T9564" t="s">
        <v>19408</v>
      </c>
      <c r="U9564" t="s">
        <v>19409</v>
      </c>
      <c r="AD9564" t="s">
        <v>14436</v>
      </c>
      <c r="AE9564" t="s">
        <v>16783</v>
      </c>
      <c r="AF9564" t="s">
        <v>19410</v>
      </c>
    </row>
    <row r="9565" spans="1:32" hidden="1" x14ac:dyDescent="0.35">
      <c r="A9565">
        <v>9564</v>
      </c>
      <c r="B9565" t="s">
        <v>19407</v>
      </c>
      <c r="C9565" t="s">
        <v>33</v>
      </c>
      <c r="D9565" t="s">
        <v>45</v>
      </c>
      <c r="E9565">
        <v>2054</v>
      </c>
      <c r="F9565">
        <v>2</v>
      </c>
      <c r="G9565">
        <v>2</v>
      </c>
      <c r="H9565">
        <v>1</v>
      </c>
      <c r="I9565">
        <v>0</v>
      </c>
      <c r="J9565">
        <v>0.99468085106382997</v>
      </c>
      <c r="K9565">
        <v>1</v>
      </c>
      <c r="L9565">
        <v>0.99733333333333296</v>
      </c>
      <c r="M9565">
        <v>0.99468085106382997</v>
      </c>
      <c r="N9565">
        <v>0.99468085106382997</v>
      </c>
      <c r="O9565">
        <v>0.99468085106382997</v>
      </c>
      <c r="T9565" t="s">
        <v>19408</v>
      </c>
      <c r="U9565" t="s">
        <v>19409</v>
      </c>
      <c r="AD9565" t="s">
        <v>14436</v>
      </c>
      <c r="AE9565" t="s">
        <v>16783</v>
      </c>
      <c r="AF9565" t="s">
        <v>19411</v>
      </c>
    </row>
    <row r="9566" spans="1:32" hidden="1" x14ac:dyDescent="0.35">
      <c r="A9566">
        <v>9565</v>
      </c>
      <c r="B9566" t="s">
        <v>19412</v>
      </c>
      <c r="C9566" t="s">
        <v>33</v>
      </c>
      <c r="D9566" t="s">
        <v>34</v>
      </c>
      <c r="E9566">
        <v>360</v>
      </c>
      <c r="F9566">
        <v>2</v>
      </c>
      <c r="G9566">
        <v>2</v>
      </c>
      <c r="H9566">
        <v>1</v>
      </c>
      <c r="I9566">
        <v>0</v>
      </c>
      <c r="J9566">
        <v>0.99415204678362601</v>
      </c>
      <c r="K9566">
        <v>0.83043478260869497</v>
      </c>
      <c r="L9566">
        <v>0.90494837028469499</v>
      </c>
      <c r="M9566">
        <v>0.8</v>
      </c>
      <c r="N9566">
        <v>0.8</v>
      </c>
      <c r="O9566">
        <v>0.8</v>
      </c>
      <c r="AF9566" t="s">
        <v>19413</v>
      </c>
    </row>
    <row r="9567" spans="1:32" hidden="1" x14ac:dyDescent="0.35">
      <c r="A9567">
        <v>9566</v>
      </c>
      <c r="B9567" t="s">
        <v>19412</v>
      </c>
      <c r="C9567" t="s">
        <v>33</v>
      </c>
      <c r="D9567" t="s">
        <v>45</v>
      </c>
      <c r="E9567">
        <v>1622</v>
      </c>
      <c r="F9567">
        <v>2</v>
      </c>
      <c r="G9567">
        <v>2</v>
      </c>
      <c r="H9567">
        <v>1</v>
      </c>
      <c r="I9567">
        <v>0</v>
      </c>
      <c r="J9567">
        <v>0.99415204678362601</v>
      </c>
      <c r="K9567">
        <v>0.83043478260869497</v>
      </c>
      <c r="L9567">
        <v>0.90494837028469499</v>
      </c>
      <c r="M9567">
        <v>0.8</v>
      </c>
      <c r="N9567">
        <v>0.8</v>
      </c>
      <c r="O9567">
        <v>0.8</v>
      </c>
      <c r="AF9567" t="e">
        <f>-------------MRLSDAVDYDRTADRGNQNEPGDEDRMVIFEDDFGPIGSGAEQGSLEFYREQQPPHY</f>
        <v>#NAME?</v>
      </c>
    </row>
    <row r="9568" spans="1:32" hidden="1" x14ac:dyDescent="0.35">
      <c r="A9568">
        <v>9567</v>
      </c>
      <c r="B9568" t="s">
        <v>19414</v>
      </c>
      <c r="C9568" t="s">
        <v>33</v>
      </c>
      <c r="D9568" t="s">
        <v>34</v>
      </c>
      <c r="E9568">
        <v>200</v>
      </c>
      <c r="F9568">
        <v>2</v>
      </c>
      <c r="G9568">
        <v>2</v>
      </c>
      <c r="H9568">
        <v>1</v>
      </c>
      <c r="I9568">
        <v>0</v>
      </c>
      <c r="J9568">
        <v>0.94681861348527996</v>
      </c>
      <c r="K9568">
        <v>0.98878013845786406</v>
      </c>
      <c r="L9568">
        <v>0.96734453749426497</v>
      </c>
      <c r="M9568">
        <v>0.92112676056338005</v>
      </c>
      <c r="N9568">
        <v>0.92112676056338005</v>
      </c>
      <c r="O9568">
        <v>0.92112676056338005</v>
      </c>
      <c r="P9568" t="s">
        <v>12710</v>
      </c>
      <c r="Q9568" t="s">
        <v>12711</v>
      </c>
      <c r="R9568" t="s">
        <v>213</v>
      </c>
      <c r="S9568" t="s">
        <v>214</v>
      </c>
      <c r="T9568" t="s">
        <v>13500</v>
      </c>
      <c r="U9568" t="s">
        <v>13501</v>
      </c>
      <c r="V9568" t="s">
        <v>12714</v>
      </c>
      <c r="W9568" t="s">
        <v>12715</v>
      </c>
      <c r="X9568" t="s">
        <v>12714</v>
      </c>
      <c r="Y9568" t="s">
        <v>840</v>
      </c>
      <c r="AD9568" t="s">
        <v>219</v>
      </c>
      <c r="AE9568" t="s">
        <v>13502</v>
      </c>
      <c r="AF9568" t="s">
        <v>19415</v>
      </c>
    </row>
    <row r="9569" spans="1:32" hidden="1" x14ac:dyDescent="0.35">
      <c r="A9569">
        <v>9568</v>
      </c>
      <c r="B9569" t="s">
        <v>19414</v>
      </c>
      <c r="C9569" t="s">
        <v>33</v>
      </c>
      <c r="D9569" t="s">
        <v>45</v>
      </c>
      <c r="E9569">
        <v>1463</v>
      </c>
      <c r="F9569">
        <v>2</v>
      </c>
      <c r="G9569">
        <v>2</v>
      </c>
      <c r="H9569">
        <v>1</v>
      </c>
      <c r="I9569">
        <v>0</v>
      </c>
      <c r="J9569">
        <v>0.94681861348527996</v>
      </c>
      <c r="K9569">
        <v>0.98878013845786406</v>
      </c>
      <c r="L9569">
        <v>0.96734453749426497</v>
      </c>
      <c r="M9569">
        <v>0.92112676056338005</v>
      </c>
      <c r="N9569">
        <v>0.92112676056338005</v>
      </c>
      <c r="O9569">
        <v>0.92112676056338005</v>
      </c>
      <c r="P9569" t="s">
        <v>12710</v>
      </c>
      <c r="Q9569" t="s">
        <v>12711</v>
      </c>
      <c r="R9569" t="s">
        <v>213</v>
      </c>
      <c r="S9569" t="s">
        <v>214</v>
      </c>
      <c r="T9569" t="s">
        <v>13500</v>
      </c>
      <c r="U9569" t="s">
        <v>13501</v>
      </c>
      <c r="V9569" t="s">
        <v>12714</v>
      </c>
      <c r="W9569" t="s">
        <v>12715</v>
      </c>
      <c r="X9569" t="s">
        <v>12714</v>
      </c>
      <c r="Y9569" t="s">
        <v>840</v>
      </c>
      <c r="AD9569" t="s">
        <v>219</v>
      </c>
      <c r="AE9569" t="s">
        <v>13502</v>
      </c>
      <c r="AF9569" t="s">
        <v>19416</v>
      </c>
    </row>
    <row r="9570" spans="1:32" hidden="1" x14ac:dyDescent="0.35">
      <c r="A9570">
        <v>9569</v>
      </c>
      <c r="B9570" t="s">
        <v>19417</v>
      </c>
      <c r="C9570" t="s">
        <v>33</v>
      </c>
      <c r="D9570" t="s">
        <v>34</v>
      </c>
      <c r="E9570">
        <v>1711</v>
      </c>
      <c r="F9570">
        <v>2</v>
      </c>
      <c r="G9570">
        <v>2</v>
      </c>
      <c r="H9570">
        <v>1</v>
      </c>
      <c r="I9570">
        <v>0</v>
      </c>
      <c r="J9570">
        <v>0.844444444444444</v>
      </c>
      <c r="K9570">
        <v>0.84790437914296402</v>
      </c>
      <c r="L9570">
        <v>0.84617087494954102</v>
      </c>
      <c r="M9570">
        <v>0.70408163265306101</v>
      </c>
      <c r="N9570">
        <v>0.70408163265306101</v>
      </c>
      <c r="O9570">
        <v>0.70408163265306101</v>
      </c>
      <c r="P9570" t="s">
        <v>14048</v>
      </c>
      <c r="Q9570" t="s">
        <v>14049</v>
      </c>
      <c r="R9570" t="s">
        <v>113</v>
      </c>
      <c r="S9570" t="s">
        <v>114</v>
      </c>
      <c r="T9570" t="s">
        <v>14050</v>
      </c>
      <c r="U9570" t="s">
        <v>14051</v>
      </c>
      <c r="V9570" t="s">
        <v>14052</v>
      </c>
      <c r="W9570" t="s">
        <v>14053</v>
      </c>
      <c r="AD9570" t="s">
        <v>14054</v>
      </c>
      <c r="AE9570" t="s">
        <v>14055</v>
      </c>
      <c r="AF9570" t="s">
        <v>19418</v>
      </c>
    </row>
    <row r="9571" spans="1:32" hidden="1" x14ac:dyDescent="0.35">
      <c r="A9571">
        <v>9570</v>
      </c>
      <c r="B9571" t="s">
        <v>19417</v>
      </c>
      <c r="C9571" t="s">
        <v>33</v>
      </c>
      <c r="D9571" t="s">
        <v>45</v>
      </c>
      <c r="E9571">
        <v>1165</v>
      </c>
      <c r="F9571">
        <v>2</v>
      </c>
      <c r="G9571">
        <v>2</v>
      </c>
      <c r="H9571">
        <v>1</v>
      </c>
      <c r="I9571">
        <v>0</v>
      </c>
      <c r="J9571">
        <v>0.844444444444444</v>
      </c>
      <c r="K9571">
        <v>0.84790437914296402</v>
      </c>
      <c r="L9571">
        <v>0.84617087494954102</v>
      </c>
      <c r="M9571">
        <v>0.70408163265306101</v>
      </c>
      <c r="N9571">
        <v>0.70408163265306101</v>
      </c>
      <c r="O9571">
        <v>0.70408163265306101</v>
      </c>
      <c r="P9571" t="s">
        <v>14148</v>
      </c>
      <c r="Q9571" t="s">
        <v>14149</v>
      </c>
      <c r="R9571" t="s">
        <v>113</v>
      </c>
      <c r="S9571" t="s">
        <v>114</v>
      </c>
      <c r="T9571" t="s">
        <v>14050</v>
      </c>
      <c r="U9571" t="s">
        <v>14051</v>
      </c>
      <c r="V9571" t="s">
        <v>14052</v>
      </c>
      <c r="W9571" t="s">
        <v>14053</v>
      </c>
      <c r="AD9571" t="s">
        <v>14054</v>
      </c>
      <c r="AE9571" t="s">
        <v>14055</v>
      </c>
      <c r="AF9571" t="s">
        <v>19419</v>
      </c>
    </row>
    <row r="9572" spans="1:32" hidden="1" x14ac:dyDescent="0.35">
      <c r="A9572">
        <v>9571</v>
      </c>
      <c r="B9572" t="s">
        <v>19420</v>
      </c>
      <c r="C9572" t="s">
        <v>33</v>
      </c>
      <c r="D9572" t="s">
        <v>62</v>
      </c>
      <c r="E9572">
        <v>2091</v>
      </c>
      <c r="F9572">
        <v>1</v>
      </c>
      <c r="G9572">
        <v>2</v>
      </c>
      <c r="H9572">
        <v>2</v>
      </c>
      <c r="I9572">
        <v>0</v>
      </c>
      <c r="J9572">
        <v>0.62589928057554001</v>
      </c>
      <c r="K9572">
        <v>0.98589132025945803</v>
      </c>
      <c r="L9572">
        <v>0.76569334472652695</v>
      </c>
      <c r="M9572">
        <v>0.50354609929077998</v>
      </c>
      <c r="N9572">
        <v>0.50354609929077998</v>
      </c>
      <c r="O9572">
        <v>0.50354609929077998</v>
      </c>
      <c r="AF9572" t="s">
        <v>19421</v>
      </c>
    </row>
    <row r="9573" spans="1:32" hidden="1" x14ac:dyDescent="0.35">
      <c r="A9573">
        <v>9572</v>
      </c>
      <c r="B9573" t="s">
        <v>19420</v>
      </c>
      <c r="C9573" t="s">
        <v>33</v>
      </c>
      <c r="D9573" t="s">
        <v>62</v>
      </c>
      <c r="E9573">
        <v>1760</v>
      </c>
      <c r="F9573">
        <v>1</v>
      </c>
      <c r="G9573">
        <v>2</v>
      </c>
      <c r="H9573">
        <v>2</v>
      </c>
      <c r="I9573">
        <v>0</v>
      </c>
      <c r="J9573">
        <v>0.62589928057554001</v>
      </c>
      <c r="K9573">
        <v>0.98589132025945803</v>
      </c>
      <c r="L9573">
        <v>0.76569334472652695</v>
      </c>
      <c r="M9573">
        <v>0.50354609929077998</v>
      </c>
      <c r="N9573">
        <v>0.50354609929077998</v>
      </c>
      <c r="O9573">
        <v>0.50354609929077998</v>
      </c>
      <c r="AF9573" t="s">
        <v>19422</v>
      </c>
    </row>
    <row r="9574" spans="1:32" hidden="1" x14ac:dyDescent="0.35">
      <c r="A9574">
        <v>9573</v>
      </c>
      <c r="B9574" t="s">
        <v>19423</v>
      </c>
      <c r="C9574" t="s">
        <v>33</v>
      </c>
      <c r="D9574" t="s">
        <v>34</v>
      </c>
      <c r="E9574">
        <v>323</v>
      </c>
      <c r="F9574">
        <v>2</v>
      </c>
      <c r="G9574">
        <v>2</v>
      </c>
      <c r="H9574">
        <v>1</v>
      </c>
      <c r="I9574">
        <v>0</v>
      </c>
      <c r="J9574">
        <v>0.97679324894514796</v>
      </c>
      <c r="K9574">
        <v>0.83125901394156498</v>
      </c>
      <c r="L9574">
        <v>0.89816894080986698</v>
      </c>
      <c r="M9574">
        <v>0.78865979381443296</v>
      </c>
      <c r="N9574">
        <v>0.78865979381443296</v>
      </c>
      <c r="O9574">
        <v>0.78865979381443296</v>
      </c>
      <c r="P9574" t="s">
        <v>12822</v>
      </c>
      <c r="Q9574" t="s">
        <v>12823</v>
      </c>
      <c r="R9574" t="s">
        <v>224</v>
      </c>
      <c r="S9574" t="s">
        <v>225</v>
      </c>
      <c r="T9574" t="s">
        <v>12824</v>
      </c>
      <c r="U9574" t="s">
        <v>12825</v>
      </c>
      <c r="V9574" t="s">
        <v>12826</v>
      </c>
      <c r="W9574" t="s">
        <v>12827</v>
      </c>
      <c r="X9574" t="s">
        <v>12826</v>
      </c>
      <c r="Y9574" t="s">
        <v>773</v>
      </c>
      <c r="AD9574" t="s">
        <v>12828</v>
      </c>
      <c r="AE9574" t="s">
        <v>12829</v>
      </c>
      <c r="AF9574" t="e">
        <f>------------------------------------MGYRVVDRLLKDTPLHPIKGIPATAANVGDMLLVRSTTYMNDSGRAIAPLADAFAIDLDHIIVIHDELDLPLGTVRIKQGGNENGHNGLKSATAELGSRDYIRVRVGISRPPQGTPVVDYVLSALPEGPDTDDALTRAAQAVALITTKGVSAAQNQIH</f>
        <v>#NAME?</v>
      </c>
    </row>
    <row r="9575" spans="1:32" hidden="1" x14ac:dyDescent="0.35">
      <c r="A9575">
        <v>9574</v>
      </c>
      <c r="B9575" t="s">
        <v>19423</v>
      </c>
      <c r="C9575" t="s">
        <v>33</v>
      </c>
      <c r="D9575" t="s">
        <v>45</v>
      </c>
      <c r="E9575">
        <v>1585</v>
      </c>
      <c r="F9575">
        <v>2</v>
      </c>
      <c r="G9575">
        <v>2</v>
      </c>
      <c r="H9575">
        <v>1</v>
      </c>
      <c r="I9575">
        <v>0</v>
      </c>
      <c r="J9575">
        <v>0.97679324894514796</v>
      </c>
      <c r="K9575">
        <v>0.83125901394156498</v>
      </c>
      <c r="L9575">
        <v>0.89816894080986698</v>
      </c>
      <c r="M9575">
        <v>0.78865979381443296</v>
      </c>
      <c r="N9575">
        <v>0.78865979381443296</v>
      </c>
      <c r="O9575">
        <v>0.78865979381443296</v>
      </c>
      <c r="P9575" t="s">
        <v>12822</v>
      </c>
      <c r="Q9575" t="s">
        <v>12823</v>
      </c>
      <c r="R9575" t="s">
        <v>224</v>
      </c>
      <c r="S9575" t="s">
        <v>225</v>
      </c>
      <c r="T9575" t="s">
        <v>12824</v>
      </c>
      <c r="U9575" t="s">
        <v>12825</v>
      </c>
      <c r="V9575" t="s">
        <v>12826</v>
      </c>
      <c r="W9575" t="s">
        <v>12827</v>
      </c>
      <c r="X9575" t="s">
        <v>12826</v>
      </c>
      <c r="Y9575" t="s">
        <v>773</v>
      </c>
      <c r="AD9575" t="s">
        <v>12828</v>
      </c>
      <c r="AE9575" t="s">
        <v>12829</v>
      </c>
      <c r="AF9575" t="s">
        <v>19424</v>
      </c>
    </row>
    <row r="9576" spans="1:32" hidden="1" x14ac:dyDescent="0.35">
      <c r="A9576">
        <v>9575</v>
      </c>
      <c r="B9576" t="s">
        <v>19425</v>
      </c>
      <c r="C9576" t="s">
        <v>33</v>
      </c>
      <c r="D9576" t="s">
        <v>60</v>
      </c>
      <c r="E9576">
        <v>368</v>
      </c>
      <c r="F9576">
        <v>2</v>
      </c>
      <c r="G9576">
        <v>2</v>
      </c>
      <c r="H9576">
        <v>1</v>
      </c>
      <c r="I9576">
        <v>0</v>
      </c>
      <c r="J9576">
        <v>0.997728563316298</v>
      </c>
      <c r="K9576">
        <v>1</v>
      </c>
      <c r="L9576">
        <v>0.99886299033541803</v>
      </c>
      <c r="M9576">
        <v>0.996592844974446</v>
      </c>
      <c r="N9576">
        <v>0.996592844974446</v>
      </c>
      <c r="O9576">
        <v>0.996592844974446</v>
      </c>
      <c r="P9576" t="s">
        <v>19426</v>
      </c>
      <c r="Q9576" t="s">
        <v>19427</v>
      </c>
      <c r="R9576" t="s">
        <v>17180</v>
      </c>
      <c r="S9576" t="s">
        <v>17181</v>
      </c>
      <c r="T9576" t="s">
        <v>19428</v>
      </c>
      <c r="U9576" t="s">
        <v>19429</v>
      </c>
      <c r="V9576" t="s">
        <v>19430</v>
      </c>
      <c r="W9576" t="s">
        <v>19431</v>
      </c>
      <c r="X9576" t="s">
        <v>19430</v>
      </c>
      <c r="Y9576" t="s">
        <v>10466</v>
      </c>
      <c r="Z9576" t="s">
        <v>14760</v>
      </c>
      <c r="AA9576" t="s">
        <v>14761</v>
      </c>
      <c r="AB9576" t="s">
        <v>14760</v>
      </c>
      <c r="AC9576" t="s">
        <v>7049</v>
      </c>
      <c r="AD9576" t="s">
        <v>245</v>
      </c>
      <c r="AE9576" t="s">
        <v>19432</v>
      </c>
      <c r="AF9576" t="s">
        <v>19433</v>
      </c>
    </row>
    <row r="9577" spans="1:32" hidden="1" x14ac:dyDescent="0.35">
      <c r="A9577">
        <v>9576</v>
      </c>
      <c r="B9577" t="s">
        <v>19425</v>
      </c>
      <c r="C9577" t="s">
        <v>33</v>
      </c>
      <c r="D9577" t="s">
        <v>62</v>
      </c>
      <c r="E9577">
        <v>448</v>
      </c>
      <c r="F9577">
        <v>2</v>
      </c>
      <c r="G9577">
        <v>2</v>
      </c>
      <c r="H9577">
        <v>1</v>
      </c>
      <c r="I9577">
        <v>0</v>
      </c>
      <c r="J9577">
        <v>0.997728563316298</v>
      </c>
      <c r="K9577">
        <v>1</v>
      </c>
      <c r="L9577">
        <v>0.99886299033541803</v>
      </c>
      <c r="M9577">
        <v>0.996592844974446</v>
      </c>
      <c r="N9577">
        <v>0.996592844974446</v>
      </c>
      <c r="O9577">
        <v>0.996592844974446</v>
      </c>
      <c r="P9577" t="s">
        <v>19426</v>
      </c>
      <c r="Q9577" t="s">
        <v>19427</v>
      </c>
      <c r="R9577" t="s">
        <v>17180</v>
      </c>
      <c r="S9577" t="s">
        <v>17181</v>
      </c>
      <c r="T9577" t="s">
        <v>19428</v>
      </c>
      <c r="U9577" t="s">
        <v>19429</v>
      </c>
      <c r="V9577" t="s">
        <v>19430</v>
      </c>
      <c r="W9577" t="s">
        <v>19431</v>
      </c>
      <c r="X9577" t="s">
        <v>19430</v>
      </c>
      <c r="Y9577" t="s">
        <v>10466</v>
      </c>
      <c r="Z9577" t="s">
        <v>14760</v>
      </c>
      <c r="AA9577" t="s">
        <v>14761</v>
      </c>
      <c r="AB9577" t="s">
        <v>14760</v>
      </c>
      <c r="AC9577" t="s">
        <v>7049</v>
      </c>
      <c r="AD9577" t="s">
        <v>245</v>
      </c>
      <c r="AE9577" t="s">
        <v>19432</v>
      </c>
      <c r="AF9577" t="s">
        <v>19434</v>
      </c>
    </row>
    <row r="9578" spans="1:32" hidden="1" x14ac:dyDescent="0.35">
      <c r="A9578">
        <v>9577</v>
      </c>
      <c r="B9578" t="s">
        <v>19435</v>
      </c>
      <c r="C9578" t="s">
        <v>33</v>
      </c>
      <c r="D9578" t="s">
        <v>34</v>
      </c>
      <c r="E9578">
        <v>1731</v>
      </c>
      <c r="F9578">
        <v>2</v>
      </c>
      <c r="G9578">
        <v>2</v>
      </c>
      <c r="H9578">
        <v>1</v>
      </c>
      <c r="I9578">
        <v>0</v>
      </c>
      <c r="J9578">
        <v>0.96883852691218098</v>
      </c>
      <c r="K9578">
        <v>1</v>
      </c>
      <c r="L9578">
        <v>0.98417266187050401</v>
      </c>
      <c r="M9578">
        <v>0.96317280453257803</v>
      </c>
      <c r="N9578">
        <v>0.96317280453257803</v>
      </c>
      <c r="O9578">
        <v>0.96317280453257803</v>
      </c>
      <c r="R9578" t="s">
        <v>288</v>
      </c>
      <c r="S9578" t="s">
        <v>289</v>
      </c>
      <c r="V9578" t="s">
        <v>12060</v>
      </c>
      <c r="W9578" t="s">
        <v>12061</v>
      </c>
      <c r="AF9578" t="s">
        <v>19436</v>
      </c>
    </row>
    <row r="9579" spans="1:32" hidden="1" x14ac:dyDescent="0.35">
      <c r="A9579">
        <v>9578</v>
      </c>
      <c r="B9579" t="s">
        <v>19435</v>
      </c>
      <c r="C9579" t="s">
        <v>33</v>
      </c>
      <c r="D9579" t="s">
        <v>45</v>
      </c>
      <c r="E9579">
        <v>1143</v>
      </c>
      <c r="F9579">
        <v>2</v>
      </c>
      <c r="G9579">
        <v>2</v>
      </c>
      <c r="H9579">
        <v>1</v>
      </c>
      <c r="I9579">
        <v>0</v>
      </c>
      <c r="J9579">
        <v>0.96883852691218098</v>
      </c>
      <c r="K9579">
        <v>1</v>
      </c>
      <c r="L9579">
        <v>0.98417266187050401</v>
      </c>
      <c r="M9579">
        <v>0.96317280453257803</v>
      </c>
      <c r="N9579">
        <v>0.96317280453257803</v>
      </c>
      <c r="O9579">
        <v>0.96317280453257803</v>
      </c>
      <c r="R9579" t="s">
        <v>288</v>
      </c>
      <c r="S9579" t="s">
        <v>289</v>
      </c>
      <c r="V9579" t="s">
        <v>12060</v>
      </c>
      <c r="W9579" t="s">
        <v>12061</v>
      </c>
      <c r="AF9579" t="s">
        <v>19437</v>
      </c>
    </row>
    <row r="9580" spans="1:32" hidden="1" x14ac:dyDescent="0.35">
      <c r="A9580">
        <v>9579</v>
      </c>
      <c r="B9580" t="s">
        <v>19438</v>
      </c>
      <c r="C9580" t="s">
        <v>33</v>
      </c>
      <c r="D9580" t="s">
        <v>60</v>
      </c>
      <c r="E9580">
        <v>913</v>
      </c>
      <c r="F9580">
        <v>2</v>
      </c>
      <c r="G9580">
        <v>2</v>
      </c>
      <c r="H9580">
        <v>1</v>
      </c>
      <c r="I9580">
        <v>0</v>
      </c>
      <c r="J9580">
        <v>0.97590361445783103</v>
      </c>
      <c r="K9580">
        <v>1</v>
      </c>
      <c r="L9580">
        <v>0.98780487804878003</v>
      </c>
      <c r="M9580">
        <v>0.97590361445783103</v>
      </c>
      <c r="N9580">
        <v>0.97590361445783103</v>
      </c>
      <c r="O9580">
        <v>0.97590361445783103</v>
      </c>
      <c r="R9580" t="s">
        <v>213</v>
      </c>
      <c r="S9580" t="s">
        <v>214</v>
      </c>
      <c r="V9580" t="s">
        <v>7677</v>
      </c>
      <c r="W9580" t="s">
        <v>7678</v>
      </c>
      <c r="X9580" t="s">
        <v>7677</v>
      </c>
      <c r="Y9580" t="s">
        <v>2301</v>
      </c>
      <c r="AF9580" t="s">
        <v>19439</v>
      </c>
    </row>
    <row r="9581" spans="1:32" hidden="1" x14ac:dyDescent="0.35">
      <c r="A9581">
        <v>9580</v>
      </c>
      <c r="B9581" t="s">
        <v>19438</v>
      </c>
      <c r="C9581" t="s">
        <v>33</v>
      </c>
      <c r="D9581" t="s">
        <v>62</v>
      </c>
      <c r="E9581">
        <v>949</v>
      </c>
      <c r="F9581">
        <v>2</v>
      </c>
      <c r="G9581">
        <v>2</v>
      </c>
      <c r="H9581">
        <v>1</v>
      </c>
      <c r="I9581">
        <v>0</v>
      </c>
      <c r="J9581">
        <v>0.97590361445783103</v>
      </c>
      <c r="K9581">
        <v>1</v>
      </c>
      <c r="L9581">
        <v>0.98780487804878003</v>
      </c>
      <c r="M9581">
        <v>0.97590361445783103</v>
      </c>
      <c r="N9581">
        <v>0.97590361445783103</v>
      </c>
      <c r="O9581">
        <v>0.97590361445783103</v>
      </c>
      <c r="R9581" t="s">
        <v>213</v>
      </c>
      <c r="S9581" t="s">
        <v>214</v>
      </c>
      <c r="V9581" t="s">
        <v>7677</v>
      </c>
      <c r="W9581" t="s">
        <v>7678</v>
      </c>
      <c r="X9581" t="s">
        <v>7677</v>
      </c>
      <c r="Y9581" t="s">
        <v>2301</v>
      </c>
      <c r="AF9581" t="s">
        <v>19440</v>
      </c>
    </row>
    <row r="9582" spans="1:32" hidden="1" x14ac:dyDescent="0.35">
      <c r="A9582">
        <v>9581</v>
      </c>
      <c r="B9582" t="s">
        <v>19441</v>
      </c>
      <c r="C9582" t="s">
        <v>33</v>
      </c>
      <c r="D9582" t="s">
        <v>60</v>
      </c>
      <c r="E9582">
        <v>68</v>
      </c>
      <c r="F9582">
        <v>2</v>
      </c>
      <c r="G9582">
        <v>2</v>
      </c>
      <c r="H9582">
        <v>1</v>
      </c>
      <c r="I9582">
        <v>0</v>
      </c>
      <c r="J9582">
        <v>0.99595959595959604</v>
      </c>
      <c r="K9582">
        <v>1</v>
      </c>
      <c r="L9582">
        <v>0.99797570850202399</v>
      </c>
      <c r="M9582">
        <v>0.99393939393939401</v>
      </c>
      <c r="N9582">
        <v>0.99393939393939401</v>
      </c>
      <c r="O9582">
        <v>0.99393939393939401</v>
      </c>
      <c r="P9582" t="s">
        <v>1486</v>
      </c>
      <c r="Q9582" t="s">
        <v>1487</v>
      </c>
      <c r="R9582" t="s">
        <v>787</v>
      </c>
      <c r="S9582" t="s">
        <v>788</v>
      </c>
      <c r="V9582" t="s">
        <v>791</v>
      </c>
      <c r="W9582" t="s">
        <v>792</v>
      </c>
      <c r="AF9582" t="s">
        <v>19442</v>
      </c>
    </row>
    <row r="9583" spans="1:32" hidden="1" x14ac:dyDescent="0.35">
      <c r="A9583">
        <v>9582</v>
      </c>
      <c r="B9583" t="s">
        <v>19441</v>
      </c>
      <c r="C9583" t="s">
        <v>33</v>
      </c>
      <c r="D9583" t="s">
        <v>62</v>
      </c>
      <c r="E9583">
        <v>141</v>
      </c>
      <c r="F9583">
        <v>2</v>
      </c>
      <c r="G9583">
        <v>2</v>
      </c>
      <c r="H9583">
        <v>1</v>
      </c>
      <c r="I9583">
        <v>0</v>
      </c>
      <c r="J9583">
        <v>0.99595959595959604</v>
      </c>
      <c r="K9583">
        <v>1</v>
      </c>
      <c r="L9583">
        <v>0.99797570850202399</v>
      </c>
      <c r="M9583">
        <v>0.99393939393939401</v>
      </c>
      <c r="N9583">
        <v>0.99393939393939401</v>
      </c>
      <c r="O9583">
        <v>0.99393939393939401</v>
      </c>
      <c r="P9583" t="s">
        <v>1486</v>
      </c>
      <c r="Q9583" t="s">
        <v>1487</v>
      </c>
      <c r="R9583" t="s">
        <v>787</v>
      </c>
      <c r="S9583" t="s">
        <v>788</v>
      </c>
      <c r="V9583" t="s">
        <v>791</v>
      </c>
      <c r="W9583" t="s">
        <v>792</v>
      </c>
      <c r="AF9583" t="s">
        <v>19443</v>
      </c>
    </row>
    <row r="9584" spans="1:32" hidden="1" x14ac:dyDescent="0.35">
      <c r="A9584">
        <v>9583</v>
      </c>
      <c r="B9584" t="s">
        <v>19444</v>
      </c>
      <c r="C9584" t="s">
        <v>33</v>
      </c>
      <c r="D9584" t="s">
        <v>34</v>
      </c>
      <c r="E9584">
        <v>1819</v>
      </c>
      <c r="F9584">
        <v>2</v>
      </c>
      <c r="G9584">
        <v>2</v>
      </c>
      <c r="H9584">
        <v>1</v>
      </c>
      <c r="I9584">
        <v>0</v>
      </c>
      <c r="J9584">
        <v>0.99086757990867602</v>
      </c>
      <c r="K9584">
        <v>1</v>
      </c>
      <c r="L9584">
        <v>0.99541284403669705</v>
      </c>
      <c r="M9584">
        <v>0.98630136986301398</v>
      </c>
      <c r="N9584">
        <v>0.98630136986301398</v>
      </c>
      <c r="O9584">
        <v>0.98630136986301398</v>
      </c>
      <c r="P9584" t="s">
        <v>19445</v>
      </c>
      <c r="Q9584" t="s">
        <v>19446</v>
      </c>
      <c r="AF9584" t="s">
        <v>19447</v>
      </c>
    </row>
    <row r="9585" spans="1:32" hidden="1" x14ac:dyDescent="0.35">
      <c r="A9585">
        <v>9584</v>
      </c>
      <c r="B9585" t="s">
        <v>19444</v>
      </c>
      <c r="C9585" t="s">
        <v>33</v>
      </c>
      <c r="D9585" t="s">
        <v>45</v>
      </c>
      <c r="E9585">
        <v>1054</v>
      </c>
      <c r="F9585">
        <v>2</v>
      </c>
      <c r="G9585">
        <v>2</v>
      </c>
      <c r="H9585">
        <v>1</v>
      </c>
      <c r="I9585">
        <v>0</v>
      </c>
      <c r="J9585">
        <v>0.99086757990867602</v>
      </c>
      <c r="K9585">
        <v>1</v>
      </c>
      <c r="L9585">
        <v>0.99541284403669705</v>
      </c>
      <c r="M9585">
        <v>0.98630136986301398</v>
      </c>
      <c r="N9585">
        <v>0.98630136986301398</v>
      </c>
      <c r="O9585">
        <v>0.98630136986301398</v>
      </c>
      <c r="P9585" t="s">
        <v>19445</v>
      </c>
      <c r="Q9585" t="s">
        <v>19446</v>
      </c>
      <c r="R9585" t="s">
        <v>19448</v>
      </c>
      <c r="S9585" t="s">
        <v>19449</v>
      </c>
      <c r="V9585" t="s">
        <v>19450</v>
      </c>
      <c r="W9585" t="s">
        <v>19451</v>
      </c>
      <c r="AF9585" t="s">
        <v>19452</v>
      </c>
    </row>
    <row r="9586" spans="1:32" hidden="1" x14ac:dyDescent="0.35">
      <c r="A9586">
        <v>9585</v>
      </c>
      <c r="B9586" t="s">
        <v>19453</v>
      </c>
      <c r="C9586" t="s">
        <v>33</v>
      </c>
      <c r="D9586" t="s">
        <v>34</v>
      </c>
      <c r="E9586">
        <v>513</v>
      </c>
      <c r="F9586">
        <v>2</v>
      </c>
      <c r="G9586">
        <v>2</v>
      </c>
      <c r="H9586">
        <v>1</v>
      </c>
      <c r="I9586">
        <v>0</v>
      </c>
      <c r="J9586">
        <v>0.97866666666666702</v>
      </c>
      <c r="K9586">
        <v>1</v>
      </c>
      <c r="L9586">
        <v>0.98921832884097005</v>
      </c>
      <c r="M9586">
        <v>0.97599999999999998</v>
      </c>
      <c r="N9586">
        <v>0.97599999999999998</v>
      </c>
      <c r="O9586">
        <v>0.97599999999999998</v>
      </c>
      <c r="AF9586" t="s">
        <v>19454</v>
      </c>
    </row>
    <row r="9587" spans="1:32" hidden="1" x14ac:dyDescent="0.35">
      <c r="A9587">
        <v>9586</v>
      </c>
      <c r="B9587" t="s">
        <v>19453</v>
      </c>
      <c r="C9587" t="s">
        <v>33</v>
      </c>
      <c r="D9587" t="s">
        <v>45</v>
      </c>
      <c r="E9587">
        <v>1778</v>
      </c>
      <c r="F9587">
        <v>2</v>
      </c>
      <c r="G9587">
        <v>2</v>
      </c>
      <c r="H9587">
        <v>1</v>
      </c>
      <c r="I9587">
        <v>0</v>
      </c>
      <c r="J9587">
        <v>0.97866666666666702</v>
      </c>
      <c r="K9587">
        <v>1</v>
      </c>
      <c r="L9587">
        <v>0.98921832884097005</v>
      </c>
      <c r="M9587">
        <v>0.97599999999999998</v>
      </c>
      <c r="N9587">
        <v>0.97599999999999998</v>
      </c>
      <c r="O9587">
        <v>0.97599999999999998</v>
      </c>
      <c r="AF9587" t="s">
        <v>19455</v>
      </c>
    </row>
    <row r="9588" spans="1:32" hidden="1" x14ac:dyDescent="0.35">
      <c r="A9588">
        <v>9587</v>
      </c>
      <c r="B9588" t="s">
        <v>19456</v>
      </c>
      <c r="C9588" t="s">
        <v>33</v>
      </c>
      <c r="D9588" t="s">
        <v>60</v>
      </c>
      <c r="E9588">
        <v>44</v>
      </c>
      <c r="F9588">
        <v>2</v>
      </c>
      <c r="G9588">
        <v>2</v>
      </c>
      <c r="H9588">
        <v>1</v>
      </c>
      <c r="I9588">
        <v>0</v>
      </c>
      <c r="J9588">
        <v>0.99621212121212099</v>
      </c>
      <c r="K9588">
        <v>1</v>
      </c>
      <c r="L9588">
        <v>0.99810246679316905</v>
      </c>
      <c r="M9588">
        <v>0.99621212121212099</v>
      </c>
      <c r="N9588">
        <v>0.99621212121212099</v>
      </c>
      <c r="O9588">
        <v>0.99621212121212099</v>
      </c>
      <c r="P9588" t="s">
        <v>4551</v>
      </c>
      <c r="Q9588" t="s">
        <v>4552</v>
      </c>
      <c r="R9588" t="s">
        <v>8647</v>
      </c>
      <c r="S9588" t="s">
        <v>8648</v>
      </c>
      <c r="V9588" t="s">
        <v>9316</v>
      </c>
      <c r="W9588" t="s">
        <v>9317</v>
      </c>
      <c r="X9588" t="s">
        <v>9316</v>
      </c>
      <c r="Y9588" t="s">
        <v>875</v>
      </c>
      <c r="AF9588" t="s">
        <v>19457</v>
      </c>
    </row>
    <row r="9589" spans="1:32" hidden="1" x14ac:dyDescent="0.35">
      <c r="A9589">
        <v>9588</v>
      </c>
      <c r="B9589" t="s">
        <v>19456</v>
      </c>
      <c r="C9589" t="s">
        <v>33</v>
      </c>
      <c r="D9589" t="s">
        <v>62</v>
      </c>
      <c r="E9589">
        <v>117</v>
      </c>
      <c r="F9589">
        <v>2</v>
      </c>
      <c r="G9589">
        <v>2</v>
      </c>
      <c r="H9589">
        <v>1</v>
      </c>
      <c r="I9589">
        <v>0</v>
      </c>
      <c r="J9589">
        <v>0.99621212121212099</v>
      </c>
      <c r="K9589">
        <v>1</v>
      </c>
      <c r="L9589">
        <v>0.99810246679316905</v>
      </c>
      <c r="M9589">
        <v>0.99621212121212099</v>
      </c>
      <c r="N9589">
        <v>0.99621212121212099</v>
      </c>
      <c r="O9589">
        <v>0.99621212121212099</v>
      </c>
      <c r="P9589" t="s">
        <v>4551</v>
      </c>
      <c r="Q9589" t="s">
        <v>4552</v>
      </c>
      <c r="R9589" t="s">
        <v>8647</v>
      </c>
      <c r="S9589" t="s">
        <v>8648</v>
      </c>
      <c r="V9589" t="s">
        <v>9316</v>
      </c>
      <c r="W9589" t="s">
        <v>9317</v>
      </c>
      <c r="X9589" t="s">
        <v>9316</v>
      </c>
      <c r="Y9589" t="s">
        <v>875</v>
      </c>
      <c r="AF9589" t="s">
        <v>19458</v>
      </c>
    </row>
    <row r="9590" spans="1:32" hidden="1" x14ac:dyDescent="0.35">
      <c r="A9590">
        <v>9589</v>
      </c>
      <c r="B9590" t="s">
        <v>19459</v>
      </c>
      <c r="C9590" t="s">
        <v>33</v>
      </c>
      <c r="D9590" t="s">
        <v>34</v>
      </c>
      <c r="E9590">
        <v>1323</v>
      </c>
      <c r="F9590">
        <v>2</v>
      </c>
      <c r="G9590">
        <v>2</v>
      </c>
      <c r="H9590">
        <v>1</v>
      </c>
      <c r="I9590">
        <v>0</v>
      </c>
      <c r="J9590">
        <v>0.99337748344370902</v>
      </c>
      <c r="K9590">
        <v>1</v>
      </c>
      <c r="L9590">
        <v>0.99667774086378702</v>
      </c>
      <c r="M9590">
        <v>0.99337748344370902</v>
      </c>
      <c r="N9590">
        <v>0.99337748344370902</v>
      </c>
      <c r="O9590">
        <v>0.99337748344370902</v>
      </c>
      <c r="P9590" t="s">
        <v>19460</v>
      </c>
      <c r="Q9590" t="s">
        <v>19461</v>
      </c>
      <c r="R9590" t="s">
        <v>13853</v>
      </c>
      <c r="S9590" t="s">
        <v>13854</v>
      </c>
      <c r="T9590" t="s">
        <v>19462</v>
      </c>
      <c r="U9590" t="s">
        <v>19463</v>
      </c>
      <c r="V9590" t="s">
        <v>19464</v>
      </c>
      <c r="W9590" t="s">
        <v>19465</v>
      </c>
      <c r="AD9590" t="s">
        <v>410</v>
      </c>
      <c r="AE9590" t="s">
        <v>1217</v>
      </c>
      <c r="AF9590" t="s">
        <v>19466</v>
      </c>
    </row>
    <row r="9591" spans="1:32" hidden="1" x14ac:dyDescent="0.35">
      <c r="A9591">
        <v>9590</v>
      </c>
      <c r="B9591" t="s">
        <v>19459</v>
      </c>
      <c r="C9591" t="s">
        <v>33</v>
      </c>
      <c r="D9591" t="s">
        <v>45</v>
      </c>
      <c r="E9591">
        <v>2305</v>
      </c>
      <c r="F9591">
        <v>2</v>
      </c>
      <c r="G9591">
        <v>2</v>
      </c>
      <c r="H9591">
        <v>1</v>
      </c>
      <c r="I9591">
        <v>0</v>
      </c>
      <c r="J9591">
        <v>0.99337748344370902</v>
      </c>
      <c r="K9591">
        <v>1</v>
      </c>
      <c r="L9591">
        <v>0.99667774086378702</v>
      </c>
      <c r="M9591">
        <v>0.99337748344370902</v>
      </c>
      <c r="N9591">
        <v>0.99337748344370902</v>
      </c>
      <c r="O9591">
        <v>0.99337748344370902</v>
      </c>
      <c r="P9591" t="s">
        <v>19460</v>
      </c>
      <c r="Q9591" t="s">
        <v>19461</v>
      </c>
      <c r="R9591" t="s">
        <v>13853</v>
      </c>
      <c r="S9591" t="s">
        <v>13854</v>
      </c>
      <c r="T9591" t="s">
        <v>19462</v>
      </c>
      <c r="U9591" t="s">
        <v>19463</v>
      </c>
      <c r="V9591" t="s">
        <v>19464</v>
      </c>
      <c r="W9591" t="s">
        <v>19465</v>
      </c>
      <c r="AD9591" t="s">
        <v>410</v>
      </c>
      <c r="AE9591" t="s">
        <v>1217</v>
      </c>
      <c r="AF9591" t="s">
        <v>19467</v>
      </c>
    </row>
    <row r="9592" spans="1:32" hidden="1" x14ac:dyDescent="0.35">
      <c r="A9592">
        <v>9591</v>
      </c>
      <c r="B9592" t="s">
        <v>19468</v>
      </c>
      <c r="C9592" t="s">
        <v>33</v>
      </c>
      <c r="D9592" t="s">
        <v>60</v>
      </c>
      <c r="E9592">
        <v>2106</v>
      </c>
      <c r="F9592">
        <v>2</v>
      </c>
      <c r="G9592">
        <v>2</v>
      </c>
      <c r="H9592">
        <v>1</v>
      </c>
      <c r="I9592">
        <v>0</v>
      </c>
      <c r="J9592">
        <v>0.97975077881619899</v>
      </c>
      <c r="K9592">
        <v>1</v>
      </c>
      <c r="L9592">
        <v>0.98977183320220297</v>
      </c>
      <c r="M9592">
        <v>0.97663551401869197</v>
      </c>
      <c r="N9592">
        <v>0.97663551401869197</v>
      </c>
      <c r="O9592">
        <v>0.97663551401869197</v>
      </c>
      <c r="P9592" t="s">
        <v>11564</v>
      </c>
      <c r="Q9592" t="s">
        <v>11565</v>
      </c>
      <c r="R9592" t="s">
        <v>288</v>
      </c>
      <c r="S9592" t="s">
        <v>289</v>
      </c>
      <c r="T9592" t="s">
        <v>18651</v>
      </c>
      <c r="U9592" t="s">
        <v>407</v>
      </c>
      <c r="V9592" t="s">
        <v>14175</v>
      </c>
      <c r="W9592" t="s">
        <v>14176</v>
      </c>
      <c r="AD9592" t="s">
        <v>410</v>
      </c>
      <c r="AE9592" t="s">
        <v>411</v>
      </c>
      <c r="AF9592" t="s">
        <v>19469</v>
      </c>
    </row>
    <row r="9593" spans="1:32" hidden="1" x14ac:dyDescent="0.35">
      <c r="A9593">
        <v>9592</v>
      </c>
      <c r="B9593" t="s">
        <v>19468</v>
      </c>
      <c r="C9593" t="s">
        <v>33</v>
      </c>
      <c r="D9593" t="s">
        <v>62</v>
      </c>
      <c r="E9593">
        <v>2141</v>
      </c>
      <c r="F9593">
        <v>2</v>
      </c>
      <c r="G9593">
        <v>2</v>
      </c>
      <c r="H9593">
        <v>1</v>
      </c>
      <c r="I9593">
        <v>0</v>
      </c>
      <c r="J9593">
        <v>0.97975077881619899</v>
      </c>
      <c r="K9593">
        <v>1</v>
      </c>
      <c r="L9593">
        <v>0.98977183320220297</v>
      </c>
      <c r="M9593">
        <v>0.97663551401869197</v>
      </c>
      <c r="N9593">
        <v>0.97663551401869197</v>
      </c>
      <c r="O9593">
        <v>0.97663551401869197</v>
      </c>
      <c r="P9593" t="s">
        <v>11564</v>
      </c>
      <c r="Q9593" t="s">
        <v>11565</v>
      </c>
      <c r="R9593" t="s">
        <v>288</v>
      </c>
      <c r="S9593" t="s">
        <v>289</v>
      </c>
      <c r="T9593" t="s">
        <v>18651</v>
      </c>
      <c r="U9593" t="s">
        <v>407</v>
      </c>
      <c r="V9593" t="s">
        <v>14175</v>
      </c>
      <c r="W9593" t="s">
        <v>14176</v>
      </c>
      <c r="AD9593" t="s">
        <v>410</v>
      </c>
      <c r="AE9593" t="s">
        <v>411</v>
      </c>
      <c r="AF9593" t="s">
        <v>19470</v>
      </c>
    </row>
    <row r="9594" spans="1:32" hidden="1" x14ac:dyDescent="0.35">
      <c r="A9594">
        <v>9593</v>
      </c>
      <c r="B9594" t="s">
        <v>19471</v>
      </c>
      <c r="C9594" t="s">
        <v>33</v>
      </c>
      <c r="D9594" t="s">
        <v>60</v>
      </c>
      <c r="E9594">
        <v>375</v>
      </c>
      <c r="F9594">
        <v>2</v>
      </c>
      <c r="G9594">
        <v>2</v>
      </c>
      <c r="H9594">
        <v>1</v>
      </c>
      <c r="I9594">
        <v>0</v>
      </c>
      <c r="J9594">
        <v>0.96350364963503699</v>
      </c>
      <c r="K9594">
        <v>0.98220778216137095</v>
      </c>
      <c r="L9594">
        <v>0.97276581444420396</v>
      </c>
      <c r="M9594">
        <v>0.93906810035842303</v>
      </c>
      <c r="N9594">
        <v>0.93906810035842303</v>
      </c>
      <c r="O9594">
        <v>0.93906810035842303</v>
      </c>
      <c r="P9594" t="s">
        <v>19009</v>
      </c>
      <c r="Q9594" t="s">
        <v>19003</v>
      </c>
      <c r="R9594" t="s">
        <v>19004</v>
      </c>
      <c r="S9594" t="s">
        <v>19005</v>
      </c>
      <c r="V9594" t="s">
        <v>19006</v>
      </c>
      <c r="W9594" t="s">
        <v>19007</v>
      </c>
      <c r="AF9594" t="s">
        <v>19472</v>
      </c>
    </row>
    <row r="9595" spans="1:32" hidden="1" x14ac:dyDescent="0.35">
      <c r="A9595">
        <v>9594</v>
      </c>
      <c r="B9595" t="s">
        <v>19471</v>
      </c>
      <c r="C9595" t="s">
        <v>33</v>
      </c>
      <c r="D9595" t="s">
        <v>62</v>
      </c>
      <c r="E9595">
        <v>455</v>
      </c>
      <c r="F9595">
        <v>2</v>
      </c>
      <c r="G9595">
        <v>2</v>
      </c>
      <c r="H9595">
        <v>1</v>
      </c>
      <c r="I9595">
        <v>0</v>
      </c>
      <c r="J9595">
        <v>0.96350364963503699</v>
      </c>
      <c r="K9595">
        <v>0.98220778216137095</v>
      </c>
      <c r="L9595">
        <v>0.97276581444420396</v>
      </c>
      <c r="M9595">
        <v>0.93906810035842303</v>
      </c>
      <c r="N9595">
        <v>0.93906810035842303</v>
      </c>
      <c r="O9595">
        <v>0.93906810035842303</v>
      </c>
      <c r="P9595" t="s">
        <v>19009</v>
      </c>
      <c r="Q9595" t="s">
        <v>19003</v>
      </c>
      <c r="R9595" t="s">
        <v>19004</v>
      </c>
      <c r="S9595" t="s">
        <v>19005</v>
      </c>
      <c r="V9595" t="s">
        <v>19006</v>
      </c>
      <c r="W9595" t="s">
        <v>19007</v>
      </c>
      <c r="AF9595" t="s">
        <v>19473</v>
      </c>
    </row>
    <row r="9596" spans="1:32" hidden="1" x14ac:dyDescent="0.35">
      <c r="A9596">
        <v>9595</v>
      </c>
      <c r="B9596" t="s">
        <v>19474</v>
      </c>
      <c r="C9596" t="s">
        <v>33</v>
      </c>
      <c r="D9596" t="s">
        <v>60</v>
      </c>
      <c r="E9596">
        <v>175</v>
      </c>
      <c r="F9596">
        <v>2</v>
      </c>
      <c r="G9596">
        <v>2</v>
      </c>
      <c r="H9596">
        <v>1</v>
      </c>
      <c r="I9596">
        <v>0</v>
      </c>
      <c r="J9596">
        <v>0.98238195912614501</v>
      </c>
      <c r="K9596">
        <v>0.99789029535865503</v>
      </c>
      <c r="L9596">
        <v>0.99007540112452497</v>
      </c>
      <c r="M9596">
        <v>0.974683544303797</v>
      </c>
      <c r="N9596">
        <v>0.974683544303797</v>
      </c>
      <c r="O9596">
        <v>0.974683544303797</v>
      </c>
      <c r="P9596" t="s">
        <v>2496</v>
      </c>
      <c r="Q9596" t="s">
        <v>2497</v>
      </c>
      <c r="R9596" t="s">
        <v>138</v>
      </c>
      <c r="S9596" t="s">
        <v>139</v>
      </c>
      <c r="T9596" t="s">
        <v>19475</v>
      </c>
      <c r="U9596" t="s">
        <v>19476</v>
      </c>
      <c r="V9596" t="s">
        <v>2498</v>
      </c>
      <c r="W9596" t="s">
        <v>2499</v>
      </c>
      <c r="AD9596" t="s">
        <v>219</v>
      </c>
      <c r="AE9596" t="s">
        <v>19477</v>
      </c>
      <c r="AF9596" t="s">
        <v>19478</v>
      </c>
    </row>
    <row r="9597" spans="1:32" hidden="1" x14ac:dyDescent="0.35">
      <c r="A9597">
        <v>9596</v>
      </c>
      <c r="B9597" t="s">
        <v>19474</v>
      </c>
      <c r="C9597" t="s">
        <v>33</v>
      </c>
      <c r="D9597" t="s">
        <v>62</v>
      </c>
      <c r="E9597">
        <v>251</v>
      </c>
      <c r="F9597">
        <v>2</v>
      </c>
      <c r="G9597">
        <v>2</v>
      </c>
      <c r="H9597">
        <v>1</v>
      </c>
      <c r="I9597">
        <v>0</v>
      </c>
      <c r="J9597">
        <v>0.98238195912614501</v>
      </c>
      <c r="K9597">
        <v>0.99789029535865503</v>
      </c>
      <c r="L9597">
        <v>0.99007540112452497</v>
      </c>
      <c r="M9597">
        <v>0.974683544303797</v>
      </c>
      <c r="N9597">
        <v>0.974683544303797</v>
      </c>
      <c r="O9597">
        <v>0.974683544303797</v>
      </c>
      <c r="P9597" t="s">
        <v>2496</v>
      </c>
      <c r="Q9597" t="s">
        <v>2497</v>
      </c>
      <c r="R9597" t="s">
        <v>138</v>
      </c>
      <c r="S9597" t="s">
        <v>139</v>
      </c>
      <c r="T9597" t="s">
        <v>19475</v>
      </c>
      <c r="U9597" t="s">
        <v>19476</v>
      </c>
      <c r="V9597" t="s">
        <v>2498</v>
      </c>
      <c r="W9597" t="s">
        <v>2499</v>
      </c>
      <c r="AD9597" t="s">
        <v>219</v>
      </c>
      <c r="AE9597" t="s">
        <v>19477</v>
      </c>
      <c r="AF9597" t="s">
        <v>19479</v>
      </c>
    </row>
    <row r="9598" spans="1:32" hidden="1" x14ac:dyDescent="0.35">
      <c r="A9598">
        <v>9597</v>
      </c>
      <c r="B9598" t="s">
        <v>19480</v>
      </c>
      <c r="C9598" t="s">
        <v>33</v>
      </c>
      <c r="D9598" t="s">
        <v>60</v>
      </c>
      <c r="E9598">
        <v>825</v>
      </c>
      <c r="F9598">
        <v>2</v>
      </c>
      <c r="G9598">
        <v>2</v>
      </c>
      <c r="H9598">
        <v>1</v>
      </c>
      <c r="I9598">
        <v>0</v>
      </c>
      <c r="J9598">
        <v>0.93165969316596897</v>
      </c>
      <c r="K9598">
        <v>0.99583768267223005</v>
      </c>
      <c r="L9598">
        <v>0.96268025213581498</v>
      </c>
      <c r="M9598">
        <v>0.91249999999999998</v>
      </c>
      <c r="N9598">
        <v>0.91249999999999998</v>
      </c>
      <c r="O9598">
        <v>0.91249999999999998</v>
      </c>
      <c r="P9598" t="s">
        <v>2496</v>
      </c>
      <c r="Q9598" t="s">
        <v>2497</v>
      </c>
      <c r="R9598" t="s">
        <v>138</v>
      </c>
      <c r="S9598" t="s">
        <v>139</v>
      </c>
      <c r="T9598" t="s">
        <v>19475</v>
      </c>
      <c r="U9598" t="s">
        <v>19476</v>
      </c>
      <c r="V9598" t="s">
        <v>2498</v>
      </c>
      <c r="W9598" t="s">
        <v>2499</v>
      </c>
      <c r="AD9598" t="s">
        <v>219</v>
      </c>
      <c r="AE9598" t="s">
        <v>19477</v>
      </c>
      <c r="AF9598" t="s">
        <v>19481</v>
      </c>
    </row>
    <row r="9599" spans="1:32" hidden="1" x14ac:dyDescent="0.35">
      <c r="A9599">
        <v>9598</v>
      </c>
      <c r="B9599" t="s">
        <v>19480</v>
      </c>
      <c r="C9599" t="s">
        <v>33</v>
      </c>
      <c r="D9599" t="s">
        <v>62</v>
      </c>
      <c r="E9599">
        <v>858</v>
      </c>
      <c r="F9599">
        <v>2</v>
      </c>
      <c r="G9599">
        <v>2</v>
      </c>
      <c r="H9599">
        <v>1</v>
      </c>
      <c r="I9599">
        <v>0</v>
      </c>
      <c r="J9599">
        <v>0.93165969316596897</v>
      </c>
      <c r="K9599">
        <v>0.99583768267223005</v>
      </c>
      <c r="L9599">
        <v>0.96268025213581498</v>
      </c>
      <c r="M9599">
        <v>0.91249999999999998</v>
      </c>
      <c r="N9599">
        <v>0.91249999999999998</v>
      </c>
      <c r="O9599">
        <v>0.91249999999999998</v>
      </c>
      <c r="P9599" t="s">
        <v>2496</v>
      </c>
      <c r="Q9599" t="s">
        <v>2497</v>
      </c>
      <c r="R9599" t="s">
        <v>138</v>
      </c>
      <c r="S9599" t="s">
        <v>139</v>
      </c>
      <c r="V9599" t="s">
        <v>2498</v>
      </c>
      <c r="W9599" t="s">
        <v>2499</v>
      </c>
      <c r="AF9599" t="s">
        <v>19482</v>
      </c>
    </row>
    <row r="9600" spans="1:32" hidden="1" x14ac:dyDescent="0.35">
      <c r="A9600">
        <v>9599</v>
      </c>
      <c r="B9600" t="s">
        <v>19483</v>
      </c>
      <c r="C9600" t="s">
        <v>33</v>
      </c>
      <c r="D9600" t="s">
        <v>60</v>
      </c>
      <c r="E9600">
        <v>2441</v>
      </c>
      <c r="F9600">
        <v>2</v>
      </c>
      <c r="G9600">
        <v>2</v>
      </c>
      <c r="H9600">
        <v>1</v>
      </c>
      <c r="I9600">
        <v>0</v>
      </c>
      <c r="J9600">
        <v>0.99695585996955904</v>
      </c>
      <c r="K9600">
        <v>1</v>
      </c>
      <c r="L9600">
        <v>0.99847560975609795</v>
      </c>
      <c r="M9600">
        <v>0.99086757990867602</v>
      </c>
      <c r="N9600">
        <v>0.99086757990867602</v>
      </c>
      <c r="O9600">
        <v>0.99086757990867602</v>
      </c>
      <c r="P9600" t="s">
        <v>1444</v>
      </c>
      <c r="Q9600" t="s">
        <v>1445</v>
      </c>
      <c r="R9600" t="s">
        <v>319</v>
      </c>
      <c r="S9600" t="s">
        <v>320</v>
      </c>
      <c r="V9600" t="s">
        <v>1446</v>
      </c>
      <c r="W9600" t="s">
        <v>1447</v>
      </c>
      <c r="AF9600" t="s">
        <v>19484</v>
      </c>
    </row>
    <row r="9601" spans="1:32" hidden="1" x14ac:dyDescent="0.35">
      <c r="A9601">
        <v>9600</v>
      </c>
      <c r="B9601" t="s">
        <v>19483</v>
      </c>
      <c r="C9601" t="s">
        <v>33</v>
      </c>
      <c r="D9601" t="s">
        <v>62</v>
      </c>
      <c r="E9601">
        <v>2467</v>
      </c>
      <c r="F9601">
        <v>2</v>
      </c>
      <c r="G9601">
        <v>2</v>
      </c>
      <c r="H9601">
        <v>1</v>
      </c>
      <c r="I9601">
        <v>0</v>
      </c>
      <c r="J9601">
        <v>0.99695585996955904</v>
      </c>
      <c r="K9601">
        <v>1</v>
      </c>
      <c r="L9601">
        <v>0.99847560975609795</v>
      </c>
      <c r="M9601">
        <v>0.99086757990867602</v>
      </c>
      <c r="N9601">
        <v>0.99086757990867602</v>
      </c>
      <c r="O9601">
        <v>0.99086757990867602</v>
      </c>
      <c r="P9601" t="s">
        <v>1444</v>
      </c>
      <c r="Q9601" t="s">
        <v>1445</v>
      </c>
      <c r="R9601" t="s">
        <v>319</v>
      </c>
      <c r="S9601" t="s">
        <v>320</v>
      </c>
      <c r="V9601" t="s">
        <v>1446</v>
      </c>
      <c r="W9601" t="s">
        <v>1447</v>
      </c>
      <c r="AF9601" t="s">
        <v>19485</v>
      </c>
    </row>
    <row r="9602" spans="1:32" hidden="1" x14ac:dyDescent="0.35">
      <c r="A9602">
        <v>9601</v>
      </c>
      <c r="B9602" t="s">
        <v>19486</v>
      </c>
      <c r="C9602" t="s">
        <v>33</v>
      </c>
      <c r="D9602" t="s">
        <v>60</v>
      </c>
      <c r="E9602">
        <v>898</v>
      </c>
      <c r="F9602">
        <v>2</v>
      </c>
      <c r="G9602">
        <v>2</v>
      </c>
      <c r="H9602">
        <v>1</v>
      </c>
      <c r="I9602">
        <v>0</v>
      </c>
      <c r="J9602">
        <v>0.99672667757774103</v>
      </c>
      <c r="K9602">
        <v>0.99836601307189798</v>
      </c>
      <c r="L9602">
        <v>0.99754567181704901</v>
      </c>
      <c r="M9602">
        <v>0.99183006535947704</v>
      </c>
      <c r="N9602">
        <v>0.99183006535947704</v>
      </c>
      <c r="O9602">
        <v>0.99183006535947704</v>
      </c>
      <c r="P9602" t="s">
        <v>19487</v>
      </c>
      <c r="Q9602" t="s">
        <v>19488</v>
      </c>
      <c r="R9602" t="s">
        <v>4579</v>
      </c>
      <c r="S9602" t="s">
        <v>4580</v>
      </c>
      <c r="T9602" t="s">
        <v>19489</v>
      </c>
      <c r="U9602" t="s">
        <v>19490</v>
      </c>
      <c r="V9602" t="s">
        <v>19491</v>
      </c>
      <c r="W9602" t="s">
        <v>19492</v>
      </c>
      <c r="AD9602" t="s">
        <v>166</v>
      </c>
      <c r="AE9602" t="s">
        <v>818</v>
      </c>
      <c r="AF9602" t="s">
        <v>19493</v>
      </c>
    </row>
    <row r="9603" spans="1:32" hidden="1" x14ac:dyDescent="0.35">
      <c r="A9603">
        <v>9602</v>
      </c>
      <c r="B9603" t="s">
        <v>19486</v>
      </c>
      <c r="C9603" t="s">
        <v>33</v>
      </c>
      <c r="D9603" t="s">
        <v>62</v>
      </c>
      <c r="E9603">
        <v>932</v>
      </c>
      <c r="F9603">
        <v>2</v>
      </c>
      <c r="G9603">
        <v>2</v>
      </c>
      <c r="H9603">
        <v>1</v>
      </c>
      <c r="I9603">
        <v>0</v>
      </c>
      <c r="J9603">
        <v>0.99672667757774103</v>
      </c>
      <c r="K9603">
        <v>0.99836601307189798</v>
      </c>
      <c r="L9603">
        <v>0.99754567181704901</v>
      </c>
      <c r="M9603">
        <v>0.99183006535947704</v>
      </c>
      <c r="N9603">
        <v>0.99183006535947704</v>
      </c>
      <c r="O9603">
        <v>0.99183006535947704</v>
      </c>
      <c r="P9603" t="s">
        <v>19487</v>
      </c>
      <c r="Q9603" t="s">
        <v>19488</v>
      </c>
      <c r="R9603" t="s">
        <v>4579</v>
      </c>
      <c r="S9603" t="s">
        <v>4580</v>
      </c>
      <c r="T9603" t="s">
        <v>19489</v>
      </c>
      <c r="U9603" t="s">
        <v>19490</v>
      </c>
      <c r="V9603" t="s">
        <v>19491</v>
      </c>
      <c r="W9603" t="s">
        <v>19492</v>
      </c>
      <c r="AD9603" t="s">
        <v>166</v>
      </c>
      <c r="AE9603" t="s">
        <v>818</v>
      </c>
      <c r="AF9603" t="s">
        <v>19494</v>
      </c>
    </row>
    <row r="9604" spans="1:32" hidden="1" x14ac:dyDescent="0.35">
      <c r="A9604">
        <v>9603</v>
      </c>
      <c r="B9604" t="s">
        <v>19495</v>
      </c>
      <c r="C9604" t="s">
        <v>33</v>
      </c>
      <c r="D9604" t="s">
        <v>34</v>
      </c>
      <c r="E9604">
        <v>2214</v>
      </c>
      <c r="F9604">
        <v>2</v>
      </c>
      <c r="G9604">
        <v>2</v>
      </c>
      <c r="H9604">
        <v>1</v>
      </c>
      <c r="I9604">
        <v>0</v>
      </c>
      <c r="J9604">
        <v>0.99786324786324798</v>
      </c>
      <c r="K9604">
        <v>1</v>
      </c>
      <c r="L9604">
        <v>0.99893048128342199</v>
      </c>
      <c r="M9604">
        <v>0.99358974358974395</v>
      </c>
      <c r="N9604">
        <v>0.99358974358974395</v>
      </c>
      <c r="O9604">
        <v>0.99358974358974395</v>
      </c>
      <c r="P9604" t="s">
        <v>4551</v>
      </c>
      <c r="Q9604" t="s">
        <v>4552</v>
      </c>
      <c r="R9604" t="s">
        <v>8647</v>
      </c>
      <c r="S9604" t="s">
        <v>8648</v>
      </c>
      <c r="T9604" t="s">
        <v>19496</v>
      </c>
      <c r="U9604" t="s">
        <v>19497</v>
      </c>
      <c r="V9604" t="s">
        <v>9316</v>
      </c>
      <c r="W9604" t="s">
        <v>9317</v>
      </c>
      <c r="X9604" t="s">
        <v>9316</v>
      </c>
      <c r="Y9604" t="s">
        <v>875</v>
      </c>
      <c r="Z9604" t="s">
        <v>19498</v>
      </c>
      <c r="AA9604" t="s">
        <v>19499</v>
      </c>
      <c r="AB9604" t="s">
        <v>19498</v>
      </c>
      <c r="AC9604" t="s">
        <v>1094</v>
      </c>
      <c r="AD9604" t="s">
        <v>219</v>
      </c>
      <c r="AE9604" t="s">
        <v>19500</v>
      </c>
      <c r="AF9604" t="s">
        <v>19501</v>
      </c>
    </row>
    <row r="9605" spans="1:32" hidden="1" x14ac:dyDescent="0.35">
      <c r="A9605">
        <v>9604</v>
      </c>
      <c r="B9605" t="s">
        <v>19495</v>
      </c>
      <c r="C9605" t="s">
        <v>33</v>
      </c>
      <c r="D9605" t="s">
        <v>45</v>
      </c>
      <c r="E9605">
        <v>662</v>
      </c>
      <c r="F9605">
        <v>2</v>
      </c>
      <c r="G9605">
        <v>2</v>
      </c>
      <c r="H9605">
        <v>1</v>
      </c>
      <c r="I9605">
        <v>0</v>
      </c>
      <c r="J9605">
        <v>0.99786324786324798</v>
      </c>
      <c r="K9605">
        <v>1</v>
      </c>
      <c r="L9605">
        <v>0.99893048128342199</v>
      </c>
      <c r="M9605">
        <v>0.99358974358974395</v>
      </c>
      <c r="N9605">
        <v>0.99358974358974395</v>
      </c>
      <c r="O9605">
        <v>0.99358974358974395</v>
      </c>
      <c r="P9605" t="s">
        <v>4551</v>
      </c>
      <c r="Q9605" t="s">
        <v>4552</v>
      </c>
      <c r="R9605" t="s">
        <v>8647</v>
      </c>
      <c r="S9605" t="s">
        <v>8648</v>
      </c>
      <c r="V9605" t="s">
        <v>9316</v>
      </c>
      <c r="W9605" t="s">
        <v>9317</v>
      </c>
      <c r="X9605" t="s">
        <v>9316</v>
      </c>
      <c r="Y9605" t="s">
        <v>875</v>
      </c>
      <c r="AF9605" t="s">
        <v>19502</v>
      </c>
    </row>
    <row r="9606" spans="1:32" hidden="1" x14ac:dyDescent="0.35">
      <c r="A9606">
        <v>9605</v>
      </c>
      <c r="B9606" t="s">
        <v>19503</v>
      </c>
      <c r="C9606" t="s">
        <v>33</v>
      </c>
      <c r="D9606" t="s">
        <v>60</v>
      </c>
      <c r="E9606">
        <v>2258</v>
      </c>
      <c r="F9606">
        <v>2</v>
      </c>
      <c r="G9606">
        <v>2</v>
      </c>
      <c r="H9606">
        <v>1</v>
      </c>
      <c r="I9606">
        <v>0</v>
      </c>
      <c r="J9606">
        <v>0.98870056497175096</v>
      </c>
      <c r="K9606">
        <v>0.99438202247190899</v>
      </c>
      <c r="L9606">
        <v>0.99153315514012696</v>
      </c>
      <c r="M9606">
        <v>0.98314606741572996</v>
      </c>
      <c r="N9606">
        <v>0.98314606741572996</v>
      </c>
      <c r="O9606">
        <v>0.98314606741572996</v>
      </c>
      <c r="AF9606" t="s">
        <v>19504</v>
      </c>
    </row>
    <row r="9607" spans="1:32" hidden="1" x14ac:dyDescent="0.35">
      <c r="A9607">
        <v>9606</v>
      </c>
      <c r="B9607" t="s">
        <v>19503</v>
      </c>
      <c r="C9607" t="s">
        <v>33</v>
      </c>
      <c r="D9607" t="s">
        <v>62</v>
      </c>
      <c r="E9607">
        <v>2287</v>
      </c>
      <c r="F9607">
        <v>2</v>
      </c>
      <c r="G9607">
        <v>2</v>
      </c>
      <c r="H9607">
        <v>1</v>
      </c>
      <c r="I9607">
        <v>0</v>
      </c>
      <c r="J9607">
        <v>0.98870056497175096</v>
      </c>
      <c r="K9607">
        <v>0.99438202247190899</v>
      </c>
      <c r="L9607">
        <v>0.99153315514012696</v>
      </c>
      <c r="M9607">
        <v>0.98314606741572996</v>
      </c>
      <c r="N9607">
        <v>0.98314606741572996</v>
      </c>
      <c r="O9607">
        <v>0.98314606741572996</v>
      </c>
      <c r="AF9607" t="s">
        <v>19505</v>
      </c>
    </row>
    <row r="9608" spans="1:32" hidden="1" x14ac:dyDescent="0.35">
      <c r="A9608">
        <v>9607</v>
      </c>
      <c r="B9608" t="s">
        <v>19506</v>
      </c>
      <c r="C9608" t="s">
        <v>33</v>
      </c>
      <c r="D9608" t="s">
        <v>34</v>
      </c>
      <c r="E9608">
        <v>1433</v>
      </c>
      <c r="F9608">
        <v>2</v>
      </c>
      <c r="G9608">
        <v>2</v>
      </c>
      <c r="H9608">
        <v>1</v>
      </c>
      <c r="I9608">
        <v>0</v>
      </c>
      <c r="J9608">
        <v>0.99808795411089901</v>
      </c>
      <c r="K9608">
        <v>1</v>
      </c>
      <c r="L9608">
        <v>0.99904306220095696</v>
      </c>
      <c r="M9608">
        <v>0.99808795411089901</v>
      </c>
      <c r="N9608">
        <v>0.99808795411089901</v>
      </c>
      <c r="O9608">
        <v>0.99808795411089901</v>
      </c>
      <c r="P9608" t="s">
        <v>19507</v>
      </c>
      <c r="Q9608" t="s">
        <v>19508</v>
      </c>
      <c r="AF9608" t="s">
        <v>19509</v>
      </c>
    </row>
    <row r="9609" spans="1:32" hidden="1" x14ac:dyDescent="0.35">
      <c r="A9609">
        <v>9608</v>
      </c>
      <c r="B9609" t="s">
        <v>19506</v>
      </c>
      <c r="C9609" t="s">
        <v>33</v>
      </c>
      <c r="D9609" t="s">
        <v>45</v>
      </c>
      <c r="E9609">
        <v>184</v>
      </c>
      <c r="F9609">
        <v>2</v>
      </c>
      <c r="G9609">
        <v>2</v>
      </c>
      <c r="H9609">
        <v>1</v>
      </c>
      <c r="I9609">
        <v>0</v>
      </c>
      <c r="J9609">
        <v>0.99808795411089901</v>
      </c>
      <c r="K9609">
        <v>1</v>
      </c>
      <c r="L9609">
        <v>0.99904306220095696</v>
      </c>
      <c r="M9609">
        <v>0.99808795411089901</v>
      </c>
      <c r="N9609">
        <v>0.99808795411089901</v>
      </c>
      <c r="O9609">
        <v>0.99808795411089901</v>
      </c>
      <c r="P9609" t="s">
        <v>19507</v>
      </c>
      <c r="Q9609" t="s">
        <v>19508</v>
      </c>
      <c r="AF9609" t="s">
        <v>19510</v>
      </c>
    </row>
    <row r="9610" spans="1:32" hidden="1" x14ac:dyDescent="0.35">
      <c r="A9610">
        <v>9609</v>
      </c>
      <c r="B9610" t="s">
        <v>19511</v>
      </c>
      <c r="C9610" t="s">
        <v>33</v>
      </c>
      <c r="D9610" t="s">
        <v>34</v>
      </c>
      <c r="E9610">
        <v>1446</v>
      </c>
      <c r="F9610">
        <v>2</v>
      </c>
      <c r="G9610">
        <v>2</v>
      </c>
      <c r="H9610">
        <v>1</v>
      </c>
      <c r="I9610">
        <v>0</v>
      </c>
      <c r="J9610">
        <v>0.98969072164948502</v>
      </c>
      <c r="K9610">
        <v>0.98979591836734604</v>
      </c>
      <c r="L9610">
        <v>0.989743317213158</v>
      </c>
      <c r="M9610">
        <v>0.97959183673469397</v>
      </c>
      <c r="N9610">
        <v>0.97959183673469397</v>
      </c>
      <c r="O9610">
        <v>0.97959183673469397</v>
      </c>
      <c r="AF9610" t="s">
        <v>19512</v>
      </c>
    </row>
    <row r="9611" spans="1:32" hidden="1" x14ac:dyDescent="0.35">
      <c r="A9611">
        <v>9610</v>
      </c>
      <c r="B9611" t="s">
        <v>19511</v>
      </c>
      <c r="C9611" t="s">
        <v>33</v>
      </c>
      <c r="D9611" t="s">
        <v>45</v>
      </c>
      <c r="E9611">
        <v>197</v>
      </c>
      <c r="F9611">
        <v>2</v>
      </c>
      <c r="G9611">
        <v>2</v>
      </c>
      <c r="H9611">
        <v>1</v>
      </c>
      <c r="I9611">
        <v>0</v>
      </c>
      <c r="J9611">
        <v>0.98969072164948502</v>
      </c>
      <c r="K9611">
        <v>0.98979591836734604</v>
      </c>
      <c r="L9611">
        <v>0.989743317213158</v>
      </c>
      <c r="M9611">
        <v>0.97959183673469397</v>
      </c>
      <c r="N9611">
        <v>0.97959183673469397</v>
      </c>
      <c r="O9611">
        <v>0.97959183673469397</v>
      </c>
      <c r="AF9611" t="s">
        <v>19513</v>
      </c>
    </row>
    <row r="9612" spans="1:32" hidden="1" x14ac:dyDescent="0.35">
      <c r="A9612">
        <v>9611</v>
      </c>
      <c r="B9612" t="s">
        <v>19514</v>
      </c>
      <c r="C9612" t="s">
        <v>33</v>
      </c>
      <c r="D9612" t="s">
        <v>60</v>
      </c>
      <c r="E9612">
        <v>2118</v>
      </c>
      <c r="F9612">
        <v>2</v>
      </c>
      <c r="G9612">
        <v>2</v>
      </c>
      <c r="H9612">
        <v>1</v>
      </c>
      <c r="I9612">
        <v>0</v>
      </c>
      <c r="J9612">
        <v>0.97792022792022804</v>
      </c>
      <c r="K9612">
        <v>1</v>
      </c>
      <c r="L9612">
        <v>0.98883687432481104</v>
      </c>
      <c r="M9612">
        <v>0.96794871794871795</v>
      </c>
      <c r="N9612">
        <v>0.96794871794871795</v>
      </c>
      <c r="O9612">
        <v>0.96794871794871795</v>
      </c>
      <c r="P9612" t="s">
        <v>4358</v>
      </c>
      <c r="Q9612" t="s">
        <v>4359</v>
      </c>
      <c r="R9612" t="s">
        <v>319</v>
      </c>
      <c r="S9612" t="s">
        <v>320</v>
      </c>
      <c r="V9612" t="s">
        <v>4360</v>
      </c>
      <c r="W9612" t="s">
        <v>4361</v>
      </c>
      <c r="AF9612" t="s">
        <v>19515</v>
      </c>
    </row>
    <row r="9613" spans="1:32" hidden="1" x14ac:dyDescent="0.35">
      <c r="A9613">
        <v>9612</v>
      </c>
      <c r="B9613" t="s">
        <v>19514</v>
      </c>
      <c r="C9613" t="s">
        <v>33</v>
      </c>
      <c r="D9613" t="s">
        <v>62</v>
      </c>
      <c r="E9613">
        <v>2152</v>
      </c>
      <c r="F9613">
        <v>2</v>
      </c>
      <c r="G9613">
        <v>2</v>
      </c>
      <c r="H9613">
        <v>1</v>
      </c>
      <c r="I9613">
        <v>0</v>
      </c>
      <c r="J9613">
        <v>0.97792022792022804</v>
      </c>
      <c r="K9613">
        <v>1</v>
      </c>
      <c r="L9613">
        <v>0.98883687432481104</v>
      </c>
      <c r="M9613">
        <v>0.96794871794871795</v>
      </c>
      <c r="N9613">
        <v>0.96794871794871795</v>
      </c>
      <c r="O9613">
        <v>0.96794871794871795</v>
      </c>
      <c r="P9613" t="s">
        <v>4358</v>
      </c>
      <c r="Q9613" t="s">
        <v>4359</v>
      </c>
      <c r="R9613" t="s">
        <v>319</v>
      </c>
      <c r="S9613" t="s">
        <v>320</v>
      </c>
      <c r="T9613" t="s">
        <v>11380</v>
      </c>
      <c r="U9613" t="s">
        <v>11381</v>
      </c>
      <c r="V9613" t="s">
        <v>4360</v>
      </c>
      <c r="W9613" t="s">
        <v>4361</v>
      </c>
      <c r="AD9613" t="s">
        <v>166</v>
      </c>
      <c r="AE9613" t="s">
        <v>6730</v>
      </c>
      <c r="AF9613" t="s">
        <v>19516</v>
      </c>
    </row>
    <row r="9614" spans="1:32" hidden="1" x14ac:dyDescent="0.35">
      <c r="A9614">
        <v>9613</v>
      </c>
      <c r="B9614" t="s">
        <v>19517</v>
      </c>
      <c r="C9614" t="s">
        <v>33</v>
      </c>
      <c r="D9614" t="s">
        <v>34</v>
      </c>
      <c r="E9614">
        <v>635</v>
      </c>
      <c r="F9614">
        <v>2</v>
      </c>
      <c r="G9614">
        <v>2</v>
      </c>
      <c r="H9614">
        <v>1</v>
      </c>
      <c r="I9614">
        <v>0</v>
      </c>
      <c r="J9614">
        <v>0.99038461538461497</v>
      </c>
      <c r="K9614">
        <v>1</v>
      </c>
      <c r="L9614">
        <v>0.99516908212560395</v>
      </c>
      <c r="M9614">
        <v>0.99038461538461497</v>
      </c>
      <c r="N9614">
        <v>0.99038461538461497</v>
      </c>
      <c r="O9614">
        <v>0.99038461538461497</v>
      </c>
      <c r="AF9614" t="s">
        <v>19518</v>
      </c>
    </row>
    <row r="9615" spans="1:32" hidden="1" x14ac:dyDescent="0.35">
      <c r="A9615">
        <v>9614</v>
      </c>
      <c r="B9615" t="s">
        <v>19517</v>
      </c>
      <c r="C9615" t="s">
        <v>33</v>
      </c>
      <c r="D9615" t="s">
        <v>45</v>
      </c>
      <c r="E9615">
        <v>1901</v>
      </c>
      <c r="F9615">
        <v>2</v>
      </c>
      <c r="G9615">
        <v>2</v>
      </c>
      <c r="H9615">
        <v>1</v>
      </c>
      <c r="I9615">
        <v>0</v>
      </c>
      <c r="J9615">
        <v>0.99038461538461497</v>
      </c>
      <c r="K9615">
        <v>1</v>
      </c>
      <c r="L9615">
        <v>0.99516908212560395</v>
      </c>
      <c r="M9615">
        <v>0.99038461538461497</v>
      </c>
      <c r="N9615">
        <v>0.99038461538461497</v>
      </c>
      <c r="O9615">
        <v>0.99038461538461497</v>
      </c>
      <c r="AF9615" t="s">
        <v>19519</v>
      </c>
    </row>
    <row r="9616" spans="1:32" hidden="1" x14ac:dyDescent="0.35">
      <c r="A9616">
        <v>9615</v>
      </c>
      <c r="B9616" t="s">
        <v>19520</v>
      </c>
      <c r="C9616" t="s">
        <v>33</v>
      </c>
      <c r="D9616" t="s">
        <v>34</v>
      </c>
      <c r="E9616">
        <v>2490</v>
      </c>
      <c r="F9616">
        <v>2</v>
      </c>
      <c r="G9616">
        <v>2</v>
      </c>
      <c r="H9616">
        <v>1</v>
      </c>
      <c r="I9616">
        <v>0</v>
      </c>
      <c r="J9616">
        <v>0.93431855500821004</v>
      </c>
      <c r="K9616">
        <v>0.872849609019822</v>
      </c>
      <c r="L9616">
        <v>0.90253868087312195</v>
      </c>
      <c r="M9616">
        <v>0.78723404255319196</v>
      </c>
      <c r="N9616">
        <v>0.78723404255319196</v>
      </c>
      <c r="O9616">
        <v>0.78723404255319196</v>
      </c>
      <c r="P9616" t="s">
        <v>19521</v>
      </c>
      <c r="Q9616" t="s">
        <v>19522</v>
      </c>
      <c r="R9616" t="s">
        <v>138</v>
      </c>
      <c r="S9616" t="s">
        <v>139</v>
      </c>
      <c r="V9616" t="s">
        <v>19251</v>
      </c>
      <c r="W9616" t="s">
        <v>19252</v>
      </c>
      <c r="AF9616" t="s">
        <v>19523</v>
      </c>
    </row>
    <row r="9617" spans="1:32" hidden="1" x14ac:dyDescent="0.35">
      <c r="A9617">
        <v>9616</v>
      </c>
      <c r="B9617" t="s">
        <v>19520</v>
      </c>
      <c r="C9617" t="s">
        <v>33</v>
      </c>
      <c r="D9617" t="s">
        <v>45</v>
      </c>
      <c r="E9617">
        <v>411</v>
      </c>
      <c r="F9617">
        <v>2</v>
      </c>
      <c r="G9617">
        <v>2</v>
      </c>
      <c r="H9617">
        <v>1</v>
      </c>
      <c r="I9617">
        <v>0</v>
      </c>
      <c r="J9617">
        <v>0.93431855500821004</v>
      </c>
      <c r="K9617">
        <v>0.872849609019822</v>
      </c>
      <c r="L9617">
        <v>0.90253868087312195</v>
      </c>
      <c r="M9617">
        <v>0.78723404255319196</v>
      </c>
      <c r="N9617">
        <v>0.78723404255319196</v>
      </c>
      <c r="O9617">
        <v>0.78723404255319196</v>
      </c>
      <c r="P9617" t="s">
        <v>19247</v>
      </c>
      <c r="Q9617" t="s">
        <v>19248</v>
      </c>
      <c r="R9617" t="s">
        <v>138</v>
      </c>
      <c r="S9617" t="s">
        <v>139</v>
      </c>
      <c r="V9617" t="s">
        <v>19251</v>
      </c>
      <c r="W9617" t="s">
        <v>19252</v>
      </c>
      <c r="AF9617" t="e">
        <f>--------------------------------MPHRIFSEAGWSIDIATPGGVAPTAERFSLGIAGGMPGHRRRITAYLDTIAADLTHPIPLDRVDETQYDLVFYPGGHGVMVDLAFDETSSSLLTRRLRSGKPLALLGHGVAAILAAKNPHNPRAPSPFADYQVTGASTVEEKLNPFGRKIPWYLEDRLAEIDVYYHKARIPFRPFIVQDRHLYTGQNPASSEALAHCLLDDIG</f>
        <v>#NAME?</v>
      </c>
    </row>
    <row r="9618" spans="1:32" hidden="1" x14ac:dyDescent="0.35">
      <c r="A9618">
        <v>9617</v>
      </c>
      <c r="B9618" t="s">
        <v>19524</v>
      </c>
      <c r="C9618" t="s">
        <v>33</v>
      </c>
      <c r="D9618" t="s">
        <v>34</v>
      </c>
      <c r="E9618">
        <v>1615</v>
      </c>
      <c r="F9618">
        <v>2</v>
      </c>
      <c r="G9618">
        <v>2</v>
      </c>
      <c r="H9618">
        <v>1</v>
      </c>
      <c r="I9618">
        <v>0</v>
      </c>
      <c r="J9618">
        <v>0.99589743589743596</v>
      </c>
      <c r="K9618">
        <v>0.68778756643007899</v>
      </c>
      <c r="L9618">
        <v>0.81365085856672803</v>
      </c>
      <c r="M9618">
        <v>0.60943396226415103</v>
      </c>
      <c r="N9618">
        <v>0.60943396226415103</v>
      </c>
      <c r="O9618">
        <v>0.60943396226415103</v>
      </c>
      <c r="P9618" t="s">
        <v>19525</v>
      </c>
      <c r="Q9618" t="s">
        <v>19526</v>
      </c>
      <c r="R9618" t="s">
        <v>4259</v>
      </c>
      <c r="S9618" t="s">
        <v>4260</v>
      </c>
      <c r="V9618" t="s">
        <v>19527</v>
      </c>
      <c r="W9618" t="s">
        <v>19528</v>
      </c>
      <c r="AF9618" t="s">
        <v>19529</v>
      </c>
    </row>
    <row r="9619" spans="1:32" hidden="1" x14ac:dyDescent="0.35">
      <c r="A9619">
        <v>9618</v>
      </c>
      <c r="B9619" t="s">
        <v>19524</v>
      </c>
      <c r="C9619" t="s">
        <v>33</v>
      </c>
      <c r="D9619" t="s">
        <v>45</v>
      </c>
      <c r="E9619">
        <v>365</v>
      </c>
      <c r="F9619">
        <v>2</v>
      </c>
      <c r="G9619">
        <v>2</v>
      </c>
      <c r="H9619">
        <v>1</v>
      </c>
      <c r="I9619">
        <v>0</v>
      </c>
      <c r="J9619">
        <v>0.99589743589743596</v>
      </c>
      <c r="K9619">
        <v>0.68778756643007899</v>
      </c>
      <c r="L9619">
        <v>0.81365085856672803</v>
      </c>
      <c r="M9619">
        <v>0.60943396226415103</v>
      </c>
      <c r="N9619">
        <v>0.60943396226415103</v>
      </c>
      <c r="O9619">
        <v>0.60943396226415103</v>
      </c>
      <c r="P9619" t="s">
        <v>19525</v>
      </c>
      <c r="Q9619" t="s">
        <v>19526</v>
      </c>
      <c r="R9619" t="s">
        <v>4259</v>
      </c>
      <c r="S9619" t="s">
        <v>4260</v>
      </c>
      <c r="V9619" t="s">
        <v>19527</v>
      </c>
      <c r="W9619" t="s">
        <v>19528</v>
      </c>
      <c r="AF9619" t="s">
        <v>19530</v>
      </c>
    </row>
    <row r="9620" spans="1:32" hidden="1" x14ac:dyDescent="0.35">
      <c r="A9620">
        <v>9619</v>
      </c>
      <c r="B9620" t="s">
        <v>19531</v>
      </c>
      <c r="C9620" t="s">
        <v>33</v>
      </c>
      <c r="D9620" t="s">
        <v>34</v>
      </c>
      <c r="E9620">
        <v>2220</v>
      </c>
      <c r="F9620">
        <v>2</v>
      </c>
      <c r="G9620">
        <v>2</v>
      </c>
      <c r="H9620">
        <v>1</v>
      </c>
      <c r="I9620">
        <v>0</v>
      </c>
      <c r="J9620">
        <v>0.99338296112489699</v>
      </c>
      <c r="K9620">
        <v>1</v>
      </c>
      <c r="L9620">
        <v>0.99668049792531099</v>
      </c>
      <c r="M9620">
        <v>0.99007444168734504</v>
      </c>
      <c r="N9620">
        <v>0.99007444168734504</v>
      </c>
      <c r="O9620">
        <v>0.99007444168734504</v>
      </c>
      <c r="P9620" t="s">
        <v>4358</v>
      </c>
      <c r="Q9620" t="s">
        <v>4359</v>
      </c>
      <c r="R9620" t="s">
        <v>319</v>
      </c>
      <c r="S9620" t="s">
        <v>320</v>
      </c>
      <c r="T9620" t="s">
        <v>16523</v>
      </c>
      <c r="U9620" t="s">
        <v>16524</v>
      </c>
      <c r="V9620" t="s">
        <v>4360</v>
      </c>
      <c r="W9620" t="s">
        <v>4361</v>
      </c>
      <c r="AD9620" t="s">
        <v>166</v>
      </c>
      <c r="AE9620" t="s">
        <v>16525</v>
      </c>
      <c r="AF9620" t="s">
        <v>19532</v>
      </c>
    </row>
    <row r="9621" spans="1:32" hidden="1" x14ac:dyDescent="0.35">
      <c r="A9621">
        <v>9620</v>
      </c>
      <c r="B9621" t="s">
        <v>19531</v>
      </c>
      <c r="C9621" t="s">
        <v>33</v>
      </c>
      <c r="D9621" t="s">
        <v>45</v>
      </c>
      <c r="E9621">
        <v>656</v>
      </c>
      <c r="F9621">
        <v>2</v>
      </c>
      <c r="G9621">
        <v>2</v>
      </c>
      <c r="H9621">
        <v>1</v>
      </c>
      <c r="I9621">
        <v>0</v>
      </c>
      <c r="J9621">
        <v>0.99338296112489699</v>
      </c>
      <c r="K9621">
        <v>1</v>
      </c>
      <c r="L9621">
        <v>0.99668049792531099</v>
      </c>
      <c r="M9621">
        <v>0.99007444168734504</v>
      </c>
      <c r="N9621">
        <v>0.99007444168734504</v>
      </c>
      <c r="O9621">
        <v>0.99007444168734504</v>
      </c>
      <c r="P9621" t="s">
        <v>4358</v>
      </c>
      <c r="Q9621" t="s">
        <v>4359</v>
      </c>
      <c r="R9621" t="s">
        <v>319</v>
      </c>
      <c r="S9621" t="s">
        <v>320</v>
      </c>
      <c r="T9621" t="s">
        <v>16523</v>
      </c>
      <c r="U9621" t="s">
        <v>16524</v>
      </c>
      <c r="V9621" t="s">
        <v>4360</v>
      </c>
      <c r="W9621" t="s">
        <v>4361</v>
      </c>
      <c r="AD9621" t="s">
        <v>166</v>
      </c>
      <c r="AE9621" t="s">
        <v>16525</v>
      </c>
      <c r="AF9621" t="s">
        <v>19533</v>
      </c>
    </row>
    <row r="9622" spans="1:32" hidden="1" x14ac:dyDescent="0.35">
      <c r="A9622">
        <v>9621</v>
      </c>
      <c r="B9622" t="s">
        <v>19534</v>
      </c>
      <c r="C9622" t="s">
        <v>33</v>
      </c>
      <c r="D9622" t="s">
        <v>34</v>
      </c>
      <c r="E9622">
        <v>1076</v>
      </c>
      <c r="F9622">
        <v>2</v>
      </c>
      <c r="G9622">
        <v>2</v>
      </c>
      <c r="H9622">
        <v>1</v>
      </c>
      <c r="I9622">
        <v>0</v>
      </c>
      <c r="J9622">
        <v>0.98979591836734704</v>
      </c>
      <c r="K9622">
        <v>1</v>
      </c>
      <c r="L9622">
        <v>0.994871794871795</v>
      </c>
      <c r="M9622">
        <v>0.98979591836734704</v>
      </c>
      <c r="N9622">
        <v>0.98979591836734704</v>
      </c>
      <c r="O9622">
        <v>0.98979591836734704</v>
      </c>
      <c r="P9622" t="s">
        <v>13160</v>
      </c>
      <c r="Q9622" t="s">
        <v>13161</v>
      </c>
      <c r="R9622" t="s">
        <v>96</v>
      </c>
      <c r="S9622" t="s">
        <v>97</v>
      </c>
      <c r="T9622" t="s">
        <v>13722</v>
      </c>
      <c r="U9622" t="s">
        <v>13723</v>
      </c>
      <c r="V9622" t="s">
        <v>13724</v>
      </c>
      <c r="W9622" t="s">
        <v>13725</v>
      </c>
      <c r="AD9622" t="s">
        <v>546</v>
      </c>
      <c r="AE9622" t="s">
        <v>13726</v>
      </c>
      <c r="AF9622" t="s">
        <v>19535</v>
      </c>
    </row>
    <row r="9623" spans="1:32" hidden="1" x14ac:dyDescent="0.35">
      <c r="A9623">
        <v>9622</v>
      </c>
      <c r="B9623" t="s">
        <v>19534</v>
      </c>
      <c r="C9623" t="s">
        <v>33</v>
      </c>
      <c r="D9623" t="s">
        <v>45</v>
      </c>
      <c r="E9623">
        <v>2333</v>
      </c>
      <c r="F9623">
        <v>2</v>
      </c>
      <c r="G9623">
        <v>2</v>
      </c>
      <c r="H9623">
        <v>1</v>
      </c>
      <c r="I9623">
        <v>0</v>
      </c>
      <c r="J9623">
        <v>0.98979591836734704</v>
      </c>
      <c r="K9623">
        <v>1</v>
      </c>
      <c r="L9623">
        <v>0.994871794871795</v>
      </c>
      <c r="M9623">
        <v>0.98979591836734704</v>
      </c>
      <c r="N9623">
        <v>0.98979591836734704</v>
      </c>
      <c r="O9623">
        <v>0.98979591836734704</v>
      </c>
      <c r="P9623" t="s">
        <v>13160</v>
      </c>
      <c r="Q9623" t="s">
        <v>13161</v>
      </c>
      <c r="R9623" t="s">
        <v>96</v>
      </c>
      <c r="S9623" t="s">
        <v>97</v>
      </c>
      <c r="T9623" t="s">
        <v>13722</v>
      </c>
      <c r="U9623" t="s">
        <v>13723</v>
      </c>
      <c r="V9623" t="s">
        <v>13724</v>
      </c>
      <c r="W9623" t="s">
        <v>13725</v>
      </c>
      <c r="AD9623" t="s">
        <v>546</v>
      </c>
      <c r="AE9623" t="s">
        <v>13726</v>
      </c>
      <c r="AF9623" t="s">
        <v>19536</v>
      </c>
    </row>
    <row r="9624" spans="1:32" hidden="1" x14ac:dyDescent="0.35">
      <c r="A9624">
        <v>9623</v>
      </c>
      <c r="B9624" t="s">
        <v>19537</v>
      </c>
      <c r="C9624" t="s">
        <v>33</v>
      </c>
      <c r="D9624" t="s">
        <v>60</v>
      </c>
      <c r="E9624">
        <v>1935</v>
      </c>
      <c r="F9624">
        <v>2</v>
      </c>
      <c r="G9624">
        <v>2</v>
      </c>
      <c r="H9624">
        <v>1</v>
      </c>
      <c r="I9624">
        <v>0</v>
      </c>
      <c r="J9624">
        <v>0.99186991869918695</v>
      </c>
      <c r="K9624">
        <v>1</v>
      </c>
      <c r="L9624">
        <v>0.99591836734693895</v>
      </c>
      <c r="M9624">
        <v>0.99186991869918695</v>
      </c>
      <c r="N9624">
        <v>0.99186991869918695</v>
      </c>
      <c r="O9624">
        <v>0.99186991869918695</v>
      </c>
      <c r="AF9624" t="s">
        <v>19538</v>
      </c>
    </row>
    <row r="9625" spans="1:32" hidden="1" x14ac:dyDescent="0.35">
      <c r="A9625">
        <v>9624</v>
      </c>
      <c r="B9625" t="s">
        <v>19537</v>
      </c>
      <c r="C9625" t="s">
        <v>33</v>
      </c>
      <c r="D9625" t="s">
        <v>62</v>
      </c>
      <c r="E9625">
        <v>1975</v>
      </c>
      <c r="F9625">
        <v>2</v>
      </c>
      <c r="G9625">
        <v>2</v>
      </c>
      <c r="H9625">
        <v>1</v>
      </c>
      <c r="I9625">
        <v>0</v>
      </c>
      <c r="J9625">
        <v>0.99186991869918695</v>
      </c>
      <c r="K9625">
        <v>1</v>
      </c>
      <c r="L9625">
        <v>0.99591836734693895</v>
      </c>
      <c r="M9625">
        <v>0.99186991869918695</v>
      </c>
      <c r="N9625">
        <v>0.99186991869918695</v>
      </c>
      <c r="O9625">
        <v>0.99186991869918695</v>
      </c>
      <c r="AF9625" t="s">
        <v>19539</v>
      </c>
    </row>
    <row r="9626" spans="1:32" hidden="1" x14ac:dyDescent="0.35">
      <c r="A9626">
        <v>9625</v>
      </c>
      <c r="B9626" t="s">
        <v>19540</v>
      </c>
      <c r="C9626" t="s">
        <v>33</v>
      </c>
      <c r="D9626" t="s">
        <v>60</v>
      </c>
      <c r="E9626">
        <v>2078</v>
      </c>
      <c r="F9626">
        <v>2</v>
      </c>
      <c r="G9626">
        <v>2</v>
      </c>
      <c r="H9626">
        <v>1</v>
      </c>
      <c r="I9626">
        <v>0</v>
      </c>
      <c r="J9626">
        <v>0.96705426356589197</v>
      </c>
      <c r="K9626">
        <v>0.65860655737704898</v>
      </c>
      <c r="L9626">
        <v>0.78356846781175404</v>
      </c>
      <c r="M9626">
        <v>0.54098360655737698</v>
      </c>
      <c r="N9626">
        <v>0.54098360655737698</v>
      </c>
      <c r="O9626">
        <v>0.54098360655737698</v>
      </c>
      <c r="AF9626" t="e">
        <f>-------------------------------------------------------------------------------------------------------------------------------------MQKLDADLLHYFIHAFRIMQKIAYTYGWQNLIDDVDEIDDETFAKMVTLLGVMMGVSSASTSIKAFTTGATKAVQKQVTNAALTKTAWYGPMKKVLRVVGIKITKDTVGKGISKAVPVLGGIISGGMTFATLTTESNRLKKHLRELPPPGVDGAEFKKMGSRLGKNHPTKFA</f>
        <v>#NAME?</v>
      </c>
    </row>
    <row r="9627" spans="1:32" hidden="1" x14ac:dyDescent="0.35">
      <c r="A9627">
        <v>9626</v>
      </c>
      <c r="B9627" t="s">
        <v>19540</v>
      </c>
      <c r="C9627" t="s">
        <v>33</v>
      </c>
      <c r="D9627" t="s">
        <v>62</v>
      </c>
      <c r="E9627">
        <v>2113</v>
      </c>
      <c r="F9627">
        <v>2</v>
      </c>
      <c r="G9627">
        <v>2</v>
      </c>
      <c r="H9627">
        <v>1</v>
      </c>
      <c r="I9627">
        <v>0</v>
      </c>
      <c r="J9627">
        <v>0.96705426356589197</v>
      </c>
      <c r="K9627">
        <v>0.65860655737704898</v>
      </c>
      <c r="L9627">
        <v>0.78356846781175404</v>
      </c>
      <c r="M9627">
        <v>0.54098360655737698</v>
      </c>
      <c r="N9627">
        <v>0.54098360655737698</v>
      </c>
      <c r="O9627">
        <v>0.54098360655737698</v>
      </c>
      <c r="AF9627" t="s">
        <v>19541</v>
      </c>
    </row>
    <row r="9628" spans="1:32" hidden="1" x14ac:dyDescent="0.35">
      <c r="A9628">
        <v>9627</v>
      </c>
      <c r="B9628" t="s">
        <v>19542</v>
      </c>
      <c r="C9628" t="s">
        <v>33</v>
      </c>
      <c r="D9628" t="s">
        <v>60</v>
      </c>
      <c r="E9628">
        <v>64</v>
      </c>
      <c r="F9628">
        <v>2</v>
      </c>
      <c r="G9628">
        <v>2</v>
      </c>
      <c r="H9628">
        <v>1</v>
      </c>
      <c r="I9628">
        <v>0</v>
      </c>
      <c r="J9628">
        <v>0.987719298245614</v>
      </c>
      <c r="K9628">
        <v>1</v>
      </c>
      <c r="L9628">
        <v>0.99382171226831395</v>
      </c>
      <c r="M9628">
        <v>0.98421052631578898</v>
      </c>
      <c r="N9628">
        <v>0.98421052631578898</v>
      </c>
      <c r="O9628">
        <v>0.98421052631578898</v>
      </c>
      <c r="P9628" t="s">
        <v>16033</v>
      </c>
      <c r="Q9628" t="s">
        <v>16034</v>
      </c>
      <c r="R9628" t="s">
        <v>371</v>
      </c>
      <c r="S9628" t="s">
        <v>372</v>
      </c>
      <c r="T9628" t="s">
        <v>16035</v>
      </c>
      <c r="U9628" t="s">
        <v>16036</v>
      </c>
      <c r="V9628" t="s">
        <v>16037</v>
      </c>
      <c r="W9628" t="s">
        <v>16038</v>
      </c>
      <c r="AD9628" t="s">
        <v>3253</v>
      </c>
      <c r="AE9628" t="s">
        <v>16039</v>
      </c>
      <c r="AF9628" t="s">
        <v>19543</v>
      </c>
    </row>
    <row r="9629" spans="1:32" hidden="1" x14ac:dyDescent="0.35">
      <c r="A9629">
        <v>9628</v>
      </c>
      <c r="B9629" t="s">
        <v>19542</v>
      </c>
      <c r="C9629" t="s">
        <v>33</v>
      </c>
      <c r="D9629" t="s">
        <v>62</v>
      </c>
      <c r="E9629">
        <v>137</v>
      </c>
      <c r="F9629">
        <v>2</v>
      </c>
      <c r="G9629">
        <v>2</v>
      </c>
      <c r="H9629">
        <v>1</v>
      </c>
      <c r="I9629">
        <v>0</v>
      </c>
      <c r="J9629">
        <v>0.987719298245614</v>
      </c>
      <c r="K9629">
        <v>1</v>
      </c>
      <c r="L9629">
        <v>0.99382171226831395</v>
      </c>
      <c r="M9629">
        <v>0.98421052631578898</v>
      </c>
      <c r="N9629">
        <v>0.98421052631578898</v>
      </c>
      <c r="O9629">
        <v>0.98421052631578898</v>
      </c>
      <c r="P9629" t="s">
        <v>16033</v>
      </c>
      <c r="Q9629" t="s">
        <v>16034</v>
      </c>
      <c r="R9629" t="s">
        <v>371</v>
      </c>
      <c r="S9629" t="s">
        <v>372</v>
      </c>
      <c r="T9629" t="s">
        <v>16035</v>
      </c>
      <c r="U9629" t="s">
        <v>16036</v>
      </c>
      <c r="V9629" t="s">
        <v>16037</v>
      </c>
      <c r="W9629" t="s">
        <v>16038</v>
      </c>
      <c r="AD9629" t="s">
        <v>3253</v>
      </c>
      <c r="AE9629" t="s">
        <v>16039</v>
      </c>
      <c r="AF9629" t="s">
        <v>19544</v>
      </c>
    </row>
    <row r="9630" spans="1:32" hidden="1" x14ac:dyDescent="0.35">
      <c r="A9630">
        <v>9629</v>
      </c>
      <c r="B9630" t="s">
        <v>19545</v>
      </c>
      <c r="C9630" t="s">
        <v>33</v>
      </c>
      <c r="D9630" t="s">
        <v>34</v>
      </c>
      <c r="E9630">
        <v>756</v>
      </c>
      <c r="F9630">
        <v>2</v>
      </c>
      <c r="G9630">
        <v>2</v>
      </c>
      <c r="H9630">
        <v>1</v>
      </c>
      <c r="I9630">
        <v>0</v>
      </c>
      <c r="J9630">
        <v>0.97822822822822797</v>
      </c>
      <c r="K9630">
        <v>1</v>
      </c>
      <c r="L9630">
        <v>0.98899430740037997</v>
      </c>
      <c r="M9630">
        <v>0.97072072072072102</v>
      </c>
      <c r="N9630">
        <v>0.97072072072072102</v>
      </c>
      <c r="O9630">
        <v>0.97072072072072102</v>
      </c>
      <c r="P9630" t="s">
        <v>1247</v>
      </c>
      <c r="Q9630" t="s">
        <v>1248</v>
      </c>
      <c r="R9630" t="s">
        <v>319</v>
      </c>
      <c r="S9630" t="s">
        <v>320</v>
      </c>
      <c r="T9630" t="s">
        <v>19546</v>
      </c>
      <c r="U9630" t="s">
        <v>14071</v>
      </c>
      <c r="V9630" t="s">
        <v>7750</v>
      </c>
      <c r="W9630" t="s">
        <v>7751</v>
      </c>
      <c r="AD9630" t="s">
        <v>439</v>
      </c>
      <c r="AE9630" t="s">
        <v>14074</v>
      </c>
      <c r="AF9630" t="s">
        <v>19547</v>
      </c>
    </row>
    <row r="9631" spans="1:32" hidden="1" x14ac:dyDescent="0.35">
      <c r="A9631">
        <v>9630</v>
      </c>
      <c r="B9631" t="s">
        <v>19545</v>
      </c>
      <c r="C9631" t="s">
        <v>33</v>
      </c>
      <c r="D9631" t="s">
        <v>45</v>
      </c>
      <c r="E9631">
        <v>2022</v>
      </c>
      <c r="F9631">
        <v>2</v>
      </c>
      <c r="G9631">
        <v>2</v>
      </c>
      <c r="H9631">
        <v>1</v>
      </c>
      <c r="I9631">
        <v>0</v>
      </c>
      <c r="J9631">
        <v>0.97822822822822797</v>
      </c>
      <c r="K9631">
        <v>1</v>
      </c>
      <c r="L9631">
        <v>0.98899430740037997</v>
      </c>
      <c r="M9631">
        <v>0.97072072072072102</v>
      </c>
      <c r="N9631">
        <v>0.97072072072072102</v>
      </c>
      <c r="O9631">
        <v>0.97072072072072102</v>
      </c>
      <c r="P9631" t="s">
        <v>1247</v>
      </c>
      <c r="Q9631" t="s">
        <v>1248</v>
      </c>
      <c r="R9631" t="s">
        <v>319</v>
      </c>
      <c r="S9631" t="s">
        <v>320</v>
      </c>
      <c r="T9631" t="s">
        <v>19546</v>
      </c>
      <c r="U9631" t="s">
        <v>14071</v>
      </c>
      <c r="V9631" t="s">
        <v>7750</v>
      </c>
      <c r="W9631" t="s">
        <v>7751</v>
      </c>
      <c r="AD9631" t="s">
        <v>439</v>
      </c>
      <c r="AE9631" t="s">
        <v>14074</v>
      </c>
      <c r="AF9631" t="s">
        <v>19548</v>
      </c>
    </row>
    <row r="9632" spans="1:32" hidden="1" x14ac:dyDescent="0.35">
      <c r="A9632">
        <v>9631</v>
      </c>
      <c r="B9632" t="s">
        <v>19549</v>
      </c>
      <c r="C9632" t="s">
        <v>33</v>
      </c>
      <c r="D9632" t="s">
        <v>60</v>
      </c>
      <c r="E9632">
        <v>2456</v>
      </c>
      <c r="F9632">
        <v>2</v>
      </c>
      <c r="G9632">
        <v>2</v>
      </c>
      <c r="H9632">
        <v>1</v>
      </c>
      <c r="I9632">
        <v>0</v>
      </c>
      <c r="J9632">
        <v>0.99543378995433796</v>
      </c>
      <c r="K9632">
        <v>1</v>
      </c>
      <c r="L9632">
        <v>0.99771167048054898</v>
      </c>
      <c r="M9632">
        <v>0.99543378995433796</v>
      </c>
      <c r="N9632">
        <v>0.99543378995433796</v>
      </c>
      <c r="O9632">
        <v>0.99543378995433796</v>
      </c>
      <c r="P9632" t="s">
        <v>15703</v>
      </c>
      <c r="Q9632" t="s">
        <v>15704</v>
      </c>
      <c r="AF9632" t="s">
        <v>19550</v>
      </c>
    </row>
    <row r="9633" spans="1:32" hidden="1" x14ac:dyDescent="0.35">
      <c r="A9633">
        <v>9632</v>
      </c>
      <c r="B9633" t="s">
        <v>19549</v>
      </c>
      <c r="C9633" t="s">
        <v>33</v>
      </c>
      <c r="D9633" t="s">
        <v>62</v>
      </c>
      <c r="E9633">
        <v>2482</v>
      </c>
      <c r="F9633">
        <v>2</v>
      </c>
      <c r="G9633">
        <v>2</v>
      </c>
      <c r="H9633">
        <v>1</v>
      </c>
      <c r="I9633">
        <v>0</v>
      </c>
      <c r="J9633">
        <v>0.99543378995433796</v>
      </c>
      <c r="K9633">
        <v>1</v>
      </c>
      <c r="L9633">
        <v>0.99771167048054898</v>
      </c>
      <c r="M9633">
        <v>0.99543378995433796</v>
      </c>
      <c r="N9633">
        <v>0.99543378995433796</v>
      </c>
      <c r="O9633">
        <v>0.99543378995433796</v>
      </c>
      <c r="P9633" t="s">
        <v>15703</v>
      </c>
      <c r="Q9633" t="s">
        <v>15704</v>
      </c>
      <c r="AF9633" t="s">
        <v>19551</v>
      </c>
    </row>
    <row r="9634" spans="1:32" hidden="1" x14ac:dyDescent="0.35">
      <c r="A9634">
        <v>9633</v>
      </c>
      <c r="B9634" t="s">
        <v>19552</v>
      </c>
      <c r="C9634" t="s">
        <v>33</v>
      </c>
      <c r="D9634" t="s">
        <v>34</v>
      </c>
      <c r="E9634">
        <v>2266</v>
      </c>
      <c r="F9634">
        <v>2</v>
      </c>
      <c r="G9634">
        <v>2</v>
      </c>
      <c r="H9634">
        <v>1</v>
      </c>
      <c r="I9634">
        <v>0</v>
      </c>
      <c r="J9634">
        <v>0.98958333333333304</v>
      </c>
      <c r="K9634">
        <v>1</v>
      </c>
      <c r="L9634">
        <v>0.99476439790575899</v>
      </c>
      <c r="M9634">
        <v>0.97916666666666696</v>
      </c>
      <c r="N9634">
        <v>0.97916666666666696</v>
      </c>
      <c r="O9634">
        <v>0.97916666666666696</v>
      </c>
      <c r="AF9634" t="s">
        <v>19553</v>
      </c>
    </row>
    <row r="9635" spans="1:32" hidden="1" x14ac:dyDescent="0.35">
      <c r="A9635">
        <v>9634</v>
      </c>
      <c r="B9635" t="s">
        <v>19552</v>
      </c>
      <c r="C9635" t="s">
        <v>33</v>
      </c>
      <c r="D9635" t="s">
        <v>45</v>
      </c>
      <c r="E9635">
        <v>610</v>
      </c>
      <c r="F9635">
        <v>2</v>
      </c>
      <c r="G9635">
        <v>2</v>
      </c>
      <c r="H9635">
        <v>1</v>
      </c>
      <c r="I9635">
        <v>0</v>
      </c>
      <c r="J9635">
        <v>0.98958333333333304</v>
      </c>
      <c r="K9635">
        <v>1</v>
      </c>
      <c r="L9635">
        <v>0.99476439790575899</v>
      </c>
      <c r="M9635">
        <v>0.97916666666666696</v>
      </c>
      <c r="N9635">
        <v>0.97916666666666696</v>
      </c>
      <c r="O9635">
        <v>0.97916666666666696</v>
      </c>
      <c r="AF9635" t="s">
        <v>19554</v>
      </c>
    </row>
    <row r="9636" spans="1:32" hidden="1" x14ac:dyDescent="0.35">
      <c r="A9636">
        <v>9635</v>
      </c>
      <c r="B9636" t="s">
        <v>19555</v>
      </c>
      <c r="C9636" t="s">
        <v>33</v>
      </c>
      <c r="D9636" t="s">
        <v>60</v>
      </c>
      <c r="E9636">
        <v>1711</v>
      </c>
      <c r="F9636">
        <v>2</v>
      </c>
      <c r="G9636">
        <v>2</v>
      </c>
      <c r="H9636">
        <v>1</v>
      </c>
      <c r="I9636">
        <v>0</v>
      </c>
      <c r="J9636">
        <v>0.939393939393939</v>
      </c>
      <c r="K9636">
        <v>1</v>
      </c>
      <c r="L9636">
        <v>0.96875</v>
      </c>
      <c r="M9636">
        <v>0.89610389610389596</v>
      </c>
      <c r="N9636">
        <v>0.89610389610389596</v>
      </c>
      <c r="O9636">
        <v>0.89610389610389596</v>
      </c>
      <c r="AF9636" t="s">
        <v>19556</v>
      </c>
    </row>
    <row r="9637" spans="1:32" hidden="1" x14ac:dyDescent="0.35">
      <c r="A9637">
        <v>9636</v>
      </c>
      <c r="B9637" t="s">
        <v>19555</v>
      </c>
      <c r="C9637" t="s">
        <v>33</v>
      </c>
      <c r="D9637" t="s">
        <v>62</v>
      </c>
      <c r="E9637">
        <v>1746</v>
      </c>
      <c r="F9637">
        <v>2</v>
      </c>
      <c r="G9637">
        <v>2</v>
      </c>
      <c r="H9637">
        <v>1</v>
      </c>
      <c r="I9637">
        <v>0</v>
      </c>
      <c r="J9637">
        <v>0.939393939393939</v>
      </c>
      <c r="K9637">
        <v>1</v>
      </c>
      <c r="L9637">
        <v>0.96875</v>
      </c>
      <c r="M9637">
        <v>0.89610389610389596</v>
      </c>
      <c r="N9637">
        <v>0.89610389610389596</v>
      </c>
      <c r="O9637">
        <v>0.89610389610389596</v>
      </c>
      <c r="AF9637" t="s">
        <v>19557</v>
      </c>
    </row>
    <row r="9638" spans="1:32" hidden="1" x14ac:dyDescent="0.35">
      <c r="A9638">
        <v>9637</v>
      </c>
      <c r="B9638" t="s">
        <v>19558</v>
      </c>
      <c r="C9638" t="s">
        <v>33</v>
      </c>
      <c r="D9638" t="s">
        <v>34</v>
      </c>
      <c r="E9638">
        <v>62</v>
      </c>
      <c r="F9638">
        <v>2</v>
      </c>
      <c r="G9638">
        <v>2</v>
      </c>
      <c r="H9638">
        <v>1</v>
      </c>
      <c r="I9638">
        <v>0</v>
      </c>
      <c r="J9638">
        <v>0.98760330578512401</v>
      </c>
      <c r="K9638">
        <v>1</v>
      </c>
      <c r="L9638">
        <v>0.99376299376299404</v>
      </c>
      <c r="M9638">
        <v>0.98760330578512401</v>
      </c>
      <c r="N9638">
        <v>0.98760330578512401</v>
      </c>
      <c r="O9638">
        <v>0.98760330578512401</v>
      </c>
      <c r="AF9638" t="s">
        <v>19559</v>
      </c>
    </row>
    <row r="9639" spans="1:32" hidden="1" x14ac:dyDescent="0.35">
      <c r="A9639">
        <v>9638</v>
      </c>
      <c r="B9639" t="s">
        <v>19558</v>
      </c>
      <c r="C9639" t="s">
        <v>33</v>
      </c>
      <c r="D9639" t="s">
        <v>45</v>
      </c>
      <c r="E9639">
        <v>1320</v>
      </c>
      <c r="F9639">
        <v>2</v>
      </c>
      <c r="G9639">
        <v>2</v>
      </c>
      <c r="H9639">
        <v>1</v>
      </c>
      <c r="I9639">
        <v>0</v>
      </c>
      <c r="J9639">
        <v>0.98760330578512401</v>
      </c>
      <c r="K9639">
        <v>1</v>
      </c>
      <c r="L9639">
        <v>0.99376299376299404</v>
      </c>
      <c r="M9639">
        <v>0.98760330578512401</v>
      </c>
      <c r="N9639">
        <v>0.98760330578512401</v>
      </c>
      <c r="O9639">
        <v>0.98760330578512401</v>
      </c>
      <c r="AF9639" t="s">
        <v>19560</v>
      </c>
    </row>
    <row r="9640" spans="1:32" hidden="1" x14ac:dyDescent="0.35">
      <c r="A9640">
        <v>9639</v>
      </c>
      <c r="B9640" t="s">
        <v>19561</v>
      </c>
      <c r="C9640" t="s">
        <v>33</v>
      </c>
      <c r="D9640" t="s">
        <v>60</v>
      </c>
      <c r="E9640">
        <v>2027</v>
      </c>
      <c r="F9640">
        <v>2</v>
      </c>
      <c r="G9640">
        <v>2</v>
      </c>
      <c r="H9640">
        <v>1</v>
      </c>
      <c r="I9640">
        <v>0</v>
      </c>
      <c r="J9640">
        <v>0.97533550961189697</v>
      </c>
      <c r="K9640">
        <v>1</v>
      </c>
      <c r="L9640">
        <v>0.98751377157546805</v>
      </c>
      <c r="M9640">
        <v>0.96953210010881397</v>
      </c>
      <c r="N9640">
        <v>0.96953210010881397</v>
      </c>
      <c r="O9640">
        <v>0.96953210010881397</v>
      </c>
      <c r="P9640" t="s">
        <v>19562</v>
      </c>
      <c r="Q9640" t="s">
        <v>19563</v>
      </c>
      <c r="R9640" t="s">
        <v>138</v>
      </c>
      <c r="S9640" t="s">
        <v>139</v>
      </c>
      <c r="T9640" t="s">
        <v>19564</v>
      </c>
      <c r="U9640" t="s">
        <v>19565</v>
      </c>
      <c r="V9640" t="s">
        <v>19566</v>
      </c>
      <c r="W9640" t="s">
        <v>19567</v>
      </c>
      <c r="X9640" t="s">
        <v>19566</v>
      </c>
      <c r="Y9640" t="s">
        <v>15411</v>
      </c>
      <c r="AD9640" t="s">
        <v>14829</v>
      </c>
      <c r="AE9640" t="s">
        <v>19568</v>
      </c>
      <c r="AF9640" t="s">
        <v>19569</v>
      </c>
    </row>
    <row r="9641" spans="1:32" hidden="1" x14ac:dyDescent="0.35">
      <c r="A9641">
        <v>9640</v>
      </c>
      <c r="B9641" t="s">
        <v>19561</v>
      </c>
      <c r="C9641" t="s">
        <v>33</v>
      </c>
      <c r="D9641" t="s">
        <v>62</v>
      </c>
      <c r="E9641">
        <v>2067</v>
      </c>
      <c r="F9641">
        <v>2</v>
      </c>
      <c r="G9641">
        <v>2</v>
      </c>
      <c r="H9641">
        <v>1</v>
      </c>
      <c r="I9641">
        <v>0</v>
      </c>
      <c r="J9641">
        <v>0.97533550961189697</v>
      </c>
      <c r="K9641">
        <v>1</v>
      </c>
      <c r="L9641">
        <v>0.98751377157546805</v>
      </c>
      <c r="M9641">
        <v>0.96953210010881397</v>
      </c>
      <c r="N9641">
        <v>0.96953210010881397</v>
      </c>
      <c r="O9641">
        <v>0.96953210010881397</v>
      </c>
      <c r="P9641" t="s">
        <v>19562</v>
      </c>
      <c r="Q9641" t="s">
        <v>19563</v>
      </c>
      <c r="R9641" t="s">
        <v>138</v>
      </c>
      <c r="S9641" t="s">
        <v>139</v>
      </c>
      <c r="T9641" t="s">
        <v>19564</v>
      </c>
      <c r="U9641" t="s">
        <v>19565</v>
      </c>
      <c r="V9641" t="s">
        <v>19566</v>
      </c>
      <c r="W9641" t="s">
        <v>19567</v>
      </c>
      <c r="X9641" t="s">
        <v>19566</v>
      </c>
      <c r="Y9641" t="s">
        <v>15411</v>
      </c>
      <c r="AD9641" t="s">
        <v>14829</v>
      </c>
      <c r="AE9641" t="s">
        <v>19568</v>
      </c>
      <c r="AF9641" t="s">
        <v>19570</v>
      </c>
    </row>
    <row r="9642" spans="1:32" hidden="1" x14ac:dyDescent="0.35">
      <c r="A9642">
        <v>9641</v>
      </c>
      <c r="B9642" t="s">
        <v>19571</v>
      </c>
      <c r="C9642" t="s">
        <v>33</v>
      </c>
      <c r="D9642" t="s">
        <v>60</v>
      </c>
      <c r="E9642">
        <v>1951</v>
      </c>
      <c r="F9642">
        <v>2</v>
      </c>
      <c r="G9642">
        <v>2</v>
      </c>
      <c r="H9642">
        <v>1</v>
      </c>
      <c r="I9642">
        <v>0</v>
      </c>
      <c r="J9642">
        <v>0.99827288428324701</v>
      </c>
      <c r="K9642">
        <v>1</v>
      </c>
      <c r="L9642">
        <v>0.99913569576490902</v>
      </c>
      <c r="M9642">
        <v>0.99481865284974103</v>
      </c>
      <c r="N9642">
        <v>0.99481865284974103</v>
      </c>
      <c r="O9642">
        <v>0.99481865284974103</v>
      </c>
      <c r="P9642" t="s">
        <v>19572</v>
      </c>
      <c r="Q9642" t="s">
        <v>19573</v>
      </c>
      <c r="AF9642" t="s">
        <v>19574</v>
      </c>
    </row>
    <row r="9643" spans="1:32" hidden="1" x14ac:dyDescent="0.35">
      <c r="A9643">
        <v>9642</v>
      </c>
      <c r="B9643" t="s">
        <v>19571</v>
      </c>
      <c r="C9643" t="s">
        <v>33</v>
      </c>
      <c r="D9643" t="s">
        <v>62</v>
      </c>
      <c r="E9643">
        <v>1992</v>
      </c>
      <c r="F9643">
        <v>2</v>
      </c>
      <c r="G9643">
        <v>2</v>
      </c>
      <c r="H9643">
        <v>1</v>
      </c>
      <c r="I9643">
        <v>0</v>
      </c>
      <c r="J9643">
        <v>0.99827288428324701</v>
      </c>
      <c r="K9643">
        <v>1</v>
      </c>
      <c r="L9643">
        <v>0.99913569576490902</v>
      </c>
      <c r="M9643">
        <v>0.99481865284974103</v>
      </c>
      <c r="N9643">
        <v>0.99481865284974103</v>
      </c>
      <c r="O9643">
        <v>0.99481865284974103</v>
      </c>
      <c r="P9643" t="s">
        <v>19572</v>
      </c>
      <c r="Q9643" t="s">
        <v>19573</v>
      </c>
      <c r="AF9643" t="s">
        <v>19575</v>
      </c>
    </row>
    <row r="9644" spans="1:32" hidden="1" x14ac:dyDescent="0.35">
      <c r="A9644">
        <v>9643</v>
      </c>
      <c r="B9644" t="s">
        <v>19576</v>
      </c>
      <c r="C9644" t="s">
        <v>33</v>
      </c>
      <c r="D9644" t="s">
        <v>34</v>
      </c>
      <c r="E9644">
        <v>2463</v>
      </c>
      <c r="F9644">
        <v>2</v>
      </c>
      <c r="G9644">
        <v>2</v>
      </c>
      <c r="H9644">
        <v>1</v>
      </c>
      <c r="I9644">
        <v>0</v>
      </c>
      <c r="J9644">
        <v>0.99145299145299104</v>
      </c>
      <c r="K9644">
        <v>1</v>
      </c>
      <c r="L9644">
        <v>0.99570815450643801</v>
      </c>
      <c r="M9644">
        <v>0.984615384615385</v>
      </c>
      <c r="N9644">
        <v>0.984615384615385</v>
      </c>
      <c r="O9644">
        <v>0.984615384615385</v>
      </c>
      <c r="P9644" t="s">
        <v>12423</v>
      </c>
      <c r="Q9644" t="s">
        <v>12424</v>
      </c>
      <c r="R9644" t="s">
        <v>224</v>
      </c>
      <c r="S9644" t="s">
        <v>225</v>
      </c>
      <c r="V9644" t="s">
        <v>8738</v>
      </c>
      <c r="W9644" t="s">
        <v>8739</v>
      </c>
      <c r="AF9644" t="s">
        <v>19577</v>
      </c>
    </row>
    <row r="9645" spans="1:32" hidden="1" x14ac:dyDescent="0.35">
      <c r="A9645">
        <v>9644</v>
      </c>
      <c r="B9645" t="s">
        <v>19576</v>
      </c>
      <c r="C9645" t="s">
        <v>33</v>
      </c>
      <c r="D9645" t="s">
        <v>45</v>
      </c>
      <c r="E9645">
        <v>438</v>
      </c>
      <c r="F9645">
        <v>2</v>
      </c>
      <c r="G9645">
        <v>2</v>
      </c>
      <c r="H9645">
        <v>1</v>
      </c>
      <c r="I9645">
        <v>0</v>
      </c>
      <c r="J9645">
        <v>0.99145299145299104</v>
      </c>
      <c r="K9645">
        <v>1</v>
      </c>
      <c r="L9645">
        <v>0.99570815450643801</v>
      </c>
      <c r="M9645">
        <v>0.984615384615385</v>
      </c>
      <c r="N9645">
        <v>0.984615384615385</v>
      </c>
      <c r="O9645">
        <v>0.984615384615385</v>
      </c>
      <c r="P9645" t="s">
        <v>12423</v>
      </c>
      <c r="Q9645" t="s">
        <v>12424</v>
      </c>
      <c r="R9645" t="s">
        <v>224</v>
      </c>
      <c r="S9645" t="s">
        <v>225</v>
      </c>
      <c r="V9645" t="s">
        <v>8738</v>
      </c>
      <c r="W9645" t="s">
        <v>8739</v>
      </c>
      <c r="AF9645" t="s">
        <v>19578</v>
      </c>
    </row>
    <row r="9646" spans="1:32" hidden="1" x14ac:dyDescent="0.35">
      <c r="A9646">
        <v>9645</v>
      </c>
      <c r="B9646" t="s">
        <v>19579</v>
      </c>
      <c r="C9646" t="s">
        <v>33</v>
      </c>
      <c r="D9646" t="s">
        <v>34</v>
      </c>
      <c r="E9646">
        <v>1873</v>
      </c>
      <c r="F9646">
        <v>2</v>
      </c>
      <c r="G9646">
        <v>2</v>
      </c>
      <c r="H9646">
        <v>1</v>
      </c>
      <c r="I9646">
        <v>0</v>
      </c>
      <c r="J9646">
        <v>0.98943089430894304</v>
      </c>
      <c r="K9646">
        <v>1</v>
      </c>
      <c r="L9646">
        <v>0.99468737229260296</v>
      </c>
      <c r="M9646">
        <v>0.98780487804878003</v>
      </c>
      <c r="N9646">
        <v>0.98780487804878003</v>
      </c>
      <c r="O9646">
        <v>0.98780487804878003</v>
      </c>
      <c r="P9646" t="s">
        <v>19580</v>
      </c>
      <c r="Q9646" t="s">
        <v>19581</v>
      </c>
      <c r="R9646" t="s">
        <v>224</v>
      </c>
      <c r="S9646" t="s">
        <v>225</v>
      </c>
      <c r="T9646" t="s">
        <v>19582</v>
      </c>
      <c r="U9646" t="s">
        <v>19583</v>
      </c>
      <c r="V9646" t="s">
        <v>19584</v>
      </c>
      <c r="W9646" t="s">
        <v>19585</v>
      </c>
      <c r="X9646" t="s">
        <v>19584</v>
      </c>
      <c r="Y9646" t="s">
        <v>1598</v>
      </c>
      <c r="AD9646" t="s">
        <v>1170</v>
      </c>
      <c r="AE9646" t="s">
        <v>19586</v>
      </c>
      <c r="AF9646" t="s">
        <v>19587</v>
      </c>
    </row>
    <row r="9647" spans="1:32" hidden="1" x14ac:dyDescent="0.35">
      <c r="A9647">
        <v>9646</v>
      </c>
      <c r="B9647" t="s">
        <v>19579</v>
      </c>
      <c r="C9647" t="s">
        <v>33</v>
      </c>
      <c r="D9647" t="s">
        <v>45</v>
      </c>
      <c r="E9647">
        <v>1000</v>
      </c>
      <c r="F9647">
        <v>2</v>
      </c>
      <c r="G9647">
        <v>2</v>
      </c>
      <c r="H9647">
        <v>1</v>
      </c>
      <c r="I9647">
        <v>0</v>
      </c>
      <c r="J9647">
        <v>0.98943089430894304</v>
      </c>
      <c r="K9647">
        <v>1</v>
      </c>
      <c r="L9647">
        <v>0.99468737229260296</v>
      </c>
      <c r="M9647">
        <v>0.98780487804878003</v>
      </c>
      <c r="N9647">
        <v>0.98780487804878003</v>
      </c>
      <c r="O9647">
        <v>0.98780487804878003</v>
      </c>
      <c r="P9647" t="s">
        <v>19580</v>
      </c>
      <c r="Q9647" t="s">
        <v>19581</v>
      </c>
      <c r="R9647" t="s">
        <v>224</v>
      </c>
      <c r="S9647" t="s">
        <v>225</v>
      </c>
      <c r="T9647" t="s">
        <v>19582</v>
      </c>
      <c r="U9647" t="s">
        <v>19583</v>
      </c>
      <c r="V9647" t="s">
        <v>19584</v>
      </c>
      <c r="W9647" t="s">
        <v>19585</v>
      </c>
      <c r="X9647" t="s">
        <v>19584</v>
      </c>
      <c r="Y9647" t="s">
        <v>1598</v>
      </c>
      <c r="AD9647" t="s">
        <v>1170</v>
      </c>
      <c r="AE9647" t="s">
        <v>19586</v>
      </c>
      <c r="AF9647" t="s">
        <v>19588</v>
      </c>
    </row>
    <row r="9648" spans="1:32" hidden="1" x14ac:dyDescent="0.35">
      <c r="A9648">
        <v>9647</v>
      </c>
      <c r="B9648" t="s">
        <v>19589</v>
      </c>
      <c r="C9648" t="s">
        <v>33</v>
      </c>
      <c r="D9648" t="s">
        <v>60</v>
      </c>
      <c r="E9648">
        <v>607</v>
      </c>
      <c r="F9648">
        <v>2</v>
      </c>
      <c r="G9648">
        <v>2</v>
      </c>
      <c r="H9648">
        <v>1</v>
      </c>
      <c r="I9648">
        <v>0</v>
      </c>
      <c r="J9648">
        <v>0.99657960199005002</v>
      </c>
      <c r="K9648">
        <v>1</v>
      </c>
      <c r="L9648">
        <v>0.99828687120386195</v>
      </c>
      <c r="M9648">
        <v>0.99533582089552197</v>
      </c>
      <c r="N9648">
        <v>0.99533582089552197</v>
      </c>
      <c r="O9648">
        <v>0.99533582089552197</v>
      </c>
      <c r="P9648" t="s">
        <v>1211</v>
      </c>
      <c r="Q9648" t="s">
        <v>1212</v>
      </c>
      <c r="R9648" t="s">
        <v>4098</v>
      </c>
      <c r="S9648" t="s">
        <v>4099</v>
      </c>
      <c r="V9648" t="s">
        <v>16086</v>
      </c>
      <c r="W9648" t="s">
        <v>16087</v>
      </c>
      <c r="AF9648" t="s">
        <v>19590</v>
      </c>
    </row>
    <row r="9649" spans="1:32" hidden="1" x14ac:dyDescent="0.35">
      <c r="A9649">
        <v>9648</v>
      </c>
      <c r="B9649" t="s">
        <v>19589</v>
      </c>
      <c r="C9649" t="s">
        <v>33</v>
      </c>
      <c r="D9649" t="s">
        <v>62</v>
      </c>
      <c r="E9649">
        <v>691</v>
      </c>
      <c r="F9649">
        <v>2</v>
      </c>
      <c r="G9649">
        <v>2</v>
      </c>
      <c r="H9649">
        <v>1</v>
      </c>
      <c r="I9649">
        <v>0</v>
      </c>
      <c r="J9649">
        <v>0.99657960199005002</v>
      </c>
      <c r="K9649">
        <v>1</v>
      </c>
      <c r="L9649">
        <v>0.99828687120386195</v>
      </c>
      <c r="M9649">
        <v>0.99533582089552197</v>
      </c>
      <c r="N9649">
        <v>0.99533582089552197</v>
      </c>
      <c r="O9649">
        <v>0.99533582089552197</v>
      </c>
      <c r="P9649" t="s">
        <v>1211</v>
      </c>
      <c r="Q9649" t="s">
        <v>1212</v>
      </c>
      <c r="R9649" t="s">
        <v>4098</v>
      </c>
      <c r="S9649" t="s">
        <v>4099</v>
      </c>
      <c r="V9649" t="s">
        <v>16086</v>
      </c>
      <c r="W9649" t="s">
        <v>16087</v>
      </c>
      <c r="AF9649" t="s">
        <v>19591</v>
      </c>
    </row>
    <row r="9650" spans="1:32" hidden="1" x14ac:dyDescent="0.35">
      <c r="A9650">
        <v>9649</v>
      </c>
      <c r="B9650" t="s">
        <v>19592</v>
      </c>
      <c r="C9650" t="s">
        <v>33</v>
      </c>
      <c r="D9650" t="s">
        <v>34</v>
      </c>
      <c r="E9650">
        <v>933</v>
      </c>
      <c r="F9650">
        <v>2</v>
      </c>
      <c r="G9650">
        <v>2</v>
      </c>
      <c r="H9650">
        <v>1</v>
      </c>
      <c r="I9650">
        <v>0</v>
      </c>
      <c r="J9650">
        <v>0.97610062893081795</v>
      </c>
      <c r="K9650">
        <v>0.98521333851190396</v>
      </c>
      <c r="L9650">
        <v>0.98063581386347798</v>
      </c>
      <c r="M9650">
        <v>0.95910780669145002</v>
      </c>
      <c r="N9650">
        <v>0.95910780669145002</v>
      </c>
      <c r="O9650">
        <v>0.95910780669145002</v>
      </c>
      <c r="P9650" t="s">
        <v>14606</v>
      </c>
      <c r="Q9650" t="s">
        <v>14607</v>
      </c>
      <c r="R9650" t="s">
        <v>19593</v>
      </c>
      <c r="S9650" t="s">
        <v>19594</v>
      </c>
      <c r="V9650" t="s">
        <v>19595</v>
      </c>
      <c r="W9650" t="s">
        <v>19596</v>
      </c>
      <c r="AF9650" t="s">
        <v>19597</v>
      </c>
    </row>
    <row r="9651" spans="1:32" hidden="1" x14ac:dyDescent="0.35">
      <c r="A9651">
        <v>9650</v>
      </c>
      <c r="B9651" t="s">
        <v>19592</v>
      </c>
      <c r="C9651" t="s">
        <v>33</v>
      </c>
      <c r="D9651" t="s">
        <v>45</v>
      </c>
      <c r="E9651">
        <v>2189</v>
      </c>
      <c r="F9651">
        <v>2</v>
      </c>
      <c r="G9651">
        <v>2</v>
      </c>
      <c r="H9651">
        <v>1</v>
      </c>
      <c r="I9651">
        <v>0</v>
      </c>
      <c r="J9651">
        <v>0.97610062893081795</v>
      </c>
      <c r="K9651">
        <v>0.98521333851190396</v>
      </c>
      <c r="L9651">
        <v>0.98063581386347798</v>
      </c>
      <c r="M9651">
        <v>0.95910780669145002</v>
      </c>
      <c r="N9651">
        <v>0.95910780669145002</v>
      </c>
      <c r="O9651">
        <v>0.95910780669145002</v>
      </c>
      <c r="P9651" t="s">
        <v>14606</v>
      </c>
      <c r="Q9651" t="s">
        <v>14607</v>
      </c>
      <c r="R9651" t="s">
        <v>19593</v>
      </c>
      <c r="S9651" t="s">
        <v>19594</v>
      </c>
      <c r="V9651" t="s">
        <v>19595</v>
      </c>
      <c r="W9651" t="s">
        <v>19596</v>
      </c>
      <c r="AF9651" t="s">
        <v>19598</v>
      </c>
    </row>
    <row r="9652" spans="1:32" hidden="1" x14ac:dyDescent="0.35">
      <c r="A9652">
        <v>9651</v>
      </c>
      <c r="B9652" t="s">
        <v>19599</v>
      </c>
      <c r="C9652" t="s">
        <v>33</v>
      </c>
      <c r="D9652" t="s">
        <v>60</v>
      </c>
      <c r="E9652">
        <v>1353</v>
      </c>
      <c r="F9652">
        <v>2</v>
      </c>
      <c r="G9652">
        <v>2</v>
      </c>
      <c r="H9652">
        <v>1</v>
      </c>
      <c r="I9652">
        <v>0</v>
      </c>
      <c r="J9652">
        <v>0.99814126394052005</v>
      </c>
      <c r="K9652">
        <v>0.98722679438748395</v>
      </c>
      <c r="L9652">
        <v>0.99265402826690796</v>
      </c>
      <c r="M9652">
        <v>0.98532110091743097</v>
      </c>
      <c r="N9652">
        <v>0.98532110091743097</v>
      </c>
      <c r="O9652">
        <v>0.98532110091743097</v>
      </c>
      <c r="AF9652" t="s">
        <v>19600</v>
      </c>
    </row>
    <row r="9653" spans="1:32" hidden="1" x14ac:dyDescent="0.35">
      <c r="A9653">
        <v>9652</v>
      </c>
      <c r="B9653" t="s">
        <v>19599</v>
      </c>
      <c r="C9653" t="s">
        <v>33</v>
      </c>
      <c r="D9653" t="s">
        <v>62</v>
      </c>
      <c r="E9653">
        <v>1389</v>
      </c>
      <c r="F9653">
        <v>2</v>
      </c>
      <c r="G9653">
        <v>2</v>
      </c>
      <c r="H9653">
        <v>1</v>
      </c>
      <c r="I9653">
        <v>0</v>
      </c>
      <c r="J9653">
        <v>0.99814126394052005</v>
      </c>
      <c r="K9653">
        <v>0.98722679438748395</v>
      </c>
      <c r="L9653">
        <v>0.99265402826690796</v>
      </c>
      <c r="M9653">
        <v>0.98532110091743097</v>
      </c>
      <c r="N9653">
        <v>0.98532110091743097</v>
      </c>
      <c r="O9653">
        <v>0.98532110091743097</v>
      </c>
      <c r="AF9653" t="s">
        <v>19601</v>
      </c>
    </row>
    <row r="9654" spans="1:32" hidden="1" x14ac:dyDescent="0.35">
      <c r="A9654">
        <v>9653</v>
      </c>
      <c r="B9654" t="s">
        <v>19602</v>
      </c>
      <c r="C9654" t="s">
        <v>33</v>
      </c>
      <c r="D9654" t="s">
        <v>60</v>
      </c>
      <c r="E9654">
        <v>121</v>
      </c>
      <c r="F9654">
        <v>2</v>
      </c>
      <c r="G9654">
        <v>2</v>
      </c>
      <c r="H9654">
        <v>1</v>
      </c>
      <c r="I9654">
        <v>0</v>
      </c>
      <c r="J9654">
        <v>0.99715099715099698</v>
      </c>
      <c r="K9654">
        <v>1</v>
      </c>
      <c r="L9654">
        <v>0.99857346647646195</v>
      </c>
      <c r="M9654">
        <v>0.99145299145299104</v>
      </c>
      <c r="N9654">
        <v>0.99145299145299104</v>
      </c>
      <c r="O9654">
        <v>0.99145299145299104</v>
      </c>
      <c r="P9654" t="s">
        <v>6852</v>
      </c>
      <c r="Q9654" t="s">
        <v>6853</v>
      </c>
      <c r="R9654" t="s">
        <v>113</v>
      </c>
      <c r="S9654" t="s">
        <v>114</v>
      </c>
      <c r="V9654" t="s">
        <v>6856</v>
      </c>
      <c r="W9654" t="s">
        <v>6857</v>
      </c>
      <c r="AF9654" t="s">
        <v>19603</v>
      </c>
    </row>
    <row r="9655" spans="1:32" hidden="1" x14ac:dyDescent="0.35">
      <c r="A9655">
        <v>9654</v>
      </c>
      <c r="B9655" t="s">
        <v>19602</v>
      </c>
      <c r="C9655" t="s">
        <v>33</v>
      </c>
      <c r="D9655" t="s">
        <v>62</v>
      </c>
      <c r="E9655">
        <v>193</v>
      </c>
      <c r="F9655">
        <v>2</v>
      </c>
      <c r="G9655">
        <v>2</v>
      </c>
      <c r="H9655">
        <v>1</v>
      </c>
      <c r="I9655">
        <v>0</v>
      </c>
      <c r="J9655">
        <v>0.99715099715099698</v>
      </c>
      <c r="K9655">
        <v>1</v>
      </c>
      <c r="L9655">
        <v>0.99857346647646195</v>
      </c>
      <c r="M9655">
        <v>0.99145299145299104</v>
      </c>
      <c r="N9655">
        <v>0.99145299145299104</v>
      </c>
      <c r="O9655">
        <v>0.99145299145299104</v>
      </c>
      <c r="P9655" t="s">
        <v>6852</v>
      </c>
      <c r="Q9655" t="s">
        <v>6853</v>
      </c>
      <c r="R9655" t="s">
        <v>113</v>
      </c>
      <c r="S9655" t="s">
        <v>114</v>
      </c>
      <c r="V9655" t="s">
        <v>6856</v>
      </c>
      <c r="W9655" t="s">
        <v>6857</v>
      </c>
      <c r="AF9655" t="s">
        <v>19604</v>
      </c>
    </row>
    <row r="9656" spans="1:32" hidden="1" x14ac:dyDescent="0.35">
      <c r="A9656">
        <v>9655</v>
      </c>
      <c r="B9656" t="s">
        <v>19605</v>
      </c>
      <c r="C9656" t="s">
        <v>33</v>
      </c>
      <c r="D9656" t="s">
        <v>34</v>
      </c>
      <c r="E9656">
        <v>1030</v>
      </c>
      <c r="F9656">
        <v>2</v>
      </c>
      <c r="G9656">
        <v>2</v>
      </c>
      <c r="H9656">
        <v>1</v>
      </c>
      <c r="I9656">
        <v>0</v>
      </c>
      <c r="J9656">
        <v>0.98165137614678899</v>
      </c>
      <c r="K9656">
        <v>1</v>
      </c>
      <c r="L9656">
        <v>0.99074074074074103</v>
      </c>
      <c r="M9656">
        <v>0.96330275229357798</v>
      </c>
      <c r="N9656">
        <v>0.96330275229357798</v>
      </c>
      <c r="O9656">
        <v>0.96330275229357798</v>
      </c>
      <c r="AF9656" t="s">
        <v>19606</v>
      </c>
    </row>
    <row r="9657" spans="1:32" hidden="1" x14ac:dyDescent="0.35">
      <c r="A9657">
        <v>9656</v>
      </c>
      <c r="B9657" t="s">
        <v>19605</v>
      </c>
      <c r="C9657" t="s">
        <v>33</v>
      </c>
      <c r="D9657" t="s">
        <v>45</v>
      </c>
      <c r="E9657">
        <v>2285</v>
      </c>
      <c r="F9657">
        <v>2</v>
      </c>
      <c r="G9657">
        <v>2</v>
      </c>
      <c r="H9657">
        <v>1</v>
      </c>
      <c r="I9657">
        <v>0</v>
      </c>
      <c r="J9657">
        <v>0.98165137614678899</v>
      </c>
      <c r="K9657">
        <v>1</v>
      </c>
      <c r="L9657">
        <v>0.99074074074074103</v>
      </c>
      <c r="M9657">
        <v>0.96330275229357798</v>
      </c>
      <c r="N9657">
        <v>0.96330275229357798</v>
      </c>
      <c r="O9657">
        <v>0.96330275229357798</v>
      </c>
      <c r="AF9657" t="s">
        <v>19607</v>
      </c>
    </row>
    <row r="9658" spans="1:32" hidden="1" x14ac:dyDescent="0.35">
      <c r="A9658">
        <v>9657</v>
      </c>
      <c r="B9658" t="s">
        <v>19608</v>
      </c>
      <c r="C9658" t="s">
        <v>33</v>
      </c>
      <c r="D9658" t="s">
        <v>34</v>
      </c>
      <c r="E9658">
        <v>1315</v>
      </c>
      <c r="F9658">
        <v>2</v>
      </c>
      <c r="G9658">
        <v>2</v>
      </c>
      <c r="H9658">
        <v>1</v>
      </c>
      <c r="I9658">
        <v>0</v>
      </c>
      <c r="J9658">
        <v>0.99365834324217195</v>
      </c>
      <c r="K9658">
        <v>0.99061604106940304</v>
      </c>
      <c r="L9658">
        <v>0.99213485991721595</v>
      </c>
      <c r="M9658">
        <v>0.98351001177856301</v>
      </c>
      <c r="N9658">
        <v>0.98351001177856301</v>
      </c>
      <c r="O9658">
        <v>0.98351001177856301</v>
      </c>
      <c r="P9658" t="s">
        <v>9651</v>
      </c>
      <c r="Q9658" t="s">
        <v>9652</v>
      </c>
      <c r="R9658" t="s">
        <v>235</v>
      </c>
      <c r="S9658" t="s">
        <v>236</v>
      </c>
      <c r="T9658" t="s">
        <v>9653</v>
      </c>
      <c r="U9658" t="s">
        <v>9654</v>
      </c>
      <c r="V9658" t="s">
        <v>9655</v>
      </c>
      <c r="W9658" t="s">
        <v>9656</v>
      </c>
      <c r="AD9658" t="s">
        <v>546</v>
      </c>
      <c r="AE9658" t="s">
        <v>9657</v>
      </c>
      <c r="AF9658" t="s">
        <v>19609</v>
      </c>
    </row>
    <row r="9659" spans="1:32" hidden="1" x14ac:dyDescent="0.35">
      <c r="A9659">
        <v>9658</v>
      </c>
      <c r="B9659" t="s">
        <v>19608</v>
      </c>
      <c r="C9659" t="s">
        <v>33</v>
      </c>
      <c r="D9659" t="s">
        <v>45</v>
      </c>
      <c r="E9659">
        <v>67</v>
      </c>
      <c r="F9659">
        <v>2</v>
      </c>
      <c r="G9659">
        <v>2</v>
      </c>
      <c r="H9659">
        <v>1</v>
      </c>
      <c r="I9659">
        <v>0</v>
      </c>
      <c r="J9659">
        <v>0.99365834324217195</v>
      </c>
      <c r="K9659">
        <v>0.99061604106940304</v>
      </c>
      <c r="L9659">
        <v>0.99213485991721595</v>
      </c>
      <c r="M9659">
        <v>0.98351001177856301</v>
      </c>
      <c r="N9659">
        <v>0.98351001177856301</v>
      </c>
      <c r="O9659">
        <v>0.98351001177856301</v>
      </c>
      <c r="P9659" t="s">
        <v>9651</v>
      </c>
      <c r="Q9659" t="s">
        <v>9652</v>
      </c>
      <c r="R9659" t="s">
        <v>235</v>
      </c>
      <c r="S9659" t="s">
        <v>236</v>
      </c>
      <c r="T9659" t="s">
        <v>9653</v>
      </c>
      <c r="U9659" t="s">
        <v>9654</v>
      </c>
      <c r="V9659" t="s">
        <v>9655</v>
      </c>
      <c r="W9659" t="s">
        <v>9656</v>
      </c>
      <c r="AD9659" t="s">
        <v>546</v>
      </c>
      <c r="AE9659" t="s">
        <v>9657</v>
      </c>
      <c r="AF9659" t="s">
        <v>19610</v>
      </c>
    </row>
    <row r="9660" spans="1:32" hidden="1" x14ac:dyDescent="0.35">
      <c r="A9660">
        <v>9659</v>
      </c>
      <c r="B9660" t="s">
        <v>19611</v>
      </c>
      <c r="C9660" t="s">
        <v>33</v>
      </c>
      <c r="D9660" t="s">
        <v>34</v>
      </c>
      <c r="E9660">
        <v>688</v>
      </c>
      <c r="F9660">
        <v>2</v>
      </c>
      <c r="G9660">
        <v>2</v>
      </c>
      <c r="H9660">
        <v>1</v>
      </c>
      <c r="I9660">
        <v>0</v>
      </c>
      <c r="J9660">
        <v>0.98171589310829799</v>
      </c>
      <c r="K9660">
        <v>1</v>
      </c>
      <c r="L9660">
        <v>0.990773598296664</v>
      </c>
      <c r="M9660">
        <v>0.97890295358649804</v>
      </c>
      <c r="N9660">
        <v>0.97890295358649804</v>
      </c>
      <c r="O9660">
        <v>0.97890295358649804</v>
      </c>
      <c r="AF9660" t="s">
        <v>19612</v>
      </c>
    </row>
    <row r="9661" spans="1:32" hidden="1" x14ac:dyDescent="0.35">
      <c r="A9661">
        <v>9660</v>
      </c>
      <c r="B9661" t="s">
        <v>19611</v>
      </c>
      <c r="C9661" t="s">
        <v>33</v>
      </c>
      <c r="D9661" t="s">
        <v>45</v>
      </c>
      <c r="E9661">
        <v>1954</v>
      </c>
      <c r="F9661">
        <v>2</v>
      </c>
      <c r="G9661">
        <v>2</v>
      </c>
      <c r="H9661">
        <v>1</v>
      </c>
      <c r="I9661">
        <v>0</v>
      </c>
      <c r="J9661">
        <v>0.98171589310829799</v>
      </c>
      <c r="K9661">
        <v>1</v>
      </c>
      <c r="L9661">
        <v>0.990773598296664</v>
      </c>
      <c r="M9661">
        <v>0.97890295358649804</v>
      </c>
      <c r="N9661">
        <v>0.97890295358649804</v>
      </c>
      <c r="O9661">
        <v>0.97890295358649804</v>
      </c>
      <c r="AF9661" t="s">
        <v>19613</v>
      </c>
    </row>
    <row r="9662" spans="1:32" hidden="1" x14ac:dyDescent="0.35">
      <c r="A9662">
        <v>9661</v>
      </c>
      <c r="B9662" t="s">
        <v>19614</v>
      </c>
      <c r="C9662" t="s">
        <v>33</v>
      </c>
      <c r="D9662" t="s">
        <v>60</v>
      </c>
      <c r="E9662">
        <v>719</v>
      </c>
      <c r="F9662">
        <v>2</v>
      </c>
      <c r="G9662">
        <v>2</v>
      </c>
      <c r="H9662">
        <v>1</v>
      </c>
      <c r="I9662">
        <v>0</v>
      </c>
      <c r="J9662">
        <v>0.99425287356321801</v>
      </c>
      <c r="K9662">
        <v>1</v>
      </c>
      <c r="L9662">
        <v>0.99711815561959605</v>
      </c>
      <c r="M9662">
        <v>0.99425287356321801</v>
      </c>
      <c r="N9662">
        <v>0.99425287356321801</v>
      </c>
      <c r="O9662">
        <v>0.99425287356321801</v>
      </c>
      <c r="P9662" t="s">
        <v>17086</v>
      </c>
      <c r="Q9662" t="s">
        <v>17087</v>
      </c>
      <c r="AF9662" t="s">
        <v>19615</v>
      </c>
    </row>
    <row r="9663" spans="1:32" hidden="1" x14ac:dyDescent="0.35">
      <c r="A9663">
        <v>9662</v>
      </c>
      <c r="B9663" t="s">
        <v>19614</v>
      </c>
      <c r="C9663" t="s">
        <v>33</v>
      </c>
      <c r="D9663" t="s">
        <v>62</v>
      </c>
      <c r="E9663">
        <v>750</v>
      </c>
      <c r="F9663">
        <v>2</v>
      </c>
      <c r="G9663">
        <v>2</v>
      </c>
      <c r="H9663">
        <v>1</v>
      </c>
      <c r="I9663">
        <v>0</v>
      </c>
      <c r="J9663">
        <v>0.99425287356321801</v>
      </c>
      <c r="K9663">
        <v>1</v>
      </c>
      <c r="L9663">
        <v>0.99711815561959605</v>
      </c>
      <c r="M9663">
        <v>0.99425287356321801</v>
      </c>
      <c r="N9663">
        <v>0.99425287356321801</v>
      </c>
      <c r="O9663">
        <v>0.99425287356321801</v>
      </c>
      <c r="P9663" t="s">
        <v>17086</v>
      </c>
      <c r="Q9663" t="s">
        <v>17087</v>
      </c>
      <c r="AF9663" t="s">
        <v>19616</v>
      </c>
    </row>
    <row r="9664" spans="1:32" hidden="1" x14ac:dyDescent="0.35">
      <c r="A9664">
        <v>9663</v>
      </c>
      <c r="B9664" t="s">
        <v>19617</v>
      </c>
      <c r="C9664" t="s">
        <v>33</v>
      </c>
      <c r="D9664" t="s">
        <v>34</v>
      </c>
      <c r="E9664">
        <v>552</v>
      </c>
      <c r="F9664">
        <v>2</v>
      </c>
      <c r="G9664">
        <v>2</v>
      </c>
      <c r="H9664">
        <v>1</v>
      </c>
      <c r="I9664">
        <v>0</v>
      </c>
      <c r="J9664">
        <v>0.99247176913425394</v>
      </c>
      <c r="K9664">
        <v>1</v>
      </c>
      <c r="L9664">
        <v>0.99622166246851396</v>
      </c>
      <c r="M9664">
        <v>0.98996235884567096</v>
      </c>
      <c r="N9664">
        <v>0.98996235884567096</v>
      </c>
      <c r="O9664">
        <v>0.98996235884567096</v>
      </c>
      <c r="P9664" t="s">
        <v>12884</v>
      </c>
      <c r="Q9664" t="s">
        <v>12885</v>
      </c>
      <c r="R9664" t="s">
        <v>157</v>
      </c>
      <c r="S9664" t="s">
        <v>158</v>
      </c>
      <c r="V9664" t="s">
        <v>14734</v>
      </c>
      <c r="W9664" t="s">
        <v>14735</v>
      </c>
      <c r="AF9664" t="s">
        <v>19618</v>
      </c>
    </row>
    <row r="9665" spans="1:32" hidden="1" x14ac:dyDescent="0.35">
      <c r="A9665">
        <v>9664</v>
      </c>
      <c r="B9665" t="s">
        <v>19617</v>
      </c>
      <c r="C9665" t="s">
        <v>33</v>
      </c>
      <c r="D9665" t="s">
        <v>45</v>
      </c>
      <c r="E9665">
        <v>1819</v>
      </c>
      <c r="F9665">
        <v>2</v>
      </c>
      <c r="G9665">
        <v>2</v>
      </c>
      <c r="H9665">
        <v>1</v>
      </c>
      <c r="I9665">
        <v>0</v>
      </c>
      <c r="J9665">
        <v>0.99247176913425394</v>
      </c>
      <c r="K9665">
        <v>1</v>
      </c>
      <c r="L9665">
        <v>0.99622166246851396</v>
      </c>
      <c r="M9665">
        <v>0.98996235884567096</v>
      </c>
      <c r="N9665">
        <v>0.98996235884567096</v>
      </c>
      <c r="O9665">
        <v>0.98996235884567096</v>
      </c>
      <c r="P9665" t="s">
        <v>12884</v>
      </c>
      <c r="Q9665" t="s">
        <v>12885</v>
      </c>
      <c r="R9665" t="s">
        <v>157</v>
      </c>
      <c r="S9665" t="s">
        <v>158</v>
      </c>
      <c r="V9665" t="s">
        <v>14734</v>
      </c>
      <c r="W9665" t="s">
        <v>14735</v>
      </c>
      <c r="AF9665" t="s">
        <v>19619</v>
      </c>
    </row>
    <row r="9666" spans="1:32" hidden="1" x14ac:dyDescent="0.35">
      <c r="A9666">
        <v>9665</v>
      </c>
      <c r="B9666" t="s">
        <v>19620</v>
      </c>
      <c r="C9666" t="s">
        <v>33</v>
      </c>
      <c r="D9666" t="s">
        <v>34</v>
      </c>
      <c r="E9666">
        <v>2141</v>
      </c>
      <c r="F9666">
        <v>2</v>
      </c>
      <c r="G9666">
        <v>2</v>
      </c>
      <c r="H9666">
        <v>1</v>
      </c>
      <c r="I9666">
        <v>0</v>
      </c>
      <c r="J9666">
        <v>0.99477806788511702</v>
      </c>
      <c r="K9666">
        <v>1</v>
      </c>
      <c r="L9666">
        <v>0.99738219895288005</v>
      </c>
      <c r="M9666">
        <v>0.99477806788511702</v>
      </c>
      <c r="N9666">
        <v>0.99477806788511702</v>
      </c>
      <c r="O9666">
        <v>0.99477806788511702</v>
      </c>
      <c r="P9666" t="s">
        <v>12884</v>
      </c>
      <c r="Q9666" t="s">
        <v>12885</v>
      </c>
      <c r="R9666" t="s">
        <v>1259</v>
      </c>
      <c r="S9666" t="s">
        <v>1260</v>
      </c>
      <c r="V9666" t="s">
        <v>13606</v>
      </c>
      <c r="W9666" t="s">
        <v>13607</v>
      </c>
      <c r="AF9666" t="s">
        <v>19621</v>
      </c>
    </row>
    <row r="9667" spans="1:32" hidden="1" x14ac:dyDescent="0.35">
      <c r="A9667">
        <v>9666</v>
      </c>
      <c r="B9667" t="s">
        <v>19620</v>
      </c>
      <c r="C9667" t="s">
        <v>33</v>
      </c>
      <c r="D9667" t="s">
        <v>45</v>
      </c>
      <c r="E9667">
        <v>732</v>
      </c>
      <c r="F9667">
        <v>2</v>
      </c>
      <c r="G9667">
        <v>2</v>
      </c>
      <c r="H9667">
        <v>1</v>
      </c>
      <c r="I9667">
        <v>0</v>
      </c>
      <c r="J9667">
        <v>0.99477806788511702</v>
      </c>
      <c r="K9667">
        <v>1</v>
      </c>
      <c r="L9667">
        <v>0.99738219895288005</v>
      </c>
      <c r="M9667">
        <v>0.99477806788511702</v>
      </c>
      <c r="N9667">
        <v>0.99477806788511702</v>
      </c>
      <c r="O9667">
        <v>0.99477806788511702</v>
      </c>
      <c r="P9667" t="s">
        <v>12884</v>
      </c>
      <c r="Q9667" t="s">
        <v>12885</v>
      </c>
      <c r="R9667" t="s">
        <v>1259</v>
      </c>
      <c r="S9667" t="s">
        <v>1260</v>
      </c>
      <c r="V9667" t="s">
        <v>13606</v>
      </c>
      <c r="W9667" t="s">
        <v>13607</v>
      </c>
      <c r="AF9667" t="s">
        <v>19622</v>
      </c>
    </row>
    <row r="9668" spans="1:32" hidden="1" x14ac:dyDescent="0.35">
      <c r="A9668">
        <v>9667</v>
      </c>
      <c r="B9668" t="s">
        <v>19623</v>
      </c>
      <c r="C9668" t="s">
        <v>33</v>
      </c>
      <c r="D9668" t="s">
        <v>34</v>
      </c>
      <c r="E9668">
        <v>2106</v>
      </c>
      <c r="F9668">
        <v>2</v>
      </c>
      <c r="G9668">
        <v>2</v>
      </c>
      <c r="H9668">
        <v>1</v>
      </c>
      <c r="I9668">
        <v>0</v>
      </c>
      <c r="J9668">
        <v>0.98376623376623396</v>
      </c>
      <c r="K9668">
        <v>1</v>
      </c>
      <c r="L9668">
        <v>0.99181669394435401</v>
      </c>
      <c r="M9668">
        <v>0.97727272727272696</v>
      </c>
      <c r="N9668">
        <v>0.97727272727272696</v>
      </c>
      <c r="O9668">
        <v>0.97727272727272696</v>
      </c>
      <c r="P9668" t="s">
        <v>14685</v>
      </c>
      <c r="Q9668" t="s">
        <v>14686</v>
      </c>
      <c r="R9668" t="s">
        <v>16690</v>
      </c>
      <c r="S9668" t="s">
        <v>16691</v>
      </c>
      <c r="V9668" t="s">
        <v>16692</v>
      </c>
      <c r="W9668" t="s">
        <v>16693</v>
      </c>
      <c r="AF9668" t="s">
        <v>19624</v>
      </c>
    </row>
    <row r="9669" spans="1:32" hidden="1" x14ac:dyDescent="0.35">
      <c r="A9669">
        <v>9668</v>
      </c>
      <c r="B9669" t="s">
        <v>19623</v>
      </c>
      <c r="C9669" t="s">
        <v>33</v>
      </c>
      <c r="D9669" t="s">
        <v>45</v>
      </c>
      <c r="E9669">
        <v>766</v>
      </c>
      <c r="F9669">
        <v>2</v>
      </c>
      <c r="G9669">
        <v>2</v>
      </c>
      <c r="H9669">
        <v>1</v>
      </c>
      <c r="I9669">
        <v>0</v>
      </c>
      <c r="J9669">
        <v>0.98376623376623396</v>
      </c>
      <c r="K9669">
        <v>1</v>
      </c>
      <c r="L9669">
        <v>0.99181669394435401</v>
      </c>
      <c r="M9669">
        <v>0.97727272727272696</v>
      </c>
      <c r="N9669">
        <v>0.97727272727272696</v>
      </c>
      <c r="O9669">
        <v>0.97727272727272696</v>
      </c>
      <c r="P9669" t="s">
        <v>14685</v>
      </c>
      <c r="Q9669" t="s">
        <v>14686</v>
      </c>
      <c r="R9669" t="s">
        <v>16690</v>
      </c>
      <c r="S9669" t="s">
        <v>16691</v>
      </c>
      <c r="V9669" t="s">
        <v>16692</v>
      </c>
      <c r="W9669" t="s">
        <v>16693</v>
      </c>
      <c r="AF9669" t="s">
        <v>19625</v>
      </c>
    </row>
    <row r="9670" spans="1:32" hidden="1" x14ac:dyDescent="0.35">
      <c r="A9670">
        <v>9669</v>
      </c>
      <c r="B9670" t="s">
        <v>19626</v>
      </c>
      <c r="C9670" t="s">
        <v>33</v>
      </c>
      <c r="D9670" t="s">
        <v>60</v>
      </c>
      <c r="E9670">
        <v>132</v>
      </c>
      <c r="F9670">
        <v>2</v>
      </c>
      <c r="G9670">
        <v>2</v>
      </c>
      <c r="H9670">
        <v>1</v>
      </c>
      <c r="I9670">
        <v>0</v>
      </c>
      <c r="J9670">
        <v>0.96111111111111103</v>
      </c>
      <c r="K9670">
        <v>1</v>
      </c>
      <c r="L9670">
        <v>0.98016997167138797</v>
      </c>
      <c r="M9670">
        <v>0.95</v>
      </c>
      <c r="N9670">
        <v>0.95</v>
      </c>
      <c r="O9670">
        <v>0.95</v>
      </c>
      <c r="AF9670" t="s">
        <v>19627</v>
      </c>
    </row>
    <row r="9671" spans="1:32" hidden="1" x14ac:dyDescent="0.35">
      <c r="A9671">
        <v>9670</v>
      </c>
      <c r="B9671" t="s">
        <v>19626</v>
      </c>
      <c r="C9671" t="s">
        <v>33</v>
      </c>
      <c r="D9671" t="s">
        <v>62</v>
      </c>
      <c r="E9671">
        <v>204</v>
      </c>
      <c r="F9671">
        <v>2</v>
      </c>
      <c r="G9671">
        <v>2</v>
      </c>
      <c r="H9671">
        <v>1</v>
      </c>
      <c r="I9671">
        <v>0</v>
      </c>
      <c r="J9671">
        <v>0.96111111111111103</v>
      </c>
      <c r="K9671">
        <v>1</v>
      </c>
      <c r="L9671">
        <v>0.98016997167138797</v>
      </c>
      <c r="M9671">
        <v>0.95</v>
      </c>
      <c r="N9671">
        <v>0.95</v>
      </c>
      <c r="O9671">
        <v>0.95</v>
      </c>
      <c r="AF9671" t="s">
        <v>19628</v>
      </c>
    </row>
    <row r="9672" spans="1:32" hidden="1" x14ac:dyDescent="0.35">
      <c r="A9672">
        <v>9671</v>
      </c>
      <c r="B9672" t="s">
        <v>19629</v>
      </c>
      <c r="C9672" t="s">
        <v>33</v>
      </c>
      <c r="D9672" t="s">
        <v>34</v>
      </c>
      <c r="E9672">
        <v>698</v>
      </c>
      <c r="F9672">
        <v>2</v>
      </c>
      <c r="G9672">
        <v>2</v>
      </c>
      <c r="H9672">
        <v>1</v>
      </c>
      <c r="I9672">
        <v>0</v>
      </c>
      <c r="J9672">
        <v>0.99200913242009103</v>
      </c>
      <c r="K9672">
        <v>1</v>
      </c>
      <c r="L9672">
        <v>0.99598853868194803</v>
      </c>
      <c r="M9672">
        <v>0.98972602739726001</v>
      </c>
      <c r="N9672">
        <v>0.98972602739726001</v>
      </c>
      <c r="O9672">
        <v>0.98972602739726001</v>
      </c>
      <c r="AF9672" t="s">
        <v>19630</v>
      </c>
    </row>
    <row r="9673" spans="1:32" hidden="1" x14ac:dyDescent="0.35">
      <c r="A9673">
        <v>9672</v>
      </c>
      <c r="B9673" t="s">
        <v>19629</v>
      </c>
      <c r="C9673" t="s">
        <v>33</v>
      </c>
      <c r="D9673" t="s">
        <v>45</v>
      </c>
      <c r="E9673">
        <v>1964</v>
      </c>
      <c r="F9673">
        <v>2</v>
      </c>
      <c r="G9673">
        <v>2</v>
      </c>
      <c r="H9673">
        <v>1</v>
      </c>
      <c r="I9673">
        <v>0</v>
      </c>
      <c r="J9673">
        <v>0.99200913242009103</v>
      </c>
      <c r="K9673">
        <v>1</v>
      </c>
      <c r="L9673">
        <v>0.99598853868194803</v>
      </c>
      <c r="M9673">
        <v>0.98972602739726001</v>
      </c>
      <c r="N9673">
        <v>0.98972602739726001</v>
      </c>
      <c r="O9673">
        <v>0.98972602739726001</v>
      </c>
      <c r="AF9673" t="s">
        <v>19631</v>
      </c>
    </row>
    <row r="9674" spans="1:32" hidden="1" x14ac:dyDescent="0.35">
      <c r="A9674">
        <v>9673</v>
      </c>
      <c r="B9674" t="s">
        <v>19632</v>
      </c>
      <c r="C9674" t="s">
        <v>33</v>
      </c>
      <c r="D9674" t="s">
        <v>34</v>
      </c>
      <c r="E9674">
        <v>1298</v>
      </c>
      <c r="F9674">
        <v>2</v>
      </c>
      <c r="G9674">
        <v>2</v>
      </c>
      <c r="H9674">
        <v>1</v>
      </c>
      <c r="I9674">
        <v>0</v>
      </c>
      <c r="J9674">
        <v>0.93279877815960299</v>
      </c>
      <c r="K9674">
        <v>0.97882663204037601</v>
      </c>
      <c r="L9674">
        <v>0.95525857893029997</v>
      </c>
      <c r="M9674">
        <v>0.90246636771300404</v>
      </c>
      <c r="N9674">
        <v>0.90246636771300404</v>
      </c>
      <c r="O9674">
        <v>0.90246636771300404</v>
      </c>
      <c r="P9674" t="s">
        <v>19633</v>
      </c>
      <c r="Q9674" t="s">
        <v>19634</v>
      </c>
      <c r="R9674" t="s">
        <v>157</v>
      </c>
      <c r="S9674" t="s">
        <v>158</v>
      </c>
      <c r="V9674" t="s">
        <v>14219</v>
      </c>
      <c r="W9674" t="s">
        <v>14220</v>
      </c>
      <c r="AF9674" t="s">
        <v>19635</v>
      </c>
    </row>
    <row r="9675" spans="1:32" hidden="1" x14ac:dyDescent="0.35">
      <c r="A9675">
        <v>9674</v>
      </c>
      <c r="B9675" t="s">
        <v>19632</v>
      </c>
      <c r="C9675" t="s">
        <v>33</v>
      </c>
      <c r="D9675" t="s">
        <v>45</v>
      </c>
      <c r="E9675">
        <v>50</v>
      </c>
      <c r="F9675">
        <v>2</v>
      </c>
      <c r="G9675">
        <v>2</v>
      </c>
      <c r="H9675">
        <v>1</v>
      </c>
      <c r="I9675">
        <v>0</v>
      </c>
      <c r="J9675">
        <v>0.93279877815960299</v>
      </c>
      <c r="K9675">
        <v>0.97882663204037601</v>
      </c>
      <c r="L9675">
        <v>0.95525857893029997</v>
      </c>
      <c r="M9675">
        <v>0.90246636771300404</v>
      </c>
      <c r="N9675">
        <v>0.90246636771300404</v>
      </c>
      <c r="O9675">
        <v>0.90246636771300404</v>
      </c>
      <c r="P9675" t="s">
        <v>19633</v>
      </c>
      <c r="Q9675" t="s">
        <v>19634</v>
      </c>
      <c r="R9675" t="s">
        <v>157</v>
      </c>
      <c r="S9675" t="s">
        <v>158</v>
      </c>
      <c r="V9675" t="s">
        <v>14219</v>
      </c>
      <c r="W9675" t="s">
        <v>14220</v>
      </c>
      <c r="AF9675" t="s">
        <v>19636</v>
      </c>
    </row>
    <row r="9676" spans="1:32" hidden="1" x14ac:dyDescent="0.35">
      <c r="A9676">
        <v>9675</v>
      </c>
      <c r="B9676" t="s">
        <v>19637</v>
      </c>
      <c r="C9676" t="s">
        <v>33</v>
      </c>
      <c r="D9676" t="s">
        <v>60</v>
      </c>
      <c r="E9676">
        <v>1209</v>
      </c>
      <c r="F9676">
        <v>2</v>
      </c>
      <c r="G9676">
        <v>2</v>
      </c>
      <c r="H9676">
        <v>1</v>
      </c>
      <c r="I9676">
        <v>0</v>
      </c>
      <c r="J9676">
        <v>0.99760765550239205</v>
      </c>
      <c r="K9676">
        <v>1</v>
      </c>
      <c r="L9676">
        <v>0.99880239520958103</v>
      </c>
      <c r="M9676">
        <v>0.99760765550239205</v>
      </c>
      <c r="N9676">
        <v>0.99760765550239205</v>
      </c>
      <c r="O9676">
        <v>0.99760765550239205</v>
      </c>
      <c r="P9676" t="s">
        <v>19638</v>
      </c>
      <c r="Q9676" t="s">
        <v>19639</v>
      </c>
      <c r="R9676" t="s">
        <v>7230</v>
      </c>
      <c r="S9676" t="s">
        <v>7231</v>
      </c>
      <c r="T9676" t="s">
        <v>19640</v>
      </c>
      <c r="U9676" t="s">
        <v>19641</v>
      </c>
      <c r="V9676" t="s">
        <v>19642</v>
      </c>
      <c r="W9676" t="s">
        <v>19643</v>
      </c>
      <c r="X9676" t="s">
        <v>19642</v>
      </c>
      <c r="Y9676" t="s">
        <v>14282</v>
      </c>
      <c r="Z9676" t="s">
        <v>10363</v>
      </c>
      <c r="AA9676" t="s">
        <v>10364</v>
      </c>
      <c r="AB9676" t="s">
        <v>10363</v>
      </c>
      <c r="AC9676" t="s">
        <v>878</v>
      </c>
      <c r="AD9676" t="s">
        <v>951</v>
      </c>
      <c r="AE9676" t="s">
        <v>19644</v>
      </c>
      <c r="AF9676" t="s">
        <v>19645</v>
      </c>
    </row>
    <row r="9677" spans="1:32" hidden="1" x14ac:dyDescent="0.35">
      <c r="A9677">
        <v>9676</v>
      </c>
      <c r="B9677" t="s">
        <v>19637</v>
      </c>
      <c r="C9677" t="s">
        <v>33</v>
      </c>
      <c r="D9677" t="s">
        <v>62</v>
      </c>
      <c r="E9677">
        <v>1246</v>
      </c>
      <c r="F9677">
        <v>2</v>
      </c>
      <c r="G9677">
        <v>2</v>
      </c>
      <c r="H9677">
        <v>1</v>
      </c>
      <c r="I9677">
        <v>0</v>
      </c>
      <c r="J9677">
        <v>0.99760765550239205</v>
      </c>
      <c r="K9677">
        <v>1</v>
      </c>
      <c r="L9677">
        <v>0.99880239520958103</v>
      </c>
      <c r="M9677">
        <v>0.99760765550239205</v>
      </c>
      <c r="N9677">
        <v>0.99760765550239205</v>
      </c>
      <c r="O9677">
        <v>0.99760765550239205</v>
      </c>
      <c r="P9677" t="s">
        <v>19638</v>
      </c>
      <c r="Q9677" t="s">
        <v>19639</v>
      </c>
      <c r="R9677" t="s">
        <v>7230</v>
      </c>
      <c r="S9677" t="s">
        <v>7231</v>
      </c>
      <c r="T9677" t="s">
        <v>19640</v>
      </c>
      <c r="U9677" t="s">
        <v>19641</v>
      </c>
      <c r="V9677" t="s">
        <v>19642</v>
      </c>
      <c r="W9677" t="s">
        <v>19643</v>
      </c>
      <c r="X9677" t="s">
        <v>19642</v>
      </c>
      <c r="Y9677" t="s">
        <v>14282</v>
      </c>
      <c r="Z9677" t="s">
        <v>10363</v>
      </c>
      <c r="AA9677" t="s">
        <v>10364</v>
      </c>
      <c r="AB9677" t="s">
        <v>10363</v>
      </c>
      <c r="AC9677" t="s">
        <v>878</v>
      </c>
      <c r="AD9677" t="s">
        <v>951</v>
      </c>
      <c r="AE9677" t="s">
        <v>19644</v>
      </c>
      <c r="AF9677" t="s">
        <v>19646</v>
      </c>
    </row>
    <row r="9678" spans="1:32" hidden="1" x14ac:dyDescent="0.35">
      <c r="A9678">
        <v>9677</v>
      </c>
      <c r="B9678" t="s">
        <v>19647</v>
      </c>
      <c r="C9678" t="s">
        <v>33</v>
      </c>
      <c r="D9678" t="s">
        <v>34</v>
      </c>
      <c r="E9678">
        <v>2271</v>
      </c>
      <c r="F9678">
        <v>2</v>
      </c>
      <c r="G9678">
        <v>2</v>
      </c>
      <c r="H9678">
        <v>1</v>
      </c>
      <c r="I9678">
        <v>0</v>
      </c>
      <c r="J9678">
        <v>0.96478873239436602</v>
      </c>
      <c r="K9678">
        <v>0.99533257458031599</v>
      </c>
      <c r="L9678">
        <v>0.97982267681412205</v>
      </c>
      <c r="M9678">
        <v>0.95560747663551404</v>
      </c>
      <c r="N9678">
        <v>0.95560747663551404</v>
      </c>
      <c r="O9678">
        <v>0.95560747663551404</v>
      </c>
      <c r="P9678" t="s">
        <v>10846</v>
      </c>
      <c r="Q9678" t="s">
        <v>10847</v>
      </c>
      <c r="R9678" t="s">
        <v>75</v>
      </c>
      <c r="S9678" t="s">
        <v>76</v>
      </c>
      <c r="V9678" t="s">
        <v>10850</v>
      </c>
      <c r="W9678" t="s">
        <v>10851</v>
      </c>
      <c r="AF9678" t="s">
        <v>19648</v>
      </c>
    </row>
    <row r="9679" spans="1:32" hidden="1" x14ac:dyDescent="0.35">
      <c r="A9679">
        <v>9678</v>
      </c>
      <c r="B9679" t="s">
        <v>19647</v>
      </c>
      <c r="C9679" t="s">
        <v>33</v>
      </c>
      <c r="D9679" t="s">
        <v>45</v>
      </c>
      <c r="E9679">
        <v>604</v>
      </c>
      <c r="F9679">
        <v>2</v>
      </c>
      <c r="G9679">
        <v>2</v>
      </c>
      <c r="H9679">
        <v>1</v>
      </c>
      <c r="I9679">
        <v>0</v>
      </c>
      <c r="J9679">
        <v>0.96478873239436602</v>
      </c>
      <c r="K9679">
        <v>0.99533257458031599</v>
      </c>
      <c r="L9679">
        <v>0.97982267681412205</v>
      </c>
      <c r="M9679">
        <v>0.95560747663551404</v>
      </c>
      <c r="N9679">
        <v>0.95560747663551404</v>
      </c>
      <c r="O9679">
        <v>0.95560747663551404</v>
      </c>
      <c r="P9679" t="s">
        <v>10846</v>
      </c>
      <c r="Q9679" t="s">
        <v>10847</v>
      </c>
      <c r="R9679" t="s">
        <v>75</v>
      </c>
      <c r="S9679" t="s">
        <v>76</v>
      </c>
      <c r="V9679" t="s">
        <v>10850</v>
      </c>
      <c r="W9679" t="s">
        <v>10851</v>
      </c>
      <c r="AF9679" t="s">
        <v>19649</v>
      </c>
    </row>
    <row r="9680" spans="1:32" hidden="1" x14ac:dyDescent="0.35">
      <c r="A9680">
        <v>9679</v>
      </c>
      <c r="B9680" t="s">
        <v>19650</v>
      </c>
      <c r="C9680" t="s">
        <v>33</v>
      </c>
      <c r="D9680" t="s">
        <v>34</v>
      </c>
      <c r="E9680">
        <v>1021</v>
      </c>
      <c r="F9680">
        <v>2</v>
      </c>
      <c r="G9680">
        <v>2</v>
      </c>
      <c r="H9680">
        <v>1</v>
      </c>
      <c r="I9680">
        <v>0</v>
      </c>
      <c r="J9680">
        <v>0.99431818181818199</v>
      </c>
      <c r="K9680">
        <v>1</v>
      </c>
      <c r="L9680">
        <v>0.99715099715099698</v>
      </c>
      <c r="M9680">
        <v>0.99431818181818199</v>
      </c>
      <c r="N9680">
        <v>0.99431818181818199</v>
      </c>
      <c r="O9680">
        <v>0.99431818181818199</v>
      </c>
      <c r="P9680" t="s">
        <v>340</v>
      </c>
      <c r="Q9680" t="s">
        <v>341</v>
      </c>
      <c r="R9680" t="s">
        <v>342</v>
      </c>
      <c r="S9680" t="s">
        <v>343</v>
      </c>
      <c r="T9680" t="s">
        <v>11413</v>
      </c>
      <c r="U9680" t="s">
        <v>11414</v>
      </c>
      <c r="V9680" t="s">
        <v>346</v>
      </c>
      <c r="W9680" t="s">
        <v>347</v>
      </c>
      <c r="AD9680" t="s">
        <v>439</v>
      </c>
      <c r="AE9680" t="s">
        <v>11415</v>
      </c>
      <c r="AF9680" t="s">
        <v>19651</v>
      </c>
    </row>
    <row r="9681" spans="1:32" hidden="1" x14ac:dyDescent="0.35">
      <c r="A9681">
        <v>9680</v>
      </c>
      <c r="B9681" t="s">
        <v>19650</v>
      </c>
      <c r="C9681" t="s">
        <v>33</v>
      </c>
      <c r="D9681" t="s">
        <v>45</v>
      </c>
      <c r="E9681">
        <v>2279</v>
      </c>
      <c r="F9681">
        <v>2</v>
      </c>
      <c r="G9681">
        <v>2</v>
      </c>
      <c r="H9681">
        <v>1</v>
      </c>
      <c r="I9681">
        <v>0</v>
      </c>
      <c r="J9681">
        <v>0.99431818181818199</v>
      </c>
      <c r="K9681">
        <v>1</v>
      </c>
      <c r="L9681">
        <v>0.99715099715099698</v>
      </c>
      <c r="M9681">
        <v>0.99431818181818199</v>
      </c>
      <c r="N9681">
        <v>0.99431818181818199</v>
      </c>
      <c r="O9681">
        <v>0.99431818181818199</v>
      </c>
      <c r="P9681" t="s">
        <v>340</v>
      </c>
      <c r="Q9681" t="s">
        <v>341</v>
      </c>
      <c r="R9681" t="s">
        <v>342</v>
      </c>
      <c r="S9681" t="s">
        <v>343</v>
      </c>
      <c r="T9681" t="s">
        <v>11413</v>
      </c>
      <c r="U9681" t="s">
        <v>11414</v>
      </c>
      <c r="V9681" t="s">
        <v>346</v>
      </c>
      <c r="W9681" t="s">
        <v>347</v>
      </c>
      <c r="AD9681" t="s">
        <v>439</v>
      </c>
      <c r="AE9681" t="s">
        <v>11415</v>
      </c>
      <c r="AF9681" t="s">
        <v>19652</v>
      </c>
    </row>
    <row r="9682" spans="1:32" hidden="1" x14ac:dyDescent="0.35">
      <c r="A9682">
        <v>9681</v>
      </c>
      <c r="B9682" t="s">
        <v>19653</v>
      </c>
      <c r="C9682" t="s">
        <v>33</v>
      </c>
      <c r="D9682" t="s">
        <v>60</v>
      </c>
      <c r="E9682">
        <v>2367</v>
      </c>
      <c r="F9682">
        <v>2</v>
      </c>
      <c r="G9682">
        <v>2</v>
      </c>
      <c r="H9682">
        <v>1</v>
      </c>
      <c r="I9682">
        <v>0</v>
      </c>
      <c r="J9682">
        <v>0.99393939393939401</v>
      </c>
      <c r="K9682">
        <v>1</v>
      </c>
      <c r="L9682">
        <v>0.99696048632218803</v>
      </c>
      <c r="M9682">
        <v>0.98909090909090902</v>
      </c>
      <c r="N9682">
        <v>0.98909090909090902</v>
      </c>
      <c r="O9682">
        <v>0.98909090909090902</v>
      </c>
      <c r="P9682" t="s">
        <v>2331</v>
      </c>
      <c r="Q9682" t="s">
        <v>2332</v>
      </c>
      <c r="R9682" t="s">
        <v>652</v>
      </c>
      <c r="S9682" t="s">
        <v>653</v>
      </c>
      <c r="T9682" t="s">
        <v>17514</v>
      </c>
      <c r="U9682" t="s">
        <v>17515</v>
      </c>
      <c r="V9682" t="s">
        <v>17516</v>
      </c>
      <c r="W9682" t="s">
        <v>17517</v>
      </c>
      <c r="AD9682" t="s">
        <v>219</v>
      </c>
      <c r="AE9682" t="s">
        <v>17518</v>
      </c>
      <c r="AF9682" t="s">
        <v>19654</v>
      </c>
    </row>
    <row r="9683" spans="1:32" hidden="1" x14ac:dyDescent="0.35">
      <c r="A9683">
        <v>9682</v>
      </c>
      <c r="B9683" t="s">
        <v>19653</v>
      </c>
      <c r="C9683" t="s">
        <v>33</v>
      </c>
      <c r="D9683" t="s">
        <v>62</v>
      </c>
      <c r="E9683">
        <v>2395</v>
      </c>
      <c r="F9683">
        <v>2</v>
      </c>
      <c r="G9683">
        <v>2</v>
      </c>
      <c r="H9683">
        <v>1</v>
      </c>
      <c r="I9683">
        <v>0</v>
      </c>
      <c r="J9683">
        <v>0.99393939393939401</v>
      </c>
      <c r="K9683">
        <v>1</v>
      </c>
      <c r="L9683">
        <v>0.99696048632218803</v>
      </c>
      <c r="M9683">
        <v>0.98909090909090902</v>
      </c>
      <c r="N9683">
        <v>0.98909090909090902</v>
      </c>
      <c r="O9683">
        <v>0.98909090909090902</v>
      </c>
      <c r="P9683" t="s">
        <v>2331</v>
      </c>
      <c r="Q9683" t="s">
        <v>2332</v>
      </c>
      <c r="R9683" t="s">
        <v>652</v>
      </c>
      <c r="S9683" t="s">
        <v>653</v>
      </c>
      <c r="T9683" t="s">
        <v>17514</v>
      </c>
      <c r="U9683" t="s">
        <v>17515</v>
      </c>
      <c r="V9683" t="s">
        <v>17516</v>
      </c>
      <c r="W9683" t="s">
        <v>17517</v>
      </c>
      <c r="AD9683" t="s">
        <v>219</v>
      </c>
      <c r="AE9683" t="s">
        <v>17518</v>
      </c>
      <c r="AF9683" t="s">
        <v>19655</v>
      </c>
    </row>
    <row r="9684" spans="1:32" hidden="1" x14ac:dyDescent="0.35">
      <c r="A9684">
        <v>9683</v>
      </c>
      <c r="B9684" t="s">
        <v>19656</v>
      </c>
      <c r="C9684" t="s">
        <v>33</v>
      </c>
      <c r="D9684" t="s">
        <v>34</v>
      </c>
      <c r="E9684">
        <v>1246</v>
      </c>
      <c r="F9684">
        <v>2</v>
      </c>
      <c r="G9684">
        <v>2</v>
      </c>
      <c r="H9684">
        <v>1</v>
      </c>
      <c r="I9684">
        <v>0</v>
      </c>
      <c r="J9684">
        <v>0.98470948012232395</v>
      </c>
      <c r="K9684">
        <v>1</v>
      </c>
      <c r="L9684">
        <v>0.99229583975346702</v>
      </c>
      <c r="M9684">
        <v>0.97247706422018398</v>
      </c>
      <c r="N9684">
        <v>0.97247706422018398</v>
      </c>
      <c r="O9684">
        <v>0.97247706422018398</v>
      </c>
      <c r="AF9684" t="s">
        <v>19657</v>
      </c>
    </row>
    <row r="9685" spans="1:32" hidden="1" x14ac:dyDescent="0.35">
      <c r="A9685">
        <v>9684</v>
      </c>
      <c r="B9685" t="s">
        <v>19656</v>
      </c>
      <c r="C9685" t="s">
        <v>33</v>
      </c>
      <c r="D9685" t="s">
        <v>45</v>
      </c>
      <c r="E9685">
        <v>2490</v>
      </c>
      <c r="F9685">
        <v>2</v>
      </c>
      <c r="G9685">
        <v>2</v>
      </c>
      <c r="H9685">
        <v>1</v>
      </c>
      <c r="I9685">
        <v>0</v>
      </c>
      <c r="J9685">
        <v>0.98470948012232395</v>
      </c>
      <c r="K9685">
        <v>1</v>
      </c>
      <c r="L9685">
        <v>0.99229583975346702</v>
      </c>
      <c r="M9685">
        <v>0.97247706422018398</v>
      </c>
      <c r="N9685">
        <v>0.97247706422018398</v>
      </c>
      <c r="O9685">
        <v>0.97247706422018398</v>
      </c>
      <c r="AF9685" t="s">
        <v>19658</v>
      </c>
    </row>
    <row r="9686" spans="1:32" hidden="1" x14ac:dyDescent="0.35">
      <c r="A9686">
        <v>9685</v>
      </c>
      <c r="B9686" t="s">
        <v>19659</v>
      </c>
      <c r="C9686" t="s">
        <v>33</v>
      </c>
      <c r="D9686" t="s">
        <v>60</v>
      </c>
      <c r="E9686">
        <v>791</v>
      </c>
      <c r="F9686">
        <v>2</v>
      </c>
      <c r="G9686">
        <v>2</v>
      </c>
      <c r="H9686">
        <v>1</v>
      </c>
      <c r="I9686">
        <v>0</v>
      </c>
      <c r="J9686">
        <v>0.98557692307692302</v>
      </c>
      <c r="K9686">
        <v>1</v>
      </c>
      <c r="L9686">
        <v>0.99273607748184001</v>
      </c>
      <c r="M9686">
        <v>0.98557692307692302</v>
      </c>
      <c r="N9686">
        <v>0.98557692307692302</v>
      </c>
      <c r="O9686">
        <v>0.98557692307692302</v>
      </c>
      <c r="AF9686" t="s">
        <v>19660</v>
      </c>
    </row>
    <row r="9687" spans="1:32" hidden="1" x14ac:dyDescent="0.35">
      <c r="A9687">
        <v>9686</v>
      </c>
      <c r="B9687" t="s">
        <v>19659</v>
      </c>
      <c r="C9687" t="s">
        <v>33</v>
      </c>
      <c r="D9687" t="s">
        <v>62</v>
      </c>
      <c r="E9687">
        <v>824</v>
      </c>
      <c r="F9687">
        <v>2</v>
      </c>
      <c r="G9687">
        <v>2</v>
      </c>
      <c r="H9687">
        <v>1</v>
      </c>
      <c r="I9687">
        <v>0</v>
      </c>
      <c r="J9687">
        <v>0.98557692307692302</v>
      </c>
      <c r="K9687">
        <v>1</v>
      </c>
      <c r="L9687">
        <v>0.99273607748184001</v>
      </c>
      <c r="M9687">
        <v>0.98557692307692302</v>
      </c>
      <c r="N9687">
        <v>0.98557692307692302</v>
      </c>
      <c r="O9687">
        <v>0.98557692307692302</v>
      </c>
      <c r="AF9687" t="s">
        <v>19661</v>
      </c>
    </row>
    <row r="9688" spans="1:32" hidden="1" x14ac:dyDescent="0.35">
      <c r="A9688">
        <v>9687</v>
      </c>
      <c r="B9688" t="s">
        <v>19662</v>
      </c>
      <c r="C9688" t="s">
        <v>33</v>
      </c>
      <c r="D9688" t="s">
        <v>34</v>
      </c>
      <c r="E9688">
        <v>254</v>
      </c>
      <c r="F9688">
        <v>2</v>
      </c>
      <c r="G9688">
        <v>2</v>
      </c>
      <c r="H9688">
        <v>1</v>
      </c>
      <c r="I9688">
        <v>0</v>
      </c>
      <c r="J9688">
        <v>0.977547495682211</v>
      </c>
      <c r="K9688">
        <v>1</v>
      </c>
      <c r="L9688">
        <v>0.98864628820960698</v>
      </c>
      <c r="M9688">
        <v>0.97409326424870502</v>
      </c>
      <c r="N9688">
        <v>0.97409326424870502</v>
      </c>
      <c r="O9688">
        <v>0.97409326424870502</v>
      </c>
      <c r="AF9688" t="s">
        <v>19663</v>
      </c>
    </row>
    <row r="9689" spans="1:32" hidden="1" x14ac:dyDescent="0.35">
      <c r="A9689">
        <v>9688</v>
      </c>
      <c r="B9689" t="s">
        <v>19662</v>
      </c>
      <c r="C9689" t="s">
        <v>33</v>
      </c>
      <c r="D9689" t="s">
        <v>45</v>
      </c>
      <c r="E9689">
        <v>1517</v>
      </c>
      <c r="F9689">
        <v>2</v>
      </c>
      <c r="G9689">
        <v>2</v>
      </c>
      <c r="H9689">
        <v>1</v>
      </c>
      <c r="I9689">
        <v>0</v>
      </c>
      <c r="J9689">
        <v>0.977547495682211</v>
      </c>
      <c r="K9689">
        <v>1</v>
      </c>
      <c r="L9689">
        <v>0.98864628820960698</v>
      </c>
      <c r="M9689">
        <v>0.97409326424870502</v>
      </c>
      <c r="N9689">
        <v>0.97409326424870502</v>
      </c>
      <c r="O9689">
        <v>0.97409326424870502</v>
      </c>
      <c r="AF9689" t="s">
        <v>19664</v>
      </c>
    </row>
    <row r="9690" spans="1:32" hidden="1" x14ac:dyDescent="0.35">
      <c r="A9690">
        <v>9689</v>
      </c>
      <c r="B9690" t="s">
        <v>19665</v>
      </c>
      <c r="C9690" t="s">
        <v>33</v>
      </c>
      <c r="D9690" t="s">
        <v>34</v>
      </c>
      <c r="E9690">
        <v>1776</v>
      </c>
      <c r="F9690">
        <v>2</v>
      </c>
      <c r="G9690">
        <v>2</v>
      </c>
      <c r="H9690">
        <v>1</v>
      </c>
      <c r="I9690">
        <v>0</v>
      </c>
      <c r="J9690">
        <v>0.99685534591195002</v>
      </c>
      <c r="K9690">
        <v>1</v>
      </c>
      <c r="L9690">
        <v>0.99842519685039399</v>
      </c>
      <c r="M9690">
        <v>0.99056603773584895</v>
      </c>
      <c r="N9690">
        <v>0.99056603773584895</v>
      </c>
      <c r="O9690">
        <v>0.99056603773584895</v>
      </c>
      <c r="P9690" t="s">
        <v>17973</v>
      </c>
      <c r="Q9690" t="s">
        <v>17974</v>
      </c>
      <c r="R9690" t="s">
        <v>235</v>
      </c>
      <c r="S9690" t="s">
        <v>236</v>
      </c>
      <c r="T9690" t="s">
        <v>17975</v>
      </c>
      <c r="U9690" t="s">
        <v>17976</v>
      </c>
      <c r="V9690" t="s">
        <v>17977</v>
      </c>
      <c r="W9690" t="s">
        <v>17978</v>
      </c>
      <c r="AD9690" t="s">
        <v>166</v>
      </c>
      <c r="AE9690" t="s">
        <v>818</v>
      </c>
      <c r="AF9690" t="s">
        <v>19666</v>
      </c>
    </row>
    <row r="9691" spans="1:32" hidden="1" x14ac:dyDescent="0.35">
      <c r="A9691">
        <v>9690</v>
      </c>
      <c r="B9691" t="s">
        <v>19665</v>
      </c>
      <c r="C9691" t="s">
        <v>33</v>
      </c>
      <c r="D9691" t="s">
        <v>45</v>
      </c>
      <c r="E9691">
        <v>1097</v>
      </c>
      <c r="F9691">
        <v>2</v>
      </c>
      <c r="G9691">
        <v>2</v>
      </c>
      <c r="H9691">
        <v>1</v>
      </c>
      <c r="I9691">
        <v>0</v>
      </c>
      <c r="J9691">
        <v>0.99685534591195002</v>
      </c>
      <c r="K9691">
        <v>1</v>
      </c>
      <c r="L9691">
        <v>0.99842519685039399</v>
      </c>
      <c r="M9691">
        <v>0.99056603773584895</v>
      </c>
      <c r="N9691">
        <v>0.99056603773584895</v>
      </c>
      <c r="O9691">
        <v>0.99056603773584895</v>
      </c>
      <c r="P9691" t="s">
        <v>17973</v>
      </c>
      <c r="Q9691" t="s">
        <v>17974</v>
      </c>
      <c r="R9691" t="s">
        <v>235</v>
      </c>
      <c r="S9691" t="s">
        <v>236</v>
      </c>
      <c r="T9691" t="s">
        <v>17975</v>
      </c>
      <c r="U9691" t="s">
        <v>17976</v>
      </c>
      <c r="V9691" t="s">
        <v>17977</v>
      </c>
      <c r="W9691" t="s">
        <v>17978</v>
      </c>
      <c r="AD9691" t="s">
        <v>166</v>
      </c>
      <c r="AE9691" t="s">
        <v>818</v>
      </c>
      <c r="AF9691" t="s">
        <v>19667</v>
      </c>
    </row>
    <row r="9692" spans="1:32" hidden="1" x14ac:dyDescent="0.35">
      <c r="A9692">
        <v>9691</v>
      </c>
      <c r="B9692" t="s">
        <v>19668</v>
      </c>
      <c r="C9692" t="s">
        <v>33</v>
      </c>
      <c r="D9692" t="s">
        <v>34</v>
      </c>
      <c r="E9692">
        <v>1922</v>
      </c>
      <c r="F9692">
        <v>2</v>
      </c>
      <c r="G9692">
        <v>2</v>
      </c>
      <c r="H9692">
        <v>1</v>
      </c>
      <c r="I9692">
        <v>0</v>
      </c>
      <c r="J9692">
        <v>0.98173515981735204</v>
      </c>
      <c r="K9692">
        <v>1</v>
      </c>
      <c r="L9692">
        <v>0.990783410138249</v>
      </c>
      <c r="M9692">
        <v>0.97260273972602695</v>
      </c>
      <c r="N9692">
        <v>0.97260273972602695</v>
      </c>
      <c r="O9692">
        <v>0.97260273972602695</v>
      </c>
      <c r="AF9692" t="s">
        <v>19669</v>
      </c>
    </row>
    <row r="9693" spans="1:32" hidden="1" x14ac:dyDescent="0.35">
      <c r="A9693">
        <v>9692</v>
      </c>
      <c r="B9693" t="s">
        <v>19668</v>
      </c>
      <c r="C9693" t="s">
        <v>33</v>
      </c>
      <c r="D9693" t="s">
        <v>45</v>
      </c>
      <c r="E9693">
        <v>951</v>
      </c>
      <c r="F9693">
        <v>2</v>
      </c>
      <c r="G9693">
        <v>2</v>
      </c>
      <c r="H9693">
        <v>1</v>
      </c>
      <c r="I9693">
        <v>0</v>
      </c>
      <c r="J9693">
        <v>0.98173515981735204</v>
      </c>
      <c r="K9693">
        <v>1</v>
      </c>
      <c r="L9693">
        <v>0.990783410138249</v>
      </c>
      <c r="M9693">
        <v>0.97260273972602695</v>
      </c>
      <c r="N9693">
        <v>0.97260273972602695</v>
      </c>
      <c r="O9693">
        <v>0.97260273972602695</v>
      </c>
      <c r="AF9693" t="s">
        <v>19670</v>
      </c>
    </row>
    <row r="9694" spans="1:32" hidden="1" x14ac:dyDescent="0.35">
      <c r="A9694">
        <v>9693</v>
      </c>
      <c r="B9694" t="s">
        <v>19671</v>
      </c>
      <c r="C9694" t="s">
        <v>33</v>
      </c>
      <c r="D9694" t="s">
        <v>34</v>
      </c>
      <c r="E9694">
        <v>221</v>
      </c>
      <c r="F9694">
        <v>2</v>
      </c>
      <c r="G9694">
        <v>2</v>
      </c>
      <c r="H9694">
        <v>1</v>
      </c>
      <c r="I9694">
        <v>0</v>
      </c>
      <c r="J9694">
        <v>0.99377593360995897</v>
      </c>
      <c r="K9694">
        <v>1</v>
      </c>
      <c r="L9694">
        <v>0.99687825182101997</v>
      </c>
      <c r="M9694">
        <v>0.99377593360995897</v>
      </c>
      <c r="N9694">
        <v>0.99377593360995897</v>
      </c>
      <c r="O9694">
        <v>0.99377593360995897</v>
      </c>
      <c r="P9694" t="s">
        <v>15601</v>
      </c>
      <c r="Q9694" t="s">
        <v>15602</v>
      </c>
      <c r="R9694" t="s">
        <v>319</v>
      </c>
      <c r="S9694" t="s">
        <v>320</v>
      </c>
      <c r="T9694" t="s">
        <v>15603</v>
      </c>
      <c r="U9694" t="s">
        <v>15604</v>
      </c>
      <c r="V9694" t="s">
        <v>15605</v>
      </c>
      <c r="W9694" t="s">
        <v>15606</v>
      </c>
      <c r="AD9694" t="s">
        <v>245</v>
      </c>
      <c r="AE9694" t="s">
        <v>15607</v>
      </c>
      <c r="AF9694" t="s">
        <v>19672</v>
      </c>
    </row>
    <row r="9695" spans="1:32" hidden="1" x14ac:dyDescent="0.35">
      <c r="A9695">
        <v>9694</v>
      </c>
      <c r="B9695" t="s">
        <v>19671</v>
      </c>
      <c r="C9695" t="s">
        <v>33</v>
      </c>
      <c r="D9695" t="s">
        <v>45</v>
      </c>
      <c r="E9695">
        <v>1484</v>
      </c>
      <c r="F9695">
        <v>2</v>
      </c>
      <c r="G9695">
        <v>2</v>
      </c>
      <c r="H9695">
        <v>1</v>
      </c>
      <c r="I9695">
        <v>0</v>
      </c>
      <c r="J9695">
        <v>0.99377593360995897</v>
      </c>
      <c r="K9695">
        <v>1</v>
      </c>
      <c r="L9695">
        <v>0.99687825182101997</v>
      </c>
      <c r="M9695">
        <v>0.99377593360995897</v>
      </c>
      <c r="N9695">
        <v>0.99377593360995897</v>
      </c>
      <c r="O9695">
        <v>0.99377593360995897</v>
      </c>
      <c r="P9695" t="s">
        <v>15601</v>
      </c>
      <c r="Q9695" t="s">
        <v>15602</v>
      </c>
      <c r="R9695" t="s">
        <v>319</v>
      </c>
      <c r="S9695" t="s">
        <v>320</v>
      </c>
      <c r="T9695" t="s">
        <v>15603</v>
      </c>
      <c r="U9695" t="s">
        <v>15604</v>
      </c>
      <c r="V9695" t="s">
        <v>15605</v>
      </c>
      <c r="W9695" t="s">
        <v>15606</v>
      </c>
      <c r="AD9695" t="s">
        <v>245</v>
      </c>
      <c r="AE9695" t="s">
        <v>15607</v>
      </c>
      <c r="AF9695" t="s">
        <v>19673</v>
      </c>
    </row>
    <row r="9696" spans="1:32" hidden="1" x14ac:dyDescent="0.35">
      <c r="A9696">
        <v>9695</v>
      </c>
      <c r="B9696" t="s">
        <v>19674</v>
      </c>
      <c r="C9696" t="s">
        <v>33</v>
      </c>
      <c r="D9696" t="s">
        <v>34</v>
      </c>
      <c r="E9696">
        <v>2061</v>
      </c>
      <c r="F9696">
        <v>2</v>
      </c>
      <c r="G9696">
        <v>2</v>
      </c>
      <c r="H9696">
        <v>1</v>
      </c>
      <c r="I9696">
        <v>0</v>
      </c>
      <c r="J9696">
        <v>0.997435897435897</v>
      </c>
      <c r="K9696">
        <v>1</v>
      </c>
      <c r="L9696">
        <v>0.99871630295250302</v>
      </c>
      <c r="M9696">
        <v>0.992307692307692</v>
      </c>
      <c r="N9696">
        <v>0.992307692307692</v>
      </c>
      <c r="O9696">
        <v>0.992307692307692</v>
      </c>
      <c r="AF9696" t="s">
        <v>19675</v>
      </c>
    </row>
    <row r="9697" spans="1:32" hidden="1" x14ac:dyDescent="0.35">
      <c r="A9697">
        <v>9696</v>
      </c>
      <c r="B9697" t="s">
        <v>19674</v>
      </c>
      <c r="C9697" t="s">
        <v>33</v>
      </c>
      <c r="D9697" t="s">
        <v>45</v>
      </c>
      <c r="E9697">
        <v>811</v>
      </c>
      <c r="F9697">
        <v>2</v>
      </c>
      <c r="G9697">
        <v>2</v>
      </c>
      <c r="H9697">
        <v>1</v>
      </c>
      <c r="I9697">
        <v>0</v>
      </c>
      <c r="J9697">
        <v>0.997435897435897</v>
      </c>
      <c r="K9697">
        <v>1</v>
      </c>
      <c r="L9697">
        <v>0.99871630295250302</v>
      </c>
      <c r="M9697">
        <v>0.992307692307692</v>
      </c>
      <c r="N9697">
        <v>0.992307692307692</v>
      </c>
      <c r="O9697">
        <v>0.992307692307692</v>
      </c>
      <c r="AF9697" t="s">
        <v>19676</v>
      </c>
    </row>
    <row r="9698" spans="1:32" hidden="1" x14ac:dyDescent="0.35">
      <c r="A9698">
        <v>9697</v>
      </c>
      <c r="B9698" t="s">
        <v>19677</v>
      </c>
      <c r="C9698" t="s">
        <v>33</v>
      </c>
      <c r="D9698" t="s">
        <v>34</v>
      </c>
      <c r="E9698">
        <v>975</v>
      </c>
      <c r="F9698">
        <v>2</v>
      </c>
      <c r="G9698">
        <v>2</v>
      </c>
      <c r="H9698">
        <v>1</v>
      </c>
      <c r="I9698">
        <v>0</v>
      </c>
      <c r="J9698">
        <v>0.97643097643097598</v>
      </c>
      <c r="K9698">
        <v>1</v>
      </c>
      <c r="L9698">
        <v>0.98807495741056195</v>
      </c>
      <c r="M9698">
        <v>0.96969696969696995</v>
      </c>
      <c r="N9698">
        <v>0.96969696969696995</v>
      </c>
      <c r="O9698">
        <v>0.96969696969696995</v>
      </c>
      <c r="P9698" t="s">
        <v>14100</v>
      </c>
      <c r="Q9698" t="s">
        <v>4552</v>
      </c>
      <c r="R9698" t="s">
        <v>75</v>
      </c>
      <c r="S9698" t="s">
        <v>76</v>
      </c>
      <c r="V9698" t="s">
        <v>677</v>
      </c>
      <c r="W9698" t="s">
        <v>678</v>
      </c>
      <c r="AF9698" t="s">
        <v>19678</v>
      </c>
    </row>
    <row r="9699" spans="1:32" hidden="1" x14ac:dyDescent="0.35">
      <c r="A9699">
        <v>9698</v>
      </c>
      <c r="B9699" t="s">
        <v>19677</v>
      </c>
      <c r="C9699" t="s">
        <v>33</v>
      </c>
      <c r="D9699" t="s">
        <v>45</v>
      </c>
      <c r="E9699">
        <v>2229</v>
      </c>
      <c r="F9699">
        <v>2</v>
      </c>
      <c r="G9699">
        <v>2</v>
      </c>
      <c r="H9699">
        <v>1</v>
      </c>
      <c r="I9699">
        <v>0</v>
      </c>
      <c r="J9699">
        <v>0.97643097643097598</v>
      </c>
      <c r="K9699">
        <v>1</v>
      </c>
      <c r="L9699">
        <v>0.98807495741056195</v>
      </c>
      <c r="M9699">
        <v>0.96969696969696995</v>
      </c>
      <c r="N9699">
        <v>0.96969696969696995</v>
      </c>
      <c r="O9699">
        <v>0.96969696969696995</v>
      </c>
      <c r="P9699" t="s">
        <v>14100</v>
      </c>
      <c r="Q9699" t="s">
        <v>4552</v>
      </c>
      <c r="R9699" t="s">
        <v>75</v>
      </c>
      <c r="S9699" t="s">
        <v>76</v>
      </c>
      <c r="V9699" t="s">
        <v>677</v>
      </c>
      <c r="W9699" t="s">
        <v>678</v>
      </c>
      <c r="AF9699" t="s">
        <v>19679</v>
      </c>
    </row>
    <row r="9700" spans="1:32" hidden="1" x14ac:dyDescent="0.35">
      <c r="A9700">
        <v>9699</v>
      </c>
      <c r="B9700" t="s">
        <v>19680</v>
      </c>
      <c r="C9700" t="s">
        <v>33</v>
      </c>
      <c r="D9700" t="s">
        <v>34</v>
      </c>
      <c r="E9700">
        <v>278</v>
      </c>
      <c r="F9700">
        <v>2</v>
      </c>
      <c r="G9700">
        <v>2</v>
      </c>
      <c r="H9700">
        <v>1</v>
      </c>
      <c r="I9700">
        <v>0</v>
      </c>
      <c r="J9700">
        <v>0.99453551912568305</v>
      </c>
      <c r="K9700">
        <v>1</v>
      </c>
      <c r="L9700">
        <v>0.99726027397260297</v>
      </c>
      <c r="M9700">
        <v>0.99180327868852503</v>
      </c>
      <c r="N9700">
        <v>0.99180327868852503</v>
      </c>
      <c r="O9700">
        <v>0.99180327868852503</v>
      </c>
      <c r="P9700" t="s">
        <v>626</v>
      </c>
      <c r="Q9700" t="s">
        <v>627</v>
      </c>
      <c r="AF9700" t="s">
        <v>19681</v>
      </c>
    </row>
    <row r="9701" spans="1:32" hidden="1" x14ac:dyDescent="0.35">
      <c r="A9701">
        <v>9700</v>
      </c>
      <c r="B9701" t="s">
        <v>19680</v>
      </c>
      <c r="C9701" t="s">
        <v>33</v>
      </c>
      <c r="D9701" t="s">
        <v>45</v>
      </c>
      <c r="E9701">
        <v>1540</v>
      </c>
      <c r="F9701">
        <v>2</v>
      </c>
      <c r="G9701">
        <v>2</v>
      </c>
      <c r="H9701">
        <v>1</v>
      </c>
      <c r="I9701">
        <v>0</v>
      </c>
      <c r="J9701">
        <v>0.99453551912568305</v>
      </c>
      <c r="K9701">
        <v>1</v>
      </c>
      <c r="L9701">
        <v>0.99726027397260297</v>
      </c>
      <c r="M9701">
        <v>0.99180327868852503</v>
      </c>
      <c r="N9701">
        <v>0.99180327868852503</v>
      </c>
      <c r="O9701">
        <v>0.99180327868852503</v>
      </c>
      <c r="P9701" t="s">
        <v>626</v>
      </c>
      <c r="Q9701" t="s">
        <v>627</v>
      </c>
      <c r="AF9701" t="s">
        <v>19682</v>
      </c>
    </row>
    <row r="9702" spans="1:32" hidden="1" x14ac:dyDescent="0.35">
      <c r="A9702">
        <v>9701</v>
      </c>
      <c r="B9702" t="s">
        <v>19683</v>
      </c>
      <c r="C9702" t="s">
        <v>33</v>
      </c>
      <c r="D9702" t="s">
        <v>34</v>
      </c>
      <c r="E9702">
        <v>665</v>
      </c>
      <c r="F9702">
        <v>2</v>
      </c>
      <c r="G9702">
        <v>2</v>
      </c>
      <c r="H9702">
        <v>1</v>
      </c>
      <c r="I9702">
        <v>0</v>
      </c>
      <c r="J9702">
        <v>0.99610136452241704</v>
      </c>
      <c r="K9702">
        <v>1</v>
      </c>
      <c r="L9702">
        <v>0.998046875</v>
      </c>
      <c r="M9702">
        <v>0.99610136452241704</v>
      </c>
      <c r="N9702">
        <v>0.99610136452241704</v>
      </c>
      <c r="O9702">
        <v>0.99610136452241704</v>
      </c>
      <c r="P9702" t="s">
        <v>18411</v>
      </c>
      <c r="Q9702" t="s">
        <v>7176</v>
      </c>
      <c r="AF9702" t="s">
        <v>19684</v>
      </c>
    </row>
    <row r="9703" spans="1:32" hidden="1" x14ac:dyDescent="0.35">
      <c r="A9703">
        <v>9702</v>
      </c>
      <c r="B9703" t="s">
        <v>19683</v>
      </c>
      <c r="C9703" t="s">
        <v>33</v>
      </c>
      <c r="D9703" t="s">
        <v>45</v>
      </c>
      <c r="E9703">
        <v>1931</v>
      </c>
      <c r="F9703">
        <v>2</v>
      </c>
      <c r="G9703">
        <v>2</v>
      </c>
      <c r="H9703">
        <v>1</v>
      </c>
      <c r="I9703">
        <v>0</v>
      </c>
      <c r="J9703">
        <v>0.99610136452241704</v>
      </c>
      <c r="K9703">
        <v>1</v>
      </c>
      <c r="L9703">
        <v>0.998046875</v>
      </c>
      <c r="M9703">
        <v>0.99610136452241704</v>
      </c>
      <c r="N9703">
        <v>0.99610136452241704</v>
      </c>
      <c r="O9703">
        <v>0.99610136452241704</v>
      </c>
      <c r="P9703" t="s">
        <v>18411</v>
      </c>
      <c r="Q9703" t="s">
        <v>7176</v>
      </c>
      <c r="AF9703" t="s">
        <v>19685</v>
      </c>
    </row>
    <row r="9704" spans="1:32" hidden="1" x14ac:dyDescent="0.35">
      <c r="A9704">
        <v>9703</v>
      </c>
      <c r="B9704" t="s">
        <v>19686</v>
      </c>
      <c r="C9704" t="s">
        <v>33</v>
      </c>
      <c r="D9704" t="s">
        <v>34</v>
      </c>
      <c r="E9704">
        <v>1160</v>
      </c>
      <c r="F9704">
        <v>2</v>
      </c>
      <c r="G9704">
        <v>2</v>
      </c>
      <c r="H9704">
        <v>1</v>
      </c>
      <c r="I9704">
        <v>0</v>
      </c>
      <c r="J9704">
        <v>0.99560439560439595</v>
      </c>
      <c r="K9704">
        <v>1</v>
      </c>
      <c r="L9704">
        <v>0.99779735682819404</v>
      </c>
      <c r="M9704">
        <v>0.99120879120879102</v>
      </c>
      <c r="N9704">
        <v>0.99120879120879102</v>
      </c>
      <c r="O9704">
        <v>0.99120879120879102</v>
      </c>
      <c r="AF9704" t="s">
        <v>19687</v>
      </c>
    </row>
    <row r="9705" spans="1:32" hidden="1" x14ac:dyDescent="0.35">
      <c r="A9705">
        <v>9704</v>
      </c>
      <c r="B9705" t="s">
        <v>19686</v>
      </c>
      <c r="C9705" t="s">
        <v>33</v>
      </c>
      <c r="D9705" t="s">
        <v>45</v>
      </c>
      <c r="E9705">
        <v>2405</v>
      </c>
      <c r="F9705">
        <v>2</v>
      </c>
      <c r="G9705">
        <v>2</v>
      </c>
      <c r="H9705">
        <v>1</v>
      </c>
      <c r="I9705">
        <v>0</v>
      </c>
      <c r="J9705">
        <v>0.99560439560439595</v>
      </c>
      <c r="K9705">
        <v>1</v>
      </c>
      <c r="L9705">
        <v>0.99779735682819404</v>
      </c>
      <c r="M9705">
        <v>0.99120879120879102</v>
      </c>
      <c r="N9705">
        <v>0.99120879120879102</v>
      </c>
      <c r="O9705">
        <v>0.99120879120879102</v>
      </c>
      <c r="AF9705" t="s">
        <v>19688</v>
      </c>
    </row>
    <row r="9706" spans="1:32" hidden="1" x14ac:dyDescent="0.35">
      <c r="A9706">
        <v>9705</v>
      </c>
      <c r="B9706" t="s">
        <v>19689</v>
      </c>
      <c r="C9706" t="s">
        <v>33</v>
      </c>
      <c r="D9706" t="s">
        <v>34</v>
      </c>
      <c r="E9706">
        <v>2091</v>
      </c>
      <c r="F9706">
        <v>2</v>
      </c>
      <c r="G9706">
        <v>2</v>
      </c>
      <c r="H9706">
        <v>1</v>
      </c>
      <c r="I9706">
        <v>0</v>
      </c>
      <c r="J9706">
        <v>0.99245852187028705</v>
      </c>
      <c r="K9706">
        <v>0.91000472239088004</v>
      </c>
      <c r="L9706">
        <v>0.94944482570518696</v>
      </c>
      <c r="M9706">
        <v>0.89344262295082</v>
      </c>
      <c r="N9706">
        <v>0.89344262295082</v>
      </c>
      <c r="O9706">
        <v>0.89344262295082</v>
      </c>
      <c r="P9706" t="s">
        <v>2163</v>
      </c>
      <c r="Q9706" t="s">
        <v>2164</v>
      </c>
      <c r="R9706" t="s">
        <v>113</v>
      </c>
      <c r="S9706" t="s">
        <v>114</v>
      </c>
      <c r="V9706" t="s">
        <v>2167</v>
      </c>
      <c r="W9706" t="s">
        <v>2168</v>
      </c>
      <c r="AF9706" t="e">
        <f>-----------------------MSSTRIRRAGRKTGPKPRFTREDVINAAVELGIDRFTLGAVAAKLGIATSAMYRLFDSRDALVDACLVQAAAEISMIMLDDGLPWPELLRNWAETTWNICEKYPGLDITIFQYTQSFSHVQGFTQHAMGILMAQGFARSEALFALDFIGDTVLATHIGMSAMQHSPEGMDIVARTITELSAETLLDNRDRWNPQRGFLDAKVEFIIAGLRQQLGQRATEKT</f>
        <v>#NAME?</v>
      </c>
    </row>
    <row r="9707" spans="1:32" hidden="1" x14ac:dyDescent="0.35">
      <c r="A9707">
        <v>9706</v>
      </c>
      <c r="B9707" t="s">
        <v>19689</v>
      </c>
      <c r="C9707" t="s">
        <v>33</v>
      </c>
      <c r="D9707" t="s">
        <v>45</v>
      </c>
      <c r="E9707">
        <v>781</v>
      </c>
      <c r="F9707">
        <v>2</v>
      </c>
      <c r="G9707">
        <v>2</v>
      </c>
      <c r="H9707">
        <v>1</v>
      </c>
      <c r="I9707">
        <v>0</v>
      </c>
      <c r="J9707">
        <v>0.99245852187028705</v>
      </c>
      <c r="K9707">
        <v>0.91000472239088004</v>
      </c>
      <c r="L9707">
        <v>0.94944482570518696</v>
      </c>
      <c r="M9707">
        <v>0.89344262295082</v>
      </c>
      <c r="N9707">
        <v>0.89344262295082</v>
      </c>
      <c r="O9707">
        <v>0.89344262295082</v>
      </c>
      <c r="P9707" t="s">
        <v>2163</v>
      </c>
      <c r="Q9707" t="s">
        <v>2164</v>
      </c>
      <c r="R9707" t="s">
        <v>113</v>
      </c>
      <c r="S9707" t="s">
        <v>114</v>
      </c>
      <c r="V9707" t="s">
        <v>2167</v>
      </c>
      <c r="W9707" t="s">
        <v>2168</v>
      </c>
      <c r="AF9707" t="s">
        <v>19690</v>
      </c>
    </row>
    <row r="9708" spans="1:32" hidden="1" x14ac:dyDescent="0.35">
      <c r="A9708">
        <v>9707</v>
      </c>
      <c r="B9708" t="s">
        <v>19691</v>
      </c>
      <c r="C9708" t="s">
        <v>33</v>
      </c>
      <c r="D9708" t="s">
        <v>34</v>
      </c>
      <c r="E9708">
        <v>1761</v>
      </c>
      <c r="F9708">
        <v>2</v>
      </c>
      <c r="G9708">
        <v>2</v>
      </c>
      <c r="H9708">
        <v>1</v>
      </c>
      <c r="I9708">
        <v>0</v>
      </c>
      <c r="J9708">
        <v>0.99186991869918695</v>
      </c>
      <c r="K9708">
        <v>1</v>
      </c>
      <c r="L9708">
        <v>0.99591836734693895</v>
      </c>
      <c r="M9708">
        <v>0.988913525498891</v>
      </c>
      <c r="N9708">
        <v>0.988913525498891</v>
      </c>
      <c r="O9708">
        <v>0.988913525498891</v>
      </c>
      <c r="P9708" t="s">
        <v>19692</v>
      </c>
      <c r="Q9708" t="s">
        <v>19693</v>
      </c>
      <c r="R9708" t="s">
        <v>1474</v>
      </c>
      <c r="S9708" t="s">
        <v>1475</v>
      </c>
      <c r="T9708" t="s">
        <v>19694</v>
      </c>
      <c r="U9708" t="s">
        <v>407</v>
      </c>
      <c r="V9708" t="s">
        <v>19695</v>
      </c>
      <c r="W9708" t="s">
        <v>19696</v>
      </c>
      <c r="AD9708" t="s">
        <v>410</v>
      </c>
      <c r="AE9708" t="s">
        <v>411</v>
      </c>
      <c r="AF9708" t="s">
        <v>19697</v>
      </c>
    </row>
    <row r="9709" spans="1:32" hidden="1" x14ac:dyDescent="0.35">
      <c r="A9709">
        <v>9708</v>
      </c>
      <c r="B9709" t="s">
        <v>19691</v>
      </c>
      <c r="C9709" t="s">
        <v>33</v>
      </c>
      <c r="D9709" t="s">
        <v>45</v>
      </c>
      <c r="E9709">
        <v>1112</v>
      </c>
      <c r="F9709">
        <v>2</v>
      </c>
      <c r="G9709">
        <v>2</v>
      </c>
      <c r="H9709">
        <v>1</v>
      </c>
      <c r="I9709">
        <v>0</v>
      </c>
      <c r="J9709">
        <v>0.99186991869918695</v>
      </c>
      <c r="K9709">
        <v>1</v>
      </c>
      <c r="L9709">
        <v>0.99591836734693895</v>
      </c>
      <c r="M9709">
        <v>0.988913525498891</v>
      </c>
      <c r="N9709">
        <v>0.988913525498891</v>
      </c>
      <c r="O9709">
        <v>0.988913525498891</v>
      </c>
      <c r="P9709" t="s">
        <v>19692</v>
      </c>
      <c r="Q9709" t="s">
        <v>19693</v>
      </c>
      <c r="R9709" t="s">
        <v>1474</v>
      </c>
      <c r="S9709" t="s">
        <v>1475</v>
      </c>
      <c r="T9709" t="s">
        <v>19694</v>
      </c>
      <c r="U9709" t="s">
        <v>407</v>
      </c>
      <c r="V9709" t="s">
        <v>19695</v>
      </c>
      <c r="W9709" t="s">
        <v>19696</v>
      </c>
      <c r="AD9709" t="s">
        <v>410</v>
      </c>
      <c r="AE9709" t="s">
        <v>411</v>
      </c>
      <c r="AF9709" t="s">
        <v>19698</v>
      </c>
    </row>
    <row r="9710" spans="1:32" hidden="1" x14ac:dyDescent="0.35">
      <c r="A9710">
        <v>9709</v>
      </c>
      <c r="B9710" t="s">
        <v>19699</v>
      </c>
      <c r="C9710" t="s">
        <v>33</v>
      </c>
      <c r="D9710" t="s">
        <v>34</v>
      </c>
      <c r="E9710">
        <v>1830</v>
      </c>
      <c r="F9710">
        <v>2</v>
      </c>
      <c r="G9710">
        <v>2</v>
      </c>
      <c r="H9710">
        <v>1</v>
      </c>
      <c r="I9710">
        <v>0</v>
      </c>
      <c r="J9710">
        <v>0.99432624113475199</v>
      </c>
      <c r="K9710">
        <v>0.94524873688301503</v>
      </c>
      <c r="L9710">
        <v>0.96916657941506101</v>
      </c>
      <c r="M9710">
        <v>0.93574297188754996</v>
      </c>
      <c r="N9710">
        <v>0.93574297188754996</v>
      </c>
      <c r="O9710">
        <v>0.93574297188754996</v>
      </c>
      <c r="AF9710" t="e">
        <f>--------------METDTEIPDIMTVTNLEVISGTKFTDFTIPATGLTLIHTGREQASTTLSMTLAGRMRPRRGRITITAPDGRAYRDDRRRFQHIALAGVPEIDSLERLVTVRAVIREQAAWHQPWWKPTPRSIDNIPSYTQAAELLGFTMTNDDATTLVGELDTLSRLVLRILLAIMARPDADLLIVDDIDQLRSMELRNKLLVKLRDYSQLKPVIATSVNPDFTYLCHNHVTLTTDTYQITAVNQ</f>
        <v>#NAME?</v>
      </c>
    </row>
    <row r="9711" spans="1:32" hidden="1" x14ac:dyDescent="0.35">
      <c r="A9711">
        <v>9710</v>
      </c>
      <c r="B9711" t="s">
        <v>19699</v>
      </c>
      <c r="C9711" t="s">
        <v>33</v>
      </c>
      <c r="D9711" t="s">
        <v>45</v>
      </c>
      <c r="E9711">
        <v>1043</v>
      </c>
      <c r="F9711">
        <v>2</v>
      </c>
      <c r="G9711">
        <v>2</v>
      </c>
      <c r="H9711">
        <v>1</v>
      </c>
      <c r="I9711">
        <v>0</v>
      </c>
      <c r="J9711">
        <v>0.99432624113475199</v>
      </c>
      <c r="K9711">
        <v>0.94524873688301503</v>
      </c>
      <c r="L9711">
        <v>0.96916657941506101</v>
      </c>
      <c r="M9711">
        <v>0.93574297188754996</v>
      </c>
      <c r="N9711">
        <v>0.93574297188754996</v>
      </c>
      <c r="O9711">
        <v>0.93574297188754996</v>
      </c>
      <c r="AF9711" t="s">
        <v>19700</v>
      </c>
    </row>
    <row r="9712" spans="1:32" hidden="1" x14ac:dyDescent="0.35">
      <c r="A9712">
        <v>9711</v>
      </c>
      <c r="B9712" t="s">
        <v>19701</v>
      </c>
      <c r="C9712" t="s">
        <v>33</v>
      </c>
      <c r="D9712" t="s">
        <v>34</v>
      </c>
      <c r="E9712">
        <v>2237</v>
      </c>
      <c r="F9712">
        <v>2</v>
      </c>
      <c r="G9712">
        <v>2</v>
      </c>
      <c r="H9712">
        <v>1</v>
      </c>
      <c r="I9712">
        <v>0</v>
      </c>
      <c r="J9712">
        <v>0.98648648648648696</v>
      </c>
      <c r="K9712">
        <v>1</v>
      </c>
      <c r="L9712">
        <v>0.99319727891156495</v>
      </c>
      <c r="M9712">
        <v>0.98648648648648696</v>
      </c>
      <c r="N9712">
        <v>0.98648648648648696</v>
      </c>
      <c r="O9712">
        <v>0.98648648648648696</v>
      </c>
      <c r="AF9712" t="s">
        <v>19702</v>
      </c>
    </row>
    <row r="9713" spans="1:32" hidden="1" x14ac:dyDescent="0.35">
      <c r="A9713">
        <v>9712</v>
      </c>
      <c r="B9713" t="s">
        <v>19701</v>
      </c>
      <c r="C9713" t="s">
        <v>33</v>
      </c>
      <c r="D9713" t="s">
        <v>45</v>
      </c>
      <c r="E9713">
        <v>640</v>
      </c>
      <c r="F9713">
        <v>2</v>
      </c>
      <c r="G9713">
        <v>2</v>
      </c>
      <c r="H9713">
        <v>1</v>
      </c>
      <c r="I9713">
        <v>0</v>
      </c>
      <c r="J9713">
        <v>0.98648648648648696</v>
      </c>
      <c r="K9713">
        <v>1</v>
      </c>
      <c r="L9713">
        <v>0.99319727891156495</v>
      </c>
      <c r="M9713">
        <v>0.98648648648648696</v>
      </c>
      <c r="N9713">
        <v>0.98648648648648696</v>
      </c>
      <c r="O9713">
        <v>0.98648648648648696</v>
      </c>
      <c r="AF9713" t="s">
        <v>19703</v>
      </c>
    </row>
    <row r="9714" spans="1:32" hidden="1" x14ac:dyDescent="0.35">
      <c r="A9714">
        <v>9713</v>
      </c>
      <c r="B9714" t="s">
        <v>19704</v>
      </c>
      <c r="C9714" t="s">
        <v>33</v>
      </c>
      <c r="D9714" t="s">
        <v>34</v>
      </c>
      <c r="E9714">
        <v>455</v>
      </c>
      <c r="F9714">
        <v>2</v>
      </c>
      <c r="G9714">
        <v>2</v>
      </c>
      <c r="H9714">
        <v>1</v>
      </c>
      <c r="I9714">
        <v>0</v>
      </c>
      <c r="J9714">
        <v>0.97245179063360898</v>
      </c>
      <c r="K9714">
        <v>1</v>
      </c>
      <c r="L9714">
        <v>0.98603351955307295</v>
      </c>
      <c r="M9714">
        <v>0.96694214876033102</v>
      </c>
      <c r="N9714">
        <v>0.96694214876033102</v>
      </c>
      <c r="O9714">
        <v>0.96694214876033102</v>
      </c>
      <c r="AF9714" t="s">
        <v>19705</v>
      </c>
    </row>
    <row r="9715" spans="1:32" hidden="1" x14ac:dyDescent="0.35">
      <c r="A9715">
        <v>9714</v>
      </c>
      <c r="B9715" t="s">
        <v>19704</v>
      </c>
      <c r="C9715" t="s">
        <v>33</v>
      </c>
      <c r="D9715" t="s">
        <v>45</v>
      </c>
      <c r="E9715">
        <v>1718</v>
      </c>
      <c r="F9715">
        <v>2</v>
      </c>
      <c r="G9715">
        <v>2</v>
      </c>
      <c r="H9715">
        <v>1</v>
      </c>
      <c r="I9715">
        <v>0</v>
      </c>
      <c r="J9715">
        <v>0.97245179063360898</v>
      </c>
      <c r="K9715">
        <v>1</v>
      </c>
      <c r="L9715">
        <v>0.98603351955307295</v>
      </c>
      <c r="M9715">
        <v>0.96694214876033102</v>
      </c>
      <c r="N9715">
        <v>0.96694214876033102</v>
      </c>
      <c r="O9715">
        <v>0.96694214876033102</v>
      </c>
      <c r="AF9715" t="s">
        <v>19706</v>
      </c>
    </row>
    <row r="9716" spans="1:32" hidden="1" x14ac:dyDescent="0.35">
      <c r="A9716">
        <v>9715</v>
      </c>
      <c r="B9716" t="s">
        <v>19707</v>
      </c>
      <c r="C9716" t="s">
        <v>33</v>
      </c>
      <c r="D9716" t="s">
        <v>60</v>
      </c>
      <c r="E9716">
        <v>504</v>
      </c>
      <c r="F9716">
        <v>2</v>
      </c>
      <c r="G9716">
        <v>2</v>
      </c>
      <c r="H9716">
        <v>1</v>
      </c>
      <c r="I9716">
        <v>0</v>
      </c>
      <c r="J9716">
        <v>0.99047619047619095</v>
      </c>
      <c r="K9716">
        <v>1</v>
      </c>
      <c r="L9716">
        <v>0.995215311004785</v>
      </c>
      <c r="M9716">
        <v>0.99047619047619095</v>
      </c>
      <c r="N9716">
        <v>0.99047619047619095</v>
      </c>
      <c r="O9716">
        <v>0.99047619047619095</v>
      </c>
      <c r="P9716" t="s">
        <v>4389</v>
      </c>
      <c r="Q9716" t="s">
        <v>4390</v>
      </c>
      <c r="R9716" t="s">
        <v>96</v>
      </c>
      <c r="S9716" t="s">
        <v>97</v>
      </c>
      <c r="T9716" t="s">
        <v>4391</v>
      </c>
      <c r="U9716" t="s">
        <v>4392</v>
      </c>
      <c r="V9716" t="s">
        <v>4393</v>
      </c>
      <c r="W9716" t="s">
        <v>4394</v>
      </c>
      <c r="AD9716" t="s">
        <v>546</v>
      </c>
      <c r="AE9716" t="s">
        <v>4395</v>
      </c>
      <c r="AF9716" t="s">
        <v>19708</v>
      </c>
    </row>
    <row r="9717" spans="1:32" hidden="1" x14ac:dyDescent="0.35">
      <c r="A9717">
        <v>9716</v>
      </c>
      <c r="B9717" t="s">
        <v>19707</v>
      </c>
      <c r="C9717" t="s">
        <v>33</v>
      </c>
      <c r="D9717" t="s">
        <v>62</v>
      </c>
      <c r="E9717">
        <v>588</v>
      </c>
      <c r="F9717">
        <v>2</v>
      </c>
      <c r="G9717">
        <v>2</v>
      </c>
      <c r="H9717">
        <v>1</v>
      </c>
      <c r="I9717">
        <v>0</v>
      </c>
      <c r="J9717">
        <v>0.99047619047619095</v>
      </c>
      <c r="K9717">
        <v>1</v>
      </c>
      <c r="L9717">
        <v>0.995215311004785</v>
      </c>
      <c r="M9717">
        <v>0.99047619047619095</v>
      </c>
      <c r="N9717">
        <v>0.99047619047619095</v>
      </c>
      <c r="O9717">
        <v>0.99047619047619095</v>
      </c>
      <c r="P9717" t="s">
        <v>4389</v>
      </c>
      <c r="Q9717" t="s">
        <v>4390</v>
      </c>
      <c r="R9717" t="s">
        <v>96</v>
      </c>
      <c r="S9717" t="s">
        <v>97</v>
      </c>
      <c r="T9717" t="s">
        <v>4391</v>
      </c>
      <c r="U9717" t="s">
        <v>4392</v>
      </c>
      <c r="V9717" t="s">
        <v>4393</v>
      </c>
      <c r="W9717" t="s">
        <v>4394</v>
      </c>
      <c r="AD9717" t="s">
        <v>546</v>
      </c>
      <c r="AE9717" t="s">
        <v>4395</v>
      </c>
      <c r="AF9717" t="s">
        <v>19709</v>
      </c>
    </row>
    <row r="9718" spans="1:32" hidden="1" x14ac:dyDescent="0.35">
      <c r="A9718">
        <v>9717</v>
      </c>
      <c r="B9718" t="s">
        <v>19710</v>
      </c>
      <c r="C9718" t="s">
        <v>33</v>
      </c>
      <c r="D9718" t="s">
        <v>34</v>
      </c>
      <c r="E9718">
        <v>1606</v>
      </c>
      <c r="F9718">
        <v>2</v>
      </c>
      <c r="G9718">
        <v>2</v>
      </c>
      <c r="H9718">
        <v>1</v>
      </c>
      <c r="I9718">
        <v>0</v>
      </c>
      <c r="J9718">
        <v>0.98284313725490202</v>
      </c>
      <c r="K9718">
        <v>1</v>
      </c>
      <c r="L9718">
        <v>0.99134734239802202</v>
      </c>
      <c r="M9718">
        <v>0.97794117647058798</v>
      </c>
      <c r="N9718">
        <v>0.97794117647058798</v>
      </c>
      <c r="O9718">
        <v>0.97794117647058798</v>
      </c>
      <c r="P9718" t="s">
        <v>17227</v>
      </c>
      <c r="Q9718" t="s">
        <v>17228</v>
      </c>
      <c r="AF9718" t="s">
        <v>19711</v>
      </c>
    </row>
    <row r="9719" spans="1:32" hidden="1" x14ac:dyDescent="0.35">
      <c r="A9719">
        <v>9718</v>
      </c>
      <c r="B9719" t="s">
        <v>19710</v>
      </c>
      <c r="C9719" t="s">
        <v>33</v>
      </c>
      <c r="D9719" t="s">
        <v>45</v>
      </c>
      <c r="E9719">
        <v>357</v>
      </c>
      <c r="F9719">
        <v>2</v>
      </c>
      <c r="G9719">
        <v>2</v>
      </c>
      <c r="H9719">
        <v>1</v>
      </c>
      <c r="I9719">
        <v>0</v>
      </c>
      <c r="J9719">
        <v>0.98284313725490202</v>
      </c>
      <c r="K9719">
        <v>1</v>
      </c>
      <c r="L9719">
        <v>0.99134734239802202</v>
      </c>
      <c r="M9719">
        <v>0.97794117647058798</v>
      </c>
      <c r="N9719">
        <v>0.97794117647058798</v>
      </c>
      <c r="O9719">
        <v>0.97794117647058798</v>
      </c>
      <c r="P9719" t="s">
        <v>17227</v>
      </c>
      <c r="Q9719" t="s">
        <v>17228</v>
      </c>
      <c r="AF9719" t="s">
        <v>19712</v>
      </c>
    </row>
    <row r="9720" spans="1:32" hidden="1" x14ac:dyDescent="0.35">
      <c r="A9720">
        <v>9719</v>
      </c>
      <c r="B9720" t="s">
        <v>19713</v>
      </c>
      <c r="C9720" t="s">
        <v>33</v>
      </c>
      <c r="D9720" t="s">
        <v>60</v>
      </c>
      <c r="E9720">
        <v>464</v>
      </c>
      <c r="F9720">
        <v>2</v>
      </c>
      <c r="G9720">
        <v>2</v>
      </c>
      <c r="H9720">
        <v>1</v>
      </c>
      <c r="I9720">
        <v>0</v>
      </c>
      <c r="J9720">
        <v>0.98333333333333295</v>
      </c>
      <c r="K9720">
        <v>0.96957233636115403</v>
      </c>
      <c r="L9720">
        <v>0.97640435195311104</v>
      </c>
      <c r="M9720">
        <v>0.94713656387665202</v>
      </c>
      <c r="N9720">
        <v>0.94713656387665202</v>
      </c>
      <c r="O9720">
        <v>0.94713656387665202</v>
      </c>
      <c r="AF9720" t="e">
        <f>-------MGAAVGADMAAARLDRGAPERFFDVVQLPERLARCFPGGGLPRKAVSQVSDCATLVIEIISAVTEQGGYVAVVGWADLLFAGVVDSGGDVSKIVSVPDPGIDALPVAAVFAEGMDMVVCRSAAPRRLTPTNARPFLAKVRQGSAAMLLAGISVPSPALTVSAQVTKIYGLHRGGGRIRGLDVEVEAASKSADHQRIRTLLRCGEAAQMEPSPGPGLQAVS</f>
        <v>#NAME?</v>
      </c>
    </row>
    <row r="9721" spans="1:32" hidden="1" x14ac:dyDescent="0.35">
      <c r="A9721">
        <v>9720</v>
      </c>
      <c r="B9721" t="s">
        <v>19713</v>
      </c>
      <c r="C9721" t="s">
        <v>33</v>
      </c>
      <c r="D9721" t="s">
        <v>62</v>
      </c>
      <c r="E9721">
        <v>546</v>
      </c>
      <c r="F9721">
        <v>2</v>
      </c>
      <c r="G9721">
        <v>2</v>
      </c>
      <c r="H9721">
        <v>1</v>
      </c>
      <c r="I9721">
        <v>0</v>
      </c>
      <c r="J9721">
        <v>0.98333333333333295</v>
      </c>
      <c r="K9721">
        <v>0.96957233636115403</v>
      </c>
      <c r="L9721">
        <v>0.97640435195311104</v>
      </c>
      <c r="M9721">
        <v>0.94713656387665202</v>
      </c>
      <c r="N9721">
        <v>0.94713656387665202</v>
      </c>
      <c r="O9721">
        <v>0.94713656387665202</v>
      </c>
      <c r="AF9721" t="s">
        <v>19714</v>
      </c>
    </row>
    <row r="9722" spans="1:32" hidden="1" x14ac:dyDescent="0.35">
      <c r="A9722">
        <v>9721</v>
      </c>
      <c r="B9722" t="s">
        <v>19715</v>
      </c>
      <c r="C9722" t="s">
        <v>33</v>
      </c>
      <c r="D9722" t="s">
        <v>60</v>
      </c>
      <c r="E9722">
        <v>1007</v>
      </c>
      <c r="F9722">
        <v>2</v>
      </c>
      <c r="G9722">
        <v>2</v>
      </c>
      <c r="H9722">
        <v>1</v>
      </c>
      <c r="I9722">
        <v>0</v>
      </c>
      <c r="J9722">
        <v>0.96212121212121204</v>
      </c>
      <c r="K9722">
        <v>1</v>
      </c>
      <c r="L9722">
        <v>0.98069498069498096</v>
      </c>
      <c r="M9722">
        <v>0.95129870129870098</v>
      </c>
      <c r="N9722">
        <v>0.95129870129870098</v>
      </c>
      <c r="O9722">
        <v>0.95129870129870098</v>
      </c>
      <c r="P9722" t="s">
        <v>169</v>
      </c>
      <c r="Q9722" t="s">
        <v>170</v>
      </c>
      <c r="R9722" t="s">
        <v>138</v>
      </c>
      <c r="S9722" t="s">
        <v>139</v>
      </c>
      <c r="T9722" t="s">
        <v>3691</v>
      </c>
      <c r="U9722" t="s">
        <v>3692</v>
      </c>
      <c r="V9722" t="s">
        <v>3693</v>
      </c>
      <c r="W9722" t="s">
        <v>3694</v>
      </c>
      <c r="AD9722" t="s">
        <v>166</v>
      </c>
      <c r="AE9722" t="s">
        <v>3695</v>
      </c>
      <c r="AF9722" t="s">
        <v>19716</v>
      </c>
    </row>
    <row r="9723" spans="1:32" hidden="1" x14ac:dyDescent="0.35">
      <c r="A9723">
        <v>9722</v>
      </c>
      <c r="B9723" t="s">
        <v>19715</v>
      </c>
      <c r="C9723" t="s">
        <v>33</v>
      </c>
      <c r="D9723" t="s">
        <v>62</v>
      </c>
      <c r="E9723">
        <v>1043</v>
      </c>
      <c r="F9723">
        <v>2</v>
      </c>
      <c r="G9723">
        <v>2</v>
      </c>
      <c r="H9723">
        <v>1</v>
      </c>
      <c r="I9723">
        <v>0</v>
      </c>
      <c r="J9723">
        <v>0.96212121212121204</v>
      </c>
      <c r="K9723">
        <v>1</v>
      </c>
      <c r="L9723">
        <v>0.98069498069498096</v>
      </c>
      <c r="M9723">
        <v>0.95129870129870098</v>
      </c>
      <c r="N9723">
        <v>0.95129870129870098</v>
      </c>
      <c r="O9723">
        <v>0.95129870129870098</v>
      </c>
      <c r="P9723" t="s">
        <v>169</v>
      </c>
      <c r="Q9723" t="s">
        <v>170</v>
      </c>
      <c r="R9723" t="s">
        <v>138</v>
      </c>
      <c r="S9723" t="s">
        <v>139</v>
      </c>
      <c r="T9723" t="s">
        <v>3691</v>
      </c>
      <c r="U9723" t="s">
        <v>3692</v>
      </c>
      <c r="V9723" t="s">
        <v>3693</v>
      </c>
      <c r="W9723" t="s">
        <v>3694</v>
      </c>
      <c r="AD9723" t="s">
        <v>166</v>
      </c>
      <c r="AE9723" t="s">
        <v>3695</v>
      </c>
      <c r="AF9723" t="s">
        <v>19717</v>
      </c>
    </row>
    <row r="9724" spans="1:32" hidden="1" x14ac:dyDescent="0.35">
      <c r="A9724">
        <v>9723</v>
      </c>
      <c r="B9724" t="s">
        <v>19718</v>
      </c>
      <c r="C9724" t="s">
        <v>33</v>
      </c>
      <c r="D9724" t="s">
        <v>34</v>
      </c>
      <c r="E9724">
        <v>806</v>
      </c>
      <c r="F9724">
        <v>2</v>
      </c>
      <c r="G9724">
        <v>2</v>
      </c>
      <c r="H9724">
        <v>1</v>
      </c>
      <c r="I9724">
        <v>0</v>
      </c>
      <c r="J9724">
        <v>0.99335232668565998</v>
      </c>
      <c r="K9724">
        <v>0.99715909090909305</v>
      </c>
      <c r="L9724">
        <v>0.99525206866406102</v>
      </c>
      <c r="M9724">
        <v>0.98863636363636398</v>
      </c>
      <c r="N9724">
        <v>0.98863636363636398</v>
      </c>
      <c r="O9724">
        <v>0.98863636363636398</v>
      </c>
      <c r="P9724" t="s">
        <v>16645</v>
      </c>
      <c r="Q9724" t="s">
        <v>16646</v>
      </c>
      <c r="AF9724" t="s">
        <v>19719</v>
      </c>
    </row>
    <row r="9725" spans="1:32" hidden="1" x14ac:dyDescent="0.35">
      <c r="A9725">
        <v>9724</v>
      </c>
      <c r="B9725" t="s">
        <v>19718</v>
      </c>
      <c r="C9725" t="s">
        <v>33</v>
      </c>
      <c r="D9725" t="s">
        <v>45</v>
      </c>
      <c r="E9725">
        <v>2062</v>
      </c>
      <c r="F9725">
        <v>2</v>
      </c>
      <c r="G9725">
        <v>2</v>
      </c>
      <c r="H9725">
        <v>1</v>
      </c>
      <c r="I9725">
        <v>0</v>
      </c>
      <c r="J9725">
        <v>0.99335232668565998</v>
      </c>
      <c r="K9725">
        <v>0.99715909090909305</v>
      </c>
      <c r="L9725">
        <v>0.99525206866406102</v>
      </c>
      <c r="M9725">
        <v>0.98863636363636398</v>
      </c>
      <c r="N9725">
        <v>0.98863636363636398</v>
      </c>
      <c r="O9725">
        <v>0.98863636363636398</v>
      </c>
      <c r="P9725" t="s">
        <v>16645</v>
      </c>
      <c r="Q9725" t="s">
        <v>16646</v>
      </c>
      <c r="AF9725" t="s">
        <v>19720</v>
      </c>
    </row>
    <row r="9726" spans="1:32" hidden="1" x14ac:dyDescent="0.35">
      <c r="A9726">
        <v>9725</v>
      </c>
      <c r="B9726" t="s">
        <v>19721</v>
      </c>
      <c r="C9726" t="s">
        <v>33</v>
      </c>
      <c r="D9726" t="s">
        <v>34</v>
      </c>
      <c r="E9726">
        <v>878</v>
      </c>
      <c r="F9726">
        <v>2</v>
      </c>
      <c r="G9726">
        <v>2</v>
      </c>
      <c r="H9726">
        <v>1</v>
      </c>
      <c r="I9726">
        <v>0</v>
      </c>
      <c r="J9726">
        <v>0.99899598393574296</v>
      </c>
      <c r="K9726">
        <v>1</v>
      </c>
      <c r="L9726">
        <v>0.99949773982923196</v>
      </c>
      <c r="M9726">
        <v>0.99698795180722899</v>
      </c>
      <c r="N9726">
        <v>0.99698795180722899</v>
      </c>
      <c r="O9726">
        <v>0.99698795180722899</v>
      </c>
      <c r="AF9726" t="s">
        <v>19722</v>
      </c>
    </row>
    <row r="9727" spans="1:32" hidden="1" x14ac:dyDescent="0.35">
      <c r="A9727">
        <v>9726</v>
      </c>
      <c r="B9727" t="s">
        <v>19721</v>
      </c>
      <c r="C9727" t="s">
        <v>33</v>
      </c>
      <c r="D9727" t="s">
        <v>45</v>
      </c>
      <c r="E9727">
        <v>2135</v>
      </c>
      <c r="F9727">
        <v>2</v>
      </c>
      <c r="G9727">
        <v>2</v>
      </c>
      <c r="H9727">
        <v>1</v>
      </c>
      <c r="I9727">
        <v>0</v>
      </c>
      <c r="J9727">
        <v>0.99899598393574296</v>
      </c>
      <c r="K9727">
        <v>1</v>
      </c>
      <c r="L9727">
        <v>0.99949773982923196</v>
      </c>
      <c r="M9727">
        <v>0.99698795180722899</v>
      </c>
      <c r="N9727">
        <v>0.99698795180722899</v>
      </c>
      <c r="O9727">
        <v>0.99698795180722899</v>
      </c>
      <c r="AF9727" t="s">
        <v>19723</v>
      </c>
    </row>
    <row r="9728" spans="1:32" hidden="1" x14ac:dyDescent="0.35">
      <c r="A9728">
        <v>9727</v>
      </c>
      <c r="B9728" t="s">
        <v>19724</v>
      </c>
      <c r="C9728" t="s">
        <v>33</v>
      </c>
      <c r="D9728" t="s">
        <v>34</v>
      </c>
      <c r="E9728">
        <v>2283</v>
      </c>
      <c r="F9728">
        <v>2</v>
      </c>
      <c r="G9728">
        <v>2</v>
      </c>
      <c r="H9728">
        <v>1</v>
      </c>
      <c r="I9728">
        <v>0</v>
      </c>
      <c r="J9728">
        <v>0.99115044247787598</v>
      </c>
      <c r="K9728">
        <v>1</v>
      </c>
      <c r="L9728">
        <v>0.99555555555555597</v>
      </c>
      <c r="M9728">
        <v>0.98672566371681403</v>
      </c>
      <c r="N9728">
        <v>0.98672566371681403</v>
      </c>
      <c r="O9728">
        <v>0.98672566371681403</v>
      </c>
      <c r="P9728" t="s">
        <v>19725</v>
      </c>
      <c r="Q9728" t="s">
        <v>19726</v>
      </c>
      <c r="R9728" t="s">
        <v>235</v>
      </c>
      <c r="S9728" t="s">
        <v>236</v>
      </c>
      <c r="T9728" t="s">
        <v>19727</v>
      </c>
      <c r="U9728" t="s">
        <v>19728</v>
      </c>
      <c r="V9728" t="s">
        <v>19729</v>
      </c>
      <c r="W9728" t="s">
        <v>19730</v>
      </c>
      <c r="AD9728" t="s">
        <v>410</v>
      </c>
      <c r="AE9728" t="s">
        <v>532</v>
      </c>
      <c r="AF9728" t="s">
        <v>19731</v>
      </c>
    </row>
    <row r="9729" spans="1:32" hidden="1" x14ac:dyDescent="0.35">
      <c r="A9729">
        <v>9728</v>
      </c>
      <c r="B9729" t="s">
        <v>19724</v>
      </c>
      <c r="C9729" t="s">
        <v>33</v>
      </c>
      <c r="D9729" t="s">
        <v>45</v>
      </c>
      <c r="E9729">
        <v>594</v>
      </c>
      <c r="F9729">
        <v>2</v>
      </c>
      <c r="G9729">
        <v>2</v>
      </c>
      <c r="H9729">
        <v>1</v>
      </c>
      <c r="I9729">
        <v>0</v>
      </c>
      <c r="J9729">
        <v>0.99115044247787598</v>
      </c>
      <c r="K9729">
        <v>1</v>
      </c>
      <c r="L9729">
        <v>0.99555555555555597</v>
      </c>
      <c r="M9729">
        <v>0.98672566371681403</v>
      </c>
      <c r="N9729">
        <v>0.98672566371681403</v>
      </c>
      <c r="O9729">
        <v>0.98672566371681403</v>
      </c>
      <c r="P9729" t="s">
        <v>19725</v>
      </c>
      <c r="Q9729" t="s">
        <v>19726</v>
      </c>
      <c r="R9729" t="s">
        <v>235</v>
      </c>
      <c r="S9729" t="s">
        <v>236</v>
      </c>
      <c r="T9729" t="s">
        <v>19727</v>
      </c>
      <c r="U9729" t="s">
        <v>19728</v>
      </c>
      <c r="V9729" t="s">
        <v>19729</v>
      </c>
      <c r="W9729" t="s">
        <v>19730</v>
      </c>
      <c r="AD9729" t="s">
        <v>410</v>
      </c>
      <c r="AE9729" t="s">
        <v>532</v>
      </c>
      <c r="AF9729" t="s">
        <v>19732</v>
      </c>
    </row>
    <row r="9730" spans="1:32" hidden="1" x14ac:dyDescent="0.35">
      <c r="A9730">
        <v>9729</v>
      </c>
      <c r="B9730" t="s">
        <v>19733</v>
      </c>
      <c r="C9730" t="s">
        <v>33</v>
      </c>
      <c r="D9730" t="s">
        <v>60</v>
      </c>
      <c r="E9730">
        <v>757</v>
      </c>
      <c r="F9730">
        <v>2</v>
      </c>
      <c r="G9730">
        <v>2</v>
      </c>
      <c r="H9730">
        <v>1</v>
      </c>
      <c r="I9730">
        <v>0</v>
      </c>
      <c r="J9730">
        <v>0.99574829931972797</v>
      </c>
      <c r="K9730">
        <v>1</v>
      </c>
      <c r="L9730">
        <v>0.99786962079250097</v>
      </c>
      <c r="M9730">
        <v>0.99234693877550995</v>
      </c>
      <c r="N9730">
        <v>0.99234693877550995</v>
      </c>
      <c r="O9730">
        <v>0.99234693877550995</v>
      </c>
      <c r="P9730" t="s">
        <v>19734</v>
      </c>
      <c r="Q9730" t="s">
        <v>19735</v>
      </c>
      <c r="R9730" t="s">
        <v>157</v>
      </c>
      <c r="S9730" t="s">
        <v>158</v>
      </c>
      <c r="T9730" t="s">
        <v>19736</v>
      </c>
      <c r="U9730" t="s">
        <v>19737</v>
      </c>
      <c r="V9730" t="s">
        <v>19738</v>
      </c>
      <c r="W9730" t="s">
        <v>19739</v>
      </c>
      <c r="AD9730" t="s">
        <v>245</v>
      </c>
      <c r="AE9730" t="s">
        <v>19740</v>
      </c>
      <c r="AF9730" t="s">
        <v>19741</v>
      </c>
    </row>
    <row r="9731" spans="1:32" hidden="1" x14ac:dyDescent="0.35">
      <c r="A9731">
        <v>9730</v>
      </c>
      <c r="B9731" t="s">
        <v>19733</v>
      </c>
      <c r="C9731" t="s">
        <v>33</v>
      </c>
      <c r="D9731" t="s">
        <v>62</v>
      </c>
      <c r="E9731">
        <v>789</v>
      </c>
      <c r="F9731">
        <v>2</v>
      </c>
      <c r="G9731">
        <v>2</v>
      </c>
      <c r="H9731">
        <v>1</v>
      </c>
      <c r="I9731">
        <v>0</v>
      </c>
      <c r="J9731">
        <v>0.99574829931972797</v>
      </c>
      <c r="K9731">
        <v>1</v>
      </c>
      <c r="L9731">
        <v>0.99786962079250097</v>
      </c>
      <c r="M9731">
        <v>0.99234693877550995</v>
      </c>
      <c r="N9731">
        <v>0.99234693877550995</v>
      </c>
      <c r="O9731">
        <v>0.99234693877550995</v>
      </c>
      <c r="P9731" t="s">
        <v>19734</v>
      </c>
      <c r="Q9731" t="s">
        <v>19735</v>
      </c>
      <c r="R9731" t="s">
        <v>157</v>
      </c>
      <c r="S9731" t="s">
        <v>158</v>
      </c>
      <c r="T9731" t="s">
        <v>19736</v>
      </c>
      <c r="U9731" t="s">
        <v>19737</v>
      </c>
      <c r="V9731" t="s">
        <v>19738</v>
      </c>
      <c r="W9731" t="s">
        <v>19739</v>
      </c>
      <c r="AD9731" t="s">
        <v>245</v>
      </c>
      <c r="AE9731" t="s">
        <v>19740</v>
      </c>
      <c r="AF9731" t="s">
        <v>19742</v>
      </c>
    </row>
    <row r="9732" spans="1:32" hidden="1" x14ac:dyDescent="0.35">
      <c r="A9732">
        <v>9731</v>
      </c>
      <c r="B9732" t="s">
        <v>19743</v>
      </c>
      <c r="C9732" t="s">
        <v>33</v>
      </c>
      <c r="D9732" t="s">
        <v>34</v>
      </c>
      <c r="E9732">
        <v>587</v>
      </c>
      <c r="F9732">
        <v>2</v>
      </c>
      <c r="G9732">
        <v>2</v>
      </c>
      <c r="H9732">
        <v>1</v>
      </c>
      <c r="I9732">
        <v>0</v>
      </c>
      <c r="J9732">
        <v>0.99512195121951197</v>
      </c>
      <c r="K9732">
        <v>1</v>
      </c>
      <c r="L9732">
        <v>0.99755501222493903</v>
      </c>
      <c r="M9732">
        <v>0.99512195121951197</v>
      </c>
      <c r="N9732">
        <v>0.99512195121951197</v>
      </c>
      <c r="O9732">
        <v>0.99512195121951197</v>
      </c>
      <c r="P9732" t="s">
        <v>19744</v>
      </c>
      <c r="Q9732" t="s">
        <v>6662</v>
      </c>
      <c r="R9732" t="s">
        <v>319</v>
      </c>
      <c r="S9732" t="s">
        <v>320</v>
      </c>
      <c r="V9732" t="s">
        <v>19745</v>
      </c>
      <c r="W9732" t="s">
        <v>19746</v>
      </c>
      <c r="AF9732" t="s">
        <v>19747</v>
      </c>
    </row>
    <row r="9733" spans="1:32" hidden="1" x14ac:dyDescent="0.35">
      <c r="A9733">
        <v>9732</v>
      </c>
      <c r="B9733" t="s">
        <v>19743</v>
      </c>
      <c r="C9733" t="s">
        <v>33</v>
      </c>
      <c r="D9733" t="s">
        <v>45</v>
      </c>
      <c r="E9733">
        <v>1853</v>
      </c>
      <c r="F9733">
        <v>2</v>
      </c>
      <c r="G9733">
        <v>2</v>
      </c>
      <c r="H9733">
        <v>1</v>
      </c>
      <c r="I9733">
        <v>0</v>
      </c>
      <c r="J9733">
        <v>0.99512195121951197</v>
      </c>
      <c r="K9733">
        <v>1</v>
      </c>
      <c r="L9733">
        <v>0.99755501222493903</v>
      </c>
      <c r="M9733">
        <v>0.99512195121951197</v>
      </c>
      <c r="N9733">
        <v>0.99512195121951197</v>
      </c>
      <c r="O9733">
        <v>0.99512195121951197</v>
      </c>
      <c r="P9733" t="s">
        <v>19744</v>
      </c>
      <c r="Q9733" t="s">
        <v>6662</v>
      </c>
      <c r="R9733" t="s">
        <v>319</v>
      </c>
      <c r="S9733" t="s">
        <v>320</v>
      </c>
      <c r="V9733" t="s">
        <v>19745</v>
      </c>
      <c r="W9733" t="s">
        <v>19746</v>
      </c>
      <c r="AF9733" t="s">
        <v>19748</v>
      </c>
    </row>
    <row r="9734" spans="1:32" hidden="1" x14ac:dyDescent="0.35">
      <c r="A9734">
        <v>9733</v>
      </c>
      <c r="B9734" t="s">
        <v>19749</v>
      </c>
      <c r="C9734" t="s">
        <v>33</v>
      </c>
      <c r="D9734" t="s">
        <v>60</v>
      </c>
      <c r="E9734">
        <v>2026</v>
      </c>
      <c r="F9734">
        <v>2</v>
      </c>
      <c r="G9734">
        <v>2</v>
      </c>
      <c r="H9734">
        <v>1</v>
      </c>
      <c r="I9734">
        <v>0</v>
      </c>
      <c r="J9734">
        <v>0.98116760828625205</v>
      </c>
      <c r="K9734">
        <v>1</v>
      </c>
      <c r="L9734">
        <v>0.99049429657794696</v>
      </c>
      <c r="M9734">
        <v>0.97740112994350303</v>
      </c>
      <c r="N9734">
        <v>0.97740112994350303</v>
      </c>
      <c r="O9734">
        <v>0.97740112994350303</v>
      </c>
      <c r="T9734" t="s">
        <v>19750</v>
      </c>
      <c r="U9734" t="s">
        <v>19751</v>
      </c>
      <c r="AD9734" t="s">
        <v>14436</v>
      </c>
      <c r="AE9734" t="s">
        <v>19752</v>
      </c>
      <c r="AF9734" t="s">
        <v>19753</v>
      </c>
    </row>
    <row r="9735" spans="1:32" hidden="1" x14ac:dyDescent="0.35">
      <c r="A9735">
        <v>9734</v>
      </c>
      <c r="B9735" t="s">
        <v>19749</v>
      </c>
      <c r="C9735" t="s">
        <v>33</v>
      </c>
      <c r="D9735" t="s">
        <v>62</v>
      </c>
      <c r="E9735">
        <v>2066</v>
      </c>
      <c r="F9735">
        <v>2</v>
      </c>
      <c r="G9735">
        <v>2</v>
      </c>
      <c r="H9735">
        <v>1</v>
      </c>
      <c r="I9735">
        <v>0</v>
      </c>
      <c r="J9735">
        <v>0.98116760828625205</v>
      </c>
      <c r="K9735">
        <v>1</v>
      </c>
      <c r="L9735">
        <v>0.99049429657794696</v>
      </c>
      <c r="M9735">
        <v>0.97740112994350303</v>
      </c>
      <c r="N9735">
        <v>0.97740112994350303</v>
      </c>
      <c r="O9735">
        <v>0.97740112994350303</v>
      </c>
      <c r="T9735" t="s">
        <v>19750</v>
      </c>
      <c r="U9735" t="s">
        <v>19751</v>
      </c>
      <c r="AD9735" t="s">
        <v>14436</v>
      </c>
      <c r="AE9735" t="s">
        <v>19752</v>
      </c>
      <c r="AF9735" t="s">
        <v>19754</v>
      </c>
    </row>
    <row r="9736" spans="1:32" hidden="1" x14ac:dyDescent="0.35">
      <c r="A9736">
        <v>9735</v>
      </c>
      <c r="B9736" t="s">
        <v>19755</v>
      </c>
      <c r="C9736" t="s">
        <v>33</v>
      </c>
      <c r="D9736" t="s">
        <v>60</v>
      </c>
      <c r="E9736">
        <v>2102</v>
      </c>
      <c r="F9736">
        <v>2</v>
      </c>
      <c r="G9736">
        <v>2</v>
      </c>
      <c r="H9736">
        <v>1</v>
      </c>
      <c r="I9736">
        <v>0</v>
      </c>
      <c r="J9736">
        <v>0.96595744680851103</v>
      </c>
      <c r="K9736">
        <v>1</v>
      </c>
      <c r="L9736">
        <v>0.98268398268398305</v>
      </c>
      <c r="M9736">
        <v>0.94042553191489398</v>
      </c>
      <c r="N9736">
        <v>0.94042553191489398</v>
      </c>
      <c r="O9736">
        <v>0.94042553191489398</v>
      </c>
      <c r="R9736" t="s">
        <v>1259</v>
      </c>
      <c r="S9736" t="s">
        <v>1260</v>
      </c>
      <c r="V9736" t="s">
        <v>14967</v>
      </c>
      <c r="W9736" t="s">
        <v>2923</v>
      </c>
      <c r="AF9736" t="s">
        <v>19756</v>
      </c>
    </row>
    <row r="9737" spans="1:32" hidden="1" x14ac:dyDescent="0.35">
      <c r="A9737">
        <v>9736</v>
      </c>
      <c r="B9737" t="s">
        <v>19755</v>
      </c>
      <c r="C9737" t="s">
        <v>33</v>
      </c>
      <c r="D9737" t="s">
        <v>62</v>
      </c>
      <c r="E9737">
        <v>2137</v>
      </c>
      <c r="F9737">
        <v>2</v>
      </c>
      <c r="G9737">
        <v>2</v>
      </c>
      <c r="H9737">
        <v>1</v>
      </c>
      <c r="I9737">
        <v>0</v>
      </c>
      <c r="J9737">
        <v>0.96595744680851103</v>
      </c>
      <c r="K9737">
        <v>1</v>
      </c>
      <c r="L9737">
        <v>0.98268398268398305</v>
      </c>
      <c r="M9737">
        <v>0.94042553191489398</v>
      </c>
      <c r="N9737">
        <v>0.94042553191489398</v>
      </c>
      <c r="O9737">
        <v>0.94042553191489398</v>
      </c>
      <c r="R9737" t="s">
        <v>1259</v>
      </c>
      <c r="S9737" t="s">
        <v>1260</v>
      </c>
      <c r="V9737" t="s">
        <v>14967</v>
      </c>
      <c r="W9737" t="s">
        <v>2923</v>
      </c>
      <c r="AF9737" t="s">
        <v>19757</v>
      </c>
    </row>
    <row r="9738" spans="1:32" hidden="1" x14ac:dyDescent="0.35">
      <c r="A9738">
        <v>9737</v>
      </c>
      <c r="B9738" t="s">
        <v>19758</v>
      </c>
      <c r="C9738" t="s">
        <v>33</v>
      </c>
      <c r="D9738" t="s">
        <v>34</v>
      </c>
      <c r="E9738">
        <v>1505</v>
      </c>
      <c r="F9738">
        <v>2</v>
      </c>
      <c r="G9738">
        <v>2</v>
      </c>
      <c r="H9738">
        <v>1</v>
      </c>
      <c r="I9738">
        <v>0</v>
      </c>
      <c r="J9738">
        <v>0.979487179487179</v>
      </c>
      <c r="K9738">
        <v>0.99238103594513105</v>
      </c>
      <c r="L9738">
        <v>0.98589195187301704</v>
      </c>
      <c r="M9738">
        <v>0.969465648854962</v>
      </c>
      <c r="N9738">
        <v>0.969465648854962</v>
      </c>
      <c r="O9738">
        <v>0.969465648854962</v>
      </c>
      <c r="AF9738" t="s">
        <v>19759</v>
      </c>
    </row>
    <row r="9739" spans="1:32" hidden="1" x14ac:dyDescent="0.35">
      <c r="A9739">
        <v>9738</v>
      </c>
      <c r="B9739" t="s">
        <v>19758</v>
      </c>
      <c r="C9739" t="s">
        <v>33</v>
      </c>
      <c r="D9739" t="s">
        <v>45</v>
      </c>
      <c r="E9739">
        <v>255</v>
      </c>
      <c r="F9739">
        <v>2</v>
      </c>
      <c r="G9739">
        <v>2</v>
      </c>
      <c r="H9739">
        <v>1</v>
      </c>
      <c r="I9739">
        <v>0</v>
      </c>
      <c r="J9739">
        <v>0.979487179487179</v>
      </c>
      <c r="K9739">
        <v>0.99238103594513105</v>
      </c>
      <c r="L9739">
        <v>0.98589195187301704</v>
      </c>
      <c r="M9739">
        <v>0.969465648854962</v>
      </c>
      <c r="N9739">
        <v>0.969465648854962</v>
      </c>
      <c r="O9739">
        <v>0.969465648854962</v>
      </c>
      <c r="AF9739" t="s">
        <v>19760</v>
      </c>
    </row>
    <row r="9740" spans="1:32" hidden="1" x14ac:dyDescent="0.35">
      <c r="A9740">
        <v>9739</v>
      </c>
      <c r="B9740" t="s">
        <v>19761</v>
      </c>
      <c r="C9740" t="s">
        <v>33</v>
      </c>
      <c r="D9740" t="s">
        <v>34</v>
      </c>
      <c r="E9740">
        <v>762</v>
      </c>
      <c r="F9740">
        <v>2</v>
      </c>
      <c r="G9740">
        <v>2</v>
      </c>
      <c r="H9740">
        <v>1</v>
      </c>
      <c r="I9740">
        <v>0</v>
      </c>
      <c r="J9740">
        <v>0.99465811965812001</v>
      </c>
      <c r="K9740">
        <v>1</v>
      </c>
      <c r="L9740">
        <v>0.99732190680235699</v>
      </c>
      <c r="M9740">
        <v>0.99038461538461497</v>
      </c>
      <c r="N9740">
        <v>0.99038461538461497</v>
      </c>
      <c r="O9740">
        <v>0.99038461538461497</v>
      </c>
      <c r="P9740" t="s">
        <v>6464</v>
      </c>
      <c r="Q9740" t="s">
        <v>6465</v>
      </c>
      <c r="R9740" t="s">
        <v>157</v>
      </c>
      <c r="S9740" t="s">
        <v>158</v>
      </c>
      <c r="V9740" t="s">
        <v>7431</v>
      </c>
      <c r="W9740" t="s">
        <v>7432</v>
      </c>
      <c r="AF9740" t="s">
        <v>19762</v>
      </c>
    </row>
    <row r="9741" spans="1:32" hidden="1" x14ac:dyDescent="0.35">
      <c r="A9741">
        <v>9740</v>
      </c>
      <c r="B9741" t="s">
        <v>19761</v>
      </c>
      <c r="C9741" t="s">
        <v>33</v>
      </c>
      <c r="D9741" t="s">
        <v>45</v>
      </c>
      <c r="E9741">
        <v>2028</v>
      </c>
      <c r="F9741">
        <v>2</v>
      </c>
      <c r="G9741">
        <v>2</v>
      </c>
      <c r="H9741">
        <v>1</v>
      </c>
      <c r="I9741">
        <v>0</v>
      </c>
      <c r="J9741">
        <v>0.99465811965812001</v>
      </c>
      <c r="K9741">
        <v>1</v>
      </c>
      <c r="L9741">
        <v>0.99732190680235699</v>
      </c>
      <c r="M9741">
        <v>0.99038461538461497</v>
      </c>
      <c r="N9741">
        <v>0.99038461538461497</v>
      </c>
      <c r="O9741">
        <v>0.99038461538461497</v>
      </c>
      <c r="P9741" t="s">
        <v>6464</v>
      </c>
      <c r="Q9741" t="s">
        <v>6465</v>
      </c>
      <c r="R9741" t="s">
        <v>157</v>
      </c>
      <c r="S9741" t="s">
        <v>158</v>
      </c>
      <c r="V9741" t="s">
        <v>7431</v>
      </c>
      <c r="W9741" t="s">
        <v>7432</v>
      </c>
      <c r="AF9741" t="s">
        <v>19763</v>
      </c>
    </row>
    <row r="9742" spans="1:32" hidden="1" x14ac:dyDescent="0.35">
      <c r="A9742">
        <v>9741</v>
      </c>
      <c r="B9742" t="s">
        <v>19764</v>
      </c>
      <c r="C9742" t="s">
        <v>33</v>
      </c>
      <c r="D9742" t="s">
        <v>34</v>
      </c>
      <c r="E9742">
        <v>2132</v>
      </c>
      <c r="F9742">
        <v>2</v>
      </c>
      <c r="G9742">
        <v>2</v>
      </c>
      <c r="H9742">
        <v>1</v>
      </c>
      <c r="I9742">
        <v>0</v>
      </c>
      <c r="J9742">
        <v>0.99672560576293401</v>
      </c>
      <c r="K9742">
        <v>0.96287305951767499</v>
      </c>
      <c r="L9742">
        <v>0.97950692713207699</v>
      </c>
      <c r="M9742">
        <v>0.95274102079395095</v>
      </c>
      <c r="N9742">
        <v>0.95274102079395095</v>
      </c>
      <c r="O9742">
        <v>0.95274102079395095</v>
      </c>
      <c r="T9742" t="s">
        <v>12285</v>
      </c>
      <c r="U9742" t="s">
        <v>5012</v>
      </c>
      <c r="AD9742" t="s">
        <v>5013</v>
      </c>
      <c r="AE9742" t="s">
        <v>5014</v>
      </c>
      <c r="AF9742" t="s">
        <v>19765</v>
      </c>
    </row>
    <row r="9743" spans="1:32" hidden="1" x14ac:dyDescent="0.35">
      <c r="A9743">
        <v>9742</v>
      </c>
      <c r="B9743" t="s">
        <v>19764</v>
      </c>
      <c r="C9743" t="s">
        <v>33</v>
      </c>
      <c r="D9743" t="s">
        <v>45</v>
      </c>
      <c r="E9743">
        <v>740</v>
      </c>
      <c r="F9743">
        <v>2</v>
      </c>
      <c r="G9743">
        <v>2</v>
      </c>
      <c r="H9743">
        <v>1</v>
      </c>
      <c r="I9743">
        <v>0</v>
      </c>
      <c r="J9743">
        <v>0.99672560576293401</v>
      </c>
      <c r="K9743">
        <v>0.96287305951767499</v>
      </c>
      <c r="L9743">
        <v>0.97950692713207699</v>
      </c>
      <c r="M9743">
        <v>0.95274102079395095</v>
      </c>
      <c r="N9743">
        <v>0.95274102079395095</v>
      </c>
      <c r="O9743">
        <v>0.95274102079395095</v>
      </c>
      <c r="T9743" t="s">
        <v>12285</v>
      </c>
      <c r="U9743" t="s">
        <v>5012</v>
      </c>
      <c r="AD9743" t="s">
        <v>5013</v>
      </c>
      <c r="AE9743" t="s">
        <v>5014</v>
      </c>
      <c r="AF9743" t="s">
        <v>19766</v>
      </c>
    </row>
    <row r="9744" spans="1:32" hidden="1" x14ac:dyDescent="0.35">
      <c r="A9744">
        <v>9743</v>
      </c>
      <c r="B9744" t="s">
        <v>19767</v>
      </c>
      <c r="C9744" t="s">
        <v>33</v>
      </c>
      <c r="D9744" t="s">
        <v>60</v>
      </c>
      <c r="E9744">
        <v>1275</v>
      </c>
      <c r="F9744">
        <v>2</v>
      </c>
      <c r="G9744">
        <v>2</v>
      </c>
      <c r="H9744">
        <v>1</v>
      </c>
      <c r="I9744">
        <v>0</v>
      </c>
      <c r="J9744">
        <v>0.99290780141844004</v>
      </c>
      <c r="K9744">
        <v>1</v>
      </c>
      <c r="L9744">
        <v>0.99644128113879005</v>
      </c>
      <c r="M9744">
        <v>0.99290780141844004</v>
      </c>
      <c r="N9744">
        <v>0.99290780141844004</v>
      </c>
      <c r="O9744">
        <v>0.99290780141844004</v>
      </c>
      <c r="R9744" t="s">
        <v>213</v>
      </c>
      <c r="S9744" t="s">
        <v>214</v>
      </c>
      <c r="V9744" t="s">
        <v>7677</v>
      </c>
      <c r="W9744" t="s">
        <v>7678</v>
      </c>
      <c r="X9744" t="s">
        <v>7677</v>
      </c>
      <c r="Y9744" t="s">
        <v>2301</v>
      </c>
      <c r="AF9744" t="s">
        <v>19768</v>
      </c>
    </row>
    <row r="9745" spans="1:32" hidden="1" x14ac:dyDescent="0.35">
      <c r="A9745">
        <v>9744</v>
      </c>
      <c r="B9745" t="s">
        <v>19767</v>
      </c>
      <c r="C9745" t="s">
        <v>33</v>
      </c>
      <c r="D9745" t="s">
        <v>62</v>
      </c>
      <c r="E9745">
        <v>1311</v>
      </c>
      <c r="F9745">
        <v>2</v>
      </c>
      <c r="G9745">
        <v>2</v>
      </c>
      <c r="H9745">
        <v>1</v>
      </c>
      <c r="I9745">
        <v>0</v>
      </c>
      <c r="J9745">
        <v>0.99290780141844004</v>
      </c>
      <c r="K9745">
        <v>1</v>
      </c>
      <c r="L9745">
        <v>0.99644128113879005</v>
      </c>
      <c r="M9745">
        <v>0.99290780141844004</v>
      </c>
      <c r="N9745">
        <v>0.99290780141844004</v>
      </c>
      <c r="O9745">
        <v>0.99290780141844004</v>
      </c>
      <c r="R9745" t="s">
        <v>213</v>
      </c>
      <c r="S9745" t="s">
        <v>214</v>
      </c>
      <c r="V9745" t="s">
        <v>7677</v>
      </c>
      <c r="W9745" t="s">
        <v>7678</v>
      </c>
      <c r="X9745" t="s">
        <v>7677</v>
      </c>
      <c r="Y9745" t="s">
        <v>2301</v>
      </c>
      <c r="AF9745" t="s">
        <v>19769</v>
      </c>
    </row>
    <row r="9746" spans="1:32" hidden="1" x14ac:dyDescent="0.35">
      <c r="A9746">
        <v>9745</v>
      </c>
      <c r="B9746" t="s">
        <v>19770</v>
      </c>
      <c r="C9746" t="s">
        <v>33</v>
      </c>
      <c r="D9746" t="s">
        <v>34</v>
      </c>
      <c r="E9746">
        <v>1399</v>
      </c>
      <c r="F9746">
        <v>2</v>
      </c>
      <c r="G9746">
        <v>2</v>
      </c>
      <c r="H9746">
        <v>1</v>
      </c>
      <c r="I9746">
        <v>0</v>
      </c>
      <c r="J9746">
        <v>0.98456790123456805</v>
      </c>
      <c r="K9746">
        <v>1</v>
      </c>
      <c r="L9746">
        <v>0.99222395023328103</v>
      </c>
      <c r="M9746">
        <v>0.97839506172839497</v>
      </c>
      <c r="N9746">
        <v>0.97839506172839497</v>
      </c>
      <c r="O9746">
        <v>0.97839506172839497</v>
      </c>
      <c r="P9746" t="s">
        <v>19771</v>
      </c>
      <c r="Q9746" t="s">
        <v>19772</v>
      </c>
      <c r="R9746" t="s">
        <v>96</v>
      </c>
      <c r="S9746" t="s">
        <v>97</v>
      </c>
      <c r="V9746" t="s">
        <v>19773</v>
      </c>
      <c r="W9746" t="s">
        <v>19774</v>
      </c>
      <c r="AF9746" t="s">
        <v>19775</v>
      </c>
    </row>
    <row r="9747" spans="1:32" hidden="1" x14ac:dyDescent="0.35">
      <c r="A9747">
        <v>9746</v>
      </c>
      <c r="B9747" t="s">
        <v>19770</v>
      </c>
      <c r="C9747" t="s">
        <v>33</v>
      </c>
      <c r="D9747" t="s">
        <v>45</v>
      </c>
      <c r="E9747">
        <v>149</v>
      </c>
      <c r="F9747">
        <v>2</v>
      </c>
      <c r="G9747">
        <v>2</v>
      </c>
      <c r="H9747">
        <v>1</v>
      </c>
      <c r="I9747">
        <v>0</v>
      </c>
      <c r="J9747">
        <v>0.98456790123456805</v>
      </c>
      <c r="K9747">
        <v>1</v>
      </c>
      <c r="L9747">
        <v>0.99222395023328103</v>
      </c>
      <c r="M9747">
        <v>0.97839506172839497</v>
      </c>
      <c r="N9747">
        <v>0.97839506172839497</v>
      </c>
      <c r="O9747">
        <v>0.97839506172839497</v>
      </c>
      <c r="P9747" t="s">
        <v>19771</v>
      </c>
      <c r="Q9747" t="s">
        <v>19772</v>
      </c>
      <c r="R9747" t="s">
        <v>96</v>
      </c>
      <c r="S9747" t="s">
        <v>97</v>
      </c>
      <c r="V9747" t="s">
        <v>19773</v>
      </c>
      <c r="W9747" t="s">
        <v>19774</v>
      </c>
      <c r="AF9747" t="s">
        <v>19776</v>
      </c>
    </row>
    <row r="9748" spans="1:32" hidden="1" x14ac:dyDescent="0.35">
      <c r="A9748">
        <v>9747</v>
      </c>
      <c r="B9748" t="s">
        <v>19777</v>
      </c>
      <c r="C9748" t="s">
        <v>33</v>
      </c>
      <c r="D9748" t="s">
        <v>60</v>
      </c>
      <c r="E9748">
        <v>224</v>
      </c>
      <c r="F9748">
        <v>2</v>
      </c>
      <c r="G9748">
        <v>2</v>
      </c>
      <c r="H9748">
        <v>1</v>
      </c>
      <c r="I9748">
        <v>0</v>
      </c>
      <c r="J9748">
        <v>0.96539162112932597</v>
      </c>
      <c r="K9748">
        <v>0.94714222597100195</v>
      </c>
      <c r="L9748">
        <v>0.956179855699274</v>
      </c>
      <c r="M9748">
        <v>0.904392764857881</v>
      </c>
      <c r="N9748">
        <v>0.904392764857881</v>
      </c>
      <c r="O9748">
        <v>0.904392764857881</v>
      </c>
      <c r="P9748" t="s">
        <v>10135</v>
      </c>
      <c r="Q9748" t="s">
        <v>10136</v>
      </c>
      <c r="R9748" t="s">
        <v>138</v>
      </c>
      <c r="S9748" t="s">
        <v>139</v>
      </c>
      <c r="T9748" t="s">
        <v>19778</v>
      </c>
      <c r="U9748" t="s">
        <v>19779</v>
      </c>
      <c r="V9748" t="s">
        <v>15659</v>
      </c>
      <c r="W9748" t="s">
        <v>15660</v>
      </c>
      <c r="AD9748" t="s">
        <v>14436</v>
      </c>
      <c r="AE9748" t="s">
        <v>15841</v>
      </c>
      <c r="AF9748" t="s">
        <v>19780</v>
      </c>
    </row>
    <row r="9749" spans="1:32" hidden="1" x14ac:dyDescent="0.35">
      <c r="A9749">
        <v>9748</v>
      </c>
      <c r="B9749" t="s">
        <v>19777</v>
      </c>
      <c r="C9749" t="s">
        <v>33</v>
      </c>
      <c r="D9749" t="s">
        <v>62</v>
      </c>
      <c r="E9749">
        <v>301</v>
      </c>
      <c r="F9749">
        <v>2</v>
      </c>
      <c r="G9749">
        <v>2</v>
      </c>
      <c r="H9749">
        <v>1</v>
      </c>
      <c r="I9749">
        <v>0</v>
      </c>
      <c r="J9749">
        <v>0.96539162112932597</v>
      </c>
      <c r="K9749">
        <v>0.94714222597100195</v>
      </c>
      <c r="L9749">
        <v>0.956179855699274</v>
      </c>
      <c r="M9749">
        <v>0.904392764857881</v>
      </c>
      <c r="N9749">
        <v>0.904392764857881</v>
      </c>
      <c r="O9749">
        <v>0.904392764857881</v>
      </c>
      <c r="P9749" t="s">
        <v>10135</v>
      </c>
      <c r="Q9749" t="s">
        <v>10136</v>
      </c>
      <c r="R9749" t="s">
        <v>138</v>
      </c>
      <c r="S9749" t="s">
        <v>139</v>
      </c>
      <c r="T9749" t="s">
        <v>19778</v>
      </c>
      <c r="U9749" t="s">
        <v>19779</v>
      </c>
      <c r="V9749" t="s">
        <v>15659</v>
      </c>
      <c r="W9749" t="s">
        <v>15660</v>
      </c>
      <c r="AD9749" t="s">
        <v>14436</v>
      </c>
      <c r="AE9749" t="s">
        <v>15841</v>
      </c>
      <c r="AF9749" t="s">
        <v>19781</v>
      </c>
    </row>
    <row r="9750" spans="1:32" hidden="1" x14ac:dyDescent="0.35">
      <c r="A9750">
        <v>9749</v>
      </c>
      <c r="B9750" t="s">
        <v>19782</v>
      </c>
      <c r="C9750" t="s">
        <v>33</v>
      </c>
      <c r="D9750" t="s">
        <v>34</v>
      </c>
      <c r="E9750">
        <v>2047</v>
      </c>
      <c r="F9750">
        <v>2</v>
      </c>
      <c r="G9750">
        <v>2</v>
      </c>
      <c r="H9750">
        <v>1</v>
      </c>
      <c r="I9750">
        <v>0</v>
      </c>
      <c r="J9750">
        <v>0.97708333333333297</v>
      </c>
      <c r="K9750">
        <v>1</v>
      </c>
      <c r="L9750">
        <v>0.98840885142254997</v>
      </c>
      <c r="M9750">
        <v>0.96875</v>
      </c>
      <c r="N9750">
        <v>0.96875</v>
      </c>
      <c r="O9750">
        <v>0.96875</v>
      </c>
      <c r="AF9750" t="s">
        <v>19783</v>
      </c>
    </row>
    <row r="9751" spans="1:32" hidden="1" x14ac:dyDescent="0.35">
      <c r="A9751">
        <v>9750</v>
      </c>
      <c r="B9751" t="s">
        <v>19782</v>
      </c>
      <c r="C9751" t="s">
        <v>33</v>
      </c>
      <c r="D9751" t="s">
        <v>45</v>
      </c>
      <c r="E9751">
        <v>825</v>
      </c>
      <c r="F9751">
        <v>2</v>
      </c>
      <c r="G9751">
        <v>2</v>
      </c>
      <c r="H9751">
        <v>1</v>
      </c>
      <c r="I9751">
        <v>0</v>
      </c>
      <c r="J9751">
        <v>0.97708333333333297</v>
      </c>
      <c r="K9751">
        <v>1</v>
      </c>
      <c r="L9751">
        <v>0.98840885142254997</v>
      </c>
      <c r="M9751">
        <v>0.96875</v>
      </c>
      <c r="N9751">
        <v>0.96875</v>
      </c>
      <c r="O9751">
        <v>0.96875</v>
      </c>
      <c r="AF9751" t="s">
        <v>19784</v>
      </c>
    </row>
    <row r="9752" spans="1:32" hidden="1" x14ac:dyDescent="0.35">
      <c r="A9752">
        <v>9751</v>
      </c>
      <c r="B9752" t="s">
        <v>19785</v>
      </c>
      <c r="C9752" t="s">
        <v>33</v>
      </c>
      <c r="D9752" t="s">
        <v>34</v>
      </c>
      <c r="E9752">
        <v>440</v>
      </c>
      <c r="F9752">
        <v>2</v>
      </c>
      <c r="G9752">
        <v>2</v>
      </c>
      <c r="H9752">
        <v>1</v>
      </c>
      <c r="I9752">
        <v>0</v>
      </c>
      <c r="J9752">
        <v>0.99238095238095203</v>
      </c>
      <c r="K9752">
        <v>1</v>
      </c>
      <c r="L9752">
        <v>0.99617590822179702</v>
      </c>
      <c r="M9752">
        <v>0.98857142857142899</v>
      </c>
      <c r="N9752">
        <v>0.98857142857142899</v>
      </c>
      <c r="O9752">
        <v>0.98857142857142899</v>
      </c>
      <c r="AF9752" t="s">
        <v>19786</v>
      </c>
    </row>
    <row r="9753" spans="1:32" hidden="1" x14ac:dyDescent="0.35">
      <c r="A9753">
        <v>9752</v>
      </c>
      <c r="B9753" t="s">
        <v>19785</v>
      </c>
      <c r="C9753" t="s">
        <v>33</v>
      </c>
      <c r="D9753" t="s">
        <v>45</v>
      </c>
      <c r="E9753">
        <v>1703</v>
      </c>
      <c r="F9753">
        <v>2</v>
      </c>
      <c r="G9753">
        <v>2</v>
      </c>
      <c r="H9753">
        <v>1</v>
      </c>
      <c r="I9753">
        <v>0</v>
      </c>
      <c r="J9753">
        <v>0.99238095238095203</v>
      </c>
      <c r="K9753">
        <v>1</v>
      </c>
      <c r="L9753">
        <v>0.99617590822179702</v>
      </c>
      <c r="M9753">
        <v>0.98857142857142899</v>
      </c>
      <c r="N9753">
        <v>0.98857142857142899</v>
      </c>
      <c r="O9753">
        <v>0.98857142857142899</v>
      </c>
      <c r="AF9753" t="s">
        <v>19787</v>
      </c>
    </row>
    <row r="9754" spans="1:32" hidden="1" x14ac:dyDescent="0.35">
      <c r="A9754">
        <v>9753</v>
      </c>
      <c r="B9754" t="s">
        <v>19788</v>
      </c>
      <c r="C9754" t="s">
        <v>33</v>
      </c>
      <c r="D9754" t="s">
        <v>34</v>
      </c>
      <c r="E9754">
        <v>710</v>
      </c>
      <c r="F9754">
        <v>2</v>
      </c>
      <c r="G9754">
        <v>2</v>
      </c>
      <c r="H9754">
        <v>1</v>
      </c>
      <c r="I9754">
        <v>0</v>
      </c>
      <c r="J9754">
        <v>0.93577981651376196</v>
      </c>
      <c r="K9754">
        <v>0.97340973702914002</v>
      </c>
      <c r="L9754">
        <v>0.95422393593080002</v>
      </c>
      <c r="M9754">
        <v>0.90476190476190499</v>
      </c>
      <c r="N9754">
        <v>0.90476190476190499</v>
      </c>
      <c r="O9754">
        <v>0.90476190476190499</v>
      </c>
      <c r="AF9754" t="s">
        <v>19789</v>
      </c>
    </row>
    <row r="9755" spans="1:32" hidden="1" x14ac:dyDescent="0.35">
      <c r="A9755">
        <v>9754</v>
      </c>
      <c r="B9755" t="s">
        <v>19788</v>
      </c>
      <c r="C9755" t="s">
        <v>33</v>
      </c>
      <c r="D9755" t="s">
        <v>45</v>
      </c>
      <c r="E9755">
        <v>1977</v>
      </c>
      <c r="F9755">
        <v>2</v>
      </c>
      <c r="G9755">
        <v>2</v>
      </c>
      <c r="H9755">
        <v>1</v>
      </c>
      <c r="I9755">
        <v>0</v>
      </c>
      <c r="J9755">
        <v>0.93577981651376196</v>
      </c>
      <c r="K9755">
        <v>0.97340973702914002</v>
      </c>
      <c r="L9755">
        <v>0.95422393593080002</v>
      </c>
      <c r="M9755">
        <v>0.90476190476190499</v>
      </c>
      <c r="N9755">
        <v>0.90476190476190499</v>
      </c>
      <c r="O9755">
        <v>0.90476190476190499</v>
      </c>
      <c r="AF9755" t="s">
        <v>19790</v>
      </c>
    </row>
    <row r="9756" spans="1:32" hidden="1" x14ac:dyDescent="0.35">
      <c r="A9756">
        <v>9755</v>
      </c>
      <c r="B9756" t="s">
        <v>19791</v>
      </c>
      <c r="C9756" t="s">
        <v>33</v>
      </c>
      <c r="D9756" t="s">
        <v>34</v>
      </c>
      <c r="E9756">
        <v>462</v>
      </c>
      <c r="F9756">
        <v>2</v>
      </c>
      <c r="G9756">
        <v>2</v>
      </c>
      <c r="H9756">
        <v>1</v>
      </c>
      <c r="I9756">
        <v>0</v>
      </c>
      <c r="J9756">
        <v>0.97350993377483397</v>
      </c>
      <c r="K9756">
        <v>1</v>
      </c>
      <c r="L9756">
        <v>0.98657718120805404</v>
      </c>
      <c r="M9756">
        <v>0.96026490066225201</v>
      </c>
      <c r="N9756">
        <v>0.96026490066225201</v>
      </c>
      <c r="O9756">
        <v>0.96026490066225201</v>
      </c>
      <c r="AF9756" t="s">
        <v>19792</v>
      </c>
    </row>
    <row r="9757" spans="1:32" hidden="1" x14ac:dyDescent="0.35">
      <c r="A9757">
        <v>9756</v>
      </c>
      <c r="B9757" t="s">
        <v>19791</v>
      </c>
      <c r="C9757" t="s">
        <v>33</v>
      </c>
      <c r="D9757" t="s">
        <v>45</v>
      </c>
      <c r="E9757">
        <v>1725</v>
      </c>
      <c r="F9757">
        <v>2</v>
      </c>
      <c r="G9757">
        <v>2</v>
      </c>
      <c r="H9757">
        <v>1</v>
      </c>
      <c r="I9757">
        <v>0</v>
      </c>
      <c r="J9757">
        <v>0.97350993377483397</v>
      </c>
      <c r="K9757">
        <v>1</v>
      </c>
      <c r="L9757">
        <v>0.98657718120805404</v>
      </c>
      <c r="M9757">
        <v>0.96026490066225201</v>
      </c>
      <c r="N9757">
        <v>0.96026490066225201</v>
      </c>
      <c r="O9757">
        <v>0.96026490066225201</v>
      </c>
      <c r="AF9757" t="s">
        <v>19793</v>
      </c>
    </row>
    <row r="9758" spans="1:32" hidden="1" x14ac:dyDescent="0.35">
      <c r="A9758">
        <v>9757</v>
      </c>
      <c r="B9758" t="s">
        <v>19794</v>
      </c>
      <c r="C9758" t="s">
        <v>33</v>
      </c>
      <c r="D9758" t="s">
        <v>60</v>
      </c>
      <c r="E9758">
        <v>39</v>
      </c>
      <c r="F9758">
        <v>2</v>
      </c>
      <c r="G9758">
        <v>2</v>
      </c>
      <c r="H9758">
        <v>1</v>
      </c>
      <c r="I9758">
        <v>0</v>
      </c>
      <c r="J9758">
        <v>0.98646362098138796</v>
      </c>
      <c r="K9758">
        <v>1</v>
      </c>
      <c r="L9758">
        <v>0.993185689948893</v>
      </c>
      <c r="M9758">
        <v>0.98477157360406098</v>
      </c>
      <c r="N9758">
        <v>0.98477157360406098</v>
      </c>
      <c r="O9758">
        <v>0.98477157360406098</v>
      </c>
      <c r="P9758" t="s">
        <v>19795</v>
      </c>
      <c r="Q9758" t="s">
        <v>10223</v>
      </c>
      <c r="R9758" t="s">
        <v>10224</v>
      </c>
      <c r="S9758" t="s">
        <v>10225</v>
      </c>
      <c r="V9758" t="s">
        <v>10228</v>
      </c>
      <c r="W9758" t="s">
        <v>10229</v>
      </c>
      <c r="AF9758" t="s">
        <v>19796</v>
      </c>
    </row>
    <row r="9759" spans="1:32" hidden="1" x14ac:dyDescent="0.35">
      <c r="A9759">
        <v>9758</v>
      </c>
      <c r="B9759" t="s">
        <v>19794</v>
      </c>
      <c r="C9759" t="s">
        <v>33</v>
      </c>
      <c r="D9759" t="s">
        <v>62</v>
      </c>
      <c r="E9759">
        <v>112</v>
      </c>
      <c r="F9759">
        <v>2</v>
      </c>
      <c r="G9759">
        <v>2</v>
      </c>
      <c r="H9759">
        <v>1</v>
      </c>
      <c r="I9759">
        <v>0</v>
      </c>
      <c r="J9759">
        <v>0.98646362098138796</v>
      </c>
      <c r="K9759">
        <v>1</v>
      </c>
      <c r="L9759">
        <v>0.993185689948893</v>
      </c>
      <c r="M9759">
        <v>0.98477157360406098</v>
      </c>
      <c r="N9759">
        <v>0.98477157360406098</v>
      </c>
      <c r="O9759">
        <v>0.98477157360406098</v>
      </c>
      <c r="P9759" t="s">
        <v>19795</v>
      </c>
      <c r="Q9759" t="s">
        <v>10223</v>
      </c>
      <c r="R9759" t="s">
        <v>10224</v>
      </c>
      <c r="S9759" t="s">
        <v>10225</v>
      </c>
      <c r="V9759" t="s">
        <v>10228</v>
      </c>
      <c r="W9759" t="s">
        <v>10229</v>
      </c>
      <c r="AF9759" t="s">
        <v>19797</v>
      </c>
    </row>
    <row r="9760" spans="1:32" hidden="1" x14ac:dyDescent="0.35">
      <c r="A9760">
        <v>9759</v>
      </c>
      <c r="B9760" t="s">
        <v>19798</v>
      </c>
      <c r="C9760" t="s">
        <v>33</v>
      </c>
      <c r="D9760" t="s">
        <v>34</v>
      </c>
      <c r="E9760">
        <v>1156</v>
      </c>
      <c r="F9760">
        <v>2</v>
      </c>
      <c r="G9760">
        <v>2</v>
      </c>
      <c r="H9760">
        <v>1</v>
      </c>
      <c r="I9760">
        <v>0</v>
      </c>
      <c r="J9760">
        <v>0.97463768115941996</v>
      </c>
      <c r="K9760">
        <v>0.98579109062979997</v>
      </c>
      <c r="L9760">
        <v>0.98018265851318098</v>
      </c>
      <c r="M9760">
        <v>0.95357142857142896</v>
      </c>
      <c r="N9760">
        <v>0.95357142857142896</v>
      </c>
      <c r="O9760">
        <v>0.95357142857142896</v>
      </c>
      <c r="AF9760" t="s">
        <v>19799</v>
      </c>
    </row>
    <row r="9761" spans="1:32" hidden="1" x14ac:dyDescent="0.35">
      <c r="A9761">
        <v>9760</v>
      </c>
      <c r="B9761" t="s">
        <v>19798</v>
      </c>
      <c r="C9761" t="s">
        <v>33</v>
      </c>
      <c r="D9761" t="s">
        <v>45</v>
      </c>
      <c r="E9761">
        <v>2401</v>
      </c>
      <c r="F9761">
        <v>2</v>
      </c>
      <c r="G9761">
        <v>2</v>
      </c>
      <c r="H9761">
        <v>1</v>
      </c>
      <c r="I9761">
        <v>0</v>
      </c>
      <c r="J9761">
        <v>0.97463768115941996</v>
      </c>
      <c r="K9761">
        <v>0.98579109062979997</v>
      </c>
      <c r="L9761">
        <v>0.98018265851318098</v>
      </c>
      <c r="M9761">
        <v>0.95357142857142896</v>
      </c>
      <c r="N9761">
        <v>0.95357142857142896</v>
      </c>
      <c r="O9761">
        <v>0.95357142857142896</v>
      </c>
      <c r="AF9761" t="s">
        <v>19800</v>
      </c>
    </row>
    <row r="9762" spans="1:32" hidden="1" x14ac:dyDescent="0.35">
      <c r="A9762">
        <v>9761</v>
      </c>
      <c r="B9762" t="s">
        <v>19801</v>
      </c>
      <c r="C9762" t="s">
        <v>33</v>
      </c>
      <c r="D9762" t="s">
        <v>34</v>
      </c>
      <c r="E9762">
        <v>2104</v>
      </c>
      <c r="F9762">
        <v>2</v>
      </c>
      <c r="G9762">
        <v>2</v>
      </c>
      <c r="H9762">
        <v>1</v>
      </c>
      <c r="I9762">
        <v>0</v>
      </c>
      <c r="J9762">
        <v>0.95402298850574696</v>
      </c>
      <c r="K9762">
        <v>0.92812037774490996</v>
      </c>
      <c r="L9762">
        <v>0.94089344345021697</v>
      </c>
      <c r="M9762">
        <v>0.86170212765957399</v>
      </c>
      <c r="N9762">
        <v>0.86170212765957399</v>
      </c>
      <c r="O9762">
        <v>0.86170212765957399</v>
      </c>
      <c r="AF9762" t="e">
        <f>--------------MKQHSTTYCATTMLTALVALVLLTACGSETTAPTELGYLRPRDWHTITDMKDTIRTLTGGCAAYTDIDGIGSCAEGDQQTYLFTIDPADLDPATTQPRAGTITMTARAQAEERNVAAAVLIGPRWQIACYGAHALSNCSVLRGAFDMKTMDVYNLERADNADDFRTDVTVRIRD</f>
        <v>#NAME?</v>
      </c>
    </row>
    <row r="9763" spans="1:32" hidden="1" x14ac:dyDescent="0.35">
      <c r="A9763">
        <v>9762</v>
      </c>
      <c r="B9763" t="s">
        <v>19801</v>
      </c>
      <c r="C9763" t="s">
        <v>33</v>
      </c>
      <c r="D9763" t="s">
        <v>45</v>
      </c>
      <c r="E9763">
        <v>768</v>
      </c>
      <c r="F9763">
        <v>2</v>
      </c>
      <c r="G9763">
        <v>2</v>
      </c>
      <c r="H9763">
        <v>1</v>
      </c>
      <c r="I9763">
        <v>0</v>
      </c>
      <c r="J9763">
        <v>0.95402298850574696</v>
      </c>
      <c r="K9763">
        <v>0.92812037774490996</v>
      </c>
      <c r="L9763">
        <v>0.94089344345021697</v>
      </c>
      <c r="M9763">
        <v>0.86170212765957399</v>
      </c>
      <c r="N9763">
        <v>0.86170212765957399</v>
      </c>
      <c r="O9763">
        <v>0.86170212765957399</v>
      </c>
      <c r="AF9763" t="s">
        <v>19802</v>
      </c>
    </row>
    <row r="9764" spans="1:32" hidden="1" x14ac:dyDescent="0.35">
      <c r="A9764">
        <v>9763</v>
      </c>
      <c r="B9764" t="s">
        <v>19803</v>
      </c>
      <c r="C9764" t="s">
        <v>33</v>
      </c>
      <c r="D9764" t="s">
        <v>34</v>
      </c>
      <c r="E9764">
        <v>764</v>
      </c>
      <c r="F9764">
        <v>2</v>
      </c>
      <c r="G9764">
        <v>2</v>
      </c>
      <c r="H9764">
        <v>1</v>
      </c>
      <c r="I9764">
        <v>0</v>
      </c>
      <c r="J9764">
        <v>0.983245149911817</v>
      </c>
      <c r="K9764">
        <v>1</v>
      </c>
      <c r="L9764">
        <v>0.99155180080035599</v>
      </c>
      <c r="M9764">
        <v>0.97619047619047605</v>
      </c>
      <c r="N9764">
        <v>0.97619047619047605</v>
      </c>
      <c r="O9764">
        <v>0.97619047619047605</v>
      </c>
      <c r="P9764" t="s">
        <v>6606</v>
      </c>
      <c r="Q9764" t="s">
        <v>6607</v>
      </c>
      <c r="R9764" t="s">
        <v>1191</v>
      </c>
      <c r="S9764" t="s">
        <v>1192</v>
      </c>
      <c r="T9764" t="s">
        <v>6602</v>
      </c>
      <c r="U9764" t="s">
        <v>6603</v>
      </c>
      <c r="V9764" t="s">
        <v>6600</v>
      </c>
      <c r="W9764" t="s">
        <v>6601</v>
      </c>
      <c r="AD9764" t="s">
        <v>1998</v>
      </c>
      <c r="AE9764" t="s">
        <v>6604</v>
      </c>
      <c r="AF9764" t="s">
        <v>19804</v>
      </c>
    </row>
    <row r="9765" spans="1:32" hidden="1" x14ac:dyDescent="0.35">
      <c r="A9765">
        <v>9764</v>
      </c>
      <c r="B9765" t="s">
        <v>19803</v>
      </c>
      <c r="C9765" t="s">
        <v>33</v>
      </c>
      <c r="D9765" t="s">
        <v>45</v>
      </c>
      <c r="E9765">
        <v>2030</v>
      </c>
      <c r="F9765">
        <v>2</v>
      </c>
      <c r="G9765">
        <v>2</v>
      </c>
      <c r="H9765">
        <v>1</v>
      </c>
      <c r="I9765">
        <v>0</v>
      </c>
      <c r="J9765">
        <v>0.983245149911817</v>
      </c>
      <c r="K9765">
        <v>1</v>
      </c>
      <c r="L9765">
        <v>0.99155180080035599</v>
      </c>
      <c r="M9765">
        <v>0.97619047619047605</v>
      </c>
      <c r="N9765">
        <v>0.97619047619047605</v>
      </c>
      <c r="O9765">
        <v>0.97619047619047605</v>
      </c>
      <c r="P9765" t="s">
        <v>6606</v>
      </c>
      <c r="Q9765" t="s">
        <v>6607</v>
      </c>
      <c r="R9765" t="s">
        <v>1191</v>
      </c>
      <c r="S9765" t="s">
        <v>1192</v>
      </c>
      <c r="T9765" t="s">
        <v>6602</v>
      </c>
      <c r="U9765" t="s">
        <v>6603</v>
      </c>
      <c r="V9765" t="s">
        <v>6600</v>
      </c>
      <c r="W9765" t="s">
        <v>6601</v>
      </c>
      <c r="AD9765" t="s">
        <v>1998</v>
      </c>
      <c r="AE9765" t="s">
        <v>6604</v>
      </c>
      <c r="AF9765" t="s">
        <v>19805</v>
      </c>
    </row>
    <row r="9766" spans="1:32" hidden="1" x14ac:dyDescent="0.35">
      <c r="A9766">
        <v>9765</v>
      </c>
      <c r="B9766" t="s">
        <v>19806</v>
      </c>
      <c r="C9766" t="s">
        <v>33</v>
      </c>
      <c r="D9766" t="s">
        <v>34</v>
      </c>
      <c r="E9766">
        <v>648</v>
      </c>
      <c r="F9766">
        <v>2</v>
      </c>
      <c r="G9766">
        <v>2</v>
      </c>
      <c r="H9766">
        <v>1</v>
      </c>
      <c r="I9766">
        <v>0</v>
      </c>
      <c r="J9766">
        <v>0.99247554552295003</v>
      </c>
      <c r="K9766">
        <v>1</v>
      </c>
      <c r="L9766">
        <v>0.99622356495468301</v>
      </c>
      <c r="M9766">
        <v>0.98645598194130901</v>
      </c>
      <c r="N9766">
        <v>0.98645598194130901</v>
      </c>
      <c r="O9766">
        <v>0.98645598194130901</v>
      </c>
      <c r="P9766" t="s">
        <v>19807</v>
      </c>
      <c r="Q9766" t="s">
        <v>19808</v>
      </c>
      <c r="T9766" t="s">
        <v>19809</v>
      </c>
      <c r="U9766" t="s">
        <v>19810</v>
      </c>
      <c r="AD9766" t="s">
        <v>4789</v>
      </c>
      <c r="AE9766" t="s">
        <v>4790</v>
      </c>
      <c r="AF9766" t="s">
        <v>19811</v>
      </c>
    </row>
    <row r="9767" spans="1:32" hidden="1" x14ac:dyDescent="0.35">
      <c r="A9767">
        <v>9766</v>
      </c>
      <c r="B9767" t="s">
        <v>19806</v>
      </c>
      <c r="C9767" t="s">
        <v>33</v>
      </c>
      <c r="D9767" t="s">
        <v>45</v>
      </c>
      <c r="E9767">
        <v>1914</v>
      </c>
      <c r="F9767">
        <v>2</v>
      </c>
      <c r="G9767">
        <v>2</v>
      </c>
      <c r="H9767">
        <v>1</v>
      </c>
      <c r="I9767">
        <v>0</v>
      </c>
      <c r="J9767">
        <v>0.99247554552295003</v>
      </c>
      <c r="K9767">
        <v>1</v>
      </c>
      <c r="L9767">
        <v>0.99622356495468301</v>
      </c>
      <c r="M9767">
        <v>0.98645598194130901</v>
      </c>
      <c r="N9767">
        <v>0.98645598194130901</v>
      </c>
      <c r="O9767">
        <v>0.98645598194130901</v>
      </c>
      <c r="P9767" t="s">
        <v>19807</v>
      </c>
      <c r="Q9767" t="s">
        <v>19808</v>
      </c>
      <c r="T9767" t="s">
        <v>19809</v>
      </c>
      <c r="U9767" t="s">
        <v>19810</v>
      </c>
      <c r="AD9767" t="s">
        <v>4789</v>
      </c>
      <c r="AE9767" t="s">
        <v>4790</v>
      </c>
      <c r="AF9767" t="s">
        <v>19812</v>
      </c>
    </row>
    <row r="9768" spans="1:32" hidden="1" x14ac:dyDescent="0.35">
      <c r="A9768">
        <v>9767</v>
      </c>
      <c r="B9768" t="s">
        <v>19813</v>
      </c>
      <c r="C9768" t="s">
        <v>33</v>
      </c>
      <c r="D9768" t="s">
        <v>34</v>
      </c>
      <c r="E9768">
        <v>2228</v>
      </c>
      <c r="F9768">
        <v>2</v>
      </c>
      <c r="G9768">
        <v>2</v>
      </c>
      <c r="H9768">
        <v>1</v>
      </c>
      <c r="I9768">
        <v>0</v>
      </c>
      <c r="J9768">
        <v>0.92922374429223698</v>
      </c>
      <c r="K9768">
        <v>0.99319727891156295</v>
      </c>
      <c r="L9768">
        <v>0.96014606914046896</v>
      </c>
      <c r="M9768">
        <v>0.90476190476190499</v>
      </c>
      <c r="N9768">
        <v>0.90476190476190499</v>
      </c>
      <c r="O9768">
        <v>0.90476190476190499</v>
      </c>
      <c r="AF9768" t="s">
        <v>19814</v>
      </c>
    </row>
    <row r="9769" spans="1:32" hidden="1" x14ac:dyDescent="0.35">
      <c r="A9769">
        <v>9768</v>
      </c>
      <c r="B9769" t="s">
        <v>19813</v>
      </c>
      <c r="C9769" t="s">
        <v>33</v>
      </c>
      <c r="D9769" t="s">
        <v>45</v>
      </c>
      <c r="E9769">
        <v>646</v>
      </c>
      <c r="F9769">
        <v>2</v>
      </c>
      <c r="G9769">
        <v>2</v>
      </c>
      <c r="H9769">
        <v>1</v>
      </c>
      <c r="I9769">
        <v>0</v>
      </c>
      <c r="J9769">
        <v>0.92922374429223698</v>
      </c>
      <c r="K9769">
        <v>0.99319727891156295</v>
      </c>
      <c r="L9769">
        <v>0.96014606914046896</v>
      </c>
      <c r="M9769">
        <v>0.90476190476190499</v>
      </c>
      <c r="N9769">
        <v>0.90476190476190499</v>
      </c>
      <c r="O9769">
        <v>0.90476190476190499</v>
      </c>
      <c r="AF9769" t="s">
        <v>19815</v>
      </c>
    </row>
    <row r="9770" spans="1:32" hidden="1" x14ac:dyDescent="0.35">
      <c r="A9770">
        <v>9769</v>
      </c>
      <c r="B9770" t="s">
        <v>19816</v>
      </c>
      <c r="C9770" t="s">
        <v>33</v>
      </c>
      <c r="D9770" t="s">
        <v>60</v>
      </c>
      <c r="E9770">
        <v>88</v>
      </c>
      <c r="F9770">
        <v>2</v>
      </c>
      <c r="G9770">
        <v>2</v>
      </c>
      <c r="H9770">
        <v>1</v>
      </c>
      <c r="I9770">
        <v>0</v>
      </c>
      <c r="J9770">
        <v>0.97938144329896903</v>
      </c>
      <c r="K9770">
        <v>1</v>
      </c>
      <c r="L9770">
        <v>0.98958333333333304</v>
      </c>
      <c r="M9770">
        <v>0.97938144329896903</v>
      </c>
      <c r="N9770">
        <v>0.97938144329896903</v>
      </c>
      <c r="O9770">
        <v>0.97938144329896903</v>
      </c>
      <c r="AF9770" t="s">
        <v>19817</v>
      </c>
    </row>
    <row r="9771" spans="1:32" hidden="1" x14ac:dyDescent="0.35">
      <c r="A9771">
        <v>9770</v>
      </c>
      <c r="B9771" t="s">
        <v>19816</v>
      </c>
      <c r="C9771" t="s">
        <v>33</v>
      </c>
      <c r="D9771" t="s">
        <v>62</v>
      </c>
      <c r="E9771">
        <v>159</v>
      </c>
      <c r="F9771">
        <v>2</v>
      </c>
      <c r="G9771">
        <v>2</v>
      </c>
      <c r="H9771">
        <v>1</v>
      </c>
      <c r="I9771">
        <v>0</v>
      </c>
      <c r="J9771">
        <v>0.97938144329896903</v>
      </c>
      <c r="K9771">
        <v>1</v>
      </c>
      <c r="L9771">
        <v>0.98958333333333304</v>
      </c>
      <c r="M9771">
        <v>0.97938144329896903</v>
      </c>
      <c r="N9771">
        <v>0.97938144329896903</v>
      </c>
      <c r="O9771">
        <v>0.97938144329896903</v>
      </c>
      <c r="AF9771" t="s">
        <v>19818</v>
      </c>
    </row>
    <row r="9772" spans="1:32" hidden="1" x14ac:dyDescent="0.35">
      <c r="A9772">
        <v>9771</v>
      </c>
      <c r="B9772" t="s">
        <v>19819</v>
      </c>
      <c r="C9772" t="s">
        <v>33</v>
      </c>
      <c r="D9772" t="s">
        <v>34</v>
      </c>
      <c r="E9772">
        <v>1525</v>
      </c>
      <c r="F9772">
        <v>2</v>
      </c>
      <c r="G9772">
        <v>2</v>
      </c>
      <c r="H9772">
        <v>1</v>
      </c>
      <c r="I9772">
        <v>0</v>
      </c>
      <c r="J9772">
        <v>0.93427230046948395</v>
      </c>
      <c r="K9772">
        <v>1</v>
      </c>
      <c r="L9772">
        <v>0.96601941747572795</v>
      </c>
      <c r="M9772">
        <v>0.91549295774647899</v>
      </c>
      <c r="N9772">
        <v>0.91549295774647899</v>
      </c>
      <c r="O9772">
        <v>0.91549295774647899</v>
      </c>
      <c r="AF9772" t="s">
        <v>19820</v>
      </c>
    </row>
    <row r="9773" spans="1:32" hidden="1" x14ac:dyDescent="0.35">
      <c r="A9773">
        <v>9772</v>
      </c>
      <c r="B9773" t="s">
        <v>19819</v>
      </c>
      <c r="C9773" t="s">
        <v>33</v>
      </c>
      <c r="D9773" t="s">
        <v>45</v>
      </c>
      <c r="E9773">
        <v>274</v>
      </c>
      <c r="F9773">
        <v>2</v>
      </c>
      <c r="G9773">
        <v>2</v>
      </c>
      <c r="H9773">
        <v>1</v>
      </c>
      <c r="I9773">
        <v>0</v>
      </c>
      <c r="J9773">
        <v>0.93427230046948395</v>
      </c>
      <c r="K9773">
        <v>1</v>
      </c>
      <c r="L9773">
        <v>0.96601941747572795</v>
      </c>
      <c r="M9773">
        <v>0.91549295774647899</v>
      </c>
      <c r="N9773">
        <v>0.91549295774647899</v>
      </c>
      <c r="O9773">
        <v>0.91549295774647899</v>
      </c>
      <c r="AF9773" t="s">
        <v>19821</v>
      </c>
    </row>
    <row r="9774" spans="1:32" hidden="1" x14ac:dyDescent="0.35">
      <c r="A9774">
        <v>9773</v>
      </c>
      <c r="B9774" t="s">
        <v>19822</v>
      </c>
      <c r="C9774" t="s">
        <v>33</v>
      </c>
      <c r="D9774" t="s">
        <v>34</v>
      </c>
      <c r="E9774">
        <v>1162</v>
      </c>
      <c r="F9774">
        <v>2</v>
      </c>
      <c r="G9774">
        <v>2</v>
      </c>
      <c r="H9774">
        <v>1</v>
      </c>
      <c r="I9774">
        <v>0</v>
      </c>
      <c r="J9774">
        <v>0.99284009546539398</v>
      </c>
      <c r="K9774">
        <v>1</v>
      </c>
      <c r="L9774">
        <v>0.99640718562874298</v>
      </c>
      <c r="M9774">
        <v>0.99284009546539398</v>
      </c>
      <c r="N9774">
        <v>0.99284009546539398</v>
      </c>
      <c r="O9774">
        <v>0.99284009546539398</v>
      </c>
      <c r="P9774" t="s">
        <v>17775</v>
      </c>
      <c r="Q9774" t="s">
        <v>17776</v>
      </c>
      <c r="AF9774" t="s">
        <v>19823</v>
      </c>
    </row>
    <row r="9775" spans="1:32" hidden="1" x14ac:dyDescent="0.35">
      <c r="A9775">
        <v>9774</v>
      </c>
      <c r="B9775" t="s">
        <v>19822</v>
      </c>
      <c r="C9775" t="s">
        <v>33</v>
      </c>
      <c r="D9775" t="s">
        <v>45</v>
      </c>
      <c r="E9775">
        <v>2407</v>
      </c>
      <c r="F9775">
        <v>2</v>
      </c>
      <c r="G9775">
        <v>2</v>
      </c>
      <c r="H9775">
        <v>1</v>
      </c>
      <c r="I9775">
        <v>0</v>
      </c>
      <c r="J9775">
        <v>0.99284009546539398</v>
      </c>
      <c r="K9775">
        <v>1</v>
      </c>
      <c r="L9775">
        <v>0.99640718562874298</v>
      </c>
      <c r="M9775">
        <v>0.99284009546539398</v>
      </c>
      <c r="N9775">
        <v>0.99284009546539398</v>
      </c>
      <c r="O9775">
        <v>0.99284009546539398</v>
      </c>
      <c r="P9775" t="s">
        <v>17775</v>
      </c>
      <c r="Q9775" t="s">
        <v>17776</v>
      </c>
      <c r="AF9775" t="s">
        <v>19824</v>
      </c>
    </row>
    <row r="9776" spans="1:32" hidden="1" x14ac:dyDescent="0.35">
      <c r="A9776">
        <v>9775</v>
      </c>
      <c r="B9776" t="s">
        <v>19825</v>
      </c>
      <c r="C9776" t="s">
        <v>33</v>
      </c>
      <c r="D9776" t="s">
        <v>60</v>
      </c>
      <c r="E9776">
        <v>69</v>
      </c>
      <c r="F9776">
        <v>2</v>
      </c>
      <c r="G9776">
        <v>2</v>
      </c>
      <c r="H9776">
        <v>1</v>
      </c>
      <c r="I9776">
        <v>0</v>
      </c>
      <c r="J9776">
        <v>0.98784722222222199</v>
      </c>
      <c r="K9776">
        <v>1</v>
      </c>
      <c r="L9776">
        <v>0.99388646288209603</v>
      </c>
      <c r="M9776">
        <v>0.984375</v>
      </c>
      <c r="N9776">
        <v>0.984375</v>
      </c>
      <c r="O9776">
        <v>0.984375</v>
      </c>
      <c r="P9776" t="s">
        <v>3814</v>
      </c>
      <c r="Q9776" t="s">
        <v>3815</v>
      </c>
      <c r="R9776" t="s">
        <v>3970</v>
      </c>
      <c r="S9776" t="s">
        <v>3971</v>
      </c>
      <c r="T9776" t="s">
        <v>15209</v>
      </c>
      <c r="U9776" t="s">
        <v>15210</v>
      </c>
      <c r="V9776" t="s">
        <v>15211</v>
      </c>
      <c r="W9776" t="s">
        <v>15212</v>
      </c>
      <c r="AD9776" t="s">
        <v>410</v>
      </c>
      <c r="AE9776" t="s">
        <v>563</v>
      </c>
      <c r="AF9776" t="s">
        <v>19826</v>
      </c>
    </row>
    <row r="9777" spans="1:32" hidden="1" x14ac:dyDescent="0.35">
      <c r="A9777">
        <v>9776</v>
      </c>
      <c r="B9777" t="s">
        <v>19825</v>
      </c>
      <c r="C9777" t="s">
        <v>33</v>
      </c>
      <c r="D9777" t="s">
        <v>62</v>
      </c>
      <c r="E9777">
        <v>142</v>
      </c>
      <c r="F9777">
        <v>2</v>
      </c>
      <c r="G9777">
        <v>2</v>
      </c>
      <c r="H9777">
        <v>1</v>
      </c>
      <c r="I9777">
        <v>0</v>
      </c>
      <c r="J9777">
        <v>0.98784722222222199</v>
      </c>
      <c r="K9777">
        <v>1</v>
      </c>
      <c r="L9777">
        <v>0.99388646288209603</v>
      </c>
      <c r="M9777">
        <v>0.984375</v>
      </c>
      <c r="N9777">
        <v>0.984375</v>
      </c>
      <c r="O9777">
        <v>0.984375</v>
      </c>
      <c r="P9777" t="s">
        <v>3814</v>
      </c>
      <c r="Q9777" t="s">
        <v>3815</v>
      </c>
      <c r="R9777" t="s">
        <v>3970</v>
      </c>
      <c r="S9777" t="s">
        <v>3971</v>
      </c>
      <c r="T9777" t="s">
        <v>15209</v>
      </c>
      <c r="U9777" t="s">
        <v>15210</v>
      </c>
      <c r="V9777" t="s">
        <v>15211</v>
      </c>
      <c r="W9777" t="s">
        <v>15212</v>
      </c>
      <c r="AD9777" t="s">
        <v>410</v>
      </c>
      <c r="AE9777" t="s">
        <v>563</v>
      </c>
      <c r="AF9777" t="s">
        <v>19827</v>
      </c>
    </row>
    <row r="9778" spans="1:32" hidden="1" x14ac:dyDescent="0.35">
      <c r="A9778">
        <v>9777</v>
      </c>
      <c r="B9778" t="s">
        <v>19828</v>
      </c>
      <c r="C9778" t="s">
        <v>33</v>
      </c>
      <c r="D9778" t="s">
        <v>34</v>
      </c>
      <c r="E9778">
        <v>1871</v>
      </c>
      <c r="F9778">
        <v>2</v>
      </c>
      <c r="G9778">
        <v>2</v>
      </c>
      <c r="H9778">
        <v>1</v>
      </c>
      <c r="I9778">
        <v>0</v>
      </c>
      <c r="J9778">
        <v>0.99705014749262499</v>
      </c>
      <c r="K9778">
        <v>1</v>
      </c>
      <c r="L9778">
        <v>0.99852289512555403</v>
      </c>
      <c r="M9778">
        <v>0.99115044247787598</v>
      </c>
      <c r="N9778">
        <v>0.99115044247787598</v>
      </c>
      <c r="O9778">
        <v>0.99115044247787598</v>
      </c>
      <c r="AF9778" t="s">
        <v>19829</v>
      </c>
    </row>
    <row r="9779" spans="1:32" hidden="1" x14ac:dyDescent="0.35">
      <c r="A9779">
        <v>9778</v>
      </c>
      <c r="B9779" t="s">
        <v>19828</v>
      </c>
      <c r="C9779" t="s">
        <v>33</v>
      </c>
      <c r="D9779" t="s">
        <v>45</v>
      </c>
      <c r="E9779">
        <v>1002</v>
      </c>
      <c r="F9779">
        <v>2</v>
      </c>
      <c r="G9779">
        <v>2</v>
      </c>
      <c r="H9779">
        <v>1</v>
      </c>
      <c r="I9779">
        <v>0</v>
      </c>
      <c r="J9779">
        <v>0.99705014749262499</v>
      </c>
      <c r="K9779">
        <v>1</v>
      </c>
      <c r="L9779">
        <v>0.99852289512555403</v>
      </c>
      <c r="M9779">
        <v>0.99115044247787598</v>
      </c>
      <c r="N9779">
        <v>0.99115044247787598</v>
      </c>
      <c r="O9779">
        <v>0.99115044247787598</v>
      </c>
      <c r="AF9779" t="s">
        <v>19830</v>
      </c>
    </row>
    <row r="9780" spans="1:32" hidden="1" x14ac:dyDescent="0.35">
      <c r="A9780">
        <v>9779</v>
      </c>
      <c r="B9780" t="s">
        <v>19831</v>
      </c>
      <c r="C9780" t="s">
        <v>33</v>
      </c>
      <c r="D9780" t="s">
        <v>60</v>
      </c>
      <c r="E9780">
        <v>1938</v>
      </c>
      <c r="F9780">
        <v>2</v>
      </c>
      <c r="G9780">
        <v>2</v>
      </c>
      <c r="H9780">
        <v>1</v>
      </c>
      <c r="I9780">
        <v>0</v>
      </c>
      <c r="J9780">
        <v>0.98084291187739503</v>
      </c>
      <c r="K9780">
        <v>1</v>
      </c>
      <c r="L9780">
        <v>0.99032882011605405</v>
      </c>
      <c r="M9780">
        <v>0.978653530377668</v>
      </c>
      <c r="N9780">
        <v>0.978653530377668</v>
      </c>
      <c r="O9780">
        <v>0.978653530377668</v>
      </c>
      <c r="AF9780" t="s">
        <v>19832</v>
      </c>
    </row>
    <row r="9781" spans="1:32" hidden="1" x14ac:dyDescent="0.35">
      <c r="A9781">
        <v>9780</v>
      </c>
      <c r="B9781" t="s">
        <v>19831</v>
      </c>
      <c r="C9781" t="s">
        <v>33</v>
      </c>
      <c r="D9781" t="s">
        <v>62</v>
      </c>
      <c r="E9781">
        <v>1978</v>
      </c>
      <c r="F9781">
        <v>2</v>
      </c>
      <c r="G9781">
        <v>2</v>
      </c>
      <c r="H9781">
        <v>1</v>
      </c>
      <c r="I9781">
        <v>0</v>
      </c>
      <c r="J9781">
        <v>0.98084291187739503</v>
      </c>
      <c r="K9781">
        <v>1</v>
      </c>
      <c r="L9781">
        <v>0.99032882011605405</v>
      </c>
      <c r="M9781">
        <v>0.978653530377668</v>
      </c>
      <c r="N9781">
        <v>0.978653530377668</v>
      </c>
      <c r="O9781">
        <v>0.978653530377668</v>
      </c>
      <c r="AF9781" t="s">
        <v>19833</v>
      </c>
    </row>
    <row r="9782" spans="1:32" hidden="1" x14ac:dyDescent="0.35">
      <c r="A9782">
        <v>9781</v>
      </c>
      <c r="B9782" t="s">
        <v>19834</v>
      </c>
      <c r="C9782" t="s">
        <v>33</v>
      </c>
      <c r="D9782" t="s">
        <v>34</v>
      </c>
      <c r="E9782">
        <v>198</v>
      </c>
      <c r="F9782">
        <v>2</v>
      </c>
      <c r="G9782">
        <v>2</v>
      </c>
      <c r="H9782">
        <v>1</v>
      </c>
      <c r="I9782">
        <v>0</v>
      </c>
      <c r="J9782">
        <v>0.97553516819571895</v>
      </c>
      <c r="K9782">
        <v>1</v>
      </c>
      <c r="L9782">
        <v>0.98761609907120795</v>
      </c>
      <c r="M9782">
        <v>0.96330275229357798</v>
      </c>
      <c r="N9782">
        <v>0.96330275229357798</v>
      </c>
      <c r="O9782">
        <v>0.96330275229357798</v>
      </c>
      <c r="R9782" t="s">
        <v>869</v>
      </c>
      <c r="S9782" t="s">
        <v>870</v>
      </c>
      <c r="V9782" t="s">
        <v>7385</v>
      </c>
      <c r="W9782" t="s">
        <v>7386</v>
      </c>
      <c r="AF9782" t="s">
        <v>19835</v>
      </c>
    </row>
    <row r="9783" spans="1:32" hidden="1" x14ac:dyDescent="0.35">
      <c r="A9783">
        <v>9782</v>
      </c>
      <c r="B9783" t="s">
        <v>19834</v>
      </c>
      <c r="C9783" t="s">
        <v>33</v>
      </c>
      <c r="D9783" t="s">
        <v>45</v>
      </c>
      <c r="E9783">
        <v>1461</v>
      </c>
      <c r="F9783">
        <v>2</v>
      </c>
      <c r="G9783">
        <v>2</v>
      </c>
      <c r="H9783">
        <v>1</v>
      </c>
      <c r="I9783">
        <v>0</v>
      </c>
      <c r="J9783">
        <v>0.97553516819571895</v>
      </c>
      <c r="K9783">
        <v>1</v>
      </c>
      <c r="L9783">
        <v>0.98761609907120795</v>
      </c>
      <c r="M9783">
        <v>0.96330275229357798</v>
      </c>
      <c r="N9783">
        <v>0.96330275229357798</v>
      </c>
      <c r="O9783">
        <v>0.96330275229357798</v>
      </c>
      <c r="R9783" t="s">
        <v>869</v>
      </c>
      <c r="S9783" t="s">
        <v>870</v>
      </c>
      <c r="V9783" t="s">
        <v>7385</v>
      </c>
      <c r="W9783" t="s">
        <v>7386</v>
      </c>
      <c r="AF9783" t="s">
        <v>19836</v>
      </c>
    </row>
    <row r="9784" spans="1:32" hidden="1" x14ac:dyDescent="0.35">
      <c r="A9784">
        <v>9783</v>
      </c>
      <c r="B9784" t="s">
        <v>19837</v>
      </c>
      <c r="C9784" t="s">
        <v>33</v>
      </c>
      <c r="D9784" t="s">
        <v>60</v>
      </c>
      <c r="E9784">
        <v>78</v>
      </c>
      <c r="F9784">
        <v>2</v>
      </c>
      <c r="G9784">
        <v>2</v>
      </c>
      <c r="H9784">
        <v>1</v>
      </c>
      <c r="I9784">
        <v>0</v>
      </c>
      <c r="J9784">
        <v>0.98721023181454803</v>
      </c>
      <c r="K9784">
        <v>1</v>
      </c>
      <c r="L9784">
        <v>0.99356395816572796</v>
      </c>
      <c r="M9784">
        <v>0.985611510791367</v>
      </c>
      <c r="N9784">
        <v>0.985611510791367</v>
      </c>
      <c r="O9784">
        <v>0.985611510791367</v>
      </c>
      <c r="P9784" t="s">
        <v>18865</v>
      </c>
      <c r="Q9784" t="s">
        <v>18866</v>
      </c>
      <c r="R9784" t="s">
        <v>288</v>
      </c>
      <c r="S9784" t="s">
        <v>289</v>
      </c>
      <c r="T9784" t="s">
        <v>18867</v>
      </c>
      <c r="U9784" t="s">
        <v>407</v>
      </c>
      <c r="V9784" t="s">
        <v>18868</v>
      </c>
      <c r="W9784" t="s">
        <v>18869</v>
      </c>
      <c r="AD9784" t="s">
        <v>410</v>
      </c>
      <c r="AE9784" t="s">
        <v>411</v>
      </c>
      <c r="AF9784" t="s">
        <v>19838</v>
      </c>
    </row>
    <row r="9785" spans="1:32" hidden="1" x14ac:dyDescent="0.35">
      <c r="A9785">
        <v>9784</v>
      </c>
      <c r="B9785" t="s">
        <v>19837</v>
      </c>
      <c r="C9785" t="s">
        <v>33</v>
      </c>
      <c r="D9785" t="s">
        <v>62</v>
      </c>
      <c r="E9785">
        <v>151</v>
      </c>
      <c r="F9785">
        <v>2</v>
      </c>
      <c r="G9785">
        <v>2</v>
      </c>
      <c r="H9785">
        <v>1</v>
      </c>
      <c r="I9785">
        <v>0</v>
      </c>
      <c r="J9785">
        <v>0.98721023181454803</v>
      </c>
      <c r="K9785">
        <v>1</v>
      </c>
      <c r="L9785">
        <v>0.99356395816572796</v>
      </c>
      <c r="M9785">
        <v>0.985611510791367</v>
      </c>
      <c r="N9785">
        <v>0.985611510791367</v>
      </c>
      <c r="O9785">
        <v>0.985611510791367</v>
      </c>
      <c r="P9785" t="s">
        <v>18865</v>
      </c>
      <c r="Q9785" t="s">
        <v>18866</v>
      </c>
      <c r="R9785" t="s">
        <v>288</v>
      </c>
      <c r="S9785" t="s">
        <v>289</v>
      </c>
      <c r="T9785" t="s">
        <v>18867</v>
      </c>
      <c r="U9785" t="s">
        <v>407</v>
      </c>
      <c r="V9785" t="s">
        <v>18868</v>
      </c>
      <c r="W9785" t="s">
        <v>18869</v>
      </c>
      <c r="AD9785" t="s">
        <v>410</v>
      </c>
      <c r="AE9785" t="s">
        <v>411</v>
      </c>
      <c r="AF9785" t="s">
        <v>19839</v>
      </c>
    </row>
    <row r="9786" spans="1:32" hidden="1" x14ac:dyDescent="0.35">
      <c r="A9786">
        <v>9785</v>
      </c>
      <c r="B9786" t="s">
        <v>19840</v>
      </c>
      <c r="C9786" t="s">
        <v>33</v>
      </c>
      <c r="D9786" t="s">
        <v>60</v>
      </c>
      <c r="E9786">
        <v>1098</v>
      </c>
      <c r="F9786">
        <v>2</v>
      </c>
      <c r="G9786">
        <v>2</v>
      </c>
      <c r="H9786">
        <v>1</v>
      </c>
      <c r="I9786">
        <v>0</v>
      </c>
      <c r="J9786">
        <v>0.99494949494949503</v>
      </c>
      <c r="K9786">
        <v>1</v>
      </c>
      <c r="L9786">
        <v>0.99746835443037996</v>
      </c>
      <c r="M9786">
        <v>0.99494949494949503</v>
      </c>
      <c r="N9786">
        <v>0.99494949494949503</v>
      </c>
      <c r="O9786">
        <v>0.99494949494949503</v>
      </c>
      <c r="P9786" t="s">
        <v>18062</v>
      </c>
      <c r="Q9786" t="s">
        <v>18063</v>
      </c>
      <c r="R9786" t="s">
        <v>869</v>
      </c>
      <c r="S9786" t="s">
        <v>870</v>
      </c>
      <c r="T9786" t="s">
        <v>18064</v>
      </c>
      <c r="U9786" t="s">
        <v>18065</v>
      </c>
      <c r="V9786" t="s">
        <v>18066</v>
      </c>
      <c r="W9786" t="s">
        <v>18067</v>
      </c>
      <c r="X9786" t="s">
        <v>18066</v>
      </c>
      <c r="Y9786" t="s">
        <v>2116</v>
      </c>
      <c r="AD9786" t="s">
        <v>219</v>
      </c>
      <c r="AE9786" t="s">
        <v>18068</v>
      </c>
      <c r="AF9786" t="s">
        <v>19841</v>
      </c>
    </row>
    <row r="9787" spans="1:32" hidden="1" x14ac:dyDescent="0.35">
      <c r="A9787">
        <v>9786</v>
      </c>
      <c r="B9787" t="s">
        <v>19840</v>
      </c>
      <c r="C9787" t="s">
        <v>33</v>
      </c>
      <c r="D9787" t="s">
        <v>62</v>
      </c>
      <c r="E9787">
        <v>1134</v>
      </c>
      <c r="F9787">
        <v>2</v>
      </c>
      <c r="G9787">
        <v>2</v>
      </c>
      <c r="H9787">
        <v>1</v>
      </c>
      <c r="I9787">
        <v>0</v>
      </c>
      <c r="J9787">
        <v>0.99494949494949503</v>
      </c>
      <c r="K9787">
        <v>1</v>
      </c>
      <c r="L9787">
        <v>0.99746835443037996</v>
      </c>
      <c r="M9787">
        <v>0.99494949494949503</v>
      </c>
      <c r="N9787">
        <v>0.99494949494949503</v>
      </c>
      <c r="O9787">
        <v>0.99494949494949503</v>
      </c>
      <c r="P9787" t="s">
        <v>18062</v>
      </c>
      <c r="Q9787" t="s">
        <v>18063</v>
      </c>
      <c r="R9787" t="s">
        <v>869</v>
      </c>
      <c r="S9787" t="s">
        <v>870</v>
      </c>
      <c r="T9787" t="s">
        <v>18064</v>
      </c>
      <c r="U9787" t="s">
        <v>18065</v>
      </c>
      <c r="V9787" t="s">
        <v>18066</v>
      </c>
      <c r="W9787" t="s">
        <v>18067</v>
      </c>
      <c r="X9787" t="s">
        <v>18066</v>
      </c>
      <c r="Y9787" t="s">
        <v>2116</v>
      </c>
      <c r="AD9787" t="s">
        <v>219</v>
      </c>
      <c r="AE9787" t="s">
        <v>18068</v>
      </c>
      <c r="AF9787" t="s">
        <v>19842</v>
      </c>
    </row>
    <row r="9788" spans="1:32" hidden="1" x14ac:dyDescent="0.35">
      <c r="A9788">
        <v>9787</v>
      </c>
      <c r="B9788" t="s">
        <v>19843</v>
      </c>
      <c r="C9788" t="s">
        <v>33</v>
      </c>
      <c r="D9788" t="s">
        <v>60</v>
      </c>
      <c r="E9788">
        <v>1802</v>
      </c>
      <c r="F9788">
        <v>2</v>
      </c>
      <c r="G9788">
        <v>2</v>
      </c>
      <c r="H9788">
        <v>1</v>
      </c>
      <c r="I9788">
        <v>0</v>
      </c>
      <c r="J9788">
        <v>0.968992248062015</v>
      </c>
      <c r="K9788">
        <v>0.98630194901280699</v>
      </c>
      <c r="L9788">
        <v>0.97757047944155995</v>
      </c>
      <c r="M9788">
        <v>0.94954128440367003</v>
      </c>
      <c r="N9788">
        <v>0.94954128440367003</v>
      </c>
      <c r="O9788">
        <v>0.94954128440367003</v>
      </c>
      <c r="P9788" t="s">
        <v>1494</v>
      </c>
      <c r="Q9788" t="s">
        <v>1487</v>
      </c>
      <c r="R9788" t="s">
        <v>113</v>
      </c>
      <c r="S9788" t="s">
        <v>114</v>
      </c>
      <c r="V9788" t="s">
        <v>1490</v>
      </c>
      <c r="W9788" t="s">
        <v>1491</v>
      </c>
      <c r="AF9788" t="s">
        <v>19844</v>
      </c>
    </row>
    <row r="9789" spans="1:32" hidden="1" x14ac:dyDescent="0.35">
      <c r="A9789">
        <v>9788</v>
      </c>
      <c r="B9789" t="s">
        <v>19843</v>
      </c>
      <c r="C9789" t="s">
        <v>33</v>
      </c>
      <c r="D9789" t="s">
        <v>62</v>
      </c>
      <c r="E9789">
        <v>1838</v>
      </c>
      <c r="F9789">
        <v>2</v>
      </c>
      <c r="G9789">
        <v>2</v>
      </c>
      <c r="H9789">
        <v>1</v>
      </c>
      <c r="I9789">
        <v>0</v>
      </c>
      <c r="J9789">
        <v>0.968992248062015</v>
      </c>
      <c r="K9789">
        <v>0.98630194901280699</v>
      </c>
      <c r="L9789">
        <v>0.97757047944155995</v>
      </c>
      <c r="M9789">
        <v>0.94954128440367003</v>
      </c>
      <c r="N9789">
        <v>0.94954128440367003</v>
      </c>
      <c r="O9789">
        <v>0.94954128440367003</v>
      </c>
      <c r="P9789" t="s">
        <v>1494</v>
      </c>
      <c r="Q9789" t="s">
        <v>1487</v>
      </c>
      <c r="R9789" t="s">
        <v>113</v>
      </c>
      <c r="S9789" t="s">
        <v>114</v>
      </c>
      <c r="V9789" t="s">
        <v>1490</v>
      </c>
      <c r="W9789" t="s">
        <v>1491</v>
      </c>
      <c r="AF9789" t="s">
        <v>19845</v>
      </c>
    </row>
    <row r="9790" spans="1:32" hidden="1" x14ac:dyDescent="0.35">
      <c r="A9790">
        <v>9789</v>
      </c>
      <c r="B9790" t="s">
        <v>19846</v>
      </c>
      <c r="C9790" t="s">
        <v>33</v>
      </c>
      <c r="D9790" t="s">
        <v>34</v>
      </c>
      <c r="E9790">
        <v>1142</v>
      </c>
      <c r="F9790">
        <v>2</v>
      </c>
      <c r="G9790">
        <v>2</v>
      </c>
      <c r="H9790">
        <v>1</v>
      </c>
      <c r="I9790">
        <v>0</v>
      </c>
      <c r="J9790">
        <v>0.95555555555555605</v>
      </c>
      <c r="K9790">
        <v>1</v>
      </c>
      <c r="L9790">
        <v>0.97727272727272696</v>
      </c>
      <c r="M9790">
        <v>0.93333333333333302</v>
      </c>
      <c r="N9790">
        <v>0.93333333333333302</v>
      </c>
      <c r="O9790">
        <v>0.93333333333333302</v>
      </c>
      <c r="P9790" t="s">
        <v>19847</v>
      </c>
      <c r="Q9790" t="s">
        <v>19848</v>
      </c>
      <c r="R9790" t="s">
        <v>113</v>
      </c>
      <c r="S9790" t="s">
        <v>114</v>
      </c>
      <c r="V9790" t="s">
        <v>19849</v>
      </c>
      <c r="W9790" t="s">
        <v>19850</v>
      </c>
      <c r="AF9790" t="s">
        <v>19851</v>
      </c>
    </row>
    <row r="9791" spans="1:32" hidden="1" x14ac:dyDescent="0.35">
      <c r="A9791">
        <v>9790</v>
      </c>
      <c r="B9791" t="s">
        <v>19846</v>
      </c>
      <c r="C9791" t="s">
        <v>33</v>
      </c>
      <c r="D9791" t="s">
        <v>45</v>
      </c>
      <c r="E9791">
        <v>2387</v>
      </c>
      <c r="F9791">
        <v>2</v>
      </c>
      <c r="G9791">
        <v>2</v>
      </c>
      <c r="H9791">
        <v>1</v>
      </c>
      <c r="I9791">
        <v>0</v>
      </c>
      <c r="J9791">
        <v>0.95555555555555605</v>
      </c>
      <c r="K9791">
        <v>1</v>
      </c>
      <c r="L9791">
        <v>0.97727272727272696</v>
      </c>
      <c r="M9791">
        <v>0.93333333333333302</v>
      </c>
      <c r="N9791">
        <v>0.93333333333333302</v>
      </c>
      <c r="O9791">
        <v>0.93333333333333302</v>
      </c>
      <c r="P9791" t="s">
        <v>19847</v>
      </c>
      <c r="Q9791" t="s">
        <v>19848</v>
      </c>
      <c r="R9791" t="s">
        <v>113</v>
      </c>
      <c r="S9791" t="s">
        <v>114</v>
      </c>
      <c r="V9791" t="s">
        <v>19849</v>
      </c>
      <c r="W9791" t="s">
        <v>19850</v>
      </c>
      <c r="AF9791" t="s">
        <v>19852</v>
      </c>
    </row>
    <row r="9792" spans="1:32" hidden="1" x14ac:dyDescent="0.35">
      <c r="A9792">
        <v>9791</v>
      </c>
      <c r="B9792" t="s">
        <v>19853</v>
      </c>
      <c r="C9792" t="s">
        <v>33</v>
      </c>
      <c r="D9792" t="s">
        <v>34</v>
      </c>
      <c r="E9792">
        <v>1516</v>
      </c>
      <c r="F9792">
        <v>2</v>
      </c>
      <c r="G9792">
        <v>2</v>
      </c>
      <c r="H9792">
        <v>1</v>
      </c>
      <c r="I9792">
        <v>0</v>
      </c>
      <c r="J9792">
        <v>0.99352750809061496</v>
      </c>
      <c r="K9792">
        <v>1</v>
      </c>
      <c r="L9792">
        <v>0.99675324675324695</v>
      </c>
      <c r="M9792">
        <v>0.990291262135922</v>
      </c>
      <c r="N9792">
        <v>0.990291262135922</v>
      </c>
      <c r="O9792">
        <v>0.990291262135922</v>
      </c>
      <c r="P9792" t="s">
        <v>19854</v>
      </c>
      <c r="Q9792" t="s">
        <v>19855</v>
      </c>
      <c r="R9792" t="s">
        <v>288</v>
      </c>
      <c r="S9792" t="s">
        <v>289</v>
      </c>
      <c r="V9792" t="s">
        <v>19856</v>
      </c>
      <c r="W9792" t="s">
        <v>19857</v>
      </c>
      <c r="AF9792" t="s">
        <v>19858</v>
      </c>
    </row>
    <row r="9793" spans="1:32" hidden="1" x14ac:dyDescent="0.35">
      <c r="A9793">
        <v>9792</v>
      </c>
      <c r="B9793" t="s">
        <v>19853</v>
      </c>
      <c r="C9793" t="s">
        <v>33</v>
      </c>
      <c r="D9793" t="s">
        <v>45</v>
      </c>
      <c r="E9793">
        <v>266</v>
      </c>
      <c r="F9793">
        <v>2</v>
      </c>
      <c r="G9793">
        <v>2</v>
      </c>
      <c r="H9793">
        <v>1</v>
      </c>
      <c r="I9793">
        <v>0</v>
      </c>
      <c r="J9793">
        <v>0.99352750809061496</v>
      </c>
      <c r="K9793">
        <v>1</v>
      </c>
      <c r="L9793">
        <v>0.99675324675324695</v>
      </c>
      <c r="M9793">
        <v>0.990291262135922</v>
      </c>
      <c r="N9793">
        <v>0.990291262135922</v>
      </c>
      <c r="O9793">
        <v>0.990291262135922</v>
      </c>
      <c r="P9793" t="s">
        <v>19854</v>
      </c>
      <c r="Q9793" t="s">
        <v>19855</v>
      </c>
      <c r="R9793" t="s">
        <v>288</v>
      </c>
      <c r="S9793" t="s">
        <v>289</v>
      </c>
      <c r="V9793" t="s">
        <v>19856</v>
      </c>
      <c r="W9793" t="s">
        <v>19857</v>
      </c>
      <c r="AF9793" t="s">
        <v>19859</v>
      </c>
    </row>
    <row r="9794" spans="1:32" hidden="1" x14ac:dyDescent="0.35">
      <c r="A9794">
        <v>9793</v>
      </c>
      <c r="B9794" t="s">
        <v>19860</v>
      </c>
      <c r="C9794" t="s">
        <v>33</v>
      </c>
      <c r="D9794" t="s">
        <v>34</v>
      </c>
      <c r="E9794">
        <v>2281</v>
      </c>
      <c r="F9794">
        <v>2</v>
      </c>
      <c r="G9794">
        <v>2</v>
      </c>
      <c r="H9794">
        <v>1</v>
      </c>
      <c r="I9794">
        <v>0</v>
      </c>
      <c r="J9794">
        <v>0.99794238683127601</v>
      </c>
      <c r="K9794">
        <v>1</v>
      </c>
      <c r="L9794">
        <v>0.99897013388259503</v>
      </c>
      <c r="M9794">
        <v>0.99382716049382702</v>
      </c>
      <c r="N9794">
        <v>0.99382716049382702</v>
      </c>
      <c r="O9794">
        <v>0.99382716049382702</v>
      </c>
      <c r="AF9794" t="s">
        <v>19861</v>
      </c>
    </row>
    <row r="9795" spans="1:32" hidden="1" x14ac:dyDescent="0.35">
      <c r="A9795">
        <v>9794</v>
      </c>
      <c r="B9795" t="s">
        <v>19860</v>
      </c>
      <c r="C9795" t="s">
        <v>33</v>
      </c>
      <c r="D9795" t="s">
        <v>45</v>
      </c>
      <c r="E9795">
        <v>596</v>
      </c>
      <c r="F9795">
        <v>2</v>
      </c>
      <c r="G9795">
        <v>2</v>
      </c>
      <c r="H9795">
        <v>1</v>
      </c>
      <c r="I9795">
        <v>0</v>
      </c>
      <c r="J9795">
        <v>0.99794238683127601</v>
      </c>
      <c r="K9795">
        <v>1</v>
      </c>
      <c r="L9795">
        <v>0.99897013388259503</v>
      </c>
      <c r="M9795">
        <v>0.99382716049382702</v>
      </c>
      <c r="N9795">
        <v>0.99382716049382702</v>
      </c>
      <c r="O9795">
        <v>0.99382716049382702</v>
      </c>
      <c r="AF9795" t="s">
        <v>19862</v>
      </c>
    </row>
    <row r="9796" spans="1:32" hidden="1" x14ac:dyDescent="0.35">
      <c r="A9796">
        <v>9795</v>
      </c>
      <c r="B9796" t="s">
        <v>19863</v>
      </c>
      <c r="C9796" t="s">
        <v>33</v>
      </c>
      <c r="D9796" t="s">
        <v>34</v>
      </c>
      <c r="E9796">
        <v>722</v>
      </c>
      <c r="F9796">
        <v>2</v>
      </c>
      <c r="G9796">
        <v>2</v>
      </c>
      <c r="H9796">
        <v>1</v>
      </c>
      <c r="I9796">
        <v>0</v>
      </c>
      <c r="J9796">
        <v>0.972524624157595</v>
      </c>
      <c r="K9796">
        <v>1</v>
      </c>
      <c r="L9796">
        <v>0.98607095926412602</v>
      </c>
      <c r="M9796">
        <v>0.96578538102643896</v>
      </c>
      <c r="N9796">
        <v>0.96578538102643896</v>
      </c>
      <c r="O9796">
        <v>0.96578538102643896</v>
      </c>
      <c r="P9796" t="s">
        <v>3179</v>
      </c>
      <c r="Q9796" t="s">
        <v>3180</v>
      </c>
      <c r="R9796" t="s">
        <v>2744</v>
      </c>
      <c r="S9796" t="s">
        <v>2745</v>
      </c>
      <c r="T9796" t="s">
        <v>19864</v>
      </c>
      <c r="U9796" t="s">
        <v>19865</v>
      </c>
      <c r="V9796" t="s">
        <v>19866</v>
      </c>
      <c r="W9796" t="s">
        <v>19867</v>
      </c>
      <c r="X9796" t="s">
        <v>19866</v>
      </c>
      <c r="Y9796" t="s">
        <v>2750</v>
      </c>
      <c r="AD9796" t="s">
        <v>19868</v>
      </c>
      <c r="AE9796" t="s">
        <v>19869</v>
      </c>
      <c r="AF9796" t="s">
        <v>19870</v>
      </c>
    </row>
    <row r="9797" spans="1:32" hidden="1" x14ac:dyDescent="0.35">
      <c r="A9797">
        <v>9796</v>
      </c>
      <c r="B9797" t="s">
        <v>19863</v>
      </c>
      <c r="C9797" t="s">
        <v>33</v>
      </c>
      <c r="D9797" t="s">
        <v>45</v>
      </c>
      <c r="E9797">
        <v>1988</v>
      </c>
      <c r="F9797">
        <v>2</v>
      </c>
      <c r="G9797">
        <v>2</v>
      </c>
      <c r="H9797">
        <v>1</v>
      </c>
      <c r="I9797">
        <v>0</v>
      </c>
      <c r="J9797">
        <v>0.972524624157595</v>
      </c>
      <c r="K9797">
        <v>1</v>
      </c>
      <c r="L9797">
        <v>0.98607095926412602</v>
      </c>
      <c r="M9797">
        <v>0.96578538102643896</v>
      </c>
      <c r="N9797">
        <v>0.96578538102643896</v>
      </c>
      <c r="O9797">
        <v>0.96578538102643896</v>
      </c>
      <c r="P9797" t="s">
        <v>3179</v>
      </c>
      <c r="Q9797" t="s">
        <v>3180</v>
      </c>
      <c r="R9797" t="s">
        <v>2744</v>
      </c>
      <c r="S9797" t="s">
        <v>2745</v>
      </c>
      <c r="T9797" t="s">
        <v>19864</v>
      </c>
      <c r="U9797" t="s">
        <v>19865</v>
      </c>
      <c r="V9797" t="s">
        <v>19866</v>
      </c>
      <c r="W9797" t="s">
        <v>19867</v>
      </c>
      <c r="X9797" t="s">
        <v>19866</v>
      </c>
      <c r="Y9797" t="s">
        <v>2750</v>
      </c>
      <c r="AD9797" t="s">
        <v>19868</v>
      </c>
      <c r="AE9797" t="s">
        <v>19869</v>
      </c>
      <c r="AF9797" t="s">
        <v>19871</v>
      </c>
    </row>
    <row r="9798" spans="1:32" hidden="1" x14ac:dyDescent="0.35">
      <c r="A9798">
        <v>9797</v>
      </c>
      <c r="B9798" t="s">
        <v>19872</v>
      </c>
      <c r="C9798" t="s">
        <v>33</v>
      </c>
      <c r="D9798" t="s">
        <v>60</v>
      </c>
      <c r="E9798">
        <v>239</v>
      </c>
      <c r="F9798">
        <v>2</v>
      </c>
      <c r="G9798">
        <v>2</v>
      </c>
      <c r="H9798">
        <v>1</v>
      </c>
      <c r="I9798">
        <v>0</v>
      </c>
      <c r="J9798">
        <v>0.99295774647887303</v>
      </c>
      <c r="K9798">
        <v>1</v>
      </c>
      <c r="L9798">
        <v>0.996466431095406</v>
      </c>
      <c r="M9798">
        <v>0.99295774647887303</v>
      </c>
      <c r="N9798">
        <v>0.99295774647887303</v>
      </c>
      <c r="O9798">
        <v>0.99295774647887303</v>
      </c>
      <c r="AF9798" t="s">
        <v>19873</v>
      </c>
    </row>
    <row r="9799" spans="1:32" hidden="1" x14ac:dyDescent="0.35">
      <c r="A9799">
        <v>9798</v>
      </c>
      <c r="B9799" t="s">
        <v>19872</v>
      </c>
      <c r="C9799" t="s">
        <v>33</v>
      </c>
      <c r="D9799" t="s">
        <v>62</v>
      </c>
      <c r="E9799">
        <v>316</v>
      </c>
      <c r="F9799">
        <v>2</v>
      </c>
      <c r="G9799">
        <v>2</v>
      </c>
      <c r="H9799">
        <v>1</v>
      </c>
      <c r="I9799">
        <v>0</v>
      </c>
      <c r="J9799">
        <v>0.99295774647887303</v>
      </c>
      <c r="K9799">
        <v>1</v>
      </c>
      <c r="L9799">
        <v>0.996466431095406</v>
      </c>
      <c r="M9799">
        <v>0.99295774647887303</v>
      </c>
      <c r="N9799">
        <v>0.99295774647887303</v>
      </c>
      <c r="O9799">
        <v>0.99295774647887303</v>
      </c>
      <c r="AF9799" t="s">
        <v>19874</v>
      </c>
    </row>
    <row r="9800" spans="1:32" hidden="1" x14ac:dyDescent="0.35">
      <c r="A9800">
        <v>9799</v>
      </c>
      <c r="B9800" t="s">
        <v>19875</v>
      </c>
      <c r="C9800" t="s">
        <v>33</v>
      </c>
      <c r="D9800" t="s">
        <v>60</v>
      </c>
      <c r="E9800">
        <v>1186</v>
      </c>
      <c r="F9800">
        <v>2</v>
      </c>
      <c r="G9800">
        <v>2</v>
      </c>
      <c r="H9800">
        <v>1</v>
      </c>
      <c r="I9800">
        <v>0</v>
      </c>
      <c r="J9800">
        <v>0.98398398398398401</v>
      </c>
      <c r="K9800">
        <v>1</v>
      </c>
      <c r="L9800">
        <v>0.99192734611503497</v>
      </c>
      <c r="M9800">
        <v>0.96996996996996998</v>
      </c>
      <c r="N9800">
        <v>0.96996996996996998</v>
      </c>
      <c r="O9800">
        <v>0.96996996996996998</v>
      </c>
      <c r="AF9800" t="s">
        <v>19876</v>
      </c>
    </row>
    <row r="9801" spans="1:32" hidden="1" x14ac:dyDescent="0.35">
      <c r="A9801">
        <v>9800</v>
      </c>
      <c r="B9801" t="s">
        <v>19875</v>
      </c>
      <c r="C9801" t="s">
        <v>33</v>
      </c>
      <c r="D9801" t="s">
        <v>62</v>
      </c>
      <c r="E9801">
        <v>1223</v>
      </c>
      <c r="F9801">
        <v>2</v>
      </c>
      <c r="G9801">
        <v>2</v>
      </c>
      <c r="H9801">
        <v>1</v>
      </c>
      <c r="I9801">
        <v>0</v>
      </c>
      <c r="J9801">
        <v>0.98398398398398401</v>
      </c>
      <c r="K9801">
        <v>1</v>
      </c>
      <c r="L9801">
        <v>0.99192734611503497</v>
      </c>
      <c r="M9801">
        <v>0.96996996996996998</v>
      </c>
      <c r="N9801">
        <v>0.96996996996996998</v>
      </c>
      <c r="O9801">
        <v>0.96996996996996998</v>
      </c>
      <c r="AF9801" t="s">
        <v>19877</v>
      </c>
    </row>
    <row r="9802" spans="1:32" hidden="1" x14ac:dyDescent="0.35">
      <c r="A9802">
        <v>9801</v>
      </c>
      <c r="B9802" t="s">
        <v>19878</v>
      </c>
      <c r="C9802" t="s">
        <v>33</v>
      </c>
      <c r="D9802" t="s">
        <v>60</v>
      </c>
      <c r="E9802">
        <v>1799</v>
      </c>
      <c r="F9802">
        <v>2</v>
      </c>
      <c r="G9802">
        <v>2</v>
      </c>
      <c r="H9802">
        <v>1</v>
      </c>
      <c r="I9802">
        <v>0</v>
      </c>
      <c r="J9802">
        <v>0.99590163934426201</v>
      </c>
      <c r="K9802">
        <v>1</v>
      </c>
      <c r="L9802">
        <v>0.99794661190965095</v>
      </c>
      <c r="M9802">
        <v>0.99590163934426201</v>
      </c>
      <c r="N9802">
        <v>0.99590163934426201</v>
      </c>
      <c r="O9802">
        <v>0.99590163934426201</v>
      </c>
      <c r="P9802" t="s">
        <v>169</v>
      </c>
      <c r="Q9802" t="s">
        <v>170</v>
      </c>
      <c r="R9802" t="s">
        <v>157</v>
      </c>
      <c r="S9802" t="s">
        <v>158</v>
      </c>
      <c r="V9802" t="s">
        <v>161</v>
      </c>
      <c r="W9802" t="s">
        <v>162</v>
      </c>
      <c r="AF9802" t="s">
        <v>19879</v>
      </c>
    </row>
    <row r="9803" spans="1:32" hidden="1" x14ac:dyDescent="0.35">
      <c r="A9803">
        <v>9802</v>
      </c>
      <c r="B9803" t="s">
        <v>19878</v>
      </c>
      <c r="C9803" t="s">
        <v>33</v>
      </c>
      <c r="D9803" t="s">
        <v>62</v>
      </c>
      <c r="E9803">
        <v>1835</v>
      </c>
      <c r="F9803">
        <v>2</v>
      </c>
      <c r="G9803">
        <v>2</v>
      </c>
      <c r="H9803">
        <v>1</v>
      </c>
      <c r="I9803">
        <v>0</v>
      </c>
      <c r="J9803">
        <v>0.99590163934426201</v>
      </c>
      <c r="K9803">
        <v>1</v>
      </c>
      <c r="L9803">
        <v>0.99794661190965095</v>
      </c>
      <c r="M9803">
        <v>0.99590163934426201</v>
      </c>
      <c r="N9803">
        <v>0.99590163934426201</v>
      </c>
      <c r="O9803">
        <v>0.99590163934426201</v>
      </c>
      <c r="P9803" t="s">
        <v>169</v>
      </c>
      <c r="Q9803" t="s">
        <v>170</v>
      </c>
      <c r="R9803" t="s">
        <v>157</v>
      </c>
      <c r="S9803" t="s">
        <v>158</v>
      </c>
      <c r="V9803" t="s">
        <v>161</v>
      </c>
      <c r="W9803" t="s">
        <v>162</v>
      </c>
      <c r="AF9803" t="s">
        <v>19880</v>
      </c>
    </row>
    <row r="9804" spans="1:32" hidden="1" x14ac:dyDescent="0.35">
      <c r="A9804">
        <v>9803</v>
      </c>
      <c r="B9804" t="s">
        <v>19881</v>
      </c>
      <c r="C9804" t="s">
        <v>33</v>
      </c>
      <c r="D9804" t="s">
        <v>34</v>
      </c>
      <c r="E9804">
        <v>179</v>
      </c>
      <c r="F9804">
        <v>2</v>
      </c>
      <c r="G9804">
        <v>2</v>
      </c>
      <c r="H9804">
        <v>1</v>
      </c>
      <c r="I9804">
        <v>0</v>
      </c>
      <c r="J9804">
        <v>0.95865633074935397</v>
      </c>
      <c r="K9804">
        <v>0.93668676610599899</v>
      </c>
      <c r="L9804">
        <v>0.94754422009028505</v>
      </c>
      <c r="M9804">
        <v>0.89130434782608703</v>
      </c>
      <c r="N9804">
        <v>0.89130434782608703</v>
      </c>
      <c r="O9804">
        <v>0.89130434782608703</v>
      </c>
      <c r="AF9804" t="e">
        <f>---------MMEQKLVEEVHLYCSPLELEEFIQHFCSSFIQKFHKIADLSTISVEKESDDYDLSSEDAGKSNFEDRQNYVLKQKFTCMIHEKDGEPCEEDLDLISDRIFEVVKQSVGSIPYFSFLGFEDNSDEDNQPS</f>
        <v>#NAME?</v>
      </c>
    </row>
    <row r="9805" spans="1:32" hidden="1" x14ac:dyDescent="0.35">
      <c r="A9805">
        <v>9804</v>
      </c>
      <c r="B9805" t="s">
        <v>19881</v>
      </c>
      <c r="C9805" t="s">
        <v>33</v>
      </c>
      <c r="D9805" t="s">
        <v>45</v>
      </c>
      <c r="E9805">
        <v>1442</v>
      </c>
      <c r="F9805">
        <v>2</v>
      </c>
      <c r="G9805">
        <v>2</v>
      </c>
      <c r="H9805">
        <v>1</v>
      </c>
      <c r="I9805">
        <v>0</v>
      </c>
      <c r="J9805">
        <v>0.95865633074935397</v>
      </c>
      <c r="K9805">
        <v>0.93668676610599899</v>
      </c>
      <c r="L9805">
        <v>0.94754422009028505</v>
      </c>
      <c r="M9805">
        <v>0.89130434782608703</v>
      </c>
      <c r="N9805">
        <v>0.89130434782608703</v>
      </c>
      <c r="O9805">
        <v>0.89130434782608703</v>
      </c>
      <c r="AF9805" t="s">
        <v>19882</v>
      </c>
    </row>
    <row r="9806" spans="1:32" hidden="1" x14ac:dyDescent="0.35">
      <c r="A9806">
        <v>9805</v>
      </c>
      <c r="B9806" t="s">
        <v>19883</v>
      </c>
      <c r="C9806" t="s">
        <v>33</v>
      </c>
      <c r="D9806" t="s">
        <v>60</v>
      </c>
      <c r="E9806">
        <v>1019</v>
      </c>
      <c r="F9806">
        <v>2</v>
      </c>
      <c r="G9806">
        <v>2</v>
      </c>
      <c r="H9806">
        <v>1</v>
      </c>
      <c r="I9806">
        <v>0</v>
      </c>
      <c r="J9806">
        <v>0.99709302325581395</v>
      </c>
      <c r="K9806">
        <v>1</v>
      </c>
      <c r="L9806">
        <v>0.99854439592430899</v>
      </c>
      <c r="M9806">
        <v>0.99709302325581395</v>
      </c>
      <c r="N9806">
        <v>0.99709302325581395</v>
      </c>
      <c r="O9806">
        <v>0.99709302325581395</v>
      </c>
      <c r="P9806" t="s">
        <v>19884</v>
      </c>
      <c r="Q9806" t="s">
        <v>19885</v>
      </c>
      <c r="AF9806" t="s">
        <v>19886</v>
      </c>
    </row>
    <row r="9807" spans="1:32" hidden="1" x14ac:dyDescent="0.35">
      <c r="A9807">
        <v>9806</v>
      </c>
      <c r="B9807" t="s">
        <v>19883</v>
      </c>
      <c r="C9807" t="s">
        <v>33</v>
      </c>
      <c r="D9807" t="s">
        <v>62</v>
      </c>
      <c r="E9807">
        <v>1055</v>
      </c>
      <c r="F9807">
        <v>2</v>
      </c>
      <c r="G9807">
        <v>2</v>
      </c>
      <c r="H9807">
        <v>1</v>
      </c>
      <c r="I9807">
        <v>0</v>
      </c>
      <c r="J9807">
        <v>0.99709302325581395</v>
      </c>
      <c r="K9807">
        <v>1</v>
      </c>
      <c r="L9807">
        <v>0.99854439592430899</v>
      </c>
      <c r="M9807">
        <v>0.99709302325581395</v>
      </c>
      <c r="N9807">
        <v>0.99709302325581395</v>
      </c>
      <c r="O9807">
        <v>0.99709302325581395</v>
      </c>
      <c r="P9807" t="s">
        <v>19884</v>
      </c>
      <c r="Q9807" t="s">
        <v>19885</v>
      </c>
      <c r="AF9807" t="s">
        <v>19887</v>
      </c>
    </row>
    <row r="9808" spans="1:32" hidden="1" x14ac:dyDescent="0.35">
      <c r="A9808">
        <v>9807</v>
      </c>
      <c r="B9808" t="s">
        <v>19888</v>
      </c>
      <c r="C9808" t="s">
        <v>33</v>
      </c>
      <c r="D9808" t="s">
        <v>60</v>
      </c>
      <c r="E9808">
        <v>908</v>
      </c>
      <c r="F9808">
        <v>2</v>
      </c>
      <c r="G9808">
        <v>2</v>
      </c>
      <c r="H9808">
        <v>1</v>
      </c>
      <c r="I9808">
        <v>0</v>
      </c>
      <c r="J9808">
        <v>0.99333333333333296</v>
      </c>
      <c r="K9808">
        <v>1</v>
      </c>
      <c r="L9808">
        <v>0.99665551839464905</v>
      </c>
      <c r="M9808">
        <v>0.98888888888888904</v>
      </c>
      <c r="N9808">
        <v>0.98888888888888904</v>
      </c>
      <c r="O9808">
        <v>0.98888888888888904</v>
      </c>
      <c r="P9808" t="s">
        <v>19889</v>
      </c>
      <c r="Q9808" t="s">
        <v>19890</v>
      </c>
      <c r="R9808" t="s">
        <v>75</v>
      </c>
      <c r="S9808" t="s">
        <v>76</v>
      </c>
      <c r="V9808" t="s">
        <v>677</v>
      </c>
      <c r="W9808" t="s">
        <v>678</v>
      </c>
      <c r="AF9808" t="s">
        <v>19891</v>
      </c>
    </row>
    <row r="9809" spans="1:32" hidden="1" x14ac:dyDescent="0.35">
      <c r="A9809">
        <v>9808</v>
      </c>
      <c r="B9809" t="s">
        <v>19888</v>
      </c>
      <c r="C9809" t="s">
        <v>33</v>
      </c>
      <c r="D9809" t="s">
        <v>62</v>
      </c>
      <c r="E9809">
        <v>942</v>
      </c>
      <c r="F9809">
        <v>2</v>
      </c>
      <c r="G9809">
        <v>2</v>
      </c>
      <c r="H9809">
        <v>1</v>
      </c>
      <c r="I9809">
        <v>0</v>
      </c>
      <c r="J9809">
        <v>0.99333333333333296</v>
      </c>
      <c r="K9809">
        <v>1</v>
      </c>
      <c r="L9809">
        <v>0.99665551839464905</v>
      </c>
      <c r="M9809">
        <v>0.98888888888888904</v>
      </c>
      <c r="N9809">
        <v>0.98888888888888904</v>
      </c>
      <c r="O9809">
        <v>0.98888888888888904</v>
      </c>
      <c r="P9809" t="s">
        <v>19889</v>
      </c>
      <c r="Q9809" t="s">
        <v>19890</v>
      </c>
      <c r="R9809" t="s">
        <v>75</v>
      </c>
      <c r="S9809" t="s">
        <v>76</v>
      </c>
      <c r="V9809" t="s">
        <v>677</v>
      </c>
      <c r="W9809" t="s">
        <v>678</v>
      </c>
      <c r="AF9809" t="s">
        <v>19892</v>
      </c>
    </row>
    <row r="9810" spans="1:32" hidden="1" x14ac:dyDescent="0.35">
      <c r="A9810">
        <v>9809</v>
      </c>
      <c r="B9810" t="s">
        <v>19893</v>
      </c>
      <c r="C9810" t="s">
        <v>33</v>
      </c>
      <c r="D9810" t="s">
        <v>60</v>
      </c>
      <c r="E9810">
        <v>297</v>
      </c>
      <c r="F9810">
        <v>2</v>
      </c>
      <c r="G9810">
        <v>2</v>
      </c>
      <c r="H9810">
        <v>1</v>
      </c>
      <c r="I9810">
        <v>0</v>
      </c>
      <c r="J9810">
        <v>0.996649916247906</v>
      </c>
      <c r="K9810">
        <v>1</v>
      </c>
      <c r="L9810">
        <v>0.99832214765100702</v>
      </c>
      <c r="M9810">
        <v>0.99497487437185905</v>
      </c>
      <c r="N9810">
        <v>0.99497487437185905</v>
      </c>
      <c r="O9810">
        <v>0.99497487437185905</v>
      </c>
      <c r="P9810" t="s">
        <v>1992</v>
      </c>
      <c r="Q9810" t="s">
        <v>1993</v>
      </c>
      <c r="R9810" t="s">
        <v>1191</v>
      </c>
      <c r="S9810" t="s">
        <v>1192</v>
      </c>
      <c r="T9810" t="s">
        <v>19894</v>
      </c>
      <c r="U9810" t="s">
        <v>19895</v>
      </c>
      <c r="V9810" t="s">
        <v>15771</v>
      </c>
      <c r="W9810" t="s">
        <v>15772</v>
      </c>
      <c r="AD9810" t="s">
        <v>1998</v>
      </c>
      <c r="AE9810" t="s">
        <v>19896</v>
      </c>
      <c r="AF9810" t="s">
        <v>19897</v>
      </c>
    </row>
    <row r="9811" spans="1:32" hidden="1" x14ac:dyDescent="0.35">
      <c r="A9811">
        <v>9810</v>
      </c>
      <c r="B9811" t="s">
        <v>19893</v>
      </c>
      <c r="C9811" t="s">
        <v>33</v>
      </c>
      <c r="D9811" t="s">
        <v>62</v>
      </c>
      <c r="E9811">
        <v>377</v>
      </c>
      <c r="F9811">
        <v>2</v>
      </c>
      <c r="G9811">
        <v>2</v>
      </c>
      <c r="H9811">
        <v>1</v>
      </c>
      <c r="I9811">
        <v>0</v>
      </c>
      <c r="J9811">
        <v>0.996649916247906</v>
      </c>
      <c r="K9811">
        <v>1</v>
      </c>
      <c r="L9811">
        <v>0.99832214765100702</v>
      </c>
      <c r="M9811">
        <v>0.99497487437185905</v>
      </c>
      <c r="N9811">
        <v>0.99497487437185905</v>
      </c>
      <c r="O9811">
        <v>0.99497487437185905</v>
      </c>
      <c r="P9811" t="s">
        <v>1992</v>
      </c>
      <c r="Q9811" t="s">
        <v>1993</v>
      </c>
      <c r="R9811" t="s">
        <v>1191</v>
      </c>
      <c r="S9811" t="s">
        <v>1192</v>
      </c>
      <c r="T9811" t="s">
        <v>19894</v>
      </c>
      <c r="U9811" t="s">
        <v>19895</v>
      </c>
      <c r="V9811" t="s">
        <v>15771</v>
      </c>
      <c r="W9811" t="s">
        <v>15772</v>
      </c>
      <c r="AD9811" t="s">
        <v>1998</v>
      </c>
      <c r="AE9811" t="s">
        <v>19896</v>
      </c>
      <c r="AF9811" t="s">
        <v>19898</v>
      </c>
    </row>
    <row r="9812" spans="1:32" hidden="1" x14ac:dyDescent="0.35">
      <c r="A9812">
        <v>9811</v>
      </c>
      <c r="B9812" t="s">
        <v>19899</v>
      </c>
      <c r="C9812" t="s">
        <v>33</v>
      </c>
      <c r="D9812" t="s">
        <v>34</v>
      </c>
      <c r="E9812">
        <v>1198</v>
      </c>
      <c r="F9812">
        <v>2</v>
      </c>
      <c r="G9812">
        <v>2</v>
      </c>
      <c r="H9812">
        <v>1</v>
      </c>
      <c r="I9812">
        <v>0</v>
      </c>
      <c r="J9812">
        <v>0.988913525498891</v>
      </c>
      <c r="K9812">
        <v>0.93756092511279598</v>
      </c>
      <c r="L9812">
        <v>0.96255279121807902</v>
      </c>
      <c r="M9812">
        <v>0.92116182572614103</v>
      </c>
      <c r="N9812">
        <v>0.92116182572614103</v>
      </c>
      <c r="O9812">
        <v>0.92116182572614103</v>
      </c>
      <c r="P9812" t="s">
        <v>2364</v>
      </c>
      <c r="Q9812" t="s">
        <v>2365</v>
      </c>
      <c r="R9812" t="s">
        <v>2071</v>
      </c>
      <c r="S9812" t="s">
        <v>2072</v>
      </c>
      <c r="T9812" t="s">
        <v>2366</v>
      </c>
      <c r="U9812" t="s">
        <v>2367</v>
      </c>
      <c r="V9812" t="s">
        <v>2368</v>
      </c>
      <c r="W9812" t="s">
        <v>2369</v>
      </c>
      <c r="AD9812" t="s">
        <v>410</v>
      </c>
      <c r="AE9812" t="s">
        <v>1840</v>
      </c>
      <c r="AF9812" t="s">
        <v>19900</v>
      </c>
    </row>
    <row r="9813" spans="1:32" hidden="1" x14ac:dyDescent="0.35">
      <c r="A9813">
        <v>9812</v>
      </c>
      <c r="B9813" t="s">
        <v>19899</v>
      </c>
      <c r="C9813" t="s">
        <v>33</v>
      </c>
      <c r="D9813" t="s">
        <v>45</v>
      </c>
      <c r="E9813">
        <v>2440</v>
      </c>
      <c r="F9813">
        <v>2</v>
      </c>
      <c r="G9813">
        <v>2</v>
      </c>
      <c r="H9813">
        <v>1</v>
      </c>
      <c r="I9813">
        <v>0</v>
      </c>
      <c r="J9813">
        <v>0.988913525498891</v>
      </c>
      <c r="K9813">
        <v>0.93756092511279598</v>
      </c>
      <c r="L9813">
        <v>0.96255279121807902</v>
      </c>
      <c r="M9813">
        <v>0.92116182572614103</v>
      </c>
      <c r="N9813">
        <v>0.92116182572614103</v>
      </c>
      <c r="O9813">
        <v>0.92116182572614103</v>
      </c>
      <c r="P9813" t="s">
        <v>2364</v>
      </c>
      <c r="Q9813" t="s">
        <v>2365</v>
      </c>
      <c r="R9813" t="s">
        <v>2071</v>
      </c>
      <c r="S9813" t="s">
        <v>2072</v>
      </c>
      <c r="T9813" t="s">
        <v>2366</v>
      </c>
      <c r="U9813" t="s">
        <v>2367</v>
      </c>
      <c r="V9813" t="s">
        <v>2368</v>
      </c>
      <c r="W9813" t="s">
        <v>2369</v>
      </c>
      <c r="AD9813" t="s">
        <v>410</v>
      </c>
      <c r="AE9813" t="s">
        <v>1840</v>
      </c>
      <c r="AF9813" t="s">
        <v>19901</v>
      </c>
    </row>
    <row r="9814" spans="1:32" hidden="1" x14ac:dyDescent="0.35">
      <c r="A9814">
        <v>9813</v>
      </c>
      <c r="B9814" t="s">
        <v>19902</v>
      </c>
      <c r="C9814" t="s">
        <v>33</v>
      </c>
      <c r="D9814" t="s">
        <v>60</v>
      </c>
      <c r="E9814">
        <v>1264</v>
      </c>
      <c r="F9814">
        <v>2</v>
      </c>
      <c r="G9814">
        <v>2</v>
      </c>
      <c r="H9814">
        <v>1</v>
      </c>
      <c r="I9814">
        <v>0</v>
      </c>
      <c r="J9814">
        <v>0.99499687304565398</v>
      </c>
      <c r="K9814">
        <v>1</v>
      </c>
      <c r="L9814">
        <v>0.99749216300940402</v>
      </c>
      <c r="M9814">
        <v>0.99249530956847998</v>
      </c>
      <c r="N9814">
        <v>0.99249530956847998</v>
      </c>
      <c r="O9814">
        <v>0.99249530956847998</v>
      </c>
      <c r="P9814" t="s">
        <v>15233</v>
      </c>
      <c r="Q9814" t="s">
        <v>15234</v>
      </c>
      <c r="R9814" t="s">
        <v>138</v>
      </c>
      <c r="S9814" t="s">
        <v>139</v>
      </c>
      <c r="V9814" t="s">
        <v>11356</v>
      </c>
      <c r="W9814" t="s">
        <v>11357</v>
      </c>
      <c r="AF9814" t="s">
        <v>19903</v>
      </c>
    </row>
    <row r="9815" spans="1:32" hidden="1" x14ac:dyDescent="0.35">
      <c r="A9815">
        <v>9814</v>
      </c>
      <c r="B9815" t="s">
        <v>19902</v>
      </c>
      <c r="C9815" t="s">
        <v>33</v>
      </c>
      <c r="D9815" t="s">
        <v>62</v>
      </c>
      <c r="E9815">
        <v>1300</v>
      </c>
      <c r="F9815">
        <v>2</v>
      </c>
      <c r="G9815">
        <v>2</v>
      </c>
      <c r="H9815">
        <v>1</v>
      </c>
      <c r="I9815">
        <v>0</v>
      </c>
      <c r="J9815">
        <v>0.99499687304565398</v>
      </c>
      <c r="K9815">
        <v>1</v>
      </c>
      <c r="L9815">
        <v>0.99749216300940402</v>
      </c>
      <c r="M9815">
        <v>0.99249530956847998</v>
      </c>
      <c r="N9815">
        <v>0.99249530956847998</v>
      </c>
      <c r="O9815">
        <v>0.99249530956847998</v>
      </c>
      <c r="P9815" t="s">
        <v>15233</v>
      </c>
      <c r="Q9815" t="s">
        <v>15234</v>
      </c>
      <c r="R9815" t="s">
        <v>138</v>
      </c>
      <c r="S9815" t="s">
        <v>139</v>
      </c>
      <c r="V9815" t="s">
        <v>11356</v>
      </c>
      <c r="W9815" t="s">
        <v>11357</v>
      </c>
      <c r="AF9815" t="s">
        <v>19904</v>
      </c>
    </row>
    <row r="9816" spans="1:32" hidden="1" x14ac:dyDescent="0.35">
      <c r="A9816">
        <v>9815</v>
      </c>
      <c r="B9816" t="s">
        <v>19905</v>
      </c>
      <c r="C9816" t="s">
        <v>33</v>
      </c>
      <c r="D9816" t="s">
        <v>60</v>
      </c>
      <c r="E9816">
        <v>730</v>
      </c>
      <c r="F9816">
        <v>2</v>
      </c>
      <c r="G9816">
        <v>2</v>
      </c>
      <c r="H9816">
        <v>1</v>
      </c>
      <c r="I9816">
        <v>0</v>
      </c>
      <c r="J9816">
        <v>0.97150997150997198</v>
      </c>
      <c r="K9816">
        <v>0.95234623541887797</v>
      </c>
      <c r="L9816">
        <v>0.96183265745872903</v>
      </c>
      <c r="M9816">
        <v>0.91869918699187003</v>
      </c>
      <c r="N9816">
        <v>0.91869918699187003</v>
      </c>
      <c r="O9816">
        <v>0.91869918699187003</v>
      </c>
      <c r="P9816" t="s">
        <v>18690</v>
      </c>
      <c r="Q9816" t="s">
        <v>18691</v>
      </c>
      <c r="AF9816" t="s">
        <v>19906</v>
      </c>
    </row>
    <row r="9817" spans="1:32" hidden="1" x14ac:dyDescent="0.35">
      <c r="A9817">
        <v>9816</v>
      </c>
      <c r="B9817" t="s">
        <v>19905</v>
      </c>
      <c r="C9817" t="s">
        <v>33</v>
      </c>
      <c r="D9817" t="s">
        <v>62</v>
      </c>
      <c r="E9817">
        <v>762</v>
      </c>
      <c r="F9817">
        <v>2</v>
      </c>
      <c r="G9817">
        <v>2</v>
      </c>
      <c r="H9817">
        <v>1</v>
      </c>
      <c r="I9817">
        <v>0</v>
      </c>
      <c r="J9817">
        <v>0.97150997150997198</v>
      </c>
      <c r="K9817">
        <v>0.95234623541887797</v>
      </c>
      <c r="L9817">
        <v>0.96183265745872903</v>
      </c>
      <c r="M9817">
        <v>0.91869918699187003</v>
      </c>
      <c r="N9817">
        <v>0.91869918699187003</v>
      </c>
      <c r="O9817">
        <v>0.91869918699187003</v>
      </c>
      <c r="P9817" t="s">
        <v>2233</v>
      </c>
      <c r="Q9817" t="s">
        <v>2234</v>
      </c>
      <c r="AF9817" t="s">
        <v>19907</v>
      </c>
    </row>
    <row r="9818" spans="1:32" hidden="1" x14ac:dyDescent="0.35">
      <c r="A9818">
        <v>9817</v>
      </c>
      <c r="B9818" t="s">
        <v>19908</v>
      </c>
      <c r="C9818" t="s">
        <v>33</v>
      </c>
      <c r="D9818" t="s">
        <v>60</v>
      </c>
      <c r="E9818">
        <v>106</v>
      </c>
      <c r="F9818">
        <v>2</v>
      </c>
      <c r="G9818">
        <v>2</v>
      </c>
      <c r="H9818">
        <v>1</v>
      </c>
      <c r="I9818">
        <v>0</v>
      </c>
      <c r="J9818">
        <v>0.97178130511463801</v>
      </c>
      <c r="K9818">
        <v>1</v>
      </c>
      <c r="L9818">
        <v>0.98568872987477596</v>
      </c>
      <c r="M9818">
        <v>0.96825396825396803</v>
      </c>
      <c r="N9818">
        <v>0.96825396825396803</v>
      </c>
      <c r="O9818">
        <v>0.96825396825396803</v>
      </c>
      <c r="AF9818" t="s">
        <v>19909</v>
      </c>
    </row>
    <row r="9819" spans="1:32" hidden="1" x14ac:dyDescent="0.35">
      <c r="A9819">
        <v>9818</v>
      </c>
      <c r="B9819" t="s">
        <v>19908</v>
      </c>
      <c r="C9819" t="s">
        <v>33</v>
      </c>
      <c r="D9819" t="s">
        <v>62</v>
      </c>
      <c r="E9819">
        <v>178</v>
      </c>
      <c r="F9819">
        <v>2</v>
      </c>
      <c r="G9819">
        <v>2</v>
      </c>
      <c r="H9819">
        <v>1</v>
      </c>
      <c r="I9819">
        <v>0</v>
      </c>
      <c r="J9819">
        <v>0.97178130511463801</v>
      </c>
      <c r="K9819">
        <v>1</v>
      </c>
      <c r="L9819">
        <v>0.98568872987477596</v>
      </c>
      <c r="M9819">
        <v>0.96825396825396803</v>
      </c>
      <c r="N9819">
        <v>0.96825396825396803</v>
      </c>
      <c r="O9819">
        <v>0.96825396825396803</v>
      </c>
      <c r="AF9819" t="s">
        <v>19910</v>
      </c>
    </row>
    <row r="9820" spans="1:32" hidden="1" x14ac:dyDescent="0.35">
      <c r="A9820">
        <v>9819</v>
      </c>
      <c r="B9820" t="s">
        <v>19911</v>
      </c>
      <c r="C9820" t="s">
        <v>33</v>
      </c>
      <c r="D9820" t="s">
        <v>34</v>
      </c>
      <c r="E9820">
        <v>1939</v>
      </c>
      <c r="F9820">
        <v>2</v>
      </c>
      <c r="G9820">
        <v>2</v>
      </c>
      <c r="H9820">
        <v>1</v>
      </c>
      <c r="I9820">
        <v>0</v>
      </c>
      <c r="J9820">
        <v>0.98627450980392195</v>
      </c>
      <c r="K9820">
        <v>0.97175697865353206</v>
      </c>
      <c r="L9820">
        <v>0.97896192519876102</v>
      </c>
      <c r="M9820">
        <v>0.95428571428571396</v>
      </c>
      <c r="N9820">
        <v>0.95428571428571396</v>
      </c>
      <c r="O9820">
        <v>0.95428571428571396</v>
      </c>
      <c r="P9820" t="s">
        <v>18508</v>
      </c>
      <c r="Q9820" t="s">
        <v>18509</v>
      </c>
      <c r="R9820" t="s">
        <v>869</v>
      </c>
      <c r="S9820" t="s">
        <v>870</v>
      </c>
      <c r="T9820" t="s">
        <v>18510</v>
      </c>
      <c r="U9820" t="s">
        <v>18511</v>
      </c>
      <c r="V9820" t="s">
        <v>18512</v>
      </c>
      <c r="W9820" t="s">
        <v>18513</v>
      </c>
      <c r="X9820" t="s">
        <v>18512</v>
      </c>
      <c r="Y9820" t="s">
        <v>4240</v>
      </c>
      <c r="AD9820" t="s">
        <v>219</v>
      </c>
      <c r="AE9820" t="s">
        <v>18514</v>
      </c>
      <c r="AF9820" t="s">
        <v>19912</v>
      </c>
    </row>
    <row r="9821" spans="1:32" hidden="1" x14ac:dyDescent="0.35">
      <c r="A9821">
        <v>9820</v>
      </c>
      <c r="B9821" t="s">
        <v>19911</v>
      </c>
      <c r="C9821" t="s">
        <v>33</v>
      </c>
      <c r="D9821" t="s">
        <v>45</v>
      </c>
      <c r="E9821">
        <v>934</v>
      </c>
      <c r="F9821">
        <v>2</v>
      </c>
      <c r="G9821">
        <v>2</v>
      </c>
      <c r="H9821">
        <v>1</v>
      </c>
      <c r="I9821">
        <v>0</v>
      </c>
      <c r="J9821">
        <v>0.98627450980392195</v>
      </c>
      <c r="K9821">
        <v>0.97175697865353206</v>
      </c>
      <c r="L9821">
        <v>0.97896192519876102</v>
      </c>
      <c r="M9821">
        <v>0.95428571428571396</v>
      </c>
      <c r="N9821">
        <v>0.95428571428571396</v>
      </c>
      <c r="O9821">
        <v>0.95428571428571396</v>
      </c>
      <c r="P9821" t="s">
        <v>18508</v>
      </c>
      <c r="Q9821" t="s">
        <v>18509</v>
      </c>
      <c r="R9821" t="s">
        <v>869</v>
      </c>
      <c r="S9821" t="s">
        <v>870</v>
      </c>
      <c r="T9821" t="s">
        <v>18510</v>
      </c>
      <c r="U9821" t="s">
        <v>18511</v>
      </c>
      <c r="V9821" t="s">
        <v>18512</v>
      </c>
      <c r="W9821" t="s">
        <v>18513</v>
      </c>
      <c r="X9821" t="s">
        <v>18512</v>
      </c>
      <c r="Y9821" t="s">
        <v>4240</v>
      </c>
      <c r="AD9821" t="s">
        <v>219</v>
      </c>
      <c r="AE9821" t="s">
        <v>18514</v>
      </c>
      <c r="AF9821" t="s">
        <v>19913</v>
      </c>
    </row>
    <row r="9822" spans="1:32" hidden="1" x14ac:dyDescent="0.35">
      <c r="A9822">
        <v>9821</v>
      </c>
      <c r="B9822" t="s">
        <v>19914</v>
      </c>
      <c r="C9822" t="s">
        <v>33</v>
      </c>
      <c r="D9822" t="s">
        <v>60</v>
      </c>
      <c r="E9822">
        <v>555</v>
      </c>
      <c r="F9822">
        <v>2</v>
      </c>
      <c r="G9822">
        <v>2</v>
      </c>
      <c r="H9822">
        <v>1</v>
      </c>
      <c r="I9822">
        <v>0</v>
      </c>
      <c r="J9822">
        <v>0.97585886722377002</v>
      </c>
      <c r="K9822">
        <v>1</v>
      </c>
      <c r="L9822">
        <v>0.98778195488721798</v>
      </c>
      <c r="M9822">
        <v>0.97214484679665703</v>
      </c>
      <c r="N9822">
        <v>0.97214484679665703</v>
      </c>
      <c r="O9822">
        <v>0.97214484679665703</v>
      </c>
      <c r="P9822" t="s">
        <v>19915</v>
      </c>
      <c r="Q9822" t="s">
        <v>19916</v>
      </c>
      <c r="R9822" t="s">
        <v>96</v>
      </c>
      <c r="S9822" t="s">
        <v>97</v>
      </c>
      <c r="T9822" t="s">
        <v>19917</v>
      </c>
      <c r="U9822" t="s">
        <v>19918</v>
      </c>
      <c r="V9822" t="s">
        <v>19919</v>
      </c>
      <c r="W9822" t="s">
        <v>19920</v>
      </c>
      <c r="AD9822" t="s">
        <v>410</v>
      </c>
      <c r="AE9822" t="s">
        <v>1637</v>
      </c>
      <c r="AF9822" t="s">
        <v>19921</v>
      </c>
    </row>
    <row r="9823" spans="1:32" hidden="1" x14ac:dyDescent="0.35">
      <c r="A9823">
        <v>9822</v>
      </c>
      <c r="B9823" t="s">
        <v>19914</v>
      </c>
      <c r="C9823" t="s">
        <v>33</v>
      </c>
      <c r="D9823" t="s">
        <v>62</v>
      </c>
      <c r="E9823">
        <v>639</v>
      </c>
      <c r="F9823">
        <v>2</v>
      </c>
      <c r="G9823">
        <v>2</v>
      </c>
      <c r="H9823">
        <v>1</v>
      </c>
      <c r="I9823">
        <v>0</v>
      </c>
      <c r="J9823">
        <v>0.97585886722377002</v>
      </c>
      <c r="K9823">
        <v>1</v>
      </c>
      <c r="L9823">
        <v>0.98778195488721798</v>
      </c>
      <c r="M9823">
        <v>0.97214484679665703</v>
      </c>
      <c r="N9823">
        <v>0.97214484679665703</v>
      </c>
      <c r="O9823">
        <v>0.97214484679665703</v>
      </c>
      <c r="P9823" t="s">
        <v>19915</v>
      </c>
      <c r="Q9823" t="s">
        <v>19916</v>
      </c>
      <c r="R9823" t="s">
        <v>96</v>
      </c>
      <c r="S9823" t="s">
        <v>97</v>
      </c>
      <c r="T9823" t="s">
        <v>19917</v>
      </c>
      <c r="U9823" t="s">
        <v>19918</v>
      </c>
      <c r="V9823" t="s">
        <v>19919</v>
      </c>
      <c r="W9823" t="s">
        <v>19920</v>
      </c>
      <c r="AD9823" t="s">
        <v>410</v>
      </c>
      <c r="AE9823" t="s">
        <v>1637</v>
      </c>
      <c r="AF9823" t="s">
        <v>19922</v>
      </c>
    </row>
    <row r="9824" spans="1:32" hidden="1" x14ac:dyDescent="0.35">
      <c r="A9824">
        <v>9823</v>
      </c>
      <c r="B9824" t="s">
        <v>19923</v>
      </c>
      <c r="C9824" t="s">
        <v>33</v>
      </c>
      <c r="D9824" t="s">
        <v>34</v>
      </c>
      <c r="E9824">
        <v>634</v>
      </c>
      <c r="F9824">
        <v>2</v>
      </c>
      <c r="G9824">
        <v>2</v>
      </c>
      <c r="H9824">
        <v>1</v>
      </c>
      <c r="I9824">
        <v>0</v>
      </c>
      <c r="J9824">
        <v>0.97997997997997999</v>
      </c>
      <c r="K9824">
        <v>0.86813713737712805</v>
      </c>
      <c r="L9824">
        <v>0.92067435176763701</v>
      </c>
      <c r="M9824">
        <v>0.83762886597938102</v>
      </c>
      <c r="N9824">
        <v>0.83762886597938102</v>
      </c>
      <c r="O9824">
        <v>0.83762886597938102</v>
      </c>
      <c r="AF9824" t="s">
        <v>19924</v>
      </c>
    </row>
    <row r="9825" spans="1:32" hidden="1" x14ac:dyDescent="0.35">
      <c r="A9825">
        <v>9824</v>
      </c>
      <c r="B9825" t="s">
        <v>19923</v>
      </c>
      <c r="C9825" t="s">
        <v>33</v>
      </c>
      <c r="D9825" t="s">
        <v>45</v>
      </c>
      <c r="E9825">
        <v>1900</v>
      </c>
      <c r="F9825">
        <v>2</v>
      </c>
      <c r="G9825">
        <v>2</v>
      </c>
      <c r="H9825">
        <v>1</v>
      </c>
      <c r="I9825">
        <v>0</v>
      </c>
      <c r="J9825">
        <v>0.97997997997997999</v>
      </c>
      <c r="K9825">
        <v>0.86813713737712805</v>
      </c>
      <c r="L9825">
        <v>0.92067435176763701</v>
      </c>
      <c r="M9825">
        <v>0.83762886597938102</v>
      </c>
      <c r="N9825">
        <v>0.83762886597938102</v>
      </c>
      <c r="O9825">
        <v>0.83762886597938102</v>
      </c>
      <c r="AF9825" t="s">
        <v>19925</v>
      </c>
    </row>
    <row r="9826" spans="1:32" hidden="1" x14ac:dyDescent="0.35">
      <c r="A9826">
        <v>9825</v>
      </c>
      <c r="B9826" t="s">
        <v>19926</v>
      </c>
      <c r="C9826" t="s">
        <v>33</v>
      </c>
      <c r="D9826" t="s">
        <v>60</v>
      </c>
      <c r="E9826">
        <v>193</v>
      </c>
      <c r="F9826">
        <v>2</v>
      </c>
      <c r="G9826">
        <v>2</v>
      </c>
      <c r="H9826">
        <v>1</v>
      </c>
      <c r="I9826">
        <v>0</v>
      </c>
      <c r="J9826">
        <v>0.98714859437751001</v>
      </c>
      <c r="K9826">
        <v>1</v>
      </c>
      <c r="L9826">
        <v>0.99353274050121299</v>
      </c>
      <c r="M9826">
        <v>0.98072289156626502</v>
      </c>
      <c r="N9826">
        <v>0.98072289156626502</v>
      </c>
      <c r="O9826">
        <v>0.98072289156626502</v>
      </c>
      <c r="P9826" t="s">
        <v>10047</v>
      </c>
      <c r="Q9826" t="s">
        <v>10048</v>
      </c>
      <c r="R9826" t="s">
        <v>1102</v>
      </c>
      <c r="S9826" t="s">
        <v>1103</v>
      </c>
      <c r="T9826" t="s">
        <v>19927</v>
      </c>
      <c r="U9826" t="s">
        <v>19928</v>
      </c>
      <c r="V9826" t="s">
        <v>10051</v>
      </c>
      <c r="W9826" t="s">
        <v>10052</v>
      </c>
      <c r="X9826" t="s">
        <v>10051</v>
      </c>
      <c r="Y9826" t="s">
        <v>241</v>
      </c>
      <c r="AD9826" t="s">
        <v>191</v>
      </c>
      <c r="AE9826" t="s">
        <v>19929</v>
      </c>
      <c r="AF9826" t="s">
        <v>19930</v>
      </c>
    </row>
    <row r="9827" spans="1:32" hidden="1" x14ac:dyDescent="0.35">
      <c r="A9827">
        <v>9826</v>
      </c>
      <c r="B9827" t="s">
        <v>19926</v>
      </c>
      <c r="C9827" t="s">
        <v>33</v>
      </c>
      <c r="D9827" t="s">
        <v>62</v>
      </c>
      <c r="E9827">
        <v>270</v>
      </c>
      <c r="F9827">
        <v>2</v>
      </c>
      <c r="G9827">
        <v>2</v>
      </c>
      <c r="H9827">
        <v>1</v>
      </c>
      <c r="I9827">
        <v>0</v>
      </c>
      <c r="J9827">
        <v>0.98714859437751001</v>
      </c>
      <c r="K9827">
        <v>1</v>
      </c>
      <c r="L9827">
        <v>0.99353274050121299</v>
      </c>
      <c r="M9827">
        <v>0.98072289156626502</v>
      </c>
      <c r="N9827">
        <v>0.98072289156626502</v>
      </c>
      <c r="O9827">
        <v>0.98072289156626502</v>
      </c>
      <c r="P9827" t="s">
        <v>10047</v>
      </c>
      <c r="Q9827" t="s">
        <v>10048</v>
      </c>
      <c r="R9827" t="s">
        <v>1102</v>
      </c>
      <c r="S9827" t="s">
        <v>1103</v>
      </c>
      <c r="T9827" t="s">
        <v>19927</v>
      </c>
      <c r="U9827" t="s">
        <v>19928</v>
      </c>
      <c r="V9827" t="s">
        <v>10051</v>
      </c>
      <c r="W9827" t="s">
        <v>10052</v>
      </c>
      <c r="X9827" t="s">
        <v>10051</v>
      </c>
      <c r="Y9827" t="s">
        <v>241</v>
      </c>
      <c r="AD9827" t="s">
        <v>191</v>
      </c>
      <c r="AE9827" t="s">
        <v>19929</v>
      </c>
      <c r="AF9827" t="s">
        <v>19931</v>
      </c>
    </row>
    <row r="9828" spans="1:32" hidden="1" x14ac:dyDescent="0.35">
      <c r="A9828">
        <v>9827</v>
      </c>
      <c r="B9828" t="s">
        <v>19932</v>
      </c>
      <c r="C9828" t="s">
        <v>33</v>
      </c>
      <c r="D9828" t="s">
        <v>34</v>
      </c>
      <c r="E9828">
        <v>491</v>
      </c>
      <c r="F9828">
        <v>2</v>
      </c>
      <c r="G9828">
        <v>2</v>
      </c>
      <c r="H9828">
        <v>1</v>
      </c>
      <c r="I9828">
        <v>0</v>
      </c>
      <c r="J9828">
        <v>0.98317005777442901</v>
      </c>
      <c r="K9828">
        <v>1</v>
      </c>
      <c r="L9828">
        <v>0.99151361621279299</v>
      </c>
      <c r="M9828">
        <v>0.97965335342878701</v>
      </c>
      <c r="N9828">
        <v>0.97965335342878701</v>
      </c>
      <c r="O9828">
        <v>0.97965335342878701</v>
      </c>
      <c r="AF9828" t="s">
        <v>19933</v>
      </c>
    </row>
    <row r="9829" spans="1:32" hidden="1" x14ac:dyDescent="0.35">
      <c r="A9829">
        <v>9828</v>
      </c>
      <c r="B9829" t="s">
        <v>19932</v>
      </c>
      <c r="C9829" t="s">
        <v>33</v>
      </c>
      <c r="D9829" t="s">
        <v>45</v>
      </c>
      <c r="E9829">
        <v>1756</v>
      </c>
      <c r="F9829">
        <v>2</v>
      </c>
      <c r="G9829">
        <v>2</v>
      </c>
      <c r="H9829">
        <v>1</v>
      </c>
      <c r="I9829">
        <v>0</v>
      </c>
      <c r="J9829">
        <v>0.98317005777442901</v>
      </c>
      <c r="K9829">
        <v>1</v>
      </c>
      <c r="L9829">
        <v>0.99151361621279299</v>
      </c>
      <c r="M9829">
        <v>0.97965335342878701</v>
      </c>
      <c r="N9829">
        <v>0.97965335342878701</v>
      </c>
      <c r="O9829">
        <v>0.97965335342878701</v>
      </c>
      <c r="AF9829" t="s">
        <v>19934</v>
      </c>
    </row>
    <row r="9830" spans="1:32" hidden="1" x14ac:dyDescent="0.35">
      <c r="A9830">
        <v>9829</v>
      </c>
      <c r="B9830" t="s">
        <v>19935</v>
      </c>
      <c r="C9830" t="s">
        <v>33</v>
      </c>
      <c r="D9830" t="s">
        <v>60</v>
      </c>
      <c r="E9830">
        <v>1640</v>
      </c>
      <c r="F9830">
        <v>2</v>
      </c>
      <c r="G9830">
        <v>2</v>
      </c>
      <c r="H9830">
        <v>1</v>
      </c>
      <c r="I9830">
        <v>0</v>
      </c>
      <c r="J9830">
        <v>0.99288617886178898</v>
      </c>
      <c r="K9830">
        <v>0.99394860458690204</v>
      </c>
      <c r="L9830">
        <v>0.99341710766740399</v>
      </c>
      <c r="M9830">
        <v>0.98484848484848497</v>
      </c>
      <c r="N9830">
        <v>0.98484848484848497</v>
      </c>
      <c r="O9830">
        <v>0.98484848484848497</v>
      </c>
      <c r="P9830" t="s">
        <v>6464</v>
      </c>
      <c r="Q9830" t="s">
        <v>6465</v>
      </c>
      <c r="R9830" t="s">
        <v>157</v>
      </c>
      <c r="S9830" t="s">
        <v>158</v>
      </c>
      <c r="V9830" t="s">
        <v>7431</v>
      </c>
      <c r="W9830" t="s">
        <v>7432</v>
      </c>
      <c r="AF9830" t="s">
        <v>19936</v>
      </c>
    </row>
    <row r="9831" spans="1:32" hidden="1" x14ac:dyDescent="0.35">
      <c r="A9831">
        <v>9830</v>
      </c>
      <c r="B9831" t="s">
        <v>19935</v>
      </c>
      <c r="C9831" t="s">
        <v>33</v>
      </c>
      <c r="D9831" t="s">
        <v>62</v>
      </c>
      <c r="E9831">
        <v>1675</v>
      </c>
      <c r="F9831">
        <v>2</v>
      </c>
      <c r="G9831">
        <v>2</v>
      </c>
      <c r="H9831">
        <v>1</v>
      </c>
      <c r="I9831">
        <v>0</v>
      </c>
      <c r="J9831">
        <v>0.99288617886178898</v>
      </c>
      <c r="K9831">
        <v>0.99394860458690204</v>
      </c>
      <c r="L9831">
        <v>0.99341710766740399</v>
      </c>
      <c r="M9831">
        <v>0.98484848484848497</v>
      </c>
      <c r="N9831">
        <v>0.98484848484848497</v>
      </c>
      <c r="O9831">
        <v>0.98484848484848497</v>
      </c>
      <c r="P9831" t="s">
        <v>6464</v>
      </c>
      <c r="Q9831" t="s">
        <v>6465</v>
      </c>
      <c r="R9831" t="s">
        <v>157</v>
      </c>
      <c r="S9831" t="s">
        <v>158</v>
      </c>
      <c r="V9831" t="s">
        <v>7431</v>
      </c>
      <c r="W9831" t="s">
        <v>7432</v>
      </c>
      <c r="AF9831" t="s">
        <v>19937</v>
      </c>
    </row>
    <row r="9832" spans="1:32" hidden="1" x14ac:dyDescent="0.35">
      <c r="A9832">
        <v>9831</v>
      </c>
      <c r="B9832" t="s">
        <v>19938</v>
      </c>
      <c r="C9832" t="s">
        <v>33</v>
      </c>
      <c r="D9832" t="s">
        <v>34</v>
      </c>
      <c r="E9832">
        <v>1621</v>
      </c>
      <c r="F9832">
        <v>2</v>
      </c>
      <c r="G9832">
        <v>2</v>
      </c>
      <c r="H9832">
        <v>1</v>
      </c>
      <c r="I9832">
        <v>0</v>
      </c>
      <c r="J9832">
        <v>0.97067901234567899</v>
      </c>
      <c r="K9832">
        <v>0.83698081444286498</v>
      </c>
      <c r="L9832">
        <v>0.89888561805242795</v>
      </c>
      <c r="M9832">
        <v>0.79467680608364999</v>
      </c>
      <c r="N9832">
        <v>0.79467680608364999</v>
      </c>
      <c r="O9832">
        <v>0.79467680608364999</v>
      </c>
      <c r="AF9832" t="e">
        <f>-----------------------------------------------MICEFFLDPSAYTREDPDWTQDFPFTPENPLIADVPESFYARLDNATTDAEYDAITEEQIDYLQKNFDEPALRGMAFLSDDGCNIYTAIILRGTARGQIWRHEITMDNADVQPYWHPFTKELLTFNDWRYFEQHRYLLTIDGRTDAQTYSIMNDWYGFWAMKRMIADGTLTGLAAEDVDKLRQPTDIPPNAMFLDPRRNEWYPVRDATVFRVSYAA</f>
        <v>#NAME?</v>
      </c>
    </row>
    <row r="9833" spans="1:32" hidden="1" x14ac:dyDescent="0.35">
      <c r="A9833">
        <v>9832</v>
      </c>
      <c r="B9833" t="s">
        <v>19938</v>
      </c>
      <c r="C9833" t="s">
        <v>33</v>
      </c>
      <c r="D9833" t="s">
        <v>45</v>
      </c>
      <c r="E9833">
        <v>371</v>
      </c>
      <c r="F9833">
        <v>2</v>
      </c>
      <c r="G9833">
        <v>2</v>
      </c>
      <c r="H9833">
        <v>1</v>
      </c>
      <c r="I9833">
        <v>0</v>
      </c>
      <c r="J9833">
        <v>0.97067901234567899</v>
      </c>
      <c r="K9833">
        <v>0.83698081444286498</v>
      </c>
      <c r="L9833">
        <v>0.89888561805242795</v>
      </c>
      <c r="M9833">
        <v>0.79467680608364999</v>
      </c>
      <c r="N9833">
        <v>0.79467680608364999</v>
      </c>
      <c r="O9833">
        <v>0.79467680608364999</v>
      </c>
      <c r="P9833" t="s">
        <v>13565</v>
      </c>
      <c r="Q9833" t="s">
        <v>13566</v>
      </c>
      <c r="AF9833" t="s">
        <v>19939</v>
      </c>
    </row>
    <row r="9834" spans="1:32" hidden="1" x14ac:dyDescent="0.35">
      <c r="A9834">
        <v>9833</v>
      </c>
      <c r="B9834" t="s">
        <v>19940</v>
      </c>
      <c r="C9834" t="s">
        <v>33</v>
      </c>
      <c r="D9834" t="s">
        <v>60</v>
      </c>
      <c r="E9834">
        <v>2134</v>
      </c>
      <c r="F9834">
        <v>2</v>
      </c>
      <c r="G9834">
        <v>2</v>
      </c>
      <c r="H9834">
        <v>1</v>
      </c>
      <c r="I9834">
        <v>0</v>
      </c>
      <c r="J9834">
        <v>0.97777777777777797</v>
      </c>
      <c r="K9834">
        <v>1</v>
      </c>
      <c r="L9834">
        <v>0.98876404494381998</v>
      </c>
      <c r="M9834">
        <v>0.96666666666666701</v>
      </c>
      <c r="N9834">
        <v>0.96666666666666701</v>
      </c>
      <c r="O9834">
        <v>0.96666666666666701</v>
      </c>
      <c r="P9834" t="s">
        <v>18482</v>
      </c>
      <c r="Q9834" t="s">
        <v>18483</v>
      </c>
      <c r="R9834" t="s">
        <v>18484</v>
      </c>
      <c r="S9834" t="s">
        <v>18485</v>
      </c>
      <c r="T9834" t="s">
        <v>18486</v>
      </c>
      <c r="U9834" t="s">
        <v>18487</v>
      </c>
      <c r="V9834" t="s">
        <v>18488</v>
      </c>
      <c r="W9834" t="s">
        <v>18489</v>
      </c>
      <c r="AD9834" t="s">
        <v>166</v>
      </c>
      <c r="AE9834" t="s">
        <v>2843</v>
      </c>
      <c r="AF9834" t="s">
        <v>19941</v>
      </c>
    </row>
    <row r="9835" spans="1:32" hidden="1" x14ac:dyDescent="0.35">
      <c r="A9835">
        <v>9834</v>
      </c>
      <c r="B9835" t="s">
        <v>19940</v>
      </c>
      <c r="C9835" t="s">
        <v>33</v>
      </c>
      <c r="D9835" t="s">
        <v>62</v>
      </c>
      <c r="E9835">
        <v>2167</v>
      </c>
      <c r="F9835">
        <v>2</v>
      </c>
      <c r="G9835">
        <v>2</v>
      </c>
      <c r="H9835">
        <v>1</v>
      </c>
      <c r="I9835">
        <v>0</v>
      </c>
      <c r="J9835">
        <v>0.97777777777777797</v>
      </c>
      <c r="K9835">
        <v>1</v>
      </c>
      <c r="L9835">
        <v>0.98876404494381998</v>
      </c>
      <c r="M9835">
        <v>0.96666666666666701</v>
      </c>
      <c r="N9835">
        <v>0.96666666666666701</v>
      </c>
      <c r="O9835">
        <v>0.96666666666666701</v>
      </c>
      <c r="P9835" t="s">
        <v>18482</v>
      </c>
      <c r="Q9835" t="s">
        <v>18483</v>
      </c>
      <c r="R9835" t="s">
        <v>18484</v>
      </c>
      <c r="S9835" t="s">
        <v>18485</v>
      </c>
      <c r="T9835" t="s">
        <v>18486</v>
      </c>
      <c r="U9835" t="s">
        <v>18487</v>
      </c>
      <c r="V9835" t="s">
        <v>18488</v>
      </c>
      <c r="W9835" t="s">
        <v>18489</v>
      </c>
      <c r="AD9835" t="s">
        <v>166</v>
      </c>
      <c r="AE9835" t="s">
        <v>2843</v>
      </c>
      <c r="AF9835" t="s">
        <v>19942</v>
      </c>
    </row>
    <row r="9836" spans="1:32" hidden="1" x14ac:dyDescent="0.35">
      <c r="A9836">
        <v>9835</v>
      </c>
      <c r="B9836" t="s">
        <v>19943</v>
      </c>
      <c r="C9836" t="s">
        <v>33</v>
      </c>
      <c r="D9836" t="s">
        <v>60</v>
      </c>
      <c r="E9836">
        <v>1859</v>
      </c>
      <c r="F9836">
        <v>2</v>
      </c>
      <c r="G9836">
        <v>2</v>
      </c>
      <c r="H9836">
        <v>1</v>
      </c>
      <c r="I9836">
        <v>0</v>
      </c>
      <c r="J9836">
        <v>0.98290598290598297</v>
      </c>
      <c r="K9836">
        <v>0.93092386655260895</v>
      </c>
      <c r="L9836">
        <v>0.956208973669608</v>
      </c>
      <c r="M9836">
        <v>0.90476190476190499</v>
      </c>
      <c r="N9836">
        <v>0.90476190476190499</v>
      </c>
      <c r="O9836">
        <v>0.90476190476190499</v>
      </c>
      <c r="P9836" t="s">
        <v>18849</v>
      </c>
      <c r="Q9836" t="s">
        <v>18850</v>
      </c>
      <c r="R9836" t="s">
        <v>235</v>
      </c>
      <c r="S9836" t="s">
        <v>236</v>
      </c>
      <c r="T9836" t="s">
        <v>18851</v>
      </c>
      <c r="U9836" t="s">
        <v>18852</v>
      </c>
      <c r="V9836" t="s">
        <v>18853</v>
      </c>
      <c r="W9836" t="s">
        <v>18854</v>
      </c>
      <c r="AD9836" t="s">
        <v>1140</v>
      </c>
      <c r="AE9836" t="s">
        <v>18855</v>
      </c>
      <c r="AF9836" t="s">
        <v>19944</v>
      </c>
    </row>
    <row r="9837" spans="1:32" hidden="1" x14ac:dyDescent="0.35">
      <c r="A9837">
        <v>9836</v>
      </c>
      <c r="B9837" t="s">
        <v>19943</v>
      </c>
      <c r="C9837" t="s">
        <v>33</v>
      </c>
      <c r="D9837" t="s">
        <v>62</v>
      </c>
      <c r="E9837">
        <v>1897</v>
      </c>
      <c r="F9837">
        <v>2</v>
      </c>
      <c r="G9837">
        <v>2</v>
      </c>
      <c r="H9837">
        <v>1</v>
      </c>
      <c r="I9837">
        <v>0</v>
      </c>
      <c r="J9837">
        <v>0.98290598290598297</v>
      </c>
      <c r="K9837">
        <v>0.93092386655260895</v>
      </c>
      <c r="L9837">
        <v>0.956208973669608</v>
      </c>
      <c r="M9837">
        <v>0.90476190476190499</v>
      </c>
      <c r="N9837">
        <v>0.90476190476190499</v>
      </c>
      <c r="O9837">
        <v>0.90476190476190499</v>
      </c>
      <c r="P9837" t="s">
        <v>18849</v>
      </c>
      <c r="Q9837" t="s">
        <v>18850</v>
      </c>
      <c r="R9837" t="s">
        <v>235</v>
      </c>
      <c r="S9837" t="s">
        <v>236</v>
      </c>
      <c r="V9837" t="s">
        <v>18853</v>
      </c>
      <c r="W9837" t="s">
        <v>18854</v>
      </c>
      <c r="AF9837" t="e">
        <f>------------MIGVLPGQVGLATFSPRLDAHGNSVRGIALFERISEDMDLHLMEMPPVSQAVVRSNRVTGGIRVVELQGDIRFAGAERLIREIVSTVAEEPNVAIDVSRVHSLNPVAYRMLMELIRRLSLNGYTAYLIDPEDVVPNPDPGGGGHVTVVRSLNEIPV</f>
        <v>#NAME?</v>
      </c>
    </row>
    <row r="9838" spans="1:32" hidden="1" x14ac:dyDescent="0.35">
      <c r="A9838">
        <v>9837</v>
      </c>
      <c r="B9838" t="s">
        <v>19945</v>
      </c>
      <c r="C9838" t="s">
        <v>33</v>
      </c>
      <c r="D9838" t="s">
        <v>34</v>
      </c>
      <c r="E9838">
        <v>934</v>
      </c>
      <c r="F9838">
        <v>2</v>
      </c>
      <c r="G9838">
        <v>2</v>
      </c>
      <c r="H9838">
        <v>1</v>
      </c>
      <c r="I9838">
        <v>0</v>
      </c>
      <c r="J9838">
        <v>0.99541809851088203</v>
      </c>
      <c r="K9838">
        <v>1</v>
      </c>
      <c r="L9838">
        <v>0.99770378874856502</v>
      </c>
      <c r="M9838">
        <v>0.99312714776632305</v>
      </c>
      <c r="N9838">
        <v>0.99312714776632305</v>
      </c>
      <c r="O9838">
        <v>0.99312714776632305</v>
      </c>
      <c r="P9838" t="s">
        <v>11398</v>
      </c>
      <c r="Q9838" t="s">
        <v>11399</v>
      </c>
      <c r="R9838" t="s">
        <v>8647</v>
      </c>
      <c r="S9838" t="s">
        <v>8648</v>
      </c>
      <c r="V9838" t="s">
        <v>9316</v>
      </c>
      <c r="W9838" t="s">
        <v>9317</v>
      </c>
      <c r="X9838" t="s">
        <v>9316</v>
      </c>
      <c r="Y9838" t="s">
        <v>875</v>
      </c>
      <c r="AF9838" t="s">
        <v>19946</v>
      </c>
    </row>
    <row r="9839" spans="1:32" hidden="1" x14ac:dyDescent="0.35">
      <c r="A9839">
        <v>9838</v>
      </c>
      <c r="B9839" t="s">
        <v>19945</v>
      </c>
      <c r="C9839" t="s">
        <v>33</v>
      </c>
      <c r="D9839" t="s">
        <v>45</v>
      </c>
      <c r="E9839">
        <v>2190</v>
      </c>
      <c r="F9839">
        <v>2</v>
      </c>
      <c r="G9839">
        <v>2</v>
      </c>
      <c r="H9839">
        <v>1</v>
      </c>
      <c r="I9839">
        <v>0</v>
      </c>
      <c r="J9839">
        <v>0.99541809851088203</v>
      </c>
      <c r="K9839">
        <v>1</v>
      </c>
      <c r="L9839">
        <v>0.99770378874856502</v>
      </c>
      <c r="M9839">
        <v>0.99312714776632305</v>
      </c>
      <c r="N9839">
        <v>0.99312714776632305</v>
      </c>
      <c r="O9839">
        <v>0.99312714776632305</v>
      </c>
      <c r="P9839" t="s">
        <v>11398</v>
      </c>
      <c r="Q9839" t="s">
        <v>11399</v>
      </c>
      <c r="R9839" t="s">
        <v>8647</v>
      </c>
      <c r="S9839" t="s">
        <v>8648</v>
      </c>
      <c r="V9839" t="s">
        <v>9316</v>
      </c>
      <c r="W9839" t="s">
        <v>9317</v>
      </c>
      <c r="X9839" t="s">
        <v>9316</v>
      </c>
      <c r="Y9839" t="s">
        <v>875</v>
      </c>
      <c r="AF9839" t="s">
        <v>19947</v>
      </c>
    </row>
    <row r="9840" spans="1:32" hidden="1" x14ac:dyDescent="0.35">
      <c r="A9840">
        <v>9839</v>
      </c>
      <c r="B9840" t="s">
        <v>19948</v>
      </c>
      <c r="C9840" t="s">
        <v>33</v>
      </c>
      <c r="D9840" t="s">
        <v>34</v>
      </c>
      <c r="E9840">
        <v>687</v>
      </c>
      <c r="F9840">
        <v>2</v>
      </c>
      <c r="G9840">
        <v>2</v>
      </c>
      <c r="H9840">
        <v>1</v>
      </c>
      <c r="I9840">
        <v>0</v>
      </c>
      <c r="J9840">
        <v>0.99510831586303305</v>
      </c>
      <c r="K9840">
        <v>1</v>
      </c>
      <c r="L9840">
        <v>0.99754816112084099</v>
      </c>
      <c r="M9840">
        <v>0.99371069182389904</v>
      </c>
      <c r="N9840">
        <v>0.99371069182389904</v>
      </c>
      <c r="O9840">
        <v>0.99371069182389904</v>
      </c>
      <c r="P9840" t="s">
        <v>15601</v>
      </c>
      <c r="Q9840" t="s">
        <v>15602</v>
      </c>
      <c r="R9840" t="s">
        <v>319</v>
      </c>
      <c r="S9840" t="s">
        <v>320</v>
      </c>
      <c r="T9840" t="s">
        <v>15603</v>
      </c>
      <c r="U9840" t="s">
        <v>15604</v>
      </c>
      <c r="V9840" t="s">
        <v>15605</v>
      </c>
      <c r="W9840" t="s">
        <v>15606</v>
      </c>
      <c r="AD9840" t="s">
        <v>245</v>
      </c>
      <c r="AE9840" t="s">
        <v>15607</v>
      </c>
      <c r="AF9840" t="s">
        <v>19949</v>
      </c>
    </row>
    <row r="9841" spans="1:32" hidden="1" x14ac:dyDescent="0.35">
      <c r="A9841">
        <v>9840</v>
      </c>
      <c r="B9841" t="s">
        <v>19948</v>
      </c>
      <c r="C9841" t="s">
        <v>33</v>
      </c>
      <c r="D9841" t="s">
        <v>45</v>
      </c>
      <c r="E9841">
        <v>1953</v>
      </c>
      <c r="F9841">
        <v>2</v>
      </c>
      <c r="G9841">
        <v>2</v>
      </c>
      <c r="H9841">
        <v>1</v>
      </c>
      <c r="I9841">
        <v>0</v>
      </c>
      <c r="J9841">
        <v>0.99510831586303305</v>
      </c>
      <c r="K9841">
        <v>1</v>
      </c>
      <c r="L9841">
        <v>0.99754816112084099</v>
      </c>
      <c r="M9841">
        <v>0.99371069182389904</v>
      </c>
      <c r="N9841">
        <v>0.99371069182389904</v>
      </c>
      <c r="O9841">
        <v>0.99371069182389904</v>
      </c>
      <c r="P9841" t="s">
        <v>15601</v>
      </c>
      <c r="Q9841" t="s">
        <v>15602</v>
      </c>
      <c r="R9841" t="s">
        <v>319</v>
      </c>
      <c r="S9841" t="s">
        <v>320</v>
      </c>
      <c r="T9841" t="s">
        <v>15603</v>
      </c>
      <c r="U9841" t="s">
        <v>15604</v>
      </c>
      <c r="V9841" t="s">
        <v>15605</v>
      </c>
      <c r="W9841" t="s">
        <v>15606</v>
      </c>
      <c r="AD9841" t="s">
        <v>245</v>
      </c>
      <c r="AE9841" t="s">
        <v>15607</v>
      </c>
      <c r="AF9841" t="s">
        <v>19950</v>
      </c>
    </row>
    <row r="9842" spans="1:32" hidden="1" x14ac:dyDescent="0.35">
      <c r="A9842">
        <v>9841</v>
      </c>
      <c r="B9842" t="s">
        <v>19951</v>
      </c>
      <c r="C9842" t="s">
        <v>33</v>
      </c>
      <c r="D9842" t="s">
        <v>34</v>
      </c>
      <c r="E9842">
        <v>1314</v>
      </c>
      <c r="F9842">
        <v>2</v>
      </c>
      <c r="G9842">
        <v>2</v>
      </c>
      <c r="H9842">
        <v>1</v>
      </c>
      <c r="I9842">
        <v>0</v>
      </c>
      <c r="J9842">
        <v>0.96998420221169002</v>
      </c>
      <c r="K9842">
        <v>1</v>
      </c>
      <c r="L9842">
        <v>0.98476343223736995</v>
      </c>
      <c r="M9842">
        <v>0.95734597156398105</v>
      </c>
      <c r="N9842">
        <v>0.95734597156398105</v>
      </c>
      <c r="O9842">
        <v>0.95734597156398105</v>
      </c>
      <c r="P9842" t="s">
        <v>15119</v>
      </c>
      <c r="Q9842" t="s">
        <v>15120</v>
      </c>
      <c r="R9842" t="s">
        <v>113</v>
      </c>
      <c r="S9842" t="s">
        <v>114</v>
      </c>
      <c r="V9842" t="s">
        <v>15121</v>
      </c>
      <c r="W9842" t="s">
        <v>15122</v>
      </c>
      <c r="AF9842" t="s">
        <v>19952</v>
      </c>
    </row>
    <row r="9843" spans="1:32" hidden="1" x14ac:dyDescent="0.35">
      <c r="A9843">
        <v>9842</v>
      </c>
      <c r="B9843" t="s">
        <v>19951</v>
      </c>
      <c r="C9843" t="s">
        <v>33</v>
      </c>
      <c r="D9843" t="s">
        <v>45</v>
      </c>
      <c r="E9843">
        <v>66</v>
      </c>
      <c r="F9843">
        <v>2</v>
      </c>
      <c r="G9843">
        <v>2</v>
      </c>
      <c r="H9843">
        <v>1</v>
      </c>
      <c r="I9843">
        <v>0</v>
      </c>
      <c r="J9843">
        <v>0.96998420221169002</v>
      </c>
      <c r="K9843">
        <v>1</v>
      </c>
      <c r="L9843">
        <v>0.98476343223736995</v>
      </c>
      <c r="M9843">
        <v>0.95734597156398105</v>
      </c>
      <c r="N9843">
        <v>0.95734597156398105</v>
      </c>
      <c r="O9843">
        <v>0.95734597156398105</v>
      </c>
      <c r="P9843" t="s">
        <v>15119</v>
      </c>
      <c r="Q9843" t="s">
        <v>15120</v>
      </c>
      <c r="R9843" t="s">
        <v>113</v>
      </c>
      <c r="S9843" t="s">
        <v>114</v>
      </c>
      <c r="V9843" t="s">
        <v>15121</v>
      </c>
      <c r="W9843" t="s">
        <v>15122</v>
      </c>
      <c r="AF9843" t="s">
        <v>19953</v>
      </c>
    </row>
    <row r="9844" spans="1:32" hidden="1" x14ac:dyDescent="0.35">
      <c r="A9844">
        <v>9843</v>
      </c>
      <c r="B9844" t="s">
        <v>19954</v>
      </c>
      <c r="C9844" t="s">
        <v>33</v>
      </c>
      <c r="D9844" t="s">
        <v>34</v>
      </c>
      <c r="E9844">
        <v>517</v>
      </c>
      <c r="F9844">
        <v>2</v>
      </c>
      <c r="G9844">
        <v>2</v>
      </c>
      <c r="H9844">
        <v>1</v>
      </c>
      <c r="I9844">
        <v>0</v>
      </c>
      <c r="J9844">
        <v>0.98947368421052595</v>
      </c>
      <c r="K9844">
        <v>1</v>
      </c>
      <c r="L9844">
        <v>0.99470899470899499</v>
      </c>
      <c r="M9844">
        <v>0.98947368421052595</v>
      </c>
      <c r="N9844">
        <v>0.98947368421052595</v>
      </c>
      <c r="O9844">
        <v>0.98947368421052595</v>
      </c>
      <c r="AF9844" t="s">
        <v>19955</v>
      </c>
    </row>
    <row r="9845" spans="1:32" hidden="1" x14ac:dyDescent="0.35">
      <c r="A9845">
        <v>9844</v>
      </c>
      <c r="B9845" t="s">
        <v>19954</v>
      </c>
      <c r="C9845" t="s">
        <v>33</v>
      </c>
      <c r="D9845" t="s">
        <v>45</v>
      </c>
      <c r="E9845">
        <v>1782</v>
      </c>
      <c r="F9845">
        <v>2</v>
      </c>
      <c r="G9845">
        <v>2</v>
      </c>
      <c r="H9845">
        <v>1</v>
      </c>
      <c r="I9845">
        <v>0</v>
      </c>
      <c r="J9845">
        <v>0.98947368421052595</v>
      </c>
      <c r="K9845">
        <v>1</v>
      </c>
      <c r="L9845">
        <v>0.99470899470899499</v>
      </c>
      <c r="M9845">
        <v>0.98947368421052595</v>
      </c>
      <c r="N9845">
        <v>0.98947368421052595</v>
      </c>
      <c r="O9845">
        <v>0.98947368421052595</v>
      </c>
      <c r="AF9845" t="s">
        <v>19956</v>
      </c>
    </row>
    <row r="9846" spans="1:32" hidden="1" x14ac:dyDescent="0.35">
      <c r="A9846">
        <v>9845</v>
      </c>
      <c r="B9846" t="s">
        <v>19957</v>
      </c>
      <c r="C9846" t="s">
        <v>33</v>
      </c>
      <c r="D9846" t="s">
        <v>34</v>
      </c>
      <c r="E9846">
        <v>39</v>
      </c>
      <c r="F9846">
        <v>2</v>
      </c>
      <c r="G9846">
        <v>2</v>
      </c>
      <c r="H9846">
        <v>1</v>
      </c>
      <c r="I9846">
        <v>0</v>
      </c>
      <c r="J9846">
        <v>0.997058823529412</v>
      </c>
      <c r="K9846">
        <v>1</v>
      </c>
      <c r="L9846">
        <v>0.99852724594992603</v>
      </c>
      <c r="M9846">
        <v>0.997058823529412</v>
      </c>
      <c r="N9846">
        <v>0.997058823529412</v>
      </c>
      <c r="O9846">
        <v>0.997058823529412</v>
      </c>
      <c r="P9846" t="s">
        <v>19958</v>
      </c>
      <c r="Q9846" t="s">
        <v>19959</v>
      </c>
      <c r="R9846" t="s">
        <v>319</v>
      </c>
      <c r="S9846" t="s">
        <v>320</v>
      </c>
      <c r="T9846" t="s">
        <v>19960</v>
      </c>
      <c r="U9846" t="s">
        <v>19961</v>
      </c>
      <c r="V9846" t="s">
        <v>19962</v>
      </c>
      <c r="W9846" t="s">
        <v>19963</v>
      </c>
      <c r="AD9846" t="s">
        <v>410</v>
      </c>
      <c r="AE9846" t="s">
        <v>19167</v>
      </c>
      <c r="AF9846" t="s">
        <v>19964</v>
      </c>
    </row>
    <row r="9847" spans="1:32" hidden="1" x14ac:dyDescent="0.35">
      <c r="A9847">
        <v>9846</v>
      </c>
      <c r="B9847" t="s">
        <v>19957</v>
      </c>
      <c r="C9847" t="s">
        <v>33</v>
      </c>
      <c r="D9847" t="s">
        <v>45</v>
      </c>
      <c r="E9847">
        <v>1296</v>
      </c>
      <c r="F9847">
        <v>2</v>
      </c>
      <c r="G9847">
        <v>2</v>
      </c>
      <c r="H9847">
        <v>1</v>
      </c>
      <c r="I9847">
        <v>0</v>
      </c>
      <c r="J9847">
        <v>0.997058823529412</v>
      </c>
      <c r="K9847">
        <v>1</v>
      </c>
      <c r="L9847">
        <v>0.99852724594992603</v>
      </c>
      <c r="M9847">
        <v>0.997058823529412</v>
      </c>
      <c r="N9847">
        <v>0.997058823529412</v>
      </c>
      <c r="O9847">
        <v>0.997058823529412</v>
      </c>
      <c r="P9847" t="s">
        <v>19958</v>
      </c>
      <c r="Q9847" t="s">
        <v>19959</v>
      </c>
      <c r="R9847" t="s">
        <v>319</v>
      </c>
      <c r="S9847" t="s">
        <v>320</v>
      </c>
      <c r="T9847" t="s">
        <v>19960</v>
      </c>
      <c r="U9847" t="s">
        <v>19961</v>
      </c>
      <c r="V9847" t="s">
        <v>19962</v>
      </c>
      <c r="W9847" t="s">
        <v>19963</v>
      </c>
      <c r="AD9847" t="s">
        <v>410</v>
      </c>
      <c r="AE9847" t="s">
        <v>19167</v>
      </c>
      <c r="AF9847" t="s">
        <v>19965</v>
      </c>
    </row>
    <row r="9848" spans="1:32" hidden="1" x14ac:dyDescent="0.35">
      <c r="A9848">
        <v>9847</v>
      </c>
      <c r="B9848" t="s">
        <v>19966</v>
      </c>
      <c r="C9848" t="s">
        <v>33</v>
      </c>
      <c r="D9848" t="s">
        <v>60</v>
      </c>
      <c r="E9848">
        <v>2038</v>
      </c>
      <c r="F9848">
        <v>2</v>
      </c>
      <c r="G9848">
        <v>2</v>
      </c>
      <c r="H9848">
        <v>1</v>
      </c>
      <c r="I9848">
        <v>0</v>
      </c>
      <c r="J9848">
        <v>0.99449035812672204</v>
      </c>
      <c r="K9848">
        <v>1</v>
      </c>
      <c r="L9848">
        <v>0.99723756906077299</v>
      </c>
      <c r="M9848">
        <v>0.99173553719008301</v>
      </c>
      <c r="N9848">
        <v>0.99173553719008301</v>
      </c>
      <c r="O9848">
        <v>0.99173553719008301</v>
      </c>
      <c r="P9848" t="s">
        <v>17132</v>
      </c>
      <c r="Q9848" t="s">
        <v>17133</v>
      </c>
      <c r="R9848" t="s">
        <v>235</v>
      </c>
      <c r="S9848" t="s">
        <v>236</v>
      </c>
      <c r="T9848" t="s">
        <v>17134</v>
      </c>
      <c r="U9848" t="s">
        <v>17135</v>
      </c>
      <c r="V9848" t="s">
        <v>17136</v>
      </c>
      <c r="W9848" t="s">
        <v>17137</v>
      </c>
      <c r="AD9848" t="s">
        <v>410</v>
      </c>
      <c r="AE9848" t="s">
        <v>532</v>
      </c>
      <c r="AF9848" t="s">
        <v>19967</v>
      </c>
    </row>
    <row r="9849" spans="1:32" hidden="1" x14ac:dyDescent="0.35">
      <c r="A9849">
        <v>9848</v>
      </c>
      <c r="B9849" t="s">
        <v>19966</v>
      </c>
      <c r="C9849" t="s">
        <v>33</v>
      </c>
      <c r="D9849" t="s">
        <v>62</v>
      </c>
      <c r="E9849">
        <v>2077</v>
      </c>
      <c r="F9849">
        <v>2</v>
      </c>
      <c r="G9849">
        <v>2</v>
      </c>
      <c r="H9849">
        <v>1</v>
      </c>
      <c r="I9849">
        <v>0</v>
      </c>
      <c r="J9849">
        <v>0.99449035812672204</v>
      </c>
      <c r="K9849">
        <v>1</v>
      </c>
      <c r="L9849">
        <v>0.99723756906077299</v>
      </c>
      <c r="M9849">
        <v>0.99173553719008301</v>
      </c>
      <c r="N9849">
        <v>0.99173553719008301</v>
      </c>
      <c r="O9849">
        <v>0.99173553719008301</v>
      </c>
      <c r="P9849" t="s">
        <v>17132</v>
      </c>
      <c r="Q9849" t="s">
        <v>17133</v>
      </c>
      <c r="R9849" t="s">
        <v>235</v>
      </c>
      <c r="S9849" t="s">
        <v>236</v>
      </c>
      <c r="T9849" t="s">
        <v>17134</v>
      </c>
      <c r="U9849" t="s">
        <v>17135</v>
      </c>
      <c r="V9849" t="s">
        <v>17136</v>
      </c>
      <c r="W9849" t="s">
        <v>17137</v>
      </c>
      <c r="AD9849" t="s">
        <v>410</v>
      </c>
      <c r="AE9849" t="s">
        <v>532</v>
      </c>
      <c r="AF9849" t="s">
        <v>19968</v>
      </c>
    </row>
    <row r="9850" spans="1:32" hidden="1" x14ac:dyDescent="0.35">
      <c r="A9850">
        <v>9849</v>
      </c>
      <c r="B9850" t="s">
        <v>19969</v>
      </c>
      <c r="C9850" t="s">
        <v>33</v>
      </c>
      <c r="D9850" t="s">
        <v>60</v>
      </c>
      <c r="E9850">
        <v>1705</v>
      </c>
      <c r="F9850">
        <v>2</v>
      </c>
      <c r="G9850">
        <v>2</v>
      </c>
      <c r="H9850">
        <v>1</v>
      </c>
      <c r="I9850">
        <v>0</v>
      </c>
      <c r="J9850">
        <v>0.98435972629520996</v>
      </c>
      <c r="K9850">
        <v>1</v>
      </c>
      <c r="L9850">
        <v>0.99211822660098503</v>
      </c>
      <c r="M9850">
        <v>0.98240469208211101</v>
      </c>
      <c r="N9850">
        <v>0.98240469208211101</v>
      </c>
      <c r="O9850">
        <v>0.98240469208211101</v>
      </c>
      <c r="P9850" t="s">
        <v>13013</v>
      </c>
      <c r="Q9850" t="s">
        <v>4890</v>
      </c>
      <c r="R9850" t="s">
        <v>4891</v>
      </c>
      <c r="S9850" t="s">
        <v>4892</v>
      </c>
      <c r="T9850" t="s">
        <v>4893</v>
      </c>
      <c r="U9850" t="s">
        <v>4894</v>
      </c>
      <c r="V9850" t="s">
        <v>4895</v>
      </c>
      <c r="W9850" t="s">
        <v>4896</v>
      </c>
      <c r="AD9850" t="s">
        <v>219</v>
      </c>
      <c r="AE9850" t="s">
        <v>4897</v>
      </c>
      <c r="AF9850" t="s">
        <v>19970</v>
      </c>
    </row>
    <row r="9851" spans="1:32" hidden="1" x14ac:dyDescent="0.35">
      <c r="A9851">
        <v>9850</v>
      </c>
      <c r="B9851" t="s">
        <v>19969</v>
      </c>
      <c r="C9851" t="s">
        <v>33</v>
      </c>
      <c r="D9851" t="s">
        <v>62</v>
      </c>
      <c r="E9851">
        <v>1740</v>
      </c>
      <c r="F9851">
        <v>2</v>
      </c>
      <c r="G9851">
        <v>2</v>
      </c>
      <c r="H9851">
        <v>1</v>
      </c>
      <c r="I9851">
        <v>0</v>
      </c>
      <c r="J9851">
        <v>0.98435972629520996</v>
      </c>
      <c r="K9851">
        <v>1</v>
      </c>
      <c r="L9851">
        <v>0.99211822660098503</v>
      </c>
      <c r="M9851">
        <v>0.98240469208211101</v>
      </c>
      <c r="N9851">
        <v>0.98240469208211101</v>
      </c>
      <c r="O9851">
        <v>0.98240469208211101</v>
      </c>
      <c r="P9851" t="s">
        <v>13013</v>
      </c>
      <c r="Q9851" t="s">
        <v>4890</v>
      </c>
      <c r="R9851" t="s">
        <v>4891</v>
      </c>
      <c r="S9851" t="s">
        <v>4892</v>
      </c>
      <c r="T9851" t="s">
        <v>4893</v>
      </c>
      <c r="U9851" t="s">
        <v>4894</v>
      </c>
      <c r="V9851" t="s">
        <v>4895</v>
      </c>
      <c r="W9851" t="s">
        <v>4896</v>
      </c>
      <c r="AD9851" t="s">
        <v>219</v>
      </c>
      <c r="AE9851" t="s">
        <v>4897</v>
      </c>
      <c r="AF9851" t="s">
        <v>19971</v>
      </c>
    </row>
    <row r="9852" spans="1:32" hidden="1" x14ac:dyDescent="0.35">
      <c r="A9852">
        <v>9851</v>
      </c>
      <c r="B9852" t="s">
        <v>19972</v>
      </c>
      <c r="C9852" t="s">
        <v>33</v>
      </c>
      <c r="D9852" t="s">
        <v>60</v>
      </c>
      <c r="E9852">
        <v>2541</v>
      </c>
      <c r="F9852">
        <v>2</v>
      </c>
      <c r="G9852">
        <v>2</v>
      </c>
      <c r="H9852">
        <v>1</v>
      </c>
      <c r="I9852">
        <v>0</v>
      </c>
      <c r="J9852">
        <v>0.99518403852769199</v>
      </c>
      <c r="K9852">
        <v>1</v>
      </c>
      <c r="L9852">
        <v>0.99758620689655197</v>
      </c>
      <c r="M9852">
        <v>0.99380804953560398</v>
      </c>
      <c r="N9852">
        <v>0.99380804953560398</v>
      </c>
      <c r="O9852">
        <v>0.99380804953560398</v>
      </c>
      <c r="AF9852" t="s">
        <v>19973</v>
      </c>
    </row>
    <row r="9853" spans="1:32" hidden="1" x14ac:dyDescent="0.35">
      <c r="A9853">
        <v>9852</v>
      </c>
      <c r="B9853" t="s">
        <v>19972</v>
      </c>
      <c r="C9853" t="s">
        <v>33</v>
      </c>
      <c r="D9853" t="s">
        <v>62</v>
      </c>
      <c r="E9853">
        <v>66</v>
      </c>
      <c r="F9853">
        <v>2</v>
      </c>
      <c r="G9853">
        <v>2</v>
      </c>
      <c r="H9853">
        <v>1</v>
      </c>
      <c r="I9853">
        <v>0</v>
      </c>
      <c r="J9853">
        <v>0.99518403852769199</v>
      </c>
      <c r="K9853">
        <v>1</v>
      </c>
      <c r="L9853">
        <v>0.99758620689655197</v>
      </c>
      <c r="M9853">
        <v>0.99380804953560398</v>
      </c>
      <c r="N9853">
        <v>0.99380804953560398</v>
      </c>
      <c r="O9853">
        <v>0.99380804953560398</v>
      </c>
      <c r="AF9853" t="s">
        <v>19974</v>
      </c>
    </row>
    <row r="9854" spans="1:32" hidden="1" x14ac:dyDescent="0.35">
      <c r="A9854">
        <v>9853</v>
      </c>
      <c r="B9854" t="s">
        <v>19975</v>
      </c>
      <c r="C9854" t="s">
        <v>33</v>
      </c>
      <c r="D9854" t="s">
        <v>34</v>
      </c>
      <c r="E9854">
        <v>2213</v>
      </c>
      <c r="F9854">
        <v>2</v>
      </c>
      <c r="G9854">
        <v>2</v>
      </c>
      <c r="H9854">
        <v>1</v>
      </c>
      <c r="I9854">
        <v>0</v>
      </c>
      <c r="J9854">
        <v>0.97384155455904298</v>
      </c>
      <c r="K9854">
        <v>1</v>
      </c>
      <c r="L9854">
        <v>0.98674744414994298</v>
      </c>
      <c r="M9854">
        <v>0.96636771300448399</v>
      </c>
      <c r="N9854">
        <v>0.96636771300448399</v>
      </c>
      <c r="O9854">
        <v>0.96636771300448399</v>
      </c>
      <c r="P9854" t="s">
        <v>19292</v>
      </c>
      <c r="Q9854" t="s">
        <v>19293</v>
      </c>
      <c r="AF9854" t="s">
        <v>19976</v>
      </c>
    </row>
    <row r="9855" spans="1:32" hidden="1" x14ac:dyDescent="0.35">
      <c r="A9855">
        <v>9854</v>
      </c>
      <c r="B9855" t="s">
        <v>19975</v>
      </c>
      <c r="C9855" t="s">
        <v>33</v>
      </c>
      <c r="D9855" t="s">
        <v>45</v>
      </c>
      <c r="E9855">
        <v>663</v>
      </c>
      <c r="F9855">
        <v>2</v>
      </c>
      <c r="G9855">
        <v>2</v>
      </c>
      <c r="H9855">
        <v>1</v>
      </c>
      <c r="I9855">
        <v>0</v>
      </c>
      <c r="J9855">
        <v>0.97384155455904298</v>
      </c>
      <c r="K9855">
        <v>1</v>
      </c>
      <c r="L9855">
        <v>0.98674744414994298</v>
      </c>
      <c r="M9855">
        <v>0.96636771300448399</v>
      </c>
      <c r="N9855">
        <v>0.96636771300448399</v>
      </c>
      <c r="O9855">
        <v>0.96636771300448399</v>
      </c>
      <c r="P9855" t="s">
        <v>19292</v>
      </c>
      <c r="Q9855" t="s">
        <v>19293</v>
      </c>
      <c r="AF9855" t="s">
        <v>19977</v>
      </c>
    </row>
    <row r="9856" spans="1:32" hidden="1" x14ac:dyDescent="0.35">
      <c r="A9856">
        <v>9855</v>
      </c>
      <c r="B9856" t="s">
        <v>19978</v>
      </c>
      <c r="C9856" t="s">
        <v>33</v>
      </c>
      <c r="D9856" t="s">
        <v>60</v>
      </c>
      <c r="E9856">
        <v>1337</v>
      </c>
      <c r="F9856">
        <v>2</v>
      </c>
      <c r="G9856">
        <v>2</v>
      </c>
      <c r="H9856">
        <v>1</v>
      </c>
      <c r="I9856">
        <v>0</v>
      </c>
      <c r="J9856">
        <v>0.96810207336523102</v>
      </c>
      <c r="K9856">
        <v>1</v>
      </c>
      <c r="L9856">
        <v>0.98379254457050203</v>
      </c>
      <c r="M9856">
        <v>0.96052631578947401</v>
      </c>
      <c r="N9856">
        <v>0.96052631578947401</v>
      </c>
      <c r="O9856">
        <v>0.96052631578947401</v>
      </c>
      <c r="AF9856" t="s">
        <v>19979</v>
      </c>
    </row>
    <row r="9857" spans="1:32" hidden="1" x14ac:dyDescent="0.35">
      <c r="A9857">
        <v>9856</v>
      </c>
      <c r="B9857" t="s">
        <v>19978</v>
      </c>
      <c r="C9857" t="s">
        <v>33</v>
      </c>
      <c r="D9857" t="s">
        <v>62</v>
      </c>
      <c r="E9857">
        <v>1373</v>
      </c>
      <c r="F9857">
        <v>2</v>
      </c>
      <c r="G9857">
        <v>2</v>
      </c>
      <c r="H9857">
        <v>1</v>
      </c>
      <c r="I9857">
        <v>0</v>
      </c>
      <c r="J9857">
        <v>0.96810207336523102</v>
      </c>
      <c r="K9857">
        <v>1</v>
      </c>
      <c r="L9857">
        <v>0.98379254457050203</v>
      </c>
      <c r="M9857">
        <v>0.96052631578947401</v>
      </c>
      <c r="N9857">
        <v>0.96052631578947401</v>
      </c>
      <c r="O9857">
        <v>0.96052631578947401</v>
      </c>
      <c r="AF9857" t="s">
        <v>19980</v>
      </c>
    </row>
    <row r="9858" spans="1:32" hidden="1" x14ac:dyDescent="0.35">
      <c r="A9858">
        <v>9857</v>
      </c>
      <c r="B9858" t="s">
        <v>19981</v>
      </c>
      <c r="C9858" t="s">
        <v>33</v>
      </c>
      <c r="D9858" t="s">
        <v>34</v>
      </c>
      <c r="E9858">
        <v>724</v>
      </c>
      <c r="F9858">
        <v>2</v>
      </c>
      <c r="G9858">
        <v>2</v>
      </c>
      <c r="H9858">
        <v>1</v>
      </c>
      <c r="I9858">
        <v>0</v>
      </c>
      <c r="J9858">
        <v>0.99612403100775204</v>
      </c>
      <c r="K9858">
        <v>1</v>
      </c>
      <c r="L9858">
        <v>0.99805825242718404</v>
      </c>
      <c r="M9858">
        <v>0.98837209302325602</v>
      </c>
      <c r="N9858">
        <v>0.98837209302325602</v>
      </c>
      <c r="O9858">
        <v>0.98837209302325602</v>
      </c>
      <c r="P9858" t="s">
        <v>19982</v>
      </c>
      <c r="Q9858" t="s">
        <v>19983</v>
      </c>
      <c r="R9858" t="s">
        <v>319</v>
      </c>
      <c r="S9858" t="s">
        <v>320</v>
      </c>
      <c r="V9858" t="s">
        <v>19984</v>
      </c>
      <c r="W9858" t="s">
        <v>19985</v>
      </c>
      <c r="AF9858" t="s">
        <v>19986</v>
      </c>
    </row>
    <row r="9859" spans="1:32" hidden="1" x14ac:dyDescent="0.35">
      <c r="A9859">
        <v>9858</v>
      </c>
      <c r="B9859" t="s">
        <v>19981</v>
      </c>
      <c r="C9859" t="s">
        <v>33</v>
      </c>
      <c r="D9859" t="s">
        <v>45</v>
      </c>
      <c r="E9859">
        <v>1990</v>
      </c>
      <c r="F9859">
        <v>2</v>
      </c>
      <c r="G9859">
        <v>2</v>
      </c>
      <c r="H9859">
        <v>1</v>
      </c>
      <c r="I9859">
        <v>0</v>
      </c>
      <c r="J9859">
        <v>0.99612403100775204</v>
      </c>
      <c r="K9859">
        <v>1</v>
      </c>
      <c r="L9859">
        <v>0.99805825242718404</v>
      </c>
      <c r="M9859">
        <v>0.98837209302325602</v>
      </c>
      <c r="N9859">
        <v>0.98837209302325602</v>
      </c>
      <c r="O9859">
        <v>0.98837209302325602</v>
      </c>
      <c r="P9859" t="s">
        <v>19982</v>
      </c>
      <c r="Q9859" t="s">
        <v>19983</v>
      </c>
      <c r="R9859" t="s">
        <v>319</v>
      </c>
      <c r="S9859" t="s">
        <v>320</v>
      </c>
      <c r="V9859" t="s">
        <v>19984</v>
      </c>
      <c r="W9859" t="s">
        <v>19985</v>
      </c>
      <c r="AF9859" t="s">
        <v>19987</v>
      </c>
    </row>
    <row r="9860" spans="1:32" hidden="1" x14ac:dyDescent="0.35">
      <c r="A9860">
        <v>9859</v>
      </c>
      <c r="B9860" t="s">
        <v>19988</v>
      </c>
      <c r="C9860" t="s">
        <v>33</v>
      </c>
      <c r="D9860" t="s">
        <v>60</v>
      </c>
      <c r="E9860">
        <v>1931</v>
      </c>
      <c r="F9860">
        <v>2</v>
      </c>
      <c r="G9860">
        <v>2</v>
      </c>
      <c r="H9860">
        <v>1</v>
      </c>
      <c r="I9860">
        <v>0</v>
      </c>
      <c r="J9860">
        <v>0.99759759759759803</v>
      </c>
      <c r="K9860">
        <v>1</v>
      </c>
      <c r="L9860">
        <v>0.99879735417919402</v>
      </c>
      <c r="M9860">
        <v>0.99639639639639599</v>
      </c>
      <c r="N9860">
        <v>0.99639639639639599</v>
      </c>
      <c r="O9860">
        <v>0.99639639639639599</v>
      </c>
      <c r="P9860" t="s">
        <v>19989</v>
      </c>
      <c r="Q9860" t="s">
        <v>19990</v>
      </c>
      <c r="R9860" t="s">
        <v>1259</v>
      </c>
      <c r="S9860" t="s">
        <v>1260</v>
      </c>
      <c r="T9860" t="s">
        <v>11641</v>
      </c>
      <c r="U9860" t="s">
        <v>407</v>
      </c>
      <c r="V9860" t="s">
        <v>11642</v>
      </c>
      <c r="W9860" t="s">
        <v>11643</v>
      </c>
      <c r="AD9860" t="s">
        <v>410</v>
      </c>
      <c r="AE9860" t="s">
        <v>411</v>
      </c>
      <c r="AF9860" t="s">
        <v>19991</v>
      </c>
    </row>
    <row r="9861" spans="1:32" hidden="1" x14ac:dyDescent="0.35">
      <c r="A9861">
        <v>9860</v>
      </c>
      <c r="B9861" t="s">
        <v>19988</v>
      </c>
      <c r="C9861" t="s">
        <v>33</v>
      </c>
      <c r="D9861" t="s">
        <v>62</v>
      </c>
      <c r="E9861">
        <v>1971</v>
      </c>
      <c r="F9861">
        <v>2</v>
      </c>
      <c r="G9861">
        <v>2</v>
      </c>
      <c r="H9861">
        <v>1</v>
      </c>
      <c r="I9861">
        <v>0</v>
      </c>
      <c r="J9861">
        <v>0.99759759759759803</v>
      </c>
      <c r="K9861">
        <v>1</v>
      </c>
      <c r="L9861">
        <v>0.99879735417919402</v>
      </c>
      <c r="M9861">
        <v>0.99639639639639599</v>
      </c>
      <c r="N9861">
        <v>0.99639639639639599</v>
      </c>
      <c r="O9861">
        <v>0.99639639639639599</v>
      </c>
      <c r="P9861" t="s">
        <v>19989</v>
      </c>
      <c r="Q9861" t="s">
        <v>19990</v>
      </c>
      <c r="R9861" t="s">
        <v>1259</v>
      </c>
      <c r="S9861" t="s">
        <v>1260</v>
      </c>
      <c r="T9861" t="s">
        <v>11641</v>
      </c>
      <c r="U9861" t="s">
        <v>407</v>
      </c>
      <c r="V9861" t="s">
        <v>11642</v>
      </c>
      <c r="W9861" t="s">
        <v>11643</v>
      </c>
      <c r="AD9861" t="s">
        <v>410</v>
      </c>
      <c r="AE9861" t="s">
        <v>411</v>
      </c>
      <c r="AF9861" t="s">
        <v>19992</v>
      </c>
    </row>
    <row r="9862" spans="1:32" hidden="1" x14ac:dyDescent="0.35">
      <c r="A9862">
        <v>9861</v>
      </c>
      <c r="B9862" t="s">
        <v>19993</v>
      </c>
      <c r="C9862" t="s">
        <v>33</v>
      </c>
      <c r="D9862" t="s">
        <v>34</v>
      </c>
      <c r="E9862">
        <v>2496</v>
      </c>
      <c r="F9862">
        <v>2</v>
      </c>
      <c r="G9862">
        <v>2</v>
      </c>
      <c r="H9862">
        <v>1</v>
      </c>
      <c r="I9862">
        <v>0</v>
      </c>
      <c r="J9862">
        <v>0.98888888888888904</v>
      </c>
      <c r="K9862">
        <v>1</v>
      </c>
      <c r="L9862">
        <v>0.994413407821229</v>
      </c>
      <c r="M9862">
        <v>0.98888888888888904</v>
      </c>
      <c r="N9862">
        <v>0.98888888888888904</v>
      </c>
      <c r="O9862">
        <v>0.98888888888888904</v>
      </c>
      <c r="P9862" t="s">
        <v>12323</v>
      </c>
      <c r="Q9862" t="s">
        <v>12324</v>
      </c>
      <c r="R9862" t="s">
        <v>1259</v>
      </c>
      <c r="S9862" t="s">
        <v>1260</v>
      </c>
      <c r="V9862" t="s">
        <v>1508</v>
      </c>
      <c r="W9862" t="s">
        <v>1509</v>
      </c>
      <c r="AF9862" t="s">
        <v>19994</v>
      </c>
    </row>
    <row r="9863" spans="1:32" hidden="1" x14ac:dyDescent="0.35">
      <c r="A9863">
        <v>9862</v>
      </c>
      <c r="B9863" t="s">
        <v>19993</v>
      </c>
      <c r="C9863" t="s">
        <v>33</v>
      </c>
      <c r="D9863" t="s">
        <v>45</v>
      </c>
      <c r="E9863">
        <v>405</v>
      </c>
      <c r="F9863">
        <v>2</v>
      </c>
      <c r="G9863">
        <v>2</v>
      </c>
      <c r="H9863">
        <v>1</v>
      </c>
      <c r="I9863">
        <v>0</v>
      </c>
      <c r="J9863">
        <v>0.98888888888888904</v>
      </c>
      <c r="K9863">
        <v>1</v>
      </c>
      <c r="L9863">
        <v>0.994413407821229</v>
      </c>
      <c r="M9863">
        <v>0.98888888888888904</v>
      </c>
      <c r="N9863">
        <v>0.98888888888888904</v>
      </c>
      <c r="O9863">
        <v>0.98888888888888904</v>
      </c>
      <c r="P9863" t="s">
        <v>12323</v>
      </c>
      <c r="Q9863" t="s">
        <v>12324</v>
      </c>
      <c r="R9863" t="s">
        <v>1259</v>
      </c>
      <c r="S9863" t="s">
        <v>1260</v>
      </c>
      <c r="V9863" t="s">
        <v>1508</v>
      </c>
      <c r="W9863" t="s">
        <v>1509</v>
      </c>
      <c r="AF9863" t="s">
        <v>19995</v>
      </c>
    </row>
    <row r="9864" spans="1:32" hidden="1" x14ac:dyDescent="0.35">
      <c r="A9864">
        <v>9863</v>
      </c>
      <c r="B9864" t="s">
        <v>19996</v>
      </c>
      <c r="C9864" t="s">
        <v>33</v>
      </c>
      <c r="D9864" t="s">
        <v>60</v>
      </c>
      <c r="E9864">
        <v>455</v>
      </c>
      <c r="F9864">
        <v>2</v>
      </c>
      <c r="G9864">
        <v>2</v>
      </c>
      <c r="H9864">
        <v>1</v>
      </c>
      <c r="I9864">
        <v>0</v>
      </c>
      <c r="J9864">
        <v>0.99550561797752801</v>
      </c>
      <c r="K9864">
        <v>1</v>
      </c>
      <c r="L9864">
        <v>0.99774774774774799</v>
      </c>
      <c r="M9864">
        <v>0.99550561797752801</v>
      </c>
      <c r="N9864">
        <v>0.99550561797752801</v>
      </c>
      <c r="O9864">
        <v>0.99550561797752801</v>
      </c>
      <c r="P9864" t="s">
        <v>19126</v>
      </c>
      <c r="Q9864" t="s">
        <v>19127</v>
      </c>
      <c r="R9864" t="s">
        <v>1852</v>
      </c>
      <c r="S9864" t="s">
        <v>1853</v>
      </c>
      <c r="T9864" t="s">
        <v>19128</v>
      </c>
      <c r="U9864" t="s">
        <v>19129</v>
      </c>
      <c r="V9864" t="s">
        <v>19130</v>
      </c>
      <c r="W9864" t="s">
        <v>19131</v>
      </c>
      <c r="AD9864" t="s">
        <v>191</v>
      </c>
      <c r="AE9864" t="s">
        <v>19132</v>
      </c>
      <c r="AF9864" t="s">
        <v>19997</v>
      </c>
    </row>
    <row r="9865" spans="1:32" hidden="1" x14ac:dyDescent="0.35">
      <c r="A9865">
        <v>9864</v>
      </c>
      <c r="B9865" t="s">
        <v>19996</v>
      </c>
      <c r="C9865" t="s">
        <v>33</v>
      </c>
      <c r="D9865" t="s">
        <v>62</v>
      </c>
      <c r="E9865">
        <v>536</v>
      </c>
      <c r="F9865">
        <v>2</v>
      </c>
      <c r="G9865">
        <v>2</v>
      </c>
      <c r="H9865">
        <v>1</v>
      </c>
      <c r="I9865">
        <v>0</v>
      </c>
      <c r="J9865">
        <v>0.99550561797752801</v>
      </c>
      <c r="K9865">
        <v>1</v>
      </c>
      <c r="L9865">
        <v>0.99774774774774799</v>
      </c>
      <c r="M9865">
        <v>0.99550561797752801</v>
      </c>
      <c r="N9865">
        <v>0.99550561797752801</v>
      </c>
      <c r="O9865">
        <v>0.99550561797752801</v>
      </c>
      <c r="P9865" t="s">
        <v>19126</v>
      </c>
      <c r="Q9865" t="s">
        <v>19127</v>
      </c>
      <c r="R9865" t="s">
        <v>1852</v>
      </c>
      <c r="S9865" t="s">
        <v>1853</v>
      </c>
      <c r="T9865" t="s">
        <v>19128</v>
      </c>
      <c r="U9865" t="s">
        <v>19129</v>
      </c>
      <c r="V9865" t="s">
        <v>19130</v>
      </c>
      <c r="W9865" t="s">
        <v>19131</v>
      </c>
      <c r="AD9865" t="s">
        <v>191</v>
      </c>
      <c r="AE9865" t="s">
        <v>19132</v>
      </c>
      <c r="AF9865" t="s">
        <v>19998</v>
      </c>
    </row>
    <row r="9866" spans="1:32" hidden="1" x14ac:dyDescent="0.35">
      <c r="A9866">
        <v>9865</v>
      </c>
      <c r="B9866" t="s">
        <v>19999</v>
      </c>
      <c r="C9866" t="s">
        <v>33</v>
      </c>
      <c r="D9866" t="s">
        <v>34</v>
      </c>
      <c r="E9866">
        <v>288</v>
      </c>
      <c r="F9866">
        <v>2</v>
      </c>
      <c r="G9866">
        <v>2</v>
      </c>
      <c r="H9866">
        <v>1</v>
      </c>
      <c r="I9866">
        <v>0</v>
      </c>
      <c r="J9866">
        <v>0.99156746031746001</v>
      </c>
      <c r="K9866">
        <v>0.96209279732405895</v>
      </c>
      <c r="L9866">
        <v>0.97660778827941497</v>
      </c>
      <c r="M9866">
        <v>0.94849785407725296</v>
      </c>
      <c r="N9866">
        <v>0.94849785407725296</v>
      </c>
      <c r="O9866">
        <v>0.94849785407725296</v>
      </c>
      <c r="P9866" t="s">
        <v>10047</v>
      </c>
      <c r="Q9866" t="s">
        <v>10048</v>
      </c>
      <c r="R9866" t="s">
        <v>18752</v>
      </c>
      <c r="S9866" t="s">
        <v>18753</v>
      </c>
      <c r="T9866" t="s">
        <v>18754</v>
      </c>
      <c r="U9866" t="s">
        <v>18755</v>
      </c>
      <c r="V9866" t="s">
        <v>18756</v>
      </c>
      <c r="W9866" t="s">
        <v>18757</v>
      </c>
      <c r="X9866" t="s">
        <v>18756</v>
      </c>
      <c r="Y9866" t="s">
        <v>8625</v>
      </c>
      <c r="AD9866" t="s">
        <v>219</v>
      </c>
      <c r="AE9866" t="s">
        <v>18758</v>
      </c>
      <c r="AF9866" t="s">
        <v>20000</v>
      </c>
    </row>
    <row r="9867" spans="1:32" hidden="1" x14ac:dyDescent="0.35">
      <c r="A9867">
        <v>9866</v>
      </c>
      <c r="B9867" t="s">
        <v>19999</v>
      </c>
      <c r="C9867" t="s">
        <v>33</v>
      </c>
      <c r="D9867" t="s">
        <v>45</v>
      </c>
      <c r="E9867">
        <v>1550</v>
      </c>
      <c r="F9867">
        <v>2</v>
      </c>
      <c r="G9867">
        <v>2</v>
      </c>
      <c r="H9867">
        <v>1</v>
      </c>
      <c r="I9867">
        <v>0</v>
      </c>
      <c r="J9867">
        <v>0.99156746031746001</v>
      </c>
      <c r="K9867">
        <v>0.96209279732405895</v>
      </c>
      <c r="L9867">
        <v>0.97660778827941497</v>
      </c>
      <c r="M9867">
        <v>0.94849785407725296</v>
      </c>
      <c r="N9867">
        <v>0.94849785407725296</v>
      </c>
      <c r="O9867">
        <v>0.94849785407725296</v>
      </c>
      <c r="P9867" t="s">
        <v>10047</v>
      </c>
      <c r="Q9867" t="s">
        <v>10048</v>
      </c>
      <c r="R9867" t="s">
        <v>18752</v>
      </c>
      <c r="S9867" t="s">
        <v>18753</v>
      </c>
      <c r="T9867" t="s">
        <v>18754</v>
      </c>
      <c r="U9867" t="s">
        <v>18755</v>
      </c>
      <c r="V9867" t="s">
        <v>18756</v>
      </c>
      <c r="W9867" t="s">
        <v>18757</v>
      </c>
      <c r="X9867" t="s">
        <v>18756</v>
      </c>
      <c r="Y9867" t="s">
        <v>8625</v>
      </c>
      <c r="AD9867" t="s">
        <v>219</v>
      </c>
      <c r="AE9867" t="s">
        <v>18758</v>
      </c>
      <c r="AF9867" t="s">
        <v>20001</v>
      </c>
    </row>
    <row r="9868" spans="1:32" hidden="1" x14ac:dyDescent="0.35">
      <c r="A9868">
        <v>9867</v>
      </c>
      <c r="B9868" t="s">
        <v>20002</v>
      </c>
      <c r="C9868" t="s">
        <v>33</v>
      </c>
      <c r="D9868" t="s">
        <v>34</v>
      </c>
      <c r="E9868">
        <v>2041</v>
      </c>
      <c r="F9868">
        <v>2</v>
      </c>
      <c r="G9868">
        <v>2</v>
      </c>
      <c r="H9868">
        <v>1</v>
      </c>
      <c r="I9868">
        <v>0</v>
      </c>
      <c r="J9868">
        <v>0.97333333333333305</v>
      </c>
      <c r="K9868">
        <v>1</v>
      </c>
      <c r="L9868">
        <v>0.98648648648648696</v>
      </c>
      <c r="M9868">
        <v>0.96363636363636396</v>
      </c>
      <c r="N9868">
        <v>0.96363636363636396</v>
      </c>
      <c r="O9868">
        <v>0.96363636363636396</v>
      </c>
      <c r="AF9868" t="s">
        <v>20003</v>
      </c>
    </row>
    <row r="9869" spans="1:32" hidden="1" x14ac:dyDescent="0.35">
      <c r="A9869">
        <v>9868</v>
      </c>
      <c r="B9869" t="s">
        <v>20002</v>
      </c>
      <c r="C9869" t="s">
        <v>33</v>
      </c>
      <c r="D9869" t="s">
        <v>45</v>
      </c>
      <c r="E9869">
        <v>831</v>
      </c>
      <c r="F9869">
        <v>2</v>
      </c>
      <c r="G9869">
        <v>2</v>
      </c>
      <c r="H9869">
        <v>1</v>
      </c>
      <c r="I9869">
        <v>0</v>
      </c>
      <c r="J9869">
        <v>0.97333333333333305</v>
      </c>
      <c r="K9869">
        <v>1</v>
      </c>
      <c r="L9869">
        <v>0.98648648648648696</v>
      </c>
      <c r="M9869">
        <v>0.96363636363636396</v>
      </c>
      <c r="N9869">
        <v>0.96363636363636396</v>
      </c>
      <c r="O9869">
        <v>0.96363636363636396</v>
      </c>
      <c r="AF9869" t="s">
        <v>20004</v>
      </c>
    </row>
    <row r="9870" spans="1:32" hidden="1" x14ac:dyDescent="0.35">
      <c r="A9870">
        <v>9869</v>
      </c>
      <c r="B9870" t="s">
        <v>20005</v>
      </c>
      <c r="C9870" t="s">
        <v>33</v>
      </c>
      <c r="D9870" t="s">
        <v>34</v>
      </c>
      <c r="E9870">
        <v>2173</v>
      </c>
      <c r="F9870">
        <v>2</v>
      </c>
      <c r="G9870">
        <v>2</v>
      </c>
      <c r="H9870">
        <v>1</v>
      </c>
      <c r="I9870">
        <v>0</v>
      </c>
      <c r="J9870">
        <v>0.93668528864059597</v>
      </c>
      <c r="K9870">
        <v>1</v>
      </c>
      <c r="L9870">
        <v>0.96730769230769198</v>
      </c>
      <c r="M9870">
        <v>0.89944134078212301</v>
      </c>
      <c r="N9870">
        <v>0.89944134078212301</v>
      </c>
      <c r="O9870">
        <v>0.89944134078212301</v>
      </c>
      <c r="P9870" t="s">
        <v>13851</v>
      </c>
      <c r="Q9870" t="s">
        <v>13852</v>
      </c>
      <c r="R9870" t="s">
        <v>13853</v>
      </c>
      <c r="S9870" t="s">
        <v>13854</v>
      </c>
      <c r="V9870" t="s">
        <v>13855</v>
      </c>
      <c r="W9870" t="s">
        <v>13856</v>
      </c>
      <c r="AF9870" t="s">
        <v>20006</v>
      </c>
    </row>
    <row r="9871" spans="1:32" hidden="1" x14ac:dyDescent="0.35">
      <c r="A9871">
        <v>9870</v>
      </c>
      <c r="B9871" t="s">
        <v>20005</v>
      </c>
      <c r="C9871" t="s">
        <v>33</v>
      </c>
      <c r="D9871" t="s">
        <v>45</v>
      </c>
      <c r="E9871">
        <v>700</v>
      </c>
      <c r="F9871">
        <v>2</v>
      </c>
      <c r="G9871">
        <v>2</v>
      </c>
      <c r="H9871">
        <v>1</v>
      </c>
      <c r="I9871">
        <v>0</v>
      </c>
      <c r="J9871">
        <v>0.93668528864059597</v>
      </c>
      <c r="K9871">
        <v>1</v>
      </c>
      <c r="L9871">
        <v>0.96730769230769198</v>
      </c>
      <c r="M9871">
        <v>0.89944134078212301</v>
      </c>
      <c r="N9871">
        <v>0.89944134078212301</v>
      </c>
      <c r="O9871">
        <v>0.89944134078212301</v>
      </c>
      <c r="P9871" t="s">
        <v>13851</v>
      </c>
      <c r="Q9871" t="s">
        <v>13852</v>
      </c>
      <c r="R9871" t="s">
        <v>13853</v>
      </c>
      <c r="S9871" t="s">
        <v>13854</v>
      </c>
      <c r="V9871" t="s">
        <v>13855</v>
      </c>
      <c r="W9871" t="s">
        <v>13856</v>
      </c>
      <c r="AF9871" t="s">
        <v>20007</v>
      </c>
    </row>
    <row r="9872" spans="1:32" s="1" customFormat="1" hidden="1" x14ac:dyDescent="0.35">
      <c r="A9872" s="1">
        <v>9871</v>
      </c>
      <c r="B9872" s="1" t="s">
        <v>20008</v>
      </c>
      <c r="C9872" s="1" t="s">
        <v>33</v>
      </c>
      <c r="D9872" s="1" t="s">
        <v>34</v>
      </c>
      <c r="E9872" s="1">
        <v>1556</v>
      </c>
      <c r="F9872" s="1">
        <v>2</v>
      </c>
      <c r="G9872" s="1">
        <v>2</v>
      </c>
      <c r="H9872" s="1">
        <v>1</v>
      </c>
      <c r="I9872" s="1">
        <v>0</v>
      </c>
      <c r="J9872" s="1">
        <v>0.979487179487179</v>
      </c>
      <c r="K9872" s="1">
        <v>1</v>
      </c>
      <c r="L9872" s="1">
        <v>0.98963730569948205</v>
      </c>
      <c r="M9872" s="1">
        <v>0.97482517482517494</v>
      </c>
      <c r="N9872" s="1">
        <v>0.97482517482517494</v>
      </c>
      <c r="O9872" s="1">
        <v>0.97482517482517494</v>
      </c>
      <c r="P9872" s="1" t="s">
        <v>19036</v>
      </c>
      <c r="Q9872" s="1" t="s">
        <v>1382</v>
      </c>
      <c r="R9872" s="1" t="s">
        <v>157</v>
      </c>
      <c r="S9872" s="1" t="s">
        <v>158</v>
      </c>
      <c r="V9872" s="1" t="s">
        <v>14219</v>
      </c>
      <c r="W9872" s="1" t="s">
        <v>14220</v>
      </c>
      <c r="AF9872" s="1" t="s">
        <v>20009</v>
      </c>
    </row>
    <row r="9873" spans="1:32" s="1" customFormat="1" hidden="1" x14ac:dyDescent="0.35">
      <c r="A9873" s="1">
        <v>9872</v>
      </c>
      <c r="B9873" s="1" t="s">
        <v>20008</v>
      </c>
      <c r="C9873" s="1" t="s">
        <v>33</v>
      </c>
      <c r="D9873" s="1" t="s">
        <v>45</v>
      </c>
      <c r="E9873" s="1">
        <v>306</v>
      </c>
      <c r="F9873" s="1">
        <v>2</v>
      </c>
      <c r="G9873" s="1">
        <v>2</v>
      </c>
      <c r="H9873" s="1">
        <v>1</v>
      </c>
      <c r="I9873" s="1">
        <v>0</v>
      </c>
      <c r="J9873" s="1">
        <v>0.979487179487179</v>
      </c>
      <c r="K9873" s="1">
        <v>1</v>
      </c>
      <c r="L9873" s="1">
        <v>0.98963730569948205</v>
      </c>
      <c r="M9873" s="1">
        <v>0.97482517482517494</v>
      </c>
      <c r="N9873" s="1">
        <v>0.97482517482517494</v>
      </c>
      <c r="O9873" s="1">
        <v>0.97482517482517494</v>
      </c>
      <c r="P9873" s="1" t="s">
        <v>19036</v>
      </c>
      <c r="Q9873" s="1" t="s">
        <v>1382</v>
      </c>
      <c r="R9873" s="1" t="s">
        <v>157</v>
      </c>
      <c r="S9873" s="1" t="s">
        <v>158</v>
      </c>
      <c r="V9873" s="1" t="s">
        <v>14219</v>
      </c>
      <c r="W9873" s="1" t="s">
        <v>14220</v>
      </c>
      <c r="AF9873" s="1" t="s">
        <v>20010</v>
      </c>
    </row>
    <row r="9874" spans="1:32" hidden="1" x14ac:dyDescent="0.35">
      <c r="A9874">
        <v>9873</v>
      </c>
      <c r="B9874" t="s">
        <v>20011</v>
      </c>
      <c r="C9874" t="s">
        <v>33</v>
      </c>
      <c r="D9874" t="s">
        <v>34</v>
      </c>
      <c r="E9874">
        <v>2418</v>
      </c>
      <c r="F9874">
        <v>2</v>
      </c>
      <c r="G9874">
        <v>2</v>
      </c>
      <c r="H9874">
        <v>1</v>
      </c>
      <c r="I9874">
        <v>0</v>
      </c>
      <c r="J9874">
        <v>0.997728563316298</v>
      </c>
      <c r="K9874">
        <v>0.99829931972789299</v>
      </c>
      <c r="L9874">
        <v>0.99801385991930702</v>
      </c>
      <c r="M9874">
        <v>0.99489795918367396</v>
      </c>
      <c r="N9874">
        <v>0.99489795918367396</v>
      </c>
      <c r="O9874">
        <v>0.99489795918367396</v>
      </c>
      <c r="AF9874" t="s">
        <v>20012</v>
      </c>
    </row>
    <row r="9875" spans="1:32" hidden="1" x14ac:dyDescent="0.35">
      <c r="A9875">
        <v>9874</v>
      </c>
      <c r="B9875" t="s">
        <v>20011</v>
      </c>
      <c r="C9875" t="s">
        <v>33</v>
      </c>
      <c r="D9875" t="s">
        <v>45</v>
      </c>
      <c r="E9875">
        <v>480</v>
      </c>
      <c r="F9875">
        <v>2</v>
      </c>
      <c r="G9875">
        <v>2</v>
      </c>
      <c r="H9875">
        <v>1</v>
      </c>
      <c r="I9875">
        <v>0</v>
      </c>
      <c r="J9875">
        <v>0.997728563316298</v>
      </c>
      <c r="K9875">
        <v>0.99829931972789299</v>
      </c>
      <c r="L9875">
        <v>0.99801385991930702</v>
      </c>
      <c r="M9875">
        <v>0.99489795918367396</v>
      </c>
      <c r="N9875">
        <v>0.99489795918367396</v>
      </c>
      <c r="O9875">
        <v>0.99489795918367396</v>
      </c>
      <c r="AF9875" t="s">
        <v>20013</v>
      </c>
    </row>
    <row r="9876" spans="1:32" hidden="1" x14ac:dyDescent="0.35">
      <c r="A9876">
        <v>9875</v>
      </c>
      <c r="B9876" t="s">
        <v>20014</v>
      </c>
      <c r="C9876" t="s">
        <v>33</v>
      </c>
      <c r="D9876" t="s">
        <v>34</v>
      </c>
      <c r="E9876">
        <v>162</v>
      </c>
      <c r="F9876">
        <v>2</v>
      </c>
      <c r="G9876">
        <v>2</v>
      </c>
      <c r="H9876">
        <v>1</v>
      </c>
      <c r="I9876">
        <v>0</v>
      </c>
      <c r="J9876">
        <v>0.98947368421052595</v>
      </c>
      <c r="K9876">
        <v>1</v>
      </c>
      <c r="L9876">
        <v>0.99470899470899499</v>
      </c>
      <c r="M9876">
        <v>0.98947368421052595</v>
      </c>
      <c r="N9876">
        <v>0.98947368421052595</v>
      </c>
      <c r="O9876">
        <v>0.98947368421052595</v>
      </c>
      <c r="P9876" t="s">
        <v>13690</v>
      </c>
      <c r="Q9876" t="s">
        <v>8704</v>
      </c>
      <c r="R9876" t="s">
        <v>342</v>
      </c>
      <c r="S9876" t="s">
        <v>343</v>
      </c>
      <c r="T9876" t="s">
        <v>13691</v>
      </c>
      <c r="U9876" t="s">
        <v>13692</v>
      </c>
      <c r="V9876" t="s">
        <v>13693</v>
      </c>
      <c r="W9876" t="s">
        <v>13694</v>
      </c>
      <c r="X9876" t="s">
        <v>13693</v>
      </c>
      <c r="Y9876" t="s">
        <v>2116</v>
      </c>
      <c r="AD9876" t="s">
        <v>439</v>
      </c>
      <c r="AE9876" t="s">
        <v>13695</v>
      </c>
      <c r="AF9876" t="s">
        <v>20015</v>
      </c>
    </row>
    <row r="9877" spans="1:32" hidden="1" x14ac:dyDescent="0.35">
      <c r="A9877">
        <v>9876</v>
      </c>
      <c r="B9877" t="s">
        <v>20014</v>
      </c>
      <c r="C9877" t="s">
        <v>33</v>
      </c>
      <c r="D9877" t="s">
        <v>45</v>
      </c>
      <c r="E9877">
        <v>1423</v>
      </c>
      <c r="F9877">
        <v>2</v>
      </c>
      <c r="G9877">
        <v>2</v>
      </c>
      <c r="H9877">
        <v>1</v>
      </c>
      <c r="I9877">
        <v>0</v>
      </c>
      <c r="J9877">
        <v>0.98947368421052595</v>
      </c>
      <c r="K9877">
        <v>1</v>
      </c>
      <c r="L9877">
        <v>0.99470899470899499</v>
      </c>
      <c r="M9877">
        <v>0.98947368421052595</v>
      </c>
      <c r="N9877">
        <v>0.98947368421052595</v>
      </c>
      <c r="O9877">
        <v>0.98947368421052595</v>
      </c>
      <c r="P9877" t="s">
        <v>13690</v>
      </c>
      <c r="Q9877" t="s">
        <v>8704</v>
      </c>
      <c r="R9877" t="s">
        <v>342</v>
      </c>
      <c r="S9877" t="s">
        <v>343</v>
      </c>
      <c r="T9877" t="s">
        <v>13691</v>
      </c>
      <c r="U9877" t="s">
        <v>13692</v>
      </c>
      <c r="V9877" t="s">
        <v>13693</v>
      </c>
      <c r="W9877" t="s">
        <v>13694</v>
      </c>
      <c r="X9877" t="s">
        <v>13693</v>
      </c>
      <c r="Y9877" t="s">
        <v>2116</v>
      </c>
      <c r="AD9877" t="s">
        <v>439</v>
      </c>
      <c r="AE9877" t="s">
        <v>13695</v>
      </c>
      <c r="AF9877" t="s">
        <v>20016</v>
      </c>
    </row>
    <row r="9878" spans="1:32" hidden="1" x14ac:dyDescent="0.35">
      <c r="A9878">
        <v>9877</v>
      </c>
      <c r="B9878" t="s">
        <v>20017</v>
      </c>
      <c r="C9878" t="s">
        <v>33</v>
      </c>
      <c r="D9878" t="s">
        <v>34</v>
      </c>
      <c r="E9878">
        <v>1242</v>
      </c>
      <c r="F9878">
        <v>2</v>
      </c>
      <c r="G9878">
        <v>2</v>
      </c>
      <c r="H9878">
        <v>1</v>
      </c>
      <c r="I9878">
        <v>0</v>
      </c>
      <c r="J9878">
        <v>0.99655172413793103</v>
      </c>
      <c r="K9878">
        <v>1</v>
      </c>
      <c r="L9878">
        <v>0.99827288428324701</v>
      </c>
      <c r="M9878">
        <v>0.99655172413793103</v>
      </c>
      <c r="N9878">
        <v>0.99655172413793103</v>
      </c>
      <c r="O9878">
        <v>0.99655172413793103</v>
      </c>
      <c r="P9878" t="s">
        <v>14242</v>
      </c>
      <c r="Q9878" t="s">
        <v>14243</v>
      </c>
      <c r="R9878" t="s">
        <v>9049</v>
      </c>
      <c r="S9878" t="s">
        <v>9050</v>
      </c>
      <c r="T9878" t="s">
        <v>17571</v>
      </c>
      <c r="U9878" t="s">
        <v>17572</v>
      </c>
      <c r="V9878" t="s">
        <v>14244</v>
      </c>
      <c r="W9878" t="s">
        <v>14245</v>
      </c>
      <c r="AD9878" t="s">
        <v>17573</v>
      </c>
      <c r="AE9878" t="s">
        <v>17574</v>
      </c>
      <c r="AF9878" t="s">
        <v>20018</v>
      </c>
    </row>
    <row r="9879" spans="1:32" hidden="1" x14ac:dyDescent="0.35">
      <c r="A9879">
        <v>9878</v>
      </c>
      <c r="B9879" t="s">
        <v>20017</v>
      </c>
      <c r="C9879" t="s">
        <v>33</v>
      </c>
      <c r="D9879" t="s">
        <v>45</v>
      </c>
      <c r="E9879">
        <v>2486</v>
      </c>
      <c r="F9879">
        <v>2</v>
      </c>
      <c r="G9879">
        <v>2</v>
      </c>
      <c r="H9879">
        <v>1</v>
      </c>
      <c r="I9879">
        <v>0</v>
      </c>
      <c r="J9879">
        <v>0.99655172413793103</v>
      </c>
      <c r="K9879">
        <v>1</v>
      </c>
      <c r="L9879">
        <v>0.99827288428324701</v>
      </c>
      <c r="M9879">
        <v>0.99655172413793103</v>
      </c>
      <c r="N9879">
        <v>0.99655172413793103</v>
      </c>
      <c r="O9879">
        <v>0.99655172413793103</v>
      </c>
      <c r="P9879" t="s">
        <v>14242</v>
      </c>
      <c r="Q9879" t="s">
        <v>14243</v>
      </c>
      <c r="R9879" t="s">
        <v>9049</v>
      </c>
      <c r="S9879" t="s">
        <v>9050</v>
      </c>
      <c r="T9879" t="s">
        <v>17571</v>
      </c>
      <c r="U9879" t="s">
        <v>17572</v>
      </c>
      <c r="V9879" t="s">
        <v>14244</v>
      </c>
      <c r="W9879" t="s">
        <v>14245</v>
      </c>
      <c r="AD9879" t="s">
        <v>17573</v>
      </c>
      <c r="AE9879" t="s">
        <v>17574</v>
      </c>
      <c r="AF9879" t="s">
        <v>20019</v>
      </c>
    </row>
    <row r="9880" spans="1:32" hidden="1" x14ac:dyDescent="0.35">
      <c r="A9880">
        <v>9879</v>
      </c>
      <c r="B9880" t="s">
        <v>20020</v>
      </c>
      <c r="C9880" t="s">
        <v>33</v>
      </c>
      <c r="D9880" t="s">
        <v>34</v>
      </c>
      <c r="E9880">
        <v>623</v>
      </c>
      <c r="F9880">
        <v>2</v>
      </c>
      <c r="G9880">
        <v>2</v>
      </c>
      <c r="H9880">
        <v>1</v>
      </c>
      <c r="I9880">
        <v>0</v>
      </c>
      <c r="J9880">
        <v>0.974683544303797</v>
      </c>
      <c r="K9880">
        <v>1</v>
      </c>
      <c r="L9880">
        <v>0.987179487179487</v>
      </c>
      <c r="M9880">
        <v>0.962025316455696</v>
      </c>
      <c r="N9880">
        <v>0.962025316455696</v>
      </c>
      <c r="O9880">
        <v>0.962025316455696</v>
      </c>
      <c r="P9880" t="s">
        <v>12423</v>
      </c>
      <c r="Q9880" t="s">
        <v>12424</v>
      </c>
      <c r="R9880" t="s">
        <v>224</v>
      </c>
      <c r="S9880" t="s">
        <v>225</v>
      </c>
      <c r="T9880" t="s">
        <v>12425</v>
      </c>
      <c r="U9880" t="s">
        <v>12426</v>
      </c>
      <c r="V9880" t="s">
        <v>8738</v>
      </c>
      <c r="W9880" t="s">
        <v>8739</v>
      </c>
      <c r="AD9880" t="s">
        <v>1170</v>
      </c>
      <c r="AE9880" t="s">
        <v>12427</v>
      </c>
      <c r="AF9880" t="s">
        <v>20021</v>
      </c>
    </row>
    <row r="9881" spans="1:32" hidden="1" x14ac:dyDescent="0.35">
      <c r="A9881">
        <v>9880</v>
      </c>
      <c r="B9881" t="s">
        <v>20020</v>
      </c>
      <c r="C9881" t="s">
        <v>33</v>
      </c>
      <c r="D9881" t="s">
        <v>45</v>
      </c>
      <c r="E9881">
        <v>1890</v>
      </c>
      <c r="F9881">
        <v>2</v>
      </c>
      <c r="G9881">
        <v>2</v>
      </c>
      <c r="H9881">
        <v>1</v>
      </c>
      <c r="I9881">
        <v>0</v>
      </c>
      <c r="J9881">
        <v>0.974683544303797</v>
      </c>
      <c r="K9881">
        <v>1</v>
      </c>
      <c r="L9881">
        <v>0.987179487179487</v>
      </c>
      <c r="M9881">
        <v>0.962025316455696</v>
      </c>
      <c r="N9881">
        <v>0.962025316455696</v>
      </c>
      <c r="O9881">
        <v>0.962025316455696</v>
      </c>
      <c r="P9881" t="s">
        <v>12423</v>
      </c>
      <c r="Q9881" t="s">
        <v>12424</v>
      </c>
      <c r="R9881" t="s">
        <v>224</v>
      </c>
      <c r="S9881" t="s">
        <v>225</v>
      </c>
      <c r="T9881" t="s">
        <v>12425</v>
      </c>
      <c r="U9881" t="s">
        <v>12426</v>
      </c>
      <c r="V9881" t="s">
        <v>8738</v>
      </c>
      <c r="W9881" t="s">
        <v>8739</v>
      </c>
      <c r="AD9881" t="s">
        <v>1170</v>
      </c>
      <c r="AE9881" t="s">
        <v>12427</v>
      </c>
      <c r="AF9881" t="s">
        <v>20022</v>
      </c>
    </row>
    <row r="9882" spans="1:32" hidden="1" x14ac:dyDescent="0.35">
      <c r="A9882">
        <v>9881</v>
      </c>
      <c r="B9882" t="s">
        <v>20023</v>
      </c>
      <c r="C9882" t="s">
        <v>33</v>
      </c>
      <c r="D9882" t="s">
        <v>34</v>
      </c>
      <c r="E9882">
        <v>287</v>
      </c>
      <c r="F9882">
        <v>2</v>
      </c>
      <c r="G9882">
        <v>2</v>
      </c>
      <c r="H9882">
        <v>1</v>
      </c>
      <c r="I9882">
        <v>0</v>
      </c>
      <c r="J9882">
        <v>0.95686274509803904</v>
      </c>
      <c r="K9882">
        <v>1</v>
      </c>
      <c r="L9882">
        <v>0.97795591182364705</v>
      </c>
      <c r="M9882">
        <v>0.94901960784313699</v>
      </c>
      <c r="N9882">
        <v>0.94901960784313699</v>
      </c>
      <c r="O9882">
        <v>0.94901960784313699</v>
      </c>
      <c r="P9882" t="s">
        <v>2596</v>
      </c>
      <c r="Q9882" t="s">
        <v>2597</v>
      </c>
      <c r="R9882" t="s">
        <v>1102</v>
      </c>
      <c r="S9882" t="s">
        <v>1103</v>
      </c>
      <c r="V9882" t="s">
        <v>2600</v>
      </c>
      <c r="W9882" t="s">
        <v>2601</v>
      </c>
      <c r="X9882" t="s">
        <v>2600</v>
      </c>
      <c r="Y9882" t="s">
        <v>1108</v>
      </c>
      <c r="AF9882" t="s">
        <v>20024</v>
      </c>
    </row>
    <row r="9883" spans="1:32" hidden="1" x14ac:dyDescent="0.35">
      <c r="A9883">
        <v>9882</v>
      </c>
      <c r="B9883" t="s">
        <v>20023</v>
      </c>
      <c r="C9883" t="s">
        <v>33</v>
      </c>
      <c r="D9883" t="s">
        <v>45</v>
      </c>
      <c r="E9883">
        <v>1549</v>
      </c>
      <c r="F9883">
        <v>2</v>
      </c>
      <c r="G9883">
        <v>2</v>
      </c>
      <c r="H9883">
        <v>1</v>
      </c>
      <c r="I9883">
        <v>0</v>
      </c>
      <c r="J9883">
        <v>0.95686274509803904</v>
      </c>
      <c r="K9883">
        <v>1</v>
      </c>
      <c r="L9883">
        <v>0.97795591182364705</v>
      </c>
      <c r="M9883">
        <v>0.94901960784313699</v>
      </c>
      <c r="N9883">
        <v>0.94901960784313699</v>
      </c>
      <c r="O9883">
        <v>0.94901960784313699</v>
      </c>
      <c r="P9883" t="s">
        <v>2596</v>
      </c>
      <c r="Q9883" t="s">
        <v>2597</v>
      </c>
      <c r="R9883" t="s">
        <v>1102</v>
      </c>
      <c r="S9883" t="s">
        <v>1103</v>
      </c>
      <c r="V9883" t="s">
        <v>2600</v>
      </c>
      <c r="W9883" t="s">
        <v>2601</v>
      </c>
      <c r="X9883" t="s">
        <v>2600</v>
      </c>
      <c r="Y9883" t="s">
        <v>1108</v>
      </c>
      <c r="AF9883" t="s">
        <v>20025</v>
      </c>
    </row>
    <row r="9884" spans="1:32" hidden="1" x14ac:dyDescent="0.35">
      <c r="A9884">
        <v>9883</v>
      </c>
      <c r="B9884" t="s">
        <v>20026</v>
      </c>
      <c r="C9884" t="s">
        <v>33</v>
      </c>
      <c r="D9884" t="s">
        <v>60</v>
      </c>
      <c r="E9884">
        <v>37</v>
      </c>
      <c r="F9884">
        <v>2</v>
      </c>
      <c r="G9884">
        <v>2</v>
      </c>
      <c r="H9884">
        <v>1</v>
      </c>
      <c r="I9884">
        <v>0</v>
      </c>
      <c r="J9884">
        <v>0.97911111111111104</v>
      </c>
      <c r="K9884">
        <v>0.99933377748167496</v>
      </c>
      <c r="L9884">
        <v>0.98911909134542297</v>
      </c>
      <c r="M9884">
        <v>0.97401732178547595</v>
      </c>
      <c r="N9884">
        <v>0.97401732178547595</v>
      </c>
      <c r="O9884">
        <v>0.97401732178547595</v>
      </c>
      <c r="P9884" t="s">
        <v>20027</v>
      </c>
      <c r="Q9884" t="s">
        <v>20028</v>
      </c>
      <c r="R9884" t="s">
        <v>516</v>
      </c>
      <c r="S9884" t="s">
        <v>517</v>
      </c>
      <c r="T9884" t="s">
        <v>20029</v>
      </c>
      <c r="U9884" t="s">
        <v>20030</v>
      </c>
      <c r="V9884" t="s">
        <v>20031</v>
      </c>
      <c r="W9884" t="s">
        <v>20032</v>
      </c>
      <c r="AD9884" t="s">
        <v>14983</v>
      </c>
      <c r="AE9884" t="s">
        <v>17735</v>
      </c>
      <c r="AF9884" t="s">
        <v>20033</v>
      </c>
    </row>
    <row r="9885" spans="1:32" hidden="1" x14ac:dyDescent="0.35">
      <c r="A9885">
        <v>9884</v>
      </c>
      <c r="B9885" t="s">
        <v>20026</v>
      </c>
      <c r="C9885" t="s">
        <v>33</v>
      </c>
      <c r="D9885" t="s">
        <v>62</v>
      </c>
      <c r="E9885">
        <v>110</v>
      </c>
      <c r="F9885">
        <v>2</v>
      </c>
      <c r="G9885">
        <v>2</v>
      </c>
      <c r="H9885">
        <v>1</v>
      </c>
      <c r="I9885">
        <v>0</v>
      </c>
      <c r="J9885">
        <v>0.97911111111111104</v>
      </c>
      <c r="K9885">
        <v>0.99933377748167496</v>
      </c>
      <c r="L9885">
        <v>0.98911909134542297</v>
      </c>
      <c r="M9885">
        <v>0.97401732178547595</v>
      </c>
      <c r="N9885">
        <v>0.97401732178547595</v>
      </c>
      <c r="O9885">
        <v>0.97401732178547595</v>
      </c>
      <c r="P9885" t="s">
        <v>20027</v>
      </c>
      <c r="Q9885" t="s">
        <v>20028</v>
      </c>
      <c r="R9885" t="s">
        <v>516</v>
      </c>
      <c r="S9885" t="s">
        <v>517</v>
      </c>
      <c r="T9885" t="s">
        <v>20029</v>
      </c>
      <c r="U9885" t="s">
        <v>20030</v>
      </c>
      <c r="V9885" t="s">
        <v>20031</v>
      </c>
      <c r="W9885" t="s">
        <v>20032</v>
      </c>
      <c r="AD9885" t="s">
        <v>14983</v>
      </c>
      <c r="AE9885" t="s">
        <v>17735</v>
      </c>
      <c r="AF9885" t="s">
        <v>20034</v>
      </c>
    </row>
    <row r="9886" spans="1:32" hidden="1" x14ac:dyDescent="0.35">
      <c r="A9886">
        <v>9885</v>
      </c>
      <c r="B9886" t="s">
        <v>20035</v>
      </c>
      <c r="C9886" t="s">
        <v>33</v>
      </c>
      <c r="D9886" t="s">
        <v>60</v>
      </c>
      <c r="E9886">
        <v>1348</v>
      </c>
      <c r="F9886">
        <v>2</v>
      </c>
      <c r="G9886">
        <v>2</v>
      </c>
      <c r="H9886">
        <v>1</v>
      </c>
      <c r="I9886">
        <v>0</v>
      </c>
      <c r="J9886">
        <v>0.99337748344370902</v>
      </c>
      <c r="K9886">
        <v>1</v>
      </c>
      <c r="L9886">
        <v>0.99667774086378702</v>
      </c>
      <c r="M9886">
        <v>0.99337748344370902</v>
      </c>
      <c r="N9886">
        <v>0.99337748344370902</v>
      </c>
      <c r="O9886">
        <v>0.99337748344370902</v>
      </c>
      <c r="P9886" t="s">
        <v>12586</v>
      </c>
      <c r="Q9886" t="s">
        <v>12587</v>
      </c>
      <c r="R9886" t="s">
        <v>516</v>
      </c>
      <c r="S9886" t="s">
        <v>517</v>
      </c>
      <c r="T9886" t="s">
        <v>15493</v>
      </c>
      <c r="U9886" t="s">
        <v>15494</v>
      </c>
      <c r="V9886" t="s">
        <v>15495</v>
      </c>
      <c r="W9886" t="s">
        <v>15496</v>
      </c>
      <c r="Z9886" t="s">
        <v>876</v>
      </c>
      <c r="AA9886" t="s">
        <v>877</v>
      </c>
      <c r="AB9886" t="s">
        <v>876</v>
      </c>
      <c r="AC9886" t="s">
        <v>878</v>
      </c>
      <c r="AD9886" t="s">
        <v>219</v>
      </c>
      <c r="AE9886" t="s">
        <v>15497</v>
      </c>
      <c r="AF9886" t="s">
        <v>20036</v>
      </c>
    </row>
    <row r="9887" spans="1:32" hidden="1" x14ac:dyDescent="0.35">
      <c r="A9887">
        <v>9886</v>
      </c>
      <c r="B9887" t="s">
        <v>20035</v>
      </c>
      <c r="C9887" t="s">
        <v>33</v>
      </c>
      <c r="D9887" t="s">
        <v>62</v>
      </c>
      <c r="E9887">
        <v>1384</v>
      </c>
      <c r="F9887">
        <v>2</v>
      </c>
      <c r="G9887">
        <v>2</v>
      </c>
      <c r="H9887">
        <v>1</v>
      </c>
      <c r="I9887">
        <v>0</v>
      </c>
      <c r="J9887">
        <v>0.99337748344370902</v>
      </c>
      <c r="K9887">
        <v>1</v>
      </c>
      <c r="L9887">
        <v>0.99667774086378702</v>
      </c>
      <c r="M9887">
        <v>0.99337748344370902</v>
      </c>
      <c r="N9887">
        <v>0.99337748344370902</v>
      </c>
      <c r="O9887">
        <v>0.99337748344370902</v>
      </c>
      <c r="P9887" t="s">
        <v>12586</v>
      </c>
      <c r="Q9887" t="s">
        <v>12587</v>
      </c>
      <c r="R9887" t="s">
        <v>516</v>
      </c>
      <c r="S9887" t="s">
        <v>517</v>
      </c>
      <c r="T9887" t="s">
        <v>15493</v>
      </c>
      <c r="U9887" t="s">
        <v>15494</v>
      </c>
      <c r="V9887" t="s">
        <v>15495</v>
      </c>
      <c r="W9887" t="s">
        <v>15496</v>
      </c>
      <c r="Z9887" t="s">
        <v>876</v>
      </c>
      <c r="AA9887" t="s">
        <v>877</v>
      </c>
      <c r="AB9887" t="s">
        <v>876</v>
      </c>
      <c r="AC9887" t="s">
        <v>878</v>
      </c>
      <c r="AD9887" t="s">
        <v>219</v>
      </c>
      <c r="AE9887" t="s">
        <v>15497</v>
      </c>
      <c r="AF9887" t="s">
        <v>20037</v>
      </c>
    </row>
    <row r="9888" spans="1:32" hidden="1" x14ac:dyDescent="0.35">
      <c r="A9888">
        <v>9887</v>
      </c>
      <c r="B9888" t="s">
        <v>20038</v>
      </c>
      <c r="C9888" t="s">
        <v>33</v>
      </c>
      <c r="D9888" t="s">
        <v>34</v>
      </c>
      <c r="E9888">
        <v>1202</v>
      </c>
      <c r="F9888">
        <v>2</v>
      </c>
      <c r="G9888">
        <v>2</v>
      </c>
      <c r="H9888">
        <v>1</v>
      </c>
      <c r="I9888">
        <v>0</v>
      </c>
      <c r="J9888">
        <v>0.98</v>
      </c>
      <c r="K9888">
        <v>1</v>
      </c>
      <c r="L9888">
        <v>0.98989898989898994</v>
      </c>
      <c r="M9888">
        <v>0.98</v>
      </c>
      <c r="N9888">
        <v>0.98</v>
      </c>
      <c r="O9888">
        <v>0.98</v>
      </c>
      <c r="P9888" t="s">
        <v>1163</v>
      </c>
      <c r="Q9888" t="s">
        <v>1164</v>
      </c>
      <c r="R9888" t="s">
        <v>224</v>
      </c>
      <c r="S9888" t="s">
        <v>225</v>
      </c>
      <c r="T9888" t="s">
        <v>14740</v>
      </c>
      <c r="U9888" t="s">
        <v>14741</v>
      </c>
      <c r="V9888" t="s">
        <v>1167</v>
      </c>
      <c r="W9888" t="s">
        <v>1168</v>
      </c>
      <c r="X9888" t="s">
        <v>1167</v>
      </c>
      <c r="Y9888" t="s">
        <v>1169</v>
      </c>
      <c r="AD9888" t="s">
        <v>14742</v>
      </c>
      <c r="AE9888" t="s">
        <v>14743</v>
      </c>
      <c r="AF9888" t="s">
        <v>20039</v>
      </c>
    </row>
    <row r="9889" spans="1:32" hidden="1" x14ac:dyDescent="0.35">
      <c r="A9889">
        <v>9888</v>
      </c>
      <c r="B9889" t="s">
        <v>20038</v>
      </c>
      <c r="C9889" t="s">
        <v>33</v>
      </c>
      <c r="D9889" t="s">
        <v>45</v>
      </c>
      <c r="E9889">
        <v>2445</v>
      </c>
      <c r="F9889">
        <v>2</v>
      </c>
      <c r="G9889">
        <v>2</v>
      </c>
      <c r="H9889">
        <v>1</v>
      </c>
      <c r="I9889">
        <v>0</v>
      </c>
      <c r="J9889">
        <v>0.98</v>
      </c>
      <c r="K9889">
        <v>1</v>
      </c>
      <c r="L9889">
        <v>0.98989898989898994</v>
      </c>
      <c r="M9889">
        <v>0.98</v>
      </c>
      <c r="N9889">
        <v>0.98</v>
      </c>
      <c r="O9889">
        <v>0.98</v>
      </c>
      <c r="P9889" t="s">
        <v>1163</v>
      </c>
      <c r="Q9889" t="s">
        <v>1164</v>
      </c>
      <c r="R9889" t="s">
        <v>224</v>
      </c>
      <c r="S9889" t="s">
        <v>225</v>
      </c>
      <c r="T9889" t="s">
        <v>14740</v>
      </c>
      <c r="U9889" t="s">
        <v>14741</v>
      </c>
      <c r="V9889" t="s">
        <v>1167</v>
      </c>
      <c r="W9889" t="s">
        <v>1168</v>
      </c>
      <c r="X9889" t="s">
        <v>1167</v>
      </c>
      <c r="Y9889" t="s">
        <v>1169</v>
      </c>
      <c r="AD9889" t="s">
        <v>14742</v>
      </c>
      <c r="AE9889" t="s">
        <v>14743</v>
      </c>
      <c r="AF9889" t="s">
        <v>20040</v>
      </c>
    </row>
    <row r="9890" spans="1:32" hidden="1" x14ac:dyDescent="0.35">
      <c r="A9890">
        <v>9889</v>
      </c>
      <c r="B9890" t="s">
        <v>20041</v>
      </c>
      <c r="C9890" t="s">
        <v>33</v>
      </c>
      <c r="D9890" t="s">
        <v>34</v>
      </c>
      <c r="E9890">
        <v>1524</v>
      </c>
      <c r="F9890">
        <v>2</v>
      </c>
      <c r="G9890">
        <v>2</v>
      </c>
      <c r="H9890">
        <v>1</v>
      </c>
      <c r="I9890">
        <v>0</v>
      </c>
      <c r="J9890">
        <v>0.9</v>
      </c>
      <c r="K9890">
        <v>0.72164948453608202</v>
      </c>
      <c r="L9890">
        <v>0.80101716465352801</v>
      </c>
      <c r="M9890">
        <v>0.57948717948717998</v>
      </c>
      <c r="N9890">
        <v>0.57948717948717998</v>
      </c>
      <c r="O9890">
        <v>0.57948717948717998</v>
      </c>
      <c r="AF9890" t="s">
        <v>20042</v>
      </c>
    </row>
    <row r="9891" spans="1:32" hidden="1" x14ac:dyDescent="0.35">
      <c r="A9891">
        <v>9890</v>
      </c>
      <c r="B9891" t="s">
        <v>20041</v>
      </c>
      <c r="C9891" t="s">
        <v>33</v>
      </c>
      <c r="D9891" t="s">
        <v>45</v>
      </c>
      <c r="E9891">
        <v>273</v>
      </c>
      <c r="F9891">
        <v>2</v>
      </c>
      <c r="G9891">
        <v>2</v>
      </c>
      <c r="H9891">
        <v>1</v>
      </c>
      <c r="I9891">
        <v>0</v>
      </c>
      <c r="J9891">
        <v>0.9</v>
      </c>
      <c r="K9891">
        <v>0.72164948453608202</v>
      </c>
      <c r="L9891">
        <v>0.80101716465352801</v>
      </c>
      <c r="M9891">
        <v>0.57948717948717998</v>
      </c>
      <c r="N9891">
        <v>0.57948717948717998</v>
      </c>
      <c r="O9891">
        <v>0.57948717948717998</v>
      </c>
      <c r="AF9891" t="s">
        <v>20043</v>
      </c>
    </row>
    <row r="9892" spans="1:32" hidden="1" x14ac:dyDescent="0.35">
      <c r="A9892">
        <v>9891</v>
      </c>
      <c r="B9892" t="s">
        <v>20044</v>
      </c>
      <c r="C9892" t="s">
        <v>33</v>
      </c>
      <c r="D9892" t="s">
        <v>60</v>
      </c>
      <c r="E9892">
        <v>1658</v>
      </c>
      <c r="F9892">
        <v>2</v>
      </c>
      <c r="G9892">
        <v>2</v>
      </c>
      <c r="H9892">
        <v>1</v>
      </c>
      <c r="I9892">
        <v>0</v>
      </c>
      <c r="J9892">
        <v>0.99477806788511702</v>
      </c>
      <c r="K9892">
        <v>1</v>
      </c>
      <c r="L9892">
        <v>0.99738219895288005</v>
      </c>
      <c r="M9892">
        <v>0.99477806788511702</v>
      </c>
      <c r="N9892">
        <v>0.99477806788511702</v>
      </c>
      <c r="O9892">
        <v>0.99477806788511702</v>
      </c>
      <c r="P9892" t="s">
        <v>19009</v>
      </c>
      <c r="Q9892" t="s">
        <v>19003</v>
      </c>
      <c r="AF9892" t="s">
        <v>20045</v>
      </c>
    </row>
    <row r="9893" spans="1:32" hidden="1" x14ac:dyDescent="0.35">
      <c r="A9893">
        <v>9892</v>
      </c>
      <c r="B9893" t="s">
        <v>20044</v>
      </c>
      <c r="C9893" t="s">
        <v>33</v>
      </c>
      <c r="D9893" t="s">
        <v>62</v>
      </c>
      <c r="E9893">
        <v>1693</v>
      </c>
      <c r="F9893">
        <v>2</v>
      </c>
      <c r="G9893">
        <v>2</v>
      </c>
      <c r="H9893">
        <v>1</v>
      </c>
      <c r="I9893">
        <v>0</v>
      </c>
      <c r="J9893">
        <v>0.99477806788511702</v>
      </c>
      <c r="K9893">
        <v>1</v>
      </c>
      <c r="L9893">
        <v>0.99738219895288005</v>
      </c>
      <c r="M9893">
        <v>0.99477806788511702</v>
      </c>
      <c r="N9893">
        <v>0.99477806788511702</v>
      </c>
      <c r="O9893">
        <v>0.99477806788511702</v>
      </c>
      <c r="P9893" t="s">
        <v>19009</v>
      </c>
      <c r="Q9893" t="s">
        <v>19003</v>
      </c>
      <c r="AF9893" t="s">
        <v>20046</v>
      </c>
    </row>
    <row r="9894" spans="1:32" hidden="1" x14ac:dyDescent="0.35">
      <c r="A9894">
        <v>9893</v>
      </c>
      <c r="B9894" t="s">
        <v>20047</v>
      </c>
      <c r="C9894" t="s">
        <v>33</v>
      </c>
      <c r="D9894" t="s">
        <v>34</v>
      </c>
      <c r="E9894">
        <v>646</v>
      </c>
      <c r="F9894">
        <v>2</v>
      </c>
      <c r="G9894">
        <v>2</v>
      </c>
      <c r="H9894">
        <v>1</v>
      </c>
      <c r="I9894">
        <v>0</v>
      </c>
      <c r="J9894">
        <v>0.99664147774978995</v>
      </c>
      <c r="K9894">
        <v>1</v>
      </c>
      <c r="L9894">
        <v>0.99831791421362504</v>
      </c>
      <c r="M9894">
        <v>0.99496221662468498</v>
      </c>
      <c r="N9894">
        <v>0.99496221662468498</v>
      </c>
      <c r="O9894">
        <v>0.99496221662468498</v>
      </c>
      <c r="P9894" t="s">
        <v>17818</v>
      </c>
      <c r="Q9894" t="s">
        <v>17819</v>
      </c>
      <c r="R9894" t="s">
        <v>96</v>
      </c>
      <c r="S9894" t="s">
        <v>97</v>
      </c>
      <c r="T9894" t="s">
        <v>17820</v>
      </c>
      <c r="U9894" t="s">
        <v>17821</v>
      </c>
      <c r="V9894" t="s">
        <v>17822</v>
      </c>
      <c r="W9894" t="s">
        <v>17823</v>
      </c>
      <c r="AD9894" t="s">
        <v>17824</v>
      </c>
      <c r="AE9894" t="s">
        <v>17825</v>
      </c>
      <c r="AF9894" t="s">
        <v>20048</v>
      </c>
    </row>
    <row r="9895" spans="1:32" hidden="1" x14ac:dyDescent="0.35">
      <c r="A9895">
        <v>9894</v>
      </c>
      <c r="B9895" t="s">
        <v>20047</v>
      </c>
      <c r="C9895" t="s">
        <v>33</v>
      </c>
      <c r="D9895" t="s">
        <v>45</v>
      </c>
      <c r="E9895">
        <v>1912</v>
      </c>
      <c r="F9895">
        <v>2</v>
      </c>
      <c r="G9895">
        <v>2</v>
      </c>
      <c r="H9895">
        <v>1</v>
      </c>
      <c r="I9895">
        <v>0</v>
      </c>
      <c r="J9895">
        <v>0.99664147774978995</v>
      </c>
      <c r="K9895">
        <v>1</v>
      </c>
      <c r="L9895">
        <v>0.99831791421362504</v>
      </c>
      <c r="M9895">
        <v>0.99496221662468498</v>
      </c>
      <c r="N9895">
        <v>0.99496221662468498</v>
      </c>
      <c r="O9895">
        <v>0.99496221662468498</v>
      </c>
      <c r="P9895" t="s">
        <v>17818</v>
      </c>
      <c r="Q9895" t="s">
        <v>17819</v>
      </c>
      <c r="R9895" t="s">
        <v>96</v>
      </c>
      <c r="S9895" t="s">
        <v>97</v>
      </c>
      <c r="T9895" t="s">
        <v>17820</v>
      </c>
      <c r="U9895" t="s">
        <v>17821</v>
      </c>
      <c r="V9895" t="s">
        <v>17822</v>
      </c>
      <c r="W9895" t="s">
        <v>17823</v>
      </c>
      <c r="AD9895" t="s">
        <v>17824</v>
      </c>
      <c r="AE9895" t="s">
        <v>17825</v>
      </c>
      <c r="AF9895" t="s">
        <v>20049</v>
      </c>
    </row>
    <row r="9896" spans="1:32" hidden="1" x14ac:dyDescent="0.35">
      <c r="A9896">
        <v>9895</v>
      </c>
      <c r="B9896" t="s">
        <v>20050</v>
      </c>
      <c r="C9896" t="s">
        <v>33</v>
      </c>
      <c r="D9896" t="s">
        <v>60</v>
      </c>
      <c r="E9896">
        <v>168</v>
      </c>
      <c r="F9896">
        <v>2</v>
      </c>
      <c r="G9896">
        <v>2</v>
      </c>
      <c r="H9896">
        <v>1</v>
      </c>
      <c r="I9896">
        <v>0</v>
      </c>
      <c r="J9896">
        <v>0.99735029146793897</v>
      </c>
      <c r="K9896">
        <v>1</v>
      </c>
      <c r="L9896">
        <v>0.99867338816662199</v>
      </c>
      <c r="M9896">
        <v>0.99523052464228901</v>
      </c>
      <c r="N9896">
        <v>0.99523052464228901</v>
      </c>
      <c r="O9896">
        <v>0.99523052464228901</v>
      </c>
      <c r="P9896" t="s">
        <v>6914</v>
      </c>
      <c r="Q9896" t="s">
        <v>6915</v>
      </c>
      <c r="R9896" t="s">
        <v>96</v>
      </c>
      <c r="S9896" t="s">
        <v>97</v>
      </c>
      <c r="V9896" t="s">
        <v>6918</v>
      </c>
      <c r="W9896" t="s">
        <v>6919</v>
      </c>
      <c r="AF9896" t="s">
        <v>20051</v>
      </c>
    </row>
    <row r="9897" spans="1:32" hidden="1" x14ac:dyDescent="0.35">
      <c r="A9897">
        <v>9896</v>
      </c>
      <c r="B9897" t="s">
        <v>20050</v>
      </c>
      <c r="C9897" t="s">
        <v>33</v>
      </c>
      <c r="D9897" t="s">
        <v>62</v>
      </c>
      <c r="E9897">
        <v>244</v>
      </c>
      <c r="F9897">
        <v>2</v>
      </c>
      <c r="G9897">
        <v>2</v>
      </c>
      <c r="H9897">
        <v>1</v>
      </c>
      <c r="I9897">
        <v>0</v>
      </c>
      <c r="J9897">
        <v>0.99735029146793897</v>
      </c>
      <c r="K9897">
        <v>1</v>
      </c>
      <c r="L9897">
        <v>0.99867338816662199</v>
      </c>
      <c r="M9897">
        <v>0.99523052464228901</v>
      </c>
      <c r="N9897">
        <v>0.99523052464228901</v>
      </c>
      <c r="O9897">
        <v>0.99523052464228901</v>
      </c>
      <c r="P9897" t="s">
        <v>6914</v>
      </c>
      <c r="Q9897" t="s">
        <v>6915</v>
      </c>
      <c r="R9897" t="s">
        <v>96</v>
      </c>
      <c r="S9897" t="s">
        <v>97</v>
      </c>
      <c r="V9897" t="s">
        <v>6918</v>
      </c>
      <c r="W9897" t="s">
        <v>6919</v>
      </c>
      <c r="AF9897" t="s">
        <v>20052</v>
      </c>
    </row>
    <row r="9898" spans="1:32" hidden="1" x14ac:dyDescent="0.35">
      <c r="A9898">
        <v>9897</v>
      </c>
      <c r="B9898" t="s">
        <v>20053</v>
      </c>
      <c r="C9898" t="s">
        <v>33</v>
      </c>
      <c r="D9898" t="s">
        <v>34</v>
      </c>
      <c r="E9898">
        <v>914</v>
      </c>
      <c r="F9898">
        <v>2</v>
      </c>
      <c r="G9898">
        <v>2</v>
      </c>
      <c r="H9898">
        <v>1</v>
      </c>
      <c r="I9898">
        <v>0</v>
      </c>
      <c r="J9898">
        <v>0.99116997792494499</v>
      </c>
      <c r="K9898">
        <v>1</v>
      </c>
      <c r="L9898">
        <v>0.99556541019955602</v>
      </c>
      <c r="M9898">
        <v>0.98675496688741704</v>
      </c>
      <c r="N9898">
        <v>0.98675496688741704</v>
      </c>
      <c r="O9898">
        <v>0.98675496688741704</v>
      </c>
      <c r="AF9898" t="s">
        <v>20054</v>
      </c>
    </row>
    <row r="9899" spans="1:32" hidden="1" x14ac:dyDescent="0.35">
      <c r="A9899">
        <v>9898</v>
      </c>
      <c r="B9899" t="s">
        <v>20053</v>
      </c>
      <c r="C9899" t="s">
        <v>33</v>
      </c>
      <c r="D9899" t="s">
        <v>45</v>
      </c>
      <c r="E9899">
        <v>2170</v>
      </c>
      <c r="F9899">
        <v>2</v>
      </c>
      <c r="G9899">
        <v>2</v>
      </c>
      <c r="H9899">
        <v>1</v>
      </c>
      <c r="I9899">
        <v>0</v>
      </c>
      <c r="J9899">
        <v>0.99116997792494499</v>
      </c>
      <c r="K9899">
        <v>1</v>
      </c>
      <c r="L9899">
        <v>0.99556541019955602</v>
      </c>
      <c r="M9899">
        <v>0.98675496688741704</v>
      </c>
      <c r="N9899">
        <v>0.98675496688741704</v>
      </c>
      <c r="O9899">
        <v>0.98675496688741704</v>
      </c>
      <c r="AF9899" t="s">
        <v>20055</v>
      </c>
    </row>
    <row r="9900" spans="1:32" hidden="1" x14ac:dyDescent="0.35">
      <c r="A9900">
        <v>9899</v>
      </c>
      <c r="B9900" t="s">
        <v>20056</v>
      </c>
      <c r="C9900" t="s">
        <v>33</v>
      </c>
      <c r="D9900" t="s">
        <v>60</v>
      </c>
      <c r="E9900">
        <v>561</v>
      </c>
      <c r="F9900">
        <v>2</v>
      </c>
      <c r="G9900">
        <v>2</v>
      </c>
      <c r="H9900">
        <v>1</v>
      </c>
      <c r="I9900">
        <v>0</v>
      </c>
      <c r="J9900">
        <v>0.99176954732510303</v>
      </c>
      <c r="K9900">
        <v>1</v>
      </c>
      <c r="L9900">
        <v>0.995867768595041</v>
      </c>
      <c r="M9900">
        <v>0.98765432098765404</v>
      </c>
      <c r="N9900">
        <v>0.98765432098765404</v>
      </c>
      <c r="O9900">
        <v>0.98765432098765404</v>
      </c>
      <c r="P9900" t="s">
        <v>20057</v>
      </c>
      <c r="Q9900" t="s">
        <v>20058</v>
      </c>
      <c r="R9900" t="s">
        <v>652</v>
      </c>
      <c r="S9900" t="s">
        <v>653</v>
      </c>
      <c r="T9900" t="s">
        <v>20059</v>
      </c>
      <c r="U9900" t="s">
        <v>20060</v>
      </c>
      <c r="V9900" t="s">
        <v>20061</v>
      </c>
      <c r="W9900" t="s">
        <v>20062</v>
      </c>
      <c r="AD9900" t="s">
        <v>7708</v>
      </c>
      <c r="AE9900" t="s">
        <v>20063</v>
      </c>
      <c r="AF9900" t="s">
        <v>20064</v>
      </c>
    </row>
    <row r="9901" spans="1:32" hidden="1" x14ac:dyDescent="0.35">
      <c r="A9901">
        <v>9900</v>
      </c>
      <c r="B9901" t="s">
        <v>20056</v>
      </c>
      <c r="C9901" t="s">
        <v>33</v>
      </c>
      <c r="D9901" t="s">
        <v>62</v>
      </c>
      <c r="E9901">
        <v>645</v>
      </c>
      <c r="F9901">
        <v>2</v>
      </c>
      <c r="G9901">
        <v>2</v>
      </c>
      <c r="H9901">
        <v>1</v>
      </c>
      <c r="I9901">
        <v>0</v>
      </c>
      <c r="J9901">
        <v>0.99176954732510303</v>
      </c>
      <c r="K9901">
        <v>1</v>
      </c>
      <c r="L9901">
        <v>0.995867768595041</v>
      </c>
      <c r="M9901">
        <v>0.98765432098765404</v>
      </c>
      <c r="N9901">
        <v>0.98765432098765404</v>
      </c>
      <c r="O9901">
        <v>0.98765432098765404</v>
      </c>
      <c r="P9901" t="s">
        <v>20057</v>
      </c>
      <c r="Q9901" t="s">
        <v>20058</v>
      </c>
      <c r="R9901" t="s">
        <v>652</v>
      </c>
      <c r="S9901" t="s">
        <v>653</v>
      </c>
      <c r="T9901" t="s">
        <v>20059</v>
      </c>
      <c r="U9901" t="s">
        <v>20060</v>
      </c>
      <c r="V9901" t="s">
        <v>20061</v>
      </c>
      <c r="W9901" t="s">
        <v>20062</v>
      </c>
      <c r="AD9901" t="s">
        <v>7708</v>
      </c>
      <c r="AE9901" t="s">
        <v>20063</v>
      </c>
      <c r="AF9901" t="s">
        <v>20065</v>
      </c>
    </row>
    <row r="9902" spans="1:32" hidden="1" x14ac:dyDescent="0.35">
      <c r="A9902">
        <v>9901</v>
      </c>
      <c r="B9902" t="s">
        <v>20066</v>
      </c>
      <c r="C9902" t="s">
        <v>33</v>
      </c>
      <c r="D9902" t="s">
        <v>60</v>
      </c>
      <c r="E9902">
        <v>756</v>
      </c>
      <c r="F9902">
        <v>2</v>
      </c>
      <c r="G9902">
        <v>2</v>
      </c>
      <c r="H9902">
        <v>1</v>
      </c>
      <c r="I9902">
        <v>0</v>
      </c>
      <c r="J9902">
        <v>0.98274672187715695</v>
      </c>
      <c r="K9902">
        <v>1</v>
      </c>
      <c r="L9902">
        <v>0.99129829446571505</v>
      </c>
      <c r="M9902">
        <v>0.97722567287784701</v>
      </c>
      <c r="N9902">
        <v>0.97722567287784701</v>
      </c>
      <c r="O9902">
        <v>0.97722567287784701</v>
      </c>
      <c r="P9902" t="s">
        <v>20067</v>
      </c>
      <c r="Q9902" t="s">
        <v>20068</v>
      </c>
      <c r="R9902" t="s">
        <v>319</v>
      </c>
      <c r="S9902" t="s">
        <v>320</v>
      </c>
      <c r="T9902" t="s">
        <v>20069</v>
      </c>
      <c r="U9902" t="s">
        <v>20070</v>
      </c>
      <c r="V9902" t="s">
        <v>20071</v>
      </c>
      <c r="W9902" t="s">
        <v>20072</v>
      </c>
      <c r="X9902" t="s">
        <v>20071</v>
      </c>
      <c r="Y9902" t="s">
        <v>10466</v>
      </c>
      <c r="AD9902" t="s">
        <v>245</v>
      </c>
      <c r="AE9902" t="s">
        <v>20073</v>
      </c>
      <c r="AF9902" t="s">
        <v>20074</v>
      </c>
    </row>
    <row r="9903" spans="1:32" hidden="1" x14ac:dyDescent="0.35">
      <c r="A9903">
        <v>9902</v>
      </c>
      <c r="B9903" t="s">
        <v>20066</v>
      </c>
      <c r="C9903" t="s">
        <v>33</v>
      </c>
      <c r="D9903" t="s">
        <v>62</v>
      </c>
      <c r="E9903">
        <v>788</v>
      </c>
      <c r="F9903">
        <v>2</v>
      </c>
      <c r="G9903">
        <v>2</v>
      </c>
      <c r="H9903">
        <v>1</v>
      </c>
      <c r="I9903">
        <v>0</v>
      </c>
      <c r="J9903">
        <v>0.98274672187715695</v>
      </c>
      <c r="K9903">
        <v>1</v>
      </c>
      <c r="L9903">
        <v>0.99129829446571505</v>
      </c>
      <c r="M9903">
        <v>0.97722567287784701</v>
      </c>
      <c r="N9903">
        <v>0.97722567287784701</v>
      </c>
      <c r="O9903">
        <v>0.97722567287784701</v>
      </c>
      <c r="P9903" t="s">
        <v>20067</v>
      </c>
      <c r="Q9903" t="s">
        <v>20068</v>
      </c>
      <c r="R9903" t="s">
        <v>319</v>
      </c>
      <c r="S9903" t="s">
        <v>320</v>
      </c>
      <c r="T9903" t="s">
        <v>20069</v>
      </c>
      <c r="U9903" t="s">
        <v>20070</v>
      </c>
      <c r="V9903" t="s">
        <v>20071</v>
      </c>
      <c r="W9903" t="s">
        <v>20072</v>
      </c>
      <c r="X9903" t="s">
        <v>20071</v>
      </c>
      <c r="Y9903" t="s">
        <v>10466</v>
      </c>
      <c r="AD9903" t="s">
        <v>245</v>
      </c>
      <c r="AE9903" t="s">
        <v>20073</v>
      </c>
      <c r="AF9903" t="s">
        <v>20075</v>
      </c>
    </row>
    <row r="9904" spans="1:32" hidden="1" x14ac:dyDescent="0.35">
      <c r="A9904">
        <v>9903</v>
      </c>
      <c r="B9904" t="s">
        <v>20076</v>
      </c>
      <c r="C9904" t="s">
        <v>33</v>
      </c>
      <c r="D9904" t="s">
        <v>60</v>
      </c>
      <c r="E9904">
        <v>1608</v>
      </c>
      <c r="F9904">
        <v>2</v>
      </c>
      <c r="G9904">
        <v>2</v>
      </c>
      <c r="H9904">
        <v>1</v>
      </c>
      <c r="I9904">
        <v>0</v>
      </c>
      <c r="J9904">
        <v>0.98945147679324896</v>
      </c>
      <c r="K9904">
        <v>1</v>
      </c>
      <c r="L9904">
        <v>0.99469777306468699</v>
      </c>
      <c r="M9904">
        <v>0.981012658227848</v>
      </c>
      <c r="N9904">
        <v>0.981012658227848</v>
      </c>
      <c r="O9904">
        <v>0.981012658227848</v>
      </c>
      <c r="P9904" t="s">
        <v>2334</v>
      </c>
      <c r="Q9904" t="s">
        <v>2335</v>
      </c>
      <c r="R9904" t="s">
        <v>157</v>
      </c>
      <c r="S9904" t="s">
        <v>158</v>
      </c>
      <c r="V9904" t="s">
        <v>2336</v>
      </c>
      <c r="W9904" t="s">
        <v>2337</v>
      </c>
      <c r="AF9904" t="s">
        <v>20077</v>
      </c>
    </row>
    <row r="9905" spans="1:32" hidden="1" x14ac:dyDescent="0.35">
      <c r="A9905">
        <v>9904</v>
      </c>
      <c r="B9905" t="s">
        <v>20076</v>
      </c>
      <c r="C9905" t="s">
        <v>33</v>
      </c>
      <c r="D9905" t="s">
        <v>62</v>
      </c>
      <c r="E9905">
        <v>1644</v>
      </c>
      <c r="F9905">
        <v>2</v>
      </c>
      <c r="G9905">
        <v>2</v>
      </c>
      <c r="H9905">
        <v>1</v>
      </c>
      <c r="I9905">
        <v>0</v>
      </c>
      <c r="J9905">
        <v>0.98945147679324896</v>
      </c>
      <c r="K9905">
        <v>1</v>
      </c>
      <c r="L9905">
        <v>0.99469777306468699</v>
      </c>
      <c r="M9905">
        <v>0.981012658227848</v>
      </c>
      <c r="N9905">
        <v>0.981012658227848</v>
      </c>
      <c r="O9905">
        <v>0.981012658227848</v>
      </c>
      <c r="P9905" t="s">
        <v>2334</v>
      </c>
      <c r="Q9905" t="s">
        <v>2335</v>
      </c>
      <c r="R9905" t="s">
        <v>157</v>
      </c>
      <c r="S9905" t="s">
        <v>158</v>
      </c>
      <c r="V9905" t="s">
        <v>2336</v>
      </c>
      <c r="W9905" t="s">
        <v>2337</v>
      </c>
      <c r="AF9905" t="s">
        <v>20078</v>
      </c>
    </row>
    <row r="9906" spans="1:32" hidden="1" x14ac:dyDescent="0.35">
      <c r="A9906">
        <v>9905</v>
      </c>
      <c r="B9906" t="s">
        <v>20079</v>
      </c>
      <c r="C9906" t="s">
        <v>33</v>
      </c>
      <c r="D9906" t="s">
        <v>34</v>
      </c>
      <c r="E9906">
        <v>1104</v>
      </c>
      <c r="F9906">
        <v>2</v>
      </c>
      <c r="G9906">
        <v>2</v>
      </c>
      <c r="H9906">
        <v>1</v>
      </c>
      <c r="I9906">
        <v>0</v>
      </c>
      <c r="J9906">
        <v>0.99561846983485003</v>
      </c>
      <c r="K9906">
        <v>1</v>
      </c>
      <c r="L9906">
        <v>0.99780442492822197</v>
      </c>
      <c r="M9906">
        <v>0.99494438827098097</v>
      </c>
      <c r="N9906">
        <v>0.99494438827098097</v>
      </c>
      <c r="O9906">
        <v>0.99494438827098097</v>
      </c>
      <c r="AF9906" t="s">
        <v>20080</v>
      </c>
    </row>
    <row r="9907" spans="1:32" hidden="1" x14ac:dyDescent="0.35">
      <c r="A9907">
        <v>9906</v>
      </c>
      <c r="B9907" t="s">
        <v>20079</v>
      </c>
      <c r="C9907" t="s">
        <v>33</v>
      </c>
      <c r="D9907" t="s">
        <v>45</v>
      </c>
      <c r="E9907">
        <v>2358</v>
      </c>
      <c r="F9907">
        <v>2</v>
      </c>
      <c r="G9907">
        <v>2</v>
      </c>
      <c r="H9907">
        <v>1</v>
      </c>
      <c r="I9907">
        <v>0</v>
      </c>
      <c r="J9907">
        <v>0.99561846983485003</v>
      </c>
      <c r="K9907">
        <v>1</v>
      </c>
      <c r="L9907">
        <v>0.99780442492822197</v>
      </c>
      <c r="M9907">
        <v>0.99494438827098097</v>
      </c>
      <c r="N9907">
        <v>0.99494438827098097</v>
      </c>
      <c r="O9907">
        <v>0.99494438827098097</v>
      </c>
      <c r="AF9907" t="s">
        <v>20081</v>
      </c>
    </row>
    <row r="9908" spans="1:32" hidden="1" x14ac:dyDescent="0.35">
      <c r="A9908">
        <v>9907</v>
      </c>
      <c r="B9908" t="s">
        <v>20082</v>
      </c>
      <c r="C9908" t="s">
        <v>33</v>
      </c>
      <c r="D9908" t="s">
        <v>34</v>
      </c>
      <c r="E9908">
        <v>1763</v>
      </c>
      <c r="F9908">
        <v>2</v>
      </c>
      <c r="G9908">
        <v>2</v>
      </c>
      <c r="H9908">
        <v>1</v>
      </c>
      <c r="I9908">
        <v>0</v>
      </c>
      <c r="J9908">
        <v>0.99129677980852904</v>
      </c>
      <c r="K9908">
        <v>1</v>
      </c>
      <c r="L9908">
        <v>0.99562937062937096</v>
      </c>
      <c r="M9908">
        <v>0.98955613577023505</v>
      </c>
      <c r="N9908">
        <v>0.98955613577023505</v>
      </c>
      <c r="O9908">
        <v>0.98955613577023505</v>
      </c>
      <c r="AF9908" t="s">
        <v>20083</v>
      </c>
    </row>
    <row r="9909" spans="1:32" hidden="1" x14ac:dyDescent="0.35">
      <c r="A9909">
        <v>9908</v>
      </c>
      <c r="B9909" t="s">
        <v>20082</v>
      </c>
      <c r="C9909" t="s">
        <v>33</v>
      </c>
      <c r="D9909" t="s">
        <v>45</v>
      </c>
      <c r="E9909">
        <v>1110</v>
      </c>
      <c r="F9909">
        <v>2</v>
      </c>
      <c r="G9909">
        <v>2</v>
      </c>
      <c r="H9909">
        <v>1</v>
      </c>
      <c r="I9909">
        <v>0</v>
      </c>
      <c r="J9909">
        <v>0.99129677980852904</v>
      </c>
      <c r="K9909">
        <v>1</v>
      </c>
      <c r="L9909">
        <v>0.99562937062937096</v>
      </c>
      <c r="M9909">
        <v>0.98955613577023505</v>
      </c>
      <c r="N9909">
        <v>0.98955613577023505</v>
      </c>
      <c r="O9909">
        <v>0.98955613577023505</v>
      </c>
      <c r="AF9909" t="s">
        <v>20084</v>
      </c>
    </row>
    <row r="9910" spans="1:32" hidden="1" x14ac:dyDescent="0.35">
      <c r="A9910">
        <v>9909</v>
      </c>
      <c r="B9910" t="s">
        <v>20085</v>
      </c>
      <c r="C9910" t="s">
        <v>33</v>
      </c>
      <c r="D9910" t="s">
        <v>34</v>
      </c>
      <c r="E9910">
        <v>707</v>
      </c>
      <c r="F9910">
        <v>2</v>
      </c>
      <c r="G9910">
        <v>2</v>
      </c>
      <c r="H9910">
        <v>1</v>
      </c>
      <c r="I9910">
        <v>0</v>
      </c>
      <c r="J9910">
        <v>0.95952380952381</v>
      </c>
      <c r="K9910">
        <v>1</v>
      </c>
      <c r="L9910">
        <v>0.97934386391251504</v>
      </c>
      <c r="M9910">
        <v>0.95</v>
      </c>
      <c r="N9910">
        <v>0.95</v>
      </c>
      <c r="O9910">
        <v>0.95</v>
      </c>
      <c r="AF9910" t="s">
        <v>20086</v>
      </c>
    </row>
    <row r="9911" spans="1:32" hidden="1" x14ac:dyDescent="0.35">
      <c r="A9911">
        <v>9910</v>
      </c>
      <c r="B9911" t="s">
        <v>20085</v>
      </c>
      <c r="C9911" t="s">
        <v>33</v>
      </c>
      <c r="D9911" t="s">
        <v>45</v>
      </c>
      <c r="E9911">
        <v>1974</v>
      </c>
      <c r="F9911">
        <v>2</v>
      </c>
      <c r="G9911">
        <v>2</v>
      </c>
      <c r="H9911">
        <v>1</v>
      </c>
      <c r="I9911">
        <v>0</v>
      </c>
      <c r="J9911">
        <v>0.95952380952381</v>
      </c>
      <c r="K9911">
        <v>1</v>
      </c>
      <c r="L9911">
        <v>0.97934386391251504</v>
      </c>
      <c r="M9911">
        <v>0.95</v>
      </c>
      <c r="N9911">
        <v>0.95</v>
      </c>
      <c r="O9911">
        <v>0.95</v>
      </c>
      <c r="AF9911" t="s">
        <v>20087</v>
      </c>
    </row>
    <row r="9912" spans="1:32" hidden="1" x14ac:dyDescent="0.35">
      <c r="A9912">
        <v>9911</v>
      </c>
      <c r="B9912" t="s">
        <v>20088</v>
      </c>
      <c r="C9912" t="s">
        <v>33</v>
      </c>
      <c r="D9912" t="s">
        <v>34</v>
      </c>
      <c r="E9912">
        <v>1754</v>
      </c>
      <c r="F9912">
        <v>2</v>
      </c>
      <c r="G9912">
        <v>2</v>
      </c>
      <c r="H9912">
        <v>1</v>
      </c>
      <c r="I9912">
        <v>0</v>
      </c>
      <c r="J9912">
        <v>0.99253731343283602</v>
      </c>
      <c r="K9912">
        <v>1</v>
      </c>
      <c r="L9912">
        <v>0.99625468164793995</v>
      </c>
      <c r="M9912">
        <v>0.98880597014925398</v>
      </c>
      <c r="N9912">
        <v>0.98880597014925398</v>
      </c>
      <c r="O9912">
        <v>0.98880597014925398</v>
      </c>
      <c r="P9912" t="s">
        <v>4167</v>
      </c>
      <c r="Q9912" t="s">
        <v>4168</v>
      </c>
      <c r="R9912" t="s">
        <v>18767</v>
      </c>
      <c r="S9912" t="s">
        <v>18768</v>
      </c>
      <c r="T9912" t="s">
        <v>18769</v>
      </c>
      <c r="U9912" t="s">
        <v>18770</v>
      </c>
      <c r="V9912" t="s">
        <v>18771</v>
      </c>
      <c r="W9912" t="s">
        <v>18772</v>
      </c>
      <c r="AD9912" t="s">
        <v>4173</v>
      </c>
      <c r="AE9912" t="s">
        <v>4174</v>
      </c>
      <c r="AF9912" t="s">
        <v>20089</v>
      </c>
    </row>
    <row r="9913" spans="1:32" hidden="1" x14ac:dyDescent="0.35">
      <c r="A9913">
        <v>9912</v>
      </c>
      <c r="B9913" t="s">
        <v>20088</v>
      </c>
      <c r="C9913" t="s">
        <v>33</v>
      </c>
      <c r="D9913" t="s">
        <v>45</v>
      </c>
      <c r="E9913">
        <v>1119</v>
      </c>
      <c r="F9913">
        <v>2</v>
      </c>
      <c r="G9913">
        <v>2</v>
      </c>
      <c r="H9913">
        <v>1</v>
      </c>
      <c r="I9913">
        <v>0</v>
      </c>
      <c r="J9913">
        <v>0.99253731343283602</v>
      </c>
      <c r="K9913">
        <v>1</v>
      </c>
      <c r="L9913">
        <v>0.99625468164793995</v>
      </c>
      <c r="M9913">
        <v>0.98880597014925398</v>
      </c>
      <c r="N9913">
        <v>0.98880597014925398</v>
      </c>
      <c r="O9913">
        <v>0.98880597014925398</v>
      </c>
      <c r="P9913" t="s">
        <v>4167</v>
      </c>
      <c r="Q9913" t="s">
        <v>4168</v>
      </c>
      <c r="R9913" t="s">
        <v>18767</v>
      </c>
      <c r="S9913" t="s">
        <v>18768</v>
      </c>
      <c r="T9913" t="s">
        <v>18769</v>
      </c>
      <c r="U9913" t="s">
        <v>18770</v>
      </c>
      <c r="V9913" t="s">
        <v>18771</v>
      </c>
      <c r="W9913" t="s">
        <v>18772</v>
      </c>
      <c r="AD9913" t="s">
        <v>4173</v>
      </c>
      <c r="AE9913" t="s">
        <v>4174</v>
      </c>
      <c r="AF9913" t="s">
        <v>20090</v>
      </c>
    </row>
    <row r="9914" spans="1:32" hidden="1" x14ac:dyDescent="0.35">
      <c r="A9914">
        <v>9913</v>
      </c>
      <c r="B9914" t="s">
        <v>20091</v>
      </c>
      <c r="C9914" t="s">
        <v>33</v>
      </c>
      <c r="D9914" t="s">
        <v>60</v>
      </c>
      <c r="E9914">
        <v>1335</v>
      </c>
      <c r="F9914">
        <v>2</v>
      </c>
      <c r="G9914">
        <v>2</v>
      </c>
      <c r="H9914">
        <v>1</v>
      </c>
      <c r="I9914">
        <v>0</v>
      </c>
      <c r="J9914">
        <v>0.85749276330438695</v>
      </c>
      <c r="K9914">
        <v>0.99800044474094796</v>
      </c>
      <c r="L9914">
        <v>0.92242661458345099</v>
      </c>
      <c r="M9914">
        <v>0.82466666666666699</v>
      </c>
      <c r="N9914">
        <v>0.82466666666666699</v>
      </c>
      <c r="O9914">
        <v>0.82466666666666699</v>
      </c>
      <c r="AF9914" t="s">
        <v>20092</v>
      </c>
    </row>
    <row r="9915" spans="1:32" hidden="1" x14ac:dyDescent="0.35">
      <c r="A9915">
        <v>9914</v>
      </c>
      <c r="B9915" t="s">
        <v>20091</v>
      </c>
      <c r="C9915" t="s">
        <v>33</v>
      </c>
      <c r="D9915" t="s">
        <v>62</v>
      </c>
      <c r="E9915">
        <v>1371</v>
      </c>
      <c r="F9915">
        <v>2</v>
      </c>
      <c r="G9915">
        <v>2</v>
      </c>
      <c r="H9915">
        <v>1</v>
      </c>
      <c r="I9915">
        <v>0</v>
      </c>
      <c r="J9915">
        <v>0.85749276330438695</v>
      </c>
      <c r="K9915">
        <v>0.99800044474094796</v>
      </c>
      <c r="L9915">
        <v>0.92242661458345099</v>
      </c>
      <c r="M9915">
        <v>0.82466666666666699</v>
      </c>
      <c r="N9915">
        <v>0.82466666666666699</v>
      </c>
      <c r="O9915">
        <v>0.82466666666666699</v>
      </c>
      <c r="AF9915" t="s">
        <v>20093</v>
      </c>
    </row>
    <row r="9916" spans="1:32" hidden="1" x14ac:dyDescent="0.35">
      <c r="A9916">
        <v>9915</v>
      </c>
      <c r="B9916" t="s">
        <v>20094</v>
      </c>
      <c r="C9916" t="s">
        <v>33</v>
      </c>
      <c r="D9916" t="s">
        <v>60</v>
      </c>
      <c r="E9916">
        <v>807</v>
      </c>
      <c r="F9916">
        <v>2</v>
      </c>
      <c r="G9916">
        <v>2</v>
      </c>
      <c r="H9916">
        <v>1</v>
      </c>
      <c r="I9916">
        <v>0</v>
      </c>
      <c r="J9916">
        <v>0.99740259740259696</v>
      </c>
      <c r="K9916">
        <v>1</v>
      </c>
      <c r="L9916">
        <v>0.99869960988296502</v>
      </c>
      <c r="M9916">
        <v>0.99740259740259696</v>
      </c>
      <c r="N9916">
        <v>0.99740259740259696</v>
      </c>
      <c r="O9916">
        <v>0.99740259740259696</v>
      </c>
      <c r="P9916" t="s">
        <v>6606</v>
      </c>
      <c r="Q9916" t="s">
        <v>6607</v>
      </c>
      <c r="R9916" t="s">
        <v>1191</v>
      </c>
      <c r="S9916" t="s">
        <v>1192</v>
      </c>
      <c r="T9916" t="s">
        <v>6602</v>
      </c>
      <c r="U9916" t="s">
        <v>6603</v>
      </c>
      <c r="V9916" t="s">
        <v>6600</v>
      </c>
      <c r="W9916" t="s">
        <v>6601</v>
      </c>
      <c r="AD9916" t="s">
        <v>1998</v>
      </c>
      <c r="AE9916" t="s">
        <v>6604</v>
      </c>
      <c r="AF9916" t="s">
        <v>20095</v>
      </c>
    </row>
    <row r="9917" spans="1:32" hidden="1" x14ac:dyDescent="0.35">
      <c r="A9917">
        <v>9916</v>
      </c>
      <c r="B9917" t="s">
        <v>20094</v>
      </c>
      <c r="C9917" t="s">
        <v>33</v>
      </c>
      <c r="D9917" t="s">
        <v>62</v>
      </c>
      <c r="E9917">
        <v>840</v>
      </c>
      <c r="F9917">
        <v>2</v>
      </c>
      <c r="G9917">
        <v>2</v>
      </c>
      <c r="H9917">
        <v>1</v>
      </c>
      <c r="I9917">
        <v>0</v>
      </c>
      <c r="J9917">
        <v>0.99740259740259696</v>
      </c>
      <c r="K9917">
        <v>1</v>
      </c>
      <c r="L9917">
        <v>0.99869960988296502</v>
      </c>
      <c r="M9917">
        <v>0.99740259740259696</v>
      </c>
      <c r="N9917">
        <v>0.99740259740259696</v>
      </c>
      <c r="O9917">
        <v>0.99740259740259696</v>
      </c>
      <c r="P9917" t="s">
        <v>6606</v>
      </c>
      <c r="Q9917" t="s">
        <v>6607</v>
      </c>
      <c r="R9917" t="s">
        <v>1191</v>
      </c>
      <c r="S9917" t="s">
        <v>1192</v>
      </c>
      <c r="T9917" t="s">
        <v>6602</v>
      </c>
      <c r="U9917" t="s">
        <v>6603</v>
      </c>
      <c r="V9917" t="s">
        <v>6600</v>
      </c>
      <c r="W9917" t="s">
        <v>6601</v>
      </c>
      <c r="AD9917" t="s">
        <v>1998</v>
      </c>
      <c r="AE9917" t="s">
        <v>6604</v>
      </c>
      <c r="AF9917" t="s">
        <v>20096</v>
      </c>
    </row>
    <row r="9918" spans="1:32" hidden="1" x14ac:dyDescent="0.35">
      <c r="A9918">
        <v>9917</v>
      </c>
      <c r="B9918" t="s">
        <v>20097</v>
      </c>
      <c r="C9918" t="s">
        <v>33</v>
      </c>
      <c r="D9918" t="s">
        <v>60</v>
      </c>
      <c r="E9918">
        <v>497</v>
      </c>
      <c r="F9918">
        <v>2</v>
      </c>
      <c r="G9918">
        <v>2</v>
      </c>
      <c r="H9918">
        <v>1</v>
      </c>
      <c r="I9918">
        <v>0</v>
      </c>
      <c r="J9918">
        <v>0.99120234604105595</v>
      </c>
      <c r="K9918">
        <v>1</v>
      </c>
      <c r="L9918">
        <v>0.99558173784977899</v>
      </c>
      <c r="M9918">
        <v>0.99120234604105595</v>
      </c>
      <c r="N9918">
        <v>0.99120234604105595</v>
      </c>
      <c r="O9918">
        <v>0.99120234604105595</v>
      </c>
      <c r="AF9918" t="s">
        <v>20098</v>
      </c>
    </row>
    <row r="9919" spans="1:32" hidden="1" x14ac:dyDescent="0.35">
      <c r="A9919">
        <v>9918</v>
      </c>
      <c r="B9919" t="s">
        <v>20097</v>
      </c>
      <c r="C9919" t="s">
        <v>33</v>
      </c>
      <c r="D9919" t="s">
        <v>62</v>
      </c>
      <c r="E9919">
        <v>580</v>
      </c>
      <c r="F9919">
        <v>2</v>
      </c>
      <c r="G9919">
        <v>2</v>
      </c>
      <c r="H9919">
        <v>1</v>
      </c>
      <c r="I9919">
        <v>0</v>
      </c>
      <c r="J9919">
        <v>0.99120234604105595</v>
      </c>
      <c r="K9919">
        <v>1</v>
      </c>
      <c r="L9919">
        <v>0.99558173784977899</v>
      </c>
      <c r="M9919">
        <v>0.99120234604105595</v>
      </c>
      <c r="N9919">
        <v>0.99120234604105595</v>
      </c>
      <c r="O9919">
        <v>0.99120234604105595</v>
      </c>
      <c r="AF9919" t="s">
        <v>20099</v>
      </c>
    </row>
    <row r="9920" spans="1:32" hidden="1" x14ac:dyDescent="0.35">
      <c r="A9920">
        <v>9919</v>
      </c>
      <c r="B9920" t="s">
        <v>20100</v>
      </c>
      <c r="C9920" t="s">
        <v>33</v>
      </c>
      <c r="D9920" t="s">
        <v>34</v>
      </c>
      <c r="E9920">
        <v>1432</v>
      </c>
      <c r="F9920">
        <v>2</v>
      </c>
      <c r="G9920">
        <v>2</v>
      </c>
      <c r="H9920">
        <v>1</v>
      </c>
      <c r="I9920">
        <v>0</v>
      </c>
      <c r="J9920">
        <v>0.99800876144962203</v>
      </c>
      <c r="K9920">
        <v>1</v>
      </c>
      <c r="L9920">
        <v>0.99900338847917103</v>
      </c>
      <c r="M9920">
        <v>0.99641577060931896</v>
      </c>
      <c r="N9920">
        <v>0.99641577060931896</v>
      </c>
      <c r="O9920">
        <v>0.99641577060931896</v>
      </c>
      <c r="AF9920" t="s">
        <v>20101</v>
      </c>
    </row>
    <row r="9921" spans="1:32" hidden="1" x14ac:dyDescent="0.35">
      <c r="A9921">
        <v>9920</v>
      </c>
      <c r="B9921" t="s">
        <v>20100</v>
      </c>
      <c r="C9921" t="s">
        <v>33</v>
      </c>
      <c r="D9921" t="s">
        <v>45</v>
      </c>
      <c r="E9921">
        <v>183</v>
      </c>
      <c r="F9921">
        <v>2</v>
      </c>
      <c r="G9921">
        <v>2</v>
      </c>
      <c r="H9921">
        <v>1</v>
      </c>
      <c r="I9921">
        <v>0</v>
      </c>
      <c r="J9921">
        <v>0.99800876144962203</v>
      </c>
      <c r="K9921">
        <v>1</v>
      </c>
      <c r="L9921">
        <v>0.99900338847917103</v>
      </c>
      <c r="M9921">
        <v>0.99641577060931896</v>
      </c>
      <c r="N9921">
        <v>0.99641577060931896</v>
      </c>
      <c r="O9921">
        <v>0.99641577060931896</v>
      </c>
      <c r="AF9921" t="s">
        <v>20102</v>
      </c>
    </row>
    <row r="9922" spans="1:32" hidden="1" x14ac:dyDescent="0.35">
      <c r="A9922">
        <v>9921</v>
      </c>
      <c r="B9922" t="s">
        <v>20103</v>
      </c>
      <c r="C9922" t="s">
        <v>33</v>
      </c>
      <c r="D9922" t="s">
        <v>34</v>
      </c>
      <c r="E9922">
        <v>1423</v>
      </c>
      <c r="F9922">
        <v>2</v>
      </c>
      <c r="G9922">
        <v>2</v>
      </c>
      <c r="H9922">
        <v>1</v>
      </c>
      <c r="I9922">
        <v>0</v>
      </c>
      <c r="J9922">
        <v>0.99213551119177301</v>
      </c>
      <c r="K9922">
        <v>0.99281230689173305</v>
      </c>
      <c r="L9922">
        <v>0.99247379366027599</v>
      </c>
      <c r="M9922">
        <v>0.98378378378378395</v>
      </c>
      <c r="N9922">
        <v>0.98378378378378395</v>
      </c>
      <c r="O9922">
        <v>0.98378378378378395</v>
      </c>
      <c r="AF9922" t="s">
        <v>20104</v>
      </c>
    </row>
    <row r="9923" spans="1:32" hidden="1" x14ac:dyDescent="0.35">
      <c r="A9923">
        <v>9922</v>
      </c>
      <c r="B9923" t="s">
        <v>20103</v>
      </c>
      <c r="C9923" t="s">
        <v>33</v>
      </c>
      <c r="D9923" t="s">
        <v>45</v>
      </c>
      <c r="E9923">
        <v>174</v>
      </c>
      <c r="F9923">
        <v>2</v>
      </c>
      <c r="G9923">
        <v>2</v>
      </c>
      <c r="H9923">
        <v>1</v>
      </c>
      <c r="I9923">
        <v>0</v>
      </c>
      <c r="J9923">
        <v>0.99213551119177301</v>
      </c>
      <c r="K9923">
        <v>0.99281230689173305</v>
      </c>
      <c r="L9923">
        <v>0.99247379366027599</v>
      </c>
      <c r="M9923">
        <v>0.98378378378378395</v>
      </c>
      <c r="N9923">
        <v>0.98378378378378395</v>
      </c>
      <c r="O9923">
        <v>0.98378378378378395</v>
      </c>
      <c r="AF9923" t="s">
        <v>20105</v>
      </c>
    </row>
    <row r="9924" spans="1:32" hidden="1" x14ac:dyDescent="0.35">
      <c r="A9924">
        <v>9923</v>
      </c>
      <c r="B9924" t="s">
        <v>20106</v>
      </c>
      <c r="C9924" t="s">
        <v>33</v>
      </c>
      <c r="D9924" t="s">
        <v>60</v>
      </c>
      <c r="E9924">
        <v>1655</v>
      </c>
      <c r="F9924">
        <v>2</v>
      </c>
      <c r="G9924">
        <v>2</v>
      </c>
      <c r="H9924">
        <v>1</v>
      </c>
      <c r="I9924">
        <v>0</v>
      </c>
      <c r="J9924">
        <v>0.98392282958199395</v>
      </c>
      <c r="K9924">
        <v>1</v>
      </c>
      <c r="L9924">
        <v>0.99189627228525101</v>
      </c>
      <c r="M9924">
        <v>0.977491961414791</v>
      </c>
      <c r="N9924">
        <v>0.977491961414791</v>
      </c>
      <c r="O9924">
        <v>0.977491961414791</v>
      </c>
      <c r="P9924" t="s">
        <v>10654</v>
      </c>
      <c r="Q9924" t="s">
        <v>10655</v>
      </c>
      <c r="R9924" t="s">
        <v>4891</v>
      </c>
      <c r="S9924" t="s">
        <v>4892</v>
      </c>
      <c r="V9924" t="s">
        <v>4895</v>
      </c>
      <c r="W9924" t="s">
        <v>4896</v>
      </c>
      <c r="AF9924" t="s">
        <v>20107</v>
      </c>
    </row>
    <row r="9925" spans="1:32" hidden="1" x14ac:dyDescent="0.35">
      <c r="A9925">
        <v>9924</v>
      </c>
      <c r="B9925" t="s">
        <v>20106</v>
      </c>
      <c r="C9925" t="s">
        <v>33</v>
      </c>
      <c r="D9925" t="s">
        <v>62</v>
      </c>
      <c r="E9925">
        <v>1690</v>
      </c>
      <c r="F9925">
        <v>2</v>
      </c>
      <c r="G9925">
        <v>2</v>
      </c>
      <c r="H9925">
        <v>1</v>
      </c>
      <c r="I9925">
        <v>0</v>
      </c>
      <c r="J9925">
        <v>0.98392282958199395</v>
      </c>
      <c r="K9925">
        <v>1</v>
      </c>
      <c r="L9925">
        <v>0.99189627228525101</v>
      </c>
      <c r="M9925">
        <v>0.977491961414791</v>
      </c>
      <c r="N9925">
        <v>0.977491961414791</v>
      </c>
      <c r="O9925">
        <v>0.977491961414791</v>
      </c>
      <c r="P9925" t="s">
        <v>10654</v>
      </c>
      <c r="Q9925" t="s">
        <v>10655</v>
      </c>
      <c r="R9925" t="s">
        <v>4891</v>
      </c>
      <c r="S9925" t="s">
        <v>4892</v>
      </c>
      <c r="V9925" t="s">
        <v>4895</v>
      </c>
      <c r="W9925" t="s">
        <v>4896</v>
      </c>
      <c r="AF9925" t="s">
        <v>20108</v>
      </c>
    </row>
    <row r="9926" spans="1:32" hidden="1" x14ac:dyDescent="0.35">
      <c r="A9926">
        <v>9925</v>
      </c>
      <c r="B9926" t="s">
        <v>20109</v>
      </c>
      <c r="C9926" t="s">
        <v>33</v>
      </c>
      <c r="D9926" t="s">
        <v>60</v>
      </c>
      <c r="E9926">
        <v>188</v>
      </c>
      <c r="F9926">
        <v>2</v>
      </c>
      <c r="G9926">
        <v>2</v>
      </c>
      <c r="H9926">
        <v>1</v>
      </c>
      <c r="I9926">
        <v>0</v>
      </c>
      <c r="J9926">
        <v>0.95360824742268002</v>
      </c>
      <c r="K9926">
        <v>1</v>
      </c>
      <c r="L9926">
        <v>0.97625329815303397</v>
      </c>
      <c r="M9926">
        <v>0.95360824742268002</v>
      </c>
      <c r="N9926">
        <v>0.95360824742268002</v>
      </c>
      <c r="O9926">
        <v>0.95360824742268002</v>
      </c>
      <c r="AF9926" t="s">
        <v>20110</v>
      </c>
    </row>
    <row r="9927" spans="1:32" hidden="1" x14ac:dyDescent="0.35">
      <c r="A9927">
        <v>9926</v>
      </c>
      <c r="B9927" t="s">
        <v>20109</v>
      </c>
      <c r="C9927" t="s">
        <v>33</v>
      </c>
      <c r="D9927" t="s">
        <v>62</v>
      </c>
      <c r="E9927">
        <v>264</v>
      </c>
      <c r="F9927">
        <v>2</v>
      </c>
      <c r="G9927">
        <v>2</v>
      </c>
      <c r="H9927">
        <v>1</v>
      </c>
      <c r="I9927">
        <v>0</v>
      </c>
      <c r="J9927">
        <v>0.95360824742268002</v>
      </c>
      <c r="K9927">
        <v>1</v>
      </c>
      <c r="L9927">
        <v>0.97625329815303397</v>
      </c>
      <c r="M9927">
        <v>0.95360824742268002</v>
      </c>
      <c r="N9927">
        <v>0.95360824742268002</v>
      </c>
      <c r="O9927">
        <v>0.95360824742268002</v>
      </c>
      <c r="AF9927" t="s">
        <v>20111</v>
      </c>
    </row>
    <row r="9928" spans="1:32" hidden="1" x14ac:dyDescent="0.35">
      <c r="A9928">
        <v>9927</v>
      </c>
      <c r="B9928" t="s">
        <v>20112</v>
      </c>
      <c r="C9928" t="s">
        <v>33</v>
      </c>
      <c r="D9928" t="s">
        <v>34</v>
      </c>
      <c r="E9928">
        <v>2001</v>
      </c>
      <c r="F9928">
        <v>2</v>
      </c>
      <c r="G9928">
        <v>2</v>
      </c>
      <c r="H9928">
        <v>1</v>
      </c>
      <c r="I9928">
        <v>0</v>
      </c>
      <c r="J9928">
        <v>0.98753894080996896</v>
      </c>
      <c r="K9928">
        <v>0.629209387104124</v>
      </c>
      <c r="L9928">
        <v>0.76866480819581595</v>
      </c>
      <c r="M9928">
        <v>0.5</v>
      </c>
      <c r="N9928">
        <v>0.5</v>
      </c>
      <c r="O9928">
        <v>0.5</v>
      </c>
      <c r="P9928" t="s">
        <v>2334</v>
      </c>
      <c r="Q9928" t="s">
        <v>2335</v>
      </c>
      <c r="R9928" t="s">
        <v>157</v>
      </c>
      <c r="S9928" t="s">
        <v>158</v>
      </c>
      <c r="V9928" t="s">
        <v>2336</v>
      </c>
      <c r="W9928" t="s">
        <v>2337</v>
      </c>
      <c r="AF9928" t="s">
        <v>20113</v>
      </c>
    </row>
    <row r="9929" spans="1:32" hidden="1" x14ac:dyDescent="0.35">
      <c r="A9929">
        <v>9928</v>
      </c>
      <c r="B9929" t="s">
        <v>20112</v>
      </c>
      <c r="C9929" t="s">
        <v>33</v>
      </c>
      <c r="D9929" t="s">
        <v>45</v>
      </c>
      <c r="E9929">
        <v>871</v>
      </c>
      <c r="F9929">
        <v>2</v>
      </c>
      <c r="G9929">
        <v>2</v>
      </c>
      <c r="H9929">
        <v>1</v>
      </c>
      <c r="I9929">
        <v>0</v>
      </c>
      <c r="J9929">
        <v>0.98753894080996896</v>
      </c>
      <c r="K9929">
        <v>0.629209387104124</v>
      </c>
      <c r="L9929">
        <v>0.76866480819581595</v>
      </c>
      <c r="M9929">
        <v>0.5</v>
      </c>
      <c r="N9929">
        <v>0.5</v>
      </c>
      <c r="O9929">
        <v>0.5</v>
      </c>
      <c r="P9929" t="s">
        <v>2334</v>
      </c>
      <c r="Q9929" t="s">
        <v>2335</v>
      </c>
      <c r="R9929" t="s">
        <v>157</v>
      </c>
      <c r="S9929" t="s">
        <v>158</v>
      </c>
      <c r="V9929" t="s">
        <v>2336</v>
      </c>
      <c r="W9929" t="s">
        <v>2337</v>
      </c>
      <c r="AF9929" t="e">
        <f>-------------------------------------------------------------------------------------------------------MDLEAAPTDPIYAAGDGTVIYAGILAGIPTVSIEHPGGLRTTYQPVLPLVAVGDTVTGQQPIGTLAPGGTHGYPGLQWGAKFGADDYINPLTLLPAPVIRLKPPPSA</f>
        <v>#NAME?</v>
      </c>
    </row>
    <row r="9930" spans="1:32" hidden="1" x14ac:dyDescent="0.35">
      <c r="A9930">
        <v>9929</v>
      </c>
      <c r="B9930" t="s">
        <v>20114</v>
      </c>
      <c r="C9930" t="s">
        <v>33</v>
      </c>
      <c r="D9930" t="s">
        <v>60</v>
      </c>
      <c r="E9930">
        <v>10</v>
      </c>
      <c r="F9930">
        <v>2</v>
      </c>
      <c r="G9930">
        <v>2</v>
      </c>
      <c r="H9930">
        <v>1</v>
      </c>
      <c r="I9930">
        <v>0</v>
      </c>
      <c r="J9930">
        <v>0.93666666666666698</v>
      </c>
      <c r="K9930">
        <v>1</v>
      </c>
      <c r="L9930">
        <v>0.96729776247848498</v>
      </c>
      <c r="M9930">
        <v>0.91</v>
      </c>
      <c r="N9930">
        <v>0.91</v>
      </c>
      <c r="O9930">
        <v>0.91</v>
      </c>
      <c r="AF9930" t="s">
        <v>20115</v>
      </c>
    </row>
    <row r="9931" spans="1:32" hidden="1" x14ac:dyDescent="0.35">
      <c r="A9931">
        <v>9930</v>
      </c>
      <c r="B9931" t="s">
        <v>20114</v>
      </c>
      <c r="C9931" t="s">
        <v>33</v>
      </c>
      <c r="D9931" t="s">
        <v>62</v>
      </c>
      <c r="E9931">
        <v>89</v>
      </c>
      <c r="F9931">
        <v>2</v>
      </c>
      <c r="G9931">
        <v>2</v>
      </c>
      <c r="H9931">
        <v>1</v>
      </c>
      <c r="I9931">
        <v>0</v>
      </c>
      <c r="J9931">
        <v>0.93666666666666698</v>
      </c>
      <c r="K9931">
        <v>1</v>
      </c>
      <c r="L9931">
        <v>0.96729776247848498</v>
      </c>
      <c r="M9931">
        <v>0.91</v>
      </c>
      <c r="N9931">
        <v>0.91</v>
      </c>
      <c r="O9931">
        <v>0.91</v>
      </c>
      <c r="AF9931" t="s">
        <v>20116</v>
      </c>
    </row>
    <row r="9932" spans="1:32" hidden="1" x14ac:dyDescent="0.35">
      <c r="A9932">
        <v>9931</v>
      </c>
      <c r="B9932" t="s">
        <v>20117</v>
      </c>
      <c r="C9932" t="s">
        <v>33</v>
      </c>
      <c r="D9932" t="s">
        <v>60</v>
      </c>
      <c r="E9932">
        <v>1519</v>
      </c>
      <c r="F9932">
        <v>2</v>
      </c>
      <c r="G9932">
        <v>2</v>
      </c>
      <c r="H9932">
        <v>1</v>
      </c>
      <c r="I9932">
        <v>0</v>
      </c>
      <c r="J9932">
        <v>0.99067599067599099</v>
      </c>
      <c r="K9932">
        <v>1</v>
      </c>
      <c r="L9932">
        <v>0.99531615925058503</v>
      </c>
      <c r="M9932">
        <v>0.98601398601398604</v>
      </c>
      <c r="N9932">
        <v>0.98601398601398604</v>
      </c>
      <c r="O9932">
        <v>0.98601398601398604</v>
      </c>
      <c r="P9932" t="s">
        <v>1531</v>
      </c>
      <c r="Q9932" t="s">
        <v>1532</v>
      </c>
      <c r="R9932" t="s">
        <v>19294</v>
      </c>
      <c r="S9932" t="s">
        <v>19295</v>
      </c>
      <c r="V9932" t="s">
        <v>20118</v>
      </c>
      <c r="W9932" t="s">
        <v>20119</v>
      </c>
      <c r="AF9932" t="s">
        <v>20120</v>
      </c>
    </row>
    <row r="9933" spans="1:32" hidden="1" x14ac:dyDescent="0.35">
      <c r="A9933">
        <v>9932</v>
      </c>
      <c r="B9933" t="s">
        <v>20117</v>
      </c>
      <c r="C9933" t="s">
        <v>33</v>
      </c>
      <c r="D9933" t="s">
        <v>62</v>
      </c>
      <c r="E9933">
        <v>1554</v>
      </c>
      <c r="F9933">
        <v>2</v>
      </c>
      <c r="G9933">
        <v>2</v>
      </c>
      <c r="H9933">
        <v>1</v>
      </c>
      <c r="I9933">
        <v>0</v>
      </c>
      <c r="J9933">
        <v>0.99067599067599099</v>
      </c>
      <c r="K9933">
        <v>1</v>
      </c>
      <c r="L9933">
        <v>0.99531615925058503</v>
      </c>
      <c r="M9933">
        <v>0.98601398601398604</v>
      </c>
      <c r="N9933">
        <v>0.98601398601398604</v>
      </c>
      <c r="O9933">
        <v>0.98601398601398604</v>
      </c>
      <c r="P9933" t="s">
        <v>1531</v>
      </c>
      <c r="Q9933" t="s">
        <v>1532</v>
      </c>
      <c r="R9933" t="s">
        <v>19294</v>
      </c>
      <c r="S9933" t="s">
        <v>19295</v>
      </c>
      <c r="V9933" t="s">
        <v>20118</v>
      </c>
      <c r="W9933" t="s">
        <v>20119</v>
      </c>
      <c r="AF9933" t="s">
        <v>20121</v>
      </c>
    </row>
    <row r="9934" spans="1:32" hidden="1" x14ac:dyDescent="0.35">
      <c r="A9934">
        <v>9933</v>
      </c>
      <c r="B9934" t="s">
        <v>20122</v>
      </c>
      <c r="C9934" t="s">
        <v>33</v>
      </c>
      <c r="D9934" t="s">
        <v>34</v>
      </c>
      <c r="E9934">
        <v>1250</v>
      </c>
      <c r="F9934">
        <v>2</v>
      </c>
      <c r="G9934">
        <v>2</v>
      </c>
      <c r="H9934">
        <v>1</v>
      </c>
      <c r="I9934">
        <v>0</v>
      </c>
      <c r="J9934">
        <v>0.87820512820512797</v>
      </c>
      <c r="K9934">
        <v>0.96080607558180298</v>
      </c>
      <c r="L9934">
        <v>0.91765055161060805</v>
      </c>
      <c r="M9934">
        <v>0.83113456464379898</v>
      </c>
      <c r="N9934">
        <v>0.83113456464379898</v>
      </c>
      <c r="O9934">
        <v>0.83113456464379898</v>
      </c>
      <c r="P9934" t="s">
        <v>12924</v>
      </c>
      <c r="Q9934" t="s">
        <v>12925</v>
      </c>
      <c r="AF9934" t="s">
        <v>20123</v>
      </c>
    </row>
    <row r="9935" spans="1:32" hidden="1" x14ac:dyDescent="0.35">
      <c r="A9935">
        <v>9934</v>
      </c>
      <c r="B9935" t="s">
        <v>20122</v>
      </c>
      <c r="C9935" t="s">
        <v>33</v>
      </c>
      <c r="D9935" t="s">
        <v>45</v>
      </c>
      <c r="E9935">
        <v>2494</v>
      </c>
      <c r="F9935">
        <v>2</v>
      </c>
      <c r="G9935">
        <v>2</v>
      </c>
      <c r="H9935">
        <v>1</v>
      </c>
      <c r="I9935">
        <v>0</v>
      </c>
      <c r="J9935">
        <v>0.87820512820512797</v>
      </c>
      <c r="K9935">
        <v>0.96080607558180298</v>
      </c>
      <c r="L9935">
        <v>0.91765055161060805</v>
      </c>
      <c r="M9935">
        <v>0.83113456464379898</v>
      </c>
      <c r="N9935">
        <v>0.83113456464379898</v>
      </c>
      <c r="O9935">
        <v>0.83113456464379898</v>
      </c>
      <c r="P9935" t="s">
        <v>12924</v>
      </c>
      <c r="Q9935" t="s">
        <v>12925</v>
      </c>
      <c r="AF9935" t="s">
        <v>20124</v>
      </c>
    </row>
    <row r="9936" spans="1:32" hidden="1" x14ac:dyDescent="0.35">
      <c r="A9936">
        <v>9935</v>
      </c>
      <c r="B9936" t="s">
        <v>20125</v>
      </c>
      <c r="C9936" t="s">
        <v>33</v>
      </c>
      <c r="D9936" t="s">
        <v>34</v>
      </c>
      <c r="E9936">
        <v>1132</v>
      </c>
      <c r="F9936">
        <v>2</v>
      </c>
      <c r="G9936">
        <v>2</v>
      </c>
      <c r="H9936">
        <v>1</v>
      </c>
      <c r="I9936">
        <v>0</v>
      </c>
      <c r="J9936">
        <v>0.98787878787878802</v>
      </c>
      <c r="K9936">
        <v>1</v>
      </c>
      <c r="L9936">
        <v>0.99390243902439002</v>
      </c>
      <c r="M9936">
        <v>0.98181818181818203</v>
      </c>
      <c r="N9936">
        <v>0.98181818181818203</v>
      </c>
      <c r="O9936">
        <v>0.98181818181818203</v>
      </c>
      <c r="P9936" t="s">
        <v>11578</v>
      </c>
      <c r="Q9936" t="s">
        <v>11579</v>
      </c>
      <c r="R9936" t="s">
        <v>288</v>
      </c>
      <c r="S9936" t="s">
        <v>289</v>
      </c>
      <c r="V9936" t="s">
        <v>11580</v>
      </c>
      <c r="W9936" t="s">
        <v>11581</v>
      </c>
      <c r="AF9936" t="s">
        <v>20126</v>
      </c>
    </row>
    <row r="9937" spans="1:32" hidden="1" x14ac:dyDescent="0.35">
      <c r="A9937">
        <v>9936</v>
      </c>
      <c r="B9937" t="s">
        <v>20125</v>
      </c>
      <c r="C9937" t="s">
        <v>33</v>
      </c>
      <c r="D9937" t="s">
        <v>45</v>
      </c>
      <c r="E9937">
        <v>2382</v>
      </c>
      <c r="F9937">
        <v>2</v>
      </c>
      <c r="G9937">
        <v>2</v>
      </c>
      <c r="H9937">
        <v>1</v>
      </c>
      <c r="I9937">
        <v>0</v>
      </c>
      <c r="J9937">
        <v>0.98787878787878802</v>
      </c>
      <c r="K9937">
        <v>1</v>
      </c>
      <c r="L9937">
        <v>0.99390243902439002</v>
      </c>
      <c r="M9937">
        <v>0.98181818181818203</v>
      </c>
      <c r="N9937">
        <v>0.98181818181818203</v>
      </c>
      <c r="O9937">
        <v>0.98181818181818203</v>
      </c>
      <c r="P9937" t="s">
        <v>11578</v>
      </c>
      <c r="Q9937" t="s">
        <v>11579</v>
      </c>
      <c r="R9937" t="s">
        <v>288</v>
      </c>
      <c r="S9937" t="s">
        <v>289</v>
      </c>
      <c r="V9937" t="s">
        <v>11580</v>
      </c>
      <c r="W9937" t="s">
        <v>11581</v>
      </c>
      <c r="AF9937" t="s">
        <v>20127</v>
      </c>
    </row>
    <row r="9938" spans="1:32" hidden="1" x14ac:dyDescent="0.35">
      <c r="A9938">
        <v>9937</v>
      </c>
      <c r="B9938" t="s">
        <v>20128</v>
      </c>
      <c r="C9938" t="s">
        <v>33</v>
      </c>
      <c r="D9938" t="s">
        <v>34</v>
      </c>
      <c r="E9938">
        <v>1012</v>
      </c>
      <c r="F9938">
        <v>2</v>
      </c>
      <c r="G9938">
        <v>2</v>
      </c>
      <c r="H9938">
        <v>1</v>
      </c>
      <c r="I9938">
        <v>0</v>
      </c>
      <c r="J9938">
        <v>0.96817820206841698</v>
      </c>
      <c r="K9938">
        <v>0.95130385487528701</v>
      </c>
      <c r="L9938">
        <v>0.95966685648567296</v>
      </c>
      <c r="M9938">
        <v>0.90929705215419498</v>
      </c>
      <c r="N9938">
        <v>0.90929705215419498</v>
      </c>
      <c r="O9938">
        <v>0.90929705215419498</v>
      </c>
      <c r="P9938" t="s">
        <v>4358</v>
      </c>
      <c r="Q9938" t="s">
        <v>4359</v>
      </c>
      <c r="R9938" t="s">
        <v>319</v>
      </c>
      <c r="S9938" t="s">
        <v>320</v>
      </c>
      <c r="V9938" t="s">
        <v>4360</v>
      </c>
      <c r="W9938" t="s">
        <v>4361</v>
      </c>
      <c r="AF9938" t="s">
        <v>20129</v>
      </c>
    </row>
    <row r="9939" spans="1:32" hidden="1" x14ac:dyDescent="0.35">
      <c r="A9939">
        <v>9938</v>
      </c>
      <c r="B9939" t="s">
        <v>20128</v>
      </c>
      <c r="C9939" t="s">
        <v>33</v>
      </c>
      <c r="D9939" t="s">
        <v>45</v>
      </c>
      <c r="E9939">
        <v>2266</v>
      </c>
      <c r="F9939">
        <v>2</v>
      </c>
      <c r="G9939">
        <v>2</v>
      </c>
      <c r="H9939">
        <v>1</v>
      </c>
      <c r="I9939">
        <v>0</v>
      </c>
      <c r="J9939">
        <v>0.96817820206841698</v>
      </c>
      <c r="K9939">
        <v>0.95130385487528701</v>
      </c>
      <c r="L9939">
        <v>0.95966685648567296</v>
      </c>
      <c r="M9939">
        <v>0.90929705215419498</v>
      </c>
      <c r="N9939">
        <v>0.90929705215419498</v>
      </c>
      <c r="O9939">
        <v>0.90929705215419498</v>
      </c>
      <c r="P9939" t="s">
        <v>4358</v>
      </c>
      <c r="Q9939" t="s">
        <v>4359</v>
      </c>
      <c r="AF9939" t="s">
        <v>20130</v>
      </c>
    </row>
    <row r="9940" spans="1:32" hidden="1" x14ac:dyDescent="0.35">
      <c r="A9940">
        <v>9939</v>
      </c>
      <c r="B9940" t="s">
        <v>20131</v>
      </c>
      <c r="C9940" t="s">
        <v>33</v>
      </c>
      <c r="D9940" t="s">
        <v>34</v>
      </c>
      <c r="E9940">
        <v>877</v>
      </c>
      <c r="F9940">
        <v>2</v>
      </c>
      <c r="G9940">
        <v>2</v>
      </c>
      <c r="H9940">
        <v>1</v>
      </c>
      <c r="I9940">
        <v>0</v>
      </c>
      <c r="J9940">
        <v>0.99767981438515096</v>
      </c>
      <c r="K9940">
        <v>1</v>
      </c>
      <c r="L9940">
        <v>0.99883855981417002</v>
      </c>
      <c r="M9940">
        <v>0.99767981438515096</v>
      </c>
      <c r="N9940">
        <v>0.99767981438515096</v>
      </c>
      <c r="O9940">
        <v>0.99767981438515096</v>
      </c>
      <c r="AF9940" t="s">
        <v>20132</v>
      </c>
    </row>
    <row r="9941" spans="1:32" hidden="1" x14ac:dyDescent="0.35">
      <c r="A9941">
        <v>9940</v>
      </c>
      <c r="B9941" t="s">
        <v>20131</v>
      </c>
      <c r="C9941" t="s">
        <v>33</v>
      </c>
      <c r="D9941" t="s">
        <v>45</v>
      </c>
      <c r="E9941">
        <v>2134</v>
      </c>
      <c r="F9941">
        <v>2</v>
      </c>
      <c r="G9941">
        <v>2</v>
      </c>
      <c r="H9941">
        <v>1</v>
      </c>
      <c r="I9941">
        <v>0</v>
      </c>
      <c r="J9941">
        <v>0.99767981438515096</v>
      </c>
      <c r="K9941">
        <v>1</v>
      </c>
      <c r="L9941">
        <v>0.99883855981417002</v>
      </c>
      <c r="M9941">
        <v>0.99767981438515096</v>
      </c>
      <c r="N9941">
        <v>0.99767981438515096</v>
      </c>
      <c r="O9941">
        <v>0.99767981438515096</v>
      </c>
      <c r="AF9941" t="s">
        <v>20133</v>
      </c>
    </row>
    <row r="9942" spans="1:32" hidden="1" x14ac:dyDescent="0.35">
      <c r="A9942">
        <v>9941</v>
      </c>
      <c r="B9942" t="s">
        <v>20134</v>
      </c>
      <c r="C9942" t="s">
        <v>33</v>
      </c>
      <c r="D9942" t="s">
        <v>60</v>
      </c>
      <c r="E9942">
        <v>1754</v>
      </c>
      <c r="F9942">
        <v>2</v>
      </c>
      <c r="G9942">
        <v>2</v>
      </c>
      <c r="H9942">
        <v>1</v>
      </c>
      <c r="I9942">
        <v>0</v>
      </c>
      <c r="J9942">
        <v>0.99433828733191798</v>
      </c>
      <c r="K9942">
        <v>1</v>
      </c>
      <c r="L9942">
        <v>0.99716110716820405</v>
      </c>
      <c r="M9942">
        <v>0.99150743099787697</v>
      </c>
      <c r="N9942">
        <v>0.99150743099787697</v>
      </c>
      <c r="O9942">
        <v>0.99150743099787697</v>
      </c>
      <c r="P9942" t="s">
        <v>6293</v>
      </c>
      <c r="Q9942" t="s">
        <v>6294</v>
      </c>
      <c r="R9942" t="s">
        <v>157</v>
      </c>
      <c r="S9942" t="s">
        <v>158</v>
      </c>
      <c r="T9942" t="s">
        <v>17554</v>
      </c>
      <c r="U9942" t="s">
        <v>17555</v>
      </c>
      <c r="V9942" t="s">
        <v>17556</v>
      </c>
      <c r="W9942" t="s">
        <v>17557</v>
      </c>
      <c r="X9942" t="s">
        <v>17556</v>
      </c>
      <c r="Y9942" t="s">
        <v>1357</v>
      </c>
      <c r="AD9942" t="s">
        <v>245</v>
      </c>
      <c r="AE9942" t="s">
        <v>17558</v>
      </c>
      <c r="AF9942" t="s">
        <v>20135</v>
      </c>
    </row>
    <row r="9943" spans="1:32" hidden="1" x14ac:dyDescent="0.35">
      <c r="A9943">
        <v>9942</v>
      </c>
      <c r="B9943" t="s">
        <v>20134</v>
      </c>
      <c r="C9943" t="s">
        <v>33</v>
      </c>
      <c r="D9943" t="s">
        <v>62</v>
      </c>
      <c r="E9943">
        <v>1790</v>
      </c>
      <c r="F9943">
        <v>2</v>
      </c>
      <c r="G9943">
        <v>2</v>
      </c>
      <c r="H9943">
        <v>1</v>
      </c>
      <c r="I9943">
        <v>0</v>
      </c>
      <c r="J9943">
        <v>0.99433828733191798</v>
      </c>
      <c r="K9943">
        <v>1</v>
      </c>
      <c r="L9943">
        <v>0.99716110716820405</v>
      </c>
      <c r="M9943">
        <v>0.99150743099787697</v>
      </c>
      <c r="N9943">
        <v>0.99150743099787697</v>
      </c>
      <c r="O9943">
        <v>0.99150743099787697</v>
      </c>
      <c r="P9943" t="s">
        <v>6293</v>
      </c>
      <c r="Q9943" t="s">
        <v>6294</v>
      </c>
      <c r="R9943" t="s">
        <v>157</v>
      </c>
      <c r="S9943" t="s">
        <v>158</v>
      </c>
      <c r="T9943" t="s">
        <v>17554</v>
      </c>
      <c r="U9943" t="s">
        <v>17555</v>
      </c>
      <c r="V9943" t="s">
        <v>17556</v>
      </c>
      <c r="W9943" t="s">
        <v>17557</v>
      </c>
      <c r="X9943" t="s">
        <v>17556</v>
      </c>
      <c r="Y9943" t="s">
        <v>1357</v>
      </c>
      <c r="AD9943" t="s">
        <v>245</v>
      </c>
      <c r="AE9943" t="s">
        <v>17558</v>
      </c>
      <c r="AF9943" t="s">
        <v>20136</v>
      </c>
    </row>
    <row r="9944" spans="1:32" hidden="1" x14ac:dyDescent="0.35">
      <c r="A9944">
        <v>9943</v>
      </c>
      <c r="B9944" t="s">
        <v>20137</v>
      </c>
      <c r="C9944" t="s">
        <v>33</v>
      </c>
      <c r="D9944" t="s">
        <v>34</v>
      </c>
      <c r="E9944">
        <v>121</v>
      </c>
      <c r="F9944">
        <v>2</v>
      </c>
      <c r="G9944">
        <v>2</v>
      </c>
      <c r="H9944">
        <v>1</v>
      </c>
      <c r="I9944">
        <v>0</v>
      </c>
      <c r="J9944">
        <v>0.99649122807017498</v>
      </c>
      <c r="K9944">
        <v>1</v>
      </c>
      <c r="L9944">
        <v>0.99824253075571201</v>
      </c>
      <c r="M9944">
        <v>0.99649122807017498</v>
      </c>
      <c r="N9944">
        <v>0.99649122807017498</v>
      </c>
      <c r="O9944">
        <v>0.99649122807017498</v>
      </c>
      <c r="P9944" t="s">
        <v>8002</v>
      </c>
      <c r="Q9944" t="s">
        <v>8003</v>
      </c>
      <c r="R9944" t="s">
        <v>20138</v>
      </c>
      <c r="S9944" t="s">
        <v>20139</v>
      </c>
      <c r="V9944" t="s">
        <v>20140</v>
      </c>
      <c r="W9944" t="s">
        <v>20141</v>
      </c>
      <c r="AF9944" t="s">
        <v>20142</v>
      </c>
    </row>
    <row r="9945" spans="1:32" hidden="1" x14ac:dyDescent="0.35">
      <c r="A9945">
        <v>9944</v>
      </c>
      <c r="B9945" t="s">
        <v>20137</v>
      </c>
      <c r="C9945" t="s">
        <v>33</v>
      </c>
      <c r="D9945" t="s">
        <v>45</v>
      </c>
      <c r="E9945">
        <v>1384</v>
      </c>
      <c r="F9945">
        <v>2</v>
      </c>
      <c r="G9945">
        <v>2</v>
      </c>
      <c r="H9945">
        <v>1</v>
      </c>
      <c r="I9945">
        <v>0</v>
      </c>
      <c r="J9945">
        <v>0.99649122807017498</v>
      </c>
      <c r="K9945">
        <v>1</v>
      </c>
      <c r="L9945">
        <v>0.99824253075571201</v>
      </c>
      <c r="M9945">
        <v>0.99649122807017498</v>
      </c>
      <c r="N9945">
        <v>0.99649122807017498</v>
      </c>
      <c r="O9945">
        <v>0.99649122807017498</v>
      </c>
      <c r="P9945" t="s">
        <v>8002</v>
      </c>
      <c r="Q9945" t="s">
        <v>8003</v>
      </c>
      <c r="R9945" t="s">
        <v>20138</v>
      </c>
      <c r="S9945" t="s">
        <v>20139</v>
      </c>
      <c r="V9945" t="s">
        <v>20140</v>
      </c>
      <c r="W9945" t="s">
        <v>20141</v>
      </c>
      <c r="AF9945" t="s">
        <v>20143</v>
      </c>
    </row>
    <row r="9946" spans="1:32" hidden="1" x14ac:dyDescent="0.35">
      <c r="A9946">
        <v>9945</v>
      </c>
      <c r="B9946" t="s">
        <v>20144</v>
      </c>
      <c r="C9946" t="s">
        <v>33</v>
      </c>
      <c r="D9946" t="s">
        <v>34</v>
      </c>
      <c r="E9946">
        <v>1885</v>
      </c>
      <c r="F9946">
        <v>2</v>
      </c>
      <c r="G9946">
        <v>2</v>
      </c>
      <c r="H9946">
        <v>1</v>
      </c>
      <c r="I9946">
        <v>0</v>
      </c>
      <c r="J9946">
        <v>0.99270072992700698</v>
      </c>
      <c r="K9946">
        <v>1</v>
      </c>
      <c r="L9946">
        <v>0.99633699633699602</v>
      </c>
      <c r="M9946">
        <v>0.99270072992700698</v>
      </c>
      <c r="N9946">
        <v>0.99270072992700698</v>
      </c>
      <c r="O9946">
        <v>0.99270072992700698</v>
      </c>
      <c r="P9946" t="s">
        <v>20145</v>
      </c>
      <c r="Q9946" t="s">
        <v>20146</v>
      </c>
      <c r="AF9946" t="s">
        <v>20147</v>
      </c>
    </row>
    <row r="9947" spans="1:32" hidden="1" x14ac:dyDescent="0.35">
      <c r="A9947">
        <v>9946</v>
      </c>
      <c r="B9947" t="s">
        <v>20144</v>
      </c>
      <c r="C9947" t="s">
        <v>33</v>
      </c>
      <c r="D9947" t="s">
        <v>45</v>
      </c>
      <c r="E9947">
        <v>988</v>
      </c>
      <c r="F9947">
        <v>2</v>
      </c>
      <c r="G9947">
        <v>2</v>
      </c>
      <c r="H9947">
        <v>1</v>
      </c>
      <c r="I9947">
        <v>0</v>
      </c>
      <c r="J9947">
        <v>0.99270072992700698</v>
      </c>
      <c r="K9947">
        <v>1</v>
      </c>
      <c r="L9947">
        <v>0.99633699633699602</v>
      </c>
      <c r="M9947">
        <v>0.99270072992700698</v>
      </c>
      <c r="N9947">
        <v>0.99270072992700698</v>
      </c>
      <c r="O9947">
        <v>0.99270072992700698</v>
      </c>
      <c r="P9947" t="s">
        <v>20145</v>
      </c>
      <c r="Q9947" t="s">
        <v>20146</v>
      </c>
      <c r="AF9947" t="s">
        <v>20148</v>
      </c>
    </row>
    <row r="9948" spans="1:32" hidden="1" x14ac:dyDescent="0.35">
      <c r="A9948">
        <v>9947</v>
      </c>
      <c r="B9948" t="s">
        <v>20149</v>
      </c>
      <c r="C9948" t="s">
        <v>33</v>
      </c>
      <c r="D9948" t="s">
        <v>34</v>
      </c>
      <c r="E9948">
        <v>2101</v>
      </c>
      <c r="F9948">
        <v>2</v>
      </c>
      <c r="G9948">
        <v>2</v>
      </c>
      <c r="H9948">
        <v>1</v>
      </c>
      <c r="I9948">
        <v>0</v>
      </c>
      <c r="J9948">
        <v>0.98452380952381002</v>
      </c>
      <c r="K9948">
        <v>1</v>
      </c>
      <c r="L9948">
        <v>0.99220155968806201</v>
      </c>
      <c r="M9948">
        <v>0.98214285714285698</v>
      </c>
      <c r="N9948">
        <v>0.98214285714285698</v>
      </c>
      <c r="O9948">
        <v>0.98214285714285698</v>
      </c>
      <c r="P9948" t="s">
        <v>11321</v>
      </c>
      <c r="Q9948" t="s">
        <v>11322</v>
      </c>
      <c r="R9948" t="s">
        <v>96</v>
      </c>
      <c r="S9948" t="s">
        <v>97</v>
      </c>
      <c r="T9948" t="s">
        <v>11323</v>
      </c>
      <c r="U9948" t="s">
        <v>11324</v>
      </c>
      <c r="V9948" t="s">
        <v>11325</v>
      </c>
      <c r="W9948" t="s">
        <v>11326</v>
      </c>
      <c r="AD9948" t="s">
        <v>11327</v>
      </c>
      <c r="AE9948" t="s">
        <v>11328</v>
      </c>
      <c r="AF9948" t="s">
        <v>20150</v>
      </c>
    </row>
    <row r="9949" spans="1:32" hidden="1" x14ac:dyDescent="0.35">
      <c r="A9949">
        <v>9948</v>
      </c>
      <c r="B9949" t="s">
        <v>20149</v>
      </c>
      <c r="C9949" t="s">
        <v>33</v>
      </c>
      <c r="D9949" t="s">
        <v>45</v>
      </c>
      <c r="E9949">
        <v>771</v>
      </c>
      <c r="F9949">
        <v>2</v>
      </c>
      <c r="G9949">
        <v>2</v>
      </c>
      <c r="H9949">
        <v>1</v>
      </c>
      <c r="I9949">
        <v>0</v>
      </c>
      <c r="J9949">
        <v>0.98452380952381002</v>
      </c>
      <c r="K9949">
        <v>1</v>
      </c>
      <c r="L9949">
        <v>0.99220155968806201</v>
      </c>
      <c r="M9949">
        <v>0.98214285714285698</v>
      </c>
      <c r="N9949">
        <v>0.98214285714285698</v>
      </c>
      <c r="O9949">
        <v>0.98214285714285698</v>
      </c>
      <c r="P9949" t="s">
        <v>11321</v>
      </c>
      <c r="Q9949" t="s">
        <v>11322</v>
      </c>
      <c r="R9949" t="s">
        <v>96</v>
      </c>
      <c r="S9949" t="s">
        <v>97</v>
      </c>
      <c r="T9949" t="s">
        <v>11323</v>
      </c>
      <c r="U9949" t="s">
        <v>11324</v>
      </c>
      <c r="V9949" t="s">
        <v>11325</v>
      </c>
      <c r="W9949" t="s">
        <v>11326</v>
      </c>
      <c r="AD9949" t="s">
        <v>11327</v>
      </c>
      <c r="AE9949" t="s">
        <v>11328</v>
      </c>
      <c r="AF9949" t="s">
        <v>20151</v>
      </c>
    </row>
    <row r="9950" spans="1:32" hidden="1" x14ac:dyDescent="0.35">
      <c r="A9950">
        <v>9949</v>
      </c>
      <c r="B9950" t="s">
        <v>20152</v>
      </c>
      <c r="C9950" t="s">
        <v>33</v>
      </c>
      <c r="D9950" t="s">
        <v>34</v>
      </c>
      <c r="E9950">
        <v>922</v>
      </c>
      <c r="F9950">
        <v>2</v>
      </c>
      <c r="G9950">
        <v>2</v>
      </c>
      <c r="H9950">
        <v>1</v>
      </c>
      <c r="I9950">
        <v>0</v>
      </c>
      <c r="J9950">
        <v>0.97046413502109696</v>
      </c>
      <c r="K9950">
        <v>0.93595487459865401</v>
      </c>
      <c r="L9950">
        <v>0.952897168159618</v>
      </c>
      <c r="M9950">
        <v>0.89743589743589702</v>
      </c>
      <c r="N9950">
        <v>0.89743589743589702</v>
      </c>
      <c r="O9950">
        <v>0.89743589743589702</v>
      </c>
      <c r="P9950" t="s">
        <v>12327</v>
      </c>
      <c r="Q9950" t="s">
        <v>12328</v>
      </c>
      <c r="R9950" t="s">
        <v>371</v>
      </c>
      <c r="S9950" t="s">
        <v>372</v>
      </c>
      <c r="T9950" t="s">
        <v>16253</v>
      </c>
      <c r="U9950" t="s">
        <v>16254</v>
      </c>
      <c r="V9950" t="s">
        <v>16255</v>
      </c>
      <c r="W9950" t="s">
        <v>16256</v>
      </c>
      <c r="AD9950" t="s">
        <v>3961</v>
      </c>
      <c r="AE9950" t="s">
        <v>3962</v>
      </c>
      <c r="AF9950" t="s">
        <v>20153</v>
      </c>
    </row>
    <row r="9951" spans="1:32" hidden="1" x14ac:dyDescent="0.35">
      <c r="A9951">
        <v>9950</v>
      </c>
      <c r="B9951" t="s">
        <v>20152</v>
      </c>
      <c r="C9951" t="s">
        <v>33</v>
      </c>
      <c r="D9951" t="s">
        <v>45</v>
      </c>
      <c r="E9951">
        <v>2178</v>
      </c>
      <c r="F9951">
        <v>2</v>
      </c>
      <c r="G9951">
        <v>2</v>
      </c>
      <c r="H9951">
        <v>1</v>
      </c>
      <c r="I9951">
        <v>0</v>
      </c>
      <c r="J9951">
        <v>0.97046413502109696</v>
      </c>
      <c r="K9951">
        <v>0.93595487459865401</v>
      </c>
      <c r="L9951">
        <v>0.952897168159618</v>
      </c>
      <c r="M9951">
        <v>0.89743589743589702</v>
      </c>
      <c r="N9951">
        <v>0.89743589743589702</v>
      </c>
      <c r="O9951">
        <v>0.89743589743589702</v>
      </c>
      <c r="P9951" t="s">
        <v>12327</v>
      </c>
      <c r="Q9951" t="s">
        <v>12328</v>
      </c>
      <c r="R9951" t="s">
        <v>371</v>
      </c>
      <c r="S9951" t="s">
        <v>372</v>
      </c>
      <c r="T9951" t="s">
        <v>16253</v>
      </c>
      <c r="U9951" t="s">
        <v>16254</v>
      </c>
      <c r="V9951" t="s">
        <v>16255</v>
      </c>
      <c r="W9951" t="s">
        <v>16256</v>
      </c>
      <c r="AD9951" t="s">
        <v>3961</v>
      </c>
      <c r="AE9951" t="s">
        <v>3962</v>
      </c>
      <c r="AF9951" t="s">
        <v>20154</v>
      </c>
    </row>
    <row r="9952" spans="1:32" hidden="1" x14ac:dyDescent="0.35">
      <c r="A9952">
        <v>9951</v>
      </c>
      <c r="B9952" t="s">
        <v>20155</v>
      </c>
      <c r="C9952" t="s">
        <v>33</v>
      </c>
      <c r="D9952" t="s">
        <v>34</v>
      </c>
      <c r="E9952">
        <v>1391</v>
      </c>
      <c r="F9952">
        <v>2</v>
      </c>
      <c r="G9952">
        <v>2</v>
      </c>
      <c r="H9952">
        <v>1</v>
      </c>
      <c r="I9952">
        <v>0</v>
      </c>
      <c r="J9952">
        <v>0.99850074962518698</v>
      </c>
      <c r="K9952">
        <v>1</v>
      </c>
      <c r="L9952">
        <v>0.99924981245311295</v>
      </c>
      <c r="M9952">
        <v>0.99850074962518698</v>
      </c>
      <c r="N9952">
        <v>0.99850074962518698</v>
      </c>
      <c r="O9952">
        <v>0.99850074962518698</v>
      </c>
      <c r="AF9952" t="s">
        <v>20156</v>
      </c>
    </row>
    <row r="9953" spans="1:32" hidden="1" x14ac:dyDescent="0.35">
      <c r="A9953">
        <v>9952</v>
      </c>
      <c r="B9953" t="s">
        <v>20155</v>
      </c>
      <c r="C9953" t="s">
        <v>33</v>
      </c>
      <c r="D9953" t="s">
        <v>45</v>
      </c>
      <c r="E9953">
        <v>141</v>
      </c>
      <c r="F9953">
        <v>2</v>
      </c>
      <c r="G9953">
        <v>2</v>
      </c>
      <c r="H9953">
        <v>1</v>
      </c>
      <c r="I9953">
        <v>0</v>
      </c>
      <c r="J9953">
        <v>0.99850074962518698</v>
      </c>
      <c r="K9953">
        <v>1</v>
      </c>
      <c r="L9953">
        <v>0.99924981245311295</v>
      </c>
      <c r="M9953">
        <v>0.99850074962518698</v>
      </c>
      <c r="N9953">
        <v>0.99850074962518698</v>
      </c>
      <c r="O9953">
        <v>0.99850074962518698</v>
      </c>
      <c r="AF9953" t="s">
        <v>20157</v>
      </c>
    </row>
    <row r="9954" spans="1:32" hidden="1" x14ac:dyDescent="0.35">
      <c r="A9954">
        <v>9953</v>
      </c>
      <c r="B9954" t="s">
        <v>20158</v>
      </c>
      <c r="C9954" t="s">
        <v>33</v>
      </c>
      <c r="D9954" t="s">
        <v>60</v>
      </c>
      <c r="E9954">
        <v>1724</v>
      </c>
      <c r="F9954">
        <v>2</v>
      </c>
      <c r="G9954">
        <v>2</v>
      </c>
      <c r="H9954">
        <v>1</v>
      </c>
      <c r="I9954">
        <v>0</v>
      </c>
      <c r="J9954">
        <v>0.97740112994350303</v>
      </c>
      <c r="K9954">
        <v>1</v>
      </c>
      <c r="L9954">
        <v>0.98857142857142899</v>
      </c>
      <c r="M9954">
        <v>0.97457627118644097</v>
      </c>
      <c r="N9954">
        <v>0.97457627118644097</v>
      </c>
      <c r="O9954">
        <v>0.97457627118644097</v>
      </c>
      <c r="AF9954" t="s">
        <v>20159</v>
      </c>
    </row>
    <row r="9955" spans="1:32" hidden="1" x14ac:dyDescent="0.35">
      <c r="A9955">
        <v>9954</v>
      </c>
      <c r="B9955" t="s">
        <v>20158</v>
      </c>
      <c r="C9955" t="s">
        <v>33</v>
      </c>
      <c r="D9955" t="s">
        <v>62</v>
      </c>
      <c r="E9955">
        <v>1759</v>
      </c>
      <c r="F9955">
        <v>2</v>
      </c>
      <c r="G9955">
        <v>2</v>
      </c>
      <c r="H9955">
        <v>1</v>
      </c>
      <c r="I9955">
        <v>0</v>
      </c>
      <c r="J9955">
        <v>0.97740112994350303</v>
      </c>
      <c r="K9955">
        <v>1</v>
      </c>
      <c r="L9955">
        <v>0.98857142857142899</v>
      </c>
      <c r="M9955">
        <v>0.97457627118644097</v>
      </c>
      <c r="N9955">
        <v>0.97457627118644097</v>
      </c>
      <c r="O9955">
        <v>0.97457627118644097</v>
      </c>
      <c r="AF9955" t="s">
        <v>20160</v>
      </c>
    </row>
    <row r="9956" spans="1:32" hidden="1" x14ac:dyDescent="0.35">
      <c r="A9956">
        <v>9955</v>
      </c>
      <c r="B9956" t="s">
        <v>20161</v>
      </c>
      <c r="C9956" t="s">
        <v>33</v>
      </c>
      <c r="D9956" t="s">
        <v>60</v>
      </c>
      <c r="E9956">
        <v>2365</v>
      </c>
      <c r="F9956">
        <v>2</v>
      </c>
      <c r="G9956">
        <v>2</v>
      </c>
      <c r="H9956">
        <v>1</v>
      </c>
      <c r="I9956">
        <v>0</v>
      </c>
      <c r="J9956">
        <v>0.988267770876467</v>
      </c>
      <c r="K9956">
        <v>1</v>
      </c>
      <c r="L9956">
        <v>0.99409927108642804</v>
      </c>
      <c r="M9956">
        <v>0.98550724637681197</v>
      </c>
      <c r="N9956">
        <v>0.98550724637681197</v>
      </c>
      <c r="O9956">
        <v>0.98550724637681197</v>
      </c>
      <c r="T9956" t="s">
        <v>20162</v>
      </c>
      <c r="U9956" t="s">
        <v>15314</v>
      </c>
      <c r="AD9956" t="s">
        <v>11660</v>
      </c>
      <c r="AE9956" t="s">
        <v>20163</v>
      </c>
      <c r="AF9956" t="s">
        <v>20164</v>
      </c>
    </row>
    <row r="9957" spans="1:32" hidden="1" x14ac:dyDescent="0.35">
      <c r="A9957">
        <v>9956</v>
      </c>
      <c r="B9957" t="s">
        <v>20161</v>
      </c>
      <c r="C9957" t="s">
        <v>33</v>
      </c>
      <c r="D9957" t="s">
        <v>62</v>
      </c>
      <c r="E9957">
        <v>2393</v>
      </c>
      <c r="F9957">
        <v>2</v>
      </c>
      <c r="G9957">
        <v>2</v>
      </c>
      <c r="H9957">
        <v>1</v>
      </c>
      <c r="I9957">
        <v>0</v>
      </c>
      <c r="J9957">
        <v>0.988267770876467</v>
      </c>
      <c r="K9957">
        <v>1</v>
      </c>
      <c r="L9957">
        <v>0.99409927108642804</v>
      </c>
      <c r="M9957">
        <v>0.98550724637681197</v>
      </c>
      <c r="N9957">
        <v>0.98550724637681197</v>
      </c>
      <c r="O9957">
        <v>0.98550724637681197</v>
      </c>
      <c r="T9957" t="s">
        <v>20162</v>
      </c>
      <c r="U9957" t="s">
        <v>15314</v>
      </c>
      <c r="AD9957" t="s">
        <v>11660</v>
      </c>
      <c r="AE9957" t="s">
        <v>20163</v>
      </c>
      <c r="AF9957" t="s">
        <v>20165</v>
      </c>
    </row>
    <row r="9958" spans="1:32" hidden="1" x14ac:dyDescent="0.35">
      <c r="A9958">
        <v>9957</v>
      </c>
      <c r="B9958" t="s">
        <v>20166</v>
      </c>
      <c r="C9958" t="s">
        <v>33</v>
      </c>
      <c r="D9958" t="s">
        <v>60</v>
      </c>
      <c r="E9958">
        <v>1263</v>
      </c>
      <c r="F9958">
        <v>2</v>
      </c>
      <c r="G9958">
        <v>2</v>
      </c>
      <c r="H9958">
        <v>1</v>
      </c>
      <c r="I9958">
        <v>0</v>
      </c>
      <c r="J9958">
        <v>0.99747474747474796</v>
      </c>
      <c r="K9958">
        <v>0.66133004926108296</v>
      </c>
      <c r="L9958">
        <v>0.79534376218615899</v>
      </c>
      <c r="M9958">
        <v>0.56465517241379304</v>
      </c>
      <c r="N9958">
        <v>0.56465517241379304</v>
      </c>
      <c r="O9958">
        <v>0.56465517241379304</v>
      </c>
      <c r="AF9958" t="e">
        <f>----------------------------------------------------------------------------------------------------MNNPEEEASVFYRNDTEEMRVHEFLATVDEGKREIKDSEKDEARHDFVDSYTEGKSFASTRQEVSASGMDFSCAEGNNTEEKYYEAGCFTVYRGRVMNYQRHDSTPRSLEEQKHRTASLAKEVGEALASLPN</f>
        <v>#NAME?</v>
      </c>
    </row>
    <row r="9959" spans="1:32" hidden="1" x14ac:dyDescent="0.35">
      <c r="A9959">
        <v>9958</v>
      </c>
      <c r="B9959" t="s">
        <v>20166</v>
      </c>
      <c r="C9959" t="s">
        <v>33</v>
      </c>
      <c r="D9959" t="s">
        <v>62</v>
      </c>
      <c r="E9959">
        <v>1299</v>
      </c>
      <c r="F9959">
        <v>2</v>
      </c>
      <c r="G9959">
        <v>2</v>
      </c>
      <c r="H9959">
        <v>1</v>
      </c>
      <c r="I9959">
        <v>0</v>
      </c>
      <c r="J9959">
        <v>0.99747474747474796</v>
      </c>
      <c r="K9959">
        <v>0.66133004926108296</v>
      </c>
      <c r="L9959">
        <v>0.79534376218615899</v>
      </c>
      <c r="M9959">
        <v>0.56465517241379304</v>
      </c>
      <c r="N9959">
        <v>0.56465517241379304</v>
      </c>
      <c r="O9959">
        <v>0.56465517241379304</v>
      </c>
      <c r="AF9959" t="s">
        <v>20167</v>
      </c>
    </row>
    <row r="9960" spans="1:32" hidden="1" x14ac:dyDescent="0.35">
      <c r="A9960">
        <v>9959</v>
      </c>
      <c r="B9960" t="s">
        <v>20168</v>
      </c>
      <c r="C9960" t="s">
        <v>33</v>
      </c>
      <c r="D9960" t="s">
        <v>34</v>
      </c>
      <c r="E9960">
        <v>483</v>
      </c>
      <c r="F9960">
        <v>2</v>
      </c>
      <c r="G9960">
        <v>2</v>
      </c>
      <c r="H9960">
        <v>1</v>
      </c>
      <c r="I9960">
        <v>0</v>
      </c>
      <c r="J9960">
        <v>0.98533333333333295</v>
      </c>
      <c r="K9960">
        <v>0.76845782301190402</v>
      </c>
      <c r="L9960">
        <v>0.86348606050941001</v>
      </c>
      <c r="M9960">
        <v>0.71847507331378302</v>
      </c>
      <c r="N9960">
        <v>0.71847507331378302</v>
      </c>
      <c r="O9960">
        <v>0.71847507331378302</v>
      </c>
      <c r="R9960" t="s">
        <v>1191</v>
      </c>
      <c r="S9960" t="s">
        <v>1192</v>
      </c>
      <c r="V9960" t="s">
        <v>14042</v>
      </c>
      <c r="W9960" t="s">
        <v>14043</v>
      </c>
      <c r="X9960" t="s">
        <v>14042</v>
      </c>
      <c r="Y9960" t="s">
        <v>7046</v>
      </c>
      <c r="AF9960" t="s">
        <v>20169</v>
      </c>
    </row>
    <row r="9961" spans="1:32" hidden="1" x14ac:dyDescent="0.35">
      <c r="A9961">
        <v>9960</v>
      </c>
      <c r="B9961" t="s">
        <v>20168</v>
      </c>
      <c r="C9961" t="s">
        <v>33</v>
      </c>
      <c r="D9961" t="s">
        <v>45</v>
      </c>
      <c r="E9961">
        <v>1748</v>
      </c>
      <c r="F9961">
        <v>2</v>
      </c>
      <c r="G9961">
        <v>2</v>
      </c>
      <c r="H9961">
        <v>1</v>
      </c>
      <c r="I9961">
        <v>0</v>
      </c>
      <c r="J9961">
        <v>0.98533333333333295</v>
      </c>
      <c r="K9961">
        <v>0.76845782301190402</v>
      </c>
      <c r="L9961">
        <v>0.86348606050941001</v>
      </c>
      <c r="M9961">
        <v>0.71847507331378302</v>
      </c>
      <c r="N9961">
        <v>0.71847507331378302</v>
      </c>
      <c r="O9961">
        <v>0.71847507331378302</v>
      </c>
      <c r="R9961" t="s">
        <v>1191</v>
      </c>
      <c r="S9961" t="s">
        <v>1192</v>
      </c>
      <c r="V9961" t="s">
        <v>14042</v>
      </c>
      <c r="W9961" t="s">
        <v>14043</v>
      </c>
      <c r="X9961" t="s">
        <v>14042</v>
      </c>
      <c r="Y9961" t="s">
        <v>7046</v>
      </c>
      <c r="AF9961" t="e">
        <f>-------------------------------------------------------------------------------------------MLIPVIHPDRAAWSSRLRENLKVDGVRIVAPVRTTDGRFINAGWRASVFVPGELGWRGDETIAAALRLDKALAQITIPDSFHLIDRKDIFSVADHAAWREEHDLVVLDPKDPTHETVAEWMPQIRKLMQPLVDINNNALPNQVTHADMFATTVYAGDRMPAVTDVVGVAHPYGYTAALALVDALLMNVVDVSVIERFRHVAALEQLILRGLLYRLYVHALHPGASSNSGTNLGLVCHTIMAYMSQRHGTI</f>
        <v>#NAME?</v>
      </c>
    </row>
    <row r="9962" spans="1:32" hidden="1" x14ac:dyDescent="0.35">
      <c r="A9962">
        <v>9961</v>
      </c>
      <c r="B9962" t="s">
        <v>20170</v>
      </c>
      <c r="C9962" t="s">
        <v>33</v>
      </c>
      <c r="D9962" t="s">
        <v>34</v>
      </c>
      <c r="E9962">
        <v>1536</v>
      </c>
      <c r="F9962">
        <v>2</v>
      </c>
      <c r="G9962">
        <v>2</v>
      </c>
      <c r="H9962">
        <v>1</v>
      </c>
      <c r="I9962">
        <v>0</v>
      </c>
      <c r="J9962">
        <v>0.97354497354497305</v>
      </c>
      <c r="K9962">
        <v>1</v>
      </c>
      <c r="L9962">
        <v>0.98659517426273502</v>
      </c>
      <c r="M9962">
        <v>0.96296296296296302</v>
      </c>
      <c r="N9962">
        <v>0.96296296296296302</v>
      </c>
      <c r="O9962">
        <v>0.96296296296296302</v>
      </c>
      <c r="P9962" t="s">
        <v>20171</v>
      </c>
      <c r="Q9962" t="s">
        <v>20172</v>
      </c>
      <c r="R9962" t="s">
        <v>319</v>
      </c>
      <c r="S9962" t="s">
        <v>320</v>
      </c>
      <c r="T9962" t="s">
        <v>19960</v>
      </c>
      <c r="U9962" t="s">
        <v>19961</v>
      </c>
      <c r="V9962" t="s">
        <v>19962</v>
      </c>
      <c r="W9962" t="s">
        <v>19963</v>
      </c>
      <c r="AD9962" t="s">
        <v>410</v>
      </c>
      <c r="AE9962" t="s">
        <v>19167</v>
      </c>
      <c r="AF9962" t="s">
        <v>20173</v>
      </c>
    </row>
    <row r="9963" spans="1:32" hidden="1" x14ac:dyDescent="0.35">
      <c r="A9963">
        <v>9962</v>
      </c>
      <c r="B9963" t="s">
        <v>20170</v>
      </c>
      <c r="C9963" t="s">
        <v>33</v>
      </c>
      <c r="D9963" t="s">
        <v>45</v>
      </c>
      <c r="E9963">
        <v>286</v>
      </c>
      <c r="F9963">
        <v>2</v>
      </c>
      <c r="G9963">
        <v>2</v>
      </c>
      <c r="H9963">
        <v>1</v>
      </c>
      <c r="I9963">
        <v>0</v>
      </c>
      <c r="J9963">
        <v>0.97354497354497305</v>
      </c>
      <c r="K9963">
        <v>1</v>
      </c>
      <c r="L9963">
        <v>0.98659517426273502</v>
      </c>
      <c r="M9963">
        <v>0.96296296296296302</v>
      </c>
      <c r="N9963">
        <v>0.96296296296296302</v>
      </c>
      <c r="O9963">
        <v>0.96296296296296302</v>
      </c>
      <c r="P9963" t="s">
        <v>20171</v>
      </c>
      <c r="Q9963" t="s">
        <v>20172</v>
      </c>
      <c r="R9963" t="s">
        <v>319</v>
      </c>
      <c r="S9963" t="s">
        <v>320</v>
      </c>
      <c r="T9963" t="s">
        <v>19960</v>
      </c>
      <c r="U9963" t="s">
        <v>19961</v>
      </c>
      <c r="V9963" t="s">
        <v>19962</v>
      </c>
      <c r="W9963" t="s">
        <v>19963</v>
      </c>
      <c r="AD9963" t="s">
        <v>410</v>
      </c>
      <c r="AE9963" t="s">
        <v>19167</v>
      </c>
      <c r="AF9963" t="s">
        <v>20174</v>
      </c>
    </row>
    <row r="9964" spans="1:32" hidden="1" x14ac:dyDescent="0.35">
      <c r="A9964">
        <v>9963</v>
      </c>
      <c r="B9964" t="s">
        <v>20175</v>
      </c>
      <c r="C9964" t="s">
        <v>33</v>
      </c>
      <c r="D9964" t="s">
        <v>34</v>
      </c>
      <c r="E9964">
        <v>689</v>
      </c>
      <c r="F9964">
        <v>2</v>
      </c>
      <c r="G9964">
        <v>2</v>
      </c>
      <c r="H9964">
        <v>1</v>
      </c>
      <c r="I9964">
        <v>0</v>
      </c>
      <c r="J9964">
        <v>0.99892818863879995</v>
      </c>
      <c r="K9964">
        <v>1</v>
      </c>
      <c r="L9964">
        <v>0.99946380697050996</v>
      </c>
      <c r="M9964">
        <v>0.99678456591639897</v>
      </c>
      <c r="N9964">
        <v>0.99678456591639897</v>
      </c>
      <c r="O9964">
        <v>0.99678456591639897</v>
      </c>
      <c r="AF9964" t="s">
        <v>20176</v>
      </c>
    </row>
    <row r="9965" spans="1:32" hidden="1" x14ac:dyDescent="0.35">
      <c r="A9965">
        <v>9964</v>
      </c>
      <c r="B9965" t="s">
        <v>20175</v>
      </c>
      <c r="C9965" t="s">
        <v>33</v>
      </c>
      <c r="D9965" t="s">
        <v>45</v>
      </c>
      <c r="E9965">
        <v>1955</v>
      </c>
      <c r="F9965">
        <v>2</v>
      </c>
      <c r="G9965">
        <v>2</v>
      </c>
      <c r="H9965">
        <v>1</v>
      </c>
      <c r="I9965">
        <v>0</v>
      </c>
      <c r="J9965">
        <v>0.99892818863879995</v>
      </c>
      <c r="K9965">
        <v>1</v>
      </c>
      <c r="L9965">
        <v>0.99946380697050996</v>
      </c>
      <c r="M9965">
        <v>0.99678456591639897</v>
      </c>
      <c r="N9965">
        <v>0.99678456591639897</v>
      </c>
      <c r="O9965">
        <v>0.99678456591639897</v>
      </c>
      <c r="AF9965" t="s">
        <v>20177</v>
      </c>
    </row>
    <row r="9966" spans="1:32" hidden="1" x14ac:dyDescent="0.35">
      <c r="A9966">
        <v>9965</v>
      </c>
      <c r="B9966" t="s">
        <v>20178</v>
      </c>
      <c r="C9966" t="s">
        <v>33</v>
      </c>
      <c r="D9966" t="s">
        <v>34</v>
      </c>
      <c r="E9966">
        <v>2163</v>
      </c>
      <c r="F9966">
        <v>2</v>
      </c>
      <c r="G9966">
        <v>2</v>
      </c>
      <c r="H9966">
        <v>1</v>
      </c>
      <c r="I9966">
        <v>0</v>
      </c>
      <c r="J9966">
        <v>0.97514619883040898</v>
      </c>
      <c r="K9966">
        <v>1</v>
      </c>
      <c r="L9966">
        <v>0.987416728349371</v>
      </c>
      <c r="M9966">
        <v>0.96929824561403499</v>
      </c>
      <c r="N9966">
        <v>0.96929824561403499</v>
      </c>
      <c r="O9966">
        <v>0.96929824561403499</v>
      </c>
      <c r="P9966" t="s">
        <v>17298</v>
      </c>
      <c r="Q9966" t="s">
        <v>17299</v>
      </c>
      <c r="AF9966" t="s">
        <v>20179</v>
      </c>
    </row>
    <row r="9967" spans="1:32" hidden="1" x14ac:dyDescent="0.35">
      <c r="A9967">
        <v>9966</v>
      </c>
      <c r="B9967" t="s">
        <v>20178</v>
      </c>
      <c r="C9967" t="s">
        <v>33</v>
      </c>
      <c r="D9967" t="s">
        <v>45</v>
      </c>
      <c r="E9967">
        <v>710</v>
      </c>
      <c r="F9967">
        <v>2</v>
      </c>
      <c r="G9967">
        <v>2</v>
      </c>
      <c r="H9967">
        <v>1</v>
      </c>
      <c r="I9967">
        <v>0</v>
      </c>
      <c r="J9967">
        <v>0.97514619883040898</v>
      </c>
      <c r="K9967">
        <v>1</v>
      </c>
      <c r="L9967">
        <v>0.987416728349371</v>
      </c>
      <c r="M9967">
        <v>0.96929824561403499</v>
      </c>
      <c r="N9967">
        <v>0.96929824561403499</v>
      </c>
      <c r="O9967">
        <v>0.96929824561403499</v>
      </c>
      <c r="P9967" t="s">
        <v>17298</v>
      </c>
      <c r="Q9967" t="s">
        <v>17299</v>
      </c>
      <c r="AF9967" t="s">
        <v>20180</v>
      </c>
    </row>
    <row r="9968" spans="1:32" hidden="1" x14ac:dyDescent="0.35">
      <c r="A9968">
        <v>9967</v>
      </c>
      <c r="B9968" t="s">
        <v>20181</v>
      </c>
      <c r="C9968" t="s">
        <v>33</v>
      </c>
      <c r="D9968" t="s">
        <v>34</v>
      </c>
      <c r="E9968">
        <v>261</v>
      </c>
      <c r="F9968">
        <v>2</v>
      </c>
      <c r="G9968">
        <v>2</v>
      </c>
      <c r="H9968">
        <v>1</v>
      </c>
      <c r="I9968">
        <v>0</v>
      </c>
      <c r="J9968">
        <v>0.99067599067599099</v>
      </c>
      <c r="K9968">
        <v>1</v>
      </c>
      <c r="L9968">
        <v>0.99531615925058503</v>
      </c>
      <c r="M9968">
        <v>0.98601398601398604</v>
      </c>
      <c r="N9968">
        <v>0.98601398601398604</v>
      </c>
      <c r="O9968">
        <v>0.98601398601398604</v>
      </c>
      <c r="AF9968" t="s">
        <v>20182</v>
      </c>
    </row>
    <row r="9969" spans="1:32" hidden="1" x14ac:dyDescent="0.35">
      <c r="A9969">
        <v>9968</v>
      </c>
      <c r="B9969" t="s">
        <v>20181</v>
      </c>
      <c r="C9969" t="s">
        <v>33</v>
      </c>
      <c r="D9969" t="s">
        <v>45</v>
      </c>
      <c r="E9969">
        <v>1523</v>
      </c>
      <c r="F9969">
        <v>2</v>
      </c>
      <c r="G9969">
        <v>2</v>
      </c>
      <c r="H9969">
        <v>1</v>
      </c>
      <c r="I9969">
        <v>0</v>
      </c>
      <c r="J9969">
        <v>0.99067599067599099</v>
      </c>
      <c r="K9969">
        <v>1</v>
      </c>
      <c r="L9969">
        <v>0.99531615925058503</v>
      </c>
      <c r="M9969">
        <v>0.98601398601398604</v>
      </c>
      <c r="N9969">
        <v>0.98601398601398604</v>
      </c>
      <c r="O9969">
        <v>0.98601398601398604</v>
      </c>
      <c r="AF9969" t="s">
        <v>20183</v>
      </c>
    </row>
    <row r="9970" spans="1:32" hidden="1" x14ac:dyDescent="0.35">
      <c r="A9970">
        <v>9969</v>
      </c>
      <c r="B9970" t="s">
        <v>20184</v>
      </c>
      <c r="C9970" t="s">
        <v>33</v>
      </c>
      <c r="D9970" t="s">
        <v>34</v>
      </c>
      <c r="E9970">
        <v>310</v>
      </c>
      <c r="F9970">
        <v>2</v>
      </c>
      <c r="G9970">
        <v>2</v>
      </c>
      <c r="H9970">
        <v>1</v>
      </c>
      <c r="I9970">
        <v>0</v>
      </c>
      <c r="J9970">
        <v>0.98894154818325397</v>
      </c>
      <c r="K9970">
        <v>0.96833382657590705</v>
      </c>
      <c r="L9970">
        <v>0.97852920029714896</v>
      </c>
      <c r="M9970">
        <v>0.95412844036697297</v>
      </c>
      <c r="N9970">
        <v>0.95412844036697297</v>
      </c>
      <c r="O9970">
        <v>0.95412844036697297</v>
      </c>
      <c r="P9970" t="s">
        <v>20185</v>
      </c>
      <c r="Q9970" t="s">
        <v>20186</v>
      </c>
      <c r="R9970" t="s">
        <v>288</v>
      </c>
      <c r="S9970" t="s">
        <v>289</v>
      </c>
      <c r="V9970" t="s">
        <v>20187</v>
      </c>
      <c r="W9970" t="s">
        <v>20188</v>
      </c>
      <c r="AF9970" t="s">
        <v>20189</v>
      </c>
    </row>
    <row r="9971" spans="1:32" hidden="1" x14ac:dyDescent="0.35">
      <c r="A9971">
        <v>9970</v>
      </c>
      <c r="B9971" t="s">
        <v>20184</v>
      </c>
      <c r="C9971" t="s">
        <v>33</v>
      </c>
      <c r="D9971" t="s">
        <v>45</v>
      </c>
      <c r="E9971">
        <v>1572</v>
      </c>
      <c r="F9971">
        <v>2</v>
      </c>
      <c r="G9971">
        <v>2</v>
      </c>
      <c r="H9971">
        <v>1</v>
      </c>
      <c r="I9971">
        <v>0</v>
      </c>
      <c r="J9971">
        <v>0.98894154818325397</v>
      </c>
      <c r="K9971">
        <v>0.96833382657590705</v>
      </c>
      <c r="L9971">
        <v>0.97852920029714896</v>
      </c>
      <c r="M9971">
        <v>0.95412844036697297</v>
      </c>
      <c r="N9971">
        <v>0.95412844036697297</v>
      </c>
      <c r="O9971">
        <v>0.95412844036697297</v>
      </c>
      <c r="P9971" t="s">
        <v>20185</v>
      </c>
      <c r="Q9971" t="s">
        <v>20186</v>
      </c>
      <c r="R9971" t="s">
        <v>288</v>
      </c>
      <c r="S9971" t="s">
        <v>289</v>
      </c>
      <c r="V9971" t="s">
        <v>20187</v>
      </c>
      <c r="W9971" t="s">
        <v>20188</v>
      </c>
      <c r="AF9971" t="e">
        <f>-------MDIQQLRDALTQSDSSVRLKAVLAAGTHPDDAALDVLVAQCSHEPDFYVRDMLTWAITRLPRDITIPTVRAELASPIPQARSQALHTLSKIRVPEAWPWIFPHMLRDDDDEVVRVAWRLAVAIVPEGSEPELADVLVSQFDRGNMEVKTSLARALASLAAWYTPALDLVDAATRSGDLGVRIHATATRAIIHDPEIGFAGVFAEAKRSLGG</f>
        <v>#NAME?</v>
      </c>
    </row>
    <row r="9972" spans="1:32" hidden="1" x14ac:dyDescent="0.35">
      <c r="A9972">
        <v>9971</v>
      </c>
      <c r="B9972" t="s">
        <v>20190</v>
      </c>
      <c r="C9972" t="s">
        <v>33</v>
      </c>
      <c r="D9972" t="s">
        <v>34</v>
      </c>
      <c r="E9972">
        <v>1901</v>
      </c>
      <c r="F9972">
        <v>2</v>
      </c>
      <c r="G9972">
        <v>2</v>
      </c>
      <c r="H9972">
        <v>1</v>
      </c>
      <c r="I9972">
        <v>0</v>
      </c>
      <c r="J9972">
        <v>0.97872340425531901</v>
      </c>
      <c r="K9972">
        <v>0.97936949466852297</v>
      </c>
      <c r="L9972">
        <v>0.97904634287024095</v>
      </c>
      <c r="M9972">
        <v>0.95555555555555605</v>
      </c>
      <c r="N9972">
        <v>0.95555555555555605</v>
      </c>
      <c r="O9972">
        <v>0.95555555555555605</v>
      </c>
      <c r="AF9972" t="s">
        <v>20191</v>
      </c>
    </row>
    <row r="9973" spans="1:32" hidden="1" x14ac:dyDescent="0.35">
      <c r="A9973">
        <v>9972</v>
      </c>
      <c r="B9973" t="s">
        <v>20190</v>
      </c>
      <c r="C9973" t="s">
        <v>33</v>
      </c>
      <c r="D9973" t="s">
        <v>45</v>
      </c>
      <c r="E9973">
        <v>973</v>
      </c>
      <c r="F9973">
        <v>2</v>
      </c>
      <c r="G9973">
        <v>2</v>
      </c>
      <c r="H9973">
        <v>1</v>
      </c>
      <c r="I9973">
        <v>0</v>
      </c>
      <c r="J9973">
        <v>0.97872340425531901</v>
      </c>
      <c r="K9973">
        <v>0.97936949466852297</v>
      </c>
      <c r="L9973">
        <v>0.97904634287024095</v>
      </c>
      <c r="M9973">
        <v>0.95555555555555605</v>
      </c>
      <c r="N9973">
        <v>0.95555555555555605</v>
      </c>
      <c r="O9973">
        <v>0.95555555555555605</v>
      </c>
      <c r="AF9973" t="s">
        <v>20192</v>
      </c>
    </row>
    <row r="9974" spans="1:32" hidden="1" x14ac:dyDescent="0.35">
      <c r="A9974">
        <v>9973</v>
      </c>
      <c r="B9974" t="s">
        <v>20193</v>
      </c>
      <c r="C9974" t="s">
        <v>33</v>
      </c>
      <c r="D9974" t="s">
        <v>34</v>
      </c>
      <c r="E9974">
        <v>947</v>
      </c>
      <c r="F9974">
        <v>2</v>
      </c>
      <c r="G9974">
        <v>2</v>
      </c>
      <c r="H9974">
        <v>1</v>
      </c>
      <c r="I9974">
        <v>0</v>
      </c>
      <c r="J9974">
        <v>0.99367338869118205</v>
      </c>
      <c r="K9974">
        <v>1</v>
      </c>
      <c r="L9974">
        <v>0.99682665608885401</v>
      </c>
      <c r="M9974">
        <v>0.99288256227757998</v>
      </c>
      <c r="N9974">
        <v>0.99288256227757998</v>
      </c>
      <c r="O9974">
        <v>0.99288256227757998</v>
      </c>
      <c r="P9974" t="s">
        <v>13748</v>
      </c>
      <c r="Q9974" t="s">
        <v>13749</v>
      </c>
      <c r="R9974" t="s">
        <v>75</v>
      </c>
      <c r="S9974" t="s">
        <v>76</v>
      </c>
      <c r="T9974" t="s">
        <v>13750</v>
      </c>
      <c r="U9974" t="s">
        <v>13751</v>
      </c>
      <c r="V9974" t="s">
        <v>13752</v>
      </c>
      <c r="W9974" t="s">
        <v>13753</v>
      </c>
      <c r="Z9974" t="s">
        <v>13754</v>
      </c>
      <c r="AA9974" t="s">
        <v>13755</v>
      </c>
      <c r="AB9974" t="s">
        <v>13754</v>
      </c>
      <c r="AC9974" t="s">
        <v>3240</v>
      </c>
      <c r="AD9974" t="s">
        <v>13756</v>
      </c>
      <c r="AE9974" t="s">
        <v>13757</v>
      </c>
      <c r="AF9974" t="s">
        <v>20194</v>
      </c>
    </row>
    <row r="9975" spans="1:32" hidden="1" x14ac:dyDescent="0.35">
      <c r="A9975">
        <v>9974</v>
      </c>
      <c r="B9975" t="s">
        <v>20193</v>
      </c>
      <c r="C9975" t="s">
        <v>33</v>
      </c>
      <c r="D9975" t="s">
        <v>45</v>
      </c>
      <c r="E9975">
        <v>2204</v>
      </c>
      <c r="F9975">
        <v>2</v>
      </c>
      <c r="G9975">
        <v>2</v>
      </c>
      <c r="H9975">
        <v>1</v>
      </c>
      <c r="I9975">
        <v>0</v>
      </c>
      <c r="J9975">
        <v>0.99367338869118205</v>
      </c>
      <c r="K9975">
        <v>1</v>
      </c>
      <c r="L9975">
        <v>0.99682665608885401</v>
      </c>
      <c r="M9975">
        <v>0.99288256227757998</v>
      </c>
      <c r="N9975">
        <v>0.99288256227757998</v>
      </c>
      <c r="O9975">
        <v>0.99288256227757998</v>
      </c>
      <c r="P9975" t="s">
        <v>13748</v>
      </c>
      <c r="Q9975" t="s">
        <v>13749</v>
      </c>
      <c r="R9975" t="s">
        <v>75</v>
      </c>
      <c r="S9975" t="s">
        <v>76</v>
      </c>
      <c r="T9975" t="s">
        <v>13750</v>
      </c>
      <c r="U9975" t="s">
        <v>13751</v>
      </c>
      <c r="V9975" t="s">
        <v>13752</v>
      </c>
      <c r="W9975" t="s">
        <v>13753</v>
      </c>
      <c r="Z9975" t="s">
        <v>13754</v>
      </c>
      <c r="AA9975" t="s">
        <v>13755</v>
      </c>
      <c r="AB9975" t="s">
        <v>13754</v>
      </c>
      <c r="AC9975" t="s">
        <v>3240</v>
      </c>
      <c r="AD9975" t="s">
        <v>13756</v>
      </c>
      <c r="AE9975" t="s">
        <v>13757</v>
      </c>
      <c r="AF9975" t="s">
        <v>20195</v>
      </c>
    </row>
    <row r="9976" spans="1:32" hidden="1" x14ac:dyDescent="0.35">
      <c r="A9976">
        <v>9975</v>
      </c>
      <c r="B9976" t="s">
        <v>20196</v>
      </c>
      <c r="C9976" t="s">
        <v>33</v>
      </c>
      <c r="D9976" t="s">
        <v>34</v>
      </c>
      <c r="E9976">
        <v>1721</v>
      </c>
      <c r="F9976">
        <v>2</v>
      </c>
      <c r="G9976">
        <v>2</v>
      </c>
      <c r="H9976">
        <v>1</v>
      </c>
      <c r="I9976">
        <v>0</v>
      </c>
      <c r="J9976">
        <v>0.87492063492063499</v>
      </c>
      <c r="K9976">
        <v>0.95224098477077601</v>
      </c>
      <c r="L9976">
        <v>0.91194481978425801</v>
      </c>
      <c r="M9976">
        <v>0.82246376811594202</v>
      </c>
      <c r="N9976">
        <v>0.82246376811594202</v>
      </c>
      <c r="O9976">
        <v>0.82246376811594202</v>
      </c>
      <c r="P9976" t="s">
        <v>20197</v>
      </c>
      <c r="Q9976" t="s">
        <v>20198</v>
      </c>
      <c r="R9976" t="s">
        <v>213</v>
      </c>
      <c r="S9976" t="s">
        <v>214</v>
      </c>
      <c r="T9976" t="s">
        <v>20199</v>
      </c>
      <c r="U9976" t="s">
        <v>20200</v>
      </c>
      <c r="V9976" t="s">
        <v>20201</v>
      </c>
      <c r="W9976" t="s">
        <v>20202</v>
      </c>
      <c r="Z9976" t="s">
        <v>6487</v>
      </c>
      <c r="AA9976" t="s">
        <v>6488</v>
      </c>
      <c r="AB9976" t="s">
        <v>6487</v>
      </c>
      <c r="AC9976" t="s">
        <v>6489</v>
      </c>
      <c r="AD9976" t="s">
        <v>245</v>
      </c>
      <c r="AE9976" t="s">
        <v>20203</v>
      </c>
      <c r="AF9976" t="s">
        <v>20204</v>
      </c>
    </row>
    <row r="9977" spans="1:32" hidden="1" x14ac:dyDescent="0.35">
      <c r="A9977">
        <v>9976</v>
      </c>
      <c r="B9977" t="s">
        <v>20196</v>
      </c>
      <c r="C9977" t="s">
        <v>33</v>
      </c>
      <c r="D9977" t="s">
        <v>45</v>
      </c>
      <c r="E9977">
        <v>1153</v>
      </c>
      <c r="F9977">
        <v>2</v>
      </c>
      <c r="G9977">
        <v>2</v>
      </c>
      <c r="H9977">
        <v>1</v>
      </c>
      <c r="I9977">
        <v>0</v>
      </c>
      <c r="J9977">
        <v>0.87492063492063499</v>
      </c>
      <c r="K9977">
        <v>0.95224098477077601</v>
      </c>
      <c r="L9977">
        <v>0.91194481978425801</v>
      </c>
      <c r="M9977">
        <v>0.82246376811594202</v>
      </c>
      <c r="N9977">
        <v>0.82246376811594202</v>
      </c>
      <c r="O9977">
        <v>0.82246376811594202</v>
      </c>
      <c r="P9977" t="s">
        <v>20197</v>
      </c>
      <c r="Q9977" t="s">
        <v>20198</v>
      </c>
      <c r="R9977" t="s">
        <v>213</v>
      </c>
      <c r="S9977" t="s">
        <v>214</v>
      </c>
      <c r="T9977" t="s">
        <v>20199</v>
      </c>
      <c r="U9977" t="s">
        <v>20200</v>
      </c>
      <c r="V9977" t="s">
        <v>20201</v>
      </c>
      <c r="W9977" t="s">
        <v>20202</v>
      </c>
      <c r="Z9977" t="s">
        <v>6487</v>
      </c>
      <c r="AA9977" t="s">
        <v>6488</v>
      </c>
      <c r="AB9977" t="s">
        <v>6487</v>
      </c>
      <c r="AC9977" t="s">
        <v>6489</v>
      </c>
      <c r="AD9977" t="s">
        <v>245</v>
      </c>
      <c r="AE9977" t="s">
        <v>20203</v>
      </c>
      <c r="AF9977" t="s">
        <v>20205</v>
      </c>
    </row>
    <row r="9978" spans="1:32" hidden="1" x14ac:dyDescent="0.35">
      <c r="A9978">
        <v>9977</v>
      </c>
      <c r="B9978" t="s">
        <v>20206</v>
      </c>
      <c r="C9978" t="s">
        <v>33</v>
      </c>
      <c r="D9978" t="s">
        <v>34</v>
      </c>
      <c r="E9978">
        <v>928</v>
      </c>
      <c r="F9978">
        <v>2</v>
      </c>
      <c r="G9978">
        <v>2</v>
      </c>
      <c r="H9978">
        <v>1</v>
      </c>
      <c r="I9978">
        <v>0</v>
      </c>
      <c r="J9978">
        <v>0.99686520376175503</v>
      </c>
      <c r="K9978">
        <v>1</v>
      </c>
      <c r="L9978">
        <v>0.99843014128728402</v>
      </c>
      <c r="M9978">
        <v>0.99059561128526596</v>
      </c>
      <c r="N9978">
        <v>0.99059561128526596</v>
      </c>
      <c r="O9978">
        <v>0.99059561128526596</v>
      </c>
      <c r="AF9978" t="s">
        <v>20207</v>
      </c>
    </row>
    <row r="9979" spans="1:32" hidden="1" x14ac:dyDescent="0.35">
      <c r="A9979">
        <v>9978</v>
      </c>
      <c r="B9979" t="s">
        <v>20206</v>
      </c>
      <c r="C9979" t="s">
        <v>33</v>
      </c>
      <c r="D9979" t="s">
        <v>45</v>
      </c>
      <c r="E9979">
        <v>2184</v>
      </c>
      <c r="F9979">
        <v>2</v>
      </c>
      <c r="G9979">
        <v>2</v>
      </c>
      <c r="H9979">
        <v>1</v>
      </c>
      <c r="I9979">
        <v>0</v>
      </c>
      <c r="J9979">
        <v>0.99686520376175503</v>
      </c>
      <c r="K9979">
        <v>1</v>
      </c>
      <c r="L9979">
        <v>0.99843014128728402</v>
      </c>
      <c r="M9979">
        <v>0.99059561128526596</v>
      </c>
      <c r="N9979">
        <v>0.99059561128526596</v>
      </c>
      <c r="O9979">
        <v>0.99059561128526596</v>
      </c>
      <c r="AF9979" t="s">
        <v>20208</v>
      </c>
    </row>
    <row r="9980" spans="1:32" hidden="1" x14ac:dyDescent="0.35">
      <c r="A9980">
        <v>9979</v>
      </c>
      <c r="B9980" t="s">
        <v>20209</v>
      </c>
      <c r="C9980" t="s">
        <v>33</v>
      </c>
      <c r="D9980" t="s">
        <v>60</v>
      </c>
      <c r="E9980">
        <v>1695</v>
      </c>
      <c r="F9980">
        <v>2</v>
      </c>
      <c r="G9980">
        <v>2</v>
      </c>
      <c r="H9980">
        <v>1</v>
      </c>
      <c r="I9980">
        <v>0</v>
      </c>
      <c r="J9980">
        <v>0.995820271682341</v>
      </c>
      <c r="K9980">
        <v>1</v>
      </c>
      <c r="L9980">
        <v>0.99790575916230395</v>
      </c>
      <c r="M9980">
        <v>0.99373040752351105</v>
      </c>
      <c r="N9980">
        <v>0.99373040752351105</v>
      </c>
      <c r="O9980">
        <v>0.99373040752351105</v>
      </c>
      <c r="P9980" t="s">
        <v>14685</v>
      </c>
      <c r="Q9980" t="s">
        <v>14686</v>
      </c>
      <c r="AF9980" t="s">
        <v>20210</v>
      </c>
    </row>
    <row r="9981" spans="1:32" hidden="1" x14ac:dyDescent="0.35">
      <c r="A9981">
        <v>9980</v>
      </c>
      <c r="B9981" t="s">
        <v>20209</v>
      </c>
      <c r="C9981" t="s">
        <v>33</v>
      </c>
      <c r="D9981" t="s">
        <v>62</v>
      </c>
      <c r="E9981">
        <v>1730</v>
      </c>
      <c r="F9981">
        <v>2</v>
      </c>
      <c r="G9981">
        <v>2</v>
      </c>
      <c r="H9981">
        <v>1</v>
      </c>
      <c r="I9981">
        <v>0</v>
      </c>
      <c r="J9981">
        <v>0.995820271682341</v>
      </c>
      <c r="K9981">
        <v>1</v>
      </c>
      <c r="L9981">
        <v>0.99790575916230395</v>
      </c>
      <c r="M9981">
        <v>0.99373040752351105</v>
      </c>
      <c r="N9981">
        <v>0.99373040752351105</v>
      </c>
      <c r="O9981">
        <v>0.99373040752351105</v>
      </c>
      <c r="P9981" t="s">
        <v>14685</v>
      </c>
      <c r="Q9981" t="s">
        <v>14686</v>
      </c>
      <c r="AF9981" t="s">
        <v>20211</v>
      </c>
    </row>
    <row r="9982" spans="1:32" hidden="1" x14ac:dyDescent="0.35">
      <c r="A9982">
        <v>9981</v>
      </c>
      <c r="B9982" t="s">
        <v>20212</v>
      </c>
      <c r="C9982" t="s">
        <v>33</v>
      </c>
      <c r="D9982" t="s">
        <v>60</v>
      </c>
      <c r="E9982">
        <v>2278</v>
      </c>
      <c r="F9982">
        <v>2</v>
      </c>
      <c r="G9982">
        <v>2</v>
      </c>
      <c r="H9982">
        <v>1</v>
      </c>
      <c r="I9982">
        <v>0</v>
      </c>
      <c r="J9982">
        <v>0.98985801217038505</v>
      </c>
      <c r="K9982">
        <v>1</v>
      </c>
      <c r="L9982">
        <v>0.99490316004077495</v>
      </c>
      <c r="M9982">
        <v>0.98985801217038505</v>
      </c>
      <c r="N9982">
        <v>0.98985801217038505</v>
      </c>
      <c r="O9982">
        <v>0.98985801217038505</v>
      </c>
      <c r="P9982" t="s">
        <v>4358</v>
      </c>
      <c r="Q9982" t="s">
        <v>4359</v>
      </c>
      <c r="R9982" t="s">
        <v>319</v>
      </c>
      <c r="S9982" t="s">
        <v>320</v>
      </c>
      <c r="T9982" t="s">
        <v>20213</v>
      </c>
      <c r="U9982" t="s">
        <v>20214</v>
      </c>
      <c r="V9982" t="s">
        <v>4360</v>
      </c>
      <c r="W9982" t="s">
        <v>4361</v>
      </c>
      <c r="AD9982" t="s">
        <v>166</v>
      </c>
      <c r="AE9982" t="s">
        <v>6730</v>
      </c>
      <c r="AF9982" t="s">
        <v>20215</v>
      </c>
    </row>
    <row r="9983" spans="1:32" hidden="1" x14ac:dyDescent="0.35">
      <c r="A9983">
        <v>9982</v>
      </c>
      <c r="B9983" t="s">
        <v>20212</v>
      </c>
      <c r="C9983" t="s">
        <v>33</v>
      </c>
      <c r="D9983" t="s">
        <v>62</v>
      </c>
      <c r="E9983">
        <v>2307</v>
      </c>
      <c r="F9983">
        <v>2</v>
      </c>
      <c r="G9983">
        <v>2</v>
      </c>
      <c r="H9983">
        <v>1</v>
      </c>
      <c r="I9983">
        <v>0</v>
      </c>
      <c r="J9983">
        <v>0.98985801217038505</v>
      </c>
      <c r="K9983">
        <v>1</v>
      </c>
      <c r="L9983">
        <v>0.99490316004077495</v>
      </c>
      <c r="M9983">
        <v>0.98985801217038505</v>
      </c>
      <c r="N9983">
        <v>0.98985801217038505</v>
      </c>
      <c r="O9983">
        <v>0.98985801217038505</v>
      </c>
      <c r="P9983" t="s">
        <v>4358</v>
      </c>
      <c r="Q9983" t="s">
        <v>4359</v>
      </c>
      <c r="R9983" t="s">
        <v>319</v>
      </c>
      <c r="S9983" t="s">
        <v>320</v>
      </c>
      <c r="T9983" t="s">
        <v>20213</v>
      </c>
      <c r="U9983" t="s">
        <v>20214</v>
      </c>
      <c r="V9983" t="s">
        <v>4360</v>
      </c>
      <c r="W9983" t="s">
        <v>4361</v>
      </c>
      <c r="AD9983" t="s">
        <v>166</v>
      </c>
      <c r="AE9983" t="s">
        <v>6730</v>
      </c>
      <c r="AF9983" t="s">
        <v>20216</v>
      </c>
    </row>
    <row r="9984" spans="1:32" hidden="1" x14ac:dyDescent="0.35">
      <c r="A9984">
        <v>9983</v>
      </c>
      <c r="B9984" t="s">
        <v>20217</v>
      </c>
      <c r="C9984" t="s">
        <v>33</v>
      </c>
      <c r="D9984" t="s">
        <v>34</v>
      </c>
      <c r="E9984">
        <v>1897</v>
      </c>
      <c r="F9984">
        <v>2</v>
      </c>
      <c r="G9984">
        <v>2</v>
      </c>
      <c r="H9984">
        <v>1</v>
      </c>
      <c r="I9984">
        <v>0</v>
      </c>
      <c r="J9984">
        <v>0.97035040431266895</v>
      </c>
      <c r="K9984">
        <v>0.98162884369780801</v>
      </c>
      <c r="L9984">
        <v>0.97595704087324697</v>
      </c>
      <c r="M9984">
        <v>0.94708994708994698</v>
      </c>
      <c r="N9984">
        <v>0.94708994708994698</v>
      </c>
      <c r="O9984">
        <v>0.94708994708994698</v>
      </c>
      <c r="P9984" t="s">
        <v>14514</v>
      </c>
      <c r="Q9984" t="s">
        <v>14515</v>
      </c>
      <c r="AF9984" t="s">
        <v>20218</v>
      </c>
    </row>
    <row r="9985" spans="1:32" hidden="1" x14ac:dyDescent="0.35">
      <c r="A9985">
        <v>9984</v>
      </c>
      <c r="B9985" t="s">
        <v>20217</v>
      </c>
      <c r="C9985" t="s">
        <v>33</v>
      </c>
      <c r="D9985" t="s">
        <v>45</v>
      </c>
      <c r="E9985">
        <v>977</v>
      </c>
      <c r="F9985">
        <v>2</v>
      </c>
      <c r="G9985">
        <v>2</v>
      </c>
      <c r="H9985">
        <v>1</v>
      </c>
      <c r="I9985">
        <v>0</v>
      </c>
      <c r="J9985">
        <v>0.97035040431266895</v>
      </c>
      <c r="K9985">
        <v>0.98162884369780801</v>
      </c>
      <c r="L9985">
        <v>0.97595704087324697</v>
      </c>
      <c r="M9985">
        <v>0.94708994708994698</v>
      </c>
      <c r="N9985">
        <v>0.94708994708994698</v>
      </c>
      <c r="O9985">
        <v>0.94708994708994698</v>
      </c>
      <c r="P9985" t="s">
        <v>14514</v>
      </c>
      <c r="Q9985" t="s">
        <v>14515</v>
      </c>
      <c r="AF9985" t="s">
        <v>20219</v>
      </c>
    </row>
    <row r="9986" spans="1:32" hidden="1" x14ac:dyDescent="0.35">
      <c r="A9986">
        <v>9985</v>
      </c>
      <c r="B9986" t="s">
        <v>20220</v>
      </c>
      <c r="C9986" t="s">
        <v>33</v>
      </c>
      <c r="D9986" t="s">
        <v>34</v>
      </c>
      <c r="E9986">
        <v>1567</v>
      </c>
      <c r="F9986">
        <v>2</v>
      </c>
      <c r="G9986">
        <v>2</v>
      </c>
      <c r="H9986">
        <v>1</v>
      </c>
      <c r="I9986">
        <v>0</v>
      </c>
      <c r="J9986">
        <v>0.99375000000000002</v>
      </c>
      <c r="K9986">
        <v>1</v>
      </c>
      <c r="L9986">
        <v>0.99686520376175602</v>
      </c>
      <c r="M9986">
        <v>0.99375000000000002</v>
      </c>
      <c r="N9986">
        <v>0.99375000000000002</v>
      </c>
      <c r="O9986">
        <v>0.99375000000000002</v>
      </c>
      <c r="AF9986" t="s">
        <v>20221</v>
      </c>
    </row>
    <row r="9987" spans="1:32" hidden="1" x14ac:dyDescent="0.35">
      <c r="A9987">
        <v>9986</v>
      </c>
      <c r="B9987" t="s">
        <v>20220</v>
      </c>
      <c r="C9987" t="s">
        <v>33</v>
      </c>
      <c r="D9987" t="s">
        <v>45</v>
      </c>
      <c r="E9987">
        <v>317</v>
      </c>
      <c r="F9987">
        <v>2</v>
      </c>
      <c r="G9987">
        <v>2</v>
      </c>
      <c r="H9987">
        <v>1</v>
      </c>
      <c r="I9987">
        <v>0</v>
      </c>
      <c r="J9987">
        <v>0.99375000000000002</v>
      </c>
      <c r="K9987">
        <v>1</v>
      </c>
      <c r="L9987">
        <v>0.99686520376175602</v>
      </c>
      <c r="M9987">
        <v>0.99375000000000002</v>
      </c>
      <c r="N9987">
        <v>0.99375000000000002</v>
      </c>
      <c r="O9987">
        <v>0.99375000000000002</v>
      </c>
      <c r="AF9987" t="s">
        <v>20222</v>
      </c>
    </row>
    <row r="9988" spans="1:32" hidden="1" x14ac:dyDescent="0.35">
      <c r="A9988">
        <v>9987</v>
      </c>
      <c r="B9988" t="s">
        <v>20223</v>
      </c>
      <c r="C9988" t="s">
        <v>33</v>
      </c>
      <c r="D9988" t="s">
        <v>34</v>
      </c>
      <c r="E9988">
        <v>251</v>
      </c>
      <c r="F9988">
        <v>2</v>
      </c>
      <c r="G9988">
        <v>2</v>
      </c>
      <c r="H9988">
        <v>1</v>
      </c>
      <c r="I9988">
        <v>0</v>
      </c>
      <c r="J9988">
        <v>0.98562091503268001</v>
      </c>
      <c r="K9988">
        <v>0.996093750000001</v>
      </c>
      <c r="L9988">
        <v>0.99082965944256496</v>
      </c>
      <c r="M9988">
        <v>0.9765625</v>
      </c>
      <c r="N9988">
        <v>0.9765625</v>
      </c>
      <c r="O9988">
        <v>0.9765625</v>
      </c>
      <c r="AF9988" t="s">
        <v>20224</v>
      </c>
    </row>
    <row r="9989" spans="1:32" hidden="1" x14ac:dyDescent="0.35">
      <c r="A9989">
        <v>9988</v>
      </c>
      <c r="B9989" t="s">
        <v>20223</v>
      </c>
      <c r="C9989" t="s">
        <v>33</v>
      </c>
      <c r="D9989" t="s">
        <v>45</v>
      </c>
      <c r="E9989">
        <v>1514</v>
      </c>
      <c r="F9989">
        <v>2</v>
      </c>
      <c r="G9989">
        <v>2</v>
      </c>
      <c r="H9989">
        <v>1</v>
      </c>
      <c r="I9989">
        <v>0</v>
      </c>
      <c r="J9989">
        <v>0.98562091503268001</v>
      </c>
      <c r="K9989">
        <v>0.996093750000001</v>
      </c>
      <c r="L9989">
        <v>0.99082965944256496</v>
      </c>
      <c r="M9989">
        <v>0.9765625</v>
      </c>
      <c r="N9989">
        <v>0.9765625</v>
      </c>
      <c r="O9989">
        <v>0.9765625</v>
      </c>
      <c r="AF9989" t="s">
        <v>20225</v>
      </c>
    </row>
    <row r="9990" spans="1:32" s="1" customFormat="1" hidden="1" x14ac:dyDescent="0.35">
      <c r="A9990" s="1">
        <v>9989</v>
      </c>
      <c r="B9990" s="1" t="s">
        <v>20226</v>
      </c>
      <c r="C9990" s="1" t="s">
        <v>33</v>
      </c>
      <c r="D9990" s="1" t="s">
        <v>60</v>
      </c>
      <c r="E9990" s="1">
        <v>182</v>
      </c>
      <c r="F9990" s="1">
        <v>2</v>
      </c>
      <c r="G9990" s="1">
        <v>2</v>
      </c>
      <c r="H9990" s="1">
        <v>1</v>
      </c>
      <c r="I9990" s="1">
        <v>0</v>
      </c>
      <c r="J9990" s="1">
        <v>0.99211711711711703</v>
      </c>
      <c r="K9990" s="1">
        <v>1</v>
      </c>
      <c r="L9990" s="1">
        <v>0.99604296212549503</v>
      </c>
      <c r="M9990" s="1">
        <v>0.98986486486486502</v>
      </c>
      <c r="N9990" s="1">
        <v>0.98986486486486502</v>
      </c>
      <c r="O9990" s="1">
        <v>0.98986486486486502</v>
      </c>
      <c r="P9990" s="1" t="s">
        <v>4878</v>
      </c>
      <c r="Q9990" s="1" t="s">
        <v>4879</v>
      </c>
      <c r="R9990" s="1" t="s">
        <v>157</v>
      </c>
      <c r="S9990" s="1" t="s">
        <v>158</v>
      </c>
      <c r="T9990" s="1" t="s">
        <v>4880</v>
      </c>
      <c r="U9990" s="1" t="s">
        <v>4881</v>
      </c>
      <c r="V9990" s="1" t="s">
        <v>4882</v>
      </c>
      <c r="W9990" s="1" t="s">
        <v>4883</v>
      </c>
      <c r="AD9990" s="1" t="s">
        <v>4884</v>
      </c>
      <c r="AE9990" s="1" t="s">
        <v>4885</v>
      </c>
      <c r="AF9990" s="1" t="s">
        <v>20227</v>
      </c>
    </row>
    <row r="9991" spans="1:32" s="1" customFormat="1" hidden="1" x14ac:dyDescent="0.35">
      <c r="A9991" s="1">
        <v>9990</v>
      </c>
      <c r="B9991" s="1" t="s">
        <v>20226</v>
      </c>
      <c r="C9991" s="1" t="s">
        <v>33</v>
      </c>
      <c r="D9991" s="1" t="s">
        <v>62</v>
      </c>
      <c r="E9991" s="1">
        <v>258</v>
      </c>
      <c r="F9991" s="1">
        <v>2</v>
      </c>
      <c r="G9991" s="1">
        <v>2</v>
      </c>
      <c r="H9991" s="1">
        <v>1</v>
      </c>
      <c r="I9991" s="1">
        <v>0</v>
      </c>
      <c r="J9991" s="1">
        <v>0.99211711711711703</v>
      </c>
      <c r="K9991" s="1">
        <v>1</v>
      </c>
      <c r="L9991" s="1">
        <v>0.99604296212549503</v>
      </c>
      <c r="M9991" s="1">
        <v>0.98986486486486502</v>
      </c>
      <c r="N9991" s="1">
        <v>0.98986486486486502</v>
      </c>
      <c r="O9991" s="1">
        <v>0.98986486486486502</v>
      </c>
      <c r="P9991" s="1" t="s">
        <v>4878</v>
      </c>
      <c r="Q9991" s="1" t="s">
        <v>4879</v>
      </c>
      <c r="R9991" s="1" t="s">
        <v>157</v>
      </c>
      <c r="S9991" s="1" t="s">
        <v>158</v>
      </c>
      <c r="T9991" s="1" t="s">
        <v>4880</v>
      </c>
      <c r="U9991" s="1" t="s">
        <v>4881</v>
      </c>
      <c r="V9991" s="1" t="s">
        <v>4882</v>
      </c>
      <c r="W9991" s="1" t="s">
        <v>4883</v>
      </c>
      <c r="AD9991" s="1" t="s">
        <v>4884</v>
      </c>
      <c r="AE9991" s="1" t="s">
        <v>4885</v>
      </c>
      <c r="AF9991" s="1" t="s">
        <v>20228</v>
      </c>
    </row>
    <row r="9992" spans="1:32" hidden="1" x14ac:dyDescent="0.35">
      <c r="A9992">
        <v>9991</v>
      </c>
      <c r="B9992" t="s">
        <v>20229</v>
      </c>
      <c r="C9992" t="s">
        <v>33</v>
      </c>
      <c r="D9992" t="s">
        <v>34</v>
      </c>
      <c r="E9992">
        <v>811</v>
      </c>
      <c r="F9992">
        <v>2</v>
      </c>
      <c r="G9992">
        <v>2</v>
      </c>
      <c r="H9992">
        <v>1</v>
      </c>
      <c r="I9992">
        <v>0</v>
      </c>
      <c r="J9992">
        <v>0.97395833333333304</v>
      </c>
      <c r="K9992">
        <v>1</v>
      </c>
      <c r="L9992">
        <v>0.98680738786279698</v>
      </c>
      <c r="M9992">
        <v>0.96875</v>
      </c>
      <c r="N9992">
        <v>0.96875</v>
      </c>
      <c r="O9992">
        <v>0.96875</v>
      </c>
      <c r="AF9992" t="s">
        <v>20230</v>
      </c>
    </row>
    <row r="9993" spans="1:32" hidden="1" x14ac:dyDescent="0.35">
      <c r="A9993">
        <v>9992</v>
      </c>
      <c r="B9993" t="s">
        <v>20229</v>
      </c>
      <c r="C9993" t="s">
        <v>33</v>
      </c>
      <c r="D9993" t="s">
        <v>45</v>
      </c>
      <c r="E9993">
        <v>2068</v>
      </c>
      <c r="F9993">
        <v>2</v>
      </c>
      <c r="G9993">
        <v>2</v>
      </c>
      <c r="H9993">
        <v>1</v>
      </c>
      <c r="I9993">
        <v>0</v>
      </c>
      <c r="J9993">
        <v>0.97395833333333304</v>
      </c>
      <c r="K9993">
        <v>1</v>
      </c>
      <c r="L9993">
        <v>0.98680738786279698</v>
      </c>
      <c r="M9993">
        <v>0.96875</v>
      </c>
      <c r="N9993">
        <v>0.96875</v>
      </c>
      <c r="O9993">
        <v>0.96875</v>
      </c>
      <c r="AF9993" t="s">
        <v>20231</v>
      </c>
    </row>
    <row r="9994" spans="1:32" hidden="1" x14ac:dyDescent="0.35">
      <c r="A9994">
        <v>9993</v>
      </c>
      <c r="B9994" t="s">
        <v>20232</v>
      </c>
      <c r="C9994" t="s">
        <v>33</v>
      </c>
      <c r="D9994" t="s">
        <v>34</v>
      </c>
      <c r="E9994">
        <v>116</v>
      </c>
      <c r="F9994">
        <v>2</v>
      </c>
      <c r="G9994">
        <v>2</v>
      </c>
      <c r="H9994">
        <v>1</v>
      </c>
      <c r="I9994">
        <v>0</v>
      </c>
      <c r="J9994">
        <v>0.99910152740341396</v>
      </c>
      <c r="K9994">
        <v>0.841209632516705</v>
      </c>
      <c r="L9994">
        <v>0.91338230948986399</v>
      </c>
      <c r="M9994">
        <v>0.82405345211581305</v>
      </c>
      <c r="N9994">
        <v>0.82405345211581305</v>
      </c>
      <c r="O9994">
        <v>0.82405345211581305</v>
      </c>
      <c r="P9994" t="s">
        <v>136</v>
      </c>
      <c r="Q9994" t="s">
        <v>137</v>
      </c>
      <c r="R9994" t="s">
        <v>138</v>
      </c>
      <c r="S9994" t="s">
        <v>139</v>
      </c>
      <c r="T9994" t="s">
        <v>140</v>
      </c>
      <c r="U9994" t="s">
        <v>141</v>
      </c>
      <c r="V9994" t="s">
        <v>142</v>
      </c>
      <c r="W9994" t="s">
        <v>143</v>
      </c>
      <c r="Z9994" t="s">
        <v>144</v>
      </c>
      <c r="AA9994" t="s">
        <v>145</v>
      </c>
      <c r="AB9994" t="s">
        <v>144</v>
      </c>
      <c r="AC9994" t="s">
        <v>146</v>
      </c>
      <c r="AD9994" t="s">
        <v>147</v>
      </c>
      <c r="AE9994" t="s">
        <v>148</v>
      </c>
      <c r="AF9994" t="s">
        <v>20233</v>
      </c>
    </row>
    <row r="9995" spans="1:32" hidden="1" x14ac:dyDescent="0.35">
      <c r="A9995">
        <v>9994</v>
      </c>
      <c r="B9995" t="s">
        <v>20232</v>
      </c>
      <c r="C9995" t="s">
        <v>33</v>
      </c>
      <c r="D9995" t="s">
        <v>45</v>
      </c>
      <c r="E9995">
        <v>1378</v>
      </c>
      <c r="F9995">
        <v>2</v>
      </c>
      <c r="G9995">
        <v>2</v>
      </c>
      <c r="H9995">
        <v>1</v>
      </c>
      <c r="I9995">
        <v>0</v>
      </c>
      <c r="J9995">
        <v>0.99910152740341396</v>
      </c>
      <c r="K9995">
        <v>0.841209632516705</v>
      </c>
      <c r="L9995">
        <v>0.91338230948986399</v>
      </c>
      <c r="M9995">
        <v>0.82405345211581305</v>
      </c>
      <c r="N9995">
        <v>0.82405345211581305</v>
      </c>
      <c r="O9995">
        <v>0.82405345211581305</v>
      </c>
      <c r="P9995" t="s">
        <v>136</v>
      </c>
      <c r="Q9995" t="s">
        <v>137</v>
      </c>
      <c r="R9995" t="s">
        <v>138</v>
      </c>
      <c r="S9995" t="s">
        <v>139</v>
      </c>
      <c r="T9995" t="s">
        <v>140</v>
      </c>
      <c r="U9995" t="s">
        <v>141</v>
      </c>
      <c r="V9995" t="s">
        <v>142</v>
      </c>
      <c r="W9995" t="s">
        <v>143</v>
      </c>
      <c r="Z9995" t="s">
        <v>144</v>
      </c>
      <c r="AA9995" t="s">
        <v>145</v>
      </c>
      <c r="AB9995" t="s">
        <v>144</v>
      </c>
      <c r="AC9995" t="s">
        <v>146</v>
      </c>
      <c r="AD9995" t="s">
        <v>147</v>
      </c>
      <c r="AE9995" t="s">
        <v>148</v>
      </c>
      <c r="AF9995" t="s">
        <v>20234</v>
      </c>
    </row>
    <row r="9996" spans="1:32" hidden="1" x14ac:dyDescent="0.35">
      <c r="A9996">
        <v>9995</v>
      </c>
      <c r="B9996" t="s">
        <v>20235</v>
      </c>
      <c r="C9996" t="s">
        <v>33</v>
      </c>
      <c r="D9996" t="s">
        <v>60</v>
      </c>
      <c r="E9996">
        <v>53</v>
      </c>
      <c r="F9996">
        <v>2</v>
      </c>
      <c r="G9996">
        <v>2</v>
      </c>
      <c r="H9996">
        <v>1</v>
      </c>
      <c r="I9996">
        <v>0</v>
      </c>
      <c r="J9996">
        <v>0.98861788617886204</v>
      </c>
      <c r="K9996">
        <v>1</v>
      </c>
      <c r="L9996">
        <v>0.99427636958299304</v>
      </c>
      <c r="M9996">
        <v>0.98536585365853702</v>
      </c>
      <c r="N9996">
        <v>0.98536585365853702</v>
      </c>
      <c r="O9996">
        <v>0.98536585365853702</v>
      </c>
      <c r="P9996" t="s">
        <v>1452</v>
      </c>
      <c r="Q9996" t="s">
        <v>1453</v>
      </c>
      <c r="R9996" t="s">
        <v>113</v>
      </c>
      <c r="S9996" t="s">
        <v>114</v>
      </c>
      <c r="T9996" t="s">
        <v>1454</v>
      </c>
      <c r="U9996" t="s">
        <v>1455</v>
      </c>
      <c r="V9996" t="s">
        <v>807</v>
      </c>
      <c r="W9996" t="s">
        <v>808</v>
      </c>
      <c r="X9996" t="s">
        <v>807</v>
      </c>
      <c r="Y9996" t="s">
        <v>119</v>
      </c>
      <c r="AD9996" t="s">
        <v>125</v>
      </c>
      <c r="AE9996" t="s">
        <v>126</v>
      </c>
      <c r="AF9996" t="s">
        <v>20236</v>
      </c>
    </row>
    <row r="9997" spans="1:32" hidden="1" x14ac:dyDescent="0.35">
      <c r="A9997">
        <v>9996</v>
      </c>
      <c r="B9997" t="s">
        <v>20235</v>
      </c>
      <c r="C9997" t="s">
        <v>33</v>
      </c>
      <c r="D9997" t="s">
        <v>62</v>
      </c>
      <c r="E9997">
        <v>126</v>
      </c>
      <c r="F9997">
        <v>2</v>
      </c>
      <c r="G9997">
        <v>2</v>
      </c>
      <c r="H9997">
        <v>1</v>
      </c>
      <c r="I9997">
        <v>0</v>
      </c>
      <c r="J9997">
        <v>0.98861788617886204</v>
      </c>
      <c r="K9997">
        <v>1</v>
      </c>
      <c r="L9997">
        <v>0.99427636958299304</v>
      </c>
      <c r="M9997">
        <v>0.98536585365853702</v>
      </c>
      <c r="N9997">
        <v>0.98536585365853702</v>
      </c>
      <c r="O9997">
        <v>0.98536585365853702</v>
      </c>
      <c r="P9997" t="s">
        <v>1452</v>
      </c>
      <c r="Q9997" t="s">
        <v>1453</v>
      </c>
      <c r="R9997" t="s">
        <v>113</v>
      </c>
      <c r="S9997" t="s">
        <v>114</v>
      </c>
      <c r="T9997" t="s">
        <v>1454</v>
      </c>
      <c r="U9997" t="s">
        <v>1455</v>
      </c>
      <c r="V9997" t="s">
        <v>807</v>
      </c>
      <c r="W9997" t="s">
        <v>808</v>
      </c>
      <c r="X9997" t="s">
        <v>807</v>
      </c>
      <c r="Y9997" t="s">
        <v>119</v>
      </c>
      <c r="AD9997" t="s">
        <v>125</v>
      </c>
      <c r="AE9997" t="s">
        <v>126</v>
      </c>
      <c r="AF9997" t="s">
        <v>20237</v>
      </c>
    </row>
    <row r="9998" spans="1:32" hidden="1" x14ac:dyDescent="0.35">
      <c r="A9998">
        <v>9997</v>
      </c>
      <c r="B9998" t="s">
        <v>20238</v>
      </c>
      <c r="C9998" t="s">
        <v>33</v>
      </c>
      <c r="D9998" t="s">
        <v>34</v>
      </c>
      <c r="E9998">
        <v>771</v>
      </c>
      <c r="F9998">
        <v>2</v>
      </c>
      <c r="G9998">
        <v>2</v>
      </c>
      <c r="H9998">
        <v>1</v>
      </c>
      <c r="I9998">
        <v>0</v>
      </c>
      <c r="J9998">
        <v>0.99343832020997402</v>
      </c>
      <c r="K9998">
        <v>1</v>
      </c>
      <c r="L9998">
        <v>0.99670836076365998</v>
      </c>
      <c r="M9998">
        <v>0.988188976377953</v>
      </c>
      <c r="N9998">
        <v>0.988188976377953</v>
      </c>
      <c r="O9998">
        <v>0.988188976377953</v>
      </c>
      <c r="AF9998" t="s">
        <v>20239</v>
      </c>
    </row>
    <row r="9999" spans="1:32" hidden="1" x14ac:dyDescent="0.35">
      <c r="A9999">
        <v>9998</v>
      </c>
      <c r="B9999" t="s">
        <v>20238</v>
      </c>
      <c r="C9999" t="s">
        <v>33</v>
      </c>
      <c r="D9999" t="s">
        <v>45</v>
      </c>
      <c r="E9999">
        <v>2037</v>
      </c>
      <c r="F9999">
        <v>2</v>
      </c>
      <c r="G9999">
        <v>2</v>
      </c>
      <c r="H9999">
        <v>1</v>
      </c>
      <c r="I9999">
        <v>0</v>
      </c>
      <c r="J9999">
        <v>0.99343832020997402</v>
      </c>
      <c r="K9999">
        <v>1</v>
      </c>
      <c r="L9999">
        <v>0.99670836076365998</v>
      </c>
      <c r="M9999">
        <v>0.988188976377953</v>
      </c>
      <c r="N9999">
        <v>0.988188976377953</v>
      </c>
      <c r="O9999">
        <v>0.988188976377953</v>
      </c>
      <c r="AF9999" t="s">
        <v>20240</v>
      </c>
    </row>
    <row r="10000" spans="1:32" hidden="1" x14ac:dyDescent="0.35">
      <c r="A10000">
        <v>9999</v>
      </c>
      <c r="B10000" t="s">
        <v>20241</v>
      </c>
      <c r="C10000" t="s">
        <v>33</v>
      </c>
      <c r="D10000" t="s">
        <v>60</v>
      </c>
      <c r="E10000">
        <v>812</v>
      </c>
      <c r="F10000">
        <v>2</v>
      </c>
      <c r="G10000">
        <v>2</v>
      </c>
      <c r="H10000">
        <v>1</v>
      </c>
      <c r="I10000">
        <v>0</v>
      </c>
      <c r="J10000">
        <v>0.98399999999999999</v>
      </c>
      <c r="K10000">
        <v>1</v>
      </c>
      <c r="L10000">
        <v>0.99193548387096797</v>
      </c>
      <c r="M10000">
        <v>0.98399999999999999</v>
      </c>
      <c r="N10000">
        <v>0.98399999999999999</v>
      </c>
      <c r="O10000">
        <v>0.98399999999999999</v>
      </c>
      <c r="P10000" t="s">
        <v>20242</v>
      </c>
      <c r="Q10000" t="s">
        <v>20243</v>
      </c>
      <c r="R10000" t="s">
        <v>9303</v>
      </c>
      <c r="S10000" t="s">
        <v>9304</v>
      </c>
      <c r="V10000" t="s">
        <v>20244</v>
      </c>
      <c r="W10000" t="s">
        <v>20245</v>
      </c>
      <c r="AF10000" t="s">
        <v>20246</v>
      </c>
    </row>
    <row r="10001" spans="1:32" hidden="1" x14ac:dyDescent="0.35">
      <c r="A10001">
        <v>10000</v>
      </c>
      <c r="B10001" t="s">
        <v>20241</v>
      </c>
      <c r="C10001" t="s">
        <v>33</v>
      </c>
      <c r="D10001" t="s">
        <v>62</v>
      </c>
      <c r="E10001">
        <v>845</v>
      </c>
      <c r="F10001">
        <v>2</v>
      </c>
      <c r="G10001">
        <v>2</v>
      </c>
      <c r="H10001">
        <v>1</v>
      </c>
      <c r="I10001">
        <v>0</v>
      </c>
      <c r="J10001">
        <v>0.98399999999999999</v>
      </c>
      <c r="K10001">
        <v>1</v>
      </c>
      <c r="L10001">
        <v>0.99193548387096797</v>
      </c>
      <c r="M10001">
        <v>0.98399999999999999</v>
      </c>
      <c r="N10001">
        <v>0.98399999999999999</v>
      </c>
      <c r="O10001">
        <v>0.98399999999999999</v>
      </c>
      <c r="P10001" t="s">
        <v>369</v>
      </c>
      <c r="Q10001" t="s">
        <v>370</v>
      </c>
      <c r="R10001" t="s">
        <v>371</v>
      </c>
      <c r="S10001" t="s">
        <v>372</v>
      </c>
      <c r="V10001" t="s">
        <v>20247</v>
      </c>
      <c r="W10001" t="s">
        <v>20248</v>
      </c>
      <c r="AF10001" t="s">
        <v>20249</v>
      </c>
    </row>
    <row r="10002" spans="1:32" hidden="1" x14ac:dyDescent="0.35">
      <c r="A10002">
        <v>10001</v>
      </c>
      <c r="B10002" t="s">
        <v>20250</v>
      </c>
      <c r="C10002" t="s">
        <v>33</v>
      </c>
      <c r="D10002" t="s">
        <v>34</v>
      </c>
      <c r="E10002">
        <v>2261</v>
      </c>
      <c r="F10002">
        <v>2</v>
      </c>
      <c r="G10002">
        <v>2</v>
      </c>
      <c r="H10002">
        <v>1</v>
      </c>
      <c r="I10002">
        <v>0</v>
      </c>
      <c r="J10002">
        <v>0.99342105263157898</v>
      </c>
      <c r="K10002">
        <v>1</v>
      </c>
      <c r="L10002">
        <v>0.99669966996699699</v>
      </c>
      <c r="M10002">
        <v>0.99342105263157898</v>
      </c>
      <c r="N10002">
        <v>0.99342105263157898</v>
      </c>
      <c r="O10002">
        <v>0.99342105263157898</v>
      </c>
      <c r="AF10002" t="s">
        <v>20251</v>
      </c>
    </row>
    <row r="10003" spans="1:32" hidden="1" x14ac:dyDescent="0.35">
      <c r="A10003">
        <v>10002</v>
      </c>
      <c r="B10003" t="s">
        <v>20250</v>
      </c>
      <c r="C10003" t="s">
        <v>33</v>
      </c>
      <c r="D10003" t="s">
        <v>45</v>
      </c>
      <c r="E10003">
        <v>616</v>
      </c>
      <c r="F10003">
        <v>2</v>
      </c>
      <c r="G10003">
        <v>2</v>
      </c>
      <c r="H10003">
        <v>1</v>
      </c>
      <c r="I10003">
        <v>0</v>
      </c>
      <c r="J10003">
        <v>0.99342105263157898</v>
      </c>
      <c r="K10003">
        <v>1</v>
      </c>
      <c r="L10003">
        <v>0.99669966996699699</v>
      </c>
      <c r="M10003">
        <v>0.99342105263157898</v>
      </c>
      <c r="N10003">
        <v>0.99342105263157898</v>
      </c>
      <c r="O10003">
        <v>0.99342105263157898</v>
      </c>
      <c r="AF10003" t="s">
        <v>20252</v>
      </c>
    </row>
    <row r="10004" spans="1:32" hidden="1" x14ac:dyDescent="0.35">
      <c r="A10004">
        <v>10003</v>
      </c>
      <c r="B10004" t="s">
        <v>20253</v>
      </c>
      <c r="C10004" t="s">
        <v>33</v>
      </c>
      <c r="D10004" t="s">
        <v>60</v>
      </c>
      <c r="E10004">
        <v>92</v>
      </c>
      <c r="F10004">
        <v>2</v>
      </c>
      <c r="G10004">
        <v>2</v>
      </c>
      <c r="H10004">
        <v>1</v>
      </c>
      <c r="I10004">
        <v>0</v>
      </c>
      <c r="J10004">
        <v>0.89408099688473497</v>
      </c>
      <c r="K10004">
        <v>0.97594336125732295</v>
      </c>
      <c r="L10004">
        <v>0.93322037174202499</v>
      </c>
      <c r="M10004">
        <v>0.86018237082066895</v>
      </c>
      <c r="N10004">
        <v>0.86018237082066895</v>
      </c>
      <c r="O10004">
        <v>0.86018237082066895</v>
      </c>
      <c r="AF10004" t="s">
        <v>20254</v>
      </c>
    </row>
    <row r="10005" spans="1:32" hidden="1" x14ac:dyDescent="0.35">
      <c r="A10005">
        <v>10004</v>
      </c>
      <c r="B10005" t="s">
        <v>20253</v>
      </c>
      <c r="C10005" t="s">
        <v>33</v>
      </c>
      <c r="D10005" t="s">
        <v>62</v>
      </c>
      <c r="E10005">
        <v>164</v>
      </c>
      <c r="F10005">
        <v>2</v>
      </c>
      <c r="G10005">
        <v>2</v>
      </c>
      <c r="H10005">
        <v>1</v>
      </c>
      <c r="I10005">
        <v>0</v>
      </c>
      <c r="J10005">
        <v>0.89408099688473497</v>
      </c>
      <c r="K10005">
        <v>0.97594336125732295</v>
      </c>
      <c r="L10005">
        <v>0.93322037174202499</v>
      </c>
      <c r="M10005">
        <v>0.86018237082066895</v>
      </c>
      <c r="N10005">
        <v>0.86018237082066895</v>
      </c>
      <c r="O10005">
        <v>0.86018237082066895</v>
      </c>
      <c r="AF10005" t="s">
        <v>20255</v>
      </c>
    </row>
    <row r="10006" spans="1:32" hidden="1" x14ac:dyDescent="0.35">
      <c r="A10006">
        <v>10005</v>
      </c>
      <c r="B10006" t="s">
        <v>20256</v>
      </c>
      <c r="C10006" t="s">
        <v>33</v>
      </c>
      <c r="D10006" t="s">
        <v>60</v>
      </c>
      <c r="E10006">
        <v>1202</v>
      </c>
      <c r="F10006">
        <v>2</v>
      </c>
      <c r="G10006">
        <v>2</v>
      </c>
      <c r="H10006">
        <v>1</v>
      </c>
      <c r="I10006">
        <v>0</v>
      </c>
      <c r="J10006">
        <v>0.967592592592593</v>
      </c>
      <c r="K10006">
        <v>1</v>
      </c>
      <c r="L10006">
        <v>0.98352941176470599</v>
      </c>
      <c r="M10006">
        <v>0.95833333333333304</v>
      </c>
      <c r="N10006">
        <v>0.95833333333333304</v>
      </c>
      <c r="O10006">
        <v>0.95833333333333304</v>
      </c>
      <c r="AF10006" t="s">
        <v>20257</v>
      </c>
    </row>
    <row r="10007" spans="1:32" hidden="1" x14ac:dyDescent="0.35">
      <c r="A10007">
        <v>10006</v>
      </c>
      <c r="B10007" t="s">
        <v>20256</v>
      </c>
      <c r="C10007" t="s">
        <v>33</v>
      </c>
      <c r="D10007" t="s">
        <v>62</v>
      </c>
      <c r="E10007">
        <v>1239</v>
      </c>
      <c r="F10007">
        <v>2</v>
      </c>
      <c r="G10007">
        <v>2</v>
      </c>
      <c r="H10007">
        <v>1</v>
      </c>
      <c r="I10007">
        <v>0</v>
      </c>
      <c r="J10007">
        <v>0.967592592592593</v>
      </c>
      <c r="K10007">
        <v>1</v>
      </c>
      <c r="L10007">
        <v>0.98352941176470599</v>
      </c>
      <c r="M10007">
        <v>0.95833333333333304</v>
      </c>
      <c r="N10007">
        <v>0.95833333333333304</v>
      </c>
      <c r="O10007">
        <v>0.95833333333333304</v>
      </c>
      <c r="AF10007" t="s">
        <v>20258</v>
      </c>
    </row>
    <row r="10008" spans="1:32" hidden="1" x14ac:dyDescent="0.35">
      <c r="A10008">
        <v>10007</v>
      </c>
      <c r="B10008" t="s">
        <v>20259</v>
      </c>
      <c r="C10008" t="s">
        <v>33</v>
      </c>
      <c r="D10008" t="s">
        <v>60</v>
      </c>
      <c r="E10008">
        <v>2230</v>
      </c>
      <c r="F10008">
        <v>2</v>
      </c>
      <c r="G10008">
        <v>2</v>
      </c>
      <c r="H10008">
        <v>1</v>
      </c>
      <c r="I10008">
        <v>0</v>
      </c>
      <c r="J10008">
        <v>0.98369210697977805</v>
      </c>
      <c r="K10008">
        <v>1</v>
      </c>
      <c r="L10008">
        <v>0.99177902005919105</v>
      </c>
      <c r="M10008">
        <v>0.98238747553815997</v>
      </c>
      <c r="N10008">
        <v>0.98238747553815997</v>
      </c>
      <c r="O10008">
        <v>0.98238747553815997</v>
      </c>
      <c r="P10008" t="s">
        <v>20260</v>
      </c>
      <c r="Q10008" t="s">
        <v>20261</v>
      </c>
      <c r="R10008" t="s">
        <v>319</v>
      </c>
      <c r="S10008" t="s">
        <v>320</v>
      </c>
      <c r="T10008" t="s">
        <v>20262</v>
      </c>
      <c r="U10008" t="s">
        <v>20263</v>
      </c>
      <c r="V10008" t="s">
        <v>20264</v>
      </c>
      <c r="W10008" t="s">
        <v>20265</v>
      </c>
      <c r="AD10008" t="s">
        <v>951</v>
      </c>
      <c r="AE10008" t="s">
        <v>20266</v>
      </c>
      <c r="AF10008" t="s">
        <v>20267</v>
      </c>
    </row>
    <row r="10009" spans="1:32" hidden="1" x14ac:dyDescent="0.35">
      <c r="A10009">
        <v>10008</v>
      </c>
      <c r="B10009" t="s">
        <v>20259</v>
      </c>
      <c r="C10009" t="s">
        <v>33</v>
      </c>
      <c r="D10009" t="s">
        <v>62</v>
      </c>
      <c r="E10009">
        <v>2260</v>
      </c>
      <c r="F10009">
        <v>2</v>
      </c>
      <c r="G10009">
        <v>2</v>
      </c>
      <c r="H10009">
        <v>1</v>
      </c>
      <c r="I10009">
        <v>0</v>
      </c>
      <c r="J10009">
        <v>0.98369210697977805</v>
      </c>
      <c r="K10009">
        <v>1</v>
      </c>
      <c r="L10009">
        <v>0.99177902005919105</v>
      </c>
      <c r="M10009">
        <v>0.98238747553815997</v>
      </c>
      <c r="N10009">
        <v>0.98238747553815997</v>
      </c>
      <c r="O10009">
        <v>0.98238747553815997</v>
      </c>
      <c r="P10009" t="s">
        <v>20260</v>
      </c>
      <c r="Q10009" t="s">
        <v>20261</v>
      </c>
      <c r="R10009" t="s">
        <v>319</v>
      </c>
      <c r="S10009" t="s">
        <v>320</v>
      </c>
      <c r="T10009" t="s">
        <v>20262</v>
      </c>
      <c r="U10009" t="s">
        <v>20263</v>
      </c>
      <c r="V10009" t="s">
        <v>20264</v>
      </c>
      <c r="W10009" t="s">
        <v>20265</v>
      </c>
      <c r="AD10009" t="s">
        <v>951</v>
      </c>
      <c r="AE10009" t="s">
        <v>20266</v>
      </c>
      <c r="AF10009" t="s">
        <v>20268</v>
      </c>
    </row>
    <row r="10010" spans="1:32" hidden="1" x14ac:dyDescent="0.35">
      <c r="A10010">
        <v>10009</v>
      </c>
      <c r="B10010" t="s">
        <v>20269</v>
      </c>
      <c r="C10010" t="s">
        <v>33</v>
      </c>
      <c r="D10010" t="s">
        <v>34</v>
      </c>
      <c r="E10010">
        <v>825</v>
      </c>
      <c r="F10010">
        <v>2</v>
      </c>
      <c r="G10010">
        <v>2</v>
      </c>
      <c r="H10010">
        <v>1</v>
      </c>
      <c r="I10010">
        <v>0</v>
      </c>
      <c r="J10010">
        <v>0.88749999999999996</v>
      </c>
      <c r="K10010">
        <v>0.70718594282717095</v>
      </c>
      <c r="L10010">
        <v>0.78714875124115302</v>
      </c>
      <c r="M10010">
        <v>0.54032258064516103</v>
      </c>
      <c r="N10010">
        <v>0.54032258064516103</v>
      </c>
      <c r="O10010">
        <v>0.54032258064516103</v>
      </c>
      <c r="AF10010" t="e">
        <f>--------------------------------------------MARECGCGTCASIEFALDGVPVLPLRSDETLLAYDVRQDALVIVHIINDVIRELEVAPVQNTVVTTPNPDALDFSGWSEP</f>
        <v>#NAME?</v>
      </c>
    </row>
    <row r="10011" spans="1:32" hidden="1" x14ac:dyDescent="0.35">
      <c r="A10011">
        <v>10010</v>
      </c>
      <c r="B10011" t="s">
        <v>20269</v>
      </c>
      <c r="C10011" t="s">
        <v>33</v>
      </c>
      <c r="D10011" t="s">
        <v>45</v>
      </c>
      <c r="E10011">
        <v>2082</v>
      </c>
      <c r="F10011">
        <v>2</v>
      </c>
      <c r="G10011">
        <v>2</v>
      </c>
      <c r="H10011">
        <v>1</v>
      </c>
      <c r="I10011">
        <v>0</v>
      </c>
      <c r="J10011">
        <v>0.88749999999999996</v>
      </c>
      <c r="K10011">
        <v>0.70718594282717095</v>
      </c>
      <c r="L10011">
        <v>0.78714875124115302</v>
      </c>
      <c r="M10011">
        <v>0.54032258064516103</v>
      </c>
      <c r="N10011">
        <v>0.54032258064516103</v>
      </c>
      <c r="O10011">
        <v>0.54032258064516103</v>
      </c>
      <c r="AF10011" t="s">
        <v>20270</v>
      </c>
    </row>
    <row r="10012" spans="1:32" hidden="1" x14ac:dyDescent="0.35">
      <c r="A10012">
        <v>10011</v>
      </c>
      <c r="B10012" t="s">
        <v>20271</v>
      </c>
      <c r="C10012" t="s">
        <v>33</v>
      </c>
      <c r="D10012" t="s">
        <v>60</v>
      </c>
      <c r="E10012">
        <v>1879</v>
      </c>
      <c r="F10012">
        <v>2</v>
      </c>
      <c r="G10012">
        <v>2</v>
      </c>
      <c r="H10012">
        <v>1</v>
      </c>
      <c r="I10012">
        <v>0</v>
      </c>
      <c r="J10012">
        <v>0.99159663865546199</v>
      </c>
      <c r="K10012">
        <v>1</v>
      </c>
      <c r="L10012">
        <v>0.99578059071729996</v>
      </c>
      <c r="M10012">
        <v>0.99159663865546199</v>
      </c>
      <c r="N10012">
        <v>0.99159663865546199</v>
      </c>
      <c r="O10012">
        <v>0.99159663865546199</v>
      </c>
      <c r="P10012" t="s">
        <v>4625</v>
      </c>
      <c r="Q10012" t="s">
        <v>4626</v>
      </c>
      <c r="R10012" t="s">
        <v>113</v>
      </c>
      <c r="S10012" t="s">
        <v>114</v>
      </c>
      <c r="V10012" t="s">
        <v>10757</v>
      </c>
      <c r="W10012" t="s">
        <v>10758</v>
      </c>
      <c r="AF10012" t="s">
        <v>20272</v>
      </c>
    </row>
    <row r="10013" spans="1:32" hidden="1" x14ac:dyDescent="0.35">
      <c r="A10013">
        <v>10012</v>
      </c>
      <c r="B10013" t="s">
        <v>20271</v>
      </c>
      <c r="C10013" t="s">
        <v>33</v>
      </c>
      <c r="D10013" t="s">
        <v>62</v>
      </c>
      <c r="E10013">
        <v>1918</v>
      </c>
      <c r="F10013">
        <v>2</v>
      </c>
      <c r="G10013">
        <v>2</v>
      </c>
      <c r="H10013">
        <v>1</v>
      </c>
      <c r="I10013">
        <v>0</v>
      </c>
      <c r="J10013">
        <v>0.99159663865546199</v>
      </c>
      <c r="K10013">
        <v>1</v>
      </c>
      <c r="L10013">
        <v>0.99578059071729996</v>
      </c>
      <c r="M10013">
        <v>0.99159663865546199</v>
      </c>
      <c r="N10013">
        <v>0.99159663865546199</v>
      </c>
      <c r="O10013">
        <v>0.99159663865546199</v>
      </c>
      <c r="P10013" t="s">
        <v>4625</v>
      </c>
      <c r="Q10013" t="s">
        <v>4626</v>
      </c>
      <c r="R10013" t="s">
        <v>113</v>
      </c>
      <c r="S10013" t="s">
        <v>114</v>
      </c>
      <c r="V10013" t="s">
        <v>10757</v>
      </c>
      <c r="W10013" t="s">
        <v>10758</v>
      </c>
      <c r="AF10013" t="s">
        <v>20273</v>
      </c>
    </row>
    <row r="10014" spans="1:32" hidden="1" x14ac:dyDescent="0.35">
      <c r="A10014">
        <v>10013</v>
      </c>
      <c r="B10014" t="s">
        <v>20274</v>
      </c>
      <c r="C10014" t="s">
        <v>33</v>
      </c>
      <c r="D10014" t="s">
        <v>34</v>
      </c>
      <c r="E10014">
        <v>2500</v>
      </c>
      <c r="F10014">
        <v>2</v>
      </c>
      <c r="G10014">
        <v>2</v>
      </c>
      <c r="H10014">
        <v>1</v>
      </c>
      <c r="I10014">
        <v>0</v>
      </c>
      <c r="J10014">
        <v>0.99175257731958799</v>
      </c>
      <c r="K10014">
        <v>0.99183678595423996</v>
      </c>
      <c r="L10014">
        <v>0.991794679849474</v>
      </c>
      <c r="M10014">
        <v>0.98159509202453998</v>
      </c>
      <c r="N10014">
        <v>0.98159509202453998</v>
      </c>
      <c r="O10014">
        <v>0.98159509202453998</v>
      </c>
      <c r="P10014" t="s">
        <v>13229</v>
      </c>
      <c r="Q10014" t="s">
        <v>13230</v>
      </c>
      <c r="R10014" t="s">
        <v>516</v>
      </c>
      <c r="S10014" t="s">
        <v>517</v>
      </c>
      <c r="T10014" t="s">
        <v>13231</v>
      </c>
      <c r="U10014" t="s">
        <v>13232</v>
      </c>
      <c r="V10014" t="s">
        <v>13233</v>
      </c>
      <c r="W10014" t="s">
        <v>13234</v>
      </c>
      <c r="AD10014" t="s">
        <v>166</v>
      </c>
      <c r="AE10014" t="s">
        <v>167</v>
      </c>
      <c r="AF10014" t="s">
        <v>20275</v>
      </c>
    </row>
    <row r="10015" spans="1:32" hidden="1" x14ac:dyDescent="0.35">
      <c r="A10015">
        <v>10014</v>
      </c>
      <c r="B10015" t="s">
        <v>20274</v>
      </c>
      <c r="C10015" t="s">
        <v>33</v>
      </c>
      <c r="D10015" t="s">
        <v>45</v>
      </c>
      <c r="E10015">
        <v>401</v>
      </c>
      <c r="F10015">
        <v>2</v>
      </c>
      <c r="G10015">
        <v>2</v>
      </c>
      <c r="H10015">
        <v>1</v>
      </c>
      <c r="I10015">
        <v>0</v>
      </c>
      <c r="J10015">
        <v>0.99175257731958799</v>
      </c>
      <c r="K10015">
        <v>0.99183678595423996</v>
      </c>
      <c r="L10015">
        <v>0.991794679849474</v>
      </c>
      <c r="M10015">
        <v>0.98159509202453998</v>
      </c>
      <c r="N10015">
        <v>0.98159509202453998</v>
      </c>
      <c r="O10015">
        <v>0.98159509202453998</v>
      </c>
      <c r="P10015" t="s">
        <v>13229</v>
      </c>
      <c r="Q10015" t="s">
        <v>13230</v>
      </c>
      <c r="R10015" t="s">
        <v>516</v>
      </c>
      <c r="S10015" t="s">
        <v>517</v>
      </c>
      <c r="T10015" t="s">
        <v>13231</v>
      </c>
      <c r="U10015" t="s">
        <v>13232</v>
      </c>
      <c r="V10015" t="s">
        <v>13233</v>
      </c>
      <c r="W10015" t="s">
        <v>13234</v>
      </c>
      <c r="AD10015" t="s">
        <v>166</v>
      </c>
      <c r="AE10015" t="s">
        <v>167</v>
      </c>
      <c r="AF10015" t="s">
        <v>20276</v>
      </c>
    </row>
    <row r="10016" spans="1:32" hidden="1" x14ac:dyDescent="0.35">
      <c r="A10016">
        <v>10015</v>
      </c>
      <c r="B10016" t="s">
        <v>20277</v>
      </c>
      <c r="C10016" t="s">
        <v>33</v>
      </c>
      <c r="D10016" t="s">
        <v>60</v>
      </c>
      <c r="E10016">
        <v>1884</v>
      </c>
      <c r="F10016">
        <v>2</v>
      </c>
      <c r="G10016">
        <v>2</v>
      </c>
      <c r="H10016">
        <v>1</v>
      </c>
      <c r="I10016">
        <v>0</v>
      </c>
      <c r="J10016">
        <v>0.99964985994397804</v>
      </c>
      <c r="K10016">
        <v>1</v>
      </c>
      <c r="L10016">
        <v>0.99982489931710705</v>
      </c>
      <c r="M10016">
        <v>0.998949579831933</v>
      </c>
      <c r="N10016">
        <v>0.998949579831933</v>
      </c>
      <c r="O10016">
        <v>0.998949579831933</v>
      </c>
      <c r="P10016" t="s">
        <v>10443</v>
      </c>
      <c r="Q10016" t="s">
        <v>10444</v>
      </c>
      <c r="R10016" t="s">
        <v>5180</v>
      </c>
      <c r="S10016" t="s">
        <v>5181</v>
      </c>
      <c r="T10016" t="s">
        <v>17399</v>
      </c>
      <c r="U10016" t="s">
        <v>17400</v>
      </c>
      <c r="V10016" t="s">
        <v>10445</v>
      </c>
      <c r="W10016" t="s">
        <v>10446</v>
      </c>
      <c r="AD10016" t="s">
        <v>125</v>
      </c>
      <c r="AE10016" t="s">
        <v>17401</v>
      </c>
      <c r="AF10016" t="s">
        <v>20278</v>
      </c>
    </row>
    <row r="10017" spans="1:32" hidden="1" x14ac:dyDescent="0.35">
      <c r="A10017">
        <v>10016</v>
      </c>
      <c r="B10017" t="s">
        <v>20277</v>
      </c>
      <c r="C10017" t="s">
        <v>33</v>
      </c>
      <c r="D10017" t="s">
        <v>62</v>
      </c>
      <c r="E10017">
        <v>1924</v>
      </c>
      <c r="F10017">
        <v>2</v>
      </c>
      <c r="G10017">
        <v>2</v>
      </c>
      <c r="H10017">
        <v>1</v>
      </c>
      <c r="I10017">
        <v>0</v>
      </c>
      <c r="J10017">
        <v>0.99964985994397804</v>
      </c>
      <c r="K10017">
        <v>1</v>
      </c>
      <c r="L10017">
        <v>0.99982489931710705</v>
      </c>
      <c r="M10017">
        <v>0.998949579831933</v>
      </c>
      <c r="N10017">
        <v>0.998949579831933</v>
      </c>
      <c r="O10017">
        <v>0.998949579831933</v>
      </c>
      <c r="P10017" t="s">
        <v>10443</v>
      </c>
      <c r="Q10017" t="s">
        <v>10444</v>
      </c>
      <c r="R10017" t="s">
        <v>5180</v>
      </c>
      <c r="S10017" t="s">
        <v>5181</v>
      </c>
      <c r="T10017" t="s">
        <v>17399</v>
      </c>
      <c r="U10017" t="s">
        <v>17400</v>
      </c>
      <c r="V10017" t="s">
        <v>10445</v>
      </c>
      <c r="W10017" t="s">
        <v>10446</v>
      </c>
      <c r="AD10017" t="s">
        <v>125</v>
      </c>
      <c r="AE10017" t="s">
        <v>17401</v>
      </c>
      <c r="AF10017" t="s">
        <v>20279</v>
      </c>
    </row>
    <row r="10018" spans="1:32" hidden="1" x14ac:dyDescent="0.35">
      <c r="A10018">
        <v>10017</v>
      </c>
      <c r="B10018" t="s">
        <v>20280</v>
      </c>
      <c r="C10018" t="s">
        <v>33</v>
      </c>
      <c r="D10018" t="s">
        <v>60</v>
      </c>
      <c r="E10018">
        <v>146</v>
      </c>
      <c r="F10018">
        <v>2</v>
      </c>
      <c r="G10018">
        <v>2</v>
      </c>
      <c r="H10018">
        <v>1</v>
      </c>
      <c r="I10018">
        <v>0</v>
      </c>
      <c r="J10018">
        <v>0.97655259822560203</v>
      </c>
      <c r="K10018">
        <v>1</v>
      </c>
      <c r="L10018">
        <v>0.98813722346906097</v>
      </c>
      <c r="M10018">
        <v>0.96387832699619802</v>
      </c>
      <c r="N10018">
        <v>0.96387832699619802</v>
      </c>
      <c r="O10018">
        <v>0.96387832699619802</v>
      </c>
      <c r="P10018" t="s">
        <v>13962</v>
      </c>
      <c r="Q10018" t="s">
        <v>13963</v>
      </c>
      <c r="AF10018" t="s">
        <v>20281</v>
      </c>
    </row>
    <row r="10019" spans="1:32" hidden="1" x14ac:dyDescent="0.35">
      <c r="A10019">
        <v>10018</v>
      </c>
      <c r="B10019" t="s">
        <v>20280</v>
      </c>
      <c r="C10019" t="s">
        <v>33</v>
      </c>
      <c r="D10019" t="s">
        <v>62</v>
      </c>
      <c r="E10019">
        <v>222</v>
      </c>
      <c r="F10019">
        <v>2</v>
      </c>
      <c r="G10019">
        <v>2</v>
      </c>
      <c r="H10019">
        <v>1</v>
      </c>
      <c r="I10019">
        <v>0</v>
      </c>
      <c r="J10019">
        <v>0.97655259822560203</v>
      </c>
      <c r="K10019">
        <v>1</v>
      </c>
      <c r="L10019">
        <v>0.98813722346906097</v>
      </c>
      <c r="M10019">
        <v>0.96387832699619802</v>
      </c>
      <c r="N10019">
        <v>0.96387832699619802</v>
      </c>
      <c r="O10019">
        <v>0.96387832699619802</v>
      </c>
      <c r="P10019" t="s">
        <v>13962</v>
      </c>
      <c r="Q10019" t="s">
        <v>13963</v>
      </c>
      <c r="AF10019" t="s">
        <v>20282</v>
      </c>
    </row>
    <row r="10020" spans="1:32" hidden="1" x14ac:dyDescent="0.35">
      <c r="A10020">
        <v>10019</v>
      </c>
      <c r="B10020" t="s">
        <v>20283</v>
      </c>
      <c r="C10020" t="s">
        <v>33</v>
      </c>
      <c r="D10020" t="s">
        <v>60</v>
      </c>
      <c r="E10020">
        <v>194</v>
      </c>
      <c r="F10020">
        <v>2</v>
      </c>
      <c r="G10020">
        <v>2</v>
      </c>
      <c r="H10020">
        <v>1</v>
      </c>
      <c r="I10020">
        <v>0</v>
      </c>
      <c r="J10020">
        <v>0.99082568807339499</v>
      </c>
      <c r="K10020">
        <v>1</v>
      </c>
      <c r="L10020">
        <v>0.995391705069124</v>
      </c>
      <c r="M10020">
        <v>0.99082568807339499</v>
      </c>
      <c r="N10020">
        <v>0.99082568807339499</v>
      </c>
      <c r="O10020">
        <v>0.99082568807339499</v>
      </c>
      <c r="P10020" t="s">
        <v>14524</v>
      </c>
      <c r="Q10020" t="s">
        <v>14525</v>
      </c>
      <c r="R10020" t="s">
        <v>342</v>
      </c>
      <c r="S10020" t="s">
        <v>343</v>
      </c>
      <c r="V10020" t="s">
        <v>20284</v>
      </c>
      <c r="W10020" t="s">
        <v>20285</v>
      </c>
      <c r="AF10020" t="s">
        <v>20286</v>
      </c>
    </row>
    <row r="10021" spans="1:32" hidden="1" x14ac:dyDescent="0.35">
      <c r="A10021">
        <v>10020</v>
      </c>
      <c r="B10021" t="s">
        <v>20283</v>
      </c>
      <c r="C10021" t="s">
        <v>33</v>
      </c>
      <c r="D10021" t="s">
        <v>62</v>
      </c>
      <c r="E10021">
        <v>271</v>
      </c>
      <c r="F10021">
        <v>2</v>
      </c>
      <c r="G10021">
        <v>2</v>
      </c>
      <c r="H10021">
        <v>1</v>
      </c>
      <c r="I10021">
        <v>0</v>
      </c>
      <c r="J10021">
        <v>0.99082568807339499</v>
      </c>
      <c r="K10021">
        <v>1</v>
      </c>
      <c r="L10021">
        <v>0.995391705069124</v>
      </c>
      <c r="M10021">
        <v>0.99082568807339499</v>
      </c>
      <c r="N10021">
        <v>0.99082568807339499</v>
      </c>
      <c r="O10021">
        <v>0.99082568807339499</v>
      </c>
      <c r="P10021" t="s">
        <v>14524</v>
      </c>
      <c r="Q10021" t="s">
        <v>14525</v>
      </c>
      <c r="R10021" t="s">
        <v>342</v>
      </c>
      <c r="S10021" t="s">
        <v>343</v>
      </c>
      <c r="V10021" t="s">
        <v>20284</v>
      </c>
      <c r="W10021" t="s">
        <v>20285</v>
      </c>
      <c r="AF10021" t="s">
        <v>20287</v>
      </c>
    </row>
    <row r="10022" spans="1:32" hidden="1" x14ac:dyDescent="0.35">
      <c r="A10022">
        <v>10021</v>
      </c>
      <c r="B10022" t="s">
        <v>20288</v>
      </c>
      <c r="C10022" t="s">
        <v>33</v>
      </c>
      <c r="D10022" t="s">
        <v>34</v>
      </c>
      <c r="E10022">
        <v>109</v>
      </c>
      <c r="F10022">
        <v>2</v>
      </c>
      <c r="G10022">
        <v>2</v>
      </c>
      <c r="H10022">
        <v>1</v>
      </c>
      <c r="I10022">
        <v>0</v>
      </c>
      <c r="J10022">
        <v>0.98355754857997002</v>
      </c>
      <c r="K10022">
        <v>1</v>
      </c>
      <c r="L10022">
        <v>0.99171062547098698</v>
      </c>
      <c r="M10022">
        <v>0.97757847533632303</v>
      </c>
      <c r="N10022">
        <v>0.97757847533632303</v>
      </c>
      <c r="O10022">
        <v>0.97757847533632303</v>
      </c>
      <c r="P10022" t="s">
        <v>20289</v>
      </c>
      <c r="Q10022" t="s">
        <v>10345</v>
      </c>
      <c r="R10022" t="s">
        <v>113</v>
      </c>
      <c r="S10022" t="s">
        <v>114</v>
      </c>
      <c r="V10022" t="s">
        <v>2167</v>
      </c>
      <c r="W10022" t="s">
        <v>2168</v>
      </c>
      <c r="AF10022" t="s">
        <v>20290</v>
      </c>
    </row>
    <row r="10023" spans="1:32" hidden="1" x14ac:dyDescent="0.35">
      <c r="A10023">
        <v>10022</v>
      </c>
      <c r="B10023" t="s">
        <v>20288</v>
      </c>
      <c r="C10023" t="s">
        <v>33</v>
      </c>
      <c r="D10023" t="s">
        <v>45</v>
      </c>
      <c r="E10023">
        <v>1371</v>
      </c>
      <c r="F10023">
        <v>2</v>
      </c>
      <c r="G10023">
        <v>2</v>
      </c>
      <c r="H10023">
        <v>1</v>
      </c>
      <c r="I10023">
        <v>0</v>
      </c>
      <c r="J10023">
        <v>0.98355754857997002</v>
      </c>
      <c r="K10023">
        <v>1</v>
      </c>
      <c r="L10023">
        <v>0.99171062547098698</v>
      </c>
      <c r="M10023">
        <v>0.97757847533632303</v>
      </c>
      <c r="N10023">
        <v>0.97757847533632303</v>
      </c>
      <c r="O10023">
        <v>0.97757847533632303</v>
      </c>
      <c r="P10023" t="s">
        <v>20289</v>
      </c>
      <c r="Q10023" t="s">
        <v>10345</v>
      </c>
      <c r="R10023" t="s">
        <v>113</v>
      </c>
      <c r="S10023" t="s">
        <v>114</v>
      </c>
      <c r="V10023" t="s">
        <v>2167</v>
      </c>
      <c r="W10023" t="s">
        <v>2168</v>
      </c>
      <c r="AF10023" t="s">
        <v>20291</v>
      </c>
    </row>
    <row r="10024" spans="1:32" hidden="1" x14ac:dyDescent="0.35">
      <c r="A10024">
        <v>10023</v>
      </c>
      <c r="B10024" t="s">
        <v>20292</v>
      </c>
      <c r="C10024" t="s">
        <v>33</v>
      </c>
      <c r="D10024" t="s">
        <v>60</v>
      </c>
      <c r="E10024">
        <v>443</v>
      </c>
      <c r="F10024">
        <v>2</v>
      </c>
      <c r="G10024">
        <v>2</v>
      </c>
      <c r="H10024">
        <v>1</v>
      </c>
      <c r="I10024">
        <v>0</v>
      </c>
      <c r="J10024">
        <v>0.99171842650103503</v>
      </c>
      <c r="K10024">
        <v>1</v>
      </c>
      <c r="L10024">
        <v>0.99584199584199595</v>
      </c>
      <c r="M10024">
        <v>0.98757763975155299</v>
      </c>
      <c r="N10024">
        <v>0.98757763975155299</v>
      </c>
      <c r="O10024">
        <v>0.98757763975155299</v>
      </c>
      <c r="AF10024" t="s">
        <v>20293</v>
      </c>
    </row>
    <row r="10025" spans="1:32" hidden="1" x14ac:dyDescent="0.35">
      <c r="A10025">
        <v>10024</v>
      </c>
      <c r="B10025" t="s">
        <v>20292</v>
      </c>
      <c r="C10025" t="s">
        <v>33</v>
      </c>
      <c r="D10025" t="s">
        <v>62</v>
      </c>
      <c r="E10025">
        <v>524</v>
      </c>
      <c r="F10025">
        <v>2</v>
      </c>
      <c r="G10025">
        <v>2</v>
      </c>
      <c r="H10025">
        <v>1</v>
      </c>
      <c r="I10025">
        <v>0</v>
      </c>
      <c r="J10025">
        <v>0.99171842650103503</v>
      </c>
      <c r="K10025">
        <v>1</v>
      </c>
      <c r="L10025">
        <v>0.99584199584199595</v>
      </c>
      <c r="M10025">
        <v>0.98757763975155299</v>
      </c>
      <c r="N10025">
        <v>0.98757763975155299</v>
      </c>
      <c r="O10025">
        <v>0.98757763975155299</v>
      </c>
      <c r="AF10025" t="s">
        <v>20294</v>
      </c>
    </row>
    <row r="10026" spans="1:32" hidden="1" x14ac:dyDescent="0.35">
      <c r="A10026">
        <v>10025</v>
      </c>
      <c r="B10026" t="s">
        <v>20295</v>
      </c>
      <c r="C10026" t="s">
        <v>33</v>
      </c>
      <c r="D10026" t="s">
        <v>34</v>
      </c>
      <c r="E10026">
        <v>264</v>
      </c>
      <c r="F10026">
        <v>2</v>
      </c>
      <c r="G10026">
        <v>2</v>
      </c>
      <c r="H10026">
        <v>1</v>
      </c>
      <c r="I10026">
        <v>0</v>
      </c>
      <c r="J10026">
        <v>0.97764227642276402</v>
      </c>
      <c r="K10026">
        <v>1</v>
      </c>
      <c r="L10026">
        <v>0.98869475847893096</v>
      </c>
      <c r="M10026">
        <v>0.97560975609756095</v>
      </c>
      <c r="N10026">
        <v>0.97560975609756095</v>
      </c>
      <c r="O10026">
        <v>0.97560975609756095</v>
      </c>
      <c r="P10026" t="s">
        <v>20296</v>
      </c>
      <c r="Q10026" t="s">
        <v>20297</v>
      </c>
      <c r="R10026" t="s">
        <v>288</v>
      </c>
      <c r="S10026" t="s">
        <v>289</v>
      </c>
      <c r="V10026" t="s">
        <v>20298</v>
      </c>
      <c r="W10026" t="s">
        <v>20299</v>
      </c>
      <c r="AF10026" t="s">
        <v>20300</v>
      </c>
    </row>
    <row r="10027" spans="1:32" hidden="1" x14ac:dyDescent="0.35">
      <c r="A10027">
        <v>10026</v>
      </c>
      <c r="B10027" t="s">
        <v>20295</v>
      </c>
      <c r="C10027" t="s">
        <v>33</v>
      </c>
      <c r="D10027" t="s">
        <v>45</v>
      </c>
      <c r="E10027">
        <v>1529</v>
      </c>
      <c r="F10027">
        <v>2</v>
      </c>
      <c r="G10027">
        <v>2</v>
      </c>
      <c r="H10027">
        <v>1</v>
      </c>
      <c r="I10027">
        <v>0</v>
      </c>
      <c r="J10027">
        <v>0.97764227642276402</v>
      </c>
      <c r="K10027">
        <v>1</v>
      </c>
      <c r="L10027">
        <v>0.98869475847893096</v>
      </c>
      <c r="M10027">
        <v>0.97560975609756095</v>
      </c>
      <c r="N10027">
        <v>0.97560975609756095</v>
      </c>
      <c r="O10027">
        <v>0.97560975609756095</v>
      </c>
      <c r="P10027" t="s">
        <v>20296</v>
      </c>
      <c r="Q10027" t="s">
        <v>20297</v>
      </c>
      <c r="R10027" t="s">
        <v>288</v>
      </c>
      <c r="S10027" t="s">
        <v>289</v>
      </c>
      <c r="V10027" t="s">
        <v>20298</v>
      </c>
      <c r="W10027" t="s">
        <v>20299</v>
      </c>
      <c r="AF10027" t="s">
        <v>20301</v>
      </c>
    </row>
    <row r="10028" spans="1:32" hidden="1" x14ac:dyDescent="0.35">
      <c r="A10028">
        <v>10027</v>
      </c>
      <c r="B10028" t="s">
        <v>20302</v>
      </c>
      <c r="C10028" t="s">
        <v>33</v>
      </c>
      <c r="D10028" t="s">
        <v>34</v>
      </c>
      <c r="E10028">
        <v>309</v>
      </c>
      <c r="F10028">
        <v>2</v>
      </c>
      <c r="G10028">
        <v>2</v>
      </c>
      <c r="H10028">
        <v>1</v>
      </c>
      <c r="I10028">
        <v>0</v>
      </c>
      <c r="J10028">
        <v>0.99722222222222201</v>
      </c>
      <c r="K10028">
        <v>1</v>
      </c>
      <c r="L10028">
        <v>0.99860917941585503</v>
      </c>
      <c r="M10028">
        <v>0.99166666666666703</v>
      </c>
      <c r="N10028">
        <v>0.99166666666666703</v>
      </c>
      <c r="O10028">
        <v>0.99166666666666703</v>
      </c>
      <c r="AF10028" t="s">
        <v>20303</v>
      </c>
    </row>
    <row r="10029" spans="1:32" hidden="1" x14ac:dyDescent="0.35">
      <c r="A10029">
        <v>10028</v>
      </c>
      <c r="B10029" t="s">
        <v>20302</v>
      </c>
      <c r="C10029" t="s">
        <v>33</v>
      </c>
      <c r="D10029" t="s">
        <v>45</v>
      </c>
      <c r="E10029">
        <v>1571</v>
      </c>
      <c r="F10029">
        <v>2</v>
      </c>
      <c r="G10029">
        <v>2</v>
      </c>
      <c r="H10029">
        <v>1</v>
      </c>
      <c r="I10029">
        <v>0</v>
      </c>
      <c r="J10029">
        <v>0.99722222222222201</v>
      </c>
      <c r="K10029">
        <v>1</v>
      </c>
      <c r="L10029">
        <v>0.99860917941585503</v>
      </c>
      <c r="M10029">
        <v>0.99166666666666703</v>
      </c>
      <c r="N10029">
        <v>0.99166666666666703</v>
      </c>
      <c r="O10029">
        <v>0.99166666666666703</v>
      </c>
      <c r="AF10029" t="s">
        <v>20304</v>
      </c>
    </row>
    <row r="10030" spans="1:32" hidden="1" x14ac:dyDescent="0.35">
      <c r="A10030">
        <v>10029</v>
      </c>
      <c r="B10030" t="s">
        <v>20305</v>
      </c>
      <c r="C10030" t="s">
        <v>33</v>
      </c>
      <c r="D10030" t="s">
        <v>34</v>
      </c>
      <c r="E10030">
        <v>236</v>
      </c>
      <c r="F10030">
        <v>2</v>
      </c>
      <c r="G10030">
        <v>2</v>
      </c>
      <c r="H10030">
        <v>1</v>
      </c>
      <c r="I10030">
        <v>0</v>
      </c>
      <c r="J10030">
        <v>0.98076923076923095</v>
      </c>
      <c r="K10030">
        <v>1</v>
      </c>
      <c r="L10030">
        <v>0.990291262135922</v>
      </c>
      <c r="M10030">
        <v>0.98076923076923095</v>
      </c>
      <c r="N10030">
        <v>0.98076923076923095</v>
      </c>
      <c r="O10030">
        <v>0.98076923076923095</v>
      </c>
      <c r="AF10030" t="s">
        <v>20306</v>
      </c>
    </row>
    <row r="10031" spans="1:32" hidden="1" x14ac:dyDescent="0.35">
      <c r="A10031">
        <v>10030</v>
      </c>
      <c r="B10031" t="s">
        <v>20305</v>
      </c>
      <c r="C10031" t="s">
        <v>33</v>
      </c>
      <c r="D10031" t="s">
        <v>45</v>
      </c>
      <c r="E10031">
        <v>1499</v>
      </c>
      <c r="F10031">
        <v>2</v>
      </c>
      <c r="G10031">
        <v>2</v>
      </c>
      <c r="H10031">
        <v>1</v>
      </c>
      <c r="I10031">
        <v>0</v>
      </c>
      <c r="J10031">
        <v>0.98076923076923095</v>
      </c>
      <c r="K10031">
        <v>1</v>
      </c>
      <c r="L10031">
        <v>0.990291262135922</v>
      </c>
      <c r="M10031">
        <v>0.98076923076923095</v>
      </c>
      <c r="N10031">
        <v>0.98076923076923095</v>
      </c>
      <c r="O10031">
        <v>0.98076923076923095</v>
      </c>
      <c r="AF10031" t="s">
        <v>20307</v>
      </c>
    </row>
    <row r="10032" spans="1:32" hidden="1" x14ac:dyDescent="0.35">
      <c r="A10032">
        <v>10031</v>
      </c>
      <c r="B10032" t="s">
        <v>20308</v>
      </c>
      <c r="C10032" t="s">
        <v>33</v>
      </c>
      <c r="D10032" t="s">
        <v>34</v>
      </c>
      <c r="E10032">
        <v>2025</v>
      </c>
      <c r="F10032">
        <v>2</v>
      </c>
      <c r="G10032">
        <v>2</v>
      </c>
      <c r="H10032">
        <v>1</v>
      </c>
      <c r="I10032">
        <v>0</v>
      </c>
      <c r="J10032">
        <v>0.968369829683698</v>
      </c>
      <c r="K10032">
        <v>1</v>
      </c>
      <c r="L10032">
        <v>0.983930778739184</v>
      </c>
      <c r="M10032">
        <v>0.96350364963503699</v>
      </c>
      <c r="N10032">
        <v>0.96350364963503699</v>
      </c>
      <c r="O10032">
        <v>0.96350364963503699</v>
      </c>
      <c r="P10032" t="s">
        <v>15432</v>
      </c>
      <c r="Q10032" t="s">
        <v>10341</v>
      </c>
      <c r="AF10032" t="s">
        <v>20309</v>
      </c>
    </row>
    <row r="10033" spans="1:32" hidden="1" x14ac:dyDescent="0.35">
      <c r="A10033">
        <v>10032</v>
      </c>
      <c r="B10033" t="s">
        <v>20308</v>
      </c>
      <c r="C10033" t="s">
        <v>33</v>
      </c>
      <c r="D10033" t="s">
        <v>45</v>
      </c>
      <c r="E10033">
        <v>846</v>
      </c>
      <c r="F10033">
        <v>2</v>
      </c>
      <c r="G10033">
        <v>2</v>
      </c>
      <c r="H10033">
        <v>1</v>
      </c>
      <c r="I10033">
        <v>0</v>
      </c>
      <c r="J10033">
        <v>0.968369829683698</v>
      </c>
      <c r="K10033">
        <v>1</v>
      </c>
      <c r="L10033">
        <v>0.983930778739184</v>
      </c>
      <c r="M10033">
        <v>0.96350364963503699</v>
      </c>
      <c r="N10033">
        <v>0.96350364963503699</v>
      </c>
      <c r="O10033">
        <v>0.96350364963503699</v>
      </c>
      <c r="P10033" t="s">
        <v>15432</v>
      </c>
      <c r="Q10033" t="s">
        <v>10341</v>
      </c>
      <c r="AF10033" t="s">
        <v>20310</v>
      </c>
    </row>
    <row r="10034" spans="1:32" hidden="1" x14ac:dyDescent="0.35">
      <c r="A10034">
        <v>10033</v>
      </c>
      <c r="B10034" t="s">
        <v>20311</v>
      </c>
      <c r="C10034" t="s">
        <v>33</v>
      </c>
      <c r="D10034" t="s">
        <v>34</v>
      </c>
      <c r="E10034">
        <v>1509</v>
      </c>
      <c r="F10034">
        <v>2</v>
      </c>
      <c r="G10034">
        <v>2</v>
      </c>
      <c r="H10034">
        <v>1</v>
      </c>
      <c r="I10034">
        <v>0</v>
      </c>
      <c r="J10034">
        <v>0.99503546099290796</v>
      </c>
      <c r="K10034">
        <v>1</v>
      </c>
      <c r="L10034">
        <v>0.99751155350160003</v>
      </c>
      <c r="M10034">
        <v>0.99361702127659601</v>
      </c>
      <c r="N10034">
        <v>0.99361702127659601</v>
      </c>
      <c r="O10034">
        <v>0.99361702127659601</v>
      </c>
      <c r="P10034" t="s">
        <v>4358</v>
      </c>
      <c r="Q10034" t="s">
        <v>4359</v>
      </c>
      <c r="R10034" t="s">
        <v>319</v>
      </c>
      <c r="S10034" t="s">
        <v>320</v>
      </c>
      <c r="V10034" t="s">
        <v>4360</v>
      </c>
      <c r="W10034" t="s">
        <v>4361</v>
      </c>
      <c r="AF10034" t="s">
        <v>20312</v>
      </c>
    </row>
    <row r="10035" spans="1:32" hidden="1" x14ac:dyDescent="0.35">
      <c r="A10035">
        <v>10034</v>
      </c>
      <c r="B10035" t="s">
        <v>20311</v>
      </c>
      <c r="C10035" t="s">
        <v>33</v>
      </c>
      <c r="D10035" t="s">
        <v>45</v>
      </c>
      <c r="E10035">
        <v>259</v>
      </c>
      <c r="F10035">
        <v>2</v>
      </c>
      <c r="G10035">
        <v>2</v>
      </c>
      <c r="H10035">
        <v>1</v>
      </c>
      <c r="I10035">
        <v>0</v>
      </c>
      <c r="J10035">
        <v>0.99503546099290796</v>
      </c>
      <c r="K10035">
        <v>1</v>
      </c>
      <c r="L10035">
        <v>0.99751155350160003</v>
      </c>
      <c r="M10035">
        <v>0.99361702127659601</v>
      </c>
      <c r="N10035">
        <v>0.99361702127659601</v>
      </c>
      <c r="O10035">
        <v>0.99361702127659601</v>
      </c>
      <c r="P10035" t="s">
        <v>4358</v>
      </c>
      <c r="Q10035" t="s">
        <v>4359</v>
      </c>
      <c r="R10035" t="s">
        <v>319</v>
      </c>
      <c r="S10035" t="s">
        <v>320</v>
      </c>
      <c r="V10035" t="s">
        <v>4360</v>
      </c>
      <c r="W10035" t="s">
        <v>4361</v>
      </c>
      <c r="AF10035" t="s">
        <v>20313</v>
      </c>
    </row>
    <row r="10036" spans="1:32" hidden="1" x14ac:dyDescent="0.35">
      <c r="A10036">
        <v>10035</v>
      </c>
      <c r="B10036" t="s">
        <v>20314</v>
      </c>
      <c r="C10036" t="s">
        <v>33</v>
      </c>
      <c r="D10036" t="s">
        <v>34</v>
      </c>
      <c r="E10036">
        <v>988</v>
      </c>
      <c r="F10036">
        <v>2</v>
      </c>
      <c r="G10036">
        <v>2</v>
      </c>
      <c r="H10036">
        <v>1</v>
      </c>
      <c r="I10036">
        <v>0</v>
      </c>
      <c r="J10036">
        <v>0.99457994579945797</v>
      </c>
      <c r="K10036">
        <v>0.81029776674937903</v>
      </c>
      <c r="L10036">
        <v>0.89303103842633602</v>
      </c>
      <c r="M10036">
        <v>0.77564102564102599</v>
      </c>
      <c r="N10036">
        <v>0.77564102564102599</v>
      </c>
      <c r="O10036">
        <v>0.77564102564102599</v>
      </c>
      <c r="P10036" t="s">
        <v>1494</v>
      </c>
      <c r="Q10036" t="s">
        <v>1487</v>
      </c>
      <c r="R10036" t="s">
        <v>113</v>
      </c>
      <c r="S10036" t="s">
        <v>114</v>
      </c>
      <c r="T10036" t="s">
        <v>12392</v>
      </c>
      <c r="U10036" t="s">
        <v>12393</v>
      </c>
      <c r="V10036" t="s">
        <v>1490</v>
      </c>
      <c r="W10036" t="s">
        <v>1491</v>
      </c>
      <c r="AD10036" t="s">
        <v>312</v>
      </c>
      <c r="AE10036" t="s">
        <v>1492</v>
      </c>
      <c r="AF10036" t="s">
        <v>20315</v>
      </c>
    </row>
    <row r="10037" spans="1:32" hidden="1" x14ac:dyDescent="0.35">
      <c r="A10037">
        <v>10036</v>
      </c>
      <c r="B10037" t="s">
        <v>20314</v>
      </c>
      <c r="C10037" t="s">
        <v>33</v>
      </c>
      <c r="D10037" t="s">
        <v>45</v>
      </c>
      <c r="E10037">
        <v>2243</v>
      </c>
      <c r="F10037">
        <v>2</v>
      </c>
      <c r="G10037">
        <v>2</v>
      </c>
      <c r="H10037">
        <v>1</v>
      </c>
      <c r="I10037">
        <v>0</v>
      </c>
      <c r="J10037">
        <v>0.99457994579945797</v>
      </c>
      <c r="K10037">
        <v>0.81029776674937903</v>
      </c>
      <c r="L10037">
        <v>0.89303103842633602</v>
      </c>
      <c r="M10037">
        <v>0.77564102564102599</v>
      </c>
      <c r="N10037">
        <v>0.77564102564102599</v>
      </c>
      <c r="O10037">
        <v>0.77564102564102599</v>
      </c>
      <c r="P10037" t="s">
        <v>1494</v>
      </c>
      <c r="Q10037" t="s">
        <v>1487</v>
      </c>
      <c r="R10037" t="s">
        <v>113</v>
      </c>
      <c r="S10037" t="s">
        <v>114</v>
      </c>
      <c r="T10037" t="s">
        <v>12392</v>
      </c>
      <c r="U10037" t="s">
        <v>12393</v>
      </c>
      <c r="V10037" t="s">
        <v>1490</v>
      </c>
      <c r="W10037" t="s">
        <v>1491</v>
      </c>
      <c r="AD10037" t="s">
        <v>312</v>
      </c>
      <c r="AE10037" t="s">
        <v>1492</v>
      </c>
      <c r="AF10037" t="e">
        <f>---------------------------------MQRMYRPYLDEWGITYSQYLVLECLWEEDGQTIADLSIPLDLDSGTLSPLLKRMENGGFVRRQADKTDYRRVLFFLTQRGQKLQEEAIVMEQEIVKMLNFTDADLKAIGTVMAKINPNGKFTD</f>
        <v>#NAME?</v>
      </c>
    </row>
    <row r="10038" spans="1:32" hidden="1" x14ac:dyDescent="0.35">
      <c r="A10038">
        <v>10037</v>
      </c>
      <c r="B10038" t="s">
        <v>20316</v>
      </c>
      <c r="C10038" t="s">
        <v>33</v>
      </c>
      <c r="D10038" t="s">
        <v>34</v>
      </c>
      <c r="E10038">
        <v>1146</v>
      </c>
      <c r="F10038">
        <v>2</v>
      </c>
      <c r="G10038">
        <v>2</v>
      </c>
      <c r="H10038">
        <v>1</v>
      </c>
      <c r="I10038">
        <v>0</v>
      </c>
      <c r="J10038">
        <v>0.97790055248618801</v>
      </c>
      <c r="K10038">
        <v>1</v>
      </c>
      <c r="L10038">
        <v>0.988826815642458</v>
      </c>
      <c r="M10038">
        <v>0.96685082872928196</v>
      </c>
      <c r="N10038">
        <v>0.96685082872928196</v>
      </c>
      <c r="O10038">
        <v>0.96685082872928196</v>
      </c>
      <c r="P10038" t="s">
        <v>20317</v>
      </c>
      <c r="Q10038" t="s">
        <v>20318</v>
      </c>
      <c r="R10038" t="s">
        <v>1259</v>
      </c>
      <c r="S10038" t="s">
        <v>1260</v>
      </c>
      <c r="V10038" t="s">
        <v>20319</v>
      </c>
      <c r="W10038" t="s">
        <v>20320</v>
      </c>
      <c r="AF10038" t="s">
        <v>20321</v>
      </c>
    </row>
    <row r="10039" spans="1:32" hidden="1" x14ac:dyDescent="0.35">
      <c r="A10039">
        <v>10038</v>
      </c>
      <c r="B10039" t="s">
        <v>20316</v>
      </c>
      <c r="C10039" t="s">
        <v>33</v>
      </c>
      <c r="D10039" t="s">
        <v>45</v>
      </c>
      <c r="E10039">
        <v>2391</v>
      </c>
      <c r="F10039">
        <v>2</v>
      </c>
      <c r="G10039">
        <v>2</v>
      </c>
      <c r="H10039">
        <v>1</v>
      </c>
      <c r="I10039">
        <v>0</v>
      </c>
      <c r="J10039">
        <v>0.97790055248618801</v>
      </c>
      <c r="K10039">
        <v>1</v>
      </c>
      <c r="L10039">
        <v>0.988826815642458</v>
      </c>
      <c r="M10039">
        <v>0.96685082872928196</v>
      </c>
      <c r="N10039">
        <v>0.96685082872928196</v>
      </c>
      <c r="O10039">
        <v>0.96685082872928196</v>
      </c>
      <c r="P10039" t="s">
        <v>20317</v>
      </c>
      <c r="Q10039" t="s">
        <v>20318</v>
      </c>
      <c r="R10039" t="s">
        <v>1259</v>
      </c>
      <c r="S10039" t="s">
        <v>1260</v>
      </c>
      <c r="V10039" t="s">
        <v>20319</v>
      </c>
      <c r="W10039" t="s">
        <v>20320</v>
      </c>
      <c r="AF10039" t="s">
        <v>20322</v>
      </c>
    </row>
    <row r="10040" spans="1:32" hidden="1" x14ac:dyDescent="0.35">
      <c r="A10040">
        <v>10039</v>
      </c>
      <c r="B10040" t="s">
        <v>20323</v>
      </c>
      <c r="C10040" t="s">
        <v>33</v>
      </c>
      <c r="D10040" t="s">
        <v>60</v>
      </c>
      <c r="E10040">
        <v>114</v>
      </c>
      <c r="F10040">
        <v>2</v>
      </c>
      <c r="G10040">
        <v>2</v>
      </c>
      <c r="H10040">
        <v>1</v>
      </c>
      <c r="I10040">
        <v>0</v>
      </c>
      <c r="J10040">
        <v>0.99615754082612895</v>
      </c>
      <c r="K10040">
        <v>0.96708734691336795</v>
      </c>
      <c r="L10040">
        <v>0.98140721952881105</v>
      </c>
      <c r="M10040">
        <v>0.96100278551532003</v>
      </c>
      <c r="N10040">
        <v>0.96100278551532003</v>
      </c>
      <c r="O10040">
        <v>0.96100278551532003</v>
      </c>
      <c r="P10040" t="s">
        <v>11639</v>
      </c>
      <c r="Q10040" t="s">
        <v>11640</v>
      </c>
      <c r="R10040" t="s">
        <v>1259</v>
      </c>
      <c r="S10040" t="s">
        <v>1260</v>
      </c>
      <c r="T10040" t="s">
        <v>11641</v>
      </c>
      <c r="U10040" t="s">
        <v>407</v>
      </c>
      <c r="V10040" t="s">
        <v>11642</v>
      </c>
      <c r="W10040" t="s">
        <v>11643</v>
      </c>
      <c r="AD10040" t="s">
        <v>410</v>
      </c>
      <c r="AE10040" t="s">
        <v>411</v>
      </c>
      <c r="AF10040" t="s">
        <v>20324</v>
      </c>
    </row>
    <row r="10041" spans="1:32" hidden="1" x14ac:dyDescent="0.35">
      <c r="A10041">
        <v>10040</v>
      </c>
      <c r="B10041" t="s">
        <v>20323</v>
      </c>
      <c r="C10041" t="s">
        <v>33</v>
      </c>
      <c r="D10041" t="s">
        <v>62</v>
      </c>
      <c r="E10041">
        <v>186</v>
      </c>
      <c r="F10041">
        <v>2</v>
      </c>
      <c r="G10041">
        <v>2</v>
      </c>
      <c r="H10041">
        <v>1</v>
      </c>
      <c r="I10041">
        <v>0</v>
      </c>
      <c r="J10041">
        <v>0.99615754082612895</v>
      </c>
      <c r="K10041">
        <v>0.96708734691336795</v>
      </c>
      <c r="L10041">
        <v>0.98140721952881105</v>
      </c>
      <c r="M10041">
        <v>0.96100278551532003</v>
      </c>
      <c r="N10041">
        <v>0.96100278551532003</v>
      </c>
      <c r="O10041">
        <v>0.96100278551532003</v>
      </c>
      <c r="P10041" t="s">
        <v>11639</v>
      </c>
      <c r="Q10041" t="s">
        <v>11640</v>
      </c>
      <c r="R10041" t="s">
        <v>1259</v>
      </c>
      <c r="S10041" t="s">
        <v>1260</v>
      </c>
      <c r="T10041" t="s">
        <v>11641</v>
      </c>
      <c r="U10041" t="s">
        <v>407</v>
      </c>
      <c r="V10041" t="s">
        <v>11642</v>
      </c>
      <c r="W10041" t="s">
        <v>11643</v>
      </c>
      <c r="AD10041" t="s">
        <v>410</v>
      </c>
      <c r="AE10041" t="s">
        <v>411</v>
      </c>
      <c r="AF10041" t="s">
        <v>20325</v>
      </c>
    </row>
    <row r="10042" spans="1:32" hidden="1" x14ac:dyDescent="0.35">
      <c r="A10042">
        <v>10041</v>
      </c>
      <c r="B10042" t="s">
        <v>20326</v>
      </c>
      <c r="C10042" t="s">
        <v>33</v>
      </c>
      <c r="D10042" t="s">
        <v>34</v>
      </c>
      <c r="E10042">
        <v>488</v>
      </c>
      <c r="F10042">
        <v>2</v>
      </c>
      <c r="G10042">
        <v>2</v>
      </c>
      <c r="H10042">
        <v>1</v>
      </c>
      <c r="I10042">
        <v>0</v>
      </c>
      <c r="J10042">
        <v>0.97747747747747704</v>
      </c>
      <c r="K10042">
        <v>1</v>
      </c>
      <c r="L10042">
        <v>0.98861047835990901</v>
      </c>
      <c r="M10042">
        <v>0.97297297297297303</v>
      </c>
      <c r="N10042">
        <v>0.97297297297297303</v>
      </c>
      <c r="O10042">
        <v>0.97297297297297303</v>
      </c>
      <c r="AF10042" t="s">
        <v>20327</v>
      </c>
    </row>
    <row r="10043" spans="1:32" hidden="1" x14ac:dyDescent="0.35">
      <c r="A10043">
        <v>10042</v>
      </c>
      <c r="B10043" t="s">
        <v>20326</v>
      </c>
      <c r="C10043" t="s">
        <v>33</v>
      </c>
      <c r="D10043" t="s">
        <v>45</v>
      </c>
      <c r="E10043">
        <v>1753</v>
      </c>
      <c r="F10043">
        <v>2</v>
      </c>
      <c r="G10043">
        <v>2</v>
      </c>
      <c r="H10043">
        <v>1</v>
      </c>
      <c r="I10043">
        <v>0</v>
      </c>
      <c r="J10043">
        <v>0.97747747747747704</v>
      </c>
      <c r="K10043">
        <v>1</v>
      </c>
      <c r="L10043">
        <v>0.98861047835990901</v>
      </c>
      <c r="M10043">
        <v>0.97297297297297303</v>
      </c>
      <c r="N10043">
        <v>0.97297297297297303</v>
      </c>
      <c r="O10043">
        <v>0.97297297297297303</v>
      </c>
      <c r="AF10043" t="s">
        <v>20328</v>
      </c>
    </row>
    <row r="10044" spans="1:32" hidden="1" x14ac:dyDescent="0.35">
      <c r="A10044">
        <v>10043</v>
      </c>
      <c r="B10044" t="s">
        <v>20329</v>
      </c>
      <c r="C10044" t="s">
        <v>33</v>
      </c>
      <c r="D10044" t="s">
        <v>34</v>
      </c>
      <c r="E10044">
        <v>748</v>
      </c>
      <c r="F10044">
        <v>2</v>
      </c>
      <c r="G10044">
        <v>2</v>
      </c>
      <c r="H10044">
        <v>1</v>
      </c>
      <c r="I10044">
        <v>0</v>
      </c>
      <c r="J10044">
        <v>0.98392282958199395</v>
      </c>
      <c r="K10044">
        <v>0.99679487179487303</v>
      </c>
      <c r="L10044">
        <v>0.99031702507375496</v>
      </c>
      <c r="M10044">
        <v>0.97435897435897401</v>
      </c>
      <c r="N10044">
        <v>0.97435897435897401</v>
      </c>
      <c r="O10044">
        <v>0.97435897435897401</v>
      </c>
      <c r="P10044" t="s">
        <v>8800</v>
      </c>
      <c r="Q10044" t="s">
        <v>8801</v>
      </c>
      <c r="R10044" t="s">
        <v>342</v>
      </c>
      <c r="S10044" t="s">
        <v>343</v>
      </c>
      <c r="T10044" t="s">
        <v>13065</v>
      </c>
      <c r="U10044" t="s">
        <v>13066</v>
      </c>
      <c r="V10044" t="s">
        <v>8804</v>
      </c>
      <c r="W10044" t="s">
        <v>8805</v>
      </c>
      <c r="AD10044" t="s">
        <v>410</v>
      </c>
      <c r="AE10044" t="s">
        <v>563</v>
      </c>
      <c r="AF10044" t="s">
        <v>20330</v>
      </c>
    </row>
    <row r="10045" spans="1:32" hidden="1" x14ac:dyDescent="0.35">
      <c r="A10045">
        <v>10044</v>
      </c>
      <c r="B10045" t="s">
        <v>20329</v>
      </c>
      <c r="C10045" t="s">
        <v>33</v>
      </c>
      <c r="D10045" t="s">
        <v>45</v>
      </c>
      <c r="E10045">
        <v>2015</v>
      </c>
      <c r="F10045">
        <v>2</v>
      </c>
      <c r="G10045">
        <v>2</v>
      </c>
      <c r="H10045">
        <v>1</v>
      </c>
      <c r="I10045">
        <v>0</v>
      </c>
      <c r="J10045">
        <v>0.98392282958199395</v>
      </c>
      <c r="K10045">
        <v>0.99679487179487303</v>
      </c>
      <c r="L10045">
        <v>0.99031702507375496</v>
      </c>
      <c r="M10045">
        <v>0.97435897435897401</v>
      </c>
      <c r="N10045">
        <v>0.97435897435897401</v>
      </c>
      <c r="O10045">
        <v>0.97435897435897401</v>
      </c>
      <c r="P10045" t="s">
        <v>8800</v>
      </c>
      <c r="Q10045" t="s">
        <v>8801</v>
      </c>
      <c r="R10045" t="s">
        <v>342</v>
      </c>
      <c r="S10045" t="s">
        <v>343</v>
      </c>
      <c r="T10045" t="s">
        <v>13065</v>
      </c>
      <c r="U10045" t="s">
        <v>13066</v>
      </c>
      <c r="V10045" t="s">
        <v>8804</v>
      </c>
      <c r="W10045" t="s">
        <v>8805</v>
      </c>
      <c r="AD10045" t="s">
        <v>410</v>
      </c>
      <c r="AE10045" t="s">
        <v>563</v>
      </c>
      <c r="AF10045" t="s">
        <v>20331</v>
      </c>
    </row>
    <row r="10046" spans="1:32" hidden="1" x14ac:dyDescent="0.35">
      <c r="A10046">
        <v>10045</v>
      </c>
      <c r="B10046" t="s">
        <v>20332</v>
      </c>
      <c r="C10046" t="s">
        <v>33</v>
      </c>
      <c r="D10046" t="s">
        <v>34</v>
      </c>
      <c r="E10046">
        <v>1383</v>
      </c>
      <c r="F10046">
        <v>2</v>
      </c>
      <c r="G10046">
        <v>2</v>
      </c>
      <c r="H10046">
        <v>1</v>
      </c>
      <c r="I10046">
        <v>0</v>
      </c>
      <c r="J10046">
        <v>0.97556719022687599</v>
      </c>
      <c r="K10046">
        <v>0.96993162747332595</v>
      </c>
      <c r="L10046">
        <v>0.97274124653017002</v>
      </c>
      <c r="M10046">
        <v>0.93908629441624403</v>
      </c>
      <c r="N10046">
        <v>0.93908629441624403</v>
      </c>
      <c r="O10046">
        <v>0.93908629441624403</v>
      </c>
      <c r="P10046" t="s">
        <v>13950</v>
      </c>
      <c r="Q10046" t="s">
        <v>13951</v>
      </c>
      <c r="AF10046" t="s">
        <v>20333</v>
      </c>
    </row>
    <row r="10047" spans="1:32" hidden="1" x14ac:dyDescent="0.35">
      <c r="A10047">
        <v>10046</v>
      </c>
      <c r="B10047" t="s">
        <v>20332</v>
      </c>
      <c r="C10047" t="s">
        <v>33</v>
      </c>
      <c r="D10047" t="s">
        <v>45</v>
      </c>
      <c r="E10047">
        <v>133</v>
      </c>
      <c r="F10047">
        <v>2</v>
      </c>
      <c r="G10047">
        <v>2</v>
      </c>
      <c r="H10047">
        <v>1</v>
      </c>
      <c r="I10047">
        <v>0</v>
      </c>
      <c r="J10047">
        <v>0.97556719022687599</v>
      </c>
      <c r="K10047">
        <v>0.96993162747332595</v>
      </c>
      <c r="L10047">
        <v>0.97274124653017002</v>
      </c>
      <c r="M10047">
        <v>0.93908629441624403</v>
      </c>
      <c r="N10047">
        <v>0.93908629441624403</v>
      </c>
      <c r="O10047">
        <v>0.93908629441624403</v>
      </c>
      <c r="P10047" t="s">
        <v>13950</v>
      </c>
      <c r="Q10047" t="s">
        <v>13951</v>
      </c>
      <c r="AF10047" t="s">
        <v>20334</v>
      </c>
    </row>
    <row r="10048" spans="1:32" hidden="1" x14ac:dyDescent="0.35">
      <c r="A10048">
        <v>10047</v>
      </c>
      <c r="B10048" t="s">
        <v>20335</v>
      </c>
      <c r="C10048" t="s">
        <v>33</v>
      </c>
      <c r="D10048" t="s">
        <v>34</v>
      </c>
      <c r="E10048">
        <v>2492</v>
      </c>
      <c r="F10048">
        <v>2</v>
      </c>
      <c r="G10048">
        <v>2</v>
      </c>
      <c r="H10048">
        <v>1</v>
      </c>
      <c r="I10048">
        <v>0</v>
      </c>
      <c r="J10048">
        <v>0.987179487179487</v>
      </c>
      <c r="K10048">
        <v>1</v>
      </c>
      <c r="L10048">
        <v>0.99354838709677396</v>
      </c>
      <c r="M10048">
        <v>0.98601398601398604</v>
      </c>
      <c r="N10048">
        <v>0.98601398601398604</v>
      </c>
      <c r="O10048">
        <v>0.98601398601398604</v>
      </c>
      <c r="P10048" t="s">
        <v>5977</v>
      </c>
      <c r="Q10048" t="s">
        <v>5978</v>
      </c>
      <c r="R10048" t="s">
        <v>342</v>
      </c>
      <c r="S10048" t="s">
        <v>343</v>
      </c>
      <c r="T10048" t="s">
        <v>5979</v>
      </c>
      <c r="U10048" t="s">
        <v>5980</v>
      </c>
      <c r="V10048" t="s">
        <v>5981</v>
      </c>
      <c r="W10048" t="s">
        <v>5982</v>
      </c>
      <c r="AD10048" t="s">
        <v>166</v>
      </c>
      <c r="AE10048" t="s">
        <v>818</v>
      </c>
      <c r="AF10048" t="s">
        <v>20336</v>
      </c>
    </row>
    <row r="10049" spans="1:32" hidden="1" x14ac:dyDescent="0.35">
      <c r="A10049">
        <v>10048</v>
      </c>
      <c r="B10049" t="s">
        <v>20335</v>
      </c>
      <c r="C10049" t="s">
        <v>33</v>
      </c>
      <c r="D10049" t="s">
        <v>45</v>
      </c>
      <c r="E10049">
        <v>409</v>
      </c>
      <c r="F10049">
        <v>2</v>
      </c>
      <c r="G10049">
        <v>2</v>
      </c>
      <c r="H10049">
        <v>1</v>
      </c>
      <c r="I10049">
        <v>0</v>
      </c>
      <c r="J10049">
        <v>0.987179487179487</v>
      </c>
      <c r="K10049">
        <v>1</v>
      </c>
      <c r="L10049">
        <v>0.99354838709677396</v>
      </c>
      <c r="M10049">
        <v>0.98601398601398604</v>
      </c>
      <c r="N10049">
        <v>0.98601398601398604</v>
      </c>
      <c r="O10049">
        <v>0.98601398601398604</v>
      </c>
      <c r="P10049" t="s">
        <v>5977</v>
      </c>
      <c r="Q10049" t="s">
        <v>5978</v>
      </c>
      <c r="R10049" t="s">
        <v>342</v>
      </c>
      <c r="S10049" t="s">
        <v>343</v>
      </c>
      <c r="T10049" t="s">
        <v>5979</v>
      </c>
      <c r="U10049" t="s">
        <v>5980</v>
      </c>
      <c r="V10049" t="s">
        <v>5981</v>
      </c>
      <c r="W10049" t="s">
        <v>5982</v>
      </c>
      <c r="AD10049" t="s">
        <v>166</v>
      </c>
      <c r="AE10049" t="s">
        <v>818</v>
      </c>
      <c r="AF10049" t="s">
        <v>20337</v>
      </c>
    </row>
    <row r="10050" spans="1:32" hidden="1" x14ac:dyDescent="0.35">
      <c r="A10050">
        <v>10049</v>
      </c>
      <c r="B10050" t="s">
        <v>20338</v>
      </c>
      <c r="C10050" t="s">
        <v>33</v>
      </c>
      <c r="D10050" t="s">
        <v>34</v>
      </c>
      <c r="E10050">
        <v>1883</v>
      </c>
      <c r="F10050">
        <v>2</v>
      </c>
      <c r="G10050">
        <v>2</v>
      </c>
      <c r="H10050">
        <v>1</v>
      </c>
      <c r="I10050">
        <v>0</v>
      </c>
      <c r="J10050">
        <v>0.99255583126550895</v>
      </c>
      <c r="K10050">
        <v>1</v>
      </c>
      <c r="L10050">
        <v>0.99626400996263997</v>
      </c>
      <c r="M10050">
        <v>0.98263027295285399</v>
      </c>
      <c r="N10050">
        <v>0.98263027295285399</v>
      </c>
      <c r="O10050">
        <v>0.98263027295285399</v>
      </c>
      <c r="P10050" t="s">
        <v>11639</v>
      </c>
      <c r="Q10050" t="s">
        <v>11640</v>
      </c>
      <c r="R10050" t="s">
        <v>1259</v>
      </c>
      <c r="S10050" t="s">
        <v>1260</v>
      </c>
      <c r="T10050" t="s">
        <v>11641</v>
      </c>
      <c r="U10050" t="s">
        <v>407</v>
      </c>
      <c r="V10050" t="s">
        <v>11642</v>
      </c>
      <c r="W10050" t="s">
        <v>11643</v>
      </c>
      <c r="AD10050" t="s">
        <v>410</v>
      </c>
      <c r="AE10050" t="s">
        <v>411</v>
      </c>
      <c r="AF10050" t="s">
        <v>20339</v>
      </c>
    </row>
    <row r="10051" spans="1:32" hidden="1" x14ac:dyDescent="0.35">
      <c r="A10051">
        <v>10050</v>
      </c>
      <c r="B10051" t="s">
        <v>20338</v>
      </c>
      <c r="C10051" t="s">
        <v>33</v>
      </c>
      <c r="D10051" t="s">
        <v>45</v>
      </c>
      <c r="E10051">
        <v>990</v>
      </c>
      <c r="F10051">
        <v>2</v>
      </c>
      <c r="G10051">
        <v>2</v>
      </c>
      <c r="H10051">
        <v>1</v>
      </c>
      <c r="I10051">
        <v>0</v>
      </c>
      <c r="J10051">
        <v>0.99255583126550895</v>
      </c>
      <c r="K10051">
        <v>1</v>
      </c>
      <c r="L10051">
        <v>0.99626400996263997</v>
      </c>
      <c r="M10051">
        <v>0.98263027295285399</v>
      </c>
      <c r="N10051">
        <v>0.98263027295285399</v>
      </c>
      <c r="O10051">
        <v>0.98263027295285399</v>
      </c>
      <c r="P10051" t="s">
        <v>11639</v>
      </c>
      <c r="Q10051" t="s">
        <v>11640</v>
      </c>
      <c r="R10051" t="s">
        <v>1259</v>
      </c>
      <c r="S10051" t="s">
        <v>1260</v>
      </c>
      <c r="T10051" t="s">
        <v>11641</v>
      </c>
      <c r="U10051" t="s">
        <v>407</v>
      </c>
      <c r="V10051" t="s">
        <v>11642</v>
      </c>
      <c r="W10051" t="s">
        <v>11643</v>
      </c>
      <c r="AD10051" t="s">
        <v>410</v>
      </c>
      <c r="AE10051" t="s">
        <v>411</v>
      </c>
      <c r="AF10051" t="s">
        <v>20340</v>
      </c>
    </row>
    <row r="10052" spans="1:32" hidden="1" x14ac:dyDescent="0.35">
      <c r="A10052">
        <v>10051</v>
      </c>
      <c r="B10052" t="s">
        <v>20341</v>
      </c>
      <c r="C10052" t="s">
        <v>33</v>
      </c>
      <c r="D10052" t="s">
        <v>34</v>
      </c>
      <c r="E10052">
        <v>69</v>
      </c>
      <c r="F10052">
        <v>2</v>
      </c>
      <c r="G10052">
        <v>2</v>
      </c>
      <c r="H10052">
        <v>1</v>
      </c>
      <c r="I10052">
        <v>0</v>
      </c>
      <c r="J10052">
        <v>0.99220779220779198</v>
      </c>
      <c r="K10052">
        <v>1</v>
      </c>
      <c r="L10052">
        <v>0.99608865710560601</v>
      </c>
      <c r="M10052">
        <v>0.99220779220779198</v>
      </c>
      <c r="N10052">
        <v>0.99220779220779198</v>
      </c>
      <c r="O10052">
        <v>0.99220779220779198</v>
      </c>
      <c r="P10052" t="s">
        <v>6606</v>
      </c>
      <c r="Q10052" t="s">
        <v>6607</v>
      </c>
      <c r="R10052" t="s">
        <v>1191</v>
      </c>
      <c r="S10052" t="s">
        <v>1192</v>
      </c>
      <c r="T10052" t="s">
        <v>6602</v>
      </c>
      <c r="U10052" t="s">
        <v>6603</v>
      </c>
      <c r="V10052" t="s">
        <v>6600</v>
      </c>
      <c r="W10052" t="s">
        <v>6601</v>
      </c>
      <c r="AD10052" t="s">
        <v>1998</v>
      </c>
      <c r="AE10052" t="s">
        <v>6604</v>
      </c>
      <c r="AF10052" t="s">
        <v>20342</v>
      </c>
    </row>
    <row r="10053" spans="1:32" hidden="1" x14ac:dyDescent="0.35">
      <c r="A10053">
        <v>10052</v>
      </c>
      <c r="B10053" t="s">
        <v>20341</v>
      </c>
      <c r="C10053" t="s">
        <v>33</v>
      </c>
      <c r="D10053" t="s">
        <v>45</v>
      </c>
      <c r="E10053">
        <v>1327</v>
      </c>
      <c r="F10053">
        <v>2</v>
      </c>
      <c r="G10053">
        <v>2</v>
      </c>
      <c r="H10053">
        <v>1</v>
      </c>
      <c r="I10053">
        <v>0</v>
      </c>
      <c r="J10053">
        <v>0.99220779220779198</v>
      </c>
      <c r="K10053">
        <v>1</v>
      </c>
      <c r="L10053">
        <v>0.99608865710560601</v>
      </c>
      <c r="M10053">
        <v>0.99220779220779198</v>
      </c>
      <c r="N10053">
        <v>0.99220779220779198</v>
      </c>
      <c r="O10053">
        <v>0.99220779220779198</v>
      </c>
      <c r="P10053" t="s">
        <v>6606</v>
      </c>
      <c r="Q10053" t="s">
        <v>6607</v>
      </c>
      <c r="R10053" t="s">
        <v>1191</v>
      </c>
      <c r="S10053" t="s">
        <v>1192</v>
      </c>
      <c r="T10053" t="s">
        <v>6602</v>
      </c>
      <c r="U10053" t="s">
        <v>6603</v>
      </c>
      <c r="V10053" t="s">
        <v>6600</v>
      </c>
      <c r="W10053" t="s">
        <v>6601</v>
      </c>
      <c r="AD10053" t="s">
        <v>1998</v>
      </c>
      <c r="AE10053" t="s">
        <v>6604</v>
      </c>
      <c r="AF10053" t="s">
        <v>20343</v>
      </c>
    </row>
    <row r="10054" spans="1:32" hidden="1" x14ac:dyDescent="0.35">
      <c r="A10054">
        <v>10053</v>
      </c>
      <c r="B10054" t="s">
        <v>20344</v>
      </c>
      <c r="C10054" t="s">
        <v>33</v>
      </c>
      <c r="D10054" t="s">
        <v>34</v>
      </c>
      <c r="E10054">
        <v>1128</v>
      </c>
      <c r="F10054">
        <v>2</v>
      </c>
      <c r="G10054">
        <v>2</v>
      </c>
      <c r="H10054">
        <v>1</v>
      </c>
      <c r="I10054">
        <v>0</v>
      </c>
      <c r="J10054">
        <v>0.98140770252324006</v>
      </c>
      <c r="K10054">
        <v>1</v>
      </c>
      <c r="L10054">
        <v>0.99061662198391398</v>
      </c>
      <c r="M10054">
        <v>0.97609561752988006</v>
      </c>
      <c r="N10054">
        <v>0.97609561752988006</v>
      </c>
      <c r="O10054">
        <v>0.97609561752988006</v>
      </c>
      <c r="P10054" t="s">
        <v>7381</v>
      </c>
      <c r="Q10054" t="s">
        <v>7382</v>
      </c>
      <c r="R10054" t="s">
        <v>869</v>
      </c>
      <c r="S10054" t="s">
        <v>870</v>
      </c>
      <c r="T10054" t="s">
        <v>7383</v>
      </c>
      <c r="U10054" t="s">
        <v>7384</v>
      </c>
      <c r="V10054" t="s">
        <v>7385</v>
      </c>
      <c r="W10054" t="s">
        <v>7386</v>
      </c>
      <c r="AD10054" t="s">
        <v>439</v>
      </c>
      <c r="AE10054" t="s">
        <v>7387</v>
      </c>
      <c r="AF10054" t="s">
        <v>20345</v>
      </c>
    </row>
    <row r="10055" spans="1:32" hidden="1" x14ac:dyDescent="0.35">
      <c r="A10055">
        <v>10054</v>
      </c>
      <c r="B10055" t="s">
        <v>20344</v>
      </c>
      <c r="C10055" t="s">
        <v>33</v>
      </c>
      <c r="D10055" t="s">
        <v>45</v>
      </c>
      <c r="E10055">
        <v>2379</v>
      </c>
      <c r="F10055">
        <v>2</v>
      </c>
      <c r="G10055">
        <v>2</v>
      </c>
      <c r="H10055">
        <v>1</v>
      </c>
      <c r="I10055">
        <v>0</v>
      </c>
      <c r="J10055">
        <v>0.98140770252324006</v>
      </c>
      <c r="K10055">
        <v>1</v>
      </c>
      <c r="L10055">
        <v>0.99061662198391398</v>
      </c>
      <c r="M10055">
        <v>0.97609561752988006</v>
      </c>
      <c r="N10055">
        <v>0.97609561752988006</v>
      </c>
      <c r="O10055">
        <v>0.97609561752988006</v>
      </c>
      <c r="P10055" t="s">
        <v>7381</v>
      </c>
      <c r="Q10055" t="s">
        <v>7382</v>
      </c>
      <c r="R10055" t="s">
        <v>869</v>
      </c>
      <c r="S10055" t="s">
        <v>870</v>
      </c>
      <c r="T10055" t="s">
        <v>7383</v>
      </c>
      <c r="U10055" t="s">
        <v>7384</v>
      </c>
      <c r="V10055" t="s">
        <v>7385</v>
      </c>
      <c r="W10055" t="s">
        <v>7386</v>
      </c>
      <c r="AD10055" t="s">
        <v>439</v>
      </c>
      <c r="AE10055" t="s">
        <v>7387</v>
      </c>
      <c r="AF10055" t="s">
        <v>20346</v>
      </c>
    </row>
    <row r="10056" spans="1:32" hidden="1" x14ac:dyDescent="0.35">
      <c r="A10056">
        <v>10055</v>
      </c>
      <c r="B10056" t="s">
        <v>20347</v>
      </c>
      <c r="C10056" t="s">
        <v>33</v>
      </c>
      <c r="D10056" t="s">
        <v>34</v>
      </c>
      <c r="E10056">
        <v>1305</v>
      </c>
      <c r="F10056">
        <v>2</v>
      </c>
      <c r="G10056">
        <v>2</v>
      </c>
      <c r="H10056">
        <v>1</v>
      </c>
      <c r="I10056">
        <v>0</v>
      </c>
      <c r="J10056">
        <v>0.98901098901098905</v>
      </c>
      <c r="K10056">
        <v>1</v>
      </c>
      <c r="L10056">
        <v>0.99447513812154698</v>
      </c>
      <c r="M10056">
        <v>0.98901098901098905</v>
      </c>
      <c r="N10056">
        <v>0.98901098901098905</v>
      </c>
      <c r="O10056">
        <v>0.98901098901098905</v>
      </c>
      <c r="AF10056" t="s">
        <v>20348</v>
      </c>
    </row>
    <row r="10057" spans="1:32" hidden="1" x14ac:dyDescent="0.35">
      <c r="A10057">
        <v>10056</v>
      </c>
      <c r="B10057" t="s">
        <v>20347</v>
      </c>
      <c r="C10057" t="s">
        <v>33</v>
      </c>
      <c r="D10057" t="s">
        <v>45</v>
      </c>
      <c r="E10057">
        <v>57</v>
      </c>
      <c r="F10057">
        <v>2</v>
      </c>
      <c r="G10057">
        <v>2</v>
      </c>
      <c r="H10057">
        <v>1</v>
      </c>
      <c r="I10057">
        <v>0</v>
      </c>
      <c r="J10057">
        <v>0.98901098901098905</v>
      </c>
      <c r="K10057">
        <v>1</v>
      </c>
      <c r="L10057">
        <v>0.99447513812154698</v>
      </c>
      <c r="M10057">
        <v>0.98901098901098905</v>
      </c>
      <c r="N10057">
        <v>0.98901098901098905</v>
      </c>
      <c r="O10057">
        <v>0.98901098901098905</v>
      </c>
      <c r="AF10057" t="s">
        <v>20349</v>
      </c>
    </row>
    <row r="10058" spans="1:32" hidden="1" x14ac:dyDescent="0.35">
      <c r="A10058">
        <v>10057</v>
      </c>
      <c r="B10058" t="s">
        <v>20350</v>
      </c>
      <c r="C10058" t="s">
        <v>33</v>
      </c>
      <c r="D10058" t="s">
        <v>34</v>
      </c>
      <c r="E10058">
        <v>34</v>
      </c>
      <c r="F10058">
        <v>2</v>
      </c>
      <c r="G10058">
        <v>2</v>
      </c>
      <c r="H10058">
        <v>1</v>
      </c>
      <c r="I10058">
        <v>0</v>
      </c>
      <c r="J10058">
        <v>0.95921985815602795</v>
      </c>
      <c r="K10058">
        <v>1</v>
      </c>
      <c r="L10058">
        <v>0.97918552036199102</v>
      </c>
      <c r="M10058">
        <v>0.95212765957446799</v>
      </c>
      <c r="N10058">
        <v>0.95212765957446799</v>
      </c>
      <c r="O10058">
        <v>0.95212765957446799</v>
      </c>
      <c r="P10058" t="s">
        <v>3500</v>
      </c>
      <c r="Q10058" t="s">
        <v>3501</v>
      </c>
      <c r="R10058" t="s">
        <v>1498</v>
      </c>
      <c r="S10058" t="s">
        <v>1499</v>
      </c>
      <c r="V10058" t="s">
        <v>3504</v>
      </c>
      <c r="W10058" t="s">
        <v>3505</v>
      </c>
      <c r="AF10058" t="s">
        <v>20351</v>
      </c>
    </row>
    <row r="10059" spans="1:32" hidden="1" x14ac:dyDescent="0.35">
      <c r="A10059">
        <v>10058</v>
      </c>
      <c r="B10059" t="s">
        <v>20350</v>
      </c>
      <c r="C10059" t="s">
        <v>33</v>
      </c>
      <c r="D10059" t="s">
        <v>45</v>
      </c>
      <c r="E10059">
        <v>1291</v>
      </c>
      <c r="F10059">
        <v>2</v>
      </c>
      <c r="G10059">
        <v>2</v>
      </c>
      <c r="H10059">
        <v>1</v>
      </c>
      <c r="I10059">
        <v>0</v>
      </c>
      <c r="J10059">
        <v>0.95921985815602795</v>
      </c>
      <c r="K10059">
        <v>1</v>
      </c>
      <c r="L10059">
        <v>0.97918552036199102</v>
      </c>
      <c r="M10059">
        <v>0.95212765957446799</v>
      </c>
      <c r="N10059">
        <v>0.95212765957446799</v>
      </c>
      <c r="O10059">
        <v>0.95212765957446799</v>
      </c>
      <c r="P10059" t="s">
        <v>3500</v>
      </c>
      <c r="Q10059" t="s">
        <v>3501</v>
      </c>
      <c r="R10059" t="s">
        <v>1498</v>
      </c>
      <c r="S10059" t="s">
        <v>1499</v>
      </c>
      <c r="V10059" t="s">
        <v>3504</v>
      </c>
      <c r="W10059" t="s">
        <v>3505</v>
      </c>
      <c r="AF10059" t="s">
        <v>20352</v>
      </c>
    </row>
    <row r="10060" spans="1:32" hidden="1" x14ac:dyDescent="0.35">
      <c r="A10060">
        <v>10059</v>
      </c>
      <c r="B10060" t="s">
        <v>20353</v>
      </c>
      <c r="C10060" t="s">
        <v>33</v>
      </c>
      <c r="D10060" t="s">
        <v>34</v>
      </c>
      <c r="E10060">
        <v>59</v>
      </c>
      <c r="F10060">
        <v>2</v>
      </c>
      <c r="G10060">
        <v>2</v>
      </c>
      <c r="H10060">
        <v>1</v>
      </c>
      <c r="I10060">
        <v>0</v>
      </c>
      <c r="J10060">
        <v>0.97647058823529398</v>
      </c>
      <c r="K10060">
        <v>1</v>
      </c>
      <c r="L10060">
        <v>0.98809523809523803</v>
      </c>
      <c r="M10060">
        <v>0.97647058823529398</v>
      </c>
      <c r="N10060">
        <v>0.97647058823529398</v>
      </c>
      <c r="O10060">
        <v>0.97647058823529398</v>
      </c>
      <c r="P10060" t="s">
        <v>3622</v>
      </c>
      <c r="Q10060" t="s">
        <v>3623</v>
      </c>
      <c r="AF10060" t="s">
        <v>20354</v>
      </c>
    </row>
    <row r="10061" spans="1:32" hidden="1" x14ac:dyDescent="0.35">
      <c r="A10061">
        <v>10060</v>
      </c>
      <c r="B10061" t="s">
        <v>20353</v>
      </c>
      <c r="C10061" t="s">
        <v>33</v>
      </c>
      <c r="D10061" t="s">
        <v>45</v>
      </c>
      <c r="E10061">
        <v>1317</v>
      </c>
      <c r="F10061">
        <v>2</v>
      </c>
      <c r="G10061">
        <v>2</v>
      </c>
      <c r="H10061">
        <v>1</v>
      </c>
      <c r="I10061">
        <v>0</v>
      </c>
      <c r="J10061">
        <v>0.97647058823529398</v>
      </c>
      <c r="K10061">
        <v>1</v>
      </c>
      <c r="L10061">
        <v>0.98809523809523803</v>
      </c>
      <c r="M10061">
        <v>0.97647058823529398</v>
      </c>
      <c r="N10061">
        <v>0.97647058823529398</v>
      </c>
      <c r="O10061">
        <v>0.97647058823529398</v>
      </c>
      <c r="P10061" t="s">
        <v>3622</v>
      </c>
      <c r="Q10061" t="s">
        <v>3623</v>
      </c>
      <c r="AF10061" t="s">
        <v>20355</v>
      </c>
    </row>
    <row r="10062" spans="1:32" hidden="1" x14ac:dyDescent="0.35">
      <c r="A10062">
        <v>10061</v>
      </c>
      <c r="B10062" t="s">
        <v>20356</v>
      </c>
      <c r="C10062" t="s">
        <v>33</v>
      </c>
      <c r="D10062" t="s">
        <v>60</v>
      </c>
      <c r="E10062">
        <v>748</v>
      </c>
      <c r="F10062">
        <v>2</v>
      </c>
      <c r="G10062">
        <v>2</v>
      </c>
      <c r="H10062">
        <v>1</v>
      </c>
      <c r="I10062">
        <v>0</v>
      </c>
      <c r="J10062">
        <v>0.99502487562189101</v>
      </c>
      <c r="K10062">
        <v>1</v>
      </c>
      <c r="L10062">
        <v>0.99750623441396502</v>
      </c>
      <c r="M10062">
        <v>0.99502487562189101</v>
      </c>
      <c r="N10062">
        <v>0.99502487562189101</v>
      </c>
      <c r="O10062">
        <v>0.99502487562189101</v>
      </c>
      <c r="P10062" t="s">
        <v>2163</v>
      </c>
      <c r="Q10062" t="s">
        <v>2164</v>
      </c>
      <c r="R10062" t="s">
        <v>113</v>
      </c>
      <c r="S10062" t="s">
        <v>114</v>
      </c>
      <c r="V10062" t="s">
        <v>2167</v>
      </c>
      <c r="W10062" t="s">
        <v>2168</v>
      </c>
      <c r="AF10062" t="s">
        <v>20357</v>
      </c>
    </row>
    <row r="10063" spans="1:32" hidden="1" x14ac:dyDescent="0.35">
      <c r="A10063">
        <v>10062</v>
      </c>
      <c r="B10063" t="s">
        <v>20356</v>
      </c>
      <c r="C10063" t="s">
        <v>33</v>
      </c>
      <c r="D10063" t="s">
        <v>62</v>
      </c>
      <c r="E10063">
        <v>780</v>
      </c>
      <c r="F10063">
        <v>2</v>
      </c>
      <c r="G10063">
        <v>2</v>
      </c>
      <c r="H10063">
        <v>1</v>
      </c>
      <c r="I10063">
        <v>0</v>
      </c>
      <c r="J10063">
        <v>0.99502487562189101</v>
      </c>
      <c r="K10063">
        <v>1</v>
      </c>
      <c r="L10063">
        <v>0.99750623441396502</v>
      </c>
      <c r="M10063">
        <v>0.99502487562189101</v>
      </c>
      <c r="N10063">
        <v>0.99502487562189101</v>
      </c>
      <c r="O10063">
        <v>0.99502487562189101</v>
      </c>
      <c r="P10063" t="s">
        <v>2163</v>
      </c>
      <c r="Q10063" t="s">
        <v>2164</v>
      </c>
      <c r="R10063" t="s">
        <v>113</v>
      </c>
      <c r="S10063" t="s">
        <v>114</v>
      </c>
      <c r="V10063" t="s">
        <v>2167</v>
      </c>
      <c r="W10063" t="s">
        <v>2168</v>
      </c>
      <c r="AF10063" t="s">
        <v>20358</v>
      </c>
    </row>
    <row r="10064" spans="1:32" hidden="1" x14ac:dyDescent="0.35">
      <c r="A10064">
        <v>10063</v>
      </c>
      <c r="B10064" t="s">
        <v>20359</v>
      </c>
      <c r="C10064" t="s">
        <v>33</v>
      </c>
      <c r="D10064" t="s">
        <v>34</v>
      </c>
      <c r="E10064">
        <v>983</v>
      </c>
      <c r="F10064">
        <v>2</v>
      </c>
      <c r="G10064">
        <v>2</v>
      </c>
      <c r="H10064">
        <v>1</v>
      </c>
      <c r="I10064">
        <v>0</v>
      </c>
      <c r="J10064">
        <v>0.94037940379403795</v>
      </c>
      <c r="K10064">
        <v>0.94740608228980405</v>
      </c>
      <c r="L10064">
        <v>0.94387966575876403</v>
      </c>
      <c r="M10064">
        <v>0.88461538461538503</v>
      </c>
      <c r="N10064">
        <v>0.88461538461538503</v>
      </c>
      <c r="O10064">
        <v>0.88461538461538503</v>
      </c>
      <c r="AF10064" t="s">
        <v>20360</v>
      </c>
    </row>
    <row r="10065" spans="1:32" hidden="1" x14ac:dyDescent="0.35">
      <c r="A10065">
        <v>10064</v>
      </c>
      <c r="B10065" t="s">
        <v>20359</v>
      </c>
      <c r="C10065" t="s">
        <v>33</v>
      </c>
      <c r="D10065" t="s">
        <v>45</v>
      </c>
      <c r="E10065">
        <v>2238</v>
      </c>
      <c r="F10065">
        <v>2</v>
      </c>
      <c r="G10065">
        <v>2</v>
      </c>
      <c r="H10065">
        <v>1</v>
      </c>
      <c r="I10065">
        <v>0</v>
      </c>
      <c r="J10065">
        <v>0.94037940379403795</v>
      </c>
      <c r="K10065">
        <v>0.94740608228980405</v>
      </c>
      <c r="L10065">
        <v>0.94387966575876403</v>
      </c>
      <c r="M10065">
        <v>0.88461538461538503</v>
      </c>
      <c r="N10065">
        <v>0.88461538461538503</v>
      </c>
      <c r="O10065">
        <v>0.88461538461538503</v>
      </c>
      <c r="AF10065" t="e">
        <f>-------MSTTPRFTNAAKHTLKTSRLVARNRGVPQANHLDILLAALAIGTELHPTMPIPTPRPLWDSLRHPIGFTPHAQSLVRTVATQATTDITPRDLGLAVLRIKEPEVVEKLDDMGLSVDQCTAAFN</f>
        <v>#NAME?</v>
      </c>
    </row>
    <row r="10066" spans="1:32" hidden="1" x14ac:dyDescent="0.35">
      <c r="A10066">
        <v>10065</v>
      </c>
      <c r="B10066" t="s">
        <v>20361</v>
      </c>
      <c r="C10066" t="s">
        <v>33</v>
      </c>
      <c r="D10066" t="s">
        <v>34</v>
      </c>
      <c r="E10066">
        <v>2491</v>
      </c>
      <c r="F10066">
        <v>2</v>
      </c>
      <c r="G10066">
        <v>2</v>
      </c>
      <c r="H10066">
        <v>1</v>
      </c>
      <c r="I10066">
        <v>0</v>
      </c>
      <c r="J10066">
        <v>0.98724082934609203</v>
      </c>
      <c r="K10066">
        <v>1</v>
      </c>
      <c r="L10066">
        <v>0.99357945425361105</v>
      </c>
      <c r="M10066">
        <v>0.98564593301435399</v>
      </c>
      <c r="N10066">
        <v>0.98564593301435399</v>
      </c>
      <c r="O10066">
        <v>0.98564593301435399</v>
      </c>
      <c r="P10066" t="s">
        <v>18576</v>
      </c>
      <c r="Q10066" t="s">
        <v>18577</v>
      </c>
      <c r="R10066" t="s">
        <v>652</v>
      </c>
      <c r="S10066" t="s">
        <v>653</v>
      </c>
      <c r="V10066" t="s">
        <v>18578</v>
      </c>
      <c r="W10066" t="s">
        <v>18579</v>
      </c>
      <c r="AF10066" t="s">
        <v>20362</v>
      </c>
    </row>
    <row r="10067" spans="1:32" hidden="1" x14ac:dyDescent="0.35">
      <c r="A10067">
        <v>10066</v>
      </c>
      <c r="B10067" t="s">
        <v>20361</v>
      </c>
      <c r="C10067" t="s">
        <v>33</v>
      </c>
      <c r="D10067" t="s">
        <v>45</v>
      </c>
      <c r="E10067">
        <v>410</v>
      </c>
      <c r="F10067">
        <v>2</v>
      </c>
      <c r="G10067">
        <v>2</v>
      </c>
      <c r="H10067">
        <v>1</v>
      </c>
      <c r="I10067">
        <v>0</v>
      </c>
      <c r="J10067">
        <v>0.98724082934609203</v>
      </c>
      <c r="K10067">
        <v>1</v>
      </c>
      <c r="L10067">
        <v>0.99357945425361105</v>
      </c>
      <c r="M10067">
        <v>0.98564593301435399</v>
      </c>
      <c r="N10067">
        <v>0.98564593301435399</v>
      </c>
      <c r="O10067">
        <v>0.98564593301435399</v>
      </c>
      <c r="P10067" t="s">
        <v>18576</v>
      </c>
      <c r="Q10067" t="s">
        <v>18577</v>
      </c>
      <c r="R10067" t="s">
        <v>652</v>
      </c>
      <c r="S10067" t="s">
        <v>653</v>
      </c>
      <c r="V10067" t="s">
        <v>18578</v>
      </c>
      <c r="W10067" t="s">
        <v>18579</v>
      </c>
      <c r="AF10067" t="s">
        <v>20363</v>
      </c>
    </row>
    <row r="10068" spans="1:32" hidden="1" x14ac:dyDescent="0.35">
      <c r="A10068">
        <v>10067</v>
      </c>
      <c r="B10068" t="s">
        <v>20364</v>
      </c>
      <c r="C10068" t="s">
        <v>33</v>
      </c>
      <c r="D10068" t="s">
        <v>60</v>
      </c>
      <c r="E10068">
        <v>1671</v>
      </c>
      <c r="F10068">
        <v>2</v>
      </c>
      <c r="G10068">
        <v>2</v>
      </c>
      <c r="H10068">
        <v>1</v>
      </c>
      <c r="I10068">
        <v>0</v>
      </c>
      <c r="J10068">
        <v>0.995391705069124</v>
      </c>
      <c r="K10068">
        <v>1</v>
      </c>
      <c r="L10068">
        <v>0.99769053117782902</v>
      </c>
      <c r="M10068">
        <v>0.995391705069124</v>
      </c>
      <c r="N10068">
        <v>0.995391705069124</v>
      </c>
      <c r="O10068">
        <v>0.995391705069124</v>
      </c>
      <c r="P10068" t="s">
        <v>20365</v>
      </c>
      <c r="Q10068" t="s">
        <v>20366</v>
      </c>
      <c r="AF10068" t="s">
        <v>20367</v>
      </c>
    </row>
    <row r="10069" spans="1:32" hidden="1" x14ac:dyDescent="0.35">
      <c r="A10069">
        <v>10068</v>
      </c>
      <c r="B10069" t="s">
        <v>20364</v>
      </c>
      <c r="C10069" t="s">
        <v>33</v>
      </c>
      <c r="D10069" t="s">
        <v>62</v>
      </c>
      <c r="E10069">
        <v>1706</v>
      </c>
      <c r="F10069">
        <v>2</v>
      </c>
      <c r="G10069">
        <v>2</v>
      </c>
      <c r="H10069">
        <v>1</v>
      </c>
      <c r="I10069">
        <v>0</v>
      </c>
      <c r="J10069">
        <v>0.995391705069124</v>
      </c>
      <c r="K10069">
        <v>1</v>
      </c>
      <c r="L10069">
        <v>0.99769053117782902</v>
      </c>
      <c r="M10069">
        <v>0.995391705069124</v>
      </c>
      <c r="N10069">
        <v>0.995391705069124</v>
      </c>
      <c r="O10069">
        <v>0.995391705069124</v>
      </c>
      <c r="P10069" t="s">
        <v>20365</v>
      </c>
      <c r="Q10069" t="s">
        <v>20366</v>
      </c>
      <c r="AF10069" t="s">
        <v>20368</v>
      </c>
    </row>
    <row r="10070" spans="1:32" hidden="1" x14ac:dyDescent="0.35">
      <c r="A10070">
        <v>10069</v>
      </c>
      <c r="B10070" t="s">
        <v>20369</v>
      </c>
      <c r="C10070" t="s">
        <v>33</v>
      </c>
      <c r="D10070" t="s">
        <v>34</v>
      </c>
      <c r="E10070">
        <v>1512</v>
      </c>
      <c r="F10070">
        <v>2</v>
      </c>
      <c r="G10070">
        <v>2</v>
      </c>
      <c r="H10070">
        <v>1</v>
      </c>
      <c r="I10070">
        <v>0</v>
      </c>
      <c r="J10070">
        <v>0.95870206489675502</v>
      </c>
      <c r="K10070">
        <v>0.97846790890268898</v>
      </c>
      <c r="L10070">
        <v>0.96848414686127604</v>
      </c>
      <c r="M10070">
        <v>0.93506493506493504</v>
      </c>
      <c r="N10070">
        <v>0.93506493506493504</v>
      </c>
      <c r="O10070">
        <v>0.93506493506493504</v>
      </c>
      <c r="P10070" t="s">
        <v>169</v>
      </c>
      <c r="Q10070" t="s">
        <v>170</v>
      </c>
      <c r="R10070" t="s">
        <v>138</v>
      </c>
      <c r="S10070" t="s">
        <v>139</v>
      </c>
      <c r="V10070" t="s">
        <v>3693</v>
      </c>
      <c r="W10070" t="s">
        <v>3694</v>
      </c>
      <c r="AF10070" t="s">
        <v>20370</v>
      </c>
    </row>
    <row r="10071" spans="1:32" hidden="1" x14ac:dyDescent="0.35">
      <c r="A10071">
        <v>10070</v>
      </c>
      <c r="B10071" t="s">
        <v>20369</v>
      </c>
      <c r="C10071" t="s">
        <v>33</v>
      </c>
      <c r="D10071" t="s">
        <v>45</v>
      </c>
      <c r="E10071">
        <v>262</v>
      </c>
      <c r="F10071">
        <v>2</v>
      </c>
      <c r="G10071">
        <v>2</v>
      </c>
      <c r="H10071">
        <v>1</v>
      </c>
      <c r="I10071">
        <v>0</v>
      </c>
      <c r="J10071">
        <v>0.95870206489675502</v>
      </c>
      <c r="K10071">
        <v>0.97846790890268898</v>
      </c>
      <c r="L10071">
        <v>0.96848414686127604</v>
      </c>
      <c r="M10071">
        <v>0.93506493506493504</v>
      </c>
      <c r="N10071">
        <v>0.93506493506493504</v>
      </c>
      <c r="O10071">
        <v>0.93506493506493504</v>
      </c>
      <c r="P10071" t="s">
        <v>169</v>
      </c>
      <c r="Q10071" t="s">
        <v>170</v>
      </c>
      <c r="R10071" t="s">
        <v>138</v>
      </c>
      <c r="S10071" t="s">
        <v>139</v>
      </c>
      <c r="V10071" t="s">
        <v>3693</v>
      </c>
      <c r="W10071" t="s">
        <v>3694</v>
      </c>
      <c r="AF10071" t="s">
        <v>20371</v>
      </c>
    </row>
    <row r="10072" spans="1:32" hidden="1" x14ac:dyDescent="0.35">
      <c r="A10072">
        <v>10071</v>
      </c>
      <c r="B10072" t="s">
        <v>20372</v>
      </c>
      <c r="C10072" t="s">
        <v>33</v>
      </c>
      <c r="D10072" t="s">
        <v>60</v>
      </c>
      <c r="E10072">
        <v>751</v>
      </c>
      <c r="F10072">
        <v>2</v>
      </c>
      <c r="G10072">
        <v>2</v>
      </c>
      <c r="H10072">
        <v>1</v>
      </c>
      <c r="I10072">
        <v>0</v>
      </c>
      <c r="J10072">
        <v>0.99346405228758194</v>
      </c>
      <c r="K10072">
        <v>1</v>
      </c>
      <c r="L10072">
        <v>0.99672131147540999</v>
      </c>
      <c r="M10072">
        <v>0.99215686274509796</v>
      </c>
      <c r="N10072">
        <v>0.99215686274509796</v>
      </c>
      <c r="O10072">
        <v>0.99215686274509796</v>
      </c>
      <c r="P10072" t="s">
        <v>12959</v>
      </c>
      <c r="Q10072" t="s">
        <v>12960</v>
      </c>
      <c r="T10072" t="s">
        <v>12961</v>
      </c>
      <c r="U10072" t="s">
        <v>12962</v>
      </c>
      <c r="AD10072" t="s">
        <v>166</v>
      </c>
      <c r="AE10072" t="s">
        <v>3695</v>
      </c>
      <c r="AF10072" t="s">
        <v>20373</v>
      </c>
    </row>
    <row r="10073" spans="1:32" hidden="1" x14ac:dyDescent="0.35">
      <c r="A10073">
        <v>10072</v>
      </c>
      <c r="B10073" t="s">
        <v>20372</v>
      </c>
      <c r="C10073" t="s">
        <v>33</v>
      </c>
      <c r="D10073" t="s">
        <v>62</v>
      </c>
      <c r="E10073">
        <v>783</v>
      </c>
      <c r="F10073">
        <v>2</v>
      </c>
      <c r="G10073">
        <v>2</v>
      </c>
      <c r="H10073">
        <v>1</v>
      </c>
      <c r="I10073">
        <v>0</v>
      </c>
      <c r="J10073">
        <v>0.99346405228758194</v>
      </c>
      <c r="K10073">
        <v>1</v>
      </c>
      <c r="L10073">
        <v>0.99672131147540999</v>
      </c>
      <c r="M10073">
        <v>0.99215686274509796</v>
      </c>
      <c r="N10073">
        <v>0.99215686274509796</v>
      </c>
      <c r="O10073">
        <v>0.99215686274509796</v>
      </c>
      <c r="P10073" t="s">
        <v>12959</v>
      </c>
      <c r="Q10073" t="s">
        <v>12960</v>
      </c>
      <c r="T10073" t="s">
        <v>12961</v>
      </c>
      <c r="U10073" t="s">
        <v>12962</v>
      </c>
      <c r="AD10073" t="s">
        <v>166</v>
      </c>
      <c r="AE10073" t="s">
        <v>3695</v>
      </c>
      <c r="AF10073" t="s">
        <v>20374</v>
      </c>
    </row>
    <row r="10074" spans="1:32" hidden="1" x14ac:dyDescent="0.35">
      <c r="A10074">
        <v>10073</v>
      </c>
      <c r="B10074" t="s">
        <v>20375</v>
      </c>
      <c r="C10074" t="s">
        <v>33</v>
      </c>
      <c r="D10074" t="s">
        <v>34</v>
      </c>
      <c r="E10074">
        <v>1286</v>
      </c>
      <c r="F10074">
        <v>2</v>
      </c>
      <c r="G10074">
        <v>2</v>
      </c>
      <c r="H10074">
        <v>1</v>
      </c>
      <c r="I10074">
        <v>0</v>
      </c>
      <c r="J10074">
        <v>0.94444444444444398</v>
      </c>
      <c r="K10074">
        <v>0.88048780487804901</v>
      </c>
      <c r="L10074">
        <v>0.91134541134541103</v>
      </c>
      <c r="M10074">
        <v>0.82926829268292701</v>
      </c>
      <c r="N10074">
        <v>0.82926829268292701</v>
      </c>
      <c r="O10074">
        <v>0.82926829268292701</v>
      </c>
      <c r="AF10074" t="s">
        <v>20376</v>
      </c>
    </row>
    <row r="10075" spans="1:32" hidden="1" x14ac:dyDescent="0.35">
      <c r="A10075">
        <v>10074</v>
      </c>
      <c r="B10075" t="s">
        <v>20375</v>
      </c>
      <c r="C10075" t="s">
        <v>33</v>
      </c>
      <c r="D10075" t="s">
        <v>45</v>
      </c>
      <c r="E10075">
        <v>38</v>
      </c>
      <c r="F10075">
        <v>2</v>
      </c>
      <c r="G10075">
        <v>2</v>
      </c>
      <c r="H10075">
        <v>1</v>
      </c>
      <c r="I10075">
        <v>0</v>
      </c>
      <c r="J10075">
        <v>0.94444444444444398</v>
      </c>
      <c r="K10075">
        <v>0.88048780487804901</v>
      </c>
      <c r="L10075">
        <v>0.91134541134541103</v>
      </c>
      <c r="M10075">
        <v>0.82926829268292701</v>
      </c>
      <c r="N10075">
        <v>0.82926829268292701</v>
      </c>
      <c r="O10075">
        <v>0.82926829268292701</v>
      </c>
      <c r="AF10075" t="s">
        <v>20377</v>
      </c>
    </row>
    <row r="10076" spans="1:32" hidden="1" x14ac:dyDescent="0.35">
      <c r="A10076">
        <v>10075</v>
      </c>
      <c r="B10076" t="s">
        <v>20378</v>
      </c>
      <c r="C10076" t="s">
        <v>33</v>
      </c>
      <c r="D10076" t="s">
        <v>60</v>
      </c>
      <c r="E10076">
        <v>1947</v>
      </c>
      <c r="F10076">
        <v>2</v>
      </c>
      <c r="G10076">
        <v>2</v>
      </c>
      <c r="H10076">
        <v>1</v>
      </c>
      <c r="I10076">
        <v>0</v>
      </c>
      <c r="J10076">
        <v>0.99488547920836101</v>
      </c>
      <c r="K10076">
        <v>1</v>
      </c>
      <c r="L10076">
        <v>0.99743618325716199</v>
      </c>
      <c r="M10076">
        <v>0.99399599733155397</v>
      </c>
      <c r="N10076">
        <v>0.99399599733155397</v>
      </c>
      <c r="O10076">
        <v>0.99399599733155397</v>
      </c>
      <c r="P10076" t="s">
        <v>20379</v>
      </c>
      <c r="Q10076" t="s">
        <v>20380</v>
      </c>
      <c r="R10076" t="s">
        <v>4098</v>
      </c>
      <c r="S10076" t="s">
        <v>4099</v>
      </c>
      <c r="V10076" t="s">
        <v>20381</v>
      </c>
      <c r="W10076" t="s">
        <v>20382</v>
      </c>
      <c r="AF10076" t="s">
        <v>20383</v>
      </c>
    </row>
    <row r="10077" spans="1:32" hidden="1" x14ac:dyDescent="0.35">
      <c r="A10077">
        <v>10076</v>
      </c>
      <c r="B10077" t="s">
        <v>20378</v>
      </c>
      <c r="C10077" t="s">
        <v>33</v>
      </c>
      <c r="D10077" t="s">
        <v>62</v>
      </c>
      <c r="E10077">
        <v>1987</v>
      </c>
      <c r="F10077">
        <v>2</v>
      </c>
      <c r="G10077">
        <v>2</v>
      </c>
      <c r="H10077">
        <v>1</v>
      </c>
      <c r="I10077">
        <v>0</v>
      </c>
      <c r="J10077">
        <v>0.99488547920836101</v>
      </c>
      <c r="K10077">
        <v>1</v>
      </c>
      <c r="L10077">
        <v>0.99743618325716199</v>
      </c>
      <c r="M10077">
        <v>0.99399599733155397</v>
      </c>
      <c r="N10077">
        <v>0.99399599733155397</v>
      </c>
      <c r="O10077">
        <v>0.99399599733155397</v>
      </c>
      <c r="P10077" t="s">
        <v>20379</v>
      </c>
      <c r="Q10077" t="s">
        <v>20380</v>
      </c>
      <c r="R10077" t="s">
        <v>4098</v>
      </c>
      <c r="S10077" t="s">
        <v>4099</v>
      </c>
      <c r="V10077" t="s">
        <v>20381</v>
      </c>
      <c r="W10077" t="s">
        <v>20382</v>
      </c>
      <c r="AF10077" t="s">
        <v>20384</v>
      </c>
    </row>
    <row r="10078" spans="1:32" hidden="1" x14ac:dyDescent="0.35">
      <c r="A10078">
        <v>10077</v>
      </c>
      <c r="B10078" t="s">
        <v>20385</v>
      </c>
      <c r="C10078" t="s">
        <v>33</v>
      </c>
      <c r="D10078" t="s">
        <v>60</v>
      </c>
      <c r="E10078">
        <v>1597</v>
      </c>
      <c r="F10078">
        <v>2</v>
      </c>
      <c r="G10078">
        <v>2</v>
      </c>
      <c r="H10078">
        <v>1</v>
      </c>
      <c r="I10078">
        <v>0</v>
      </c>
      <c r="J10078">
        <v>0.97305764411027595</v>
      </c>
      <c r="K10078">
        <v>1</v>
      </c>
      <c r="L10078">
        <v>0.98634487138774196</v>
      </c>
      <c r="M10078">
        <v>0.96052631578947401</v>
      </c>
      <c r="N10078">
        <v>0.96052631578947401</v>
      </c>
      <c r="O10078">
        <v>0.96052631578947401</v>
      </c>
      <c r="AF10078" t="s">
        <v>20386</v>
      </c>
    </row>
    <row r="10079" spans="1:32" hidden="1" x14ac:dyDescent="0.35">
      <c r="A10079">
        <v>10078</v>
      </c>
      <c r="B10079" t="s">
        <v>20385</v>
      </c>
      <c r="C10079" t="s">
        <v>33</v>
      </c>
      <c r="D10079" t="s">
        <v>62</v>
      </c>
      <c r="E10079">
        <v>1633</v>
      </c>
      <c r="F10079">
        <v>2</v>
      </c>
      <c r="G10079">
        <v>2</v>
      </c>
      <c r="H10079">
        <v>1</v>
      </c>
      <c r="I10079">
        <v>0</v>
      </c>
      <c r="J10079">
        <v>0.97305764411027595</v>
      </c>
      <c r="K10079">
        <v>1</v>
      </c>
      <c r="L10079">
        <v>0.98634487138774196</v>
      </c>
      <c r="M10079">
        <v>0.96052631578947401</v>
      </c>
      <c r="N10079">
        <v>0.96052631578947401</v>
      </c>
      <c r="O10079">
        <v>0.96052631578947401</v>
      </c>
      <c r="AF10079" t="s">
        <v>20387</v>
      </c>
    </row>
    <row r="10080" spans="1:32" hidden="1" x14ac:dyDescent="0.35">
      <c r="A10080">
        <v>10079</v>
      </c>
      <c r="B10080" t="s">
        <v>20388</v>
      </c>
      <c r="C10080" t="s">
        <v>33</v>
      </c>
      <c r="D10080" t="s">
        <v>60</v>
      </c>
      <c r="E10080">
        <v>553</v>
      </c>
      <c r="F10080">
        <v>2</v>
      </c>
      <c r="G10080">
        <v>2</v>
      </c>
      <c r="H10080">
        <v>1</v>
      </c>
      <c r="I10080">
        <v>0</v>
      </c>
      <c r="J10080">
        <v>0.99733333333333296</v>
      </c>
      <c r="K10080">
        <v>1</v>
      </c>
      <c r="L10080">
        <v>0.99866488651535401</v>
      </c>
      <c r="M10080">
        <v>0.99733333333333296</v>
      </c>
      <c r="N10080">
        <v>0.99733333333333296</v>
      </c>
      <c r="O10080">
        <v>0.99733333333333296</v>
      </c>
      <c r="P10080" t="s">
        <v>3084</v>
      </c>
      <c r="Q10080" t="s">
        <v>3085</v>
      </c>
      <c r="R10080" t="s">
        <v>96</v>
      </c>
      <c r="S10080" t="s">
        <v>97</v>
      </c>
      <c r="T10080" t="s">
        <v>20389</v>
      </c>
      <c r="U10080" t="s">
        <v>20390</v>
      </c>
      <c r="V10080" t="s">
        <v>20391</v>
      </c>
      <c r="W10080" t="s">
        <v>20392</v>
      </c>
      <c r="AD10080" t="s">
        <v>410</v>
      </c>
      <c r="AE10080" t="s">
        <v>1637</v>
      </c>
      <c r="AF10080" t="s">
        <v>20393</v>
      </c>
    </row>
    <row r="10081" spans="1:32" hidden="1" x14ac:dyDescent="0.35">
      <c r="A10081">
        <v>10080</v>
      </c>
      <c r="B10081" t="s">
        <v>20388</v>
      </c>
      <c r="C10081" t="s">
        <v>33</v>
      </c>
      <c r="D10081" t="s">
        <v>62</v>
      </c>
      <c r="E10081">
        <v>637</v>
      </c>
      <c r="F10081">
        <v>2</v>
      </c>
      <c r="G10081">
        <v>2</v>
      </c>
      <c r="H10081">
        <v>1</v>
      </c>
      <c r="I10081">
        <v>0</v>
      </c>
      <c r="J10081">
        <v>0.99733333333333296</v>
      </c>
      <c r="K10081">
        <v>1</v>
      </c>
      <c r="L10081">
        <v>0.99866488651535401</v>
      </c>
      <c r="M10081">
        <v>0.99733333333333296</v>
      </c>
      <c r="N10081">
        <v>0.99733333333333296</v>
      </c>
      <c r="O10081">
        <v>0.99733333333333296</v>
      </c>
      <c r="P10081" t="s">
        <v>3084</v>
      </c>
      <c r="Q10081" t="s">
        <v>3085</v>
      </c>
      <c r="R10081" t="s">
        <v>96</v>
      </c>
      <c r="S10081" t="s">
        <v>97</v>
      </c>
      <c r="T10081" t="s">
        <v>20389</v>
      </c>
      <c r="U10081" t="s">
        <v>20390</v>
      </c>
      <c r="V10081" t="s">
        <v>20391</v>
      </c>
      <c r="W10081" t="s">
        <v>20392</v>
      </c>
      <c r="AD10081" t="s">
        <v>410</v>
      </c>
      <c r="AE10081" t="s">
        <v>1637</v>
      </c>
      <c r="AF10081" t="s">
        <v>20394</v>
      </c>
    </row>
    <row r="10082" spans="1:32" hidden="1" x14ac:dyDescent="0.35">
      <c r="A10082">
        <v>10081</v>
      </c>
      <c r="B10082" t="s">
        <v>20395</v>
      </c>
      <c r="C10082" t="s">
        <v>33</v>
      </c>
      <c r="D10082" t="s">
        <v>58</v>
      </c>
      <c r="E10082">
        <v>1707</v>
      </c>
      <c r="F10082">
        <v>1</v>
      </c>
      <c r="G10082">
        <v>2</v>
      </c>
      <c r="H10082">
        <v>2</v>
      </c>
      <c r="I10082">
        <v>0</v>
      </c>
      <c r="J10082">
        <v>0.939393939393939</v>
      </c>
      <c r="K10082">
        <v>1</v>
      </c>
      <c r="L10082">
        <v>0.96875</v>
      </c>
      <c r="M10082">
        <v>0.90909090909090895</v>
      </c>
      <c r="N10082">
        <v>0.90909090909090895</v>
      </c>
      <c r="O10082">
        <v>0.90909090909090895</v>
      </c>
      <c r="AF10082" t="s">
        <v>20396</v>
      </c>
    </row>
    <row r="10083" spans="1:32" hidden="1" x14ac:dyDescent="0.35">
      <c r="A10083">
        <v>10082</v>
      </c>
      <c r="B10083" t="s">
        <v>20395</v>
      </c>
      <c r="C10083" t="s">
        <v>33</v>
      </c>
      <c r="D10083" t="s">
        <v>58</v>
      </c>
      <c r="E10083">
        <v>1709</v>
      </c>
      <c r="F10083">
        <v>1</v>
      </c>
      <c r="G10083">
        <v>2</v>
      </c>
      <c r="H10083">
        <v>2</v>
      </c>
      <c r="I10083">
        <v>0</v>
      </c>
      <c r="J10083">
        <v>0.939393939393939</v>
      </c>
      <c r="K10083">
        <v>1</v>
      </c>
      <c r="L10083">
        <v>0.96875</v>
      </c>
      <c r="M10083">
        <v>0.90909090909090895</v>
      </c>
      <c r="N10083">
        <v>0.90909090909090895</v>
      </c>
      <c r="O10083">
        <v>0.90909090909090895</v>
      </c>
      <c r="AF10083" t="s">
        <v>20397</v>
      </c>
    </row>
    <row r="10084" spans="1:32" hidden="1" x14ac:dyDescent="0.35">
      <c r="A10084">
        <v>10083</v>
      </c>
      <c r="B10084" t="s">
        <v>20398</v>
      </c>
      <c r="C10084" t="s">
        <v>33</v>
      </c>
      <c r="D10084" t="s">
        <v>34</v>
      </c>
      <c r="E10084">
        <v>543</v>
      </c>
      <c r="F10084">
        <v>2</v>
      </c>
      <c r="G10084">
        <v>2</v>
      </c>
      <c r="H10084">
        <v>1</v>
      </c>
      <c r="I10084">
        <v>0</v>
      </c>
      <c r="J10084">
        <v>0.99544937428896496</v>
      </c>
      <c r="K10084">
        <v>0.81332307917673796</v>
      </c>
      <c r="L10084">
        <v>0.89521702822262705</v>
      </c>
      <c r="M10084">
        <v>0.786486486486486</v>
      </c>
      <c r="N10084">
        <v>0.786486486486486</v>
      </c>
      <c r="O10084">
        <v>0.786486486486486</v>
      </c>
      <c r="P10084" t="s">
        <v>11112</v>
      </c>
      <c r="Q10084" t="s">
        <v>11113</v>
      </c>
      <c r="R10084" t="s">
        <v>113</v>
      </c>
      <c r="S10084" t="s">
        <v>114</v>
      </c>
      <c r="V10084" t="s">
        <v>11108</v>
      </c>
      <c r="W10084" t="s">
        <v>11109</v>
      </c>
      <c r="AF10084" t="s">
        <v>20399</v>
      </c>
    </row>
    <row r="10085" spans="1:32" hidden="1" x14ac:dyDescent="0.35">
      <c r="A10085">
        <v>10084</v>
      </c>
      <c r="B10085" t="s">
        <v>20398</v>
      </c>
      <c r="C10085" t="s">
        <v>33</v>
      </c>
      <c r="D10085" t="s">
        <v>45</v>
      </c>
      <c r="E10085">
        <v>1810</v>
      </c>
      <c r="F10085">
        <v>2</v>
      </c>
      <c r="G10085">
        <v>2</v>
      </c>
      <c r="H10085">
        <v>1</v>
      </c>
      <c r="I10085">
        <v>0</v>
      </c>
      <c r="J10085">
        <v>0.99544937428896496</v>
      </c>
      <c r="K10085">
        <v>0.81332307917673796</v>
      </c>
      <c r="L10085">
        <v>0.89521702822262705</v>
      </c>
      <c r="M10085">
        <v>0.786486486486486</v>
      </c>
      <c r="N10085">
        <v>0.786486486486486</v>
      </c>
      <c r="O10085">
        <v>0.786486486486486</v>
      </c>
      <c r="P10085" t="s">
        <v>11112</v>
      </c>
      <c r="Q10085" t="s">
        <v>11113</v>
      </c>
      <c r="R10085" t="s">
        <v>113</v>
      </c>
      <c r="S10085" t="s">
        <v>114</v>
      </c>
      <c r="T10085" t="s">
        <v>11106</v>
      </c>
      <c r="U10085" t="s">
        <v>11107</v>
      </c>
      <c r="V10085" t="s">
        <v>11108</v>
      </c>
      <c r="W10085" t="s">
        <v>11109</v>
      </c>
      <c r="AD10085" t="s">
        <v>312</v>
      </c>
      <c r="AE10085" t="s">
        <v>11110</v>
      </c>
      <c r="AF10085" t="s">
        <v>20400</v>
      </c>
    </row>
    <row r="10086" spans="1:32" hidden="1" x14ac:dyDescent="0.35">
      <c r="A10086">
        <v>10085</v>
      </c>
      <c r="B10086" t="s">
        <v>20401</v>
      </c>
      <c r="C10086" t="s">
        <v>33</v>
      </c>
      <c r="D10086" t="s">
        <v>34</v>
      </c>
      <c r="E10086">
        <v>321</v>
      </c>
      <c r="F10086">
        <v>2</v>
      </c>
      <c r="G10086">
        <v>2</v>
      </c>
      <c r="H10086">
        <v>1</v>
      </c>
      <c r="I10086">
        <v>0</v>
      </c>
      <c r="J10086">
        <v>0.98265895953757199</v>
      </c>
      <c r="K10086">
        <v>1</v>
      </c>
      <c r="L10086">
        <v>0.99125364431486895</v>
      </c>
      <c r="M10086">
        <v>0.98265895953757199</v>
      </c>
      <c r="N10086">
        <v>0.98265895953757199</v>
      </c>
      <c r="O10086">
        <v>0.98265895953757199</v>
      </c>
      <c r="P10086" t="s">
        <v>12822</v>
      </c>
      <c r="Q10086" t="s">
        <v>12823</v>
      </c>
      <c r="R10086" t="s">
        <v>224</v>
      </c>
      <c r="S10086" t="s">
        <v>225</v>
      </c>
      <c r="T10086" t="s">
        <v>12824</v>
      </c>
      <c r="U10086" t="s">
        <v>12825</v>
      </c>
      <c r="V10086" t="s">
        <v>12826</v>
      </c>
      <c r="W10086" t="s">
        <v>12827</v>
      </c>
      <c r="X10086" t="s">
        <v>12826</v>
      </c>
      <c r="Y10086" t="s">
        <v>773</v>
      </c>
      <c r="AD10086" t="s">
        <v>12828</v>
      </c>
      <c r="AE10086" t="s">
        <v>12829</v>
      </c>
      <c r="AF10086" t="s">
        <v>20402</v>
      </c>
    </row>
    <row r="10087" spans="1:32" hidden="1" x14ac:dyDescent="0.35">
      <c r="A10087">
        <v>10086</v>
      </c>
      <c r="B10087" t="s">
        <v>20401</v>
      </c>
      <c r="C10087" t="s">
        <v>33</v>
      </c>
      <c r="D10087" t="s">
        <v>45</v>
      </c>
      <c r="E10087">
        <v>1583</v>
      </c>
      <c r="F10087">
        <v>2</v>
      </c>
      <c r="G10087">
        <v>2</v>
      </c>
      <c r="H10087">
        <v>1</v>
      </c>
      <c r="I10087">
        <v>0</v>
      </c>
      <c r="J10087">
        <v>0.98265895953757199</v>
      </c>
      <c r="K10087">
        <v>1</v>
      </c>
      <c r="L10087">
        <v>0.99125364431486895</v>
      </c>
      <c r="M10087">
        <v>0.98265895953757199</v>
      </c>
      <c r="N10087">
        <v>0.98265895953757199</v>
      </c>
      <c r="O10087">
        <v>0.98265895953757199</v>
      </c>
      <c r="P10087" t="s">
        <v>12822</v>
      </c>
      <c r="Q10087" t="s">
        <v>12823</v>
      </c>
      <c r="R10087" t="s">
        <v>224</v>
      </c>
      <c r="S10087" t="s">
        <v>225</v>
      </c>
      <c r="T10087" t="s">
        <v>12824</v>
      </c>
      <c r="U10087" t="s">
        <v>12825</v>
      </c>
      <c r="V10087" t="s">
        <v>12826</v>
      </c>
      <c r="W10087" t="s">
        <v>12827</v>
      </c>
      <c r="X10087" t="s">
        <v>12826</v>
      </c>
      <c r="Y10087" t="s">
        <v>773</v>
      </c>
      <c r="AD10087" t="s">
        <v>12828</v>
      </c>
      <c r="AE10087" t="s">
        <v>12829</v>
      </c>
      <c r="AF10087" t="s">
        <v>20403</v>
      </c>
    </row>
    <row r="10088" spans="1:32" hidden="1" x14ac:dyDescent="0.35">
      <c r="A10088">
        <v>10087</v>
      </c>
      <c r="B10088" t="s">
        <v>20404</v>
      </c>
      <c r="C10088" t="s">
        <v>33</v>
      </c>
      <c r="D10088" t="s">
        <v>60</v>
      </c>
      <c r="E10088">
        <v>1617</v>
      </c>
      <c r="F10088">
        <v>2</v>
      </c>
      <c r="G10088">
        <v>2</v>
      </c>
      <c r="H10088">
        <v>1</v>
      </c>
      <c r="I10088">
        <v>0</v>
      </c>
      <c r="J10088">
        <v>0.99537037037037002</v>
      </c>
      <c r="K10088">
        <v>0.79238160603980801</v>
      </c>
      <c r="L10088">
        <v>0.88235189566089101</v>
      </c>
      <c r="M10088">
        <v>0.75531914893617003</v>
      </c>
      <c r="N10088">
        <v>0.75531914893617003</v>
      </c>
      <c r="O10088">
        <v>0.75531914893617003</v>
      </c>
      <c r="AF10088" t="s">
        <v>20405</v>
      </c>
    </row>
    <row r="10089" spans="1:32" hidden="1" x14ac:dyDescent="0.35">
      <c r="A10089">
        <v>10088</v>
      </c>
      <c r="B10089" t="s">
        <v>20404</v>
      </c>
      <c r="C10089" t="s">
        <v>33</v>
      </c>
      <c r="D10089" t="s">
        <v>62</v>
      </c>
      <c r="E10089">
        <v>1653</v>
      </c>
      <c r="F10089">
        <v>2</v>
      </c>
      <c r="G10089">
        <v>2</v>
      </c>
      <c r="H10089">
        <v>1</v>
      </c>
      <c r="I10089">
        <v>0</v>
      </c>
      <c r="J10089">
        <v>0.99537037037037002</v>
      </c>
      <c r="K10089">
        <v>0.79238160603980801</v>
      </c>
      <c r="L10089">
        <v>0.88235189566089101</v>
      </c>
      <c r="M10089">
        <v>0.75531914893617003</v>
      </c>
      <c r="N10089">
        <v>0.75531914893617003</v>
      </c>
      <c r="O10089">
        <v>0.75531914893617003</v>
      </c>
      <c r="AF10089" t="e">
        <f>----------------------MRLVASIFDATALHVRKLRSCLLGLGLAVARHVSDTSRPSARLVTARWCGGRRRQVPLSITELKDCFYEHSG</f>
        <v>#NAME?</v>
      </c>
    </row>
    <row r="10090" spans="1:32" hidden="1" x14ac:dyDescent="0.35">
      <c r="A10090">
        <v>10089</v>
      </c>
      <c r="B10090" t="s">
        <v>20406</v>
      </c>
      <c r="C10090" t="s">
        <v>33</v>
      </c>
      <c r="D10090" t="s">
        <v>60</v>
      </c>
      <c r="E10090">
        <v>1914</v>
      </c>
      <c r="F10090">
        <v>2</v>
      </c>
      <c r="G10090">
        <v>2</v>
      </c>
      <c r="H10090">
        <v>1</v>
      </c>
      <c r="I10090">
        <v>0</v>
      </c>
      <c r="J10090">
        <v>0.983992467043315</v>
      </c>
      <c r="K10090">
        <v>1</v>
      </c>
      <c r="L10090">
        <v>0.99193165638348402</v>
      </c>
      <c r="M10090">
        <v>0.97457627118644097</v>
      </c>
      <c r="N10090">
        <v>0.97457627118644097</v>
      </c>
      <c r="O10090">
        <v>0.97457627118644097</v>
      </c>
      <c r="P10090" t="s">
        <v>2821</v>
      </c>
      <c r="Q10090" t="s">
        <v>2822</v>
      </c>
      <c r="R10090" t="s">
        <v>869</v>
      </c>
      <c r="S10090" t="s">
        <v>870</v>
      </c>
      <c r="V10090" t="s">
        <v>2825</v>
      </c>
      <c r="W10090" t="s">
        <v>2826</v>
      </c>
      <c r="X10090" t="s">
        <v>2825</v>
      </c>
      <c r="Y10090" t="s">
        <v>619</v>
      </c>
      <c r="AF10090" t="s">
        <v>20407</v>
      </c>
    </row>
    <row r="10091" spans="1:32" hidden="1" x14ac:dyDescent="0.35">
      <c r="A10091">
        <v>10090</v>
      </c>
      <c r="B10091" t="s">
        <v>20406</v>
      </c>
      <c r="C10091" t="s">
        <v>33</v>
      </c>
      <c r="D10091" t="s">
        <v>62</v>
      </c>
      <c r="E10091">
        <v>1954</v>
      </c>
      <c r="F10091">
        <v>2</v>
      </c>
      <c r="G10091">
        <v>2</v>
      </c>
      <c r="H10091">
        <v>1</v>
      </c>
      <c r="I10091">
        <v>0</v>
      </c>
      <c r="J10091">
        <v>0.983992467043315</v>
      </c>
      <c r="K10091">
        <v>1</v>
      </c>
      <c r="L10091">
        <v>0.99193165638348402</v>
      </c>
      <c r="M10091">
        <v>0.97457627118644097</v>
      </c>
      <c r="N10091">
        <v>0.97457627118644097</v>
      </c>
      <c r="O10091">
        <v>0.97457627118644097</v>
      </c>
      <c r="P10091" t="s">
        <v>2821</v>
      </c>
      <c r="Q10091" t="s">
        <v>2822</v>
      </c>
      <c r="R10091" t="s">
        <v>869</v>
      </c>
      <c r="S10091" t="s">
        <v>870</v>
      </c>
      <c r="V10091" t="s">
        <v>2825</v>
      </c>
      <c r="W10091" t="s">
        <v>2826</v>
      </c>
      <c r="X10091" t="s">
        <v>2825</v>
      </c>
      <c r="Y10091" t="s">
        <v>619</v>
      </c>
      <c r="AF10091" t="s">
        <v>20408</v>
      </c>
    </row>
    <row r="10092" spans="1:32" hidden="1" x14ac:dyDescent="0.35">
      <c r="A10092">
        <v>10091</v>
      </c>
      <c r="B10092" t="s">
        <v>20409</v>
      </c>
      <c r="C10092" t="s">
        <v>33</v>
      </c>
      <c r="D10092" t="s">
        <v>34</v>
      </c>
      <c r="E10092">
        <v>1264</v>
      </c>
      <c r="F10092">
        <v>2</v>
      </c>
      <c r="G10092">
        <v>2</v>
      </c>
      <c r="H10092">
        <v>1</v>
      </c>
      <c r="I10092">
        <v>0</v>
      </c>
      <c r="J10092">
        <v>0.74910394265233005</v>
      </c>
      <c r="K10092">
        <v>0.83802149178255403</v>
      </c>
      <c r="L10092">
        <v>0.79107194667978098</v>
      </c>
      <c r="M10092">
        <v>0.61061946902654896</v>
      </c>
      <c r="N10092">
        <v>0.61061946902654896</v>
      </c>
      <c r="O10092">
        <v>0.61061946902654896</v>
      </c>
      <c r="AF10092" t="s">
        <v>20410</v>
      </c>
    </row>
    <row r="10093" spans="1:32" hidden="1" x14ac:dyDescent="0.35">
      <c r="A10093">
        <v>10092</v>
      </c>
      <c r="B10093" t="s">
        <v>20409</v>
      </c>
      <c r="C10093" t="s">
        <v>33</v>
      </c>
      <c r="D10093" t="s">
        <v>45</v>
      </c>
      <c r="E10093">
        <v>0</v>
      </c>
      <c r="F10093">
        <v>2</v>
      </c>
      <c r="G10093">
        <v>2</v>
      </c>
      <c r="H10093">
        <v>1</v>
      </c>
      <c r="I10093">
        <v>0</v>
      </c>
      <c r="J10093">
        <v>0.74910394265233005</v>
      </c>
      <c r="K10093">
        <v>0.83802149178255403</v>
      </c>
      <c r="L10093">
        <v>0.79107194667978098</v>
      </c>
      <c r="M10093">
        <v>0.61061946902654896</v>
      </c>
      <c r="N10093">
        <v>0.61061946902654896</v>
      </c>
      <c r="O10093">
        <v>0.61061946902654896</v>
      </c>
      <c r="AF10093" t="e">
        <f>--------------------MGGSSLGLYRNPSNPHETKNQECRGFGEEATDISATEASKGGCSIDTDITTVKPPAAKQSATESCISISTGIGTKSVNAGSLKHHADASKNHE</f>
        <v>#NAME?</v>
      </c>
    </row>
    <row r="10094" spans="1:32" hidden="1" x14ac:dyDescent="0.35">
      <c r="A10094">
        <v>10093</v>
      </c>
      <c r="B10094" t="s">
        <v>20411</v>
      </c>
      <c r="C10094" t="s">
        <v>33</v>
      </c>
      <c r="D10094" t="s">
        <v>60</v>
      </c>
      <c r="E10094">
        <v>1528</v>
      </c>
      <c r="F10094">
        <v>2</v>
      </c>
      <c r="G10094">
        <v>2</v>
      </c>
      <c r="H10094">
        <v>1</v>
      </c>
      <c r="I10094">
        <v>0</v>
      </c>
      <c r="J10094">
        <v>0.99535192563080999</v>
      </c>
      <c r="K10094">
        <v>1</v>
      </c>
      <c r="L10094">
        <v>0.99767054908485897</v>
      </c>
      <c r="M10094">
        <v>0.99402390438247001</v>
      </c>
      <c r="N10094">
        <v>0.99402390438247001</v>
      </c>
      <c r="O10094">
        <v>0.99402390438247001</v>
      </c>
      <c r="P10094" t="s">
        <v>5779</v>
      </c>
      <c r="Q10094" t="s">
        <v>5780</v>
      </c>
      <c r="R10094" t="s">
        <v>235</v>
      </c>
      <c r="S10094" t="s">
        <v>236</v>
      </c>
      <c r="T10094" t="s">
        <v>13395</v>
      </c>
      <c r="U10094" t="s">
        <v>13396</v>
      </c>
      <c r="V10094" t="s">
        <v>5783</v>
      </c>
      <c r="W10094" t="s">
        <v>5784</v>
      </c>
      <c r="AD10094" t="s">
        <v>410</v>
      </c>
      <c r="AE10094" t="s">
        <v>532</v>
      </c>
      <c r="AF10094" t="s">
        <v>20412</v>
      </c>
    </row>
    <row r="10095" spans="1:32" hidden="1" x14ac:dyDescent="0.35">
      <c r="A10095">
        <v>10094</v>
      </c>
      <c r="B10095" t="s">
        <v>20411</v>
      </c>
      <c r="C10095" t="s">
        <v>33</v>
      </c>
      <c r="D10095" t="s">
        <v>62</v>
      </c>
      <c r="E10095">
        <v>1563</v>
      </c>
      <c r="F10095">
        <v>2</v>
      </c>
      <c r="G10095">
        <v>2</v>
      </c>
      <c r="H10095">
        <v>1</v>
      </c>
      <c r="I10095">
        <v>0</v>
      </c>
      <c r="J10095">
        <v>0.99535192563080999</v>
      </c>
      <c r="K10095">
        <v>1</v>
      </c>
      <c r="L10095">
        <v>0.99767054908485897</v>
      </c>
      <c r="M10095">
        <v>0.99402390438247001</v>
      </c>
      <c r="N10095">
        <v>0.99402390438247001</v>
      </c>
      <c r="O10095">
        <v>0.99402390438247001</v>
      </c>
      <c r="P10095" t="s">
        <v>5779</v>
      </c>
      <c r="Q10095" t="s">
        <v>5780</v>
      </c>
      <c r="R10095" t="s">
        <v>235</v>
      </c>
      <c r="S10095" t="s">
        <v>236</v>
      </c>
      <c r="T10095" t="s">
        <v>13395</v>
      </c>
      <c r="U10095" t="s">
        <v>13396</v>
      </c>
      <c r="V10095" t="s">
        <v>5783</v>
      </c>
      <c r="W10095" t="s">
        <v>5784</v>
      </c>
      <c r="AD10095" t="s">
        <v>410</v>
      </c>
      <c r="AE10095" t="s">
        <v>532</v>
      </c>
      <c r="AF10095" t="s">
        <v>20413</v>
      </c>
    </row>
    <row r="10096" spans="1:32" hidden="1" x14ac:dyDescent="0.35">
      <c r="A10096">
        <v>10095</v>
      </c>
      <c r="B10096" t="s">
        <v>20414</v>
      </c>
      <c r="C10096" t="s">
        <v>33</v>
      </c>
      <c r="D10096" t="s">
        <v>34</v>
      </c>
      <c r="E10096">
        <v>1887</v>
      </c>
      <c r="F10096">
        <v>2</v>
      </c>
      <c r="G10096">
        <v>2</v>
      </c>
      <c r="H10096">
        <v>1</v>
      </c>
      <c r="I10096">
        <v>0</v>
      </c>
      <c r="J10096">
        <v>0.96124031007751898</v>
      </c>
      <c r="K10096">
        <v>0.66136865342163498</v>
      </c>
      <c r="L10096">
        <v>0.78359509135165095</v>
      </c>
      <c r="M10096">
        <v>0.54304635761589404</v>
      </c>
      <c r="N10096">
        <v>0.54304635761589404</v>
      </c>
      <c r="O10096">
        <v>0.54304635761589404</v>
      </c>
      <c r="AF10096" t="s">
        <v>20415</v>
      </c>
    </row>
    <row r="10097" spans="1:32" hidden="1" x14ac:dyDescent="0.35">
      <c r="A10097">
        <v>10096</v>
      </c>
      <c r="B10097" t="s">
        <v>20414</v>
      </c>
      <c r="C10097" t="s">
        <v>33</v>
      </c>
      <c r="D10097" t="s">
        <v>45</v>
      </c>
      <c r="E10097">
        <v>986</v>
      </c>
      <c r="F10097">
        <v>2</v>
      </c>
      <c r="G10097">
        <v>2</v>
      </c>
      <c r="H10097">
        <v>1</v>
      </c>
      <c r="I10097">
        <v>0</v>
      </c>
      <c r="J10097">
        <v>0.96124031007751898</v>
      </c>
      <c r="K10097">
        <v>0.66136865342163498</v>
      </c>
      <c r="L10097">
        <v>0.78359509135165095</v>
      </c>
      <c r="M10097">
        <v>0.54304635761589404</v>
      </c>
      <c r="N10097">
        <v>0.54304635761589404</v>
      </c>
      <c r="O10097">
        <v>0.54304635761589404</v>
      </c>
      <c r="AF10097" t="s">
        <v>20416</v>
      </c>
    </row>
    <row r="10098" spans="1:32" hidden="1" x14ac:dyDescent="0.35">
      <c r="A10098">
        <v>10097</v>
      </c>
      <c r="B10098" t="s">
        <v>20417</v>
      </c>
      <c r="C10098" t="s">
        <v>33</v>
      </c>
      <c r="D10098" t="s">
        <v>34</v>
      </c>
      <c r="E10098">
        <v>1535</v>
      </c>
      <c r="F10098">
        <v>2</v>
      </c>
      <c r="G10098">
        <v>2</v>
      </c>
      <c r="H10098">
        <v>1</v>
      </c>
      <c r="I10098">
        <v>0</v>
      </c>
      <c r="J10098">
        <v>0.98898071625344397</v>
      </c>
      <c r="K10098">
        <v>1</v>
      </c>
      <c r="L10098">
        <v>0.99445983379501401</v>
      </c>
      <c r="M10098">
        <v>0.98347107438016501</v>
      </c>
      <c r="N10098">
        <v>0.98347107438016501</v>
      </c>
      <c r="O10098">
        <v>0.98347107438016501</v>
      </c>
      <c r="AF10098" t="s">
        <v>20418</v>
      </c>
    </row>
    <row r="10099" spans="1:32" hidden="1" x14ac:dyDescent="0.35">
      <c r="A10099">
        <v>10098</v>
      </c>
      <c r="B10099" t="s">
        <v>20417</v>
      </c>
      <c r="C10099" t="s">
        <v>33</v>
      </c>
      <c r="D10099" t="s">
        <v>45</v>
      </c>
      <c r="E10099">
        <v>285</v>
      </c>
      <c r="F10099">
        <v>2</v>
      </c>
      <c r="G10099">
        <v>2</v>
      </c>
      <c r="H10099">
        <v>1</v>
      </c>
      <c r="I10099">
        <v>0</v>
      </c>
      <c r="J10099">
        <v>0.98898071625344397</v>
      </c>
      <c r="K10099">
        <v>1</v>
      </c>
      <c r="L10099">
        <v>0.99445983379501401</v>
      </c>
      <c r="M10099">
        <v>0.98347107438016501</v>
      </c>
      <c r="N10099">
        <v>0.98347107438016501</v>
      </c>
      <c r="O10099">
        <v>0.98347107438016501</v>
      </c>
      <c r="AF10099" t="s">
        <v>20419</v>
      </c>
    </row>
    <row r="10100" spans="1:32" hidden="1" x14ac:dyDescent="0.35">
      <c r="A10100">
        <v>10099</v>
      </c>
      <c r="B10100" t="s">
        <v>20420</v>
      </c>
      <c r="C10100" t="s">
        <v>33</v>
      </c>
      <c r="D10100" t="s">
        <v>34</v>
      </c>
      <c r="E10100">
        <v>2057</v>
      </c>
      <c r="F10100">
        <v>2</v>
      </c>
      <c r="G10100">
        <v>2</v>
      </c>
      <c r="H10100">
        <v>1</v>
      </c>
      <c r="I10100">
        <v>0</v>
      </c>
      <c r="J10100">
        <v>0.98496240601503804</v>
      </c>
      <c r="K10100">
        <v>1</v>
      </c>
      <c r="L10100">
        <v>0.99242424242424199</v>
      </c>
      <c r="M10100">
        <v>0.98496240601503804</v>
      </c>
      <c r="N10100">
        <v>0.98496240601503804</v>
      </c>
      <c r="O10100">
        <v>0.98496240601503804</v>
      </c>
      <c r="AF10100" t="s">
        <v>20421</v>
      </c>
    </row>
    <row r="10101" spans="1:32" hidden="1" x14ac:dyDescent="0.35">
      <c r="A10101">
        <v>10100</v>
      </c>
      <c r="B10101" t="s">
        <v>20420</v>
      </c>
      <c r="C10101" t="s">
        <v>33</v>
      </c>
      <c r="D10101" t="s">
        <v>45</v>
      </c>
      <c r="E10101">
        <v>815</v>
      </c>
      <c r="F10101">
        <v>2</v>
      </c>
      <c r="G10101">
        <v>2</v>
      </c>
      <c r="H10101">
        <v>1</v>
      </c>
      <c r="I10101">
        <v>0</v>
      </c>
      <c r="J10101">
        <v>0.98496240601503804</v>
      </c>
      <c r="K10101">
        <v>1</v>
      </c>
      <c r="L10101">
        <v>0.99242424242424199</v>
      </c>
      <c r="M10101">
        <v>0.98496240601503804</v>
      </c>
      <c r="N10101">
        <v>0.98496240601503804</v>
      </c>
      <c r="O10101">
        <v>0.98496240601503804</v>
      </c>
      <c r="AF10101" t="s">
        <v>20422</v>
      </c>
    </row>
    <row r="10102" spans="1:32" hidden="1" x14ac:dyDescent="0.35">
      <c r="A10102">
        <v>10101</v>
      </c>
      <c r="B10102" t="s">
        <v>20423</v>
      </c>
      <c r="C10102" t="s">
        <v>33</v>
      </c>
      <c r="D10102" t="s">
        <v>60</v>
      </c>
      <c r="E10102">
        <v>1383</v>
      </c>
      <c r="F10102">
        <v>2</v>
      </c>
      <c r="G10102">
        <v>2</v>
      </c>
      <c r="H10102">
        <v>1</v>
      </c>
      <c r="I10102">
        <v>0</v>
      </c>
      <c r="J10102">
        <v>0.98287461773700302</v>
      </c>
      <c r="K10102">
        <v>1</v>
      </c>
      <c r="L10102">
        <v>0.99136335595311498</v>
      </c>
      <c r="M10102">
        <v>0.97798165137614701</v>
      </c>
      <c r="N10102">
        <v>0.97798165137614701</v>
      </c>
      <c r="O10102">
        <v>0.97798165137614701</v>
      </c>
      <c r="P10102" t="s">
        <v>169</v>
      </c>
      <c r="Q10102" t="s">
        <v>170</v>
      </c>
      <c r="R10102" t="s">
        <v>288</v>
      </c>
      <c r="S10102" t="s">
        <v>289</v>
      </c>
      <c r="T10102" t="s">
        <v>19046</v>
      </c>
      <c r="U10102" t="s">
        <v>19047</v>
      </c>
      <c r="V10102" t="s">
        <v>3589</v>
      </c>
      <c r="W10102" t="s">
        <v>3590</v>
      </c>
      <c r="AD10102" t="s">
        <v>19048</v>
      </c>
      <c r="AE10102" t="s">
        <v>19049</v>
      </c>
      <c r="AF10102" t="s">
        <v>20424</v>
      </c>
    </row>
    <row r="10103" spans="1:32" hidden="1" x14ac:dyDescent="0.35">
      <c r="A10103">
        <v>10102</v>
      </c>
      <c r="B10103" t="s">
        <v>20423</v>
      </c>
      <c r="C10103" t="s">
        <v>33</v>
      </c>
      <c r="D10103" t="s">
        <v>62</v>
      </c>
      <c r="E10103">
        <v>1418</v>
      </c>
      <c r="F10103">
        <v>2</v>
      </c>
      <c r="G10103">
        <v>2</v>
      </c>
      <c r="H10103">
        <v>1</v>
      </c>
      <c r="I10103">
        <v>0</v>
      </c>
      <c r="J10103">
        <v>0.98287461773700302</v>
      </c>
      <c r="K10103">
        <v>1</v>
      </c>
      <c r="L10103">
        <v>0.99136335595311498</v>
      </c>
      <c r="M10103">
        <v>0.97798165137614701</v>
      </c>
      <c r="N10103">
        <v>0.97798165137614701</v>
      </c>
      <c r="O10103">
        <v>0.97798165137614701</v>
      </c>
      <c r="P10103" t="s">
        <v>169</v>
      </c>
      <c r="Q10103" t="s">
        <v>170</v>
      </c>
      <c r="R10103" t="s">
        <v>288</v>
      </c>
      <c r="S10103" t="s">
        <v>289</v>
      </c>
      <c r="T10103" t="s">
        <v>19046</v>
      </c>
      <c r="U10103" t="s">
        <v>19047</v>
      </c>
      <c r="V10103" t="s">
        <v>3589</v>
      </c>
      <c r="W10103" t="s">
        <v>3590</v>
      </c>
      <c r="AD10103" t="s">
        <v>19048</v>
      </c>
      <c r="AE10103" t="s">
        <v>19049</v>
      </c>
      <c r="AF10103" t="s">
        <v>20425</v>
      </c>
    </row>
    <row r="10104" spans="1:32" hidden="1" x14ac:dyDescent="0.35">
      <c r="A10104">
        <v>10103</v>
      </c>
      <c r="B10104" t="s">
        <v>20426</v>
      </c>
      <c r="C10104" t="s">
        <v>33</v>
      </c>
      <c r="D10104" t="s">
        <v>34</v>
      </c>
      <c r="E10104">
        <v>249</v>
      </c>
      <c r="F10104">
        <v>2</v>
      </c>
      <c r="G10104">
        <v>2</v>
      </c>
      <c r="H10104">
        <v>1</v>
      </c>
      <c r="I10104">
        <v>0</v>
      </c>
      <c r="J10104">
        <v>0.97853107344632795</v>
      </c>
      <c r="K10104">
        <v>1</v>
      </c>
      <c r="L10104">
        <v>0.98914905768132499</v>
      </c>
      <c r="M10104">
        <v>0.96949152542372896</v>
      </c>
      <c r="N10104">
        <v>0.96949152542372896</v>
      </c>
      <c r="O10104">
        <v>0.96949152542372896</v>
      </c>
      <c r="P10104" t="s">
        <v>20427</v>
      </c>
      <c r="Q10104" t="s">
        <v>20428</v>
      </c>
      <c r="R10104" t="s">
        <v>869</v>
      </c>
      <c r="S10104" t="s">
        <v>870</v>
      </c>
      <c r="T10104" t="s">
        <v>15284</v>
      </c>
      <c r="U10104" t="s">
        <v>15285</v>
      </c>
      <c r="V10104" t="s">
        <v>15286</v>
      </c>
      <c r="W10104" t="s">
        <v>15287</v>
      </c>
      <c r="X10104" t="s">
        <v>15286</v>
      </c>
      <c r="Y10104" t="s">
        <v>3682</v>
      </c>
      <c r="Z10104" t="s">
        <v>13357</v>
      </c>
      <c r="AA10104" t="s">
        <v>13358</v>
      </c>
      <c r="AB10104" t="s">
        <v>13357</v>
      </c>
      <c r="AC10104" t="s">
        <v>1742</v>
      </c>
      <c r="AD10104" t="s">
        <v>219</v>
      </c>
      <c r="AE10104" t="s">
        <v>15288</v>
      </c>
      <c r="AF10104" t="s">
        <v>20429</v>
      </c>
    </row>
    <row r="10105" spans="1:32" hidden="1" x14ac:dyDescent="0.35">
      <c r="A10105">
        <v>10104</v>
      </c>
      <c r="B10105" t="s">
        <v>20426</v>
      </c>
      <c r="C10105" t="s">
        <v>33</v>
      </c>
      <c r="D10105" t="s">
        <v>45</v>
      </c>
      <c r="E10105">
        <v>1512</v>
      </c>
      <c r="F10105">
        <v>2</v>
      </c>
      <c r="G10105">
        <v>2</v>
      </c>
      <c r="H10105">
        <v>1</v>
      </c>
      <c r="I10105">
        <v>0</v>
      </c>
      <c r="J10105">
        <v>0.97853107344632795</v>
      </c>
      <c r="K10105">
        <v>1</v>
      </c>
      <c r="L10105">
        <v>0.98914905768132499</v>
      </c>
      <c r="M10105">
        <v>0.96949152542372896</v>
      </c>
      <c r="N10105">
        <v>0.96949152542372896</v>
      </c>
      <c r="O10105">
        <v>0.96949152542372896</v>
      </c>
      <c r="P10105" t="s">
        <v>20427</v>
      </c>
      <c r="Q10105" t="s">
        <v>20428</v>
      </c>
      <c r="R10105" t="s">
        <v>869</v>
      </c>
      <c r="S10105" t="s">
        <v>870</v>
      </c>
      <c r="T10105" t="s">
        <v>15284</v>
      </c>
      <c r="U10105" t="s">
        <v>15285</v>
      </c>
      <c r="V10105" t="s">
        <v>15286</v>
      </c>
      <c r="W10105" t="s">
        <v>15287</v>
      </c>
      <c r="X10105" t="s">
        <v>15286</v>
      </c>
      <c r="Y10105" t="s">
        <v>3682</v>
      </c>
      <c r="Z10105" t="s">
        <v>13357</v>
      </c>
      <c r="AA10105" t="s">
        <v>13358</v>
      </c>
      <c r="AB10105" t="s">
        <v>13357</v>
      </c>
      <c r="AC10105" t="s">
        <v>1742</v>
      </c>
      <c r="AD10105" t="s">
        <v>219</v>
      </c>
      <c r="AE10105" t="s">
        <v>15288</v>
      </c>
      <c r="AF10105" t="s">
        <v>20430</v>
      </c>
    </row>
    <row r="10106" spans="1:32" hidden="1" x14ac:dyDescent="0.35">
      <c r="A10106">
        <v>10105</v>
      </c>
      <c r="B10106" t="s">
        <v>20431</v>
      </c>
      <c r="C10106" t="s">
        <v>33</v>
      </c>
      <c r="D10106" t="s">
        <v>34</v>
      </c>
      <c r="E10106">
        <v>767</v>
      </c>
      <c r="F10106">
        <v>2</v>
      </c>
      <c r="G10106">
        <v>2</v>
      </c>
      <c r="H10106">
        <v>1</v>
      </c>
      <c r="I10106">
        <v>0</v>
      </c>
      <c r="J10106">
        <v>0.99271970878835203</v>
      </c>
      <c r="K10106">
        <v>1</v>
      </c>
      <c r="L10106">
        <v>0.99634655532359095</v>
      </c>
      <c r="M10106">
        <v>0.99063962558502305</v>
      </c>
      <c r="N10106">
        <v>0.99063962558502305</v>
      </c>
      <c r="O10106">
        <v>0.99063962558502305</v>
      </c>
      <c r="P10106" t="s">
        <v>7906</v>
      </c>
      <c r="Q10106" t="s">
        <v>7907</v>
      </c>
      <c r="R10106" t="s">
        <v>319</v>
      </c>
      <c r="S10106" t="s">
        <v>320</v>
      </c>
      <c r="T10106" t="s">
        <v>20432</v>
      </c>
      <c r="U10106" t="s">
        <v>20433</v>
      </c>
      <c r="V10106" t="s">
        <v>7910</v>
      </c>
      <c r="W10106" t="s">
        <v>7911</v>
      </c>
      <c r="Z10106" t="s">
        <v>4406</v>
      </c>
      <c r="AA10106" t="s">
        <v>4407</v>
      </c>
      <c r="AB10106" t="s">
        <v>4406</v>
      </c>
      <c r="AC10106" t="s">
        <v>4023</v>
      </c>
      <c r="AD10106" t="s">
        <v>219</v>
      </c>
      <c r="AE10106" t="s">
        <v>20434</v>
      </c>
      <c r="AF10106" t="s">
        <v>20435</v>
      </c>
    </row>
    <row r="10107" spans="1:32" hidden="1" x14ac:dyDescent="0.35">
      <c r="A10107">
        <v>10106</v>
      </c>
      <c r="B10107" t="s">
        <v>20431</v>
      </c>
      <c r="C10107" t="s">
        <v>33</v>
      </c>
      <c r="D10107" t="s">
        <v>45</v>
      </c>
      <c r="E10107">
        <v>2033</v>
      </c>
      <c r="F10107">
        <v>2</v>
      </c>
      <c r="G10107">
        <v>2</v>
      </c>
      <c r="H10107">
        <v>1</v>
      </c>
      <c r="I10107">
        <v>0</v>
      </c>
      <c r="J10107">
        <v>0.99271970878835203</v>
      </c>
      <c r="K10107">
        <v>1</v>
      </c>
      <c r="L10107">
        <v>0.99634655532359095</v>
      </c>
      <c r="M10107">
        <v>0.99063962558502305</v>
      </c>
      <c r="N10107">
        <v>0.99063962558502305</v>
      </c>
      <c r="O10107">
        <v>0.99063962558502305</v>
      </c>
      <c r="P10107" t="s">
        <v>7906</v>
      </c>
      <c r="Q10107" t="s">
        <v>7907</v>
      </c>
      <c r="R10107" t="s">
        <v>319</v>
      </c>
      <c r="S10107" t="s">
        <v>320</v>
      </c>
      <c r="T10107" t="s">
        <v>20432</v>
      </c>
      <c r="U10107" t="s">
        <v>20433</v>
      </c>
      <c r="V10107" t="s">
        <v>7910</v>
      </c>
      <c r="W10107" t="s">
        <v>7911</v>
      </c>
      <c r="Z10107" t="s">
        <v>4406</v>
      </c>
      <c r="AA10107" t="s">
        <v>4407</v>
      </c>
      <c r="AB10107" t="s">
        <v>4406</v>
      </c>
      <c r="AC10107" t="s">
        <v>4023</v>
      </c>
      <c r="AD10107" t="s">
        <v>219</v>
      </c>
      <c r="AE10107" t="s">
        <v>20434</v>
      </c>
      <c r="AF10107" t="s">
        <v>20436</v>
      </c>
    </row>
    <row r="10108" spans="1:32" hidden="1" x14ac:dyDescent="0.35">
      <c r="A10108">
        <v>10107</v>
      </c>
      <c r="B10108" t="s">
        <v>20437</v>
      </c>
      <c r="C10108" t="s">
        <v>33</v>
      </c>
      <c r="D10108" t="s">
        <v>34</v>
      </c>
      <c r="E10108">
        <v>1811</v>
      </c>
      <c r="F10108">
        <v>2</v>
      </c>
      <c r="G10108">
        <v>2</v>
      </c>
      <c r="H10108">
        <v>1</v>
      </c>
      <c r="I10108">
        <v>0</v>
      </c>
      <c r="J10108">
        <v>0.989247311827957</v>
      </c>
      <c r="K10108">
        <v>1</v>
      </c>
      <c r="L10108">
        <v>0.99459459459459498</v>
      </c>
      <c r="M10108">
        <v>0.989247311827957</v>
      </c>
      <c r="N10108">
        <v>0.989247311827957</v>
      </c>
      <c r="O10108">
        <v>0.989247311827957</v>
      </c>
      <c r="AF10108" t="s">
        <v>20438</v>
      </c>
    </row>
    <row r="10109" spans="1:32" hidden="1" x14ac:dyDescent="0.35">
      <c r="A10109">
        <v>10108</v>
      </c>
      <c r="B10109" t="s">
        <v>20437</v>
      </c>
      <c r="C10109" t="s">
        <v>33</v>
      </c>
      <c r="D10109" t="s">
        <v>45</v>
      </c>
      <c r="E10109">
        <v>1062</v>
      </c>
      <c r="F10109">
        <v>2</v>
      </c>
      <c r="G10109">
        <v>2</v>
      </c>
      <c r="H10109">
        <v>1</v>
      </c>
      <c r="I10109">
        <v>0</v>
      </c>
      <c r="J10109">
        <v>0.989247311827957</v>
      </c>
      <c r="K10109">
        <v>1</v>
      </c>
      <c r="L10109">
        <v>0.99459459459459498</v>
      </c>
      <c r="M10109">
        <v>0.989247311827957</v>
      </c>
      <c r="N10109">
        <v>0.989247311827957</v>
      </c>
      <c r="O10109">
        <v>0.989247311827957</v>
      </c>
      <c r="AF10109" t="s">
        <v>20439</v>
      </c>
    </row>
    <row r="10110" spans="1:32" hidden="1" x14ac:dyDescent="0.35">
      <c r="A10110">
        <v>10109</v>
      </c>
      <c r="B10110" t="s">
        <v>20440</v>
      </c>
      <c r="C10110" t="s">
        <v>33</v>
      </c>
      <c r="D10110" t="s">
        <v>34</v>
      </c>
      <c r="E10110">
        <v>61</v>
      </c>
      <c r="F10110">
        <v>2</v>
      </c>
      <c r="G10110">
        <v>2</v>
      </c>
      <c r="H10110">
        <v>1</v>
      </c>
      <c r="I10110">
        <v>0</v>
      </c>
      <c r="J10110">
        <v>0.99376947040498398</v>
      </c>
      <c r="K10110">
        <v>1</v>
      </c>
      <c r="L10110">
        <v>0.99687499999999996</v>
      </c>
      <c r="M10110">
        <v>0.99065420560747697</v>
      </c>
      <c r="N10110">
        <v>0.99065420560747697</v>
      </c>
      <c r="O10110">
        <v>0.99065420560747697</v>
      </c>
      <c r="P10110" t="s">
        <v>12891</v>
      </c>
      <c r="Q10110" t="s">
        <v>12892</v>
      </c>
      <c r="R10110" t="s">
        <v>1259</v>
      </c>
      <c r="S10110" t="s">
        <v>1260</v>
      </c>
      <c r="T10110" t="s">
        <v>14577</v>
      </c>
      <c r="U10110" t="s">
        <v>14578</v>
      </c>
      <c r="V10110" t="s">
        <v>14579</v>
      </c>
      <c r="W10110" t="s">
        <v>2923</v>
      </c>
      <c r="AD10110" t="s">
        <v>5013</v>
      </c>
      <c r="AE10110" t="s">
        <v>5014</v>
      </c>
      <c r="AF10110" t="s">
        <v>20441</v>
      </c>
    </row>
    <row r="10111" spans="1:32" hidden="1" x14ac:dyDescent="0.35">
      <c r="A10111">
        <v>10110</v>
      </c>
      <c r="B10111" t="s">
        <v>20440</v>
      </c>
      <c r="C10111" t="s">
        <v>33</v>
      </c>
      <c r="D10111" t="s">
        <v>45</v>
      </c>
      <c r="E10111">
        <v>1319</v>
      </c>
      <c r="F10111">
        <v>2</v>
      </c>
      <c r="G10111">
        <v>2</v>
      </c>
      <c r="H10111">
        <v>1</v>
      </c>
      <c r="I10111">
        <v>0</v>
      </c>
      <c r="J10111">
        <v>0.99376947040498398</v>
      </c>
      <c r="K10111">
        <v>1</v>
      </c>
      <c r="L10111">
        <v>0.99687499999999996</v>
      </c>
      <c r="M10111">
        <v>0.99065420560747697</v>
      </c>
      <c r="N10111">
        <v>0.99065420560747697</v>
      </c>
      <c r="O10111">
        <v>0.99065420560747697</v>
      </c>
      <c r="P10111" t="s">
        <v>12891</v>
      </c>
      <c r="Q10111" t="s">
        <v>12892</v>
      </c>
      <c r="R10111" t="s">
        <v>1259</v>
      </c>
      <c r="S10111" t="s">
        <v>1260</v>
      </c>
      <c r="T10111" t="s">
        <v>14577</v>
      </c>
      <c r="U10111" t="s">
        <v>14578</v>
      </c>
      <c r="V10111" t="s">
        <v>14579</v>
      </c>
      <c r="W10111" t="s">
        <v>2923</v>
      </c>
      <c r="AD10111" t="s">
        <v>5013</v>
      </c>
      <c r="AE10111" t="s">
        <v>5014</v>
      </c>
      <c r="AF10111" t="s">
        <v>20442</v>
      </c>
    </row>
    <row r="10112" spans="1:32" hidden="1" x14ac:dyDescent="0.35">
      <c r="A10112">
        <v>10111</v>
      </c>
      <c r="B10112" t="s">
        <v>20443</v>
      </c>
      <c r="C10112" t="s">
        <v>33</v>
      </c>
      <c r="D10112" t="s">
        <v>34</v>
      </c>
      <c r="E10112">
        <v>1394</v>
      </c>
      <c r="F10112">
        <v>2</v>
      </c>
      <c r="G10112">
        <v>2</v>
      </c>
      <c r="H10112">
        <v>1</v>
      </c>
      <c r="I10112">
        <v>0</v>
      </c>
      <c r="J10112">
        <v>0.99576271186440701</v>
      </c>
      <c r="K10112">
        <v>1</v>
      </c>
      <c r="L10112">
        <v>0.99787685774946899</v>
      </c>
      <c r="M10112">
        <v>0.99576271186440701</v>
      </c>
      <c r="N10112">
        <v>0.99576271186440701</v>
      </c>
      <c r="O10112">
        <v>0.99576271186440701</v>
      </c>
      <c r="P10112" t="s">
        <v>12501</v>
      </c>
      <c r="Q10112" t="s">
        <v>12502</v>
      </c>
      <c r="R10112" t="s">
        <v>1259</v>
      </c>
      <c r="S10112" t="s">
        <v>1260</v>
      </c>
      <c r="V10112" t="s">
        <v>20444</v>
      </c>
      <c r="W10112" t="s">
        <v>20445</v>
      </c>
      <c r="AF10112" t="s">
        <v>20446</v>
      </c>
    </row>
    <row r="10113" spans="1:32" hidden="1" x14ac:dyDescent="0.35">
      <c r="A10113">
        <v>10112</v>
      </c>
      <c r="B10113" t="s">
        <v>20443</v>
      </c>
      <c r="C10113" t="s">
        <v>33</v>
      </c>
      <c r="D10113" t="s">
        <v>45</v>
      </c>
      <c r="E10113">
        <v>144</v>
      </c>
      <c r="F10113">
        <v>2</v>
      </c>
      <c r="G10113">
        <v>2</v>
      </c>
      <c r="H10113">
        <v>1</v>
      </c>
      <c r="I10113">
        <v>0</v>
      </c>
      <c r="J10113">
        <v>0.99576271186440701</v>
      </c>
      <c r="K10113">
        <v>1</v>
      </c>
      <c r="L10113">
        <v>0.99787685774946899</v>
      </c>
      <c r="M10113">
        <v>0.99576271186440701</v>
      </c>
      <c r="N10113">
        <v>0.99576271186440701</v>
      </c>
      <c r="O10113">
        <v>0.99576271186440701</v>
      </c>
      <c r="P10113" t="s">
        <v>12501</v>
      </c>
      <c r="Q10113" t="s">
        <v>12502</v>
      </c>
      <c r="R10113" t="s">
        <v>1259</v>
      </c>
      <c r="S10113" t="s">
        <v>1260</v>
      </c>
      <c r="V10113" t="s">
        <v>20444</v>
      </c>
      <c r="W10113" t="s">
        <v>20445</v>
      </c>
      <c r="AF10113" t="s">
        <v>20447</v>
      </c>
    </row>
    <row r="10114" spans="1:32" hidden="1" x14ac:dyDescent="0.35">
      <c r="A10114">
        <v>10113</v>
      </c>
      <c r="B10114" t="s">
        <v>20448</v>
      </c>
      <c r="C10114" t="s">
        <v>33</v>
      </c>
      <c r="D10114" t="s">
        <v>34</v>
      </c>
      <c r="E10114">
        <v>2371</v>
      </c>
      <c r="F10114">
        <v>2</v>
      </c>
      <c r="G10114">
        <v>2</v>
      </c>
      <c r="H10114">
        <v>1</v>
      </c>
      <c r="I10114">
        <v>0</v>
      </c>
      <c r="J10114">
        <v>0.89544513457556896</v>
      </c>
      <c r="K10114">
        <v>0.978806805545262</v>
      </c>
      <c r="L10114">
        <v>0.93527211892170203</v>
      </c>
      <c r="M10114">
        <v>0.86018237082066895</v>
      </c>
      <c r="N10114">
        <v>0.86018237082066895</v>
      </c>
      <c r="O10114">
        <v>0.86018237082066895</v>
      </c>
      <c r="AF10114" t="s">
        <v>20449</v>
      </c>
    </row>
    <row r="10115" spans="1:32" hidden="1" x14ac:dyDescent="0.35">
      <c r="A10115">
        <v>10114</v>
      </c>
      <c r="B10115" t="s">
        <v>20448</v>
      </c>
      <c r="C10115" t="s">
        <v>33</v>
      </c>
      <c r="D10115" t="s">
        <v>45</v>
      </c>
      <c r="E10115">
        <v>508</v>
      </c>
      <c r="F10115">
        <v>2</v>
      </c>
      <c r="G10115">
        <v>2</v>
      </c>
      <c r="H10115">
        <v>1</v>
      </c>
      <c r="I10115">
        <v>0</v>
      </c>
      <c r="J10115">
        <v>0.89544513457556896</v>
      </c>
      <c r="K10115">
        <v>0.978806805545262</v>
      </c>
      <c r="L10115">
        <v>0.93527211892170203</v>
      </c>
      <c r="M10115">
        <v>0.86018237082066895</v>
      </c>
      <c r="N10115">
        <v>0.86018237082066895</v>
      </c>
      <c r="O10115">
        <v>0.86018237082066895</v>
      </c>
      <c r="AF10115" t="s">
        <v>20450</v>
      </c>
    </row>
    <row r="10116" spans="1:32" hidden="1" x14ac:dyDescent="0.35">
      <c r="A10116">
        <v>10115</v>
      </c>
      <c r="B10116" t="s">
        <v>20451</v>
      </c>
      <c r="C10116" t="s">
        <v>33</v>
      </c>
      <c r="D10116" t="s">
        <v>60</v>
      </c>
      <c r="E10116">
        <v>2028</v>
      </c>
      <c r="F10116">
        <v>2</v>
      </c>
      <c r="G10116">
        <v>2</v>
      </c>
      <c r="H10116">
        <v>1</v>
      </c>
      <c r="I10116">
        <v>0</v>
      </c>
      <c r="J10116">
        <v>0.98912348048624399</v>
      </c>
      <c r="K10116">
        <v>1</v>
      </c>
      <c r="L10116">
        <v>0.99453200385976204</v>
      </c>
      <c r="M10116">
        <v>0.986564299424184</v>
      </c>
      <c r="N10116">
        <v>0.986564299424184</v>
      </c>
      <c r="O10116">
        <v>0.986564299424184</v>
      </c>
      <c r="R10116" t="s">
        <v>138</v>
      </c>
      <c r="S10116" t="s">
        <v>139</v>
      </c>
      <c r="T10116" t="s">
        <v>20452</v>
      </c>
      <c r="U10116" t="s">
        <v>20453</v>
      </c>
      <c r="V10116" t="s">
        <v>20454</v>
      </c>
      <c r="W10116" t="s">
        <v>20455</v>
      </c>
      <c r="X10116" t="s">
        <v>20454</v>
      </c>
      <c r="Y10116" t="s">
        <v>15411</v>
      </c>
      <c r="AD10116" t="s">
        <v>14436</v>
      </c>
      <c r="AE10116" t="s">
        <v>19752</v>
      </c>
      <c r="AF10116" t="s">
        <v>20456</v>
      </c>
    </row>
    <row r="10117" spans="1:32" hidden="1" x14ac:dyDescent="0.35">
      <c r="A10117">
        <v>10116</v>
      </c>
      <c r="B10117" t="s">
        <v>20451</v>
      </c>
      <c r="C10117" t="s">
        <v>33</v>
      </c>
      <c r="D10117" t="s">
        <v>62</v>
      </c>
      <c r="E10117">
        <v>2068</v>
      </c>
      <c r="F10117">
        <v>2</v>
      </c>
      <c r="G10117">
        <v>2</v>
      </c>
      <c r="H10117">
        <v>1</v>
      </c>
      <c r="I10117">
        <v>0</v>
      </c>
      <c r="J10117">
        <v>0.98912348048624399</v>
      </c>
      <c r="K10117">
        <v>1</v>
      </c>
      <c r="L10117">
        <v>0.99453200385976204</v>
      </c>
      <c r="M10117">
        <v>0.986564299424184</v>
      </c>
      <c r="N10117">
        <v>0.986564299424184</v>
      </c>
      <c r="O10117">
        <v>0.986564299424184</v>
      </c>
      <c r="R10117" t="s">
        <v>138</v>
      </c>
      <c r="S10117" t="s">
        <v>139</v>
      </c>
      <c r="T10117" t="s">
        <v>20452</v>
      </c>
      <c r="U10117" t="s">
        <v>20453</v>
      </c>
      <c r="V10117" t="s">
        <v>20454</v>
      </c>
      <c r="W10117" t="s">
        <v>20455</v>
      </c>
      <c r="X10117" t="s">
        <v>20454</v>
      </c>
      <c r="Y10117" t="s">
        <v>15411</v>
      </c>
      <c r="AD10117" t="s">
        <v>14436</v>
      </c>
      <c r="AE10117" t="s">
        <v>19752</v>
      </c>
      <c r="AF10117" t="s">
        <v>20457</v>
      </c>
    </row>
    <row r="10118" spans="1:32" hidden="1" x14ac:dyDescent="0.35">
      <c r="A10118">
        <v>10117</v>
      </c>
      <c r="B10118" t="s">
        <v>20458</v>
      </c>
      <c r="C10118" t="s">
        <v>33</v>
      </c>
      <c r="D10118" t="s">
        <v>60</v>
      </c>
      <c r="E10118">
        <v>2406</v>
      </c>
      <c r="F10118">
        <v>2</v>
      </c>
      <c r="G10118">
        <v>2</v>
      </c>
      <c r="H10118">
        <v>1</v>
      </c>
      <c r="I10118">
        <v>0</v>
      </c>
      <c r="J10118">
        <v>0.99453551912568305</v>
      </c>
      <c r="K10118">
        <v>1</v>
      </c>
      <c r="L10118">
        <v>0.99726027397260297</v>
      </c>
      <c r="M10118">
        <v>0.99297423887587799</v>
      </c>
      <c r="N10118">
        <v>0.99297423887587799</v>
      </c>
      <c r="O10118">
        <v>0.99297423887587799</v>
      </c>
      <c r="P10118" t="s">
        <v>16645</v>
      </c>
      <c r="Q10118" t="s">
        <v>16646</v>
      </c>
      <c r="AF10118" t="s">
        <v>20459</v>
      </c>
    </row>
    <row r="10119" spans="1:32" hidden="1" x14ac:dyDescent="0.35">
      <c r="A10119">
        <v>10118</v>
      </c>
      <c r="B10119" t="s">
        <v>20458</v>
      </c>
      <c r="C10119" t="s">
        <v>33</v>
      </c>
      <c r="D10119" t="s">
        <v>62</v>
      </c>
      <c r="E10119">
        <v>2433</v>
      </c>
      <c r="F10119">
        <v>2</v>
      </c>
      <c r="G10119">
        <v>2</v>
      </c>
      <c r="H10119">
        <v>1</v>
      </c>
      <c r="I10119">
        <v>0</v>
      </c>
      <c r="J10119">
        <v>0.99453551912568305</v>
      </c>
      <c r="K10119">
        <v>1</v>
      </c>
      <c r="L10119">
        <v>0.99726027397260297</v>
      </c>
      <c r="M10119">
        <v>0.99297423887587799</v>
      </c>
      <c r="N10119">
        <v>0.99297423887587799</v>
      </c>
      <c r="O10119">
        <v>0.99297423887587799</v>
      </c>
      <c r="P10119" t="s">
        <v>16645</v>
      </c>
      <c r="Q10119" t="s">
        <v>16646</v>
      </c>
      <c r="AF10119" t="s">
        <v>20460</v>
      </c>
    </row>
    <row r="10120" spans="1:32" hidden="1" x14ac:dyDescent="0.35">
      <c r="A10120">
        <v>10119</v>
      </c>
      <c r="B10120" t="s">
        <v>20461</v>
      </c>
      <c r="C10120" t="s">
        <v>33</v>
      </c>
      <c r="D10120" t="s">
        <v>34</v>
      </c>
      <c r="E10120">
        <v>592</v>
      </c>
      <c r="F10120">
        <v>2</v>
      </c>
      <c r="G10120">
        <v>2</v>
      </c>
      <c r="H10120">
        <v>1</v>
      </c>
      <c r="I10120">
        <v>0</v>
      </c>
      <c r="J10120">
        <v>0.992869875222816</v>
      </c>
      <c r="K10120">
        <v>1</v>
      </c>
      <c r="L10120">
        <v>0.99642218246869396</v>
      </c>
      <c r="M10120">
        <v>0.989304812834225</v>
      </c>
      <c r="N10120">
        <v>0.989304812834225</v>
      </c>
      <c r="O10120">
        <v>0.989304812834225</v>
      </c>
      <c r="AF10120" t="s">
        <v>20462</v>
      </c>
    </row>
    <row r="10121" spans="1:32" hidden="1" x14ac:dyDescent="0.35">
      <c r="A10121">
        <v>10120</v>
      </c>
      <c r="B10121" t="s">
        <v>20461</v>
      </c>
      <c r="C10121" t="s">
        <v>33</v>
      </c>
      <c r="D10121" t="s">
        <v>45</v>
      </c>
      <c r="E10121">
        <v>1859</v>
      </c>
      <c r="F10121">
        <v>2</v>
      </c>
      <c r="G10121">
        <v>2</v>
      </c>
      <c r="H10121">
        <v>1</v>
      </c>
      <c r="I10121">
        <v>0</v>
      </c>
      <c r="J10121">
        <v>0.992869875222816</v>
      </c>
      <c r="K10121">
        <v>1</v>
      </c>
      <c r="L10121">
        <v>0.99642218246869396</v>
      </c>
      <c r="M10121">
        <v>0.989304812834225</v>
      </c>
      <c r="N10121">
        <v>0.989304812834225</v>
      </c>
      <c r="O10121">
        <v>0.989304812834225</v>
      </c>
      <c r="AF10121" t="s">
        <v>20463</v>
      </c>
    </row>
    <row r="10122" spans="1:32" hidden="1" x14ac:dyDescent="0.35">
      <c r="A10122">
        <v>10121</v>
      </c>
      <c r="B10122" t="s">
        <v>20464</v>
      </c>
      <c r="C10122" t="s">
        <v>33</v>
      </c>
      <c r="D10122" t="s">
        <v>34</v>
      </c>
      <c r="E10122">
        <v>1504</v>
      </c>
      <c r="F10122">
        <v>2</v>
      </c>
      <c r="G10122">
        <v>2</v>
      </c>
      <c r="H10122">
        <v>1</v>
      </c>
      <c r="I10122">
        <v>0</v>
      </c>
      <c r="J10122">
        <v>0.99127114020731</v>
      </c>
      <c r="K10122">
        <v>0.996740022817175</v>
      </c>
      <c r="L10122">
        <v>0.99399805925141305</v>
      </c>
      <c r="M10122">
        <v>0.98694942903752003</v>
      </c>
      <c r="N10122">
        <v>0.98694942903752003</v>
      </c>
      <c r="O10122">
        <v>0.98694942903752003</v>
      </c>
      <c r="P10122" t="s">
        <v>20465</v>
      </c>
      <c r="Q10122" t="s">
        <v>20466</v>
      </c>
      <c r="AF10122" t="s">
        <v>20467</v>
      </c>
    </row>
    <row r="10123" spans="1:32" hidden="1" x14ac:dyDescent="0.35">
      <c r="A10123">
        <v>10122</v>
      </c>
      <c r="B10123" t="s">
        <v>20464</v>
      </c>
      <c r="C10123" t="s">
        <v>33</v>
      </c>
      <c r="D10123" t="s">
        <v>45</v>
      </c>
      <c r="E10123">
        <v>254</v>
      </c>
      <c r="F10123">
        <v>2</v>
      </c>
      <c r="G10123">
        <v>2</v>
      </c>
      <c r="H10123">
        <v>1</v>
      </c>
      <c r="I10123">
        <v>0</v>
      </c>
      <c r="J10123">
        <v>0.99127114020731</v>
      </c>
      <c r="K10123">
        <v>0.996740022817175</v>
      </c>
      <c r="L10123">
        <v>0.99399805925141305</v>
      </c>
      <c r="M10123">
        <v>0.98694942903752003</v>
      </c>
      <c r="N10123">
        <v>0.98694942903752003</v>
      </c>
      <c r="O10123">
        <v>0.98694942903752003</v>
      </c>
      <c r="P10123" t="s">
        <v>20465</v>
      </c>
      <c r="Q10123" t="s">
        <v>20466</v>
      </c>
      <c r="AF10123" t="s">
        <v>20468</v>
      </c>
    </row>
    <row r="10124" spans="1:32" hidden="1" x14ac:dyDescent="0.35">
      <c r="A10124">
        <v>10123</v>
      </c>
      <c r="B10124" t="s">
        <v>20469</v>
      </c>
      <c r="C10124" t="s">
        <v>33</v>
      </c>
      <c r="D10124" t="s">
        <v>34</v>
      </c>
      <c r="E10124">
        <v>1236</v>
      </c>
      <c r="F10124">
        <v>2</v>
      </c>
      <c r="G10124">
        <v>2</v>
      </c>
      <c r="H10124">
        <v>1</v>
      </c>
      <c r="I10124">
        <v>0</v>
      </c>
      <c r="J10124">
        <v>0.97923497267759596</v>
      </c>
      <c r="K10124">
        <v>1</v>
      </c>
      <c r="L10124">
        <v>0.98950855880728905</v>
      </c>
      <c r="M10124">
        <v>0.97704918032786903</v>
      </c>
      <c r="N10124">
        <v>0.97704918032786903</v>
      </c>
      <c r="O10124">
        <v>0.97704918032786903</v>
      </c>
      <c r="P10124" t="s">
        <v>4551</v>
      </c>
      <c r="Q10124" t="s">
        <v>4552</v>
      </c>
      <c r="R10124" t="s">
        <v>8647</v>
      </c>
      <c r="S10124" t="s">
        <v>8648</v>
      </c>
      <c r="V10124" t="s">
        <v>9316</v>
      </c>
      <c r="W10124" t="s">
        <v>9317</v>
      </c>
      <c r="X10124" t="s">
        <v>9316</v>
      </c>
      <c r="Y10124" t="s">
        <v>875</v>
      </c>
      <c r="AF10124" t="s">
        <v>20470</v>
      </c>
    </row>
    <row r="10125" spans="1:32" hidden="1" x14ac:dyDescent="0.35">
      <c r="A10125">
        <v>10124</v>
      </c>
      <c r="B10125" t="s">
        <v>20469</v>
      </c>
      <c r="C10125" t="s">
        <v>33</v>
      </c>
      <c r="D10125" t="s">
        <v>45</v>
      </c>
      <c r="E10125">
        <v>2480</v>
      </c>
      <c r="F10125">
        <v>2</v>
      </c>
      <c r="G10125">
        <v>2</v>
      </c>
      <c r="H10125">
        <v>1</v>
      </c>
      <c r="I10125">
        <v>0</v>
      </c>
      <c r="J10125">
        <v>0.97923497267759596</v>
      </c>
      <c r="K10125">
        <v>1</v>
      </c>
      <c r="L10125">
        <v>0.98950855880728905</v>
      </c>
      <c r="M10125">
        <v>0.97704918032786903</v>
      </c>
      <c r="N10125">
        <v>0.97704918032786903</v>
      </c>
      <c r="O10125">
        <v>0.97704918032786903</v>
      </c>
      <c r="P10125" t="s">
        <v>4551</v>
      </c>
      <c r="Q10125" t="s">
        <v>4552</v>
      </c>
      <c r="R10125" t="s">
        <v>8647</v>
      </c>
      <c r="S10125" t="s">
        <v>8648</v>
      </c>
      <c r="V10125" t="s">
        <v>9316</v>
      </c>
      <c r="W10125" t="s">
        <v>9317</v>
      </c>
      <c r="X10125" t="s">
        <v>9316</v>
      </c>
      <c r="Y10125" t="s">
        <v>875</v>
      </c>
      <c r="AF10125" t="s">
        <v>20471</v>
      </c>
    </row>
    <row r="10126" spans="1:32" hidden="1" x14ac:dyDescent="0.35">
      <c r="A10126">
        <v>10125</v>
      </c>
      <c r="B10126" t="s">
        <v>20472</v>
      </c>
      <c r="C10126" t="s">
        <v>33</v>
      </c>
      <c r="D10126" t="s">
        <v>34</v>
      </c>
      <c r="E10126">
        <v>2336</v>
      </c>
      <c r="F10126">
        <v>2</v>
      </c>
      <c r="G10126">
        <v>2</v>
      </c>
      <c r="H10126">
        <v>1</v>
      </c>
      <c r="I10126">
        <v>0</v>
      </c>
      <c r="J10126">
        <v>0.99525166191832903</v>
      </c>
      <c r="K10126">
        <v>1</v>
      </c>
      <c r="L10126">
        <v>0.99762018086625404</v>
      </c>
      <c r="M10126">
        <v>0.99145299145299104</v>
      </c>
      <c r="N10126">
        <v>0.99145299145299104</v>
      </c>
      <c r="O10126">
        <v>0.99145299145299104</v>
      </c>
      <c r="P10126" t="s">
        <v>6606</v>
      </c>
      <c r="Q10126" t="s">
        <v>6607</v>
      </c>
      <c r="R10126" t="s">
        <v>1191</v>
      </c>
      <c r="S10126" t="s">
        <v>1192</v>
      </c>
      <c r="T10126" t="s">
        <v>6602</v>
      </c>
      <c r="U10126" t="s">
        <v>6603</v>
      </c>
      <c r="V10126" t="s">
        <v>6600</v>
      </c>
      <c r="W10126" t="s">
        <v>6601</v>
      </c>
      <c r="AD10126" t="s">
        <v>1998</v>
      </c>
      <c r="AE10126" t="s">
        <v>6604</v>
      </c>
      <c r="AF10126" t="s">
        <v>20473</v>
      </c>
    </row>
    <row r="10127" spans="1:32" hidden="1" x14ac:dyDescent="0.35">
      <c r="A10127">
        <v>10126</v>
      </c>
      <c r="B10127" t="s">
        <v>20472</v>
      </c>
      <c r="C10127" t="s">
        <v>33</v>
      </c>
      <c r="D10127" t="s">
        <v>45</v>
      </c>
      <c r="E10127">
        <v>543</v>
      </c>
      <c r="F10127">
        <v>2</v>
      </c>
      <c r="G10127">
        <v>2</v>
      </c>
      <c r="H10127">
        <v>1</v>
      </c>
      <c r="I10127">
        <v>0</v>
      </c>
      <c r="J10127">
        <v>0.99525166191832903</v>
      </c>
      <c r="K10127">
        <v>1</v>
      </c>
      <c r="L10127">
        <v>0.99762018086625404</v>
      </c>
      <c r="M10127">
        <v>0.99145299145299104</v>
      </c>
      <c r="N10127">
        <v>0.99145299145299104</v>
      </c>
      <c r="O10127">
        <v>0.99145299145299104</v>
      </c>
      <c r="P10127" t="s">
        <v>6606</v>
      </c>
      <c r="Q10127" t="s">
        <v>6607</v>
      </c>
      <c r="R10127" t="s">
        <v>1191</v>
      </c>
      <c r="S10127" t="s">
        <v>1192</v>
      </c>
      <c r="T10127" t="s">
        <v>6602</v>
      </c>
      <c r="U10127" t="s">
        <v>6603</v>
      </c>
      <c r="V10127" t="s">
        <v>6600</v>
      </c>
      <c r="W10127" t="s">
        <v>6601</v>
      </c>
      <c r="AD10127" t="s">
        <v>1998</v>
      </c>
      <c r="AE10127" t="s">
        <v>6604</v>
      </c>
      <c r="AF10127" t="s">
        <v>20474</v>
      </c>
    </row>
    <row r="10128" spans="1:32" hidden="1" x14ac:dyDescent="0.35">
      <c r="A10128">
        <v>10127</v>
      </c>
      <c r="B10128" t="s">
        <v>20475</v>
      </c>
      <c r="C10128" t="s">
        <v>33</v>
      </c>
      <c r="D10128" t="s">
        <v>60</v>
      </c>
      <c r="E10128">
        <v>2361</v>
      </c>
      <c r="F10128">
        <v>2</v>
      </c>
      <c r="G10128">
        <v>2</v>
      </c>
      <c r="H10128">
        <v>1</v>
      </c>
      <c r="I10128">
        <v>0</v>
      </c>
      <c r="J10128">
        <v>0.999334664005323</v>
      </c>
      <c r="K10128">
        <v>1</v>
      </c>
      <c r="L10128">
        <v>0.99966722129783703</v>
      </c>
      <c r="M10128">
        <v>0.99800399201596801</v>
      </c>
      <c r="N10128">
        <v>0.99800399201596801</v>
      </c>
      <c r="O10128">
        <v>0.99800399201596801</v>
      </c>
      <c r="P10128" t="s">
        <v>18704</v>
      </c>
      <c r="Q10128" t="s">
        <v>18705</v>
      </c>
      <c r="R10128" t="s">
        <v>516</v>
      </c>
      <c r="S10128" t="s">
        <v>517</v>
      </c>
      <c r="V10128" t="s">
        <v>18706</v>
      </c>
      <c r="W10128" t="s">
        <v>18707</v>
      </c>
      <c r="AF10128" t="s">
        <v>20476</v>
      </c>
    </row>
    <row r="10129" spans="1:32" hidden="1" x14ac:dyDescent="0.35">
      <c r="A10129">
        <v>10128</v>
      </c>
      <c r="B10129" t="s">
        <v>20475</v>
      </c>
      <c r="C10129" t="s">
        <v>33</v>
      </c>
      <c r="D10129" t="s">
        <v>62</v>
      </c>
      <c r="E10129">
        <v>2389</v>
      </c>
      <c r="F10129">
        <v>2</v>
      </c>
      <c r="G10129">
        <v>2</v>
      </c>
      <c r="H10129">
        <v>1</v>
      </c>
      <c r="I10129">
        <v>0</v>
      </c>
      <c r="J10129">
        <v>0.999334664005323</v>
      </c>
      <c r="K10129">
        <v>1</v>
      </c>
      <c r="L10129">
        <v>0.99966722129783703</v>
      </c>
      <c r="M10129">
        <v>0.99800399201596801</v>
      </c>
      <c r="N10129">
        <v>0.99800399201596801</v>
      </c>
      <c r="O10129">
        <v>0.99800399201596801</v>
      </c>
      <c r="P10129" t="s">
        <v>18704</v>
      </c>
      <c r="Q10129" t="s">
        <v>18705</v>
      </c>
      <c r="R10129" t="s">
        <v>516</v>
      </c>
      <c r="S10129" t="s">
        <v>517</v>
      </c>
      <c r="V10129" t="s">
        <v>18706</v>
      </c>
      <c r="W10129" t="s">
        <v>18707</v>
      </c>
      <c r="AF10129" t="s">
        <v>20477</v>
      </c>
    </row>
    <row r="10130" spans="1:32" hidden="1" x14ac:dyDescent="0.35">
      <c r="A10130">
        <v>10129</v>
      </c>
      <c r="B10130" t="s">
        <v>20478</v>
      </c>
      <c r="C10130" t="s">
        <v>33</v>
      </c>
      <c r="D10130" t="s">
        <v>60</v>
      </c>
      <c r="E10130">
        <v>795</v>
      </c>
      <c r="F10130">
        <v>2</v>
      </c>
      <c r="G10130">
        <v>2</v>
      </c>
      <c r="H10130">
        <v>1</v>
      </c>
      <c r="I10130">
        <v>0</v>
      </c>
      <c r="J10130">
        <v>0.96995108315862999</v>
      </c>
      <c r="K10130">
        <v>1</v>
      </c>
      <c r="L10130">
        <v>0.98474636395885096</v>
      </c>
      <c r="M10130">
        <v>0.96436058700209604</v>
      </c>
      <c r="N10130">
        <v>0.96436058700209604</v>
      </c>
      <c r="O10130">
        <v>0.96436058700209604</v>
      </c>
      <c r="AF10130" t="s">
        <v>20479</v>
      </c>
    </row>
    <row r="10131" spans="1:32" hidden="1" x14ac:dyDescent="0.35">
      <c r="A10131">
        <v>10130</v>
      </c>
      <c r="B10131" t="s">
        <v>20478</v>
      </c>
      <c r="C10131" t="s">
        <v>33</v>
      </c>
      <c r="D10131" t="s">
        <v>62</v>
      </c>
      <c r="E10131">
        <v>828</v>
      </c>
      <c r="F10131">
        <v>2</v>
      </c>
      <c r="G10131">
        <v>2</v>
      </c>
      <c r="H10131">
        <v>1</v>
      </c>
      <c r="I10131">
        <v>0</v>
      </c>
      <c r="J10131">
        <v>0.96995108315862999</v>
      </c>
      <c r="K10131">
        <v>1</v>
      </c>
      <c r="L10131">
        <v>0.98474636395885096</v>
      </c>
      <c r="M10131">
        <v>0.96436058700209604</v>
      </c>
      <c r="N10131">
        <v>0.96436058700209604</v>
      </c>
      <c r="O10131">
        <v>0.96436058700209604</v>
      </c>
      <c r="AF10131" t="s">
        <v>20480</v>
      </c>
    </row>
    <row r="10132" spans="1:32" hidden="1" x14ac:dyDescent="0.35">
      <c r="A10132">
        <v>10131</v>
      </c>
      <c r="B10132" t="s">
        <v>20481</v>
      </c>
      <c r="C10132" t="s">
        <v>33</v>
      </c>
      <c r="D10132" t="s">
        <v>34</v>
      </c>
      <c r="E10132">
        <v>1047</v>
      </c>
      <c r="F10132">
        <v>2</v>
      </c>
      <c r="G10132">
        <v>2</v>
      </c>
      <c r="H10132">
        <v>1</v>
      </c>
      <c r="I10132">
        <v>0</v>
      </c>
      <c r="J10132">
        <v>1</v>
      </c>
      <c r="K10132">
        <v>0.998116760828623</v>
      </c>
      <c r="L10132">
        <v>0.99905749293119595</v>
      </c>
      <c r="M10132">
        <v>0.99811676082862499</v>
      </c>
      <c r="N10132">
        <v>0.99811676082862499</v>
      </c>
      <c r="O10132">
        <v>0.99811676082862499</v>
      </c>
      <c r="P10132" t="s">
        <v>12985</v>
      </c>
      <c r="Q10132" t="s">
        <v>12986</v>
      </c>
      <c r="R10132" t="s">
        <v>1191</v>
      </c>
      <c r="S10132" t="s">
        <v>1192</v>
      </c>
      <c r="T10132" t="s">
        <v>12230</v>
      </c>
      <c r="U10132" t="s">
        <v>12231</v>
      </c>
      <c r="V10132" t="s">
        <v>5877</v>
      </c>
      <c r="W10132" t="s">
        <v>5878</v>
      </c>
      <c r="AD10132" t="s">
        <v>12234</v>
      </c>
      <c r="AE10132" t="s">
        <v>12235</v>
      </c>
      <c r="AF10132" t="s">
        <v>20482</v>
      </c>
    </row>
    <row r="10133" spans="1:32" hidden="1" x14ac:dyDescent="0.35">
      <c r="A10133">
        <v>10132</v>
      </c>
      <c r="B10133" t="s">
        <v>20481</v>
      </c>
      <c r="C10133" t="s">
        <v>33</v>
      </c>
      <c r="D10133" t="s">
        <v>45</v>
      </c>
      <c r="E10133">
        <v>2302</v>
      </c>
      <c r="F10133">
        <v>2</v>
      </c>
      <c r="G10133">
        <v>2</v>
      </c>
      <c r="H10133">
        <v>1</v>
      </c>
      <c r="I10133">
        <v>0</v>
      </c>
      <c r="J10133">
        <v>1</v>
      </c>
      <c r="K10133">
        <v>0.998116760828623</v>
      </c>
      <c r="L10133">
        <v>0.99905749293119595</v>
      </c>
      <c r="M10133">
        <v>0.99811676082862499</v>
      </c>
      <c r="N10133">
        <v>0.99811676082862499</v>
      </c>
      <c r="O10133">
        <v>0.99811676082862499</v>
      </c>
      <c r="P10133" t="s">
        <v>12985</v>
      </c>
      <c r="Q10133" t="s">
        <v>12986</v>
      </c>
      <c r="R10133" t="s">
        <v>1191</v>
      </c>
      <c r="S10133" t="s">
        <v>1192</v>
      </c>
      <c r="T10133" t="s">
        <v>12230</v>
      </c>
      <c r="U10133" t="s">
        <v>12231</v>
      </c>
      <c r="V10133" t="s">
        <v>5877</v>
      </c>
      <c r="W10133" t="s">
        <v>5878</v>
      </c>
      <c r="AD10133" t="s">
        <v>12234</v>
      </c>
      <c r="AE10133" t="s">
        <v>12235</v>
      </c>
      <c r="AF10133" t="s">
        <v>20483</v>
      </c>
    </row>
    <row r="10134" spans="1:32" hidden="1" x14ac:dyDescent="0.35">
      <c r="A10134">
        <v>10133</v>
      </c>
      <c r="B10134" t="s">
        <v>20484</v>
      </c>
      <c r="C10134" t="s">
        <v>33</v>
      </c>
      <c r="D10134" t="s">
        <v>34</v>
      </c>
      <c r="E10134">
        <v>962</v>
      </c>
      <c r="F10134">
        <v>2</v>
      </c>
      <c r="G10134">
        <v>2</v>
      </c>
      <c r="H10134">
        <v>1</v>
      </c>
      <c r="I10134">
        <v>0</v>
      </c>
      <c r="J10134">
        <v>0.99371069182389904</v>
      </c>
      <c r="K10134">
        <v>1</v>
      </c>
      <c r="L10134">
        <v>0.99684542586750802</v>
      </c>
      <c r="M10134">
        <v>0.99371069182389904</v>
      </c>
      <c r="N10134">
        <v>0.99371069182389904</v>
      </c>
      <c r="O10134">
        <v>0.99371069182389904</v>
      </c>
      <c r="P10134" t="s">
        <v>3934</v>
      </c>
      <c r="Q10134" t="s">
        <v>3935</v>
      </c>
      <c r="R10134" t="s">
        <v>75</v>
      </c>
      <c r="S10134" t="s">
        <v>76</v>
      </c>
      <c r="V10134" t="s">
        <v>3936</v>
      </c>
      <c r="W10134" t="s">
        <v>3937</v>
      </c>
      <c r="AF10134" t="s">
        <v>20485</v>
      </c>
    </row>
    <row r="10135" spans="1:32" hidden="1" x14ac:dyDescent="0.35">
      <c r="A10135">
        <v>10134</v>
      </c>
      <c r="B10135" t="s">
        <v>20484</v>
      </c>
      <c r="C10135" t="s">
        <v>33</v>
      </c>
      <c r="D10135" t="s">
        <v>45</v>
      </c>
      <c r="E10135">
        <v>2219</v>
      </c>
      <c r="F10135">
        <v>2</v>
      </c>
      <c r="G10135">
        <v>2</v>
      </c>
      <c r="H10135">
        <v>1</v>
      </c>
      <c r="I10135">
        <v>0</v>
      </c>
      <c r="J10135">
        <v>0.99371069182389904</v>
      </c>
      <c r="K10135">
        <v>1</v>
      </c>
      <c r="L10135">
        <v>0.99684542586750802</v>
      </c>
      <c r="M10135">
        <v>0.99371069182389904</v>
      </c>
      <c r="N10135">
        <v>0.99371069182389904</v>
      </c>
      <c r="O10135">
        <v>0.99371069182389904</v>
      </c>
      <c r="P10135" t="s">
        <v>3934</v>
      </c>
      <c r="Q10135" t="s">
        <v>3935</v>
      </c>
      <c r="R10135" t="s">
        <v>75</v>
      </c>
      <c r="S10135" t="s">
        <v>76</v>
      </c>
      <c r="V10135" t="s">
        <v>3936</v>
      </c>
      <c r="W10135" t="s">
        <v>3937</v>
      </c>
      <c r="AF10135" t="s">
        <v>20486</v>
      </c>
    </row>
    <row r="10136" spans="1:32" hidden="1" x14ac:dyDescent="0.35">
      <c r="A10136">
        <v>10135</v>
      </c>
      <c r="B10136" t="s">
        <v>20487</v>
      </c>
      <c r="C10136" t="s">
        <v>33</v>
      </c>
      <c r="D10136" t="s">
        <v>34</v>
      </c>
      <c r="E10136">
        <v>1327</v>
      </c>
      <c r="F10136">
        <v>2</v>
      </c>
      <c r="G10136">
        <v>2</v>
      </c>
      <c r="H10136">
        <v>1</v>
      </c>
      <c r="I10136">
        <v>0</v>
      </c>
      <c r="J10136">
        <v>0.97693920335429796</v>
      </c>
      <c r="K10136">
        <v>0.98159650333563497</v>
      </c>
      <c r="L10136">
        <v>0.97926231593172397</v>
      </c>
      <c r="M10136">
        <v>0.95061728395061695</v>
      </c>
      <c r="N10136">
        <v>0.95061728395061695</v>
      </c>
      <c r="O10136">
        <v>0.95061728395061695</v>
      </c>
      <c r="AF10136" t="s">
        <v>20488</v>
      </c>
    </row>
    <row r="10137" spans="1:32" hidden="1" x14ac:dyDescent="0.35">
      <c r="A10137">
        <v>10136</v>
      </c>
      <c r="B10137" t="s">
        <v>20487</v>
      </c>
      <c r="C10137" t="s">
        <v>33</v>
      </c>
      <c r="D10137" t="s">
        <v>45</v>
      </c>
      <c r="E10137">
        <v>78</v>
      </c>
      <c r="F10137">
        <v>2</v>
      </c>
      <c r="G10137">
        <v>2</v>
      </c>
      <c r="H10137">
        <v>1</v>
      </c>
      <c r="I10137">
        <v>0</v>
      </c>
      <c r="J10137">
        <v>0.97693920335429796</v>
      </c>
      <c r="K10137">
        <v>0.98159650333563497</v>
      </c>
      <c r="L10137">
        <v>0.97926231593172397</v>
      </c>
      <c r="M10137">
        <v>0.95061728395061695</v>
      </c>
      <c r="N10137">
        <v>0.95061728395061695</v>
      </c>
      <c r="O10137">
        <v>0.95061728395061695</v>
      </c>
      <c r="AF10137" t="s">
        <v>20489</v>
      </c>
    </row>
    <row r="10138" spans="1:32" hidden="1" x14ac:dyDescent="0.35">
      <c r="A10138">
        <v>10137</v>
      </c>
      <c r="B10138" t="s">
        <v>20490</v>
      </c>
      <c r="C10138" t="s">
        <v>33</v>
      </c>
      <c r="D10138" t="s">
        <v>60</v>
      </c>
      <c r="E10138">
        <v>2232</v>
      </c>
      <c r="F10138">
        <v>2</v>
      </c>
      <c r="G10138">
        <v>2</v>
      </c>
      <c r="H10138">
        <v>1</v>
      </c>
      <c r="I10138">
        <v>0</v>
      </c>
      <c r="J10138">
        <v>0.99193548387096797</v>
      </c>
      <c r="K10138">
        <v>1</v>
      </c>
      <c r="L10138">
        <v>0.99595141700404899</v>
      </c>
      <c r="M10138">
        <v>0.99193548387096797</v>
      </c>
      <c r="N10138">
        <v>0.99193548387096797</v>
      </c>
      <c r="O10138">
        <v>0.99193548387096797</v>
      </c>
      <c r="AF10138" t="s">
        <v>20491</v>
      </c>
    </row>
    <row r="10139" spans="1:32" hidden="1" x14ac:dyDescent="0.35">
      <c r="A10139">
        <v>10138</v>
      </c>
      <c r="B10139" t="s">
        <v>20490</v>
      </c>
      <c r="C10139" t="s">
        <v>33</v>
      </c>
      <c r="D10139" t="s">
        <v>62</v>
      </c>
      <c r="E10139">
        <v>2262</v>
      </c>
      <c r="F10139">
        <v>2</v>
      </c>
      <c r="G10139">
        <v>2</v>
      </c>
      <c r="H10139">
        <v>1</v>
      </c>
      <c r="I10139">
        <v>0</v>
      </c>
      <c r="J10139">
        <v>0.99193548387096797</v>
      </c>
      <c r="K10139">
        <v>1</v>
      </c>
      <c r="L10139">
        <v>0.99595141700404899</v>
      </c>
      <c r="M10139">
        <v>0.99193548387096797</v>
      </c>
      <c r="N10139">
        <v>0.99193548387096797</v>
      </c>
      <c r="O10139">
        <v>0.99193548387096797</v>
      </c>
      <c r="AF10139" t="s">
        <v>20492</v>
      </c>
    </row>
    <row r="10140" spans="1:32" hidden="1" x14ac:dyDescent="0.35">
      <c r="A10140">
        <v>904</v>
      </c>
      <c r="B10140" t="s">
        <v>1879</v>
      </c>
      <c r="C10140" t="s">
        <v>72</v>
      </c>
      <c r="D10140" t="s">
        <v>58</v>
      </c>
      <c r="E10140">
        <v>1366</v>
      </c>
      <c r="F10140">
        <v>5</v>
      </c>
      <c r="G10140">
        <v>5</v>
      </c>
      <c r="H10140">
        <v>1</v>
      </c>
      <c r="I10140">
        <v>1</v>
      </c>
      <c r="J10140">
        <v>0.70276008492568998</v>
      </c>
      <c r="K10140">
        <v>0.85649771884801795</v>
      </c>
      <c r="L10140">
        <v>0.77204989217247799</v>
      </c>
      <c r="M10140">
        <v>0.44047619047619002</v>
      </c>
      <c r="N10140">
        <v>1</v>
      </c>
      <c r="O10140">
        <v>0.580952380952381</v>
      </c>
      <c r="P10140" t="s">
        <v>1880</v>
      </c>
      <c r="Q10140" t="s">
        <v>1881</v>
      </c>
      <c r="R10140" t="s">
        <v>1191</v>
      </c>
      <c r="S10140" t="s">
        <v>1192</v>
      </c>
      <c r="T10140" t="s">
        <v>1882</v>
      </c>
      <c r="U10140" t="s">
        <v>1883</v>
      </c>
      <c r="V10140" t="s">
        <v>1884</v>
      </c>
      <c r="W10140" t="s">
        <v>1885</v>
      </c>
      <c r="AD10140" t="s">
        <v>219</v>
      </c>
      <c r="AE10140" t="s">
        <v>1886</v>
      </c>
      <c r="AF10140" t="e">
        <f>--------------------------MFSAAIEDASLSNDVLVKSCGIGGWHIGDPADRRAVASLAAAGHDGSNHRAAQFGPEHADATLFVAMAEGHVRELQALGVDRHKIRLLRSFDPDSPAGAI--VADPYYGDDARFDRTRAEIAASIPGLITWVREHLASSSER</f>
        <v>#NAME?</v>
      </c>
    </row>
    <row r="10141" spans="1:32" hidden="1" x14ac:dyDescent="0.35">
      <c r="A10141">
        <v>10140</v>
      </c>
      <c r="B10141" t="s">
        <v>20493</v>
      </c>
      <c r="C10141" t="s">
        <v>33</v>
      </c>
      <c r="D10141" t="s">
        <v>60</v>
      </c>
      <c r="E10141">
        <v>14</v>
      </c>
      <c r="F10141">
        <v>2</v>
      </c>
      <c r="G10141">
        <v>2</v>
      </c>
      <c r="H10141">
        <v>1</v>
      </c>
      <c r="I10141">
        <v>0</v>
      </c>
      <c r="J10141">
        <v>0.80579710144927497</v>
      </c>
      <c r="K10141">
        <v>0.54801142606020603</v>
      </c>
      <c r="L10141">
        <v>0.65236111267928998</v>
      </c>
      <c r="M10141">
        <v>0.22702702702702701</v>
      </c>
      <c r="N10141">
        <v>0.22702702702702701</v>
      </c>
      <c r="O10141">
        <v>0.22702702702702701</v>
      </c>
      <c r="R10141" t="s">
        <v>371</v>
      </c>
      <c r="S10141" t="s">
        <v>372</v>
      </c>
      <c r="V10141" t="s">
        <v>20498</v>
      </c>
      <c r="W10141" t="s">
        <v>20499</v>
      </c>
      <c r="AF10141" t="s">
        <v>20502</v>
      </c>
    </row>
    <row r="10142" spans="1:32" hidden="1" x14ac:dyDescent="0.35">
      <c r="A10142">
        <v>10141</v>
      </c>
      <c r="B10142" t="s">
        <v>20503</v>
      </c>
      <c r="C10142" t="s">
        <v>33</v>
      </c>
      <c r="D10142" t="s">
        <v>34</v>
      </c>
      <c r="E10142">
        <v>2247</v>
      </c>
      <c r="F10142">
        <v>2</v>
      </c>
      <c r="G10142">
        <v>2</v>
      </c>
      <c r="H10142">
        <v>1</v>
      </c>
      <c r="I10142">
        <v>0</v>
      </c>
      <c r="J10142">
        <v>0.98467432950191602</v>
      </c>
      <c r="K10142">
        <v>1</v>
      </c>
      <c r="L10142">
        <v>0.99227799227799196</v>
      </c>
      <c r="M10142">
        <v>0.98467432950191602</v>
      </c>
      <c r="N10142">
        <v>0.98467432950191602</v>
      </c>
      <c r="O10142">
        <v>0.98467432950191602</v>
      </c>
      <c r="P10142" t="s">
        <v>1041</v>
      </c>
      <c r="Q10142" t="s">
        <v>1042</v>
      </c>
      <c r="AF10142" t="s">
        <v>20504</v>
      </c>
    </row>
    <row r="10143" spans="1:32" hidden="1" x14ac:dyDescent="0.35">
      <c r="A10143">
        <v>10142</v>
      </c>
      <c r="B10143" t="s">
        <v>20503</v>
      </c>
      <c r="C10143" t="s">
        <v>33</v>
      </c>
      <c r="D10143" t="s">
        <v>45</v>
      </c>
      <c r="E10143">
        <v>630</v>
      </c>
      <c r="F10143">
        <v>2</v>
      </c>
      <c r="G10143">
        <v>2</v>
      </c>
      <c r="H10143">
        <v>1</v>
      </c>
      <c r="I10143">
        <v>0</v>
      </c>
      <c r="J10143">
        <v>0.98467432950191602</v>
      </c>
      <c r="K10143">
        <v>1</v>
      </c>
      <c r="L10143">
        <v>0.99227799227799196</v>
      </c>
      <c r="M10143">
        <v>0.98467432950191602</v>
      </c>
      <c r="N10143">
        <v>0.98467432950191602</v>
      </c>
      <c r="O10143">
        <v>0.98467432950191602</v>
      </c>
      <c r="P10143" t="s">
        <v>1041</v>
      </c>
      <c r="Q10143" t="s">
        <v>1042</v>
      </c>
      <c r="AF10143" t="s">
        <v>20505</v>
      </c>
    </row>
    <row r="10144" spans="1:32" hidden="1" x14ac:dyDescent="0.35">
      <c r="A10144">
        <v>10143</v>
      </c>
      <c r="B10144" t="s">
        <v>20506</v>
      </c>
      <c r="C10144" t="s">
        <v>33</v>
      </c>
      <c r="D10144" t="s">
        <v>34</v>
      </c>
      <c r="E10144">
        <v>185</v>
      </c>
      <c r="F10144">
        <v>2</v>
      </c>
      <c r="G10144">
        <v>2</v>
      </c>
      <c r="H10144">
        <v>1</v>
      </c>
      <c r="I10144">
        <v>0</v>
      </c>
      <c r="J10144">
        <v>0.97257383966244704</v>
      </c>
      <c r="K10144">
        <v>0.97251661918328502</v>
      </c>
      <c r="L10144">
        <v>0.97254522858121295</v>
      </c>
      <c r="M10144">
        <v>0.93538461538461504</v>
      </c>
      <c r="N10144">
        <v>0.93538461538461504</v>
      </c>
      <c r="O10144">
        <v>0.93538461538461504</v>
      </c>
      <c r="R10144" t="s">
        <v>1259</v>
      </c>
      <c r="S10144" t="s">
        <v>1260</v>
      </c>
      <c r="V10144" t="s">
        <v>14845</v>
      </c>
      <c r="W10144" t="s">
        <v>14846</v>
      </c>
      <c r="AF10144" t="s">
        <v>20507</v>
      </c>
    </row>
    <row r="10145" spans="1:32" hidden="1" x14ac:dyDescent="0.35">
      <c r="A10145">
        <v>10144</v>
      </c>
      <c r="B10145" t="s">
        <v>20506</v>
      </c>
      <c r="C10145" t="s">
        <v>33</v>
      </c>
      <c r="D10145" t="s">
        <v>45</v>
      </c>
      <c r="E10145">
        <v>1448</v>
      </c>
      <c r="F10145">
        <v>2</v>
      </c>
      <c r="G10145">
        <v>2</v>
      </c>
      <c r="H10145">
        <v>1</v>
      </c>
      <c r="I10145">
        <v>0</v>
      </c>
      <c r="J10145">
        <v>0.97257383966244704</v>
      </c>
      <c r="K10145">
        <v>0.97251661918328502</v>
      </c>
      <c r="L10145">
        <v>0.97254522858121295</v>
      </c>
      <c r="M10145">
        <v>0.93538461538461504</v>
      </c>
      <c r="N10145">
        <v>0.93538461538461504</v>
      </c>
      <c r="O10145">
        <v>0.93538461538461504</v>
      </c>
      <c r="R10145" t="s">
        <v>1259</v>
      </c>
      <c r="S10145" t="s">
        <v>1260</v>
      </c>
      <c r="V10145" t="s">
        <v>14845</v>
      </c>
      <c r="W10145" t="s">
        <v>14846</v>
      </c>
      <c r="AF10145" t="s">
        <v>20508</v>
      </c>
    </row>
    <row r="10146" spans="1:32" hidden="1" x14ac:dyDescent="0.35">
      <c r="A10146">
        <v>10145</v>
      </c>
      <c r="B10146" t="s">
        <v>20509</v>
      </c>
      <c r="C10146" t="s">
        <v>33</v>
      </c>
      <c r="D10146" t="s">
        <v>60</v>
      </c>
      <c r="E10146">
        <v>1361</v>
      </c>
      <c r="F10146">
        <v>2</v>
      </c>
      <c r="G10146">
        <v>2</v>
      </c>
      <c r="H10146">
        <v>1</v>
      </c>
      <c r="I10146">
        <v>0</v>
      </c>
      <c r="J10146">
        <v>0.99789029535865004</v>
      </c>
      <c r="K10146">
        <v>0.89814458140729403</v>
      </c>
      <c r="L10146">
        <v>0.94539375050318097</v>
      </c>
      <c r="M10146">
        <v>0.88700564971751406</v>
      </c>
      <c r="N10146">
        <v>0.88700564971751406</v>
      </c>
      <c r="O10146">
        <v>0.88700564971751406</v>
      </c>
      <c r="AF10146" t="s">
        <v>20510</v>
      </c>
    </row>
    <row r="10147" spans="1:32" hidden="1" x14ac:dyDescent="0.35">
      <c r="A10147">
        <v>10146</v>
      </c>
      <c r="B10147" t="s">
        <v>20509</v>
      </c>
      <c r="C10147" t="s">
        <v>33</v>
      </c>
      <c r="D10147" t="s">
        <v>62</v>
      </c>
      <c r="E10147">
        <v>1397</v>
      </c>
      <c r="F10147">
        <v>2</v>
      </c>
      <c r="G10147">
        <v>2</v>
      </c>
      <c r="H10147">
        <v>1</v>
      </c>
      <c r="I10147">
        <v>0</v>
      </c>
      <c r="J10147">
        <v>0.99789029535865004</v>
      </c>
      <c r="K10147">
        <v>0.89814458140729403</v>
      </c>
      <c r="L10147">
        <v>0.94539375050318097</v>
      </c>
      <c r="M10147">
        <v>0.88700564971751406</v>
      </c>
      <c r="N10147">
        <v>0.88700564971751406</v>
      </c>
      <c r="O10147">
        <v>0.88700564971751406</v>
      </c>
      <c r="AF10147" t="s">
        <v>20511</v>
      </c>
    </row>
    <row r="10148" spans="1:32" hidden="1" x14ac:dyDescent="0.35">
      <c r="A10148">
        <v>10147</v>
      </c>
      <c r="B10148" t="s">
        <v>20512</v>
      </c>
      <c r="C10148" t="s">
        <v>33</v>
      </c>
      <c r="D10148" t="s">
        <v>34</v>
      </c>
      <c r="E10148">
        <v>1414</v>
      </c>
      <c r="F10148">
        <v>2</v>
      </c>
      <c r="G10148">
        <v>2</v>
      </c>
      <c r="H10148">
        <v>1</v>
      </c>
      <c r="I10148">
        <v>0</v>
      </c>
      <c r="J10148">
        <v>0.98258115597783102</v>
      </c>
      <c r="K10148">
        <v>1</v>
      </c>
      <c r="L10148">
        <v>0.99121405750798697</v>
      </c>
      <c r="M10148">
        <v>0.97624703087886</v>
      </c>
      <c r="N10148">
        <v>0.97624703087886</v>
      </c>
      <c r="O10148">
        <v>0.97624703087886</v>
      </c>
      <c r="P10148" t="s">
        <v>15099</v>
      </c>
      <c r="Q10148" t="s">
        <v>15100</v>
      </c>
      <c r="R10148" t="s">
        <v>288</v>
      </c>
      <c r="S10148" t="s">
        <v>289</v>
      </c>
      <c r="V10148" t="s">
        <v>18291</v>
      </c>
      <c r="W10148" t="s">
        <v>18292</v>
      </c>
      <c r="AF10148" t="s">
        <v>20513</v>
      </c>
    </row>
    <row r="10149" spans="1:32" hidden="1" x14ac:dyDescent="0.35">
      <c r="A10149">
        <v>10148</v>
      </c>
      <c r="B10149" t="s">
        <v>20512</v>
      </c>
      <c r="C10149" t="s">
        <v>33</v>
      </c>
      <c r="D10149" t="s">
        <v>45</v>
      </c>
      <c r="E10149">
        <v>165</v>
      </c>
      <c r="F10149">
        <v>2</v>
      </c>
      <c r="G10149">
        <v>2</v>
      </c>
      <c r="H10149">
        <v>1</v>
      </c>
      <c r="I10149">
        <v>0</v>
      </c>
      <c r="J10149">
        <v>0.98258115597783102</v>
      </c>
      <c r="K10149">
        <v>1</v>
      </c>
      <c r="L10149">
        <v>0.99121405750798697</v>
      </c>
      <c r="M10149">
        <v>0.97624703087886</v>
      </c>
      <c r="N10149">
        <v>0.97624703087886</v>
      </c>
      <c r="O10149">
        <v>0.97624703087886</v>
      </c>
      <c r="P10149" t="s">
        <v>15099</v>
      </c>
      <c r="Q10149" t="s">
        <v>15100</v>
      </c>
      <c r="R10149" t="s">
        <v>288</v>
      </c>
      <c r="S10149" t="s">
        <v>289</v>
      </c>
      <c r="V10149" t="s">
        <v>18291</v>
      </c>
      <c r="W10149" t="s">
        <v>18292</v>
      </c>
      <c r="AF10149" t="s">
        <v>20514</v>
      </c>
    </row>
    <row r="10150" spans="1:32" hidden="1" x14ac:dyDescent="0.35">
      <c r="A10150">
        <v>10149</v>
      </c>
      <c r="B10150" t="s">
        <v>20515</v>
      </c>
      <c r="C10150" t="s">
        <v>33</v>
      </c>
      <c r="D10150" t="s">
        <v>34</v>
      </c>
      <c r="E10150">
        <v>2039</v>
      </c>
      <c r="F10150">
        <v>2</v>
      </c>
      <c r="G10150">
        <v>2</v>
      </c>
      <c r="H10150">
        <v>1</v>
      </c>
      <c r="I10150">
        <v>0</v>
      </c>
      <c r="J10150">
        <v>0.98615916955017302</v>
      </c>
      <c r="K10150">
        <v>1</v>
      </c>
      <c r="L10150">
        <v>0.99303135888501703</v>
      </c>
      <c r="M10150">
        <v>0.98442906574394495</v>
      </c>
      <c r="N10150">
        <v>0.98442906574394495</v>
      </c>
      <c r="O10150">
        <v>0.98442906574394495</v>
      </c>
      <c r="AF10150" t="s">
        <v>20516</v>
      </c>
    </row>
    <row r="10151" spans="1:32" hidden="1" x14ac:dyDescent="0.35">
      <c r="A10151">
        <v>10150</v>
      </c>
      <c r="B10151" t="s">
        <v>20515</v>
      </c>
      <c r="C10151" t="s">
        <v>33</v>
      </c>
      <c r="D10151" t="s">
        <v>45</v>
      </c>
      <c r="E10151">
        <v>833</v>
      </c>
      <c r="F10151">
        <v>2</v>
      </c>
      <c r="G10151">
        <v>2</v>
      </c>
      <c r="H10151">
        <v>1</v>
      </c>
      <c r="I10151">
        <v>0</v>
      </c>
      <c r="J10151">
        <v>0.98615916955017302</v>
      </c>
      <c r="K10151">
        <v>1</v>
      </c>
      <c r="L10151">
        <v>0.99303135888501703</v>
      </c>
      <c r="M10151">
        <v>0.98442906574394495</v>
      </c>
      <c r="N10151">
        <v>0.98442906574394495</v>
      </c>
      <c r="O10151">
        <v>0.98442906574394495</v>
      </c>
      <c r="AF10151" t="s">
        <v>20517</v>
      </c>
    </row>
    <row r="10152" spans="1:32" hidden="1" x14ac:dyDescent="0.35">
      <c r="A10152">
        <v>10151</v>
      </c>
      <c r="B10152" t="s">
        <v>20518</v>
      </c>
      <c r="C10152" t="s">
        <v>33</v>
      </c>
      <c r="D10152" t="s">
        <v>34</v>
      </c>
      <c r="E10152">
        <v>1398</v>
      </c>
      <c r="F10152">
        <v>2</v>
      </c>
      <c r="G10152">
        <v>2</v>
      </c>
      <c r="H10152">
        <v>1</v>
      </c>
      <c r="I10152">
        <v>0</v>
      </c>
      <c r="J10152">
        <v>0.89855072463768104</v>
      </c>
      <c r="K10152">
        <v>1</v>
      </c>
      <c r="L10152">
        <v>0.94656488549618301</v>
      </c>
      <c r="M10152">
        <v>0.86956521739130399</v>
      </c>
      <c r="N10152">
        <v>0.86956521739130399</v>
      </c>
      <c r="O10152">
        <v>0.86956521739130399</v>
      </c>
      <c r="AF10152" t="s">
        <v>20519</v>
      </c>
    </row>
    <row r="10153" spans="1:32" hidden="1" x14ac:dyDescent="0.35">
      <c r="A10153">
        <v>10152</v>
      </c>
      <c r="B10153" t="s">
        <v>20518</v>
      </c>
      <c r="C10153" t="s">
        <v>33</v>
      </c>
      <c r="D10153" t="s">
        <v>45</v>
      </c>
      <c r="E10153">
        <v>148</v>
      </c>
      <c r="F10153">
        <v>2</v>
      </c>
      <c r="G10153">
        <v>2</v>
      </c>
      <c r="H10153">
        <v>1</v>
      </c>
      <c r="I10153">
        <v>0</v>
      </c>
      <c r="J10153">
        <v>0.89855072463768104</v>
      </c>
      <c r="K10153">
        <v>1</v>
      </c>
      <c r="L10153">
        <v>0.94656488549618301</v>
      </c>
      <c r="M10153">
        <v>0.86956521739130399</v>
      </c>
      <c r="N10153">
        <v>0.86956521739130399</v>
      </c>
      <c r="O10153">
        <v>0.86956521739130399</v>
      </c>
      <c r="AF10153" t="s">
        <v>20520</v>
      </c>
    </row>
    <row r="10154" spans="1:32" hidden="1" x14ac:dyDescent="0.35">
      <c r="A10154">
        <v>10153</v>
      </c>
      <c r="B10154" t="s">
        <v>20521</v>
      </c>
      <c r="C10154" t="s">
        <v>33</v>
      </c>
      <c r="D10154" t="s">
        <v>34</v>
      </c>
      <c r="E10154">
        <v>1187</v>
      </c>
      <c r="F10154">
        <v>2</v>
      </c>
      <c r="G10154">
        <v>2</v>
      </c>
      <c r="H10154">
        <v>1</v>
      </c>
      <c r="I10154">
        <v>0</v>
      </c>
      <c r="J10154">
        <v>0.95327102803738295</v>
      </c>
      <c r="K10154">
        <v>1</v>
      </c>
      <c r="L10154">
        <v>0.97607655502392399</v>
      </c>
      <c r="M10154">
        <v>0.95327102803738295</v>
      </c>
      <c r="N10154">
        <v>0.95327102803738295</v>
      </c>
      <c r="O10154">
        <v>0.95327102803738295</v>
      </c>
      <c r="AF10154" t="s">
        <v>20522</v>
      </c>
    </row>
    <row r="10155" spans="1:32" hidden="1" x14ac:dyDescent="0.35">
      <c r="A10155">
        <v>10154</v>
      </c>
      <c r="B10155" t="s">
        <v>20521</v>
      </c>
      <c r="C10155" t="s">
        <v>33</v>
      </c>
      <c r="D10155" t="s">
        <v>45</v>
      </c>
      <c r="E10155">
        <v>2431</v>
      </c>
      <c r="F10155">
        <v>2</v>
      </c>
      <c r="G10155">
        <v>2</v>
      </c>
      <c r="H10155">
        <v>1</v>
      </c>
      <c r="I10155">
        <v>0</v>
      </c>
      <c r="J10155">
        <v>0.95327102803738295</v>
      </c>
      <c r="K10155">
        <v>1</v>
      </c>
      <c r="L10155">
        <v>0.97607655502392399</v>
      </c>
      <c r="M10155">
        <v>0.95327102803738295</v>
      </c>
      <c r="N10155">
        <v>0.95327102803738295</v>
      </c>
      <c r="O10155">
        <v>0.95327102803738295</v>
      </c>
      <c r="AF10155" t="s">
        <v>20523</v>
      </c>
    </row>
    <row r="10156" spans="1:32" hidden="1" x14ac:dyDescent="0.35">
      <c r="A10156">
        <v>10155</v>
      </c>
      <c r="B10156" t="s">
        <v>20524</v>
      </c>
      <c r="C10156" t="s">
        <v>33</v>
      </c>
      <c r="D10156" t="s">
        <v>34</v>
      </c>
      <c r="E10156">
        <v>1889</v>
      </c>
      <c r="F10156">
        <v>2</v>
      </c>
      <c r="G10156">
        <v>2</v>
      </c>
      <c r="H10156">
        <v>1</v>
      </c>
      <c r="I10156">
        <v>0</v>
      </c>
      <c r="J10156">
        <v>0.96296296296296302</v>
      </c>
      <c r="K10156">
        <v>1</v>
      </c>
      <c r="L10156">
        <v>0.98113207547169801</v>
      </c>
      <c r="M10156">
        <v>0.95111111111111102</v>
      </c>
      <c r="N10156">
        <v>0.95111111111111102</v>
      </c>
      <c r="O10156">
        <v>0.95111111111111102</v>
      </c>
      <c r="P10156" t="s">
        <v>14030</v>
      </c>
      <c r="Q10156" t="s">
        <v>14031</v>
      </c>
      <c r="AF10156" t="s">
        <v>20525</v>
      </c>
    </row>
    <row r="10157" spans="1:32" hidden="1" x14ac:dyDescent="0.35">
      <c r="A10157">
        <v>10156</v>
      </c>
      <c r="B10157" t="s">
        <v>20524</v>
      </c>
      <c r="C10157" t="s">
        <v>33</v>
      </c>
      <c r="D10157" t="s">
        <v>45</v>
      </c>
      <c r="E10157">
        <v>984</v>
      </c>
      <c r="F10157">
        <v>2</v>
      </c>
      <c r="G10157">
        <v>2</v>
      </c>
      <c r="H10157">
        <v>1</v>
      </c>
      <c r="I10157">
        <v>0</v>
      </c>
      <c r="J10157">
        <v>0.96296296296296302</v>
      </c>
      <c r="K10157">
        <v>1</v>
      </c>
      <c r="L10157">
        <v>0.98113207547169801</v>
      </c>
      <c r="M10157">
        <v>0.95111111111111102</v>
      </c>
      <c r="N10157">
        <v>0.95111111111111102</v>
      </c>
      <c r="O10157">
        <v>0.95111111111111102</v>
      </c>
      <c r="P10157" t="s">
        <v>14030</v>
      </c>
      <c r="Q10157" t="s">
        <v>14031</v>
      </c>
      <c r="AF10157" t="s">
        <v>20526</v>
      </c>
    </row>
    <row r="10158" spans="1:32" hidden="1" x14ac:dyDescent="0.35">
      <c r="A10158">
        <v>10157</v>
      </c>
      <c r="B10158" t="s">
        <v>20527</v>
      </c>
      <c r="C10158" t="s">
        <v>33</v>
      </c>
      <c r="D10158" t="s">
        <v>34</v>
      </c>
      <c r="E10158">
        <v>927</v>
      </c>
      <c r="F10158">
        <v>2</v>
      </c>
      <c r="G10158">
        <v>2</v>
      </c>
      <c r="H10158">
        <v>1</v>
      </c>
      <c r="I10158">
        <v>0</v>
      </c>
      <c r="J10158">
        <v>0.90924956369982501</v>
      </c>
      <c r="K10158">
        <v>0.79461358313817299</v>
      </c>
      <c r="L10158">
        <v>0.84807521674395803</v>
      </c>
      <c r="M10158">
        <v>0.69795918367346899</v>
      </c>
      <c r="N10158">
        <v>0.69795918367346899</v>
      </c>
      <c r="O10158">
        <v>0.69795918367346899</v>
      </c>
      <c r="AF10158" t="s">
        <v>20528</v>
      </c>
    </row>
    <row r="10159" spans="1:32" hidden="1" x14ac:dyDescent="0.35">
      <c r="A10159">
        <v>10158</v>
      </c>
      <c r="B10159" t="s">
        <v>20527</v>
      </c>
      <c r="C10159" t="s">
        <v>33</v>
      </c>
      <c r="D10159" t="s">
        <v>45</v>
      </c>
      <c r="E10159">
        <v>2183</v>
      </c>
      <c r="F10159">
        <v>2</v>
      </c>
      <c r="G10159">
        <v>2</v>
      </c>
      <c r="H10159">
        <v>1</v>
      </c>
      <c r="I10159">
        <v>0</v>
      </c>
      <c r="J10159">
        <v>0.90924956369982501</v>
      </c>
      <c r="K10159">
        <v>0.79461358313817299</v>
      </c>
      <c r="L10159">
        <v>0.84807521674395803</v>
      </c>
      <c r="M10159">
        <v>0.69795918367346899</v>
      </c>
      <c r="N10159">
        <v>0.69795918367346899</v>
      </c>
      <c r="O10159">
        <v>0.69795918367346899</v>
      </c>
      <c r="AF10159" t="e">
        <f>-----------------------------------------MLSSVFSRSRPTPPQIRRKIPAANQRPCLSSMKPNSPAPPIPQATGSRTPLSLTSSDFAPKQAQARGPTPGNRAYQTCSRTPDRPQPLLATPGSTATLGCTGSKLGFHSCLPQIRRVITAQKPNTMLIKSATHTSNKNPHPIQGNEDQNFKGKRLPKPQKAAKLVARRTPSPRPASAHPSPTPRPQQPCLGDREPVIPRWMPGL</f>
        <v>#NAME?</v>
      </c>
    </row>
    <row r="10160" spans="1:32" hidden="1" x14ac:dyDescent="0.35">
      <c r="A10160">
        <v>10159</v>
      </c>
      <c r="B10160" t="s">
        <v>20529</v>
      </c>
      <c r="C10160" t="s">
        <v>33</v>
      </c>
      <c r="D10160" t="s">
        <v>60</v>
      </c>
      <c r="E10160">
        <v>1706</v>
      </c>
      <c r="F10160">
        <v>2</v>
      </c>
      <c r="G10160">
        <v>2</v>
      </c>
      <c r="H10160">
        <v>1</v>
      </c>
      <c r="I10160">
        <v>0</v>
      </c>
      <c r="J10160">
        <v>0.98309178743961401</v>
      </c>
      <c r="K10160">
        <v>1</v>
      </c>
      <c r="L10160">
        <v>0.991473812423873</v>
      </c>
      <c r="M10160">
        <v>0.97826086956521696</v>
      </c>
      <c r="N10160">
        <v>0.97826086956521696</v>
      </c>
      <c r="O10160">
        <v>0.97826086956521696</v>
      </c>
      <c r="P10160" t="s">
        <v>12169</v>
      </c>
      <c r="Q10160" t="s">
        <v>12170</v>
      </c>
      <c r="R10160" t="s">
        <v>113</v>
      </c>
      <c r="S10160" t="s">
        <v>114</v>
      </c>
      <c r="V10160" t="s">
        <v>12171</v>
      </c>
      <c r="W10160" t="s">
        <v>12172</v>
      </c>
      <c r="AF10160" t="s">
        <v>20530</v>
      </c>
    </row>
    <row r="10161" spans="1:32" hidden="1" x14ac:dyDescent="0.35">
      <c r="A10161">
        <v>10160</v>
      </c>
      <c r="B10161" t="s">
        <v>20529</v>
      </c>
      <c r="C10161" t="s">
        <v>33</v>
      </c>
      <c r="D10161" t="s">
        <v>62</v>
      </c>
      <c r="E10161">
        <v>1741</v>
      </c>
      <c r="F10161">
        <v>2</v>
      </c>
      <c r="G10161">
        <v>2</v>
      </c>
      <c r="H10161">
        <v>1</v>
      </c>
      <c r="I10161">
        <v>0</v>
      </c>
      <c r="J10161">
        <v>0.98309178743961401</v>
      </c>
      <c r="K10161">
        <v>1</v>
      </c>
      <c r="L10161">
        <v>0.991473812423873</v>
      </c>
      <c r="M10161">
        <v>0.97826086956521696</v>
      </c>
      <c r="N10161">
        <v>0.97826086956521696</v>
      </c>
      <c r="O10161">
        <v>0.97826086956521696</v>
      </c>
      <c r="P10161" t="s">
        <v>12169</v>
      </c>
      <c r="Q10161" t="s">
        <v>12170</v>
      </c>
      <c r="R10161" t="s">
        <v>113</v>
      </c>
      <c r="S10161" t="s">
        <v>114</v>
      </c>
      <c r="V10161" t="s">
        <v>12171</v>
      </c>
      <c r="W10161" t="s">
        <v>12172</v>
      </c>
      <c r="AF10161" t="s">
        <v>20531</v>
      </c>
    </row>
    <row r="10162" spans="1:32" hidden="1" x14ac:dyDescent="0.35">
      <c r="A10162">
        <v>10161</v>
      </c>
      <c r="B10162" t="s">
        <v>20532</v>
      </c>
      <c r="C10162" t="s">
        <v>33</v>
      </c>
      <c r="D10162" t="s">
        <v>34</v>
      </c>
      <c r="E10162">
        <v>1547</v>
      </c>
      <c r="F10162">
        <v>2</v>
      </c>
      <c r="G10162">
        <v>2</v>
      </c>
      <c r="H10162">
        <v>1</v>
      </c>
      <c r="I10162">
        <v>0</v>
      </c>
      <c r="J10162">
        <v>1</v>
      </c>
      <c r="K10162">
        <v>0.73100303951367696</v>
      </c>
      <c r="L10162">
        <v>0.844600526777875</v>
      </c>
      <c r="M10162">
        <v>0.680851063829787</v>
      </c>
      <c r="N10162">
        <v>0.680851063829787</v>
      </c>
      <c r="O10162">
        <v>0.680851063829787</v>
      </c>
      <c r="AF10162" t="e">
        <f>---------------------------------------------MQPVEFEQRKKEILRLLEEQERLFEAEKHRIETEFAEKTKKLEESHQQIEAIQQTITEAQERGESLDVVLAEKPEPMVVPEEFTELHEALTHKHAS</f>
        <v>#NAME?</v>
      </c>
    </row>
    <row r="10163" spans="1:32" hidden="1" x14ac:dyDescent="0.35">
      <c r="A10163">
        <v>10162</v>
      </c>
      <c r="B10163" t="s">
        <v>20532</v>
      </c>
      <c r="C10163" t="s">
        <v>33</v>
      </c>
      <c r="D10163" t="s">
        <v>45</v>
      </c>
      <c r="E10163">
        <v>297</v>
      </c>
      <c r="F10163">
        <v>2</v>
      </c>
      <c r="G10163">
        <v>2</v>
      </c>
      <c r="H10163">
        <v>1</v>
      </c>
      <c r="I10163">
        <v>0</v>
      </c>
      <c r="J10163">
        <v>1</v>
      </c>
      <c r="K10163">
        <v>0.73100303951367696</v>
      </c>
      <c r="L10163">
        <v>0.844600526777875</v>
      </c>
      <c r="M10163">
        <v>0.680851063829787</v>
      </c>
      <c r="N10163">
        <v>0.680851063829787</v>
      </c>
      <c r="O10163">
        <v>0.680851063829787</v>
      </c>
      <c r="AF10163" t="s">
        <v>20533</v>
      </c>
    </row>
    <row r="10164" spans="1:32" hidden="1" x14ac:dyDescent="0.35">
      <c r="A10164">
        <v>10163</v>
      </c>
      <c r="B10164" t="s">
        <v>20534</v>
      </c>
      <c r="C10164" t="s">
        <v>33</v>
      </c>
      <c r="D10164" t="s">
        <v>60</v>
      </c>
      <c r="E10164">
        <v>356</v>
      </c>
      <c r="F10164">
        <v>2</v>
      </c>
      <c r="G10164">
        <v>2</v>
      </c>
      <c r="H10164">
        <v>1</v>
      </c>
      <c r="I10164">
        <v>0</v>
      </c>
      <c r="J10164">
        <v>0.99625468164793995</v>
      </c>
      <c r="K10164">
        <v>1</v>
      </c>
      <c r="L10164">
        <v>0.99812382739212002</v>
      </c>
      <c r="M10164">
        <v>0.99625468164793995</v>
      </c>
      <c r="N10164">
        <v>0.99625468164793995</v>
      </c>
      <c r="O10164">
        <v>0.99625468164793995</v>
      </c>
      <c r="P10164" t="s">
        <v>20535</v>
      </c>
      <c r="Q10164" t="s">
        <v>20536</v>
      </c>
      <c r="AF10164" t="s">
        <v>20537</v>
      </c>
    </row>
    <row r="10165" spans="1:32" hidden="1" x14ac:dyDescent="0.35">
      <c r="A10165">
        <v>10164</v>
      </c>
      <c r="B10165" t="s">
        <v>20534</v>
      </c>
      <c r="C10165" t="s">
        <v>33</v>
      </c>
      <c r="D10165" t="s">
        <v>62</v>
      </c>
      <c r="E10165">
        <v>436</v>
      </c>
      <c r="F10165">
        <v>2</v>
      </c>
      <c r="G10165">
        <v>2</v>
      </c>
      <c r="H10165">
        <v>1</v>
      </c>
      <c r="I10165">
        <v>0</v>
      </c>
      <c r="J10165">
        <v>0.99625468164793995</v>
      </c>
      <c r="K10165">
        <v>1</v>
      </c>
      <c r="L10165">
        <v>0.99812382739212002</v>
      </c>
      <c r="M10165">
        <v>0.99625468164793995</v>
      </c>
      <c r="N10165">
        <v>0.99625468164793995</v>
      </c>
      <c r="O10165">
        <v>0.99625468164793995</v>
      </c>
      <c r="P10165" t="s">
        <v>20535</v>
      </c>
      <c r="Q10165" t="s">
        <v>20536</v>
      </c>
      <c r="AF10165" t="s">
        <v>20538</v>
      </c>
    </row>
    <row r="10166" spans="1:32" hidden="1" x14ac:dyDescent="0.35">
      <c r="A10166">
        <v>10165</v>
      </c>
      <c r="B10166" t="s">
        <v>20539</v>
      </c>
      <c r="C10166" t="s">
        <v>33</v>
      </c>
      <c r="D10166" t="s">
        <v>34</v>
      </c>
      <c r="E10166">
        <v>1601</v>
      </c>
      <c r="F10166">
        <v>2</v>
      </c>
      <c r="G10166">
        <v>2</v>
      </c>
      <c r="H10166">
        <v>1</v>
      </c>
      <c r="I10166">
        <v>0</v>
      </c>
      <c r="J10166">
        <v>1</v>
      </c>
      <c r="K10166">
        <v>0.77485380116959102</v>
      </c>
      <c r="L10166">
        <v>0.87314662273476096</v>
      </c>
      <c r="M10166">
        <v>0.74210526315789505</v>
      </c>
      <c r="N10166">
        <v>0.74210526315789505</v>
      </c>
      <c r="O10166">
        <v>0.74210526315789505</v>
      </c>
      <c r="AF10166" t="e">
        <f>-------------------------------------------------MAAENFMHFEETETVQFSNAFKVAGIQQLFAVTNDDDPHYIHHAAIVDSTPDDFEDLSLTAFVGEFFILFSQDERHAVLFSPTGDFKLIAGPREFLLSIYPDLHAQRNKFIDFAHAQLSYPHTIGYELGMQRAIRYMDWLN</f>
        <v>#NAME?</v>
      </c>
    </row>
    <row r="10167" spans="1:32" hidden="1" x14ac:dyDescent="0.35">
      <c r="A10167">
        <v>10166</v>
      </c>
      <c r="B10167" t="s">
        <v>20539</v>
      </c>
      <c r="C10167" t="s">
        <v>33</v>
      </c>
      <c r="D10167" t="s">
        <v>45</v>
      </c>
      <c r="E10167">
        <v>351</v>
      </c>
      <c r="F10167">
        <v>2</v>
      </c>
      <c r="G10167">
        <v>2</v>
      </c>
      <c r="H10167">
        <v>1</v>
      </c>
      <c r="I10167">
        <v>0</v>
      </c>
      <c r="J10167">
        <v>1</v>
      </c>
      <c r="K10167">
        <v>0.77485380116959102</v>
      </c>
      <c r="L10167">
        <v>0.87314662273476096</v>
      </c>
      <c r="M10167">
        <v>0.74210526315789505</v>
      </c>
      <c r="N10167">
        <v>0.74210526315789505</v>
      </c>
      <c r="O10167">
        <v>0.74210526315789505</v>
      </c>
      <c r="AF10167" t="s">
        <v>20540</v>
      </c>
    </row>
    <row r="10168" spans="1:32" hidden="1" x14ac:dyDescent="0.35">
      <c r="A10168">
        <v>10167</v>
      </c>
      <c r="B10168" t="s">
        <v>20541</v>
      </c>
      <c r="C10168" t="s">
        <v>33</v>
      </c>
      <c r="D10168" t="s">
        <v>34</v>
      </c>
      <c r="E10168">
        <v>252</v>
      </c>
      <c r="F10168">
        <v>2</v>
      </c>
      <c r="G10168">
        <v>2</v>
      </c>
      <c r="H10168">
        <v>1</v>
      </c>
      <c r="I10168">
        <v>0</v>
      </c>
      <c r="J10168">
        <v>0.98203592814371299</v>
      </c>
      <c r="K10168">
        <v>1</v>
      </c>
      <c r="L10168">
        <v>0.99093655589123897</v>
      </c>
      <c r="M10168">
        <v>0.98203592814371299</v>
      </c>
      <c r="N10168">
        <v>0.98203592814371299</v>
      </c>
      <c r="O10168">
        <v>0.98203592814371299</v>
      </c>
      <c r="P10168" t="s">
        <v>12423</v>
      </c>
      <c r="Q10168" t="s">
        <v>12424</v>
      </c>
      <c r="R10168" t="s">
        <v>224</v>
      </c>
      <c r="S10168" t="s">
        <v>225</v>
      </c>
      <c r="V10168" t="s">
        <v>8738</v>
      </c>
      <c r="W10168" t="s">
        <v>8739</v>
      </c>
      <c r="AF10168" t="s">
        <v>20542</v>
      </c>
    </row>
    <row r="10169" spans="1:32" hidden="1" x14ac:dyDescent="0.35">
      <c r="A10169">
        <v>10168</v>
      </c>
      <c r="B10169" t="s">
        <v>20541</v>
      </c>
      <c r="C10169" t="s">
        <v>33</v>
      </c>
      <c r="D10169" t="s">
        <v>45</v>
      </c>
      <c r="E10169">
        <v>1515</v>
      </c>
      <c r="F10169">
        <v>2</v>
      </c>
      <c r="G10169">
        <v>2</v>
      </c>
      <c r="H10169">
        <v>1</v>
      </c>
      <c r="I10169">
        <v>0</v>
      </c>
      <c r="J10169">
        <v>0.98203592814371299</v>
      </c>
      <c r="K10169">
        <v>1</v>
      </c>
      <c r="L10169">
        <v>0.99093655589123897</v>
      </c>
      <c r="M10169">
        <v>0.98203592814371299</v>
      </c>
      <c r="N10169">
        <v>0.98203592814371299</v>
      </c>
      <c r="O10169">
        <v>0.98203592814371299</v>
      </c>
      <c r="P10169" t="s">
        <v>12423</v>
      </c>
      <c r="Q10169" t="s">
        <v>12424</v>
      </c>
      <c r="R10169" t="s">
        <v>224</v>
      </c>
      <c r="S10169" t="s">
        <v>225</v>
      </c>
      <c r="V10169" t="s">
        <v>8738</v>
      </c>
      <c r="W10169" t="s">
        <v>8739</v>
      </c>
      <c r="AF10169" t="s">
        <v>20543</v>
      </c>
    </row>
    <row r="10170" spans="1:32" hidden="1" x14ac:dyDescent="0.35">
      <c r="A10170">
        <v>10169</v>
      </c>
      <c r="B10170" t="s">
        <v>20544</v>
      </c>
      <c r="C10170" t="s">
        <v>33</v>
      </c>
      <c r="D10170" t="s">
        <v>34</v>
      </c>
      <c r="E10170">
        <v>315</v>
      </c>
      <c r="F10170">
        <v>2</v>
      </c>
      <c r="G10170">
        <v>2</v>
      </c>
      <c r="H10170">
        <v>1</v>
      </c>
      <c r="I10170">
        <v>0</v>
      </c>
      <c r="J10170">
        <v>0.94481981981981999</v>
      </c>
      <c r="K10170">
        <v>0.97398818829251199</v>
      </c>
      <c r="L10170">
        <v>0.95918230555486705</v>
      </c>
      <c r="M10170">
        <v>0.91118421052631604</v>
      </c>
      <c r="N10170">
        <v>0.91118421052631604</v>
      </c>
      <c r="O10170">
        <v>0.91118421052631604</v>
      </c>
      <c r="P10170" t="s">
        <v>11509</v>
      </c>
      <c r="Q10170" t="s">
        <v>11510</v>
      </c>
      <c r="R10170" t="s">
        <v>75</v>
      </c>
      <c r="S10170" t="s">
        <v>76</v>
      </c>
      <c r="T10170" t="s">
        <v>20545</v>
      </c>
      <c r="U10170" t="s">
        <v>20546</v>
      </c>
      <c r="V10170" t="s">
        <v>11511</v>
      </c>
      <c r="W10170" t="s">
        <v>11512</v>
      </c>
      <c r="X10170" t="s">
        <v>11511</v>
      </c>
      <c r="Y10170" t="s">
        <v>2750</v>
      </c>
      <c r="Z10170" t="s">
        <v>20547</v>
      </c>
      <c r="AA10170" t="s">
        <v>20548</v>
      </c>
      <c r="AB10170" t="s">
        <v>20547</v>
      </c>
      <c r="AC10170" t="s">
        <v>20549</v>
      </c>
      <c r="AD10170" t="s">
        <v>20550</v>
      </c>
      <c r="AE10170" t="s">
        <v>20551</v>
      </c>
      <c r="AF10170" t="s">
        <v>20552</v>
      </c>
    </row>
    <row r="10171" spans="1:32" hidden="1" x14ac:dyDescent="0.35">
      <c r="A10171">
        <v>10170</v>
      </c>
      <c r="B10171" t="s">
        <v>20544</v>
      </c>
      <c r="C10171" t="s">
        <v>33</v>
      </c>
      <c r="D10171" t="s">
        <v>45</v>
      </c>
      <c r="E10171">
        <v>1577</v>
      </c>
      <c r="F10171">
        <v>2</v>
      </c>
      <c r="G10171">
        <v>2</v>
      </c>
      <c r="H10171">
        <v>1</v>
      </c>
      <c r="I10171">
        <v>0</v>
      </c>
      <c r="J10171">
        <v>0.94481981981981999</v>
      </c>
      <c r="K10171">
        <v>0.97398818829251199</v>
      </c>
      <c r="L10171">
        <v>0.95918230555486705</v>
      </c>
      <c r="M10171">
        <v>0.91118421052631604</v>
      </c>
      <c r="N10171">
        <v>0.91118421052631604</v>
      </c>
      <c r="O10171">
        <v>0.91118421052631604</v>
      </c>
      <c r="P10171" t="s">
        <v>11509</v>
      </c>
      <c r="Q10171" t="s">
        <v>11510</v>
      </c>
      <c r="R10171" t="s">
        <v>75</v>
      </c>
      <c r="S10171" t="s">
        <v>76</v>
      </c>
      <c r="T10171" t="s">
        <v>20545</v>
      </c>
      <c r="U10171" t="s">
        <v>20546</v>
      </c>
      <c r="V10171" t="s">
        <v>11511</v>
      </c>
      <c r="W10171" t="s">
        <v>11512</v>
      </c>
      <c r="X10171" t="s">
        <v>11511</v>
      </c>
      <c r="Y10171" t="s">
        <v>2750</v>
      </c>
      <c r="Z10171" t="s">
        <v>20547</v>
      </c>
      <c r="AA10171" t="s">
        <v>20548</v>
      </c>
      <c r="AB10171" t="s">
        <v>20547</v>
      </c>
      <c r="AC10171" t="s">
        <v>20549</v>
      </c>
      <c r="AD10171" t="s">
        <v>20550</v>
      </c>
      <c r="AE10171" t="s">
        <v>20551</v>
      </c>
      <c r="AF10171" t="s">
        <v>20553</v>
      </c>
    </row>
    <row r="10172" spans="1:32" hidden="1" x14ac:dyDescent="0.35">
      <c r="A10172">
        <v>10171</v>
      </c>
      <c r="B10172" t="s">
        <v>20554</v>
      </c>
      <c r="C10172" t="s">
        <v>33</v>
      </c>
      <c r="D10172" t="s">
        <v>58</v>
      </c>
      <c r="E10172">
        <v>500</v>
      </c>
      <c r="F10172">
        <v>2</v>
      </c>
      <c r="G10172">
        <v>2</v>
      </c>
      <c r="H10172">
        <v>1</v>
      </c>
      <c r="I10172">
        <v>0</v>
      </c>
      <c r="J10172">
        <v>0.65094339622641495</v>
      </c>
      <c r="K10172">
        <v>0.95737395630006095</v>
      </c>
      <c r="L10172">
        <v>0.77496677330965003</v>
      </c>
      <c r="M10172">
        <v>0.53971119133573997</v>
      </c>
      <c r="N10172">
        <v>0.53971119133573997</v>
      </c>
      <c r="O10172">
        <v>0.53971119133573997</v>
      </c>
      <c r="R10172" t="s">
        <v>13853</v>
      </c>
      <c r="S10172" t="s">
        <v>13854</v>
      </c>
      <c r="V10172" t="s">
        <v>20555</v>
      </c>
      <c r="W10172" t="s">
        <v>20556</v>
      </c>
      <c r="AF10172" t="s">
        <v>20557</v>
      </c>
    </row>
    <row r="10173" spans="1:32" hidden="1" x14ac:dyDescent="0.35">
      <c r="A10173">
        <v>10172</v>
      </c>
      <c r="B10173" t="s">
        <v>20554</v>
      </c>
      <c r="C10173" t="s">
        <v>33</v>
      </c>
      <c r="D10173" t="s">
        <v>60</v>
      </c>
      <c r="E10173">
        <v>671</v>
      </c>
      <c r="F10173">
        <v>2</v>
      </c>
      <c r="G10173">
        <v>2</v>
      </c>
      <c r="H10173">
        <v>1</v>
      </c>
      <c r="I10173">
        <v>0</v>
      </c>
      <c r="J10173">
        <v>0.65094339622641495</v>
      </c>
      <c r="K10173">
        <v>0.95737395630006095</v>
      </c>
      <c r="L10173">
        <v>0.77496677330965003</v>
      </c>
      <c r="M10173">
        <v>0.53971119133573997</v>
      </c>
      <c r="N10173">
        <v>0.53971119133573997</v>
      </c>
      <c r="O10173">
        <v>0.53971119133573997</v>
      </c>
      <c r="R10173" t="s">
        <v>13853</v>
      </c>
      <c r="S10173" t="s">
        <v>13854</v>
      </c>
      <c r="V10173" t="s">
        <v>20555</v>
      </c>
      <c r="W10173" t="s">
        <v>20556</v>
      </c>
      <c r="AF10173" t="s">
        <v>20558</v>
      </c>
    </row>
    <row r="10174" spans="1:32" hidden="1" x14ac:dyDescent="0.35">
      <c r="A10174">
        <v>10173</v>
      </c>
      <c r="B10174" t="s">
        <v>20559</v>
      </c>
      <c r="C10174" t="s">
        <v>33</v>
      </c>
      <c r="D10174" t="s">
        <v>34</v>
      </c>
      <c r="E10174">
        <v>1852</v>
      </c>
      <c r="F10174">
        <v>2</v>
      </c>
      <c r="G10174">
        <v>2</v>
      </c>
      <c r="H10174">
        <v>1</v>
      </c>
      <c r="I10174">
        <v>0</v>
      </c>
      <c r="J10174">
        <v>0.98715041572184403</v>
      </c>
      <c r="K10174">
        <v>1</v>
      </c>
      <c r="L10174">
        <v>0.99353366298973</v>
      </c>
      <c r="M10174">
        <v>0.97959183673469397</v>
      </c>
      <c r="N10174">
        <v>0.97959183673469397</v>
      </c>
      <c r="O10174">
        <v>0.97959183673469397</v>
      </c>
      <c r="P10174" t="s">
        <v>12891</v>
      </c>
      <c r="Q10174" t="s">
        <v>12892</v>
      </c>
      <c r="AF10174" t="s">
        <v>20560</v>
      </c>
    </row>
    <row r="10175" spans="1:32" hidden="1" x14ac:dyDescent="0.35">
      <c r="A10175">
        <v>10174</v>
      </c>
      <c r="B10175" t="s">
        <v>20559</v>
      </c>
      <c r="C10175" t="s">
        <v>33</v>
      </c>
      <c r="D10175" t="s">
        <v>45</v>
      </c>
      <c r="E10175">
        <v>1021</v>
      </c>
      <c r="F10175">
        <v>2</v>
      </c>
      <c r="G10175">
        <v>2</v>
      </c>
      <c r="H10175">
        <v>1</v>
      </c>
      <c r="I10175">
        <v>0</v>
      </c>
      <c r="J10175">
        <v>0.98715041572184403</v>
      </c>
      <c r="K10175">
        <v>1</v>
      </c>
      <c r="L10175">
        <v>0.99353366298973</v>
      </c>
      <c r="M10175">
        <v>0.97959183673469397</v>
      </c>
      <c r="N10175">
        <v>0.97959183673469397</v>
      </c>
      <c r="O10175">
        <v>0.97959183673469397</v>
      </c>
      <c r="AF10175" t="s">
        <v>20561</v>
      </c>
    </row>
    <row r="10176" spans="1:32" hidden="1" x14ac:dyDescent="0.35">
      <c r="A10176">
        <v>10175</v>
      </c>
      <c r="B10176" t="s">
        <v>20562</v>
      </c>
      <c r="C10176" t="s">
        <v>33</v>
      </c>
      <c r="D10176" t="s">
        <v>34</v>
      </c>
      <c r="E10176">
        <v>603</v>
      </c>
      <c r="F10176">
        <v>2</v>
      </c>
      <c r="G10176">
        <v>2</v>
      </c>
      <c r="H10176">
        <v>1</v>
      </c>
      <c r="I10176">
        <v>0</v>
      </c>
      <c r="J10176">
        <v>0.99537037037037002</v>
      </c>
      <c r="K10176">
        <v>1</v>
      </c>
      <c r="L10176">
        <v>0.99767981438515096</v>
      </c>
      <c r="M10176">
        <v>0.99537037037037002</v>
      </c>
      <c r="N10176">
        <v>0.99537037037037002</v>
      </c>
      <c r="O10176">
        <v>0.99537037037037002</v>
      </c>
      <c r="P10176" t="s">
        <v>13521</v>
      </c>
      <c r="Q10176" t="s">
        <v>13522</v>
      </c>
      <c r="AF10176" t="s">
        <v>20563</v>
      </c>
    </row>
    <row r="10177" spans="1:32" hidden="1" x14ac:dyDescent="0.35">
      <c r="A10177">
        <v>10176</v>
      </c>
      <c r="B10177" t="s">
        <v>20562</v>
      </c>
      <c r="C10177" t="s">
        <v>33</v>
      </c>
      <c r="D10177" t="s">
        <v>45</v>
      </c>
      <c r="E10177">
        <v>1870</v>
      </c>
      <c r="F10177">
        <v>2</v>
      </c>
      <c r="G10177">
        <v>2</v>
      </c>
      <c r="H10177">
        <v>1</v>
      </c>
      <c r="I10177">
        <v>0</v>
      </c>
      <c r="J10177">
        <v>0.99537037037037002</v>
      </c>
      <c r="K10177">
        <v>1</v>
      </c>
      <c r="L10177">
        <v>0.99767981438515096</v>
      </c>
      <c r="M10177">
        <v>0.99537037037037002</v>
      </c>
      <c r="N10177">
        <v>0.99537037037037002</v>
      </c>
      <c r="O10177">
        <v>0.99537037037037002</v>
      </c>
      <c r="P10177" t="s">
        <v>13521</v>
      </c>
      <c r="Q10177" t="s">
        <v>13522</v>
      </c>
      <c r="AF10177" t="s">
        <v>20564</v>
      </c>
    </row>
    <row r="10178" spans="1:32" hidden="1" x14ac:dyDescent="0.35">
      <c r="A10178">
        <v>10177</v>
      </c>
      <c r="B10178" t="s">
        <v>20565</v>
      </c>
      <c r="C10178" t="s">
        <v>33</v>
      </c>
      <c r="D10178" t="s">
        <v>34</v>
      </c>
      <c r="E10178">
        <v>2368</v>
      </c>
      <c r="F10178">
        <v>2</v>
      </c>
      <c r="G10178">
        <v>2</v>
      </c>
      <c r="H10178">
        <v>1</v>
      </c>
      <c r="I10178">
        <v>0</v>
      </c>
      <c r="J10178">
        <v>0.95884773662551404</v>
      </c>
      <c r="K10178">
        <v>1</v>
      </c>
      <c r="L10178">
        <v>0.97899159663865498</v>
      </c>
      <c r="M10178">
        <v>0.95061728395061695</v>
      </c>
      <c r="N10178">
        <v>0.95061728395061695</v>
      </c>
      <c r="O10178">
        <v>0.95061728395061695</v>
      </c>
      <c r="AF10178" t="s">
        <v>20566</v>
      </c>
    </row>
    <row r="10179" spans="1:32" hidden="1" x14ac:dyDescent="0.35">
      <c r="A10179">
        <v>10178</v>
      </c>
      <c r="B10179" t="s">
        <v>20565</v>
      </c>
      <c r="C10179" t="s">
        <v>33</v>
      </c>
      <c r="D10179" t="s">
        <v>45</v>
      </c>
      <c r="E10179">
        <v>511</v>
      </c>
      <c r="F10179">
        <v>2</v>
      </c>
      <c r="G10179">
        <v>2</v>
      </c>
      <c r="H10179">
        <v>1</v>
      </c>
      <c r="I10179">
        <v>0</v>
      </c>
      <c r="J10179">
        <v>0.95884773662551404</v>
      </c>
      <c r="K10179">
        <v>1</v>
      </c>
      <c r="L10179">
        <v>0.97899159663865498</v>
      </c>
      <c r="M10179">
        <v>0.95061728395061695</v>
      </c>
      <c r="N10179">
        <v>0.95061728395061695</v>
      </c>
      <c r="O10179">
        <v>0.95061728395061695</v>
      </c>
      <c r="AF10179" t="s">
        <v>20567</v>
      </c>
    </row>
    <row r="10180" spans="1:32" hidden="1" x14ac:dyDescent="0.35">
      <c r="A10180">
        <v>10179</v>
      </c>
      <c r="B10180" t="s">
        <v>20568</v>
      </c>
      <c r="C10180" t="s">
        <v>33</v>
      </c>
      <c r="D10180" t="s">
        <v>34</v>
      </c>
      <c r="E10180">
        <v>1292</v>
      </c>
      <c r="F10180">
        <v>2</v>
      </c>
      <c r="G10180">
        <v>2</v>
      </c>
      <c r="H10180">
        <v>1</v>
      </c>
      <c r="I10180">
        <v>0</v>
      </c>
      <c r="J10180">
        <v>0.998765432098765</v>
      </c>
      <c r="K10180">
        <v>1</v>
      </c>
      <c r="L10180">
        <v>0.99938233477455196</v>
      </c>
      <c r="M10180">
        <v>0.99629629629629601</v>
      </c>
      <c r="N10180">
        <v>0.99629629629629601</v>
      </c>
      <c r="O10180">
        <v>0.99629629629629601</v>
      </c>
      <c r="P10180" t="s">
        <v>14058</v>
      </c>
      <c r="Q10180" t="s">
        <v>3188</v>
      </c>
      <c r="R10180" t="s">
        <v>8647</v>
      </c>
      <c r="S10180" t="s">
        <v>8648</v>
      </c>
      <c r="T10180" t="s">
        <v>14059</v>
      </c>
      <c r="U10180" t="s">
        <v>14060</v>
      </c>
      <c r="V10180" t="s">
        <v>14061</v>
      </c>
      <c r="W10180" t="s">
        <v>14062</v>
      </c>
      <c r="Z10180" t="s">
        <v>3029</v>
      </c>
      <c r="AA10180" t="s">
        <v>3030</v>
      </c>
      <c r="AB10180" t="s">
        <v>3029</v>
      </c>
      <c r="AC10180" t="s">
        <v>1094</v>
      </c>
      <c r="AD10180" t="s">
        <v>219</v>
      </c>
      <c r="AE10180" t="s">
        <v>14063</v>
      </c>
      <c r="AF10180" t="s">
        <v>20569</v>
      </c>
    </row>
    <row r="10181" spans="1:32" hidden="1" x14ac:dyDescent="0.35">
      <c r="A10181">
        <v>10180</v>
      </c>
      <c r="B10181" t="s">
        <v>20568</v>
      </c>
      <c r="C10181" t="s">
        <v>33</v>
      </c>
      <c r="D10181" t="s">
        <v>45</v>
      </c>
      <c r="E10181">
        <v>44</v>
      </c>
      <c r="F10181">
        <v>2</v>
      </c>
      <c r="G10181">
        <v>2</v>
      </c>
      <c r="H10181">
        <v>1</v>
      </c>
      <c r="I10181">
        <v>0</v>
      </c>
      <c r="J10181">
        <v>0.998765432098765</v>
      </c>
      <c r="K10181">
        <v>1</v>
      </c>
      <c r="L10181">
        <v>0.99938233477455196</v>
      </c>
      <c r="M10181">
        <v>0.99629629629629601</v>
      </c>
      <c r="N10181">
        <v>0.99629629629629601</v>
      </c>
      <c r="O10181">
        <v>0.99629629629629601</v>
      </c>
      <c r="P10181" t="s">
        <v>14058</v>
      </c>
      <c r="Q10181" t="s">
        <v>3188</v>
      </c>
      <c r="R10181" t="s">
        <v>8647</v>
      </c>
      <c r="S10181" t="s">
        <v>8648</v>
      </c>
      <c r="T10181" t="s">
        <v>14059</v>
      </c>
      <c r="U10181" t="s">
        <v>14060</v>
      </c>
      <c r="V10181" t="s">
        <v>14061</v>
      </c>
      <c r="W10181" t="s">
        <v>14062</v>
      </c>
      <c r="Z10181" t="s">
        <v>3029</v>
      </c>
      <c r="AA10181" t="s">
        <v>3030</v>
      </c>
      <c r="AB10181" t="s">
        <v>3029</v>
      </c>
      <c r="AC10181" t="s">
        <v>1094</v>
      </c>
      <c r="AD10181" t="s">
        <v>219</v>
      </c>
      <c r="AE10181" t="s">
        <v>14063</v>
      </c>
      <c r="AF10181" t="s">
        <v>20570</v>
      </c>
    </row>
    <row r="10182" spans="1:32" hidden="1" x14ac:dyDescent="0.35">
      <c r="A10182">
        <v>10181</v>
      </c>
      <c r="B10182" t="s">
        <v>20571</v>
      </c>
      <c r="C10182" t="s">
        <v>33</v>
      </c>
      <c r="D10182" t="s">
        <v>60</v>
      </c>
      <c r="E10182">
        <v>50</v>
      </c>
      <c r="F10182">
        <v>2</v>
      </c>
      <c r="G10182">
        <v>2</v>
      </c>
      <c r="H10182">
        <v>1</v>
      </c>
      <c r="I10182">
        <v>0</v>
      </c>
      <c r="J10182">
        <v>0.99108138238572996</v>
      </c>
      <c r="K10182">
        <v>0.73064299026713697</v>
      </c>
      <c r="L10182">
        <v>0.84116444690696801</v>
      </c>
      <c r="M10182">
        <v>0.67045454545454497</v>
      </c>
      <c r="N10182">
        <v>0.67045454545454497</v>
      </c>
      <c r="O10182">
        <v>0.67045454545454497</v>
      </c>
      <c r="AF10182" t="s">
        <v>20572</v>
      </c>
    </row>
    <row r="10183" spans="1:32" hidden="1" x14ac:dyDescent="0.35">
      <c r="A10183">
        <v>10182</v>
      </c>
      <c r="B10183" t="s">
        <v>20571</v>
      </c>
      <c r="C10183" t="s">
        <v>33</v>
      </c>
      <c r="D10183" t="s">
        <v>62</v>
      </c>
      <c r="E10183">
        <v>123</v>
      </c>
      <c r="F10183">
        <v>2</v>
      </c>
      <c r="G10183">
        <v>2</v>
      </c>
      <c r="H10183">
        <v>1</v>
      </c>
      <c r="I10183">
        <v>0</v>
      </c>
      <c r="J10183">
        <v>0.99108138238572996</v>
      </c>
      <c r="K10183">
        <v>0.73064299026713697</v>
      </c>
      <c r="L10183">
        <v>0.84116444690696801</v>
      </c>
      <c r="M10183">
        <v>0.67045454545454497</v>
      </c>
      <c r="N10183">
        <v>0.67045454545454497</v>
      </c>
      <c r="O10183">
        <v>0.67045454545454497</v>
      </c>
      <c r="AF10183" t="s">
        <v>20573</v>
      </c>
    </row>
    <row r="10184" spans="1:32" hidden="1" x14ac:dyDescent="0.35">
      <c r="A10184">
        <v>10183</v>
      </c>
      <c r="B10184" t="s">
        <v>20574</v>
      </c>
      <c r="C10184" t="s">
        <v>33</v>
      </c>
      <c r="D10184" t="s">
        <v>34</v>
      </c>
      <c r="E10184">
        <v>690</v>
      </c>
      <c r="F10184">
        <v>2</v>
      </c>
      <c r="G10184">
        <v>2</v>
      </c>
      <c r="H10184">
        <v>1</v>
      </c>
      <c r="I10184">
        <v>0</v>
      </c>
      <c r="J10184">
        <v>0.99109414758269698</v>
      </c>
      <c r="K10184">
        <v>1</v>
      </c>
      <c r="L10184">
        <v>0.99552715654952095</v>
      </c>
      <c r="M10184">
        <v>0.98854961832061095</v>
      </c>
      <c r="N10184">
        <v>0.98854961832061095</v>
      </c>
      <c r="O10184">
        <v>0.98854961832061095</v>
      </c>
      <c r="AF10184" t="s">
        <v>20575</v>
      </c>
    </row>
    <row r="10185" spans="1:32" hidden="1" x14ac:dyDescent="0.35">
      <c r="A10185">
        <v>10184</v>
      </c>
      <c r="B10185" t="s">
        <v>20574</v>
      </c>
      <c r="C10185" t="s">
        <v>33</v>
      </c>
      <c r="D10185" t="s">
        <v>45</v>
      </c>
      <c r="E10185">
        <v>1956</v>
      </c>
      <c r="F10185">
        <v>2</v>
      </c>
      <c r="G10185">
        <v>2</v>
      </c>
      <c r="H10185">
        <v>1</v>
      </c>
      <c r="I10185">
        <v>0</v>
      </c>
      <c r="J10185">
        <v>0.99109414758269698</v>
      </c>
      <c r="K10185">
        <v>1</v>
      </c>
      <c r="L10185">
        <v>0.99552715654952095</v>
      </c>
      <c r="M10185">
        <v>0.98854961832061095</v>
      </c>
      <c r="N10185">
        <v>0.98854961832061095</v>
      </c>
      <c r="O10185">
        <v>0.98854961832061095</v>
      </c>
      <c r="AF10185" t="s">
        <v>20576</v>
      </c>
    </row>
    <row r="10186" spans="1:32" hidden="1" x14ac:dyDescent="0.35">
      <c r="A10186">
        <v>10185</v>
      </c>
      <c r="B10186" t="s">
        <v>20577</v>
      </c>
      <c r="C10186" t="s">
        <v>33</v>
      </c>
      <c r="D10186" t="s">
        <v>34</v>
      </c>
      <c r="E10186">
        <v>2480</v>
      </c>
      <c r="F10186">
        <v>2</v>
      </c>
      <c r="G10186">
        <v>2</v>
      </c>
      <c r="H10186">
        <v>1</v>
      </c>
      <c r="I10186">
        <v>0</v>
      </c>
      <c r="J10186">
        <v>0.97847147470398299</v>
      </c>
      <c r="K10186">
        <v>1</v>
      </c>
      <c r="L10186">
        <v>0.98911860718171896</v>
      </c>
      <c r="M10186">
        <v>0.97416576964477897</v>
      </c>
      <c r="N10186">
        <v>0.97416576964477897</v>
      </c>
      <c r="O10186">
        <v>0.97416576964477897</v>
      </c>
      <c r="P10186" t="s">
        <v>20578</v>
      </c>
      <c r="Q10186" t="s">
        <v>20579</v>
      </c>
      <c r="R10186" t="s">
        <v>371</v>
      </c>
      <c r="S10186" t="s">
        <v>372</v>
      </c>
      <c r="T10186" t="s">
        <v>20580</v>
      </c>
      <c r="U10186" t="s">
        <v>20581</v>
      </c>
      <c r="V10186" t="s">
        <v>20582</v>
      </c>
      <c r="W10186" t="s">
        <v>20583</v>
      </c>
      <c r="AD10186" t="s">
        <v>410</v>
      </c>
      <c r="AE10186" t="s">
        <v>1217</v>
      </c>
      <c r="AF10186" t="s">
        <v>20584</v>
      </c>
    </row>
    <row r="10187" spans="1:32" hidden="1" x14ac:dyDescent="0.35">
      <c r="A10187">
        <v>10186</v>
      </c>
      <c r="B10187" t="s">
        <v>20577</v>
      </c>
      <c r="C10187" t="s">
        <v>33</v>
      </c>
      <c r="D10187" t="s">
        <v>45</v>
      </c>
      <c r="E10187">
        <v>420</v>
      </c>
      <c r="F10187">
        <v>2</v>
      </c>
      <c r="G10187">
        <v>2</v>
      </c>
      <c r="H10187">
        <v>1</v>
      </c>
      <c r="I10187">
        <v>0</v>
      </c>
      <c r="J10187">
        <v>0.97847147470398299</v>
      </c>
      <c r="K10187">
        <v>1</v>
      </c>
      <c r="L10187">
        <v>0.98911860718171896</v>
      </c>
      <c r="M10187">
        <v>0.97416576964477897</v>
      </c>
      <c r="N10187">
        <v>0.97416576964477897</v>
      </c>
      <c r="O10187">
        <v>0.97416576964477897</v>
      </c>
      <c r="P10187" t="s">
        <v>20578</v>
      </c>
      <c r="Q10187" t="s">
        <v>20579</v>
      </c>
      <c r="R10187" t="s">
        <v>371</v>
      </c>
      <c r="S10187" t="s">
        <v>372</v>
      </c>
      <c r="T10187" t="s">
        <v>20580</v>
      </c>
      <c r="U10187" t="s">
        <v>20581</v>
      </c>
      <c r="V10187" t="s">
        <v>20582</v>
      </c>
      <c r="W10187" t="s">
        <v>20583</v>
      </c>
      <c r="AD10187" t="s">
        <v>410</v>
      </c>
      <c r="AE10187" t="s">
        <v>1217</v>
      </c>
      <c r="AF10187" t="s">
        <v>20585</v>
      </c>
    </row>
    <row r="10188" spans="1:32" hidden="1" x14ac:dyDescent="0.35">
      <c r="A10188">
        <v>10187</v>
      </c>
      <c r="B10188" t="s">
        <v>20586</v>
      </c>
      <c r="C10188" t="s">
        <v>33</v>
      </c>
      <c r="D10188" t="s">
        <v>34</v>
      </c>
      <c r="E10188">
        <v>464</v>
      </c>
      <c r="F10188">
        <v>2</v>
      </c>
      <c r="G10188">
        <v>2</v>
      </c>
      <c r="H10188">
        <v>1</v>
      </c>
      <c r="I10188">
        <v>0</v>
      </c>
      <c r="J10188">
        <v>0.90241796200345403</v>
      </c>
      <c r="K10188">
        <v>0.81785243741765601</v>
      </c>
      <c r="L10188">
        <v>0.85805665207325399</v>
      </c>
      <c r="M10188">
        <v>0.69214876033057804</v>
      </c>
      <c r="N10188">
        <v>0.69214876033057804</v>
      </c>
      <c r="O10188">
        <v>0.69214876033057804</v>
      </c>
      <c r="AF10188" t="s">
        <v>20587</v>
      </c>
    </row>
    <row r="10189" spans="1:32" hidden="1" x14ac:dyDescent="0.35">
      <c r="A10189">
        <v>10188</v>
      </c>
      <c r="B10189" t="s">
        <v>20586</v>
      </c>
      <c r="C10189" t="s">
        <v>33</v>
      </c>
      <c r="D10189" t="s">
        <v>45</v>
      </c>
      <c r="E10189">
        <v>1727</v>
      </c>
      <c r="F10189">
        <v>2</v>
      </c>
      <c r="G10189">
        <v>2</v>
      </c>
      <c r="H10189">
        <v>1</v>
      </c>
      <c r="I10189">
        <v>0</v>
      </c>
      <c r="J10189">
        <v>0.90241796200345403</v>
      </c>
      <c r="K10189">
        <v>0.81785243741765601</v>
      </c>
      <c r="L10189">
        <v>0.85805665207325399</v>
      </c>
      <c r="M10189">
        <v>0.69214876033057804</v>
      </c>
      <c r="N10189">
        <v>0.69214876033057804</v>
      </c>
      <c r="O10189">
        <v>0.69214876033057804</v>
      </c>
      <c r="AF10189" t="s">
        <v>20588</v>
      </c>
    </row>
    <row r="10190" spans="1:32" hidden="1" x14ac:dyDescent="0.35">
      <c r="A10190">
        <v>10189</v>
      </c>
      <c r="B10190" t="s">
        <v>20589</v>
      </c>
      <c r="C10190" t="s">
        <v>33</v>
      </c>
      <c r="D10190" t="s">
        <v>60</v>
      </c>
      <c r="E10190">
        <v>225</v>
      </c>
      <c r="F10190">
        <v>2</v>
      </c>
      <c r="G10190">
        <v>2</v>
      </c>
      <c r="H10190">
        <v>1</v>
      </c>
      <c r="I10190">
        <v>0</v>
      </c>
      <c r="J10190">
        <v>0.99362803663878896</v>
      </c>
      <c r="K10190">
        <v>1</v>
      </c>
      <c r="L10190">
        <v>0.99680383539752304</v>
      </c>
      <c r="M10190">
        <v>0.99283154121863804</v>
      </c>
      <c r="N10190">
        <v>0.99283154121863804</v>
      </c>
      <c r="O10190">
        <v>0.99283154121863804</v>
      </c>
      <c r="P10190" t="s">
        <v>6973</v>
      </c>
      <c r="Q10190" t="s">
        <v>6974</v>
      </c>
      <c r="R10190" t="s">
        <v>371</v>
      </c>
      <c r="S10190" t="s">
        <v>372</v>
      </c>
      <c r="T10190" t="s">
        <v>20590</v>
      </c>
      <c r="U10190" t="s">
        <v>20591</v>
      </c>
      <c r="V10190" t="s">
        <v>20592</v>
      </c>
      <c r="W10190" t="s">
        <v>20593</v>
      </c>
      <c r="AD10190" t="s">
        <v>410</v>
      </c>
      <c r="AE10190" t="s">
        <v>603</v>
      </c>
      <c r="AF10190" t="s">
        <v>20594</v>
      </c>
    </row>
    <row r="10191" spans="1:32" hidden="1" x14ac:dyDescent="0.35">
      <c r="A10191">
        <v>10190</v>
      </c>
      <c r="B10191" t="s">
        <v>20589</v>
      </c>
      <c r="C10191" t="s">
        <v>33</v>
      </c>
      <c r="D10191" t="s">
        <v>62</v>
      </c>
      <c r="E10191">
        <v>302</v>
      </c>
      <c r="F10191">
        <v>2</v>
      </c>
      <c r="G10191">
        <v>2</v>
      </c>
      <c r="H10191">
        <v>1</v>
      </c>
      <c r="I10191">
        <v>0</v>
      </c>
      <c r="J10191">
        <v>0.99362803663878896</v>
      </c>
      <c r="K10191">
        <v>1</v>
      </c>
      <c r="L10191">
        <v>0.99680383539752304</v>
      </c>
      <c r="M10191">
        <v>0.99283154121863804</v>
      </c>
      <c r="N10191">
        <v>0.99283154121863804</v>
      </c>
      <c r="O10191">
        <v>0.99283154121863804</v>
      </c>
      <c r="P10191" t="s">
        <v>6973</v>
      </c>
      <c r="Q10191" t="s">
        <v>6974</v>
      </c>
      <c r="R10191" t="s">
        <v>371</v>
      </c>
      <c r="S10191" t="s">
        <v>372</v>
      </c>
      <c r="T10191" t="s">
        <v>20590</v>
      </c>
      <c r="U10191" t="s">
        <v>20591</v>
      </c>
      <c r="V10191" t="s">
        <v>20592</v>
      </c>
      <c r="W10191" t="s">
        <v>20593</v>
      </c>
      <c r="AD10191" t="s">
        <v>410</v>
      </c>
      <c r="AE10191" t="s">
        <v>603</v>
      </c>
      <c r="AF10191" t="s">
        <v>20595</v>
      </c>
    </row>
    <row r="10192" spans="1:32" hidden="1" x14ac:dyDescent="0.35">
      <c r="A10192">
        <v>10191</v>
      </c>
      <c r="B10192" t="s">
        <v>20596</v>
      </c>
      <c r="C10192" t="s">
        <v>33</v>
      </c>
      <c r="D10192" t="s">
        <v>34</v>
      </c>
      <c r="E10192">
        <v>1469</v>
      </c>
      <c r="F10192">
        <v>2</v>
      </c>
      <c r="G10192">
        <v>2</v>
      </c>
      <c r="H10192">
        <v>1</v>
      </c>
      <c r="I10192">
        <v>0</v>
      </c>
      <c r="J10192">
        <v>0.98504273504273498</v>
      </c>
      <c r="K10192">
        <v>1</v>
      </c>
      <c r="L10192">
        <v>0.99246501614639404</v>
      </c>
      <c r="M10192">
        <v>0.98076923076923095</v>
      </c>
      <c r="N10192">
        <v>0.98076923076923095</v>
      </c>
      <c r="O10192">
        <v>0.98076923076923095</v>
      </c>
      <c r="P10192" t="s">
        <v>8002</v>
      </c>
      <c r="Q10192" t="s">
        <v>8003</v>
      </c>
      <c r="R10192" t="s">
        <v>138</v>
      </c>
      <c r="S10192" t="s">
        <v>139</v>
      </c>
      <c r="T10192" t="s">
        <v>7208</v>
      </c>
      <c r="U10192" t="s">
        <v>7209</v>
      </c>
      <c r="V10192" t="s">
        <v>10609</v>
      </c>
      <c r="W10192" t="s">
        <v>10610</v>
      </c>
      <c r="AD10192" t="s">
        <v>7210</v>
      </c>
      <c r="AE10192" t="s">
        <v>7211</v>
      </c>
      <c r="AF10192" t="s">
        <v>20597</v>
      </c>
    </row>
    <row r="10193" spans="1:32" hidden="1" x14ac:dyDescent="0.35">
      <c r="A10193">
        <v>10192</v>
      </c>
      <c r="B10193" t="s">
        <v>20596</v>
      </c>
      <c r="C10193" t="s">
        <v>33</v>
      </c>
      <c r="D10193" t="s">
        <v>45</v>
      </c>
      <c r="E10193">
        <v>220</v>
      </c>
      <c r="F10193">
        <v>2</v>
      </c>
      <c r="G10193">
        <v>2</v>
      </c>
      <c r="H10193">
        <v>1</v>
      </c>
      <c r="I10193">
        <v>0</v>
      </c>
      <c r="J10193">
        <v>0.98504273504273498</v>
      </c>
      <c r="K10193">
        <v>1</v>
      </c>
      <c r="L10193">
        <v>0.99246501614639404</v>
      </c>
      <c r="M10193">
        <v>0.98076923076923095</v>
      </c>
      <c r="N10193">
        <v>0.98076923076923095</v>
      </c>
      <c r="O10193">
        <v>0.98076923076923095</v>
      </c>
      <c r="P10193" t="s">
        <v>8002</v>
      </c>
      <c r="Q10193" t="s">
        <v>8003</v>
      </c>
      <c r="R10193" t="s">
        <v>138</v>
      </c>
      <c r="S10193" t="s">
        <v>139</v>
      </c>
      <c r="T10193" t="s">
        <v>7208</v>
      </c>
      <c r="U10193" t="s">
        <v>7209</v>
      </c>
      <c r="V10193" t="s">
        <v>10609</v>
      </c>
      <c r="W10193" t="s">
        <v>10610</v>
      </c>
      <c r="AD10193" t="s">
        <v>7210</v>
      </c>
      <c r="AE10193" t="s">
        <v>7211</v>
      </c>
      <c r="AF10193" t="s">
        <v>20598</v>
      </c>
    </row>
    <row r="10194" spans="1:32" hidden="1" x14ac:dyDescent="0.35">
      <c r="A10194">
        <v>10193</v>
      </c>
      <c r="B10194" t="s">
        <v>20599</v>
      </c>
      <c r="C10194" t="s">
        <v>33</v>
      </c>
      <c r="D10194" t="s">
        <v>60</v>
      </c>
      <c r="E10194">
        <v>2062</v>
      </c>
      <c r="F10194">
        <v>2</v>
      </c>
      <c r="G10194">
        <v>2</v>
      </c>
      <c r="H10194">
        <v>1</v>
      </c>
      <c r="I10194">
        <v>0</v>
      </c>
      <c r="J10194">
        <v>0.99122807017543901</v>
      </c>
      <c r="K10194">
        <v>1</v>
      </c>
      <c r="L10194">
        <v>0.99559471365638796</v>
      </c>
      <c r="M10194">
        <v>0.98684210526315796</v>
      </c>
      <c r="N10194">
        <v>0.98684210526315796</v>
      </c>
      <c r="O10194">
        <v>0.98684210526315796</v>
      </c>
      <c r="AF10194" t="s">
        <v>20600</v>
      </c>
    </row>
    <row r="10195" spans="1:32" hidden="1" x14ac:dyDescent="0.35">
      <c r="A10195">
        <v>10194</v>
      </c>
      <c r="B10195" t="s">
        <v>20599</v>
      </c>
      <c r="C10195" t="s">
        <v>33</v>
      </c>
      <c r="D10195" t="s">
        <v>62</v>
      </c>
      <c r="E10195">
        <v>2100</v>
      </c>
      <c r="F10195">
        <v>2</v>
      </c>
      <c r="G10195">
        <v>2</v>
      </c>
      <c r="H10195">
        <v>1</v>
      </c>
      <c r="I10195">
        <v>0</v>
      </c>
      <c r="J10195">
        <v>0.99122807017543901</v>
      </c>
      <c r="K10195">
        <v>1</v>
      </c>
      <c r="L10195">
        <v>0.99559471365638796</v>
      </c>
      <c r="M10195">
        <v>0.98684210526315796</v>
      </c>
      <c r="N10195">
        <v>0.98684210526315796</v>
      </c>
      <c r="O10195">
        <v>0.98684210526315796</v>
      </c>
      <c r="AF10195" t="s">
        <v>20601</v>
      </c>
    </row>
    <row r="10196" spans="1:32" hidden="1" x14ac:dyDescent="0.35">
      <c r="A10196">
        <v>10195</v>
      </c>
      <c r="B10196" t="s">
        <v>20602</v>
      </c>
      <c r="C10196" t="s">
        <v>33</v>
      </c>
      <c r="D10196" t="s">
        <v>34</v>
      </c>
      <c r="E10196">
        <v>2322</v>
      </c>
      <c r="F10196">
        <v>2</v>
      </c>
      <c r="G10196">
        <v>2</v>
      </c>
      <c r="H10196">
        <v>1</v>
      </c>
      <c r="I10196">
        <v>0</v>
      </c>
      <c r="J10196">
        <v>0.99047619047619095</v>
      </c>
      <c r="K10196">
        <v>1</v>
      </c>
      <c r="L10196">
        <v>0.995215311004785</v>
      </c>
      <c r="M10196">
        <v>0.99047619047619095</v>
      </c>
      <c r="N10196">
        <v>0.99047619047619095</v>
      </c>
      <c r="O10196">
        <v>0.99047619047619095</v>
      </c>
      <c r="P10196" t="s">
        <v>2163</v>
      </c>
      <c r="Q10196" t="s">
        <v>2164</v>
      </c>
      <c r="R10196" t="s">
        <v>113</v>
      </c>
      <c r="S10196" t="s">
        <v>114</v>
      </c>
      <c r="V10196" t="s">
        <v>2167</v>
      </c>
      <c r="W10196" t="s">
        <v>2168</v>
      </c>
      <c r="AF10196" t="s">
        <v>20603</v>
      </c>
    </row>
    <row r="10197" spans="1:32" hidden="1" x14ac:dyDescent="0.35">
      <c r="A10197">
        <v>10196</v>
      </c>
      <c r="B10197" t="s">
        <v>20602</v>
      </c>
      <c r="C10197" t="s">
        <v>33</v>
      </c>
      <c r="D10197" t="s">
        <v>45</v>
      </c>
      <c r="E10197">
        <v>556</v>
      </c>
      <c r="F10197">
        <v>2</v>
      </c>
      <c r="G10197">
        <v>2</v>
      </c>
      <c r="H10197">
        <v>1</v>
      </c>
      <c r="I10197">
        <v>0</v>
      </c>
      <c r="J10197">
        <v>0.99047619047619095</v>
      </c>
      <c r="K10197">
        <v>1</v>
      </c>
      <c r="L10197">
        <v>0.995215311004785</v>
      </c>
      <c r="M10197">
        <v>0.99047619047619095</v>
      </c>
      <c r="N10197">
        <v>0.99047619047619095</v>
      </c>
      <c r="O10197">
        <v>0.99047619047619095</v>
      </c>
      <c r="P10197" t="s">
        <v>2163</v>
      </c>
      <c r="Q10197" t="s">
        <v>2164</v>
      </c>
      <c r="R10197" t="s">
        <v>113</v>
      </c>
      <c r="S10197" t="s">
        <v>114</v>
      </c>
      <c r="V10197" t="s">
        <v>2167</v>
      </c>
      <c r="W10197" t="s">
        <v>2168</v>
      </c>
      <c r="AF10197" t="s">
        <v>20604</v>
      </c>
    </row>
    <row r="10198" spans="1:32" hidden="1" x14ac:dyDescent="0.35">
      <c r="A10198">
        <v>10197</v>
      </c>
      <c r="B10198" t="s">
        <v>20605</v>
      </c>
      <c r="C10198" t="s">
        <v>33</v>
      </c>
      <c r="D10198" t="s">
        <v>60</v>
      </c>
      <c r="E10198">
        <v>1286</v>
      </c>
      <c r="F10198">
        <v>2</v>
      </c>
      <c r="G10198">
        <v>2</v>
      </c>
      <c r="H10198">
        <v>1</v>
      </c>
      <c r="I10198">
        <v>0</v>
      </c>
      <c r="J10198">
        <v>0.99178082191780803</v>
      </c>
      <c r="K10198">
        <v>1</v>
      </c>
      <c r="L10198">
        <v>0.99587345254470405</v>
      </c>
      <c r="M10198">
        <v>0.989041095890411</v>
      </c>
      <c r="N10198">
        <v>0.989041095890411</v>
      </c>
      <c r="O10198">
        <v>0.989041095890411</v>
      </c>
      <c r="AF10198" t="s">
        <v>20606</v>
      </c>
    </row>
    <row r="10199" spans="1:32" hidden="1" x14ac:dyDescent="0.35">
      <c r="A10199">
        <v>10198</v>
      </c>
      <c r="B10199" t="s">
        <v>20605</v>
      </c>
      <c r="C10199" t="s">
        <v>33</v>
      </c>
      <c r="D10199" t="s">
        <v>62</v>
      </c>
      <c r="E10199">
        <v>1322</v>
      </c>
      <c r="F10199">
        <v>2</v>
      </c>
      <c r="G10199">
        <v>2</v>
      </c>
      <c r="H10199">
        <v>1</v>
      </c>
      <c r="I10199">
        <v>0</v>
      </c>
      <c r="J10199">
        <v>0.99178082191780803</v>
      </c>
      <c r="K10199">
        <v>1</v>
      </c>
      <c r="L10199">
        <v>0.99587345254470405</v>
      </c>
      <c r="M10199">
        <v>0.989041095890411</v>
      </c>
      <c r="N10199">
        <v>0.989041095890411</v>
      </c>
      <c r="O10199">
        <v>0.989041095890411</v>
      </c>
      <c r="AF10199" t="s">
        <v>20607</v>
      </c>
    </row>
    <row r="10200" spans="1:32" hidden="1" x14ac:dyDescent="0.35">
      <c r="A10200">
        <v>10199</v>
      </c>
      <c r="B10200" t="s">
        <v>20608</v>
      </c>
      <c r="C10200" t="s">
        <v>33</v>
      </c>
      <c r="D10200" t="s">
        <v>34</v>
      </c>
      <c r="E10200">
        <v>685</v>
      </c>
      <c r="F10200">
        <v>2</v>
      </c>
      <c r="G10200">
        <v>2</v>
      </c>
      <c r="H10200">
        <v>1</v>
      </c>
      <c r="I10200">
        <v>0</v>
      </c>
      <c r="J10200">
        <v>0.99840255591054305</v>
      </c>
      <c r="K10200">
        <v>0.99840510366826096</v>
      </c>
      <c r="L10200">
        <v>0.99840382978777698</v>
      </c>
      <c r="M10200">
        <v>0.99681020733652304</v>
      </c>
      <c r="N10200">
        <v>0.99681020733652304</v>
      </c>
      <c r="O10200">
        <v>0.99681020733652304</v>
      </c>
      <c r="P10200" t="s">
        <v>20609</v>
      </c>
      <c r="Q10200" t="s">
        <v>20610</v>
      </c>
      <c r="R10200" t="s">
        <v>138</v>
      </c>
      <c r="S10200" t="s">
        <v>139</v>
      </c>
      <c r="T10200" t="s">
        <v>20611</v>
      </c>
      <c r="U10200" t="s">
        <v>20612</v>
      </c>
      <c r="V10200" t="s">
        <v>20613</v>
      </c>
      <c r="W10200" t="s">
        <v>20614</v>
      </c>
      <c r="AD10200" t="s">
        <v>410</v>
      </c>
      <c r="AE10200" t="s">
        <v>5489</v>
      </c>
      <c r="AF10200" t="s">
        <v>20615</v>
      </c>
    </row>
    <row r="10201" spans="1:32" hidden="1" x14ac:dyDescent="0.35">
      <c r="A10201">
        <v>10200</v>
      </c>
      <c r="B10201" t="s">
        <v>20608</v>
      </c>
      <c r="C10201" t="s">
        <v>33</v>
      </c>
      <c r="D10201" t="s">
        <v>45</v>
      </c>
      <c r="E10201">
        <v>1951</v>
      </c>
      <c r="F10201">
        <v>2</v>
      </c>
      <c r="G10201">
        <v>2</v>
      </c>
      <c r="H10201">
        <v>1</v>
      </c>
      <c r="I10201">
        <v>0</v>
      </c>
      <c r="J10201">
        <v>0.99840255591054305</v>
      </c>
      <c r="K10201">
        <v>0.99840510366826096</v>
      </c>
      <c r="L10201">
        <v>0.99840382978777698</v>
      </c>
      <c r="M10201">
        <v>0.99681020733652304</v>
      </c>
      <c r="N10201">
        <v>0.99681020733652304</v>
      </c>
      <c r="O10201">
        <v>0.99681020733652304</v>
      </c>
      <c r="P10201" t="s">
        <v>20609</v>
      </c>
      <c r="Q10201" t="s">
        <v>20610</v>
      </c>
      <c r="R10201" t="s">
        <v>138</v>
      </c>
      <c r="S10201" t="s">
        <v>139</v>
      </c>
      <c r="T10201" t="s">
        <v>20611</v>
      </c>
      <c r="U10201" t="s">
        <v>20612</v>
      </c>
      <c r="V10201" t="s">
        <v>20613</v>
      </c>
      <c r="W10201" t="s">
        <v>20614</v>
      </c>
      <c r="AD10201" t="s">
        <v>410</v>
      </c>
      <c r="AE10201" t="s">
        <v>5489</v>
      </c>
      <c r="AF10201" t="s">
        <v>20616</v>
      </c>
    </row>
    <row r="10202" spans="1:32" hidden="1" x14ac:dyDescent="0.35">
      <c r="A10202">
        <v>10201</v>
      </c>
      <c r="B10202" t="s">
        <v>20617</v>
      </c>
      <c r="C10202" t="s">
        <v>33</v>
      </c>
      <c r="D10202" t="s">
        <v>34</v>
      </c>
      <c r="E10202">
        <v>2416</v>
      </c>
      <c r="F10202">
        <v>2</v>
      </c>
      <c r="G10202">
        <v>2</v>
      </c>
      <c r="H10202">
        <v>1</v>
      </c>
      <c r="I10202">
        <v>0</v>
      </c>
      <c r="J10202">
        <v>0.99019607843137303</v>
      </c>
      <c r="K10202">
        <v>1</v>
      </c>
      <c r="L10202">
        <v>0.99507389162561599</v>
      </c>
      <c r="M10202">
        <v>0.98235294117647098</v>
      </c>
      <c r="N10202">
        <v>0.98235294117647098</v>
      </c>
      <c r="O10202">
        <v>0.98235294117647098</v>
      </c>
      <c r="AF10202" t="s">
        <v>20618</v>
      </c>
    </row>
    <row r="10203" spans="1:32" hidden="1" x14ac:dyDescent="0.35">
      <c r="A10203">
        <v>10202</v>
      </c>
      <c r="B10203" t="s">
        <v>20617</v>
      </c>
      <c r="C10203" t="s">
        <v>33</v>
      </c>
      <c r="D10203" t="s">
        <v>45</v>
      </c>
      <c r="E10203">
        <v>481</v>
      </c>
      <c r="F10203">
        <v>2</v>
      </c>
      <c r="G10203">
        <v>2</v>
      </c>
      <c r="H10203">
        <v>1</v>
      </c>
      <c r="I10203">
        <v>0</v>
      </c>
      <c r="J10203">
        <v>0.99019607843137303</v>
      </c>
      <c r="K10203">
        <v>1</v>
      </c>
      <c r="L10203">
        <v>0.99507389162561599</v>
      </c>
      <c r="M10203">
        <v>0.98235294117647098</v>
      </c>
      <c r="N10203">
        <v>0.98235294117647098</v>
      </c>
      <c r="O10203">
        <v>0.98235294117647098</v>
      </c>
      <c r="AF10203" t="s">
        <v>20619</v>
      </c>
    </row>
    <row r="10204" spans="1:32" hidden="1" x14ac:dyDescent="0.35">
      <c r="A10204">
        <v>10203</v>
      </c>
      <c r="B10204" t="s">
        <v>20620</v>
      </c>
      <c r="C10204" t="s">
        <v>33</v>
      </c>
      <c r="D10204" t="s">
        <v>60</v>
      </c>
      <c r="E10204">
        <v>1604</v>
      </c>
      <c r="F10204">
        <v>2</v>
      </c>
      <c r="G10204">
        <v>2</v>
      </c>
      <c r="H10204">
        <v>1</v>
      </c>
      <c r="I10204">
        <v>0</v>
      </c>
      <c r="J10204">
        <v>0.98319327731092399</v>
      </c>
      <c r="K10204">
        <v>0.85066426930376504</v>
      </c>
      <c r="L10204">
        <v>0.91213997769020805</v>
      </c>
      <c r="M10204">
        <v>0.823943661971831</v>
      </c>
      <c r="N10204">
        <v>0.823943661971831</v>
      </c>
      <c r="O10204">
        <v>0.823943661971831</v>
      </c>
      <c r="AF10204" t="e">
        <f>-----------------------MIKSVGSQLGFTHGYIEFNDEKNILFYRDSAMLDSHLENGYHLDHNGEGCFGIESKNISMNHIANLHTFDTLNDVAPYDINLIFKDAYYYLFVLPEPVETSPLSARILRLSSCVLNNTF</f>
        <v>#NAME?</v>
      </c>
    </row>
    <row r="10205" spans="1:32" hidden="1" x14ac:dyDescent="0.35">
      <c r="A10205">
        <v>10204</v>
      </c>
      <c r="B10205" t="s">
        <v>20620</v>
      </c>
      <c r="C10205" t="s">
        <v>33</v>
      </c>
      <c r="D10205" t="s">
        <v>62</v>
      </c>
      <c r="E10205">
        <v>1640</v>
      </c>
      <c r="F10205">
        <v>2</v>
      </c>
      <c r="G10205">
        <v>2</v>
      </c>
      <c r="H10205">
        <v>1</v>
      </c>
      <c r="I10205">
        <v>0</v>
      </c>
      <c r="J10205">
        <v>0.98319327731092399</v>
      </c>
      <c r="K10205">
        <v>0.85066426930376504</v>
      </c>
      <c r="L10205">
        <v>0.91213997769020805</v>
      </c>
      <c r="M10205">
        <v>0.823943661971831</v>
      </c>
      <c r="N10205">
        <v>0.823943661971831</v>
      </c>
      <c r="O10205">
        <v>0.823943661971831</v>
      </c>
      <c r="AF10205" t="s">
        <v>20621</v>
      </c>
    </row>
    <row r="10206" spans="1:32" hidden="1" x14ac:dyDescent="0.35">
      <c r="A10206">
        <v>10205</v>
      </c>
      <c r="B10206" t="s">
        <v>20622</v>
      </c>
      <c r="C10206" t="s">
        <v>33</v>
      </c>
      <c r="D10206" t="s">
        <v>60</v>
      </c>
      <c r="E10206">
        <v>1052</v>
      </c>
      <c r="F10206">
        <v>2</v>
      </c>
      <c r="G10206">
        <v>2</v>
      </c>
      <c r="H10206">
        <v>1</v>
      </c>
      <c r="I10206">
        <v>0</v>
      </c>
      <c r="J10206">
        <v>0.98773006134969299</v>
      </c>
      <c r="K10206">
        <v>1</v>
      </c>
      <c r="L10206">
        <v>0.99382716049382702</v>
      </c>
      <c r="M10206">
        <v>0.98159509202453998</v>
      </c>
      <c r="N10206">
        <v>0.98159509202453998</v>
      </c>
      <c r="O10206">
        <v>0.98159509202453998</v>
      </c>
      <c r="P10206" t="s">
        <v>1504</v>
      </c>
      <c r="Q10206" t="s">
        <v>1505</v>
      </c>
      <c r="R10206" t="s">
        <v>1259</v>
      </c>
      <c r="S10206" t="s">
        <v>1260</v>
      </c>
      <c r="T10206" t="s">
        <v>1506</v>
      </c>
      <c r="U10206" t="s">
        <v>1507</v>
      </c>
      <c r="V10206" t="s">
        <v>1508</v>
      </c>
      <c r="W10206" t="s">
        <v>1509</v>
      </c>
      <c r="AD10206" t="s">
        <v>410</v>
      </c>
      <c r="AE10206" t="s">
        <v>1510</v>
      </c>
      <c r="AF10206" t="s">
        <v>20623</v>
      </c>
    </row>
    <row r="10207" spans="1:32" hidden="1" x14ac:dyDescent="0.35">
      <c r="A10207">
        <v>10206</v>
      </c>
      <c r="B10207" t="s">
        <v>20622</v>
      </c>
      <c r="C10207" t="s">
        <v>33</v>
      </c>
      <c r="D10207" t="s">
        <v>62</v>
      </c>
      <c r="E10207">
        <v>1088</v>
      </c>
      <c r="F10207">
        <v>2</v>
      </c>
      <c r="G10207">
        <v>2</v>
      </c>
      <c r="H10207">
        <v>1</v>
      </c>
      <c r="I10207">
        <v>0</v>
      </c>
      <c r="J10207">
        <v>0.98773006134969299</v>
      </c>
      <c r="K10207">
        <v>1</v>
      </c>
      <c r="L10207">
        <v>0.99382716049382702</v>
      </c>
      <c r="M10207">
        <v>0.98159509202453998</v>
      </c>
      <c r="N10207">
        <v>0.98159509202453998</v>
      </c>
      <c r="O10207">
        <v>0.98159509202453998</v>
      </c>
      <c r="P10207" t="s">
        <v>1504</v>
      </c>
      <c r="Q10207" t="s">
        <v>1505</v>
      </c>
      <c r="R10207" t="s">
        <v>1259</v>
      </c>
      <c r="S10207" t="s">
        <v>1260</v>
      </c>
      <c r="T10207" t="s">
        <v>1506</v>
      </c>
      <c r="U10207" t="s">
        <v>1507</v>
      </c>
      <c r="V10207" t="s">
        <v>1508</v>
      </c>
      <c r="W10207" t="s">
        <v>1509</v>
      </c>
      <c r="AD10207" t="s">
        <v>410</v>
      </c>
      <c r="AE10207" t="s">
        <v>1510</v>
      </c>
      <c r="AF10207" t="s">
        <v>20624</v>
      </c>
    </row>
    <row r="10208" spans="1:32" hidden="1" x14ac:dyDescent="0.35">
      <c r="A10208">
        <v>10207</v>
      </c>
      <c r="B10208" t="s">
        <v>20625</v>
      </c>
      <c r="C10208" t="s">
        <v>33</v>
      </c>
      <c r="D10208" t="s">
        <v>34</v>
      </c>
      <c r="E10208">
        <v>641</v>
      </c>
      <c r="F10208">
        <v>2</v>
      </c>
      <c r="G10208">
        <v>2</v>
      </c>
      <c r="H10208">
        <v>1</v>
      </c>
      <c r="I10208">
        <v>0</v>
      </c>
      <c r="J10208">
        <v>0.95121951219512202</v>
      </c>
      <c r="K10208">
        <v>1</v>
      </c>
      <c r="L10208">
        <v>0.97499999999999998</v>
      </c>
      <c r="M10208">
        <v>0.95121951219512202</v>
      </c>
      <c r="N10208">
        <v>0.95121951219512202</v>
      </c>
      <c r="O10208">
        <v>0.95121951219512202</v>
      </c>
      <c r="AF10208" t="s">
        <v>20626</v>
      </c>
    </row>
    <row r="10209" spans="1:32" hidden="1" x14ac:dyDescent="0.35">
      <c r="A10209">
        <v>10208</v>
      </c>
      <c r="B10209" t="s">
        <v>20625</v>
      </c>
      <c r="C10209" t="s">
        <v>33</v>
      </c>
      <c r="D10209" t="s">
        <v>45</v>
      </c>
      <c r="E10209">
        <v>1907</v>
      </c>
      <c r="F10209">
        <v>2</v>
      </c>
      <c r="G10209">
        <v>2</v>
      </c>
      <c r="H10209">
        <v>1</v>
      </c>
      <c r="I10209">
        <v>0</v>
      </c>
      <c r="J10209">
        <v>0.95121951219512202</v>
      </c>
      <c r="K10209">
        <v>1</v>
      </c>
      <c r="L10209">
        <v>0.97499999999999998</v>
      </c>
      <c r="M10209">
        <v>0.95121951219512202</v>
      </c>
      <c r="N10209">
        <v>0.95121951219512202</v>
      </c>
      <c r="O10209">
        <v>0.95121951219512202</v>
      </c>
      <c r="AF10209" t="s">
        <v>20627</v>
      </c>
    </row>
    <row r="10210" spans="1:32" hidden="1" x14ac:dyDescent="0.35">
      <c r="A10210">
        <v>10209</v>
      </c>
      <c r="B10210" t="s">
        <v>20628</v>
      </c>
      <c r="C10210" t="s">
        <v>33</v>
      </c>
      <c r="D10210" t="s">
        <v>60</v>
      </c>
      <c r="E10210">
        <v>550</v>
      </c>
      <c r="F10210">
        <v>2</v>
      </c>
      <c r="G10210">
        <v>2</v>
      </c>
      <c r="H10210">
        <v>1</v>
      </c>
      <c r="I10210">
        <v>0</v>
      </c>
      <c r="J10210">
        <v>0.96634615384615397</v>
      </c>
      <c r="K10210">
        <v>1</v>
      </c>
      <c r="L10210">
        <v>0.98288508557457199</v>
      </c>
      <c r="M10210">
        <v>0.95673076923076905</v>
      </c>
      <c r="N10210">
        <v>0.95673076923076905</v>
      </c>
      <c r="O10210">
        <v>0.95673076923076905</v>
      </c>
      <c r="P10210" t="s">
        <v>20629</v>
      </c>
      <c r="Q10210" t="s">
        <v>20630</v>
      </c>
      <c r="R10210" t="s">
        <v>235</v>
      </c>
      <c r="S10210" t="s">
        <v>236</v>
      </c>
      <c r="T10210" t="s">
        <v>20631</v>
      </c>
      <c r="U10210" t="s">
        <v>20632</v>
      </c>
      <c r="V10210" t="s">
        <v>20633</v>
      </c>
      <c r="W10210" t="s">
        <v>20634</v>
      </c>
      <c r="AD10210" t="s">
        <v>5476</v>
      </c>
      <c r="AE10210" t="s">
        <v>20635</v>
      </c>
      <c r="AF10210" t="s">
        <v>20636</v>
      </c>
    </row>
    <row r="10211" spans="1:32" hidden="1" x14ac:dyDescent="0.35">
      <c r="A10211">
        <v>10210</v>
      </c>
      <c r="B10211" t="s">
        <v>20628</v>
      </c>
      <c r="C10211" t="s">
        <v>33</v>
      </c>
      <c r="D10211" t="s">
        <v>62</v>
      </c>
      <c r="E10211">
        <v>634</v>
      </c>
      <c r="F10211">
        <v>2</v>
      </c>
      <c r="G10211">
        <v>2</v>
      </c>
      <c r="H10211">
        <v>1</v>
      </c>
      <c r="I10211">
        <v>0</v>
      </c>
      <c r="J10211">
        <v>0.96634615384615397</v>
      </c>
      <c r="K10211">
        <v>1</v>
      </c>
      <c r="L10211">
        <v>0.98288508557457199</v>
      </c>
      <c r="M10211">
        <v>0.95673076923076905</v>
      </c>
      <c r="N10211">
        <v>0.95673076923076905</v>
      </c>
      <c r="O10211">
        <v>0.95673076923076905</v>
      </c>
      <c r="P10211" t="s">
        <v>20629</v>
      </c>
      <c r="Q10211" t="s">
        <v>20630</v>
      </c>
      <c r="R10211" t="s">
        <v>235</v>
      </c>
      <c r="S10211" t="s">
        <v>236</v>
      </c>
      <c r="T10211" t="s">
        <v>20631</v>
      </c>
      <c r="U10211" t="s">
        <v>20632</v>
      </c>
      <c r="V10211" t="s">
        <v>20633</v>
      </c>
      <c r="W10211" t="s">
        <v>20634</v>
      </c>
      <c r="AD10211" t="s">
        <v>5476</v>
      </c>
      <c r="AE10211" t="s">
        <v>20635</v>
      </c>
      <c r="AF10211" t="s">
        <v>20637</v>
      </c>
    </row>
    <row r="10212" spans="1:32" hidden="1" x14ac:dyDescent="0.35">
      <c r="A10212">
        <v>10211</v>
      </c>
      <c r="B10212" t="s">
        <v>20638</v>
      </c>
      <c r="C10212" t="s">
        <v>33</v>
      </c>
      <c r="D10212" t="s">
        <v>34</v>
      </c>
      <c r="E10212">
        <v>942</v>
      </c>
      <c r="F10212">
        <v>2</v>
      </c>
      <c r="G10212">
        <v>2</v>
      </c>
      <c r="H10212">
        <v>1</v>
      </c>
      <c r="I10212">
        <v>0</v>
      </c>
      <c r="J10212">
        <v>0.98666666666666702</v>
      </c>
      <c r="K10212">
        <v>0.940533151059467</v>
      </c>
      <c r="L10212">
        <v>0.96304773434470503</v>
      </c>
      <c r="M10212">
        <v>0.91729323308270705</v>
      </c>
      <c r="N10212">
        <v>0.91729323308270705</v>
      </c>
      <c r="O10212">
        <v>0.91729323308270705</v>
      </c>
      <c r="AF10212" t="s">
        <v>20639</v>
      </c>
    </row>
    <row r="10213" spans="1:32" hidden="1" x14ac:dyDescent="0.35">
      <c r="A10213">
        <v>10212</v>
      </c>
      <c r="B10213" t="s">
        <v>20638</v>
      </c>
      <c r="C10213" t="s">
        <v>33</v>
      </c>
      <c r="D10213" t="s">
        <v>45</v>
      </c>
      <c r="E10213">
        <v>2199</v>
      </c>
      <c r="F10213">
        <v>2</v>
      </c>
      <c r="G10213">
        <v>2</v>
      </c>
      <c r="H10213">
        <v>1</v>
      </c>
      <c r="I10213">
        <v>0</v>
      </c>
      <c r="J10213">
        <v>0.98666666666666702</v>
      </c>
      <c r="K10213">
        <v>0.940533151059467</v>
      </c>
      <c r="L10213">
        <v>0.96304773434470503</v>
      </c>
      <c r="M10213">
        <v>0.91729323308270705</v>
      </c>
      <c r="N10213">
        <v>0.91729323308270705</v>
      </c>
      <c r="O10213">
        <v>0.91729323308270705</v>
      </c>
      <c r="AF10213" t="s">
        <v>20640</v>
      </c>
    </row>
    <row r="10214" spans="1:32" hidden="1" x14ac:dyDescent="0.35">
      <c r="A10214">
        <v>10213</v>
      </c>
      <c r="B10214" t="s">
        <v>20641</v>
      </c>
      <c r="C10214" t="s">
        <v>33</v>
      </c>
      <c r="D10214" t="s">
        <v>34</v>
      </c>
      <c r="E10214">
        <v>435</v>
      </c>
      <c r="F10214">
        <v>2</v>
      </c>
      <c r="G10214">
        <v>2</v>
      </c>
      <c r="H10214">
        <v>1</v>
      </c>
      <c r="I10214">
        <v>0</v>
      </c>
      <c r="J10214">
        <v>0.990291262135922</v>
      </c>
      <c r="K10214">
        <v>1</v>
      </c>
      <c r="L10214">
        <v>0.99512195121951197</v>
      </c>
      <c r="M10214">
        <v>0.970873786407767</v>
      </c>
      <c r="N10214">
        <v>0.970873786407767</v>
      </c>
      <c r="O10214">
        <v>0.970873786407767</v>
      </c>
      <c r="AF10214" t="s">
        <v>20642</v>
      </c>
    </row>
    <row r="10215" spans="1:32" hidden="1" x14ac:dyDescent="0.35">
      <c r="A10215">
        <v>10214</v>
      </c>
      <c r="B10215" t="s">
        <v>20641</v>
      </c>
      <c r="C10215" t="s">
        <v>33</v>
      </c>
      <c r="D10215" t="s">
        <v>45</v>
      </c>
      <c r="E10215">
        <v>1697</v>
      </c>
      <c r="F10215">
        <v>2</v>
      </c>
      <c r="G10215">
        <v>2</v>
      </c>
      <c r="H10215">
        <v>1</v>
      </c>
      <c r="I10215">
        <v>0</v>
      </c>
      <c r="J10215">
        <v>0.990291262135922</v>
      </c>
      <c r="K10215">
        <v>1</v>
      </c>
      <c r="L10215">
        <v>0.99512195121951197</v>
      </c>
      <c r="M10215">
        <v>0.970873786407767</v>
      </c>
      <c r="N10215">
        <v>0.970873786407767</v>
      </c>
      <c r="O10215">
        <v>0.970873786407767</v>
      </c>
      <c r="AF10215" t="s">
        <v>20643</v>
      </c>
    </row>
    <row r="10216" spans="1:32" hidden="1" x14ac:dyDescent="0.35">
      <c r="A10216">
        <v>10215</v>
      </c>
      <c r="B10216" t="s">
        <v>20644</v>
      </c>
      <c r="C10216" t="s">
        <v>33</v>
      </c>
      <c r="D10216" t="s">
        <v>34</v>
      </c>
      <c r="E10216">
        <v>963</v>
      </c>
      <c r="F10216">
        <v>2</v>
      </c>
      <c r="G10216">
        <v>2</v>
      </c>
      <c r="H10216">
        <v>1</v>
      </c>
      <c r="I10216">
        <v>0</v>
      </c>
      <c r="J10216">
        <v>0.98599439775910402</v>
      </c>
      <c r="K10216">
        <v>0.83505219867130598</v>
      </c>
      <c r="L10216">
        <v>0.90426767919092499</v>
      </c>
      <c r="M10216">
        <v>0.80275229357798195</v>
      </c>
      <c r="N10216">
        <v>0.80275229357798195</v>
      </c>
      <c r="O10216">
        <v>0.80275229357798195</v>
      </c>
      <c r="AF10216" t="e">
        <f>-------------------------------------------------------------------------MSTPVSSSRSGTAAATYAQSTLIIQAQVVSTDHEIIRHIGVDSAVTVAEFYNIITICFDLDNPEFDRYCCNFGGTTLDPDSLLWEHLQADGDEFHCVVGLWQIRIQLIEIIARDNGTPTALCVGGFGSMADLLFDDFDDRDDFDDFYDGDAGGPGGGPGGPGGSGTPGGPGASG------ASGFAGAIDAHGNPSAAPAGNSGAIDRMRLCATCQDSFDLTRINTRLTGAETIETVLGRTRPEPANLIRRSGILDFVPLLQAIDFSRTPDIDPEVAMMCAVLPVEEDPVQQDAFWAVVLGLSCMSDEEVTDAIIESIVQALGWNKTANEVRALCPNSLKHLRDIGGLSSPVERIEIYRELLRL</f>
        <v>#NAME?</v>
      </c>
    </row>
    <row r="10217" spans="1:32" hidden="1" x14ac:dyDescent="0.35">
      <c r="A10217">
        <v>10216</v>
      </c>
      <c r="B10217" t="s">
        <v>20644</v>
      </c>
      <c r="C10217" t="s">
        <v>33</v>
      </c>
      <c r="D10217" t="s">
        <v>45</v>
      </c>
      <c r="E10217">
        <v>2220</v>
      </c>
      <c r="F10217">
        <v>2</v>
      </c>
      <c r="G10217">
        <v>2</v>
      </c>
      <c r="H10217">
        <v>1</v>
      </c>
      <c r="I10217">
        <v>0</v>
      </c>
      <c r="J10217">
        <v>0.98599439775910402</v>
      </c>
      <c r="K10217">
        <v>0.83505219867130598</v>
      </c>
      <c r="L10217">
        <v>0.90426767919092499</v>
      </c>
      <c r="M10217">
        <v>0.80275229357798195</v>
      </c>
      <c r="N10217">
        <v>0.80275229357798195</v>
      </c>
      <c r="O10217">
        <v>0.80275229357798195</v>
      </c>
      <c r="AF10217" t="s">
        <v>20645</v>
      </c>
    </row>
    <row r="10218" spans="1:32" hidden="1" x14ac:dyDescent="0.35">
      <c r="A10218">
        <v>10217</v>
      </c>
      <c r="B10218" t="s">
        <v>20646</v>
      </c>
      <c r="C10218" t="s">
        <v>33</v>
      </c>
      <c r="D10218" t="s">
        <v>34</v>
      </c>
      <c r="E10218">
        <v>951</v>
      </c>
      <c r="F10218">
        <v>2</v>
      </c>
      <c r="G10218">
        <v>2</v>
      </c>
      <c r="H10218">
        <v>1</v>
      </c>
      <c r="I10218">
        <v>0</v>
      </c>
      <c r="J10218">
        <v>0.99917898193760302</v>
      </c>
      <c r="K10218">
        <v>1</v>
      </c>
      <c r="L10218">
        <v>0.99958932238192999</v>
      </c>
      <c r="M10218">
        <v>0.99753694581280805</v>
      </c>
      <c r="N10218">
        <v>0.99753694581280805</v>
      </c>
      <c r="O10218">
        <v>0.99753694581280805</v>
      </c>
      <c r="P10218" t="s">
        <v>4806</v>
      </c>
      <c r="Q10218" t="s">
        <v>4807</v>
      </c>
      <c r="R10218" t="s">
        <v>235</v>
      </c>
      <c r="S10218" t="s">
        <v>236</v>
      </c>
      <c r="V10218" t="s">
        <v>6075</v>
      </c>
      <c r="W10218" t="s">
        <v>6076</v>
      </c>
      <c r="AF10218" t="s">
        <v>20647</v>
      </c>
    </row>
    <row r="10219" spans="1:32" hidden="1" x14ac:dyDescent="0.35">
      <c r="A10219">
        <v>10218</v>
      </c>
      <c r="B10219" t="s">
        <v>20646</v>
      </c>
      <c r="C10219" t="s">
        <v>33</v>
      </c>
      <c r="D10219" t="s">
        <v>45</v>
      </c>
      <c r="E10219">
        <v>2208</v>
      </c>
      <c r="F10219">
        <v>2</v>
      </c>
      <c r="G10219">
        <v>2</v>
      </c>
      <c r="H10219">
        <v>1</v>
      </c>
      <c r="I10219">
        <v>0</v>
      </c>
      <c r="J10219">
        <v>0.99917898193760302</v>
      </c>
      <c r="K10219">
        <v>1</v>
      </c>
      <c r="L10219">
        <v>0.99958932238192999</v>
      </c>
      <c r="M10219">
        <v>0.99753694581280805</v>
      </c>
      <c r="N10219">
        <v>0.99753694581280805</v>
      </c>
      <c r="O10219">
        <v>0.99753694581280805</v>
      </c>
      <c r="P10219" t="s">
        <v>4806</v>
      </c>
      <c r="Q10219" t="s">
        <v>4807</v>
      </c>
      <c r="R10219" t="s">
        <v>235</v>
      </c>
      <c r="S10219" t="s">
        <v>236</v>
      </c>
      <c r="V10219" t="s">
        <v>6075</v>
      </c>
      <c r="W10219" t="s">
        <v>6076</v>
      </c>
      <c r="AF10219" t="s">
        <v>20648</v>
      </c>
    </row>
    <row r="10220" spans="1:32" hidden="1" x14ac:dyDescent="0.35">
      <c r="A10220">
        <v>10219</v>
      </c>
      <c r="B10220" t="s">
        <v>20649</v>
      </c>
      <c r="C10220" t="s">
        <v>33</v>
      </c>
      <c r="D10220" t="s">
        <v>60</v>
      </c>
      <c r="E10220">
        <v>1869</v>
      </c>
      <c r="F10220">
        <v>2</v>
      </c>
      <c r="G10220">
        <v>2</v>
      </c>
      <c r="H10220">
        <v>1</v>
      </c>
      <c r="I10220">
        <v>0</v>
      </c>
      <c r="J10220">
        <v>0.99554069119286503</v>
      </c>
      <c r="K10220">
        <v>1</v>
      </c>
      <c r="L10220">
        <v>0.99776536312849196</v>
      </c>
      <c r="M10220">
        <v>0.993311036789298</v>
      </c>
      <c r="N10220">
        <v>0.993311036789298</v>
      </c>
      <c r="O10220">
        <v>0.993311036789298</v>
      </c>
      <c r="P10220" t="s">
        <v>13160</v>
      </c>
      <c r="Q10220" t="s">
        <v>13161</v>
      </c>
      <c r="R10220" t="s">
        <v>96</v>
      </c>
      <c r="S10220" t="s">
        <v>97</v>
      </c>
      <c r="T10220" t="s">
        <v>13722</v>
      </c>
      <c r="U10220" t="s">
        <v>13723</v>
      </c>
      <c r="V10220" t="s">
        <v>13724</v>
      </c>
      <c r="W10220" t="s">
        <v>13725</v>
      </c>
      <c r="AD10220" t="s">
        <v>7708</v>
      </c>
      <c r="AE10220" t="s">
        <v>20650</v>
      </c>
      <c r="AF10220" t="s">
        <v>20651</v>
      </c>
    </row>
    <row r="10221" spans="1:32" hidden="1" x14ac:dyDescent="0.35">
      <c r="A10221">
        <v>10220</v>
      </c>
      <c r="B10221" t="s">
        <v>20649</v>
      </c>
      <c r="C10221" t="s">
        <v>33</v>
      </c>
      <c r="D10221" t="s">
        <v>62</v>
      </c>
      <c r="E10221">
        <v>1909</v>
      </c>
      <c r="F10221">
        <v>2</v>
      </c>
      <c r="G10221">
        <v>2</v>
      </c>
      <c r="H10221">
        <v>1</v>
      </c>
      <c r="I10221">
        <v>0</v>
      </c>
      <c r="J10221">
        <v>0.99554069119286503</v>
      </c>
      <c r="K10221">
        <v>1</v>
      </c>
      <c r="L10221">
        <v>0.99776536312849196</v>
      </c>
      <c r="M10221">
        <v>0.993311036789298</v>
      </c>
      <c r="N10221">
        <v>0.993311036789298</v>
      </c>
      <c r="O10221">
        <v>0.993311036789298</v>
      </c>
      <c r="P10221" t="s">
        <v>13160</v>
      </c>
      <c r="Q10221" t="s">
        <v>13161</v>
      </c>
      <c r="R10221" t="s">
        <v>96</v>
      </c>
      <c r="S10221" t="s">
        <v>97</v>
      </c>
      <c r="T10221" t="s">
        <v>13722</v>
      </c>
      <c r="U10221" t="s">
        <v>13723</v>
      </c>
      <c r="V10221" t="s">
        <v>13724</v>
      </c>
      <c r="W10221" t="s">
        <v>13725</v>
      </c>
      <c r="AD10221" t="s">
        <v>7708</v>
      </c>
      <c r="AE10221" t="s">
        <v>20650</v>
      </c>
      <c r="AF10221" t="s">
        <v>20652</v>
      </c>
    </row>
    <row r="10222" spans="1:32" hidden="1" x14ac:dyDescent="0.35">
      <c r="A10222">
        <v>10221</v>
      </c>
      <c r="B10222" t="s">
        <v>20653</v>
      </c>
      <c r="C10222" t="s">
        <v>33</v>
      </c>
      <c r="D10222" t="s">
        <v>34</v>
      </c>
      <c r="E10222">
        <v>2423</v>
      </c>
      <c r="F10222">
        <v>2</v>
      </c>
      <c r="G10222">
        <v>2</v>
      </c>
      <c r="H10222">
        <v>1</v>
      </c>
      <c r="I10222">
        <v>0</v>
      </c>
      <c r="J10222">
        <v>0.99186991869918695</v>
      </c>
      <c r="K10222">
        <v>1</v>
      </c>
      <c r="L10222">
        <v>0.99591836734693895</v>
      </c>
      <c r="M10222">
        <v>0.989547038327526</v>
      </c>
      <c r="N10222">
        <v>0.989547038327526</v>
      </c>
      <c r="O10222">
        <v>0.989547038327526</v>
      </c>
      <c r="AF10222" t="s">
        <v>20654</v>
      </c>
    </row>
    <row r="10223" spans="1:32" hidden="1" x14ac:dyDescent="0.35">
      <c r="A10223">
        <v>10222</v>
      </c>
      <c r="B10223" t="s">
        <v>20653</v>
      </c>
      <c r="C10223" t="s">
        <v>33</v>
      </c>
      <c r="D10223" t="s">
        <v>45</v>
      </c>
      <c r="E10223">
        <v>475</v>
      </c>
      <c r="F10223">
        <v>2</v>
      </c>
      <c r="G10223">
        <v>2</v>
      </c>
      <c r="H10223">
        <v>1</v>
      </c>
      <c r="I10223">
        <v>0</v>
      </c>
      <c r="J10223">
        <v>0.99186991869918695</v>
      </c>
      <c r="K10223">
        <v>1</v>
      </c>
      <c r="L10223">
        <v>0.99591836734693895</v>
      </c>
      <c r="M10223">
        <v>0.989547038327526</v>
      </c>
      <c r="N10223">
        <v>0.989547038327526</v>
      </c>
      <c r="O10223">
        <v>0.989547038327526</v>
      </c>
      <c r="AF10223" t="s">
        <v>20655</v>
      </c>
    </row>
    <row r="10224" spans="1:32" hidden="1" x14ac:dyDescent="0.35">
      <c r="A10224">
        <v>10223</v>
      </c>
      <c r="B10224" t="s">
        <v>20656</v>
      </c>
      <c r="C10224" t="s">
        <v>33</v>
      </c>
      <c r="D10224" t="s">
        <v>34</v>
      </c>
      <c r="E10224">
        <v>2464</v>
      </c>
      <c r="F10224">
        <v>2</v>
      </c>
      <c r="G10224">
        <v>2</v>
      </c>
      <c r="H10224">
        <v>1</v>
      </c>
      <c r="I10224">
        <v>0</v>
      </c>
      <c r="J10224">
        <v>0.99200492004920005</v>
      </c>
      <c r="K10224">
        <v>1</v>
      </c>
      <c r="L10224">
        <v>0.99598641556035805</v>
      </c>
      <c r="M10224">
        <v>0.99077490774907795</v>
      </c>
      <c r="N10224">
        <v>0.99077490774907795</v>
      </c>
      <c r="O10224">
        <v>0.99077490774907795</v>
      </c>
      <c r="P10224" t="s">
        <v>169</v>
      </c>
      <c r="Q10224" t="s">
        <v>170</v>
      </c>
      <c r="R10224" t="s">
        <v>138</v>
      </c>
      <c r="S10224" t="s">
        <v>139</v>
      </c>
      <c r="V10224" t="s">
        <v>11356</v>
      </c>
      <c r="W10224" t="s">
        <v>11357</v>
      </c>
      <c r="AF10224" t="s">
        <v>20657</v>
      </c>
    </row>
    <row r="10225" spans="1:32" hidden="1" x14ac:dyDescent="0.35">
      <c r="A10225">
        <v>10224</v>
      </c>
      <c r="B10225" t="s">
        <v>20656</v>
      </c>
      <c r="C10225" t="s">
        <v>33</v>
      </c>
      <c r="D10225" t="s">
        <v>45</v>
      </c>
      <c r="E10225">
        <v>437</v>
      </c>
      <c r="F10225">
        <v>2</v>
      </c>
      <c r="G10225">
        <v>2</v>
      </c>
      <c r="H10225">
        <v>1</v>
      </c>
      <c r="I10225">
        <v>0</v>
      </c>
      <c r="J10225">
        <v>0.99200492004920005</v>
      </c>
      <c r="K10225">
        <v>1</v>
      </c>
      <c r="L10225">
        <v>0.99598641556035805</v>
      </c>
      <c r="M10225">
        <v>0.99077490774907795</v>
      </c>
      <c r="N10225">
        <v>0.99077490774907795</v>
      </c>
      <c r="O10225">
        <v>0.99077490774907795</v>
      </c>
      <c r="P10225" t="s">
        <v>169</v>
      </c>
      <c r="Q10225" t="s">
        <v>170</v>
      </c>
      <c r="R10225" t="s">
        <v>138</v>
      </c>
      <c r="S10225" t="s">
        <v>139</v>
      </c>
      <c r="V10225" t="s">
        <v>11356</v>
      </c>
      <c r="W10225" t="s">
        <v>11357</v>
      </c>
      <c r="AF10225" t="s">
        <v>20658</v>
      </c>
    </row>
    <row r="10226" spans="1:32" hidden="1" x14ac:dyDescent="0.35">
      <c r="A10226">
        <v>10225</v>
      </c>
      <c r="B10226" t="s">
        <v>20659</v>
      </c>
      <c r="C10226" t="s">
        <v>33</v>
      </c>
      <c r="D10226" t="s">
        <v>60</v>
      </c>
      <c r="E10226">
        <v>2403</v>
      </c>
      <c r="F10226">
        <v>2</v>
      </c>
      <c r="G10226">
        <v>2</v>
      </c>
      <c r="H10226">
        <v>1</v>
      </c>
      <c r="I10226">
        <v>0</v>
      </c>
      <c r="J10226">
        <v>0.98788979715410197</v>
      </c>
      <c r="K10226">
        <v>0.99548738677555504</v>
      </c>
      <c r="L10226">
        <v>0.99167404017696803</v>
      </c>
      <c r="M10226">
        <v>0.981012658227848</v>
      </c>
      <c r="N10226">
        <v>0.981012658227848</v>
      </c>
      <c r="O10226">
        <v>0.981012658227848</v>
      </c>
      <c r="P10226" t="s">
        <v>20660</v>
      </c>
      <c r="Q10226" t="s">
        <v>20661</v>
      </c>
      <c r="R10226" t="s">
        <v>869</v>
      </c>
      <c r="S10226" t="s">
        <v>870</v>
      </c>
      <c r="T10226" t="s">
        <v>20662</v>
      </c>
      <c r="U10226" t="s">
        <v>20663</v>
      </c>
      <c r="V10226" t="s">
        <v>7964</v>
      </c>
      <c r="W10226" t="s">
        <v>7965</v>
      </c>
      <c r="X10226" t="s">
        <v>7964</v>
      </c>
      <c r="Y10226" t="s">
        <v>2190</v>
      </c>
      <c r="AD10226" t="s">
        <v>14008</v>
      </c>
      <c r="AE10226" t="s">
        <v>17808</v>
      </c>
      <c r="AF10226" t="s">
        <v>20664</v>
      </c>
    </row>
    <row r="10227" spans="1:32" hidden="1" x14ac:dyDescent="0.35">
      <c r="A10227">
        <v>10226</v>
      </c>
      <c r="B10227" t="s">
        <v>20659</v>
      </c>
      <c r="C10227" t="s">
        <v>33</v>
      </c>
      <c r="D10227" t="s">
        <v>62</v>
      </c>
      <c r="E10227">
        <v>2430</v>
      </c>
      <c r="F10227">
        <v>2</v>
      </c>
      <c r="G10227">
        <v>2</v>
      </c>
      <c r="H10227">
        <v>1</v>
      </c>
      <c r="I10227">
        <v>0</v>
      </c>
      <c r="J10227">
        <v>0.98788979715410197</v>
      </c>
      <c r="K10227">
        <v>0.99548738677555504</v>
      </c>
      <c r="L10227">
        <v>0.99167404017696803</v>
      </c>
      <c r="M10227">
        <v>0.981012658227848</v>
      </c>
      <c r="N10227">
        <v>0.981012658227848</v>
      </c>
      <c r="O10227">
        <v>0.981012658227848</v>
      </c>
      <c r="P10227" t="s">
        <v>20660</v>
      </c>
      <c r="Q10227" t="s">
        <v>20661</v>
      </c>
      <c r="R10227" t="s">
        <v>869</v>
      </c>
      <c r="S10227" t="s">
        <v>870</v>
      </c>
      <c r="T10227" t="s">
        <v>20662</v>
      </c>
      <c r="U10227" t="s">
        <v>20663</v>
      </c>
      <c r="V10227" t="s">
        <v>7964</v>
      </c>
      <c r="W10227" t="s">
        <v>7965</v>
      </c>
      <c r="X10227" t="s">
        <v>7964</v>
      </c>
      <c r="Y10227" t="s">
        <v>2190</v>
      </c>
      <c r="AD10227" t="s">
        <v>14008</v>
      </c>
      <c r="AE10227" t="s">
        <v>17808</v>
      </c>
      <c r="AF10227" t="s">
        <v>20665</v>
      </c>
    </row>
    <row r="10228" spans="1:32" hidden="1" x14ac:dyDescent="0.35">
      <c r="A10228">
        <v>10227</v>
      </c>
      <c r="B10228" t="s">
        <v>20666</v>
      </c>
      <c r="C10228" t="s">
        <v>33</v>
      </c>
      <c r="D10228" t="s">
        <v>60</v>
      </c>
      <c r="E10228">
        <v>135</v>
      </c>
      <c r="F10228">
        <v>2</v>
      </c>
      <c r="G10228">
        <v>2</v>
      </c>
      <c r="H10228">
        <v>1</v>
      </c>
      <c r="I10228">
        <v>0</v>
      </c>
      <c r="J10228">
        <v>0.97807017543859698</v>
      </c>
      <c r="K10228">
        <v>1</v>
      </c>
      <c r="L10228">
        <v>0.988913525498891</v>
      </c>
      <c r="M10228">
        <v>0.96929824561403499</v>
      </c>
      <c r="N10228">
        <v>0.96929824561403499</v>
      </c>
      <c r="O10228">
        <v>0.96929824561403499</v>
      </c>
      <c r="P10228" t="s">
        <v>18690</v>
      </c>
      <c r="Q10228" t="s">
        <v>18691</v>
      </c>
      <c r="AF10228" t="s">
        <v>20667</v>
      </c>
    </row>
    <row r="10229" spans="1:32" hidden="1" x14ac:dyDescent="0.35">
      <c r="A10229">
        <v>10228</v>
      </c>
      <c r="B10229" t="s">
        <v>20666</v>
      </c>
      <c r="C10229" t="s">
        <v>33</v>
      </c>
      <c r="D10229" t="s">
        <v>62</v>
      </c>
      <c r="E10229">
        <v>207</v>
      </c>
      <c r="F10229">
        <v>2</v>
      </c>
      <c r="G10229">
        <v>2</v>
      </c>
      <c r="H10229">
        <v>1</v>
      </c>
      <c r="I10229">
        <v>0</v>
      </c>
      <c r="J10229">
        <v>0.97807017543859698</v>
      </c>
      <c r="K10229">
        <v>1</v>
      </c>
      <c r="L10229">
        <v>0.988913525498891</v>
      </c>
      <c r="M10229">
        <v>0.96929824561403499</v>
      </c>
      <c r="N10229">
        <v>0.96929824561403499</v>
      </c>
      <c r="O10229">
        <v>0.96929824561403499</v>
      </c>
      <c r="P10229" t="s">
        <v>18690</v>
      </c>
      <c r="Q10229" t="s">
        <v>18691</v>
      </c>
      <c r="AF10229" t="s">
        <v>20668</v>
      </c>
    </row>
    <row r="10230" spans="1:32" hidden="1" x14ac:dyDescent="0.35">
      <c r="A10230">
        <v>10229</v>
      </c>
      <c r="B10230" t="s">
        <v>20669</v>
      </c>
      <c r="C10230" t="s">
        <v>33</v>
      </c>
      <c r="D10230" t="s">
        <v>34</v>
      </c>
      <c r="E10230">
        <v>2353</v>
      </c>
      <c r="F10230">
        <v>2</v>
      </c>
      <c r="G10230">
        <v>2</v>
      </c>
      <c r="H10230">
        <v>1</v>
      </c>
      <c r="I10230">
        <v>0</v>
      </c>
      <c r="J10230">
        <v>0.98649789029535895</v>
      </c>
      <c r="K10230">
        <v>1</v>
      </c>
      <c r="L10230">
        <v>0.99320305862361902</v>
      </c>
      <c r="M10230">
        <v>0.98481012658227896</v>
      </c>
      <c r="N10230">
        <v>0.98481012658227896</v>
      </c>
      <c r="O10230">
        <v>0.98481012658227896</v>
      </c>
      <c r="AF10230" t="s">
        <v>20670</v>
      </c>
    </row>
    <row r="10231" spans="1:32" hidden="1" x14ac:dyDescent="0.35">
      <c r="A10231">
        <v>10230</v>
      </c>
      <c r="B10231" t="s">
        <v>20669</v>
      </c>
      <c r="C10231" t="s">
        <v>33</v>
      </c>
      <c r="D10231" t="s">
        <v>45</v>
      </c>
      <c r="E10231">
        <v>526</v>
      </c>
      <c r="F10231">
        <v>2</v>
      </c>
      <c r="G10231">
        <v>2</v>
      </c>
      <c r="H10231">
        <v>1</v>
      </c>
      <c r="I10231">
        <v>0</v>
      </c>
      <c r="J10231">
        <v>0.98649789029535895</v>
      </c>
      <c r="K10231">
        <v>1</v>
      </c>
      <c r="L10231">
        <v>0.99320305862361902</v>
      </c>
      <c r="M10231">
        <v>0.98481012658227896</v>
      </c>
      <c r="N10231">
        <v>0.98481012658227896</v>
      </c>
      <c r="O10231">
        <v>0.98481012658227896</v>
      </c>
      <c r="AF10231" t="s">
        <v>20671</v>
      </c>
    </row>
    <row r="10232" spans="1:32" hidden="1" x14ac:dyDescent="0.35">
      <c r="A10232">
        <v>10231</v>
      </c>
      <c r="B10232" t="s">
        <v>20672</v>
      </c>
      <c r="C10232" t="s">
        <v>33</v>
      </c>
      <c r="D10232" t="s">
        <v>60</v>
      </c>
      <c r="E10232">
        <v>2316</v>
      </c>
      <c r="F10232">
        <v>2</v>
      </c>
      <c r="G10232">
        <v>2</v>
      </c>
      <c r="H10232">
        <v>1</v>
      </c>
      <c r="I10232">
        <v>0</v>
      </c>
      <c r="J10232">
        <v>0.985739750445633</v>
      </c>
      <c r="K10232">
        <v>0.93261194029850902</v>
      </c>
      <c r="L10232">
        <v>0.95844017103648205</v>
      </c>
      <c r="M10232">
        <v>0.91044776119403004</v>
      </c>
      <c r="N10232">
        <v>0.91044776119403004</v>
      </c>
      <c r="O10232">
        <v>0.91044776119403004</v>
      </c>
      <c r="P10232" t="s">
        <v>2342</v>
      </c>
      <c r="Q10232" t="s">
        <v>2343</v>
      </c>
      <c r="AF10232" t="s">
        <v>20673</v>
      </c>
    </row>
    <row r="10233" spans="1:32" hidden="1" x14ac:dyDescent="0.35">
      <c r="A10233">
        <v>10232</v>
      </c>
      <c r="B10233" t="s">
        <v>20672</v>
      </c>
      <c r="C10233" t="s">
        <v>33</v>
      </c>
      <c r="D10233" t="s">
        <v>62</v>
      </c>
      <c r="E10233">
        <v>2344</v>
      </c>
      <c r="F10233">
        <v>2</v>
      </c>
      <c r="G10233">
        <v>2</v>
      </c>
      <c r="H10233">
        <v>1</v>
      </c>
      <c r="I10233">
        <v>0</v>
      </c>
      <c r="J10233">
        <v>0.985739750445633</v>
      </c>
      <c r="K10233">
        <v>0.93261194029850902</v>
      </c>
      <c r="L10233">
        <v>0.95844017103648205</v>
      </c>
      <c r="M10233">
        <v>0.91044776119403004</v>
      </c>
      <c r="N10233">
        <v>0.91044776119403004</v>
      </c>
      <c r="O10233">
        <v>0.91044776119403004</v>
      </c>
      <c r="P10233" t="s">
        <v>2342</v>
      </c>
      <c r="Q10233" t="s">
        <v>2343</v>
      </c>
      <c r="AF10233" t="e">
        <f>--------------MSLFDAPRRYGTMERYRAFTPGLNAGAPDVSNAPVGSRIAALTIDAALYSALLISALIAITVATGNAWWWFLLFGGVVPAYLLQSALDAGGGSIGKRMMGLRVVGPAEVPVSFGQAARRNSWLLLPLIPFAGPFITVGVAGWFAASARTDAFGMGPHDRTACTRVIQRGTRRSGGGGAPQIPASYTD</f>
        <v>#NAME?</v>
      </c>
    </row>
    <row r="10234" spans="1:32" hidden="1" x14ac:dyDescent="0.35">
      <c r="A10234">
        <v>10233</v>
      </c>
      <c r="B10234" t="s">
        <v>20674</v>
      </c>
      <c r="C10234" t="s">
        <v>33</v>
      </c>
      <c r="D10234" t="s">
        <v>34</v>
      </c>
      <c r="E10234">
        <v>602</v>
      </c>
      <c r="F10234">
        <v>2</v>
      </c>
      <c r="G10234">
        <v>2</v>
      </c>
      <c r="H10234">
        <v>1</v>
      </c>
      <c r="I10234">
        <v>0</v>
      </c>
      <c r="J10234">
        <v>0.99303482587064695</v>
      </c>
      <c r="K10234">
        <v>1</v>
      </c>
      <c r="L10234">
        <v>0.99650524213679503</v>
      </c>
      <c r="M10234">
        <v>0.991044776119403</v>
      </c>
      <c r="N10234">
        <v>0.991044776119403</v>
      </c>
      <c r="O10234">
        <v>0.991044776119403</v>
      </c>
      <c r="P10234" t="s">
        <v>13205</v>
      </c>
      <c r="Q10234" t="s">
        <v>13206</v>
      </c>
      <c r="R10234" t="s">
        <v>288</v>
      </c>
      <c r="S10234" t="s">
        <v>289</v>
      </c>
      <c r="V10234" t="s">
        <v>13207</v>
      </c>
      <c r="W10234" t="s">
        <v>13208</v>
      </c>
      <c r="AF10234" t="s">
        <v>20675</v>
      </c>
    </row>
    <row r="10235" spans="1:32" hidden="1" x14ac:dyDescent="0.35">
      <c r="A10235">
        <v>10234</v>
      </c>
      <c r="B10235" t="s">
        <v>20674</v>
      </c>
      <c r="C10235" t="s">
        <v>33</v>
      </c>
      <c r="D10235" t="s">
        <v>45</v>
      </c>
      <c r="E10235">
        <v>1869</v>
      </c>
      <c r="F10235">
        <v>2</v>
      </c>
      <c r="G10235">
        <v>2</v>
      </c>
      <c r="H10235">
        <v>1</v>
      </c>
      <c r="I10235">
        <v>0</v>
      </c>
      <c r="J10235">
        <v>0.99303482587064695</v>
      </c>
      <c r="K10235">
        <v>1</v>
      </c>
      <c r="L10235">
        <v>0.99650524213679503</v>
      </c>
      <c r="M10235">
        <v>0.991044776119403</v>
      </c>
      <c r="N10235">
        <v>0.991044776119403</v>
      </c>
      <c r="O10235">
        <v>0.991044776119403</v>
      </c>
      <c r="P10235" t="s">
        <v>13205</v>
      </c>
      <c r="Q10235" t="s">
        <v>13206</v>
      </c>
      <c r="R10235" t="s">
        <v>288</v>
      </c>
      <c r="S10235" t="s">
        <v>289</v>
      </c>
      <c r="V10235" t="s">
        <v>13207</v>
      </c>
      <c r="W10235" t="s">
        <v>13208</v>
      </c>
      <c r="AF10235" t="s">
        <v>20676</v>
      </c>
    </row>
    <row r="10236" spans="1:32" hidden="1" x14ac:dyDescent="0.35">
      <c r="A10236">
        <v>10235</v>
      </c>
      <c r="B10236" t="s">
        <v>20677</v>
      </c>
      <c r="C10236" t="s">
        <v>33</v>
      </c>
      <c r="D10236" t="s">
        <v>34</v>
      </c>
      <c r="E10236">
        <v>2495</v>
      </c>
      <c r="F10236">
        <v>2</v>
      </c>
      <c r="G10236">
        <v>2</v>
      </c>
      <c r="H10236">
        <v>1</v>
      </c>
      <c r="I10236">
        <v>0</v>
      </c>
      <c r="J10236">
        <v>0.995867768595041</v>
      </c>
      <c r="K10236">
        <v>1</v>
      </c>
      <c r="L10236">
        <v>0.99792960662525898</v>
      </c>
      <c r="M10236">
        <v>0.995867768595041</v>
      </c>
      <c r="N10236">
        <v>0.995867768595041</v>
      </c>
      <c r="O10236">
        <v>0.995867768595041</v>
      </c>
      <c r="P10236" t="s">
        <v>12996</v>
      </c>
      <c r="Q10236" t="s">
        <v>4868</v>
      </c>
      <c r="R10236" t="s">
        <v>96</v>
      </c>
      <c r="S10236" t="s">
        <v>97</v>
      </c>
      <c r="V10236" t="s">
        <v>12997</v>
      </c>
      <c r="W10236" t="s">
        <v>12998</v>
      </c>
      <c r="AF10236" t="s">
        <v>20678</v>
      </c>
    </row>
    <row r="10237" spans="1:32" hidden="1" x14ac:dyDescent="0.35">
      <c r="A10237">
        <v>10236</v>
      </c>
      <c r="B10237" t="s">
        <v>20677</v>
      </c>
      <c r="C10237" t="s">
        <v>33</v>
      </c>
      <c r="D10237" t="s">
        <v>45</v>
      </c>
      <c r="E10237">
        <v>406</v>
      </c>
      <c r="F10237">
        <v>2</v>
      </c>
      <c r="G10237">
        <v>2</v>
      </c>
      <c r="H10237">
        <v>1</v>
      </c>
      <c r="I10237">
        <v>0</v>
      </c>
      <c r="J10237">
        <v>0.995867768595041</v>
      </c>
      <c r="K10237">
        <v>1</v>
      </c>
      <c r="L10237">
        <v>0.99792960662525898</v>
      </c>
      <c r="M10237">
        <v>0.995867768595041</v>
      </c>
      <c r="N10237">
        <v>0.995867768595041</v>
      </c>
      <c r="O10237">
        <v>0.995867768595041</v>
      </c>
      <c r="P10237" t="s">
        <v>12996</v>
      </c>
      <c r="Q10237" t="s">
        <v>4868</v>
      </c>
      <c r="R10237" t="s">
        <v>96</v>
      </c>
      <c r="S10237" t="s">
        <v>97</v>
      </c>
      <c r="V10237" t="s">
        <v>12997</v>
      </c>
      <c r="W10237" t="s">
        <v>12998</v>
      </c>
      <c r="AF10237" t="s">
        <v>20679</v>
      </c>
    </row>
    <row r="10238" spans="1:32" hidden="1" x14ac:dyDescent="0.35">
      <c r="A10238">
        <v>10237</v>
      </c>
      <c r="B10238" t="s">
        <v>20680</v>
      </c>
      <c r="C10238" t="s">
        <v>33</v>
      </c>
      <c r="D10238" t="s">
        <v>34</v>
      </c>
      <c r="E10238">
        <v>113</v>
      </c>
      <c r="F10238">
        <v>2</v>
      </c>
      <c r="G10238">
        <v>2</v>
      </c>
      <c r="H10238">
        <v>1</v>
      </c>
      <c r="I10238">
        <v>0</v>
      </c>
      <c r="J10238">
        <v>0.98153846153846203</v>
      </c>
      <c r="K10238">
        <v>1</v>
      </c>
      <c r="L10238">
        <v>0.99068322981366497</v>
      </c>
      <c r="M10238">
        <v>0.97538461538461496</v>
      </c>
      <c r="N10238">
        <v>0.97538461538461496</v>
      </c>
      <c r="O10238">
        <v>0.97538461538461496</v>
      </c>
      <c r="R10238" t="s">
        <v>235</v>
      </c>
      <c r="S10238" t="s">
        <v>236</v>
      </c>
      <c r="V10238" t="s">
        <v>14675</v>
      </c>
      <c r="W10238" t="s">
        <v>14676</v>
      </c>
      <c r="X10238" t="s">
        <v>14675</v>
      </c>
      <c r="Y10238" t="s">
        <v>2431</v>
      </c>
      <c r="AF10238" t="s">
        <v>20681</v>
      </c>
    </row>
    <row r="10239" spans="1:32" hidden="1" x14ac:dyDescent="0.35">
      <c r="A10239">
        <v>10238</v>
      </c>
      <c r="B10239" t="s">
        <v>20680</v>
      </c>
      <c r="C10239" t="s">
        <v>33</v>
      </c>
      <c r="D10239" t="s">
        <v>45</v>
      </c>
      <c r="E10239">
        <v>1374</v>
      </c>
      <c r="F10239">
        <v>2</v>
      </c>
      <c r="G10239">
        <v>2</v>
      </c>
      <c r="H10239">
        <v>1</v>
      </c>
      <c r="I10239">
        <v>0</v>
      </c>
      <c r="J10239">
        <v>0.98153846153846203</v>
      </c>
      <c r="K10239">
        <v>1</v>
      </c>
      <c r="L10239">
        <v>0.99068322981366497</v>
      </c>
      <c r="M10239">
        <v>0.97538461538461496</v>
      </c>
      <c r="N10239">
        <v>0.97538461538461496</v>
      </c>
      <c r="O10239">
        <v>0.97538461538461496</v>
      </c>
      <c r="R10239" t="s">
        <v>235</v>
      </c>
      <c r="S10239" t="s">
        <v>236</v>
      </c>
      <c r="V10239" t="s">
        <v>14675</v>
      </c>
      <c r="W10239" t="s">
        <v>14676</v>
      </c>
      <c r="X10239" t="s">
        <v>14675</v>
      </c>
      <c r="Y10239" t="s">
        <v>2431</v>
      </c>
      <c r="AF10239" t="s">
        <v>20682</v>
      </c>
    </row>
    <row r="10240" spans="1:32" hidden="1" x14ac:dyDescent="0.35">
      <c r="A10240">
        <v>10239</v>
      </c>
      <c r="B10240" t="s">
        <v>20683</v>
      </c>
      <c r="C10240" t="s">
        <v>33</v>
      </c>
      <c r="D10240" t="s">
        <v>34</v>
      </c>
      <c r="E10240">
        <v>1966</v>
      </c>
      <c r="F10240">
        <v>2</v>
      </c>
      <c r="G10240">
        <v>2</v>
      </c>
      <c r="H10240">
        <v>1</v>
      </c>
      <c r="I10240">
        <v>0</v>
      </c>
      <c r="J10240">
        <v>0.98980815347721796</v>
      </c>
      <c r="K10240">
        <v>0.98418376953492404</v>
      </c>
      <c r="L10240">
        <v>0.98698794888596897</v>
      </c>
      <c r="M10240">
        <v>0.97168141592920398</v>
      </c>
      <c r="N10240">
        <v>0.97168141592920398</v>
      </c>
      <c r="O10240">
        <v>0.97168141592920398</v>
      </c>
      <c r="P10240" t="s">
        <v>433</v>
      </c>
      <c r="Q10240" t="s">
        <v>434</v>
      </c>
      <c r="R10240" t="s">
        <v>235</v>
      </c>
      <c r="S10240" t="s">
        <v>236</v>
      </c>
      <c r="T10240" t="s">
        <v>469</v>
      </c>
      <c r="U10240" t="s">
        <v>470</v>
      </c>
      <c r="V10240" t="s">
        <v>437</v>
      </c>
      <c r="W10240" t="s">
        <v>438</v>
      </c>
      <c r="AD10240" t="s">
        <v>439</v>
      </c>
      <c r="AE10240" t="s">
        <v>471</v>
      </c>
      <c r="AF10240" t="s">
        <v>20684</v>
      </c>
    </row>
    <row r="10241" spans="1:32" hidden="1" x14ac:dyDescent="0.35">
      <c r="A10241">
        <v>10240</v>
      </c>
      <c r="B10241" t="s">
        <v>20683</v>
      </c>
      <c r="C10241" t="s">
        <v>33</v>
      </c>
      <c r="D10241" t="s">
        <v>45</v>
      </c>
      <c r="E10241">
        <v>907</v>
      </c>
      <c r="F10241">
        <v>2</v>
      </c>
      <c r="G10241">
        <v>2</v>
      </c>
      <c r="H10241">
        <v>1</v>
      </c>
      <c r="I10241">
        <v>0</v>
      </c>
      <c r="J10241">
        <v>0.98980815347721796</v>
      </c>
      <c r="K10241">
        <v>0.98418376953492404</v>
      </c>
      <c r="L10241">
        <v>0.98698794888596897</v>
      </c>
      <c r="M10241">
        <v>0.97168141592920398</v>
      </c>
      <c r="N10241">
        <v>0.97168141592920398</v>
      </c>
      <c r="O10241">
        <v>0.97168141592920398</v>
      </c>
      <c r="P10241" t="s">
        <v>433</v>
      </c>
      <c r="Q10241" t="s">
        <v>434</v>
      </c>
      <c r="R10241" t="s">
        <v>235</v>
      </c>
      <c r="S10241" t="s">
        <v>236</v>
      </c>
      <c r="T10241" t="s">
        <v>469</v>
      </c>
      <c r="U10241" t="s">
        <v>470</v>
      </c>
      <c r="V10241" t="s">
        <v>437</v>
      </c>
      <c r="W10241" t="s">
        <v>438</v>
      </c>
      <c r="AD10241" t="s">
        <v>439</v>
      </c>
      <c r="AE10241" t="s">
        <v>471</v>
      </c>
      <c r="AF10241" t="s">
        <v>20685</v>
      </c>
    </row>
    <row r="10242" spans="1:32" hidden="1" x14ac:dyDescent="0.35">
      <c r="A10242">
        <v>10241</v>
      </c>
      <c r="B10242" t="s">
        <v>20686</v>
      </c>
      <c r="C10242" t="s">
        <v>33</v>
      </c>
      <c r="D10242" t="s">
        <v>60</v>
      </c>
      <c r="E10242">
        <v>2478</v>
      </c>
      <c r="F10242">
        <v>2</v>
      </c>
      <c r="G10242">
        <v>2</v>
      </c>
      <c r="H10242">
        <v>1</v>
      </c>
      <c r="I10242">
        <v>0</v>
      </c>
      <c r="J10242">
        <v>0.998971193415638</v>
      </c>
      <c r="K10242">
        <v>1</v>
      </c>
      <c r="L10242">
        <v>0.99948533196088496</v>
      </c>
      <c r="M10242">
        <v>0.99691358024691401</v>
      </c>
      <c r="N10242">
        <v>0.99691358024691401</v>
      </c>
      <c r="O10242">
        <v>0.99691358024691401</v>
      </c>
      <c r="P10242" t="s">
        <v>2364</v>
      </c>
      <c r="Q10242" t="s">
        <v>2365</v>
      </c>
      <c r="R10242" t="s">
        <v>2071</v>
      </c>
      <c r="S10242" t="s">
        <v>2072</v>
      </c>
      <c r="T10242" t="s">
        <v>2366</v>
      </c>
      <c r="U10242" t="s">
        <v>2367</v>
      </c>
      <c r="V10242" t="s">
        <v>2368</v>
      </c>
      <c r="W10242" t="s">
        <v>2369</v>
      </c>
      <c r="AD10242" t="s">
        <v>410</v>
      </c>
      <c r="AE10242" t="s">
        <v>1840</v>
      </c>
      <c r="AF10242" t="s">
        <v>20687</v>
      </c>
    </row>
    <row r="10243" spans="1:32" hidden="1" x14ac:dyDescent="0.35">
      <c r="A10243">
        <v>10242</v>
      </c>
      <c r="B10243" t="s">
        <v>20686</v>
      </c>
      <c r="C10243" t="s">
        <v>33</v>
      </c>
      <c r="D10243" t="s">
        <v>62</v>
      </c>
      <c r="E10243">
        <v>5</v>
      </c>
      <c r="F10243">
        <v>2</v>
      </c>
      <c r="G10243">
        <v>2</v>
      </c>
      <c r="H10243">
        <v>1</v>
      </c>
      <c r="I10243">
        <v>0</v>
      </c>
      <c r="J10243">
        <v>0.998971193415638</v>
      </c>
      <c r="K10243">
        <v>1</v>
      </c>
      <c r="L10243">
        <v>0.99948533196088496</v>
      </c>
      <c r="M10243">
        <v>0.99691358024691401</v>
      </c>
      <c r="N10243">
        <v>0.99691358024691401</v>
      </c>
      <c r="O10243">
        <v>0.99691358024691401</v>
      </c>
      <c r="P10243" t="s">
        <v>2364</v>
      </c>
      <c r="Q10243" t="s">
        <v>2365</v>
      </c>
      <c r="R10243" t="s">
        <v>2071</v>
      </c>
      <c r="S10243" t="s">
        <v>2072</v>
      </c>
      <c r="T10243" t="s">
        <v>2366</v>
      </c>
      <c r="U10243" t="s">
        <v>2367</v>
      </c>
      <c r="V10243" t="s">
        <v>2368</v>
      </c>
      <c r="W10243" t="s">
        <v>2369</v>
      </c>
      <c r="AD10243" t="s">
        <v>410</v>
      </c>
      <c r="AE10243" t="s">
        <v>1840</v>
      </c>
      <c r="AF10243" t="s">
        <v>20688</v>
      </c>
    </row>
    <row r="10244" spans="1:32" hidden="1" x14ac:dyDescent="0.35">
      <c r="A10244">
        <v>10243</v>
      </c>
      <c r="B10244" t="s">
        <v>20689</v>
      </c>
      <c r="C10244" t="s">
        <v>33</v>
      </c>
      <c r="D10244" t="s">
        <v>60</v>
      </c>
      <c r="E10244">
        <v>302</v>
      </c>
      <c r="F10244">
        <v>2</v>
      </c>
      <c r="G10244">
        <v>2</v>
      </c>
      <c r="H10244">
        <v>1</v>
      </c>
      <c r="I10244">
        <v>0</v>
      </c>
      <c r="J10244">
        <v>0.995789473684211</v>
      </c>
      <c r="K10244">
        <v>1</v>
      </c>
      <c r="L10244">
        <v>0.99789029535865004</v>
      </c>
      <c r="M10244">
        <v>0.995789473684211</v>
      </c>
      <c r="N10244">
        <v>0.995789473684211</v>
      </c>
      <c r="O10244">
        <v>0.995789473684211</v>
      </c>
      <c r="AF10244" t="s">
        <v>20690</v>
      </c>
    </row>
    <row r="10245" spans="1:32" hidden="1" x14ac:dyDescent="0.35">
      <c r="A10245">
        <v>10244</v>
      </c>
      <c r="B10245" t="s">
        <v>20689</v>
      </c>
      <c r="C10245" t="s">
        <v>33</v>
      </c>
      <c r="D10245" t="s">
        <v>62</v>
      </c>
      <c r="E10245">
        <v>382</v>
      </c>
      <c r="F10245">
        <v>2</v>
      </c>
      <c r="G10245">
        <v>2</v>
      </c>
      <c r="H10245">
        <v>1</v>
      </c>
      <c r="I10245">
        <v>0</v>
      </c>
      <c r="J10245">
        <v>0.995789473684211</v>
      </c>
      <c r="K10245">
        <v>1</v>
      </c>
      <c r="L10245">
        <v>0.99789029535865004</v>
      </c>
      <c r="M10245">
        <v>0.995789473684211</v>
      </c>
      <c r="N10245">
        <v>0.995789473684211</v>
      </c>
      <c r="O10245">
        <v>0.995789473684211</v>
      </c>
      <c r="AF10245" t="s">
        <v>20691</v>
      </c>
    </row>
    <row r="10246" spans="1:32" hidden="1" x14ac:dyDescent="0.35">
      <c r="A10246">
        <v>10245</v>
      </c>
      <c r="B10246" t="s">
        <v>20692</v>
      </c>
      <c r="C10246" t="s">
        <v>33</v>
      </c>
      <c r="D10246" t="s">
        <v>60</v>
      </c>
      <c r="E10246">
        <v>2547</v>
      </c>
      <c r="F10246">
        <v>2</v>
      </c>
      <c r="G10246">
        <v>2</v>
      </c>
      <c r="H10246">
        <v>1</v>
      </c>
      <c r="I10246">
        <v>0</v>
      </c>
      <c r="J10246">
        <v>0.99082568807339499</v>
      </c>
      <c r="K10246">
        <v>1</v>
      </c>
      <c r="L10246">
        <v>0.995391705069124</v>
      </c>
      <c r="M10246">
        <v>0.98165137614678899</v>
      </c>
      <c r="N10246">
        <v>0.98165137614678899</v>
      </c>
      <c r="O10246">
        <v>0.98165137614678899</v>
      </c>
      <c r="AF10246" t="s">
        <v>20693</v>
      </c>
    </row>
    <row r="10247" spans="1:32" hidden="1" x14ac:dyDescent="0.35">
      <c r="A10247">
        <v>10246</v>
      </c>
      <c r="B10247" t="s">
        <v>20692</v>
      </c>
      <c r="C10247" t="s">
        <v>33</v>
      </c>
      <c r="D10247" t="s">
        <v>62</v>
      </c>
      <c r="E10247">
        <v>72</v>
      </c>
      <c r="F10247">
        <v>2</v>
      </c>
      <c r="G10247">
        <v>2</v>
      </c>
      <c r="H10247">
        <v>1</v>
      </c>
      <c r="I10247">
        <v>0</v>
      </c>
      <c r="J10247">
        <v>0.99082568807339499</v>
      </c>
      <c r="K10247">
        <v>1</v>
      </c>
      <c r="L10247">
        <v>0.995391705069124</v>
      </c>
      <c r="M10247">
        <v>0.98165137614678899</v>
      </c>
      <c r="N10247">
        <v>0.98165137614678899</v>
      </c>
      <c r="O10247">
        <v>0.98165137614678899</v>
      </c>
      <c r="AF10247" t="s">
        <v>20694</v>
      </c>
    </row>
    <row r="10248" spans="1:32" hidden="1" x14ac:dyDescent="0.35">
      <c r="A10248">
        <v>10247</v>
      </c>
      <c r="B10248" t="s">
        <v>20695</v>
      </c>
      <c r="C10248" t="s">
        <v>33</v>
      </c>
      <c r="D10248" t="s">
        <v>34</v>
      </c>
      <c r="E10248">
        <v>1393</v>
      </c>
      <c r="F10248">
        <v>2</v>
      </c>
      <c r="G10248">
        <v>2</v>
      </c>
      <c r="H10248">
        <v>1</v>
      </c>
      <c r="I10248">
        <v>0</v>
      </c>
      <c r="J10248">
        <v>0.96241134751773005</v>
      </c>
      <c r="K10248">
        <v>0.99366198444834397</v>
      </c>
      <c r="L10248">
        <v>0.97778703262507205</v>
      </c>
      <c r="M10248">
        <v>0.94503171247357298</v>
      </c>
      <c r="N10248">
        <v>0.94503171247357298</v>
      </c>
      <c r="O10248">
        <v>0.94503171247357298</v>
      </c>
      <c r="P10248" t="s">
        <v>14338</v>
      </c>
      <c r="Q10248" t="s">
        <v>14339</v>
      </c>
      <c r="R10248" t="s">
        <v>1191</v>
      </c>
      <c r="S10248" t="s">
        <v>1192</v>
      </c>
      <c r="V10248" t="s">
        <v>14342</v>
      </c>
      <c r="W10248" t="s">
        <v>14343</v>
      </c>
      <c r="AF10248" t="s">
        <v>20696</v>
      </c>
    </row>
    <row r="10249" spans="1:32" hidden="1" x14ac:dyDescent="0.35">
      <c r="A10249">
        <v>10248</v>
      </c>
      <c r="B10249" t="s">
        <v>20695</v>
      </c>
      <c r="C10249" t="s">
        <v>33</v>
      </c>
      <c r="D10249" t="s">
        <v>45</v>
      </c>
      <c r="E10249">
        <v>143</v>
      </c>
      <c r="F10249">
        <v>2</v>
      </c>
      <c r="G10249">
        <v>2</v>
      </c>
      <c r="H10249">
        <v>1</v>
      </c>
      <c r="I10249">
        <v>0</v>
      </c>
      <c r="J10249">
        <v>0.96241134751773005</v>
      </c>
      <c r="K10249">
        <v>0.99366198444834397</v>
      </c>
      <c r="L10249">
        <v>0.97778703262507205</v>
      </c>
      <c r="M10249">
        <v>0.94503171247357298</v>
      </c>
      <c r="N10249">
        <v>0.94503171247357298</v>
      </c>
      <c r="O10249">
        <v>0.94503171247357298</v>
      </c>
      <c r="P10249" t="s">
        <v>14338</v>
      </c>
      <c r="Q10249" t="s">
        <v>14339</v>
      </c>
      <c r="R10249" t="s">
        <v>1191</v>
      </c>
      <c r="S10249" t="s">
        <v>1192</v>
      </c>
      <c r="V10249" t="s">
        <v>14342</v>
      </c>
      <c r="W10249" t="s">
        <v>14343</v>
      </c>
      <c r="AF10249" t="s">
        <v>20697</v>
      </c>
    </row>
    <row r="10250" spans="1:32" hidden="1" x14ac:dyDescent="0.35">
      <c r="A10250">
        <v>10249</v>
      </c>
      <c r="B10250" t="s">
        <v>20698</v>
      </c>
      <c r="C10250" t="s">
        <v>33</v>
      </c>
      <c r="D10250" t="s">
        <v>60</v>
      </c>
      <c r="E10250">
        <v>1934</v>
      </c>
      <c r="F10250">
        <v>2</v>
      </c>
      <c r="G10250">
        <v>2</v>
      </c>
      <c r="H10250">
        <v>1</v>
      </c>
      <c r="I10250">
        <v>0</v>
      </c>
      <c r="J10250">
        <v>0.99544937428896496</v>
      </c>
      <c r="K10250">
        <v>1</v>
      </c>
      <c r="L10250">
        <v>0.99771949828962403</v>
      </c>
      <c r="M10250">
        <v>0.993174061433447</v>
      </c>
      <c r="N10250">
        <v>0.993174061433447</v>
      </c>
      <c r="O10250">
        <v>0.993174061433447</v>
      </c>
      <c r="AF10250" t="s">
        <v>20699</v>
      </c>
    </row>
    <row r="10251" spans="1:32" hidden="1" x14ac:dyDescent="0.35">
      <c r="A10251">
        <v>10250</v>
      </c>
      <c r="B10251" t="s">
        <v>20698</v>
      </c>
      <c r="C10251" t="s">
        <v>33</v>
      </c>
      <c r="D10251" t="s">
        <v>62</v>
      </c>
      <c r="E10251">
        <v>1974</v>
      </c>
      <c r="F10251">
        <v>2</v>
      </c>
      <c r="G10251">
        <v>2</v>
      </c>
      <c r="H10251">
        <v>1</v>
      </c>
      <c r="I10251">
        <v>0</v>
      </c>
      <c r="J10251">
        <v>0.99544937428896496</v>
      </c>
      <c r="K10251">
        <v>1</v>
      </c>
      <c r="L10251">
        <v>0.99771949828962403</v>
      </c>
      <c r="M10251">
        <v>0.993174061433447</v>
      </c>
      <c r="N10251">
        <v>0.993174061433447</v>
      </c>
      <c r="O10251">
        <v>0.993174061433447</v>
      </c>
      <c r="AF10251" t="s">
        <v>20700</v>
      </c>
    </row>
    <row r="10252" spans="1:32" hidden="1" x14ac:dyDescent="0.35">
      <c r="A10252">
        <v>10251</v>
      </c>
      <c r="B10252" t="s">
        <v>20701</v>
      </c>
      <c r="C10252" t="s">
        <v>33</v>
      </c>
      <c r="D10252" t="s">
        <v>34</v>
      </c>
      <c r="E10252">
        <v>801</v>
      </c>
      <c r="F10252">
        <v>2</v>
      </c>
      <c r="G10252">
        <v>2</v>
      </c>
      <c r="H10252">
        <v>1</v>
      </c>
      <c r="I10252">
        <v>0</v>
      </c>
      <c r="J10252">
        <v>0.98471290082028295</v>
      </c>
      <c r="K10252">
        <v>1</v>
      </c>
      <c r="L10252">
        <v>0.99229757655457496</v>
      </c>
      <c r="M10252">
        <v>0.97874720357941802</v>
      </c>
      <c r="N10252">
        <v>0.97874720357941802</v>
      </c>
      <c r="O10252">
        <v>0.97874720357941802</v>
      </c>
      <c r="P10252" t="s">
        <v>20702</v>
      </c>
      <c r="Q10252" t="s">
        <v>20703</v>
      </c>
      <c r="R10252" t="s">
        <v>138</v>
      </c>
      <c r="S10252" t="s">
        <v>139</v>
      </c>
      <c r="T10252" t="s">
        <v>19564</v>
      </c>
      <c r="U10252" t="s">
        <v>19565</v>
      </c>
      <c r="V10252" t="s">
        <v>19566</v>
      </c>
      <c r="W10252" t="s">
        <v>19567</v>
      </c>
      <c r="X10252" t="s">
        <v>19566</v>
      </c>
      <c r="Y10252" t="s">
        <v>15411</v>
      </c>
      <c r="AD10252" t="s">
        <v>14829</v>
      </c>
      <c r="AE10252" t="s">
        <v>19568</v>
      </c>
      <c r="AF10252" t="s">
        <v>20704</v>
      </c>
    </row>
    <row r="10253" spans="1:32" hidden="1" x14ac:dyDescent="0.35">
      <c r="A10253">
        <v>10252</v>
      </c>
      <c r="B10253" t="s">
        <v>20701</v>
      </c>
      <c r="C10253" t="s">
        <v>33</v>
      </c>
      <c r="D10253" t="s">
        <v>45</v>
      </c>
      <c r="E10253">
        <v>2057</v>
      </c>
      <c r="F10253">
        <v>2</v>
      </c>
      <c r="G10253">
        <v>2</v>
      </c>
      <c r="H10253">
        <v>1</v>
      </c>
      <c r="I10253">
        <v>0</v>
      </c>
      <c r="J10253">
        <v>0.98471290082028295</v>
      </c>
      <c r="K10253">
        <v>1</v>
      </c>
      <c r="L10253">
        <v>0.99229757655457496</v>
      </c>
      <c r="M10253">
        <v>0.97874720357941802</v>
      </c>
      <c r="N10253">
        <v>0.97874720357941802</v>
      </c>
      <c r="O10253">
        <v>0.97874720357941802</v>
      </c>
      <c r="P10253" t="s">
        <v>20702</v>
      </c>
      <c r="Q10253" t="s">
        <v>20703</v>
      </c>
      <c r="R10253" t="s">
        <v>138</v>
      </c>
      <c r="S10253" t="s">
        <v>139</v>
      </c>
      <c r="T10253" t="s">
        <v>19564</v>
      </c>
      <c r="U10253" t="s">
        <v>19565</v>
      </c>
      <c r="V10253" t="s">
        <v>19566</v>
      </c>
      <c r="W10253" t="s">
        <v>19567</v>
      </c>
      <c r="X10253" t="s">
        <v>19566</v>
      </c>
      <c r="Y10253" t="s">
        <v>15411</v>
      </c>
      <c r="AD10253" t="s">
        <v>14829</v>
      </c>
      <c r="AE10253" t="s">
        <v>19568</v>
      </c>
      <c r="AF10253" t="s">
        <v>20705</v>
      </c>
    </row>
    <row r="10254" spans="1:32" hidden="1" x14ac:dyDescent="0.35">
      <c r="A10254">
        <v>10253</v>
      </c>
      <c r="B10254" t="s">
        <v>20706</v>
      </c>
      <c r="C10254" t="s">
        <v>33</v>
      </c>
      <c r="D10254" t="s">
        <v>34</v>
      </c>
      <c r="E10254">
        <v>2140</v>
      </c>
      <c r="F10254">
        <v>2</v>
      </c>
      <c r="G10254">
        <v>2</v>
      </c>
      <c r="H10254">
        <v>1</v>
      </c>
      <c r="I10254">
        <v>0</v>
      </c>
      <c r="J10254">
        <v>0.99305555555555602</v>
      </c>
      <c r="K10254">
        <v>1</v>
      </c>
      <c r="L10254">
        <v>0.99651567944250896</v>
      </c>
      <c r="M10254">
        <v>0.97916666666666696</v>
      </c>
      <c r="N10254">
        <v>0.97916666666666696</v>
      </c>
      <c r="O10254">
        <v>0.97916666666666696</v>
      </c>
      <c r="AF10254" t="s">
        <v>20707</v>
      </c>
    </row>
    <row r="10255" spans="1:32" hidden="1" x14ac:dyDescent="0.35">
      <c r="A10255">
        <v>10254</v>
      </c>
      <c r="B10255" t="s">
        <v>20706</v>
      </c>
      <c r="C10255" t="s">
        <v>33</v>
      </c>
      <c r="D10255" t="s">
        <v>45</v>
      </c>
      <c r="E10255">
        <v>733</v>
      </c>
      <c r="F10255">
        <v>2</v>
      </c>
      <c r="G10255">
        <v>2</v>
      </c>
      <c r="H10255">
        <v>1</v>
      </c>
      <c r="I10255">
        <v>0</v>
      </c>
      <c r="J10255">
        <v>0.99305555555555602</v>
      </c>
      <c r="K10255">
        <v>1</v>
      </c>
      <c r="L10255">
        <v>0.99651567944250896</v>
      </c>
      <c r="M10255">
        <v>0.97916666666666696</v>
      </c>
      <c r="N10255">
        <v>0.97916666666666696</v>
      </c>
      <c r="O10255">
        <v>0.97916666666666696</v>
      </c>
      <c r="AF10255" t="s">
        <v>20708</v>
      </c>
    </row>
    <row r="10256" spans="1:32" hidden="1" x14ac:dyDescent="0.35">
      <c r="A10256">
        <v>10255</v>
      </c>
      <c r="B10256" t="s">
        <v>20709</v>
      </c>
      <c r="C10256" t="s">
        <v>33</v>
      </c>
      <c r="D10256" t="s">
        <v>34</v>
      </c>
      <c r="E10256">
        <v>2427</v>
      </c>
      <c r="F10256">
        <v>2</v>
      </c>
      <c r="G10256">
        <v>2</v>
      </c>
      <c r="H10256">
        <v>1</v>
      </c>
      <c r="I10256">
        <v>0</v>
      </c>
      <c r="J10256">
        <v>0.97329888027562494</v>
      </c>
      <c r="K10256">
        <v>1</v>
      </c>
      <c r="L10256">
        <v>0.98646879092099504</v>
      </c>
      <c r="M10256">
        <v>0.96124031007751898</v>
      </c>
      <c r="N10256">
        <v>0.96124031007751898</v>
      </c>
      <c r="O10256">
        <v>0.96124031007751898</v>
      </c>
      <c r="P10256" t="s">
        <v>4907</v>
      </c>
      <c r="Q10256" t="s">
        <v>4908</v>
      </c>
      <c r="AF10256" t="s">
        <v>20710</v>
      </c>
    </row>
    <row r="10257" spans="1:32" hidden="1" x14ac:dyDescent="0.35">
      <c r="A10257">
        <v>10256</v>
      </c>
      <c r="B10257" t="s">
        <v>20709</v>
      </c>
      <c r="C10257" t="s">
        <v>33</v>
      </c>
      <c r="D10257" t="s">
        <v>45</v>
      </c>
      <c r="E10257">
        <v>471</v>
      </c>
      <c r="F10257">
        <v>2</v>
      </c>
      <c r="G10257">
        <v>2</v>
      </c>
      <c r="H10257">
        <v>1</v>
      </c>
      <c r="I10257">
        <v>0</v>
      </c>
      <c r="J10257">
        <v>0.97329888027562494</v>
      </c>
      <c r="K10257">
        <v>1</v>
      </c>
      <c r="L10257">
        <v>0.98646879092099504</v>
      </c>
      <c r="M10257">
        <v>0.96124031007751898</v>
      </c>
      <c r="N10257">
        <v>0.96124031007751898</v>
      </c>
      <c r="O10257">
        <v>0.96124031007751898</v>
      </c>
      <c r="P10257" t="s">
        <v>4907</v>
      </c>
      <c r="Q10257" t="s">
        <v>4908</v>
      </c>
      <c r="AF10257" t="s">
        <v>20711</v>
      </c>
    </row>
    <row r="10258" spans="1:32" hidden="1" x14ac:dyDescent="0.35">
      <c r="A10258">
        <v>10257</v>
      </c>
      <c r="B10258" t="s">
        <v>20712</v>
      </c>
      <c r="C10258" t="s">
        <v>33</v>
      </c>
      <c r="D10258" t="s">
        <v>34</v>
      </c>
      <c r="E10258">
        <v>668</v>
      </c>
      <c r="F10258">
        <v>2</v>
      </c>
      <c r="G10258">
        <v>2</v>
      </c>
      <c r="H10258">
        <v>1</v>
      </c>
      <c r="I10258">
        <v>0</v>
      </c>
      <c r="J10258">
        <v>0.99612403100775204</v>
      </c>
      <c r="K10258">
        <v>1</v>
      </c>
      <c r="L10258">
        <v>0.99805825242718404</v>
      </c>
      <c r="M10258">
        <v>0.99612403100775204</v>
      </c>
      <c r="N10258">
        <v>0.99612403100775204</v>
      </c>
      <c r="O10258">
        <v>0.99612403100775204</v>
      </c>
      <c r="P10258" t="s">
        <v>18411</v>
      </c>
      <c r="Q10258" t="s">
        <v>7176</v>
      </c>
      <c r="AF10258" t="s">
        <v>20713</v>
      </c>
    </row>
    <row r="10259" spans="1:32" hidden="1" x14ac:dyDescent="0.35">
      <c r="A10259">
        <v>10258</v>
      </c>
      <c r="B10259" t="s">
        <v>20712</v>
      </c>
      <c r="C10259" t="s">
        <v>33</v>
      </c>
      <c r="D10259" t="s">
        <v>45</v>
      </c>
      <c r="E10259">
        <v>1934</v>
      </c>
      <c r="F10259">
        <v>2</v>
      </c>
      <c r="G10259">
        <v>2</v>
      </c>
      <c r="H10259">
        <v>1</v>
      </c>
      <c r="I10259">
        <v>0</v>
      </c>
      <c r="J10259">
        <v>0.99612403100775204</v>
      </c>
      <c r="K10259">
        <v>1</v>
      </c>
      <c r="L10259">
        <v>0.99805825242718404</v>
      </c>
      <c r="M10259">
        <v>0.99612403100775204</v>
      </c>
      <c r="N10259">
        <v>0.99612403100775204</v>
      </c>
      <c r="O10259">
        <v>0.99612403100775204</v>
      </c>
      <c r="P10259" t="s">
        <v>18411</v>
      </c>
      <c r="Q10259" t="s">
        <v>7176</v>
      </c>
      <c r="AF10259" t="s">
        <v>20714</v>
      </c>
    </row>
    <row r="10260" spans="1:32" hidden="1" x14ac:dyDescent="0.35">
      <c r="A10260">
        <v>10259</v>
      </c>
      <c r="B10260" t="s">
        <v>20715</v>
      </c>
      <c r="C10260" t="s">
        <v>33</v>
      </c>
      <c r="D10260" t="s">
        <v>34</v>
      </c>
      <c r="E10260">
        <v>1170</v>
      </c>
      <c r="F10260">
        <v>2</v>
      </c>
      <c r="G10260">
        <v>2</v>
      </c>
      <c r="H10260">
        <v>1</v>
      </c>
      <c r="I10260">
        <v>0</v>
      </c>
      <c r="J10260">
        <v>0.99732798931195699</v>
      </c>
      <c r="K10260">
        <v>0.96938536511653794</v>
      </c>
      <c r="L10260">
        <v>0.98315817593159505</v>
      </c>
      <c r="M10260">
        <v>0.96504854368932003</v>
      </c>
      <c r="N10260">
        <v>0.96504854368932003</v>
      </c>
      <c r="O10260">
        <v>0.96504854368932003</v>
      </c>
      <c r="P10260" t="s">
        <v>12891</v>
      </c>
      <c r="Q10260" t="s">
        <v>12892</v>
      </c>
      <c r="R10260" t="s">
        <v>1259</v>
      </c>
      <c r="S10260" t="s">
        <v>1260</v>
      </c>
      <c r="V10260" t="s">
        <v>14579</v>
      </c>
      <c r="W10260" t="s">
        <v>2923</v>
      </c>
      <c r="AF10260" t="s">
        <v>20716</v>
      </c>
    </row>
    <row r="10261" spans="1:32" hidden="1" x14ac:dyDescent="0.35">
      <c r="A10261">
        <v>10260</v>
      </c>
      <c r="B10261" t="s">
        <v>20715</v>
      </c>
      <c r="C10261" t="s">
        <v>33</v>
      </c>
      <c r="D10261" t="s">
        <v>45</v>
      </c>
      <c r="E10261">
        <v>2415</v>
      </c>
      <c r="F10261">
        <v>2</v>
      </c>
      <c r="G10261">
        <v>2</v>
      </c>
      <c r="H10261">
        <v>1</v>
      </c>
      <c r="I10261">
        <v>0</v>
      </c>
      <c r="J10261">
        <v>0.99732798931195699</v>
      </c>
      <c r="K10261">
        <v>0.96938536511653794</v>
      </c>
      <c r="L10261">
        <v>0.98315817593159505</v>
      </c>
      <c r="M10261">
        <v>0.96504854368932003</v>
      </c>
      <c r="N10261">
        <v>0.96504854368932003</v>
      </c>
      <c r="O10261">
        <v>0.96504854368932003</v>
      </c>
      <c r="P10261" t="s">
        <v>12891</v>
      </c>
      <c r="Q10261" t="s">
        <v>12892</v>
      </c>
      <c r="R10261" t="s">
        <v>1259</v>
      </c>
      <c r="S10261" t="s">
        <v>1260</v>
      </c>
      <c r="V10261" t="s">
        <v>14579</v>
      </c>
      <c r="W10261" t="s">
        <v>2923</v>
      </c>
      <c r="AF10261" t="s">
        <v>20717</v>
      </c>
    </row>
    <row r="10262" spans="1:32" hidden="1" x14ac:dyDescent="0.35">
      <c r="A10262">
        <v>10261</v>
      </c>
      <c r="B10262" t="s">
        <v>20718</v>
      </c>
      <c r="C10262" t="s">
        <v>33</v>
      </c>
      <c r="D10262" t="s">
        <v>60</v>
      </c>
      <c r="E10262">
        <v>1854</v>
      </c>
      <c r="F10262">
        <v>2</v>
      </c>
      <c r="G10262">
        <v>2</v>
      </c>
      <c r="H10262">
        <v>1</v>
      </c>
      <c r="I10262">
        <v>0</v>
      </c>
      <c r="J10262">
        <v>0.99837398373983699</v>
      </c>
      <c r="K10262">
        <v>1</v>
      </c>
      <c r="L10262">
        <v>0.99918633034987803</v>
      </c>
      <c r="M10262">
        <v>0.99512195121951197</v>
      </c>
      <c r="N10262">
        <v>0.99512195121951197</v>
      </c>
      <c r="O10262">
        <v>0.99512195121951197</v>
      </c>
      <c r="P10262" t="s">
        <v>20719</v>
      </c>
      <c r="Q10262" t="s">
        <v>20720</v>
      </c>
      <c r="R10262" t="s">
        <v>1191</v>
      </c>
      <c r="S10262" t="s">
        <v>1192</v>
      </c>
      <c r="V10262" t="s">
        <v>20721</v>
      </c>
      <c r="W10262" t="s">
        <v>20722</v>
      </c>
      <c r="AF10262" t="s">
        <v>20723</v>
      </c>
    </row>
    <row r="10263" spans="1:32" hidden="1" x14ac:dyDescent="0.35">
      <c r="A10263">
        <v>10262</v>
      </c>
      <c r="B10263" t="s">
        <v>20718</v>
      </c>
      <c r="C10263" t="s">
        <v>33</v>
      </c>
      <c r="D10263" t="s">
        <v>62</v>
      </c>
      <c r="E10263">
        <v>1892</v>
      </c>
      <c r="F10263">
        <v>2</v>
      </c>
      <c r="G10263">
        <v>2</v>
      </c>
      <c r="H10263">
        <v>1</v>
      </c>
      <c r="I10263">
        <v>0</v>
      </c>
      <c r="J10263">
        <v>0.99837398373983699</v>
      </c>
      <c r="K10263">
        <v>1</v>
      </c>
      <c r="L10263">
        <v>0.99918633034987803</v>
      </c>
      <c r="M10263">
        <v>0.99512195121951197</v>
      </c>
      <c r="N10263">
        <v>0.99512195121951197</v>
      </c>
      <c r="O10263">
        <v>0.99512195121951197</v>
      </c>
      <c r="P10263" t="s">
        <v>20719</v>
      </c>
      <c r="Q10263" t="s">
        <v>20720</v>
      </c>
      <c r="R10263" t="s">
        <v>1191</v>
      </c>
      <c r="S10263" t="s">
        <v>1192</v>
      </c>
      <c r="V10263" t="s">
        <v>20721</v>
      </c>
      <c r="W10263" t="s">
        <v>20722</v>
      </c>
      <c r="AF10263" t="s">
        <v>20724</v>
      </c>
    </row>
    <row r="10264" spans="1:32" hidden="1" x14ac:dyDescent="0.35">
      <c r="A10264">
        <v>10263</v>
      </c>
      <c r="B10264" t="s">
        <v>20725</v>
      </c>
      <c r="C10264" t="s">
        <v>33</v>
      </c>
      <c r="D10264" t="s">
        <v>60</v>
      </c>
      <c r="E10264">
        <v>1801</v>
      </c>
      <c r="F10264">
        <v>2</v>
      </c>
      <c r="G10264">
        <v>2</v>
      </c>
      <c r="H10264">
        <v>1</v>
      </c>
      <c r="I10264">
        <v>0</v>
      </c>
      <c r="J10264">
        <v>0.99534883720930201</v>
      </c>
      <c r="K10264">
        <v>1</v>
      </c>
      <c r="L10264">
        <v>0.99766899766899797</v>
      </c>
      <c r="M10264">
        <v>0.99534883720930201</v>
      </c>
      <c r="N10264">
        <v>0.99534883720930201</v>
      </c>
      <c r="O10264">
        <v>0.99534883720930201</v>
      </c>
      <c r="P10264" t="s">
        <v>2163</v>
      </c>
      <c r="Q10264" t="s">
        <v>2164</v>
      </c>
      <c r="R10264" t="s">
        <v>113</v>
      </c>
      <c r="S10264" t="s">
        <v>114</v>
      </c>
      <c r="V10264" t="s">
        <v>2167</v>
      </c>
      <c r="W10264" t="s">
        <v>2168</v>
      </c>
      <c r="AF10264" t="s">
        <v>20726</v>
      </c>
    </row>
    <row r="10265" spans="1:32" hidden="1" x14ac:dyDescent="0.35">
      <c r="A10265">
        <v>10264</v>
      </c>
      <c r="B10265" t="s">
        <v>20725</v>
      </c>
      <c r="C10265" t="s">
        <v>33</v>
      </c>
      <c r="D10265" t="s">
        <v>62</v>
      </c>
      <c r="E10265">
        <v>1837</v>
      </c>
      <c r="F10265">
        <v>2</v>
      </c>
      <c r="G10265">
        <v>2</v>
      </c>
      <c r="H10265">
        <v>1</v>
      </c>
      <c r="I10265">
        <v>0</v>
      </c>
      <c r="J10265">
        <v>0.99534883720930201</v>
      </c>
      <c r="K10265">
        <v>1</v>
      </c>
      <c r="L10265">
        <v>0.99766899766899797</v>
      </c>
      <c r="M10265">
        <v>0.99534883720930201</v>
      </c>
      <c r="N10265">
        <v>0.99534883720930201</v>
      </c>
      <c r="O10265">
        <v>0.99534883720930201</v>
      </c>
      <c r="P10265" t="s">
        <v>2163</v>
      </c>
      <c r="Q10265" t="s">
        <v>2164</v>
      </c>
      <c r="R10265" t="s">
        <v>113</v>
      </c>
      <c r="S10265" t="s">
        <v>114</v>
      </c>
      <c r="V10265" t="s">
        <v>2167</v>
      </c>
      <c r="W10265" t="s">
        <v>2168</v>
      </c>
      <c r="AF10265" t="s">
        <v>20727</v>
      </c>
    </row>
    <row r="10266" spans="1:32" hidden="1" x14ac:dyDescent="0.35">
      <c r="A10266">
        <v>10265</v>
      </c>
      <c r="B10266" t="s">
        <v>20728</v>
      </c>
      <c r="C10266" t="s">
        <v>33</v>
      </c>
      <c r="D10266" t="s">
        <v>60</v>
      </c>
      <c r="E10266">
        <v>2310</v>
      </c>
      <c r="F10266">
        <v>2</v>
      </c>
      <c r="G10266">
        <v>2</v>
      </c>
      <c r="H10266">
        <v>1</v>
      </c>
      <c r="I10266">
        <v>0</v>
      </c>
      <c r="J10266">
        <v>0.99152093269740305</v>
      </c>
      <c r="K10266">
        <v>1</v>
      </c>
      <c r="L10266">
        <v>0.99574241617881898</v>
      </c>
      <c r="M10266">
        <v>0.99046104928457901</v>
      </c>
      <c r="N10266">
        <v>0.99046104928457901</v>
      </c>
      <c r="O10266">
        <v>0.99046104928457901</v>
      </c>
      <c r="P10266" t="s">
        <v>13318</v>
      </c>
      <c r="Q10266" t="s">
        <v>13319</v>
      </c>
      <c r="AF10266" t="s">
        <v>20729</v>
      </c>
    </row>
    <row r="10267" spans="1:32" hidden="1" x14ac:dyDescent="0.35">
      <c r="A10267">
        <v>10266</v>
      </c>
      <c r="B10267" t="s">
        <v>20728</v>
      </c>
      <c r="C10267" t="s">
        <v>33</v>
      </c>
      <c r="D10267" t="s">
        <v>62</v>
      </c>
      <c r="E10267">
        <v>2338</v>
      </c>
      <c r="F10267">
        <v>2</v>
      </c>
      <c r="G10267">
        <v>2</v>
      </c>
      <c r="H10267">
        <v>1</v>
      </c>
      <c r="I10267">
        <v>0</v>
      </c>
      <c r="J10267">
        <v>0.99152093269740305</v>
      </c>
      <c r="K10267">
        <v>1</v>
      </c>
      <c r="L10267">
        <v>0.99574241617881898</v>
      </c>
      <c r="M10267">
        <v>0.99046104928457901</v>
      </c>
      <c r="N10267">
        <v>0.99046104928457901</v>
      </c>
      <c r="O10267">
        <v>0.99046104928457901</v>
      </c>
      <c r="P10267" t="s">
        <v>13318</v>
      </c>
      <c r="Q10267" t="s">
        <v>13319</v>
      </c>
      <c r="AF10267" t="s">
        <v>20730</v>
      </c>
    </row>
    <row r="10268" spans="1:32" hidden="1" x14ac:dyDescent="0.35">
      <c r="A10268">
        <v>10267</v>
      </c>
      <c r="B10268" t="s">
        <v>20731</v>
      </c>
      <c r="C10268" t="s">
        <v>33</v>
      </c>
      <c r="D10268" t="s">
        <v>60</v>
      </c>
      <c r="E10268">
        <v>897</v>
      </c>
      <c r="F10268">
        <v>2</v>
      </c>
      <c r="G10268">
        <v>2</v>
      </c>
      <c r="H10268">
        <v>1</v>
      </c>
      <c r="I10268">
        <v>0</v>
      </c>
      <c r="J10268">
        <v>0.99615384615384595</v>
      </c>
      <c r="K10268">
        <v>1</v>
      </c>
      <c r="L10268">
        <v>0.99807321772639701</v>
      </c>
      <c r="M10268">
        <v>0.99615384615384595</v>
      </c>
      <c r="N10268">
        <v>0.99615384615384595</v>
      </c>
      <c r="O10268">
        <v>0.99615384615384595</v>
      </c>
      <c r="P10268" t="s">
        <v>5019</v>
      </c>
      <c r="Q10268" t="s">
        <v>5020</v>
      </c>
      <c r="R10268" t="s">
        <v>652</v>
      </c>
      <c r="S10268" t="s">
        <v>653</v>
      </c>
      <c r="V10268" t="s">
        <v>9415</v>
      </c>
      <c r="W10268" t="s">
        <v>9416</v>
      </c>
      <c r="X10268" t="s">
        <v>9415</v>
      </c>
      <c r="Y10268" t="s">
        <v>5826</v>
      </c>
      <c r="AF10268" t="s">
        <v>20732</v>
      </c>
    </row>
    <row r="10269" spans="1:32" hidden="1" x14ac:dyDescent="0.35">
      <c r="A10269">
        <v>10268</v>
      </c>
      <c r="B10269" t="s">
        <v>20731</v>
      </c>
      <c r="C10269" t="s">
        <v>33</v>
      </c>
      <c r="D10269" t="s">
        <v>62</v>
      </c>
      <c r="E10269">
        <v>931</v>
      </c>
      <c r="F10269">
        <v>2</v>
      </c>
      <c r="G10269">
        <v>2</v>
      </c>
      <c r="H10269">
        <v>1</v>
      </c>
      <c r="I10269">
        <v>0</v>
      </c>
      <c r="J10269">
        <v>0.99615384615384595</v>
      </c>
      <c r="K10269">
        <v>1</v>
      </c>
      <c r="L10269">
        <v>0.99807321772639701</v>
      </c>
      <c r="M10269">
        <v>0.99615384615384595</v>
      </c>
      <c r="N10269">
        <v>0.99615384615384595</v>
      </c>
      <c r="O10269">
        <v>0.99615384615384595</v>
      </c>
      <c r="P10269" t="s">
        <v>5019</v>
      </c>
      <c r="Q10269" t="s">
        <v>5020</v>
      </c>
      <c r="R10269" t="s">
        <v>652</v>
      </c>
      <c r="S10269" t="s">
        <v>653</v>
      </c>
      <c r="V10269" t="s">
        <v>9415</v>
      </c>
      <c r="W10269" t="s">
        <v>9416</v>
      </c>
      <c r="X10269" t="s">
        <v>9415</v>
      </c>
      <c r="Y10269" t="s">
        <v>5826</v>
      </c>
      <c r="AF10269" t="s">
        <v>20733</v>
      </c>
    </row>
    <row r="10270" spans="1:32" hidden="1" x14ac:dyDescent="0.35">
      <c r="A10270">
        <v>10269</v>
      </c>
      <c r="B10270" t="s">
        <v>20734</v>
      </c>
      <c r="C10270" t="s">
        <v>33</v>
      </c>
      <c r="D10270" t="s">
        <v>34</v>
      </c>
      <c r="E10270">
        <v>316</v>
      </c>
      <c r="F10270">
        <v>2</v>
      </c>
      <c r="G10270">
        <v>2</v>
      </c>
      <c r="H10270">
        <v>1</v>
      </c>
      <c r="I10270">
        <v>0</v>
      </c>
      <c r="J10270">
        <v>0.991389913899139</v>
      </c>
      <c r="K10270">
        <v>1</v>
      </c>
      <c r="L10270">
        <v>0.99567634342186495</v>
      </c>
      <c r="M10270">
        <v>0.98523985239852396</v>
      </c>
      <c r="N10270">
        <v>0.98523985239852396</v>
      </c>
      <c r="O10270">
        <v>0.98523985239852396</v>
      </c>
      <c r="P10270" t="s">
        <v>14087</v>
      </c>
      <c r="Q10270" t="s">
        <v>14088</v>
      </c>
      <c r="R10270" t="s">
        <v>14089</v>
      </c>
      <c r="S10270" t="s">
        <v>14090</v>
      </c>
      <c r="T10270" t="s">
        <v>20735</v>
      </c>
      <c r="U10270" t="s">
        <v>20736</v>
      </c>
      <c r="V10270" t="s">
        <v>14093</v>
      </c>
      <c r="W10270" t="s">
        <v>14094</v>
      </c>
      <c r="AD10270" t="s">
        <v>219</v>
      </c>
      <c r="AE10270" t="s">
        <v>20737</v>
      </c>
      <c r="AF10270" t="s">
        <v>20738</v>
      </c>
    </row>
    <row r="10271" spans="1:32" hidden="1" x14ac:dyDescent="0.35">
      <c r="A10271">
        <v>10270</v>
      </c>
      <c r="B10271" t="s">
        <v>20734</v>
      </c>
      <c r="C10271" t="s">
        <v>33</v>
      </c>
      <c r="D10271" t="s">
        <v>45</v>
      </c>
      <c r="E10271">
        <v>1578</v>
      </c>
      <c r="F10271">
        <v>2</v>
      </c>
      <c r="G10271">
        <v>2</v>
      </c>
      <c r="H10271">
        <v>1</v>
      </c>
      <c r="I10271">
        <v>0</v>
      </c>
      <c r="J10271">
        <v>0.991389913899139</v>
      </c>
      <c r="K10271">
        <v>1</v>
      </c>
      <c r="L10271">
        <v>0.99567634342186495</v>
      </c>
      <c r="M10271">
        <v>0.98523985239852396</v>
      </c>
      <c r="N10271">
        <v>0.98523985239852396</v>
      </c>
      <c r="O10271">
        <v>0.98523985239852396</v>
      </c>
      <c r="P10271" t="s">
        <v>14087</v>
      </c>
      <c r="Q10271" t="s">
        <v>14088</v>
      </c>
      <c r="R10271" t="s">
        <v>14089</v>
      </c>
      <c r="S10271" t="s">
        <v>14090</v>
      </c>
      <c r="T10271" t="s">
        <v>20735</v>
      </c>
      <c r="U10271" t="s">
        <v>20736</v>
      </c>
      <c r="V10271" t="s">
        <v>14093</v>
      </c>
      <c r="W10271" t="s">
        <v>14094</v>
      </c>
      <c r="AD10271" t="s">
        <v>219</v>
      </c>
      <c r="AE10271" t="s">
        <v>20737</v>
      </c>
      <c r="AF10271" t="s">
        <v>20739</v>
      </c>
    </row>
    <row r="10272" spans="1:32" hidden="1" x14ac:dyDescent="0.35">
      <c r="A10272">
        <v>10271</v>
      </c>
      <c r="B10272" t="s">
        <v>20740</v>
      </c>
      <c r="C10272" t="s">
        <v>33</v>
      </c>
      <c r="D10272" t="s">
        <v>60</v>
      </c>
      <c r="E10272">
        <v>411</v>
      </c>
      <c r="F10272">
        <v>2</v>
      </c>
      <c r="G10272">
        <v>2</v>
      </c>
      <c r="H10272">
        <v>1</v>
      </c>
      <c r="I10272">
        <v>0</v>
      </c>
      <c r="J10272">
        <v>0.99492753623188401</v>
      </c>
      <c r="K10272">
        <v>1</v>
      </c>
      <c r="L10272">
        <v>0.99745731928804904</v>
      </c>
      <c r="M10272">
        <v>0.99347826086956503</v>
      </c>
      <c r="N10272">
        <v>0.99347826086956503</v>
      </c>
      <c r="O10272">
        <v>0.99347826086956503</v>
      </c>
      <c r="P10272" t="s">
        <v>20067</v>
      </c>
      <c r="Q10272" t="s">
        <v>20068</v>
      </c>
      <c r="R10272" t="s">
        <v>319</v>
      </c>
      <c r="S10272" t="s">
        <v>320</v>
      </c>
      <c r="T10272" t="s">
        <v>20069</v>
      </c>
      <c r="U10272" t="s">
        <v>20070</v>
      </c>
      <c r="V10272" t="s">
        <v>20071</v>
      </c>
      <c r="W10272" t="s">
        <v>20072</v>
      </c>
      <c r="X10272" t="s">
        <v>20071</v>
      </c>
      <c r="Y10272" t="s">
        <v>10466</v>
      </c>
      <c r="AD10272" t="s">
        <v>245</v>
      </c>
      <c r="AE10272" t="s">
        <v>20073</v>
      </c>
      <c r="AF10272" t="s">
        <v>20741</v>
      </c>
    </row>
    <row r="10273" spans="1:32" hidden="1" x14ac:dyDescent="0.35">
      <c r="A10273">
        <v>10272</v>
      </c>
      <c r="B10273" t="s">
        <v>20740</v>
      </c>
      <c r="C10273" t="s">
        <v>33</v>
      </c>
      <c r="D10273" t="s">
        <v>62</v>
      </c>
      <c r="E10273">
        <v>492</v>
      </c>
      <c r="F10273">
        <v>2</v>
      </c>
      <c r="G10273">
        <v>2</v>
      </c>
      <c r="H10273">
        <v>1</v>
      </c>
      <c r="I10273">
        <v>0</v>
      </c>
      <c r="J10273">
        <v>0.99492753623188401</v>
      </c>
      <c r="K10273">
        <v>1</v>
      </c>
      <c r="L10273">
        <v>0.99745731928804904</v>
      </c>
      <c r="M10273">
        <v>0.99347826086956503</v>
      </c>
      <c r="N10273">
        <v>0.99347826086956503</v>
      </c>
      <c r="O10273">
        <v>0.99347826086956503</v>
      </c>
      <c r="P10273" t="s">
        <v>20067</v>
      </c>
      <c r="Q10273" t="s">
        <v>20068</v>
      </c>
      <c r="R10273" t="s">
        <v>319</v>
      </c>
      <c r="S10273" t="s">
        <v>320</v>
      </c>
      <c r="T10273" t="s">
        <v>20069</v>
      </c>
      <c r="U10273" t="s">
        <v>20070</v>
      </c>
      <c r="V10273" t="s">
        <v>20071</v>
      </c>
      <c r="W10273" t="s">
        <v>20072</v>
      </c>
      <c r="X10273" t="s">
        <v>20071</v>
      </c>
      <c r="Y10273" t="s">
        <v>10466</v>
      </c>
      <c r="AD10273" t="s">
        <v>245</v>
      </c>
      <c r="AE10273" t="s">
        <v>20073</v>
      </c>
      <c r="AF10273" t="s">
        <v>20742</v>
      </c>
    </row>
    <row r="10274" spans="1:32" hidden="1" x14ac:dyDescent="0.35">
      <c r="A10274">
        <v>10273</v>
      </c>
      <c r="B10274" t="s">
        <v>20743</v>
      </c>
      <c r="C10274" t="s">
        <v>33</v>
      </c>
      <c r="D10274" t="s">
        <v>60</v>
      </c>
      <c r="E10274">
        <v>806</v>
      </c>
      <c r="F10274">
        <v>2</v>
      </c>
      <c r="G10274">
        <v>2</v>
      </c>
      <c r="H10274">
        <v>1</v>
      </c>
      <c r="I10274">
        <v>0</v>
      </c>
      <c r="J10274">
        <v>0.99326599326599296</v>
      </c>
      <c r="K10274">
        <v>1</v>
      </c>
      <c r="L10274">
        <v>0.99662162162162204</v>
      </c>
      <c r="M10274">
        <v>0.98989898989898994</v>
      </c>
      <c r="N10274">
        <v>0.98989898989898994</v>
      </c>
      <c r="O10274">
        <v>0.98989898989898994</v>
      </c>
      <c r="P10274" t="s">
        <v>2574</v>
      </c>
      <c r="Q10274" t="s">
        <v>2575</v>
      </c>
      <c r="R10274" t="s">
        <v>1498</v>
      </c>
      <c r="S10274" t="s">
        <v>1499</v>
      </c>
      <c r="V10274" t="s">
        <v>1500</v>
      </c>
      <c r="W10274" t="s">
        <v>1501</v>
      </c>
      <c r="AF10274" t="s">
        <v>20744</v>
      </c>
    </row>
    <row r="10275" spans="1:32" hidden="1" x14ac:dyDescent="0.35">
      <c r="A10275">
        <v>10274</v>
      </c>
      <c r="B10275" t="s">
        <v>20743</v>
      </c>
      <c r="C10275" t="s">
        <v>33</v>
      </c>
      <c r="D10275" t="s">
        <v>62</v>
      </c>
      <c r="E10275">
        <v>839</v>
      </c>
      <c r="F10275">
        <v>2</v>
      </c>
      <c r="G10275">
        <v>2</v>
      </c>
      <c r="H10275">
        <v>1</v>
      </c>
      <c r="I10275">
        <v>0</v>
      </c>
      <c r="J10275">
        <v>0.99326599326599296</v>
      </c>
      <c r="K10275">
        <v>1</v>
      </c>
      <c r="L10275">
        <v>0.99662162162162204</v>
      </c>
      <c r="M10275">
        <v>0.98989898989898994</v>
      </c>
      <c r="N10275">
        <v>0.98989898989898994</v>
      </c>
      <c r="O10275">
        <v>0.98989898989898994</v>
      </c>
      <c r="P10275" t="s">
        <v>2574</v>
      </c>
      <c r="Q10275" t="s">
        <v>2575</v>
      </c>
      <c r="R10275" t="s">
        <v>1498</v>
      </c>
      <c r="S10275" t="s">
        <v>1499</v>
      </c>
      <c r="V10275" t="s">
        <v>1500</v>
      </c>
      <c r="W10275" t="s">
        <v>1501</v>
      </c>
      <c r="AF10275" t="s">
        <v>20745</v>
      </c>
    </row>
    <row r="10276" spans="1:32" hidden="1" x14ac:dyDescent="0.35">
      <c r="A10276">
        <v>10275</v>
      </c>
      <c r="B10276" t="s">
        <v>20746</v>
      </c>
      <c r="C10276" t="s">
        <v>33</v>
      </c>
      <c r="D10276" t="s">
        <v>60</v>
      </c>
      <c r="E10276">
        <v>2015</v>
      </c>
      <c r="F10276">
        <v>2</v>
      </c>
      <c r="G10276">
        <v>2</v>
      </c>
      <c r="H10276">
        <v>1</v>
      </c>
      <c r="I10276">
        <v>0</v>
      </c>
      <c r="J10276">
        <v>0.99624765478424004</v>
      </c>
      <c r="K10276">
        <v>1</v>
      </c>
      <c r="L10276">
        <v>0.99812030075187996</v>
      </c>
      <c r="M10276">
        <v>0.99249530956847998</v>
      </c>
      <c r="N10276">
        <v>0.99249530956847998</v>
      </c>
      <c r="O10276">
        <v>0.99249530956847998</v>
      </c>
      <c r="P10276" t="s">
        <v>433</v>
      </c>
      <c r="Q10276" t="s">
        <v>434</v>
      </c>
      <c r="R10276" t="s">
        <v>235</v>
      </c>
      <c r="S10276" t="s">
        <v>236</v>
      </c>
      <c r="T10276" t="s">
        <v>469</v>
      </c>
      <c r="U10276" t="s">
        <v>470</v>
      </c>
      <c r="V10276" t="s">
        <v>437</v>
      </c>
      <c r="W10276" t="s">
        <v>438</v>
      </c>
      <c r="AD10276" t="s">
        <v>439</v>
      </c>
      <c r="AE10276" t="s">
        <v>471</v>
      </c>
      <c r="AF10276" t="s">
        <v>20747</v>
      </c>
    </row>
    <row r="10277" spans="1:32" hidden="1" x14ac:dyDescent="0.35">
      <c r="A10277">
        <v>10276</v>
      </c>
      <c r="B10277" t="s">
        <v>20746</v>
      </c>
      <c r="C10277" t="s">
        <v>33</v>
      </c>
      <c r="D10277" t="s">
        <v>62</v>
      </c>
      <c r="E10277">
        <v>2055</v>
      </c>
      <c r="F10277">
        <v>2</v>
      </c>
      <c r="G10277">
        <v>2</v>
      </c>
      <c r="H10277">
        <v>1</v>
      </c>
      <c r="I10277">
        <v>0</v>
      </c>
      <c r="J10277">
        <v>0.99624765478424004</v>
      </c>
      <c r="K10277">
        <v>1</v>
      </c>
      <c r="L10277">
        <v>0.99812030075187996</v>
      </c>
      <c r="M10277">
        <v>0.99249530956847998</v>
      </c>
      <c r="N10277">
        <v>0.99249530956847998</v>
      </c>
      <c r="O10277">
        <v>0.99249530956847998</v>
      </c>
      <c r="P10277" t="s">
        <v>433</v>
      </c>
      <c r="Q10277" t="s">
        <v>434</v>
      </c>
      <c r="R10277" t="s">
        <v>235</v>
      </c>
      <c r="S10277" t="s">
        <v>236</v>
      </c>
      <c r="T10277" t="s">
        <v>469</v>
      </c>
      <c r="U10277" t="s">
        <v>470</v>
      </c>
      <c r="V10277" t="s">
        <v>437</v>
      </c>
      <c r="W10277" t="s">
        <v>438</v>
      </c>
      <c r="AD10277" t="s">
        <v>439</v>
      </c>
      <c r="AE10277" t="s">
        <v>471</v>
      </c>
      <c r="AF10277" t="s">
        <v>20748</v>
      </c>
    </row>
    <row r="10278" spans="1:32" hidden="1" x14ac:dyDescent="0.35">
      <c r="A10278">
        <v>10277</v>
      </c>
      <c r="B10278" t="s">
        <v>20749</v>
      </c>
      <c r="C10278" t="s">
        <v>33</v>
      </c>
      <c r="D10278" t="s">
        <v>60</v>
      </c>
      <c r="E10278">
        <v>170</v>
      </c>
      <c r="F10278">
        <v>2</v>
      </c>
      <c r="G10278">
        <v>2</v>
      </c>
      <c r="H10278">
        <v>1</v>
      </c>
      <c r="I10278">
        <v>0</v>
      </c>
      <c r="J10278">
        <v>0.99168975069252097</v>
      </c>
      <c r="K10278">
        <v>0.98641365371659095</v>
      </c>
      <c r="L10278">
        <v>0.989044665868832</v>
      </c>
      <c r="M10278">
        <v>0.97814207650273199</v>
      </c>
      <c r="N10278">
        <v>0.97814207650273199</v>
      </c>
      <c r="O10278">
        <v>0.97814207650273199</v>
      </c>
      <c r="P10278" t="s">
        <v>20750</v>
      </c>
      <c r="Q10278" t="s">
        <v>20751</v>
      </c>
      <c r="AF10278" t="s">
        <v>20752</v>
      </c>
    </row>
    <row r="10279" spans="1:32" hidden="1" x14ac:dyDescent="0.35">
      <c r="A10279">
        <v>10278</v>
      </c>
      <c r="B10279" t="s">
        <v>20749</v>
      </c>
      <c r="C10279" t="s">
        <v>33</v>
      </c>
      <c r="D10279" t="s">
        <v>62</v>
      </c>
      <c r="E10279">
        <v>246</v>
      </c>
      <c r="F10279">
        <v>2</v>
      </c>
      <c r="G10279">
        <v>2</v>
      </c>
      <c r="H10279">
        <v>1</v>
      </c>
      <c r="I10279">
        <v>0</v>
      </c>
      <c r="J10279">
        <v>0.99168975069252097</v>
      </c>
      <c r="K10279">
        <v>0.98641365371659095</v>
      </c>
      <c r="L10279">
        <v>0.989044665868832</v>
      </c>
      <c r="M10279">
        <v>0.97814207650273199</v>
      </c>
      <c r="N10279">
        <v>0.97814207650273199</v>
      </c>
      <c r="O10279">
        <v>0.97814207650273199</v>
      </c>
      <c r="P10279" t="s">
        <v>20750</v>
      </c>
      <c r="Q10279" t="s">
        <v>20751</v>
      </c>
      <c r="AF10279" t="s">
        <v>20753</v>
      </c>
    </row>
    <row r="10280" spans="1:32" hidden="1" x14ac:dyDescent="0.35">
      <c r="A10280">
        <v>10279</v>
      </c>
      <c r="B10280" t="s">
        <v>20754</v>
      </c>
      <c r="C10280" t="s">
        <v>33</v>
      </c>
      <c r="D10280" t="s">
        <v>60</v>
      </c>
      <c r="E10280">
        <v>1440</v>
      </c>
      <c r="F10280">
        <v>2</v>
      </c>
      <c r="G10280">
        <v>2</v>
      </c>
      <c r="H10280">
        <v>1</v>
      </c>
      <c r="I10280">
        <v>0</v>
      </c>
      <c r="J10280">
        <v>0.99901380670611395</v>
      </c>
      <c r="K10280">
        <v>1</v>
      </c>
      <c r="L10280">
        <v>0.99950666008880096</v>
      </c>
      <c r="M10280">
        <v>0.99704142011834296</v>
      </c>
      <c r="N10280">
        <v>0.99704142011834296</v>
      </c>
      <c r="O10280">
        <v>0.99704142011834296</v>
      </c>
      <c r="P10280" t="s">
        <v>340</v>
      </c>
      <c r="Q10280" t="s">
        <v>341</v>
      </c>
      <c r="R10280" t="s">
        <v>342</v>
      </c>
      <c r="S10280" t="s">
        <v>343</v>
      </c>
      <c r="T10280" t="s">
        <v>20755</v>
      </c>
      <c r="U10280" t="s">
        <v>11414</v>
      </c>
      <c r="V10280" t="s">
        <v>20756</v>
      </c>
      <c r="W10280" t="s">
        <v>20757</v>
      </c>
      <c r="AD10280" t="s">
        <v>166</v>
      </c>
      <c r="AE10280" t="s">
        <v>20758</v>
      </c>
      <c r="AF10280" t="s">
        <v>20759</v>
      </c>
    </row>
    <row r="10281" spans="1:32" hidden="1" x14ac:dyDescent="0.35">
      <c r="A10281">
        <v>10280</v>
      </c>
      <c r="B10281" t="s">
        <v>20754</v>
      </c>
      <c r="C10281" t="s">
        <v>33</v>
      </c>
      <c r="D10281" t="s">
        <v>62</v>
      </c>
      <c r="E10281">
        <v>1475</v>
      </c>
      <c r="F10281">
        <v>2</v>
      </c>
      <c r="G10281">
        <v>2</v>
      </c>
      <c r="H10281">
        <v>1</v>
      </c>
      <c r="I10281">
        <v>0</v>
      </c>
      <c r="J10281">
        <v>0.99901380670611395</v>
      </c>
      <c r="K10281">
        <v>1</v>
      </c>
      <c r="L10281">
        <v>0.99950666008880096</v>
      </c>
      <c r="M10281">
        <v>0.99704142011834296</v>
      </c>
      <c r="N10281">
        <v>0.99704142011834296</v>
      </c>
      <c r="O10281">
        <v>0.99704142011834296</v>
      </c>
      <c r="P10281" t="s">
        <v>340</v>
      </c>
      <c r="Q10281" t="s">
        <v>341</v>
      </c>
      <c r="R10281" t="s">
        <v>342</v>
      </c>
      <c r="S10281" t="s">
        <v>343</v>
      </c>
      <c r="T10281" t="s">
        <v>20755</v>
      </c>
      <c r="U10281" t="s">
        <v>11414</v>
      </c>
      <c r="V10281" t="s">
        <v>20756</v>
      </c>
      <c r="W10281" t="s">
        <v>20757</v>
      </c>
      <c r="AD10281" t="s">
        <v>166</v>
      </c>
      <c r="AE10281" t="s">
        <v>20758</v>
      </c>
      <c r="AF10281" t="s">
        <v>20760</v>
      </c>
    </row>
    <row r="10282" spans="1:32" hidden="1" x14ac:dyDescent="0.35">
      <c r="A10282">
        <v>10281</v>
      </c>
      <c r="B10282" t="s">
        <v>20761</v>
      </c>
      <c r="C10282" t="s">
        <v>33</v>
      </c>
      <c r="D10282" t="s">
        <v>60</v>
      </c>
      <c r="E10282">
        <v>1989</v>
      </c>
      <c r="F10282">
        <v>2</v>
      </c>
      <c r="G10282">
        <v>2</v>
      </c>
      <c r="H10282">
        <v>1</v>
      </c>
      <c r="I10282">
        <v>0</v>
      </c>
      <c r="J10282">
        <v>0.98518518518518505</v>
      </c>
      <c r="K10282">
        <v>1</v>
      </c>
      <c r="L10282">
        <v>0.99253731343283602</v>
      </c>
      <c r="M10282">
        <v>0.97777777777777797</v>
      </c>
      <c r="N10282">
        <v>0.97777777777777797</v>
      </c>
      <c r="O10282">
        <v>0.97777777777777797</v>
      </c>
      <c r="AF10282" t="s">
        <v>20762</v>
      </c>
    </row>
    <row r="10283" spans="1:32" hidden="1" x14ac:dyDescent="0.35">
      <c r="A10283">
        <v>10282</v>
      </c>
      <c r="B10283" t="s">
        <v>20761</v>
      </c>
      <c r="C10283" t="s">
        <v>33</v>
      </c>
      <c r="D10283" t="s">
        <v>62</v>
      </c>
      <c r="E10283">
        <v>2030</v>
      </c>
      <c r="F10283">
        <v>2</v>
      </c>
      <c r="G10283">
        <v>2</v>
      </c>
      <c r="H10283">
        <v>1</v>
      </c>
      <c r="I10283">
        <v>0</v>
      </c>
      <c r="J10283">
        <v>0.98518518518518505</v>
      </c>
      <c r="K10283">
        <v>1</v>
      </c>
      <c r="L10283">
        <v>0.99253731343283602</v>
      </c>
      <c r="M10283">
        <v>0.97777777777777797</v>
      </c>
      <c r="N10283">
        <v>0.97777777777777797</v>
      </c>
      <c r="O10283">
        <v>0.97777777777777797</v>
      </c>
      <c r="AF10283" t="s">
        <v>20763</v>
      </c>
    </row>
    <row r="10284" spans="1:32" hidden="1" x14ac:dyDescent="0.35">
      <c r="A10284">
        <v>10283</v>
      </c>
      <c r="B10284" t="s">
        <v>20764</v>
      </c>
      <c r="C10284" t="s">
        <v>33</v>
      </c>
      <c r="D10284" t="s">
        <v>60</v>
      </c>
      <c r="E10284">
        <v>904</v>
      </c>
      <c r="F10284">
        <v>2</v>
      </c>
      <c r="G10284">
        <v>2</v>
      </c>
      <c r="H10284">
        <v>1</v>
      </c>
      <c r="I10284">
        <v>0</v>
      </c>
      <c r="J10284">
        <v>0.99662162162162204</v>
      </c>
      <c r="K10284">
        <v>1</v>
      </c>
      <c r="L10284">
        <v>0.99830795262267302</v>
      </c>
      <c r="M10284">
        <v>0.98986486486486502</v>
      </c>
      <c r="N10284">
        <v>0.98986486486486502</v>
      </c>
      <c r="O10284">
        <v>0.98986486486486502</v>
      </c>
      <c r="P10284" t="s">
        <v>19247</v>
      </c>
      <c r="Q10284" t="s">
        <v>19248</v>
      </c>
      <c r="R10284" t="s">
        <v>113</v>
      </c>
      <c r="S10284" t="s">
        <v>114</v>
      </c>
      <c r="T10284" t="s">
        <v>20765</v>
      </c>
      <c r="U10284" t="s">
        <v>20766</v>
      </c>
      <c r="V10284" t="s">
        <v>20767</v>
      </c>
      <c r="W10284" t="s">
        <v>20768</v>
      </c>
      <c r="AD10284" t="s">
        <v>312</v>
      </c>
      <c r="AE10284" t="s">
        <v>20769</v>
      </c>
      <c r="AF10284" t="s">
        <v>20770</v>
      </c>
    </row>
    <row r="10285" spans="1:32" hidden="1" x14ac:dyDescent="0.35">
      <c r="A10285">
        <v>10284</v>
      </c>
      <c r="B10285" t="s">
        <v>20764</v>
      </c>
      <c r="C10285" t="s">
        <v>33</v>
      </c>
      <c r="D10285" t="s">
        <v>62</v>
      </c>
      <c r="E10285">
        <v>938</v>
      </c>
      <c r="F10285">
        <v>2</v>
      </c>
      <c r="G10285">
        <v>2</v>
      </c>
      <c r="H10285">
        <v>1</v>
      </c>
      <c r="I10285">
        <v>0</v>
      </c>
      <c r="J10285">
        <v>0.99662162162162204</v>
      </c>
      <c r="K10285">
        <v>1</v>
      </c>
      <c r="L10285">
        <v>0.99830795262267302</v>
      </c>
      <c r="M10285">
        <v>0.98986486486486502</v>
      </c>
      <c r="N10285">
        <v>0.98986486486486502</v>
      </c>
      <c r="O10285">
        <v>0.98986486486486502</v>
      </c>
      <c r="P10285" t="s">
        <v>19247</v>
      </c>
      <c r="Q10285" t="s">
        <v>19248</v>
      </c>
      <c r="R10285" t="s">
        <v>113</v>
      </c>
      <c r="S10285" t="s">
        <v>114</v>
      </c>
      <c r="T10285" t="s">
        <v>20765</v>
      </c>
      <c r="U10285" t="s">
        <v>20766</v>
      </c>
      <c r="V10285" t="s">
        <v>20767</v>
      </c>
      <c r="W10285" t="s">
        <v>20768</v>
      </c>
      <c r="AD10285" t="s">
        <v>312</v>
      </c>
      <c r="AE10285" t="s">
        <v>20769</v>
      </c>
      <c r="AF10285" t="s">
        <v>20771</v>
      </c>
    </row>
    <row r="10286" spans="1:32" hidden="1" x14ac:dyDescent="0.35">
      <c r="A10286">
        <v>10285</v>
      </c>
      <c r="B10286" t="s">
        <v>20772</v>
      </c>
      <c r="C10286" t="s">
        <v>33</v>
      </c>
      <c r="D10286" t="s">
        <v>34</v>
      </c>
      <c r="E10286">
        <v>1529</v>
      </c>
      <c r="F10286">
        <v>2</v>
      </c>
      <c r="G10286">
        <v>2</v>
      </c>
      <c r="H10286">
        <v>1</v>
      </c>
      <c r="I10286">
        <v>0</v>
      </c>
      <c r="J10286">
        <v>0.99489795918367396</v>
      </c>
      <c r="K10286">
        <v>1</v>
      </c>
      <c r="L10286">
        <v>0.99744245524296704</v>
      </c>
      <c r="M10286">
        <v>0.99489795918367396</v>
      </c>
      <c r="N10286">
        <v>0.99489795918367396</v>
      </c>
      <c r="O10286">
        <v>0.99489795918367396</v>
      </c>
      <c r="R10286" t="s">
        <v>342</v>
      </c>
      <c r="S10286" t="s">
        <v>343</v>
      </c>
      <c r="V10286" t="s">
        <v>14393</v>
      </c>
      <c r="W10286" t="s">
        <v>14394</v>
      </c>
      <c r="AF10286" t="s">
        <v>20773</v>
      </c>
    </row>
    <row r="10287" spans="1:32" hidden="1" x14ac:dyDescent="0.35">
      <c r="A10287">
        <v>10286</v>
      </c>
      <c r="B10287" t="s">
        <v>20772</v>
      </c>
      <c r="C10287" t="s">
        <v>33</v>
      </c>
      <c r="D10287" t="s">
        <v>45</v>
      </c>
      <c r="E10287">
        <v>279</v>
      </c>
      <c r="F10287">
        <v>2</v>
      </c>
      <c r="G10287">
        <v>2</v>
      </c>
      <c r="H10287">
        <v>1</v>
      </c>
      <c r="I10287">
        <v>0</v>
      </c>
      <c r="J10287">
        <v>0.99489795918367396</v>
      </c>
      <c r="K10287">
        <v>1</v>
      </c>
      <c r="L10287">
        <v>0.99744245524296704</v>
      </c>
      <c r="M10287">
        <v>0.99489795918367396</v>
      </c>
      <c r="N10287">
        <v>0.99489795918367396</v>
      </c>
      <c r="O10287">
        <v>0.99489795918367396</v>
      </c>
      <c r="R10287" t="s">
        <v>342</v>
      </c>
      <c r="S10287" t="s">
        <v>343</v>
      </c>
      <c r="V10287" t="s">
        <v>14393</v>
      </c>
      <c r="W10287" t="s">
        <v>14394</v>
      </c>
      <c r="AF10287" t="s">
        <v>20774</v>
      </c>
    </row>
    <row r="10288" spans="1:32" hidden="1" x14ac:dyDescent="0.35">
      <c r="A10288">
        <v>10287</v>
      </c>
      <c r="B10288" t="s">
        <v>20775</v>
      </c>
      <c r="C10288" t="s">
        <v>33</v>
      </c>
      <c r="D10288" t="s">
        <v>34</v>
      </c>
      <c r="E10288">
        <v>319</v>
      </c>
      <c r="F10288">
        <v>2</v>
      </c>
      <c r="G10288">
        <v>2</v>
      </c>
      <c r="H10288">
        <v>1</v>
      </c>
      <c r="I10288">
        <v>0</v>
      </c>
      <c r="J10288">
        <v>0.99326599326599296</v>
      </c>
      <c r="K10288">
        <v>1</v>
      </c>
      <c r="L10288">
        <v>0.99662162162162204</v>
      </c>
      <c r="M10288">
        <v>0.98989898989898994</v>
      </c>
      <c r="N10288">
        <v>0.98989898989898994</v>
      </c>
      <c r="O10288">
        <v>0.98989898989898994</v>
      </c>
      <c r="P10288" t="s">
        <v>18551</v>
      </c>
      <c r="Q10288" t="s">
        <v>18552</v>
      </c>
      <c r="R10288" t="s">
        <v>371</v>
      </c>
      <c r="S10288" t="s">
        <v>372</v>
      </c>
      <c r="V10288" t="s">
        <v>20776</v>
      </c>
      <c r="W10288" t="s">
        <v>20777</v>
      </c>
      <c r="AF10288" t="s">
        <v>20778</v>
      </c>
    </row>
    <row r="10289" spans="1:32" hidden="1" x14ac:dyDescent="0.35">
      <c r="A10289">
        <v>10288</v>
      </c>
      <c r="B10289" t="s">
        <v>20775</v>
      </c>
      <c r="C10289" t="s">
        <v>33</v>
      </c>
      <c r="D10289" t="s">
        <v>45</v>
      </c>
      <c r="E10289">
        <v>1581</v>
      </c>
      <c r="F10289">
        <v>2</v>
      </c>
      <c r="G10289">
        <v>2</v>
      </c>
      <c r="H10289">
        <v>1</v>
      </c>
      <c r="I10289">
        <v>0</v>
      </c>
      <c r="J10289">
        <v>0.99326599326599296</v>
      </c>
      <c r="K10289">
        <v>1</v>
      </c>
      <c r="L10289">
        <v>0.99662162162162204</v>
      </c>
      <c r="M10289">
        <v>0.98989898989898994</v>
      </c>
      <c r="N10289">
        <v>0.98989898989898994</v>
      </c>
      <c r="O10289">
        <v>0.98989898989898994</v>
      </c>
      <c r="P10289" t="s">
        <v>18551</v>
      </c>
      <c r="Q10289" t="s">
        <v>18552</v>
      </c>
      <c r="R10289" t="s">
        <v>371</v>
      </c>
      <c r="S10289" t="s">
        <v>372</v>
      </c>
      <c r="V10289" t="s">
        <v>20776</v>
      </c>
      <c r="W10289" t="s">
        <v>20777</v>
      </c>
      <c r="AF10289" t="s">
        <v>20779</v>
      </c>
    </row>
    <row r="10290" spans="1:32" hidden="1" x14ac:dyDescent="0.35">
      <c r="A10290">
        <v>10289</v>
      </c>
      <c r="B10290" t="s">
        <v>20780</v>
      </c>
      <c r="C10290" t="s">
        <v>33</v>
      </c>
      <c r="D10290" t="s">
        <v>34</v>
      </c>
      <c r="E10290">
        <v>1978</v>
      </c>
      <c r="F10290">
        <v>2</v>
      </c>
      <c r="G10290">
        <v>2</v>
      </c>
      <c r="H10290">
        <v>1</v>
      </c>
      <c r="I10290">
        <v>0</v>
      </c>
      <c r="J10290">
        <v>0.97985901309164103</v>
      </c>
      <c r="K10290">
        <v>1</v>
      </c>
      <c r="L10290">
        <v>0.98982706002034604</v>
      </c>
      <c r="M10290">
        <v>0.96978851963746204</v>
      </c>
      <c r="N10290">
        <v>0.96978851963746204</v>
      </c>
      <c r="O10290">
        <v>0.96978851963746204</v>
      </c>
      <c r="AF10290" t="s">
        <v>20781</v>
      </c>
    </row>
    <row r="10291" spans="1:32" hidden="1" x14ac:dyDescent="0.35">
      <c r="A10291">
        <v>10290</v>
      </c>
      <c r="B10291" t="s">
        <v>20780</v>
      </c>
      <c r="C10291" t="s">
        <v>33</v>
      </c>
      <c r="D10291" t="s">
        <v>45</v>
      </c>
      <c r="E10291">
        <v>895</v>
      </c>
      <c r="F10291">
        <v>2</v>
      </c>
      <c r="G10291">
        <v>2</v>
      </c>
      <c r="H10291">
        <v>1</v>
      </c>
      <c r="I10291">
        <v>0</v>
      </c>
      <c r="J10291">
        <v>0.97985901309164103</v>
      </c>
      <c r="K10291">
        <v>1</v>
      </c>
      <c r="L10291">
        <v>0.98982706002034604</v>
      </c>
      <c r="M10291">
        <v>0.96978851963746204</v>
      </c>
      <c r="N10291">
        <v>0.96978851963746204</v>
      </c>
      <c r="O10291">
        <v>0.96978851963746204</v>
      </c>
      <c r="AF10291" t="s">
        <v>20782</v>
      </c>
    </row>
    <row r="10292" spans="1:32" hidden="1" x14ac:dyDescent="0.35">
      <c r="A10292">
        <v>10291</v>
      </c>
      <c r="B10292" t="s">
        <v>20783</v>
      </c>
      <c r="C10292" t="s">
        <v>33</v>
      </c>
      <c r="D10292" t="s">
        <v>60</v>
      </c>
      <c r="E10292">
        <v>1700</v>
      </c>
      <c r="F10292">
        <v>2</v>
      </c>
      <c r="G10292">
        <v>2</v>
      </c>
      <c r="H10292">
        <v>1</v>
      </c>
      <c r="I10292">
        <v>0</v>
      </c>
      <c r="J10292">
        <v>0.99844236760124605</v>
      </c>
      <c r="K10292">
        <v>1</v>
      </c>
      <c r="L10292">
        <v>0.99922057677318799</v>
      </c>
      <c r="M10292">
        <v>0.99532710280373804</v>
      </c>
      <c r="N10292">
        <v>0.99532710280373804</v>
      </c>
      <c r="O10292">
        <v>0.99532710280373804</v>
      </c>
      <c r="AF10292" t="s">
        <v>20784</v>
      </c>
    </row>
    <row r="10293" spans="1:32" hidden="1" x14ac:dyDescent="0.35">
      <c r="A10293">
        <v>10292</v>
      </c>
      <c r="B10293" t="s">
        <v>20783</v>
      </c>
      <c r="C10293" t="s">
        <v>33</v>
      </c>
      <c r="D10293" t="s">
        <v>62</v>
      </c>
      <c r="E10293">
        <v>1735</v>
      </c>
      <c r="F10293">
        <v>2</v>
      </c>
      <c r="G10293">
        <v>2</v>
      </c>
      <c r="H10293">
        <v>1</v>
      </c>
      <c r="I10293">
        <v>0</v>
      </c>
      <c r="J10293">
        <v>0.99844236760124605</v>
      </c>
      <c r="K10293">
        <v>1</v>
      </c>
      <c r="L10293">
        <v>0.99922057677318799</v>
      </c>
      <c r="M10293">
        <v>0.99532710280373804</v>
      </c>
      <c r="N10293">
        <v>0.99532710280373804</v>
      </c>
      <c r="O10293">
        <v>0.99532710280373804</v>
      </c>
      <c r="AF10293" t="s">
        <v>20785</v>
      </c>
    </row>
    <row r="10294" spans="1:32" hidden="1" x14ac:dyDescent="0.35">
      <c r="A10294">
        <v>10293</v>
      </c>
      <c r="B10294" t="s">
        <v>20786</v>
      </c>
      <c r="C10294" t="s">
        <v>33</v>
      </c>
      <c r="D10294" t="s">
        <v>60</v>
      </c>
      <c r="E10294">
        <v>95</v>
      </c>
      <c r="F10294">
        <v>2</v>
      </c>
      <c r="G10294">
        <v>2</v>
      </c>
      <c r="H10294">
        <v>1</v>
      </c>
      <c r="I10294">
        <v>0</v>
      </c>
      <c r="J10294">
        <v>0.990407673860911</v>
      </c>
      <c r="K10294">
        <v>1</v>
      </c>
      <c r="L10294">
        <v>0.99518072289156601</v>
      </c>
      <c r="M10294">
        <v>0.985611510791367</v>
      </c>
      <c r="N10294">
        <v>0.985611510791367</v>
      </c>
      <c r="O10294">
        <v>0.985611510791367</v>
      </c>
      <c r="AF10294" t="s">
        <v>20787</v>
      </c>
    </row>
    <row r="10295" spans="1:32" hidden="1" x14ac:dyDescent="0.35">
      <c r="A10295">
        <v>10294</v>
      </c>
      <c r="B10295" t="s">
        <v>20786</v>
      </c>
      <c r="C10295" t="s">
        <v>33</v>
      </c>
      <c r="D10295" t="s">
        <v>62</v>
      </c>
      <c r="E10295">
        <v>167</v>
      </c>
      <c r="F10295">
        <v>2</v>
      </c>
      <c r="G10295">
        <v>2</v>
      </c>
      <c r="H10295">
        <v>1</v>
      </c>
      <c r="I10295">
        <v>0</v>
      </c>
      <c r="J10295">
        <v>0.990407673860911</v>
      </c>
      <c r="K10295">
        <v>1</v>
      </c>
      <c r="L10295">
        <v>0.99518072289156601</v>
      </c>
      <c r="M10295">
        <v>0.985611510791367</v>
      </c>
      <c r="N10295">
        <v>0.985611510791367</v>
      </c>
      <c r="O10295">
        <v>0.985611510791367</v>
      </c>
      <c r="AF10295" t="s">
        <v>20788</v>
      </c>
    </row>
    <row r="10296" spans="1:32" hidden="1" x14ac:dyDescent="0.35">
      <c r="A10296">
        <v>10295</v>
      </c>
      <c r="B10296" t="s">
        <v>20789</v>
      </c>
      <c r="C10296" t="s">
        <v>33</v>
      </c>
      <c r="D10296" t="s">
        <v>34</v>
      </c>
      <c r="E10296">
        <v>2221</v>
      </c>
      <c r="F10296">
        <v>2</v>
      </c>
      <c r="G10296">
        <v>2</v>
      </c>
      <c r="H10296">
        <v>1</v>
      </c>
      <c r="I10296">
        <v>0</v>
      </c>
      <c r="J10296">
        <v>0.99371069182389904</v>
      </c>
      <c r="K10296">
        <v>1</v>
      </c>
      <c r="L10296">
        <v>0.99684542586750802</v>
      </c>
      <c r="M10296">
        <v>0.99056603773584895</v>
      </c>
      <c r="N10296">
        <v>0.99056603773584895</v>
      </c>
      <c r="O10296">
        <v>0.99056603773584895</v>
      </c>
      <c r="AF10296" t="s">
        <v>20790</v>
      </c>
    </row>
    <row r="10297" spans="1:32" hidden="1" x14ac:dyDescent="0.35">
      <c r="A10297">
        <v>10296</v>
      </c>
      <c r="B10297" t="s">
        <v>20789</v>
      </c>
      <c r="C10297" t="s">
        <v>33</v>
      </c>
      <c r="D10297" t="s">
        <v>45</v>
      </c>
      <c r="E10297">
        <v>655</v>
      </c>
      <c r="F10297">
        <v>2</v>
      </c>
      <c r="G10297">
        <v>2</v>
      </c>
      <c r="H10297">
        <v>1</v>
      </c>
      <c r="I10297">
        <v>0</v>
      </c>
      <c r="J10297">
        <v>0.99371069182389904</v>
      </c>
      <c r="K10297">
        <v>1</v>
      </c>
      <c r="L10297">
        <v>0.99684542586750802</v>
      </c>
      <c r="M10297">
        <v>0.99056603773584895</v>
      </c>
      <c r="N10297">
        <v>0.99056603773584895</v>
      </c>
      <c r="O10297">
        <v>0.99056603773584895</v>
      </c>
      <c r="AF10297" t="s">
        <v>20791</v>
      </c>
    </row>
    <row r="10298" spans="1:32" hidden="1" x14ac:dyDescent="0.35">
      <c r="A10298">
        <v>10297</v>
      </c>
      <c r="B10298" t="s">
        <v>20792</v>
      </c>
      <c r="C10298" t="s">
        <v>33</v>
      </c>
      <c r="D10298" t="s">
        <v>34</v>
      </c>
      <c r="E10298">
        <v>1269</v>
      </c>
      <c r="F10298">
        <v>2</v>
      </c>
      <c r="G10298">
        <v>2</v>
      </c>
      <c r="H10298">
        <v>1</v>
      </c>
      <c r="I10298">
        <v>0</v>
      </c>
      <c r="J10298">
        <v>0.80086580086580095</v>
      </c>
      <c r="K10298">
        <v>0.75320179993077296</v>
      </c>
      <c r="L10298">
        <v>0.77630286147903704</v>
      </c>
      <c r="M10298">
        <v>0.52777777777777801</v>
      </c>
      <c r="N10298">
        <v>0.52777777777777801</v>
      </c>
      <c r="O10298">
        <v>0.52777777777777801</v>
      </c>
      <c r="AF10298" t="s">
        <v>20793</v>
      </c>
    </row>
    <row r="10299" spans="1:32" hidden="1" x14ac:dyDescent="0.35">
      <c r="A10299">
        <v>10298</v>
      </c>
      <c r="B10299" t="s">
        <v>20792</v>
      </c>
      <c r="C10299" t="s">
        <v>33</v>
      </c>
      <c r="D10299" t="s">
        <v>45</v>
      </c>
      <c r="E10299">
        <v>19</v>
      </c>
      <c r="F10299">
        <v>2</v>
      </c>
      <c r="G10299">
        <v>2</v>
      </c>
      <c r="H10299">
        <v>1</v>
      </c>
      <c r="I10299">
        <v>0</v>
      </c>
      <c r="J10299">
        <v>0.80086580086580095</v>
      </c>
      <c r="K10299">
        <v>0.75320179993077296</v>
      </c>
      <c r="L10299">
        <v>0.77630286147903704</v>
      </c>
      <c r="M10299">
        <v>0.52777777777777801</v>
      </c>
      <c r="N10299">
        <v>0.52777777777777801</v>
      </c>
      <c r="O10299">
        <v>0.52777777777777801</v>
      </c>
      <c r="AF10299" t="s">
        <v>20794</v>
      </c>
    </row>
    <row r="10300" spans="1:32" hidden="1" x14ac:dyDescent="0.35">
      <c r="A10300">
        <v>10299</v>
      </c>
      <c r="B10300" t="s">
        <v>20795</v>
      </c>
      <c r="C10300" t="s">
        <v>33</v>
      </c>
      <c r="D10300" t="s">
        <v>34</v>
      </c>
      <c r="E10300">
        <v>102</v>
      </c>
      <c r="F10300">
        <v>2</v>
      </c>
      <c r="G10300">
        <v>2</v>
      </c>
      <c r="H10300">
        <v>1</v>
      </c>
      <c r="I10300">
        <v>0</v>
      </c>
      <c r="J10300">
        <v>0.981238273921201</v>
      </c>
      <c r="K10300">
        <v>1</v>
      </c>
      <c r="L10300">
        <v>0.99053030303030298</v>
      </c>
      <c r="M10300">
        <v>0.97748592870544104</v>
      </c>
      <c r="N10300">
        <v>0.97748592870544104</v>
      </c>
      <c r="O10300">
        <v>0.97748592870544104</v>
      </c>
      <c r="AF10300" t="s">
        <v>20796</v>
      </c>
    </row>
    <row r="10301" spans="1:32" hidden="1" x14ac:dyDescent="0.35">
      <c r="A10301">
        <v>10300</v>
      </c>
      <c r="B10301" t="s">
        <v>20795</v>
      </c>
      <c r="C10301" t="s">
        <v>33</v>
      </c>
      <c r="D10301" t="s">
        <v>45</v>
      </c>
      <c r="E10301">
        <v>1363</v>
      </c>
      <c r="F10301">
        <v>2</v>
      </c>
      <c r="G10301">
        <v>2</v>
      </c>
      <c r="H10301">
        <v>1</v>
      </c>
      <c r="I10301">
        <v>0</v>
      </c>
      <c r="J10301">
        <v>0.981238273921201</v>
      </c>
      <c r="K10301">
        <v>1</v>
      </c>
      <c r="L10301">
        <v>0.99053030303030298</v>
      </c>
      <c r="M10301">
        <v>0.97748592870544104</v>
      </c>
      <c r="N10301">
        <v>0.97748592870544104</v>
      </c>
      <c r="O10301">
        <v>0.97748592870544104</v>
      </c>
      <c r="AF10301" t="s">
        <v>20797</v>
      </c>
    </row>
    <row r="10302" spans="1:32" hidden="1" x14ac:dyDescent="0.35">
      <c r="A10302">
        <v>10301</v>
      </c>
      <c r="B10302" t="s">
        <v>20798</v>
      </c>
      <c r="C10302" t="s">
        <v>33</v>
      </c>
      <c r="D10302" t="s">
        <v>60</v>
      </c>
      <c r="E10302">
        <v>1818</v>
      </c>
      <c r="F10302">
        <v>2</v>
      </c>
      <c r="G10302">
        <v>2</v>
      </c>
      <c r="H10302">
        <v>1</v>
      </c>
      <c r="I10302">
        <v>0</v>
      </c>
      <c r="J10302">
        <v>0.99107142857142905</v>
      </c>
      <c r="K10302">
        <v>1</v>
      </c>
      <c r="L10302">
        <v>0.99551569506726501</v>
      </c>
      <c r="M10302">
        <v>0.99107142857142905</v>
      </c>
      <c r="N10302">
        <v>0.99107142857142905</v>
      </c>
      <c r="O10302">
        <v>0.99107142857142905</v>
      </c>
      <c r="P10302" t="s">
        <v>19572</v>
      </c>
      <c r="Q10302" t="s">
        <v>19573</v>
      </c>
      <c r="R10302" t="s">
        <v>138</v>
      </c>
      <c r="S10302" t="s">
        <v>139</v>
      </c>
      <c r="T10302" t="s">
        <v>20799</v>
      </c>
      <c r="U10302" t="s">
        <v>20800</v>
      </c>
      <c r="V10302" t="s">
        <v>20801</v>
      </c>
      <c r="W10302" t="s">
        <v>20802</v>
      </c>
      <c r="AD10302" t="s">
        <v>14436</v>
      </c>
      <c r="AE10302" t="s">
        <v>14437</v>
      </c>
      <c r="AF10302" t="s">
        <v>20803</v>
      </c>
    </row>
    <row r="10303" spans="1:32" hidden="1" x14ac:dyDescent="0.35">
      <c r="A10303">
        <v>10302</v>
      </c>
      <c r="B10303" t="s">
        <v>20798</v>
      </c>
      <c r="C10303" t="s">
        <v>33</v>
      </c>
      <c r="D10303" t="s">
        <v>62</v>
      </c>
      <c r="E10303">
        <v>1856</v>
      </c>
      <c r="F10303">
        <v>2</v>
      </c>
      <c r="G10303">
        <v>2</v>
      </c>
      <c r="H10303">
        <v>1</v>
      </c>
      <c r="I10303">
        <v>0</v>
      </c>
      <c r="J10303">
        <v>0.99107142857142905</v>
      </c>
      <c r="K10303">
        <v>1</v>
      </c>
      <c r="L10303">
        <v>0.99551569506726501</v>
      </c>
      <c r="M10303">
        <v>0.99107142857142905</v>
      </c>
      <c r="N10303">
        <v>0.99107142857142905</v>
      </c>
      <c r="O10303">
        <v>0.99107142857142905</v>
      </c>
      <c r="P10303" t="s">
        <v>19572</v>
      </c>
      <c r="Q10303" t="s">
        <v>19573</v>
      </c>
      <c r="R10303" t="s">
        <v>138</v>
      </c>
      <c r="S10303" t="s">
        <v>139</v>
      </c>
      <c r="T10303" t="s">
        <v>20799</v>
      </c>
      <c r="U10303" t="s">
        <v>20800</v>
      </c>
      <c r="V10303" t="s">
        <v>20801</v>
      </c>
      <c r="W10303" t="s">
        <v>20802</v>
      </c>
      <c r="AD10303" t="s">
        <v>14436</v>
      </c>
      <c r="AE10303" t="s">
        <v>14437</v>
      </c>
      <c r="AF10303" t="s">
        <v>20804</v>
      </c>
    </row>
    <row r="10304" spans="1:32" hidden="1" x14ac:dyDescent="0.35">
      <c r="A10304">
        <v>10303</v>
      </c>
      <c r="B10304" t="s">
        <v>20805</v>
      </c>
      <c r="C10304" t="s">
        <v>33</v>
      </c>
      <c r="D10304" t="s">
        <v>34</v>
      </c>
      <c r="E10304">
        <v>1211</v>
      </c>
      <c r="F10304">
        <v>2</v>
      </c>
      <c r="G10304">
        <v>2</v>
      </c>
      <c r="H10304">
        <v>1</v>
      </c>
      <c r="I10304">
        <v>0</v>
      </c>
      <c r="J10304">
        <v>0.98791540785498499</v>
      </c>
      <c r="K10304">
        <v>1</v>
      </c>
      <c r="L10304">
        <v>0.99392097264437695</v>
      </c>
      <c r="M10304">
        <v>0.98187311178247705</v>
      </c>
      <c r="N10304">
        <v>0.98187311178247705</v>
      </c>
      <c r="O10304">
        <v>0.98187311178247705</v>
      </c>
      <c r="AF10304" t="s">
        <v>20806</v>
      </c>
    </row>
    <row r="10305" spans="1:32" hidden="1" x14ac:dyDescent="0.35">
      <c r="A10305">
        <v>10304</v>
      </c>
      <c r="B10305" t="s">
        <v>20805</v>
      </c>
      <c r="C10305" t="s">
        <v>33</v>
      </c>
      <c r="D10305" t="s">
        <v>45</v>
      </c>
      <c r="E10305">
        <v>2454</v>
      </c>
      <c r="F10305">
        <v>2</v>
      </c>
      <c r="G10305">
        <v>2</v>
      </c>
      <c r="H10305">
        <v>1</v>
      </c>
      <c r="I10305">
        <v>0</v>
      </c>
      <c r="J10305">
        <v>0.98791540785498499</v>
      </c>
      <c r="K10305">
        <v>1</v>
      </c>
      <c r="L10305">
        <v>0.99392097264437695</v>
      </c>
      <c r="M10305">
        <v>0.98187311178247705</v>
      </c>
      <c r="N10305">
        <v>0.98187311178247705</v>
      </c>
      <c r="O10305">
        <v>0.98187311178247705</v>
      </c>
      <c r="AF10305" t="s">
        <v>20807</v>
      </c>
    </row>
    <row r="10306" spans="1:32" hidden="1" x14ac:dyDescent="0.35">
      <c r="A10306">
        <v>10305</v>
      </c>
      <c r="B10306" t="s">
        <v>20808</v>
      </c>
      <c r="C10306" t="s">
        <v>33</v>
      </c>
      <c r="D10306" t="s">
        <v>60</v>
      </c>
      <c r="E10306">
        <v>2050</v>
      </c>
      <c r="F10306">
        <v>2</v>
      </c>
      <c r="G10306">
        <v>2</v>
      </c>
      <c r="H10306">
        <v>1</v>
      </c>
      <c r="I10306">
        <v>0</v>
      </c>
      <c r="J10306">
        <v>0.992649137687306</v>
      </c>
      <c r="K10306">
        <v>1</v>
      </c>
      <c r="L10306">
        <v>0.99631101021566404</v>
      </c>
      <c r="M10306">
        <v>0.98982188295165396</v>
      </c>
      <c r="N10306">
        <v>0.98982188295165396</v>
      </c>
      <c r="O10306">
        <v>0.98982188295165396</v>
      </c>
      <c r="P10306" t="s">
        <v>13318</v>
      </c>
      <c r="Q10306" t="s">
        <v>13319</v>
      </c>
      <c r="AF10306" t="s">
        <v>20809</v>
      </c>
    </row>
    <row r="10307" spans="1:32" hidden="1" x14ac:dyDescent="0.35">
      <c r="A10307">
        <v>10306</v>
      </c>
      <c r="B10307" t="s">
        <v>20808</v>
      </c>
      <c r="C10307" t="s">
        <v>33</v>
      </c>
      <c r="D10307" t="s">
        <v>62</v>
      </c>
      <c r="E10307">
        <v>2087</v>
      </c>
      <c r="F10307">
        <v>2</v>
      </c>
      <c r="G10307">
        <v>2</v>
      </c>
      <c r="H10307">
        <v>1</v>
      </c>
      <c r="I10307">
        <v>0</v>
      </c>
      <c r="J10307">
        <v>0.992649137687306</v>
      </c>
      <c r="K10307">
        <v>1</v>
      </c>
      <c r="L10307">
        <v>0.99631101021566404</v>
      </c>
      <c r="M10307">
        <v>0.98982188295165396</v>
      </c>
      <c r="N10307">
        <v>0.98982188295165396</v>
      </c>
      <c r="O10307">
        <v>0.98982188295165396</v>
      </c>
      <c r="P10307" t="s">
        <v>13318</v>
      </c>
      <c r="Q10307" t="s">
        <v>13319</v>
      </c>
      <c r="AF10307" t="s">
        <v>20810</v>
      </c>
    </row>
    <row r="10308" spans="1:32" hidden="1" x14ac:dyDescent="0.35">
      <c r="A10308">
        <v>10307</v>
      </c>
      <c r="B10308" t="s">
        <v>20811</v>
      </c>
      <c r="C10308" t="s">
        <v>33</v>
      </c>
      <c r="D10308" t="s">
        <v>60</v>
      </c>
      <c r="E10308">
        <v>2366</v>
      </c>
      <c r="F10308">
        <v>2</v>
      </c>
      <c r="G10308">
        <v>2</v>
      </c>
      <c r="H10308">
        <v>1</v>
      </c>
      <c r="I10308">
        <v>0</v>
      </c>
      <c r="J10308">
        <v>0.995798319327731</v>
      </c>
      <c r="K10308">
        <v>1</v>
      </c>
      <c r="L10308">
        <v>0.99789473684210495</v>
      </c>
      <c r="M10308">
        <v>0.995798319327731</v>
      </c>
      <c r="N10308">
        <v>0.995798319327731</v>
      </c>
      <c r="O10308">
        <v>0.995798319327731</v>
      </c>
      <c r="P10308" t="s">
        <v>169</v>
      </c>
      <c r="Q10308" t="s">
        <v>170</v>
      </c>
      <c r="R10308" t="s">
        <v>138</v>
      </c>
      <c r="S10308" t="s">
        <v>139</v>
      </c>
      <c r="T10308" t="s">
        <v>20812</v>
      </c>
      <c r="U10308" t="s">
        <v>10861</v>
      </c>
      <c r="V10308" t="s">
        <v>3693</v>
      </c>
      <c r="W10308" t="s">
        <v>3694</v>
      </c>
      <c r="AD10308" t="s">
        <v>11660</v>
      </c>
      <c r="AE10308" t="s">
        <v>20163</v>
      </c>
      <c r="AF10308" t="s">
        <v>20813</v>
      </c>
    </row>
    <row r="10309" spans="1:32" hidden="1" x14ac:dyDescent="0.35">
      <c r="A10309">
        <v>10308</v>
      </c>
      <c r="B10309" t="s">
        <v>20811</v>
      </c>
      <c r="C10309" t="s">
        <v>33</v>
      </c>
      <c r="D10309" t="s">
        <v>62</v>
      </c>
      <c r="E10309">
        <v>2394</v>
      </c>
      <c r="F10309">
        <v>2</v>
      </c>
      <c r="G10309">
        <v>2</v>
      </c>
      <c r="H10309">
        <v>1</v>
      </c>
      <c r="I10309">
        <v>0</v>
      </c>
      <c r="J10309">
        <v>0.995798319327731</v>
      </c>
      <c r="K10309">
        <v>1</v>
      </c>
      <c r="L10309">
        <v>0.99789473684210495</v>
      </c>
      <c r="M10309">
        <v>0.995798319327731</v>
      </c>
      <c r="N10309">
        <v>0.995798319327731</v>
      </c>
      <c r="O10309">
        <v>0.995798319327731</v>
      </c>
      <c r="P10309" t="s">
        <v>169</v>
      </c>
      <c r="Q10309" t="s">
        <v>170</v>
      </c>
      <c r="R10309" t="s">
        <v>138</v>
      </c>
      <c r="S10309" t="s">
        <v>139</v>
      </c>
      <c r="T10309" t="s">
        <v>20812</v>
      </c>
      <c r="U10309" t="s">
        <v>10861</v>
      </c>
      <c r="V10309" t="s">
        <v>3693</v>
      </c>
      <c r="W10309" t="s">
        <v>3694</v>
      </c>
      <c r="AD10309" t="s">
        <v>11660</v>
      </c>
      <c r="AE10309" t="s">
        <v>20163</v>
      </c>
      <c r="AF10309" t="s">
        <v>20814</v>
      </c>
    </row>
    <row r="10310" spans="1:32" hidden="1" x14ac:dyDescent="0.35">
      <c r="A10310">
        <v>10309</v>
      </c>
      <c r="B10310" t="s">
        <v>20815</v>
      </c>
      <c r="C10310" t="s">
        <v>33</v>
      </c>
      <c r="D10310" t="s">
        <v>34</v>
      </c>
      <c r="E10310">
        <v>1316</v>
      </c>
      <c r="F10310">
        <v>2</v>
      </c>
      <c r="G10310">
        <v>2</v>
      </c>
      <c r="H10310">
        <v>1</v>
      </c>
      <c r="I10310">
        <v>0</v>
      </c>
      <c r="J10310">
        <v>0.99158249158249201</v>
      </c>
      <c r="K10310">
        <v>1</v>
      </c>
      <c r="L10310">
        <v>0.99577345731191902</v>
      </c>
      <c r="M10310">
        <v>0.98821548821548799</v>
      </c>
      <c r="N10310">
        <v>0.98821548821548799</v>
      </c>
      <c r="O10310">
        <v>0.98821548821548799</v>
      </c>
      <c r="P10310" t="s">
        <v>169</v>
      </c>
      <c r="Q10310" t="s">
        <v>170</v>
      </c>
      <c r="R10310" t="s">
        <v>138</v>
      </c>
      <c r="S10310" t="s">
        <v>139</v>
      </c>
      <c r="V10310" t="s">
        <v>11356</v>
      </c>
      <c r="W10310" t="s">
        <v>11357</v>
      </c>
      <c r="AF10310" t="s">
        <v>20816</v>
      </c>
    </row>
    <row r="10311" spans="1:32" hidden="1" x14ac:dyDescent="0.35">
      <c r="A10311">
        <v>10310</v>
      </c>
      <c r="B10311" t="s">
        <v>20815</v>
      </c>
      <c r="C10311" t="s">
        <v>33</v>
      </c>
      <c r="D10311" t="s">
        <v>45</v>
      </c>
      <c r="E10311">
        <v>68</v>
      </c>
      <c r="F10311">
        <v>2</v>
      </c>
      <c r="G10311">
        <v>2</v>
      </c>
      <c r="H10311">
        <v>1</v>
      </c>
      <c r="I10311">
        <v>0</v>
      </c>
      <c r="J10311">
        <v>0.99158249158249201</v>
      </c>
      <c r="K10311">
        <v>1</v>
      </c>
      <c r="L10311">
        <v>0.99577345731191902</v>
      </c>
      <c r="M10311">
        <v>0.98821548821548799</v>
      </c>
      <c r="N10311">
        <v>0.98821548821548799</v>
      </c>
      <c r="O10311">
        <v>0.98821548821548799</v>
      </c>
      <c r="P10311" t="s">
        <v>169</v>
      </c>
      <c r="Q10311" t="s">
        <v>170</v>
      </c>
      <c r="R10311" t="s">
        <v>138</v>
      </c>
      <c r="S10311" t="s">
        <v>139</v>
      </c>
      <c r="V10311" t="s">
        <v>11356</v>
      </c>
      <c r="W10311" t="s">
        <v>11357</v>
      </c>
      <c r="AF10311" t="s">
        <v>20817</v>
      </c>
    </row>
    <row r="10312" spans="1:32" hidden="1" x14ac:dyDescent="0.35">
      <c r="A10312">
        <v>10311</v>
      </c>
      <c r="B10312" t="s">
        <v>20818</v>
      </c>
      <c r="C10312" t="s">
        <v>33</v>
      </c>
      <c r="D10312" t="s">
        <v>34</v>
      </c>
      <c r="E10312">
        <v>772</v>
      </c>
      <c r="F10312">
        <v>2</v>
      </c>
      <c r="G10312">
        <v>2</v>
      </c>
      <c r="H10312">
        <v>1</v>
      </c>
      <c r="I10312">
        <v>0</v>
      </c>
      <c r="J10312">
        <v>0.99496475327291001</v>
      </c>
      <c r="K10312">
        <v>1</v>
      </c>
      <c r="L10312">
        <v>0.99747602221100495</v>
      </c>
      <c r="M10312">
        <v>0.99093655589123897</v>
      </c>
      <c r="N10312">
        <v>0.99093655589123897</v>
      </c>
      <c r="O10312">
        <v>0.99093655589123897</v>
      </c>
      <c r="P10312" t="s">
        <v>169</v>
      </c>
      <c r="Q10312" t="s">
        <v>170</v>
      </c>
      <c r="R10312" t="s">
        <v>138</v>
      </c>
      <c r="S10312" t="s">
        <v>139</v>
      </c>
      <c r="T10312" t="s">
        <v>3691</v>
      </c>
      <c r="U10312" t="s">
        <v>3692</v>
      </c>
      <c r="V10312" t="s">
        <v>3693</v>
      </c>
      <c r="W10312" t="s">
        <v>3694</v>
      </c>
      <c r="AD10312" t="s">
        <v>166</v>
      </c>
      <c r="AE10312" t="s">
        <v>3695</v>
      </c>
      <c r="AF10312" t="s">
        <v>20819</v>
      </c>
    </row>
    <row r="10313" spans="1:32" hidden="1" x14ac:dyDescent="0.35">
      <c r="A10313">
        <v>10312</v>
      </c>
      <c r="B10313" t="s">
        <v>20818</v>
      </c>
      <c r="C10313" t="s">
        <v>33</v>
      </c>
      <c r="D10313" t="s">
        <v>45</v>
      </c>
      <c r="E10313">
        <v>2038</v>
      </c>
      <c r="F10313">
        <v>2</v>
      </c>
      <c r="G10313">
        <v>2</v>
      </c>
      <c r="H10313">
        <v>1</v>
      </c>
      <c r="I10313">
        <v>0</v>
      </c>
      <c r="J10313">
        <v>0.99496475327291001</v>
      </c>
      <c r="K10313">
        <v>1</v>
      </c>
      <c r="L10313">
        <v>0.99747602221100495</v>
      </c>
      <c r="M10313">
        <v>0.99093655589123897</v>
      </c>
      <c r="N10313">
        <v>0.99093655589123897</v>
      </c>
      <c r="O10313">
        <v>0.99093655589123897</v>
      </c>
      <c r="P10313" t="s">
        <v>169</v>
      </c>
      <c r="Q10313" t="s">
        <v>170</v>
      </c>
      <c r="R10313" t="s">
        <v>138</v>
      </c>
      <c r="S10313" t="s">
        <v>139</v>
      </c>
      <c r="T10313" t="s">
        <v>3691</v>
      </c>
      <c r="U10313" t="s">
        <v>3692</v>
      </c>
      <c r="V10313" t="s">
        <v>3693</v>
      </c>
      <c r="W10313" t="s">
        <v>3694</v>
      </c>
      <c r="AD10313" t="s">
        <v>166</v>
      </c>
      <c r="AE10313" t="s">
        <v>3695</v>
      </c>
      <c r="AF10313" t="s">
        <v>20820</v>
      </c>
    </row>
    <row r="10314" spans="1:32" hidden="1" x14ac:dyDescent="0.35">
      <c r="A10314">
        <v>10313</v>
      </c>
      <c r="B10314" t="s">
        <v>20821</v>
      </c>
      <c r="C10314" t="s">
        <v>33</v>
      </c>
      <c r="D10314" t="s">
        <v>34</v>
      </c>
      <c r="E10314">
        <v>17</v>
      </c>
      <c r="F10314">
        <v>2</v>
      </c>
      <c r="G10314">
        <v>2</v>
      </c>
      <c r="H10314">
        <v>1</v>
      </c>
      <c r="I10314">
        <v>0</v>
      </c>
      <c r="J10314">
        <v>0.99859943977591004</v>
      </c>
      <c r="K10314">
        <v>1</v>
      </c>
      <c r="L10314">
        <v>0.99929922915206704</v>
      </c>
      <c r="M10314">
        <v>0.995798319327731</v>
      </c>
      <c r="N10314">
        <v>0.995798319327731</v>
      </c>
      <c r="O10314">
        <v>0.995798319327731</v>
      </c>
      <c r="P10314" t="s">
        <v>169</v>
      </c>
      <c r="Q10314" t="s">
        <v>170</v>
      </c>
      <c r="R10314" t="s">
        <v>138</v>
      </c>
      <c r="S10314" t="s">
        <v>139</v>
      </c>
      <c r="V10314" t="s">
        <v>3693</v>
      </c>
      <c r="W10314" t="s">
        <v>3694</v>
      </c>
      <c r="AF10314" t="s">
        <v>20822</v>
      </c>
    </row>
    <row r="10315" spans="1:32" hidden="1" x14ac:dyDescent="0.35">
      <c r="A10315">
        <v>10314</v>
      </c>
      <c r="B10315" t="s">
        <v>20821</v>
      </c>
      <c r="C10315" t="s">
        <v>33</v>
      </c>
      <c r="D10315" t="s">
        <v>45</v>
      </c>
      <c r="E10315">
        <v>1273</v>
      </c>
      <c r="F10315">
        <v>2</v>
      </c>
      <c r="G10315">
        <v>2</v>
      </c>
      <c r="H10315">
        <v>1</v>
      </c>
      <c r="I10315">
        <v>0</v>
      </c>
      <c r="J10315">
        <v>0.99859943977591004</v>
      </c>
      <c r="K10315">
        <v>1</v>
      </c>
      <c r="L10315">
        <v>0.99929922915206704</v>
      </c>
      <c r="M10315">
        <v>0.995798319327731</v>
      </c>
      <c r="N10315">
        <v>0.995798319327731</v>
      </c>
      <c r="O10315">
        <v>0.995798319327731</v>
      </c>
      <c r="P10315" t="s">
        <v>169</v>
      </c>
      <c r="Q10315" t="s">
        <v>170</v>
      </c>
      <c r="R10315" t="s">
        <v>138</v>
      </c>
      <c r="S10315" t="s">
        <v>139</v>
      </c>
      <c r="V10315" t="s">
        <v>3693</v>
      </c>
      <c r="W10315" t="s">
        <v>3694</v>
      </c>
      <c r="AF10315" t="s">
        <v>20823</v>
      </c>
    </row>
    <row r="10316" spans="1:32" hidden="1" x14ac:dyDescent="0.35">
      <c r="A10316">
        <v>10315</v>
      </c>
      <c r="B10316" t="s">
        <v>20824</v>
      </c>
      <c r="C10316" t="s">
        <v>33</v>
      </c>
      <c r="D10316" t="s">
        <v>60</v>
      </c>
      <c r="E10316">
        <v>1463</v>
      </c>
      <c r="F10316">
        <v>2</v>
      </c>
      <c r="G10316">
        <v>2</v>
      </c>
      <c r="H10316">
        <v>1</v>
      </c>
      <c r="I10316">
        <v>0</v>
      </c>
      <c r="J10316">
        <v>0.99699699699699695</v>
      </c>
      <c r="K10316">
        <v>1</v>
      </c>
      <c r="L10316">
        <v>0.99849624060150399</v>
      </c>
      <c r="M10316">
        <v>0.99699699699699695</v>
      </c>
      <c r="N10316">
        <v>0.99699699699699695</v>
      </c>
      <c r="O10316">
        <v>0.99699699699699695</v>
      </c>
      <c r="P10316" t="s">
        <v>169</v>
      </c>
      <c r="Q10316" t="s">
        <v>170</v>
      </c>
      <c r="R10316" t="s">
        <v>138</v>
      </c>
      <c r="S10316" t="s">
        <v>139</v>
      </c>
      <c r="T10316" t="s">
        <v>3691</v>
      </c>
      <c r="U10316" t="s">
        <v>3692</v>
      </c>
      <c r="V10316" t="s">
        <v>3693</v>
      </c>
      <c r="W10316" t="s">
        <v>3694</v>
      </c>
      <c r="AD10316" t="s">
        <v>166</v>
      </c>
      <c r="AE10316" t="s">
        <v>3695</v>
      </c>
      <c r="AF10316" t="s">
        <v>20825</v>
      </c>
    </row>
    <row r="10317" spans="1:32" hidden="1" x14ac:dyDescent="0.35">
      <c r="A10317">
        <v>10316</v>
      </c>
      <c r="B10317" t="s">
        <v>20824</v>
      </c>
      <c r="C10317" t="s">
        <v>33</v>
      </c>
      <c r="D10317" t="s">
        <v>62</v>
      </c>
      <c r="E10317">
        <v>1498</v>
      </c>
      <c r="F10317">
        <v>2</v>
      </c>
      <c r="G10317">
        <v>2</v>
      </c>
      <c r="H10317">
        <v>1</v>
      </c>
      <c r="I10317">
        <v>0</v>
      </c>
      <c r="J10317">
        <v>0.99699699699699695</v>
      </c>
      <c r="K10317">
        <v>1</v>
      </c>
      <c r="L10317">
        <v>0.99849624060150399</v>
      </c>
      <c r="M10317">
        <v>0.99699699699699695</v>
      </c>
      <c r="N10317">
        <v>0.99699699699699695</v>
      </c>
      <c r="O10317">
        <v>0.99699699699699695</v>
      </c>
      <c r="P10317" t="s">
        <v>169</v>
      </c>
      <c r="Q10317" t="s">
        <v>170</v>
      </c>
      <c r="R10317" t="s">
        <v>138</v>
      </c>
      <c r="S10317" t="s">
        <v>139</v>
      </c>
      <c r="T10317" t="s">
        <v>3691</v>
      </c>
      <c r="U10317" t="s">
        <v>3692</v>
      </c>
      <c r="V10317" t="s">
        <v>3693</v>
      </c>
      <c r="W10317" t="s">
        <v>3694</v>
      </c>
      <c r="AD10317" t="s">
        <v>166</v>
      </c>
      <c r="AE10317" t="s">
        <v>3695</v>
      </c>
      <c r="AF10317" t="s">
        <v>20826</v>
      </c>
    </row>
    <row r="10318" spans="1:32" hidden="1" x14ac:dyDescent="0.35">
      <c r="A10318">
        <v>10317</v>
      </c>
      <c r="B10318" t="s">
        <v>20827</v>
      </c>
      <c r="C10318" t="s">
        <v>33</v>
      </c>
      <c r="D10318" t="s">
        <v>34</v>
      </c>
      <c r="E10318">
        <v>1165</v>
      </c>
      <c r="F10318">
        <v>2</v>
      </c>
      <c r="G10318">
        <v>2</v>
      </c>
      <c r="H10318">
        <v>1</v>
      </c>
      <c r="I10318">
        <v>0</v>
      </c>
      <c r="J10318">
        <v>0.98758357211079295</v>
      </c>
      <c r="K10318">
        <v>1</v>
      </c>
      <c r="L10318">
        <v>0.99375300336376704</v>
      </c>
      <c r="M10318">
        <v>0.98567335243553</v>
      </c>
      <c r="N10318">
        <v>0.98567335243553</v>
      </c>
      <c r="O10318">
        <v>0.98567335243553</v>
      </c>
      <c r="P10318" t="s">
        <v>4889</v>
      </c>
      <c r="Q10318" t="s">
        <v>4890</v>
      </c>
      <c r="R10318" t="s">
        <v>184</v>
      </c>
      <c r="S10318" t="s">
        <v>185</v>
      </c>
      <c r="V10318" t="s">
        <v>14537</v>
      </c>
      <c r="W10318" t="s">
        <v>14538</v>
      </c>
      <c r="X10318" t="s">
        <v>14537</v>
      </c>
      <c r="Y10318" t="s">
        <v>10466</v>
      </c>
      <c r="AF10318" t="s">
        <v>20828</v>
      </c>
    </row>
    <row r="10319" spans="1:32" hidden="1" x14ac:dyDescent="0.35">
      <c r="A10319">
        <v>10318</v>
      </c>
      <c r="B10319" t="s">
        <v>20827</v>
      </c>
      <c r="C10319" t="s">
        <v>33</v>
      </c>
      <c r="D10319" t="s">
        <v>45</v>
      </c>
      <c r="E10319">
        <v>2410</v>
      </c>
      <c r="F10319">
        <v>2</v>
      </c>
      <c r="G10319">
        <v>2</v>
      </c>
      <c r="H10319">
        <v>1</v>
      </c>
      <c r="I10319">
        <v>0</v>
      </c>
      <c r="J10319">
        <v>0.98758357211079295</v>
      </c>
      <c r="K10319">
        <v>1</v>
      </c>
      <c r="L10319">
        <v>0.99375300336376704</v>
      </c>
      <c r="M10319">
        <v>0.98567335243553</v>
      </c>
      <c r="N10319">
        <v>0.98567335243553</v>
      </c>
      <c r="O10319">
        <v>0.98567335243553</v>
      </c>
      <c r="P10319" t="s">
        <v>4889</v>
      </c>
      <c r="Q10319" t="s">
        <v>4890</v>
      </c>
      <c r="R10319" t="s">
        <v>184</v>
      </c>
      <c r="S10319" t="s">
        <v>185</v>
      </c>
      <c r="V10319" t="s">
        <v>14537</v>
      </c>
      <c r="W10319" t="s">
        <v>14538</v>
      </c>
      <c r="X10319" t="s">
        <v>14537</v>
      </c>
      <c r="Y10319" t="s">
        <v>10466</v>
      </c>
      <c r="AF10319" t="s">
        <v>20829</v>
      </c>
    </row>
    <row r="10320" spans="1:32" hidden="1" x14ac:dyDescent="0.35">
      <c r="A10320">
        <v>10319</v>
      </c>
      <c r="B10320" t="s">
        <v>20830</v>
      </c>
      <c r="C10320" t="s">
        <v>33</v>
      </c>
      <c r="D10320" t="s">
        <v>34</v>
      </c>
      <c r="E10320">
        <v>1675</v>
      </c>
      <c r="F10320">
        <v>2</v>
      </c>
      <c r="G10320">
        <v>2</v>
      </c>
      <c r="H10320">
        <v>1</v>
      </c>
      <c r="I10320">
        <v>0</v>
      </c>
      <c r="J10320">
        <v>0.99481865284974103</v>
      </c>
      <c r="K10320">
        <v>1</v>
      </c>
      <c r="L10320">
        <v>0.99740259740259696</v>
      </c>
      <c r="M10320">
        <v>0.99481865284974103</v>
      </c>
      <c r="N10320">
        <v>0.99481865284974103</v>
      </c>
      <c r="O10320">
        <v>0.99481865284974103</v>
      </c>
      <c r="P10320" t="s">
        <v>15588</v>
      </c>
      <c r="Q10320" t="s">
        <v>15589</v>
      </c>
      <c r="R10320" t="s">
        <v>288</v>
      </c>
      <c r="S10320" t="s">
        <v>289</v>
      </c>
      <c r="T10320" t="s">
        <v>15590</v>
      </c>
      <c r="U10320" t="s">
        <v>407</v>
      </c>
      <c r="V10320" t="s">
        <v>15591</v>
      </c>
      <c r="W10320" t="s">
        <v>15592</v>
      </c>
      <c r="AD10320" t="s">
        <v>410</v>
      </c>
      <c r="AE10320" t="s">
        <v>411</v>
      </c>
      <c r="AF10320" t="s">
        <v>20831</v>
      </c>
    </row>
    <row r="10321" spans="1:32" hidden="1" x14ac:dyDescent="0.35">
      <c r="A10321">
        <v>10320</v>
      </c>
      <c r="B10321" t="s">
        <v>20830</v>
      </c>
      <c r="C10321" t="s">
        <v>33</v>
      </c>
      <c r="D10321" t="s">
        <v>45</v>
      </c>
      <c r="E10321">
        <v>1201</v>
      </c>
      <c r="F10321">
        <v>2</v>
      </c>
      <c r="G10321">
        <v>2</v>
      </c>
      <c r="H10321">
        <v>1</v>
      </c>
      <c r="I10321">
        <v>0</v>
      </c>
      <c r="J10321">
        <v>0.99481865284974103</v>
      </c>
      <c r="K10321">
        <v>1</v>
      </c>
      <c r="L10321">
        <v>0.99740259740259696</v>
      </c>
      <c r="M10321">
        <v>0.99481865284974103</v>
      </c>
      <c r="N10321">
        <v>0.99481865284974103</v>
      </c>
      <c r="O10321">
        <v>0.99481865284974103</v>
      </c>
      <c r="P10321" t="s">
        <v>15588</v>
      </c>
      <c r="Q10321" t="s">
        <v>15589</v>
      </c>
      <c r="R10321" t="s">
        <v>288</v>
      </c>
      <c r="S10321" t="s">
        <v>289</v>
      </c>
      <c r="T10321" t="s">
        <v>15590</v>
      </c>
      <c r="U10321" t="s">
        <v>407</v>
      </c>
      <c r="V10321" t="s">
        <v>15591</v>
      </c>
      <c r="W10321" t="s">
        <v>15592</v>
      </c>
      <c r="AD10321" t="s">
        <v>410</v>
      </c>
      <c r="AE10321" t="s">
        <v>411</v>
      </c>
      <c r="AF10321" t="s">
        <v>20832</v>
      </c>
    </row>
    <row r="10322" spans="1:32" hidden="1" x14ac:dyDescent="0.35">
      <c r="A10322">
        <v>10321</v>
      </c>
      <c r="B10322" t="s">
        <v>20833</v>
      </c>
      <c r="C10322" t="s">
        <v>33</v>
      </c>
      <c r="D10322" t="s">
        <v>34</v>
      </c>
      <c r="E10322">
        <v>2016</v>
      </c>
      <c r="F10322">
        <v>2</v>
      </c>
      <c r="G10322">
        <v>2</v>
      </c>
      <c r="H10322">
        <v>1</v>
      </c>
      <c r="I10322">
        <v>0</v>
      </c>
      <c r="J10322">
        <v>0.97938144329896903</v>
      </c>
      <c r="K10322">
        <v>1</v>
      </c>
      <c r="L10322">
        <v>0.98958333333333304</v>
      </c>
      <c r="M10322">
        <v>0.96907216494845405</v>
      </c>
      <c r="N10322">
        <v>0.96907216494845405</v>
      </c>
      <c r="O10322">
        <v>0.96907216494845405</v>
      </c>
      <c r="P10322" t="s">
        <v>2233</v>
      </c>
      <c r="Q10322" t="s">
        <v>2234</v>
      </c>
      <c r="R10322" t="s">
        <v>288</v>
      </c>
      <c r="S10322" t="s">
        <v>289</v>
      </c>
      <c r="T10322" t="s">
        <v>18054</v>
      </c>
      <c r="U10322" t="s">
        <v>18055</v>
      </c>
      <c r="V10322" t="s">
        <v>18056</v>
      </c>
      <c r="W10322" t="s">
        <v>18057</v>
      </c>
      <c r="AD10322" t="s">
        <v>219</v>
      </c>
      <c r="AE10322" t="s">
        <v>18058</v>
      </c>
      <c r="AF10322" t="s">
        <v>20834</v>
      </c>
    </row>
    <row r="10323" spans="1:32" hidden="1" x14ac:dyDescent="0.35">
      <c r="A10323">
        <v>10322</v>
      </c>
      <c r="B10323" t="s">
        <v>20833</v>
      </c>
      <c r="C10323" t="s">
        <v>33</v>
      </c>
      <c r="D10323" t="s">
        <v>45</v>
      </c>
      <c r="E10323">
        <v>855</v>
      </c>
      <c r="F10323">
        <v>2</v>
      </c>
      <c r="G10323">
        <v>2</v>
      </c>
      <c r="H10323">
        <v>1</v>
      </c>
      <c r="I10323">
        <v>0</v>
      </c>
      <c r="J10323">
        <v>0.97938144329896903</v>
      </c>
      <c r="K10323">
        <v>1</v>
      </c>
      <c r="L10323">
        <v>0.98958333333333304</v>
      </c>
      <c r="M10323">
        <v>0.96907216494845405</v>
      </c>
      <c r="N10323">
        <v>0.96907216494845405</v>
      </c>
      <c r="O10323">
        <v>0.96907216494845405</v>
      </c>
      <c r="P10323" t="s">
        <v>2233</v>
      </c>
      <c r="Q10323" t="s">
        <v>2234</v>
      </c>
      <c r="R10323" t="s">
        <v>288</v>
      </c>
      <c r="S10323" t="s">
        <v>289</v>
      </c>
      <c r="T10323" t="s">
        <v>18054</v>
      </c>
      <c r="U10323" t="s">
        <v>18055</v>
      </c>
      <c r="V10323" t="s">
        <v>18056</v>
      </c>
      <c r="W10323" t="s">
        <v>18057</v>
      </c>
      <c r="Z10323" t="s">
        <v>4419</v>
      </c>
      <c r="AA10323" t="s">
        <v>4420</v>
      </c>
      <c r="AB10323" t="s">
        <v>4419</v>
      </c>
      <c r="AC10323" t="s">
        <v>1800</v>
      </c>
      <c r="AD10323" t="s">
        <v>219</v>
      </c>
      <c r="AE10323" t="s">
        <v>18058</v>
      </c>
      <c r="AF10323" t="s">
        <v>20835</v>
      </c>
    </row>
    <row r="10324" spans="1:32" hidden="1" x14ac:dyDescent="0.35">
      <c r="A10324">
        <v>10323</v>
      </c>
      <c r="B10324" t="s">
        <v>20836</v>
      </c>
      <c r="C10324" t="s">
        <v>33</v>
      </c>
      <c r="D10324" t="s">
        <v>60</v>
      </c>
      <c r="E10324">
        <v>1135</v>
      </c>
      <c r="F10324">
        <v>2</v>
      </c>
      <c r="G10324">
        <v>2</v>
      </c>
      <c r="H10324">
        <v>1</v>
      </c>
      <c r="I10324">
        <v>0</v>
      </c>
      <c r="J10324">
        <v>0.70833333333333304</v>
      </c>
      <c r="K10324">
        <v>0.96505253540429603</v>
      </c>
      <c r="L10324">
        <v>0.81700089861567804</v>
      </c>
      <c r="M10324">
        <v>0.63316582914572905</v>
      </c>
      <c r="N10324">
        <v>0.63316582914572905</v>
      </c>
      <c r="O10324">
        <v>0.63316582914572905</v>
      </c>
      <c r="P10324" t="s">
        <v>20837</v>
      </c>
      <c r="Q10324" t="s">
        <v>20838</v>
      </c>
      <c r="T10324" t="s">
        <v>20839</v>
      </c>
      <c r="U10324" t="s">
        <v>20840</v>
      </c>
      <c r="AD10324" t="s">
        <v>20841</v>
      </c>
      <c r="AE10324" t="s">
        <v>20842</v>
      </c>
      <c r="AF10324" t="s">
        <v>20843</v>
      </c>
    </row>
    <row r="10325" spans="1:32" hidden="1" x14ac:dyDescent="0.35">
      <c r="A10325">
        <v>10324</v>
      </c>
      <c r="B10325" t="s">
        <v>20836</v>
      </c>
      <c r="C10325" t="s">
        <v>33</v>
      </c>
      <c r="D10325" t="s">
        <v>62</v>
      </c>
      <c r="E10325">
        <v>1172</v>
      </c>
      <c r="F10325">
        <v>2</v>
      </c>
      <c r="G10325">
        <v>2</v>
      </c>
      <c r="H10325">
        <v>1</v>
      </c>
      <c r="I10325">
        <v>0</v>
      </c>
      <c r="J10325">
        <v>0.70833333333333304</v>
      </c>
      <c r="K10325">
        <v>0.96505253540429603</v>
      </c>
      <c r="L10325">
        <v>0.81700089861567804</v>
      </c>
      <c r="M10325">
        <v>0.63316582914572905</v>
      </c>
      <c r="N10325">
        <v>0.63316582914572905</v>
      </c>
      <c r="O10325">
        <v>0.63316582914572905</v>
      </c>
      <c r="T10325" t="s">
        <v>20839</v>
      </c>
      <c r="U10325" t="s">
        <v>20840</v>
      </c>
      <c r="AD10325" t="s">
        <v>20841</v>
      </c>
      <c r="AE10325" t="s">
        <v>20842</v>
      </c>
      <c r="AF10325" t="s">
        <v>20844</v>
      </c>
    </row>
    <row r="10326" spans="1:32" hidden="1" x14ac:dyDescent="0.35">
      <c r="A10326">
        <v>10325</v>
      </c>
      <c r="B10326" t="s">
        <v>20845</v>
      </c>
      <c r="C10326" t="s">
        <v>33</v>
      </c>
      <c r="D10326" t="s">
        <v>34</v>
      </c>
      <c r="E10326">
        <v>1217</v>
      </c>
      <c r="F10326">
        <v>2</v>
      </c>
      <c r="G10326">
        <v>2</v>
      </c>
      <c r="H10326">
        <v>1</v>
      </c>
      <c r="I10326">
        <v>0</v>
      </c>
      <c r="J10326">
        <v>0.98871181938911001</v>
      </c>
      <c r="K10326">
        <v>1</v>
      </c>
      <c r="L10326">
        <v>0.99432387312186998</v>
      </c>
      <c r="M10326">
        <v>0.98605577689242996</v>
      </c>
      <c r="N10326">
        <v>0.98605577689242996</v>
      </c>
      <c r="O10326">
        <v>0.98605577689242996</v>
      </c>
      <c r="P10326" t="s">
        <v>16096</v>
      </c>
      <c r="Q10326" t="s">
        <v>16097</v>
      </c>
      <c r="R10326" t="s">
        <v>288</v>
      </c>
      <c r="S10326" t="s">
        <v>289</v>
      </c>
      <c r="V10326" t="s">
        <v>16098</v>
      </c>
      <c r="W10326" t="s">
        <v>16099</v>
      </c>
      <c r="AF10326" t="s">
        <v>20846</v>
      </c>
    </row>
    <row r="10327" spans="1:32" hidden="1" x14ac:dyDescent="0.35">
      <c r="A10327">
        <v>10326</v>
      </c>
      <c r="B10327" t="s">
        <v>20845</v>
      </c>
      <c r="C10327" t="s">
        <v>33</v>
      </c>
      <c r="D10327" t="s">
        <v>45</v>
      </c>
      <c r="E10327">
        <v>2460</v>
      </c>
      <c r="F10327">
        <v>2</v>
      </c>
      <c r="G10327">
        <v>2</v>
      </c>
      <c r="H10327">
        <v>1</v>
      </c>
      <c r="I10327">
        <v>0</v>
      </c>
      <c r="J10327">
        <v>0.98871181938911001</v>
      </c>
      <c r="K10327">
        <v>1</v>
      </c>
      <c r="L10327">
        <v>0.99432387312186998</v>
      </c>
      <c r="M10327">
        <v>0.98605577689242996</v>
      </c>
      <c r="N10327">
        <v>0.98605577689242996</v>
      </c>
      <c r="O10327">
        <v>0.98605577689242996</v>
      </c>
      <c r="P10327" t="s">
        <v>16096</v>
      </c>
      <c r="Q10327" t="s">
        <v>16097</v>
      </c>
      <c r="R10327" t="s">
        <v>288</v>
      </c>
      <c r="S10327" t="s">
        <v>289</v>
      </c>
      <c r="V10327" t="s">
        <v>16098</v>
      </c>
      <c r="W10327" t="s">
        <v>16099</v>
      </c>
      <c r="AF10327" t="s">
        <v>20847</v>
      </c>
    </row>
    <row r="10328" spans="1:32" hidden="1" x14ac:dyDescent="0.35">
      <c r="A10328">
        <v>10327</v>
      </c>
      <c r="B10328" t="s">
        <v>20848</v>
      </c>
      <c r="C10328" t="s">
        <v>33</v>
      </c>
      <c r="D10328" t="s">
        <v>60</v>
      </c>
      <c r="E10328">
        <v>2389</v>
      </c>
      <c r="F10328">
        <v>2</v>
      </c>
      <c r="G10328">
        <v>2</v>
      </c>
      <c r="H10328">
        <v>1</v>
      </c>
      <c r="I10328">
        <v>0</v>
      </c>
      <c r="J10328">
        <v>0.99284253578732096</v>
      </c>
      <c r="K10328">
        <v>1</v>
      </c>
      <c r="L10328">
        <v>0.99640841457157503</v>
      </c>
      <c r="M10328">
        <v>0.98466257668711699</v>
      </c>
      <c r="N10328">
        <v>0.98466257668711699</v>
      </c>
      <c r="O10328">
        <v>0.98466257668711699</v>
      </c>
      <c r="P10328" t="s">
        <v>18244</v>
      </c>
      <c r="Q10328" t="s">
        <v>18245</v>
      </c>
      <c r="R10328" t="s">
        <v>1259</v>
      </c>
      <c r="S10328" t="s">
        <v>1260</v>
      </c>
      <c r="T10328" t="s">
        <v>18246</v>
      </c>
      <c r="U10328" t="s">
        <v>407</v>
      </c>
      <c r="V10328" t="s">
        <v>18247</v>
      </c>
      <c r="W10328" t="s">
        <v>18248</v>
      </c>
      <c r="AD10328" t="s">
        <v>410</v>
      </c>
      <c r="AE10328" t="s">
        <v>411</v>
      </c>
      <c r="AF10328" t="s">
        <v>20849</v>
      </c>
    </row>
    <row r="10329" spans="1:32" hidden="1" x14ac:dyDescent="0.35">
      <c r="A10329">
        <v>10328</v>
      </c>
      <c r="B10329" t="s">
        <v>20848</v>
      </c>
      <c r="C10329" t="s">
        <v>33</v>
      </c>
      <c r="D10329" t="s">
        <v>62</v>
      </c>
      <c r="E10329">
        <v>2417</v>
      </c>
      <c r="F10329">
        <v>2</v>
      </c>
      <c r="G10329">
        <v>2</v>
      </c>
      <c r="H10329">
        <v>1</v>
      </c>
      <c r="I10329">
        <v>0</v>
      </c>
      <c r="J10329">
        <v>0.99284253578732096</v>
      </c>
      <c r="K10329">
        <v>1</v>
      </c>
      <c r="L10329">
        <v>0.99640841457157503</v>
      </c>
      <c r="M10329">
        <v>0.98466257668711699</v>
      </c>
      <c r="N10329">
        <v>0.98466257668711699</v>
      </c>
      <c r="O10329">
        <v>0.98466257668711699</v>
      </c>
      <c r="P10329" t="s">
        <v>18244</v>
      </c>
      <c r="Q10329" t="s">
        <v>18245</v>
      </c>
      <c r="R10329" t="s">
        <v>1259</v>
      </c>
      <c r="S10329" t="s">
        <v>1260</v>
      </c>
      <c r="T10329" t="s">
        <v>18246</v>
      </c>
      <c r="U10329" t="s">
        <v>407</v>
      </c>
      <c r="V10329" t="s">
        <v>18247</v>
      </c>
      <c r="W10329" t="s">
        <v>18248</v>
      </c>
      <c r="AD10329" t="s">
        <v>410</v>
      </c>
      <c r="AE10329" t="s">
        <v>411</v>
      </c>
      <c r="AF10329" t="s">
        <v>20850</v>
      </c>
    </row>
    <row r="10330" spans="1:32" hidden="1" x14ac:dyDescent="0.35">
      <c r="A10330">
        <v>10329</v>
      </c>
      <c r="B10330" t="s">
        <v>20851</v>
      </c>
      <c r="C10330" t="s">
        <v>33</v>
      </c>
      <c r="D10330" t="s">
        <v>60</v>
      </c>
      <c r="E10330">
        <v>2041</v>
      </c>
      <c r="F10330">
        <v>2</v>
      </c>
      <c r="G10330">
        <v>2</v>
      </c>
      <c r="H10330">
        <v>1</v>
      </c>
      <c r="I10330">
        <v>0</v>
      </c>
      <c r="J10330">
        <v>0.98168498168498197</v>
      </c>
      <c r="K10330">
        <v>0.54988913525499095</v>
      </c>
      <c r="L10330">
        <v>0.70491907600280201</v>
      </c>
      <c r="M10330">
        <v>0.30662020905923298</v>
      </c>
      <c r="N10330">
        <v>0.30662020905923298</v>
      </c>
      <c r="O10330">
        <v>0.30662020905923298</v>
      </c>
      <c r="P10330" t="s">
        <v>12775</v>
      </c>
      <c r="Q10330" t="s">
        <v>12776</v>
      </c>
      <c r="AF10330" t="e">
        <f>----------------------------------------------------------------------------------------------------------------------------------------------------------------------------------------------------MARNIEDIQQDIERTRRQLAGTLDRLAYRTRPQTIVEDAKKSALQRLQEPQVKQILTGVAAVVAVGVLIGLARSRRRSKDMKELQRLLSNR</f>
        <v>#NAME?</v>
      </c>
    </row>
    <row r="10331" spans="1:32" hidden="1" x14ac:dyDescent="0.35">
      <c r="A10331">
        <v>10330</v>
      </c>
      <c r="B10331" t="s">
        <v>20851</v>
      </c>
      <c r="C10331" t="s">
        <v>33</v>
      </c>
      <c r="D10331" t="s">
        <v>62</v>
      </c>
      <c r="E10331">
        <v>2080</v>
      </c>
      <c r="F10331">
        <v>2</v>
      </c>
      <c r="G10331">
        <v>2</v>
      </c>
      <c r="H10331">
        <v>1</v>
      </c>
      <c r="I10331">
        <v>0</v>
      </c>
      <c r="J10331">
        <v>0.98168498168498197</v>
      </c>
      <c r="K10331">
        <v>0.54988913525499095</v>
      </c>
      <c r="L10331">
        <v>0.70491907600280201</v>
      </c>
      <c r="M10331">
        <v>0.30662020905923298</v>
      </c>
      <c r="N10331">
        <v>0.30662020905923298</v>
      </c>
      <c r="O10331">
        <v>0.30662020905923298</v>
      </c>
      <c r="P10331" t="s">
        <v>12775</v>
      </c>
      <c r="Q10331" t="s">
        <v>12776</v>
      </c>
      <c r="AF10331" t="s">
        <v>20852</v>
      </c>
    </row>
    <row r="10332" spans="1:32" hidden="1" x14ac:dyDescent="0.35">
      <c r="A10332">
        <v>10331</v>
      </c>
      <c r="B10332" t="s">
        <v>20853</v>
      </c>
      <c r="C10332" t="s">
        <v>33</v>
      </c>
      <c r="D10332" t="s">
        <v>60</v>
      </c>
      <c r="E10332">
        <v>1880</v>
      </c>
      <c r="F10332">
        <v>2</v>
      </c>
      <c r="G10332">
        <v>2</v>
      </c>
      <c r="H10332">
        <v>1</v>
      </c>
      <c r="I10332">
        <v>0</v>
      </c>
      <c r="J10332">
        <v>0.98375870069605598</v>
      </c>
      <c r="K10332">
        <v>1</v>
      </c>
      <c r="L10332">
        <v>0.99181286549707603</v>
      </c>
      <c r="M10332">
        <v>0.98375870069605598</v>
      </c>
      <c r="N10332">
        <v>0.98375870069605598</v>
      </c>
      <c r="O10332">
        <v>0.98375870069605598</v>
      </c>
      <c r="P10332" t="s">
        <v>4358</v>
      </c>
      <c r="Q10332" t="s">
        <v>4359</v>
      </c>
      <c r="R10332" t="s">
        <v>319</v>
      </c>
      <c r="S10332" t="s">
        <v>320</v>
      </c>
      <c r="V10332" t="s">
        <v>4360</v>
      </c>
      <c r="W10332" t="s">
        <v>4361</v>
      </c>
      <c r="AF10332" t="s">
        <v>20854</v>
      </c>
    </row>
    <row r="10333" spans="1:32" hidden="1" x14ac:dyDescent="0.35">
      <c r="A10333">
        <v>10332</v>
      </c>
      <c r="B10333" t="s">
        <v>20853</v>
      </c>
      <c r="C10333" t="s">
        <v>33</v>
      </c>
      <c r="D10333" t="s">
        <v>62</v>
      </c>
      <c r="E10333">
        <v>1919</v>
      </c>
      <c r="F10333">
        <v>2</v>
      </c>
      <c r="G10333">
        <v>2</v>
      </c>
      <c r="H10333">
        <v>1</v>
      </c>
      <c r="I10333">
        <v>0</v>
      </c>
      <c r="J10333">
        <v>0.98375870069605598</v>
      </c>
      <c r="K10333">
        <v>1</v>
      </c>
      <c r="L10333">
        <v>0.99181286549707603</v>
      </c>
      <c r="M10333">
        <v>0.98375870069605598</v>
      </c>
      <c r="N10333">
        <v>0.98375870069605598</v>
      </c>
      <c r="O10333">
        <v>0.98375870069605598</v>
      </c>
      <c r="P10333" t="s">
        <v>4358</v>
      </c>
      <c r="Q10333" t="s">
        <v>4359</v>
      </c>
      <c r="R10333" t="s">
        <v>319</v>
      </c>
      <c r="S10333" t="s">
        <v>320</v>
      </c>
      <c r="V10333" t="s">
        <v>4360</v>
      </c>
      <c r="W10333" t="s">
        <v>4361</v>
      </c>
      <c r="AF10333" t="s">
        <v>20855</v>
      </c>
    </row>
    <row r="10334" spans="1:32" hidden="1" x14ac:dyDescent="0.35">
      <c r="A10334">
        <v>10333</v>
      </c>
      <c r="B10334" t="s">
        <v>20856</v>
      </c>
      <c r="C10334" t="s">
        <v>33</v>
      </c>
      <c r="D10334" t="s">
        <v>34</v>
      </c>
      <c r="E10334">
        <v>1332</v>
      </c>
      <c r="F10334">
        <v>2</v>
      </c>
      <c r="G10334">
        <v>2</v>
      </c>
      <c r="H10334">
        <v>1</v>
      </c>
      <c r="I10334">
        <v>0</v>
      </c>
      <c r="J10334">
        <v>0.99308437067773203</v>
      </c>
      <c r="K10334">
        <v>1</v>
      </c>
      <c r="L10334">
        <v>0.99653018736988197</v>
      </c>
      <c r="M10334">
        <v>0.98755186721991695</v>
      </c>
      <c r="N10334">
        <v>0.98755186721991695</v>
      </c>
      <c r="O10334">
        <v>0.98755186721991695</v>
      </c>
      <c r="P10334" t="s">
        <v>169</v>
      </c>
      <c r="Q10334" t="s">
        <v>170</v>
      </c>
      <c r="R10334" t="s">
        <v>342</v>
      </c>
      <c r="S10334" t="s">
        <v>343</v>
      </c>
      <c r="V10334" t="s">
        <v>11649</v>
      </c>
      <c r="W10334" t="s">
        <v>11650</v>
      </c>
      <c r="AF10334" t="s">
        <v>20857</v>
      </c>
    </row>
    <row r="10335" spans="1:32" hidden="1" x14ac:dyDescent="0.35">
      <c r="A10335">
        <v>10334</v>
      </c>
      <c r="B10335" t="s">
        <v>20856</v>
      </c>
      <c r="C10335" t="s">
        <v>33</v>
      </c>
      <c r="D10335" t="s">
        <v>45</v>
      </c>
      <c r="E10335">
        <v>83</v>
      </c>
      <c r="F10335">
        <v>2</v>
      </c>
      <c r="G10335">
        <v>2</v>
      </c>
      <c r="H10335">
        <v>1</v>
      </c>
      <c r="I10335">
        <v>0</v>
      </c>
      <c r="J10335">
        <v>0.99308437067773203</v>
      </c>
      <c r="K10335">
        <v>1</v>
      </c>
      <c r="L10335">
        <v>0.99653018736988197</v>
      </c>
      <c r="M10335">
        <v>0.98755186721991695</v>
      </c>
      <c r="N10335">
        <v>0.98755186721991695</v>
      </c>
      <c r="O10335">
        <v>0.98755186721991695</v>
      </c>
      <c r="P10335" t="s">
        <v>169</v>
      </c>
      <c r="Q10335" t="s">
        <v>170</v>
      </c>
      <c r="R10335" t="s">
        <v>342</v>
      </c>
      <c r="S10335" t="s">
        <v>343</v>
      </c>
      <c r="V10335" t="s">
        <v>11649</v>
      </c>
      <c r="W10335" t="s">
        <v>11650</v>
      </c>
      <c r="AF10335" t="s">
        <v>20858</v>
      </c>
    </row>
    <row r="10336" spans="1:32" hidden="1" x14ac:dyDescent="0.35">
      <c r="A10336">
        <v>10335</v>
      </c>
      <c r="B10336" t="s">
        <v>20859</v>
      </c>
      <c r="C10336" t="s">
        <v>33</v>
      </c>
      <c r="D10336" t="s">
        <v>34</v>
      </c>
      <c r="E10336">
        <v>1575</v>
      </c>
      <c r="F10336">
        <v>2</v>
      </c>
      <c r="G10336">
        <v>2</v>
      </c>
      <c r="H10336">
        <v>1</v>
      </c>
      <c r="I10336">
        <v>0</v>
      </c>
      <c r="J10336">
        <v>0.99708454810495595</v>
      </c>
      <c r="K10336">
        <v>1</v>
      </c>
      <c r="L10336">
        <v>0.99854014598540197</v>
      </c>
      <c r="M10336">
        <v>0.99708454810495595</v>
      </c>
      <c r="N10336">
        <v>0.99708454810495595</v>
      </c>
      <c r="O10336">
        <v>0.99708454810495595</v>
      </c>
      <c r="P10336" t="s">
        <v>20860</v>
      </c>
      <c r="Q10336" t="s">
        <v>20861</v>
      </c>
      <c r="R10336" t="s">
        <v>17180</v>
      </c>
      <c r="S10336" t="s">
        <v>17181</v>
      </c>
      <c r="T10336" t="s">
        <v>20862</v>
      </c>
      <c r="U10336" t="s">
        <v>20863</v>
      </c>
      <c r="V10336" t="s">
        <v>20864</v>
      </c>
      <c r="W10336" t="s">
        <v>20865</v>
      </c>
      <c r="AD10336" t="s">
        <v>245</v>
      </c>
      <c r="AE10336" t="s">
        <v>20866</v>
      </c>
      <c r="AF10336" t="s">
        <v>20867</v>
      </c>
    </row>
    <row r="10337" spans="1:32" hidden="1" x14ac:dyDescent="0.35">
      <c r="A10337">
        <v>10336</v>
      </c>
      <c r="B10337" t="s">
        <v>20859</v>
      </c>
      <c r="C10337" t="s">
        <v>33</v>
      </c>
      <c r="D10337" t="s">
        <v>45</v>
      </c>
      <c r="E10337">
        <v>325</v>
      </c>
      <c r="F10337">
        <v>2</v>
      </c>
      <c r="G10337">
        <v>2</v>
      </c>
      <c r="H10337">
        <v>1</v>
      </c>
      <c r="I10337">
        <v>0</v>
      </c>
      <c r="J10337">
        <v>0.99708454810495595</v>
      </c>
      <c r="K10337">
        <v>1</v>
      </c>
      <c r="L10337">
        <v>0.99854014598540197</v>
      </c>
      <c r="M10337">
        <v>0.99708454810495595</v>
      </c>
      <c r="N10337">
        <v>0.99708454810495595</v>
      </c>
      <c r="O10337">
        <v>0.99708454810495595</v>
      </c>
      <c r="P10337" t="s">
        <v>20860</v>
      </c>
      <c r="Q10337" t="s">
        <v>20861</v>
      </c>
      <c r="R10337" t="s">
        <v>17180</v>
      </c>
      <c r="S10337" t="s">
        <v>17181</v>
      </c>
      <c r="T10337" t="s">
        <v>20862</v>
      </c>
      <c r="U10337" t="s">
        <v>20863</v>
      </c>
      <c r="V10337" t="s">
        <v>20864</v>
      </c>
      <c r="W10337" t="s">
        <v>20865</v>
      </c>
      <c r="AD10337" t="s">
        <v>245</v>
      </c>
      <c r="AE10337" t="s">
        <v>20866</v>
      </c>
      <c r="AF10337" t="s">
        <v>20868</v>
      </c>
    </row>
    <row r="10338" spans="1:32" hidden="1" x14ac:dyDescent="0.35">
      <c r="A10338">
        <v>10337</v>
      </c>
      <c r="B10338" t="s">
        <v>20869</v>
      </c>
      <c r="C10338" t="s">
        <v>33</v>
      </c>
      <c r="D10338" t="s">
        <v>34</v>
      </c>
      <c r="E10338">
        <v>1610</v>
      </c>
      <c r="F10338">
        <v>2</v>
      </c>
      <c r="G10338">
        <v>2</v>
      </c>
      <c r="H10338">
        <v>1</v>
      </c>
      <c r="I10338">
        <v>0</v>
      </c>
      <c r="J10338">
        <v>0.996201329534663</v>
      </c>
      <c r="K10338">
        <v>0.97003412864816596</v>
      </c>
      <c r="L10338">
        <v>0.98294360894741395</v>
      </c>
      <c r="M10338">
        <v>0.96408839779005495</v>
      </c>
      <c r="N10338">
        <v>0.96408839779005495</v>
      </c>
      <c r="O10338">
        <v>0.96408839779005495</v>
      </c>
      <c r="P10338" t="s">
        <v>6606</v>
      </c>
      <c r="Q10338" t="s">
        <v>6607</v>
      </c>
      <c r="R10338" t="s">
        <v>1191</v>
      </c>
      <c r="S10338" t="s">
        <v>1192</v>
      </c>
      <c r="V10338" t="s">
        <v>6600</v>
      </c>
      <c r="W10338" t="s">
        <v>6601</v>
      </c>
      <c r="AF10338" t="s">
        <v>20870</v>
      </c>
    </row>
    <row r="10339" spans="1:32" hidden="1" x14ac:dyDescent="0.35">
      <c r="A10339">
        <v>10338</v>
      </c>
      <c r="B10339" t="s">
        <v>20869</v>
      </c>
      <c r="C10339" t="s">
        <v>33</v>
      </c>
      <c r="D10339" t="s">
        <v>45</v>
      </c>
      <c r="E10339">
        <v>361</v>
      </c>
      <c r="F10339">
        <v>2</v>
      </c>
      <c r="G10339">
        <v>2</v>
      </c>
      <c r="H10339">
        <v>1</v>
      </c>
      <c r="I10339">
        <v>0</v>
      </c>
      <c r="J10339">
        <v>0.996201329534663</v>
      </c>
      <c r="K10339">
        <v>0.97003412864816596</v>
      </c>
      <c r="L10339">
        <v>0.98294360894741395</v>
      </c>
      <c r="M10339">
        <v>0.96408839779005495</v>
      </c>
      <c r="N10339">
        <v>0.96408839779005495</v>
      </c>
      <c r="O10339">
        <v>0.96408839779005495</v>
      </c>
      <c r="P10339" t="s">
        <v>6606</v>
      </c>
      <c r="Q10339" t="s">
        <v>6607</v>
      </c>
      <c r="R10339" t="s">
        <v>1191</v>
      </c>
      <c r="S10339" t="s">
        <v>1192</v>
      </c>
      <c r="V10339" t="s">
        <v>6600</v>
      </c>
      <c r="W10339" t="s">
        <v>6601</v>
      </c>
      <c r="AF10339" t="s">
        <v>20871</v>
      </c>
    </row>
    <row r="10340" spans="1:32" hidden="1" x14ac:dyDescent="0.35">
      <c r="A10340">
        <v>10339</v>
      </c>
      <c r="B10340" t="s">
        <v>20872</v>
      </c>
      <c r="C10340" t="s">
        <v>33</v>
      </c>
      <c r="D10340" t="s">
        <v>34</v>
      </c>
      <c r="E10340">
        <v>58</v>
      </c>
      <c r="F10340">
        <v>2</v>
      </c>
      <c r="G10340">
        <v>2</v>
      </c>
      <c r="H10340">
        <v>1</v>
      </c>
      <c r="I10340">
        <v>0</v>
      </c>
      <c r="J10340">
        <v>0.99842022116903595</v>
      </c>
      <c r="K10340">
        <v>1</v>
      </c>
      <c r="L10340">
        <v>0.99920948616600802</v>
      </c>
      <c r="M10340">
        <v>0.99842022116903595</v>
      </c>
      <c r="N10340">
        <v>0.99842022116903595</v>
      </c>
      <c r="O10340">
        <v>0.99842022116903595</v>
      </c>
      <c r="P10340" t="s">
        <v>18308</v>
      </c>
      <c r="Q10340" t="s">
        <v>18309</v>
      </c>
      <c r="R10340" t="s">
        <v>157</v>
      </c>
      <c r="S10340" t="s">
        <v>158</v>
      </c>
      <c r="T10340" t="s">
        <v>18310</v>
      </c>
      <c r="U10340" t="s">
        <v>18311</v>
      </c>
      <c r="V10340" t="s">
        <v>18312</v>
      </c>
      <c r="W10340" t="s">
        <v>18313</v>
      </c>
      <c r="AD10340" t="s">
        <v>166</v>
      </c>
      <c r="AE10340" t="s">
        <v>2843</v>
      </c>
      <c r="AF10340" t="s">
        <v>20873</v>
      </c>
    </row>
    <row r="10341" spans="1:32" hidden="1" x14ac:dyDescent="0.35">
      <c r="A10341">
        <v>10340</v>
      </c>
      <c r="B10341" t="s">
        <v>20872</v>
      </c>
      <c r="C10341" t="s">
        <v>33</v>
      </c>
      <c r="D10341" t="s">
        <v>45</v>
      </c>
      <c r="E10341">
        <v>1316</v>
      </c>
      <c r="F10341">
        <v>2</v>
      </c>
      <c r="G10341">
        <v>2</v>
      </c>
      <c r="H10341">
        <v>1</v>
      </c>
      <c r="I10341">
        <v>0</v>
      </c>
      <c r="J10341">
        <v>0.99842022116903595</v>
      </c>
      <c r="K10341">
        <v>1</v>
      </c>
      <c r="L10341">
        <v>0.99920948616600802</v>
      </c>
      <c r="M10341">
        <v>0.99842022116903595</v>
      </c>
      <c r="N10341">
        <v>0.99842022116903595</v>
      </c>
      <c r="O10341">
        <v>0.99842022116903595</v>
      </c>
      <c r="P10341" t="s">
        <v>18308</v>
      </c>
      <c r="Q10341" t="s">
        <v>18309</v>
      </c>
      <c r="R10341" t="s">
        <v>157</v>
      </c>
      <c r="S10341" t="s">
        <v>158</v>
      </c>
      <c r="T10341" t="s">
        <v>18310</v>
      </c>
      <c r="U10341" t="s">
        <v>18311</v>
      </c>
      <c r="V10341" t="s">
        <v>18312</v>
      </c>
      <c r="W10341" t="s">
        <v>18313</v>
      </c>
      <c r="AD10341" t="s">
        <v>166</v>
      </c>
      <c r="AE10341" t="s">
        <v>2843</v>
      </c>
      <c r="AF10341" t="s">
        <v>20874</v>
      </c>
    </row>
    <row r="10342" spans="1:32" hidden="1" x14ac:dyDescent="0.35">
      <c r="A10342">
        <v>10341</v>
      </c>
      <c r="B10342" t="s">
        <v>20875</v>
      </c>
      <c r="C10342" t="s">
        <v>33</v>
      </c>
      <c r="D10342" t="s">
        <v>34</v>
      </c>
      <c r="E10342">
        <v>1457</v>
      </c>
      <c r="F10342">
        <v>2</v>
      </c>
      <c r="G10342">
        <v>2</v>
      </c>
      <c r="H10342">
        <v>1</v>
      </c>
      <c r="I10342">
        <v>0</v>
      </c>
      <c r="J10342">
        <v>0.99019607843137303</v>
      </c>
      <c r="K10342">
        <v>1</v>
      </c>
      <c r="L10342">
        <v>0.99507389162561599</v>
      </c>
      <c r="M10342">
        <v>0.98235294117647098</v>
      </c>
      <c r="N10342">
        <v>0.98235294117647098</v>
      </c>
      <c r="O10342">
        <v>0.98235294117647098</v>
      </c>
      <c r="P10342" t="s">
        <v>15681</v>
      </c>
      <c r="Q10342" t="s">
        <v>15682</v>
      </c>
      <c r="R10342" t="s">
        <v>224</v>
      </c>
      <c r="S10342" t="s">
        <v>225</v>
      </c>
      <c r="V10342" t="s">
        <v>18605</v>
      </c>
      <c r="W10342" t="s">
        <v>18606</v>
      </c>
      <c r="AF10342" t="s">
        <v>20876</v>
      </c>
    </row>
    <row r="10343" spans="1:32" hidden="1" x14ac:dyDescent="0.35">
      <c r="A10343">
        <v>10342</v>
      </c>
      <c r="B10343" t="s">
        <v>20875</v>
      </c>
      <c r="C10343" t="s">
        <v>33</v>
      </c>
      <c r="D10343" t="s">
        <v>45</v>
      </c>
      <c r="E10343">
        <v>208</v>
      </c>
      <c r="F10343">
        <v>2</v>
      </c>
      <c r="G10343">
        <v>2</v>
      </c>
      <c r="H10343">
        <v>1</v>
      </c>
      <c r="I10343">
        <v>0</v>
      </c>
      <c r="J10343">
        <v>0.99019607843137303</v>
      </c>
      <c r="K10343">
        <v>1</v>
      </c>
      <c r="L10343">
        <v>0.99507389162561599</v>
      </c>
      <c r="M10343">
        <v>0.98235294117647098</v>
      </c>
      <c r="N10343">
        <v>0.98235294117647098</v>
      </c>
      <c r="O10343">
        <v>0.98235294117647098</v>
      </c>
      <c r="P10343" t="s">
        <v>15681</v>
      </c>
      <c r="Q10343" t="s">
        <v>15682</v>
      </c>
      <c r="R10343" t="s">
        <v>224</v>
      </c>
      <c r="S10343" t="s">
        <v>225</v>
      </c>
      <c r="V10343" t="s">
        <v>18605</v>
      </c>
      <c r="W10343" t="s">
        <v>18606</v>
      </c>
      <c r="AF10343" t="s">
        <v>20877</v>
      </c>
    </row>
    <row r="10344" spans="1:32" hidden="1" x14ac:dyDescent="0.35">
      <c r="A10344">
        <v>10343</v>
      </c>
      <c r="B10344" t="s">
        <v>20878</v>
      </c>
      <c r="C10344" t="s">
        <v>33</v>
      </c>
      <c r="D10344" t="s">
        <v>60</v>
      </c>
      <c r="E10344">
        <v>536</v>
      </c>
      <c r="F10344">
        <v>2</v>
      </c>
      <c r="G10344">
        <v>2</v>
      </c>
      <c r="H10344">
        <v>1</v>
      </c>
      <c r="I10344">
        <v>0</v>
      </c>
      <c r="J10344">
        <v>0.98100558659217896</v>
      </c>
      <c r="K10344">
        <v>1</v>
      </c>
      <c r="L10344">
        <v>0.99041173152848305</v>
      </c>
      <c r="M10344">
        <v>0.97653631284916198</v>
      </c>
      <c r="N10344">
        <v>0.97653631284916198</v>
      </c>
      <c r="O10344">
        <v>0.97653631284916198</v>
      </c>
      <c r="P10344" t="s">
        <v>13229</v>
      </c>
      <c r="Q10344" t="s">
        <v>13230</v>
      </c>
      <c r="R10344" t="s">
        <v>157</v>
      </c>
      <c r="S10344" t="s">
        <v>158</v>
      </c>
      <c r="T10344" t="s">
        <v>13231</v>
      </c>
      <c r="U10344" t="s">
        <v>13232</v>
      </c>
      <c r="V10344" t="s">
        <v>13896</v>
      </c>
      <c r="W10344" t="s">
        <v>13897</v>
      </c>
      <c r="AD10344" t="s">
        <v>166</v>
      </c>
      <c r="AE10344" t="s">
        <v>167</v>
      </c>
      <c r="AF10344" t="s">
        <v>20879</v>
      </c>
    </row>
    <row r="10345" spans="1:32" hidden="1" x14ac:dyDescent="0.35">
      <c r="A10345">
        <v>10344</v>
      </c>
      <c r="B10345" t="s">
        <v>20878</v>
      </c>
      <c r="C10345" t="s">
        <v>33</v>
      </c>
      <c r="D10345" t="s">
        <v>62</v>
      </c>
      <c r="E10345">
        <v>620</v>
      </c>
      <c r="F10345">
        <v>2</v>
      </c>
      <c r="G10345">
        <v>2</v>
      </c>
      <c r="H10345">
        <v>1</v>
      </c>
      <c r="I10345">
        <v>0</v>
      </c>
      <c r="J10345">
        <v>0.98100558659217896</v>
      </c>
      <c r="K10345">
        <v>1</v>
      </c>
      <c r="L10345">
        <v>0.99041173152848305</v>
      </c>
      <c r="M10345">
        <v>0.97653631284916198</v>
      </c>
      <c r="N10345">
        <v>0.97653631284916198</v>
      </c>
      <c r="O10345">
        <v>0.97653631284916198</v>
      </c>
      <c r="P10345" t="s">
        <v>13229</v>
      </c>
      <c r="Q10345" t="s">
        <v>13230</v>
      </c>
      <c r="R10345" t="s">
        <v>157</v>
      </c>
      <c r="S10345" t="s">
        <v>158</v>
      </c>
      <c r="T10345" t="s">
        <v>13231</v>
      </c>
      <c r="U10345" t="s">
        <v>13232</v>
      </c>
      <c r="V10345" t="s">
        <v>13896</v>
      </c>
      <c r="W10345" t="s">
        <v>13897</v>
      </c>
      <c r="AD10345" t="s">
        <v>166</v>
      </c>
      <c r="AE10345" t="s">
        <v>167</v>
      </c>
      <c r="AF10345" t="s">
        <v>20880</v>
      </c>
    </row>
    <row r="10346" spans="1:32" hidden="1" x14ac:dyDescent="0.35">
      <c r="A10346">
        <v>10345</v>
      </c>
      <c r="B10346" t="s">
        <v>20881</v>
      </c>
      <c r="C10346" t="s">
        <v>33</v>
      </c>
      <c r="D10346" t="s">
        <v>60</v>
      </c>
      <c r="E10346">
        <v>399</v>
      </c>
      <c r="F10346">
        <v>2</v>
      </c>
      <c r="G10346">
        <v>2</v>
      </c>
      <c r="H10346">
        <v>1</v>
      </c>
      <c r="I10346">
        <v>0</v>
      </c>
      <c r="J10346">
        <v>0.99845679012345701</v>
      </c>
      <c r="K10346">
        <v>1</v>
      </c>
      <c r="L10346">
        <v>0.99922779922779903</v>
      </c>
      <c r="M10346">
        <v>0.99537037037037002</v>
      </c>
      <c r="N10346">
        <v>0.99537037037037002</v>
      </c>
      <c r="O10346">
        <v>0.99537037037037002</v>
      </c>
      <c r="P10346" t="s">
        <v>10067</v>
      </c>
      <c r="Q10346" t="s">
        <v>10068</v>
      </c>
      <c r="R10346" t="s">
        <v>224</v>
      </c>
      <c r="S10346" t="s">
        <v>225</v>
      </c>
      <c r="T10346" t="s">
        <v>15971</v>
      </c>
      <c r="U10346" t="s">
        <v>15972</v>
      </c>
      <c r="V10346" t="s">
        <v>15973</v>
      </c>
      <c r="W10346" t="s">
        <v>15974</v>
      </c>
      <c r="X10346" t="s">
        <v>15973</v>
      </c>
      <c r="Y10346" t="s">
        <v>1598</v>
      </c>
      <c r="AD10346" t="s">
        <v>1717</v>
      </c>
      <c r="AE10346" t="s">
        <v>1718</v>
      </c>
      <c r="AF10346" t="s">
        <v>20882</v>
      </c>
    </row>
    <row r="10347" spans="1:32" hidden="1" x14ac:dyDescent="0.35">
      <c r="A10347">
        <v>10346</v>
      </c>
      <c r="B10347" t="s">
        <v>20881</v>
      </c>
      <c r="C10347" t="s">
        <v>33</v>
      </c>
      <c r="D10347" t="s">
        <v>62</v>
      </c>
      <c r="E10347">
        <v>480</v>
      </c>
      <c r="F10347">
        <v>2</v>
      </c>
      <c r="G10347">
        <v>2</v>
      </c>
      <c r="H10347">
        <v>1</v>
      </c>
      <c r="I10347">
        <v>0</v>
      </c>
      <c r="J10347">
        <v>0.99845679012345701</v>
      </c>
      <c r="K10347">
        <v>1</v>
      </c>
      <c r="L10347">
        <v>0.99922779922779903</v>
      </c>
      <c r="M10347">
        <v>0.99537037037037002</v>
      </c>
      <c r="N10347">
        <v>0.99537037037037002</v>
      </c>
      <c r="O10347">
        <v>0.99537037037037002</v>
      </c>
      <c r="P10347" t="s">
        <v>10067</v>
      </c>
      <c r="Q10347" t="s">
        <v>10068</v>
      </c>
      <c r="R10347" t="s">
        <v>224</v>
      </c>
      <c r="S10347" t="s">
        <v>225</v>
      </c>
      <c r="T10347" t="s">
        <v>15971</v>
      </c>
      <c r="U10347" t="s">
        <v>15972</v>
      </c>
      <c r="V10347" t="s">
        <v>15973</v>
      </c>
      <c r="W10347" t="s">
        <v>15974</v>
      </c>
      <c r="X10347" t="s">
        <v>15973</v>
      </c>
      <c r="Y10347" t="s">
        <v>1598</v>
      </c>
      <c r="AD10347" t="s">
        <v>1717</v>
      </c>
      <c r="AE10347" t="s">
        <v>1718</v>
      </c>
      <c r="AF10347" t="s">
        <v>20883</v>
      </c>
    </row>
    <row r="10348" spans="1:32" hidden="1" x14ac:dyDescent="0.35">
      <c r="A10348">
        <v>10347</v>
      </c>
      <c r="B10348" t="s">
        <v>20884</v>
      </c>
      <c r="C10348" t="s">
        <v>33</v>
      </c>
      <c r="D10348" t="s">
        <v>60</v>
      </c>
      <c r="E10348">
        <v>96</v>
      </c>
      <c r="F10348">
        <v>2</v>
      </c>
      <c r="G10348">
        <v>2</v>
      </c>
      <c r="H10348">
        <v>1</v>
      </c>
      <c r="I10348">
        <v>0</v>
      </c>
      <c r="J10348">
        <v>0.98346055979643798</v>
      </c>
      <c r="K10348">
        <v>1</v>
      </c>
      <c r="L10348">
        <v>0.99166132135984597</v>
      </c>
      <c r="M10348">
        <v>0.98091603053435095</v>
      </c>
      <c r="N10348">
        <v>0.98091603053435095</v>
      </c>
      <c r="O10348">
        <v>0.98091603053435095</v>
      </c>
      <c r="R10348" t="s">
        <v>75</v>
      </c>
      <c r="S10348" t="s">
        <v>76</v>
      </c>
      <c r="V10348" t="s">
        <v>677</v>
      </c>
      <c r="W10348" t="s">
        <v>678</v>
      </c>
      <c r="AF10348" t="s">
        <v>20885</v>
      </c>
    </row>
    <row r="10349" spans="1:32" hidden="1" x14ac:dyDescent="0.35">
      <c r="A10349">
        <v>10348</v>
      </c>
      <c r="B10349" t="s">
        <v>20884</v>
      </c>
      <c r="C10349" t="s">
        <v>33</v>
      </c>
      <c r="D10349" t="s">
        <v>62</v>
      </c>
      <c r="E10349">
        <v>168</v>
      </c>
      <c r="F10349">
        <v>2</v>
      </c>
      <c r="G10349">
        <v>2</v>
      </c>
      <c r="H10349">
        <v>1</v>
      </c>
      <c r="I10349">
        <v>0</v>
      </c>
      <c r="J10349">
        <v>0.98346055979643798</v>
      </c>
      <c r="K10349">
        <v>1</v>
      </c>
      <c r="L10349">
        <v>0.99166132135984597</v>
      </c>
      <c r="M10349">
        <v>0.98091603053435095</v>
      </c>
      <c r="N10349">
        <v>0.98091603053435095</v>
      </c>
      <c r="O10349">
        <v>0.98091603053435095</v>
      </c>
      <c r="R10349" t="s">
        <v>75</v>
      </c>
      <c r="S10349" t="s">
        <v>76</v>
      </c>
      <c r="V10349" t="s">
        <v>677</v>
      </c>
      <c r="W10349" t="s">
        <v>678</v>
      </c>
      <c r="AF10349" t="s">
        <v>20886</v>
      </c>
    </row>
    <row r="10350" spans="1:32" hidden="1" x14ac:dyDescent="0.35">
      <c r="A10350">
        <v>10349</v>
      </c>
      <c r="B10350" t="s">
        <v>20887</v>
      </c>
      <c r="C10350" t="s">
        <v>33</v>
      </c>
      <c r="D10350" t="s">
        <v>34</v>
      </c>
      <c r="E10350">
        <v>30</v>
      </c>
      <c r="F10350">
        <v>2</v>
      </c>
      <c r="G10350">
        <v>2</v>
      </c>
      <c r="H10350">
        <v>1</v>
      </c>
      <c r="I10350">
        <v>0</v>
      </c>
      <c r="J10350">
        <v>0.96646942800789004</v>
      </c>
      <c r="K10350">
        <v>0.99705014749262499</v>
      </c>
      <c r="L10350">
        <v>0.98152164894688798</v>
      </c>
      <c r="M10350">
        <v>0.95575221238938102</v>
      </c>
      <c r="N10350">
        <v>0.95575221238938102</v>
      </c>
      <c r="O10350">
        <v>0.95575221238938102</v>
      </c>
      <c r="P10350" t="s">
        <v>8002</v>
      </c>
      <c r="Q10350" t="s">
        <v>8003</v>
      </c>
      <c r="R10350" t="s">
        <v>14254</v>
      </c>
      <c r="S10350" t="s">
        <v>14255</v>
      </c>
      <c r="T10350" t="s">
        <v>14256</v>
      </c>
      <c r="U10350" t="s">
        <v>14257</v>
      </c>
      <c r="V10350" t="s">
        <v>14258</v>
      </c>
      <c r="W10350" t="s">
        <v>14259</v>
      </c>
      <c r="AD10350" t="s">
        <v>8300</v>
      </c>
      <c r="AE10350" t="s">
        <v>14260</v>
      </c>
      <c r="AF10350" t="s">
        <v>20888</v>
      </c>
    </row>
    <row r="10351" spans="1:32" hidden="1" x14ac:dyDescent="0.35">
      <c r="A10351">
        <v>10350</v>
      </c>
      <c r="B10351" t="s">
        <v>20887</v>
      </c>
      <c r="C10351" t="s">
        <v>33</v>
      </c>
      <c r="D10351" t="s">
        <v>45</v>
      </c>
      <c r="E10351">
        <v>1287</v>
      </c>
      <c r="F10351">
        <v>2</v>
      </c>
      <c r="G10351">
        <v>2</v>
      </c>
      <c r="H10351">
        <v>1</v>
      </c>
      <c r="I10351">
        <v>0</v>
      </c>
      <c r="J10351">
        <v>0.96646942800789004</v>
      </c>
      <c r="K10351">
        <v>0.99705014749262499</v>
      </c>
      <c r="L10351">
        <v>0.98152164894688798</v>
      </c>
      <c r="M10351">
        <v>0.95575221238938102</v>
      </c>
      <c r="N10351">
        <v>0.95575221238938102</v>
      </c>
      <c r="O10351">
        <v>0.95575221238938102</v>
      </c>
      <c r="P10351" t="s">
        <v>8002</v>
      </c>
      <c r="Q10351" t="s">
        <v>8003</v>
      </c>
      <c r="R10351" t="s">
        <v>14254</v>
      </c>
      <c r="S10351" t="s">
        <v>14255</v>
      </c>
      <c r="T10351" t="s">
        <v>14256</v>
      </c>
      <c r="U10351" t="s">
        <v>14257</v>
      </c>
      <c r="V10351" t="s">
        <v>14258</v>
      </c>
      <c r="W10351" t="s">
        <v>14259</v>
      </c>
      <c r="AD10351" t="s">
        <v>8300</v>
      </c>
      <c r="AE10351" t="s">
        <v>14260</v>
      </c>
      <c r="AF10351" t="s">
        <v>20889</v>
      </c>
    </row>
    <row r="10352" spans="1:32" hidden="1" x14ac:dyDescent="0.35">
      <c r="A10352">
        <v>10351</v>
      </c>
      <c r="B10352" t="s">
        <v>20890</v>
      </c>
      <c r="C10352" t="s">
        <v>33</v>
      </c>
      <c r="D10352" t="s">
        <v>60</v>
      </c>
      <c r="E10352">
        <v>1637</v>
      </c>
      <c r="F10352">
        <v>2</v>
      </c>
      <c r="G10352">
        <v>2</v>
      </c>
      <c r="H10352">
        <v>1</v>
      </c>
      <c r="I10352">
        <v>0</v>
      </c>
      <c r="J10352">
        <v>0.99376114081996403</v>
      </c>
      <c r="K10352">
        <v>1</v>
      </c>
      <c r="L10352">
        <v>0.99687080911935599</v>
      </c>
      <c r="M10352">
        <v>0.99197860962566797</v>
      </c>
      <c r="N10352">
        <v>0.99197860962566797</v>
      </c>
      <c r="O10352">
        <v>0.99197860962566797</v>
      </c>
      <c r="P10352" t="s">
        <v>7762</v>
      </c>
      <c r="Q10352" t="s">
        <v>364</v>
      </c>
      <c r="R10352" t="s">
        <v>157</v>
      </c>
      <c r="S10352" t="s">
        <v>158</v>
      </c>
      <c r="V10352" t="s">
        <v>358</v>
      </c>
      <c r="W10352" t="s">
        <v>359</v>
      </c>
      <c r="AF10352" t="s">
        <v>20891</v>
      </c>
    </row>
    <row r="10353" spans="1:32" hidden="1" x14ac:dyDescent="0.35">
      <c r="A10353">
        <v>10352</v>
      </c>
      <c r="B10353" t="s">
        <v>20890</v>
      </c>
      <c r="C10353" t="s">
        <v>33</v>
      </c>
      <c r="D10353" t="s">
        <v>62</v>
      </c>
      <c r="E10353">
        <v>1672</v>
      </c>
      <c r="F10353">
        <v>2</v>
      </c>
      <c r="G10353">
        <v>2</v>
      </c>
      <c r="H10353">
        <v>1</v>
      </c>
      <c r="I10353">
        <v>0</v>
      </c>
      <c r="J10353">
        <v>0.99376114081996403</v>
      </c>
      <c r="K10353">
        <v>1</v>
      </c>
      <c r="L10353">
        <v>0.99687080911935599</v>
      </c>
      <c r="M10353">
        <v>0.99197860962566797</v>
      </c>
      <c r="N10353">
        <v>0.99197860962566797</v>
      </c>
      <c r="O10353">
        <v>0.99197860962566797</v>
      </c>
      <c r="P10353" t="s">
        <v>7762</v>
      </c>
      <c r="Q10353" t="s">
        <v>364</v>
      </c>
      <c r="R10353" t="s">
        <v>157</v>
      </c>
      <c r="S10353" t="s">
        <v>158</v>
      </c>
      <c r="V10353" t="s">
        <v>358</v>
      </c>
      <c r="W10353" t="s">
        <v>359</v>
      </c>
      <c r="AF10353" t="s">
        <v>20892</v>
      </c>
    </row>
    <row r="10354" spans="1:32" hidden="1" x14ac:dyDescent="0.35">
      <c r="A10354">
        <v>10353</v>
      </c>
      <c r="B10354" t="s">
        <v>20893</v>
      </c>
      <c r="C10354" t="s">
        <v>33</v>
      </c>
      <c r="D10354" t="s">
        <v>34</v>
      </c>
      <c r="E10354">
        <v>2437</v>
      </c>
      <c r="F10354">
        <v>2</v>
      </c>
      <c r="G10354">
        <v>2</v>
      </c>
      <c r="H10354">
        <v>1</v>
      </c>
      <c r="I10354">
        <v>0</v>
      </c>
      <c r="J10354">
        <v>0.99436392914653804</v>
      </c>
      <c r="K10354">
        <v>1</v>
      </c>
      <c r="L10354">
        <v>0.99717400080742802</v>
      </c>
      <c r="M10354">
        <v>0.99275362318840599</v>
      </c>
      <c r="N10354">
        <v>0.99275362318840599</v>
      </c>
      <c r="O10354">
        <v>0.99275362318840599</v>
      </c>
      <c r="AF10354" t="s">
        <v>20894</v>
      </c>
    </row>
    <row r="10355" spans="1:32" hidden="1" x14ac:dyDescent="0.35">
      <c r="A10355">
        <v>10354</v>
      </c>
      <c r="B10355" t="s">
        <v>20893</v>
      </c>
      <c r="C10355" t="s">
        <v>33</v>
      </c>
      <c r="D10355" t="s">
        <v>45</v>
      </c>
      <c r="E10355">
        <v>465</v>
      </c>
      <c r="F10355">
        <v>2</v>
      </c>
      <c r="G10355">
        <v>2</v>
      </c>
      <c r="H10355">
        <v>1</v>
      </c>
      <c r="I10355">
        <v>0</v>
      </c>
      <c r="J10355">
        <v>0.99436392914653804</v>
      </c>
      <c r="K10355">
        <v>1</v>
      </c>
      <c r="L10355">
        <v>0.99717400080742802</v>
      </c>
      <c r="M10355">
        <v>0.99275362318840599</v>
      </c>
      <c r="N10355">
        <v>0.99275362318840599</v>
      </c>
      <c r="O10355">
        <v>0.99275362318840599</v>
      </c>
      <c r="AF10355" t="s">
        <v>20895</v>
      </c>
    </row>
    <row r="10356" spans="1:32" hidden="1" x14ac:dyDescent="0.35">
      <c r="A10356">
        <v>10355</v>
      </c>
      <c r="B10356" t="s">
        <v>20896</v>
      </c>
      <c r="C10356" t="s">
        <v>33</v>
      </c>
      <c r="D10356" t="s">
        <v>60</v>
      </c>
      <c r="E10356">
        <v>2131</v>
      </c>
      <c r="F10356">
        <v>2</v>
      </c>
      <c r="G10356">
        <v>2</v>
      </c>
      <c r="H10356">
        <v>1</v>
      </c>
      <c r="I10356">
        <v>0</v>
      </c>
      <c r="J10356">
        <v>0.99215686274509796</v>
      </c>
      <c r="K10356">
        <v>1</v>
      </c>
      <c r="L10356">
        <v>0.99606299212598404</v>
      </c>
      <c r="M10356">
        <v>0.99215686274509796</v>
      </c>
      <c r="N10356">
        <v>0.99215686274509796</v>
      </c>
      <c r="O10356">
        <v>0.99215686274509796</v>
      </c>
      <c r="P10356" t="s">
        <v>12996</v>
      </c>
      <c r="Q10356" t="s">
        <v>4868</v>
      </c>
      <c r="R10356" t="s">
        <v>96</v>
      </c>
      <c r="S10356" t="s">
        <v>97</v>
      </c>
      <c r="V10356" t="s">
        <v>12997</v>
      </c>
      <c r="W10356" t="s">
        <v>12998</v>
      </c>
      <c r="AF10356" t="s">
        <v>20897</v>
      </c>
    </row>
    <row r="10357" spans="1:32" hidden="1" x14ac:dyDescent="0.35">
      <c r="A10357">
        <v>10356</v>
      </c>
      <c r="B10357" t="s">
        <v>20896</v>
      </c>
      <c r="C10357" t="s">
        <v>33</v>
      </c>
      <c r="D10357" t="s">
        <v>62</v>
      </c>
      <c r="E10357">
        <v>2164</v>
      </c>
      <c r="F10357">
        <v>2</v>
      </c>
      <c r="G10357">
        <v>2</v>
      </c>
      <c r="H10357">
        <v>1</v>
      </c>
      <c r="I10357">
        <v>0</v>
      </c>
      <c r="J10357">
        <v>0.99215686274509796</v>
      </c>
      <c r="K10357">
        <v>1</v>
      </c>
      <c r="L10357">
        <v>0.99606299212598404</v>
      </c>
      <c r="M10357">
        <v>0.99215686274509796</v>
      </c>
      <c r="N10357">
        <v>0.99215686274509796</v>
      </c>
      <c r="O10357">
        <v>0.99215686274509796</v>
      </c>
      <c r="P10357" t="s">
        <v>12996</v>
      </c>
      <c r="Q10357" t="s">
        <v>4868</v>
      </c>
      <c r="R10357" t="s">
        <v>96</v>
      </c>
      <c r="S10357" t="s">
        <v>97</v>
      </c>
      <c r="V10357" t="s">
        <v>12997</v>
      </c>
      <c r="W10357" t="s">
        <v>12998</v>
      </c>
      <c r="AF10357" t="s">
        <v>20898</v>
      </c>
    </row>
    <row r="10358" spans="1:32" hidden="1" x14ac:dyDescent="0.35">
      <c r="A10358">
        <v>10357</v>
      </c>
      <c r="B10358" t="s">
        <v>20899</v>
      </c>
      <c r="C10358" t="s">
        <v>33</v>
      </c>
      <c r="D10358" t="s">
        <v>34</v>
      </c>
      <c r="E10358">
        <v>1634</v>
      </c>
      <c r="F10358">
        <v>2</v>
      </c>
      <c r="G10358">
        <v>2</v>
      </c>
      <c r="H10358">
        <v>1</v>
      </c>
      <c r="I10358">
        <v>0</v>
      </c>
      <c r="J10358">
        <v>0.94991055456171702</v>
      </c>
      <c r="K10358">
        <v>0.991147348928615</v>
      </c>
      <c r="L10358">
        <v>0.97009092431522703</v>
      </c>
      <c r="M10358">
        <v>0.92730496453900702</v>
      </c>
      <c r="N10358">
        <v>0.92730496453900702</v>
      </c>
      <c r="O10358">
        <v>0.92730496453900702</v>
      </c>
      <c r="AF10358" t="s">
        <v>20900</v>
      </c>
    </row>
    <row r="10359" spans="1:32" hidden="1" x14ac:dyDescent="0.35">
      <c r="A10359">
        <v>10358</v>
      </c>
      <c r="B10359" t="s">
        <v>20899</v>
      </c>
      <c r="C10359" t="s">
        <v>33</v>
      </c>
      <c r="D10359" t="s">
        <v>45</v>
      </c>
      <c r="E10359">
        <v>381</v>
      </c>
      <c r="F10359">
        <v>2</v>
      </c>
      <c r="G10359">
        <v>2</v>
      </c>
      <c r="H10359">
        <v>1</v>
      </c>
      <c r="I10359">
        <v>0</v>
      </c>
      <c r="J10359">
        <v>0.94991055456171702</v>
      </c>
      <c r="K10359">
        <v>0.991147348928615</v>
      </c>
      <c r="L10359">
        <v>0.97009092431522703</v>
      </c>
      <c r="M10359">
        <v>0.92730496453900702</v>
      </c>
      <c r="N10359">
        <v>0.92730496453900702</v>
      </c>
      <c r="O10359">
        <v>0.92730496453900702</v>
      </c>
      <c r="AF10359" t="s">
        <v>20901</v>
      </c>
    </row>
    <row r="10360" spans="1:32" hidden="1" x14ac:dyDescent="0.35">
      <c r="A10360">
        <v>10359</v>
      </c>
      <c r="B10360" t="s">
        <v>20902</v>
      </c>
      <c r="C10360" t="s">
        <v>33</v>
      </c>
      <c r="D10360" t="s">
        <v>60</v>
      </c>
      <c r="E10360">
        <v>27</v>
      </c>
      <c r="F10360">
        <v>2</v>
      </c>
      <c r="G10360">
        <v>2</v>
      </c>
      <c r="H10360">
        <v>1</v>
      </c>
      <c r="I10360">
        <v>0</v>
      </c>
      <c r="J10360">
        <v>0.99932386747802604</v>
      </c>
      <c r="K10360">
        <v>1</v>
      </c>
      <c r="L10360">
        <v>0.99966181941156596</v>
      </c>
      <c r="M10360">
        <v>0.99797160243407701</v>
      </c>
      <c r="N10360">
        <v>0.99797160243407701</v>
      </c>
      <c r="O10360">
        <v>0.99797160243407701</v>
      </c>
      <c r="P10360" t="s">
        <v>12985</v>
      </c>
      <c r="Q10360" t="s">
        <v>12986</v>
      </c>
      <c r="R10360" t="s">
        <v>1191</v>
      </c>
      <c r="S10360" t="s">
        <v>1192</v>
      </c>
      <c r="T10360" t="s">
        <v>12230</v>
      </c>
      <c r="U10360" t="s">
        <v>12231</v>
      </c>
      <c r="V10360" t="s">
        <v>5877</v>
      </c>
      <c r="W10360" t="s">
        <v>5878</v>
      </c>
      <c r="AD10360" t="s">
        <v>12234</v>
      </c>
      <c r="AE10360" t="s">
        <v>12235</v>
      </c>
      <c r="AF10360" t="s">
        <v>20903</v>
      </c>
    </row>
    <row r="10361" spans="1:32" hidden="1" x14ac:dyDescent="0.35">
      <c r="A10361">
        <v>10360</v>
      </c>
      <c r="B10361" t="s">
        <v>20902</v>
      </c>
      <c r="C10361" t="s">
        <v>33</v>
      </c>
      <c r="D10361" t="s">
        <v>62</v>
      </c>
      <c r="E10361">
        <v>100</v>
      </c>
      <c r="F10361">
        <v>2</v>
      </c>
      <c r="G10361">
        <v>2</v>
      </c>
      <c r="H10361">
        <v>1</v>
      </c>
      <c r="I10361">
        <v>0</v>
      </c>
      <c r="J10361">
        <v>0.99932386747802604</v>
      </c>
      <c r="K10361">
        <v>1</v>
      </c>
      <c r="L10361">
        <v>0.99966181941156596</v>
      </c>
      <c r="M10361">
        <v>0.99797160243407701</v>
      </c>
      <c r="N10361">
        <v>0.99797160243407701</v>
      </c>
      <c r="O10361">
        <v>0.99797160243407701</v>
      </c>
      <c r="P10361" t="s">
        <v>12985</v>
      </c>
      <c r="Q10361" t="s">
        <v>12986</v>
      </c>
      <c r="R10361" t="s">
        <v>1191</v>
      </c>
      <c r="S10361" t="s">
        <v>1192</v>
      </c>
      <c r="T10361" t="s">
        <v>12230</v>
      </c>
      <c r="U10361" t="s">
        <v>12231</v>
      </c>
      <c r="V10361" t="s">
        <v>5877</v>
      </c>
      <c r="W10361" t="s">
        <v>5878</v>
      </c>
      <c r="AD10361" t="s">
        <v>12234</v>
      </c>
      <c r="AE10361" t="s">
        <v>12235</v>
      </c>
      <c r="AF10361" t="s">
        <v>20904</v>
      </c>
    </row>
    <row r="10362" spans="1:32" hidden="1" x14ac:dyDescent="0.35">
      <c r="A10362">
        <v>10361</v>
      </c>
      <c r="B10362" t="s">
        <v>20905</v>
      </c>
      <c r="C10362" t="s">
        <v>33</v>
      </c>
      <c r="D10362" t="s">
        <v>34</v>
      </c>
      <c r="E10362">
        <v>2096</v>
      </c>
      <c r="F10362">
        <v>2</v>
      </c>
      <c r="G10362">
        <v>2</v>
      </c>
      <c r="H10362">
        <v>1</v>
      </c>
      <c r="I10362">
        <v>0</v>
      </c>
      <c r="J10362">
        <v>0.99009900990098998</v>
      </c>
      <c r="K10362">
        <v>1</v>
      </c>
      <c r="L10362">
        <v>0.99502487562189101</v>
      </c>
      <c r="M10362">
        <v>0.99009900990098998</v>
      </c>
      <c r="N10362">
        <v>0.99009900990098998</v>
      </c>
      <c r="O10362">
        <v>0.99009900990098998</v>
      </c>
      <c r="P10362" t="s">
        <v>20906</v>
      </c>
      <c r="Q10362" t="s">
        <v>20907</v>
      </c>
      <c r="AF10362" t="s">
        <v>20908</v>
      </c>
    </row>
    <row r="10363" spans="1:32" hidden="1" x14ac:dyDescent="0.35">
      <c r="A10363">
        <v>10362</v>
      </c>
      <c r="B10363" t="s">
        <v>20905</v>
      </c>
      <c r="C10363" t="s">
        <v>33</v>
      </c>
      <c r="D10363" t="s">
        <v>45</v>
      </c>
      <c r="E10363">
        <v>776</v>
      </c>
      <c r="F10363">
        <v>2</v>
      </c>
      <c r="G10363">
        <v>2</v>
      </c>
      <c r="H10363">
        <v>1</v>
      </c>
      <c r="I10363">
        <v>0</v>
      </c>
      <c r="J10363">
        <v>0.99009900990098998</v>
      </c>
      <c r="K10363">
        <v>1</v>
      </c>
      <c r="L10363">
        <v>0.99502487562189101</v>
      </c>
      <c r="M10363">
        <v>0.99009900990098998</v>
      </c>
      <c r="N10363">
        <v>0.99009900990098998</v>
      </c>
      <c r="O10363">
        <v>0.99009900990098998</v>
      </c>
      <c r="P10363" t="s">
        <v>20906</v>
      </c>
      <c r="Q10363" t="s">
        <v>20907</v>
      </c>
      <c r="AF10363" t="s">
        <v>20909</v>
      </c>
    </row>
    <row r="10364" spans="1:32" hidden="1" x14ac:dyDescent="0.35">
      <c r="A10364">
        <v>10363</v>
      </c>
      <c r="B10364" t="s">
        <v>20910</v>
      </c>
      <c r="C10364" t="s">
        <v>33</v>
      </c>
      <c r="D10364" t="s">
        <v>34</v>
      </c>
      <c r="E10364">
        <v>375</v>
      </c>
      <c r="F10364">
        <v>2</v>
      </c>
      <c r="G10364">
        <v>2</v>
      </c>
      <c r="H10364">
        <v>1</v>
      </c>
      <c r="I10364">
        <v>0</v>
      </c>
      <c r="J10364">
        <v>0.98899889988998901</v>
      </c>
      <c r="K10364">
        <v>1</v>
      </c>
      <c r="L10364">
        <v>0.99446902654867297</v>
      </c>
      <c r="M10364">
        <v>0.98679867986798697</v>
      </c>
      <c r="N10364">
        <v>0.98679867986798697</v>
      </c>
      <c r="O10364">
        <v>0.98679867986798697</v>
      </c>
      <c r="P10364" t="s">
        <v>169</v>
      </c>
      <c r="Q10364" t="s">
        <v>170</v>
      </c>
      <c r="R10364" t="s">
        <v>138</v>
      </c>
      <c r="S10364" t="s">
        <v>139</v>
      </c>
      <c r="T10364" t="s">
        <v>3691</v>
      </c>
      <c r="U10364" t="s">
        <v>3692</v>
      </c>
      <c r="V10364" t="s">
        <v>3693</v>
      </c>
      <c r="W10364" t="s">
        <v>3694</v>
      </c>
      <c r="AD10364" t="s">
        <v>166</v>
      </c>
      <c r="AE10364" t="s">
        <v>3695</v>
      </c>
      <c r="AF10364" t="s">
        <v>20911</v>
      </c>
    </row>
    <row r="10365" spans="1:32" hidden="1" x14ac:dyDescent="0.35">
      <c r="A10365">
        <v>10364</v>
      </c>
      <c r="B10365" t="s">
        <v>20910</v>
      </c>
      <c r="C10365" t="s">
        <v>33</v>
      </c>
      <c r="D10365" t="s">
        <v>45</v>
      </c>
      <c r="E10365">
        <v>1637</v>
      </c>
      <c r="F10365">
        <v>2</v>
      </c>
      <c r="G10365">
        <v>2</v>
      </c>
      <c r="H10365">
        <v>1</v>
      </c>
      <c r="I10365">
        <v>0</v>
      </c>
      <c r="J10365">
        <v>0.98899889988998901</v>
      </c>
      <c r="K10365">
        <v>1</v>
      </c>
      <c r="L10365">
        <v>0.99446902654867297</v>
      </c>
      <c r="M10365">
        <v>0.98679867986798697</v>
      </c>
      <c r="N10365">
        <v>0.98679867986798697</v>
      </c>
      <c r="O10365">
        <v>0.98679867986798697</v>
      </c>
      <c r="P10365" t="s">
        <v>169</v>
      </c>
      <c r="Q10365" t="s">
        <v>170</v>
      </c>
      <c r="R10365" t="s">
        <v>138</v>
      </c>
      <c r="S10365" t="s">
        <v>139</v>
      </c>
      <c r="T10365" t="s">
        <v>3691</v>
      </c>
      <c r="U10365" t="s">
        <v>3692</v>
      </c>
      <c r="V10365" t="s">
        <v>3693</v>
      </c>
      <c r="W10365" t="s">
        <v>3694</v>
      </c>
      <c r="AD10365" t="s">
        <v>166</v>
      </c>
      <c r="AE10365" t="s">
        <v>3695</v>
      </c>
      <c r="AF10365" t="s">
        <v>20912</v>
      </c>
    </row>
    <row r="10366" spans="1:32" hidden="1" x14ac:dyDescent="0.35">
      <c r="A10366">
        <v>10365</v>
      </c>
      <c r="B10366" t="s">
        <v>20913</v>
      </c>
      <c r="C10366" t="s">
        <v>33</v>
      </c>
      <c r="D10366" t="s">
        <v>60</v>
      </c>
      <c r="E10366">
        <v>456</v>
      </c>
      <c r="F10366">
        <v>2</v>
      </c>
      <c r="G10366">
        <v>2</v>
      </c>
      <c r="H10366">
        <v>1</v>
      </c>
      <c r="I10366">
        <v>0</v>
      </c>
      <c r="J10366">
        <v>0.99835796387520503</v>
      </c>
      <c r="K10366">
        <v>1</v>
      </c>
      <c r="L10366">
        <v>0.99917830731306501</v>
      </c>
      <c r="M10366">
        <v>0.99507389162561599</v>
      </c>
      <c r="N10366">
        <v>0.99507389162561599</v>
      </c>
      <c r="O10366">
        <v>0.99507389162561599</v>
      </c>
      <c r="AF10366" t="s">
        <v>20914</v>
      </c>
    </row>
    <row r="10367" spans="1:32" hidden="1" x14ac:dyDescent="0.35">
      <c r="A10367">
        <v>10366</v>
      </c>
      <c r="B10367" t="s">
        <v>20913</v>
      </c>
      <c r="C10367" t="s">
        <v>33</v>
      </c>
      <c r="D10367" t="s">
        <v>62</v>
      </c>
      <c r="E10367">
        <v>537</v>
      </c>
      <c r="F10367">
        <v>2</v>
      </c>
      <c r="G10367">
        <v>2</v>
      </c>
      <c r="H10367">
        <v>1</v>
      </c>
      <c r="I10367">
        <v>0</v>
      </c>
      <c r="J10367">
        <v>0.99835796387520503</v>
      </c>
      <c r="K10367">
        <v>1</v>
      </c>
      <c r="L10367">
        <v>0.99917830731306501</v>
      </c>
      <c r="M10367">
        <v>0.99507389162561599</v>
      </c>
      <c r="N10367">
        <v>0.99507389162561599</v>
      </c>
      <c r="O10367">
        <v>0.99507389162561599</v>
      </c>
      <c r="AF10367" t="s">
        <v>20915</v>
      </c>
    </row>
    <row r="10368" spans="1:32" hidden="1" x14ac:dyDescent="0.35">
      <c r="A10368">
        <v>10367</v>
      </c>
      <c r="B10368" t="s">
        <v>20916</v>
      </c>
      <c r="C10368" t="s">
        <v>33</v>
      </c>
      <c r="D10368" t="s">
        <v>34</v>
      </c>
      <c r="E10368">
        <v>383</v>
      </c>
      <c r="F10368">
        <v>2</v>
      </c>
      <c r="G10368">
        <v>2</v>
      </c>
      <c r="H10368">
        <v>1</v>
      </c>
      <c r="I10368">
        <v>0</v>
      </c>
      <c r="J10368">
        <v>0.99815837937384899</v>
      </c>
      <c r="K10368">
        <v>1</v>
      </c>
      <c r="L10368">
        <v>0.99907834101382498</v>
      </c>
      <c r="M10368">
        <v>0.99447513812154698</v>
      </c>
      <c r="N10368">
        <v>0.99447513812154698</v>
      </c>
      <c r="O10368">
        <v>0.99447513812154698</v>
      </c>
      <c r="P10368" t="s">
        <v>20917</v>
      </c>
      <c r="Q10368" t="s">
        <v>20918</v>
      </c>
      <c r="R10368" t="s">
        <v>113</v>
      </c>
      <c r="S10368" t="s">
        <v>114</v>
      </c>
      <c r="V10368" t="s">
        <v>13654</v>
      </c>
      <c r="W10368" t="s">
        <v>13655</v>
      </c>
      <c r="AF10368" t="s">
        <v>20919</v>
      </c>
    </row>
    <row r="10369" spans="1:32" hidden="1" x14ac:dyDescent="0.35">
      <c r="A10369">
        <v>10368</v>
      </c>
      <c r="B10369" t="s">
        <v>20916</v>
      </c>
      <c r="C10369" t="s">
        <v>33</v>
      </c>
      <c r="D10369" t="s">
        <v>45</v>
      </c>
      <c r="E10369">
        <v>1644</v>
      </c>
      <c r="F10369">
        <v>2</v>
      </c>
      <c r="G10369">
        <v>2</v>
      </c>
      <c r="H10369">
        <v>1</v>
      </c>
      <c r="I10369">
        <v>0</v>
      </c>
      <c r="J10369">
        <v>0.99815837937384899</v>
      </c>
      <c r="K10369">
        <v>1</v>
      </c>
      <c r="L10369">
        <v>0.99907834101382498</v>
      </c>
      <c r="M10369">
        <v>0.99447513812154698</v>
      </c>
      <c r="N10369">
        <v>0.99447513812154698</v>
      </c>
      <c r="O10369">
        <v>0.99447513812154698</v>
      </c>
      <c r="P10369" t="s">
        <v>20917</v>
      </c>
      <c r="Q10369" t="s">
        <v>20918</v>
      </c>
      <c r="R10369" t="s">
        <v>113</v>
      </c>
      <c r="S10369" t="s">
        <v>114</v>
      </c>
      <c r="V10369" t="s">
        <v>13654</v>
      </c>
      <c r="W10369" t="s">
        <v>13655</v>
      </c>
      <c r="AF10369" t="s">
        <v>20920</v>
      </c>
    </row>
    <row r="10370" spans="1:32" hidden="1" x14ac:dyDescent="0.35">
      <c r="A10370">
        <v>10369</v>
      </c>
      <c r="B10370" t="s">
        <v>20921</v>
      </c>
      <c r="C10370" t="s">
        <v>33</v>
      </c>
      <c r="D10370" t="s">
        <v>60</v>
      </c>
      <c r="E10370">
        <v>2279</v>
      </c>
      <c r="F10370">
        <v>2</v>
      </c>
      <c r="G10370">
        <v>2</v>
      </c>
      <c r="H10370">
        <v>1</v>
      </c>
      <c r="I10370">
        <v>0</v>
      </c>
      <c r="J10370">
        <v>0.99549549549549599</v>
      </c>
      <c r="K10370">
        <v>1</v>
      </c>
      <c r="L10370">
        <v>0.99774266365688502</v>
      </c>
      <c r="M10370">
        <v>0.99549549549549599</v>
      </c>
      <c r="N10370">
        <v>0.99549549549549599</v>
      </c>
      <c r="O10370">
        <v>0.99549549549549599</v>
      </c>
      <c r="AF10370" t="s">
        <v>20922</v>
      </c>
    </row>
    <row r="10371" spans="1:32" hidden="1" x14ac:dyDescent="0.35">
      <c r="A10371">
        <v>10370</v>
      </c>
      <c r="B10371" t="s">
        <v>20921</v>
      </c>
      <c r="C10371" t="s">
        <v>33</v>
      </c>
      <c r="D10371" t="s">
        <v>62</v>
      </c>
      <c r="E10371">
        <v>2308</v>
      </c>
      <c r="F10371">
        <v>2</v>
      </c>
      <c r="G10371">
        <v>2</v>
      </c>
      <c r="H10371">
        <v>1</v>
      </c>
      <c r="I10371">
        <v>0</v>
      </c>
      <c r="J10371">
        <v>0.99549549549549599</v>
      </c>
      <c r="K10371">
        <v>1</v>
      </c>
      <c r="L10371">
        <v>0.99774266365688502</v>
      </c>
      <c r="M10371">
        <v>0.99549549549549599</v>
      </c>
      <c r="N10371">
        <v>0.99549549549549599</v>
      </c>
      <c r="O10371">
        <v>0.99549549549549599</v>
      </c>
      <c r="AF10371" t="s">
        <v>20923</v>
      </c>
    </row>
    <row r="10372" spans="1:32" hidden="1" x14ac:dyDescent="0.35">
      <c r="A10372">
        <v>10371</v>
      </c>
      <c r="B10372" t="s">
        <v>20924</v>
      </c>
      <c r="C10372" t="s">
        <v>33</v>
      </c>
      <c r="D10372" t="s">
        <v>60</v>
      </c>
      <c r="E10372">
        <v>58</v>
      </c>
      <c r="F10372">
        <v>2</v>
      </c>
      <c r="G10372">
        <v>2</v>
      </c>
      <c r="H10372">
        <v>1</v>
      </c>
      <c r="I10372">
        <v>0</v>
      </c>
      <c r="J10372">
        <v>0.99942824471126401</v>
      </c>
      <c r="K10372">
        <v>1</v>
      </c>
      <c r="L10372">
        <v>0.99971404060623403</v>
      </c>
      <c r="M10372">
        <v>0.99828473413379104</v>
      </c>
      <c r="N10372">
        <v>0.99828473413379104</v>
      </c>
      <c r="O10372">
        <v>0.99828473413379104</v>
      </c>
      <c r="P10372" t="s">
        <v>17002</v>
      </c>
      <c r="Q10372" t="s">
        <v>17003</v>
      </c>
      <c r="R10372" t="s">
        <v>157</v>
      </c>
      <c r="S10372" t="s">
        <v>158</v>
      </c>
      <c r="T10372" t="s">
        <v>17004</v>
      </c>
      <c r="U10372" t="s">
        <v>17005</v>
      </c>
      <c r="V10372" t="s">
        <v>358</v>
      </c>
      <c r="W10372" t="s">
        <v>359</v>
      </c>
      <c r="AD10372" t="s">
        <v>5013</v>
      </c>
      <c r="AE10372" t="s">
        <v>17006</v>
      </c>
      <c r="AF10372" t="s">
        <v>20925</v>
      </c>
    </row>
    <row r="10373" spans="1:32" hidden="1" x14ac:dyDescent="0.35">
      <c r="A10373">
        <v>10372</v>
      </c>
      <c r="B10373" t="s">
        <v>20924</v>
      </c>
      <c r="C10373" t="s">
        <v>33</v>
      </c>
      <c r="D10373" t="s">
        <v>62</v>
      </c>
      <c r="E10373">
        <v>131</v>
      </c>
      <c r="F10373">
        <v>2</v>
      </c>
      <c r="G10373">
        <v>2</v>
      </c>
      <c r="H10373">
        <v>1</v>
      </c>
      <c r="I10373">
        <v>0</v>
      </c>
      <c r="J10373">
        <v>0.99942824471126401</v>
      </c>
      <c r="K10373">
        <v>1</v>
      </c>
      <c r="L10373">
        <v>0.99971404060623403</v>
      </c>
      <c r="M10373">
        <v>0.99828473413379104</v>
      </c>
      <c r="N10373">
        <v>0.99828473413379104</v>
      </c>
      <c r="O10373">
        <v>0.99828473413379104</v>
      </c>
      <c r="P10373" t="s">
        <v>17002</v>
      </c>
      <c r="Q10373" t="s">
        <v>17003</v>
      </c>
      <c r="R10373" t="s">
        <v>157</v>
      </c>
      <c r="S10373" t="s">
        <v>158</v>
      </c>
      <c r="T10373" t="s">
        <v>17004</v>
      </c>
      <c r="U10373" t="s">
        <v>17005</v>
      </c>
      <c r="V10373" t="s">
        <v>358</v>
      </c>
      <c r="W10373" t="s">
        <v>359</v>
      </c>
      <c r="AD10373" t="s">
        <v>5013</v>
      </c>
      <c r="AE10373" t="s">
        <v>17006</v>
      </c>
      <c r="AF10373" t="s">
        <v>20926</v>
      </c>
    </row>
    <row r="10374" spans="1:32" hidden="1" x14ac:dyDescent="0.35">
      <c r="A10374">
        <v>10373</v>
      </c>
      <c r="B10374" t="s">
        <v>20927</v>
      </c>
      <c r="C10374" t="s">
        <v>33</v>
      </c>
      <c r="D10374" t="s">
        <v>60</v>
      </c>
      <c r="E10374">
        <v>2385</v>
      </c>
      <c r="F10374">
        <v>2</v>
      </c>
      <c r="G10374">
        <v>2</v>
      </c>
      <c r="H10374">
        <v>1</v>
      </c>
      <c r="I10374">
        <v>0</v>
      </c>
      <c r="J10374">
        <v>0.96958637469586395</v>
      </c>
      <c r="K10374">
        <v>1</v>
      </c>
      <c r="L10374">
        <v>0.98455836936380503</v>
      </c>
      <c r="M10374">
        <v>0.952554744525547</v>
      </c>
      <c r="N10374">
        <v>0.952554744525547</v>
      </c>
      <c r="O10374">
        <v>0.952554744525547</v>
      </c>
      <c r="P10374" t="s">
        <v>20928</v>
      </c>
      <c r="Q10374" t="s">
        <v>1037</v>
      </c>
      <c r="R10374" t="s">
        <v>540</v>
      </c>
      <c r="S10374" t="s">
        <v>541</v>
      </c>
      <c r="T10374" t="s">
        <v>20929</v>
      </c>
      <c r="U10374" t="s">
        <v>20930</v>
      </c>
      <c r="V10374" t="s">
        <v>11433</v>
      </c>
      <c r="W10374" t="s">
        <v>11434</v>
      </c>
      <c r="AD10374" t="s">
        <v>166</v>
      </c>
      <c r="AE10374" t="s">
        <v>20931</v>
      </c>
      <c r="AF10374" t="s">
        <v>20932</v>
      </c>
    </row>
    <row r="10375" spans="1:32" hidden="1" x14ac:dyDescent="0.35">
      <c r="A10375">
        <v>10374</v>
      </c>
      <c r="B10375" t="s">
        <v>20927</v>
      </c>
      <c r="C10375" t="s">
        <v>33</v>
      </c>
      <c r="D10375" t="s">
        <v>62</v>
      </c>
      <c r="E10375">
        <v>2413</v>
      </c>
      <c r="F10375">
        <v>2</v>
      </c>
      <c r="G10375">
        <v>2</v>
      </c>
      <c r="H10375">
        <v>1</v>
      </c>
      <c r="I10375">
        <v>0</v>
      </c>
      <c r="J10375">
        <v>0.96958637469586395</v>
      </c>
      <c r="K10375">
        <v>1</v>
      </c>
      <c r="L10375">
        <v>0.98455836936380503</v>
      </c>
      <c r="M10375">
        <v>0.952554744525547</v>
      </c>
      <c r="N10375">
        <v>0.952554744525547</v>
      </c>
      <c r="O10375">
        <v>0.952554744525547</v>
      </c>
      <c r="P10375" t="s">
        <v>20928</v>
      </c>
      <c r="Q10375" t="s">
        <v>1037</v>
      </c>
      <c r="R10375" t="s">
        <v>540</v>
      </c>
      <c r="S10375" t="s">
        <v>541</v>
      </c>
      <c r="T10375" t="s">
        <v>20929</v>
      </c>
      <c r="U10375" t="s">
        <v>20930</v>
      </c>
      <c r="V10375" t="s">
        <v>11433</v>
      </c>
      <c r="W10375" t="s">
        <v>11434</v>
      </c>
      <c r="AD10375" t="s">
        <v>166</v>
      </c>
      <c r="AE10375" t="s">
        <v>20931</v>
      </c>
      <c r="AF10375" t="s">
        <v>20933</v>
      </c>
    </row>
    <row r="10376" spans="1:32" hidden="1" x14ac:dyDescent="0.35">
      <c r="A10376">
        <v>10375</v>
      </c>
      <c r="B10376" t="s">
        <v>20934</v>
      </c>
      <c r="C10376" t="s">
        <v>33</v>
      </c>
      <c r="D10376" t="s">
        <v>34</v>
      </c>
      <c r="E10376">
        <v>2238</v>
      </c>
      <c r="F10376">
        <v>2</v>
      </c>
      <c r="G10376">
        <v>2</v>
      </c>
      <c r="H10376">
        <v>1</v>
      </c>
      <c r="I10376">
        <v>0</v>
      </c>
      <c r="J10376">
        <v>0.98863636363636398</v>
      </c>
      <c r="K10376">
        <v>1</v>
      </c>
      <c r="L10376">
        <v>0.994285714285714</v>
      </c>
      <c r="M10376">
        <v>0.98863636363636398</v>
      </c>
      <c r="N10376">
        <v>0.98863636363636398</v>
      </c>
      <c r="O10376">
        <v>0.98863636363636398</v>
      </c>
      <c r="AF10376" t="s">
        <v>20935</v>
      </c>
    </row>
    <row r="10377" spans="1:32" hidden="1" x14ac:dyDescent="0.35">
      <c r="A10377">
        <v>10376</v>
      </c>
      <c r="B10377" t="s">
        <v>20934</v>
      </c>
      <c r="C10377" t="s">
        <v>33</v>
      </c>
      <c r="D10377" t="s">
        <v>45</v>
      </c>
      <c r="E10377">
        <v>639</v>
      </c>
      <c r="F10377">
        <v>2</v>
      </c>
      <c r="G10377">
        <v>2</v>
      </c>
      <c r="H10377">
        <v>1</v>
      </c>
      <c r="I10377">
        <v>0</v>
      </c>
      <c r="J10377">
        <v>0.98863636363636398</v>
      </c>
      <c r="K10377">
        <v>1</v>
      </c>
      <c r="L10377">
        <v>0.994285714285714</v>
      </c>
      <c r="M10377">
        <v>0.98863636363636398</v>
      </c>
      <c r="N10377">
        <v>0.98863636363636398</v>
      </c>
      <c r="O10377">
        <v>0.98863636363636398</v>
      </c>
      <c r="AF10377" t="s">
        <v>20936</v>
      </c>
    </row>
    <row r="10378" spans="1:32" hidden="1" x14ac:dyDescent="0.35">
      <c r="A10378">
        <v>10377</v>
      </c>
      <c r="B10378" t="s">
        <v>20937</v>
      </c>
      <c r="C10378" t="s">
        <v>33</v>
      </c>
      <c r="D10378" t="s">
        <v>34</v>
      </c>
      <c r="E10378">
        <v>1494</v>
      </c>
      <c r="F10378">
        <v>2</v>
      </c>
      <c r="G10378">
        <v>2</v>
      </c>
      <c r="H10378">
        <v>1</v>
      </c>
      <c r="I10378">
        <v>0</v>
      </c>
      <c r="J10378">
        <v>0.99761904761904796</v>
      </c>
      <c r="K10378">
        <v>1</v>
      </c>
      <c r="L10378">
        <v>0.99880810488676997</v>
      </c>
      <c r="M10378">
        <v>0.99761904761904796</v>
      </c>
      <c r="N10378">
        <v>0.99761904761904796</v>
      </c>
      <c r="O10378">
        <v>0.99761904761904796</v>
      </c>
      <c r="P10378" t="s">
        <v>16012</v>
      </c>
      <c r="Q10378" t="s">
        <v>16013</v>
      </c>
      <c r="R10378" t="s">
        <v>157</v>
      </c>
      <c r="S10378" t="s">
        <v>158</v>
      </c>
      <c r="T10378" t="s">
        <v>16014</v>
      </c>
      <c r="U10378" t="s">
        <v>16015</v>
      </c>
      <c r="V10378" t="s">
        <v>16016</v>
      </c>
      <c r="W10378" t="s">
        <v>16017</v>
      </c>
      <c r="AD10378" t="s">
        <v>16018</v>
      </c>
      <c r="AE10378" t="s">
        <v>16019</v>
      </c>
      <c r="AF10378" t="s">
        <v>20938</v>
      </c>
    </row>
    <row r="10379" spans="1:32" hidden="1" x14ac:dyDescent="0.35">
      <c r="A10379">
        <v>10378</v>
      </c>
      <c r="B10379" t="s">
        <v>20937</v>
      </c>
      <c r="C10379" t="s">
        <v>33</v>
      </c>
      <c r="D10379" t="s">
        <v>45</v>
      </c>
      <c r="E10379">
        <v>244</v>
      </c>
      <c r="F10379">
        <v>2</v>
      </c>
      <c r="G10379">
        <v>2</v>
      </c>
      <c r="H10379">
        <v>1</v>
      </c>
      <c r="I10379">
        <v>0</v>
      </c>
      <c r="J10379">
        <v>0.99761904761904796</v>
      </c>
      <c r="K10379">
        <v>1</v>
      </c>
      <c r="L10379">
        <v>0.99880810488676997</v>
      </c>
      <c r="M10379">
        <v>0.99761904761904796</v>
      </c>
      <c r="N10379">
        <v>0.99761904761904796</v>
      </c>
      <c r="O10379">
        <v>0.99761904761904796</v>
      </c>
      <c r="P10379" t="s">
        <v>16012</v>
      </c>
      <c r="Q10379" t="s">
        <v>16013</v>
      </c>
      <c r="R10379" t="s">
        <v>157</v>
      </c>
      <c r="S10379" t="s">
        <v>158</v>
      </c>
      <c r="T10379" t="s">
        <v>16014</v>
      </c>
      <c r="U10379" t="s">
        <v>16015</v>
      </c>
      <c r="V10379" t="s">
        <v>16016</v>
      </c>
      <c r="W10379" t="s">
        <v>16017</v>
      </c>
      <c r="AD10379" t="s">
        <v>16018</v>
      </c>
      <c r="AE10379" t="s">
        <v>16019</v>
      </c>
      <c r="AF10379" t="s">
        <v>20939</v>
      </c>
    </row>
    <row r="10380" spans="1:32" hidden="1" x14ac:dyDescent="0.35">
      <c r="A10380">
        <v>10379</v>
      </c>
      <c r="B10380" t="s">
        <v>20940</v>
      </c>
      <c r="C10380" t="s">
        <v>33</v>
      </c>
      <c r="D10380" t="s">
        <v>34</v>
      </c>
      <c r="E10380">
        <v>2499</v>
      </c>
      <c r="F10380">
        <v>2</v>
      </c>
      <c r="G10380">
        <v>2</v>
      </c>
      <c r="H10380">
        <v>1</v>
      </c>
      <c r="I10380">
        <v>0</v>
      </c>
      <c r="J10380">
        <v>0.99122807017543901</v>
      </c>
      <c r="K10380">
        <v>1</v>
      </c>
      <c r="L10380">
        <v>0.99559471365638796</v>
      </c>
      <c r="M10380">
        <v>0.97368421052631604</v>
      </c>
      <c r="N10380">
        <v>0.97368421052631604</v>
      </c>
      <c r="O10380">
        <v>0.97368421052631604</v>
      </c>
      <c r="P10380" t="s">
        <v>18482</v>
      </c>
      <c r="Q10380" t="s">
        <v>18483</v>
      </c>
      <c r="R10380" t="s">
        <v>18484</v>
      </c>
      <c r="S10380" t="s">
        <v>18485</v>
      </c>
      <c r="T10380" t="s">
        <v>18486</v>
      </c>
      <c r="U10380" t="s">
        <v>18487</v>
      </c>
      <c r="V10380" t="s">
        <v>18488</v>
      </c>
      <c r="W10380" t="s">
        <v>18489</v>
      </c>
      <c r="AD10380" t="s">
        <v>166</v>
      </c>
      <c r="AE10380" t="s">
        <v>2843</v>
      </c>
      <c r="AF10380" t="s">
        <v>20941</v>
      </c>
    </row>
    <row r="10381" spans="1:32" hidden="1" x14ac:dyDescent="0.35">
      <c r="A10381">
        <v>10380</v>
      </c>
      <c r="B10381" t="s">
        <v>20940</v>
      </c>
      <c r="C10381" t="s">
        <v>33</v>
      </c>
      <c r="D10381" t="s">
        <v>45</v>
      </c>
      <c r="E10381">
        <v>402</v>
      </c>
      <c r="F10381">
        <v>2</v>
      </c>
      <c r="G10381">
        <v>2</v>
      </c>
      <c r="H10381">
        <v>1</v>
      </c>
      <c r="I10381">
        <v>0</v>
      </c>
      <c r="J10381">
        <v>0.99122807017543901</v>
      </c>
      <c r="K10381">
        <v>1</v>
      </c>
      <c r="L10381">
        <v>0.99559471365638796</v>
      </c>
      <c r="M10381">
        <v>0.97368421052631604</v>
      </c>
      <c r="N10381">
        <v>0.97368421052631604</v>
      </c>
      <c r="O10381">
        <v>0.97368421052631604</v>
      </c>
      <c r="P10381" t="s">
        <v>18482</v>
      </c>
      <c r="Q10381" t="s">
        <v>18483</v>
      </c>
      <c r="R10381" t="s">
        <v>18484</v>
      </c>
      <c r="S10381" t="s">
        <v>18485</v>
      </c>
      <c r="T10381" t="s">
        <v>18486</v>
      </c>
      <c r="U10381" t="s">
        <v>18487</v>
      </c>
      <c r="V10381" t="s">
        <v>18488</v>
      </c>
      <c r="W10381" t="s">
        <v>18489</v>
      </c>
      <c r="AD10381" t="s">
        <v>166</v>
      </c>
      <c r="AE10381" t="s">
        <v>2843</v>
      </c>
      <c r="AF10381" t="s">
        <v>20942</v>
      </c>
    </row>
    <row r="10382" spans="1:32" hidden="1" x14ac:dyDescent="0.35">
      <c r="A10382">
        <v>10381</v>
      </c>
      <c r="B10382" t="s">
        <v>20943</v>
      </c>
      <c r="C10382" t="s">
        <v>33</v>
      </c>
      <c r="D10382" t="s">
        <v>34</v>
      </c>
      <c r="E10382">
        <v>2044</v>
      </c>
      <c r="F10382">
        <v>2</v>
      </c>
      <c r="G10382">
        <v>2</v>
      </c>
      <c r="H10382">
        <v>1</v>
      </c>
      <c r="I10382">
        <v>0</v>
      </c>
      <c r="J10382">
        <v>0.96107055961070598</v>
      </c>
      <c r="K10382">
        <v>1</v>
      </c>
      <c r="L10382">
        <v>0.98014888337468997</v>
      </c>
      <c r="M10382">
        <v>0.95620437956204396</v>
      </c>
      <c r="N10382">
        <v>0.95620437956204396</v>
      </c>
      <c r="O10382">
        <v>0.95620437956204396</v>
      </c>
      <c r="P10382" t="s">
        <v>15331</v>
      </c>
      <c r="Q10382" t="s">
        <v>15332</v>
      </c>
      <c r="R10382" t="s">
        <v>224</v>
      </c>
      <c r="S10382" t="s">
        <v>225</v>
      </c>
      <c r="T10382" t="s">
        <v>15333</v>
      </c>
      <c r="U10382" t="s">
        <v>15334</v>
      </c>
      <c r="V10382" t="s">
        <v>15335</v>
      </c>
      <c r="W10382" t="s">
        <v>15336</v>
      </c>
      <c r="AD10382" t="s">
        <v>219</v>
      </c>
      <c r="AE10382" t="s">
        <v>15337</v>
      </c>
      <c r="AF10382" t="s">
        <v>20944</v>
      </c>
    </row>
    <row r="10383" spans="1:32" hidden="1" x14ac:dyDescent="0.35">
      <c r="A10383">
        <v>10382</v>
      </c>
      <c r="B10383" t="s">
        <v>20943</v>
      </c>
      <c r="C10383" t="s">
        <v>33</v>
      </c>
      <c r="D10383" t="s">
        <v>45</v>
      </c>
      <c r="E10383">
        <v>828</v>
      </c>
      <c r="F10383">
        <v>2</v>
      </c>
      <c r="G10383">
        <v>2</v>
      </c>
      <c r="H10383">
        <v>1</v>
      </c>
      <c r="I10383">
        <v>0</v>
      </c>
      <c r="J10383">
        <v>0.96107055961070598</v>
      </c>
      <c r="K10383">
        <v>1</v>
      </c>
      <c r="L10383">
        <v>0.98014888337468997</v>
      </c>
      <c r="M10383">
        <v>0.95620437956204396</v>
      </c>
      <c r="N10383">
        <v>0.95620437956204396</v>
      </c>
      <c r="O10383">
        <v>0.95620437956204396</v>
      </c>
      <c r="P10383" t="s">
        <v>15331</v>
      </c>
      <c r="Q10383" t="s">
        <v>15332</v>
      </c>
      <c r="R10383" t="s">
        <v>224</v>
      </c>
      <c r="S10383" t="s">
        <v>225</v>
      </c>
      <c r="T10383" t="s">
        <v>15333</v>
      </c>
      <c r="U10383" t="s">
        <v>15334</v>
      </c>
      <c r="V10383" t="s">
        <v>15335</v>
      </c>
      <c r="W10383" t="s">
        <v>15336</v>
      </c>
      <c r="AD10383" t="s">
        <v>219</v>
      </c>
      <c r="AE10383" t="s">
        <v>15337</v>
      </c>
      <c r="AF10383" t="s">
        <v>20945</v>
      </c>
    </row>
    <row r="10384" spans="1:32" hidden="1" x14ac:dyDescent="0.35">
      <c r="A10384">
        <v>10383</v>
      </c>
      <c r="B10384" t="s">
        <v>20946</v>
      </c>
      <c r="C10384" t="s">
        <v>33</v>
      </c>
      <c r="D10384" t="s">
        <v>34</v>
      </c>
      <c r="E10384">
        <v>2473</v>
      </c>
      <c r="F10384">
        <v>2</v>
      </c>
      <c r="G10384">
        <v>2</v>
      </c>
      <c r="H10384">
        <v>1</v>
      </c>
      <c r="I10384">
        <v>0</v>
      </c>
      <c r="J10384">
        <v>0.95597484276729605</v>
      </c>
      <c r="K10384">
        <v>0.51373269896193696</v>
      </c>
      <c r="L10384">
        <v>0.66831736542185505</v>
      </c>
      <c r="M10384">
        <v>0.173010380622837</v>
      </c>
      <c r="N10384">
        <v>0.173010380622837</v>
      </c>
      <c r="O10384">
        <v>0.173010380622837</v>
      </c>
      <c r="P10384" t="s">
        <v>20947</v>
      </c>
      <c r="Q10384" t="s">
        <v>20948</v>
      </c>
      <c r="AF10384" t="s">
        <v>20949</v>
      </c>
    </row>
    <row r="10385" spans="1:32" hidden="1" x14ac:dyDescent="0.35">
      <c r="A10385">
        <v>10384</v>
      </c>
      <c r="B10385" t="s">
        <v>20946</v>
      </c>
      <c r="C10385" t="s">
        <v>33</v>
      </c>
      <c r="D10385" t="s">
        <v>45</v>
      </c>
      <c r="E10385">
        <v>427</v>
      </c>
      <c r="F10385">
        <v>2</v>
      </c>
      <c r="G10385">
        <v>2</v>
      </c>
      <c r="H10385">
        <v>1</v>
      </c>
      <c r="I10385">
        <v>0</v>
      </c>
      <c r="J10385">
        <v>0.95597484276729605</v>
      </c>
      <c r="K10385">
        <v>0.51373269896193696</v>
      </c>
      <c r="L10385">
        <v>0.66831736542185505</v>
      </c>
      <c r="M10385">
        <v>0.173010380622837</v>
      </c>
      <c r="N10385">
        <v>0.173010380622837</v>
      </c>
      <c r="O10385">
        <v>0.173010380622837</v>
      </c>
      <c r="AF10385" t="s">
        <v>20950</v>
      </c>
    </row>
    <row r="10386" spans="1:32" hidden="1" x14ac:dyDescent="0.35">
      <c r="A10386">
        <v>10385</v>
      </c>
      <c r="B10386" t="s">
        <v>20951</v>
      </c>
      <c r="C10386" t="s">
        <v>33</v>
      </c>
      <c r="D10386" t="s">
        <v>34</v>
      </c>
      <c r="E10386">
        <v>2366</v>
      </c>
      <c r="F10386">
        <v>2</v>
      </c>
      <c r="G10386">
        <v>2</v>
      </c>
      <c r="H10386">
        <v>1</v>
      </c>
      <c r="I10386">
        <v>0</v>
      </c>
      <c r="J10386">
        <v>0.98989898989898994</v>
      </c>
      <c r="K10386">
        <v>1</v>
      </c>
      <c r="L10386">
        <v>0.99492385786801996</v>
      </c>
      <c r="M10386">
        <v>0.98585858585858599</v>
      </c>
      <c r="N10386">
        <v>0.98585858585858599</v>
      </c>
      <c r="O10386">
        <v>0.98585858585858599</v>
      </c>
      <c r="P10386" t="s">
        <v>10822</v>
      </c>
      <c r="Q10386" t="s">
        <v>10823</v>
      </c>
      <c r="AF10386" t="s">
        <v>20952</v>
      </c>
    </row>
    <row r="10387" spans="1:32" hidden="1" x14ac:dyDescent="0.35">
      <c r="A10387">
        <v>10386</v>
      </c>
      <c r="B10387" t="s">
        <v>20951</v>
      </c>
      <c r="C10387" t="s">
        <v>33</v>
      </c>
      <c r="D10387" t="s">
        <v>45</v>
      </c>
      <c r="E10387">
        <v>514</v>
      </c>
      <c r="F10387">
        <v>2</v>
      </c>
      <c r="G10387">
        <v>2</v>
      </c>
      <c r="H10387">
        <v>1</v>
      </c>
      <c r="I10387">
        <v>0</v>
      </c>
      <c r="J10387">
        <v>0.98989898989898994</v>
      </c>
      <c r="K10387">
        <v>1</v>
      </c>
      <c r="L10387">
        <v>0.99492385786801996</v>
      </c>
      <c r="M10387">
        <v>0.98585858585858599</v>
      </c>
      <c r="N10387">
        <v>0.98585858585858599</v>
      </c>
      <c r="O10387">
        <v>0.98585858585858599</v>
      </c>
      <c r="P10387" t="s">
        <v>10822</v>
      </c>
      <c r="Q10387" t="s">
        <v>10823</v>
      </c>
      <c r="AF10387" t="s">
        <v>20953</v>
      </c>
    </row>
    <row r="10388" spans="1:32" hidden="1" x14ac:dyDescent="0.35">
      <c r="A10388">
        <v>10387</v>
      </c>
      <c r="B10388" t="s">
        <v>20954</v>
      </c>
      <c r="C10388" t="s">
        <v>33</v>
      </c>
      <c r="D10388" t="s">
        <v>34</v>
      </c>
      <c r="E10388">
        <v>1221</v>
      </c>
      <c r="F10388">
        <v>2</v>
      </c>
      <c r="G10388">
        <v>2</v>
      </c>
      <c r="H10388">
        <v>1</v>
      </c>
      <c r="I10388">
        <v>0</v>
      </c>
      <c r="J10388">
        <v>0.99107142857142905</v>
      </c>
      <c r="K10388">
        <v>1</v>
      </c>
      <c r="L10388">
        <v>0.99551569506726501</v>
      </c>
      <c r="M10388">
        <v>0.99107142857142905</v>
      </c>
      <c r="N10388">
        <v>0.99107142857142905</v>
      </c>
      <c r="O10388">
        <v>0.99107142857142905</v>
      </c>
      <c r="P10388" t="s">
        <v>3495</v>
      </c>
      <c r="Q10388" t="s">
        <v>3188</v>
      </c>
      <c r="R10388" t="s">
        <v>869</v>
      </c>
      <c r="S10388" t="s">
        <v>870</v>
      </c>
      <c r="T10388" t="s">
        <v>16599</v>
      </c>
      <c r="U10388" t="s">
        <v>16600</v>
      </c>
      <c r="V10388" t="s">
        <v>3496</v>
      </c>
      <c r="W10388" t="s">
        <v>3497</v>
      </c>
      <c r="AD10388" t="s">
        <v>410</v>
      </c>
      <c r="AE10388" t="s">
        <v>603</v>
      </c>
      <c r="AF10388" t="s">
        <v>20955</v>
      </c>
    </row>
    <row r="10389" spans="1:32" hidden="1" x14ac:dyDescent="0.35">
      <c r="A10389">
        <v>10388</v>
      </c>
      <c r="B10389" t="s">
        <v>20954</v>
      </c>
      <c r="C10389" t="s">
        <v>33</v>
      </c>
      <c r="D10389" t="s">
        <v>45</v>
      </c>
      <c r="E10389">
        <v>2464</v>
      </c>
      <c r="F10389">
        <v>2</v>
      </c>
      <c r="G10389">
        <v>2</v>
      </c>
      <c r="H10389">
        <v>1</v>
      </c>
      <c r="I10389">
        <v>0</v>
      </c>
      <c r="J10389">
        <v>0.99107142857142905</v>
      </c>
      <c r="K10389">
        <v>1</v>
      </c>
      <c r="L10389">
        <v>0.99551569506726501</v>
      </c>
      <c r="M10389">
        <v>0.99107142857142905</v>
      </c>
      <c r="N10389">
        <v>0.99107142857142905</v>
      </c>
      <c r="O10389">
        <v>0.99107142857142905</v>
      </c>
      <c r="P10389" t="s">
        <v>3495</v>
      </c>
      <c r="Q10389" t="s">
        <v>3188</v>
      </c>
      <c r="R10389" t="s">
        <v>869</v>
      </c>
      <c r="S10389" t="s">
        <v>870</v>
      </c>
      <c r="T10389" t="s">
        <v>16599</v>
      </c>
      <c r="U10389" t="s">
        <v>16600</v>
      </c>
      <c r="V10389" t="s">
        <v>3496</v>
      </c>
      <c r="W10389" t="s">
        <v>3497</v>
      </c>
      <c r="AD10389" t="s">
        <v>410</v>
      </c>
      <c r="AE10389" t="s">
        <v>603</v>
      </c>
      <c r="AF10389" t="s">
        <v>20956</v>
      </c>
    </row>
    <row r="10390" spans="1:32" hidden="1" x14ac:dyDescent="0.35">
      <c r="A10390">
        <v>10389</v>
      </c>
      <c r="B10390" t="s">
        <v>20957</v>
      </c>
      <c r="C10390" t="s">
        <v>33</v>
      </c>
      <c r="D10390" t="s">
        <v>34</v>
      </c>
      <c r="E10390">
        <v>2077</v>
      </c>
      <c r="F10390">
        <v>2</v>
      </c>
      <c r="G10390">
        <v>2</v>
      </c>
      <c r="H10390">
        <v>1</v>
      </c>
      <c r="I10390">
        <v>0</v>
      </c>
      <c r="J10390">
        <v>0.99687499999999996</v>
      </c>
      <c r="K10390">
        <v>1</v>
      </c>
      <c r="L10390">
        <v>0.99843505477308303</v>
      </c>
      <c r="M10390">
        <v>0.99687499999999996</v>
      </c>
      <c r="N10390">
        <v>0.99687499999999996</v>
      </c>
      <c r="O10390">
        <v>0.99687499999999996</v>
      </c>
      <c r="P10390" t="s">
        <v>15681</v>
      </c>
      <c r="Q10390" t="s">
        <v>15682</v>
      </c>
      <c r="AF10390" t="s">
        <v>20958</v>
      </c>
    </row>
    <row r="10391" spans="1:32" hidden="1" x14ac:dyDescent="0.35">
      <c r="A10391">
        <v>10390</v>
      </c>
      <c r="B10391" t="s">
        <v>20957</v>
      </c>
      <c r="C10391" t="s">
        <v>33</v>
      </c>
      <c r="D10391" t="s">
        <v>45</v>
      </c>
      <c r="E10391">
        <v>795</v>
      </c>
      <c r="F10391">
        <v>2</v>
      </c>
      <c r="G10391">
        <v>2</v>
      </c>
      <c r="H10391">
        <v>1</v>
      </c>
      <c r="I10391">
        <v>0</v>
      </c>
      <c r="J10391">
        <v>0.99687499999999996</v>
      </c>
      <c r="K10391">
        <v>1</v>
      </c>
      <c r="L10391">
        <v>0.99843505477308303</v>
      </c>
      <c r="M10391">
        <v>0.99687499999999996</v>
      </c>
      <c r="N10391">
        <v>0.99687499999999996</v>
      </c>
      <c r="O10391">
        <v>0.99687499999999996</v>
      </c>
      <c r="P10391" t="s">
        <v>15681</v>
      </c>
      <c r="Q10391" t="s">
        <v>15682</v>
      </c>
      <c r="AF10391" t="s">
        <v>20959</v>
      </c>
    </row>
    <row r="10392" spans="1:32" hidden="1" x14ac:dyDescent="0.35">
      <c r="A10392">
        <v>10391</v>
      </c>
      <c r="B10392" t="s">
        <v>20960</v>
      </c>
      <c r="C10392" t="s">
        <v>33</v>
      </c>
      <c r="D10392" t="s">
        <v>34</v>
      </c>
      <c r="E10392">
        <v>913</v>
      </c>
      <c r="F10392">
        <v>2</v>
      </c>
      <c r="G10392">
        <v>2</v>
      </c>
      <c r="H10392">
        <v>1</v>
      </c>
      <c r="I10392">
        <v>0</v>
      </c>
      <c r="J10392">
        <v>0.99523809523809503</v>
      </c>
      <c r="K10392">
        <v>1</v>
      </c>
      <c r="L10392">
        <v>0.99761336515513099</v>
      </c>
      <c r="M10392">
        <v>0.99285714285714299</v>
      </c>
      <c r="N10392">
        <v>0.99285714285714299</v>
      </c>
      <c r="O10392">
        <v>0.99285714285714299</v>
      </c>
      <c r="AF10392" t="s">
        <v>20961</v>
      </c>
    </row>
    <row r="10393" spans="1:32" hidden="1" x14ac:dyDescent="0.35">
      <c r="A10393">
        <v>10392</v>
      </c>
      <c r="B10393" t="s">
        <v>20960</v>
      </c>
      <c r="C10393" t="s">
        <v>33</v>
      </c>
      <c r="D10393" t="s">
        <v>45</v>
      </c>
      <c r="E10393">
        <v>2169</v>
      </c>
      <c r="F10393">
        <v>2</v>
      </c>
      <c r="G10393">
        <v>2</v>
      </c>
      <c r="H10393">
        <v>1</v>
      </c>
      <c r="I10393">
        <v>0</v>
      </c>
      <c r="J10393">
        <v>0.99523809523809503</v>
      </c>
      <c r="K10393">
        <v>1</v>
      </c>
      <c r="L10393">
        <v>0.99761336515513099</v>
      </c>
      <c r="M10393">
        <v>0.99285714285714299</v>
      </c>
      <c r="N10393">
        <v>0.99285714285714299</v>
      </c>
      <c r="O10393">
        <v>0.99285714285714299</v>
      </c>
      <c r="AF10393" t="s">
        <v>20962</v>
      </c>
    </row>
    <row r="10394" spans="1:32" hidden="1" x14ac:dyDescent="0.35">
      <c r="A10394">
        <v>10393</v>
      </c>
      <c r="B10394" t="s">
        <v>20963</v>
      </c>
      <c r="C10394" t="s">
        <v>33</v>
      </c>
      <c r="D10394" t="s">
        <v>60</v>
      </c>
      <c r="E10394">
        <v>833</v>
      </c>
      <c r="F10394">
        <v>2</v>
      </c>
      <c r="G10394">
        <v>2</v>
      </c>
      <c r="H10394">
        <v>1</v>
      </c>
      <c r="I10394">
        <v>0</v>
      </c>
      <c r="J10394">
        <v>0.77323420074349403</v>
      </c>
      <c r="K10394">
        <v>0.85732540031146498</v>
      </c>
      <c r="L10394">
        <v>0.81311142537572001</v>
      </c>
      <c r="M10394">
        <v>0.61198738170347</v>
      </c>
      <c r="N10394">
        <v>0.61198738170347</v>
      </c>
      <c r="O10394">
        <v>0.61198738170347</v>
      </c>
      <c r="P10394" t="s">
        <v>18690</v>
      </c>
      <c r="Q10394" t="s">
        <v>18691</v>
      </c>
      <c r="AF10394" t="s">
        <v>20964</v>
      </c>
    </row>
    <row r="10395" spans="1:32" hidden="1" x14ac:dyDescent="0.35">
      <c r="A10395">
        <v>10394</v>
      </c>
      <c r="B10395" t="s">
        <v>20963</v>
      </c>
      <c r="C10395" t="s">
        <v>33</v>
      </c>
      <c r="D10395" t="s">
        <v>62</v>
      </c>
      <c r="E10395">
        <v>867</v>
      </c>
      <c r="F10395">
        <v>2</v>
      </c>
      <c r="G10395">
        <v>2</v>
      </c>
      <c r="H10395">
        <v>1</v>
      </c>
      <c r="I10395">
        <v>0</v>
      </c>
      <c r="J10395">
        <v>0.77323420074349403</v>
      </c>
      <c r="K10395">
        <v>0.85732540031146498</v>
      </c>
      <c r="L10395">
        <v>0.81311142537572001</v>
      </c>
      <c r="M10395">
        <v>0.61198738170347</v>
      </c>
      <c r="N10395">
        <v>0.61198738170347</v>
      </c>
      <c r="O10395">
        <v>0.61198738170347</v>
      </c>
      <c r="P10395" t="s">
        <v>18690</v>
      </c>
      <c r="Q10395" t="s">
        <v>18691</v>
      </c>
      <c r="AF10395" t="s">
        <v>20965</v>
      </c>
    </row>
    <row r="10396" spans="1:32" hidden="1" x14ac:dyDescent="0.35">
      <c r="A10396">
        <v>10395</v>
      </c>
      <c r="B10396" t="s">
        <v>20966</v>
      </c>
      <c r="C10396" t="s">
        <v>33</v>
      </c>
      <c r="D10396" t="s">
        <v>34</v>
      </c>
      <c r="E10396">
        <v>324</v>
      </c>
      <c r="F10396">
        <v>2</v>
      </c>
      <c r="G10396">
        <v>2</v>
      </c>
      <c r="H10396">
        <v>1</v>
      </c>
      <c r="I10396">
        <v>0</v>
      </c>
      <c r="J10396">
        <v>0.99513381995133798</v>
      </c>
      <c r="K10396">
        <v>1</v>
      </c>
      <c r="L10396">
        <v>0.99756097560975598</v>
      </c>
      <c r="M10396">
        <v>0.99270072992700698</v>
      </c>
      <c r="N10396">
        <v>0.99270072992700698</v>
      </c>
      <c r="O10396">
        <v>0.99270072992700698</v>
      </c>
      <c r="P10396" t="s">
        <v>5019</v>
      </c>
      <c r="Q10396" t="s">
        <v>5020</v>
      </c>
      <c r="R10396" t="s">
        <v>288</v>
      </c>
      <c r="S10396" t="s">
        <v>289</v>
      </c>
      <c r="V10396" t="s">
        <v>5023</v>
      </c>
      <c r="W10396" t="s">
        <v>5024</v>
      </c>
      <c r="AF10396" t="s">
        <v>20967</v>
      </c>
    </row>
    <row r="10397" spans="1:32" hidden="1" x14ac:dyDescent="0.35">
      <c r="A10397">
        <v>10396</v>
      </c>
      <c r="B10397" t="s">
        <v>20966</v>
      </c>
      <c r="C10397" t="s">
        <v>33</v>
      </c>
      <c r="D10397" t="s">
        <v>45</v>
      </c>
      <c r="E10397">
        <v>1586</v>
      </c>
      <c r="F10397">
        <v>2</v>
      </c>
      <c r="G10397">
        <v>2</v>
      </c>
      <c r="H10397">
        <v>1</v>
      </c>
      <c r="I10397">
        <v>0</v>
      </c>
      <c r="J10397">
        <v>0.99513381995133798</v>
      </c>
      <c r="K10397">
        <v>1</v>
      </c>
      <c r="L10397">
        <v>0.99756097560975598</v>
      </c>
      <c r="M10397">
        <v>0.99270072992700698</v>
      </c>
      <c r="N10397">
        <v>0.99270072992700698</v>
      </c>
      <c r="O10397">
        <v>0.99270072992700698</v>
      </c>
      <c r="P10397" t="s">
        <v>5019</v>
      </c>
      <c r="Q10397" t="s">
        <v>5020</v>
      </c>
      <c r="R10397" t="s">
        <v>288</v>
      </c>
      <c r="S10397" t="s">
        <v>289</v>
      </c>
      <c r="V10397" t="s">
        <v>5023</v>
      </c>
      <c r="W10397" t="s">
        <v>5024</v>
      </c>
      <c r="AF10397" t="s">
        <v>20968</v>
      </c>
    </row>
    <row r="10398" spans="1:32" hidden="1" x14ac:dyDescent="0.35">
      <c r="A10398">
        <v>10397</v>
      </c>
      <c r="B10398" t="s">
        <v>20969</v>
      </c>
      <c r="C10398" t="s">
        <v>33</v>
      </c>
      <c r="D10398" t="s">
        <v>60</v>
      </c>
      <c r="E10398">
        <v>1605</v>
      </c>
      <c r="F10398">
        <v>2</v>
      </c>
      <c r="G10398">
        <v>2</v>
      </c>
      <c r="H10398">
        <v>1</v>
      </c>
      <c r="I10398">
        <v>0</v>
      </c>
      <c r="J10398">
        <v>0.98554652213188798</v>
      </c>
      <c r="K10398">
        <v>1</v>
      </c>
      <c r="L10398">
        <v>0.99272065514103702</v>
      </c>
      <c r="M10398">
        <v>0.98373983739837401</v>
      </c>
      <c r="N10398">
        <v>0.98373983739837401</v>
      </c>
      <c r="O10398">
        <v>0.98373983739837401</v>
      </c>
      <c r="P10398" t="s">
        <v>20970</v>
      </c>
      <c r="Q10398" t="s">
        <v>20971</v>
      </c>
      <c r="AF10398" t="s">
        <v>20972</v>
      </c>
    </row>
    <row r="10399" spans="1:32" hidden="1" x14ac:dyDescent="0.35">
      <c r="A10399">
        <v>10398</v>
      </c>
      <c r="B10399" t="s">
        <v>20969</v>
      </c>
      <c r="C10399" t="s">
        <v>33</v>
      </c>
      <c r="D10399" t="s">
        <v>62</v>
      </c>
      <c r="E10399">
        <v>1641</v>
      </c>
      <c r="F10399">
        <v>2</v>
      </c>
      <c r="G10399">
        <v>2</v>
      </c>
      <c r="H10399">
        <v>1</v>
      </c>
      <c r="I10399">
        <v>0</v>
      </c>
      <c r="J10399">
        <v>0.98554652213188798</v>
      </c>
      <c r="K10399">
        <v>1</v>
      </c>
      <c r="L10399">
        <v>0.99272065514103702</v>
      </c>
      <c r="M10399">
        <v>0.98373983739837401</v>
      </c>
      <c r="N10399">
        <v>0.98373983739837401</v>
      </c>
      <c r="O10399">
        <v>0.98373983739837401</v>
      </c>
      <c r="P10399" t="s">
        <v>20970</v>
      </c>
      <c r="Q10399" t="s">
        <v>20971</v>
      </c>
      <c r="AF10399" t="s">
        <v>20973</v>
      </c>
    </row>
    <row r="10400" spans="1:32" hidden="1" x14ac:dyDescent="0.35">
      <c r="A10400">
        <v>10399</v>
      </c>
      <c r="B10400" t="s">
        <v>20974</v>
      </c>
      <c r="C10400" t="s">
        <v>33</v>
      </c>
      <c r="D10400" t="s">
        <v>34</v>
      </c>
      <c r="E10400">
        <v>2045</v>
      </c>
      <c r="F10400">
        <v>2</v>
      </c>
      <c r="G10400">
        <v>2</v>
      </c>
      <c r="H10400">
        <v>1</v>
      </c>
      <c r="I10400">
        <v>0</v>
      </c>
      <c r="J10400">
        <v>0.97959183673469397</v>
      </c>
      <c r="K10400">
        <v>0.51844532279314703</v>
      </c>
      <c r="L10400">
        <v>0.67804033133800401</v>
      </c>
      <c r="M10400">
        <v>0.189723320158103</v>
      </c>
      <c r="N10400">
        <v>0.189723320158103</v>
      </c>
      <c r="O10400">
        <v>0.189723320158103</v>
      </c>
      <c r="R10400" t="s">
        <v>288</v>
      </c>
      <c r="S10400" t="s">
        <v>289</v>
      </c>
      <c r="V10400" t="s">
        <v>20975</v>
      </c>
      <c r="W10400" t="s">
        <v>20976</v>
      </c>
      <c r="AF10400" t="s">
        <v>20977</v>
      </c>
    </row>
    <row r="10401" spans="1:32" hidden="1" x14ac:dyDescent="0.35">
      <c r="A10401">
        <v>10400</v>
      </c>
      <c r="B10401" t="s">
        <v>20974</v>
      </c>
      <c r="C10401" t="s">
        <v>33</v>
      </c>
      <c r="D10401" t="s">
        <v>45</v>
      </c>
      <c r="E10401">
        <v>827</v>
      </c>
      <c r="F10401">
        <v>2</v>
      </c>
      <c r="G10401">
        <v>2</v>
      </c>
      <c r="H10401">
        <v>1</v>
      </c>
      <c r="I10401">
        <v>0</v>
      </c>
      <c r="J10401">
        <v>0.97959183673469397</v>
      </c>
      <c r="K10401">
        <v>0.51844532279314703</v>
      </c>
      <c r="L10401">
        <v>0.67804033133800401</v>
      </c>
      <c r="M10401">
        <v>0.189723320158103</v>
      </c>
      <c r="N10401">
        <v>0.189723320158103</v>
      </c>
      <c r="O10401">
        <v>0.189723320158103</v>
      </c>
      <c r="P10401" t="s">
        <v>15432</v>
      </c>
      <c r="Q10401" t="s">
        <v>10341</v>
      </c>
      <c r="R10401" t="s">
        <v>288</v>
      </c>
      <c r="S10401" t="s">
        <v>289</v>
      </c>
      <c r="V10401" t="s">
        <v>20975</v>
      </c>
      <c r="W10401" t="s">
        <v>20976</v>
      </c>
      <c r="AF10401" t="s">
        <v>20978</v>
      </c>
    </row>
    <row r="10402" spans="1:32" hidden="1" x14ac:dyDescent="0.35">
      <c r="A10402">
        <v>10401</v>
      </c>
      <c r="B10402" t="s">
        <v>20979</v>
      </c>
      <c r="C10402" t="s">
        <v>33</v>
      </c>
      <c r="D10402" t="s">
        <v>60</v>
      </c>
      <c r="E10402">
        <v>1858</v>
      </c>
      <c r="F10402">
        <v>2</v>
      </c>
      <c r="G10402">
        <v>2</v>
      </c>
      <c r="H10402">
        <v>1</v>
      </c>
      <c r="I10402">
        <v>0</v>
      </c>
      <c r="J10402">
        <v>0.99833333333333296</v>
      </c>
      <c r="K10402">
        <v>1</v>
      </c>
      <c r="L10402">
        <v>0.999165971643036</v>
      </c>
      <c r="M10402">
        <v>0.995</v>
      </c>
      <c r="N10402">
        <v>0.995</v>
      </c>
      <c r="O10402">
        <v>0.995</v>
      </c>
      <c r="P10402" t="s">
        <v>19854</v>
      </c>
      <c r="Q10402" t="s">
        <v>19855</v>
      </c>
      <c r="AF10402" t="s">
        <v>20980</v>
      </c>
    </row>
    <row r="10403" spans="1:32" hidden="1" x14ac:dyDescent="0.35">
      <c r="A10403">
        <v>10402</v>
      </c>
      <c r="B10403" t="s">
        <v>20979</v>
      </c>
      <c r="C10403" t="s">
        <v>33</v>
      </c>
      <c r="D10403" t="s">
        <v>62</v>
      </c>
      <c r="E10403">
        <v>1896</v>
      </c>
      <c r="F10403">
        <v>2</v>
      </c>
      <c r="G10403">
        <v>2</v>
      </c>
      <c r="H10403">
        <v>1</v>
      </c>
      <c r="I10403">
        <v>0</v>
      </c>
      <c r="J10403">
        <v>0.99833333333333296</v>
      </c>
      <c r="K10403">
        <v>1</v>
      </c>
      <c r="L10403">
        <v>0.999165971643036</v>
      </c>
      <c r="M10403">
        <v>0.995</v>
      </c>
      <c r="N10403">
        <v>0.995</v>
      </c>
      <c r="O10403">
        <v>0.995</v>
      </c>
      <c r="P10403" t="s">
        <v>19854</v>
      </c>
      <c r="Q10403" t="s">
        <v>19855</v>
      </c>
      <c r="AF10403" t="s">
        <v>20981</v>
      </c>
    </row>
    <row r="10404" spans="1:32" hidden="1" x14ac:dyDescent="0.35">
      <c r="A10404">
        <v>10403</v>
      </c>
      <c r="B10404" t="s">
        <v>20982</v>
      </c>
      <c r="C10404" t="s">
        <v>33</v>
      </c>
      <c r="D10404" t="s">
        <v>34</v>
      </c>
      <c r="E10404">
        <v>1513</v>
      </c>
      <c r="F10404">
        <v>2</v>
      </c>
      <c r="G10404">
        <v>2</v>
      </c>
      <c r="H10404">
        <v>1</v>
      </c>
      <c r="I10404">
        <v>0</v>
      </c>
      <c r="J10404">
        <v>0.99807321772639701</v>
      </c>
      <c r="K10404">
        <v>0.96176288019863299</v>
      </c>
      <c r="L10404">
        <v>0.97958168394383405</v>
      </c>
      <c r="M10404">
        <v>0.95555555555555605</v>
      </c>
      <c r="N10404">
        <v>0.95555555555555605</v>
      </c>
      <c r="O10404">
        <v>0.95555555555555605</v>
      </c>
      <c r="AF10404" t="s">
        <v>20983</v>
      </c>
    </row>
    <row r="10405" spans="1:32" hidden="1" x14ac:dyDescent="0.35">
      <c r="A10405">
        <v>10404</v>
      </c>
      <c r="B10405" t="s">
        <v>20982</v>
      </c>
      <c r="C10405" t="s">
        <v>33</v>
      </c>
      <c r="D10405" t="s">
        <v>45</v>
      </c>
      <c r="E10405">
        <v>263</v>
      </c>
      <c r="F10405">
        <v>2</v>
      </c>
      <c r="G10405">
        <v>2</v>
      </c>
      <c r="H10405">
        <v>1</v>
      </c>
      <c r="I10405">
        <v>0</v>
      </c>
      <c r="J10405">
        <v>0.99807321772639701</v>
      </c>
      <c r="K10405">
        <v>0.96176288019863299</v>
      </c>
      <c r="L10405">
        <v>0.97958168394383405</v>
      </c>
      <c r="M10405">
        <v>0.95555555555555605</v>
      </c>
      <c r="N10405">
        <v>0.95555555555555605</v>
      </c>
      <c r="O10405">
        <v>0.95555555555555605</v>
      </c>
      <c r="AF10405" t="s">
        <v>20984</v>
      </c>
    </row>
    <row r="10406" spans="1:32" hidden="1" x14ac:dyDescent="0.35">
      <c r="A10406">
        <v>10405</v>
      </c>
      <c r="B10406" t="s">
        <v>20985</v>
      </c>
      <c r="C10406" t="s">
        <v>33</v>
      </c>
      <c r="D10406" t="s">
        <v>34</v>
      </c>
      <c r="E10406">
        <v>120</v>
      </c>
      <c r="F10406">
        <v>2</v>
      </c>
      <c r="G10406">
        <v>2</v>
      </c>
      <c r="H10406">
        <v>1</v>
      </c>
      <c r="I10406">
        <v>0</v>
      </c>
      <c r="J10406">
        <v>0.97398373983739805</v>
      </c>
      <c r="K10406">
        <v>1</v>
      </c>
      <c r="L10406">
        <v>0.98682042833607897</v>
      </c>
      <c r="M10406">
        <v>0.965853658536585</v>
      </c>
      <c r="N10406">
        <v>0.965853658536585</v>
      </c>
      <c r="O10406">
        <v>0.965853658536585</v>
      </c>
      <c r="P10406" t="s">
        <v>16796</v>
      </c>
      <c r="Q10406" t="s">
        <v>16797</v>
      </c>
      <c r="R10406" t="s">
        <v>288</v>
      </c>
      <c r="S10406" t="s">
        <v>289</v>
      </c>
      <c r="V10406" t="s">
        <v>16798</v>
      </c>
      <c r="W10406" t="s">
        <v>16799</v>
      </c>
      <c r="AF10406" t="s">
        <v>20986</v>
      </c>
    </row>
    <row r="10407" spans="1:32" hidden="1" x14ac:dyDescent="0.35">
      <c r="A10407">
        <v>10406</v>
      </c>
      <c r="B10407" t="s">
        <v>20985</v>
      </c>
      <c r="C10407" t="s">
        <v>33</v>
      </c>
      <c r="D10407" t="s">
        <v>45</v>
      </c>
      <c r="E10407">
        <v>1383</v>
      </c>
      <c r="F10407">
        <v>2</v>
      </c>
      <c r="G10407">
        <v>2</v>
      </c>
      <c r="H10407">
        <v>1</v>
      </c>
      <c r="I10407">
        <v>0</v>
      </c>
      <c r="J10407">
        <v>0.97398373983739805</v>
      </c>
      <c r="K10407">
        <v>1</v>
      </c>
      <c r="L10407">
        <v>0.98682042833607897</v>
      </c>
      <c r="M10407">
        <v>0.965853658536585</v>
      </c>
      <c r="N10407">
        <v>0.965853658536585</v>
      </c>
      <c r="O10407">
        <v>0.965853658536585</v>
      </c>
      <c r="P10407" t="s">
        <v>16796</v>
      </c>
      <c r="Q10407" t="s">
        <v>16797</v>
      </c>
      <c r="R10407" t="s">
        <v>288</v>
      </c>
      <c r="S10407" t="s">
        <v>289</v>
      </c>
      <c r="V10407" t="s">
        <v>16798</v>
      </c>
      <c r="W10407" t="s">
        <v>16799</v>
      </c>
      <c r="AF10407" t="s">
        <v>20987</v>
      </c>
    </row>
    <row r="10408" spans="1:32" hidden="1" x14ac:dyDescent="0.35">
      <c r="A10408">
        <v>10407</v>
      </c>
      <c r="B10408" t="s">
        <v>20988</v>
      </c>
      <c r="C10408" t="s">
        <v>33</v>
      </c>
      <c r="D10408" t="s">
        <v>60</v>
      </c>
      <c r="E10408">
        <v>2245</v>
      </c>
      <c r="F10408">
        <v>2</v>
      </c>
      <c r="G10408">
        <v>2</v>
      </c>
      <c r="H10408">
        <v>1</v>
      </c>
      <c r="I10408">
        <v>0</v>
      </c>
      <c r="J10408">
        <v>0.98095238095238102</v>
      </c>
      <c r="K10408">
        <v>1</v>
      </c>
      <c r="L10408">
        <v>0.99038461538461497</v>
      </c>
      <c r="M10408">
        <v>0.97142857142857097</v>
      </c>
      <c r="N10408">
        <v>0.97142857142857097</v>
      </c>
      <c r="O10408">
        <v>0.97142857142857097</v>
      </c>
      <c r="P10408" t="s">
        <v>4551</v>
      </c>
      <c r="Q10408" t="s">
        <v>4552</v>
      </c>
      <c r="R10408" t="s">
        <v>516</v>
      </c>
      <c r="S10408" t="s">
        <v>517</v>
      </c>
      <c r="V10408" t="s">
        <v>20989</v>
      </c>
      <c r="W10408" t="s">
        <v>20990</v>
      </c>
      <c r="AF10408" t="s">
        <v>20991</v>
      </c>
    </row>
    <row r="10409" spans="1:32" hidden="1" x14ac:dyDescent="0.35">
      <c r="A10409">
        <v>10408</v>
      </c>
      <c r="B10409" t="s">
        <v>20988</v>
      </c>
      <c r="C10409" t="s">
        <v>33</v>
      </c>
      <c r="D10409" t="s">
        <v>62</v>
      </c>
      <c r="E10409">
        <v>2275</v>
      </c>
      <c r="F10409">
        <v>2</v>
      </c>
      <c r="G10409">
        <v>2</v>
      </c>
      <c r="H10409">
        <v>1</v>
      </c>
      <c r="I10409">
        <v>0</v>
      </c>
      <c r="J10409">
        <v>0.98095238095238102</v>
      </c>
      <c r="K10409">
        <v>1</v>
      </c>
      <c r="L10409">
        <v>0.99038461538461497</v>
      </c>
      <c r="M10409">
        <v>0.97142857142857097</v>
      </c>
      <c r="N10409">
        <v>0.97142857142857097</v>
      </c>
      <c r="O10409">
        <v>0.97142857142857097</v>
      </c>
      <c r="P10409" t="s">
        <v>4551</v>
      </c>
      <c r="Q10409" t="s">
        <v>4552</v>
      </c>
      <c r="R10409" t="s">
        <v>516</v>
      </c>
      <c r="S10409" t="s">
        <v>517</v>
      </c>
      <c r="V10409" t="s">
        <v>20989</v>
      </c>
      <c r="W10409" t="s">
        <v>20990</v>
      </c>
      <c r="AF10409" t="s">
        <v>20992</v>
      </c>
    </row>
    <row r="10410" spans="1:32" hidden="1" x14ac:dyDescent="0.35">
      <c r="A10410">
        <v>10409</v>
      </c>
      <c r="B10410" t="s">
        <v>20993</v>
      </c>
      <c r="C10410" t="s">
        <v>33</v>
      </c>
      <c r="D10410" t="s">
        <v>34</v>
      </c>
      <c r="E10410">
        <v>1515</v>
      </c>
      <c r="F10410">
        <v>2</v>
      </c>
      <c r="G10410">
        <v>2</v>
      </c>
      <c r="H10410">
        <v>1</v>
      </c>
      <c r="I10410">
        <v>0</v>
      </c>
      <c r="J10410">
        <v>0.96926713947990495</v>
      </c>
      <c r="K10410">
        <v>1</v>
      </c>
      <c r="L10410">
        <v>0.98439375750300095</v>
      </c>
      <c r="M10410">
        <v>0.96453900709219897</v>
      </c>
      <c r="N10410">
        <v>0.96453900709219897</v>
      </c>
      <c r="O10410">
        <v>0.96453900709219897</v>
      </c>
      <c r="AF10410" t="s">
        <v>20994</v>
      </c>
    </row>
    <row r="10411" spans="1:32" hidden="1" x14ac:dyDescent="0.35">
      <c r="A10411">
        <v>10410</v>
      </c>
      <c r="B10411" t="s">
        <v>20993</v>
      </c>
      <c r="C10411" t="s">
        <v>33</v>
      </c>
      <c r="D10411" t="s">
        <v>45</v>
      </c>
      <c r="E10411">
        <v>265</v>
      </c>
      <c r="F10411">
        <v>2</v>
      </c>
      <c r="G10411">
        <v>2</v>
      </c>
      <c r="H10411">
        <v>1</v>
      </c>
      <c r="I10411">
        <v>0</v>
      </c>
      <c r="J10411">
        <v>0.96926713947990495</v>
      </c>
      <c r="K10411">
        <v>1</v>
      </c>
      <c r="L10411">
        <v>0.98439375750300095</v>
      </c>
      <c r="M10411">
        <v>0.96453900709219897</v>
      </c>
      <c r="N10411">
        <v>0.96453900709219897</v>
      </c>
      <c r="O10411">
        <v>0.96453900709219897</v>
      </c>
      <c r="AF10411" t="s">
        <v>20995</v>
      </c>
    </row>
    <row r="10412" spans="1:32" hidden="1" x14ac:dyDescent="0.35">
      <c r="A10412">
        <v>10411</v>
      </c>
      <c r="B10412" t="s">
        <v>20996</v>
      </c>
      <c r="C10412" t="s">
        <v>33</v>
      </c>
      <c r="D10412" t="s">
        <v>34</v>
      </c>
      <c r="E10412">
        <v>2053</v>
      </c>
      <c r="F10412">
        <v>2</v>
      </c>
      <c r="G10412">
        <v>2</v>
      </c>
      <c r="H10412">
        <v>1</v>
      </c>
      <c r="I10412">
        <v>0</v>
      </c>
      <c r="J10412">
        <v>0.98752228163992894</v>
      </c>
      <c r="K10412">
        <v>0.984294068504596</v>
      </c>
      <c r="L10412">
        <v>0.985905532493493</v>
      </c>
      <c r="M10412">
        <v>0.96842105263157896</v>
      </c>
      <c r="N10412">
        <v>0.96842105263157896</v>
      </c>
      <c r="O10412">
        <v>0.96842105263157896</v>
      </c>
      <c r="P10412" t="s">
        <v>16480</v>
      </c>
      <c r="Q10412" t="s">
        <v>16481</v>
      </c>
      <c r="R10412" t="s">
        <v>224</v>
      </c>
      <c r="S10412" t="s">
        <v>225</v>
      </c>
      <c r="T10412" t="s">
        <v>16482</v>
      </c>
      <c r="U10412" t="s">
        <v>16483</v>
      </c>
      <c r="V10412" t="s">
        <v>16484</v>
      </c>
      <c r="W10412" t="s">
        <v>16485</v>
      </c>
      <c r="AD10412" t="s">
        <v>210</v>
      </c>
      <c r="AE10412" t="s">
        <v>1520</v>
      </c>
      <c r="AF10412" t="s">
        <v>20997</v>
      </c>
    </row>
    <row r="10413" spans="1:32" hidden="1" x14ac:dyDescent="0.35">
      <c r="A10413">
        <v>10412</v>
      </c>
      <c r="B10413" t="s">
        <v>20996</v>
      </c>
      <c r="C10413" t="s">
        <v>33</v>
      </c>
      <c r="D10413" t="s">
        <v>45</v>
      </c>
      <c r="E10413">
        <v>819</v>
      </c>
      <c r="F10413">
        <v>2</v>
      </c>
      <c r="G10413">
        <v>2</v>
      </c>
      <c r="H10413">
        <v>1</v>
      </c>
      <c r="I10413">
        <v>0</v>
      </c>
      <c r="J10413">
        <v>0.98752228163992894</v>
      </c>
      <c r="K10413">
        <v>0.984294068504596</v>
      </c>
      <c r="L10413">
        <v>0.985905532493493</v>
      </c>
      <c r="M10413">
        <v>0.96842105263157896</v>
      </c>
      <c r="N10413">
        <v>0.96842105263157896</v>
      </c>
      <c r="O10413">
        <v>0.96842105263157896</v>
      </c>
      <c r="P10413" t="s">
        <v>16480</v>
      </c>
      <c r="Q10413" t="s">
        <v>16481</v>
      </c>
      <c r="R10413" t="s">
        <v>224</v>
      </c>
      <c r="S10413" t="s">
        <v>225</v>
      </c>
      <c r="T10413" t="s">
        <v>16482</v>
      </c>
      <c r="U10413" t="s">
        <v>16483</v>
      </c>
      <c r="V10413" t="s">
        <v>16484</v>
      </c>
      <c r="W10413" t="s">
        <v>16485</v>
      </c>
      <c r="AD10413" t="s">
        <v>210</v>
      </c>
      <c r="AE10413" t="s">
        <v>1520</v>
      </c>
      <c r="AF10413" t="s">
        <v>20998</v>
      </c>
    </row>
    <row r="10414" spans="1:32" hidden="1" x14ac:dyDescent="0.35">
      <c r="A10414">
        <v>10413</v>
      </c>
      <c r="B10414" t="s">
        <v>20999</v>
      </c>
      <c r="C10414" t="s">
        <v>33</v>
      </c>
      <c r="D10414" t="s">
        <v>60</v>
      </c>
      <c r="E10414">
        <v>2084</v>
      </c>
      <c r="F10414">
        <v>2</v>
      </c>
      <c r="G10414">
        <v>2</v>
      </c>
      <c r="H10414">
        <v>1</v>
      </c>
      <c r="I10414">
        <v>0</v>
      </c>
      <c r="J10414">
        <v>0.98619329388560195</v>
      </c>
      <c r="K10414">
        <v>1</v>
      </c>
      <c r="L10414">
        <v>0.99304865938430997</v>
      </c>
      <c r="M10414">
        <v>0.98224852071005897</v>
      </c>
      <c r="N10414">
        <v>0.98224852071005897</v>
      </c>
      <c r="O10414">
        <v>0.98224852071005897</v>
      </c>
      <c r="P10414" t="s">
        <v>19771</v>
      </c>
      <c r="Q10414" t="s">
        <v>19772</v>
      </c>
      <c r="R10414" t="s">
        <v>96</v>
      </c>
      <c r="S10414" t="s">
        <v>97</v>
      </c>
      <c r="V10414" t="s">
        <v>19773</v>
      </c>
      <c r="W10414" t="s">
        <v>19774</v>
      </c>
      <c r="AF10414" t="s">
        <v>21000</v>
      </c>
    </row>
    <row r="10415" spans="1:32" hidden="1" x14ac:dyDescent="0.35">
      <c r="A10415">
        <v>10414</v>
      </c>
      <c r="B10415" t="s">
        <v>20999</v>
      </c>
      <c r="C10415" t="s">
        <v>33</v>
      </c>
      <c r="D10415" t="s">
        <v>62</v>
      </c>
      <c r="E10415">
        <v>2119</v>
      </c>
      <c r="F10415">
        <v>2</v>
      </c>
      <c r="G10415">
        <v>2</v>
      </c>
      <c r="H10415">
        <v>1</v>
      </c>
      <c r="I10415">
        <v>0</v>
      </c>
      <c r="J10415">
        <v>0.98619329388560195</v>
      </c>
      <c r="K10415">
        <v>1</v>
      </c>
      <c r="L10415">
        <v>0.99304865938430997</v>
      </c>
      <c r="M10415">
        <v>0.98224852071005897</v>
      </c>
      <c r="N10415">
        <v>0.98224852071005897</v>
      </c>
      <c r="O10415">
        <v>0.98224852071005897</v>
      </c>
      <c r="P10415" t="s">
        <v>19771</v>
      </c>
      <c r="Q10415" t="s">
        <v>19772</v>
      </c>
      <c r="R10415" t="s">
        <v>96</v>
      </c>
      <c r="S10415" t="s">
        <v>97</v>
      </c>
      <c r="V10415" t="s">
        <v>19773</v>
      </c>
      <c r="W10415" t="s">
        <v>19774</v>
      </c>
      <c r="AF10415" t="s">
        <v>21001</v>
      </c>
    </row>
    <row r="10416" spans="1:32" hidden="1" x14ac:dyDescent="0.35">
      <c r="A10416">
        <v>10415</v>
      </c>
      <c r="B10416" t="s">
        <v>21002</v>
      </c>
      <c r="C10416" t="s">
        <v>33</v>
      </c>
      <c r="D10416" t="s">
        <v>60</v>
      </c>
      <c r="E10416">
        <v>1148</v>
      </c>
      <c r="F10416">
        <v>2</v>
      </c>
      <c r="G10416">
        <v>2</v>
      </c>
      <c r="H10416">
        <v>1</v>
      </c>
      <c r="I10416">
        <v>0</v>
      </c>
      <c r="J10416">
        <v>0.95007680491551505</v>
      </c>
      <c r="K10416">
        <v>0.98423520923521102</v>
      </c>
      <c r="L10416">
        <v>0.96685440201445905</v>
      </c>
      <c r="M10416">
        <v>0.91836734693877597</v>
      </c>
      <c r="N10416">
        <v>0.91836734693877597</v>
      </c>
      <c r="O10416">
        <v>0.91836734693877597</v>
      </c>
      <c r="P10416" t="s">
        <v>21003</v>
      </c>
      <c r="Q10416" t="s">
        <v>21004</v>
      </c>
      <c r="AF10416" t="s">
        <v>21005</v>
      </c>
    </row>
    <row r="10417" spans="1:32" hidden="1" x14ac:dyDescent="0.35">
      <c r="A10417">
        <v>10416</v>
      </c>
      <c r="B10417" t="s">
        <v>21002</v>
      </c>
      <c r="C10417" t="s">
        <v>33</v>
      </c>
      <c r="D10417" t="s">
        <v>62</v>
      </c>
      <c r="E10417">
        <v>1185</v>
      </c>
      <c r="F10417">
        <v>2</v>
      </c>
      <c r="G10417">
        <v>2</v>
      </c>
      <c r="H10417">
        <v>1</v>
      </c>
      <c r="I10417">
        <v>0</v>
      </c>
      <c r="J10417">
        <v>0.95007680491551505</v>
      </c>
      <c r="K10417">
        <v>0.98423520923521102</v>
      </c>
      <c r="L10417">
        <v>0.96685440201445905</v>
      </c>
      <c r="M10417">
        <v>0.91836734693877597</v>
      </c>
      <c r="N10417">
        <v>0.91836734693877597</v>
      </c>
      <c r="O10417">
        <v>0.91836734693877597</v>
      </c>
      <c r="P10417" t="s">
        <v>21003</v>
      </c>
      <c r="Q10417" t="s">
        <v>21004</v>
      </c>
      <c r="AF10417" t="s">
        <v>21006</v>
      </c>
    </row>
    <row r="10418" spans="1:32" hidden="1" x14ac:dyDescent="0.35">
      <c r="A10418">
        <v>10417</v>
      </c>
      <c r="B10418" t="s">
        <v>21007</v>
      </c>
      <c r="C10418" t="s">
        <v>33</v>
      </c>
      <c r="D10418" t="s">
        <v>60</v>
      </c>
      <c r="E10418">
        <v>145</v>
      </c>
      <c r="F10418">
        <v>2</v>
      </c>
      <c r="G10418">
        <v>2</v>
      </c>
      <c r="H10418">
        <v>1</v>
      </c>
      <c r="I10418">
        <v>0</v>
      </c>
      <c r="J10418">
        <v>0.98499999999999999</v>
      </c>
      <c r="K10418">
        <v>1</v>
      </c>
      <c r="L10418">
        <v>0.99244332493702803</v>
      </c>
      <c r="M10418">
        <v>0.98499999999999999</v>
      </c>
      <c r="N10418">
        <v>0.98499999999999999</v>
      </c>
      <c r="O10418">
        <v>0.98499999999999999</v>
      </c>
      <c r="P10418" t="s">
        <v>18905</v>
      </c>
      <c r="Q10418" t="s">
        <v>18906</v>
      </c>
      <c r="AF10418" t="s">
        <v>21008</v>
      </c>
    </row>
    <row r="10419" spans="1:32" hidden="1" x14ac:dyDescent="0.35">
      <c r="A10419">
        <v>10418</v>
      </c>
      <c r="B10419" t="s">
        <v>21007</v>
      </c>
      <c r="C10419" t="s">
        <v>33</v>
      </c>
      <c r="D10419" t="s">
        <v>62</v>
      </c>
      <c r="E10419">
        <v>221</v>
      </c>
      <c r="F10419">
        <v>2</v>
      </c>
      <c r="G10419">
        <v>2</v>
      </c>
      <c r="H10419">
        <v>1</v>
      </c>
      <c r="I10419">
        <v>0</v>
      </c>
      <c r="J10419">
        <v>0.98499999999999999</v>
      </c>
      <c r="K10419">
        <v>1</v>
      </c>
      <c r="L10419">
        <v>0.99244332493702803</v>
      </c>
      <c r="M10419">
        <v>0.98499999999999999</v>
      </c>
      <c r="N10419">
        <v>0.98499999999999999</v>
      </c>
      <c r="O10419">
        <v>0.98499999999999999</v>
      </c>
      <c r="P10419" t="s">
        <v>18905</v>
      </c>
      <c r="Q10419" t="s">
        <v>18906</v>
      </c>
      <c r="AF10419" t="s">
        <v>21009</v>
      </c>
    </row>
    <row r="10420" spans="1:32" hidden="1" x14ac:dyDescent="0.35">
      <c r="A10420">
        <v>10419</v>
      </c>
      <c r="B10420" t="s">
        <v>21010</v>
      </c>
      <c r="C10420" t="s">
        <v>33</v>
      </c>
      <c r="D10420" t="s">
        <v>34</v>
      </c>
      <c r="E10420">
        <v>429</v>
      </c>
      <c r="F10420">
        <v>2</v>
      </c>
      <c r="G10420">
        <v>2</v>
      </c>
      <c r="H10420">
        <v>1</v>
      </c>
      <c r="I10420">
        <v>0</v>
      </c>
      <c r="J10420">
        <v>0.95</v>
      </c>
      <c r="K10420">
        <v>1</v>
      </c>
      <c r="L10420">
        <v>0.97435897435897401</v>
      </c>
      <c r="M10420">
        <v>0.93333333333333302</v>
      </c>
      <c r="N10420">
        <v>0.93333333333333302</v>
      </c>
      <c r="O10420">
        <v>0.93333333333333302</v>
      </c>
      <c r="AF10420" t="s">
        <v>21011</v>
      </c>
    </row>
    <row r="10421" spans="1:32" hidden="1" x14ac:dyDescent="0.35">
      <c r="A10421">
        <v>10420</v>
      </c>
      <c r="B10421" t="s">
        <v>21010</v>
      </c>
      <c r="C10421" t="s">
        <v>33</v>
      </c>
      <c r="D10421" t="s">
        <v>45</v>
      </c>
      <c r="E10421">
        <v>1691</v>
      </c>
      <c r="F10421">
        <v>2</v>
      </c>
      <c r="G10421">
        <v>2</v>
      </c>
      <c r="H10421">
        <v>1</v>
      </c>
      <c r="I10421">
        <v>0</v>
      </c>
      <c r="J10421">
        <v>0.95</v>
      </c>
      <c r="K10421">
        <v>1</v>
      </c>
      <c r="L10421">
        <v>0.97435897435897401</v>
      </c>
      <c r="M10421">
        <v>0.93333333333333302</v>
      </c>
      <c r="N10421">
        <v>0.93333333333333302</v>
      </c>
      <c r="O10421">
        <v>0.93333333333333302</v>
      </c>
      <c r="AF10421" t="s">
        <v>21012</v>
      </c>
    </row>
    <row r="10422" spans="1:32" hidden="1" x14ac:dyDescent="0.35">
      <c r="A10422">
        <v>10421</v>
      </c>
      <c r="B10422" t="s">
        <v>21013</v>
      </c>
      <c r="C10422" t="s">
        <v>33</v>
      </c>
      <c r="D10422" t="s">
        <v>34</v>
      </c>
      <c r="E10422">
        <v>2165</v>
      </c>
      <c r="F10422">
        <v>2</v>
      </c>
      <c r="G10422">
        <v>2</v>
      </c>
      <c r="H10422">
        <v>1</v>
      </c>
      <c r="I10422">
        <v>0</v>
      </c>
      <c r="J10422">
        <v>0.99277326106594399</v>
      </c>
      <c r="K10422">
        <v>1</v>
      </c>
      <c r="L10422">
        <v>0.99637352674524005</v>
      </c>
      <c r="M10422">
        <v>0.98915989159891604</v>
      </c>
      <c r="N10422">
        <v>0.98915989159891604</v>
      </c>
      <c r="O10422">
        <v>0.98915989159891604</v>
      </c>
      <c r="P10422" t="s">
        <v>17101</v>
      </c>
      <c r="Q10422" t="s">
        <v>17102</v>
      </c>
      <c r="R10422" t="s">
        <v>235</v>
      </c>
      <c r="S10422" t="s">
        <v>236</v>
      </c>
      <c r="T10422" t="s">
        <v>21014</v>
      </c>
      <c r="U10422" t="s">
        <v>21015</v>
      </c>
      <c r="V10422" t="s">
        <v>21016</v>
      </c>
      <c r="W10422" t="s">
        <v>21017</v>
      </c>
      <c r="X10422" t="s">
        <v>21016</v>
      </c>
      <c r="Y10422" t="s">
        <v>17277</v>
      </c>
      <c r="Z10422" t="s">
        <v>17630</v>
      </c>
      <c r="AA10422" t="s">
        <v>17631</v>
      </c>
      <c r="AB10422" t="s">
        <v>17630</v>
      </c>
      <c r="AC10422" t="s">
        <v>17632</v>
      </c>
      <c r="AD10422" t="s">
        <v>1140</v>
      </c>
      <c r="AE10422" t="s">
        <v>21018</v>
      </c>
      <c r="AF10422" t="s">
        <v>21019</v>
      </c>
    </row>
    <row r="10423" spans="1:32" hidden="1" x14ac:dyDescent="0.35">
      <c r="A10423">
        <v>10422</v>
      </c>
      <c r="B10423" t="s">
        <v>21013</v>
      </c>
      <c r="C10423" t="s">
        <v>33</v>
      </c>
      <c r="D10423" t="s">
        <v>45</v>
      </c>
      <c r="E10423">
        <v>708</v>
      </c>
      <c r="F10423">
        <v>2</v>
      </c>
      <c r="G10423">
        <v>2</v>
      </c>
      <c r="H10423">
        <v>1</v>
      </c>
      <c r="I10423">
        <v>0</v>
      </c>
      <c r="J10423">
        <v>0.99277326106594399</v>
      </c>
      <c r="K10423">
        <v>1</v>
      </c>
      <c r="L10423">
        <v>0.99637352674524005</v>
      </c>
      <c r="M10423">
        <v>0.98915989159891604</v>
      </c>
      <c r="N10423">
        <v>0.98915989159891604</v>
      </c>
      <c r="O10423">
        <v>0.98915989159891604</v>
      </c>
      <c r="P10423" t="s">
        <v>17101</v>
      </c>
      <c r="Q10423" t="s">
        <v>17102</v>
      </c>
      <c r="R10423" t="s">
        <v>235</v>
      </c>
      <c r="S10423" t="s">
        <v>236</v>
      </c>
      <c r="T10423" t="s">
        <v>21014</v>
      </c>
      <c r="U10423" t="s">
        <v>21015</v>
      </c>
      <c r="V10423" t="s">
        <v>21016</v>
      </c>
      <c r="W10423" t="s">
        <v>21017</v>
      </c>
      <c r="X10423" t="s">
        <v>21016</v>
      </c>
      <c r="Y10423" t="s">
        <v>17277</v>
      </c>
      <c r="Z10423" t="s">
        <v>17630</v>
      </c>
      <c r="AA10423" t="s">
        <v>17631</v>
      </c>
      <c r="AB10423" t="s">
        <v>17630</v>
      </c>
      <c r="AC10423" t="s">
        <v>17632</v>
      </c>
      <c r="AD10423" t="s">
        <v>1140</v>
      </c>
      <c r="AE10423" t="s">
        <v>21018</v>
      </c>
      <c r="AF10423" t="s">
        <v>21020</v>
      </c>
    </row>
    <row r="10424" spans="1:32" hidden="1" x14ac:dyDescent="0.35">
      <c r="A10424">
        <v>10423</v>
      </c>
      <c r="B10424" t="s">
        <v>21021</v>
      </c>
      <c r="C10424" t="s">
        <v>33</v>
      </c>
      <c r="D10424" t="s">
        <v>34</v>
      </c>
      <c r="E10424">
        <v>1003</v>
      </c>
      <c r="F10424">
        <v>2</v>
      </c>
      <c r="G10424">
        <v>2</v>
      </c>
      <c r="H10424">
        <v>1</v>
      </c>
      <c r="I10424">
        <v>0</v>
      </c>
      <c r="J10424">
        <v>0.99706744868035202</v>
      </c>
      <c r="K10424">
        <v>1</v>
      </c>
      <c r="L10424">
        <v>0.99853157121879599</v>
      </c>
      <c r="M10424">
        <v>0.99706744868035202</v>
      </c>
      <c r="N10424">
        <v>0.99706744868035202</v>
      </c>
      <c r="O10424">
        <v>0.99706744868035202</v>
      </c>
      <c r="P10424" t="s">
        <v>785</v>
      </c>
      <c r="Q10424" t="s">
        <v>786</v>
      </c>
      <c r="R10424" t="s">
        <v>787</v>
      </c>
      <c r="S10424" t="s">
        <v>788</v>
      </c>
      <c r="V10424" t="s">
        <v>791</v>
      </c>
      <c r="W10424" t="s">
        <v>792</v>
      </c>
      <c r="AF10424" t="s">
        <v>21022</v>
      </c>
    </row>
    <row r="10425" spans="1:32" hidden="1" x14ac:dyDescent="0.35">
      <c r="A10425">
        <v>10424</v>
      </c>
      <c r="B10425" t="s">
        <v>21021</v>
      </c>
      <c r="C10425" t="s">
        <v>33</v>
      </c>
      <c r="D10425" t="s">
        <v>45</v>
      </c>
      <c r="E10425">
        <v>2257</v>
      </c>
      <c r="F10425">
        <v>2</v>
      </c>
      <c r="G10425">
        <v>2</v>
      </c>
      <c r="H10425">
        <v>1</v>
      </c>
      <c r="I10425">
        <v>0</v>
      </c>
      <c r="J10425">
        <v>0.99706744868035202</v>
      </c>
      <c r="K10425">
        <v>1</v>
      </c>
      <c r="L10425">
        <v>0.99853157121879599</v>
      </c>
      <c r="M10425">
        <v>0.99706744868035202</v>
      </c>
      <c r="N10425">
        <v>0.99706744868035202</v>
      </c>
      <c r="O10425">
        <v>0.99706744868035202</v>
      </c>
      <c r="P10425" t="s">
        <v>785</v>
      </c>
      <c r="Q10425" t="s">
        <v>786</v>
      </c>
      <c r="R10425" t="s">
        <v>787</v>
      </c>
      <c r="S10425" t="s">
        <v>788</v>
      </c>
      <c r="V10425" t="s">
        <v>791</v>
      </c>
      <c r="W10425" t="s">
        <v>792</v>
      </c>
      <c r="AF10425" t="s">
        <v>21023</v>
      </c>
    </row>
    <row r="10426" spans="1:32" hidden="1" x14ac:dyDescent="0.35">
      <c r="A10426">
        <v>10425</v>
      </c>
      <c r="B10426" t="s">
        <v>21024</v>
      </c>
      <c r="C10426" t="s">
        <v>33</v>
      </c>
      <c r="D10426" t="s">
        <v>34</v>
      </c>
      <c r="E10426">
        <v>861</v>
      </c>
      <c r="F10426">
        <v>2</v>
      </c>
      <c r="G10426">
        <v>2</v>
      </c>
      <c r="H10426">
        <v>1</v>
      </c>
      <c r="I10426">
        <v>0</v>
      </c>
      <c r="J10426">
        <v>0.99866666666666704</v>
      </c>
      <c r="K10426">
        <v>1</v>
      </c>
      <c r="L10426">
        <v>0.999332888592395</v>
      </c>
      <c r="M10426">
        <v>0.996</v>
      </c>
      <c r="N10426">
        <v>0.996</v>
      </c>
      <c r="O10426">
        <v>0.996</v>
      </c>
      <c r="P10426" t="s">
        <v>5019</v>
      </c>
      <c r="Q10426" t="s">
        <v>5020</v>
      </c>
      <c r="R10426" t="s">
        <v>652</v>
      </c>
      <c r="S10426" t="s">
        <v>653</v>
      </c>
      <c r="V10426" t="s">
        <v>9415</v>
      </c>
      <c r="W10426" t="s">
        <v>9416</v>
      </c>
      <c r="X10426" t="s">
        <v>9415</v>
      </c>
      <c r="Y10426" t="s">
        <v>5826</v>
      </c>
      <c r="AF10426" t="s">
        <v>21025</v>
      </c>
    </row>
    <row r="10427" spans="1:32" hidden="1" x14ac:dyDescent="0.35">
      <c r="A10427">
        <v>10426</v>
      </c>
      <c r="B10427" t="s">
        <v>21024</v>
      </c>
      <c r="C10427" t="s">
        <v>33</v>
      </c>
      <c r="D10427" t="s">
        <v>45</v>
      </c>
      <c r="E10427">
        <v>2118</v>
      </c>
      <c r="F10427">
        <v>2</v>
      </c>
      <c r="G10427">
        <v>2</v>
      </c>
      <c r="H10427">
        <v>1</v>
      </c>
      <c r="I10427">
        <v>0</v>
      </c>
      <c r="J10427">
        <v>0.99866666666666704</v>
      </c>
      <c r="K10427">
        <v>1</v>
      </c>
      <c r="L10427">
        <v>0.999332888592395</v>
      </c>
      <c r="M10427">
        <v>0.996</v>
      </c>
      <c r="N10427">
        <v>0.996</v>
      </c>
      <c r="O10427">
        <v>0.996</v>
      </c>
      <c r="P10427" t="s">
        <v>5019</v>
      </c>
      <c r="Q10427" t="s">
        <v>5020</v>
      </c>
      <c r="R10427" t="s">
        <v>652</v>
      </c>
      <c r="S10427" t="s">
        <v>653</v>
      </c>
      <c r="V10427" t="s">
        <v>9415</v>
      </c>
      <c r="W10427" t="s">
        <v>9416</v>
      </c>
      <c r="X10427" t="s">
        <v>9415</v>
      </c>
      <c r="Y10427" t="s">
        <v>5826</v>
      </c>
      <c r="AF10427" t="s">
        <v>21026</v>
      </c>
    </row>
    <row r="10428" spans="1:32" hidden="1" x14ac:dyDescent="0.35">
      <c r="A10428">
        <v>10427</v>
      </c>
      <c r="B10428" t="s">
        <v>21027</v>
      </c>
      <c r="C10428" t="s">
        <v>33</v>
      </c>
      <c r="D10428" t="s">
        <v>34</v>
      </c>
      <c r="E10428">
        <v>1632</v>
      </c>
      <c r="F10428">
        <v>2</v>
      </c>
      <c r="G10428">
        <v>2</v>
      </c>
      <c r="H10428">
        <v>1</v>
      </c>
      <c r="I10428">
        <v>0</v>
      </c>
      <c r="J10428">
        <v>0.99242424242424199</v>
      </c>
      <c r="K10428">
        <v>1</v>
      </c>
      <c r="L10428">
        <v>0.99619771863117901</v>
      </c>
      <c r="M10428">
        <v>0.99242424242424199</v>
      </c>
      <c r="N10428">
        <v>0.99242424242424199</v>
      </c>
      <c r="O10428">
        <v>0.99242424242424199</v>
      </c>
      <c r="AF10428" t="s">
        <v>21028</v>
      </c>
    </row>
    <row r="10429" spans="1:32" hidden="1" x14ac:dyDescent="0.35">
      <c r="A10429">
        <v>10428</v>
      </c>
      <c r="B10429" t="s">
        <v>21027</v>
      </c>
      <c r="C10429" t="s">
        <v>33</v>
      </c>
      <c r="D10429" t="s">
        <v>45</v>
      </c>
      <c r="E10429">
        <v>379</v>
      </c>
      <c r="F10429">
        <v>2</v>
      </c>
      <c r="G10429">
        <v>2</v>
      </c>
      <c r="H10429">
        <v>1</v>
      </c>
      <c r="I10429">
        <v>0</v>
      </c>
      <c r="J10429">
        <v>0.99242424242424199</v>
      </c>
      <c r="K10429">
        <v>1</v>
      </c>
      <c r="L10429">
        <v>0.99619771863117901</v>
      </c>
      <c r="M10429">
        <v>0.99242424242424199</v>
      </c>
      <c r="N10429">
        <v>0.99242424242424199</v>
      </c>
      <c r="O10429">
        <v>0.99242424242424199</v>
      </c>
      <c r="P10429" t="s">
        <v>17298</v>
      </c>
      <c r="Q10429" t="s">
        <v>17299</v>
      </c>
      <c r="AF10429" t="s">
        <v>21029</v>
      </c>
    </row>
    <row r="10430" spans="1:32" hidden="1" x14ac:dyDescent="0.35">
      <c r="A10430">
        <v>10429</v>
      </c>
      <c r="B10430" t="s">
        <v>21030</v>
      </c>
      <c r="C10430" t="s">
        <v>33</v>
      </c>
      <c r="D10430" t="s">
        <v>34</v>
      </c>
      <c r="E10430">
        <v>1629</v>
      </c>
      <c r="F10430">
        <v>2</v>
      </c>
      <c r="G10430">
        <v>2</v>
      </c>
      <c r="H10430">
        <v>1</v>
      </c>
      <c r="I10430">
        <v>0</v>
      </c>
      <c r="J10430">
        <v>0.91041666666666698</v>
      </c>
      <c r="K10430">
        <v>1</v>
      </c>
      <c r="L10430">
        <v>0.95310796074154802</v>
      </c>
      <c r="M10430">
        <v>0.88124999999999998</v>
      </c>
      <c r="N10430">
        <v>0.88124999999999998</v>
      </c>
      <c r="O10430">
        <v>0.88124999999999998</v>
      </c>
      <c r="P10430" t="s">
        <v>15542</v>
      </c>
      <c r="Q10430" t="s">
        <v>15543</v>
      </c>
      <c r="R10430" t="s">
        <v>96</v>
      </c>
      <c r="S10430" t="s">
        <v>97</v>
      </c>
      <c r="V10430" t="s">
        <v>15544</v>
      </c>
      <c r="W10430" t="s">
        <v>15545</v>
      </c>
      <c r="AF10430" t="s">
        <v>21031</v>
      </c>
    </row>
    <row r="10431" spans="1:32" hidden="1" x14ac:dyDescent="0.35">
      <c r="A10431">
        <v>10430</v>
      </c>
      <c r="B10431" t="s">
        <v>21030</v>
      </c>
      <c r="C10431" t="s">
        <v>33</v>
      </c>
      <c r="D10431" t="s">
        <v>45</v>
      </c>
      <c r="E10431">
        <v>376</v>
      </c>
      <c r="F10431">
        <v>2</v>
      </c>
      <c r="G10431">
        <v>2</v>
      </c>
      <c r="H10431">
        <v>1</v>
      </c>
      <c r="I10431">
        <v>0</v>
      </c>
      <c r="J10431">
        <v>0.91041666666666698</v>
      </c>
      <c r="K10431">
        <v>1</v>
      </c>
      <c r="L10431">
        <v>0.95310796074154802</v>
      </c>
      <c r="M10431">
        <v>0.88124999999999998</v>
      </c>
      <c r="N10431">
        <v>0.88124999999999998</v>
      </c>
      <c r="O10431">
        <v>0.88124999999999998</v>
      </c>
      <c r="P10431" t="s">
        <v>15542</v>
      </c>
      <c r="Q10431" t="s">
        <v>15543</v>
      </c>
      <c r="R10431" t="s">
        <v>96</v>
      </c>
      <c r="S10431" t="s">
        <v>97</v>
      </c>
      <c r="V10431" t="s">
        <v>15544</v>
      </c>
      <c r="W10431" t="s">
        <v>15545</v>
      </c>
      <c r="AF10431" t="s">
        <v>21032</v>
      </c>
    </row>
    <row r="10432" spans="1:32" hidden="1" x14ac:dyDescent="0.35">
      <c r="A10432">
        <v>10431</v>
      </c>
      <c r="B10432" t="s">
        <v>21033</v>
      </c>
      <c r="C10432" t="s">
        <v>33</v>
      </c>
      <c r="D10432" t="s">
        <v>60</v>
      </c>
      <c r="E10432">
        <v>1955</v>
      </c>
      <c r="F10432">
        <v>2</v>
      </c>
      <c r="G10432">
        <v>2</v>
      </c>
      <c r="H10432">
        <v>1</v>
      </c>
      <c r="I10432">
        <v>0</v>
      </c>
      <c r="J10432">
        <v>0.97601476014760102</v>
      </c>
      <c r="K10432">
        <v>1</v>
      </c>
      <c r="L10432">
        <v>0.98786181139122298</v>
      </c>
      <c r="M10432">
        <v>0.96494464944649405</v>
      </c>
      <c r="N10432">
        <v>0.96494464944649405</v>
      </c>
      <c r="O10432">
        <v>0.96494464944649405</v>
      </c>
      <c r="P10432" t="s">
        <v>18629</v>
      </c>
      <c r="Q10432" t="s">
        <v>18630</v>
      </c>
      <c r="R10432" t="s">
        <v>540</v>
      </c>
      <c r="S10432" t="s">
        <v>541</v>
      </c>
      <c r="T10432" t="s">
        <v>18631</v>
      </c>
      <c r="U10432" t="s">
        <v>18632</v>
      </c>
      <c r="V10432" t="s">
        <v>18633</v>
      </c>
      <c r="W10432" t="s">
        <v>18634</v>
      </c>
      <c r="AD10432" t="s">
        <v>4789</v>
      </c>
      <c r="AE10432" t="s">
        <v>10384</v>
      </c>
      <c r="AF10432" t="s">
        <v>21034</v>
      </c>
    </row>
    <row r="10433" spans="1:32" hidden="1" x14ac:dyDescent="0.35">
      <c r="A10433">
        <v>10432</v>
      </c>
      <c r="B10433" t="s">
        <v>21033</v>
      </c>
      <c r="C10433" t="s">
        <v>33</v>
      </c>
      <c r="D10433" t="s">
        <v>62</v>
      </c>
      <c r="E10433">
        <v>1996</v>
      </c>
      <c r="F10433">
        <v>2</v>
      </c>
      <c r="G10433">
        <v>2</v>
      </c>
      <c r="H10433">
        <v>1</v>
      </c>
      <c r="I10433">
        <v>0</v>
      </c>
      <c r="J10433">
        <v>0.97601476014760102</v>
      </c>
      <c r="K10433">
        <v>1</v>
      </c>
      <c r="L10433">
        <v>0.98786181139122298</v>
      </c>
      <c r="M10433">
        <v>0.96494464944649405</v>
      </c>
      <c r="N10433">
        <v>0.96494464944649405</v>
      </c>
      <c r="O10433">
        <v>0.96494464944649405</v>
      </c>
      <c r="P10433" t="s">
        <v>18629</v>
      </c>
      <c r="Q10433" t="s">
        <v>18630</v>
      </c>
      <c r="R10433" t="s">
        <v>540</v>
      </c>
      <c r="S10433" t="s">
        <v>541</v>
      </c>
      <c r="T10433" t="s">
        <v>18631</v>
      </c>
      <c r="U10433" t="s">
        <v>18632</v>
      </c>
      <c r="V10433" t="s">
        <v>18633</v>
      </c>
      <c r="W10433" t="s">
        <v>18634</v>
      </c>
      <c r="AD10433" t="s">
        <v>4789</v>
      </c>
      <c r="AE10433" t="s">
        <v>10384</v>
      </c>
      <c r="AF10433" t="s">
        <v>21035</v>
      </c>
    </row>
    <row r="10434" spans="1:32" hidden="1" x14ac:dyDescent="0.35">
      <c r="A10434">
        <v>10433</v>
      </c>
      <c r="B10434" t="s">
        <v>21036</v>
      </c>
      <c r="C10434" t="s">
        <v>33</v>
      </c>
      <c r="D10434" t="s">
        <v>60</v>
      </c>
      <c r="E10434">
        <v>2497</v>
      </c>
      <c r="F10434">
        <v>2</v>
      </c>
      <c r="G10434">
        <v>2</v>
      </c>
      <c r="H10434">
        <v>1</v>
      </c>
      <c r="I10434">
        <v>0</v>
      </c>
      <c r="J10434">
        <v>0.99909990999099896</v>
      </c>
      <c r="K10434">
        <v>1</v>
      </c>
      <c r="L10434">
        <v>0.99954975236379995</v>
      </c>
      <c r="M10434">
        <v>0.99909990999099896</v>
      </c>
      <c r="N10434">
        <v>0.99909990999099896</v>
      </c>
      <c r="O10434">
        <v>0.99909990999099896</v>
      </c>
      <c r="P10434" t="s">
        <v>15442</v>
      </c>
      <c r="Q10434" t="s">
        <v>15443</v>
      </c>
      <c r="R10434" t="s">
        <v>1259</v>
      </c>
      <c r="S10434" t="s">
        <v>1260</v>
      </c>
      <c r="V10434" t="s">
        <v>15444</v>
      </c>
      <c r="W10434" t="s">
        <v>15445</v>
      </c>
      <c r="AF10434" t="s">
        <v>21037</v>
      </c>
    </row>
    <row r="10435" spans="1:32" hidden="1" x14ac:dyDescent="0.35">
      <c r="A10435">
        <v>10434</v>
      </c>
      <c r="B10435" t="s">
        <v>21036</v>
      </c>
      <c r="C10435" t="s">
        <v>33</v>
      </c>
      <c r="D10435" t="s">
        <v>62</v>
      </c>
      <c r="E10435">
        <v>24</v>
      </c>
      <c r="F10435">
        <v>2</v>
      </c>
      <c r="G10435">
        <v>2</v>
      </c>
      <c r="H10435">
        <v>1</v>
      </c>
      <c r="I10435">
        <v>0</v>
      </c>
      <c r="J10435">
        <v>0.99909990999099896</v>
      </c>
      <c r="K10435">
        <v>1</v>
      </c>
      <c r="L10435">
        <v>0.99954975236379995</v>
      </c>
      <c r="M10435">
        <v>0.99909990999099896</v>
      </c>
      <c r="N10435">
        <v>0.99909990999099896</v>
      </c>
      <c r="O10435">
        <v>0.99909990999099896</v>
      </c>
      <c r="P10435" t="s">
        <v>15442</v>
      </c>
      <c r="Q10435" t="s">
        <v>15443</v>
      </c>
      <c r="R10435" t="s">
        <v>1259</v>
      </c>
      <c r="S10435" t="s">
        <v>1260</v>
      </c>
      <c r="V10435" t="s">
        <v>15444</v>
      </c>
      <c r="W10435" t="s">
        <v>15445</v>
      </c>
      <c r="AF10435" t="s">
        <v>21038</v>
      </c>
    </row>
    <row r="10436" spans="1:32" hidden="1" x14ac:dyDescent="0.35">
      <c r="A10436">
        <v>10435</v>
      </c>
      <c r="B10436" t="s">
        <v>21039</v>
      </c>
      <c r="C10436" t="s">
        <v>33</v>
      </c>
      <c r="D10436" t="s">
        <v>60</v>
      </c>
      <c r="E10436">
        <v>802</v>
      </c>
      <c r="F10436">
        <v>2</v>
      </c>
      <c r="G10436">
        <v>2</v>
      </c>
      <c r="H10436">
        <v>1</v>
      </c>
      <c r="I10436">
        <v>0</v>
      </c>
      <c r="J10436">
        <v>0.99687010954616595</v>
      </c>
      <c r="K10436">
        <v>1</v>
      </c>
      <c r="L10436">
        <v>0.99843260188087801</v>
      </c>
      <c r="M10436">
        <v>0.99530516431924898</v>
      </c>
      <c r="N10436">
        <v>0.99530516431924898</v>
      </c>
      <c r="O10436">
        <v>0.99530516431924898</v>
      </c>
      <c r="P10436" t="s">
        <v>17320</v>
      </c>
      <c r="Q10436" t="s">
        <v>17321</v>
      </c>
      <c r="AF10436" t="s">
        <v>21040</v>
      </c>
    </row>
    <row r="10437" spans="1:32" hidden="1" x14ac:dyDescent="0.35">
      <c r="A10437">
        <v>10436</v>
      </c>
      <c r="B10437" t="s">
        <v>21039</v>
      </c>
      <c r="C10437" t="s">
        <v>33</v>
      </c>
      <c r="D10437" t="s">
        <v>62</v>
      </c>
      <c r="E10437">
        <v>835</v>
      </c>
      <c r="F10437">
        <v>2</v>
      </c>
      <c r="G10437">
        <v>2</v>
      </c>
      <c r="H10437">
        <v>1</v>
      </c>
      <c r="I10437">
        <v>0</v>
      </c>
      <c r="J10437">
        <v>0.99687010954616595</v>
      </c>
      <c r="K10437">
        <v>1</v>
      </c>
      <c r="L10437">
        <v>0.99843260188087801</v>
      </c>
      <c r="M10437">
        <v>0.99530516431924898</v>
      </c>
      <c r="N10437">
        <v>0.99530516431924898</v>
      </c>
      <c r="O10437">
        <v>0.99530516431924898</v>
      </c>
      <c r="P10437" t="s">
        <v>17320</v>
      </c>
      <c r="Q10437" t="s">
        <v>17321</v>
      </c>
      <c r="AF10437" t="s">
        <v>21041</v>
      </c>
    </row>
    <row r="10438" spans="1:32" hidden="1" x14ac:dyDescent="0.35">
      <c r="A10438">
        <v>10437</v>
      </c>
      <c r="B10438" t="s">
        <v>21042</v>
      </c>
      <c r="C10438" t="s">
        <v>33</v>
      </c>
      <c r="D10438" t="s">
        <v>60</v>
      </c>
      <c r="E10438">
        <v>156</v>
      </c>
      <c r="F10438">
        <v>2</v>
      </c>
      <c r="G10438">
        <v>2</v>
      </c>
      <c r="H10438">
        <v>1</v>
      </c>
      <c r="I10438">
        <v>0</v>
      </c>
      <c r="J10438">
        <v>0.99190283400809698</v>
      </c>
      <c r="K10438">
        <v>1</v>
      </c>
      <c r="L10438">
        <v>0.99593495934959297</v>
      </c>
      <c r="M10438">
        <v>0.98380566801619396</v>
      </c>
      <c r="N10438">
        <v>0.98380566801619396</v>
      </c>
      <c r="O10438">
        <v>0.98380566801619396</v>
      </c>
      <c r="P10438" t="s">
        <v>7381</v>
      </c>
      <c r="Q10438" t="s">
        <v>7382</v>
      </c>
      <c r="R10438" t="s">
        <v>869</v>
      </c>
      <c r="S10438" t="s">
        <v>870</v>
      </c>
      <c r="T10438" t="s">
        <v>7383</v>
      </c>
      <c r="U10438" t="s">
        <v>7384</v>
      </c>
      <c r="V10438" t="s">
        <v>7385</v>
      </c>
      <c r="W10438" t="s">
        <v>7386</v>
      </c>
      <c r="AD10438" t="s">
        <v>439</v>
      </c>
      <c r="AE10438" t="s">
        <v>7387</v>
      </c>
      <c r="AF10438" t="s">
        <v>21043</v>
      </c>
    </row>
    <row r="10439" spans="1:32" hidden="1" x14ac:dyDescent="0.35">
      <c r="A10439">
        <v>10438</v>
      </c>
      <c r="B10439" t="s">
        <v>21042</v>
      </c>
      <c r="C10439" t="s">
        <v>33</v>
      </c>
      <c r="D10439" t="s">
        <v>62</v>
      </c>
      <c r="E10439">
        <v>232</v>
      </c>
      <c r="F10439">
        <v>2</v>
      </c>
      <c r="G10439">
        <v>2</v>
      </c>
      <c r="H10439">
        <v>1</v>
      </c>
      <c r="I10439">
        <v>0</v>
      </c>
      <c r="J10439">
        <v>0.99190283400809698</v>
      </c>
      <c r="K10439">
        <v>1</v>
      </c>
      <c r="L10439">
        <v>0.99593495934959297</v>
      </c>
      <c r="M10439">
        <v>0.98380566801619396</v>
      </c>
      <c r="N10439">
        <v>0.98380566801619396</v>
      </c>
      <c r="O10439">
        <v>0.98380566801619396</v>
      </c>
      <c r="P10439" t="s">
        <v>7381</v>
      </c>
      <c r="Q10439" t="s">
        <v>7382</v>
      </c>
      <c r="R10439" t="s">
        <v>869</v>
      </c>
      <c r="S10439" t="s">
        <v>870</v>
      </c>
      <c r="T10439" t="s">
        <v>7383</v>
      </c>
      <c r="U10439" t="s">
        <v>7384</v>
      </c>
      <c r="V10439" t="s">
        <v>7385</v>
      </c>
      <c r="W10439" t="s">
        <v>7386</v>
      </c>
      <c r="AD10439" t="s">
        <v>439</v>
      </c>
      <c r="AE10439" t="s">
        <v>7387</v>
      </c>
      <c r="AF10439" t="s">
        <v>21044</v>
      </c>
    </row>
    <row r="10440" spans="1:32" hidden="1" x14ac:dyDescent="0.35">
      <c r="A10440">
        <v>10439</v>
      </c>
      <c r="B10440" t="s">
        <v>21045</v>
      </c>
      <c r="C10440" t="s">
        <v>33</v>
      </c>
      <c r="D10440" t="s">
        <v>34</v>
      </c>
      <c r="E10440">
        <v>2372</v>
      </c>
      <c r="F10440">
        <v>2</v>
      </c>
      <c r="G10440">
        <v>2</v>
      </c>
      <c r="H10440">
        <v>1</v>
      </c>
      <c r="I10440">
        <v>0</v>
      </c>
      <c r="J10440">
        <v>0.94657375145180001</v>
      </c>
      <c r="K10440">
        <v>1</v>
      </c>
      <c r="L10440">
        <v>0.97255369928401003</v>
      </c>
      <c r="M10440">
        <v>0.92334494773519205</v>
      </c>
      <c r="N10440">
        <v>0.92334494773519205</v>
      </c>
      <c r="O10440">
        <v>0.92334494773519205</v>
      </c>
      <c r="AF10440" t="s">
        <v>21046</v>
      </c>
    </row>
    <row r="10441" spans="1:32" hidden="1" x14ac:dyDescent="0.35">
      <c r="A10441">
        <v>10440</v>
      </c>
      <c r="B10441" t="s">
        <v>21045</v>
      </c>
      <c r="C10441" t="s">
        <v>33</v>
      </c>
      <c r="D10441" t="s">
        <v>45</v>
      </c>
      <c r="E10441">
        <v>507</v>
      </c>
      <c r="F10441">
        <v>2</v>
      </c>
      <c r="G10441">
        <v>2</v>
      </c>
      <c r="H10441">
        <v>1</v>
      </c>
      <c r="I10441">
        <v>0</v>
      </c>
      <c r="J10441">
        <v>0.94657375145180001</v>
      </c>
      <c r="K10441">
        <v>1</v>
      </c>
      <c r="L10441">
        <v>0.97255369928401003</v>
      </c>
      <c r="M10441">
        <v>0.92334494773519205</v>
      </c>
      <c r="N10441">
        <v>0.92334494773519205</v>
      </c>
      <c r="O10441">
        <v>0.92334494773519205</v>
      </c>
      <c r="AF10441" t="s">
        <v>21047</v>
      </c>
    </row>
    <row r="10442" spans="1:32" hidden="1" x14ac:dyDescent="0.35">
      <c r="A10442">
        <v>10441</v>
      </c>
      <c r="B10442" t="s">
        <v>21048</v>
      </c>
      <c r="C10442" t="s">
        <v>33</v>
      </c>
      <c r="D10442" t="s">
        <v>34</v>
      </c>
      <c r="E10442">
        <v>1545</v>
      </c>
      <c r="F10442">
        <v>2</v>
      </c>
      <c r="G10442">
        <v>2</v>
      </c>
      <c r="H10442">
        <v>1</v>
      </c>
      <c r="I10442">
        <v>0</v>
      </c>
      <c r="J10442">
        <v>0.96527777777777801</v>
      </c>
      <c r="K10442">
        <v>1</v>
      </c>
      <c r="L10442">
        <v>0.98233215547703201</v>
      </c>
      <c r="M10442">
        <v>0.95138888888888895</v>
      </c>
      <c r="N10442">
        <v>0.95138888888888895</v>
      </c>
      <c r="O10442">
        <v>0.95138888888888895</v>
      </c>
      <c r="AF10442" t="s">
        <v>21049</v>
      </c>
    </row>
    <row r="10443" spans="1:32" hidden="1" x14ac:dyDescent="0.35">
      <c r="A10443">
        <v>10442</v>
      </c>
      <c r="B10443" t="s">
        <v>21048</v>
      </c>
      <c r="C10443" t="s">
        <v>33</v>
      </c>
      <c r="D10443" t="s">
        <v>45</v>
      </c>
      <c r="E10443">
        <v>295</v>
      </c>
      <c r="F10443">
        <v>2</v>
      </c>
      <c r="G10443">
        <v>2</v>
      </c>
      <c r="H10443">
        <v>1</v>
      </c>
      <c r="I10443">
        <v>0</v>
      </c>
      <c r="J10443">
        <v>0.96527777777777801</v>
      </c>
      <c r="K10443">
        <v>1</v>
      </c>
      <c r="L10443">
        <v>0.98233215547703201</v>
      </c>
      <c r="M10443">
        <v>0.95138888888888895</v>
      </c>
      <c r="N10443">
        <v>0.95138888888888895</v>
      </c>
      <c r="O10443">
        <v>0.95138888888888895</v>
      </c>
      <c r="AF10443" t="s">
        <v>21050</v>
      </c>
    </row>
    <row r="10444" spans="1:32" hidden="1" x14ac:dyDescent="0.35">
      <c r="A10444">
        <v>10443</v>
      </c>
      <c r="B10444" t="s">
        <v>21051</v>
      </c>
      <c r="C10444" t="s">
        <v>33</v>
      </c>
      <c r="D10444" t="s">
        <v>60</v>
      </c>
      <c r="E10444">
        <v>2123</v>
      </c>
      <c r="F10444">
        <v>2</v>
      </c>
      <c r="G10444">
        <v>2</v>
      </c>
      <c r="H10444">
        <v>1</v>
      </c>
      <c r="I10444">
        <v>0</v>
      </c>
      <c r="J10444">
        <v>0.99303135888501703</v>
      </c>
      <c r="K10444">
        <v>1</v>
      </c>
      <c r="L10444">
        <v>0.99650349650349601</v>
      </c>
      <c r="M10444">
        <v>0.99303135888501703</v>
      </c>
      <c r="N10444">
        <v>0.99303135888501703</v>
      </c>
      <c r="O10444">
        <v>0.99303135888501703</v>
      </c>
      <c r="P10444" t="s">
        <v>18956</v>
      </c>
      <c r="Q10444" t="s">
        <v>18957</v>
      </c>
      <c r="R10444" t="s">
        <v>319</v>
      </c>
      <c r="S10444" t="s">
        <v>320</v>
      </c>
      <c r="T10444" t="s">
        <v>21052</v>
      </c>
      <c r="U10444" t="s">
        <v>21053</v>
      </c>
      <c r="V10444" t="s">
        <v>18958</v>
      </c>
      <c r="W10444" t="s">
        <v>18959</v>
      </c>
      <c r="AD10444" t="s">
        <v>219</v>
      </c>
      <c r="AE10444" t="s">
        <v>21054</v>
      </c>
      <c r="AF10444" t="s">
        <v>21055</v>
      </c>
    </row>
    <row r="10445" spans="1:32" hidden="1" x14ac:dyDescent="0.35">
      <c r="A10445">
        <v>10444</v>
      </c>
      <c r="B10445" t="s">
        <v>21051</v>
      </c>
      <c r="C10445" t="s">
        <v>33</v>
      </c>
      <c r="D10445" t="s">
        <v>62</v>
      </c>
      <c r="E10445">
        <v>2157</v>
      </c>
      <c r="F10445">
        <v>2</v>
      </c>
      <c r="G10445">
        <v>2</v>
      </c>
      <c r="H10445">
        <v>1</v>
      </c>
      <c r="I10445">
        <v>0</v>
      </c>
      <c r="J10445">
        <v>0.99303135888501703</v>
      </c>
      <c r="K10445">
        <v>1</v>
      </c>
      <c r="L10445">
        <v>0.99650349650349601</v>
      </c>
      <c r="M10445">
        <v>0.99303135888501703</v>
      </c>
      <c r="N10445">
        <v>0.99303135888501703</v>
      </c>
      <c r="O10445">
        <v>0.99303135888501703</v>
      </c>
      <c r="P10445" t="s">
        <v>18956</v>
      </c>
      <c r="Q10445" t="s">
        <v>18957</v>
      </c>
      <c r="R10445" t="s">
        <v>319</v>
      </c>
      <c r="S10445" t="s">
        <v>320</v>
      </c>
      <c r="T10445" t="s">
        <v>21052</v>
      </c>
      <c r="U10445" t="s">
        <v>21053</v>
      </c>
      <c r="V10445" t="s">
        <v>18958</v>
      </c>
      <c r="W10445" t="s">
        <v>18959</v>
      </c>
      <c r="AD10445" t="s">
        <v>219</v>
      </c>
      <c r="AE10445" t="s">
        <v>21054</v>
      </c>
      <c r="AF10445" t="s">
        <v>21056</v>
      </c>
    </row>
    <row r="10446" spans="1:32" hidden="1" x14ac:dyDescent="0.35">
      <c r="A10446">
        <v>10445</v>
      </c>
      <c r="B10446" t="s">
        <v>21057</v>
      </c>
      <c r="C10446" t="s">
        <v>33</v>
      </c>
      <c r="D10446" t="s">
        <v>60</v>
      </c>
      <c r="E10446">
        <v>439</v>
      </c>
      <c r="F10446">
        <v>2</v>
      </c>
      <c r="G10446">
        <v>2</v>
      </c>
      <c r="H10446">
        <v>1</v>
      </c>
      <c r="I10446">
        <v>0</v>
      </c>
      <c r="J10446">
        <v>0.99765807962529296</v>
      </c>
      <c r="K10446">
        <v>1</v>
      </c>
      <c r="L10446">
        <v>0.99882766705744397</v>
      </c>
      <c r="M10446">
        <v>0.99765807962529296</v>
      </c>
      <c r="N10446">
        <v>0.99765807962529296</v>
      </c>
      <c r="O10446">
        <v>0.99765807962529296</v>
      </c>
      <c r="P10446" t="s">
        <v>19807</v>
      </c>
      <c r="Q10446" t="s">
        <v>19808</v>
      </c>
      <c r="T10446" t="s">
        <v>19809</v>
      </c>
      <c r="U10446" t="s">
        <v>19810</v>
      </c>
      <c r="AD10446" t="s">
        <v>4789</v>
      </c>
      <c r="AE10446" t="s">
        <v>4790</v>
      </c>
      <c r="AF10446" t="s">
        <v>21058</v>
      </c>
    </row>
    <row r="10447" spans="1:32" hidden="1" x14ac:dyDescent="0.35">
      <c r="A10447">
        <v>10446</v>
      </c>
      <c r="B10447" t="s">
        <v>21057</v>
      </c>
      <c r="C10447" t="s">
        <v>33</v>
      </c>
      <c r="D10447" t="s">
        <v>62</v>
      </c>
      <c r="E10447">
        <v>520</v>
      </c>
      <c r="F10447">
        <v>2</v>
      </c>
      <c r="G10447">
        <v>2</v>
      </c>
      <c r="H10447">
        <v>1</v>
      </c>
      <c r="I10447">
        <v>0</v>
      </c>
      <c r="J10447">
        <v>0.99765807962529296</v>
      </c>
      <c r="K10447">
        <v>1</v>
      </c>
      <c r="L10447">
        <v>0.99882766705744397</v>
      </c>
      <c r="M10447">
        <v>0.99765807962529296</v>
      </c>
      <c r="N10447">
        <v>0.99765807962529296</v>
      </c>
      <c r="O10447">
        <v>0.99765807962529296</v>
      </c>
      <c r="P10447" t="s">
        <v>19807</v>
      </c>
      <c r="Q10447" t="s">
        <v>19808</v>
      </c>
      <c r="T10447" t="s">
        <v>19809</v>
      </c>
      <c r="U10447" t="s">
        <v>19810</v>
      </c>
      <c r="AD10447" t="s">
        <v>4789</v>
      </c>
      <c r="AE10447" t="s">
        <v>4790</v>
      </c>
      <c r="AF10447" t="s">
        <v>21059</v>
      </c>
    </row>
    <row r="10448" spans="1:32" hidden="1" x14ac:dyDescent="0.35">
      <c r="A10448">
        <v>10447</v>
      </c>
      <c r="B10448" t="s">
        <v>21060</v>
      </c>
      <c r="C10448" t="s">
        <v>33</v>
      </c>
      <c r="D10448" t="s">
        <v>34</v>
      </c>
      <c r="E10448">
        <v>868</v>
      </c>
      <c r="F10448">
        <v>2</v>
      </c>
      <c r="G10448">
        <v>2</v>
      </c>
      <c r="H10448">
        <v>1</v>
      </c>
      <c r="I10448">
        <v>0</v>
      </c>
      <c r="J10448">
        <v>0.98738738738738696</v>
      </c>
      <c r="K10448">
        <v>1</v>
      </c>
      <c r="L10448">
        <v>0.99365367180416997</v>
      </c>
      <c r="M10448">
        <v>0.98378378378378395</v>
      </c>
      <c r="N10448">
        <v>0.98378378378378395</v>
      </c>
      <c r="O10448">
        <v>0.98378378378378395</v>
      </c>
      <c r="R10448" t="s">
        <v>213</v>
      </c>
      <c r="S10448" t="s">
        <v>214</v>
      </c>
      <c r="T10448" t="s">
        <v>12493</v>
      </c>
      <c r="U10448" t="s">
        <v>12494</v>
      </c>
      <c r="V10448" t="s">
        <v>12495</v>
      </c>
      <c r="W10448" t="s">
        <v>12496</v>
      </c>
      <c r="AD10448" t="s">
        <v>219</v>
      </c>
      <c r="AE10448" t="s">
        <v>12497</v>
      </c>
      <c r="AF10448" t="s">
        <v>21061</v>
      </c>
    </row>
    <row r="10449" spans="1:32" hidden="1" x14ac:dyDescent="0.35">
      <c r="A10449">
        <v>10448</v>
      </c>
      <c r="B10449" t="s">
        <v>21060</v>
      </c>
      <c r="C10449" t="s">
        <v>33</v>
      </c>
      <c r="D10449" t="s">
        <v>45</v>
      </c>
      <c r="E10449">
        <v>2125</v>
      </c>
      <c r="F10449">
        <v>2</v>
      </c>
      <c r="G10449">
        <v>2</v>
      </c>
      <c r="H10449">
        <v>1</v>
      </c>
      <c r="I10449">
        <v>0</v>
      </c>
      <c r="J10449">
        <v>0.98738738738738696</v>
      </c>
      <c r="K10449">
        <v>1</v>
      </c>
      <c r="L10449">
        <v>0.99365367180416997</v>
      </c>
      <c r="M10449">
        <v>0.98378378378378395</v>
      </c>
      <c r="N10449">
        <v>0.98378378378378395</v>
      </c>
      <c r="O10449">
        <v>0.98378378378378395</v>
      </c>
      <c r="R10449" t="s">
        <v>213</v>
      </c>
      <c r="S10449" t="s">
        <v>214</v>
      </c>
      <c r="T10449" t="s">
        <v>12493</v>
      </c>
      <c r="U10449" t="s">
        <v>12494</v>
      </c>
      <c r="V10449" t="s">
        <v>12495</v>
      </c>
      <c r="W10449" t="s">
        <v>12496</v>
      </c>
      <c r="AD10449" t="s">
        <v>219</v>
      </c>
      <c r="AE10449" t="s">
        <v>12497</v>
      </c>
      <c r="AF10449" t="s">
        <v>21062</v>
      </c>
    </row>
    <row r="10450" spans="1:32" hidden="1" x14ac:dyDescent="0.35">
      <c r="A10450">
        <v>10449</v>
      </c>
      <c r="B10450" t="s">
        <v>21063</v>
      </c>
      <c r="C10450" t="s">
        <v>33</v>
      </c>
      <c r="D10450" t="s">
        <v>34</v>
      </c>
      <c r="E10450">
        <v>2479</v>
      </c>
      <c r="F10450">
        <v>2</v>
      </c>
      <c r="G10450">
        <v>2</v>
      </c>
      <c r="H10450">
        <v>1</v>
      </c>
      <c r="I10450">
        <v>0</v>
      </c>
      <c r="J10450">
        <v>0.95442594215600396</v>
      </c>
      <c r="K10450">
        <v>0.96669010749293904</v>
      </c>
      <c r="L10450">
        <v>0.960518878373261</v>
      </c>
      <c r="M10450">
        <v>0.91363251481795105</v>
      </c>
      <c r="N10450">
        <v>0.91363251481795105</v>
      </c>
      <c r="O10450">
        <v>0.91363251481795105</v>
      </c>
      <c r="P10450" t="s">
        <v>21064</v>
      </c>
      <c r="Q10450" t="s">
        <v>21065</v>
      </c>
      <c r="R10450" t="s">
        <v>288</v>
      </c>
      <c r="S10450" t="s">
        <v>289</v>
      </c>
      <c r="V10450" t="s">
        <v>21066</v>
      </c>
      <c r="W10450" t="s">
        <v>18869</v>
      </c>
      <c r="AF10450" t="s">
        <v>21067</v>
      </c>
    </row>
    <row r="10451" spans="1:32" hidden="1" x14ac:dyDescent="0.35">
      <c r="A10451">
        <v>10450</v>
      </c>
      <c r="B10451" t="s">
        <v>21063</v>
      </c>
      <c r="C10451" t="s">
        <v>33</v>
      </c>
      <c r="D10451" t="s">
        <v>45</v>
      </c>
      <c r="E10451">
        <v>421</v>
      </c>
      <c r="F10451">
        <v>2</v>
      </c>
      <c r="G10451">
        <v>2</v>
      </c>
      <c r="H10451">
        <v>1</v>
      </c>
      <c r="I10451">
        <v>0</v>
      </c>
      <c r="J10451">
        <v>0.95442594215600396</v>
      </c>
      <c r="K10451">
        <v>0.96669010749293904</v>
      </c>
      <c r="L10451">
        <v>0.960518878373261</v>
      </c>
      <c r="M10451">
        <v>0.91363251481795105</v>
      </c>
      <c r="N10451">
        <v>0.91363251481795105</v>
      </c>
      <c r="O10451">
        <v>0.91363251481795105</v>
      </c>
      <c r="P10451" t="s">
        <v>21064</v>
      </c>
      <c r="Q10451" t="s">
        <v>21065</v>
      </c>
      <c r="R10451" t="s">
        <v>288</v>
      </c>
      <c r="S10451" t="s">
        <v>289</v>
      </c>
      <c r="V10451" t="s">
        <v>21066</v>
      </c>
      <c r="W10451" t="s">
        <v>18869</v>
      </c>
      <c r="AF10451" t="s">
        <v>21068</v>
      </c>
    </row>
    <row r="10452" spans="1:32" hidden="1" x14ac:dyDescent="0.35">
      <c r="A10452">
        <v>10451</v>
      </c>
      <c r="B10452" t="s">
        <v>21069</v>
      </c>
      <c r="C10452" t="s">
        <v>33</v>
      </c>
      <c r="D10452" t="s">
        <v>60</v>
      </c>
      <c r="E10452">
        <v>2085</v>
      </c>
      <c r="F10452">
        <v>2</v>
      </c>
      <c r="G10452">
        <v>2</v>
      </c>
      <c r="H10452">
        <v>1</v>
      </c>
      <c r="I10452">
        <v>0</v>
      </c>
      <c r="J10452">
        <v>0.99055712936732798</v>
      </c>
      <c r="K10452">
        <v>0.950163753876474</v>
      </c>
      <c r="L10452">
        <v>0.96994007597384901</v>
      </c>
      <c r="M10452">
        <v>0.93817204301075297</v>
      </c>
      <c r="N10452">
        <v>0.93817204301075297</v>
      </c>
      <c r="O10452">
        <v>0.93817204301075297</v>
      </c>
      <c r="AF10452" t="s">
        <v>21070</v>
      </c>
    </row>
    <row r="10453" spans="1:32" hidden="1" x14ac:dyDescent="0.35">
      <c r="A10453">
        <v>10452</v>
      </c>
      <c r="B10453" t="s">
        <v>21069</v>
      </c>
      <c r="C10453" t="s">
        <v>33</v>
      </c>
      <c r="D10453" t="s">
        <v>62</v>
      </c>
      <c r="E10453">
        <v>2120</v>
      </c>
      <c r="F10453">
        <v>2</v>
      </c>
      <c r="G10453">
        <v>2</v>
      </c>
      <c r="H10453">
        <v>1</v>
      </c>
      <c r="I10453">
        <v>0</v>
      </c>
      <c r="J10453">
        <v>0.99055712936732798</v>
      </c>
      <c r="K10453">
        <v>0.950163753876474</v>
      </c>
      <c r="L10453">
        <v>0.96994007597384901</v>
      </c>
      <c r="M10453">
        <v>0.93817204301075297</v>
      </c>
      <c r="N10453">
        <v>0.93817204301075297</v>
      </c>
      <c r="O10453">
        <v>0.93817204301075297</v>
      </c>
      <c r="AF10453" t="s">
        <v>21071</v>
      </c>
    </row>
    <row r="10454" spans="1:32" hidden="1" x14ac:dyDescent="0.35">
      <c r="A10454">
        <v>10453</v>
      </c>
      <c r="B10454" t="s">
        <v>21072</v>
      </c>
      <c r="C10454" t="s">
        <v>33</v>
      </c>
      <c r="D10454" t="s">
        <v>34</v>
      </c>
      <c r="E10454">
        <v>2124</v>
      </c>
      <c r="F10454">
        <v>2</v>
      </c>
      <c r="G10454">
        <v>2</v>
      </c>
      <c r="H10454">
        <v>1</v>
      </c>
      <c r="I10454">
        <v>0</v>
      </c>
      <c r="J10454">
        <v>0.99209486166007899</v>
      </c>
      <c r="K10454">
        <v>1</v>
      </c>
      <c r="L10454">
        <v>0.99603174603174605</v>
      </c>
      <c r="M10454">
        <v>0.99209486166007899</v>
      </c>
      <c r="N10454">
        <v>0.99209486166007899</v>
      </c>
      <c r="O10454">
        <v>0.99209486166007899</v>
      </c>
      <c r="T10454" t="s">
        <v>21073</v>
      </c>
      <c r="U10454" t="s">
        <v>21074</v>
      </c>
      <c r="AD10454" t="s">
        <v>1480</v>
      </c>
      <c r="AE10454" t="s">
        <v>6364</v>
      </c>
      <c r="AF10454" t="s">
        <v>21075</v>
      </c>
    </row>
    <row r="10455" spans="1:32" hidden="1" x14ac:dyDescent="0.35">
      <c r="A10455">
        <v>10454</v>
      </c>
      <c r="B10455" t="s">
        <v>21072</v>
      </c>
      <c r="C10455" t="s">
        <v>33</v>
      </c>
      <c r="D10455" t="s">
        <v>45</v>
      </c>
      <c r="E10455">
        <v>748</v>
      </c>
      <c r="F10455">
        <v>2</v>
      </c>
      <c r="G10455">
        <v>2</v>
      </c>
      <c r="H10455">
        <v>1</v>
      </c>
      <c r="I10455">
        <v>0</v>
      </c>
      <c r="J10455">
        <v>0.99209486166007899</v>
      </c>
      <c r="K10455">
        <v>1</v>
      </c>
      <c r="L10455">
        <v>0.99603174603174605</v>
      </c>
      <c r="M10455">
        <v>0.99209486166007899</v>
      </c>
      <c r="N10455">
        <v>0.99209486166007899</v>
      </c>
      <c r="O10455">
        <v>0.99209486166007899</v>
      </c>
      <c r="T10455" t="s">
        <v>21073</v>
      </c>
      <c r="U10455" t="s">
        <v>21074</v>
      </c>
      <c r="AD10455" t="s">
        <v>1480</v>
      </c>
      <c r="AE10455" t="s">
        <v>6364</v>
      </c>
      <c r="AF10455" t="s">
        <v>21076</v>
      </c>
    </row>
    <row r="10456" spans="1:32" hidden="1" x14ac:dyDescent="0.35">
      <c r="A10456">
        <v>10455</v>
      </c>
      <c r="B10456" t="s">
        <v>21077</v>
      </c>
      <c r="C10456" t="s">
        <v>33</v>
      </c>
      <c r="D10456" t="s">
        <v>60</v>
      </c>
      <c r="E10456">
        <v>160</v>
      </c>
      <c r="F10456">
        <v>2</v>
      </c>
      <c r="G10456">
        <v>2</v>
      </c>
      <c r="H10456">
        <v>1</v>
      </c>
      <c r="I10456">
        <v>0</v>
      </c>
      <c r="J10456">
        <v>0.96190476190476204</v>
      </c>
      <c r="K10456">
        <v>1</v>
      </c>
      <c r="L10456">
        <v>0.980582524271845</v>
      </c>
      <c r="M10456">
        <v>0.952380952380952</v>
      </c>
      <c r="N10456">
        <v>0.952380952380952</v>
      </c>
      <c r="O10456">
        <v>0.952380952380952</v>
      </c>
      <c r="P10456" t="s">
        <v>2163</v>
      </c>
      <c r="Q10456" t="s">
        <v>2164</v>
      </c>
      <c r="R10456" t="s">
        <v>113</v>
      </c>
      <c r="S10456" t="s">
        <v>114</v>
      </c>
      <c r="V10456" t="s">
        <v>2167</v>
      </c>
      <c r="W10456" t="s">
        <v>2168</v>
      </c>
      <c r="AF10456" t="s">
        <v>21078</v>
      </c>
    </row>
    <row r="10457" spans="1:32" hidden="1" x14ac:dyDescent="0.35">
      <c r="A10457">
        <v>10456</v>
      </c>
      <c r="B10457" t="s">
        <v>21077</v>
      </c>
      <c r="C10457" t="s">
        <v>33</v>
      </c>
      <c r="D10457" t="s">
        <v>62</v>
      </c>
      <c r="E10457">
        <v>236</v>
      </c>
      <c r="F10457">
        <v>2</v>
      </c>
      <c r="G10457">
        <v>2</v>
      </c>
      <c r="H10457">
        <v>1</v>
      </c>
      <c r="I10457">
        <v>0</v>
      </c>
      <c r="J10457">
        <v>0.96190476190476204</v>
      </c>
      <c r="K10457">
        <v>1</v>
      </c>
      <c r="L10457">
        <v>0.980582524271845</v>
      </c>
      <c r="M10457">
        <v>0.952380952380952</v>
      </c>
      <c r="N10457">
        <v>0.952380952380952</v>
      </c>
      <c r="O10457">
        <v>0.952380952380952</v>
      </c>
      <c r="P10457" t="s">
        <v>2163</v>
      </c>
      <c r="Q10457" t="s">
        <v>2164</v>
      </c>
      <c r="R10457" t="s">
        <v>113</v>
      </c>
      <c r="S10457" t="s">
        <v>114</v>
      </c>
      <c r="V10457" t="s">
        <v>2167</v>
      </c>
      <c r="W10457" t="s">
        <v>2168</v>
      </c>
      <c r="AF10457" t="s">
        <v>21079</v>
      </c>
    </row>
    <row r="10458" spans="1:32" hidden="1" x14ac:dyDescent="0.35">
      <c r="A10458">
        <v>10457</v>
      </c>
      <c r="B10458" t="s">
        <v>21080</v>
      </c>
      <c r="C10458" t="s">
        <v>33</v>
      </c>
      <c r="D10458" t="s">
        <v>34</v>
      </c>
      <c r="E10458">
        <v>759</v>
      </c>
      <c r="F10458">
        <v>2</v>
      </c>
      <c r="G10458">
        <v>2</v>
      </c>
      <c r="H10458">
        <v>1</v>
      </c>
      <c r="I10458">
        <v>0</v>
      </c>
      <c r="J10458">
        <v>0.98734977862112605</v>
      </c>
      <c r="K10458">
        <v>0.96069495964793805</v>
      </c>
      <c r="L10458">
        <v>0.97384001208683801</v>
      </c>
      <c r="M10458">
        <v>0.93806921675774102</v>
      </c>
      <c r="N10458">
        <v>0.93806921675774102</v>
      </c>
      <c r="O10458">
        <v>0.93806921675774102</v>
      </c>
      <c r="P10458" t="s">
        <v>7906</v>
      </c>
      <c r="Q10458" t="s">
        <v>7907</v>
      </c>
      <c r="R10458" t="s">
        <v>319</v>
      </c>
      <c r="S10458" t="s">
        <v>320</v>
      </c>
      <c r="V10458" t="s">
        <v>9556</v>
      </c>
      <c r="W10458" t="s">
        <v>9557</v>
      </c>
      <c r="AF10458" t="s">
        <v>21081</v>
      </c>
    </row>
    <row r="10459" spans="1:32" hidden="1" x14ac:dyDescent="0.35">
      <c r="A10459">
        <v>10458</v>
      </c>
      <c r="B10459" t="s">
        <v>21080</v>
      </c>
      <c r="C10459" t="s">
        <v>33</v>
      </c>
      <c r="D10459" t="s">
        <v>45</v>
      </c>
      <c r="E10459">
        <v>2025</v>
      </c>
      <c r="F10459">
        <v>2</v>
      </c>
      <c r="G10459">
        <v>2</v>
      </c>
      <c r="H10459">
        <v>1</v>
      </c>
      <c r="I10459">
        <v>0</v>
      </c>
      <c r="J10459">
        <v>0.98734977862112605</v>
      </c>
      <c r="K10459">
        <v>0.96069495964793805</v>
      </c>
      <c r="L10459">
        <v>0.97384001208683801</v>
      </c>
      <c r="M10459">
        <v>0.93806921675774102</v>
      </c>
      <c r="N10459">
        <v>0.93806921675774102</v>
      </c>
      <c r="O10459">
        <v>0.93806921675774102</v>
      </c>
      <c r="P10459" t="s">
        <v>7906</v>
      </c>
      <c r="Q10459" t="s">
        <v>7907</v>
      </c>
      <c r="R10459" t="s">
        <v>319</v>
      </c>
      <c r="S10459" t="s">
        <v>320</v>
      </c>
      <c r="T10459" t="s">
        <v>17359</v>
      </c>
      <c r="U10459" t="s">
        <v>17360</v>
      </c>
      <c r="V10459" t="s">
        <v>9556</v>
      </c>
      <c r="W10459" t="s">
        <v>9557</v>
      </c>
      <c r="AD10459" t="s">
        <v>191</v>
      </c>
      <c r="AE10459" t="s">
        <v>17361</v>
      </c>
      <c r="AF10459" t="s">
        <v>21082</v>
      </c>
    </row>
    <row r="10460" spans="1:32" hidden="1" x14ac:dyDescent="0.35">
      <c r="A10460">
        <v>10459</v>
      </c>
      <c r="B10460" t="s">
        <v>21083</v>
      </c>
      <c r="C10460" t="s">
        <v>33</v>
      </c>
      <c r="D10460" t="s">
        <v>34</v>
      </c>
      <c r="E10460">
        <v>238</v>
      </c>
      <c r="F10460">
        <v>2</v>
      </c>
      <c r="G10460">
        <v>2</v>
      </c>
      <c r="H10460">
        <v>1</v>
      </c>
      <c r="I10460">
        <v>0</v>
      </c>
      <c r="J10460">
        <v>0.99662162162162204</v>
      </c>
      <c r="K10460">
        <v>1</v>
      </c>
      <c r="L10460">
        <v>0.99830795262267302</v>
      </c>
      <c r="M10460">
        <v>0.99662162162162204</v>
      </c>
      <c r="N10460">
        <v>0.99662162162162204</v>
      </c>
      <c r="O10460">
        <v>0.99662162162162204</v>
      </c>
      <c r="P10460" t="s">
        <v>433</v>
      </c>
      <c r="Q10460" t="s">
        <v>434</v>
      </c>
      <c r="R10460" t="s">
        <v>235</v>
      </c>
      <c r="S10460" t="s">
        <v>236</v>
      </c>
      <c r="V10460" t="s">
        <v>437</v>
      </c>
      <c r="W10460" t="s">
        <v>438</v>
      </c>
      <c r="AF10460" t="s">
        <v>21084</v>
      </c>
    </row>
    <row r="10461" spans="1:32" hidden="1" x14ac:dyDescent="0.35">
      <c r="A10461">
        <v>10460</v>
      </c>
      <c r="B10461" t="s">
        <v>21083</v>
      </c>
      <c r="C10461" t="s">
        <v>33</v>
      </c>
      <c r="D10461" t="s">
        <v>45</v>
      </c>
      <c r="E10461">
        <v>1501</v>
      </c>
      <c r="F10461">
        <v>2</v>
      </c>
      <c r="G10461">
        <v>2</v>
      </c>
      <c r="H10461">
        <v>1</v>
      </c>
      <c r="I10461">
        <v>0</v>
      </c>
      <c r="J10461">
        <v>0.99662162162162204</v>
      </c>
      <c r="K10461">
        <v>1</v>
      </c>
      <c r="L10461">
        <v>0.99830795262267302</v>
      </c>
      <c r="M10461">
        <v>0.99662162162162204</v>
      </c>
      <c r="N10461">
        <v>0.99662162162162204</v>
      </c>
      <c r="O10461">
        <v>0.99662162162162204</v>
      </c>
      <c r="P10461" t="s">
        <v>433</v>
      </c>
      <c r="Q10461" t="s">
        <v>434</v>
      </c>
      <c r="R10461" t="s">
        <v>235</v>
      </c>
      <c r="S10461" t="s">
        <v>236</v>
      </c>
      <c r="V10461" t="s">
        <v>437</v>
      </c>
      <c r="W10461" t="s">
        <v>438</v>
      </c>
      <c r="AF10461" t="s">
        <v>21085</v>
      </c>
    </row>
    <row r="10462" spans="1:32" hidden="1" x14ac:dyDescent="0.35">
      <c r="A10462">
        <v>10461</v>
      </c>
      <c r="B10462" t="s">
        <v>21086</v>
      </c>
      <c r="C10462" t="s">
        <v>33</v>
      </c>
      <c r="D10462" t="s">
        <v>60</v>
      </c>
      <c r="E10462">
        <v>1452</v>
      </c>
      <c r="F10462">
        <v>2</v>
      </c>
      <c r="G10462">
        <v>2</v>
      </c>
      <c r="H10462">
        <v>1</v>
      </c>
      <c r="I10462">
        <v>0</v>
      </c>
      <c r="J10462">
        <v>0.99784017278617698</v>
      </c>
      <c r="K10462">
        <v>1</v>
      </c>
      <c r="L10462">
        <v>0.99891891891891904</v>
      </c>
      <c r="M10462">
        <v>0.99784017278617698</v>
      </c>
      <c r="N10462">
        <v>0.99784017278617698</v>
      </c>
      <c r="O10462">
        <v>0.99784017278617698</v>
      </c>
      <c r="P10462" t="s">
        <v>11639</v>
      </c>
      <c r="Q10462" t="s">
        <v>11640</v>
      </c>
      <c r="R10462" t="s">
        <v>1259</v>
      </c>
      <c r="S10462" t="s">
        <v>1260</v>
      </c>
      <c r="T10462" t="s">
        <v>11641</v>
      </c>
      <c r="U10462" t="s">
        <v>407</v>
      </c>
      <c r="V10462" t="s">
        <v>11642</v>
      </c>
      <c r="W10462" t="s">
        <v>11643</v>
      </c>
      <c r="AD10462" t="s">
        <v>410</v>
      </c>
      <c r="AE10462" t="s">
        <v>411</v>
      </c>
      <c r="AF10462" t="s">
        <v>21087</v>
      </c>
    </row>
    <row r="10463" spans="1:32" hidden="1" x14ac:dyDescent="0.35">
      <c r="A10463">
        <v>10462</v>
      </c>
      <c r="B10463" t="s">
        <v>21086</v>
      </c>
      <c r="C10463" t="s">
        <v>33</v>
      </c>
      <c r="D10463" t="s">
        <v>62</v>
      </c>
      <c r="E10463">
        <v>1487</v>
      </c>
      <c r="F10463">
        <v>2</v>
      </c>
      <c r="G10463">
        <v>2</v>
      </c>
      <c r="H10463">
        <v>1</v>
      </c>
      <c r="I10463">
        <v>0</v>
      </c>
      <c r="J10463">
        <v>0.99784017278617698</v>
      </c>
      <c r="K10463">
        <v>1</v>
      </c>
      <c r="L10463">
        <v>0.99891891891891904</v>
      </c>
      <c r="M10463">
        <v>0.99784017278617698</v>
      </c>
      <c r="N10463">
        <v>0.99784017278617698</v>
      </c>
      <c r="O10463">
        <v>0.99784017278617698</v>
      </c>
      <c r="P10463" t="s">
        <v>11639</v>
      </c>
      <c r="Q10463" t="s">
        <v>11640</v>
      </c>
      <c r="R10463" t="s">
        <v>1259</v>
      </c>
      <c r="S10463" t="s">
        <v>1260</v>
      </c>
      <c r="T10463" t="s">
        <v>11641</v>
      </c>
      <c r="U10463" t="s">
        <v>407</v>
      </c>
      <c r="V10463" t="s">
        <v>11642</v>
      </c>
      <c r="W10463" t="s">
        <v>11643</v>
      </c>
      <c r="AD10463" t="s">
        <v>410</v>
      </c>
      <c r="AE10463" t="s">
        <v>411</v>
      </c>
      <c r="AF10463" t="s">
        <v>21088</v>
      </c>
    </row>
    <row r="10464" spans="1:32" hidden="1" x14ac:dyDescent="0.35">
      <c r="A10464">
        <v>10463</v>
      </c>
      <c r="B10464" t="s">
        <v>21089</v>
      </c>
      <c r="C10464" t="s">
        <v>33</v>
      </c>
      <c r="D10464" t="s">
        <v>34</v>
      </c>
      <c r="E10464">
        <v>974</v>
      </c>
      <c r="F10464">
        <v>2</v>
      </c>
      <c r="G10464">
        <v>2</v>
      </c>
      <c r="H10464">
        <v>1</v>
      </c>
      <c r="I10464">
        <v>0</v>
      </c>
      <c r="J10464">
        <v>0.94524959742351</v>
      </c>
      <c r="K10464">
        <v>0.99519230769230704</v>
      </c>
      <c r="L10464">
        <v>0.96957824475449095</v>
      </c>
      <c r="M10464">
        <v>0.92788461538461497</v>
      </c>
      <c r="N10464">
        <v>0.92788461538461497</v>
      </c>
      <c r="O10464">
        <v>0.92788461538461497</v>
      </c>
      <c r="P10464" t="s">
        <v>15685</v>
      </c>
      <c r="Q10464" t="s">
        <v>15686</v>
      </c>
      <c r="R10464" t="s">
        <v>11664</v>
      </c>
      <c r="S10464" t="s">
        <v>11665</v>
      </c>
      <c r="V10464" t="s">
        <v>21090</v>
      </c>
      <c r="W10464" t="s">
        <v>21091</v>
      </c>
      <c r="AF10464" t="s">
        <v>21092</v>
      </c>
    </row>
    <row r="10465" spans="1:32" hidden="1" x14ac:dyDescent="0.35">
      <c r="A10465">
        <v>10464</v>
      </c>
      <c r="B10465" t="s">
        <v>21089</v>
      </c>
      <c r="C10465" t="s">
        <v>33</v>
      </c>
      <c r="D10465" t="s">
        <v>45</v>
      </c>
      <c r="E10465">
        <v>2228</v>
      </c>
      <c r="F10465">
        <v>2</v>
      </c>
      <c r="G10465">
        <v>2</v>
      </c>
      <c r="H10465">
        <v>1</v>
      </c>
      <c r="I10465">
        <v>0</v>
      </c>
      <c r="J10465">
        <v>0.94524959742351</v>
      </c>
      <c r="K10465">
        <v>0.99519230769230704</v>
      </c>
      <c r="L10465">
        <v>0.96957824475449095</v>
      </c>
      <c r="M10465">
        <v>0.92788461538461497</v>
      </c>
      <c r="N10465">
        <v>0.92788461538461497</v>
      </c>
      <c r="O10465">
        <v>0.92788461538461497</v>
      </c>
      <c r="P10465" t="s">
        <v>15685</v>
      </c>
      <c r="Q10465" t="s">
        <v>15686</v>
      </c>
      <c r="R10465" t="s">
        <v>11664</v>
      </c>
      <c r="S10465" t="s">
        <v>11665</v>
      </c>
      <c r="V10465" t="s">
        <v>21090</v>
      </c>
      <c r="W10465" t="s">
        <v>21091</v>
      </c>
      <c r="AF10465" t="s">
        <v>21093</v>
      </c>
    </row>
    <row r="10466" spans="1:32" hidden="1" x14ac:dyDescent="0.35">
      <c r="A10466">
        <v>10465</v>
      </c>
      <c r="B10466" t="s">
        <v>21094</v>
      </c>
      <c r="C10466" t="s">
        <v>33</v>
      </c>
      <c r="D10466" t="s">
        <v>60</v>
      </c>
      <c r="E10466">
        <v>1100</v>
      </c>
      <c r="F10466">
        <v>2</v>
      </c>
      <c r="G10466">
        <v>2</v>
      </c>
      <c r="H10466">
        <v>1</v>
      </c>
      <c r="I10466">
        <v>0</v>
      </c>
      <c r="J10466">
        <v>0.98953301127214199</v>
      </c>
      <c r="K10466">
        <v>1</v>
      </c>
      <c r="L10466">
        <v>0.99473897207608297</v>
      </c>
      <c r="M10466">
        <v>0.98792270531401005</v>
      </c>
      <c r="N10466">
        <v>0.98792270531401005</v>
      </c>
      <c r="O10466">
        <v>0.98792270531401005</v>
      </c>
      <c r="P10466" t="s">
        <v>5382</v>
      </c>
      <c r="Q10466" t="s">
        <v>5383</v>
      </c>
      <c r="R10466" t="s">
        <v>869</v>
      </c>
      <c r="S10466" t="s">
        <v>870</v>
      </c>
      <c r="T10466" t="s">
        <v>5384</v>
      </c>
      <c r="U10466" t="s">
        <v>5385</v>
      </c>
      <c r="V10466" t="s">
        <v>5386</v>
      </c>
      <c r="W10466" t="s">
        <v>5387</v>
      </c>
      <c r="X10466" t="s">
        <v>5386</v>
      </c>
      <c r="Y10466" t="s">
        <v>2116</v>
      </c>
      <c r="Z10466" t="s">
        <v>5388</v>
      </c>
      <c r="AA10466" t="s">
        <v>5389</v>
      </c>
      <c r="AB10466" t="s">
        <v>5388</v>
      </c>
      <c r="AC10466" t="s">
        <v>1094</v>
      </c>
      <c r="AD10466" t="s">
        <v>219</v>
      </c>
      <c r="AE10466" t="s">
        <v>5390</v>
      </c>
      <c r="AF10466" t="s">
        <v>21095</v>
      </c>
    </row>
    <row r="10467" spans="1:32" hidden="1" x14ac:dyDescent="0.35">
      <c r="A10467">
        <v>10466</v>
      </c>
      <c r="B10467" t="s">
        <v>21094</v>
      </c>
      <c r="C10467" t="s">
        <v>33</v>
      </c>
      <c r="D10467" t="s">
        <v>62</v>
      </c>
      <c r="E10467">
        <v>1136</v>
      </c>
      <c r="F10467">
        <v>2</v>
      </c>
      <c r="G10467">
        <v>2</v>
      </c>
      <c r="H10467">
        <v>1</v>
      </c>
      <c r="I10467">
        <v>0</v>
      </c>
      <c r="J10467">
        <v>0.98953301127214199</v>
      </c>
      <c r="K10467">
        <v>1</v>
      </c>
      <c r="L10467">
        <v>0.99473897207608297</v>
      </c>
      <c r="M10467">
        <v>0.98792270531401005</v>
      </c>
      <c r="N10467">
        <v>0.98792270531401005</v>
      </c>
      <c r="O10467">
        <v>0.98792270531401005</v>
      </c>
      <c r="P10467" t="s">
        <v>5382</v>
      </c>
      <c r="Q10467" t="s">
        <v>5383</v>
      </c>
      <c r="R10467" t="s">
        <v>869</v>
      </c>
      <c r="S10467" t="s">
        <v>870</v>
      </c>
      <c r="T10467" t="s">
        <v>5384</v>
      </c>
      <c r="U10467" t="s">
        <v>5385</v>
      </c>
      <c r="V10467" t="s">
        <v>5386</v>
      </c>
      <c r="W10467" t="s">
        <v>5387</v>
      </c>
      <c r="X10467" t="s">
        <v>5386</v>
      </c>
      <c r="Y10467" t="s">
        <v>2116</v>
      </c>
      <c r="Z10467" t="s">
        <v>5388</v>
      </c>
      <c r="AA10467" t="s">
        <v>5389</v>
      </c>
      <c r="AB10467" t="s">
        <v>5388</v>
      </c>
      <c r="AC10467" t="s">
        <v>1094</v>
      </c>
      <c r="AD10467" t="s">
        <v>219</v>
      </c>
      <c r="AE10467" t="s">
        <v>5390</v>
      </c>
      <c r="AF10467" t="s">
        <v>21096</v>
      </c>
    </row>
    <row r="10468" spans="1:32" hidden="1" x14ac:dyDescent="0.35">
      <c r="A10468">
        <v>10467</v>
      </c>
      <c r="B10468" t="s">
        <v>21097</v>
      </c>
      <c r="C10468" t="s">
        <v>33</v>
      </c>
      <c r="D10468" t="s">
        <v>34</v>
      </c>
      <c r="E10468">
        <v>2381</v>
      </c>
      <c r="F10468">
        <v>2</v>
      </c>
      <c r="G10468">
        <v>2</v>
      </c>
      <c r="H10468">
        <v>1</v>
      </c>
      <c r="I10468">
        <v>0</v>
      </c>
      <c r="J10468">
        <v>0.99449035812672204</v>
      </c>
      <c r="K10468">
        <v>1</v>
      </c>
      <c r="L10468">
        <v>0.99723756906077299</v>
      </c>
      <c r="M10468">
        <v>0.99173553719008301</v>
      </c>
      <c r="N10468">
        <v>0.99173553719008301</v>
      </c>
      <c r="O10468">
        <v>0.99173553719008301</v>
      </c>
      <c r="AF10468" t="s">
        <v>21098</v>
      </c>
    </row>
    <row r="10469" spans="1:32" hidden="1" x14ac:dyDescent="0.35">
      <c r="A10469">
        <v>10468</v>
      </c>
      <c r="B10469" t="s">
        <v>21097</v>
      </c>
      <c r="C10469" t="s">
        <v>33</v>
      </c>
      <c r="D10469" t="s">
        <v>45</v>
      </c>
      <c r="E10469">
        <v>497</v>
      </c>
      <c r="F10469">
        <v>2</v>
      </c>
      <c r="G10469">
        <v>2</v>
      </c>
      <c r="H10469">
        <v>1</v>
      </c>
      <c r="I10469">
        <v>0</v>
      </c>
      <c r="J10469">
        <v>0.99449035812672204</v>
      </c>
      <c r="K10469">
        <v>1</v>
      </c>
      <c r="L10469">
        <v>0.99723756906077299</v>
      </c>
      <c r="M10469">
        <v>0.99173553719008301</v>
      </c>
      <c r="N10469">
        <v>0.99173553719008301</v>
      </c>
      <c r="O10469">
        <v>0.99173553719008301</v>
      </c>
      <c r="AF10469" t="s">
        <v>21099</v>
      </c>
    </row>
    <row r="10470" spans="1:32" hidden="1" x14ac:dyDescent="0.35">
      <c r="A10470">
        <v>10469</v>
      </c>
      <c r="B10470" t="s">
        <v>21100</v>
      </c>
      <c r="C10470" t="s">
        <v>33</v>
      </c>
      <c r="D10470" t="s">
        <v>34</v>
      </c>
      <c r="E10470">
        <v>1654</v>
      </c>
      <c r="F10470">
        <v>2</v>
      </c>
      <c r="G10470">
        <v>2</v>
      </c>
      <c r="H10470">
        <v>1</v>
      </c>
      <c r="I10470">
        <v>0</v>
      </c>
      <c r="J10470">
        <v>0.99509803921568596</v>
      </c>
      <c r="K10470">
        <v>1</v>
      </c>
      <c r="L10470">
        <v>0.99754299754299802</v>
      </c>
      <c r="M10470">
        <v>0.99264705882352899</v>
      </c>
      <c r="N10470">
        <v>0.99264705882352899</v>
      </c>
      <c r="O10470">
        <v>0.99264705882352899</v>
      </c>
      <c r="P10470" t="s">
        <v>17658</v>
      </c>
      <c r="Q10470" t="s">
        <v>17659</v>
      </c>
      <c r="AF10470" t="s">
        <v>21101</v>
      </c>
    </row>
    <row r="10471" spans="1:32" hidden="1" x14ac:dyDescent="0.35">
      <c r="A10471">
        <v>10470</v>
      </c>
      <c r="B10471" t="s">
        <v>21100</v>
      </c>
      <c r="C10471" t="s">
        <v>33</v>
      </c>
      <c r="D10471" t="s">
        <v>45</v>
      </c>
      <c r="E10471">
        <v>1223</v>
      </c>
      <c r="F10471">
        <v>2</v>
      </c>
      <c r="G10471">
        <v>2</v>
      </c>
      <c r="H10471">
        <v>1</v>
      </c>
      <c r="I10471">
        <v>0</v>
      </c>
      <c r="J10471">
        <v>0.99509803921568596</v>
      </c>
      <c r="K10471">
        <v>1</v>
      </c>
      <c r="L10471">
        <v>0.99754299754299802</v>
      </c>
      <c r="M10471">
        <v>0.99264705882352899</v>
      </c>
      <c r="N10471">
        <v>0.99264705882352899</v>
      </c>
      <c r="O10471">
        <v>0.99264705882352899</v>
      </c>
      <c r="P10471" t="s">
        <v>17658</v>
      </c>
      <c r="Q10471" t="s">
        <v>17659</v>
      </c>
      <c r="AF10471" t="s">
        <v>21102</v>
      </c>
    </row>
    <row r="10472" spans="1:32" hidden="1" x14ac:dyDescent="0.35">
      <c r="A10472">
        <v>10471</v>
      </c>
      <c r="B10472" t="s">
        <v>21103</v>
      </c>
      <c r="C10472" t="s">
        <v>33</v>
      </c>
      <c r="D10472" t="s">
        <v>34</v>
      </c>
      <c r="E10472">
        <v>1697</v>
      </c>
      <c r="F10472">
        <v>2</v>
      </c>
      <c r="G10472">
        <v>2</v>
      </c>
      <c r="H10472">
        <v>1</v>
      </c>
      <c r="I10472">
        <v>0</v>
      </c>
      <c r="J10472">
        <v>0.99453551912568305</v>
      </c>
      <c r="K10472">
        <v>1</v>
      </c>
      <c r="L10472">
        <v>0.99726027397260297</v>
      </c>
      <c r="M10472">
        <v>0.99453551912568305</v>
      </c>
      <c r="N10472">
        <v>0.99453551912568305</v>
      </c>
      <c r="O10472">
        <v>0.99453551912568305</v>
      </c>
      <c r="P10472" t="s">
        <v>13459</v>
      </c>
      <c r="Q10472" t="s">
        <v>13460</v>
      </c>
      <c r="R10472" t="s">
        <v>288</v>
      </c>
      <c r="S10472" t="s">
        <v>289</v>
      </c>
      <c r="T10472" t="s">
        <v>13461</v>
      </c>
      <c r="U10472" t="s">
        <v>13462</v>
      </c>
      <c r="V10472" t="s">
        <v>13463</v>
      </c>
      <c r="W10472" t="s">
        <v>13464</v>
      </c>
      <c r="AD10472" t="s">
        <v>410</v>
      </c>
      <c r="AE10472" t="s">
        <v>603</v>
      </c>
      <c r="AF10472" t="s">
        <v>21104</v>
      </c>
    </row>
    <row r="10473" spans="1:32" hidden="1" x14ac:dyDescent="0.35">
      <c r="A10473">
        <v>10472</v>
      </c>
      <c r="B10473" t="s">
        <v>21103</v>
      </c>
      <c r="C10473" t="s">
        <v>33</v>
      </c>
      <c r="D10473" t="s">
        <v>45</v>
      </c>
      <c r="E10473">
        <v>1178</v>
      </c>
      <c r="F10473">
        <v>2</v>
      </c>
      <c r="G10473">
        <v>2</v>
      </c>
      <c r="H10473">
        <v>1</v>
      </c>
      <c r="I10473">
        <v>0</v>
      </c>
      <c r="J10473">
        <v>0.99453551912568305</v>
      </c>
      <c r="K10473">
        <v>1</v>
      </c>
      <c r="L10473">
        <v>0.99726027397260297</v>
      </c>
      <c r="M10473">
        <v>0.99453551912568305</v>
      </c>
      <c r="N10473">
        <v>0.99453551912568305</v>
      </c>
      <c r="O10473">
        <v>0.99453551912568305</v>
      </c>
      <c r="P10473" t="s">
        <v>13459</v>
      </c>
      <c r="Q10473" t="s">
        <v>13460</v>
      </c>
      <c r="R10473" t="s">
        <v>288</v>
      </c>
      <c r="S10473" t="s">
        <v>289</v>
      </c>
      <c r="T10473" t="s">
        <v>13461</v>
      </c>
      <c r="U10473" t="s">
        <v>13462</v>
      </c>
      <c r="V10473" t="s">
        <v>13463</v>
      </c>
      <c r="W10473" t="s">
        <v>13464</v>
      </c>
      <c r="AD10473" t="s">
        <v>410</v>
      </c>
      <c r="AE10473" t="s">
        <v>603</v>
      </c>
      <c r="AF10473" t="s">
        <v>21105</v>
      </c>
    </row>
    <row r="10474" spans="1:32" hidden="1" x14ac:dyDescent="0.35">
      <c r="A10474">
        <v>10473</v>
      </c>
      <c r="B10474" t="s">
        <v>21106</v>
      </c>
      <c r="C10474" t="s">
        <v>33</v>
      </c>
      <c r="D10474" t="s">
        <v>34</v>
      </c>
      <c r="E10474">
        <v>2485</v>
      </c>
      <c r="F10474">
        <v>2</v>
      </c>
      <c r="G10474">
        <v>2</v>
      </c>
      <c r="H10474">
        <v>1</v>
      </c>
      <c r="I10474">
        <v>0</v>
      </c>
      <c r="J10474">
        <v>0.95920398009950203</v>
      </c>
      <c r="K10474">
        <v>1</v>
      </c>
      <c r="L10474">
        <v>0.97917724733367195</v>
      </c>
      <c r="M10474">
        <v>0.95522388059701502</v>
      </c>
      <c r="N10474">
        <v>0.95522388059701502</v>
      </c>
      <c r="O10474">
        <v>0.95522388059701502</v>
      </c>
      <c r="AF10474" t="s">
        <v>21107</v>
      </c>
    </row>
    <row r="10475" spans="1:32" hidden="1" x14ac:dyDescent="0.35">
      <c r="A10475">
        <v>10474</v>
      </c>
      <c r="B10475" t="s">
        <v>21106</v>
      </c>
      <c r="C10475" t="s">
        <v>33</v>
      </c>
      <c r="D10475" t="s">
        <v>45</v>
      </c>
      <c r="E10475">
        <v>415</v>
      </c>
      <c r="F10475">
        <v>2</v>
      </c>
      <c r="G10475">
        <v>2</v>
      </c>
      <c r="H10475">
        <v>1</v>
      </c>
      <c r="I10475">
        <v>0</v>
      </c>
      <c r="J10475">
        <v>0.95920398009950203</v>
      </c>
      <c r="K10475">
        <v>1</v>
      </c>
      <c r="L10475">
        <v>0.97917724733367195</v>
      </c>
      <c r="M10475">
        <v>0.95522388059701502</v>
      </c>
      <c r="N10475">
        <v>0.95522388059701502</v>
      </c>
      <c r="O10475">
        <v>0.95522388059701502</v>
      </c>
      <c r="AF10475" t="s">
        <v>21108</v>
      </c>
    </row>
    <row r="10476" spans="1:32" hidden="1" x14ac:dyDescent="0.35">
      <c r="A10476">
        <v>10475</v>
      </c>
      <c r="B10476" t="s">
        <v>21109</v>
      </c>
      <c r="C10476" t="s">
        <v>33</v>
      </c>
      <c r="D10476" t="s">
        <v>34</v>
      </c>
      <c r="E10476">
        <v>1336</v>
      </c>
      <c r="F10476">
        <v>2</v>
      </c>
      <c r="G10476">
        <v>2</v>
      </c>
      <c r="H10476">
        <v>1</v>
      </c>
      <c r="I10476">
        <v>0</v>
      </c>
      <c r="J10476">
        <v>0.98292108362779695</v>
      </c>
      <c r="K10476">
        <v>1</v>
      </c>
      <c r="L10476">
        <v>0.99138699138699105</v>
      </c>
      <c r="M10476">
        <v>0.97879858657243801</v>
      </c>
      <c r="N10476">
        <v>0.97879858657243801</v>
      </c>
      <c r="O10476">
        <v>0.97879858657243801</v>
      </c>
      <c r="P10476" t="s">
        <v>20660</v>
      </c>
      <c r="Q10476" t="s">
        <v>20661</v>
      </c>
      <c r="R10476" t="s">
        <v>869</v>
      </c>
      <c r="S10476" t="s">
        <v>870</v>
      </c>
      <c r="T10476" t="s">
        <v>20662</v>
      </c>
      <c r="U10476" t="s">
        <v>20663</v>
      </c>
      <c r="V10476" t="s">
        <v>7964</v>
      </c>
      <c r="W10476" t="s">
        <v>7965</v>
      </c>
      <c r="X10476" t="s">
        <v>7964</v>
      </c>
      <c r="Y10476" t="s">
        <v>2190</v>
      </c>
      <c r="AD10476" t="s">
        <v>14008</v>
      </c>
      <c r="AE10476" t="s">
        <v>17808</v>
      </c>
      <c r="AF10476" t="s">
        <v>21110</v>
      </c>
    </row>
    <row r="10477" spans="1:32" hidden="1" x14ac:dyDescent="0.35">
      <c r="A10477">
        <v>10476</v>
      </c>
      <c r="B10477" t="s">
        <v>21109</v>
      </c>
      <c r="C10477" t="s">
        <v>33</v>
      </c>
      <c r="D10477" t="s">
        <v>45</v>
      </c>
      <c r="E10477">
        <v>87</v>
      </c>
      <c r="F10477">
        <v>2</v>
      </c>
      <c r="G10477">
        <v>2</v>
      </c>
      <c r="H10477">
        <v>1</v>
      </c>
      <c r="I10477">
        <v>0</v>
      </c>
      <c r="J10477">
        <v>0.98292108362779695</v>
      </c>
      <c r="K10477">
        <v>1</v>
      </c>
      <c r="L10477">
        <v>0.99138699138699105</v>
      </c>
      <c r="M10477">
        <v>0.97879858657243801</v>
      </c>
      <c r="N10477">
        <v>0.97879858657243801</v>
      </c>
      <c r="O10477">
        <v>0.97879858657243801</v>
      </c>
      <c r="P10477" t="s">
        <v>20660</v>
      </c>
      <c r="Q10477" t="s">
        <v>20661</v>
      </c>
      <c r="R10477" t="s">
        <v>869</v>
      </c>
      <c r="S10477" t="s">
        <v>870</v>
      </c>
      <c r="T10477" t="s">
        <v>20662</v>
      </c>
      <c r="U10477" t="s">
        <v>20663</v>
      </c>
      <c r="V10477" t="s">
        <v>7964</v>
      </c>
      <c r="W10477" t="s">
        <v>7965</v>
      </c>
      <c r="X10477" t="s">
        <v>7964</v>
      </c>
      <c r="Y10477" t="s">
        <v>2190</v>
      </c>
      <c r="AD10477" t="s">
        <v>14008</v>
      </c>
      <c r="AE10477" t="s">
        <v>17808</v>
      </c>
      <c r="AF10477" t="s">
        <v>21111</v>
      </c>
    </row>
    <row r="10478" spans="1:32" hidden="1" x14ac:dyDescent="0.35">
      <c r="A10478">
        <v>10477</v>
      </c>
      <c r="B10478" t="s">
        <v>21112</v>
      </c>
      <c r="C10478" t="s">
        <v>33</v>
      </c>
      <c r="D10478" t="s">
        <v>60</v>
      </c>
      <c r="E10478">
        <v>1069</v>
      </c>
      <c r="F10478">
        <v>2</v>
      </c>
      <c r="G10478">
        <v>2</v>
      </c>
      <c r="H10478">
        <v>1</v>
      </c>
      <c r="I10478">
        <v>0</v>
      </c>
      <c r="J10478">
        <v>0.98459642637091804</v>
      </c>
      <c r="K10478">
        <v>0.99815498154981297</v>
      </c>
      <c r="L10478">
        <v>0.99132934554704999</v>
      </c>
      <c r="M10478">
        <v>0.97785977859778594</v>
      </c>
      <c r="N10478">
        <v>0.97785977859778594</v>
      </c>
      <c r="O10478">
        <v>0.97785977859778594</v>
      </c>
      <c r="AF10478" t="s">
        <v>21113</v>
      </c>
    </row>
    <row r="10479" spans="1:32" hidden="1" x14ac:dyDescent="0.35">
      <c r="A10479">
        <v>10478</v>
      </c>
      <c r="B10479" t="s">
        <v>21112</v>
      </c>
      <c r="C10479" t="s">
        <v>33</v>
      </c>
      <c r="D10479" t="s">
        <v>62</v>
      </c>
      <c r="E10479">
        <v>1105</v>
      </c>
      <c r="F10479">
        <v>2</v>
      </c>
      <c r="G10479">
        <v>2</v>
      </c>
      <c r="H10479">
        <v>1</v>
      </c>
      <c r="I10479">
        <v>0</v>
      </c>
      <c r="J10479">
        <v>0.98459642637091804</v>
      </c>
      <c r="K10479">
        <v>0.99815498154981297</v>
      </c>
      <c r="L10479">
        <v>0.99132934554704999</v>
      </c>
      <c r="M10479">
        <v>0.97785977859778594</v>
      </c>
      <c r="N10479">
        <v>0.97785977859778594</v>
      </c>
      <c r="O10479">
        <v>0.97785977859778594</v>
      </c>
      <c r="AF10479" t="s">
        <v>21114</v>
      </c>
    </row>
    <row r="10480" spans="1:32" hidden="1" x14ac:dyDescent="0.35">
      <c r="A10480">
        <v>10479</v>
      </c>
      <c r="B10480" t="s">
        <v>21115</v>
      </c>
      <c r="C10480" t="s">
        <v>33</v>
      </c>
      <c r="D10480" t="s">
        <v>34</v>
      </c>
      <c r="E10480">
        <v>2072</v>
      </c>
      <c r="F10480">
        <v>2</v>
      </c>
      <c r="G10480">
        <v>2</v>
      </c>
      <c r="H10480">
        <v>1</v>
      </c>
      <c r="I10480">
        <v>0</v>
      </c>
      <c r="J10480">
        <v>0.99319727891156495</v>
      </c>
      <c r="K10480">
        <v>1</v>
      </c>
      <c r="L10480">
        <v>0.99658703071672305</v>
      </c>
      <c r="M10480">
        <v>0.98866213151927396</v>
      </c>
      <c r="N10480">
        <v>0.98866213151927396</v>
      </c>
      <c r="O10480">
        <v>0.98866213151927396</v>
      </c>
      <c r="P10480" t="s">
        <v>4358</v>
      </c>
      <c r="Q10480" t="s">
        <v>4359</v>
      </c>
      <c r="R10480" t="s">
        <v>319</v>
      </c>
      <c r="S10480" t="s">
        <v>320</v>
      </c>
      <c r="V10480" t="s">
        <v>4360</v>
      </c>
      <c r="W10480" t="s">
        <v>4361</v>
      </c>
      <c r="AF10480" t="s">
        <v>21116</v>
      </c>
    </row>
    <row r="10481" spans="1:32" hidden="1" x14ac:dyDescent="0.35">
      <c r="A10481">
        <v>10480</v>
      </c>
      <c r="B10481" t="s">
        <v>21115</v>
      </c>
      <c r="C10481" t="s">
        <v>33</v>
      </c>
      <c r="D10481" t="s">
        <v>45</v>
      </c>
      <c r="E10481">
        <v>800</v>
      </c>
      <c r="F10481">
        <v>2</v>
      </c>
      <c r="G10481">
        <v>2</v>
      </c>
      <c r="H10481">
        <v>1</v>
      </c>
      <c r="I10481">
        <v>0</v>
      </c>
      <c r="J10481">
        <v>0.99319727891156495</v>
      </c>
      <c r="K10481">
        <v>1</v>
      </c>
      <c r="L10481">
        <v>0.99658703071672305</v>
      </c>
      <c r="M10481">
        <v>0.98866213151927396</v>
      </c>
      <c r="N10481">
        <v>0.98866213151927396</v>
      </c>
      <c r="O10481">
        <v>0.98866213151927396</v>
      </c>
      <c r="P10481" t="s">
        <v>4358</v>
      </c>
      <c r="Q10481" t="s">
        <v>4359</v>
      </c>
      <c r="R10481" t="s">
        <v>319</v>
      </c>
      <c r="S10481" t="s">
        <v>320</v>
      </c>
      <c r="V10481" t="s">
        <v>4360</v>
      </c>
      <c r="W10481" t="s">
        <v>4361</v>
      </c>
      <c r="AF10481" t="s">
        <v>21117</v>
      </c>
    </row>
    <row r="10482" spans="1:32" hidden="1" x14ac:dyDescent="0.35">
      <c r="A10482">
        <v>10481</v>
      </c>
      <c r="B10482" t="s">
        <v>21118</v>
      </c>
      <c r="C10482" t="s">
        <v>33</v>
      </c>
      <c r="D10482" t="s">
        <v>34</v>
      </c>
      <c r="E10482">
        <v>560</v>
      </c>
      <c r="F10482">
        <v>2</v>
      </c>
      <c r="G10482">
        <v>2</v>
      </c>
      <c r="H10482">
        <v>1</v>
      </c>
      <c r="I10482">
        <v>0</v>
      </c>
      <c r="J10482">
        <v>0.98745519713261698</v>
      </c>
      <c r="K10482">
        <v>1</v>
      </c>
      <c r="L10482">
        <v>0.99368800721370598</v>
      </c>
      <c r="M10482">
        <v>0.98387096774193505</v>
      </c>
      <c r="N10482">
        <v>0.98387096774193505</v>
      </c>
      <c r="O10482">
        <v>0.98387096774193505</v>
      </c>
      <c r="P10482" t="s">
        <v>21119</v>
      </c>
      <c r="Q10482" t="s">
        <v>21120</v>
      </c>
      <c r="AF10482" t="s">
        <v>21121</v>
      </c>
    </row>
    <row r="10483" spans="1:32" hidden="1" x14ac:dyDescent="0.35">
      <c r="A10483">
        <v>10482</v>
      </c>
      <c r="B10483" t="s">
        <v>21118</v>
      </c>
      <c r="C10483" t="s">
        <v>33</v>
      </c>
      <c r="D10483" t="s">
        <v>45</v>
      </c>
      <c r="E10483">
        <v>1826</v>
      </c>
      <c r="F10483">
        <v>2</v>
      </c>
      <c r="G10483">
        <v>2</v>
      </c>
      <c r="H10483">
        <v>1</v>
      </c>
      <c r="I10483">
        <v>0</v>
      </c>
      <c r="J10483">
        <v>0.98745519713261698</v>
      </c>
      <c r="K10483">
        <v>1</v>
      </c>
      <c r="L10483">
        <v>0.99368800721370598</v>
      </c>
      <c r="M10483">
        <v>0.98387096774193505</v>
      </c>
      <c r="N10483">
        <v>0.98387096774193505</v>
      </c>
      <c r="O10483">
        <v>0.98387096774193505</v>
      </c>
      <c r="P10483" t="s">
        <v>21119</v>
      </c>
      <c r="Q10483" t="s">
        <v>21120</v>
      </c>
      <c r="AF10483" t="s">
        <v>21122</v>
      </c>
    </row>
    <row r="10484" spans="1:32" hidden="1" x14ac:dyDescent="0.35">
      <c r="A10484">
        <v>10483</v>
      </c>
      <c r="B10484" t="s">
        <v>21123</v>
      </c>
      <c r="C10484" t="s">
        <v>33</v>
      </c>
      <c r="D10484" t="s">
        <v>34</v>
      </c>
      <c r="E10484">
        <v>1364</v>
      </c>
      <c r="F10484">
        <v>2</v>
      </c>
      <c r="G10484">
        <v>2</v>
      </c>
      <c r="H10484">
        <v>1</v>
      </c>
      <c r="I10484">
        <v>0</v>
      </c>
      <c r="J10484">
        <v>0.99122807017543901</v>
      </c>
      <c r="K10484">
        <v>1</v>
      </c>
      <c r="L10484">
        <v>0.99559471365638796</v>
      </c>
      <c r="M10484">
        <v>0.98421052631578898</v>
      </c>
      <c r="N10484">
        <v>0.98421052631578898</v>
      </c>
      <c r="O10484">
        <v>0.98421052631578898</v>
      </c>
      <c r="AF10484" t="s">
        <v>21124</v>
      </c>
    </row>
    <row r="10485" spans="1:32" hidden="1" x14ac:dyDescent="0.35">
      <c r="A10485">
        <v>10484</v>
      </c>
      <c r="B10485" t="s">
        <v>21123</v>
      </c>
      <c r="C10485" t="s">
        <v>33</v>
      </c>
      <c r="D10485" t="s">
        <v>45</v>
      </c>
      <c r="E10485">
        <v>113</v>
      </c>
      <c r="F10485">
        <v>2</v>
      </c>
      <c r="G10485">
        <v>2</v>
      </c>
      <c r="H10485">
        <v>1</v>
      </c>
      <c r="I10485">
        <v>0</v>
      </c>
      <c r="J10485">
        <v>0.99122807017543901</v>
      </c>
      <c r="K10485">
        <v>1</v>
      </c>
      <c r="L10485">
        <v>0.99559471365638796</v>
      </c>
      <c r="M10485">
        <v>0.98421052631578898</v>
      </c>
      <c r="N10485">
        <v>0.98421052631578898</v>
      </c>
      <c r="O10485">
        <v>0.98421052631578898</v>
      </c>
      <c r="AF10485" t="s">
        <v>21125</v>
      </c>
    </row>
    <row r="10486" spans="1:32" hidden="1" x14ac:dyDescent="0.35">
      <c r="A10486">
        <v>10485</v>
      </c>
      <c r="B10486" t="s">
        <v>21126</v>
      </c>
      <c r="C10486" t="s">
        <v>33</v>
      </c>
      <c r="D10486" t="s">
        <v>34</v>
      </c>
      <c r="E10486">
        <v>1074</v>
      </c>
      <c r="F10486">
        <v>2</v>
      </c>
      <c r="G10486">
        <v>2</v>
      </c>
      <c r="H10486">
        <v>1</v>
      </c>
      <c r="I10486">
        <v>0</v>
      </c>
      <c r="J10486">
        <v>0.98393574297188802</v>
      </c>
      <c r="K10486">
        <v>1</v>
      </c>
      <c r="L10486">
        <v>0.99190283400809698</v>
      </c>
      <c r="M10486">
        <v>0.98072289156626502</v>
      </c>
      <c r="N10486">
        <v>0.98072289156626502</v>
      </c>
      <c r="O10486">
        <v>0.98072289156626502</v>
      </c>
      <c r="P10486" t="s">
        <v>13229</v>
      </c>
      <c r="Q10486" t="s">
        <v>13230</v>
      </c>
      <c r="R10486" t="s">
        <v>516</v>
      </c>
      <c r="S10486" t="s">
        <v>517</v>
      </c>
      <c r="T10486" t="s">
        <v>13231</v>
      </c>
      <c r="U10486" t="s">
        <v>13232</v>
      </c>
      <c r="V10486" t="s">
        <v>13233</v>
      </c>
      <c r="W10486" t="s">
        <v>13234</v>
      </c>
      <c r="AD10486" t="s">
        <v>166</v>
      </c>
      <c r="AE10486" t="s">
        <v>167</v>
      </c>
      <c r="AF10486" t="s">
        <v>21127</v>
      </c>
    </row>
    <row r="10487" spans="1:32" hidden="1" x14ac:dyDescent="0.35">
      <c r="A10487">
        <v>10486</v>
      </c>
      <c r="B10487" t="s">
        <v>21126</v>
      </c>
      <c r="C10487" t="s">
        <v>33</v>
      </c>
      <c r="D10487" t="s">
        <v>45</v>
      </c>
      <c r="E10487">
        <v>2331</v>
      </c>
      <c r="F10487">
        <v>2</v>
      </c>
      <c r="G10487">
        <v>2</v>
      </c>
      <c r="H10487">
        <v>1</v>
      </c>
      <c r="I10487">
        <v>0</v>
      </c>
      <c r="J10487">
        <v>0.98393574297188802</v>
      </c>
      <c r="K10487">
        <v>1</v>
      </c>
      <c r="L10487">
        <v>0.99190283400809698</v>
      </c>
      <c r="M10487">
        <v>0.98072289156626502</v>
      </c>
      <c r="N10487">
        <v>0.98072289156626502</v>
      </c>
      <c r="O10487">
        <v>0.98072289156626502</v>
      </c>
      <c r="P10487" t="s">
        <v>13229</v>
      </c>
      <c r="Q10487" t="s">
        <v>13230</v>
      </c>
      <c r="R10487" t="s">
        <v>516</v>
      </c>
      <c r="S10487" t="s">
        <v>517</v>
      </c>
      <c r="T10487" t="s">
        <v>13231</v>
      </c>
      <c r="U10487" t="s">
        <v>13232</v>
      </c>
      <c r="V10487" t="s">
        <v>13233</v>
      </c>
      <c r="W10487" t="s">
        <v>13234</v>
      </c>
      <c r="AD10487" t="s">
        <v>166</v>
      </c>
      <c r="AE10487" t="s">
        <v>167</v>
      </c>
      <c r="AF10487" t="s">
        <v>21128</v>
      </c>
    </row>
    <row r="10488" spans="1:32" hidden="1" x14ac:dyDescent="0.35">
      <c r="A10488">
        <v>10487</v>
      </c>
      <c r="B10488" t="s">
        <v>21129</v>
      </c>
      <c r="C10488" t="s">
        <v>33</v>
      </c>
      <c r="D10488" t="s">
        <v>34</v>
      </c>
      <c r="E10488">
        <v>2034</v>
      </c>
      <c r="F10488">
        <v>2</v>
      </c>
      <c r="G10488">
        <v>2</v>
      </c>
      <c r="H10488">
        <v>1</v>
      </c>
      <c r="I10488">
        <v>0</v>
      </c>
      <c r="J10488">
        <v>0.96825396825396803</v>
      </c>
      <c r="K10488">
        <v>1</v>
      </c>
      <c r="L10488">
        <v>0.98387096774193505</v>
      </c>
      <c r="M10488">
        <v>0.96825396825396803</v>
      </c>
      <c r="N10488">
        <v>0.96825396825396803</v>
      </c>
      <c r="O10488">
        <v>0.96825396825396803</v>
      </c>
      <c r="AF10488" t="s">
        <v>21130</v>
      </c>
    </row>
    <row r="10489" spans="1:32" hidden="1" x14ac:dyDescent="0.35">
      <c r="A10489">
        <v>10488</v>
      </c>
      <c r="B10489" t="s">
        <v>21129</v>
      </c>
      <c r="C10489" t="s">
        <v>33</v>
      </c>
      <c r="D10489" t="s">
        <v>45</v>
      </c>
      <c r="E10489">
        <v>838</v>
      </c>
      <c r="F10489">
        <v>2</v>
      </c>
      <c r="G10489">
        <v>2</v>
      </c>
      <c r="H10489">
        <v>1</v>
      </c>
      <c r="I10489">
        <v>0</v>
      </c>
      <c r="J10489">
        <v>0.96825396825396803</v>
      </c>
      <c r="K10489">
        <v>1</v>
      </c>
      <c r="L10489">
        <v>0.98387096774193505</v>
      </c>
      <c r="M10489">
        <v>0.96825396825396803</v>
      </c>
      <c r="N10489">
        <v>0.96825396825396803</v>
      </c>
      <c r="O10489">
        <v>0.96825396825396803</v>
      </c>
      <c r="AF10489" t="s">
        <v>21131</v>
      </c>
    </row>
    <row r="10490" spans="1:32" hidden="1" x14ac:dyDescent="0.35">
      <c r="A10490">
        <v>10489</v>
      </c>
      <c r="B10490" t="s">
        <v>21132</v>
      </c>
      <c r="C10490" t="s">
        <v>33</v>
      </c>
      <c r="D10490" t="s">
        <v>34</v>
      </c>
      <c r="E10490">
        <v>1572</v>
      </c>
      <c r="F10490">
        <v>2</v>
      </c>
      <c r="G10490">
        <v>2</v>
      </c>
      <c r="H10490">
        <v>1</v>
      </c>
      <c r="I10490">
        <v>0</v>
      </c>
      <c r="J10490">
        <v>0.99430199430199395</v>
      </c>
      <c r="K10490">
        <v>1</v>
      </c>
      <c r="L10490">
        <v>0.997142857142857</v>
      </c>
      <c r="M10490">
        <v>0.98860398860398901</v>
      </c>
      <c r="N10490">
        <v>0.98860398860398901</v>
      </c>
      <c r="O10490">
        <v>0.98860398860398901</v>
      </c>
      <c r="P10490" t="s">
        <v>17101</v>
      </c>
      <c r="Q10490" t="s">
        <v>17102</v>
      </c>
      <c r="R10490" t="s">
        <v>96</v>
      </c>
      <c r="S10490" t="s">
        <v>97</v>
      </c>
      <c r="T10490" t="s">
        <v>17103</v>
      </c>
      <c r="U10490" t="s">
        <v>17104</v>
      </c>
      <c r="V10490" t="s">
        <v>17105</v>
      </c>
      <c r="W10490" t="s">
        <v>17106</v>
      </c>
      <c r="AD10490" t="s">
        <v>1717</v>
      </c>
      <c r="AE10490" t="s">
        <v>17107</v>
      </c>
      <c r="AF10490" t="s">
        <v>21133</v>
      </c>
    </row>
    <row r="10491" spans="1:32" hidden="1" x14ac:dyDescent="0.35">
      <c r="A10491">
        <v>10490</v>
      </c>
      <c r="B10491" t="s">
        <v>21132</v>
      </c>
      <c r="C10491" t="s">
        <v>33</v>
      </c>
      <c r="D10491" t="s">
        <v>45</v>
      </c>
      <c r="E10491">
        <v>322</v>
      </c>
      <c r="F10491">
        <v>2</v>
      </c>
      <c r="G10491">
        <v>2</v>
      </c>
      <c r="H10491">
        <v>1</v>
      </c>
      <c r="I10491">
        <v>0</v>
      </c>
      <c r="J10491">
        <v>0.99430199430199395</v>
      </c>
      <c r="K10491">
        <v>1</v>
      </c>
      <c r="L10491">
        <v>0.997142857142857</v>
      </c>
      <c r="M10491">
        <v>0.98860398860398901</v>
      </c>
      <c r="N10491">
        <v>0.98860398860398901</v>
      </c>
      <c r="O10491">
        <v>0.98860398860398901</v>
      </c>
      <c r="P10491" t="s">
        <v>17101</v>
      </c>
      <c r="Q10491" t="s">
        <v>17102</v>
      </c>
      <c r="R10491" t="s">
        <v>96</v>
      </c>
      <c r="S10491" t="s">
        <v>97</v>
      </c>
      <c r="T10491" t="s">
        <v>17103</v>
      </c>
      <c r="U10491" t="s">
        <v>17104</v>
      </c>
      <c r="V10491" t="s">
        <v>17105</v>
      </c>
      <c r="W10491" t="s">
        <v>17106</v>
      </c>
      <c r="AD10491" t="s">
        <v>1717</v>
      </c>
      <c r="AE10491" t="s">
        <v>17107</v>
      </c>
      <c r="AF10491" t="s">
        <v>21134</v>
      </c>
    </row>
    <row r="10492" spans="1:32" hidden="1" x14ac:dyDescent="0.35">
      <c r="A10492">
        <v>10491</v>
      </c>
      <c r="B10492" t="s">
        <v>21135</v>
      </c>
      <c r="C10492" t="s">
        <v>33</v>
      </c>
      <c r="D10492" t="s">
        <v>34</v>
      </c>
      <c r="E10492">
        <v>746</v>
      </c>
      <c r="F10492">
        <v>2</v>
      </c>
      <c r="G10492">
        <v>2</v>
      </c>
      <c r="H10492">
        <v>1</v>
      </c>
      <c r="I10492">
        <v>0</v>
      </c>
      <c r="J10492">
        <v>0.98220640569395001</v>
      </c>
      <c r="K10492">
        <v>0.955173070926158</v>
      </c>
      <c r="L10492">
        <v>0.96850113272258698</v>
      </c>
      <c r="M10492">
        <v>0.92699490662139195</v>
      </c>
      <c r="N10492">
        <v>0.92699490662139195</v>
      </c>
      <c r="O10492">
        <v>0.92699490662139195</v>
      </c>
      <c r="AF10492" t="s">
        <v>21136</v>
      </c>
    </row>
    <row r="10493" spans="1:32" hidden="1" x14ac:dyDescent="0.35">
      <c r="A10493">
        <v>10492</v>
      </c>
      <c r="B10493" t="s">
        <v>21135</v>
      </c>
      <c r="C10493" t="s">
        <v>33</v>
      </c>
      <c r="D10493" t="s">
        <v>45</v>
      </c>
      <c r="E10493">
        <v>2012</v>
      </c>
      <c r="F10493">
        <v>2</v>
      </c>
      <c r="G10493">
        <v>2</v>
      </c>
      <c r="H10493">
        <v>1</v>
      </c>
      <c r="I10493">
        <v>0</v>
      </c>
      <c r="J10493">
        <v>0.98220640569395001</v>
      </c>
      <c r="K10493">
        <v>0.955173070926158</v>
      </c>
      <c r="L10493">
        <v>0.96850113272258698</v>
      </c>
      <c r="M10493">
        <v>0.92699490662139195</v>
      </c>
      <c r="N10493">
        <v>0.92699490662139195</v>
      </c>
      <c r="O10493">
        <v>0.92699490662139195</v>
      </c>
      <c r="AF10493" t="s">
        <v>21137</v>
      </c>
    </row>
    <row r="10494" spans="1:32" hidden="1" x14ac:dyDescent="0.35">
      <c r="A10494">
        <v>10493</v>
      </c>
      <c r="B10494" t="s">
        <v>21138</v>
      </c>
      <c r="C10494" t="s">
        <v>33</v>
      </c>
      <c r="D10494" t="s">
        <v>34</v>
      </c>
      <c r="E10494">
        <v>2136</v>
      </c>
      <c r="F10494">
        <v>2</v>
      </c>
      <c r="G10494">
        <v>2</v>
      </c>
      <c r="H10494">
        <v>1</v>
      </c>
      <c r="I10494">
        <v>0</v>
      </c>
      <c r="J10494">
        <v>0.98969072164948502</v>
      </c>
      <c r="K10494">
        <v>1</v>
      </c>
      <c r="L10494">
        <v>0.99481865284974103</v>
      </c>
      <c r="M10494">
        <v>0.98969072164948502</v>
      </c>
      <c r="N10494">
        <v>0.98969072164948502</v>
      </c>
      <c r="O10494">
        <v>0.98969072164948502</v>
      </c>
      <c r="P10494" t="s">
        <v>10744</v>
      </c>
      <c r="Q10494" t="s">
        <v>10745</v>
      </c>
      <c r="R10494" t="s">
        <v>113</v>
      </c>
      <c r="S10494" t="s">
        <v>114</v>
      </c>
      <c r="T10494" t="s">
        <v>2879</v>
      </c>
      <c r="U10494" t="s">
        <v>2880</v>
      </c>
      <c r="V10494" t="s">
        <v>2881</v>
      </c>
      <c r="W10494" t="s">
        <v>2882</v>
      </c>
      <c r="AD10494" t="s">
        <v>312</v>
      </c>
      <c r="AE10494" t="s">
        <v>2883</v>
      </c>
      <c r="AF10494" t="s">
        <v>21139</v>
      </c>
    </row>
    <row r="10495" spans="1:32" hidden="1" x14ac:dyDescent="0.35">
      <c r="A10495">
        <v>10494</v>
      </c>
      <c r="B10495" t="s">
        <v>21138</v>
      </c>
      <c r="C10495" t="s">
        <v>33</v>
      </c>
      <c r="D10495" t="s">
        <v>45</v>
      </c>
      <c r="E10495">
        <v>737</v>
      </c>
      <c r="F10495">
        <v>2</v>
      </c>
      <c r="G10495">
        <v>2</v>
      </c>
      <c r="H10495">
        <v>1</v>
      </c>
      <c r="I10495">
        <v>0</v>
      </c>
      <c r="J10495">
        <v>0.98969072164948502</v>
      </c>
      <c r="K10495">
        <v>1</v>
      </c>
      <c r="L10495">
        <v>0.99481865284974103</v>
      </c>
      <c r="M10495">
        <v>0.98969072164948502</v>
      </c>
      <c r="N10495">
        <v>0.98969072164948502</v>
      </c>
      <c r="O10495">
        <v>0.98969072164948502</v>
      </c>
      <c r="P10495" t="s">
        <v>10744</v>
      </c>
      <c r="Q10495" t="s">
        <v>10745</v>
      </c>
      <c r="R10495" t="s">
        <v>113</v>
      </c>
      <c r="S10495" t="s">
        <v>114</v>
      </c>
      <c r="T10495" t="s">
        <v>2879</v>
      </c>
      <c r="U10495" t="s">
        <v>2880</v>
      </c>
      <c r="V10495" t="s">
        <v>2881</v>
      </c>
      <c r="W10495" t="s">
        <v>2882</v>
      </c>
      <c r="AD10495" t="s">
        <v>312</v>
      </c>
      <c r="AE10495" t="s">
        <v>2883</v>
      </c>
      <c r="AF10495" t="s">
        <v>21140</v>
      </c>
    </row>
    <row r="10496" spans="1:32" hidden="1" x14ac:dyDescent="0.35">
      <c r="A10496">
        <v>10495</v>
      </c>
      <c r="B10496" t="s">
        <v>21141</v>
      </c>
      <c r="C10496" t="s">
        <v>33</v>
      </c>
      <c r="D10496" t="s">
        <v>34</v>
      </c>
      <c r="E10496">
        <v>2451</v>
      </c>
      <c r="F10496">
        <v>2</v>
      </c>
      <c r="G10496">
        <v>2</v>
      </c>
      <c r="H10496">
        <v>1</v>
      </c>
      <c r="I10496">
        <v>0</v>
      </c>
      <c r="J10496">
        <v>0.99616858237547901</v>
      </c>
      <c r="K10496">
        <v>1</v>
      </c>
      <c r="L10496">
        <v>0.99808061420345495</v>
      </c>
      <c r="M10496">
        <v>0.99616858237547901</v>
      </c>
      <c r="N10496">
        <v>0.99616858237547901</v>
      </c>
      <c r="O10496">
        <v>0.99616858237547901</v>
      </c>
      <c r="P10496" t="s">
        <v>17539</v>
      </c>
      <c r="Q10496" t="s">
        <v>17540</v>
      </c>
      <c r="R10496" t="s">
        <v>224</v>
      </c>
      <c r="S10496" t="s">
        <v>225</v>
      </c>
      <c r="V10496" t="s">
        <v>17543</v>
      </c>
      <c r="W10496" t="s">
        <v>17544</v>
      </c>
      <c r="AF10496" t="s">
        <v>21142</v>
      </c>
    </row>
    <row r="10497" spans="1:32" hidden="1" x14ac:dyDescent="0.35">
      <c r="A10497">
        <v>10496</v>
      </c>
      <c r="B10497" t="s">
        <v>21141</v>
      </c>
      <c r="C10497" t="s">
        <v>33</v>
      </c>
      <c r="D10497" t="s">
        <v>45</v>
      </c>
      <c r="E10497">
        <v>451</v>
      </c>
      <c r="F10497">
        <v>2</v>
      </c>
      <c r="G10497">
        <v>2</v>
      </c>
      <c r="H10497">
        <v>1</v>
      </c>
      <c r="I10497">
        <v>0</v>
      </c>
      <c r="J10497">
        <v>0.99616858237547901</v>
      </c>
      <c r="K10497">
        <v>1</v>
      </c>
      <c r="L10497">
        <v>0.99808061420345495</v>
      </c>
      <c r="M10497">
        <v>0.99616858237547901</v>
      </c>
      <c r="N10497">
        <v>0.99616858237547901</v>
      </c>
      <c r="O10497">
        <v>0.99616858237547901</v>
      </c>
      <c r="P10497" t="s">
        <v>17539</v>
      </c>
      <c r="Q10497" t="s">
        <v>17540</v>
      </c>
      <c r="R10497" t="s">
        <v>224</v>
      </c>
      <c r="S10497" t="s">
        <v>225</v>
      </c>
      <c r="V10497" t="s">
        <v>17543</v>
      </c>
      <c r="W10497" t="s">
        <v>17544</v>
      </c>
      <c r="AF10497" t="s">
        <v>21143</v>
      </c>
    </row>
    <row r="10498" spans="1:32" hidden="1" x14ac:dyDescent="0.35">
      <c r="A10498">
        <v>10497</v>
      </c>
      <c r="B10498" t="s">
        <v>21144</v>
      </c>
      <c r="C10498" t="s">
        <v>33</v>
      </c>
      <c r="D10498" t="s">
        <v>34</v>
      </c>
      <c r="E10498">
        <v>586</v>
      </c>
      <c r="F10498">
        <v>2</v>
      </c>
      <c r="G10498">
        <v>2</v>
      </c>
      <c r="H10498">
        <v>1</v>
      </c>
      <c r="I10498">
        <v>0</v>
      </c>
      <c r="J10498">
        <v>0.98442367601246095</v>
      </c>
      <c r="K10498">
        <v>1</v>
      </c>
      <c r="L10498">
        <v>0.992150706436421</v>
      </c>
      <c r="M10498">
        <v>0.97196261682243001</v>
      </c>
      <c r="N10498">
        <v>0.97196261682243001</v>
      </c>
      <c r="O10498">
        <v>0.97196261682243001</v>
      </c>
      <c r="P10498" t="s">
        <v>20629</v>
      </c>
      <c r="Q10498" t="s">
        <v>20630</v>
      </c>
      <c r="R10498" t="s">
        <v>235</v>
      </c>
      <c r="S10498" t="s">
        <v>236</v>
      </c>
      <c r="T10498" t="s">
        <v>20631</v>
      </c>
      <c r="U10498" t="s">
        <v>20632</v>
      </c>
      <c r="V10498" t="s">
        <v>20633</v>
      </c>
      <c r="W10498" t="s">
        <v>20634</v>
      </c>
      <c r="AD10498" t="s">
        <v>5476</v>
      </c>
      <c r="AE10498" t="s">
        <v>20635</v>
      </c>
      <c r="AF10498" t="s">
        <v>21145</v>
      </c>
    </row>
    <row r="10499" spans="1:32" hidden="1" x14ac:dyDescent="0.35">
      <c r="A10499">
        <v>10498</v>
      </c>
      <c r="B10499" t="s">
        <v>21144</v>
      </c>
      <c r="C10499" t="s">
        <v>33</v>
      </c>
      <c r="D10499" t="s">
        <v>45</v>
      </c>
      <c r="E10499">
        <v>1852</v>
      </c>
      <c r="F10499">
        <v>2</v>
      </c>
      <c r="G10499">
        <v>2</v>
      </c>
      <c r="H10499">
        <v>1</v>
      </c>
      <c r="I10499">
        <v>0</v>
      </c>
      <c r="J10499">
        <v>0.98442367601246095</v>
      </c>
      <c r="K10499">
        <v>1</v>
      </c>
      <c r="L10499">
        <v>0.992150706436421</v>
      </c>
      <c r="M10499">
        <v>0.97196261682243001</v>
      </c>
      <c r="N10499">
        <v>0.97196261682243001</v>
      </c>
      <c r="O10499">
        <v>0.97196261682243001</v>
      </c>
      <c r="P10499" t="s">
        <v>20629</v>
      </c>
      <c r="Q10499" t="s">
        <v>20630</v>
      </c>
      <c r="R10499" t="s">
        <v>235</v>
      </c>
      <c r="S10499" t="s">
        <v>236</v>
      </c>
      <c r="T10499" t="s">
        <v>20631</v>
      </c>
      <c r="U10499" t="s">
        <v>20632</v>
      </c>
      <c r="V10499" t="s">
        <v>20633</v>
      </c>
      <c r="W10499" t="s">
        <v>20634</v>
      </c>
      <c r="AD10499" t="s">
        <v>5476</v>
      </c>
      <c r="AE10499" t="s">
        <v>20635</v>
      </c>
      <c r="AF10499" t="s">
        <v>21146</v>
      </c>
    </row>
    <row r="10500" spans="1:32" hidden="1" x14ac:dyDescent="0.35">
      <c r="A10500">
        <v>10499</v>
      </c>
      <c r="B10500" t="s">
        <v>21147</v>
      </c>
      <c r="C10500" t="s">
        <v>33</v>
      </c>
      <c r="D10500" t="s">
        <v>60</v>
      </c>
      <c r="E10500">
        <v>2202</v>
      </c>
      <c r="F10500">
        <v>2</v>
      </c>
      <c r="G10500">
        <v>2</v>
      </c>
      <c r="H10500">
        <v>1</v>
      </c>
      <c r="I10500">
        <v>0</v>
      </c>
      <c r="J10500">
        <v>0.99447513812154698</v>
      </c>
      <c r="K10500">
        <v>1</v>
      </c>
      <c r="L10500">
        <v>0.99722991689750695</v>
      </c>
      <c r="M10500">
        <v>0.99447513812154698</v>
      </c>
      <c r="N10500">
        <v>0.99447513812154698</v>
      </c>
      <c r="O10500">
        <v>0.99447513812154698</v>
      </c>
      <c r="AF10500" t="s">
        <v>21148</v>
      </c>
    </row>
    <row r="10501" spans="1:32" hidden="1" x14ac:dyDescent="0.35">
      <c r="A10501">
        <v>10500</v>
      </c>
      <c r="B10501" t="s">
        <v>21147</v>
      </c>
      <c r="C10501" t="s">
        <v>33</v>
      </c>
      <c r="D10501" t="s">
        <v>62</v>
      </c>
      <c r="E10501">
        <v>2234</v>
      </c>
      <c r="F10501">
        <v>2</v>
      </c>
      <c r="G10501">
        <v>2</v>
      </c>
      <c r="H10501">
        <v>1</v>
      </c>
      <c r="I10501">
        <v>0</v>
      </c>
      <c r="J10501">
        <v>0.99447513812154698</v>
      </c>
      <c r="K10501">
        <v>1</v>
      </c>
      <c r="L10501">
        <v>0.99722991689750695</v>
      </c>
      <c r="M10501">
        <v>0.99447513812154698</v>
      </c>
      <c r="N10501">
        <v>0.99447513812154698</v>
      </c>
      <c r="O10501">
        <v>0.99447513812154698</v>
      </c>
      <c r="AF10501" t="s">
        <v>21149</v>
      </c>
    </row>
    <row r="10502" spans="1:32" hidden="1" x14ac:dyDescent="0.35">
      <c r="A10502">
        <v>10501</v>
      </c>
      <c r="B10502" t="s">
        <v>21150</v>
      </c>
      <c r="C10502" t="s">
        <v>33</v>
      </c>
      <c r="D10502" t="s">
        <v>34</v>
      </c>
      <c r="E10502">
        <v>2294</v>
      </c>
      <c r="F10502">
        <v>2</v>
      </c>
      <c r="G10502">
        <v>2</v>
      </c>
      <c r="H10502">
        <v>1</v>
      </c>
      <c r="I10502">
        <v>0</v>
      </c>
      <c r="J10502">
        <v>0.98226950354609899</v>
      </c>
      <c r="K10502">
        <v>1</v>
      </c>
      <c r="L10502">
        <v>0.99105545617173496</v>
      </c>
      <c r="M10502">
        <v>0.97872340425531901</v>
      </c>
      <c r="N10502">
        <v>0.97872340425531901</v>
      </c>
      <c r="O10502">
        <v>0.97872340425531901</v>
      </c>
      <c r="P10502" t="s">
        <v>136</v>
      </c>
      <c r="Q10502" t="s">
        <v>137</v>
      </c>
      <c r="R10502" t="s">
        <v>138</v>
      </c>
      <c r="S10502" t="s">
        <v>139</v>
      </c>
      <c r="T10502" t="s">
        <v>140</v>
      </c>
      <c r="U10502" t="s">
        <v>141</v>
      </c>
      <c r="V10502" t="s">
        <v>142</v>
      </c>
      <c r="W10502" t="s">
        <v>143</v>
      </c>
      <c r="Z10502" t="s">
        <v>144</v>
      </c>
      <c r="AA10502" t="s">
        <v>145</v>
      </c>
      <c r="AB10502" t="s">
        <v>144</v>
      </c>
      <c r="AC10502" t="s">
        <v>146</v>
      </c>
      <c r="AD10502" t="s">
        <v>147</v>
      </c>
      <c r="AE10502" t="s">
        <v>148</v>
      </c>
      <c r="AF10502" t="s">
        <v>21151</v>
      </c>
    </row>
    <row r="10503" spans="1:32" hidden="1" x14ac:dyDescent="0.35">
      <c r="A10503">
        <v>10502</v>
      </c>
      <c r="B10503" t="s">
        <v>21150</v>
      </c>
      <c r="C10503" t="s">
        <v>33</v>
      </c>
      <c r="D10503" t="s">
        <v>45</v>
      </c>
      <c r="E10503">
        <v>583</v>
      </c>
      <c r="F10503">
        <v>2</v>
      </c>
      <c r="G10503">
        <v>2</v>
      </c>
      <c r="H10503">
        <v>1</v>
      </c>
      <c r="I10503">
        <v>0</v>
      </c>
      <c r="J10503">
        <v>0.98226950354609899</v>
      </c>
      <c r="K10503">
        <v>1</v>
      </c>
      <c r="L10503">
        <v>0.99105545617173496</v>
      </c>
      <c r="M10503">
        <v>0.97872340425531901</v>
      </c>
      <c r="N10503">
        <v>0.97872340425531901</v>
      </c>
      <c r="O10503">
        <v>0.97872340425531901</v>
      </c>
      <c r="P10503" t="s">
        <v>136</v>
      </c>
      <c r="Q10503" t="s">
        <v>137</v>
      </c>
      <c r="R10503" t="s">
        <v>138</v>
      </c>
      <c r="S10503" t="s">
        <v>139</v>
      </c>
      <c r="T10503" t="s">
        <v>140</v>
      </c>
      <c r="U10503" t="s">
        <v>141</v>
      </c>
      <c r="V10503" t="s">
        <v>142</v>
      </c>
      <c r="W10503" t="s">
        <v>143</v>
      </c>
      <c r="Z10503" t="s">
        <v>144</v>
      </c>
      <c r="AA10503" t="s">
        <v>145</v>
      </c>
      <c r="AB10503" t="s">
        <v>144</v>
      </c>
      <c r="AC10503" t="s">
        <v>146</v>
      </c>
      <c r="AD10503" t="s">
        <v>147</v>
      </c>
      <c r="AE10503" t="s">
        <v>148</v>
      </c>
      <c r="AF10503" t="s">
        <v>21152</v>
      </c>
    </row>
    <row r="10504" spans="1:32" hidden="1" x14ac:dyDescent="0.35">
      <c r="A10504">
        <v>10503</v>
      </c>
      <c r="B10504" t="s">
        <v>21153</v>
      </c>
      <c r="C10504" t="s">
        <v>33</v>
      </c>
      <c r="D10504" t="s">
        <v>34</v>
      </c>
      <c r="E10504">
        <v>2486</v>
      </c>
      <c r="F10504">
        <v>2</v>
      </c>
      <c r="G10504">
        <v>2</v>
      </c>
      <c r="H10504">
        <v>1</v>
      </c>
      <c r="I10504">
        <v>0</v>
      </c>
      <c r="J10504">
        <v>0.94835680751173701</v>
      </c>
      <c r="K10504">
        <v>1</v>
      </c>
      <c r="L10504">
        <v>0.97349397590361497</v>
      </c>
      <c r="M10504">
        <v>0.92018779342723001</v>
      </c>
      <c r="N10504">
        <v>0.92018779342723001</v>
      </c>
      <c r="O10504">
        <v>0.92018779342723001</v>
      </c>
      <c r="AF10504" t="s">
        <v>21154</v>
      </c>
    </row>
    <row r="10505" spans="1:32" hidden="1" x14ac:dyDescent="0.35">
      <c r="A10505">
        <v>10504</v>
      </c>
      <c r="B10505" t="s">
        <v>21153</v>
      </c>
      <c r="C10505" t="s">
        <v>33</v>
      </c>
      <c r="D10505" t="s">
        <v>45</v>
      </c>
      <c r="E10505">
        <v>414</v>
      </c>
      <c r="F10505">
        <v>2</v>
      </c>
      <c r="G10505">
        <v>2</v>
      </c>
      <c r="H10505">
        <v>1</v>
      </c>
      <c r="I10505">
        <v>0</v>
      </c>
      <c r="J10505">
        <v>0.94835680751173701</v>
      </c>
      <c r="K10505">
        <v>1</v>
      </c>
      <c r="L10505">
        <v>0.97349397590361497</v>
      </c>
      <c r="M10505">
        <v>0.92018779342723001</v>
      </c>
      <c r="N10505">
        <v>0.92018779342723001</v>
      </c>
      <c r="O10505">
        <v>0.92018779342723001</v>
      </c>
      <c r="AF10505" t="s">
        <v>21155</v>
      </c>
    </row>
    <row r="10506" spans="1:32" hidden="1" x14ac:dyDescent="0.35">
      <c r="A10506">
        <v>10505</v>
      </c>
      <c r="B10506" t="s">
        <v>21156</v>
      </c>
      <c r="C10506" t="s">
        <v>33</v>
      </c>
      <c r="D10506" t="s">
        <v>34</v>
      </c>
      <c r="E10506">
        <v>1495</v>
      </c>
      <c r="F10506">
        <v>2</v>
      </c>
      <c r="G10506">
        <v>2</v>
      </c>
      <c r="H10506">
        <v>1</v>
      </c>
      <c r="I10506">
        <v>0</v>
      </c>
      <c r="J10506">
        <v>0.99668874172185395</v>
      </c>
      <c r="K10506">
        <v>1</v>
      </c>
      <c r="L10506">
        <v>0.99834162520729697</v>
      </c>
      <c r="M10506">
        <v>0.99668874172185395</v>
      </c>
      <c r="N10506">
        <v>0.99668874172185395</v>
      </c>
      <c r="O10506">
        <v>0.99668874172185395</v>
      </c>
      <c r="P10506" t="s">
        <v>17010</v>
      </c>
      <c r="Q10506" t="s">
        <v>17011</v>
      </c>
      <c r="R10506" t="s">
        <v>224</v>
      </c>
      <c r="S10506" t="s">
        <v>225</v>
      </c>
      <c r="T10506" t="s">
        <v>17012</v>
      </c>
      <c r="U10506" t="s">
        <v>17013</v>
      </c>
      <c r="V10506" t="s">
        <v>17014</v>
      </c>
      <c r="W10506" t="s">
        <v>17015</v>
      </c>
      <c r="X10506" t="s">
        <v>17014</v>
      </c>
      <c r="Y10506" t="s">
        <v>1598</v>
      </c>
      <c r="AD10506" t="s">
        <v>2991</v>
      </c>
      <c r="AE10506" t="s">
        <v>17016</v>
      </c>
      <c r="AF10506" t="s">
        <v>21157</v>
      </c>
    </row>
    <row r="10507" spans="1:32" hidden="1" x14ac:dyDescent="0.35">
      <c r="A10507">
        <v>10506</v>
      </c>
      <c r="B10507" t="s">
        <v>21156</v>
      </c>
      <c r="C10507" t="s">
        <v>33</v>
      </c>
      <c r="D10507" t="s">
        <v>45</v>
      </c>
      <c r="E10507">
        <v>245</v>
      </c>
      <c r="F10507">
        <v>2</v>
      </c>
      <c r="G10507">
        <v>2</v>
      </c>
      <c r="H10507">
        <v>1</v>
      </c>
      <c r="I10507">
        <v>0</v>
      </c>
      <c r="J10507">
        <v>0.99668874172185395</v>
      </c>
      <c r="K10507">
        <v>1</v>
      </c>
      <c r="L10507">
        <v>0.99834162520729697</v>
      </c>
      <c r="M10507">
        <v>0.99668874172185395</v>
      </c>
      <c r="N10507">
        <v>0.99668874172185395</v>
      </c>
      <c r="O10507">
        <v>0.99668874172185395</v>
      </c>
      <c r="P10507" t="s">
        <v>17010</v>
      </c>
      <c r="Q10507" t="s">
        <v>17011</v>
      </c>
      <c r="R10507" t="s">
        <v>224</v>
      </c>
      <c r="S10507" t="s">
        <v>225</v>
      </c>
      <c r="T10507" t="s">
        <v>17012</v>
      </c>
      <c r="U10507" t="s">
        <v>17013</v>
      </c>
      <c r="V10507" t="s">
        <v>17014</v>
      </c>
      <c r="W10507" t="s">
        <v>17015</v>
      </c>
      <c r="X10507" t="s">
        <v>17014</v>
      </c>
      <c r="Y10507" t="s">
        <v>1598</v>
      </c>
      <c r="AD10507" t="s">
        <v>2991</v>
      </c>
      <c r="AE10507" t="s">
        <v>17016</v>
      </c>
      <c r="AF10507" t="s">
        <v>21158</v>
      </c>
    </row>
    <row r="10508" spans="1:32" hidden="1" x14ac:dyDescent="0.35">
      <c r="A10508">
        <v>10507</v>
      </c>
      <c r="B10508" t="s">
        <v>21159</v>
      </c>
      <c r="C10508" t="s">
        <v>33</v>
      </c>
      <c r="D10508" t="s">
        <v>34</v>
      </c>
      <c r="E10508">
        <v>1431</v>
      </c>
      <c r="F10508">
        <v>2</v>
      </c>
      <c r="G10508">
        <v>2</v>
      </c>
      <c r="H10508">
        <v>1</v>
      </c>
      <c r="I10508">
        <v>0</v>
      </c>
      <c r="J10508">
        <v>0.99892125134843601</v>
      </c>
      <c r="K10508">
        <v>1</v>
      </c>
      <c r="L10508">
        <v>0.99946033459255301</v>
      </c>
      <c r="M10508">
        <v>0.99892125134843601</v>
      </c>
      <c r="N10508">
        <v>0.99892125134843601</v>
      </c>
      <c r="O10508">
        <v>0.99892125134843601</v>
      </c>
      <c r="AF10508" t="s">
        <v>21160</v>
      </c>
    </row>
    <row r="10509" spans="1:32" hidden="1" x14ac:dyDescent="0.35">
      <c r="A10509">
        <v>10508</v>
      </c>
      <c r="B10509" t="s">
        <v>21159</v>
      </c>
      <c r="C10509" t="s">
        <v>33</v>
      </c>
      <c r="D10509" t="s">
        <v>45</v>
      </c>
      <c r="E10509">
        <v>182</v>
      </c>
      <c r="F10509">
        <v>2</v>
      </c>
      <c r="G10509">
        <v>2</v>
      </c>
      <c r="H10509">
        <v>1</v>
      </c>
      <c r="I10509">
        <v>0</v>
      </c>
      <c r="J10509">
        <v>0.99892125134843601</v>
      </c>
      <c r="K10509">
        <v>1</v>
      </c>
      <c r="L10509">
        <v>0.99946033459255301</v>
      </c>
      <c r="M10509">
        <v>0.99892125134843601</v>
      </c>
      <c r="N10509">
        <v>0.99892125134843601</v>
      </c>
      <c r="O10509">
        <v>0.99892125134843601</v>
      </c>
      <c r="AF10509" t="s">
        <v>21161</v>
      </c>
    </row>
    <row r="10510" spans="1:32" hidden="1" x14ac:dyDescent="0.35">
      <c r="A10510">
        <v>10509</v>
      </c>
      <c r="B10510" t="s">
        <v>21162</v>
      </c>
      <c r="C10510" t="s">
        <v>33</v>
      </c>
      <c r="D10510" t="s">
        <v>34</v>
      </c>
      <c r="E10510">
        <v>2137</v>
      </c>
      <c r="F10510">
        <v>2</v>
      </c>
      <c r="G10510">
        <v>2</v>
      </c>
      <c r="H10510">
        <v>1</v>
      </c>
      <c r="I10510">
        <v>0</v>
      </c>
      <c r="J10510">
        <v>0.996835443037975</v>
      </c>
      <c r="K10510">
        <v>1</v>
      </c>
      <c r="L10510">
        <v>0.99841521394611699</v>
      </c>
      <c r="M10510">
        <v>0.996835443037975</v>
      </c>
      <c r="N10510">
        <v>0.996835443037975</v>
      </c>
      <c r="O10510">
        <v>0.996835443037975</v>
      </c>
      <c r="P10510" t="s">
        <v>416</v>
      </c>
      <c r="Q10510" t="s">
        <v>417</v>
      </c>
      <c r="R10510" t="s">
        <v>157</v>
      </c>
      <c r="S10510" t="s">
        <v>158</v>
      </c>
      <c r="V10510" t="s">
        <v>10388</v>
      </c>
      <c r="W10510" t="s">
        <v>10389</v>
      </c>
      <c r="AF10510" t="s">
        <v>21163</v>
      </c>
    </row>
    <row r="10511" spans="1:32" hidden="1" x14ac:dyDescent="0.35">
      <c r="A10511">
        <v>10510</v>
      </c>
      <c r="B10511" t="s">
        <v>21162</v>
      </c>
      <c r="C10511" t="s">
        <v>33</v>
      </c>
      <c r="D10511" t="s">
        <v>45</v>
      </c>
      <c r="E10511">
        <v>736</v>
      </c>
      <c r="F10511">
        <v>2</v>
      </c>
      <c r="G10511">
        <v>2</v>
      </c>
      <c r="H10511">
        <v>1</v>
      </c>
      <c r="I10511">
        <v>0</v>
      </c>
      <c r="J10511">
        <v>0.996835443037975</v>
      </c>
      <c r="K10511">
        <v>1</v>
      </c>
      <c r="L10511">
        <v>0.99841521394611699</v>
      </c>
      <c r="M10511">
        <v>0.996835443037975</v>
      </c>
      <c r="N10511">
        <v>0.996835443037975</v>
      </c>
      <c r="O10511">
        <v>0.996835443037975</v>
      </c>
      <c r="P10511" t="s">
        <v>416</v>
      </c>
      <c r="Q10511" t="s">
        <v>417</v>
      </c>
      <c r="R10511" t="s">
        <v>157</v>
      </c>
      <c r="S10511" t="s">
        <v>158</v>
      </c>
      <c r="V10511" t="s">
        <v>10388</v>
      </c>
      <c r="W10511" t="s">
        <v>10389</v>
      </c>
      <c r="AF10511" t="s">
        <v>21164</v>
      </c>
    </row>
    <row r="10512" spans="1:32" hidden="1" x14ac:dyDescent="0.35">
      <c r="A10512">
        <v>10511</v>
      </c>
      <c r="B10512" t="s">
        <v>21165</v>
      </c>
      <c r="C10512" t="s">
        <v>33</v>
      </c>
      <c r="D10512" t="s">
        <v>60</v>
      </c>
      <c r="E10512">
        <v>1920</v>
      </c>
      <c r="F10512">
        <v>2</v>
      </c>
      <c r="G10512">
        <v>2</v>
      </c>
      <c r="H10512">
        <v>1</v>
      </c>
      <c r="I10512">
        <v>0</v>
      </c>
      <c r="J10512">
        <v>0.989247311827957</v>
      </c>
      <c r="K10512">
        <v>1</v>
      </c>
      <c r="L10512">
        <v>0.99459459459459498</v>
      </c>
      <c r="M10512">
        <v>0.986175115207373</v>
      </c>
      <c r="N10512">
        <v>0.986175115207373</v>
      </c>
      <c r="O10512">
        <v>0.986175115207373</v>
      </c>
      <c r="P10512" t="s">
        <v>19725</v>
      </c>
      <c r="Q10512" t="s">
        <v>19726</v>
      </c>
      <c r="R10512" t="s">
        <v>235</v>
      </c>
      <c r="S10512" t="s">
        <v>236</v>
      </c>
      <c r="T10512" t="s">
        <v>19727</v>
      </c>
      <c r="U10512" t="s">
        <v>19728</v>
      </c>
      <c r="V10512" t="s">
        <v>19729</v>
      </c>
      <c r="W10512" t="s">
        <v>19730</v>
      </c>
      <c r="AD10512" t="s">
        <v>410</v>
      </c>
      <c r="AE10512" t="s">
        <v>532</v>
      </c>
      <c r="AF10512" t="s">
        <v>21166</v>
      </c>
    </row>
    <row r="10513" spans="1:32" hidden="1" x14ac:dyDescent="0.35">
      <c r="A10513">
        <v>10512</v>
      </c>
      <c r="B10513" t="s">
        <v>21165</v>
      </c>
      <c r="C10513" t="s">
        <v>33</v>
      </c>
      <c r="D10513" t="s">
        <v>62</v>
      </c>
      <c r="E10513">
        <v>1960</v>
      </c>
      <c r="F10513">
        <v>2</v>
      </c>
      <c r="G10513">
        <v>2</v>
      </c>
      <c r="H10513">
        <v>1</v>
      </c>
      <c r="I10513">
        <v>0</v>
      </c>
      <c r="J10513">
        <v>0.989247311827957</v>
      </c>
      <c r="K10513">
        <v>1</v>
      </c>
      <c r="L10513">
        <v>0.99459459459459498</v>
      </c>
      <c r="M10513">
        <v>0.986175115207373</v>
      </c>
      <c r="N10513">
        <v>0.986175115207373</v>
      </c>
      <c r="O10513">
        <v>0.986175115207373</v>
      </c>
      <c r="P10513" t="s">
        <v>19725</v>
      </c>
      <c r="Q10513" t="s">
        <v>19726</v>
      </c>
      <c r="R10513" t="s">
        <v>235</v>
      </c>
      <c r="S10513" t="s">
        <v>236</v>
      </c>
      <c r="T10513" t="s">
        <v>19727</v>
      </c>
      <c r="U10513" t="s">
        <v>19728</v>
      </c>
      <c r="V10513" t="s">
        <v>19729</v>
      </c>
      <c r="W10513" t="s">
        <v>19730</v>
      </c>
      <c r="AD10513" t="s">
        <v>410</v>
      </c>
      <c r="AE10513" t="s">
        <v>532</v>
      </c>
      <c r="AF10513" t="s">
        <v>21167</v>
      </c>
    </row>
    <row r="10514" spans="1:32" hidden="1" x14ac:dyDescent="0.35">
      <c r="A10514">
        <v>10513</v>
      </c>
      <c r="B10514" t="s">
        <v>21168</v>
      </c>
      <c r="C10514" t="s">
        <v>33</v>
      </c>
      <c r="D10514" t="s">
        <v>60</v>
      </c>
      <c r="E10514">
        <v>1407</v>
      </c>
      <c r="F10514">
        <v>2</v>
      </c>
      <c r="G10514">
        <v>2</v>
      </c>
      <c r="H10514">
        <v>1</v>
      </c>
      <c r="I10514">
        <v>0</v>
      </c>
      <c r="J10514">
        <v>0.99497293116782703</v>
      </c>
      <c r="K10514">
        <v>1</v>
      </c>
      <c r="L10514">
        <v>0.99748013180849004</v>
      </c>
      <c r="M10514">
        <v>0.99419953596287702</v>
      </c>
      <c r="N10514">
        <v>0.99419953596287702</v>
      </c>
      <c r="O10514">
        <v>0.99419953596287702</v>
      </c>
      <c r="P10514" t="s">
        <v>10443</v>
      </c>
      <c r="Q10514" t="s">
        <v>10444</v>
      </c>
      <c r="R10514" t="s">
        <v>5180</v>
      </c>
      <c r="S10514" t="s">
        <v>5181</v>
      </c>
      <c r="V10514" t="s">
        <v>10445</v>
      </c>
      <c r="W10514" t="s">
        <v>10446</v>
      </c>
      <c r="AF10514" t="s">
        <v>21169</v>
      </c>
    </row>
    <row r="10515" spans="1:32" hidden="1" x14ac:dyDescent="0.35">
      <c r="A10515">
        <v>10514</v>
      </c>
      <c r="B10515" t="s">
        <v>21168</v>
      </c>
      <c r="C10515" t="s">
        <v>33</v>
      </c>
      <c r="D10515" t="s">
        <v>62</v>
      </c>
      <c r="E10515">
        <v>1442</v>
      </c>
      <c r="F10515">
        <v>2</v>
      </c>
      <c r="G10515">
        <v>2</v>
      </c>
      <c r="H10515">
        <v>1</v>
      </c>
      <c r="I10515">
        <v>0</v>
      </c>
      <c r="J10515">
        <v>0.99497293116782703</v>
      </c>
      <c r="K10515">
        <v>1</v>
      </c>
      <c r="L10515">
        <v>0.99748013180849004</v>
      </c>
      <c r="M10515">
        <v>0.99419953596287702</v>
      </c>
      <c r="N10515">
        <v>0.99419953596287702</v>
      </c>
      <c r="O10515">
        <v>0.99419953596287702</v>
      </c>
      <c r="P10515" t="s">
        <v>10443</v>
      </c>
      <c r="Q10515" t="s">
        <v>10444</v>
      </c>
      <c r="R10515" t="s">
        <v>5180</v>
      </c>
      <c r="S10515" t="s">
        <v>5181</v>
      </c>
      <c r="V10515" t="s">
        <v>10445</v>
      </c>
      <c r="W10515" t="s">
        <v>10446</v>
      </c>
      <c r="AF10515" t="s">
        <v>21170</v>
      </c>
    </row>
    <row r="10516" spans="1:32" hidden="1" x14ac:dyDescent="0.35">
      <c r="A10516">
        <v>10515</v>
      </c>
      <c r="B10516" t="s">
        <v>21171</v>
      </c>
      <c r="C10516" t="s">
        <v>33</v>
      </c>
      <c r="D10516" t="s">
        <v>34</v>
      </c>
      <c r="E10516">
        <v>1519</v>
      </c>
      <c r="F10516">
        <v>2</v>
      </c>
      <c r="G10516">
        <v>2</v>
      </c>
      <c r="H10516">
        <v>1</v>
      </c>
      <c r="I10516">
        <v>0</v>
      </c>
      <c r="J10516">
        <v>0.99119911991199094</v>
      </c>
      <c r="K10516">
        <v>1</v>
      </c>
      <c r="L10516">
        <v>0.99558011049723805</v>
      </c>
      <c r="M10516">
        <v>0.98679867986798697</v>
      </c>
      <c r="N10516">
        <v>0.98679867986798697</v>
      </c>
      <c r="O10516">
        <v>0.98679867986798697</v>
      </c>
      <c r="AF10516" t="s">
        <v>21172</v>
      </c>
    </row>
    <row r="10517" spans="1:32" hidden="1" x14ac:dyDescent="0.35">
      <c r="A10517">
        <v>10516</v>
      </c>
      <c r="B10517" t="s">
        <v>21171</v>
      </c>
      <c r="C10517" t="s">
        <v>33</v>
      </c>
      <c r="D10517" t="s">
        <v>45</v>
      </c>
      <c r="E10517">
        <v>269</v>
      </c>
      <c r="F10517">
        <v>2</v>
      </c>
      <c r="G10517">
        <v>2</v>
      </c>
      <c r="H10517">
        <v>1</v>
      </c>
      <c r="I10517">
        <v>0</v>
      </c>
      <c r="J10517">
        <v>0.99119911991199094</v>
      </c>
      <c r="K10517">
        <v>1</v>
      </c>
      <c r="L10517">
        <v>0.99558011049723805</v>
      </c>
      <c r="M10517">
        <v>0.98679867986798697</v>
      </c>
      <c r="N10517">
        <v>0.98679867986798697</v>
      </c>
      <c r="O10517">
        <v>0.98679867986798697</v>
      </c>
      <c r="AF10517" t="s">
        <v>21173</v>
      </c>
    </row>
    <row r="10518" spans="1:32" hidden="1" x14ac:dyDescent="0.35">
      <c r="A10518">
        <v>10517</v>
      </c>
      <c r="B10518" t="s">
        <v>21174</v>
      </c>
      <c r="C10518" t="s">
        <v>33</v>
      </c>
      <c r="D10518" t="s">
        <v>34</v>
      </c>
      <c r="E10518">
        <v>610</v>
      </c>
      <c r="F10518">
        <v>2</v>
      </c>
      <c r="G10518">
        <v>2</v>
      </c>
      <c r="H10518">
        <v>1</v>
      </c>
      <c r="I10518">
        <v>0</v>
      </c>
      <c r="J10518">
        <v>0.990291262135922</v>
      </c>
      <c r="K10518">
        <v>1</v>
      </c>
      <c r="L10518">
        <v>0.99512195121951197</v>
      </c>
      <c r="M10518">
        <v>0.990291262135922</v>
      </c>
      <c r="N10518">
        <v>0.990291262135922</v>
      </c>
      <c r="O10518">
        <v>0.990291262135922</v>
      </c>
      <c r="AF10518" t="s">
        <v>21175</v>
      </c>
    </row>
    <row r="10519" spans="1:32" hidden="1" x14ac:dyDescent="0.35">
      <c r="A10519">
        <v>10518</v>
      </c>
      <c r="B10519" t="s">
        <v>21174</v>
      </c>
      <c r="C10519" t="s">
        <v>33</v>
      </c>
      <c r="D10519" t="s">
        <v>45</v>
      </c>
      <c r="E10519">
        <v>1877</v>
      </c>
      <c r="F10519">
        <v>2</v>
      </c>
      <c r="G10519">
        <v>2</v>
      </c>
      <c r="H10519">
        <v>1</v>
      </c>
      <c r="I10519">
        <v>0</v>
      </c>
      <c r="J10519">
        <v>0.990291262135922</v>
      </c>
      <c r="K10519">
        <v>1</v>
      </c>
      <c r="L10519">
        <v>0.99512195121951197</v>
      </c>
      <c r="M10519">
        <v>0.990291262135922</v>
      </c>
      <c r="N10519">
        <v>0.990291262135922</v>
      </c>
      <c r="O10519">
        <v>0.990291262135922</v>
      </c>
      <c r="AF10519" t="s">
        <v>21176</v>
      </c>
    </row>
    <row r="10520" spans="1:32" hidden="1" x14ac:dyDescent="0.35">
      <c r="A10520">
        <v>10519</v>
      </c>
      <c r="B10520" t="s">
        <v>21177</v>
      </c>
      <c r="C10520" t="s">
        <v>33</v>
      </c>
      <c r="D10520" t="s">
        <v>60</v>
      </c>
      <c r="E10520">
        <v>2499</v>
      </c>
      <c r="F10520">
        <v>2</v>
      </c>
      <c r="G10520">
        <v>2</v>
      </c>
      <c r="H10520">
        <v>1</v>
      </c>
      <c r="I10520">
        <v>0</v>
      </c>
      <c r="J10520">
        <v>0.99623352165724999</v>
      </c>
      <c r="K10520">
        <v>1</v>
      </c>
      <c r="L10520">
        <v>0.99811320754717003</v>
      </c>
      <c r="M10520">
        <v>0.99623352165724999</v>
      </c>
      <c r="N10520">
        <v>0.99623352165724999</v>
      </c>
      <c r="O10520">
        <v>0.99623352165724999</v>
      </c>
      <c r="P10520" t="s">
        <v>13738</v>
      </c>
      <c r="Q10520" t="s">
        <v>13739</v>
      </c>
      <c r="AF10520" t="s">
        <v>21178</v>
      </c>
    </row>
    <row r="10521" spans="1:32" hidden="1" x14ac:dyDescent="0.35">
      <c r="A10521">
        <v>10520</v>
      </c>
      <c r="B10521" t="s">
        <v>21177</v>
      </c>
      <c r="C10521" t="s">
        <v>33</v>
      </c>
      <c r="D10521" t="s">
        <v>62</v>
      </c>
      <c r="E10521">
        <v>26</v>
      </c>
      <c r="F10521">
        <v>2</v>
      </c>
      <c r="G10521">
        <v>2</v>
      </c>
      <c r="H10521">
        <v>1</v>
      </c>
      <c r="I10521">
        <v>0</v>
      </c>
      <c r="J10521">
        <v>0.99623352165724999</v>
      </c>
      <c r="K10521">
        <v>1</v>
      </c>
      <c r="L10521">
        <v>0.99811320754717003</v>
      </c>
      <c r="M10521">
        <v>0.99623352165724999</v>
      </c>
      <c r="N10521">
        <v>0.99623352165724999</v>
      </c>
      <c r="O10521">
        <v>0.99623352165724999</v>
      </c>
      <c r="P10521" t="s">
        <v>13738</v>
      </c>
      <c r="Q10521" t="s">
        <v>13739</v>
      </c>
      <c r="AF10521" t="s">
        <v>21179</v>
      </c>
    </row>
    <row r="10522" spans="1:32" hidden="1" x14ac:dyDescent="0.35">
      <c r="A10522">
        <v>10521</v>
      </c>
      <c r="B10522" t="s">
        <v>21180</v>
      </c>
      <c r="C10522" t="s">
        <v>33</v>
      </c>
      <c r="D10522" t="s">
        <v>60</v>
      </c>
      <c r="E10522">
        <v>2384</v>
      </c>
      <c r="F10522">
        <v>2</v>
      </c>
      <c r="G10522">
        <v>2</v>
      </c>
      <c r="H10522">
        <v>1</v>
      </c>
      <c r="I10522">
        <v>0</v>
      </c>
      <c r="J10522">
        <v>0.98989898989898994</v>
      </c>
      <c r="K10522">
        <v>1</v>
      </c>
      <c r="L10522">
        <v>0.99492385786801996</v>
      </c>
      <c r="M10522">
        <v>0.98989898989898994</v>
      </c>
      <c r="N10522">
        <v>0.98989898989898994</v>
      </c>
      <c r="O10522">
        <v>0.98989898989898994</v>
      </c>
      <c r="P10522" t="s">
        <v>13160</v>
      </c>
      <c r="Q10522" t="s">
        <v>13161</v>
      </c>
      <c r="AF10522" t="s">
        <v>21181</v>
      </c>
    </row>
    <row r="10523" spans="1:32" hidden="1" x14ac:dyDescent="0.35">
      <c r="A10523">
        <v>10522</v>
      </c>
      <c r="B10523" t="s">
        <v>21180</v>
      </c>
      <c r="C10523" t="s">
        <v>33</v>
      </c>
      <c r="D10523" t="s">
        <v>62</v>
      </c>
      <c r="E10523">
        <v>2412</v>
      </c>
      <c r="F10523">
        <v>2</v>
      </c>
      <c r="G10523">
        <v>2</v>
      </c>
      <c r="H10523">
        <v>1</v>
      </c>
      <c r="I10523">
        <v>0</v>
      </c>
      <c r="J10523">
        <v>0.98989898989898994</v>
      </c>
      <c r="K10523">
        <v>1</v>
      </c>
      <c r="L10523">
        <v>0.99492385786801996</v>
      </c>
      <c r="M10523">
        <v>0.98989898989898994</v>
      </c>
      <c r="N10523">
        <v>0.98989898989898994</v>
      </c>
      <c r="O10523">
        <v>0.98989898989898994</v>
      </c>
      <c r="P10523" t="s">
        <v>13160</v>
      </c>
      <c r="Q10523" t="s">
        <v>13161</v>
      </c>
      <c r="AF10523" t="s">
        <v>21182</v>
      </c>
    </row>
    <row r="10524" spans="1:32" hidden="1" x14ac:dyDescent="0.35">
      <c r="A10524">
        <v>10523</v>
      </c>
      <c r="B10524" t="s">
        <v>21183</v>
      </c>
      <c r="C10524" t="s">
        <v>33</v>
      </c>
      <c r="D10524" t="s">
        <v>60</v>
      </c>
      <c r="E10524">
        <v>426</v>
      </c>
      <c r="F10524">
        <v>2</v>
      </c>
      <c r="G10524">
        <v>2</v>
      </c>
      <c r="H10524">
        <v>1</v>
      </c>
      <c r="I10524">
        <v>0</v>
      </c>
      <c r="J10524">
        <v>0.99250936329588002</v>
      </c>
      <c r="K10524">
        <v>1</v>
      </c>
      <c r="L10524">
        <v>0.99624060150375904</v>
      </c>
      <c r="M10524">
        <v>0.99250936329588002</v>
      </c>
      <c r="N10524">
        <v>0.99250936329588002</v>
      </c>
      <c r="O10524">
        <v>0.99250936329588002</v>
      </c>
      <c r="P10524" t="s">
        <v>2163</v>
      </c>
      <c r="Q10524" t="s">
        <v>2164</v>
      </c>
      <c r="R10524" t="s">
        <v>113</v>
      </c>
      <c r="S10524" t="s">
        <v>114</v>
      </c>
      <c r="V10524" t="s">
        <v>2167</v>
      </c>
      <c r="W10524" t="s">
        <v>2168</v>
      </c>
      <c r="AF10524" t="s">
        <v>21184</v>
      </c>
    </row>
    <row r="10525" spans="1:32" hidden="1" x14ac:dyDescent="0.35">
      <c r="A10525">
        <v>10524</v>
      </c>
      <c r="B10525" t="s">
        <v>21183</v>
      </c>
      <c r="C10525" t="s">
        <v>33</v>
      </c>
      <c r="D10525" t="s">
        <v>62</v>
      </c>
      <c r="E10525">
        <v>507</v>
      </c>
      <c r="F10525">
        <v>2</v>
      </c>
      <c r="G10525">
        <v>2</v>
      </c>
      <c r="H10525">
        <v>1</v>
      </c>
      <c r="I10525">
        <v>0</v>
      </c>
      <c r="J10525">
        <v>0.99250936329588002</v>
      </c>
      <c r="K10525">
        <v>1</v>
      </c>
      <c r="L10525">
        <v>0.99624060150375904</v>
      </c>
      <c r="M10525">
        <v>0.99250936329588002</v>
      </c>
      <c r="N10525">
        <v>0.99250936329588002</v>
      </c>
      <c r="O10525">
        <v>0.99250936329588002</v>
      </c>
      <c r="P10525" t="s">
        <v>2163</v>
      </c>
      <c r="Q10525" t="s">
        <v>2164</v>
      </c>
      <c r="R10525" t="s">
        <v>113</v>
      </c>
      <c r="S10525" t="s">
        <v>114</v>
      </c>
      <c r="V10525" t="s">
        <v>2167</v>
      </c>
      <c r="W10525" t="s">
        <v>2168</v>
      </c>
      <c r="AF10525" t="s">
        <v>21185</v>
      </c>
    </row>
    <row r="10526" spans="1:32" hidden="1" x14ac:dyDescent="0.35">
      <c r="A10526">
        <v>10525</v>
      </c>
      <c r="B10526" t="s">
        <v>21186</v>
      </c>
      <c r="C10526" t="s">
        <v>33</v>
      </c>
      <c r="D10526" t="s">
        <v>60</v>
      </c>
      <c r="E10526">
        <v>787</v>
      </c>
      <c r="F10526">
        <v>2</v>
      </c>
      <c r="G10526">
        <v>2</v>
      </c>
      <c r="H10526">
        <v>1</v>
      </c>
      <c r="I10526">
        <v>0</v>
      </c>
      <c r="J10526">
        <v>0.94527363184079605</v>
      </c>
      <c r="K10526">
        <v>0.98534858387799396</v>
      </c>
      <c r="L10526">
        <v>0.96489517931374102</v>
      </c>
      <c r="M10526">
        <v>0.92647058823529405</v>
      </c>
      <c r="N10526">
        <v>0.92647058823529405</v>
      </c>
      <c r="O10526">
        <v>0.92647058823529405</v>
      </c>
      <c r="AF10526" t="s">
        <v>21187</v>
      </c>
    </row>
    <row r="10527" spans="1:32" hidden="1" x14ac:dyDescent="0.35">
      <c r="A10527">
        <v>10526</v>
      </c>
      <c r="B10527" t="s">
        <v>21186</v>
      </c>
      <c r="C10527" t="s">
        <v>33</v>
      </c>
      <c r="D10527" t="s">
        <v>62</v>
      </c>
      <c r="E10527">
        <v>820</v>
      </c>
      <c r="F10527">
        <v>2</v>
      </c>
      <c r="G10527">
        <v>2</v>
      </c>
      <c r="H10527">
        <v>1</v>
      </c>
      <c r="I10527">
        <v>0</v>
      </c>
      <c r="J10527">
        <v>0.94527363184079605</v>
      </c>
      <c r="K10527">
        <v>0.98534858387799396</v>
      </c>
      <c r="L10527">
        <v>0.96489517931374102</v>
      </c>
      <c r="M10527">
        <v>0.92647058823529405</v>
      </c>
      <c r="N10527">
        <v>0.92647058823529405</v>
      </c>
      <c r="O10527">
        <v>0.92647058823529405</v>
      </c>
      <c r="AF10527" t="s">
        <v>21188</v>
      </c>
    </row>
    <row r="10528" spans="1:32" hidden="1" x14ac:dyDescent="0.35">
      <c r="A10528">
        <v>10527</v>
      </c>
      <c r="B10528" t="s">
        <v>21189</v>
      </c>
      <c r="C10528" t="s">
        <v>33</v>
      </c>
      <c r="D10528" t="s">
        <v>60</v>
      </c>
      <c r="E10528">
        <v>406</v>
      </c>
      <c r="F10528">
        <v>2</v>
      </c>
      <c r="G10528">
        <v>2</v>
      </c>
      <c r="H10528">
        <v>1</v>
      </c>
      <c r="I10528">
        <v>0</v>
      </c>
      <c r="J10528">
        <v>0.99459459459459498</v>
      </c>
      <c r="K10528">
        <v>1</v>
      </c>
      <c r="L10528">
        <v>0.99728997289972898</v>
      </c>
      <c r="M10528">
        <v>0.99459459459459498</v>
      </c>
      <c r="N10528">
        <v>0.99459459459459498</v>
      </c>
      <c r="O10528">
        <v>0.99459459459459498</v>
      </c>
      <c r="AF10528" t="s">
        <v>21190</v>
      </c>
    </row>
    <row r="10529" spans="1:32" hidden="1" x14ac:dyDescent="0.35">
      <c r="A10529">
        <v>10528</v>
      </c>
      <c r="B10529" t="s">
        <v>21189</v>
      </c>
      <c r="C10529" t="s">
        <v>33</v>
      </c>
      <c r="D10529" t="s">
        <v>62</v>
      </c>
      <c r="E10529">
        <v>487</v>
      </c>
      <c r="F10529">
        <v>2</v>
      </c>
      <c r="G10529">
        <v>2</v>
      </c>
      <c r="H10529">
        <v>1</v>
      </c>
      <c r="I10529">
        <v>0</v>
      </c>
      <c r="J10529">
        <v>0.99459459459459498</v>
      </c>
      <c r="K10529">
        <v>1</v>
      </c>
      <c r="L10529">
        <v>0.99728997289972898</v>
      </c>
      <c r="M10529">
        <v>0.99459459459459498</v>
      </c>
      <c r="N10529">
        <v>0.99459459459459498</v>
      </c>
      <c r="O10529">
        <v>0.99459459459459498</v>
      </c>
      <c r="AF10529" t="s">
        <v>21191</v>
      </c>
    </row>
    <row r="10530" spans="1:32" hidden="1" x14ac:dyDescent="0.35">
      <c r="A10530">
        <v>10529</v>
      </c>
      <c r="B10530" t="s">
        <v>21192</v>
      </c>
      <c r="C10530" t="s">
        <v>33</v>
      </c>
      <c r="D10530" t="s">
        <v>34</v>
      </c>
      <c r="E10530">
        <v>1637</v>
      </c>
      <c r="F10530">
        <v>2</v>
      </c>
      <c r="G10530">
        <v>2</v>
      </c>
      <c r="H10530">
        <v>1</v>
      </c>
      <c r="I10530">
        <v>0</v>
      </c>
      <c r="J10530">
        <v>0.98979591836734704</v>
      </c>
      <c r="K10530">
        <v>1</v>
      </c>
      <c r="L10530">
        <v>0.994871794871795</v>
      </c>
      <c r="M10530">
        <v>0.98979591836734704</v>
      </c>
      <c r="N10530">
        <v>0.98979591836734704</v>
      </c>
      <c r="O10530">
        <v>0.98979591836734704</v>
      </c>
      <c r="P10530" t="s">
        <v>7906</v>
      </c>
      <c r="Q10530" t="s">
        <v>7907</v>
      </c>
      <c r="R10530" t="s">
        <v>319</v>
      </c>
      <c r="S10530" t="s">
        <v>320</v>
      </c>
      <c r="V10530" t="s">
        <v>9556</v>
      </c>
      <c r="W10530" t="s">
        <v>9557</v>
      </c>
      <c r="AF10530" t="s">
        <v>21193</v>
      </c>
    </row>
    <row r="10531" spans="1:32" hidden="1" x14ac:dyDescent="0.35">
      <c r="A10531">
        <v>10530</v>
      </c>
      <c r="B10531" t="s">
        <v>21192</v>
      </c>
      <c r="C10531" t="s">
        <v>33</v>
      </c>
      <c r="D10531" t="s">
        <v>45</v>
      </c>
      <c r="E10531">
        <v>384</v>
      </c>
      <c r="F10531">
        <v>2</v>
      </c>
      <c r="G10531">
        <v>2</v>
      </c>
      <c r="H10531">
        <v>1</v>
      </c>
      <c r="I10531">
        <v>0</v>
      </c>
      <c r="J10531">
        <v>0.98979591836734704</v>
      </c>
      <c r="K10531">
        <v>1</v>
      </c>
      <c r="L10531">
        <v>0.994871794871795</v>
      </c>
      <c r="M10531">
        <v>0.98979591836734704</v>
      </c>
      <c r="N10531">
        <v>0.98979591836734704</v>
      </c>
      <c r="O10531">
        <v>0.98979591836734704</v>
      </c>
      <c r="P10531" t="s">
        <v>7906</v>
      </c>
      <c r="Q10531" t="s">
        <v>7907</v>
      </c>
      <c r="R10531" t="s">
        <v>319</v>
      </c>
      <c r="S10531" t="s">
        <v>320</v>
      </c>
      <c r="T10531" t="s">
        <v>14869</v>
      </c>
      <c r="U10531" t="s">
        <v>14870</v>
      </c>
      <c r="V10531" t="s">
        <v>9556</v>
      </c>
      <c r="W10531" t="s">
        <v>9557</v>
      </c>
      <c r="AD10531" t="s">
        <v>9397</v>
      </c>
      <c r="AE10531" t="s">
        <v>14871</v>
      </c>
      <c r="AF10531" t="s">
        <v>21194</v>
      </c>
    </row>
    <row r="10532" spans="1:32" hidden="1" x14ac:dyDescent="0.35">
      <c r="A10532">
        <v>10531</v>
      </c>
      <c r="B10532" t="s">
        <v>21195</v>
      </c>
      <c r="C10532" t="s">
        <v>33</v>
      </c>
      <c r="D10532" t="s">
        <v>60</v>
      </c>
      <c r="E10532">
        <v>465</v>
      </c>
      <c r="F10532">
        <v>2</v>
      </c>
      <c r="G10532">
        <v>2</v>
      </c>
      <c r="H10532">
        <v>1</v>
      </c>
      <c r="I10532">
        <v>0</v>
      </c>
      <c r="J10532">
        <v>0.99448529411764697</v>
      </c>
      <c r="K10532">
        <v>1</v>
      </c>
      <c r="L10532">
        <v>0.99723502304147504</v>
      </c>
      <c r="M10532">
        <v>0.99448529411764697</v>
      </c>
      <c r="N10532">
        <v>0.99448529411764697</v>
      </c>
      <c r="O10532">
        <v>0.99448529411764697</v>
      </c>
      <c r="P10532" t="s">
        <v>9450</v>
      </c>
      <c r="Q10532" t="s">
        <v>9451</v>
      </c>
      <c r="R10532" t="s">
        <v>371</v>
      </c>
      <c r="S10532" t="s">
        <v>372</v>
      </c>
      <c r="T10532" t="s">
        <v>21196</v>
      </c>
      <c r="U10532" t="s">
        <v>21197</v>
      </c>
      <c r="V10532" t="s">
        <v>9454</v>
      </c>
      <c r="W10532" t="s">
        <v>9455</v>
      </c>
      <c r="AD10532" t="s">
        <v>8082</v>
      </c>
      <c r="AE10532" t="s">
        <v>11023</v>
      </c>
      <c r="AF10532" t="s">
        <v>21198</v>
      </c>
    </row>
    <row r="10533" spans="1:32" hidden="1" x14ac:dyDescent="0.35">
      <c r="A10533">
        <v>10532</v>
      </c>
      <c r="B10533" t="s">
        <v>21195</v>
      </c>
      <c r="C10533" t="s">
        <v>33</v>
      </c>
      <c r="D10533" t="s">
        <v>62</v>
      </c>
      <c r="E10533">
        <v>547</v>
      </c>
      <c r="F10533">
        <v>2</v>
      </c>
      <c r="G10533">
        <v>2</v>
      </c>
      <c r="H10533">
        <v>1</v>
      </c>
      <c r="I10533">
        <v>0</v>
      </c>
      <c r="J10533">
        <v>0.99448529411764697</v>
      </c>
      <c r="K10533">
        <v>1</v>
      </c>
      <c r="L10533">
        <v>0.99723502304147504</v>
      </c>
      <c r="M10533">
        <v>0.99448529411764697</v>
      </c>
      <c r="N10533">
        <v>0.99448529411764697</v>
      </c>
      <c r="O10533">
        <v>0.99448529411764697</v>
      </c>
      <c r="P10533" t="s">
        <v>9450</v>
      </c>
      <c r="Q10533" t="s">
        <v>9451</v>
      </c>
      <c r="R10533" t="s">
        <v>371</v>
      </c>
      <c r="S10533" t="s">
        <v>372</v>
      </c>
      <c r="T10533" t="s">
        <v>21196</v>
      </c>
      <c r="U10533" t="s">
        <v>21197</v>
      </c>
      <c r="V10533" t="s">
        <v>9454</v>
      </c>
      <c r="W10533" t="s">
        <v>9455</v>
      </c>
      <c r="AD10533" t="s">
        <v>8082</v>
      </c>
      <c r="AE10533" t="s">
        <v>11023</v>
      </c>
      <c r="AF10533" t="s">
        <v>21199</v>
      </c>
    </row>
    <row r="10534" spans="1:32" hidden="1" x14ac:dyDescent="0.35">
      <c r="A10534">
        <v>10533</v>
      </c>
      <c r="B10534" t="s">
        <v>21200</v>
      </c>
      <c r="C10534" t="s">
        <v>33</v>
      </c>
      <c r="D10534" t="s">
        <v>34</v>
      </c>
      <c r="E10534">
        <v>954</v>
      </c>
      <c r="F10534">
        <v>2</v>
      </c>
      <c r="G10534">
        <v>2</v>
      </c>
      <c r="H10534">
        <v>1</v>
      </c>
      <c r="I10534">
        <v>0</v>
      </c>
      <c r="J10534">
        <v>0.99849849849849803</v>
      </c>
      <c r="K10534">
        <v>1</v>
      </c>
      <c r="L10534">
        <v>0.99924868519909804</v>
      </c>
      <c r="M10534">
        <v>0.99549549549549599</v>
      </c>
      <c r="N10534">
        <v>0.99549549549549599</v>
      </c>
      <c r="O10534">
        <v>0.99549549549549599</v>
      </c>
      <c r="P10534" t="s">
        <v>10222</v>
      </c>
      <c r="Q10534" t="s">
        <v>10223</v>
      </c>
      <c r="R10534" t="s">
        <v>10224</v>
      </c>
      <c r="S10534" t="s">
        <v>10225</v>
      </c>
      <c r="V10534" t="s">
        <v>10228</v>
      </c>
      <c r="W10534" t="s">
        <v>10229</v>
      </c>
      <c r="AF10534" t="s">
        <v>21201</v>
      </c>
    </row>
    <row r="10535" spans="1:32" hidden="1" x14ac:dyDescent="0.35">
      <c r="A10535">
        <v>10534</v>
      </c>
      <c r="B10535" t="s">
        <v>21200</v>
      </c>
      <c r="C10535" t="s">
        <v>33</v>
      </c>
      <c r="D10535" t="s">
        <v>45</v>
      </c>
      <c r="E10535">
        <v>2211</v>
      </c>
      <c r="F10535">
        <v>2</v>
      </c>
      <c r="G10535">
        <v>2</v>
      </c>
      <c r="H10535">
        <v>1</v>
      </c>
      <c r="I10535">
        <v>0</v>
      </c>
      <c r="J10535">
        <v>0.99849849849849803</v>
      </c>
      <c r="K10535">
        <v>1</v>
      </c>
      <c r="L10535">
        <v>0.99924868519909804</v>
      </c>
      <c r="M10535">
        <v>0.99549549549549599</v>
      </c>
      <c r="N10535">
        <v>0.99549549549549599</v>
      </c>
      <c r="O10535">
        <v>0.99549549549549599</v>
      </c>
      <c r="P10535" t="s">
        <v>10222</v>
      </c>
      <c r="Q10535" t="s">
        <v>10223</v>
      </c>
      <c r="R10535" t="s">
        <v>10224</v>
      </c>
      <c r="S10535" t="s">
        <v>10225</v>
      </c>
      <c r="V10535" t="s">
        <v>10228</v>
      </c>
      <c r="W10535" t="s">
        <v>10229</v>
      </c>
      <c r="AF10535" t="s">
        <v>21202</v>
      </c>
    </row>
    <row r="10536" spans="1:32" hidden="1" x14ac:dyDescent="0.35">
      <c r="A10536">
        <v>10535</v>
      </c>
      <c r="B10536" t="s">
        <v>21203</v>
      </c>
      <c r="C10536" t="s">
        <v>33</v>
      </c>
      <c r="D10536" t="s">
        <v>34</v>
      </c>
      <c r="E10536">
        <v>1775</v>
      </c>
      <c r="F10536">
        <v>2</v>
      </c>
      <c r="G10536">
        <v>2</v>
      </c>
      <c r="H10536">
        <v>1</v>
      </c>
      <c r="I10536">
        <v>0</v>
      </c>
      <c r="J10536">
        <v>0.98181818181818203</v>
      </c>
      <c r="K10536">
        <v>1</v>
      </c>
      <c r="L10536">
        <v>0.990825688073394</v>
      </c>
      <c r="M10536">
        <v>0.98181818181818203</v>
      </c>
      <c r="N10536">
        <v>0.98181818181818203</v>
      </c>
      <c r="O10536">
        <v>0.98181818181818203</v>
      </c>
      <c r="P10536" t="s">
        <v>18558</v>
      </c>
      <c r="Q10536" t="s">
        <v>18559</v>
      </c>
      <c r="R10536" t="s">
        <v>235</v>
      </c>
      <c r="S10536" t="s">
        <v>236</v>
      </c>
      <c r="T10536" t="s">
        <v>18560</v>
      </c>
      <c r="U10536" t="s">
        <v>17976</v>
      </c>
      <c r="V10536" t="s">
        <v>18561</v>
      </c>
      <c r="W10536" t="s">
        <v>18562</v>
      </c>
      <c r="AD10536" t="s">
        <v>166</v>
      </c>
      <c r="AE10536" t="s">
        <v>818</v>
      </c>
      <c r="AF10536" t="s">
        <v>21204</v>
      </c>
    </row>
    <row r="10537" spans="1:32" hidden="1" x14ac:dyDescent="0.35">
      <c r="A10537">
        <v>10536</v>
      </c>
      <c r="B10537" t="s">
        <v>21203</v>
      </c>
      <c r="C10537" t="s">
        <v>33</v>
      </c>
      <c r="D10537" t="s">
        <v>45</v>
      </c>
      <c r="E10537">
        <v>1098</v>
      </c>
      <c r="F10537">
        <v>2</v>
      </c>
      <c r="G10537">
        <v>2</v>
      </c>
      <c r="H10537">
        <v>1</v>
      </c>
      <c r="I10537">
        <v>0</v>
      </c>
      <c r="J10537">
        <v>0.98181818181818203</v>
      </c>
      <c r="K10537">
        <v>1</v>
      </c>
      <c r="L10537">
        <v>0.990825688073394</v>
      </c>
      <c r="M10537">
        <v>0.98181818181818203</v>
      </c>
      <c r="N10537">
        <v>0.98181818181818203</v>
      </c>
      <c r="O10537">
        <v>0.98181818181818203</v>
      </c>
      <c r="P10537" t="s">
        <v>18558</v>
      </c>
      <c r="Q10537" t="s">
        <v>18559</v>
      </c>
      <c r="R10537" t="s">
        <v>235</v>
      </c>
      <c r="S10537" t="s">
        <v>236</v>
      </c>
      <c r="T10537" t="s">
        <v>18560</v>
      </c>
      <c r="U10537" t="s">
        <v>17976</v>
      </c>
      <c r="V10537" t="s">
        <v>18561</v>
      </c>
      <c r="W10537" t="s">
        <v>18562</v>
      </c>
      <c r="AD10537" t="s">
        <v>166</v>
      </c>
      <c r="AE10537" t="s">
        <v>818</v>
      </c>
      <c r="AF10537" t="s">
        <v>21205</v>
      </c>
    </row>
    <row r="10538" spans="1:32" hidden="1" x14ac:dyDescent="0.35">
      <c r="A10538">
        <v>10537</v>
      </c>
      <c r="B10538" t="s">
        <v>21206</v>
      </c>
      <c r="C10538" t="s">
        <v>33</v>
      </c>
      <c r="D10538" t="s">
        <v>34</v>
      </c>
      <c r="E10538">
        <v>2193</v>
      </c>
      <c r="F10538">
        <v>2</v>
      </c>
      <c r="G10538">
        <v>2</v>
      </c>
      <c r="H10538">
        <v>1</v>
      </c>
      <c r="I10538">
        <v>0</v>
      </c>
      <c r="J10538">
        <v>0.98796087283671896</v>
      </c>
      <c r="K10538">
        <v>1</v>
      </c>
      <c r="L10538">
        <v>0.99394398183194499</v>
      </c>
      <c r="M10538">
        <v>0.98645598194130901</v>
      </c>
      <c r="N10538">
        <v>0.98645598194130901</v>
      </c>
      <c r="O10538">
        <v>0.98645598194130901</v>
      </c>
      <c r="P10538" t="s">
        <v>14154</v>
      </c>
      <c r="Q10538" t="s">
        <v>14155</v>
      </c>
      <c r="R10538" t="s">
        <v>319</v>
      </c>
      <c r="S10538" t="s">
        <v>320</v>
      </c>
      <c r="V10538" t="s">
        <v>14156</v>
      </c>
      <c r="W10538" t="s">
        <v>14157</v>
      </c>
      <c r="AF10538" t="s">
        <v>21207</v>
      </c>
    </row>
    <row r="10539" spans="1:32" hidden="1" x14ac:dyDescent="0.35">
      <c r="A10539">
        <v>10538</v>
      </c>
      <c r="B10539" t="s">
        <v>21206</v>
      </c>
      <c r="C10539" t="s">
        <v>33</v>
      </c>
      <c r="D10539" t="s">
        <v>45</v>
      </c>
      <c r="E10539">
        <v>681</v>
      </c>
      <c r="F10539">
        <v>2</v>
      </c>
      <c r="G10539">
        <v>2</v>
      </c>
      <c r="H10539">
        <v>1</v>
      </c>
      <c r="I10539">
        <v>0</v>
      </c>
      <c r="J10539">
        <v>0.98796087283671896</v>
      </c>
      <c r="K10539">
        <v>1</v>
      </c>
      <c r="L10539">
        <v>0.99394398183194499</v>
      </c>
      <c r="M10539">
        <v>0.98645598194130901</v>
      </c>
      <c r="N10539">
        <v>0.98645598194130901</v>
      </c>
      <c r="O10539">
        <v>0.98645598194130901</v>
      </c>
      <c r="P10539" t="s">
        <v>14154</v>
      </c>
      <c r="Q10539" t="s">
        <v>14155</v>
      </c>
      <c r="R10539" t="s">
        <v>319</v>
      </c>
      <c r="S10539" t="s">
        <v>320</v>
      </c>
      <c r="V10539" t="s">
        <v>14156</v>
      </c>
      <c r="W10539" t="s">
        <v>14157</v>
      </c>
      <c r="AF10539" t="s">
        <v>21208</v>
      </c>
    </row>
    <row r="10540" spans="1:32" hidden="1" x14ac:dyDescent="0.35">
      <c r="A10540">
        <v>10539</v>
      </c>
      <c r="B10540" t="s">
        <v>21209</v>
      </c>
      <c r="C10540" t="s">
        <v>33</v>
      </c>
      <c r="D10540" t="s">
        <v>60</v>
      </c>
      <c r="E10540">
        <v>2192</v>
      </c>
      <c r="F10540">
        <v>2</v>
      </c>
      <c r="G10540">
        <v>2</v>
      </c>
      <c r="H10540">
        <v>1</v>
      </c>
      <c r="I10540">
        <v>0</v>
      </c>
      <c r="J10540">
        <v>0.98591549295774605</v>
      </c>
      <c r="K10540">
        <v>1</v>
      </c>
      <c r="L10540">
        <v>0.99290780141844004</v>
      </c>
      <c r="M10540">
        <v>0.98591549295774605</v>
      </c>
      <c r="N10540">
        <v>0.98591549295774605</v>
      </c>
      <c r="O10540">
        <v>0.98591549295774605</v>
      </c>
      <c r="P10540" t="s">
        <v>12423</v>
      </c>
      <c r="Q10540" t="s">
        <v>12424</v>
      </c>
      <c r="R10540" t="s">
        <v>224</v>
      </c>
      <c r="S10540" t="s">
        <v>225</v>
      </c>
      <c r="T10540" t="s">
        <v>16874</v>
      </c>
      <c r="U10540" t="s">
        <v>16875</v>
      </c>
      <c r="V10540" t="s">
        <v>8738</v>
      </c>
      <c r="W10540" t="s">
        <v>8739</v>
      </c>
      <c r="AD10540" t="s">
        <v>219</v>
      </c>
      <c r="AE10540" t="s">
        <v>16876</v>
      </c>
      <c r="AF10540" t="s">
        <v>21210</v>
      </c>
    </row>
    <row r="10541" spans="1:32" hidden="1" x14ac:dyDescent="0.35">
      <c r="A10541">
        <v>10540</v>
      </c>
      <c r="B10541" t="s">
        <v>21209</v>
      </c>
      <c r="C10541" t="s">
        <v>33</v>
      </c>
      <c r="D10541" t="s">
        <v>62</v>
      </c>
      <c r="E10541">
        <v>2226</v>
      </c>
      <c r="F10541">
        <v>2</v>
      </c>
      <c r="G10541">
        <v>2</v>
      </c>
      <c r="H10541">
        <v>1</v>
      </c>
      <c r="I10541">
        <v>0</v>
      </c>
      <c r="J10541">
        <v>0.98591549295774605</v>
      </c>
      <c r="K10541">
        <v>1</v>
      </c>
      <c r="L10541">
        <v>0.99290780141844004</v>
      </c>
      <c r="M10541">
        <v>0.98591549295774605</v>
      </c>
      <c r="N10541">
        <v>0.98591549295774605</v>
      </c>
      <c r="O10541">
        <v>0.98591549295774605</v>
      </c>
      <c r="P10541" t="s">
        <v>12423</v>
      </c>
      <c r="Q10541" t="s">
        <v>12424</v>
      </c>
      <c r="R10541" t="s">
        <v>224</v>
      </c>
      <c r="S10541" t="s">
        <v>225</v>
      </c>
      <c r="T10541" t="s">
        <v>16874</v>
      </c>
      <c r="U10541" t="s">
        <v>16875</v>
      </c>
      <c r="V10541" t="s">
        <v>8738</v>
      </c>
      <c r="W10541" t="s">
        <v>8739</v>
      </c>
      <c r="AD10541" t="s">
        <v>219</v>
      </c>
      <c r="AE10541" t="s">
        <v>16876</v>
      </c>
      <c r="AF10541" t="s">
        <v>21211</v>
      </c>
    </row>
    <row r="10542" spans="1:32" hidden="1" x14ac:dyDescent="0.35">
      <c r="A10542">
        <v>10541</v>
      </c>
      <c r="B10542" t="s">
        <v>21212</v>
      </c>
      <c r="C10542" t="s">
        <v>33</v>
      </c>
      <c r="D10542" t="s">
        <v>60</v>
      </c>
      <c r="E10542">
        <v>166</v>
      </c>
      <c r="F10542">
        <v>2</v>
      </c>
      <c r="G10542">
        <v>2</v>
      </c>
      <c r="H10542">
        <v>1</v>
      </c>
      <c r="I10542">
        <v>0</v>
      </c>
      <c r="J10542">
        <v>0.99517684887459801</v>
      </c>
      <c r="K10542">
        <v>1</v>
      </c>
      <c r="L10542">
        <v>0.99758259468170796</v>
      </c>
      <c r="M10542">
        <v>0.99517684887459801</v>
      </c>
      <c r="N10542">
        <v>0.99517684887459801</v>
      </c>
      <c r="O10542">
        <v>0.99517684887459801</v>
      </c>
      <c r="P10542" t="s">
        <v>10506</v>
      </c>
      <c r="Q10542" t="s">
        <v>10507</v>
      </c>
      <c r="R10542" t="s">
        <v>224</v>
      </c>
      <c r="S10542" t="s">
        <v>225</v>
      </c>
      <c r="V10542" t="s">
        <v>5609</v>
      </c>
      <c r="W10542" t="s">
        <v>5610</v>
      </c>
      <c r="AF10542" t="s">
        <v>21213</v>
      </c>
    </row>
    <row r="10543" spans="1:32" hidden="1" x14ac:dyDescent="0.35">
      <c r="A10543">
        <v>10542</v>
      </c>
      <c r="B10543" t="s">
        <v>21212</v>
      </c>
      <c r="C10543" t="s">
        <v>33</v>
      </c>
      <c r="D10543" t="s">
        <v>62</v>
      </c>
      <c r="E10543">
        <v>242</v>
      </c>
      <c r="F10543">
        <v>2</v>
      </c>
      <c r="G10543">
        <v>2</v>
      </c>
      <c r="H10543">
        <v>1</v>
      </c>
      <c r="I10543">
        <v>0</v>
      </c>
      <c r="J10543">
        <v>0.99517684887459801</v>
      </c>
      <c r="K10543">
        <v>1</v>
      </c>
      <c r="L10543">
        <v>0.99758259468170796</v>
      </c>
      <c r="M10543">
        <v>0.99517684887459801</v>
      </c>
      <c r="N10543">
        <v>0.99517684887459801</v>
      </c>
      <c r="O10543">
        <v>0.99517684887459801</v>
      </c>
      <c r="P10543" t="s">
        <v>10506</v>
      </c>
      <c r="Q10543" t="s">
        <v>10507</v>
      </c>
      <c r="R10543" t="s">
        <v>224</v>
      </c>
      <c r="S10543" t="s">
        <v>225</v>
      </c>
      <c r="V10543" t="s">
        <v>5609</v>
      </c>
      <c r="W10543" t="s">
        <v>5610</v>
      </c>
      <c r="AF10543" t="s">
        <v>21214</v>
      </c>
    </row>
    <row r="10544" spans="1:32" hidden="1" x14ac:dyDescent="0.35">
      <c r="A10544">
        <v>10543</v>
      </c>
      <c r="B10544" t="s">
        <v>21215</v>
      </c>
      <c r="C10544" t="s">
        <v>33</v>
      </c>
      <c r="D10544" t="s">
        <v>34</v>
      </c>
      <c r="E10544">
        <v>774</v>
      </c>
      <c r="F10544">
        <v>2</v>
      </c>
      <c r="G10544">
        <v>2</v>
      </c>
      <c r="H10544">
        <v>1</v>
      </c>
      <c r="I10544">
        <v>0</v>
      </c>
      <c r="J10544">
        <v>0.99676375404530704</v>
      </c>
      <c r="K10544">
        <v>1</v>
      </c>
      <c r="L10544">
        <v>0.99837925445705</v>
      </c>
      <c r="M10544">
        <v>0.99514563106796095</v>
      </c>
      <c r="N10544">
        <v>0.99514563106796095</v>
      </c>
      <c r="O10544">
        <v>0.99514563106796095</v>
      </c>
      <c r="P10544" t="s">
        <v>6606</v>
      </c>
      <c r="Q10544" t="s">
        <v>6607</v>
      </c>
      <c r="R10544" t="s">
        <v>1191</v>
      </c>
      <c r="S10544" t="s">
        <v>1192</v>
      </c>
      <c r="V10544" t="s">
        <v>6600</v>
      </c>
      <c r="W10544" t="s">
        <v>6601</v>
      </c>
      <c r="AF10544" t="s">
        <v>21216</v>
      </c>
    </row>
    <row r="10545" spans="1:32" hidden="1" x14ac:dyDescent="0.35">
      <c r="A10545">
        <v>10544</v>
      </c>
      <c r="B10545" t="s">
        <v>21215</v>
      </c>
      <c r="C10545" t="s">
        <v>33</v>
      </c>
      <c r="D10545" t="s">
        <v>45</v>
      </c>
      <c r="E10545">
        <v>2040</v>
      </c>
      <c r="F10545">
        <v>2</v>
      </c>
      <c r="G10545">
        <v>2</v>
      </c>
      <c r="H10545">
        <v>1</v>
      </c>
      <c r="I10545">
        <v>0</v>
      </c>
      <c r="J10545">
        <v>0.99676375404530704</v>
      </c>
      <c r="K10545">
        <v>1</v>
      </c>
      <c r="L10545">
        <v>0.99837925445705</v>
      </c>
      <c r="M10545">
        <v>0.99514563106796095</v>
      </c>
      <c r="N10545">
        <v>0.99514563106796095</v>
      </c>
      <c r="O10545">
        <v>0.99514563106796095</v>
      </c>
      <c r="P10545" t="s">
        <v>6606</v>
      </c>
      <c r="Q10545" t="s">
        <v>6607</v>
      </c>
      <c r="R10545" t="s">
        <v>1191</v>
      </c>
      <c r="S10545" t="s">
        <v>1192</v>
      </c>
      <c r="V10545" t="s">
        <v>6600</v>
      </c>
      <c r="W10545" t="s">
        <v>6601</v>
      </c>
      <c r="AF10545" t="s">
        <v>21217</v>
      </c>
    </row>
    <row r="10546" spans="1:32" s="1" customFormat="1" hidden="1" x14ac:dyDescent="0.35">
      <c r="A10546" s="1">
        <v>10545</v>
      </c>
      <c r="B10546" s="1" t="s">
        <v>21218</v>
      </c>
      <c r="C10546" s="1" t="s">
        <v>33</v>
      </c>
      <c r="D10546" s="1" t="s">
        <v>60</v>
      </c>
      <c r="E10546" s="1">
        <v>184</v>
      </c>
      <c r="F10546" s="1">
        <v>2</v>
      </c>
      <c r="G10546" s="1">
        <v>2</v>
      </c>
      <c r="H10546" s="1">
        <v>1</v>
      </c>
      <c r="I10546" s="1">
        <v>0</v>
      </c>
      <c r="J10546" s="1">
        <v>0.992217254512336</v>
      </c>
      <c r="K10546" s="1">
        <v>1</v>
      </c>
      <c r="L10546" s="1">
        <v>0.99609342531792899</v>
      </c>
      <c r="M10546" s="1">
        <v>0.98956780923994003</v>
      </c>
      <c r="N10546" s="1">
        <v>0.98956780923994003</v>
      </c>
      <c r="O10546" s="1">
        <v>0.98956780923994003</v>
      </c>
      <c r="P10546" s="1" t="s">
        <v>13318</v>
      </c>
      <c r="Q10546" s="1" t="s">
        <v>13319</v>
      </c>
      <c r="R10546" s="1" t="s">
        <v>157</v>
      </c>
      <c r="S10546" s="1" t="s">
        <v>158</v>
      </c>
      <c r="V10546" s="1" t="s">
        <v>14219</v>
      </c>
      <c r="W10546" s="1" t="s">
        <v>14220</v>
      </c>
      <c r="AF10546" s="1" t="s">
        <v>21219</v>
      </c>
    </row>
    <row r="10547" spans="1:32" s="1" customFormat="1" hidden="1" x14ac:dyDescent="0.35">
      <c r="A10547" s="1">
        <v>10546</v>
      </c>
      <c r="B10547" s="1" t="s">
        <v>21218</v>
      </c>
      <c r="C10547" s="1" t="s">
        <v>33</v>
      </c>
      <c r="D10547" s="1" t="s">
        <v>62</v>
      </c>
      <c r="E10547" s="1">
        <v>260</v>
      </c>
      <c r="F10547" s="1">
        <v>2</v>
      </c>
      <c r="G10547" s="1">
        <v>2</v>
      </c>
      <c r="H10547" s="1">
        <v>1</v>
      </c>
      <c r="I10547" s="1">
        <v>0</v>
      </c>
      <c r="J10547" s="1">
        <v>0.992217254512336</v>
      </c>
      <c r="K10547" s="1">
        <v>1</v>
      </c>
      <c r="L10547" s="1">
        <v>0.99609342531792899</v>
      </c>
      <c r="M10547" s="1">
        <v>0.98956780923994003</v>
      </c>
      <c r="N10547" s="1">
        <v>0.98956780923994003</v>
      </c>
      <c r="O10547" s="1">
        <v>0.98956780923994003</v>
      </c>
      <c r="P10547" s="1" t="s">
        <v>13318</v>
      </c>
      <c r="Q10547" s="1" t="s">
        <v>13319</v>
      </c>
      <c r="R10547" s="1" t="s">
        <v>157</v>
      </c>
      <c r="S10547" s="1" t="s">
        <v>158</v>
      </c>
      <c r="V10547" s="1" t="s">
        <v>14219</v>
      </c>
      <c r="W10547" s="1" t="s">
        <v>14220</v>
      </c>
      <c r="AF10547" s="1" t="s">
        <v>21220</v>
      </c>
    </row>
    <row r="10548" spans="1:32" hidden="1" x14ac:dyDescent="0.35">
      <c r="A10548">
        <v>10547</v>
      </c>
      <c r="B10548" t="s">
        <v>21221</v>
      </c>
      <c r="C10548" t="s">
        <v>33</v>
      </c>
      <c r="D10548" t="s">
        <v>34</v>
      </c>
      <c r="E10548">
        <v>844</v>
      </c>
      <c r="F10548">
        <v>2</v>
      </c>
      <c r="G10548">
        <v>2</v>
      </c>
      <c r="H10548">
        <v>1</v>
      </c>
      <c r="I10548">
        <v>0</v>
      </c>
      <c r="J10548">
        <v>0.96600566572238</v>
      </c>
      <c r="K10548">
        <v>1</v>
      </c>
      <c r="L10548">
        <v>0.98270893371757895</v>
      </c>
      <c r="M10548">
        <v>0.96033994334277595</v>
      </c>
      <c r="N10548">
        <v>0.96033994334277595</v>
      </c>
      <c r="O10548">
        <v>0.96033994334277595</v>
      </c>
      <c r="P10548" t="s">
        <v>10138</v>
      </c>
      <c r="Q10548" t="s">
        <v>10139</v>
      </c>
      <c r="AF10548" t="s">
        <v>21222</v>
      </c>
    </row>
    <row r="10549" spans="1:32" hidden="1" x14ac:dyDescent="0.35">
      <c r="A10549">
        <v>10548</v>
      </c>
      <c r="B10549" t="s">
        <v>21221</v>
      </c>
      <c r="C10549" t="s">
        <v>33</v>
      </c>
      <c r="D10549" t="s">
        <v>45</v>
      </c>
      <c r="E10549">
        <v>2101</v>
      </c>
      <c r="F10549">
        <v>2</v>
      </c>
      <c r="G10549">
        <v>2</v>
      </c>
      <c r="H10549">
        <v>1</v>
      </c>
      <c r="I10549">
        <v>0</v>
      </c>
      <c r="J10549">
        <v>0.96600566572238</v>
      </c>
      <c r="K10549">
        <v>1</v>
      </c>
      <c r="L10549">
        <v>0.98270893371757895</v>
      </c>
      <c r="M10549">
        <v>0.96033994334277595</v>
      </c>
      <c r="N10549">
        <v>0.96033994334277595</v>
      </c>
      <c r="O10549">
        <v>0.96033994334277595</v>
      </c>
      <c r="P10549" t="s">
        <v>10138</v>
      </c>
      <c r="Q10549" t="s">
        <v>10139</v>
      </c>
      <c r="AF10549" t="s">
        <v>21223</v>
      </c>
    </row>
    <row r="10550" spans="1:32" hidden="1" x14ac:dyDescent="0.35">
      <c r="A10550">
        <v>10549</v>
      </c>
      <c r="B10550" t="s">
        <v>21224</v>
      </c>
      <c r="C10550" t="s">
        <v>33</v>
      </c>
      <c r="D10550" t="s">
        <v>34</v>
      </c>
      <c r="E10550">
        <v>14</v>
      </c>
      <c r="F10550">
        <v>2</v>
      </c>
      <c r="G10550">
        <v>2</v>
      </c>
      <c r="H10550">
        <v>1</v>
      </c>
      <c r="I10550">
        <v>0</v>
      </c>
      <c r="J10550">
        <v>0.98861788617886204</v>
      </c>
      <c r="K10550">
        <v>0.86151452282157803</v>
      </c>
      <c r="L10550">
        <v>0.920700229152147</v>
      </c>
      <c r="M10550">
        <v>0.83817427385892096</v>
      </c>
      <c r="N10550">
        <v>0.83817427385892096</v>
      </c>
      <c r="O10550">
        <v>0.83817427385892096</v>
      </c>
      <c r="P10550" t="s">
        <v>21225</v>
      </c>
      <c r="Q10550" t="s">
        <v>21226</v>
      </c>
      <c r="AF10550" t="s">
        <v>21227</v>
      </c>
    </row>
    <row r="10551" spans="1:32" hidden="1" x14ac:dyDescent="0.35">
      <c r="A10551">
        <v>10550</v>
      </c>
      <c r="B10551" t="s">
        <v>21224</v>
      </c>
      <c r="C10551" t="s">
        <v>33</v>
      </c>
      <c r="D10551" t="s">
        <v>45</v>
      </c>
      <c r="E10551">
        <v>1270</v>
      </c>
      <c r="F10551">
        <v>2</v>
      </c>
      <c r="G10551">
        <v>2</v>
      </c>
      <c r="H10551">
        <v>1</v>
      </c>
      <c r="I10551">
        <v>0</v>
      </c>
      <c r="J10551">
        <v>0.98861788617886204</v>
      </c>
      <c r="K10551">
        <v>0.86151452282157803</v>
      </c>
      <c r="L10551">
        <v>0.920700229152147</v>
      </c>
      <c r="M10551">
        <v>0.83817427385892096</v>
      </c>
      <c r="N10551">
        <v>0.83817427385892096</v>
      </c>
      <c r="O10551">
        <v>0.83817427385892096</v>
      </c>
      <c r="P10551" t="s">
        <v>2233</v>
      </c>
      <c r="Q10551" t="s">
        <v>2234</v>
      </c>
      <c r="AF10551" t="s">
        <v>21228</v>
      </c>
    </row>
    <row r="10552" spans="1:32" hidden="1" x14ac:dyDescent="0.35">
      <c r="A10552">
        <v>10551</v>
      </c>
      <c r="B10552" t="s">
        <v>21229</v>
      </c>
      <c r="C10552" t="s">
        <v>33</v>
      </c>
      <c r="D10552" t="s">
        <v>34</v>
      </c>
      <c r="E10552">
        <v>493</v>
      </c>
      <c r="F10552">
        <v>2</v>
      </c>
      <c r="G10552">
        <v>2</v>
      </c>
      <c r="H10552">
        <v>1</v>
      </c>
      <c r="I10552">
        <v>0</v>
      </c>
      <c r="J10552">
        <v>0.98888888888888904</v>
      </c>
      <c r="K10552">
        <v>1</v>
      </c>
      <c r="L10552">
        <v>0.994413407821229</v>
      </c>
      <c r="M10552">
        <v>0.98888888888888904</v>
      </c>
      <c r="N10552">
        <v>0.98888888888888904</v>
      </c>
      <c r="O10552">
        <v>0.98888888888888904</v>
      </c>
      <c r="P10552" t="s">
        <v>13476</v>
      </c>
      <c r="Q10552" t="s">
        <v>13477</v>
      </c>
      <c r="AF10552" t="s">
        <v>21230</v>
      </c>
    </row>
    <row r="10553" spans="1:32" hidden="1" x14ac:dyDescent="0.35">
      <c r="A10553">
        <v>10552</v>
      </c>
      <c r="B10553" t="s">
        <v>21229</v>
      </c>
      <c r="C10553" t="s">
        <v>33</v>
      </c>
      <c r="D10553" t="s">
        <v>45</v>
      </c>
      <c r="E10553">
        <v>1758</v>
      </c>
      <c r="F10553">
        <v>2</v>
      </c>
      <c r="G10553">
        <v>2</v>
      </c>
      <c r="H10553">
        <v>1</v>
      </c>
      <c r="I10553">
        <v>0</v>
      </c>
      <c r="J10553">
        <v>0.98888888888888904</v>
      </c>
      <c r="K10553">
        <v>1</v>
      </c>
      <c r="L10553">
        <v>0.994413407821229</v>
      </c>
      <c r="M10553">
        <v>0.98888888888888904</v>
      </c>
      <c r="N10553">
        <v>0.98888888888888904</v>
      </c>
      <c r="O10553">
        <v>0.98888888888888904</v>
      </c>
      <c r="P10553" t="s">
        <v>13476</v>
      </c>
      <c r="Q10553" t="s">
        <v>13477</v>
      </c>
      <c r="AF10553" t="s">
        <v>21231</v>
      </c>
    </row>
    <row r="10554" spans="1:32" hidden="1" x14ac:dyDescent="0.35">
      <c r="A10554">
        <v>10553</v>
      </c>
      <c r="B10554" t="s">
        <v>21232</v>
      </c>
      <c r="C10554" t="s">
        <v>33</v>
      </c>
      <c r="D10554" t="s">
        <v>34</v>
      </c>
      <c r="E10554">
        <v>1630</v>
      </c>
      <c r="F10554">
        <v>2</v>
      </c>
      <c r="G10554">
        <v>2</v>
      </c>
      <c r="H10554">
        <v>1</v>
      </c>
      <c r="I10554">
        <v>0</v>
      </c>
      <c r="J10554">
        <v>0.96849087893864005</v>
      </c>
      <c r="K10554">
        <v>1</v>
      </c>
      <c r="L10554">
        <v>0.98399326032013501</v>
      </c>
      <c r="M10554">
        <v>0.96517412935323399</v>
      </c>
      <c r="N10554">
        <v>0.96517412935323399</v>
      </c>
      <c r="O10554">
        <v>0.96517412935323399</v>
      </c>
      <c r="P10554" t="s">
        <v>21233</v>
      </c>
      <c r="Q10554" t="s">
        <v>2035</v>
      </c>
      <c r="R10554" t="s">
        <v>869</v>
      </c>
      <c r="S10554" t="s">
        <v>870</v>
      </c>
      <c r="V10554" t="s">
        <v>7964</v>
      </c>
      <c r="W10554" t="s">
        <v>7965</v>
      </c>
      <c r="X10554" t="s">
        <v>7964</v>
      </c>
      <c r="Y10554" t="s">
        <v>2190</v>
      </c>
      <c r="AF10554" t="s">
        <v>21234</v>
      </c>
    </row>
    <row r="10555" spans="1:32" hidden="1" x14ac:dyDescent="0.35">
      <c r="A10555">
        <v>10554</v>
      </c>
      <c r="B10555" t="s">
        <v>21232</v>
      </c>
      <c r="C10555" t="s">
        <v>33</v>
      </c>
      <c r="D10555" t="s">
        <v>45</v>
      </c>
      <c r="E10555">
        <v>377</v>
      </c>
      <c r="F10555">
        <v>2</v>
      </c>
      <c r="G10555">
        <v>2</v>
      </c>
      <c r="H10555">
        <v>1</v>
      </c>
      <c r="I10555">
        <v>0</v>
      </c>
      <c r="J10555">
        <v>0.96849087893864005</v>
      </c>
      <c r="K10555">
        <v>1</v>
      </c>
      <c r="L10555">
        <v>0.98399326032013501</v>
      </c>
      <c r="M10555">
        <v>0.96517412935323399</v>
      </c>
      <c r="N10555">
        <v>0.96517412935323399</v>
      </c>
      <c r="O10555">
        <v>0.96517412935323399</v>
      </c>
      <c r="P10555" t="s">
        <v>21233</v>
      </c>
      <c r="Q10555" t="s">
        <v>2035</v>
      </c>
      <c r="R10555" t="s">
        <v>869</v>
      </c>
      <c r="S10555" t="s">
        <v>870</v>
      </c>
      <c r="V10555" t="s">
        <v>7964</v>
      </c>
      <c r="W10555" t="s">
        <v>7965</v>
      </c>
      <c r="X10555" t="s">
        <v>7964</v>
      </c>
      <c r="Y10555" t="s">
        <v>2190</v>
      </c>
      <c r="AF10555" t="s">
        <v>21235</v>
      </c>
    </row>
    <row r="10556" spans="1:32" hidden="1" x14ac:dyDescent="0.35">
      <c r="A10556">
        <v>10555</v>
      </c>
      <c r="B10556" t="s">
        <v>21236</v>
      </c>
      <c r="C10556" t="s">
        <v>33</v>
      </c>
      <c r="D10556" t="s">
        <v>60</v>
      </c>
      <c r="E10556">
        <v>1915</v>
      </c>
      <c r="F10556">
        <v>2</v>
      </c>
      <c r="G10556">
        <v>2</v>
      </c>
      <c r="H10556">
        <v>1</v>
      </c>
      <c r="I10556">
        <v>0</v>
      </c>
      <c r="J10556">
        <v>0.99092970521541901</v>
      </c>
      <c r="K10556">
        <v>1</v>
      </c>
      <c r="L10556">
        <v>0.995444191343964</v>
      </c>
      <c r="M10556">
        <v>0.98639455782312901</v>
      </c>
      <c r="N10556">
        <v>0.98639455782312901</v>
      </c>
      <c r="O10556">
        <v>0.98639455782312901</v>
      </c>
      <c r="P10556" t="s">
        <v>19258</v>
      </c>
      <c r="Q10556" t="s">
        <v>19259</v>
      </c>
      <c r="R10556" t="s">
        <v>75</v>
      </c>
      <c r="S10556" t="s">
        <v>76</v>
      </c>
      <c r="T10556" t="s">
        <v>19260</v>
      </c>
      <c r="U10556" t="s">
        <v>19261</v>
      </c>
      <c r="V10556" t="s">
        <v>19262</v>
      </c>
      <c r="W10556" t="s">
        <v>19263</v>
      </c>
      <c r="Z10556" t="s">
        <v>15474</v>
      </c>
      <c r="AA10556" t="s">
        <v>15475</v>
      </c>
      <c r="AB10556" t="s">
        <v>15474</v>
      </c>
      <c r="AC10556" t="s">
        <v>15476</v>
      </c>
      <c r="AD10556" t="s">
        <v>1231</v>
      </c>
      <c r="AE10556" t="s">
        <v>19264</v>
      </c>
      <c r="AF10556" t="s">
        <v>21237</v>
      </c>
    </row>
    <row r="10557" spans="1:32" hidden="1" x14ac:dyDescent="0.35">
      <c r="A10557">
        <v>10556</v>
      </c>
      <c r="B10557" t="s">
        <v>21236</v>
      </c>
      <c r="C10557" t="s">
        <v>33</v>
      </c>
      <c r="D10557" t="s">
        <v>62</v>
      </c>
      <c r="E10557">
        <v>1955</v>
      </c>
      <c r="F10557">
        <v>2</v>
      </c>
      <c r="G10557">
        <v>2</v>
      </c>
      <c r="H10557">
        <v>1</v>
      </c>
      <c r="I10557">
        <v>0</v>
      </c>
      <c r="J10557">
        <v>0.99092970521541901</v>
      </c>
      <c r="K10557">
        <v>1</v>
      </c>
      <c r="L10557">
        <v>0.995444191343964</v>
      </c>
      <c r="M10557">
        <v>0.98639455782312901</v>
      </c>
      <c r="N10557">
        <v>0.98639455782312901</v>
      </c>
      <c r="O10557">
        <v>0.98639455782312901</v>
      </c>
      <c r="P10557" t="s">
        <v>19258</v>
      </c>
      <c r="Q10557" t="s">
        <v>19259</v>
      </c>
      <c r="R10557" t="s">
        <v>75</v>
      </c>
      <c r="S10557" t="s">
        <v>76</v>
      </c>
      <c r="T10557" t="s">
        <v>19260</v>
      </c>
      <c r="U10557" t="s">
        <v>19261</v>
      </c>
      <c r="V10557" t="s">
        <v>19262</v>
      </c>
      <c r="W10557" t="s">
        <v>19263</v>
      </c>
      <c r="Z10557" t="s">
        <v>15474</v>
      </c>
      <c r="AA10557" t="s">
        <v>15475</v>
      </c>
      <c r="AB10557" t="s">
        <v>15474</v>
      </c>
      <c r="AC10557" t="s">
        <v>15476</v>
      </c>
      <c r="AD10557" t="s">
        <v>1231</v>
      </c>
      <c r="AE10557" t="s">
        <v>19264</v>
      </c>
      <c r="AF10557" t="s">
        <v>21238</v>
      </c>
    </row>
    <row r="10558" spans="1:32" hidden="1" x14ac:dyDescent="0.35">
      <c r="A10558">
        <v>10557</v>
      </c>
      <c r="B10558" t="s">
        <v>21239</v>
      </c>
      <c r="C10558" t="s">
        <v>33</v>
      </c>
      <c r="D10558" t="s">
        <v>34</v>
      </c>
      <c r="E10558">
        <v>1285</v>
      </c>
      <c r="F10558">
        <v>2</v>
      </c>
      <c r="G10558">
        <v>2</v>
      </c>
      <c r="H10558">
        <v>1</v>
      </c>
      <c r="I10558">
        <v>0</v>
      </c>
      <c r="J10558">
        <v>0.98300653594771203</v>
      </c>
      <c r="K10558">
        <v>1</v>
      </c>
      <c r="L10558">
        <v>0.99143045484508896</v>
      </c>
      <c r="M10558">
        <v>0.98039215686274495</v>
      </c>
      <c r="N10558">
        <v>0.98039215686274495</v>
      </c>
      <c r="O10558">
        <v>0.98039215686274495</v>
      </c>
      <c r="AF10558" t="s">
        <v>21240</v>
      </c>
    </row>
    <row r="10559" spans="1:32" hidden="1" x14ac:dyDescent="0.35">
      <c r="A10559">
        <v>10558</v>
      </c>
      <c r="B10559" t="s">
        <v>21239</v>
      </c>
      <c r="C10559" t="s">
        <v>33</v>
      </c>
      <c r="D10559" t="s">
        <v>45</v>
      </c>
      <c r="E10559">
        <v>37</v>
      </c>
      <c r="F10559">
        <v>2</v>
      </c>
      <c r="G10559">
        <v>2</v>
      </c>
      <c r="H10559">
        <v>1</v>
      </c>
      <c r="I10559">
        <v>0</v>
      </c>
      <c r="J10559">
        <v>0.98300653594771203</v>
      </c>
      <c r="K10559">
        <v>1</v>
      </c>
      <c r="L10559">
        <v>0.99143045484508896</v>
      </c>
      <c r="M10559">
        <v>0.98039215686274495</v>
      </c>
      <c r="N10559">
        <v>0.98039215686274495</v>
      </c>
      <c r="O10559">
        <v>0.98039215686274495</v>
      </c>
      <c r="AF10559" t="s">
        <v>21241</v>
      </c>
    </row>
    <row r="10560" spans="1:32" hidden="1" x14ac:dyDescent="0.35">
      <c r="A10560">
        <v>10559</v>
      </c>
      <c r="B10560" t="s">
        <v>21242</v>
      </c>
      <c r="C10560" t="s">
        <v>33</v>
      </c>
      <c r="D10560" t="s">
        <v>60</v>
      </c>
      <c r="E10560">
        <v>161</v>
      </c>
      <c r="F10560">
        <v>2</v>
      </c>
      <c r="G10560">
        <v>2</v>
      </c>
      <c r="H10560">
        <v>1</v>
      </c>
      <c r="I10560">
        <v>0</v>
      </c>
      <c r="J10560">
        <v>0.96153846153846201</v>
      </c>
      <c r="K10560">
        <v>0.93667630986820705</v>
      </c>
      <c r="L10560">
        <v>0.94894456782967096</v>
      </c>
      <c r="M10560">
        <v>0.89215686274509798</v>
      </c>
      <c r="N10560">
        <v>0.89215686274509798</v>
      </c>
      <c r="O10560">
        <v>0.89215686274509798</v>
      </c>
      <c r="P10560" t="s">
        <v>3473</v>
      </c>
      <c r="Q10560" t="s">
        <v>3474</v>
      </c>
      <c r="R10560" t="s">
        <v>113</v>
      </c>
      <c r="S10560" t="s">
        <v>114</v>
      </c>
      <c r="V10560" t="s">
        <v>3477</v>
      </c>
      <c r="W10560" t="s">
        <v>3478</v>
      </c>
      <c r="AF10560" t="s">
        <v>21243</v>
      </c>
    </row>
    <row r="10561" spans="1:32" hidden="1" x14ac:dyDescent="0.35">
      <c r="A10561">
        <v>10560</v>
      </c>
      <c r="B10561" t="s">
        <v>21242</v>
      </c>
      <c r="C10561" t="s">
        <v>33</v>
      </c>
      <c r="D10561" t="s">
        <v>62</v>
      </c>
      <c r="E10561">
        <v>237</v>
      </c>
      <c r="F10561">
        <v>2</v>
      </c>
      <c r="G10561">
        <v>2</v>
      </c>
      <c r="H10561">
        <v>1</v>
      </c>
      <c r="I10561">
        <v>0</v>
      </c>
      <c r="J10561">
        <v>0.96153846153846201</v>
      </c>
      <c r="K10561">
        <v>0.93667630986820705</v>
      </c>
      <c r="L10561">
        <v>0.94894456782967096</v>
      </c>
      <c r="M10561">
        <v>0.89215686274509798</v>
      </c>
      <c r="N10561">
        <v>0.89215686274509798</v>
      </c>
      <c r="O10561">
        <v>0.89215686274509798</v>
      </c>
      <c r="P10561" t="s">
        <v>3473</v>
      </c>
      <c r="Q10561" t="s">
        <v>3474</v>
      </c>
      <c r="R10561" t="s">
        <v>113</v>
      </c>
      <c r="S10561" t="s">
        <v>114</v>
      </c>
      <c r="V10561" t="s">
        <v>3477</v>
      </c>
      <c r="W10561" t="s">
        <v>3478</v>
      </c>
      <c r="AF10561" t="s">
        <v>21244</v>
      </c>
    </row>
    <row r="10562" spans="1:32" hidden="1" x14ac:dyDescent="0.35">
      <c r="A10562">
        <v>10561</v>
      </c>
      <c r="B10562" t="s">
        <v>21245</v>
      </c>
      <c r="C10562" t="s">
        <v>33</v>
      </c>
      <c r="D10562" t="s">
        <v>34</v>
      </c>
      <c r="E10562">
        <v>1496</v>
      </c>
      <c r="F10562">
        <v>2</v>
      </c>
      <c r="G10562">
        <v>2</v>
      </c>
      <c r="H10562">
        <v>1</v>
      </c>
      <c r="I10562">
        <v>0</v>
      </c>
      <c r="J10562">
        <v>0.99603174603174605</v>
      </c>
      <c r="K10562">
        <v>1</v>
      </c>
      <c r="L10562">
        <v>0.99801192842942299</v>
      </c>
      <c r="M10562">
        <v>0.99404761904761896</v>
      </c>
      <c r="N10562">
        <v>0.99404761904761896</v>
      </c>
      <c r="O10562">
        <v>0.99404761904761896</v>
      </c>
      <c r="R10562" t="s">
        <v>371</v>
      </c>
      <c r="S10562" t="s">
        <v>372</v>
      </c>
      <c r="V10562" t="s">
        <v>12084</v>
      </c>
      <c r="W10562" t="s">
        <v>12085</v>
      </c>
      <c r="AF10562" t="s">
        <v>21246</v>
      </c>
    </row>
    <row r="10563" spans="1:32" hidden="1" x14ac:dyDescent="0.35">
      <c r="A10563">
        <v>10562</v>
      </c>
      <c r="B10563" t="s">
        <v>21245</v>
      </c>
      <c r="C10563" t="s">
        <v>33</v>
      </c>
      <c r="D10563" t="s">
        <v>45</v>
      </c>
      <c r="E10563">
        <v>246</v>
      </c>
      <c r="F10563">
        <v>2</v>
      </c>
      <c r="G10563">
        <v>2</v>
      </c>
      <c r="H10563">
        <v>1</v>
      </c>
      <c r="I10563">
        <v>0</v>
      </c>
      <c r="J10563">
        <v>0.99603174603174605</v>
      </c>
      <c r="K10563">
        <v>1</v>
      </c>
      <c r="L10563">
        <v>0.99801192842942299</v>
      </c>
      <c r="M10563">
        <v>0.99404761904761896</v>
      </c>
      <c r="N10563">
        <v>0.99404761904761896</v>
      </c>
      <c r="O10563">
        <v>0.99404761904761896</v>
      </c>
      <c r="R10563" t="s">
        <v>371</v>
      </c>
      <c r="S10563" t="s">
        <v>372</v>
      </c>
      <c r="V10563" t="s">
        <v>12084</v>
      </c>
      <c r="W10563" t="s">
        <v>12085</v>
      </c>
      <c r="AF10563" t="s">
        <v>21247</v>
      </c>
    </row>
    <row r="10564" spans="1:32" hidden="1" x14ac:dyDescent="0.35">
      <c r="A10564">
        <v>10563</v>
      </c>
      <c r="B10564" t="s">
        <v>21248</v>
      </c>
      <c r="C10564" t="s">
        <v>33</v>
      </c>
      <c r="D10564" t="s">
        <v>60</v>
      </c>
      <c r="E10564">
        <v>1384</v>
      </c>
      <c r="F10564">
        <v>2</v>
      </c>
      <c r="G10564">
        <v>2</v>
      </c>
      <c r="H10564">
        <v>1</v>
      </c>
      <c r="I10564">
        <v>0</v>
      </c>
      <c r="J10564">
        <v>0.97115384615384603</v>
      </c>
      <c r="K10564">
        <v>1</v>
      </c>
      <c r="L10564">
        <v>0.98536585365853702</v>
      </c>
      <c r="M10564">
        <v>0.96153846153846201</v>
      </c>
      <c r="N10564">
        <v>0.96153846153846201</v>
      </c>
      <c r="O10564">
        <v>0.96153846153846201</v>
      </c>
      <c r="AF10564" t="s">
        <v>21249</v>
      </c>
    </row>
    <row r="10565" spans="1:32" hidden="1" x14ac:dyDescent="0.35">
      <c r="A10565">
        <v>10564</v>
      </c>
      <c r="B10565" t="s">
        <v>21248</v>
      </c>
      <c r="C10565" t="s">
        <v>33</v>
      </c>
      <c r="D10565" t="s">
        <v>62</v>
      </c>
      <c r="E10565">
        <v>1419</v>
      </c>
      <c r="F10565">
        <v>2</v>
      </c>
      <c r="G10565">
        <v>2</v>
      </c>
      <c r="H10565">
        <v>1</v>
      </c>
      <c r="I10565">
        <v>0</v>
      </c>
      <c r="J10565">
        <v>0.97115384615384603</v>
      </c>
      <c r="K10565">
        <v>1</v>
      </c>
      <c r="L10565">
        <v>0.98536585365853702</v>
      </c>
      <c r="M10565">
        <v>0.96153846153846201</v>
      </c>
      <c r="N10565">
        <v>0.96153846153846201</v>
      </c>
      <c r="O10565">
        <v>0.96153846153846201</v>
      </c>
      <c r="AF10565" t="s">
        <v>21250</v>
      </c>
    </row>
    <row r="10566" spans="1:32" hidden="1" x14ac:dyDescent="0.35">
      <c r="A10566">
        <v>10565</v>
      </c>
      <c r="B10566" t="s">
        <v>21251</v>
      </c>
      <c r="C10566" t="s">
        <v>33</v>
      </c>
      <c r="D10566" t="s">
        <v>34</v>
      </c>
      <c r="E10566">
        <v>496</v>
      </c>
      <c r="F10566">
        <v>2</v>
      </c>
      <c r="G10566">
        <v>2</v>
      </c>
      <c r="H10566">
        <v>1</v>
      </c>
      <c r="I10566">
        <v>0</v>
      </c>
      <c r="J10566">
        <v>0.99894179894179902</v>
      </c>
      <c r="K10566">
        <v>1</v>
      </c>
      <c r="L10566">
        <v>0.99947061937533099</v>
      </c>
      <c r="M10566">
        <v>0.99682539682539695</v>
      </c>
      <c r="N10566">
        <v>0.99682539682539695</v>
      </c>
      <c r="O10566">
        <v>0.99682539682539695</v>
      </c>
      <c r="AF10566" t="s">
        <v>21252</v>
      </c>
    </row>
    <row r="10567" spans="1:32" hidden="1" x14ac:dyDescent="0.35">
      <c r="A10567">
        <v>10566</v>
      </c>
      <c r="B10567" t="s">
        <v>21251</v>
      </c>
      <c r="C10567" t="s">
        <v>33</v>
      </c>
      <c r="D10567" t="s">
        <v>45</v>
      </c>
      <c r="E10567">
        <v>1761</v>
      </c>
      <c r="F10567">
        <v>2</v>
      </c>
      <c r="G10567">
        <v>2</v>
      </c>
      <c r="H10567">
        <v>1</v>
      </c>
      <c r="I10567">
        <v>0</v>
      </c>
      <c r="J10567">
        <v>0.99894179894179902</v>
      </c>
      <c r="K10567">
        <v>1</v>
      </c>
      <c r="L10567">
        <v>0.99947061937533099</v>
      </c>
      <c r="M10567">
        <v>0.99682539682539695</v>
      </c>
      <c r="N10567">
        <v>0.99682539682539695</v>
      </c>
      <c r="O10567">
        <v>0.99682539682539695</v>
      </c>
      <c r="AF10567" t="s">
        <v>21253</v>
      </c>
    </row>
    <row r="10568" spans="1:32" hidden="1" x14ac:dyDescent="0.35">
      <c r="A10568">
        <v>10567</v>
      </c>
      <c r="B10568" t="s">
        <v>21254</v>
      </c>
      <c r="C10568" t="s">
        <v>33</v>
      </c>
      <c r="D10568" t="s">
        <v>34</v>
      </c>
      <c r="E10568">
        <v>2351</v>
      </c>
      <c r="F10568">
        <v>2</v>
      </c>
      <c r="G10568">
        <v>2</v>
      </c>
      <c r="H10568">
        <v>1</v>
      </c>
      <c r="I10568">
        <v>0</v>
      </c>
      <c r="J10568">
        <v>0.99216710182767598</v>
      </c>
      <c r="K10568">
        <v>1</v>
      </c>
      <c r="L10568">
        <v>0.99606815203145505</v>
      </c>
      <c r="M10568">
        <v>0.986945169712794</v>
      </c>
      <c r="N10568">
        <v>0.986945169712794</v>
      </c>
      <c r="O10568">
        <v>0.986945169712794</v>
      </c>
      <c r="AF10568" t="s">
        <v>21255</v>
      </c>
    </row>
    <row r="10569" spans="1:32" hidden="1" x14ac:dyDescent="0.35">
      <c r="A10569">
        <v>10568</v>
      </c>
      <c r="B10569" t="s">
        <v>21254</v>
      </c>
      <c r="C10569" t="s">
        <v>33</v>
      </c>
      <c r="D10569" t="s">
        <v>45</v>
      </c>
      <c r="E10569">
        <v>528</v>
      </c>
      <c r="F10569">
        <v>2</v>
      </c>
      <c r="G10569">
        <v>2</v>
      </c>
      <c r="H10569">
        <v>1</v>
      </c>
      <c r="I10569">
        <v>0</v>
      </c>
      <c r="J10569">
        <v>0.99216710182767598</v>
      </c>
      <c r="K10569">
        <v>1</v>
      </c>
      <c r="L10569">
        <v>0.99606815203145505</v>
      </c>
      <c r="M10569">
        <v>0.986945169712794</v>
      </c>
      <c r="N10569">
        <v>0.986945169712794</v>
      </c>
      <c r="O10569">
        <v>0.986945169712794</v>
      </c>
      <c r="AF10569" t="s">
        <v>21256</v>
      </c>
    </row>
    <row r="10570" spans="1:32" hidden="1" x14ac:dyDescent="0.35">
      <c r="A10570">
        <v>10569</v>
      </c>
      <c r="B10570" t="s">
        <v>21257</v>
      </c>
      <c r="C10570" t="s">
        <v>33</v>
      </c>
      <c r="D10570" t="s">
        <v>60</v>
      </c>
      <c r="E10570">
        <v>2117</v>
      </c>
      <c r="F10570">
        <v>2</v>
      </c>
      <c r="G10570">
        <v>2</v>
      </c>
      <c r="H10570">
        <v>1</v>
      </c>
      <c r="I10570">
        <v>0</v>
      </c>
      <c r="J10570">
        <v>0.97894736842105301</v>
      </c>
      <c r="K10570">
        <v>0.70016722408026899</v>
      </c>
      <c r="L10570">
        <v>0.81641463248436796</v>
      </c>
      <c r="M10570">
        <v>0.60666666666666702</v>
      </c>
      <c r="N10570">
        <v>0.60666666666666702</v>
      </c>
      <c r="O10570">
        <v>0.60666666666666702</v>
      </c>
      <c r="AF10570" t="e">
        <f>--------------------------------------------------------------------------------------------------------------MKHHLTEDTMLNDLGVLLHRVRAAYDIPAHGVHAGDIGGWVDSPDRLTLNGWITDDAQAYDDATITGAALVSENARIYESATVDETARVSGNAAICGHACVGYGAHVHGDITIDGRAWIEDADLSHPSHFLIVTPLGRAGENAQLTRCPDGSYTVTHGDWIGSLDDFAAAFEGAEYALFVDLARAHIDGA</f>
        <v>#NAME?</v>
      </c>
    </row>
    <row r="10571" spans="1:32" hidden="1" x14ac:dyDescent="0.35">
      <c r="A10571">
        <v>10570</v>
      </c>
      <c r="B10571" t="s">
        <v>21257</v>
      </c>
      <c r="C10571" t="s">
        <v>33</v>
      </c>
      <c r="D10571" t="s">
        <v>62</v>
      </c>
      <c r="E10571">
        <v>2151</v>
      </c>
      <c r="F10571">
        <v>2</v>
      </c>
      <c r="G10571">
        <v>2</v>
      </c>
      <c r="H10571">
        <v>1</v>
      </c>
      <c r="I10571">
        <v>0</v>
      </c>
      <c r="J10571">
        <v>0.97894736842105301</v>
      </c>
      <c r="K10571">
        <v>0.70016722408026899</v>
      </c>
      <c r="L10571">
        <v>0.81641463248436796</v>
      </c>
      <c r="M10571">
        <v>0.60666666666666702</v>
      </c>
      <c r="N10571">
        <v>0.60666666666666702</v>
      </c>
      <c r="O10571">
        <v>0.60666666666666702</v>
      </c>
      <c r="AF10571" t="s">
        <v>21258</v>
      </c>
    </row>
    <row r="10572" spans="1:32" hidden="1" x14ac:dyDescent="0.35">
      <c r="A10572">
        <v>10571</v>
      </c>
      <c r="B10572" t="s">
        <v>21259</v>
      </c>
      <c r="C10572" t="s">
        <v>33</v>
      </c>
      <c r="D10572" t="s">
        <v>60</v>
      </c>
      <c r="E10572">
        <v>2249</v>
      </c>
      <c r="F10572">
        <v>2</v>
      </c>
      <c r="G10572">
        <v>2</v>
      </c>
      <c r="H10572">
        <v>1</v>
      </c>
      <c r="I10572">
        <v>0</v>
      </c>
      <c r="J10572">
        <v>0.99568500539374305</v>
      </c>
      <c r="K10572">
        <v>1</v>
      </c>
      <c r="L10572">
        <v>0.99783783783783797</v>
      </c>
      <c r="M10572">
        <v>0.99352750809061496</v>
      </c>
      <c r="N10572">
        <v>0.99352750809061496</v>
      </c>
      <c r="O10572">
        <v>0.99352750809061496</v>
      </c>
      <c r="P10572" t="s">
        <v>182</v>
      </c>
      <c r="Q10572" t="s">
        <v>183</v>
      </c>
      <c r="R10572" t="s">
        <v>96</v>
      </c>
      <c r="S10572" t="s">
        <v>97</v>
      </c>
      <c r="V10572" t="s">
        <v>8211</v>
      </c>
      <c r="W10572" t="s">
        <v>8212</v>
      </c>
      <c r="AF10572" t="s">
        <v>21260</v>
      </c>
    </row>
    <row r="10573" spans="1:32" hidden="1" x14ac:dyDescent="0.35">
      <c r="A10573">
        <v>10572</v>
      </c>
      <c r="B10573" t="s">
        <v>21259</v>
      </c>
      <c r="C10573" t="s">
        <v>33</v>
      </c>
      <c r="D10573" t="s">
        <v>62</v>
      </c>
      <c r="E10573">
        <v>2278</v>
      </c>
      <c r="F10573">
        <v>2</v>
      </c>
      <c r="G10573">
        <v>2</v>
      </c>
      <c r="H10573">
        <v>1</v>
      </c>
      <c r="I10573">
        <v>0</v>
      </c>
      <c r="J10573">
        <v>0.99568500539374305</v>
      </c>
      <c r="K10573">
        <v>1</v>
      </c>
      <c r="L10573">
        <v>0.99783783783783797</v>
      </c>
      <c r="M10573">
        <v>0.99352750809061496</v>
      </c>
      <c r="N10573">
        <v>0.99352750809061496</v>
      </c>
      <c r="O10573">
        <v>0.99352750809061496</v>
      </c>
      <c r="P10573" t="s">
        <v>182</v>
      </c>
      <c r="Q10573" t="s">
        <v>183</v>
      </c>
      <c r="R10573" t="s">
        <v>96</v>
      </c>
      <c r="S10573" t="s">
        <v>97</v>
      </c>
      <c r="V10573" t="s">
        <v>8211</v>
      </c>
      <c r="W10573" t="s">
        <v>8212</v>
      </c>
      <c r="AF10573" t="s">
        <v>21261</v>
      </c>
    </row>
    <row r="10574" spans="1:32" hidden="1" x14ac:dyDescent="0.35">
      <c r="A10574">
        <v>10573</v>
      </c>
      <c r="B10574" t="s">
        <v>21262</v>
      </c>
      <c r="C10574" t="s">
        <v>33</v>
      </c>
      <c r="D10574" t="s">
        <v>34</v>
      </c>
      <c r="E10574">
        <v>407</v>
      </c>
      <c r="F10574">
        <v>2</v>
      </c>
      <c r="G10574">
        <v>2</v>
      </c>
      <c r="H10574">
        <v>1</v>
      </c>
      <c r="I10574">
        <v>0</v>
      </c>
      <c r="J10574">
        <v>0.99186991869918695</v>
      </c>
      <c r="K10574">
        <v>1</v>
      </c>
      <c r="L10574">
        <v>0.99591836734693895</v>
      </c>
      <c r="M10574">
        <v>0.98780487804878003</v>
      </c>
      <c r="N10574">
        <v>0.98780487804878003</v>
      </c>
      <c r="O10574">
        <v>0.98780487804878003</v>
      </c>
      <c r="AF10574" t="s">
        <v>21263</v>
      </c>
    </row>
    <row r="10575" spans="1:32" hidden="1" x14ac:dyDescent="0.35">
      <c r="A10575">
        <v>10574</v>
      </c>
      <c r="B10575" t="s">
        <v>21262</v>
      </c>
      <c r="C10575" t="s">
        <v>33</v>
      </c>
      <c r="D10575" t="s">
        <v>45</v>
      </c>
      <c r="E10575">
        <v>1668</v>
      </c>
      <c r="F10575">
        <v>2</v>
      </c>
      <c r="G10575">
        <v>2</v>
      </c>
      <c r="H10575">
        <v>1</v>
      </c>
      <c r="I10575">
        <v>0</v>
      </c>
      <c r="J10575">
        <v>0.99186991869918695</v>
      </c>
      <c r="K10575">
        <v>1</v>
      </c>
      <c r="L10575">
        <v>0.99591836734693895</v>
      </c>
      <c r="M10575">
        <v>0.98780487804878003</v>
      </c>
      <c r="N10575">
        <v>0.98780487804878003</v>
      </c>
      <c r="O10575">
        <v>0.98780487804878003</v>
      </c>
      <c r="AF10575" t="s">
        <v>21264</v>
      </c>
    </row>
    <row r="10576" spans="1:32" hidden="1" x14ac:dyDescent="0.35">
      <c r="A10576">
        <v>10575</v>
      </c>
      <c r="B10576" t="s">
        <v>21265</v>
      </c>
      <c r="C10576" t="s">
        <v>33</v>
      </c>
      <c r="D10576" t="s">
        <v>34</v>
      </c>
      <c r="E10576">
        <v>982</v>
      </c>
      <c r="F10576">
        <v>2</v>
      </c>
      <c r="G10576">
        <v>2</v>
      </c>
      <c r="H10576">
        <v>1</v>
      </c>
      <c r="I10576">
        <v>0</v>
      </c>
      <c r="J10576">
        <v>0.97534013605442205</v>
      </c>
      <c r="K10576">
        <v>1</v>
      </c>
      <c r="L10576">
        <v>0.98751614291863998</v>
      </c>
      <c r="M10576">
        <v>0.96683673469387799</v>
      </c>
      <c r="N10576">
        <v>0.96683673469387799</v>
      </c>
      <c r="O10576">
        <v>0.96683673469387799</v>
      </c>
      <c r="P10576" t="s">
        <v>16812</v>
      </c>
      <c r="Q10576" t="s">
        <v>16813</v>
      </c>
      <c r="R10576" t="s">
        <v>224</v>
      </c>
      <c r="S10576" t="s">
        <v>225</v>
      </c>
      <c r="T10576" t="s">
        <v>16814</v>
      </c>
      <c r="U10576" t="s">
        <v>16815</v>
      </c>
      <c r="V10576" t="s">
        <v>6719</v>
      </c>
      <c r="W10576" t="s">
        <v>6720</v>
      </c>
      <c r="AD10576" t="s">
        <v>6721</v>
      </c>
      <c r="AE10576" t="s">
        <v>6722</v>
      </c>
      <c r="AF10576" t="s">
        <v>21266</v>
      </c>
    </row>
    <row r="10577" spans="1:32" hidden="1" x14ac:dyDescent="0.35">
      <c r="A10577">
        <v>10576</v>
      </c>
      <c r="B10577" t="s">
        <v>21265</v>
      </c>
      <c r="C10577" t="s">
        <v>33</v>
      </c>
      <c r="D10577" t="s">
        <v>45</v>
      </c>
      <c r="E10577">
        <v>2237</v>
      </c>
      <c r="F10577">
        <v>2</v>
      </c>
      <c r="G10577">
        <v>2</v>
      </c>
      <c r="H10577">
        <v>1</v>
      </c>
      <c r="I10577">
        <v>0</v>
      </c>
      <c r="J10577">
        <v>0.97534013605442205</v>
      </c>
      <c r="K10577">
        <v>1</v>
      </c>
      <c r="L10577">
        <v>0.98751614291863998</v>
      </c>
      <c r="M10577">
        <v>0.96683673469387799</v>
      </c>
      <c r="N10577">
        <v>0.96683673469387799</v>
      </c>
      <c r="O10577">
        <v>0.96683673469387799</v>
      </c>
      <c r="P10577" t="s">
        <v>16812</v>
      </c>
      <c r="Q10577" t="s">
        <v>16813</v>
      </c>
      <c r="R10577" t="s">
        <v>224</v>
      </c>
      <c r="S10577" t="s">
        <v>225</v>
      </c>
      <c r="T10577" t="s">
        <v>16814</v>
      </c>
      <c r="U10577" t="s">
        <v>16815</v>
      </c>
      <c r="V10577" t="s">
        <v>6719</v>
      </c>
      <c r="W10577" t="s">
        <v>6720</v>
      </c>
      <c r="AD10577" t="s">
        <v>6721</v>
      </c>
      <c r="AE10577" t="s">
        <v>6722</v>
      </c>
      <c r="AF10577" t="s">
        <v>21267</v>
      </c>
    </row>
    <row r="10578" spans="1:32" hidden="1" x14ac:dyDescent="0.35">
      <c r="A10578">
        <v>10577</v>
      </c>
      <c r="B10578" t="s">
        <v>21268</v>
      </c>
      <c r="C10578" t="s">
        <v>33</v>
      </c>
      <c r="D10578" t="s">
        <v>34</v>
      </c>
      <c r="E10578">
        <v>1091</v>
      </c>
      <c r="F10578">
        <v>2</v>
      </c>
      <c r="G10578">
        <v>2</v>
      </c>
      <c r="H10578">
        <v>1</v>
      </c>
      <c r="I10578">
        <v>0</v>
      </c>
      <c r="J10578">
        <v>0.97647058823529398</v>
      </c>
      <c r="K10578">
        <v>1</v>
      </c>
      <c r="L10578">
        <v>0.98809523809523803</v>
      </c>
      <c r="M10578">
        <v>0.97647058823529398</v>
      </c>
      <c r="N10578">
        <v>0.97647058823529398</v>
      </c>
      <c r="O10578">
        <v>0.97647058823529398</v>
      </c>
      <c r="P10578" t="s">
        <v>16444</v>
      </c>
      <c r="Q10578" t="s">
        <v>16445</v>
      </c>
      <c r="R10578" t="s">
        <v>224</v>
      </c>
      <c r="S10578" t="s">
        <v>225</v>
      </c>
      <c r="T10578" t="s">
        <v>16446</v>
      </c>
      <c r="U10578" t="s">
        <v>16447</v>
      </c>
      <c r="V10578" t="s">
        <v>16448</v>
      </c>
      <c r="W10578" t="s">
        <v>16449</v>
      </c>
      <c r="AD10578" t="s">
        <v>2991</v>
      </c>
      <c r="AE10578" t="s">
        <v>16450</v>
      </c>
      <c r="AF10578" t="s">
        <v>21269</v>
      </c>
    </row>
    <row r="10579" spans="1:32" hidden="1" x14ac:dyDescent="0.35">
      <c r="A10579">
        <v>10578</v>
      </c>
      <c r="B10579" t="s">
        <v>21268</v>
      </c>
      <c r="C10579" t="s">
        <v>33</v>
      </c>
      <c r="D10579" t="s">
        <v>45</v>
      </c>
      <c r="E10579">
        <v>2345</v>
      </c>
      <c r="F10579">
        <v>2</v>
      </c>
      <c r="G10579">
        <v>2</v>
      </c>
      <c r="H10579">
        <v>1</v>
      </c>
      <c r="I10579">
        <v>0</v>
      </c>
      <c r="J10579">
        <v>0.97647058823529398</v>
      </c>
      <c r="K10579">
        <v>1</v>
      </c>
      <c r="L10579">
        <v>0.98809523809523803</v>
      </c>
      <c r="M10579">
        <v>0.97647058823529398</v>
      </c>
      <c r="N10579">
        <v>0.97647058823529398</v>
      </c>
      <c r="O10579">
        <v>0.97647058823529398</v>
      </c>
      <c r="P10579" t="s">
        <v>16444</v>
      </c>
      <c r="Q10579" t="s">
        <v>16445</v>
      </c>
      <c r="R10579" t="s">
        <v>224</v>
      </c>
      <c r="S10579" t="s">
        <v>225</v>
      </c>
      <c r="T10579" t="s">
        <v>16446</v>
      </c>
      <c r="U10579" t="s">
        <v>16447</v>
      </c>
      <c r="V10579" t="s">
        <v>16448</v>
      </c>
      <c r="W10579" t="s">
        <v>16449</v>
      </c>
      <c r="AD10579" t="s">
        <v>2991</v>
      </c>
      <c r="AE10579" t="s">
        <v>16450</v>
      </c>
      <c r="AF10579" t="s">
        <v>21270</v>
      </c>
    </row>
    <row r="10580" spans="1:32" hidden="1" x14ac:dyDescent="0.35">
      <c r="A10580">
        <v>10579</v>
      </c>
      <c r="B10580" t="s">
        <v>21271</v>
      </c>
      <c r="C10580" t="s">
        <v>33</v>
      </c>
      <c r="D10580" t="s">
        <v>34</v>
      </c>
      <c r="E10580">
        <v>16</v>
      </c>
      <c r="F10580">
        <v>2</v>
      </c>
      <c r="G10580">
        <v>2</v>
      </c>
      <c r="H10580">
        <v>1</v>
      </c>
      <c r="I10580">
        <v>0</v>
      </c>
      <c r="J10580">
        <v>0.99314128943758595</v>
      </c>
      <c r="K10580">
        <v>1</v>
      </c>
      <c r="L10580">
        <v>0.99655884377150705</v>
      </c>
      <c r="M10580">
        <v>0.98765432098765404</v>
      </c>
      <c r="N10580">
        <v>0.98765432098765404</v>
      </c>
      <c r="O10580">
        <v>0.98765432098765404</v>
      </c>
      <c r="P10580" t="s">
        <v>1041</v>
      </c>
      <c r="Q10580" t="s">
        <v>1042</v>
      </c>
      <c r="R10580" t="s">
        <v>138</v>
      </c>
      <c r="S10580" t="s">
        <v>139</v>
      </c>
      <c r="V10580" t="s">
        <v>1038</v>
      </c>
      <c r="W10580" t="s">
        <v>1039</v>
      </c>
      <c r="AF10580" t="s">
        <v>21272</v>
      </c>
    </row>
    <row r="10581" spans="1:32" hidden="1" x14ac:dyDescent="0.35">
      <c r="A10581">
        <v>10580</v>
      </c>
      <c r="B10581" t="s">
        <v>21271</v>
      </c>
      <c r="C10581" t="s">
        <v>33</v>
      </c>
      <c r="D10581" t="s">
        <v>45</v>
      </c>
      <c r="E10581">
        <v>1272</v>
      </c>
      <c r="F10581">
        <v>2</v>
      </c>
      <c r="G10581">
        <v>2</v>
      </c>
      <c r="H10581">
        <v>1</v>
      </c>
      <c r="I10581">
        <v>0</v>
      </c>
      <c r="J10581">
        <v>0.99314128943758595</v>
      </c>
      <c r="K10581">
        <v>1</v>
      </c>
      <c r="L10581">
        <v>0.99655884377150705</v>
      </c>
      <c r="M10581">
        <v>0.98765432098765404</v>
      </c>
      <c r="N10581">
        <v>0.98765432098765404</v>
      </c>
      <c r="O10581">
        <v>0.98765432098765404</v>
      </c>
      <c r="P10581" t="s">
        <v>1041</v>
      </c>
      <c r="Q10581" t="s">
        <v>1042</v>
      </c>
      <c r="R10581" t="s">
        <v>138</v>
      </c>
      <c r="S10581" t="s">
        <v>139</v>
      </c>
      <c r="V10581" t="s">
        <v>1038</v>
      </c>
      <c r="W10581" t="s">
        <v>1039</v>
      </c>
      <c r="AF10581" t="s">
        <v>21273</v>
      </c>
    </row>
    <row r="10582" spans="1:32" hidden="1" x14ac:dyDescent="0.35">
      <c r="A10582">
        <v>10581</v>
      </c>
      <c r="B10582" t="s">
        <v>21274</v>
      </c>
      <c r="C10582" t="s">
        <v>33</v>
      </c>
      <c r="D10582" t="s">
        <v>60</v>
      </c>
      <c r="E10582">
        <v>367</v>
      </c>
      <c r="F10582">
        <v>2</v>
      </c>
      <c r="G10582">
        <v>2</v>
      </c>
      <c r="H10582">
        <v>1</v>
      </c>
      <c r="I10582">
        <v>0</v>
      </c>
      <c r="J10582">
        <v>0.99867724867724905</v>
      </c>
      <c r="K10582">
        <v>1</v>
      </c>
      <c r="L10582">
        <v>0.99933818663136997</v>
      </c>
      <c r="M10582">
        <v>0.99867724867724905</v>
      </c>
      <c r="N10582">
        <v>0.99867724867724905</v>
      </c>
      <c r="O10582">
        <v>0.99867724867724905</v>
      </c>
      <c r="P10582" t="s">
        <v>7595</v>
      </c>
      <c r="Q10582" t="s">
        <v>7596</v>
      </c>
      <c r="R10582" t="s">
        <v>157</v>
      </c>
      <c r="S10582" t="s">
        <v>158</v>
      </c>
      <c r="T10582" t="s">
        <v>21275</v>
      </c>
      <c r="U10582" t="s">
        <v>21276</v>
      </c>
      <c r="V10582" t="s">
        <v>7597</v>
      </c>
      <c r="W10582" t="s">
        <v>7598</v>
      </c>
      <c r="AD10582" t="s">
        <v>166</v>
      </c>
      <c r="AE10582" t="s">
        <v>818</v>
      </c>
      <c r="AF10582" t="s">
        <v>21277</v>
      </c>
    </row>
    <row r="10583" spans="1:32" hidden="1" x14ac:dyDescent="0.35">
      <c r="A10583">
        <v>10582</v>
      </c>
      <c r="B10583" t="s">
        <v>21274</v>
      </c>
      <c r="C10583" t="s">
        <v>33</v>
      </c>
      <c r="D10583" t="s">
        <v>62</v>
      </c>
      <c r="E10583">
        <v>447</v>
      </c>
      <c r="F10583">
        <v>2</v>
      </c>
      <c r="G10583">
        <v>2</v>
      </c>
      <c r="H10583">
        <v>1</v>
      </c>
      <c r="I10583">
        <v>0</v>
      </c>
      <c r="J10583">
        <v>0.99867724867724905</v>
      </c>
      <c r="K10583">
        <v>1</v>
      </c>
      <c r="L10583">
        <v>0.99933818663136997</v>
      </c>
      <c r="M10583">
        <v>0.99867724867724905</v>
      </c>
      <c r="N10583">
        <v>0.99867724867724905</v>
      </c>
      <c r="O10583">
        <v>0.99867724867724905</v>
      </c>
      <c r="P10583" t="s">
        <v>7595</v>
      </c>
      <c r="Q10583" t="s">
        <v>7596</v>
      </c>
      <c r="R10583" t="s">
        <v>157</v>
      </c>
      <c r="S10583" t="s">
        <v>158</v>
      </c>
      <c r="T10583" t="s">
        <v>21275</v>
      </c>
      <c r="U10583" t="s">
        <v>21276</v>
      </c>
      <c r="V10583" t="s">
        <v>7597</v>
      </c>
      <c r="W10583" t="s">
        <v>7598</v>
      </c>
      <c r="AD10583" t="s">
        <v>166</v>
      </c>
      <c r="AE10583" t="s">
        <v>818</v>
      </c>
      <c r="AF10583" t="s">
        <v>21278</v>
      </c>
    </row>
    <row r="10584" spans="1:32" hidden="1" x14ac:dyDescent="0.35">
      <c r="A10584">
        <v>10583</v>
      </c>
      <c r="B10584" t="s">
        <v>21279</v>
      </c>
      <c r="C10584" t="s">
        <v>33</v>
      </c>
      <c r="D10584" t="s">
        <v>34</v>
      </c>
      <c r="E10584">
        <v>193</v>
      </c>
      <c r="F10584">
        <v>2</v>
      </c>
      <c r="G10584">
        <v>2</v>
      </c>
      <c r="H10584">
        <v>1</v>
      </c>
      <c r="I10584">
        <v>0</v>
      </c>
      <c r="J10584">
        <v>0.99342537804076303</v>
      </c>
      <c r="K10584">
        <v>1</v>
      </c>
      <c r="L10584">
        <v>0.99670184696569897</v>
      </c>
      <c r="M10584">
        <v>0.98816568047337305</v>
      </c>
      <c r="N10584">
        <v>0.98816568047337305</v>
      </c>
      <c r="O10584">
        <v>0.98816568047337305</v>
      </c>
      <c r="P10584" t="s">
        <v>1992</v>
      </c>
      <c r="Q10584" t="s">
        <v>1993</v>
      </c>
      <c r="R10584" t="s">
        <v>1191</v>
      </c>
      <c r="S10584" t="s">
        <v>1192</v>
      </c>
      <c r="V10584" t="s">
        <v>15771</v>
      </c>
      <c r="W10584" t="s">
        <v>15772</v>
      </c>
      <c r="AF10584" t="s">
        <v>21280</v>
      </c>
    </row>
    <row r="10585" spans="1:32" hidden="1" x14ac:dyDescent="0.35">
      <c r="A10585">
        <v>10584</v>
      </c>
      <c r="B10585" t="s">
        <v>21279</v>
      </c>
      <c r="C10585" t="s">
        <v>33</v>
      </c>
      <c r="D10585" t="s">
        <v>45</v>
      </c>
      <c r="E10585">
        <v>1456</v>
      </c>
      <c r="F10585">
        <v>2</v>
      </c>
      <c r="G10585">
        <v>2</v>
      </c>
      <c r="H10585">
        <v>1</v>
      </c>
      <c r="I10585">
        <v>0</v>
      </c>
      <c r="J10585">
        <v>0.99342537804076303</v>
      </c>
      <c r="K10585">
        <v>1</v>
      </c>
      <c r="L10585">
        <v>0.99670184696569897</v>
      </c>
      <c r="M10585">
        <v>0.98816568047337305</v>
      </c>
      <c r="N10585">
        <v>0.98816568047337305</v>
      </c>
      <c r="O10585">
        <v>0.98816568047337305</v>
      </c>
      <c r="P10585" t="s">
        <v>1992</v>
      </c>
      <c r="Q10585" t="s">
        <v>1993</v>
      </c>
      <c r="R10585" t="s">
        <v>1191</v>
      </c>
      <c r="S10585" t="s">
        <v>1192</v>
      </c>
      <c r="V10585" t="s">
        <v>15771</v>
      </c>
      <c r="W10585" t="s">
        <v>15772</v>
      </c>
      <c r="AF10585" t="s">
        <v>21281</v>
      </c>
    </row>
    <row r="10586" spans="1:32" hidden="1" x14ac:dyDescent="0.35">
      <c r="A10586">
        <v>10585</v>
      </c>
      <c r="B10586" t="s">
        <v>21282</v>
      </c>
      <c r="C10586" t="s">
        <v>33</v>
      </c>
      <c r="D10586" t="s">
        <v>60</v>
      </c>
      <c r="E10586">
        <v>288</v>
      </c>
      <c r="F10586">
        <v>2</v>
      </c>
      <c r="G10586">
        <v>2</v>
      </c>
      <c r="H10586">
        <v>1</v>
      </c>
      <c r="I10586">
        <v>0</v>
      </c>
      <c r="J10586">
        <v>0.98342541436464104</v>
      </c>
      <c r="K10586">
        <v>1</v>
      </c>
      <c r="L10586">
        <v>0.99164345403899701</v>
      </c>
      <c r="M10586">
        <v>0.98342541436464104</v>
      </c>
      <c r="N10586">
        <v>0.98342541436464104</v>
      </c>
      <c r="O10586">
        <v>0.98342541436464104</v>
      </c>
      <c r="P10586" t="s">
        <v>2163</v>
      </c>
      <c r="Q10586" t="s">
        <v>2164</v>
      </c>
      <c r="R10586" t="s">
        <v>113</v>
      </c>
      <c r="S10586" t="s">
        <v>114</v>
      </c>
      <c r="V10586" t="s">
        <v>2167</v>
      </c>
      <c r="W10586" t="s">
        <v>2168</v>
      </c>
      <c r="AF10586" t="s">
        <v>21283</v>
      </c>
    </row>
    <row r="10587" spans="1:32" hidden="1" x14ac:dyDescent="0.35">
      <c r="A10587">
        <v>10586</v>
      </c>
      <c r="B10587" t="s">
        <v>21282</v>
      </c>
      <c r="C10587" t="s">
        <v>33</v>
      </c>
      <c r="D10587" t="s">
        <v>62</v>
      </c>
      <c r="E10587">
        <v>366</v>
      </c>
      <c r="F10587">
        <v>2</v>
      </c>
      <c r="G10587">
        <v>2</v>
      </c>
      <c r="H10587">
        <v>1</v>
      </c>
      <c r="I10587">
        <v>0</v>
      </c>
      <c r="J10587">
        <v>0.98342541436464104</v>
      </c>
      <c r="K10587">
        <v>1</v>
      </c>
      <c r="L10587">
        <v>0.99164345403899701</v>
      </c>
      <c r="M10587">
        <v>0.98342541436464104</v>
      </c>
      <c r="N10587">
        <v>0.98342541436464104</v>
      </c>
      <c r="O10587">
        <v>0.98342541436464104</v>
      </c>
      <c r="P10587" t="s">
        <v>2163</v>
      </c>
      <c r="Q10587" t="s">
        <v>2164</v>
      </c>
      <c r="R10587" t="s">
        <v>113</v>
      </c>
      <c r="S10587" t="s">
        <v>114</v>
      </c>
      <c r="V10587" t="s">
        <v>2167</v>
      </c>
      <c r="W10587" t="s">
        <v>2168</v>
      </c>
      <c r="AF10587" t="s">
        <v>21284</v>
      </c>
    </row>
    <row r="10588" spans="1:32" hidden="1" x14ac:dyDescent="0.35">
      <c r="A10588">
        <v>10587</v>
      </c>
      <c r="B10588" t="s">
        <v>21285</v>
      </c>
      <c r="C10588" t="s">
        <v>33</v>
      </c>
      <c r="D10588" t="s">
        <v>34</v>
      </c>
      <c r="E10588">
        <v>1329</v>
      </c>
      <c r="F10588">
        <v>2</v>
      </c>
      <c r="G10588">
        <v>2</v>
      </c>
      <c r="H10588">
        <v>1</v>
      </c>
      <c r="I10588">
        <v>0</v>
      </c>
      <c r="J10588">
        <v>0.99924242424242404</v>
      </c>
      <c r="K10588">
        <v>1</v>
      </c>
      <c r="L10588">
        <v>0.99962106858658595</v>
      </c>
      <c r="M10588">
        <v>0.99772727272727302</v>
      </c>
      <c r="N10588">
        <v>0.99772727272727302</v>
      </c>
      <c r="O10588">
        <v>0.99772727272727302</v>
      </c>
      <c r="P10588" t="s">
        <v>16645</v>
      </c>
      <c r="Q10588" t="s">
        <v>16646</v>
      </c>
      <c r="AF10588" t="s">
        <v>21286</v>
      </c>
    </row>
    <row r="10589" spans="1:32" hidden="1" x14ac:dyDescent="0.35">
      <c r="A10589">
        <v>10588</v>
      </c>
      <c r="B10589" t="s">
        <v>21285</v>
      </c>
      <c r="C10589" t="s">
        <v>33</v>
      </c>
      <c r="D10589" t="s">
        <v>45</v>
      </c>
      <c r="E10589">
        <v>80</v>
      </c>
      <c r="F10589">
        <v>2</v>
      </c>
      <c r="G10589">
        <v>2</v>
      </c>
      <c r="H10589">
        <v>1</v>
      </c>
      <c r="I10589">
        <v>0</v>
      </c>
      <c r="J10589">
        <v>0.99924242424242404</v>
      </c>
      <c r="K10589">
        <v>1</v>
      </c>
      <c r="L10589">
        <v>0.99962106858658595</v>
      </c>
      <c r="M10589">
        <v>0.99772727272727302</v>
      </c>
      <c r="N10589">
        <v>0.99772727272727302</v>
      </c>
      <c r="O10589">
        <v>0.99772727272727302</v>
      </c>
      <c r="P10589" t="s">
        <v>16645</v>
      </c>
      <c r="Q10589" t="s">
        <v>16646</v>
      </c>
      <c r="AF10589" t="s">
        <v>21287</v>
      </c>
    </row>
    <row r="10590" spans="1:32" hidden="1" x14ac:dyDescent="0.35">
      <c r="A10590">
        <v>10589</v>
      </c>
      <c r="B10590" t="s">
        <v>21288</v>
      </c>
      <c r="C10590" t="s">
        <v>33</v>
      </c>
      <c r="D10590" t="s">
        <v>34</v>
      </c>
      <c r="E10590">
        <v>1154</v>
      </c>
      <c r="F10590">
        <v>2</v>
      </c>
      <c r="G10590">
        <v>2</v>
      </c>
      <c r="H10590">
        <v>1</v>
      </c>
      <c r="I10590">
        <v>0</v>
      </c>
      <c r="J10590">
        <v>0.94910941475827004</v>
      </c>
      <c r="K10590">
        <v>0.94722178621880504</v>
      </c>
      <c r="L10590">
        <v>0.94816466100562902</v>
      </c>
      <c r="M10590">
        <v>0.89530685920577602</v>
      </c>
      <c r="N10590">
        <v>0.89530685920577602</v>
      </c>
      <c r="O10590">
        <v>0.89530685920577602</v>
      </c>
      <c r="P10590" t="s">
        <v>21289</v>
      </c>
      <c r="Q10590" t="s">
        <v>21290</v>
      </c>
      <c r="R10590" t="s">
        <v>1191</v>
      </c>
      <c r="S10590" t="s">
        <v>1192</v>
      </c>
      <c r="T10590" t="s">
        <v>21291</v>
      </c>
      <c r="U10590" t="s">
        <v>21292</v>
      </c>
      <c r="V10590" t="s">
        <v>21293</v>
      </c>
      <c r="W10590" t="s">
        <v>21294</v>
      </c>
      <c r="AD10590" t="s">
        <v>21295</v>
      </c>
      <c r="AE10590" t="s">
        <v>21296</v>
      </c>
      <c r="AF10590" t="s">
        <v>21297</v>
      </c>
    </row>
    <row r="10591" spans="1:32" hidden="1" x14ac:dyDescent="0.35">
      <c r="A10591">
        <v>10590</v>
      </c>
      <c r="B10591" t="s">
        <v>21288</v>
      </c>
      <c r="C10591" t="s">
        <v>33</v>
      </c>
      <c r="D10591" t="s">
        <v>45</v>
      </c>
      <c r="E10591">
        <v>2399</v>
      </c>
      <c r="F10591">
        <v>2</v>
      </c>
      <c r="G10591">
        <v>2</v>
      </c>
      <c r="H10591">
        <v>1</v>
      </c>
      <c r="I10591">
        <v>0</v>
      </c>
      <c r="J10591">
        <v>0.94910941475827004</v>
      </c>
      <c r="K10591">
        <v>0.94722178621880504</v>
      </c>
      <c r="L10591">
        <v>0.94816466100562902</v>
      </c>
      <c r="M10591">
        <v>0.89530685920577602</v>
      </c>
      <c r="N10591">
        <v>0.89530685920577602</v>
      </c>
      <c r="O10591">
        <v>0.89530685920577602</v>
      </c>
      <c r="P10591" t="s">
        <v>21289</v>
      </c>
      <c r="Q10591" t="s">
        <v>21290</v>
      </c>
      <c r="R10591" t="s">
        <v>1191</v>
      </c>
      <c r="S10591" t="s">
        <v>1192</v>
      </c>
      <c r="T10591" t="s">
        <v>21291</v>
      </c>
      <c r="U10591" t="s">
        <v>21292</v>
      </c>
      <c r="V10591" t="s">
        <v>21293</v>
      </c>
      <c r="W10591" t="s">
        <v>21294</v>
      </c>
      <c r="AD10591" t="s">
        <v>21295</v>
      </c>
      <c r="AE10591" t="s">
        <v>21296</v>
      </c>
      <c r="AF10591" t="s">
        <v>21298</v>
      </c>
    </row>
    <row r="10592" spans="1:32" hidden="1" x14ac:dyDescent="0.35">
      <c r="A10592">
        <v>10591</v>
      </c>
      <c r="B10592" t="s">
        <v>21299</v>
      </c>
      <c r="C10592" t="s">
        <v>33</v>
      </c>
      <c r="D10592" t="s">
        <v>34</v>
      </c>
      <c r="E10592">
        <v>1418</v>
      </c>
      <c r="F10592">
        <v>2</v>
      </c>
      <c r="G10592">
        <v>2</v>
      </c>
      <c r="H10592">
        <v>1</v>
      </c>
      <c r="I10592">
        <v>0</v>
      </c>
      <c r="J10592">
        <v>0.98419540229885105</v>
      </c>
      <c r="K10592">
        <v>1</v>
      </c>
      <c r="L10592">
        <v>0.99203475742215796</v>
      </c>
      <c r="M10592">
        <v>0.97844827586206895</v>
      </c>
      <c r="N10592">
        <v>0.97844827586206895</v>
      </c>
      <c r="O10592">
        <v>0.97844827586206895</v>
      </c>
      <c r="P10592" t="s">
        <v>169</v>
      </c>
      <c r="Q10592" t="s">
        <v>170</v>
      </c>
      <c r="R10592" t="s">
        <v>157</v>
      </c>
      <c r="S10592" t="s">
        <v>158</v>
      </c>
      <c r="V10592" t="s">
        <v>161</v>
      </c>
      <c r="W10592" t="s">
        <v>162</v>
      </c>
      <c r="AF10592" t="s">
        <v>21300</v>
      </c>
    </row>
    <row r="10593" spans="1:32" hidden="1" x14ac:dyDescent="0.35">
      <c r="A10593">
        <v>10592</v>
      </c>
      <c r="B10593" t="s">
        <v>21299</v>
      </c>
      <c r="C10593" t="s">
        <v>33</v>
      </c>
      <c r="D10593" t="s">
        <v>45</v>
      </c>
      <c r="E10593">
        <v>169</v>
      </c>
      <c r="F10593">
        <v>2</v>
      </c>
      <c r="G10593">
        <v>2</v>
      </c>
      <c r="H10593">
        <v>1</v>
      </c>
      <c r="I10593">
        <v>0</v>
      </c>
      <c r="J10593">
        <v>0.98419540229885105</v>
      </c>
      <c r="K10593">
        <v>1</v>
      </c>
      <c r="L10593">
        <v>0.99203475742215796</v>
      </c>
      <c r="M10593">
        <v>0.97844827586206895</v>
      </c>
      <c r="N10593">
        <v>0.97844827586206895</v>
      </c>
      <c r="O10593">
        <v>0.97844827586206895</v>
      </c>
      <c r="P10593" t="s">
        <v>169</v>
      </c>
      <c r="Q10593" t="s">
        <v>170</v>
      </c>
      <c r="R10593" t="s">
        <v>157</v>
      </c>
      <c r="S10593" t="s">
        <v>158</v>
      </c>
      <c r="V10593" t="s">
        <v>161</v>
      </c>
      <c r="W10593" t="s">
        <v>162</v>
      </c>
      <c r="AF10593" t="s">
        <v>21301</v>
      </c>
    </row>
    <row r="10594" spans="1:32" hidden="1" x14ac:dyDescent="0.35">
      <c r="A10594">
        <v>10593</v>
      </c>
      <c r="B10594" t="s">
        <v>21302</v>
      </c>
      <c r="C10594" t="s">
        <v>33</v>
      </c>
      <c r="D10594" t="s">
        <v>60</v>
      </c>
      <c r="E10594">
        <v>1910</v>
      </c>
      <c r="F10594">
        <v>2</v>
      </c>
      <c r="G10594">
        <v>2</v>
      </c>
      <c r="H10594">
        <v>1</v>
      </c>
      <c r="I10594">
        <v>0</v>
      </c>
      <c r="J10594">
        <v>0.98622589531680405</v>
      </c>
      <c r="K10594">
        <v>0.98914548621968301</v>
      </c>
      <c r="L10594">
        <v>0.98768353319647795</v>
      </c>
      <c r="M10594">
        <v>0.97547683923705697</v>
      </c>
      <c r="N10594">
        <v>0.97547683923705697</v>
      </c>
      <c r="O10594">
        <v>0.97547683923705697</v>
      </c>
      <c r="P10594" t="s">
        <v>10846</v>
      </c>
      <c r="Q10594" t="s">
        <v>10847</v>
      </c>
      <c r="R10594" t="s">
        <v>75</v>
      </c>
      <c r="S10594" t="s">
        <v>76</v>
      </c>
      <c r="V10594" t="s">
        <v>10850</v>
      </c>
      <c r="W10594" t="s">
        <v>10851</v>
      </c>
      <c r="AF10594" t="s">
        <v>21303</v>
      </c>
    </row>
    <row r="10595" spans="1:32" hidden="1" x14ac:dyDescent="0.35">
      <c r="A10595">
        <v>10594</v>
      </c>
      <c r="B10595" t="s">
        <v>21302</v>
      </c>
      <c r="C10595" t="s">
        <v>33</v>
      </c>
      <c r="D10595" t="s">
        <v>62</v>
      </c>
      <c r="E10595">
        <v>1950</v>
      </c>
      <c r="F10595">
        <v>2</v>
      </c>
      <c r="G10595">
        <v>2</v>
      </c>
      <c r="H10595">
        <v>1</v>
      </c>
      <c r="I10595">
        <v>0</v>
      </c>
      <c r="J10595">
        <v>0.98622589531680405</v>
      </c>
      <c r="K10595">
        <v>0.98914548621968301</v>
      </c>
      <c r="L10595">
        <v>0.98768353319647795</v>
      </c>
      <c r="M10595">
        <v>0.97547683923705697</v>
      </c>
      <c r="N10595">
        <v>0.97547683923705697</v>
      </c>
      <c r="O10595">
        <v>0.97547683923705697</v>
      </c>
      <c r="P10595" t="s">
        <v>10846</v>
      </c>
      <c r="Q10595" t="s">
        <v>10847</v>
      </c>
      <c r="R10595" t="s">
        <v>75</v>
      </c>
      <c r="S10595" t="s">
        <v>76</v>
      </c>
      <c r="V10595" t="s">
        <v>10850</v>
      </c>
      <c r="W10595" t="s">
        <v>10851</v>
      </c>
      <c r="AF10595" t="s">
        <v>21304</v>
      </c>
    </row>
    <row r="10596" spans="1:32" hidden="1" x14ac:dyDescent="0.35">
      <c r="A10596">
        <v>10595</v>
      </c>
      <c r="B10596" t="s">
        <v>21305</v>
      </c>
      <c r="C10596" t="s">
        <v>33</v>
      </c>
      <c r="D10596" t="s">
        <v>34</v>
      </c>
      <c r="E10596">
        <v>1389</v>
      </c>
      <c r="F10596">
        <v>2</v>
      </c>
      <c r="G10596">
        <v>2</v>
      </c>
      <c r="H10596">
        <v>1</v>
      </c>
      <c r="I10596">
        <v>0</v>
      </c>
      <c r="J10596">
        <v>0.97297297297297303</v>
      </c>
      <c r="K10596">
        <v>1</v>
      </c>
      <c r="L10596">
        <v>0.98630136986301398</v>
      </c>
      <c r="M10596">
        <v>0.97297297297297303</v>
      </c>
      <c r="N10596">
        <v>0.97297297297297303</v>
      </c>
      <c r="O10596">
        <v>0.97297297297297303</v>
      </c>
      <c r="P10596" t="s">
        <v>10744</v>
      </c>
      <c r="Q10596" t="s">
        <v>10745</v>
      </c>
      <c r="AF10596" t="s">
        <v>21306</v>
      </c>
    </row>
    <row r="10597" spans="1:32" hidden="1" x14ac:dyDescent="0.35">
      <c r="A10597">
        <v>10596</v>
      </c>
      <c r="B10597" t="s">
        <v>21305</v>
      </c>
      <c r="C10597" t="s">
        <v>33</v>
      </c>
      <c r="D10597" t="s">
        <v>45</v>
      </c>
      <c r="E10597">
        <v>139</v>
      </c>
      <c r="F10597">
        <v>2</v>
      </c>
      <c r="G10597">
        <v>2</v>
      </c>
      <c r="H10597">
        <v>1</v>
      </c>
      <c r="I10597">
        <v>0</v>
      </c>
      <c r="J10597">
        <v>0.97297297297297303</v>
      </c>
      <c r="K10597">
        <v>1</v>
      </c>
      <c r="L10597">
        <v>0.98630136986301398</v>
      </c>
      <c r="M10597">
        <v>0.97297297297297303</v>
      </c>
      <c r="N10597">
        <v>0.97297297297297303</v>
      </c>
      <c r="O10597">
        <v>0.97297297297297303</v>
      </c>
      <c r="AF10597" t="s">
        <v>21307</v>
      </c>
    </row>
    <row r="10598" spans="1:32" hidden="1" x14ac:dyDescent="0.35">
      <c r="A10598">
        <v>10597</v>
      </c>
      <c r="B10598" t="s">
        <v>21308</v>
      </c>
      <c r="C10598" t="s">
        <v>33</v>
      </c>
      <c r="D10598" t="s">
        <v>34</v>
      </c>
      <c r="E10598">
        <v>1401</v>
      </c>
      <c r="F10598">
        <v>2</v>
      </c>
      <c r="G10598">
        <v>2</v>
      </c>
      <c r="H10598">
        <v>1</v>
      </c>
      <c r="I10598">
        <v>0</v>
      </c>
      <c r="J10598">
        <v>0.99816849816849795</v>
      </c>
      <c r="K10598">
        <v>0.91802446576315899</v>
      </c>
      <c r="L10598">
        <v>0.95642048532794099</v>
      </c>
      <c r="M10598">
        <v>0.90954773869346695</v>
      </c>
      <c r="N10598">
        <v>0.90954773869346695</v>
      </c>
      <c r="O10598">
        <v>0.90954773869346695</v>
      </c>
      <c r="AF10598" t="e">
        <f>-----------------MDVDKKDRNEILVAMIIYTLMLVLLGRRLLDLVIWHRIPHSFGVLLAERADEGMIPLSLADSVAKSLLISGFLLSLLGIVAVATTLILLARQLLKGQFFTAYNVKCFTIGSLSLGVYFLGVFVQNMGANEMAAKLNLRSWFDYSEAQSLDYIAMFLFVETLVLLAVVIRRGISMQEDQEGLI</f>
        <v>#NAME?</v>
      </c>
    </row>
    <row r="10599" spans="1:32" hidden="1" x14ac:dyDescent="0.35">
      <c r="A10599">
        <v>10598</v>
      </c>
      <c r="B10599" t="s">
        <v>21308</v>
      </c>
      <c r="C10599" t="s">
        <v>33</v>
      </c>
      <c r="D10599" t="s">
        <v>45</v>
      </c>
      <c r="E10599">
        <v>152</v>
      </c>
      <c r="F10599">
        <v>2</v>
      </c>
      <c r="G10599">
        <v>2</v>
      </c>
      <c r="H10599">
        <v>1</v>
      </c>
      <c r="I10599">
        <v>0</v>
      </c>
      <c r="J10599">
        <v>0.99816849816849795</v>
      </c>
      <c r="K10599">
        <v>0.91802446576315899</v>
      </c>
      <c r="L10599">
        <v>0.95642048532794099</v>
      </c>
      <c r="M10599">
        <v>0.90954773869346695</v>
      </c>
      <c r="N10599">
        <v>0.90954773869346695</v>
      </c>
      <c r="O10599">
        <v>0.90954773869346695</v>
      </c>
      <c r="AF10599" t="s">
        <v>21309</v>
      </c>
    </row>
    <row r="10600" spans="1:32" hidden="1" x14ac:dyDescent="0.35">
      <c r="A10600">
        <v>10599</v>
      </c>
      <c r="B10600" t="s">
        <v>21310</v>
      </c>
      <c r="C10600" t="s">
        <v>33</v>
      </c>
      <c r="D10600" t="s">
        <v>60</v>
      </c>
      <c r="E10600">
        <v>1733</v>
      </c>
      <c r="F10600">
        <v>2</v>
      </c>
      <c r="G10600">
        <v>2</v>
      </c>
      <c r="H10600">
        <v>1</v>
      </c>
      <c r="I10600">
        <v>0</v>
      </c>
      <c r="J10600">
        <v>0.99622285174693104</v>
      </c>
      <c r="K10600">
        <v>1</v>
      </c>
      <c r="L10600">
        <v>0.99810785241248801</v>
      </c>
      <c r="M10600">
        <v>0.99433427762039694</v>
      </c>
      <c r="N10600">
        <v>0.99433427762039694</v>
      </c>
      <c r="O10600">
        <v>0.99433427762039694</v>
      </c>
      <c r="P10600" t="s">
        <v>21311</v>
      </c>
      <c r="Q10600" t="s">
        <v>21312</v>
      </c>
      <c r="R10600" t="s">
        <v>157</v>
      </c>
      <c r="S10600" t="s">
        <v>158</v>
      </c>
      <c r="T10600" t="s">
        <v>21313</v>
      </c>
      <c r="U10600" t="s">
        <v>21314</v>
      </c>
      <c r="V10600" t="s">
        <v>21315</v>
      </c>
      <c r="W10600" t="s">
        <v>21316</v>
      </c>
      <c r="AD10600" t="s">
        <v>410</v>
      </c>
      <c r="AE10600" t="s">
        <v>11283</v>
      </c>
      <c r="AF10600" t="s">
        <v>21317</v>
      </c>
    </row>
    <row r="10601" spans="1:32" hidden="1" x14ac:dyDescent="0.35">
      <c r="A10601">
        <v>10600</v>
      </c>
      <c r="B10601" t="s">
        <v>21310</v>
      </c>
      <c r="C10601" t="s">
        <v>33</v>
      </c>
      <c r="D10601" t="s">
        <v>62</v>
      </c>
      <c r="E10601">
        <v>1770</v>
      </c>
      <c r="F10601">
        <v>2</v>
      </c>
      <c r="G10601">
        <v>2</v>
      </c>
      <c r="H10601">
        <v>1</v>
      </c>
      <c r="I10601">
        <v>0</v>
      </c>
      <c r="J10601">
        <v>0.99622285174693104</v>
      </c>
      <c r="K10601">
        <v>1</v>
      </c>
      <c r="L10601">
        <v>0.99810785241248801</v>
      </c>
      <c r="M10601">
        <v>0.99433427762039694</v>
      </c>
      <c r="N10601">
        <v>0.99433427762039694</v>
      </c>
      <c r="O10601">
        <v>0.99433427762039694</v>
      </c>
      <c r="P10601" t="s">
        <v>21311</v>
      </c>
      <c r="Q10601" t="s">
        <v>21312</v>
      </c>
      <c r="R10601" t="s">
        <v>157</v>
      </c>
      <c r="S10601" t="s">
        <v>158</v>
      </c>
      <c r="T10601" t="s">
        <v>21313</v>
      </c>
      <c r="U10601" t="s">
        <v>21314</v>
      </c>
      <c r="V10601" t="s">
        <v>21315</v>
      </c>
      <c r="W10601" t="s">
        <v>21316</v>
      </c>
      <c r="AD10601" t="s">
        <v>410</v>
      </c>
      <c r="AE10601" t="s">
        <v>11283</v>
      </c>
      <c r="AF10601" t="s">
        <v>21318</v>
      </c>
    </row>
    <row r="10602" spans="1:32" hidden="1" x14ac:dyDescent="0.35">
      <c r="A10602">
        <v>10601</v>
      </c>
      <c r="B10602" t="s">
        <v>21319</v>
      </c>
      <c r="C10602" t="s">
        <v>33</v>
      </c>
      <c r="D10602" t="s">
        <v>34</v>
      </c>
      <c r="E10602">
        <v>1668</v>
      </c>
      <c r="F10602">
        <v>2</v>
      </c>
      <c r="G10602">
        <v>2</v>
      </c>
      <c r="H10602">
        <v>1</v>
      </c>
      <c r="I10602">
        <v>0</v>
      </c>
      <c r="J10602">
        <v>1</v>
      </c>
      <c r="K10602">
        <v>0.87850337619091501</v>
      </c>
      <c r="L10602">
        <v>0.93532264815224997</v>
      </c>
      <c r="M10602">
        <v>0.87017543859649105</v>
      </c>
      <c r="N10602">
        <v>0.87017543859649105</v>
      </c>
      <c r="O10602">
        <v>0.87017543859649105</v>
      </c>
      <c r="P10602" t="s">
        <v>21320</v>
      </c>
      <c r="Q10602" t="s">
        <v>21321</v>
      </c>
      <c r="R10602" t="s">
        <v>652</v>
      </c>
      <c r="S10602" t="s">
        <v>653</v>
      </c>
      <c r="T10602" t="s">
        <v>21322</v>
      </c>
      <c r="U10602" t="s">
        <v>21323</v>
      </c>
      <c r="V10602" t="s">
        <v>21324</v>
      </c>
      <c r="W10602" t="s">
        <v>21325</v>
      </c>
      <c r="X10602" t="s">
        <v>21324</v>
      </c>
      <c r="Y10602" t="s">
        <v>619</v>
      </c>
      <c r="AD10602" t="s">
        <v>219</v>
      </c>
      <c r="AE10602" t="s">
        <v>21326</v>
      </c>
      <c r="AF10602" t="s">
        <v>21327</v>
      </c>
    </row>
    <row r="10603" spans="1:32" hidden="1" x14ac:dyDescent="0.35">
      <c r="A10603">
        <v>10602</v>
      </c>
      <c r="B10603" t="s">
        <v>21319</v>
      </c>
      <c r="C10603" t="s">
        <v>33</v>
      </c>
      <c r="D10603" t="s">
        <v>45</v>
      </c>
      <c r="E10603">
        <v>1208</v>
      </c>
      <c r="F10603">
        <v>2</v>
      </c>
      <c r="G10603">
        <v>2</v>
      </c>
      <c r="H10603">
        <v>1</v>
      </c>
      <c r="I10603">
        <v>0</v>
      </c>
      <c r="J10603">
        <v>1</v>
      </c>
      <c r="K10603">
        <v>0.87850337619091501</v>
      </c>
      <c r="L10603">
        <v>0.93532264815224997</v>
      </c>
      <c r="M10603">
        <v>0.87017543859649105</v>
      </c>
      <c r="N10603">
        <v>0.87017543859649105</v>
      </c>
      <c r="O10603">
        <v>0.87017543859649105</v>
      </c>
      <c r="P10603" t="s">
        <v>21328</v>
      </c>
      <c r="Q10603" t="s">
        <v>21329</v>
      </c>
      <c r="R10603" t="s">
        <v>652</v>
      </c>
      <c r="S10603" t="s">
        <v>653</v>
      </c>
      <c r="T10603" t="s">
        <v>21322</v>
      </c>
      <c r="U10603" t="s">
        <v>21323</v>
      </c>
      <c r="V10603" t="s">
        <v>21324</v>
      </c>
      <c r="W10603" t="s">
        <v>21325</v>
      </c>
      <c r="X10603" t="s">
        <v>21324</v>
      </c>
      <c r="Y10603" t="s">
        <v>619</v>
      </c>
      <c r="AD10603" t="s">
        <v>219</v>
      </c>
      <c r="AE10603" t="s">
        <v>21326</v>
      </c>
      <c r="AF10603" t="s">
        <v>21330</v>
      </c>
    </row>
    <row r="10604" spans="1:32" hidden="1" x14ac:dyDescent="0.35">
      <c r="A10604">
        <v>10603</v>
      </c>
      <c r="B10604" t="s">
        <v>21331</v>
      </c>
      <c r="C10604" t="s">
        <v>33</v>
      </c>
      <c r="D10604" t="s">
        <v>34</v>
      </c>
      <c r="E10604">
        <v>2301</v>
      </c>
      <c r="F10604">
        <v>2</v>
      </c>
      <c r="G10604">
        <v>2</v>
      </c>
      <c r="H10604">
        <v>1</v>
      </c>
      <c r="I10604">
        <v>0</v>
      </c>
      <c r="J10604">
        <v>0.99154929577464801</v>
      </c>
      <c r="K10604">
        <v>1</v>
      </c>
      <c r="L10604">
        <v>0.99575671852899605</v>
      </c>
      <c r="M10604">
        <v>0.99154929577464801</v>
      </c>
      <c r="N10604">
        <v>0.99154929577464801</v>
      </c>
      <c r="O10604">
        <v>0.99154929577464801</v>
      </c>
      <c r="AF10604" t="s">
        <v>21332</v>
      </c>
    </row>
    <row r="10605" spans="1:32" hidden="1" x14ac:dyDescent="0.35">
      <c r="A10605">
        <v>10604</v>
      </c>
      <c r="B10605" t="s">
        <v>21331</v>
      </c>
      <c r="C10605" t="s">
        <v>33</v>
      </c>
      <c r="D10605" t="s">
        <v>45</v>
      </c>
      <c r="E10605">
        <v>576</v>
      </c>
      <c r="F10605">
        <v>2</v>
      </c>
      <c r="G10605">
        <v>2</v>
      </c>
      <c r="H10605">
        <v>1</v>
      </c>
      <c r="I10605">
        <v>0</v>
      </c>
      <c r="J10605">
        <v>0.99154929577464801</v>
      </c>
      <c r="K10605">
        <v>1</v>
      </c>
      <c r="L10605">
        <v>0.99575671852899605</v>
      </c>
      <c r="M10605">
        <v>0.99154929577464801</v>
      </c>
      <c r="N10605">
        <v>0.99154929577464801</v>
      </c>
      <c r="O10605">
        <v>0.99154929577464801</v>
      </c>
      <c r="AF10605" t="s">
        <v>21333</v>
      </c>
    </row>
    <row r="10606" spans="1:32" hidden="1" x14ac:dyDescent="0.35">
      <c r="A10606">
        <v>10605</v>
      </c>
      <c r="B10606" t="s">
        <v>21334</v>
      </c>
      <c r="C10606" t="s">
        <v>33</v>
      </c>
      <c r="D10606" t="s">
        <v>34</v>
      </c>
      <c r="E10606">
        <v>524</v>
      </c>
      <c r="F10606">
        <v>2</v>
      </c>
      <c r="G10606">
        <v>2</v>
      </c>
      <c r="H10606">
        <v>1</v>
      </c>
      <c r="I10606">
        <v>0</v>
      </c>
      <c r="J10606">
        <v>0.97435897435897401</v>
      </c>
      <c r="K10606">
        <v>1</v>
      </c>
      <c r="L10606">
        <v>0.98701298701298701</v>
      </c>
      <c r="M10606">
        <v>0.97435897435897401</v>
      </c>
      <c r="N10606">
        <v>0.97435897435897401</v>
      </c>
      <c r="O10606">
        <v>0.97435897435897401</v>
      </c>
      <c r="AF10606" t="s">
        <v>21335</v>
      </c>
    </row>
    <row r="10607" spans="1:32" hidden="1" x14ac:dyDescent="0.35">
      <c r="A10607">
        <v>10606</v>
      </c>
      <c r="B10607" t="s">
        <v>21334</v>
      </c>
      <c r="C10607" t="s">
        <v>33</v>
      </c>
      <c r="D10607" t="s">
        <v>45</v>
      </c>
      <c r="E10607">
        <v>1790</v>
      </c>
      <c r="F10607">
        <v>2</v>
      </c>
      <c r="G10607">
        <v>2</v>
      </c>
      <c r="H10607">
        <v>1</v>
      </c>
      <c r="I10607">
        <v>0</v>
      </c>
      <c r="J10607">
        <v>0.97435897435897401</v>
      </c>
      <c r="K10607">
        <v>1</v>
      </c>
      <c r="L10607">
        <v>0.98701298701298701</v>
      </c>
      <c r="M10607">
        <v>0.97435897435897401</v>
      </c>
      <c r="N10607">
        <v>0.97435897435897401</v>
      </c>
      <c r="O10607">
        <v>0.97435897435897401</v>
      </c>
      <c r="AF10607" t="s">
        <v>21336</v>
      </c>
    </row>
    <row r="10608" spans="1:32" hidden="1" x14ac:dyDescent="0.35">
      <c r="A10608">
        <v>10607</v>
      </c>
      <c r="B10608" t="s">
        <v>21337</v>
      </c>
      <c r="C10608" t="s">
        <v>33</v>
      </c>
      <c r="D10608" t="s">
        <v>34</v>
      </c>
      <c r="E10608">
        <v>51</v>
      </c>
      <c r="F10608">
        <v>2</v>
      </c>
      <c r="G10608">
        <v>2</v>
      </c>
      <c r="H10608">
        <v>1</v>
      </c>
      <c r="I10608">
        <v>0</v>
      </c>
      <c r="J10608">
        <v>0.99574209245742096</v>
      </c>
      <c r="K10608">
        <v>1</v>
      </c>
      <c r="L10608">
        <v>0.99786650411459898</v>
      </c>
      <c r="M10608">
        <v>0.99452554744525501</v>
      </c>
      <c r="N10608">
        <v>0.99452554744525501</v>
      </c>
      <c r="O10608">
        <v>0.99452554744525501</v>
      </c>
      <c r="AF10608" t="s">
        <v>21338</v>
      </c>
    </row>
    <row r="10609" spans="1:32" hidden="1" x14ac:dyDescent="0.35">
      <c r="A10609">
        <v>10608</v>
      </c>
      <c r="B10609" t="s">
        <v>21337</v>
      </c>
      <c r="C10609" t="s">
        <v>33</v>
      </c>
      <c r="D10609" t="s">
        <v>45</v>
      </c>
      <c r="E10609">
        <v>1309</v>
      </c>
      <c r="F10609">
        <v>2</v>
      </c>
      <c r="G10609">
        <v>2</v>
      </c>
      <c r="H10609">
        <v>1</v>
      </c>
      <c r="I10609">
        <v>0</v>
      </c>
      <c r="J10609">
        <v>0.99574209245742096</v>
      </c>
      <c r="K10609">
        <v>1</v>
      </c>
      <c r="L10609">
        <v>0.99786650411459898</v>
      </c>
      <c r="M10609">
        <v>0.99452554744525501</v>
      </c>
      <c r="N10609">
        <v>0.99452554744525501</v>
      </c>
      <c r="O10609">
        <v>0.99452554744525501</v>
      </c>
      <c r="AF10609" t="s">
        <v>21339</v>
      </c>
    </row>
    <row r="10610" spans="1:32" hidden="1" x14ac:dyDescent="0.35">
      <c r="A10610">
        <v>10609</v>
      </c>
      <c r="B10610" t="s">
        <v>21340</v>
      </c>
      <c r="C10610" t="s">
        <v>33</v>
      </c>
      <c r="D10610" t="s">
        <v>60</v>
      </c>
      <c r="E10610">
        <v>1814</v>
      </c>
      <c r="F10610">
        <v>2</v>
      </c>
      <c r="G10610">
        <v>2</v>
      </c>
      <c r="H10610">
        <v>1</v>
      </c>
      <c r="I10610">
        <v>0</v>
      </c>
      <c r="J10610">
        <v>0.99519230769230804</v>
      </c>
      <c r="K10610">
        <v>1</v>
      </c>
      <c r="L10610">
        <v>0.99759036144578295</v>
      </c>
      <c r="M10610">
        <v>0.99519230769230804</v>
      </c>
      <c r="N10610">
        <v>0.99519230769230804</v>
      </c>
      <c r="O10610">
        <v>0.99519230769230804</v>
      </c>
      <c r="P10610" t="s">
        <v>13433</v>
      </c>
      <c r="Q10610" t="s">
        <v>13434</v>
      </c>
      <c r="R10610" t="s">
        <v>96</v>
      </c>
      <c r="S10610" t="s">
        <v>97</v>
      </c>
      <c r="T10610" t="s">
        <v>21341</v>
      </c>
      <c r="U10610" t="s">
        <v>15581</v>
      </c>
      <c r="V10610" t="s">
        <v>13437</v>
      </c>
      <c r="W10610" t="s">
        <v>13438</v>
      </c>
      <c r="AD10610" t="s">
        <v>410</v>
      </c>
      <c r="AE10610" t="s">
        <v>1637</v>
      </c>
      <c r="AF10610" t="s">
        <v>21342</v>
      </c>
    </row>
    <row r="10611" spans="1:32" hidden="1" x14ac:dyDescent="0.35">
      <c r="A10611">
        <v>10610</v>
      </c>
      <c r="B10611" t="s">
        <v>21340</v>
      </c>
      <c r="C10611" t="s">
        <v>33</v>
      </c>
      <c r="D10611" t="s">
        <v>62</v>
      </c>
      <c r="E10611">
        <v>1852</v>
      </c>
      <c r="F10611">
        <v>2</v>
      </c>
      <c r="G10611">
        <v>2</v>
      </c>
      <c r="H10611">
        <v>1</v>
      </c>
      <c r="I10611">
        <v>0</v>
      </c>
      <c r="J10611">
        <v>0.99519230769230804</v>
      </c>
      <c r="K10611">
        <v>1</v>
      </c>
      <c r="L10611">
        <v>0.99759036144578295</v>
      </c>
      <c r="M10611">
        <v>0.99519230769230804</v>
      </c>
      <c r="N10611">
        <v>0.99519230769230804</v>
      </c>
      <c r="O10611">
        <v>0.99519230769230804</v>
      </c>
      <c r="P10611" t="s">
        <v>13433</v>
      </c>
      <c r="Q10611" t="s">
        <v>13434</v>
      </c>
      <c r="R10611" t="s">
        <v>96</v>
      </c>
      <c r="S10611" t="s">
        <v>97</v>
      </c>
      <c r="T10611" t="s">
        <v>21341</v>
      </c>
      <c r="U10611" t="s">
        <v>15581</v>
      </c>
      <c r="V10611" t="s">
        <v>13437</v>
      </c>
      <c r="W10611" t="s">
        <v>13438</v>
      </c>
      <c r="AD10611" t="s">
        <v>410</v>
      </c>
      <c r="AE10611" t="s">
        <v>1637</v>
      </c>
      <c r="AF10611" t="s">
        <v>21343</v>
      </c>
    </row>
    <row r="10612" spans="1:32" hidden="1" x14ac:dyDescent="0.35">
      <c r="A10612">
        <v>10611</v>
      </c>
      <c r="B10612" t="s">
        <v>21344</v>
      </c>
      <c r="C10612" t="s">
        <v>33</v>
      </c>
      <c r="D10612" t="s">
        <v>34</v>
      </c>
      <c r="E10612">
        <v>2377</v>
      </c>
      <c r="F10612">
        <v>2</v>
      </c>
      <c r="G10612">
        <v>2</v>
      </c>
      <c r="H10612">
        <v>1</v>
      </c>
      <c r="I10612">
        <v>0</v>
      </c>
      <c r="J10612">
        <v>0.91056910569105698</v>
      </c>
      <c r="K10612">
        <v>1</v>
      </c>
      <c r="L10612">
        <v>0.95319148936170195</v>
      </c>
      <c r="M10612">
        <v>0.90243902439024404</v>
      </c>
      <c r="N10612">
        <v>0.90243902439024404</v>
      </c>
      <c r="O10612">
        <v>0.90243902439024404</v>
      </c>
      <c r="AF10612" t="s">
        <v>21345</v>
      </c>
    </row>
    <row r="10613" spans="1:32" hidden="1" x14ac:dyDescent="0.35">
      <c r="A10613">
        <v>10612</v>
      </c>
      <c r="B10613" t="s">
        <v>21344</v>
      </c>
      <c r="C10613" t="s">
        <v>33</v>
      </c>
      <c r="D10613" t="s">
        <v>45</v>
      </c>
      <c r="E10613">
        <v>501</v>
      </c>
      <c r="F10613">
        <v>2</v>
      </c>
      <c r="G10613">
        <v>2</v>
      </c>
      <c r="H10613">
        <v>1</v>
      </c>
      <c r="I10613">
        <v>0</v>
      </c>
      <c r="J10613">
        <v>0.91056910569105698</v>
      </c>
      <c r="K10613">
        <v>1</v>
      </c>
      <c r="L10613">
        <v>0.95319148936170195</v>
      </c>
      <c r="M10613">
        <v>0.90243902439024404</v>
      </c>
      <c r="N10613">
        <v>0.90243902439024404</v>
      </c>
      <c r="O10613">
        <v>0.90243902439024404</v>
      </c>
      <c r="AF10613" t="s">
        <v>21346</v>
      </c>
    </row>
    <row r="10614" spans="1:32" hidden="1" x14ac:dyDescent="0.35">
      <c r="A10614">
        <v>10613</v>
      </c>
      <c r="B10614" t="s">
        <v>21347</v>
      </c>
      <c r="C10614" t="s">
        <v>33</v>
      </c>
      <c r="D10614" t="s">
        <v>34</v>
      </c>
      <c r="E10614">
        <v>1665</v>
      </c>
      <c r="F10614">
        <v>2</v>
      </c>
      <c r="G10614">
        <v>2</v>
      </c>
      <c r="H10614">
        <v>1</v>
      </c>
      <c r="I10614">
        <v>0</v>
      </c>
      <c r="J10614">
        <v>0.97845373891001297</v>
      </c>
      <c r="K10614">
        <v>0.92866918827452205</v>
      </c>
      <c r="L10614">
        <v>0.95291166240571301</v>
      </c>
      <c r="M10614">
        <v>0.90140845070422504</v>
      </c>
      <c r="N10614">
        <v>0.90140845070422504</v>
      </c>
      <c r="O10614">
        <v>0.90140845070422504</v>
      </c>
      <c r="P10614" t="s">
        <v>2041</v>
      </c>
      <c r="Q10614" t="s">
        <v>2035</v>
      </c>
      <c r="R10614" t="s">
        <v>869</v>
      </c>
      <c r="S10614" t="s">
        <v>870</v>
      </c>
      <c r="V10614" t="s">
        <v>2036</v>
      </c>
      <c r="W10614" t="s">
        <v>2037</v>
      </c>
      <c r="X10614" t="s">
        <v>2036</v>
      </c>
      <c r="Y10614" t="s">
        <v>2038</v>
      </c>
      <c r="AF10614" t="s">
        <v>21348</v>
      </c>
    </row>
    <row r="10615" spans="1:32" hidden="1" x14ac:dyDescent="0.35">
      <c r="A10615">
        <v>10614</v>
      </c>
      <c r="B10615" t="s">
        <v>21347</v>
      </c>
      <c r="C10615" t="s">
        <v>33</v>
      </c>
      <c r="D10615" t="s">
        <v>45</v>
      </c>
      <c r="E10615">
        <v>1212</v>
      </c>
      <c r="F10615">
        <v>2</v>
      </c>
      <c r="G10615">
        <v>2</v>
      </c>
      <c r="H10615">
        <v>1</v>
      </c>
      <c r="I10615">
        <v>0</v>
      </c>
      <c r="J10615">
        <v>0.97845373891001297</v>
      </c>
      <c r="K10615">
        <v>0.92866918827452205</v>
      </c>
      <c r="L10615">
        <v>0.95291166240571301</v>
      </c>
      <c r="M10615">
        <v>0.90140845070422504</v>
      </c>
      <c r="N10615">
        <v>0.90140845070422504</v>
      </c>
      <c r="O10615">
        <v>0.90140845070422504</v>
      </c>
      <c r="P10615" t="s">
        <v>2041</v>
      </c>
      <c r="Q10615" t="s">
        <v>2035</v>
      </c>
      <c r="R10615" t="s">
        <v>869</v>
      </c>
      <c r="S10615" t="s">
        <v>870</v>
      </c>
      <c r="V10615" t="s">
        <v>2036</v>
      </c>
      <c r="W10615" t="s">
        <v>2037</v>
      </c>
      <c r="X10615" t="s">
        <v>2036</v>
      </c>
      <c r="Y10615" t="s">
        <v>2038</v>
      </c>
      <c r="AF10615" t="s">
        <v>21349</v>
      </c>
    </row>
    <row r="10616" spans="1:32" hidden="1" x14ac:dyDescent="0.35">
      <c r="A10616">
        <v>10615</v>
      </c>
      <c r="B10616" t="s">
        <v>21350</v>
      </c>
      <c r="C10616" t="s">
        <v>33</v>
      </c>
      <c r="D10616" t="s">
        <v>34</v>
      </c>
      <c r="E10616">
        <v>917</v>
      </c>
      <c r="F10616">
        <v>2</v>
      </c>
      <c r="G10616">
        <v>2</v>
      </c>
      <c r="H10616">
        <v>1</v>
      </c>
      <c r="I10616">
        <v>0</v>
      </c>
      <c r="J10616">
        <v>0.99426699426699405</v>
      </c>
      <c r="K10616">
        <v>1</v>
      </c>
      <c r="L10616">
        <v>0.99712525667351104</v>
      </c>
      <c r="M10616">
        <v>0.99262899262899296</v>
      </c>
      <c r="N10616">
        <v>0.99262899262899296</v>
      </c>
      <c r="O10616">
        <v>0.99262899262899296</v>
      </c>
      <c r="P10616" t="s">
        <v>16585</v>
      </c>
      <c r="Q10616" t="s">
        <v>16586</v>
      </c>
      <c r="R10616" t="s">
        <v>371</v>
      </c>
      <c r="S10616" t="s">
        <v>372</v>
      </c>
      <c r="T10616" t="s">
        <v>5833</v>
      </c>
      <c r="U10616" t="s">
        <v>5834</v>
      </c>
      <c r="V10616" t="s">
        <v>5835</v>
      </c>
      <c r="W10616" t="s">
        <v>5836</v>
      </c>
      <c r="AD10616" t="s">
        <v>3961</v>
      </c>
      <c r="AE10616" t="s">
        <v>3962</v>
      </c>
      <c r="AF10616" t="s">
        <v>21351</v>
      </c>
    </row>
    <row r="10617" spans="1:32" hidden="1" x14ac:dyDescent="0.35">
      <c r="A10617">
        <v>10616</v>
      </c>
      <c r="B10617" t="s">
        <v>21350</v>
      </c>
      <c r="C10617" t="s">
        <v>33</v>
      </c>
      <c r="D10617" t="s">
        <v>45</v>
      </c>
      <c r="E10617">
        <v>2173</v>
      </c>
      <c r="F10617">
        <v>2</v>
      </c>
      <c r="G10617">
        <v>2</v>
      </c>
      <c r="H10617">
        <v>1</v>
      </c>
      <c r="I10617">
        <v>0</v>
      </c>
      <c r="J10617">
        <v>0.99426699426699405</v>
      </c>
      <c r="K10617">
        <v>1</v>
      </c>
      <c r="L10617">
        <v>0.99712525667351104</v>
      </c>
      <c r="M10617">
        <v>0.99262899262899296</v>
      </c>
      <c r="N10617">
        <v>0.99262899262899296</v>
      </c>
      <c r="O10617">
        <v>0.99262899262899296</v>
      </c>
      <c r="P10617" t="s">
        <v>16585</v>
      </c>
      <c r="Q10617" t="s">
        <v>16586</v>
      </c>
      <c r="R10617" t="s">
        <v>371</v>
      </c>
      <c r="S10617" t="s">
        <v>372</v>
      </c>
      <c r="T10617" t="s">
        <v>5833</v>
      </c>
      <c r="U10617" t="s">
        <v>5834</v>
      </c>
      <c r="V10617" t="s">
        <v>5835</v>
      </c>
      <c r="W10617" t="s">
        <v>5836</v>
      </c>
      <c r="AD10617" t="s">
        <v>3961</v>
      </c>
      <c r="AE10617" t="s">
        <v>3962</v>
      </c>
      <c r="AF10617" t="s">
        <v>21352</v>
      </c>
    </row>
    <row r="10618" spans="1:32" hidden="1" x14ac:dyDescent="0.35">
      <c r="A10618">
        <v>10617</v>
      </c>
      <c r="B10618" t="s">
        <v>21353</v>
      </c>
      <c r="C10618" t="s">
        <v>33</v>
      </c>
      <c r="D10618" t="s">
        <v>60</v>
      </c>
      <c r="E10618">
        <v>238</v>
      </c>
      <c r="F10618">
        <v>2</v>
      </c>
      <c r="G10618">
        <v>2</v>
      </c>
      <c r="H10618">
        <v>1</v>
      </c>
      <c r="I10618">
        <v>0</v>
      </c>
      <c r="J10618">
        <v>0.99649122807017498</v>
      </c>
      <c r="K10618">
        <v>1</v>
      </c>
      <c r="L10618">
        <v>0.99824253075571201</v>
      </c>
      <c r="M10618">
        <v>0.99649122807017498</v>
      </c>
      <c r="N10618">
        <v>0.99649122807017498</v>
      </c>
      <c r="O10618">
        <v>0.99649122807017498</v>
      </c>
      <c r="P10618" t="s">
        <v>1531</v>
      </c>
      <c r="Q10618" t="s">
        <v>1532</v>
      </c>
      <c r="R10618" t="s">
        <v>8778</v>
      </c>
      <c r="S10618" t="s">
        <v>8779</v>
      </c>
      <c r="V10618" t="s">
        <v>14006</v>
      </c>
      <c r="W10618" t="s">
        <v>14007</v>
      </c>
      <c r="AF10618" t="s">
        <v>21354</v>
      </c>
    </row>
    <row r="10619" spans="1:32" hidden="1" x14ac:dyDescent="0.35">
      <c r="A10619">
        <v>10618</v>
      </c>
      <c r="B10619" t="s">
        <v>21353</v>
      </c>
      <c r="C10619" t="s">
        <v>33</v>
      </c>
      <c r="D10619" t="s">
        <v>62</v>
      </c>
      <c r="E10619">
        <v>315</v>
      </c>
      <c r="F10619">
        <v>2</v>
      </c>
      <c r="G10619">
        <v>2</v>
      </c>
      <c r="H10619">
        <v>1</v>
      </c>
      <c r="I10619">
        <v>0</v>
      </c>
      <c r="J10619">
        <v>0.99649122807017498</v>
      </c>
      <c r="K10619">
        <v>1</v>
      </c>
      <c r="L10619">
        <v>0.99824253075571201</v>
      </c>
      <c r="M10619">
        <v>0.99649122807017498</v>
      </c>
      <c r="N10619">
        <v>0.99649122807017498</v>
      </c>
      <c r="O10619">
        <v>0.99649122807017498</v>
      </c>
      <c r="P10619" t="s">
        <v>1531</v>
      </c>
      <c r="Q10619" t="s">
        <v>1532</v>
      </c>
      <c r="R10619" t="s">
        <v>8778</v>
      </c>
      <c r="S10619" t="s">
        <v>8779</v>
      </c>
      <c r="V10619" t="s">
        <v>14006</v>
      </c>
      <c r="W10619" t="s">
        <v>14007</v>
      </c>
      <c r="AF10619" t="s">
        <v>21355</v>
      </c>
    </row>
    <row r="10620" spans="1:32" hidden="1" x14ac:dyDescent="0.35">
      <c r="A10620">
        <v>10619</v>
      </c>
      <c r="B10620" t="s">
        <v>21356</v>
      </c>
      <c r="C10620" t="s">
        <v>33</v>
      </c>
      <c r="D10620" t="s">
        <v>34</v>
      </c>
      <c r="E10620">
        <v>412</v>
      </c>
      <c r="F10620">
        <v>2</v>
      </c>
      <c r="G10620">
        <v>2</v>
      </c>
      <c r="H10620">
        <v>1</v>
      </c>
      <c r="I10620">
        <v>0</v>
      </c>
      <c r="J10620">
        <v>0.99261992619926198</v>
      </c>
      <c r="K10620">
        <v>1</v>
      </c>
      <c r="L10620">
        <v>0.99629629629629601</v>
      </c>
      <c r="M10620">
        <v>0.99261992619926198</v>
      </c>
      <c r="N10620">
        <v>0.99261992619926198</v>
      </c>
      <c r="O10620">
        <v>0.99261992619926198</v>
      </c>
      <c r="P10620" t="s">
        <v>10272</v>
      </c>
      <c r="Q10620" t="s">
        <v>10273</v>
      </c>
      <c r="R10620" t="s">
        <v>75</v>
      </c>
      <c r="S10620" t="s">
        <v>76</v>
      </c>
      <c r="V10620" t="s">
        <v>12518</v>
      </c>
      <c r="W10620" t="s">
        <v>12519</v>
      </c>
      <c r="X10620" t="s">
        <v>12518</v>
      </c>
      <c r="Y10620" t="s">
        <v>2750</v>
      </c>
      <c r="AF10620" t="s">
        <v>21357</v>
      </c>
    </row>
    <row r="10621" spans="1:32" hidden="1" x14ac:dyDescent="0.35">
      <c r="A10621">
        <v>10620</v>
      </c>
      <c r="B10621" t="s">
        <v>21356</v>
      </c>
      <c r="C10621" t="s">
        <v>33</v>
      </c>
      <c r="D10621" t="s">
        <v>45</v>
      </c>
      <c r="E10621">
        <v>1674</v>
      </c>
      <c r="F10621">
        <v>2</v>
      </c>
      <c r="G10621">
        <v>2</v>
      </c>
      <c r="H10621">
        <v>1</v>
      </c>
      <c r="I10621">
        <v>0</v>
      </c>
      <c r="J10621">
        <v>0.99261992619926198</v>
      </c>
      <c r="K10621">
        <v>1</v>
      </c>
      <c r="L10621">
        <v>0.99629629629629601</v>
      </c>
      <c r="M10621">
        <v>0.99261992619926198</v>
      </c>
      <c r="N10621">
        <v>0.99261992619926198</v>
      </c>
      <c r="O10621">
        <v>0.99261992619926198</v>
      </c>
      <c r="P10621" t="s">
        <v>10272</v>
      </c>
      <c r="Q10621" t="s">
        <v>10273</v>
      </c>
      <c r="R10621" t="s">
        <v>75</v>
      </c>
      <c r="S10621" t="s">
        <v>76</v>
      </c>
      <c r="V10621" t="s">
        <v>12518</v>
      </c>
      <c r="W10621" t="s">
        <v>12519</v>
      </c>
      <c r="X10621" t="s">
        <v>12518</v>
      </c>
      <c r="Y10621" t="s">
        <v>2750</v>
      </c>
      <c r="AF10621" t="s">
        <v>21358</v>
      </c>
    </row>
    <row r="10622" spans="1:32" hidden="1" x14ac:dyDescent="0.35">
      <c r="A10622">
        <v>10621</v>
      </c>
      <c r="B10622" t="s">
        <v>21359</v>
      </c>
      <c r="C10622" t="s">
        <v>33</v>
      </c>
      <c r="D10622" t="s">
        <v>34</v>
      </c>
      <c r="E10622">
        <v>291</v>
      </c>
      <c r="F10622">
        <v>2</v>
      </c>
      <c r="G10622">
        <v>2</v>
      </c>
      <c r="H10622">
        <v>1</v>
      </c>
      <c r="I10622">
        <v>0</v>
      </c>
      <c r="J10622">
        <v>0.99807321772639701</v>
      </c>
      <c r="K10622">
        <v>1</v>
      </c>
      <c r="L10622">
        <v>0.99903567984570896</v>
      </c>
      <c r="M10622">
        <v>0.99421965317919103</v>
      </c>
      <c r="N10622">
        <v>0.99421965317919103</v>
      </c>
      <c r="O10622">
        <v>0.99421965317919103</v>
      </c>
      <c r="AF10622" t="s">
        <v>21360</v>
      </c>
    </row>
    <row r="10623" spans="1:32" hidden="1" x14ac:dyDescent="0.35">
      <c r="A10623">
        <v>10622</v>
      </c>
      <c r="B10623" t="s">
        <v>21359</v>
      </c>
      <c r="C10623" t="s">
        <v>33</v>
      </c>
      <c r="D10623" t="s">
        <v>45</v>
      </c>
      <c r="E10623">
        <v>1553</v>
      </c>
      <c r="F10623">
        <v>2</v>
      </c>
      <c r="G10623">
        <v>2</v>
      </c>
      <c r="H10623">
        <v>1</v>
      </c>
      <c r="I10623">
        <v>0</v>
      </c>
      <c r="J10623">
        <v>0.99807321772639701</v>
      </c>
      <c r="K10623">
        <v>1</v>
      </c>
      <c r="L10623">
        <v>0.99903567984570896</v>
      </c>
      <c r="M10623">
        <v>0.99421965317919103</v>
      </c>
      <c r="N10623">
        <v>0.99421965317919103</v>
      </c>
      <c r="O10623">
        <v>0.99421965317919103</v>
      </c>
      <c r="AF10623" t="s">
        <v>21361</v>
      </c>
    </row>
    <row r="10624" spans="1:32" hidden="1" x14ac:dyDescent="0.35">
      <c r="A10624">
        <v>10623</v>
      </c>
      <c r="B10624" t="s">
        <v>21362</v>
      </c>
      <c r="C10624" t="s">
        <v>33</v>
      </c>
      <c r="D10624" t="s">
        <v>34</v>
      </c>
      <c r="E10624">
        <v>1041</v>
      </c>
      <c r="F10624">
        <v>2</v>
      </c>
      <c r="G10624">
        <v>2</v>
      </c>
      <c r="H10624">
        <v>1</v>
      </c>
      <c r="I10624">
        <v>0</v>
      </c>
      <c r="J10624">
        <v>0.95812395309882703</v>
      </c>
      <c r="K10624">
        <v>0.87732705125258503</v>
      </c>
      <c r="L10624">
        <v>0.91594715469258803</v>
      </c>
      <c r="M10624">
        <v>0.82096069868995603</v>
      </c>
      <c r="N10624">
        <v>0.82096069868995603</v>
      </c>
      <c r="O10624">
        <v>0.82096069868995603</v>
      </c>
      <c r="AF10624" t="s">
        <v>21363</v>
      </c>
    </row>
    <row r="10625" spans="1:32" hidden="1" x14ac:dyDescent="0.35">
      <c r="A10625">
        <v>10624</v>
      </c>
      <c r="B10625" t="s">
        <v>21362</v>
      </c>
      <c r="C10625" t="s">
        <v>33</v>
      </c>
      <c r="D10625" t="s">
        <v>45</v>
      </c>
      <c r="E10625">
        <v>2296</v>
      </c>
      <c r="F10625">
        <v>2</v>
      </c>
      <c r="G10625">
        <v>2</v>
      </c>
      <c r="H10625">
        <v>1</v>
      </c>
      <c r="I10625">
        <v>0</v>
      </c>
      <c r="J10625">
        <v>0.95812395309882703</v>
      </c>
      <c r="K10625">
        <v>0.87732705125258503</v>
      </c>
      <c r="L10625">
        <v>0.91594715469258803</v>
      </c>
      <c r="M10625">
        <v>0.82096069868995603</v>
      </c>
      <c r="N10625">
        <v>0.82096069868995603</v>
      </c>
      <c r="O10625">
        <v>0.82096069868995603</v>
      </c>
      <c r="AF10625" t="e">
        <f>------------------------------MRRLLPPTLPTDYPTELPTNYPTELPTELSTSIAATPTTTSAEPKPVEIPLTNIIFDDPETQDHIEVLSIIRNFPSDARGTGRETVLLQVKVIPGEVYTNIISRGDFRLSSKEDKRGSSPTSYPEEAMKKAGHTPIGNVKSGDGERVGWYGVIAGKNVDSYTLTYTRQAAEILMPSASDKKEIPKFEKSFELPAAPSSK</f>
        <v>#NAME?</v>
      </c>
    </row>
    <row r="10626" spans="1:32" hidden="1" x14ac:dyDescent="0.35">
      <c r="A10626">
        <v>10625</v>
      </c>
      <c r="B10626" t="s">
        <v>21364</v>
      </c>
      <c r="C10626" t="s">
        <v>33</v>
      </c>
      <c r="D10626" t="s">
        <v>60</v>
      </c>
      <c r="E10626">
        <v>1055</v>
      </c>
      <c r="F10626">
        <v>2</v>
      </c>
      <c r="G10626">
        <v>2</v>
      </c>
      <c r="H10626">
        <v>1</v>
      </c>
      <c r="I10626">
        <v>0</v>
      </c>
      <c r="J10626">
        <v>0.97525473071324598</v>
      </c>
      <c r="K10626">
        <v>1</v>
      </c>
      <c r="L10626">
        <v>0.987472365512159</v>
      </c>
      <c r="M10626">
        <v>0.96069868995633201</v>
      </c>
      <c r="N10626">
        <v>0.96069868995633201</v>
      </c>
      <c r="O10626">
        <v>0.96069868995633201</v>
      </c>
      <c r="P10626" t="s">
        <v>12891</v>
      </c>
      <c r="Q10626" t="s">
        <v>12892</v>
      </c>
      <c r="R10626" t="s">
        <v>1259</v>
      </c>
      <c r="S10626" t="s">
        <v>1260</v>
      </c>
      <c r="T10626" t="s">
        <v>14577</v>
      </c>
      <c r="U10626" t="s">
        <v>14578</v>
      </c>
      <c r="V10626" t="s">
        <v>14579</v>
      </c>
      <c r="W10626" t="s">
        <v>2923</v>
      </c>
      <c r="AD10626" t="s">
        <v>5013</v>
      </c>
      <c r="AE10626" t="s">
        <v>5014</v>
      </c>
      <c r="AF10626" t="s">
        <v>21365</v>
      </c>
    </row>
    <row r="10627" spans="1:32" hidden="1" x14ac:dyDescent="0.35">
      <c r="A10627">
        <v>10626</v>
      </c>
      <c r="B10627" t="s">
        <v>21364</v>
      </c>
      <c r="C10627" t="s">
        <v>33</v>
      </c>
      <c r="D10627" t="s">
        <v>62</v>
      </c>
      <c r="E10627">
        <v>1091</v>
      </c>
      <c r="F10627">
        <v>2</v>
      </c>
      <c r="G10627">
        <v>2</v>
      </c>
      <c r="H10627">
        <v>1</v>
      </c>
      <c r="I10627">
        <v>0</v>
      </c>
      <c r="J10627">
        <v>0.97525473071324598</v>
      </c>
      <c r="K10627">
        <v>1</v>
      </c>
      <c r="L10627">
        <v>0.987472365512159</v>
      </c>
      <c r="M10627">
        <v>0.96069868995633201</v>
      </c>
      <c r="N10627">
        <v>0.96069868995633201</v>
      </c>
      <c r="O10627">
        <v>0.96069868995633201</v>
      </c>
      <c r="P10627" t="s">
        <v>12891</v>
      </c>
      <c r="Q10627" t="s">
        <v>12892</v>
      </c>
      <c r="R10627" t="s">
        <v>1259</v>
      </c>
      <c r="S10627" t="s">
        <v>1260</v>
      </c>
      <c r="T10627" t="s">
        <v>14577</v>
      </c>
      <c r="U10627" t="s">
        <v>14578</v>
      </c>
      <c r="V10627" t="s">
        <v>14579</v>
      </c>
      <c r="W10627" t="s">
        <v>2923</v>
      </c>
      <c r="AD10627" t="s">
        <v>5013</v>
      </c>
      <c r="AE10627" t="s">
        <v>5014</v>
      </c>
      <c r="AF10627" t="s">
        <v>21366</v>
      </c>
    </row>
    <row r="10628" spans="1:32" hidden="1" x14ac:dyDescent="0.35">
      <c r="A10628">
        <v>10627</v>
      </c>
      <c r="B10628" t="s">
        <v>21367</v>
      </c>
      <c r="C10628" t="s">
        <v>33</v>
      </c>
      <c r="D10628" t="s">
        <v>60</v>
      </c>
      <c r="E10628">
        <v>914</v>
      </c>
      <c r="F10628">
        <v>2</v>
      </c>
      <c r="G10628">
        <v>2</v>
      </c>
      <c r="H10628">
        <v>1</v>
      </c>
      <c r="I10628">
        <v>0</v>
      </c>
      <c r="J10628">
        <v>0.96766169154228898</v>
      </c>
      <c r="K10628">
        <v>1</v>
      </c>
      <c r="L10628">
        <v>0.98356510745891301</v>
      </c>
      <c r="M10628">
        <v>0.962686567164179</v>
      </c>
      <c r="N10628">
        <v>0.962686567164179</v>
      </c>
      <c r="O10628">
        <v>0.962686567164179</v>
      </c>
      <c r="P10628" t="s">
        <v>8002</v>
      </c>
      <c r="Q10628" t="s">
        <v>8003</v>
      </c>
      <c r="R10628" t="s">
        <v>138</v>
      </c>
      <c r="S10628" t="s">
        <v>139</v>
      </c>
      <c r="T10628" t="s">
        <v>7208</v>
      </c>
      <c r="U10628" t="s">
        <v>7209</v>
      </c>
      <c r="V10628" t="s">
        <v>10609</v>
      </c>
      <c r="W10628" t="s">
        <v>10610</v>
      </c>
      <c r="AD10628" t="s">
        <v>7210</v>
      </c>
      <c r="AE10628" t="s">
        <v>7211</v>
      </c>
      <c r="AF10628" t="s">
        <v>21368</v>
      </c>
    </row>
    <row r="10629" spans="1:32" hidden="1" x14ac:dyDescent="0.35">
      <c r="A10629">
        <v>10628</v>
      </c>
      <c r="B10629" t="s">
        <v>21367</v>
      </c>
      <c r="C10629" t="s">
        <v>33</v>
      </c>
      <c r="D10629" t="s">
        <v>62</v>
      </c>
      <c r="E10629">
        <v>950</v>
      </c>
      <c r="F10629">
        <v>2</v>
      </c>
      <c r="G10629">
        <v>2</v>
      </c>
      <c r="H10629">
        <v>1</v>
      </c>
      <c r="I10629">
        <v>0</v>
      </c>
      <c r="J10629">
        <v>0.96766169154228898</v>
      </c>
      <c r="K10629">
        <v>1</v>
      </c>
      <c r="L10629">
        <v>0.98356510745891301</v>
      </c>
      <c r="M10629">
        <v>0.962686567164179</v>
      </c>
      <c r="N10629">
        <v>0.962686567164179</v>
      </c>
      <c r="O10629">
        <v>0.962686567164179</v>
      </c>
      <c r="P10629" t="s">
        <v>8002</v>
      </c>
      <c r="Q10629" t="s">
        <v>8003</v>
      </c>
      <c r="R10629" t="s">
        <v>138</v>
      </c>
      <c r="S10629" t="s">
        <v>139</v>
      </c>
      <c r="T10629" t="s">
        <v>7208</v>
      </c>
      <c r="U10629" t="s">
        <v>7209</v>
      </c>
      <c r="V10629" t="s">
        <v>10609</v>
      </c>
      <c r="W10629" t="s">
        <v>10610</v>
      </c>
      <c r="AD10629" t="s">
        <v>7210</v>
      </c>
      <c r="AE10629" t="s">
        <v>7211</v>
      </c>
      <c r="AF10629" t="s">
        <v>21369</v>
      </c>
    </row>
    <row r="10630" spans="1:32" hidden="1" x14ac:dyDescent="0.35">
      <c r="A10630">
        <v>10629</v>
      </c>
      <c r="B10630" t="s">
        <v>21370</v>
      </c>
      <c r="C10630" t="s">
        <v>33</v>
      </c>
      <c r="D10630" t="s">
        <v>60</v>
      </c>
      <c r="E10630">
        <v>1045</v>
      </c>
      <c r="F10630">
        <v>2</v>
      </c>
      <c r="G10630">
        <v>2</v>
      </c>
      <c r="H10630">
        <v>1</v>
      </c>
      <c r="I10630">
        <v>0</v>
      </c>
      <c r="J10630">
        <v>0.98545454545454503</v>
      </c>
      <c r="K10630">
        <v>1</v>
      </c>
      <c r="L10630">
        <v>0.99267399267399303</v>
      </c>
      <c r="M10630">
        <v>0.97818181818181804</v>
      </c>
      <c r="N10630">
        <v>0.97818181818181804</v>
      </c>
      <c r="O10630">
        <v>0.97818181818181804</v>
      </c>
      <c r="P10630" t="s">
        <v>5019</v>
      </c>
      <c r="Q10630" t="s">
        <v>5020</v>
      </c>
      <c r="R10630" t="s">
        <v>288</v>
      </c>
      <c r="S10630" t="s">
        <v>289</v>
      </c>
      <c r="T10630" t="s">
        <v>21371</v>
      </c>
      <c r="U10630" t="s">
        <v>21372</v>
      </c>
      <c r="V10630" t="s">
        <v>5023</v>
      </c>
      <c r="W10630" t="s">
        <v>5024</v>
      </c>
      <c r="Z10630" t="s">
        <v>21373</v>
      </c>
      <c r="AA10630" t="s">
        <v>21374</v>
      </c>
      <c r="AB10630" t="s">
        <v>21373</v>
      </c>
      <c r="AC10630" t="s">
        <v>2395</v>
      </c>
      <c r="AD10630" t="s">
        <v>219</v>
      </c>
      <c r="AE10630" t="s">
        <v>21375</v>
      </c>
      <c r="AF10630" t="s">
        <v>21376</v>
      </c>
    </row>
    <row r="10631" spans="1:32" hidden="1" x14ac:dyDescent="0.35">
      <c r="A10631">
        <v>10630</v>
      </c>
      <c r="B10631" t="s">
        <v>21370</v>
      </c>
      <c r="C10631" t="s">
        <v>33</v>
      </c>
      <c r="D10631" t="s">
        <v>62</v>
      </c>
      <c r="E10631">
        <v>1081</v>
      </c>
      <c r="F10631">
        <v>2</v>
      </c>
      <c r="G10631">
        <v>2</v>
      </c>
      <c r="H10631">
        <v>1</v>
      </c>
      <c r="I10631">
        <v>0</v>
      </c>
      <c r="J10631">
        <v>0.98545454545454503</v>
      </c>
      <c r="K10631">
        <v>1</v>
      </c>
      <c r="L10631">
        <v>0.99267399267399303</v>
      </c>
      <c r="M10631">
        <v>0.97818181818181804</v>
      </c>
      <c r="N10631">
        <v>0.97818181818181804</v>
      </c>
      <c r="O10631">
        <v>0.97818181818181804</v>
      </c>
      <c r="P10631" t="s">
        <v>5019</v>
      </c>
      <c r="Q10631" t="s">
        <v>5020</v>
      </c>
      <c r="R10631" t="s">
        <v>288</v>
      </c>
      <c r="S10631" t="s">
        <v>289</v>
      </c>
      <c r="T10631" t="s">
        <v>21371</v>
      </c>
      <c r="U10631" t="s">
        <v>21372</v>
      </c>
      <c r="V10631" t="s">
        <v>5023</v>
      </c>
      <c r="W10631" t="s">
        <v>5024</v>
      </c>
      <c r="Z10631" t="s">
        <v>21373</v>
      </c>
      <c r="AA10631" t="s">
        <v>21374</v>
      </c>
      <c r="AB10631" t="s">
        <v>21373</v>
      </c>
      <c r="AC10631" t="s">
        <v>2395</v>
      </c>
      <c r="AD10631" t="s">
        <v>219</v>
      </c>
      <c r="AE10631" t="s">
        <v>21375</v>
      </c>
      <c r="AF10631" t="s">
        <v>21377</v>
      </c>
    </row>
    <row r="10632" spans="1:32" hidden="1" x14ac:dyDescent="0.35">
      <c r="A10632">
        <v>10631</v>
      </c>
      <c r="B10632" t="s">
        <v>21378</v>
      </c>
      <c r="C10632" t="s">
        <v>33</v>
      </c>
      <c r="D10632" t="s">
        <v>60</v>
      </c>
      <c r="E10632">
        <v>1825</v>
      </c>
      <c r="F10632">
        <v>2</v>
      </c>
      <c r="G10632">
        <v>2</v>
      </c>
      <c r="H10632">
        <v>1</v>
      </c>
      <c r="I10632">
        <v>0</v>
      </c>
      <c r="J10632">
        <v>0.99581589958159</v>
      </c>
      <c r="K10632">
        <v>1</v>
      </c>
      <c r="L10632">
        <v>0.99790356394129998</v>
      </c>
      <c r="M10632">
        <v>0.99581589958159</v>
      </c>
      <c r="N10632">
        <v>0.99581589958159</v>
      </c>
      <c r="O10632">
        <v>0.99581589958159</v>
      </c>
      <c r="P10632" t="s">
        <v>12781</v>
      </c>
      <c r="Q10632" t="s">
        <v>12782</v>
      </c>
      <c r="R10632" t="s">
        <v>288</v>
      </c>
      <c r="S10632" t="s">
        <v>289</v>
      </c>
      <c r="V10632" t="s">
        <v>21379</v>
      </c>
      <c r="W10632" t="s">
        <v>21380</v>
      </c>
      <c r="AF10632" t="s">
        <v>21381</v>
      </c>
    </row>
    <row r="10633" spans="1:32" hidden="1" x14ac:dyDescent="0.35">
      <c r="A10633">
        <v>10632</v>
      </c>
      <c r="B10633" t="s">
        <v>21378</v>
      </c>
      <c r="C10633" t="s">
        <v>33</v>
      </c>
      <c r="D10633" t="s">
        <v>62</v>
      </c>
      <c r="E10633">
        <v>1863</v>
      </c>
      <c r="F10633">
        <v>2</v>
      </c>
      <c r="G10633">
        <v>2</v>
      </c>
      <c r="H10633">
        <v>1</v>
      </c>
      <c r="I10633">
        <v>0</v>
      </c>
      <c r="J10633">
        <v>0.99581589958159</v>
      </c>
      <c r="K10633">
        <v>1</v>
      </c>
      <c r="L10633">
        <v>0.99790356394129998</v>
      </c>
      <c r="M10633">
        <v>0.99581589958159</v>
      </c>
      <c r="N10633">
        <v>0.99581589958159</v>
      </c>
      <c r="O10633">
        <v>0.99581589958159</v>
      </c>
      <c r="P10633" t="s">
        <v>12781</v>
      </c>
      <c r="Q10633" t="s">
        <v>12782</v>
      </c>
      <c r="R10633" t="s">
        <v>288</v>
      </c>
      <c r="S10633" t="s">
        <v>289</v>
      </c>
      <c r="V10633" t="s">
        <v>21379</v>
      </c>
      <c r="W10633" t="s">
        <v>21380</v>
      </c>
      <c r="AF10633" t="s">
        <v>21382</v>
      </c>
    </row>
    <row r="10634" spans="1:32" hidden="1" x14ac:dyDescent="0.35">
      <c r="A10634">
        <v>10633</v>
      </c>
      <c r="B10634" t="s">
        <v>21383</v>
      </c>
      <c r="C10634" t="s">
        <v>33</v>
      </c>
      <c r="D10634" t="s">
        <v>34</v>
      </c>
      <c r="E10634">
        <v>2042</v>
      </c>
      <c r="F10634">
        <v>2</v>
      </c>
      <c r="G10634">
        <v>2</v>
      </c>
      <c r="H10634">
        <v>1</v>
      </c>
      <c r="I10634">
        <v>0</v>
      </c>
      <c r="J10634">
        <v>0.95457875457875496</v>
      </c>
      <c r="K10634">
        <v>1</v>
      </c>
      <c r="L10634">
        <v>0.97676161919040505</v>
      </c>
      <c r="M10634">
        <v>0.94285714285714295</v>
      </c>
      <c r="N10634">
        <v>0.94285714285714295</v>
      </c>
      <c r="O10634">
        <v>0.94285714285714295</v>
      </c>
      <c r="P10634" t="s">
        <v>18896</v>
      </c>
      <c r="Q10634" t="s">
        <v>18897</v>
      </c>
      <c r="R10634" t="s">
        <v>138</v>
      </c>
      <c r="S10634" t="s">
        <v>139</v>
      </c>
      <c r="V10634" t="s">
        <v>18899</v>
      </c>
      <c r="W10634" t="s">
        <v>18900</v>
      </c>
      <c r="AF10634" t="s">
        <v>21384</v>
      </c>
    </row>
    <row r="10635" spans="1:32" hidden="1" x14ac:dyDescent="0.35">
      <c r="A10635">
        <v>10634</v>
      </c>
      <c r="B10635" t="s">
        <v>21383</v>
      </c>
      <c r="C10635" t="s">
        <v>33</v>
      </c>
      <c r="D10635" t="s">
        <v>45</v>
      </c>
      <c r="E10635">
        <v>830</v>
      </c>
      <c r="F10635">
        <v>2</v>
      </c>
      <c r="G10635">
        <v>2</v>
      </c>
      <c r="H10635">
        <v>1</v>
      </c>
      <c r="I10635">
        <v>0</v>
      </c>
      <c r="J10635">
        <v>0.95457875457875496</v>
      </c>
      <c r="K10635">
        <v>1</v>
      </c>
      <c r="L10635">
        <v>0.97676161919040505</v>
      </c>
      <c r="M10635">
        <v>0.94285714285714295</v>
      </c>
      <c r="N10635">
        <v>0.94285714285714295</v>
      </c>
      <c r="O10635">
        <v>0.94285714285714295</v>
      </c>
      <c r="P10635" t="s">
        <v>18896</v>
      </c>
      <c r="Q10635" t="s">
        <v>18897</v>
      </c>
      <c r="R10635" t="s">
        <v>138</v>
      </c>
      <c r="S10635" t="s">
        <v>139</v>
      </c>
      <c r="V10635" t="s">
        <v>18899</v>
      </c>
      <c r="W10635" t="s">
        <v>18900</v>
      </c>
      <c r="AF10635" t="s">
        <v>21385</v>
      </c>
    </row>
    <row r="10636" spans="1:32" hidden="1" x14ac:dyDescent="0.35">
      <c r="A10636">
        <v>10635</v>
      </c>
      <c r="B10636" t="s">
        <v>21386</v>
      </c>
      <c r="C10636" t="s">
        <v>33</v>
      </c>
      <c r="D10636" t="s">
        <v>60</v>
      </c>
      <c r="E10636">
        <v>2127</v>
      </c>
      <c r="F10636">
        <v>2</v>
      </c>
      <c r="G10636">
        <v>2</v>
      </c>
      <c r="H10636">
        <v>1</v>
      </c>
      <c r="I10636">
        <v>0</v>
      </c>
      <c r="J10636">
        <v>0.95370370370370405</v>
      </c>
      <c r="K10636">
        <v>1</v>
      </c>
      <c r="L10636">
        <v>0.976303317535545</v>
      </c>
      <c r="M10636">
        <v>0.94444444444444398</v>
      </c>
      <c r="N10636">
        <v>0.94444444444444398</v>
      </c>
      <c r="O10636">
        <v>0.94444444444444398</v>
      </c>
      <c r="P10636" t="s">
        <v>21387</v>
      </c>
      <c r="Q10636" t="s">
        <v>21388</v>
      </c>
      <c r="R10636" t="s">
        <v>75</v>
      </c>
      <c r="S10636" t="s">
        <v>76</v>
      </c>
      <c r="V10636" t="s">
        <v>21389</v>
      </c>
      <c r="W10636" t="s">
        <v>21390</v>
      </c>
      <c r="AF10636" t="s">
        <v>21391</v>
      </c>
    </row>
    <row r="10637" spans="1:32" hidden="1" x14ac:dyDescent="0.35">
      <c r="A10637">
        <v>10636</v>
      </c>
      <c r="B10637" t="s">
        <v>21386</v>
      </c>
      <c r="C10637" t="s">
        <v>33</v>
      </c>
      <c r="D10637" t="s">
        <v>62</v>
      </c>
      <c r="E10637">
        <v>2161</v>
      </c>
      <c r="F10637">
        <v>2</v>
      </c>
      <c r="G10637">
        <v>2</v>
      </c>
      <c r="H10637">
        <v>1</v>
      </c>
      <c r="I10637">
        <v>0</v>
      </c>
      <c r="J10637">
        <v>0.95370370370370405</v>
      </c>
      <c r="K10637">
        <v>1</v>
      </c>
      <c r="L10637">
        <v>0.976303317535545</v>
      </c>
      <c r="M10637">
        <v>0.94444444444444398</v>
      </c>
      <c r="N10637">
        <v>0.94444444444444398</v>
      </c>
      <c r="O10637">
        <v>0.94444444444444398</v>
      </c>
      <c r="P10637" t="s">
        <v>21387</v>
      </c>
      <c r="Q10637" t="s">
        <v>21388</v>
      </c>
      <c r="R10637" t="s">
        <v>75</v>
      </c>
      <c r="S10637" t="s">
        <v>76</v>
      </c>
      <c r="V10637" t="s">
        <v>21389</v>
      </c>
      <c r="W10637" t="s">
        <v>21390</v>
      </c>
      <c r="AF10637" t="s">
        <v>21392</v>
      </c>
    </row>
    <row r="10638" spans="1:32" hidden="1" x14ac:dyDescent="0.35">
      <c r="A10638">
        <v>10637</v>
      </c>
      <c r="B10638" t="s">
        <v>21393</v>
      </c>
      <c r="C10638" t="s">
        <v>33</v>
      </c>
      <c r="D10638" t="s">
        <v>34</v>
      </c>
      <c r="E10638">
        <v>1951</v>
      </c>
      <c r="F10638">
        <v>2</v>
      </c>
      <c r="G10638">
        <v>2</v>
      </c>
      <c r="H10638">
        <v>1</v>
      </c>
      <c r="I10638">
        <v>0</v>
      </c>
      <c r="J10638">
        <v>0.99047619047619095</v>
      </c>
      <c r="K10638">
        <v>1</v>
      </c>
      <c r="L10638">
        <v>0.995215311004785</v>
      </c>
      <c r="M10638">
        <v>0.99047619047619095</v>
      </c>
      <c r="N10638">
        <v>0.99047619047619095</v>
      </c>
      <c r="O10638">
        <v>0.99047619047619095</v>
      </c>
      <c r="P10638" t="s">
        <v>12710</v>
      </c>
      <c r="Q10638" t="s">
        <v>12711</v>
      </c>
      <c r="R10638" t="s">
        <v>213</v>
      </c>
      <c r="S10638" t="s">
        <v>214</v>
      </c>
      <c r="V10638" t="s">
        <v>12714</v>
      </c>
      <c r="W10638" t="s">
        <v>12715</v>
      </c>
      <c r="X10638" t="s">
        <v>12714</v>
      </c>
      <c r="Y10638" t="s">
        <v>840</v>
      </c>
      <c r="AF10638" t="s">
        <v>21394</v>
      </c>
    </row>
    <row r="10639" spans="1:32" hidden="1" x14ac:dyDescent="0.35">
      <c r="A10639">
        <v>10638</v>
      </c>
      <c r="B10639" t="s">
        <v>21393</v>
      </c>
      <c r="C10639" t="s">
        <v>33</v>
      </c>
      <c r="D10639" t="s">
        <v>45</v>
      </c>
      <c r="E10639">
        <v>922</v>
      </c>
      <c r="F10639">
        <v>2</v>
      </c>
      <c r="G10639">
        <v>2</v>
      </c>
      <c r="H10639">
        <v>1</v>
      </c>
      <c r="I10639">
        <v>0</v>
      </c>
      <c r="J10639">
        <v>0.99047619047619095</v>
      </c>
      <c r="K10639">
        <v>1</v>
      </c>
      <c r="L10639">
        <v>0.995215311004785</v>
      </c>
      <c r="M10639">
        <v>0.99047619047619095</v>
      </c>
      <c r="N10639">
        <v>0.99047619047619095</v>
      </c>
      <c r="O10639">
        <v>0.99047619047619095</v>
      </c>
      <c r="P10639" t="s">
        <v>12710</v>
      </c>
      <c r="Q10639" t="s">
        <v>12711</v>
      </c>
      <c r="R10639" t="s">
        <v>213</v>
      </c>
      <c r="S10639" t="s">
        <v>214</v>
      </c>
      <c r="V10639" t="s">
        <v>12714</v>
      </c>
      <c r="W10639" t="s">
        <v>12715</v>
      </c>
      <c r="X10639" t="s">
        <v>12714</v>
      </c>
      <c r="Y10639" t="s">
        <v>840</v>
      </c>
      <c r="AF10639" t="s">
        <v>21395</v>
      </c>
    </row>
    <row r="10640" spans="1:32" hidden="1" x14ac:dyDescent="0.35">
      <c r="A10640">
        <v>10639</v>
      </c>
      <c r="B10640" t="s">
        <v>21396</v>
      </c>
      <c r="C10640" t="s">
        <v>33</v>
      </c>
      <c r="D10640" t="s">
        <v>34</v>
      </c>
      <c r="E10640">
        <v>1363</v>
      </c>
      <c r="F10640">
        <v>2</v>
      </c>
      <c r="G10640">
        <v>2</v>
      </c>
      <c r="H10640">
        <v>1</v>
      </c>
      <c r="I10640">
        <v>0</v>
      </c>
      <c r="J10640">
        <v>0.97959183673469397</v>
      </c>
      <c r="K10640">
        <v>1</v>
      </c>
      <c r="L10640">
        <v>0.98969072164948502</v>
      </c>
      <c r="M10640">
        <v>0.97959183673469397</v>
      </c>
      <c r="N10640">
        <v>0.97959183673469397</v>
      </c>
      <c r="O10640">
        <v>0.97959183673469397</v>
      </c>
      <c r="P10640" t="s">
        <v>169</v>
      </c>
      <c r="Q10640" t="s">
        <v>170</v>
      </c>
      <c r="R10640" t="s">
        <v>288</v>
      </c>
      <c r="S10640" t="s">
        <v>289</v>
      </c>
      <c r="T10640" t="s">
        <v>3691</v>
      </c>
      <c r="U10640" t="s">
        <v>3692</v>
      </c>
      <c r="V10640" t="s">
        <v>21397</v>
      </c>
      <c r="W10640" t="s">
        <v>21398</v>
      </c>
      <c r="AD10640" t="s">
        <v>166</v>
      </c>
      <c r="AE10640" t="s">
        <v>3695</v>
      </c>
      <c r="AF10640" t="s">
        <v>21399</v>
      </c>
    </row>
    <row r="10641" spans="1:32" hidden="1" x14ac:dyDescent="0.35">
      <c r="A10641">
        <v>10640</v>
      </c>
      <c r="B10641" t="s">
        <v>21396</v>
      </c>
      <c r="C10641" t="s">
        <v>33</v>
      </c>
      <c r="D10641" t="s">
        <v>45</v>
      </c>
      <c r="E10641">
        <v>112</v>
      </c>
      <c r="F10641">
        <v>2</v>
      </c>
      <c r="G10641">
        <v>2</v>
      </c>
      <c r="H10641">
        <v>1</v>
      </c>
      <c r="I10641">
        <v>0</v>
      </c>
      <c r="J10641">
        <v>0.97959183673469397</v>
      </c>
      <c r="K10641">
        <v>1</v>
      </c>
      <c r="L10641">
        <v>0.98969072164948502</v>
      </c>
      <c r="M10641">
        <v>0.97959183673469397</v>
      </c>
      <c r="N10641">
        <v>0.97959183673469397</v>
      </c>
      <c r="O10641">
        <v>0.97959183673469397</v>
      </c>
      <c r="P10641" t="s">
        <v>169</v>
      </c>
      <c r="Q10641" t="s">
        <v>170</v>
      </c>
      <c r="R10641" t="s">
        <v>288</v>
      </c>
      <c r="S10641" t="s">
        <v>289</v>
      </c>
      <c r="T10641" t="s">
        <v>3691</v>
      </c>
      <c r="U10641" t="s">
        <v>3692</v>
      </c>
      <c r="V10641" t="s">
        <v>21397</v>
      </c>
      <c r="W10641" t="s">
        <v>21398</v>
      </c>
      <c r="AD10641" t="s">
        <v>166</v>
      </c>
      <c r="AE10641" t="s">
        <v>3695</v>
      </c>
      <c r="AF10641" t="s">
        <v>21400</v>
      </c>
    </row>
    <row r="10642" spans="1:32" hidden="1" x14ac:dyDescent="0.35">
      <c r="A10642">
        <v>10641</v>
      </c>
      <c r="B10642" t="s">
        <v>21401</v>
      </c>
      <c r="C10642" t="s">
        <v>33</v>
      </c>
      <c r="D10642" t="s">
        <v>34</v>
      </c>
      <c r="E10642">
        <v>1611</v>
      </c>
      <c r="F10642">
        <v>2</v>
      </c>
      <c r="G10642">
        <v>2</v>
      </c>
      <c r="H10642">
        <v>1</v>
      </c>
      <c r="I10642">
        <v>0</v>
      </c>
      <c r="J10642">
        <v>0.99382716049382702</v>
      </c>
      <c r="K10642">
        <v>1</v>
      </c>
      <c r="L10642">
        <v>0.99690402476780204</v>
      </c>
      <c r="M10642">
        <v>0.99074074074074103</v>
      </c>
      <c r="N10642">
        <v>0.99074074074074103</v>
      </c>
      <c r="O10642">
        <v>0.99074074074074103</v>
      </c>
      <c r="P10642" t="s">
        <v>2574</v>
      </c>
      <c r="Q10642" t="s">
        <v>2575</v>
      </c>
      <c r="R10642" t="s">
        <v>1498</v>
      </c>
      <c r="S10642" t="s">
        <v>1499</v>
      </c>
      <c r="V10642" t="s">
        <v>1500</v>
      </c>
      <c r="W10642" t="s">
        <v>1501</v>
      </c>
      <c r="AF10642" t="s">
        <v>21402</v>
      </c>
    </row>
    <row r="10643" spans="1:32" hidden="1" x14ac:dyDescent="0.35">
      <c r="A10643">
        <v>10642</v>
      </c>
      <c r="B10643" t="s">
        <v>21401</v>
      </c>
      <c r="C10643" t="s">
        <v>33</v>
      </c>
      <c r="D10643" t="s">
        <v>45</v>
      </c>
      <c r="E10643">
        <v>362</v>
      </c>
      <c r="F10643">
        <v>2</v>
      </c>
      <c r="G10643">
        <v>2</v>
      </c>
      <c r="H10643">
        <v>1</v>
      </c>
      <c r="I10643">
        <v>0</v>
      </c>
      <c r="J10643">
        <v>0.99382716049382702</v>
      </c>
      <c r="K10643">
        <v>1</v>
      </c>
      <c r="L10643">
        <v>0.99690402476780204</v>
      </c>
      <c r="M10643">
        <v>0.99074074074074103</v>
      </c>
      <c r="N10643">
        <v>0.99074074074074103</v>
      </c>
      <c r="O10643">
        <v>0.99074074074074103</v>
      </c>
      <c r="P10643" t="s">
        <v>2574</v>
      </c>
      <c r="Q10643" t="s">
        <v>2575</v>
      </c>
      <c r="R10643" t="s">
        <v>1498</v>
      </c>
      <c r="S10643" t="s">
        <v>1499</v>
      </c>
      <c r="V10643" t="s">
        <v>1500</v>
      </c>
      <c r="W10643" t="s">
        <v>1501</v>
      </c>
      <c r="AF10643" t="s">
        <v>21403</v>
      </c>
    </row>
    <row r="10644" spans="1:32" hidden="1" x14ac:dyDescent="0.35">
      <c r="A10644">
        <v>10643</v>
      </c>
      <c r="B10644" t="s">
        <v>21404</v>
      </c>
      <c r="C10644" t="s">
        <v>33</v>
      </c>
      <c r="D10644" t="s">
        <v>34</v>
      </c>
      <c r="E10644">
        <v>1060</v>
      </c>
      <c r="F10644">
        <v>2</v>
      </c>
      <c r="G10644">
        <v>2</v>
      </c>
      <c r="H10644">
        <v>1</v>
      </c>
      <c r="I10644">
        <v>0</v>
      </c>
      <c r="J10644">
        <v>0.95305164319248803</v>
      </c>
      <c r="K10644">
        <v>1</v>
      </c>
      <c r="L10644">
        <v>0.97596153846153799</v>
      </c>
      <c r="M10644">
        <v>0.94366197183098599</v>
      </c>
      <c r="N10644">
        <v>0.94366197183098599</v>
      </c>
      <c r="O10644">
        <v>0.94366197183098599</v>
      </c>
      <c r="AF10644" t="s">
        <v>21405</v>
      </c>
    </row>
    <row r="10645" spans="1:32" hidden="1" x14ac:dyDescent="0.35">
      <c r="A10645">
        <v>10644</v>
      </c>
      <c r="B10645" t="s">
        <v>21404</v>
      </c>
      <c r="C10645" t="s">
        <v>33</v>
      </c>
      <c r="D10645" t="s">
        <v>45</v>
      </c>
      <c r="E10645">
        <v>2315</v>
      </c>
      <c r="F10645">
        <v>2</v>
      </c>
      <c r="G10645">
        <v>2</v>
      </c>
      <c r="H10645">
        <v>1</v>
      </c>
      <c r="I10645">
        <v>0</v>
      </c>
      <c r="J10645">
        <v>0.95305164319248803</v>
      </c>
      <c r="K10645">
        <v>1</v>
      </c>
      <c r="L10645">
        <v>0.97596153846153799</v>
      </c>
      <c r="M10645">
        <v>0.94366197183098599</v>
      </c>
      <c r="N10645">
        <v>0.94366197183098599</v>
      </c>
      <c r="O10645">
        <v>0.94366197183098599</v>
      </c>
      <c r="AF10645" t="s">
        <v>21406</v>
      </c>
    </row>
    <row r="10646" spans="1:32" hidden="1" x14ac:dyDescent="0.35">
      <c r="A10646">
        <v>10645</v>
      </c>
      <c r="B10646" t="s">
        <v>21407</v>
      </c>
      <c r="C10646" t="s">
        <v>33</v>
      </c>
      <c r="D10646" t="s">
        <v>34</v>
      </c>
      <c r="E10646">
        <v>1829</v>
      </c>
      <c r="F10646">
        <v>2</v>
      </c>
      <c r="G10646">
        <v>2</v>
      </c>
      <c r="H10646">
        <v>1</v>
      </c>
      <c r="I10646">
        <v>0</v>
      </c>
      <c r="J10646">
        <v>0.99851632047477701</v>
      </c>
      <c r="K10646">
        <v>1</v>
      </c>
      <c r="L10646">
        <v>0.99925760950259801</v>
      </c>
      <c r="M10646">
        <v>0.99851632047477701</v>
      </c>
      <c r="N10646">
        <v>0.99851632047477701</v>
      </c>
      <c r="O10646">
        <v>0.99851632047477701</v>
      </c>
      <c r="P10646" t="s">
        <v>1036</v>
      </c>
      <c r="Q10646" t="s">
        <v>1037</v>
      </c>
      <c r="R10646" t="s">
        <v>1259</v>
      </c>
      <c r="S10646" t="s">
        <v>1260</v>
      </c>
      <c r="T10646" t="s">
        <v>12397</v>
      </c>
      <c r="U10646" t="s">
        <v>2977</v>
      </c>
      <c r="V10646" t="s">
        <v>15418</v>
      </c>
      <c r="W10646" t="s">
        <v>15419</v>
      </c>
      <c r="AD10646" t="s">
        <v>410</v>
      </c>
      <c r="AE10646" t="s">
        <v>603</v>
      </c>
      <c r="AF10646" t="s">
        <v>21408</v>
      </c>
    </row>
    <row r="10647" spans="1:32" hidden="1" x14ac:dyDescent="0.35">
      <c r="A10647">
        <v>10646</v>
      </c>
      <c r="B10647" t="s">
        <v>21407</v>
      </c>
      <c r="C10647" t="s">
        <v>33</v>
      </c>
      <c r="D10647" t="s">
        <v>45</v>
      </c>
      <c r="E10647">
        <v>1044</v>
      </c>
      <c r="F10647">
        <v>2</v>
      </c>
      <c r="G10647">
        <v>2</v>
      </c>
      <c r="H10647">
        <v>1</v>
      </c>
      <c r="I10647">
        <v>0</v>
      </c>
      <c r="J10647">
        <v>0.99851632047477701</v>
      </c>
      <c r="K10647">
        <v>1</v>
      </c>
      <c r="L10647">
        <v>0.99925760950259801</v>
      </c>
      <c r="M10647">
        <v>0.99851632047477701</v>
      </c>
      <c r="N10647">
        <v>0.99851632047477701</v>
      </c>
      <c r="O10647">
        <v>0.99851632047477701</v>
      </c>
      <c r="P10647" t="s">
        <v>1036</v>
      </c>
      <c r="Q10647" t="s">
        <v>1037</v>
      </c>
      <c r="R10647" t="s">
        <v>1259</v>
      </c>
      <c r="S10647" t="s">
        <v>1260</v>
      </c>
      <c r="T10647" t="s">
        <v>12397</v>
      </c>
      <c r="U10647" t="s">
        <v>2977</v>
      </c>
      <c r="V10647" t="s">
        <v>15418</v>
      </c>
      <c r="W10647" t="s">
        <v>15419</v>
      </c>
      <c r="AD10647" t="s">
        <v>410</v>
      </c>
      <c r="AE10647" t="s">
        <v>603</v>
      </c>
      <c r="AF10647" t="s">
        <v>21409</v>
      </c>
    </row>
    <row r="10648" spans="1:32" hidden="1" x14ac:dyDescent="0.35">
      <c r="A10648">
        <v>10647</v>
      </c>
      <c r="B10648" t="s">
        <v>21410</v>
      </c>
      <c r="C10648" t="s">
        <v>33</v>
      </c>
      <c r="D10648" t="s">
        <v>60</v>
      </c>
      <c r="E10648">
        <v>1809</v>
      </c>
      <c r="F10648">
        <v>2</v>
      </c>
      <c r="G10648">
        <v>2</v>
      </c>
      <c r="H10648">
        <v>1</v>
      </c>
      <c r="I10648">
        <v>0</v>
      </c>
      <c r="J10648">
        <v>0.99625468164793995</v>
      </c>
      <c r="K10648">
        <v>1</v>
      </c>
      <c r="L10648">
        <v>0.99812382739212002</v>
      </c>
      <c r="M10648">
        <v>0.98876404494381998</v>
      </c>
      <c r="N10648">
        <v>0.98876404494381998</v>
      </c>
      <c r="O10648">
        <v>0.98876404494381998</v>
      </c>
      <c r="P10648" t="s">
        <v>21411</v>
      </c>
      <c r="Q10648" t="s">
        <v>21412</v>
      </c>
      <c r="R10648" t="s">
        <v>235</v>
      </c>
      <c r="S10648" t="s">
        <v>236</v>
      </c>
      <c r="T10648" t="s">
        <v>21413</v>
      </c>
      <c r="U10648" t="s">
        <v>21414</v>
      </c>
      <c r="V10648" t="s">
        <v>21415</v>
      </c>
      <c r="W10648" t="s">
        <v>21416</v>
      </c>
      <c r="AD10648" t="s">
        <v>951</v>
      </c>
      <c r="AE10648" t="s">
        <v>13378</v>
      </c>
      <c r="AF10648" t="s">
        <v>21417</v>
      </c>
    </row>
    <row r="10649" spans="1:32" hidden="1" x14ac:dyDescent="0.35">
      <c r="A10649">
        <v>10648</v>
      </c>
      <c r="B10649" t="s">
        <v>21410</v>
      </c>
      <c r="C10649" t="s">
        <v>33</v>
      </c>
      <c r="D10649" t="s">
        <v>62</v>
      </c>
      <c r="E10649">
        <v>1847</v>
      </c>
      <c r="F10649">
        <v>2</v>
      </c>
      <c r="G10649">
        <v>2</v>
      </c>
      <c r="H10649">
        <v>1</v>
      </c>
      <c r="I10649">
        <v>0</v>
      </c>
      <c r="J10649">
        <v>0.99625468164793995</v>
      </c>
      <c r="K10649">
        <v>1</v>
      </c>
      <c r="L10649">
        <v>0.99812382739212002</v>
      </c>
      <c r="M10649">
        <v>0.98876404494381998</v>
      </c>
      <c r="N10649">
        <v>0.98876404494381998</v>
      </c>
      <c r="O10649">
        <v>0.98876404494381998</v>
      </c>
      <c r="P10649" t="s">
        <v>21411</v>
      </c>
      <c r="Q10649" t="s">
        <v>21412</v>
      </c>
      <c r="R10649" t="s">
        <v>235</v>
      </c>
      <c r="S10649" t="s">
        <v>236</v>
      </c>
      <c r="T10649" t="s">
        <v>21413</v>
      </c>
      <c r="U10649" t="s">
        <v>21414</v>
      </c>
      <c r="V10649" t="s">
        <v>21415</v>
      </c>
      <c r="W10649" t="s">
        <v>21416</v>
      </c>
      <c r="AD10649" t="s">
        <v>951</v>
      </c>
      <c r="AE10649" t="s">
        <v>13378</v>
      </c>
      <c r="AF10649" t="s">
        <v>21418</v>
      </c>
    </row>
    <row r="10650" spans="1:32" hidden="1" x14ac:dyDescent="0.35">
      <c r="A10650">
        <v>10649</v>
      </c>
      <c r="B10650" t="s">
        <v>21419</v>
      </c>
      <c r="C10650" t="s">
        <v>33</v>
      </c>
      <c r="D10650" t="s">
        <v>34</v>
      </c>
      <c r="E10650">
        <v>2262</v>
      </c>
      <c r="F10650">
        <v>2</v>
      </c>
      <c r="G10650">
        <v>2</v>
      </c>
      <c r="H10650">
        <v>1</v>
      </c>
      <c r="I10650">
        <v>0</v>
      </c>
      <c r="J10650">
        <v>0.96756756756756801</v>
      </c>
      <c r="K10650">
        <v>1</v>
      </c>
      <c r="L10650">
        <v>0.98351648351648402</v>
      </c>
      <c r="M10650">
        <v>0.94594594594594605</v>
      </c>
      <c r="N10650">
        <v>0.94594594594594605</v>
      </c>
      <c r="O10650">
        <v>0.94594594594594605</v>
      </c>
      <c r="P10650" t="s">
        <v>21420</v>
      </c>
      <c r="Q10650" t="s">
        <v>21421</v>
      </c>
      <c r="AF10650" t="s">
        <v>21422</v>
      </c>
    </row>
    <row r="10651" spans="1:32" hidden="1" x14ac:dyDescent="0.35">
      <c r="A10651">
        <v>10650</v>
      </c>
      <c r="B10651" t="s">
        <v>21419</v>
      </c>
      <c r="C10651" t="s">
        <v>33</v>
      </c>
      <c r="D10651" t="s">
        <v>45</v>
      </c>
      <c r="E10651">
        <v>615</v>
      </c>
      <c r="F10651">
        <v>2</v>
      </c>
      <c r="G10651">
        <v>2</v>
      </c>
      <c r="H10651">
        <v>1</v>
      </c>
      <c r="I10651">
        <v>0</v>
      </c>
      <c r="J10651">
        <v>0.96756756756756801</v>
      </c>
      <c r="K10651">
        <v>1</v>
      </c>
      <c r="L10651">
        <v>0.98351648351648402</v>
      </c>
      <c r="M10651">
        <v>0.94594594594594605</v>
      </c>
      <c r="N10651">
        <v>0.94594594594594605</v>
      </c>
      <c r="O10651">
        <v>0.94594594594594605</v>
      </c>
      <c r="P10651" t="s">
        <v>21420</v>
      </c>
      <c r="Q10651" t="s">
        <v>21421</v>
      </c>
      <c r="AF10651" t="s">
        <v>21423</v>
      </c>
    </row>
    <row r="10652" spans="1:32" hidden="1" x14ac:dyDescent="0.35">
      <c r="A10652">
        <v>10651</v>
      </c>
      <c r="B10652" t="s">
        <v>21424</v>
      </c>
      <c r="C10652" t="s">
        <v>33</v>
      </c>
      <c r="D10652" t="s">
        <v>34</v>
      </c>
      <c r="E10652">
        <v>526</v>
      </c>
      <c r="F10652">
        <v>2</v>
      </c>
      <c r="G10652">
        <v>2</v>
      </c>
      <c r="H10652">
        <v>1</v>
      </c>
      <c r="I10652">
        <v>0</v>
      </c>
      <c r="J10652">
        <v>0.98662551440329205</v>
      </c>
      <c r="K10652">
        <v>1</v>
      </c>
      <c r="L10652">
        <v>0.99326773692387405</v>
      </c>
      <c r="M10652">
        <v>0.98456790123456805</v>
      </c>
      <c r="N10652">
        <v>0.98456790123456805</v>
      </c>
      <c r="O10652">
        <v>0.98456790123456805</v>
      </c>
      <c r="P10652" t="s">
        <v>13013</v>
      </c>
      <c r="Q10652" t="s">
        <v>4890</v>
      </c>
      <c r="R10652" t="s">
        <v>4891</v>
      </c>
      <c r="S10652" t="s">
        <v>4892</v>
      </c>
      <c r="V10652" t="s">
        <v>4895</v>
      </c>
      <c r="W10652" t="s">
        <v>4896</v>
      </c>
      <c r="AF10652" t="s">
        <v>21425</v>
      </c>
    </row>
    <row r="10653" spans="1:32" hidden="1" x14ac:dyDescent="0.35">
      <c r="A10653">
        <v>10652</v>
      </c>
      <c r="B10653" t="s">
        <v>21424</v>
      </c>
      <c r="C10653" t="s">
        <v>33</v>
      </c>
      <c r="D10653" t="s">
        <v>45</v>
      </c>
      <c r="E10653">
        <v>1792</v>
      </c>
      <c r="F10653">
        <v>2</v>
      </c>
      <c r="G10653">
        <v>2</v>
      </c>
      <c r="H10653">
        <v>1</v>
      </c>
      <c r="I10653">
        <v>0</v>
      </c>
      <c r="J10653">
        <v>0.98662551440329205</v>
      </c>
      <c r="K10653">
        <v>1</v>
      </c>
      <c r="L10653">
        <v>0.99326773692387405</v>
      </c>
      <c r="M10653">
        <v>0.98456790123456805</v>
      </c>
      <c r="N10653">
        <v>0.98456790123456805</v>
      </c>
      <c r="O10653">
        <v>0.98456790123456805</v>
      </c>
      <c r="P10653" t="s">
        <v>13013</v>
      </c>
      <c r="Q10653" t="s">
        <v>4890</v>
      </c>
      <c r="R10653" t="s">
        <v>4891</v>
      </c>
      <c r="S10653" t="s">
        <v>4892</v>
      </c>
      <c r="V10653" t="s">
        <v>4895</v>
      </c>
      <c r="W10653" t="s">
        <v>4896</v>
      </c>
      <c r="AF10653" t="s">
        <v>21426</v>
      </c>
    </row>
    <row r="10654" spans="1:32" hidden="1" x14ac:dyDescent="0.35">
      <c r="A10654">
        <v>10653</v>
      </c>
      <c r="B10654" t="s">
        <v>21427</v>
      </c>
      <c r="C10654" t="s">
        <v>33</v>
      </c>
      <c r="D10654" t="s">
        <v>60</v>
      </c>
      <c r="E10654">
        <v>1397</v>
      </c>
      <c r="F10654">
        <v>2</v>
      </c>
      <c r="G10654">
        <v>2</v>
      </c>
      <c r="H10654">
        <v>1</v>
      </c>
      <c r="I10654">
        <v>0</v>
      </c>
      <c r="J10654">
        <v>0.97549019607843102</v>
      </c>
      <c r="K10654">
        <v>0.97173689619732895</v>
      </c>
      <c r="L10654">
        <v>0.97360992887617104</v>
      </c>
      <c r="M10654">
        <v>0.94285714285714295</v>
      </c>
      <c r="N10654">
        <v>0.94285714285714295</v>
      </c>
      <c r="O10654">
        <v>0.94285714285714295</v>
      </c>
      <c r="P10654" t="s">
        <v>19445</v>
      </c>
      <c r="Q10654" t="s">
        <v>19446</v>
      </c>
      <c r="AF10654" t="e">
        <f>----MCSFFGVWASLLVGWDVCFSRLPNVLTYTGFAVAIVVAVAAGDPLAILGGVAWSALYIASGYISGGVGSGDVKLAASLGILAAMCGWRGWLVAVGGASLSTVILLLITKRHAMPHGPGMIGATALVVLWHHYAGVM</f>
        <v>#NAME?</v>
      </c>
    </row>
    <row r="10655" spans="1:32" hidden="1" x14ac:dyDescent="0.35">
      <c r="A10655">
        <v>10654</v>
      </c>
      <c r="B10655" t="s">
        <v>21427</v>
      </c>
      <c r="C10655" t="s">
        <v>33</v>
      </c>
      <c r="D10655" t="s">
        <v>62</v>
      </c>
      <c r="E10655">
        <v>1432</v>
      </c>
      <c r="F10655">
        <v>2</v>
      </c>
      <c r="G10655">
        <v>2</v>
      </c>
      <c r="H10655">
        <v>1</v>
      </c>
      <c r="I10655">
        <v>0</v>
      </c>
      <c r="J10655">
        <v>0.97549019607843102</v>
      </c>
      <c r="K10655">
        <v>0.97173689619732895</v>
      </c>
      <c r="L10655">
        <v>0.97360992887617104</v>
      </c>
      <c r="M10655">
        <v>0.94285714285714295</v>
      </c>
      <c r="N10655">
        <v>0.94285714285714295</v>
      </c>
      <c r="O10655">
        <v>0.94285714285714295</v>
      </c>
      <c r="P10655" t="s">
        <v>19445</v>
      </c>
      <c r="Q10655" t="s">
        <v>19446</v>
      </c>
      <c r="AF10655" t="s">
        <v>21428</v>
      </c>
    </row>
    <row r="10656" spans="1:32" hidden="1" x14ac:dyDescent="0.35">
      <c r="A10656">
        <v>10655</v>
      </c>
      <c r="B10656" t="s">
        <v>21429</v>
      </c>
      <c r="C10656" t="s">
        <v>33</v>
      </c>
      <c r="D10656" t="s">
        <v>34</v>
      </c>
      <c r="E10656">
        <v>709</v>
      </c>
      <c r="F10656">
        <v>2</v>
      </c>
      <c r="G10656">
        <v>2</v>
      </c>
      <c r="H10656">
        <v>1</v>
      </c>
      <c r="I10656">
        <v>0</v>
      </c>
      <c r="J10656">
        <v>0.99625468164793995</v>
      </c>
      <c r="K10656">
        <v>1</v>
      </c>
      <c r="L10656">
        <v>0.99812382739212002</v>
      </c>
      <c r="M10656">
        <v>0.99625468164793995</v>
      </c>
      <c r="N10656">
        <v>0.99625468164793995</v>
      </c>
      <c r="O10656">
        <v>0.99625468164793995</v>
      </c>
      <c r="AF10656" t="s">
        <v>21430</v>
      </c>
    </row>
    <row r="10657" spans="1:32" hidden="1" x14ac:dyDescent="0.35">
      <c r="A10657">
        <v>10656</v>
      </c>
      <c r="B10657" t="s">
        <v>21429</v>
      </c>
      <c r="C10657" t="s">
        <v>33</v>
      </c>
      <c r="D10657" t="s">
        <v>45</v>
      </c>
      <c r="E10657">
        <v>1976</v>
      </c>
      <c r="F10657">
        <v>2</v>
      </c>
      <c r="G10657">
        <v>2</v>
      </c>
      <c r="H10657">
        <v>1</v>
      </c>
      <c r="I10657">
        <v>0</v>
      </c>
      <c r="J10657">
        <v>0.99625468164793995</v>
      </c>
      <c r="K10657">
        <v>1</v>
      </c>
      <c r="L10657">
        <v>0.99812382739212002</v>
      </c>
      <c r="M10657">
        <v>0.99625468164793995</v>
      </c>
      <c r="N10657">
        <v>0.99625468164793995</v>
      </c>
      <c r="O10657">
        <v>0.99625468164793995</v>
      </c>
      <c r="AF10657" t="s">
        <v>21431</v>
      </c>
    </row>
    <row r="10658" spans="1:32" hidden="1" x14ac:dyDescent="0.35">
      <c r="A10658">
        <v>10657</v>
      </c>
      <c r="B10658" t="s">
        <v>21432</v>
      </c>
      <c r="C10658" t="s">
        <v>33</v>
      </c>
      <c r="D10658" t="s">
        <v>60</v>
      </c>
      <c r="E10658">
        <v>2190</v>
      </c>
      <c r="F10658">
        <v>2</v>
      </c>
      <c r="G10658">
        <v>2</v>
      </c>
      <c r="H10658">
        <v>1</v>
      </c>
      <c r="I10658">
        <v>0</v>
      </c>
      <c r="J10658">
        <v>0.91666666666666696</v>
      </c>
      <c r="K10658">
        <v>0.98113207547169801</v>
      </c>
      <c r="L10658">
        <v>0.94780447390223699</v>
      </c>
      <c r="M10658">
        <v>0.88679245283018904</v>
      </c>
      <c r="N10658">
        <v>0.88679245283018904</v>
      </c>
      <c r="O10658">
        <v>0.88679245283018904</v>
      </c>
      <c r="AF10658" t="s">
        <v>21433</v>
      </c>
    </row>
    <row r="10659" spans="1:32" hidden="1" x14ac:dyDescent="0.35">
      <c r="A10659">
        <v>10658</v>
      </c>
      <c r="B10659" t="s">
        <v>21432</v>
      </c>
      <c r="C10659" t="s">
        <v>33</v>
      </c>
      <c r="D10659" t="s">
        <v>62</v>
      </c>
      <c r="E10659">
        <v>2224</v>
      </c>
      <c r="F10659">
        <v>2</v>
      </c>
      <c r="G10659">
        <v>2</v>
      </c>
      <c r="H10659">
        <v>1</v>
      </c>
      <c r="I10659">
        <v>0</v>
      </c>
      <c r="J10659">
        <v>0.91666666666666696</v>
      </c>
      <c r="K10659">
        <v>0.98113207547169801</v>
      </c>
      <c r="L10659">
        <v>0.94780447390223699</v>
      </c>
      <c r="M10659">
        <v>0.88679245283018904</v>
      </c>
      <c r="N10659">
        <v>0.88679245283018904</v>
      </c>
      <c r="O10659">
        <v>0.88679245283018904</v>
      </c>
      <c r="AF10659" t="s">
        <v>21434</v>
      </c>
    </row>
    <row r="10660" spans="1:32" hidden="1" x14ac:dyDescent="0.35">
      <c r="A10660">
        <v>10659</v>
      </c>
      <c r="B10660" t="s">
        <v>21435</v>
      </c>
      <c r="C10660" t="s">
        <v>33</v>
      </c>
      <c r="D10660" t="s">
        <v>60</v>
      </c>
      <c r="E10660">
        <v>1333</v>
      </c>
      <c r="F10660">
        <v>2</v>
      </c>
      <c r="G10660">
        <v>2</v>
      </c>
      <c r="H10660">
        <v>1</v>
      </c>
      <c r="I10660">
        <v>0</v>
      </c>
      <c r="J10660">
        <v>0.99140401146131796</v>
      </c>
      <c r="K10660">
        <v>1</v>
      </c>
      <c r="L10660">
        <v>0.99568345323741003</v>
      </c>
      <c r="M10660">
        <v>0.99140401146131796</v>
      </c>
      <c r="N10660">
        <v>0.99140401146131796</v>
      </c>
      <c r="O10660">
        <v>0.99140401146131796</v>
      </c>
      <c r="P10660" t="s">
        <v>340</v>
      </c>
      <c r="Q10660" t="s">
        <v>341</v>
      </c>
      <c r="R10660" t="s">
        <v>342</v>
      </c>
      <c r="S10660" t="s">
        <v>343</v>
      </c>
      <c r="T10660" t="s">
        <v>21436</v>
      </c>
      <c r="U10660" t="s">
        <v>21437</v>
      </c>
      <c r="V10660" t="s">
        <v>21438</v>
      </c>
      <c r="W10660" t="s">
        <v>21439</v>
      </c>
      <c r="AD10660" t="s">
        <v>439</v>
      </c>
      <c r="AE10660" t="s">
        <v>11415</v>
      </c>
      <c r="AF10660" t="s">
        <v>21440</v>
      </c>
    </row>
    <row r="10661" spans="1:32" hidden="1" x14ac:dyDescent="0.35">
      <c r="A10661">
        <v>10660</v>
      </c>
      <c r="B10661" t="s">
        <v>21435</v>
      </c>
      <c r="C10661" t="s">
        <v>33</v>
      </c>
      <c r="D10661" t="s">
        <v>62</v>
      </c>
      <c r="E10661">
        <v>1369</v>
      </c>
      <c r="F10661">
        <v>2</v>
      </c>
      <c r="G10661">
        <v>2</v>
      </c>
      <c r="H10661">
        <v>1</v>
      </c>
      <c r="I10661">
        <v>0</v>
      </c>
      <c r="J10661">
        <v>0.99140401146131796</v>
      </c>
      <c r="K10661">
        <v>1</v>
      </c>
      <c r="L10661">
        <v>0.99568345323741003</v>
      </c>
      <c r="M10661">
        <v>0.99140401146131796</v>
      </c>
      <c r="N10661">
        <v>0.99140401146131796</v>
      </c>
      <c r="O10661">
        <v>0.99140401146131796</v>
      </c>
      <c r="P10661" t="s">
        <v>340</v>
      </c>
      <c r="Q10661" t="s">
        <v>341</v>
      </c>
      <c r="R10661" t="s">
        <v>342</v>
      </c>
      <c r="S10661" t="s">
        <v>343</v>
      </c>
      <c r="T10661" t="s">
        <v>21436</v>
      </c>
      <c r="U10661" t="s">
        <v>21437</v>
      </c>
      <c r="V10661" t="s">
        <v>21438</v>
      </c>
      <c r="W10661" t="s">
        <v>21439</v>
      </c>
      <c r="AD10661" t="s">
        <v>439</v>
      </c>
      <c r="AE10661" t="s">
        <v>11415</v>
      </c>
      <c r="AF10661" t="s">
        <v>21441</v>
      </c>
    </row>
    <row r="10662" spans="1:32" hidden="1" x14ac:dyDescent="0.35">
      <c r="A10662">
        <v>10661</v>
      </c>
      <c r="B10662" t="s">
        <v>21442</v>
      </c>
      <c r="C10662" t="s">
        <v>33</v>
      </c>
      <c r="D10662" t="s">
        <v>34</v>
      </c>
      <c r="E10662">
        <v>1341</v>
      </c>
      <c r="F10662">
        <v>2</v>
      </c>
      <c r="G10662">
        <v>2</v>
      </c>
      <c r="H10662">
        <v>1</v>
      </c>
      <c r="I10662">
        <v>0</v>
      </c>
      <c r="J10662">
        <v>0.99519230769230804</v>
      </c>
      <c r="K10662">
        <v>1</v>
      </c>
      <c r="L10662">
        <v>0.99759036144578295</v>
      </c>
      <c r="M10662">
        <v>0.99519230769230804</v>
      </c>
      <c r="N10662">
        <v>0.99519230769230804</v>
      </c>
      <c r="O10662">
        <v>0.99519230769230804</v>
      </c>
      <c r="P10662" t="s">
        <v>1880</v>
      </c>
      <c r="Q10662" t="s">
        <v>1881</v>
      </c>
      <c r="R10662" t="s">
        <v>1191</v>
      </c>
      <c r="S10662" t="s">
        <v>1192</v>
      </c>
      <c r="V10662" t="s">
        <v>1884</v>
      </c>
      <c r="W10662" t="s">
        <v>1885</v>
      </c>
      <c r="AF10662" t="s">
        <v>21443</v>
      </c>
    </row>
    <row r="10663" spans="1:32" hidden="1" x14ac:dyDescent="0.35">
      <c r="A10663">
        <v>10662</v>
      </c>
      <c r="B10663" t="s">
        <v>21442</v>
      </c>
      <c r="C10663" t="s">
        <v>33</v>
      </c>
      <c r="D10663" t="s">
        <v>45</v>
      </c>
      <c r="E10663">
        <v>92</v>
      </c>
      <c r="F10663">
        <v>2</v>
      </c>
      <c r="G10663">
        <v>2</v>
      </c>
      <c r="H10663">
        <v>1</v>
      </c>
      <c r="I10663">
        <v>0</v>
      </c>
      <c r="J10663">
        <v>0.99519230769230804</v>
      </c>
      <c r="K10663">
        <v>1</v>
      </c>
      <c r="L10663">
        <v>0.99759036144578295</v>
      </c>
      <c r="M10663">
        <v>0.99519230769230804</v>
      </c>
      <c r="N10663">
        <v>0.99519230769230804</v>
      </c>
      <c r="O10663">
        <v>0.99519230769230804</v>
      </c>
      <c r="P10663" t="s">
        <v>1880</v>
      </c>
      <c r="Q10663" t="s">
        <v>1881</v>
      </c>
      <c r="R10663" t="s">
        <v>1191</v>
      </c>
      <c r="S10663" t="s">
        <v>1192</v>
      </c>
      <c r="V10663" t="s">
        <v>1884</v>
      </c>
      <c r="W10663" t="s">
        <v>1885</v>
      </c>
      <c r="AF10663" t="s">
        <v>21444</v>
      </c>
    </row>
    <row r="10664" spans="1:32" hidden="1" x14ac:dyDescent="0.35">
      <c r="A10664">
        <v>10663</v>
      </c>
      <c r="B10664" t="s">
        <v>21445</v>
      </c>
      <c r="C10664" t="s">
        <v>33</v>
      </c>
      <c r="D10664" t="s">
        <v>34</v>
      </c>
      <c r="E10664">
        <v>1355</v>
      </c>
      <c r="F10664">
        <v>2</v>
      </c>
      <c r="G10664">
        <v>2</v>
      </c>
      <c r="H10664">
        <v>1</v>
      </c>
      <c r="I10664">
        <v>0</v>
      </c>
      <c r="J10664">
        <v>0.99502487562189101</v>
      </c>
      <c r="K10664">
        <v>1</v>
      </c>
      <c r="L10664">
        <v>0.99750623441396502</v>
      </c>
      <c r="M10664">
        <v>0.99502487562189101</v>
      </c>
      <c r="N10664">
        <v>0.99502487562189101</v>
      </c>
      <c r="O10664">
        <v>0.99502487562189101</v>
      </c>
      <c r="P10664" t="s">
        <v>626</v>
      </c>
      <c r="Q10664" t="s">
        <v>627</v>
      </c>
      <c r="AF10664" t="s">
        <v>21446</v>
      </c>
    </row>
    <row r="10665" spans="1:32" hidden="1" x14ac:dyDescent="0.35">
      <c r="A10665">
        <v>10664</v>
      </c>
      <c r="B10665" t="s">
        <v>21445</v>
      </c>
      <c r="C10665" t="s">
        <v>33</v>
      </c>
      <c r="D10665" t="s">
        <v>45</v>
      </c>
      <c r="E10665">
        <v>105</v>
      </c>
      <c r="F10665">
        <v>2</v>
      </c>
      <c r="G10665">
        <v>2</v>
      </c>
      <c r="H10665">
        <v>1</v>
      </c>
      <c r="I10665">
        <v>0</v>
      </c>
      <c r="J10665">
        <v>0.99502487562189101</v>
      </c>
      <c r="K10665">
        <v>1</v>
      </c>
      <c r="L10665">
        <v>0.99750623441396502</v>
      </c>
      <c r="M10665">
        <v>0.99502487562189101</v>
      </c>
      <c r="N10665">
        <v>0.99502487562189101</v>
      </c>
      <c r="O10665">
        <v>0.99502487562189101</v>
      </c>
      <c r="P10665" t="s">
        <v>626</v>
      </c>
      <c r="Q10665" t="s">
        <v>627</v>
      </c>
      <c r="AF10665" t="s">
        <v>21447</v>
      </c>
    </row>
    <row r="10666" spans="1:32" hidden="1" x14ac:dyDescent="0.35">
      <c r="A10666">
        <v>10665</v>
      </c>
      <c r="B10666" t="s">
        <v>21448</v>
      </c>
      <c r="C10666" t="s">
        <v>33</v>
      </c>
      <c r="D10666" t="s">
        <v>34</v>
      </c>
      <c r="E10666">
        <v>1409</v>
      </c>
      <c r="F10666">
        <v>2</v>
      </c>
      <c r="G10666">
        <v>2</v>
      </c>
      <c r="H10666">
        <v>1</v>
      </c>
      <c r="I10666">
        <v>0</v>
      </c>
      <c r="J10666">
        <v>0.98896247240618096</v>
      </c>
      <c r="K10666">
        <v>0.98699239258544802</v>
      </c>
      <c r="L10666">
        <v>0.98797645038469195</v>
      </c>
      <c r="M10666">
        <v>0.973856209150327</v>
      </c>
      <c r="N10666">
        <v>0.973856209150327</v>
      </c>
      <c r="O10666">
        <v>0.973856209150327</v>
      </c>
      <c r="AF10666" t="s">
        <v>21449</v>
      </c>
    </row>
    <row r="10667" spans="1:32" hidden="1" x14ac:dyDescent="0.35">
      <c r="A10667">
        <v>10666</v>
      </c>
      <c r="B10667" t="s">
        <v>21448</v>
      </c>
      <c r="C10667" t="s">
        <v>33</v>
      </c>
      <c r="D10667" t="s">
        <v>45</v>
      </c>
      <c r="E10667">
        <v>160</v>
      </c>
      <c r="F10667">
        <v>2</v>
      </c>
      <c r="G10667">
        <v>2</v>
      </c>
      <c r="H10667">
        <v>1</v>
      </c>
      <c r="I10667">
        <v>0</v>
      </c>
      <c r="J10667">
        <v>0.98896247240618096</v>
      </c>
      <c r="K10667">
        <v>0.98699239258544802</v>
      </c>
      <c r="L10667">
        <v>0.98797645038469195</v>
      </c>
      <c r="M10667">
        <v>0.973856209150327</v>
      </c>
      <c r="N10667">
        <v>0.973856209150327</v>
      </c>
      <c r="O10667">
        <v>0.973856209150327</v>
      </c>
      <c r="AF10667" t="s">
        <v>21450</v>
      </c>
    </row>
    <row r="10668" spans="1:32" hidden="1" x14ac:dyDescent="0.35">
      <c r="A10668">
        <v>10667</v>
      </c>
      <c r="B10668" t="s">
        <v>21451</v>
      </c>
      <c r="C10668" t="s">
        <v>33</v>
      </c>
      <c r="D10668" t="s">
        <v>60</v>
      </c>
      <c r="E10668">
        <v>773</v>
      </c>
      <c r="F10668">
        <v>2</v>
      </c>
      <c r="G10668">
        <v>2</v>
      </c>
      <c r="H10668">
        <v>1</v>
      </c>
      <c r="I10668">
        <v>0</v>
      </c>
      <c r="J10668">
        <v>0.95495495495495497</v>
      </c>
      <c r="K10668">
        <v>1</v>
      </c>
      <c r="L10668">
        <v>0.976958525345622</v>
      </c>
      <c r="M10668">
        <v>0.94594594594594605</v>
      </c>
      <c r="N10668">
        <v>0.94594594594594605</v>
      </c>
      <c r="O10668">
        <v>0.94594594594594605</v>
      </c>
      <c r="AF10668" t="s">
        <v>21452</v>
      </c>
    </row>
    <row r="10669" spans="1:32" hidden="1" x14ac:dyDescent="0.35">
      <c r="A10669">
        <v>10668</v>
      </c>
      <c r="B10669" t="s">
        <v>21451</v>
      </c>
      <c r="C10669" t="s">
        <v>33</v>
      </c>
      <c r="D10669" t="s">
        <v>62</v>
      </c>
      <c r="E10669">
        <v>806</v>
      </c>
      <c r="F10669">
        <v>2</v>
      </c>
      <c r="G10669">
        <v>2</v>
      </c>
      <c r="H10669">
        <v>1</v>
      </c>
      <c r="I10669">
        <v>0</v>
      </c>
      <c r="J10669">
        <v>0.95495495495495497</v>
      </c>
      <c r="K10669">
        <v>1</v>
      </c>
      <c r="L10669">
        <v>0.976958525345622</v>
      </c>
      <c r="M10669">
        <v>0.94594594594594605</v>
      </c>
      <c r="N10669">
        <v>0.94594594594594605</v>
      </c>
      <c r="O10669">
        <v>0.94594594594594605</v>
      </c>
      <c r="AF10669" t="s">
        <v>21453</v>
      </c>
    </row>
    <row r="10670" spans="1:32" hidden="1" x14ac:dyDescent="0.35">
      <c r="A10670">
        <v>10669</v>
      </c>
      <c r="B10670" t="s">
        <v>21454</v>
      </c>
      <c r="C10670" t="s">
        <v>33</v>
      </c>
      <c r="D10670" t="s">
        <v>60</v>
      </c>
      <c r="E10670">
        <v>162</v>
      </c>
      <c r="F10670">
        <v>2</v>
      </c>
      <c r="G10670">
        <v>2</v>
      </c>
      <c r="H10670">
        <v>1</v>
      </c>
      <c r="I10670">
        <v>0</v>
      </c>
      <c r="J10670">
        <v>0.96616915422885596</v>
      </c>
      <c r="K10670">
        <v>0.99407411332485096</v>
      </c>
      <c r="L10670">
        <v>0.97992301385170499</v>
      </c>
      <c r="M10670">
        <v>0.95252225519287803</v>
      </c>
      <c r="N10670">
        <v>0.95252225519287803</v>
      </c>
      <c r="O10670">
        <v>0.95252225519287803</v>
      </c>
      <c r="P10670" t="s">
        <v>9910</v>
      </c>
      <c r="Q10670" t="s">
        <v>9911</v>
      </c>
      <c r="R10670" t="s">
        <v>8647</v>
      </c>
      <c r="S10670" t="s">
        <v>8648</v>
      </c>
      <c r="T10670" t="s">
        <v>11547</v>
      </c>
      <c r="U10670" t="s">
        <v>11548</v>
      </c>
      <c r="V10670" t="s">
        <v>11549</v>
      </c>
      <c r="W10670" t="s">
        <v>11550</v>
      </c>
      <c r="AD10670" t="s">
        <v>219</v>
      </c>
      <c r="AE10670" t="s">
        <v>11551</v>
      </c>
      <c r="AF10670" t="s">
        <v>21455</v>
      </c>
    </row>
    <row r="10671" spans="1:32" hidden="1" x14ac:dyDescent="0.35">
      <c r="A10671">
        <v>10670</v>
      </c>
      <c r="B10671" t="s">
        <v>21454</v>
      </c>
      <c r="C10671" t="s">
        <v>33</v>
      </c>
      <c r="D10671" t="s">
        <v>62</v>
      </c>
      <c r="E10671">
        <v>238</v>
      </c>
      <c r="F10671">
        <v>2</v>
      </c>
      <c r="G10671">
        <v>2</v>
      </c>
      <c r="H10671">
        <v>1</v>
      </c>
      <c r="I10671">
        <v>0</v>
      </c>
      <c r="J10671">
        <v>0.96616915422885596</v>
      </c>
      <c r="K10671">
        <v>0.99407411332485096</v>
      </c>
      <c r="L10671">
        <v>0.97992301385170499</v>
      </c>
      <c r="M10671">
        <v>0.95252225519287803</v>
      </c>
      <c r="N10671">
        <v>0.95252225519287803</v>
      </c>
      <c r="O10671">
        <v>0.95252225519287803</v>
      </c>
      <c r="P10671" t="s">
        <v>9910</v>
      </c>
      <c r="Q10671" t="s">
        <v>9911</v>
      </c>
      <c r="R10671" t="s">
        <v>8647</v>
      </c>
      <c r="S10671" t="s">
        <v>8648</v>
      </c>
      <c r="T10671" t="s">
        <v>11547</v>
      </c>
      <c r="U10671" t="s">
        <v>11548</v>
      </c>
      <c r="V10671" t="s">
        <v>11549</v>
      </c>
      <c r="W10671" t="s">
        <v>11550</v>
      </c>
      <c r="AD10671" t="s">
        <v>219</v>
      </c>
      <c r="AE10671" t="s">
        <v>11551</v>
      </c>
      <c r="AF10671" t="s">
        <v>21456</v>
      </c>
    </row>
    <row r="10672" spans="1:32" hidden="1" x14ac:dyDescent="0.35">
      <c r="A10672">
        <v>10671</v>
      </c>
      <c r="B10672" t="s">
        <v>21457</v>
      </c>
      <c r="C10672" t="s">
        <v>33</v>
      </c>
      <c r="D10672" t="s">
        <v>60</v>
      </c>
      <c r="E10672">
        <v>2505</v>
      </c>
      <c r="F10672">
        <v>2</v>
      </c>
      <c r="G10672">
        <v>2</v>
      </c>
      <c r="H10672">
        <v>1</v>
      </c>
      <c r="I10672">
        <v>0</v>
      </c>
      <c r="J10672">
        <v>0.98913043478260898</v>
      </c>
      <c r="K10672">
        <v>1</v>
      </c>
      <c r="L10672">
        <v>0.99453551912568305</v>
      </c>
      <c r="M10672">
        <v>0.98913043478260898</v>
      </c>
      <c r="N10672">
        <v>0.98913043478260898</v>
      </c>
      <c r="O10672">
        <v>0.98913043478260898</v>
      </c>
      <c r="P10672" t="s">
        <v>16133</v>
      </c>
      <c r="Q10672" t="s">
        <v>16134</v>
      </c>
      <c r="AF10672" t="s">
        <v>21458</v>
      </c>
    </row>
    <row r="10673" spans="1:32" hidden="1" x14ac:dyDescent="0.35">
      <c r="A10673">
        <v>10672</v>
      </c>
      <c r="B10673" t="s">
        <v>21457</v>
      </c>
      <c r="C10673" t="s">
        <v>33</v>
      </c>
      <c r="D10673" t="s">
        <v>62</v>
      </c>
      <c r="E10673">
        <v>32</v>
      </c>
      <c r="F10673">
        <v>2</v>
      </c>
      <c r="G10673">
        <v>2</v>
      </c>
      <c r="H10673">
        <v>1</v>
      </c>
      <c r="I10673">
        <v>0</v>
      </c>
      <c r="J10673">
        <v>0.98913043478260898</v>
      </c>
      <c r="K10673">
        <v>1</v>
      </c>
      <c r="L10673">
        <v>0.99453551912568305</v>
      </c>
      <c r="M10673">
        <v>0.98913043478260898</v>
      </c>
      <c r="N10673">
        <v>0.98913043478260898</v>
      </c>
      <c r="O10673">
        <v>0.98913043478260898</v>
      </c>
      <c r="P10673" t="s">
        <v>16133</v>
      </c>
      <c r="Q10673" t="s">
        <v>16134</v>
      </c>
      <c r="AF10673" t="s">
        <v>21459</v>
      </c>
    </row>
    <row r="10674" spans="1:32" hidden="1" x14ac:dyDescent="0.35">
      <c r="A10674">
        <v>10673</v>
      </c>
      <c r="B10674" t="s">
        <v>21460</v>
      </c>
      <c r="C10674" t="s">
        <v>33</v>
      </c>
      <c r="D10674" t="s">
        <v>34</v>
      </c>
      <c r="E10674">
        <v>2468</v>
      </c>
      <c r="F10674">
        <v>2</v>
      </c>
      <c r="G10674">
        <v>2</v>
      </c>
      <c r="H10674">
        <v>1</v>
      </c>
      <c r="I10674">
        <v>0</v>
      </c>
      <c r="J10674">
        <v>0.969444444444444</v>
      </c>
      <c r="K10674">
        <v>1</v>
      </c>
      <c r="L10674">
        <v>0.98448519040902704</v>
      </c>
      <c r="M10674">
        <v>0.95833333333333304</v>
      </c>
      <c r="N10674">
        <v>0.95833333333333304</v>
      </c>
      <c r="O10674">
        <v>0.95833333333333304</v>
      </c>
      <c r="P10674" t="s">
        <v>2732</v>
      </c>
      <c r="Q10674" t="s">
        <v>2733</v>
      </c>
      <c r="R10674" t="s">
        <v>516</v>
      </c>
      <c r="S10674" t="s">
        <v>517</v>
      </c>
      <c r="T10674" t="s">
        <v>21461</v>
      </c>
      <c r="U10674" t="s">
        <v>407</v>
      </c>
      <c r="V10674" t="s">
        <v>21462</v>
      </c>
      <c r="W10674" t="s">
        <v>21463</v>
      </c>
      <c r="AD10674" t="s">
        <v>410</v>
      </c>
      <c r="AE10674" t="s">
        <v>411</v>
      </c>
      <c r="AF10674" t="s">
        <v>21464</v>
      </c>
    </row>
    <row r="10675" spans="1:32" hidden="1" x14ac:dyDescent="0.35">
      <c r="A10675">
        <v>10674</v>
      </c>
      <c r="B10675" t="s">
        <v>21460</v>
      </c>
      <c r="C10675" t="s">
        <v>33</v>
      </c>
      <c r="D10675" t="s">
        <v>45</v>
      </c>
      <c r="E10675">
        <v>433</v>
      </c>
      <c r="F10675">
        <v>2</v>
      </c>
      <c r="G10675">
        <v>2</v>
      </c>
      <c r="H10675">
        <v>1</v>
      </c>
      <c r="I10675">
        <v>0</v>
      </c>
      <c r="J10675">
        <v>0.969444444444444</v>
      </c>
      <c r="K10675">
        <v>1</v>
      </c>
      <c r="L10675">
        <v>0.98448519040902704</v>
      </c>
      <c r="M10675">
        <v>0.95833333333333304</v>
      </c>
      <c r="N10675">
        <v>0.95833333333333304</v>
      </c>
      <c r="O10675">
        <v>0.95833333333333304</v>
      </c>
      <c r="P10675" t="s">
        <v>2732</v>
      </c>
      <c r="Q10675" t="s">
        <v>2733</v>
      </c>
      <c r="R10675" t="s">
        <v>516</v>
      </c>
      <c r="S10675" t="s">
        <v>517</v>
      </c>
      <c r="T10675" t="s">
        <v>21461</v>
      </c>
      <c r="U10675" t="s">
        <v>407</v>
      </c>
      <c r="V10675" t="s">
        <v>21462</v>
      </c>
      <c r="W10675" t="s">
        <v>21463</v>
      </c>
      <c r="AD10675" t="s">
        <v>410</v>
      </c>
      <c r="AE10675" t="s">
        <v>411</v>
      </c>
      <c r="AF10675" t="s">
        <v>21465</v>
      </c>
    </row>
    <row r="10676" spans="1:32" hidden="1" x14ac:dyDescent="0.35">
      <c r="A10676">
        <v>10675</v>
      </c>
      <c r="B10676" t="s">
        <v>21466</v>
      </c>
      <c r="C10676" t="s">
        <v>33</v>
      </c>
      <c r="D10676" t="s">
        <v>60</v>
      </c>
      <c r="E10676">
        <v>1174</v>
      </c>
      <c r="F10676">
        <v>2</v>
      </c>
      <c r="G10676">
        <v>2</v>
      </c>
      <c r="H10676">
        <v>1</v>
      </c>
      <c r="I10676">
        <v>0</v>
      </c>
      <c r="J10676">
        <v>0.98581560283687897</v>
      </c>
      <c r="K10676">
        <v>1</v>
      </c>
      <c r="L10676">
        <v>0.99285714285714299</v>
      </c>
      <c r="M10676">
        <v>0.98404255319148903</v>
      </c>
      <c r="N10676">
        <v>0.98404255319148903</v>
      </c>
      <c r="O10676">
        <v>0.98404255319148903</v>
      </c>
      <c r="P10676" t="s">
        <v>21467</v>
      </c>
      <c r="Q10676" t="s">
        <v>21468</v>
      </c>
      <c r="R10676" t="s">
        <v>319</v>
      </c>
      <c r="S10676" t="s">
        <v>320</v>
      </c>
      <c r="T10676" t="s">
        <v>21469</v>
      </c>
      <c r="U10676" t="s">
        <v>21470</v>
      </c>
      <c r="V10676" t="s">
        <v>5248</v>
      </c>
      <c r="W10676" t="s">
        <v>5249</v>
      </c>
      <c r="Z10676" t="s">
        <v>17435</v>
      </c>
      <c r="AA10676" t="s">
        <v>17436</v>
      </c>
      <c r="AB10676" t="s">
        <v>17435</v>
      </c>
      <c r="AC10676" t="s">
        <v>1065</v>
      </c>
      <c r="AD10676" t="s">
        <v>245</v>
      </c>
      <c r="AE10676" t="s">
        <v>21471</v>
      </c>
      <c r="AF10676" t="s">
        <v>21472</v>
      </c>
    </row>
    <row r="10677" spans="1:32" hidden="1" x14ac:dyDescent="0.35">
      <c r="A10677">
        <v>10676</v>
      </c>
      <c r="B10677" t="s">
        <v>21466</v>
      </c>
      <c r="C10677" t="s">
        <v>33</v>
      </c>
      <c r="D10677" t="s">
        <v>62</v>
      </c>
      <c r="E10677">
        <v>1211</v>
      </c>
      <c r="F10677">
        <v>2</v>
      </c>
      <c r="G10677">
        <v>2</v>
      </c>
      <c r="H10677">
        <v>1</v>
      </c>
      <c r="I10677">
        <v>0</v>
      </c>
      <c r="J10677">
        <v>0.98581560283687897</v>
      </c>
      <c r="K10677">
        <v>1</v>
      </c>
      <c r="L10677">
        <v>0.99285714285714299</v>
      </c>
      <c r="M10677">
        <v>0.98404255319148903</v>
      </c>
      <c r="N10677">
        <v>0.98404255319148903</v>
      </c>
      <c r="O10677">
        <v>0.98404255319148903</v>
      </c>
      <c r="P10677" t="s">
        <v>21467</v>
      </c>
      <c r="Q10677" t="s">
        <v>21468</v>
      </c>
      <c r="R10677" t="s">
        <v>319</v>
      </c>
      <c r="S10677" t="s">
        <v>320</v>
      </c>
      <c r="T10677" t="s">
        <v>21469</v>
      </c>
      <c r="U10677" t="s">
        <v>21470</v>
      </c>
      <c r="V10677" t="s">
        <v>5248</v>
      </c>
      <c r="W10677" t="s">
        <v>5249</v>
      </c>
      <c r="Z10677" t="s">
        <v>17435</v>
      </c>
      <c r="AA10677" t="s">
        <v>17436</v>
      </c>
      <c r="AB10677" t="s">
        <v>17435</v>
      </c>
      <c r="AC10677" t="s">
        <v>1065</v>
      </c>
      <c r="AD10677" t="s">
        <v>245</v>
      </c>
      <c r="AE10677" t="s">
        <v>21471</v>
      </c>
      <c r="AF10677" t="s">
        <v>21473</v>
      </c>
    </row>
    <row r="10678" spans="1:32" hidden="1" x14ac:dyDescent="0.35">
      <c r="A10678">
        <v>10677</v>
      </c>
      <c r="B10678" t="s">
        <v>21474</v>
      </c>
      <c r="C10678" t="s">
        <v>33</v>
      </c>
      <c r="D10678" t="s">
        <v>34</v>
      </c>
      <c r="E10678">
        <v>1247</v>
      </c>
      <c r="F10678">
        <v>2</v>
      </c>
      <c r="G10678">
        <v>2</v>
      </c>
      <c r="H10678">
        <v>1</v>
      </c>
      <c r="I10678">
        <v>0</v>
      </c>
      <c r="J10678">
        <v>0.96827358879274805</v>
      </c>
      <c r="K10678">
        <v>0.99630997430648405</v>
      </c>
      <c r="L10678">
        <v>0.982091729251654</v>
      </c>
      <c r="M10678">
        <v>0.96059113300492605</v>
      </c>
      <c r="N10678">
        <v>0.96059113300492605</v>
      </c>
      <c r="O10678">
        <v>0.96059113300492605</v>
      </c>
      <c r="P10678" t="s">
        <v>6973</v>
      </c>
      <c r="Q10678" t="s">
        <v>6974</v>
      </c>
      <c r="R10678" t="s">
        <v>371</v>
      </c>
      <c r="S10678" t="s">
        <v>372</v>
      </c>
      <c r="T10678" t="s">
        <v>20590</v>
      </c>
      <c r="U10678" t="s">
        <v>20591</v>
      </c>
      <c r="V10678" t="s">
        <v>20592</v>
      </c>
      <c r="W10678" t="s">
        <v>20593</v>
      </c>
      <c r="AD10678" t="s">
        <v>410</v>
      </c>
      <c r="AE10678" t="s">
        <v>603</v>
      </c>
      <c r="AF10678" t="s">
        <v>21475</v>
      </c>
    </row>
    <row r="10679" spans="1:32" hidden="1" x14ac:dyDescent="0.35">
      <c r="A10679">
        <v>10678</v>
      </c>
      <c r="B10679" t="s">
        <v>21474</v>
      </c>
      <c r="C10679" t="s">
        <v>33</v>
      </c>
      <c r="D10679" t="s">
        <v>45</v>
      </c>
      <c r="E10679">
        <v>2491</v>
      </c>
      <c r="F10679">
        <v>2</v>
      </c>
      <c r="G10679">
        <v>2</v>
      </c>
      <c r="H10679">
        <v>1</v>
      </c>
      <c r="I10679">
        <v>0</v>
      </c>
      <c r="J10679">
        <v>0.96827358879274805</v>
      </c>
      <c r="K10679">
        <v>0.99630997430648405</v>
      </c>
      <c r="L10679">
        <v>0.982091729251654</v>
      </c>
      <c r="M10679">
        <v>0.96059113300492605</v>
      </c>
      <c r="N10679">
        <v>0.96059113300492605</v>
      </c>
      <c r="O10679">
        <v>0.96059113300492605</v>
      </c>
      <c r="P10679" t="s">
        <v>6973</v>
      </c>
      <c r="Q10679" t="s">
        <v>6974</v>
      </c>
      <c r="R10679" t="s">
        <v>371</v>
      </c>
      <c r="S10679" t="s">
        <v>372</v>
      </c>
      <c r="T10679" t="s">
        <v>20590</v>
      </c>
      <c r="U10679" t="s">
        <v>20591</v>
      </c>
      <c r="V10679" t="s">
        <v>20592</v>
      </c>
      <c r="W10679" t="s">
        <v>20593</v>
      </c>
      <c r="AD10679" t="s">
        <v>410</v>
      </c>
      <c r="AE10679" t="s">
        <v>603</v>
      </c>
      <c r="AF10679" t="s">
        <v>21476</v>
      </c>
    </row>
    <row r="10680" spans="1:32" hidden="1" x14ac:dyDescent="0.35">
      <c r="A10680">
        <v>10679</v>
      </c>
      <c r="B10680" t="s">
        <v>21477</v>
      </c>
      <c r="C10680" t="s">
        <v>33</v>
      </c>
      <c r="D10680" t="s">
        <v>34</v>
      </c>
      <c r="E10680">
        <v>1282</v>
      </c>
      <c r="F10680">
        <v>2</v>
      </c>
      <c r="G10680">
        <v>2</v>
      </c>
      <c r="H10680">
        <v>1</v>
      </c>
      <c r="I10680">
        <v>0</v>
      </c>
      <c r="J10680">
        <v>0.98124467178175601</v>
      </c>
      <c r="K10680">
        <v>1</v>
      </c>
      <c r="L10680">
        <v>0.99053356282271898</v>
      </c>
      <c r="M10680">
        <v>0.97442455242966797</v>
      </c>
      <c r="N10680">
        <v>0.97442455242966797</v>
      </c>
      <c r="O10680">
        <v>0.97442455242966797</v>
      </c>
      <c r="AF10680" t="s">
        <v>21478</v>
      </c>
    </row>
    <row r="10681" spans="1:32" hidden="1" x14ac:dyDescent="0.35">
      <c r="A10681">
        <v>10680</v>
      </c>
      <c r="B10681" t="s">
        <v>21477</v>
      </c>
      <c r="C10681" t="s">
        <v>33</v>
      </c>
      <c r="D10681" t="s">
        <v>45</v>
      </c>
      <c r="E10681">
        <v>34</v>
      </c>
      <c r="F10681">
        <v>2</v>
      </c>
      <c r="G10681">
        <v>2</v>
      </c>
      <c r="H10681">
        <v>1</v>
      </c>
      <c r="I10681">
        <v>0</v>
      </c>
      <c r="J10681">
        <v>0.98124467178175601</v>
      </c>
      <c r="K10681">
        <v>1</v>
      </c>
      <c r="L10681">
        <v>0.99053356282271898</v>
      </c>
      <c r="M10681">
        <v>0.97442455242966797</v>
      </c>
      <c r="N10681">
        <v>0.97442455242966797</v>
      </c>
      <c r="O10681">
        <v>0.97442455242966797</v>
      </c>
      <c r="AF10681" t="s">
        <v>21479</v>
      </c>
    </row>
    <row r="10682" spans="1:32" hidden="1" x14ac:dyDescent="0.35">
      <c r="A10682">
        <v>10681</v>
      </c>
      <c r="B10682" t="s">
        <v>21480</v>
      </c>
      <c r="C10682" t="s">
        <v>33</v>
      </c>
      <c r="D10682" t="s">
        <v>60</v>
      </c>
      <c r="E10682">
        <v>2355</v>
      </c>
      <c r="F10682">
        <v>2</v>
      </c>
      <c r="G10682">
        <v>2</v>
      </c>
      <c r="H10682">
        <v>1</v>
      </c>
      <c r="I10682">
        <v>0</v>
      </c>
      <c r="J10682">
        <v>0.98780487804878003</v>
      </c>
      <c r="K10682">
        <v>1</v>
      </c>
      <c r="L10682">
        <v>0.99386503067484699</v>
      </c>
      <c r="M10682">
        <v>0.98780487804878003</v>
      </c>
      <c r="N10682">
        <v>0.98780487804878003</v>
      </c>
      <c r="O10682">
        <v>0.98780487804878003</v>
      </c>
      <c r="AF10682" t="s">
        <v>21481</v>
      </c>
    </row>
    <row r="10683" spans="1:32" hidden="1" x14ac:dyDescent="0.35">
      <c r="A10683">
        <v>10682</v>
      </c>
      <c r="B10683" t="s">
        <v>21480</v>
      </c>
      <c r="C10683" t="s">
        <v>33</v>
      </c>
      <c r="D10683" t="s">
        <v>62</v>
      </c>
      <c r="E10683">
        <v>2383</v>
      </c>
      <c r="F10683">
        <v>2</v>
      </c>
      <c r="G10683">
        <v>2</v>
      </c>
      <c r="H10683">
        <v>1</v>
      </c>
      <c r="I10683">
        <v>0</v>
      </c>
      <c r="J10683">
        <v>0.98780487804878003</v>
      </c>
      <c r="K10683">
        <v>1</v>
      </c>
      <c r="L10683">
        <v>0.99386503067484699</v>
      </c>
      <c r="M10683">
        <v>0.98780487804878003</v>
      </c>
      <c r="N10683">
        <v>0.98780487804878003</v>
      </c>
      <c r="O10683">
        <v>0.98780487804878003</v>
      </c>
      <c r="AF10683" t="s">
        <v>21482</v>
      </c>
    </row>
    <row r="10684" spans="1:32" hidden="1" x14ac:dyDescent="0.35">
      <c r="A10684">
        <v>10683</v>
      </c>
      <c r="B10684" t="s">
        <v>21483</v>
      </c>
      <c r="C10684" t="s">
        <v>33</v>
      </c>
      <c r="D10684" t="s">
        <v>60</v>
      </c>
      <c r="E10684">
        <v>5</v>
      </c>
      <c r="F10684">
        <v>2</v>
      </c>
      <c r="G10684">
        <v>2</v>
      </c>
      <c r="H10684">
        <v>1</v>
      </c>
      <c r="I10684">
        <v>0</v>
      </c>
      <c r="J10684">
        <v>0.99319727891156495</v>
      </c>
      <c r="K10684">
        <v>1</v>
      </c>
      <c r="L10684">
        <v>0.99658703071672305</v>
      </c>
      <c r="M10684">
        <v>0.99319727891156495</v>
      </c>
      <c r="N10684">
        <v>0.99319727891156495</v>
      </c>
      <c r="O10684">
        <v>0.99319727891156495</v>
      </c>
      <c r="P10684" t="s">
        <v>14034</v>
      </c>
      <c r="Q10684" t="s">
        <v>14035</v>
      </c>
      <c r="AF10684" t="s">
        <v>21484</v>
      </c>
    </row>
    <row r="10685" spans="1:32" hidden="1" x14ac:dyDescent="0.35">
      <c r="A10685">
        <v>10684</v>
      </c>
      <c r="B10685" t="s">
        <v>21483</v>
      </c>
      <c r="C10685" t="s">
        <v>33</v>
      </c>
      <c r="D10685" t="s">
        <v>62</v>
      </c>
      <c r="E10685">
        <v>84</v>
      </c>
      <c r="F10685">
        <v>2</v>
      </c>
      <c r="G10685">
        <v>2</v>
      </c>
      <c r="H10685">
        <v>1</v>
      </c>
      <c r="I10685">
        <v>0</v>
      </c>
      <c r="J10685">
        <v>0.99319727891156495</v>
      </c>
      <c r="K10685">
        <v>1</v>
      </c>
      <c r="L10685">
        <v>0.99658703071672305</v>
      </c>
      <c r="M10685">
        <v>0.99319727891156495</v>
      </c>
      <c r="N10685">
        <v>0.99319727891156495</v>
      </c>
      <c r="O10685">
        <v>0.99319727891156495</v>
      </c>
      <c r="P10685" t="s">
        <v>14034</v>
      </c>
      <c r="Q10685" t="s">
        <v>14035</v>
      </c>
      <c r="AF10685" t="s">
        <v>21485</v>
      </c>
    </row>
    <row r="10686" spans="1:32" hidden="1" x14ac:dyDescent="0.35">
      <c r="A10686">
        <v>10685</v>
      </c>
      <c r="B10686" t="s">
        <v>21486</v>
      </c>
      <c r="C10686" t="s">
        <v>33</v>
      </c>
      <c r="D10686" t="s">
        <v>60</v>
      </c>
      <c r="E10686">
        <v>1999</v>
      </c>
      <c r="F10686">
        <v>2</v>
      </c>
      <c r="G10686">
        <v>2</v>
      </c>
      <c r="H10686">
        <v>1</v>
      </c>
      <c r="I10686">
        <v>0</v>
      </c>
      <c r="J10686">
        <v>0.99215686274509796</v>
      </c>
      <c r="K10686">
        <v>1</v>
      </c>
      <c r="L10686">
        <v>0.99606299212598404</v>
      </c>
      <c r="M10686">
        <v>0.99215686274509796</v>
      </c>
      <c r="N10686">
        <v>0.99215686274509796</v>
      </c>
      <c r="O10686">
        <v>0.99215686274509796</v>
      </c>
      <c r="P10686" t="s">
        <v>15407</v>
      </c>
      <c r="Q10686" t="s">
        <v>15408</v>
      </c>
      <c r="R10686" t="s">
        <v>157</v>
      </c>
      <c r="S10686" t="s">
        <v>158</v>
      </c>
      <c r="V10686" t="s">
        <v>18284</v>
      </c>
      <c r="W10686" t="s">
        <v>18285</v>
      </c>
      <c r="AF10686" t="s">
        <v>21487</v>
      </c>
    </row>
    <row r="10687" spans="1:32" hidden="1" x14ac:dyDescent="0.35">
      <c r="A10687">
        <v>10686</v>
      </c>
      <c r="B10687" t="s">
        <v>21486</v>
      </c>
      <c r="C10687" t="s">
        <v>33</v>
      </c>
      <c r="D10687" t="s">
        <v>62</v>
      </c>
      <c r="E10687">
        <v>2040</v>
      </c>
      <c r="F10687">
        <v>2</v>
      </c>
      <c r="G10687">
        <v>2</v>
      </c>
      <c r="H10687">
        <v>1</v>
      </c>
      <c r="I10687">
        <v>0</v>
      </c>
      <c r="J10687">
        <v>0.99215686274509796</v>
      </c>
      <c r="K10687">
        <v>1</v>
      </c>
      <c r="L10687">
        <v>0.99606299212598404</v>
      </c>
      <c r="M10687">
        <v>0.99215686274509796</v>
      </c>
      <c r="N10687">
        <v>0.99215686274509796</v>
      </c>
      <c r="O10687">
        <v>0.99215686274509796</v>
      </c>
      <c r="P10687" t="s">
        <v>15407</v>
      </c>
      <c r="Q10687" t="s">
        <v>15408</v>
      </c>
      <c r="R10687" t="s">
        <v>157</v>
      </c>
      <c r="S10687" t="s">
        <v>158</v>
      </c>
      <c r="V10687" t="s">
        <v>18284</v>
      </c>
      <c r="W10687" t="s">
        <v>18285</v>
      </c>
      <c r="AF10687" t="s">
        <v>21488</v>
      </c>
    </row>
    <row r="10688" spans="1:32" hidden="1" x14ac:dyDescent="0.35">
      <c r="A10688">
        <v>10687</v>
      </c>
      <c r="B10688" t="s">
        <v>21489</v>
      </c>
      <c r="C10688" t="s">
        <v>33</v>
      </c>
      <c r="D10688" t="s">
        <v>34</v>
      </c>
      <c r="E10688">
        <v>745</v>
      </c>
      <c r="F10688">
        <v>2</v>
      </c>
      <c r="G10688">
        <v>2</v>
      </c>
      <c r="H10688">
        <v>1</v>
      </c>
      <c r="I10688">
        <v>0</v>
      </c>
      <c r="J10688">
        <v>0.89221556886227504</v>
      </c>
      <c r="K10688">
        <v>0.79847114556416998</v>
      </c>
      <c r="L10688">
        <v>0.84274440827001895</v>
      </c>
      <c r="M10688">
        <v>0.68055555555555602</v>
      </c>
      <c r="N10688">
        <v>0.68055555555555602</v>
      </c>
      <c r="O10688">
        <v>0.68055555555555602</v>
      </c>
      <c r="AF10688" t="e">
        <f>--------------------------MLLSHQPPAG--PGAAH---------------------PAGAGHNPALVIMGTGRMRCALYPDYFIFYGDGRQLFARRYRRIGSARLHQPLRLVDDGGTEWCDADEPIIAIEMIDTISDPTAPYVFMFEDENVLGFWHQGRLRVEQRGRRSIDISEYQFPLVRAPQVGDDTPAGIIRACFKAGNGVGAHD</f>
        <v>#NAME?</v>
      </c>
    </row>
    <row r="10689" spans="1:32" hidden="1" x14ac:dyDescent="0.35">
      <c r="A10689">
        <v>10688</v>
      </c>
      <c r="B10689" t="s">
        <v>21489</v>
      </c>
      <c r="C10689" t="s">
        <v>33</v>
      </c>
      <c r="D10689" t="s">
        <v>45</v>
      </c>
      <c r="E10689">
        <v>2011</v>
      </c>
      <c r="F10689">
        <v>2</v>
      </c>
      <c r="G10689">
        <v>2</v>
      </c>
      <c r="H10689">
        <v>1</v>
      </c>
      <c r="I10689">
        <v>0</v>
      </c>
      <c r="J10689">
        <v>0.89221556886227504</v>
      </c>
      <c r="K10689">
        <v>0.79847114556416998</v>
      </c>
      <c r="L10689">
        <v>0.84274440827001895</v>
      </c>
      <c r="M10689">
        <v>0.68055555555555602</v>
      </c>
      <c r="N10689">
        <v>0.68055555555555602</v>
      </c>
      <c r="O10689">
        <v>0.68055555555555602</v>
      </c>
      <c r="AF10689" t="s">
        <v>21490</v>
      </c>
    </row>
    <row r="10690" spans="1:32" hidden="1" x14ac:dyDescent="0.35">
      <c r="A10690">
        <v>10689</v>
      </c>
      <c r="B10690" t="s">
        <v>21491</v>
      </c>
      <c r="C10690" t="s">
        <v>33</v>
      </c>
      <c r="D10690" t="s">
        <v>34</v>
      </c>
      <c r="E10690">
        <v>2066</v>
      </c>
      <c r="F10690">
        <v>2</v>
      </c>
      <c r="G10690">
        <v>2</v>
      </c>
      <c r="H10690">
        <v>1</v>
      </c>
      <c r="I10690">
        <v>0</v>
      </c>
      <c r="J10690">
        <v>0.98030942334739801</v>
      </c>
      <c r="K10690">
        <v>1</v>
      </c>
      <c r="L10690">
        <v>0.99005681818181801</v>
      </c>
      <c r="M10690">
        <v>0.96624472573839704</v>
      </c>
      <c r="N10690">
        <v>0.96624472573839704</v>
      </c>
      <c r="O10690">
        <v>0.96624472573839704</v>
      </c>
      <c r="P10690" t="s">
        <v>20365</v>
      </c>
      <c r="Q10690" t="s">
        <v>20366</v>
      </c>
      <c r="AF10690" t="s">
        <v>21492</v>
      </c>
    </row>
    <row r="10691" spans="1:32" hidden="1" x14ac:dyDescent="0.35">
      <c r="A10691">
        <v>10690</v>
      </c>
      <c r="B10691" t="s">
        <v>21491</v>
      </c>
      <c r="C10691" t="s">
        <v>33</v>
      </c>
      <c r="D10691" t="s">
        <v>45</v>
      </c>
      <c r="E10691">
        <v>806</v>
      </c>
      <c r="F10691">
        <v>2</v>
      </c>
      <c r="G10691">
        <v>2</v>
      </c>
      <c r="H10691">
        <v>1</v>
      </c>
      <c r="I10691">
        <v>0</v>
      </c>
      <c r="J10691">
        <v>0.98030942334739801</v>
      </c>
      <c r="K10691">
        <v>1</v>
      </c>
      <c r="L10691">
        <v>0.99005681818181801</v>
      </c>
      <c r="M10691">
        <v>0.96624472573839704</v>
      </c>
      <c r="N10691">
        <v>0.96624472573839704</v>
      </c>
      <c r="O10691">
        <v>0.96624472573839704</v>
      </c>
      <c r="P10691" t="s">
        <v>20365</v>
      </c>
      <c r="Q10691" t="s">
        <v>20366</v>
      </c>
      <c r="AF10691" t="s">
        <v>21493</v>
      </c>
    </row>
    <row r="10692" spans="1:32" hidden="1" x14ac:dyDescent="0.35">
      <c r="A10692">
        <v>10691</v>
      </c>
      <c r="B10692" t="s">
        <v>21494</v>
      </c>
      <c r="C10692" t="s">
        <v>33</v>
      </c>
      <c r="D10692" t="s">
        <v>60</v>
      </c>
      <c r="E10692">
        <v>534</v>
      </c>
      <c r="F10692">
        <v>2</v>
      </c>
      <c r="G10692">
        <v>2</v>
      </c>
      <c r="H10692">
        <v>1</v>
      </c>
      <c r="I10692">
        <v>0</v>
      </c>
      <c r="J10692">
        <v>0.99279279279279298</v>
      </c>
      <c r="K10692">
        <v>1</v>
      </c>
      <c r="L10692">
        <v>0.99638336347197098</v>
      </c>
      <c r="M10692">
        <v>0.98918918918918897</v>
      </c>
      <c r="N10692">
        <v>0.98918918918918897</v>
      </c>
      <c r="O10692">
        <v>0.98918918918918897</v>
      </c>
      <c r="P10692" t="s">
        <v>20917</v>
      </c>
      <c r="Q10692" t="s">
        <v>20918</v>
      </c>
      <c r="R10692" t="s">
        <v>113</v>
      </c>
      <c r="S10692" t="s">
        <v>114</v>
      </c>
      <c r="V10692" t="s">
        <v>13654</v>
      </c>
      <c r="W10692" t="s">
        <v>13655</v>
      </c>
      <c r="AF10692" t="s">
        <v>21495</v>
      </c>
    </row>
    <row r="10693" spans="1:32" hidden="1" x14ac:dyDescent="0.35">
      <c r="A10693">
        <v>10692</v>
      </c>
      <c r="B10693" t="s">
        <v>21494</v>
      </c>
      <c r="C10693" t="s">
        <v>33</v>
      </c>
      <c r="D10693" t="s">
        <v>62</v>
      </c>
      <c r="E10693">
        <v>618</v>
      </c>
      <c r="F10693">
        <v>2</v>
      </c>
      <c r="G10693">
        <v>2</v>
      </c>
      <c r="H10693">
        <v>1</v>
      </c>
      <c r="I10693">
        <v>0</v>
      </c>
      <c r="J10693">
        <v>0.99279279279279298</v>
      </c>
      <c r="K10693">
        <v>1</v>
      </c>
      <c r="L10693">
        <v>0.99638336347197098</v>
      </c>
      <c r="M10693">
        <v>0.98918918918918897</v>
      </c>
      <c r="N10693">
        <v>0.98918918918918897</v>
      </c>
      <c r="O10693">
        <v>0.98918918918918897</v>
      </c>
      <c r="P10693" t="s">
        <v>20917</v>
      </c>
      <c r="Q10693" t="s">
        <v>20918</v>
      </c>
      <c r="R10693" t="s">
        <v>113</v>
      </c>
      <c r="S10693" t="s">
        <v>114</v>
      </c>
      <c r="V10693" t="s">
        <v>13654</v>
      </c>
      <c r="W10693" t="s">
        <v>13655</v>
      </c>
      <c r="AF10693" t="s">
        <v>21496</v>
      </c>
    </row>
    <row r="10694" spans="1:32" hidden="1" x14ac:dyDescent="0.35">
      <c r="A10694">
        <v>10693</v>
      </c>
      <c r="B10694" t="s">
        <v>21497</v>
      </c>
      <c r="C10694" t="s">
        <v>33</v>
      </c>
      <c r="D10694" t="s">
        <v>60</v>
      </c>
      <c r="E10694">
        <v>1723</v>
      </c>
      <c r="F10694">
        <v>2</v>
      </c>
      <c r="G10694">
        <v>2</v>
      </c>
      <c r="H10694">
        <v>1</v>
      </c>
      <c r="I10694">
        <v>0</v>
      </c>
      <c r="J10694">
        <v>0.99234972677595601</v>
      </c>
      <c r="K10694">
        <v>1</v>
      </c>
      <c r="L10694">
        <v>0.99616017553483305</v>
      </c>
      <c r="M10694">
        <v>0.99016393442622996</v>
      </c>
      <c r="N10694">
        <v>0.99016393442622996</v>
      </c>
      <c r="O10694">
        <v>0.99016393442622996</v>
      </c>
      <c r="P10694" t="s">
        <v>21498</v>
      </c>
      <c r="Q10694" t="s">
        <v>21499</v>
      </c>
      <c r="AF10694" t="s">
        <v>21500</v>
      </c>
    </row>
    <row r="10695" spans="1:32" hidden="1" x14ac:dyDescent="0.35">
      <c r="A10695">
        <v>10694</v>
      </c>
      <c r="B10695" t="s">
        <v>21497</v>
      </c>
      <c r="C10695" t="s">
        <v>33</v>
      </c>
      <c r="D10695" t="s">
        <v>62</v>
      </c>
      <c r="E10695">
        <v>1758</v>
      </c>
      <c r="F10695">
        <v>2</v>
      </c>
      <c r="G10695">
        <v>2</v>
      </c>
      <c r="H10695">
        <v>1</v>
      </c>
      <c r="I10695">
        <v>0</v>
      </c>
      <c r="J10695">
        <v>0.99234972677595601</v>
      </c>
      <c r="K10695">
        <v>1</v>
      </c>
      <c r="L10695">
        <v>0.99616017553483305</v>
      </c>
      <c r="M10695">
        <v>0.99016393442622996</v>
      </c>
      <c r="N10695">
        <v>0.99016393442622996</v>
      </c>
      <c r="O10695">
        <v>0.99016393442622996</v>
      </c>
      <c r="AF10695" t="s">
        <v>21501</v>
      </c>
    </row>
    <row r="10696" spans="1:32" hidden="1" x14ac:dyDescent="0.35">
      <c r="A10696">
        <v>10695</v>
      </c>
      <c r="B10696" t="s">
        <v>21502</v>
      </c>
      <c r="C10696" t="s">
        <v>33</v>
      </c>
      <c r="D10696" t="s">
        <v>60</v>
      </c>
      <c r="E10696">
        <v>1639</v>
      </c>
      <c r="F10696">
        <v>2</v>
      </c>
      <c r="G10696">
        <v>2</v>
      </c>
      <c r="H10696">
        <v>1</v>
      </c>
      <c r="I10696">
        <v>0</v>
      </c>
      <c r="J10696">
        <v>0.99740932642487001</v>
      </c>
      <c r="K10696">
        <v>1</v>
      </c>
      <c r="L10696">
        <v>0.99870298313878103</v>
      </c>
      <c r="M10696">
        <v>0.99740932642487001</v>
      </c>
      <c r="N10696">
        <v>0.99740932642487001</v>
      </c>
      <c r="O10696">
        <v>0.99740932642487001</v>
      </c>
      <c r="P10696" t="s">
        <v>6464</v>
      </c>
      <c r="Q10696" t="s">
        <v>6465</v>
      </c>
      <c r="R10696" t="s">
        <v>1191</v>
      </c>
      <c r="S10696" t="s">
        <v>1192</v>
      </c>
      <c r="V10696" t="s">
        <v>14042</v>
      </c>
      <c r="W10696" t="s">
        <v>14043</v>
      </c>
      <c r="X10696" t="s">
        <v>14042</v>
      </c>
      <c r="Y10696" t="s">
        <v>7046</v>
      </c>
      <c r="AF10696" t="s">
        <v>21503</v>
      </c>
    </row>
    <row r="10697" spans="1:32" hidden="1" x14ac:dyDescent="0.35">
      <c r="A10697">
        <v>10696</v>
      </c>
      <c r="B10697" t="s">
        <v>21502</v>
      </c>
      <c r="C10697" t="s">
        <v>33</v>
      </c>
      <c r="D10697" t="s">
        <v>62</v>
      </c>
      <c r="E10697">
        <v>1674</v>
      </c>
      <c r="F10697">
        <v>2</v>
      </c>
      <c r="G10697">
        <v>2</v>
      </c>
      <c r="H10697">
        <v>1</v>
      </c>
      <c r="I10697">
        <v>0</v>
      </c>
      <c r="J10697">
        <v>0.99740932642487001</v>
      </c>
      <c r="K10697">
        <v>1</v>
      </c>
      <c r="L10697">
        <v>0.99870298313878103</v>
      </c>
      <c r="M10697">
        <v>0.99740932642487001</v>
      </c>
      <c r="N10697">
        <v>0.99740932642487001</v>
      </c>
      <c r="O10697">
        <v>0.99740932642487001</v>
      </c>
      <c r="P10697" t="s">
        <v>6464</v>
      </c>
      <c r="Q10697" t="s">
        <v>6465</v>
      </c>
      <c r="R10697" t="s">
        <v>1191</v>
      </c>
      <c r="S10697" t="s">
        <v>1192</v>
      </c>
      <c r="V10697" t="s">
        <v>14042</v>
      </c>
      <c r="W10697" t="s">
        <v>14043</v>
      </c>
      <c r="X10697" t="s">
        <v>14042</v>
      </c>
      <c r="Y10697" t="s">
        <v>7046</v>
      </c>
      <c r="AF10697" t="s">
        <v>21504</v>
      </c>
    </row>
    <row r="10698" spans="1:32" hidden="1" x14ac:dyDescent="0.35">
      <c r="A10698">
        <v>10697</v>
      </c>
      <c r="B10698" t="s">
        <v>21505</v>
      </c>
      <c r="C10698" t="s">
        <v>33</v>
      </c>
      <c r="D10698" t="s">
        <v>60</v>
      </c>
      <c r="E10698">
        <v>189</v>
      </c>
      <c r="F10698">
        <v>2</v>
      </c>
      <c r="G10698">
        <v>2</v>
      </c>
      <c r="H10698">
        <v>1</v>
      </c>
      <c r="I10698">
        <v>0</v>
      </c>
      <c r="J10698">
        <v>0.95608782435129702</v>
      </c>
      <c r="K10698">
        <v>1</v>
      </c>
      <c r="L10698">
        <v>0.977551020408163</v>
      </c>
      <c r="M10698">
        <v>0.95209580838323304</v>
      </c>
      <c r="N10698">
        <v>0.95209580838323304</v>
      </c>
      <c r="O10698">
        <v>0.95209580838323304</v>
      </c>
      <c r="P10698" t="s">
        <v>21506</v>
      </c>
      <c r="Q10698" t="s">
        <v>21507</v>
      </c>
      <c r="R10698" t="s">
        <v>1259</v>
      </c>
      <c r="S10698" t="s">
        <v>1260</v>
      </c>
      <c r="V10698" t="s">
        <v>21508</v>
      </c>
      <c r="W10698" t="s">
        <v>21509</v>
      </c>
      <c r="AF10698" t="s">
        <v>21510</v>
      </c>
    </row>
    <row r="10699" spans="1:32" hidden="1" x14ac:dyDescent="0.35">
      <c r="A10699">
        <v>10698</v>
      </c>
      <c r="B10699" t="s">
        <v>21505</v>
      </c>
      <c r="C10699" t="s">
        <v>33</v>
      </c>
      <c r="D10699" t="s">
        <v>62</v>
      </c>
      <c r="E10699">
        <v>265</v>
      </c>
      <c r="F10699">
        <v>2</v>
      </c>
      <c r="G10699">
        <v>2</v>
      </c>
      <c r="H10699">
        <v>1</v>
      </c>
      <c r="I10699">
        <v>0</v>
      </c>
      <c r="J10699">
        <v>0.95608782435129702</v>
      </c>
      <c r="K10699">
        <v>1</v>
      </c>
      <c r="L10699">
        <v>0.977551020408163</v>
      </c>
      <c r="M10699">
        <v>0.95209580838323304</v>
      </c>
      <c r="N10699">
        <v>0.95209580838323304</v>
      </c>
      <c r="O10699">
        <v>0.95209580838323304</v>
      </c>
      <c r="P10699" t="s">
        <v>21506</v>
      </c>
      <c r="Q10699" t="s">
        <v>21507</v>
      </c>
      <c r="R10699" t="s">
        <v>1259</v>
      </c>
      <c r="S10699" t="s">
        <v>1260</v>
      </c>
      <c r="V10699" t="s">
        <v>21508</v>
      </c>
      <c r="W10699" t="s">
        <v>21509</v>
      </c>
      <c r="AF10699" t="s">
        <v>21511</v>
      </c>
    </row>
    <row r="10700" spans="1:32" hidden="1" x14ac:dyDescent="0.35">
      <c r="A10700">
        <v>10699</v>
      </c>
      <c r="B10700" t="s">
        <v>21512</v>
      </c>
      <c r="C10700" t="s">
        <v>33</v>
      </c>
      <c r="D10700" t="s">
        <v>34</v>
      </c>
      <c r="E10700">
        <v>1488</v>
      </c>
      <c r="F10700">
        <v>2</v>
      </c>
      <c r="G10700">
        <v>2</v>
      </c>
      <c r="H10700">
        <v>1</v>
      </c>
      <c r="I10700">
        <v>0</v>
      </c>
      <c r="J10700">
        <v>0.99637681159420299</v>
      </c>
      <c r="K10700">
        <v>1</v>
      </c>
      <c r="L10700">
        <v>0.998185117967332</v>
      </c>
      <c r="M10700">
        <v>0.99637681159420299</v>
      </c>
      <c r="N10700">
        <v>0.99637681159420299</v>
      </c>
      <c r="O10700">
        <v>0.99637681159420299</v>
      </c>
      <c r="P10700" t="s">
        <v>21289</v>
      </c>
      <c r="Q10700" t="s">
        <v>21290</v>
      </c>
      <c r="R10700" t="s">
        <v>1191</v>
      </c>
      <c r="S10700" t="s">
        <v>1192</v>
      </c>
      <c r="T10700" t="s">
        <v>21291</v>
      </c>
      <c r="U10700" t="s">
        <v>21292</v>
      </c>
      <c r="V10700" t="s">
        <v>21293</v>
      </c>
      <c r="W10700" t="s">
        <v>21294</v>
      </c>
      <c r="AD10700" t="s">
        <v>21295</v>
      </c>
      <c r="AE10700" t="s">
        <v>21296</v>
      </c>
      <c r="AF10700" t="s">
        <v>21513</v>
      </c>
    </row>
    <row r="10701" spans="1:32" hidden="1" x14ac:dyDescent="0.35">
      <c r="A10701">
        <v>10700</v>
      </c>
      <c r="B10701" t="s">
        <v>21512</v>
      </c>
      <c r="C10701" t="s">
        <v>33</v>
      </c>
      <c r="D10701" t="s">
        <v>45</v>
      </c>
      <c r="E10701">
        <v>238</v>
      </c>
      <c r="F10701">
        <v>2</v>
      </c>
      <c r="G10701">
        <v>2</v>
      </c>
      <c r="H10701">
        <v>1</v>
      </c>
      <c r="I10701">
        <v>0</v>
      </c>
      <c r="J10701">
        <v>0.99637681159420299</v>
      </c>
      <c r="K10701">
        <v>1</v>
      </c>
      <c r="L10701">
        <v>0.998185117967332</v>
      </c>
      <c r="M10701">
        <v>0.99637681159420299</v>
      </c>
      <c r="N10701">
        <v>0.99637681159420299</v>
      </c>
      <c r="O10701">
        <v>0.99637681159420299</v>
      </c>
      <c r="P10701" t="s">
        <v>21289</v>
      </c>
      <c r="Q10701" t="s">
        <v>21290</v>
      </c>
      <c r="R10701" t="s">
        <v>1191</v>
      </c>
      <c r="S10701" t="s">
        <v>1192</v>
      </c>
      <c r="T10701" t="s">
        <v>21291</v>
      </c>
      <c r="U10701" t="s">
        <v>21292</v>
      </c>
      <c r="V10701" t="s">
        <v>21293</v>
      </c>
      <c r="W10701" t="s">
        <v>21294</v>
      </c>
      <c r="AD10701" t="s">
        <v>21295</v>
      </c>
      <c r="AE10701" t="s">
        <v>21296</v>
      </c>
      <c r="AF10701" t="s">
        <v>21514</v>
      </c>
    </row>
    <row r="10702" spans="1:32" hidden="1" x14ac:dyDescent="0.35">
      <c r="A10702">
        <v>10701</v>
      </c>
      <c r="B10702" t="s">
        <v>21515</v>
      </c>
      <c r="C10702" t="s">
        <v>33</v>
      </c>
      <c r="D10702" t="s">
        <v>60</v>
      </c>
      <c r="E10702">
        <v>1464</v>
      </c>
      <c r="F10702">
        <v>2</v>
      </c>
      <c r="G10702">
        <v>2</v>
      </c>
      <c r="H10702">
        <v>1</v>
      </c>
      <c r="I10702">
        <v>0</v>
      </c>
      <c r="J10702">
        <v>0.99800399201596801</v>
      </c>
      <c r="K10702">
        <v>1</v>
      </c>
      <c r="L10702">
        <v>0.99900099900099903</v>
      </c>
      <c r="M10702">
        <v>0.99401197604790403</v>
      </c>
      <c r="N10702">
        <v>0.99401197604790403</v>
      </c>
      <c r="O10702">
        <v>0.99401197604790403</v>
      </c>
      <c r="P10702" t="s">
        <v>14148</v>
      </c>
      <c r="Q10702" t="s">
        <v>14149</v>
      </c>
      <c r="R10702" t="s">
        <v>113</v>
      </c>
      <c r="S10702" t="s">
        <v>114</v>
      </c>
      <c r="V10702" t="s">
        <v>14052</v>
      </c>
      <c r="W10702" t="s">
        <v>14053</v>
      </c>
      <c r="AF10702" t="s">
        <v>21516</v>
      </c>
    </row>
    <row r="10703" spans="1:32" hidden="1" x14ac:dyDescent="0.35">
      <c r="A10703">
        <v>10702</v>
      </c>
      <c r="B10703" t="s">
        <v>21515</v>
      </c>
      <c r="C10703" t="s">
        <v>33</v>
      </c>
      <c r="D10703" t="s">
        <v>62</v>
      </c>
      <c r="E10703">
        <v>1499</v>
      </c>
      <c r="F10703">
        <v>2</v>
      </c>
      <c r="G10703">
        <v>2</v>
      </c>
      <c r="H10703">
        <v>1</v>
      </c>
      <c r="I10703">
        <v>0</v>
      </c>
      <c r="J10703">
        <v>0.99800399201596801</v>
      </c>
      <c r="K10703">
        <v>1</v>
      </c>
      <c r="L10703">
        <v>0.99900099900099903</v>
      </c>
      <c r="M10703">
        <v>0.99401197604790403</v>
      </c>
      <c r="N10703">
        <v>0.99401197604790403</v>
      </c>
      <c r="O10703">
        <v>0.99401197604790403</v>
      </c>
      <c r="P10703" t="s">
        <v>14148</v>
      </c>
      <c r="Q10703" t="s">
        <v>14149</v>
      </c>
      <c r="R10703" t="s">
        <v>113</v>
      </c>
      <c r="S10703" t="s">
        <v>114</v>
      </c>
      <c r="V10703" t="s">
        <v>14052</v>
      </c>
      <c r="W10703" t="s">
        <v>14053</v>
      </c>
      <c r="AF10703" t="s">
        <v>21517</v>
      </c>
    </row>
    <row r="10704" spans="1:32" hidden="1" x14ac:dyDescent="0.35">
      <c r="A10704">
        <v>10703</v>
      </c>
      <c r="B10704" t="s">
        <v>21518</v>
      </c>
      <c r="C10704" t="s">
        <v>33</v>
      </c>
      <c r="D10704" t="s">
        <v>34</v>
      </c>
      <c r="E10704">
        <v>666</v>
      </c>
      <c r="F10704">
        <v>2</v>
      </c>
      <c r="G10704">
        <v>2</v>
      </c>
      <c r="H10704">
        <v>1</v>
      </c>
      <c r="I10704">
        <v>0</v>
      </c>
      <c r="J10704">
        <v>0.97039473684210498</v>
      </c>
      <c r="K10704">
        <v>0.98392384314714398</v>
      </c>
      <c r="L10704">
        <v>0.97711246121264195</v>
      </c>
      <c r="M10704">
        <v>0.94822006472491904</v>
      </c>
      <c r="N10704">
        <v>0.94822006472491904</v>
      </c>
      <c r="O10704">
        <v>0.94822006472491904</v>
      </c>
      <c r="P10704" t="s">
        <v>18411</v>
      </c>
      <c r="Q10704" t="s">
        <v>7176</v>
      </c>
      <c r="AF10704" t="s">
        <v>21519</v>
      </c>
    </row>
    <row r="10705" spans="1:32" hidden="1" x14ac:dyDescent="0.35">
      <c r="A10705">
        <v>10704</v>
      </c>
      <c r="B10705" t="s">
        <v>21518</v>
      </c>
      <c r="C10705" t="s">
        <v>33</v>
      </c>
      <c r="D10705" t="s">
        <v>45</v>
      </c>
      <c r="E10705">
        <v>1932</v>
      </c>
      <c r="F10705">
        <v>2</v>
      </c>
      <c r="G10705">
        <v>2</v>
      </c>
      <c r="H10705">
        <v>1</v>
      </c>
      <c r="I10705">
        <v>0</v>
      </c>
      <c r="J10705">
        <v>0.97039473684210498</v>
      </c>
      <c r="K10705">
        <v>0.98392384314714398</v>
      </c>
      <c r="L10705">
        <v>0.97711246121264195</v>
      </c>
      <c r="M10705">
        <v>0.94822006472491904</v>
      </c>
      <c r="N10705">
        <v>0.94822006472491904</v>
      </c>
      <c r="O10705">
        <v>0.94822006472491904</v>
      </c>
      <c r="P10705" t="s">
        <v>18411</v>
      </c>
      <c r="Q10705" t="s">
        <v>7176</v>
      </c>
      <c r="AF10705" t="s">
        <v>21520</v>
      </c>
    </row>
    <row r="10706" spans="1:32" hidden="1" x14ac:dyDescent="0.35">
      <c r="A10706">
        <v>10705</v>
      </c>
      <c r="B10706" t="s">
        <v>21521</v>
      </c>
      <c r="C10706" t="s">
        <v>33</v>
      </c>
      <c r="D10706" t="s">
        <v>34</v>
      </c>
      <c r="E10706">
        <v>2310</v>
      </c>
      <c r="F10706">
        <v>2</v>
      </c>
      <c r="G10706">
        <v>2</v>
      </c>
      <c r="H10706">
        <v>1</v>
      </c>
      <c r="I10706">
        <v>0</v>
      </c>
      <c r="J10706">
        <v>0.98696461824953396</v>
      </c>
      <c r="K10706">
        <v>0.83988308585082805</v>
      </c>
      <c r="L10706">
        <v>0.90750300349663304</v>
      </c>
      <c r="M10706">
        <v>0.80184331797234998</v>
      </c>
      <c r="N10706">
        <v>0.80184331797234998</v>
      </c>
      <c r="O10706">
        <v>0.80184331797234998</v>
      </c>
      <c r="P10706" t="s">
        <v>11914</v>
      </c>
      <c r="Q10706" t="s">
        <v>11915</v>
      </c>
      <c r="R10706" t="s">
        <v>235</v>
      </c>
      <c r="S10706" t="s">
        <v>236</v>
      </c>
      <c r="T10706" t="s">
        <v>21522</v>
      </c>
      <c r="U10706" t="s">
        <v>21523</v>
      </c>
      <c r="V10706" t="s">
        <v>21524</v>
      </c>
      <c r="W10706" t="s">
        <v>21525</v>
      </c>
      <c r="AD10706" t="s">
        <v>166</v>
      </c>
      <c r="AE10706" t="s">
        <v>818</v>
      </c>
      <c r="AF10706" t="s">
        <v>21526</v>
      </c>
    </row>
    <row r="10707" spans="1:32" hidden="1" x14ac:dyDescent="0.35">
      <c r="A10707">
        <v>10706</v>
      </c>
      <c r="B10707" t="s">
        <v>21521</v>
      </c>
      <c r="C10707" t="s">
        <v>33</v>
      </c>
      <c r="D10707" t="s">
        <v>45</v>
      </c>
      <c r="E10707">
        <v>568</v>
      </c>
      <c r="F10707">
        <v>2</v>
      </c>
      <c r="G10707">
        <v>2</v>
      </c>
      <c r="H10707">
        <v>1</v>
      </c>
      <c r="I10707">
        <v>0</v>
      </c>
      <c r="J10707">
        <v>0.98696461824953396</v>
      </c>
      <c r="K10707">
        <v>0.83988308585082805</v>
      </c>
      <c r="L10707">
        <v>0.90750300349663304</v>
      </c>
      <c r="M10707">
        <v>0.80184331797234998</v>
      </c>
      <c r="N10707">
        <v>0.80184331797234998</v>
      </c>
      <c r="O10707">
        <v>0.80184331797234998</v>
      </c>
      <c r="P10707" t="s">
        <v>11914</v>
      </c>
      <c r="Q10707" t="s">
        <v>11915</v>
      </c>
      <c r="R10707" t="s">
        <v>235</v>
      </c>
      <c r="S10707" t="s">
        <v>236</v>
      </c>
      <c r="T10707" t="s">
        <v>21522</v>
      </c>
      <c r="U10707" t="s">
        <v>21523</v>
      </c>
      <c r="V10707" t="s">
        <v>21524</v>
      </c>
      <c r="W10707" t="s">
        <v>21525</v>
      </c>
      <c r="AD10707" t="s">
        <v>166</v>
      </c>
      <c r="AE10707" t="s">
        <v>818</v>
      </c>
      <c r="AF10707" t="e">
        <f>--------------------------------------MASVSGISTGLVLWVSLTVFGAAALLITYPVLESVIKLVGGVWLVWMGRGMILAARAQFRDRMNVDIDVNTIFGTPWKSYQQGLFTNLSNPKVVLYFAAIIAPLMPAHPTMGDAVLIVLSIVASTFLGFSTLAFLLSTKAMRKRFVSAGPYIDMGSGIFFVIAGASLAINGIATLLMGK</f>
        <v>#NAME?</v>
      </c>
    </row>
    <row r="10708" spans="1:32" hidden="1" x14ac:dyDescent="0.35">
      <c r="A10708">
        <v>10707</v>
      </c>
      <c r="B10708" t="s">
        <v>21527</v>
      </c>
      <c r="C10708" t="s">
        <v>33</v>
      </c>
      <c r="D10708" t="s">
        <v>60</v>
      </c>
      <c r="E10708">
        <v>2524</v>
      </c>
      <c r="F10708">
        <v>2</v>
      </c>
      <c r="G10708">
        <v>2</v>
      </c>
      <c r="H10708">
        <v>1</v>
      </c>
      <c r="I10708">
        <v>0</v>
      </c>
      <c r="J10708">
        <v>0.99807321772639701</v>
      </c>
      <c r="K10708">
        <v>1</v>
      </c>
      <c r="L10708">
        <v>0.99903567984570896</v>
      </c>
      <c r="M10708">
        <v>0.99421965317919103</v>
      </c>
      <c r="N10708">
        <v>0.99421965317919103</v>
      </c>
      <c r="O10708">
        <v>0.99421965317919103</v>
      </c>
      <c r="P10708" t="s">
        <v>8002</v>
      </c>
      <c r="Q10708" t="s">
        <v>8003</v>
      </c>
      <c r="R10708" t="s">
        <v>213</v>
      </c>
      <c r="S10708" t="s">
        <v>214</v>
      </c>
      <c r="T10708" t="s">
        <v>7208</v>
      </c>
      <c r="U10708" t="s">
        <v>7209</v>
      </c>
      <c r="V10708" t="s">
        <v>8004</v>
      </c>
      <c r="W10708" t="s">
        <v>8005</v>
      </c>
      <c r="AD10708" t="s">
        <v>7210</v>
      </c>
      <c r="AE10708" t="s">
        <v>7211</v>
      </c>
      <c r="AF10708" t="s">
        <v>21528</v>
      </c>
    </row>
    <row r="10709" spans="1:32" hidden="1" x14ac:dyDescent="0.35">
      <c r="A10709">
        <v>10708</v>
      </c>
      <c r="B10709" t="s">
        <v>21527</v>
      </c>
      <c r="C10709" t="s">
        <v>33</v>
      </c>
      <c r="D10709" t="s">
        <v>62</v>
      </c>
      <c r="E10709">
        <v>49</v>
      </c>
      <c r="F10709">
        <v>2</v>
      </c>
      <c r="G10709">
        <v>2</v>
      </c>
      <c r="H10709">
        <v>1</v>
      </c>
      <c r="I10709">
        <v>0</v>
      </c>
      <c r="J10709">
        <v>0.99807321772639701</v>
      </c>
      <c r="K10709">
        <v>1</v>
      </c>
      <c r="L10709">
        <v>0.99903567984570896</v>
      </c>
      <c r="M10709">
        <v>0.99421965317919103</v>
      </c>
      <c r="N10709">
        <v>0.99421965317919103</v>
      </c>
      <c r="O10709">
        <v>0.99421965317919103</v>
      </c>
      <c r="P10709" t="s">
        <v>8002</v>
      </c>
      <c r="Q10709" t="s">
        <v>8003</v>
      </c>
      <c r="R10709" t="s">
        <v>213</v>
      </c>
      <c r="S10709" t="s">
        <v>214</v>
      </c>
      <c r="T10709" t="s">
        <v>7208</v>
      </c>
      <c r="U10709" t="s">
        <v>7209</v>
      </c>
      <c r="V10709" t="s">
        <v>8004</v>
      </c>
      <c r="W10709" t="s">
        <v>8005</v>
      </c>
      <c r="AD10709" t="s">
        <v>7210</v>
      </c>
      <c r="AE10709" t="s">
        <v>7211</v>
      </c>
      <c r="AF10709" t="s">
        <v>21529</v>
      </c>
    </row>
    <row r="10710" spans="1:32" hidden="1" x14ac:dyDescent="0.35">
      <c r="A10710">
        <v>10709</v>
      </c>
      <c r="B10710" t="s">
        <v>21530</v>
      </c>
      <c r="C10710" t="s">
        <v>33</v>
      </c>
      <c r="D10710" t="s">
        <v>34</v>
      </c>
      <c r="E10710">
        <v>1855</v>
      </c>
      <c r="F10710">
        <v>2</v>
      </c>
      <c r="G10710">
        <v>2</v>
      </c>
      <c r="H10710">
        <v>1</v>
      </c>
      <c r="I10710">
        <v>0</v>
      </c>
      <c r="J10710">
        <v>0.982222222222222</v>
      </c>
      <c r="K10710">
        <v>1</v>
      </c>
      <c r="L10710">
        <v>0.99103139013452901</v>
      </c>
      <c r="M10710">
        <v>0.98</v>
      </c>
      <c r="N10710">
        <v>0.98</v>
      </c>
      <c r="O10710">
        <v>0.98</v>
      </c>
      <c r="P10710" t="s">
        <v>14209</v>
      </c>
      <c r="Q10710" t="s">
        <v>14210</v>
      </c>
      <c r="R10710" t="s">
        <v>75</v>
      </c>
      <c r="S10710" t="s">
        <v>76</v>
      </c>
      <c r="T10710" t="s">
        <v>14211</v>
      </c>
      <c r="U10710" t="s">
        <v>14212</v>
      </c>
      <c r="V10710" t="s">
        <v>14213</v>
      </c>
      <c r="W10710" t="s">
        <v>14214</v>
      </c>
      <c r="X10710" t="s">
        <v>14213</v>
      </c>
      <c r="Y10710" t="s">
        <v>14215</v>
      </c>
      <c r="AD10710" t="s">
        <v>219</v>
      </c>
      <c r="AE10710" t="s">
        <v>14216</v>
      </c>
      <c r="AF10710" t="s">
        <v>21531</v>
      </c>
    </row>
    <row r="10711" spans="1:32" hidden="1" x14ac:dyDescent="0.35">
      <c r="A10711">
        <v>10710</v>
      </c>
      <c r="B10711" t="s">
        <v>21530</v>
      </c>
      <c r="C10711" t="s">
        <v>33</v>
      </c>
      <c r="D10711" t="s">
        <v>45</v>
      </c>
      <c r="E10711">
        <v>1018</v>
      </c>
      <c r="F10711">
        <v>2</v>
      </c>
      <c r="G10711">
        <v>2</v>
      </c>
      <c r="H10711">
        <v>1</v>
      </c>
      <c r="I10711">
        <v>0</v>
      </c>
      <c r="J10711">
        <v>0.982222222222222</v>
      </c>
      <c r="K10711">
        <v>1</v>
      </c>
      <c r="L10711">
        <v>0.99103139013452901</v>
      </c>
      <c r="M10711">
        <v>0.98</v>
      </c>
      <c r="N10711">
        <v>0.98</v>
      </c>
      <c r="O10711">
        <v>0.98</v>
      </c>
      <c r="P10711" t="s">
        <v>14209</v>
      </c>
      <c r="Q10711" t="s">
        <v>14210</v>
      </c>
      <c r="R10711" t="s">
        <v>75</v>
      </c>
      <c r="S10711" t="s">
        <v>76</v>
      </c>
      <c r="T10711" t="s">
        <v>14211</v>
      </c>
      <c r="U10711" t="s">
        <v>14212</v>
      </c>
      <c r="V10711" t="s">
        <v>14213</v>
      </c>
      <c r="W10711" t="s">
        <v>14214</v>
      </c>
      <c r="X10711" t="s">
        <v>14213</v>
      </c>
      <c r="Y10711" t="s">
        <v>14215</v>
      </c>
      <c r="AD10711" t="s">
        <v>219</v>
      </c>
      <c r="AE10711" t="s">
        <v>14216</v>
      </c>
      <c r="AF10711" t="s">
        <v>21532</v>
      </c>
    </row>
    <row r="10712" spans="1:32" hidden="1" x14ac:dyDescent="0.35">
      <c r="A10712">
        <v>10711</v>
      </c>
      <c r="B10712" t="s">
        <v>21533</v>
      </c>
      <c r="C10712" t="s">
        <v>33</v>
      </c>
      <c r="D10712" t="s">
        <v>60</v>
      </c>
      <c r="E10712">
        <v>105</v>
      </c>
      <c r="F10712">
        <v>2</v>
      </c>
      <c r="G10712">
        <v>2</v>
      </c>
      <c r="H10712">
        <v>1</v>
      </c>
      <c r="I10712">
        <v>0</v>
      </c>
      <c r="J10712">
        <v>0.99267399267399303</v>
      </c>
      <c r="K10712">
        <v>1</v>
      </c>
      <c r="L10712">
        <v>0.99632352941176505</v>
      </c>
      <c r="M10712">
        <v>0.98901098901098905</v>
      </c>
      <c r="N10712">
        <v>0.98901098901098905</v>
      </c>
      <c r="O10712">
        <v>0.98901098901098905</v>
      </c>
      <c r="AF10712" t="s">
        <v>21534</v>
      </c>
    </row>
    <row r="10713" spans="1:32" hidden="1" x14ac:dyDescent="0.35">
      <c r="A10713">
        <v>10712</v>
      </c>
      <c r="B10713" t="s">
        <v>21533</v>
      </c>
      <c r="C10713" t="s">
        <v>33</v>
      </c>
      <c r="D10713" t="s">
        <v>62</v>
      </c>
      <c r="E10713">
        <v>177</v>
      </c>
      <c r="F10713">
        <v>2</v>
      </c>
      <c r="G10713">
        <v>2</v>
      </c>
      <c r="H10713">
        <v>1</v>
      </c>
      <c r="I10713">
        <v>0</v>
      </c>
      <c r="J10713">
        <v>0.99267399267399303</v>
      </c>
      <c r="K10713">
        <v>1</v>
      </c>
      <c r="L10713">
        <v>0.99632352941176505</v>
      </c>
      <c r="M10713">
        <v>0.98901098901098905</v>
      </c>
      <c r="N10713">
        <v>0.98901098901098905</v>
      </c>
      <c r="O10713">
        <v>0.98901098901098905</v>
      </c>
      <c r="AF10713" t="s">
        <v>21535</v>
      </c>
    </row>
    <row r="10714" spans="1:32" hidden="1" x14ac:dyDescent="0.35">
      <c r="A10714">
        <v>10713</v>
      </c>
      <c r="B10714" t="s">
        <v>21536</v>
      </c>
      <c r="C10714" t="s">
        <v>33</v>
      </c>
      <c r="D10714" t="s">
        <v>60</v>
      </c>
      <c r="E10714">
        <v>54</v>
      </c>
      <c r="F10714">
        <v>2</v>
      </c>
      <c r="G10714">
        <v>2</v>
      </c>
      <c r="H10714">
        <v>1</v>
      </c>
      <c r="I10714">
        <v>0</v>
      </c>
      <c r="J10714">
        <v>0.99629629629629601</v>
      </c>
      <c r="K10714">
        <v>1</v>
      </c>
      <c r="L10714">
        <v>0.99814471243042702</v>
      </c>
      <c r="M10714">
        <v>0.98888888888888904</v>
      </c>
      <c r="N10714">
        <v>0.98888888888888904</v>
      </c>
      <c r="O10714">
        <v>0.98888888888888904</v>
      </c>
      <c r="AF10714" t="s">
        <v>21537</v>
      </c>
    </row>
    <row r="10715" spans="1:32" hidden="1" x14ac:dyDescent="0.35">
      <c r="A10715">
        <v>10714</v>
      </c>
      <c r="B10715" t="s">
        <v>21536</v>
      </c>
      <c r="C10715" t="s">
        <v>33</v>
      </c>
      <c r="D10715" t="s">
        <v>62</v>
      </c>
      <c r="E10715">
        <v>127</v>
      </c>
      <c r="F10715">
        <v>2</v>
      </c>
      <c r="G10715">
        <v>2</v>
      </c>
      <c r="H10715">
        <v>1</v>
      </c>
      <c r="I10715">
        <v>0</v>
      </c>
      <c r="J10715">
        <v>0.99629629629629601</v>
      </c>
      <c r="K10715">
        <v>1</v>
      </c>
      <c r="L10715">
        <v>0.99814471243042702</v>
      </c>
      <c r="M10715">
        <v>0.98888888888888904</v>
      </c>
      <c r="N10715">
        <v>0.98888888888888904</v>
      </c>
      <c r="O10715">
        <v>0.98888888888888904</v>
      </c>
      <c r="AF10715" t="s">
        <v>21538</v>
      </c>
    </row>
    <row r="10716" spans="1:32" hidden="1" x14ac:dyDescent="0.35">
      <c r="A10716">
        <v>10715</v>
      </c>
      <c r="B10716" t="s">
        <v>21539</v>
      </c>
      <c r="C10716" t="s">
        <v>33</v>
      </c>
      <c r="D10716" t="s">
        <v>34</v>
      </c>
      <c r="E10716">
        <v>885</v>
      </c>
      <c r="F10716">
        <v>2</v>
      </c>
      <c r="G10716">
        <v>2</v>
      </c>
      <c r="H10716">
        <v>1</v>
      </c>
      <c r="I10716">
        <v>0</v>
      </c>
      <c r="J10716">
        <v>0.95934959349593496</v>
      </c>
      <c r="K10716">
        <v>1</v>
      </c>
      <c r="L10716">
        <v>0.97925311203319498</v>
      </c>
      <c r="M10716">
        <v>0.95470383275261295</v>
      </c>
      <c r="N10716">
        <v>0.95470383275261295</v>
      </c>
      <c r="O10716">
        <v>0.95470383275261295</v>
      </c>
      <c r="P10716" t="s">
        <v>12996</v>
      </c>
      <c r="Q10716" t="s">
        <v>4868</v>
      </c>
      <c r="R10716" t="s">
        <v>96</v>
      </c>
      <c r="S10716" t="s">
        <v>97</v>
      </c>
      <c r="V10716" t="s">
        <v>12997</v>
      </c>
      <c r="W10716" t="s">
        <v>12998</v>
      </c>
      <c r="AF10716" t="s">
        <v>21540</v>
      </c>
    </row>
    <row r="10717" spans="1:32" hidden="1" x14ac:dyDescent="0.35">
      <c r="A10717">
        <v>10716</v>
      </c>
      <c r="B10717" t="s">
        <v>21539</v>
      </c>
      <c r="C10717" t="s">
        <v>33</v>
      </c>
      <c r="D10717" t="s">
        <v>45</v>
      </c>
      <c r="E10717">
        <v>2142</v>
      </c>
      <c r="F10717">
        <v>2</v>
      </c>
      <c r="G10717">
        <v>2</v>
      </c>
      <c r="H10717">
        <v>1</v>
      </c>
      <c r="I10717">
        <v>0</v>
      </c>
      <c r="J10717">
        <v>0.95934959349593496</v>
      </c>
      <c r="K10717">
        <v>1</v>
      </c>
      <c r="L10717">
        <v>0.97925311203319498</v>
      </c>
      <c r="M10717">
        <v>0.95470383275261295</v>
      </c>
      <c r="N10717">
        <v>0.95470383275261295</v>
      </c>
      <c r="O10717">
        <v>0.95470383275261295</v>
      </c>
      <c r="P10717" t="s">
        <v>12996</v>
      </c>
      <c r="Q10717" t="s">
        <v>4868</v>
      </c>
      <c r="R10717" t="s">
        <v>96</v>
      </c>
      <c r="S10717" t="s">
        <v>97</v>
      </c>
      <c r="V10717" t="s">
        <v>12997</v>
      </c>
      <c r="W10717" t="s">
        <v>12998</v>
      </c>
      <c r="AF10717" t="s">
        <v>21541</v>
      </c>
    </row>
    <row r="10718" spans="1:32" hidden="1" x14ac:dyDescent="0.35">
      <c r="A10718">
        <v>10717</v>
      </c>
      <c r="B10718" t="s">
        <v>21542</v>
      </c>
      <c r="C10718" t="s">
        <v>33</v>
      </c>
      <c r="D10718" t="s">
        <v>34</v>
      </c>
      <c r="E10718">
        <v>1688</v>
      </c>
      <c r="F10718">
        <v>2</v>
      </c>
      <c r="G10718">
        <v>2</v>
      </c>
      <c r="H10718">
        <v>1</v>
      </c>
      <c r="I10718">
        <v>0</v>
      </c>
      <c r="J10718">
        <v>0.99415204678362601</v>
      </c>
      <c r="K10718">
        <v>1</v>
      </c>
      <c r="L10718">
        <v>0.99706744868035202</v>
      </c>
      <c r="M10718">
        <v>0.99415204678362601</v>
      </c>
      <c r="N10718">
        <v>0.99415204678362601</v>
      </c>
      <c r="O10718">
        <v>0.99415204678362601</v>
      </c>
      <c r="P10718" t="s">
        <v>21543</v>
      </c>
      <c r="Q10718" t="s">
        <v>21544</v>
      </c>
      <c r="R10718" t="s">
        <v>1259</v>
      </c>
      <c r="S10718" t="s">
        <v>1260</v>
      </c>
      <c r="V10718" t="s">
        <v>21545</v>
      </c>
      <c r="W10718" t="s">
        <v>5819</v>
      </c>
      <c r="AF10718" t="s">
        <v>21546</v>
      </c>
    </row>
    <row r="10719" spans="1:32" hidden="1" x14ac:dyDescent="0.35">
      <c r="A10719">
        <v>10718</v>
      </c>
      <c r="B10719" t="s">
        <v>21542</v>
      </c>
      <c r="C10719" t="s">
        <v>33</v>
      </c>
      <c r="D10719" t="s">
        <v>45</v>
      </c>
      <c r="E10719">
        <v>1188</v>
      </c>
      <c r="F10719">
        <v>2</v>
      </c>
      <c r="G10719">
        <v>2</v>
      </c>
      <c r="H10719">
        <v>1</v>
      </c>
      <c r="I10719">
        <v>0</v>
      </c>
      <c r="J10719">
        <v>0.99415204678362601</v>
      </c>
      <c r="K10719">
        <v>1</v>
      </c>
      <c r="L10719">
        <v>0.99706744868035202</v>
      </c>
      <c r="M10719">
        <v>0.99415204678362601</v>
      </c>
      <c r="N10719">
        <v>0.99415204678362601</v>
      </c>
      <c r="O10719">
        <v>0.99415204678362601</v>
      </c>
      <c r="P10719" t="s">
        <v>21543</v>
      </c>
      <c r="Q10719" t="s">
        <v>21544</v>
      </c>
      <c r="R10719" t="s">
        <v>1259</v>
      </c>
      <c r="S10719" t="s">
        <v>1260</v>
      </c>
      <c r="V10719" t="s">
        <v>21545</v>
      </c>
      <c r="W10719" t="s">
        <v>5819</v>
      </c>
      <c r="AF10719" t="s">
        <v>21547</v>
      </c>
    </row>
    <row r="10720" spans="1:32" hidden="1" x14ac:dyDescent="0.35">
      <c r="A10720">
        <v>10719</v>
      </c>
      <c r="B10720" t="s">
        <v>21548</v>
      </c>
      <c r="C10720" t="s">
        <v>33</v>
      </c>
      <c r="D10720" t="s">
        <v>60</v>
      </c>
      <c r="E10720">
        <v>419</v>
      </c>
      <c r="F10720">
        <v>2</v>
      </c>
      <c r="G10720">
        <v>2</v>
      </c>
      <c r="H10720">
        <v>1</v>
      </c>
      <c r="I10720">
        <v>0</v>
      </c>
      <c r="J10720">
        <v>0.99893276414087495</v>
      </c>
      <c r="K10720">
        <v>0.92340448594368596</v>
      </c>
      <c r="L10720">
        <v>0.95968487893915</v>
      </c>
      <c r="M10720">
        <v>0.92035398230088505</v>
      </c>
      <c r="N10720">
        <v>0.92035398230088505</v>
      </c>
      <c r="O10720">
        <v>0.92035398230088505</v>
      </c>
      <c r="AF10720" t="s">
        <v>21549</v>
      </c>
    </row>
    <row r="10721" spans="1:32" hidden="1" x14ac:dyDescent="0.35">
      <c r="A10721">
        <v>10720</v>
      </c>
      <c r="B10721" t="s">
        <v>21548</v>
      </c>
      <c r="C10721" t="s">
        <v>33</v>
      </c>
      <c r="D10721" t="s">
        <v>62</v>
      </c>
      <c r="E10721">
        <v>500</v>
      </c>
      <c r="F10721">
        <v>2</v>
      </c>
      <c r="G10721">
        <v>2</v>
      </c>
      <c r="H10721">
        <v>1</v>
      </c>
      <c r="I10721">
        <v>0</v>
      </c>
      <c r="J10721">
        <v>0.99893276414087495</v>
      </c>
      <c r="K10721">
        <v>0.92340448594368596</v>
      </c>
      <c r="L10721">
        <v>0.95968487893915</v>
      </c>
      <c r="M10721">
        <v>0.92035398230088505</v>
      </c>
      <c r="N10721">
        <v>0.92035398230088505</v>
      </c>
      <c r="O10721">
        <v>0.92035398230088505</v>
      </c>
      <c r="AF10721" t="s">
        <v>21550</v>
      </c>
    </row>
    <row r="10722" spans="1:32" hidden="1" x14ac:dyDescent="0.35">
      <c r="A10722">
        <v>10721</v>
      </c>
      <c r="B10722" t="s">
        <v>21551</v>
      </c>
      <c r="C10722" t="s">
        <v>33</v>
      </c>
      <c r="D10722" t="s">
        <v>34</v>
      </c>
      <c r="E10722">
        <v>1707</v>
      </c>
      <c r="F10722">
        <v>2</v>
      </c>
      <c r="G10722">
        <v>2</v>
      </c>
      <c r="H10722">
        <v>1</v>
      </c>
      <c r="I10722">
        <v>0</v>
      </c>
      <c r="J10722">
        <v>0.97959183673469397</v>
      </c>
      <c r="K10722">
        <v>0.52867872994196097</v>
      </c>
      <c r="L10722">
        <v>0.686732711687845</v>
      </c>
      <c r="M10722">
        <v>0.23645320197044301</v>
      </c>
      <c r="N10722">
        <v>0.23645320197044301</v>
      </c>
      <c r="O10722">
        <v>0.23645320197044301</v>
      </c>
      <c r="P10722" t="s">
        <v>13160</v>
      </c>
      <c r="Q10722" t="s">
        <v>13161</v>
      </c>
      <c r="R10722" t="s">
        <v>96</v>
      </c>
      <c r="S10722" t="s">
        <v>97</v>
      </c>
      <c r="V10722" t="s">
        <v>601</v>
      </c>
      <c r="W10722" t="s">
        <v>602</v>
      </c>
      <c r="AF10722" t="s">
        <v>21552</v>
      </c>
    </row>
    <row r="10723" spans="1:32" hidden="1" x14ac:dyDescent="0.35">
      <c r="A10723">
        <v>10722</v>
      </c>
      <c r="B10723" t="s">
        <v>21551</v>
      </c>
      <c r="C10723" t="s">
        <v>33</v>
      </c>
      <c r="D10723" t="s">
        <v>45</v>
      </c>
      <c r="E10723">
        <v>1168</v>
      </c>
      <c r="F10723">
        <v>2</v>
      </c>
      <c r="G10723">
        <v>2</v>
      </c>
      <c r="H10723">
        <v>1</v>
      </c>
      <c r="I10723">
        <v>0</v>
      </c>
      <c r="J10723">
        <v>0.97959183673469397</v>
      </c>
      <c r="K10723">
        <v>0.52867872994196097</v>
      </c>
      <c r="L10723">
        <v>0.686732711687845</v>
      </c>
      <c r="M10723">
        <v>0.23645320197044301</v>
      </c>
      <c r="N10723">
        <v>0.23645320197044301</v>
      </c>
      <c r="O10723">
        <v>0.23645320197044301</v>
      </c>
      <c r="AF10723" t="e">
        <f>----------------------------------------------------------------------------------------------------------------------------------------------------------MVNNQLVGLQSLILDPYGKNLGVATISLINPHLGEIRAAMHRLPPHPGE</f>
        <v>#NAME?</v>
      </c>
    </row>
    <row r="10724" spans="1:32" hidden="1" x14ac:dyDescent="0.35">
      <c r="A10724">
        <v>10723</v>
      </c>
      <c r="B10724" t="s">
        <v>21553</v>
      </c>
      <c r="C10724" t="s">
        <v>33</v>
      </c>
      <c r="D10724" t="s">
        <v>60</v>
      </c>
      <c r="E10724">
        <v>77</v>
      </c>
      <c r="F10724">
        <v>2</v>
      </c>
      <c r="G10724">
        <v>2</v>
      </c>
      <c r="H10724">
        <v>1</v>
      </c>
      <c r="I10724">
        <v>0</v>
      </c>
      <c r="J10724">
        <v>0.99776286353467603</v>
      </c>
      <c r="K10724">
        <v>1</v>
      </c>
      <c r="L10724">
        <v>0.99888017917133298</v>
      </c>
      <c r="M10724">
        <v>0.99328859060402697</v>
      </c>
      <c r="N10724">
        <v>0.99328859060402697</v>
      </c>
      <c r="O10724">
        <v>0.99328859060402697</v>
      </c>
      <c r="P10724" t="s">
        <v>15542</v>
      </c>
      <c r="Q10724" t="s">
        <v>15543</v>
      </c>
      <c r="R10724" t="s">
        <v>96</v>
      </c>
      <c r="S10724" t="s">
        <v>97</v>
      </c>
      <c r="V10724" t="s">
        <v>15544</v>
      </c>
      <c r="W10724" t="s">
        <v>15545</v>
      </c>
      <c r="AF10724" t="s">
        <v>21554</v>
      </c>
    </row>
    <row r="10725" spans="1:32" hidden="1" x14ac:dyDescent="0.35">
      <c r="A10725">
        <v>10724</v>
      </c>
      <c r="B10725" t="s">
        <v>21553</v>
      </c>
      <c r="C10725" t="s">
        <v>33</v>
      </c>
      <c r="D10725" t="s">
        <v>62</v>
      </c>
      <c r="E10725">
        <v>150</v>
      </c>
      <c r="F10725">
        <v>2</v>
      </c>
      <c r="G10725">
        <v>2</v>
      </c>
      <c r="H10725">
        <v>1</v>
      </c>
      <c r="I10725">
        <v>0</v>
      </c>
      <c r="J10725">
        <v>0.99776286353467603</v>
      </c>
      <c r="K10725">
        <v>1</v>
      </c>
      <c r="L10725">
        <v>0.99888017917133298</v>
      </c>
      <c r="M10725">
        <v>0.99328859060402697</v>
      </c>
      <c r="N10725">
        <v>0.99328859060402697</v>
      </c>
      <c r="O10725">
        <v>0.99328859060402697</v>
      </c>
      <c r="P10725" t="s">
        <v>15542</v>
      </c>
      <c r="Q10725" t="s">
        <v>15543</v>
      </c>
      <c r="R10725" t="s">
        <v>96</v>
      </c>
      <c r="S10725" t="s">
        <v>97</v>
      </c>
      <c r="V10725" t="s">
        <v>15544</v>
      </c>
      <c r="W10725" t="s">
        <v>15545</v>
      </c>
      <c r="AF10725" t="s">
        <v>21555</v>
      </c>
    </row>
    <row r="10726" spans="1:32" hidden="1" x14ac:dyDescent="0.35">
      <c r="A10726">
        <v>10725</v>
      </c>
      <c r="B10726" t="s">
        <v>21556</v>
      </c>
      <c r="C10726" t="s">
        <v>33</v>
      </c>
      <c r="D10726" t="s">
        <v>60</v>
      </c>
      <c r="E10726">
        <v>515</v>
      </c>
      <c r="F10726">
        <v>2</v>
      </c>
      <c r="G10726">
        <v>2</v>
      </c>
      <c r="H10726">
        <v>1</v>
      </c>
      <c r="I10726">
        <v>0</v>
      </c>
      <c r="J10726">
        <v>0.98773006134969299</v>
      </c>
      <c r="K10726">
        <v>1</v>
      </c>
      <c r="L10726">
        <v>0.99382716049382702</v>
      </c>
      <c r="M10726">
        <v>0.98773006134969299</v>
      </c>
      <c r="N10726">
        <v>0.98773006134969299</v>
      </c>
      <c r="O10726">
        <v>0.98773006134969299</v>
      </c>
      <c r="P10726" t="s">
        <v>21119</v>
      </c>
      <c r="Q10726" t="s">
        <v>21120</v>
      </c>
      <c r="AF10726" t="s">
        <v>21557</v>
      </c>
    </row>
    <row r="10727" spans="1:32" hidden="1" x14ac:dyDescent="0.35">
      <c r="A10727">
        <v>10726</v>
      </c>
      <c r="B10727" t="s">
        <v>21556</v>
      </c>
      <c r="C10727" t="s">
        <v>33</v>
      </c>
      <c r="D10727" t="s">
        <v>62</v>
      </c>
      <c r="E10727">
        <v>599</v>
      </c>
      <c r="F10727">
        <v>2</v>
      </c>
      <c r="G10727">
        <v>2</v>
      </c>
      <c r="H10727">
        <v>1</v>
      </c>
      <c r="I10727">
        <v>0</v>
      </c>
      <c r="J10727">
        <v>0.98773006134969299</v>
      </c>
      <c r="K10727">
        <v>1</v>
      </c>
      <c r="L10727">
        <v>0.99382716049382702</v>
      </c>
      <c r="M10727">
        <v>0.98773006134969299</v>
      </c>
      <c r="N10727">
        <v>0.98773006134969299</v>
      </c>
      <c r="O10727">
        <v>0.98773006134969299</v>
      </c>
      <c r="P10727" t="s">
        <v>21119</v>
      </c>
      <c r="Q10727" t="s">
        <v>21120</v>
      </c>
      <c r="AF10727" t="s">
        <v>21558</v>
      </c>
    </row>
    <row r="10728" spans="1:32" hidden="1" x14ac:dyDescent="0.35">
      <c r="A10728">
        <v>10727</v>
      </c>
      <c r="B10728" t="s">
        <v>21559</v>
      </c>
      <c r="C10728" t="s">
        <v>33</v>
      </c>
      <c r="D10728" t="s">
        <v>60</v>
      </c>
      <c r="E10728">
        <v>696</v>
      </c>
      <c r="F10728">
        <v>2</v>
      </c>
      <c r="G10728">
        <v>2</v>
      </c>
      <c r="H10728">
        <v>1</v>
      </c>
      <c r="I10728">
        <v>0</v>
      </c>
      <c r="J10728">
        <v>0.98390804597701198</v>
      </c>
      <c r="K10728">
        <v>1</v>
      </c>
      <c r="L10728">
        <v>0.99188876013905003</v>
      </c>
      <c r="M10728">
        <v>0.97931034482758605</v>
      </c>
      <c r="N10728">
        <v>0.97931034482758605</v>
      </c>
      <c r="O10728">
        <v>0.97931034482758605</v>
      </c>
      <c r="P10728" t="s">
        <v>21560</v>
      </c>
      <c r="Q10728" t="s">
        <v>21561</v>
      </c>
      <c r="R10728" t="s">
        <v>1259</v>
      </c>
      <c r="S10728" t="s">
        <v>1260</v>
      </c>
      <c r="T10728" t="s">
        <v>21562</v>
      </c>
      <c r="U10728" t="s">
        <v>407</v>
      </c>
      <c r="V10728" t="s">
        <v>21563</v>
      </c>
      <c r="W10728" t="s">
        <v>21564</v>
      </c>
      <c r="AD10728" t="s">
        <v>410</v>
      </c>
      <c r="AE10728" t="s">
        <v>411</v>
      </c>
      <c r="AF10728" t="s">
        <v>21565</v>
      </c>
    </row>
    <row r="10729" spans="1:32" hidden="1" x14ac:dyDescent="0.35">
      <c r="A10729">
        <v>10728</v>
      </c>
      <c r="B10729" t="s">
        <v>21559</v>
      </c>
      <c r="C10729" t="s">
        <v>33</v>
      </c>
      <c r="D10729" t="s">
        <v>62</v>
      </c>
      <c r="E10729">
        <v>727</v>
      </c>
      <c r="F10729">
        <v>2</v>
      </c>
      <c r="G10729">
        <v>2</v>
      </c>
      <c r="H10729">
        <v>1</v>
      </c>
      <c r="I10729">
        <v>0</v>
      </c>
      <c r="J10729">
        <v>0.98390804597701198</v>
      </c>
      <c r="K10729">
        <v>1</v>
      </c>
      <c r="L10729">
        <v>0.99188876013905003</v>
      </c>
      <c r="M10729">
        <v>0.97931034482758605</v>
      </c>
      <c r="N10729">
        <v>0.97931034482758605</v>
      </c>
      <c r="O10729">
        <v>0.97931034482758605</v>
      </c>
      <c r="P10729" t="s">
        <v>21560</v>
      </c>
      <c r="Q10729" t="s">
        <v>21561</v>
      </c>
      <c r="R10729" t="s">
        <v>1259</v>
      </c>
      <c r="S10729" t="s">
        <v>1260</v>
      </c>
      <c r="T10729" t="s">
        <v>21562</v>
      </c>
      <c r="U10729" t="s">
        <v>407</v>
      </c>
      <c r="V10729" t="s">
        <v>21563</v>
      </c>
      <c r="W10729" t="s">
        <v>21564</v>
      </c>
      <c r="AD10729" t="s">
        <v>410</v>
      </c>
      <c r="AE10729" t="s">
        <v>411</v>
      </c>
      <c r="AF10729" t="s">
        <v>21566</v>
      </c>
    </row>
    <row r="10730" spans="1:32" hidden="1" x14ac:dyDescent="0.35">
      <c r="A10730">
        <v>10729</v>
      </c>
      <c r="B10730" t="s">
        <v>21567</v>
      </c>
      <c r="C10730" t="s">
        <v>33</v>
      </c>
      <c r="D10730" t="s">
        <v>34</v>
      </c>
      <c r="E10730">
        <v>2177</v>
      </c>
      <c r="F10730">
        <v>2</v>
      </c>
      <c r="G10730">
        <v>2</v>
      </c>
      <c r="H10730">
        <v>1</v>
      </c>
      <c r="I10730">
        <v>0</v>
      </c>
      <c r="J10730">
        <v>0.99925760950259801</v>
      </c>
      <c r="K10730">
        <v>1</v>
      </c>
      <c r="L10730">
        <v>0.99962866691422203</v>
      </c>
      <c r="M10730">
        <v>0.99777282850779503</v>
      </c>
      <c r="N10730">
        <v>0.99777282850779503</v>
      </c>
      <c r="O10730">
        <v>0.99777282850779503</v>
      </c>
      <c r="P10730" t="s">
        <v>21568</v>
      </c>
      <c r="Q10730" t="s">
        <v>21569</v>
      </c>
      <c r="R10730" t="s">
        <v>235</v>
      </c>
      <c r="S10730" t="s">
        <v>236</v>
      </c>
      <c r="T10730" t="s">
        <v>21570</v>
      </c>
      <c r="U10730" t="s">
        <v>21571</v>
      </c>
      <c r="V10730" t="s">
        <v>21572</v>
      </c>
      <c r="W10730" t="s">
        <v>21573</v>
      </c>
      <c r="AD10730" t="s">
        <v>166</v>
      </c>
      <c r="AE10730" t="s">
        <v>818</v>
      </c>
      <c r="AF10730" t="s">
        <v>21574</v>
      </c>
    </row>
    <row r="10731" spans="1:32" hidden="1" x14ac:dyDescent="0.35">
      <c r="A10731">
        <v>10730</v>
      </c>
      <c r="B10731" t="s">
        <v>21567</v>
      </c>
      <c r="C10731" t="s">
        <v>33</v>
      </c>
      <c r="D10731" t="s">
        <v>45</v>
      </c>
      <c r="E10731">
        <v>697</v>
      </c>
      <c r="F10731">
        <v>2</v>
      </c>
      <c r="G10731">
        <v>2</v>
      </c>
      <c r="H10731">
        <v>1</v>
      </c>
      <c r="I10731">
        <v>0</v>
      </c>
      <c r="J10731">
        <v>0.99925760950259801</v>
      </c>
      <c r="K10731">
        <v>1</v>
      </c>
      <c r="L10731">
        <v>0.99962866691422203</v>
      </c>
      <c r="M10731">
        <v>0.99777282850779503</v>
      </c>
      <c r="N10731">
        <v>0.99777282850779503</v>
      </c>
      <c r="O10731">
        <v>0.99777282850779503</v>
      </c>
      <c r="P10731" t="s">
        <v>21568</v>
      </c>
      <c r="Q10731" t="s">
        <v>21569</v>
      </c>
      <c r="R10731" t="s">
        <v>235</v>
      </c>
      <c r="S10731" t="s">
        <v>236</v>
      </c>
      <c r="T10731" t="s">
        <v>21570</v>
      </c>
      <c r="U10731" t="s">
        <v>21571</v>
      </c>
      <c r="V10731" t="s">
        <v>21572</v>
      </c>
      <c r="W10731" t="s">
        <v>21573</v>
      </c>
      <c r="AD10731" t="s">
        <v>166</v>
      </c>
      <c r="AE10731" t="s">
        <v>818</v>
      </c>
      <c r="AF10731" t="s">
        <v>21575</v>
      </c>
    </row>
    <row r="10732" spans="1:32" hidden="1" x14ac:dyDescent="0.35">
      <c r="A10732">
        <v>10731</v>
      </c>
      <c r="B10732" t="s">
        <v>21576</v>
      </c>
      <c r="C10732" t="s">
        <v>33</v>
      </c>
      <c r="D10732" t="s">
        <v>60</v>
      </c>
      <c r="E10732">
        <v>2341</v>
      </c>
      <c r="F10732">
        <v>2</v>
      </c>
      <c r="G10732">
        <v>2</v>
      </c>
      <c r="H10732">
        <v>1</v>
      </c>
      <c r="I10732">
        <v>0</v>
      </c>
      <c r="J10732">
        <v>0.99829931972789099</v>
      </c>
      <c r="K10732">
        <v>1</v>
      </c>
      <c r="L10732">
        <v>0.99914893617021305</v>
      </c>
      <c r="M10732">
        <v>0.99829931972789099</v>
      </c>
      <c r="N10732">
        <v>0.99829931972789099</v>
      </c>
      <c r="O10732">
        <v>0.99829931972789099</v>
      </c>
      <c r="P10732" t="s">
        <v>21577</v>
      </c>
      <c r="Q10732" t="s">
        <v>20612</v>
      </c>
      <c r="R10732" t="s">
        <v>138</v>
      </c>
      <c r="S10732" t="s">
        <v>139</v>
      </c>
      <c r="T10732" t="s">
        <v>20611</v>
      </c>
      <c r="U10732" t="s">
        <v>20612</v>
      </c>
      <c r="V10732" t="s">
        <v>20613</v>
      </c>
      <c r="W10732" t="s">
        <v>20614</v>
      </c>
      <c r="AD10732" t="s">
        <v>410</v>
      </c>
      <c r="AE10732" t="s">
        <v>5489</v>
      </c>
      <c r="AF10732" t="s">
        <v>21578</v>
      </c>
    </row>
    <row r="10733" spans="1:32" hidden="1" x14ac:dyDescent="0.35">
      <c r="A10733">
        <v>10732</v>
      </c>
      <c r="B10733" t="s">
        <v>21576</v>
      </c>
      <c r="C10733" t="s">
        <v>33</v>
      </c>
      <c r="D10733" t="s">
        <v>62</v>
      </c>
      <c r="E10733">
        <v>2369</v>
      </c>
      <c r="F10733">
        <v>2</v>
      </c>
      <c r="G10733">
        <v>2</v>
      </c>
      <c r="H10733">
        <v>1</v>
      </c>
      <c r="I10733">
        <v>0</v>
      </c>
      <c r="J10733">
        <v>0.99829931972789099</v>
      </c>
      <c r="K10733">
        <v>1</v>
      </c>
      <c r="L10733">
        <v>0.99914893617021305</v>
      </c>
      <c r="M10733">
        <v>0.99829931972789099</v>
      </c>
      <c r="N10733">
        <v>0.99829931972789099</v>
      </c>
      <c r="O10733">
        <v>0.99829931972789099</v>
      </c>
      <c r="P10733" t="s">
        <v>21577</v>
      </c>
      <c r="Q10733" t="s">
        <v>20612</v>
      </c>
      <c r="R10733" t="s">
        <v>138</v>
      </c>
      <c r="S10733" t="s">
        <v>139</v>
      </c>
      <c r="T10733" t="s">
        <v>20611</v>
      </c>
      <c r="U10733" t="s">
        <v>20612</v>
      </c>
      <c r="V10733" t="s">
        <v>20613</v>
      </c>
      <c r="W10733" t="s">
        <v>20614</v>
      </c>
      <c r="AD10733" t="s">
        <v>410</v>
      </c>
      <c r="AE10733" t="s">
        <v>5489</v>
      </c>
      <c r="AF10733" t="s">
        <v>21579</v>
      </c>
    </row>
    <row r="10734" spans="1:32" hidden="1" x14ac:dyDescent="0.35">
      <c r="A10734">
        <v>10733</v>
      </c>
      <c r="B10734" t="s">
        <v>21580</v>
      </c>
      <c r="C10734" t="s">
        <v>33</v>
      </c>
      <c r="D10734" t="s">
        <v>60</v>
      </c>
      <c r="E10734">
        <v>2289</v>
      </c>
      <c r="F10734">
        <v>2</v>
      </c>
      <c r="G10734">
        <v>2</v>
      </c>
      <c r="H10734">
        <v>1</v>
      </c>
      <c r="I10734">
        <v>0</v>
      </c>
      <c r="J10734">
        <v>0.98936170212765995</v>
      </c>
      <c r="K10734">
        <v>1</v>
      </c>
      <c r="L10734">
        <v>0.99465240641711195</v>
      </c>
      <c r="M10734">
        <v>0.98404255319148903</v>
      </c>
      <c r="N10734">
        <v>0.98404255319148903</v>
      </c>
      <c r="O10734">
        <v>0.98404255319148903</v>
      </c>
      <c r="P10734" t="s">
        <v>20465</v>
      </c>
      <c r="Q10734" t="s">
        <v>20466</v>
      </c>
      <c r="AF10734" t="s">
        <v>21581</v>
      </c>
    </row>
    <row r="10735" spans="1:32" hidden="1" x14ac:dyDescent="0.35">
      <c r="A10735">
        <v>10734</v>
      </c>
      <c r="B10735" t="s">
        <v>21580</v>
      </c>
      <c r="C10735" t="s">
        <v>33</v>
      </c>
      <c r="D10735" t="s">
        <v>62</v>
      </c>
      <c r="E10735">
        <v>2318</v>
      </c>
      <c r="F10735">
        <v>2</v>
      </c>
      <c r="G10735">
        <v>2</v>
      </c>
      <c r="H10735">
        <v>1</v>
      </c>
      <c r="I10735">
        <v>0</v>
      </c>
      <c r="J10735">
        <v>0.98936170212765995</v>
      </c>
      <c r="K10735">
        <v>1</v>
      </c>
      <c r="L10735">
        <v>0.99465240641711195</v>
      </c>
      <c r="M10735">
        <v>0.98404255319148903</v>
      </c>
      <c r="N10735">
        <v>0.98404255319148903</v>
      </c>
      <c r="O10735">
        <v>0.98404255319148903</v>
      </c>
      <c r="P10735" t="s">
        <v>20465</v>
      </c>
      <c r="Q10735" t="s">
        <v>20466</v>
      </c>
      <c r="AF10735" t="s">
        <v>21582</v>
      </c>
    </row>
    <row r="10736" spans="1:32" hidden="1" x14ac:dyDescent="0.35">
      <c r="A10736">
        <v>10735</v>
      </c>
      <c r="B10736" t="s">
        <v>21583</v>
      </c>
      <c r="C10736" t="s">
        <v>33</v>
      </c>
      <c r="D10736" t="s">
        <v>34</v>
      </c>
      <c r="E10736">
        <v>1166</v>
      </c>
      <c r="F10736">
        <v>2</v>
      </c>
      <c r="G10736">
        <v>2</v>
      </c>
      <c r="H10736">
        <v>1</v>
      </c>
      <c r="I10736">
        <v>0</v>
      </c>
      <c r="J10736">
        <v>0.98951781970649899</v>
      </c>
      <c r="K10736">
        <v>1</v>
      </c>
      <c r="L10736">
        <v>0.99473129610115896</v>
      </c>
      <c r="M10736">
        <v>0.98113207547169801</v>
      </c>
      <c r="N10736">
        <v>0.98113207547169801</v>
      </c>
      <c r="O10736">
        <v>0.98113207547169801</v>
      </c>
      <c r="AF10736" t="s">
        <v>21584</v>
      </c>
    </row>
    <row r="10737" spans="1:32" hidden="1" x14ac:dyDescent="0.35">
      <c r="A10737">
        <v>10736</v>
      </c>
      <c r="B10737" t="s">
        <v>21583</v>
      </c>
      <c r="C10737" t="s">
        <v>33</v>
      </c>
      <c r="D10737" t="s">
        <v>45</v>
      </c>
      <c r="E10737">
        <v>2411</v>
      </c>
      <c r="F10737">
        <v>2</v>
      </c>
      <c r="G10737">
        <v>2</v>
      </c>
      <c r="H10737">
        <v>1</v>
      </c>
      <c r="I10737">
        <v>0</v>
      </c>
      <c r="J10737">
        <v>0.98951781970649899</v>
      </c>
      <c r="K10737">
        <v>1</v>
      </c>
      <c r="L10737">
        <v>0.99473129610115896</v>
      </c>
      <c r="M10737">
        <v>0.98113207547169801</v>
      </c>
      <c r="N10737">
        <v>0.98113207547169801</v>
      </c>
      <c r="O10737">
        <v>0.98113207547169801</v>
      </c>
      <c r="AF10737" t="s">
        <v>21585</v>
      </c>
    </row>
    <row r="10738" spans="1:32" hidden="1" x14ac:dyDescent="0.35">
      <c r="A10738">
        <v>10737</v>
      </c>
      <c r="B10738" t="s">
        <v>21586</v>
      </c>
      <c r="C10738" t="s">
        <v>33</v>
      </c>
      <c r="D10738" t="s">
        <v>60</v>
      </c>
      <c r="E10738">
        <v>1139</v>
      </c>
      <c r="F10738">
        <v>2</v>
      </c>
      <c r="G10738">
        <v>2</v>
      </c>
      <c r="H10738">
        <v>1</v>
      </c>
      <c r="I10738">
        <v>0</v>
      </c>
      <c r="J10738">
        <v>0.99494949494949503</v>
      </c>
      <c r="K10738">
        <v>1</v>
      </c>
      <c r="L10738">
        <v>0.99746835443037996</v>
      </c>
      <c r="M10738">
        <v>0.99242424242424199</v>
      </c>
      <c r="N10738">
        <v>0.99242424242424199</v>
      </c>
      <c r="O10738">
        <v>0.99242424242424199</v>
      </c>
      <c r="P10738" t="s">
        <v>2041</v>
      </c>
      <c r="Q10738" t="s">
        <v>2035</v>
      </c>
      <c r="R10738" t="s">
        <v>869</v>
      </c>
      <c r="S10738" t="s">
        <v>870</v>
      </c>
      <c r="V10738" t="s">
        <v>2036</v>
      </c>
      <c r="W10738" t="s">
        <v>2037</v>
      </c>
      <c r="X10738" t="s">
        <v>2036</v>
      </c>
      <c r="Y10738" t="s">
        <v>2038</v>
      </c>
      <c r="AF10738" t="s">
        <v>21587</v>
      </c>
    </row>
    <row r="10739" spans="1:32" hidden="1" x14ac:dyDescent="0.35">
      <c r="A10739">
        <v>10738</v>
      </c>
      <c r="B10739" t="s">
        <v>21586</v>
      </c>
      <c r="C10739" t="s">
        <v>33</v>
      </c>
      <c r="D10739" t="s">
        <v>62</v>
      </c>
      <c r="E10739">
        <v>1176</v>
      </c>
      <c r="F10739">
        <v>2</v>
      </c>
      <c r="G10739">
        <v>2</v>
      </c>
      <c r="H10739">
        <v>1</v>
      </c>
      <c r="I10739">
        <v>0</v>
      </c>
      <c r="J10739">
        <v>0.99494949494949503</v>
      </c>
      <c r="K10739">
        <v>1</v>
      </c>
      <c r="L10739">
        <v>0.99746835443037996</v>
      </c>
      <c r="M10739">
        <v>0.99242424242424199</v>
      </c>
      <c r="N10739">
        <v>0.99242424242424199</v>
      </c>
      <c r="O10739">
        <v>0.99242424242424199</v>
      </c>
      <c r="P10739" t="s">
        <v>2041</v>
      </c>
      <c r="Q10739" t="s">
        <v>2035</v>
      </c>
      <c r="R10739" t="s">
        <v>869</v>
      </c>
      <c r="S10739" t="s">
        <v>870</v>
      </c>
      <c r="V10739" t="s">
        <v>2036</v>
      </c>
      <c r="W10739" t="s">
        <v>2037</v>
      </c>
      <c r="X10739" t="s">
        <v>2036</v>
      </c>
      <c r="Y10739" t="s">
        <v>2038</v>
      </c>
      <c r="AF10739" t="s">
        <v>21588</v>
      </c>
    </row>
    <row r="10740" spans="1:32" hidden="1" x14ac:dyDescent="0.35">
      <c r="A10740">
        <v>10739</v>
      </c>
      <c r="B10740" t="s">
        <v>21589</v>
      </c>
      <c r="C10740" t="s">
        <v>33</v>
      </c>
      <c r="D10740" t="s">
        <v>34</v>
      </c>
      <c r="E10740">
        <v>989</v>
      </c>
      <c r="F10740">
        <v>2</v>
      </c>
      <c r="G10740">
        <v>2</v>
      </c>
      <c r="H10740">
        <v>1</v>
      </c>
      <c r="I10740">
        <v>0</v>
      </c>
      <c r="J10740">
        <v>0.99099099099099097</v>
      </c>
      <c r="K10740">
        <v>1</v>
      </c>
      <c r="L10740">
        <v>0.99547511312217196</v>
      </c>
      <c r="M10740">
        <v>0.98648648648648696</v>
      </c>
      <c r="N10740">
        <v>0.98648648648648696</v>
      </c>
      <c r="O10740">
        <v>0.98648648648648696</v>
      </c>
      <c r="AF10740" t="s">
        <v>21590</v>
      </c>
    </row>
    <row r="10741" spans="1:32" hidden="1" x14ac:dyDescent="0.35">
      <c r="A10741">
        <v>10740</v>
      </c>
      <c r="B10741" t="s">
        <v>21589</v>
      </c>
      <c r="C10741" t="s">
        <v>33</v>
      </c>
      <c r="D10741" t="s">
        <v>45</v>
      </c>
      <c r="E10741">
        <v>2244</v>
      </c>
      <c r="F10741">
        <v>2</v>
      </c>
      <c r="G10741">
        <v>2</v>
      </c>
      <c r="H10741">
        <v>1</v>
      </c>
      <c r="I10741">
        <v>0</v>
      </c>
      <c r="J10741">
        <v>0.99099099099099097</v>
      </c>
      <c r="K10741">
        <v>1</v>
      </c>
      <c r="L10741">
        <v>0.99547511312217196</v>
      </c>
      <c r="M10741">
        <v>0.98648648648648696</v>
      </c>
      <c r="N10741">
        <v>0.98648648648648696</v>
      </c>
      <c r="O10741">
        <v>0.98648648648648696</v>
      </c>
      <c r="AF10741" t="s">
        <v>21591</v>
      </c>
    </row>
    <row r="10742" spans="1:32" hidden="1" x14ac:dyDescent="0.35">
      <c r="A10742">
        <v>10741</v>
      </c>
      <c r="B10742" t="s">
        <v>21592</v>
      </c>
      <c r="C10742" t="s">
        <v>33</v>
      </c>
      <c r="D10742" t="s">
        <v>60</v>
      </c>
      <c r="E10742">
        <v>75</v>
      </c>
      <c r="F10742">
        <v>2</v>
      </c>
      <c r="G10742">
        <v>2</v>
      </c>
      <c r="H10742">
        <v>1</v>
      </c>
      <c r="I10742">
        <v>0</v>
      </c>
      <c r="J10742">
        <v>0.99593495934959397</v>
      </c>
      <c r="K10742">
        <v>1</v>
      </c>
      <c r="L10742">
        <v>0.9979633401222</v>
      </c>
      <c r="M10742">
        <v>0.99593495934959397</v>
      </c>
      <c r="N10742">
        <v>0.99593495934959397</v>
      </c>
      <c r="O10742">
        <v>0.99593495934959397</v>
      </c>
      <c r="P10742" t="s">
        <v>11509</v>
      </c>
      <c r="Q10742" t="s">
        <v>11510</v>
      </c>
      <c r="R10742" t="s">
        <v>75</v>
      </c>
      <c r="S10742" t="s">
        <v>76</v>
      </c>
      <c r="V10742" t="s">
        <v>11511</v>
      </c>
      <c r="W10742" t="s">
        <v>11512</v>
      </c>
      <c r="X10742" t="s">
        <v>11511</v>
      </c>
      <c r="Y10742" t="s">
        <v>2750</v>
      </c>
      <c r="AF10742" t="s">
        <v>21593</v>
      </c>
    </row>
    <row r="10743" spans="1:32" hidden="1" x14ac:dyDescent="0.35">
      <c r="A10743">
        <v>10742</v>
      </c>
      <c r="B10743" t="s">
        <v>21592</v>
      </c>
      <c r="C10743" t="s">
        <v>33</v>
      </c>
      <c r="D10743" t="s">
        <v>62</v>
      </c>
      <c r="E10743">
        <v>148</v>
      </c>
      <c r="F10743">
        <v>2</v>
      </c>
      <c r="G10743">
        <v>2</v>
      </c>
      <c r="H10743">
        <v>1</v>
      </c>
      <c r="I10743">
        <v>0</v>
      </c>
      <c r="J10743">
        <v>0.99593495934959397</v>
      </c>
      <c r="K10743">
        <v>1</v>
      </c>
      <c r="L10743">
        <v>0.9979633401222</v>
      </c>
      <c r="M10743">
        <v>0.99593495934959397</v>
      </c>
      <c r="N10743">
        <v>0.99593495934959397</v>
      </c>
      <c r="O10743">
        <v>0.99593495934959397</v>
      </c>
      <c r="P10743" t="s">
        <v>11509</v>
      </c>
      <c r="Q10743" t="s">
        <v>11510</v>
      </c>
      <c r="R10743" t="s">
        <v>75</v>
      </c>
      <c r="S10743" t="s">
        <v>76</v>
      </c>
      <c r="V10743" t="s">
        <v>11511</v>
      </c>
      <c r="W10743" t="s">
        <v>11512</v>
      </c>
      <c r="X10743" t="s">
        <v>11511</v>
      </c>
      <c r="Y10743" t="s">
        <v>2750</v>
      </c>
      <c r="AF10743" t="s">
        <v>21594</v>
      </c>
    </row>
    <row r="10744" spans="1:32" hidden="1" x14ac:dyDescent="0.35">
      <c r="A10744">
        <v>10743</v>
      </c>
      <c r="B10744" t="s">
        <v>21595</v>
      </c>
      <c r="C10744" t="s">
        <v>33</v>
      </c>
      <c r="D10744" t="s">
        <v>34</v>
      </c>
      <c r="E10744">
        <v>126</v>
      </c>
      <c r="F10744">
        <v>2</v>
      </c>
      <c r="G10744">
        <v>2</v>
      </c>
      <c r="H10744">
        <v>1</v>
      </c>
      <c r="I10744">
        <v>0</v>
      </c>
      <c r="J10744">
        <v>0.99378109452736296</v>
      </c>
      <c r="K10744">
        <v>1</v>
      </c>
      <c r="L10744">
        <v>0.99688084840923297</v>
      </c>
      <c r="M10744">
        <v>0.99253731343283602</v>
      </c>
      <c r="N10744">
        <v>0.99253731343283602</v>
      </c>
      <c r="O10744">
        <v>0.99253731343283602</v>
      </c>
      <c r="P10744" t="s">
        <v>433</v>
      </c>
      <c r="Q10744" t="s">
        <v>434</v>
      </c>
      <c r="R10744" t="s">
        <v>235</v>
      </c>
      <c r="S10744" t="s">
        <v>236</v>
      </c>
      <c r="V10744" t="s">
        <v>465</v>
      </c>
      <c r="W10744" t="s">
        <v>466</v>
      </c>
      <c r="AF10744" t="s">
        <v>21596</v>
      </c>
    </row>
    <row r="10745" spans="1:32" hidden="1" x14ac:dyDescent="0.35">
      <c r="A10745">
        <v>10744</v>
      </c>
      <c r="B10745" t="s">
        <v>21595</v>
      </c>
      <c r="C10745" t="s">
        <v>33</v>
      </c>
      <c r="D10745" t="s">
        <v>45</v>
      </c>
      <c r="E10745">
        <v>1388</v>
      </c>
      <c r="F10745">
        <v>2</v>
      </c>
      <c r="G10745">
        <v>2</v>
      </c>
      <c r="H10745">
        <v>1</v>
      </c>
      <c r="I10745">
        <v>0</v>
      </c>
      <c r="J10745">
        <v>0.99378109452736296</v>
      </c>
      <c r="K10745">
        <v>1</v>
      </c>
      <c r="L10745">
        <v>0.99688084840923297</v>
      </c>
      <c r="M10745">
        <v>0.99253731343283602</v>
      </c>
      <c r="N10745">
        <v>0.99253731343283602</v>
      </c>
      <c r="O10745">
        <v>0.99253731343283602</v>
      </c>
      <c r="P10745" t="s">
        <v>433</v>
      </c>
      <c r="Q10745" t="s">
        <v>434</v>
      </c>
      <c r="R10745" t="s">
        <v>235</v>
      </c>
      <c r="S10745" t="s">
        <v>236</v>
      </c>
      <c r="V10745" t="s">
        <v>465</v>
      </c>
      <c r="W10745" t="s">
        <v>466</v>
      </c>
      <c r="AF10745" t="s">
        <v>21597</v>
      </c>
    </row>
    <row r="10746" spans="1:32" hidden="1" x14ac:dyDescent="0.35">
      <c r="A10746">
        <v>10745</v>
      </c>
      <c r="B10746" t="s">
        <v>21598</v>
      </c>
      <c r="C10746" t="s">
        <v>33</v>
      </c>
      <c r="D10746" t="s">
        <v>34</v>
      </c>
      <c r="E10746">
        <v>385</v>
      </c>
      <c r="F10746">
        <v>2</v>
      </c>
      <c r="G10746">
        <v>2</v>
      </c>
      <c r="H10746">
        <v>1</v>
      </c>
      <c r="I10746">
        <v>0</v>
      </c>
      <c r="J10746">
        <v>0.98761609907120695</v>
      </c>
      <c r="K10746">
        <v>1</v>
      </c>
      <c r="L10746">
        <v>0.99376947040498398</v>
      </c>
      <c r="M10746">
        <v>0.98555211558307498</v>
      </c>
      <c r="N10746">
        <v>0.98555211558307498</v>
      </c>
      <c r="O10746">
        <v>0.98555211558307498</v>
      </c>
      <c r="P10746" t="s">
        <v>13229</v>
      </c>
      <c r="Q10746" t="s">
        <v>13230</v>
      </c>
      <c r="R10746" t="s">
        <v>157</v>
      </c>
      <c r="S10746" t="s">
        <v>158</v>
      </c>
      <c r="T10746" t="s">
        <v>13231</v>
      </c>
      <c r="U10746" t="s">
        <v>13232</v>
      </c>
      <c r="V10746" t="s">
        <v>13896</v>
      </c>
      <c r="W10746" t="s">
        <v>13897</v>
      </c>
      <c r="AD10746" t="s">
        <v>166</v>
      </c>
      <c r="AE10746" t="s">
        <v>167</v>
      </c>
      <c r="AF10746" t="s">
        <v>21599</v>
      </c>
    </row>
    <row r="10747" spans="1:32" hidden="1" x14ac:dyDescent="0.35">
      <c r="A10747">
        <v>10746</v>
      </c>
      <c r="B10747" t="s">
        <v>21598</v>
      </c>
      <c r="C10747" t="s">
        <v>33</v>
      </c>
      <c r="D10747" t="s">
        <v>45</v>
      </c>
      <c r="E10747">
        <v>1646</v>
      </c>
      <c r="F10747">
        <v>2</v>
      </c>
      <c r="G10747">
        <v>2</v>
      </c>
      <c r="H10747">
        <v>1</v>
      </c>
      <c r="I10747">
        <v>0</v>
      </c>
      <c r="J10747">
        <v>0.98761609907120695</v>
      </c>
      <c r="K10747">
        <v>1</v>
      </c>
      <c r="L10747">
        <v>0.99376947040498398</v>
      </c>
      <c r="M10747">
        <v>0.98555211558307498</v>
      </c>
      <c r="N10747">
        <v>0.98555211558307498</v>
      </c>
      <c r="O10747">
        <v>0.98555211558307498</v>
      </c>
      <c r="P10747" t="s">
        <v>13229</v>
      </c>
      <c r="Q10747" t="s">
        <v>13230</v>
      </c>
      <c r="R10747" t="s">
        <v>157</v>
      </c>
      <c r="S10747" t="s">
        <v>158</v>
      </c>
      <c r="T10747" t="s">
        <v>13231</v>
      </c>
      <c r="U10747" t="s">
        <v>13232</v>
      </c>
      <c r="V10747" t="s">
        <v>13896</v>
      </c>
      <c r="W10747" t="s">
        <v>13897</v>
      </c>
      <c r="AD10747" t="s">
        <v>166</v>
      </c>
      <c r="AE10747" t="s">
        <v>167</v>
      </c>
      <c r="AF10747" t="s">
        <v>21600</v>
      </c>
    </row>
    <row r="10748" spans="1:32" hidden="1" x14ac:dyDescent="0.35">
      <c r="A10748">
        <v>10747</v>
      </c>
      <c r="B10748" t="s">
        <v>21601</v>
      </c>
      <c r="C10748" t="s">
        <v>33</v>
      </c>
      <c r="D10748" t="s">
        <v>60</v>
      </c>
      <c r="E10748">
        <v>771</v>
      </c>
      <c r="F10748">
        <v>2</v>
      </c>
      <c r="G10748">
        <v>2</v>
      </c>
      <c r="H10748">
        <v>1</v>
      </c>
      <c r="I10748">
        <v>0</v>
      </c>
      <c r="J10748">
        <v>0.99571078431372595</v>
      </c>
      <c r="K10748">
        <v>1</v>
      </c>
      <c r="L10748">
        <v>0.99785078292907603</v>
      </c>
      <c r="M10748">
        <v>0.99448529411764697</v>
      </c>
      <c r="N10748">
        <v>0.99448529411764697</v>
      </c>
      <c r="O10748">
        <v>0.99448529411764697</v>
      </c>
      <c r="P10748" t="s">
        <v>597</v>
      </c>
      <c r="Q10748" t="s">
        <v>598</v>
      </c>
      <c r="R10748" t="s">
        <v>96</v>
      </c>
      <c r="S10748" t="s">
        <v>97</v>
      </c>
      <c r="T10748" t="s">
        <v>18346</v>
      </c>
      <c r="U10748" t="s">
        <v>18347</v>
      </c>
      <c r="V10748" t="s">
        <v>601</v>
      </c>
      <c r="W10748" t="s">
        <v>602</v>
      </c>
      <c r="AD10748" t="s">
        <v>5658</v>
      </c>
      <c r="AE10748" t="s">
        <v>18348</v>
      </c>
      <c r="AF10748" t="s">
        <v>21602</v>
      </c>
    </row>
    <row r="10749" spans="1:32" hidden="1" x14ac:dyDescent="0.35">
      <c r="A10749">
        <v>10748</v>
      </c>
      <c r="B10749" t="s">
        <v>21601</v>
      </c>
      <c r="C10749" t="s">
        <v>33</v>
      </c>
      <c r="D10749" t="s">
        <v>62</v>
      </c>
      <c r="E10749">
        <v>804</v>
      </c>
      <c r="F10749">
        <v>2</v>
      </c>
      <c r="G10749">
        <v>2</v>
      </c>
      <c r="H10749">
        <v>1</v>
      </c>
      <c r="I10749">
        <v>0</v>
      </c>
      <c r="J10749">
        <v>0.99571078431372595</v>
      </c>
      <c r="K10749">
        <v>1</v>
      </c>
      <c r="L10749">
        <v>0.99785078292907603</v>
      </c>
      <c r="M10749">
        <v>0.99448529411764697</v>
      </c>
      <c r="N10749">
        <v>0.99448529411764697</v>
      </c>
      <c r="O10749">
        <v>0.99448529411764697</v>
      </c>
      <c r="P10749" t="s">
        <v>597</v>
      </c>
      <c r="Q10749" t="s">
        <v>598</v>
      </c>
      <c r="R10749" t="s">
        <v>96</v>
      </c>
      <c r="S10749" t="s">
        <v>97</v>
      </c>
      <c r="T10749" t="s">
        <v>18346</v>
      </c>
      <c r="U10749" t="s">
        <v>18347</v>
      </c>
      <c r="V10749" t="s">
        <v>601</v>
      </c>
      <c r="W10749" t="s">
        <v>602</v>
      </c>
      <c r="AD10749" t="s">
        <v>5658</v>
      </c>
      <c r="AE10749" t="s">
        <v>18348</v>
      </c>
      <c r="AF10749" t="s">
        <v>21603</v>
      </c>
    </row>
    <row r="10750" spans="1:32" hidden="1" x14ac:dyDescent="0.35">
      <c r="A10750">
        <v>10749</v>
      </c>
      <c r="B10750" t="s">
        <v>21604</v>
      </c>
      <c r="C10750" t="s">
        <v>33</v>
      </c>
      <c r="D10750" t="s">
        <v>34</v>
      </c>
      <c r="E10750">
        <v>987</v>
      </c>
      <c r="F10750">
        <v>2</v>
      </c>
      <c r="G10750">
        <v>2</v>
      </c>
      <c r="H10750">
        <v>1</v>
      </c>
      <c r="I10750">
        <v>0</v>
      </c>
      <c r="J10750">
        <v>0.99148418491484203</v>
      </c>
      <c r="K10750">
        <v>0.99636363636363801</v>
      </c>
      <c r="L10750">
        <v>0.99391792199006201</v>
      </c>
      <c r="M10750">
        <v>0.98545454545454503</v>
      </c>
      <c r="N10750">
        <v>0.98545454545454503</v>
      </c>
      <c r="O10750">
        <v>0.98545454545454503</v>
      </c>
      <c r="AF10750" t="s">
        <v>21605</v>
      </c>
    </row>
    <row r="10751" spans="1:32" hidden="1" x14ac:dyDescent="0.35">
      <c r="A10751">
        <v>10750</v>
      </c>
      <c r="B10751" t="s">
        <v>21604</v>
      </c>
      <c r="C10751" t="s">
        <v>33</v>
      </c>
      <c r="D10751" t="s">
        <v>45</v>
      </c>
      <c r="E10751">
        <v>2242</v>
      </c>
      <c r="F10751">
        <v>2</v>
      </c>
      <c r="G10751">
        <v>2</v>
      </c>
      <c r="H10751">
        <v>1</v>
      </c>
      <c r="I10751">
        <v>0</v>
      </c>
      <c r="J10751">
        <v>0.99148418491484203</v>
      </c>
      <c r="K10751">
        <v>0.99636363636363801</v>
      </c>
      <c r="L10751">
        <v>0.99391792199006201</v>
      </c>
      <c r="M10751">
        <v>0.98545454545454503</v>
      </c>
      <c r="N10751">
        <v>0.98545454545454503</v>
      </c>
      <c r="O10751">
        <v>0.98545454545454503</v>
      </c>
      <c r="AF10751" t="s">
        <v>21606</v>
      </c>
    </row>
    <row r="10752" spans="1:32" hidden="1" x14ac:dyDescent="0.35">
      <c r="A10752">
        <v>10751</v>
      </c>
      <c r="B10752" t="s">
        <v>21607</v>
      </c>
      <c r="C10752" t="s">
        <v>33</v>
      </c>
      <c r="D10752" t="s">
        <v>60</v>
      </c>
      <c r="E10752">
        <v>1932</v>
      </c>
      <c r="F10752">
        <v>2</v>
      </c>
      <c r="G10752">
        <v>2</v>
      </c>
      <c r="H10752">
        <v>1</v>
      </c>
      <c r="I10752">
        <v>0</v>
      </c>
      <c r="J10752">
        <v>0.99567099567099604</v>
      </c>
      <c r="K10752">
        <v>1</v>
      </c>
      <c r="L10752">
        <v>0.99783080260303703</v>
      </c>
      <c r="M10752">
        <v>0.98701298701298701</v>
      </c>
      <c r="N10752">
        <v>0.98701298701298701</v>
      </c>
      <c r="O10752">
        <v>0.98701298701298701</v>
      </c>
      <c r="AF10752" t="s">
        <v>21608</v>
      </c>
    </row>
    <row r="10753" spans="1:32" hidden="1" x14ac:dyDescent="0.35">
      <c r="A10753">
        <v>10752</v>
      </c>
      <c r="B10753" t="s">
        <v>21607</v>
      </c>
      <c r="C10753" t="s">
        <v>33</v>
      </c>
      <c r="D10753" t="s">
        <v>62</v>
      </c>
      <c r="E10753">
        <v>1972</v>
      </c>
      <c r="F10753">
        <v>2</v>
      </c>
      <c r="G10753">
        <v>2</v>
      </c>
      <c r="H10753">
        <v>1</v>
      </c>
      <c r="I10753">
        <v>0</v>
      </c>
      <c r="J10753">
        <v>0.99567099567099604</v>
      </c>
      <c r="K10753">
        <v>1</v>
      </c>
      <c r="L10753">
        <v>0.99783080260303703</v>
      </c>
      <c r="M10753">
        <v>0.98701298701298701</v>
      </c>
      <c r="N10753">
        <v>0.98701298701298701</v>
      </c>
      <c r="O10753">
        <v>0.98701298701298701</v>
      </c>
      <c r="AF10753" t="s">
        <v>21609</v>
      </c>
    </row>
    <row r="10754" spans="1:32" hidden="1" x14ac:dyDescent="0.35">
      <c r="A10754">
        <v>10753</v>
      </c>
      <c r="B10754" t="s">
        <v>21610</v>
      </c>
      <c r="C10754" t="s">
        <v>33</v>
      </c>
      <c r="D10754" t="s">
        <v>60</v>
      </c>
      <c r="E10754">
        <v>723</v>
      </c>
      <c r="F10754">
        <v>2</v>
      </c>
      <c r="G10754">
        <v>2</v>
      </c>
      <c r="H10754">
        <v>1</v>
      </c>
      <c r="I10754">
        <v>0</v>
      </c>
      <c r="J10754">
        <v>0.99753694581280805</v>
      </c>
      <c r="K10754">
        <v>1</v>
      </c>
      <c r="L10754">
        <v>0.998766954377312</v>
      </c>
      <c r="M10754">
        <v>0.99753694581280805</v>
      </c>
      <c r="N10754">
        <v>0.99753694581280805</v>
      </c>
      <c r="O10754">
        <v>0.99753694581280805</v>
      </c>
      <c r="P10754" t="s">
        <v>21611</v>
      </c>
      <c r="Q10754" t="s">
        <v>21612</v>
      </c>
      <c r="R10754" t="s">
        <v>652</v>
      </c>
      <c r="S10754" t="s">
        <v>653</v>
      </c>
      <c r="T10754" t="s">
        <v>21613</v>
      </c>
      <c r="U10754" t="s">
        <v>21614</v>
      </c>
      <c r="V10754" t="s">
        <v>21615</v>
      </c>
      <c r="W10754" t="s">
        <v>21616</v>
      </c>
      <c r="X10754" t="s">
        <v>21615</v>
      </c>
      <c r="Y10754" t="s">
        <v>4474</v>
      </c>
      <c r="AD10754" t="s">
        <v>245</v>
      </c>
      <c r="AE10754" t="s">
        <v>21617</v>
      </c>
      <c r="AF10754" t="s">
        <v>21618</v>
      </c>
    </row>
    <row r="10755" spans="1:32" hidden="1" x14ac:dyDescent="0.35">
      <c r="A10755">
        <v>10754</v>
      </c>
      <c r="B10755" t="s">
        <v>21610</v>
      </c>
      <c r="C10755" t="s">
        <v>33</v>
      </c>
      <c r="D10755" t="s">
        <v>62</v>
      </c>
      <c r="E10755">
        <v>754</v>
      </c>
      <c r="F10755">
        <v>2</v>
      </c>
      <c r="G10755">
        <v>2</v>
      </c>
      <c r="H10755">
        <v>1</v>
      </c>
      <c r="I10755">
        <v>0</v>
      </c>
      <c r="J10755">
        <v>0.99753694581280805</v>
      </c>
      <c r="K10755">
        <v>1</v>
      </c>
      <c r="L10755">
        <v>0.998766954377312</v>
      </c>
      <c r="M10755">
        <v>0.99753694581280805</v>
      </c>
      <c r="N10755">
        <v>0.99753694581280805</v>
      </c>
      <c r="O10755">
        <v>0.99753694581280805</v>
      </c>
      <c r="P10755" t="s">
        <v>21611</v>
      </c>
      <c r="Q10755" t="s">
        <v>21612</v>
      </c>
      <c r="R10755" t="s">
        <v>652</v>
      </c>
      <c r="S10755" t="s">
        <v>653</v>
      </c>
      <c r="T10755" t="s">
        <v>21613</v>
      </c>
      <c r="U10755" t="s">
        <v>21614</v>
      </c>
      <c r="V10755" t="s">
        <v>21615</v>
      </c>
      <c r="W10755" t="s">
        <v>21616</v>
      </c>
      <c r="X10755" t="s">
        <v>21615</v>
      </c>
      <c r="Y10755" t="s">
        <v>4474</v>
      </c>
      <c r="AD10755" t="s">
        <v>245</v>
      </c>
      <c r="AE10755" t="s">
        <v>21617</v>
      </c>
      <c r="AF10755" t="s">
        <v>21619</v>
      </c>
    </row>
    <row r="10756" spans="1:32" hidden="1" x14ac:dyDescent="0.35">
      <c r="A10756">
        <v>10755</v>
      </c>
      <c r="B10756" t="s">
        <v>21620</v>
      </c>
      <c r="C10756" t="s">
        <v>33</v>
      </c>
      <c r="D10756" t="s">
        <v>34</v>
      </c>
      <c r="E10756">
        <v>1692</v>
      </c>
      <c r="F10756">
        <v>2</v>
      </c>
      <c r="G10756">
        <v>2</v>
      </c>
      <c r="H10756">
        <v>1</v>
      </c>
      <c r="I10756">
        <v>0</v>
      </c>
      <c r="J10756">
        <v>0.99567099567099604</v>
      </c>
      <c r="K10756">
        <v>1</v>
      </c>
      <c r="L10756">
        <v>0.99783080260303703</v>
      </c>
      <c r="M10756">
        <v>0.99567099567099604</v>
      </c>
      <c r="N10756">
        <v>0.99567099567099604</v>
      </c>
      <c r="O10756">
        <v>0.99567099567099604</v>
      </c>
      <c r="P10756" t="s">
        <v>13273</v>
      </c>
      <c r="Q10756" t="s">
        <v>13274</v>
      </c>
      <c r="R10756" t="s">
        <v>288</v>
      </c>
      <c r="S10756" t="s">
        <v>289</v>
      </c>
      <c r="V10756" t="s">
        <v>13275</v>
      </c>
      <c r="W10756" t="s">
        <v>13276</v>
      </c>
      <c r="AF10756" t="s">
        <v>21621</v>
      </c>
    </row>
    <row r="10757" spans="1:32" hidden="1" x14ac:dyDescent="0.35">
      <c r="A10757">
        <v>10756</v>
      </c>
      <c r="B10757" t="s">
        <v>21620</v>
      </c>
      <c r="C10757" t="s">
        <v>33</v>
      </c>
      <c r="D10757" t="s">
        <v>45</v>
      </c>
      <c r="E10757">
        <v>1184</v>
      </c>
      <c r="F10757">
        <v>2</v>
      </c>
      <c r="G10757">
        <v>2</v>
      </c>
      <c r="H10757">
        <v>1</v>
      </c>
      <c r="I10757">
        <v>0</v>
      </c>
      <c r="J10757">
        <v>0.99567099567099604</v>
      </c>
      <c r="K10757">
        <v>1</v>
      </c>
      <c r="L10757">
        <v>0.99783080260303703</v>
      </c>
      <c r="M10757">
        <v>0.99567099567099604</v>
      </c>
      <c r="N10757">
        <v>0.99567099567099604</v>
      </c>
      <c r="O10757">
        <v>0.99567099567099604</v>
      </c>
      <c r="P10757" t="s">
        <v>13273</v>
      </c>
      <c r="Q10757" t="s">
        <v>13274</v>
      </c>
      <c r="R10757" t="s">
        <v>288</v>
      </c>
      <c r="S10757" t="s">
        <v>289</v>
      </c>
      <c r="V10757" t="s">
        <v>13275</v>
      </c>
      <c r="W10757" t="s">
        <v>13276</v>
      </c>
      <c r="AF10757" t="s">
        <v>21622</v>
      </c>
    </row>
    <row r="10758" spans="1:32" hidden="1" x14ac:dyDescent="0.35">
      <c r="A10758">
        <v>10757</v>
      </c>
      <c r="B10758" t="s">
        <v>21623</v>
      </c>
      <c r="C10758" t="s">
        <v>33</v>
      </c>
      <c r="D10758" t="s">
        <v>34</v>
      </c>
      <c r="E10758">
        <v>649</v>
      </c>
      <c r="F10758">
        <v>2</v>
      </c>
      <c r="G10758">
        <v>2</v>
      </c>
      <c r="H10758">
        <v>1</v>
      </c>
      <c r="I10758">
        <v>0</v>
      </c>
      <c r="J10758">
        <v>0.99393939393939401</v>
      </c>
      <c r="K10758">
        <v>1</v>
      </c>
      <c r="L10758">
        <v>0.99696048632218803</v>
      </c>
      <c r="M10758">
        <v>0.99251336898395703</v>
      </c>
      <c r="N10758">
        <v>0.99251336898395703</v>
      </c>
      <c r="O10758">
        <v>0.99251336898395703</v>
      </c>
      <c r="P10758" t="s">
        <v>15241</v>
      </c>
      <c r="Q10758" t="s">
        <v>15242</v>
      </c>
      <c r="T10758" t="s">
        <v>15243</v>
      </c>
      <c r="U10758" t="s">
        <v>15244</v>
      </c>
      <c r="AD10758" t="s">
        <v>5013</v>
      </c>
      <c r="AE10758" t="s">
        <v>15245</v>
      </c>
      <c r="AF10758" t="s">
        <v>21624</v>
      </c>
    </row>
    <row r="10759" spans="1:32" hidden="1" x14ac:dyDescent="0.35">
      <c r="A10759">
        <v>10758</v>
      </c>
      <c r="B10759" t="s">
        <v>21623</v>
      </c>
      <c r="C10759" t="s">
        <v>33</v>
      </c>
      <c r="D10759" t="s">
        <v>45</v>
      </c>
      <c r="E10759">
        <v>1915</v>
      </c>
      <c r="F10759">
        <v>2</v>
      </c>
      <c r="G10759">
        <v>2</v>
      </c>
      <c r="H10759">
        <v>1</v>
      </c>
      <c r="I10759">
        <v>0</v>
      </c>
      <c r="J10759">
        <v>0.99393939393939401</v>
      </c>
      <c r="K10759">
        <v>1</v>
      </c>
      <c r="L10759">
        <v>0.99696048632218803</v>
      </c>
      <c r="M10759">
        <v>0.99251336898395703</v>
      </c>
      <c r="N10759">
        <v>0.99251336898395703</v>
      </c>
      <c r="O10759">
        <v>0.99251336898395703</v>
      </c>
      <c r="P10759" t="s">
        <v>15241</v>
      </c>
      <c r="Q10759" t="s">
        <v>15242</v>
      </c>
      <c r="T10759" t="s">
        <v>15243</v>
      </c>
      <c r="U10759" t="s">
        <v>15244</v>
      </c>
      <c r="AD10759" t="s">
        <v>5013</v>
      </c>
      <c r="AE10759" t="s">
        <v>15245</v>
      </c>
      <c r="AF10759" t="s">
        <v>21625</v>
      </c>
    </row>
    <row r="10760" spans="1:32" hidden="1" x14ac:dyDescent="0.35">
      <c r="A10760">
        <v>10759</v>
      </c>
      <c r="B10760" t="s">
        <v>21626</v>
      </c>
      <c r="C10760" t="s">
        <v>33</v>
      </c>
      <c r="D10760" t="s">
        <v>60</v>
      </c>
      <c r="E10760">
        <v>48</v>
      </c>
      <c r="F10760">
        <v>2</v>
      </c>
      <c r="G10760">
        <v>2</v>
      </c>
      <c r="H10760">
        <v>1</v>
      </c>
      <c r="I10760">
        <v>0</v>
      </c>
      <c r="J10760">
        <v>0.97003745318352097</v>
      </c>
      <c r="K10760">
        <v>1</v>
      </c>
      <c r="L10760">
        <v>0.98479087452471503</v>
      </c>
      <c r="M10760">
        <v>0.95880149812734095</v>
      </c>
      <c r="N10760">
        <v>0.95880149812734095</v>
      </c>
      <c r="O10760">
        <v>0.95880149812734095</v>
      </c>
      <c r="P10760" t="s">
        <v>3179</v>
      </c>
      <c r="Q10760" t="s">
        <v>3180</v>
      </c>
      <c r="R10760" t="s">
        <v>516</v>
      </c>
      <c r="S10760" t="s">
        <v>517</v>
      </c>
      <c r="T10760" t="s">
        <v>21627</v>
      </c>
      <c r="U10760" t="s">
        <v>21628</v>
      </c>
      <c r="V10760" t="s">
        <v>17174</v>
      </c>
      <c r="W10760" t="s">
        <v>17175</v>
      </c>
      <c r="AD10760" t="s">
        <v>14983</v>
      </c>
      <c r="AE10760" t="s">
        <v>17735</v>
      </c>
      <c r="AF10760" t="s">
        <v>21629</v>
      </c>
    </row>
    <row r="10761" spans="1:32" hidden="1" x14ac:dyDescent="0.35">
      <c r="A10761">
        <v>10760</v>
      </c>
      <c r="B10761" t="s">
        <v>21626</v>
      </c>
      <c r="C10761" t="s">
        <v>33</v>
      </c>
      <c r="D10761" t="s">
        <v>62</v>
      </c>
      <c r="E10761">
        <v>121</v>
      </c>
      <c r="F10761">
        <v>2</v>
      </c>
      <c r="G10761">
        <v>2</v>
      </c>
      <c r="H10761">
        <v>1</v>
      </c>
      <c r="I10761">
        <v>0</v>
      </c>
      <c r="J10761">
        <v>0.97003745318352097</v>
      </c>
      <c r="K10761">
        <v>1</v>
      </c>
      <c r="L10761">
        <v>0.98479087452471503</v>
      </c>
      <c r="M10761">
        <v>0.95880149812734095</v>
      </c>
      <c r="N10761">
        <v>0.95880149812734095</v>
      </c>
      <c r="O10761">
        <v>0.95880149812734095</v>
      </c>
      <c r="P10761" t="s">
        <v>3179</v>
      </c>
      <c r="Q10761" t="s">
        <v>3180</v>
      </c>
      <c r="R10761" t="s">
        <v>516</v>
      </c>
      <c r="S10761" t="s">
        <v>517</v>
      </c>
      <c r="T10761" t="s">
        <v>21627</v>
      </c>
      <c r="U10761" t="s">
        <v>21628</v>
      </c>
      <c r="V10761" t="s">
        <v>17174</v>
      </c>
      <c r="W10761" t="s">
        <v>17175</v>
      </c>
      <c r="AD10761" t="s">
        <v>14983</v>
      </c>
      <c r="AE10761" t="s">
        <v>17735</v>
      </c>
      <c r="AF10761" t="s">
        <v>21630</v>
      </c>
    </row>
    <row r="10762" spans="1:32" hidden="1" x14ac:dyDescent="0.35">
      <c r="A10762">
        <v>10761</v>
      </c>
      <c r="B10762" t="s">
        <v>21631</v>
      </c>
      <c r="C10762" t="s">
        <v>33</v>
      </c>
      <c r="D10762" t="s">
        <v>60</v>
      </c>
      <c r="E10762">
        <v>1883</v>
      </c>
      <c r="F10762">
        <v>2</v>
      </c>
      <c r="G10762">
        <v>2</v>
      </c>
      <c r="H10762">
        <v>1</v>
      </c>
      <c r="I10762">
        <v>0</v>
      </c>
      <c r="J10762">
        <v>0.97189349112426004</v>
      </c>
      <c r="K10762">
        <v>0.98979618124283697</v>
      </c>
      <c r="L10762">
        <v>0.98076314479321403</v>
      </c>
      <c r="M10762">
        <v>0.95607613469985397</v>
      </c>
      <c r="N10762">
        <v>0.95607613469985397</v>
      </c>
      <c r="O10762">
        <v>0.95607613469985397</v>
      </c>
      <c r="P10762" t="s">
        <v>18424</v>
      </c>
      <c r="Q10762" t="s">
        <v>18425</v>
      </c>
      <c r="R10762" t="s">
        <v>1259</v>
      </c>
      <c r="S10762" t="s">
        <v>1260</v>
      </c>
      <c r="V10762" t="s">
        <v>18426</v>
      </c>
      <c r="W10762" t="s">
        <v>18427</v>
      </c>
      <c r="AF10762" t="s">
        <v>21632</v>
      </c>
    </row>
    <row r="10763" spans="1:32" hidden="1" x14ac:dyDescent="0.35">
      <c r="A10763">
        <v>10762</v>
      </c>
      <c r="B10763" t="s">
        <v>21631</v>
      </c>
      <c r="C10763" t="s">
        <v>33</v>
      </c>
      <c r="D10763" t="s">
        <v>62</v>
      </c>
      <c r="E10763">
        <v>1922</v>
      </c>
      <c r="F10763">
        <v>2</v>
      </c>
      <c r="G10763">
        <v>2</v>
      </c>
      <c r="H10763">
        <v>1</v>
      </c>
      <c r="I10763">
        <v>0</v>
      </c>
      <c r="J10763">
        <v>0.97189349112426004</v>
      </c>
      <c r="K10763">
        <v>0.98979618124283697</v>
      </c>
      <c r="L10763">
        <v>0.98076314479321403</v>
      </c>
      <c r="M10763">
        <v>0.95607613469985397</v>
      </c>
      <c r="N10763">
        <v>0.95607613469985397</v>
      </c>
      <c r="O10763">
        <v>0.95607613469985397</v>
      </c>
      <c r="P10763" t="s">
        <v>18424</v>
      </c>
      <c r="Q10763" t="s">
        <v>18425</v>
      </c>
      <c r="R10763" t="s">
        <v>1259</v>
      </c>
      <c r="S10763" t="s">
        <v>1260</v>
      </c>
      <c r="V10763" t="s">
        <v>18426</v>
      </c>
      <c r="W10763" t="s">
        <v>18427</v>
      </c>
      <c r="AF10763" t="s">
        <v>21633</v>
      </c>
    </row>
    <row r="10764" spans="1:32" hidden="1" x14ac:dyDescent="0.35">
      <c r="A10764">
        <v>10763</v>
      </c>
      <c r="B10764" t="s">
        <v>21634</v>
      </c>
      <c r="C10764" t="s">
        <v>33</v>
      </c>
      <c r="D10764" t="s">
        <v>34</v>
      </c>
      <c r="E10764">
        <v>949</v>
      </c>
      <c r="F10764">
        <v>2</v>
      </c>
      <c r="G10764">
        <v>2</v>
      </c>
      <c r="H10764">
        <v>1</v>
      </c>
      <c r="I10764">
        <v>0</v>
      </c>
      <c r="J10764">
        <v>0.96703296703296704</v>
      </c>
      <c r="K10764">
        <v>1</v>
      </c>
      <c r="L10764">
        <v>0.983240223463687</v>
      </c>
      <c r="M10764">
        <v>0.96703296703296704</v>
      </c>
      <c r="N10764">
        <v>0.96703296703296704</v>
      </c>
      <c r="O10764">
        <v>0.96703296703296704</v>
      </c>
      <c r="AF10764" t="s">
        <v>21635</v>
      </c>
    </row>
    <row r="10765" spans="1:32" hidden="1" x14ac:dyDescent="0.35">
      <c r="A10765">
        <v>10764</v>
      </c>
      <c r="B10765" t="s">
        <v>21634</v>
      </c>
      <c r="C10765" t="s">
        <v>33</v>
      </c>
      <c r="D10765" t="s">
        <v>45</v>
      </c>
      <c r="E10765">
        <v>2206</v>
      </c>
      <c r="F10765">
        <v>2</v>
      </c>
      <c r="G10765">
        <v>2</v>
      </c>
      <c r="H10765">
        <v>1</v>
      </c>
      <c r="I10765">
        <v>0</v>
      </c>
      <c r="J10765">
        <v>0.96703296703296704</v>
      </c>
      <c r="K10765">
        <v>1</v>
      </c>
      <c r="L10765">
        <v>0.983240223463687</v>
      </c>
      <c r="M10765">
        <v>0.96703296703296704</v>
      </c>
      <c r="N10765">
        <v>0.96703296703296704</v>
      </c>
      <c r="O10765">
        <v>0.96703296703296704</v>
      </c>
      <c r="AF10765" t="s">
        <v>21636</v>
      </c>
    </row>
    <row r="10766" spans="1:32" hidden="1" x14ac:dyDescent="0.35">
      <c r="A10766">
        <v>10765</v>
      </c>
      <c r="B10766" t="s">
        <v>21637</v>
      </c>
      <c r="C10766" t="s">
        <v>33</v>
      </c>
      <c r="D10766" t="s">
        <v>60</v>
      </c>
      <c r="E10766">
        <v>1123</v>
      </c>
      <c r="F10766">
        <v>2</v>
      </c>
      <c r="G10766">
        <v>2</v>
      </c>
      <c r="H10766">
        <v>1</v>
      </c>
      <c r="I10766">
        <v>0</v>
      </c>
      <c r="J10766">
        <v>0.98780487804878003</v>
      </c>
      <c r="K10766">
        <v>1</v>
      </c>
      <c r="L10766">
        <v>0.99386503067484699</v>
      </c>
      <c r="M10766">
        <v>0.98170731707317105</v>
      </c>
      <c r="N10766">
        <v>0.98170731707317105</v>
      </c>
      <c r="O10766">
        <v>0.98170731707317105</v>
      </c>
      <c r="P10766" t="s">
        <v>21638</v>
      </c>
      <c r="Q10766" t="s">
        <v>21639</v>
      </c>
      <c r="AF10766" t="s">
        <v>21640</v>
      </c>
    </row>
    <row r="10767" spans="1:32" hidden="1" x14ac:dyDescent="0.35">
      <c r="A10767">
        <v>10766</v>
      </c>
      <c r="B10767" t="s">
        <v>21637</v>
      </c>
      <c r="C10767" t="s">
        <v>33</v>
      </c>
      <c r="D10767" t="s">
        <v>62</v>
      </c>
      <c r="E10767">
        <v>1159</v>
      </c>
      <c r="F10767">
        <v>2</v>
      </c>
      <c r="G10767">
        <v>2</v>
      </c>
      <c r="H10767">
        <v>1</v>
      </c>
      <c r="I10767">
        <v>0</v>
      </c>
      <c r="J10767">
        <v>0.98780487804878003</v>
      </c>
      <c r="K10767">
        <v>1</v>
      </c>
      <c r="L10767">
        <v>0.99386503067484699</v>
      </c>
      <c r="M10767">
        <v>0.98170731707317105</v>
      </c>
      <c r="N10767">
        <v>0.98170731707317105</v>
      </c>
      <c r="O10767">
        <v>0.98170731707317105</v>
      </c>
      <c r="P10767" t="s">
        <v>21638</v>
      </c>
      <c r="Q10767" t="s">
        <v>21639</v>
      </c>
      <c r="AF10767" t="s">
        <v>21641</v>
      </c>
    </row>
    <row r="10768" spans="1:32" hidden="1" x14ac:dyDescent="0.35">
      <c r="A10768">
        <v>10767</v>
      </c>
      <c r="B10768" t="s">
        <v>21642</v>
      </c>
      <c r="C10768" t="s">
        <v>33</v>
      </c>
      <c r="D10768" t="s">
        <v>34</v>
      </c>
      <c r="E10768">
        <v>1191</v>
      </c>
      <c r="F10768">
        <v>2</v>
      </c>
      <c r="G10768">
        <v>2</v>
      </c>
      <c r="H10768">
        <v>1</v>
      </c>
      <c r="I10768">
        <v>0</v>
      </c>
      <c r="J10768">
        <v>0.973015873015873</v>
      </c>
      <c r="K10768">
        <v>1</v>
      </c>
      <c r="L10768">
        <v>0.98632341110217203</v>
      </c>
      <c r="M10768">
        <v>0.96666666666666701</v>
      </c>
      <c r="N10768">
        <v>0.96666666666666701</v>
      </c>
      <c r="O10768">
        <v>0.96666666666666701</v>
      </c>
      <c r="AF10768" t="s">
        <v>21643</v>
      </c>
    </row>
    <row r="10769" spans="1:32" hidden="1" x14ac:dyDescent="0.35">
      <c r="A10769">
        <v>10768</v>
      </c>
      <c r="B10769" t="s">
        <v>21642</v>
      </c>
      <c r="C10769" t="s">
        <v>33</v>
      </c>
      <c r="D10769" t="s">
        <v>45</v>
      </c>
      <c r="E10769">
        <v>2435</v>
      </c>
      <c r="F10769">
        <v>2</v>
      </c>
      <c r="G10769">
        <v>2</v>
      </c>
      <c r="H10769">
        <v>1</v>
      </c>
      <c r="I10769">
        <v>0</v>
      </c>
      <c r="J10769">
        <v>0.973015873015873</v>
      </c>
      <c r="K10769">
        <v>1</v>
      </c>
      <c r="L10769">
        <v>0.98632341110217203</v>
      </c>
      <c r="M10769">
        <v>0.96666666666666701</v>
      </c>
      <c r="N10769">
        <v>0.96666666666666701</v>
      </c>
      <c r="O10769">
        <v>0.96666666666666701</v>
      </c>
      <c r="AF10769" t="s">
        <v>21644</v>
      </c>
    </row>
    <row r="10770" spans="1:32" hidden="1" x14ac:dyDescent="0.35">
      <c r="A10770">
        <v>10769</v>
      </c>
      <c r="B10770" t="s">
        <v>21645</v>
      </c>
      <c r="C10770" t="s">
        <v>33</v>
      </c>
      <c r="D10770" t="s">
        <v>60</v>
      </c>
      <c r="E10770">
        <v>41</v>
      </c>
      <c r="F10770">
        <v>2</v>
      </c>
      <c r="G10770">
        <v>2</v>
      </c>
      <c r="H10770">
        <v>1</v>
      </c>
      <c r="I10770">
        <v>0</v>
      </c>
      <c r="J10770">
        <v>0.99430199430199395</v>
      </c>
      <c r="K10770">
        <v>1</v>
      </c>
      <c r="L10770">
        <v>0.997142857142857</v>
      </c>
      <c r="M10770">
        <v>0.98860398860398901</v>
      </c>
      <c r="N10770">
        <v>0.98860398860398901</v>
      </c>
      <c r="O10770">
        <v>0.98860398860398901</v>
      </c>
      <c r="P10770" t="s">
        <v>340</v>
      </c>
      <c r="Q10770" t="s">
        <v>341</v>
      </c>
      <c r="R10770" t="s">
        <v>342</v>
      </c>
      <c r="S10770" t="s">
        <v>343</v>
      </c>
      <c r="V10770" t="s">
        <v>346</v>
      </c>
      <c r="W10770" t="s">
        <v>347</v>
      </c>
      <c r="AF10770" t="s">
        <v>21646</v>
      </c>
    </row>
    <row r="10771" spans="1:32" hidden="1" x14ac:dyDescent="0.35">
      <c r="A10771">
        <v>10770</v>
      </c>
      <c r="B10771" t="s">
        <v>21645</v>
      </c>
      <c r="C10771" t="s">
        <v>33</v>
      </c>
      <c r="D10771" t="s">
        <v>62</v>
      </c>
      <c r="E10771">
        <v>114</v>
      </c>
      <c r="F10771">
        <v>2</v>
      </c>
      <c r="G10771">
        <v>2</v>
      </c>
      <c r="H10771">
        <v>1</v>
      </c>
      <c r="I10771">
        <v>0</v>
      </c>
      <c r="J10771">
        <v>0.99430199430199395</v>
      </c>
      <c r="K10771">
        <v>1</v>
      </c>
      <c r="L10771">
        <v>0.997142857142857</v>
      </c>
      <c r="M10771">
        <v>0.98860398860398901</v>
      </c>
      <c r="N10771">
        <v>0.98860398860398901</v>
      </c>
      <c r="O10771">
        <v>0.98860398860398901</v>
      </c>
      <c r="P10771" t="s">
        <v>340</v>
      </c>
      <c r="Q10771" t="s">
        <v>341</v>
      </c>
      <c r="R10771" t="s">
        <v>342</v>
      </c>
      <c r="S10771" t="s">
        <v>343</v>
      </c>
      <c r="V10771" t="s">
        <v>346</v>
      </c>
      <c r="W10771" t="s">
        <v>347</v>
      </c>
      <c r="AF10771" t="s">
        <v>21647</v>
      </c>
    </row>
    <row r="10772" spans="1:32" hidden="1" x14ac:dyDescent="0.35">
      <c r="A10772">
        <v>10771</v>
      </c>
      <c r="B10772" t="s">
        <v>21648</v>
      </c>
      <c r="C10772" t="s">
        <v>33</v>
      </c>
      <c r="D10772" t="s">
        <v>60</v>
      </c>
      <c r="E10772">
        <v>2193</v>
      </c>
      <c r="F10772">
        <v>2</v>
      </c>
      <c r="G10772">
        <v>2</v>
      </c>
      <c r="H10772">
        <v>1</v>
      </c>
      <c r="I10772">
        <v>0</v>
      </c>
      <c r="J10772">
        <v>0.99209486166007899</v>
      </c>
      <c r="K10772">
        <v>1</v>
      </c>
      <c r="L10772">
        <v>0.99603174603174605</v>
      </c>
      <c r="M10772">
        <v>0.99209486166007899</v>
      </c>
      <c r="N10772">
        <v>0.99209486166007899</v>
      </c>
      <c r="O10772">
        <v>0.99209486166007899</v>
      </c>
      <c r="P10772" t="s">
        <v>14500</v>
      </c>
      <c r="Q10772" t="s">
        <v>14501</v>
      </c>
      <c r="AF10772" t="s">
        <v>21649</v>
      </c>
    </row>
    <row r="10773" spans="1:32" hidden="1" x14ac:dyDescent="0.35">
      <c r="A10773">
        <v>10772</v>
      </c>
      <c r="B10773" t="s">
        <v>21648</v>
      </c>
      <c r="C10773" t="s">
        <v>33</v>
      </c>
      <c r="D10773" t="s">
        <v>62</v>
      </c>
      <c r="E10773">
        <v>2227</v>
      </c>
      <c r="F10773">
        <v>2</v>
      </c>
      <c r="G10773">
        <v>2</v>
      </c>
      <c r="H10773">
        <v>1</v>
      </c>
      <c r="I10773">
        <v>0</v>
      </c>
      <c r="J10773">
        <v>0.99209486166007899</v>
      </c>
      <c r="K10773">
        <v>1</v>
      </c>
      <c r="L10773">
        <v>0.99603174603174605</v>
      </c>
      <c r="M10773">
        <v>0.99209486166007899</v>
      </c>
      <c r="N10773">
        <v>0.99209486166007899</v>
      </c>
      <c r="O10773">
        <v>0.99209486166007899</v>
      </c>
      <c r="P10773" t="s">
        <v>14500</v>
      </c>
      <c r="Q10773" t="s">
        <v>14501</v>
      </c>
      <c r="AF10773" t="s">
        <v>21650</v>
      </c>
    </row>
    <row r="10774" spans="1:32" hidden="1" x14ac:dyDescent="0.35">
      <c r="A10774">
        <v>10773</v>
      </c>
      <c r="B10774" t="s">
        <v>21651</v>
      </c>
      <c r="C10774" t="s">
        <v>33</v>
      </c>
      <c r="D10774" t="s">
        <v>34</v>
      </c>
      <c r="E10774">
        <v>2475</v>
      </c>
      <c r="F10774">
        <v>2</v>
      </c>
      <c r="G10774">
        <v>2</v>
      </c>
      <c r="H10774">
        <v>1</v>
      </c>
      <c r="I10774">
        <v>0</v>
      </c>
      <c r="J10774">
        <v>0.99866666666666704</v>
      </c>
      <c r="K10774">
        <v>1</v>
      </c>
      <c r="L10774">
        <v>0.999332888592395</v>
      </c>
      <c r="M10774">
        <v>0.996</v>
      </c>
      <c r="N10774">
        <v>0.996</v>
      </c>
      <c r="O10774">
        <v>0.996</v>
      </c>
      <c r="P10774" t="s">
        <v>3168</v>
      </c>
      <c r="Q10774" t="s">
        <v>3169</v>
      </c>
      <c r="R10774" t="s">
        <v>15189</v>
      </c>
      <c r="S10774" t="s">
        <v>15190</v>
      </c>
      <c r="V10774" t="s">
        <v>15191</v>
      </c>
      <c r="W10774" t="s">
        <v>15192</v>
      </c>
      <c r="AF10774" t="s">
        <v>21652</v>
      </c>
    </row>
    <row r="10775" spans="1:32" hidden="1" x14ac:dyDescent="0.35">
      <c r="A10775">
        <v>10774</v>
      </c>
      <c r="B10775" t="s">
        <v>21651</v>
      </c>
      <c r="C10775" t="s">
        <v>33</v>
      </c>
      <c r="D10775" t="s">
        <v>45</v>
      </c>
      <c r="E10775">
        <v>425</v>
      </c>
      <c r="F10775">
        <v>2</v>
      </c>
      <c r="G10775">
        <v>2</v>
      </c>
      <c r="H10775">
        <v>1</v>
      </c>
      <c r="I10775">
        <v>0</v>
      </c>
      <c r="J10775">
        <v>0.99866666666666704</v>
      </c>
      <c r="K10775">
        <v>1</v>
      </c>
      <c r="L10775">
        <v>0.999332888592395</v>
      </c>
      <c r="M10775">
        <v>0.996</v>
      </c>
      <c r="N10775">
        <v>0.996</v>
      </c>
      <c r="O10775">
        <v>0.996</v>
      </c>
      <c r="P10775" t="s">
        <v>3168</v>
      </c>
      <c r="Q10775" t="s">
        <v>3169</v>
      </c>
      <c r="R10775" t="s">
        <v>15189</v>
      </c>
      <c r="S10775" t="s">
        <v>15190</v>
      </c>
      <c r="V10775" t="s">
        <v>15191</v>
      </c>
      <c r="W10775" t="s">
        <v>15192</v>
      </c>
      <c r="AF10775" t="s">
        <v>21653</v>
      </c>
    </row>
    <row r="10776" spans="1:32" hidden="1" x14ac:dyDescent="0.35">
      <c r="A10776">
        <v>10775</v>
      </c>
      <c r="B10776" t="s">
        <v>21654</v>
      </c>
      <c r="C10776" t="s">
        <v>33</v>
      </c>
      <c r="D10776" t="s">
        <v>34</v>
      </c>
      <c r="E10776">
        <v>1366</v>
      </c>
      <c r="F10776">
        <v>2</v>
      </c>
      <c r="G10776">
        <v>2</v>
      </c>
      <c r="H10776">
        <v>1</v>
      </c>
      <c r="I10776">
        <v>0</v>
      </c>
      <c r="J10776">
        <v>0.96557971014492705</v>
      </c>
      <c r="K10776">
        <v>1</v>
      </c>
      <c r="L10776">
        <v>0.98248847926267302</v>
      </c>
      <c r="M10776">
        <v>0.96195652173913004</v>
      </c>
      <c r="N10776">
        <v>0.96195652173913004</v>
      </c>
      <c r="O10776">
        <v>0.96195652173913004</v>
      </c>
      <c r="P10776" t="s">
        <v>21655</v>
      </c>
      <c r="Q10776" t="s">
        <v>21656</v>
      </c>
      <c r="AF10776" t="s">
        <v>21657</v>
      </c>
    </row>
    <row r="10777" spans="1:32" hidden="1" x14ac:dyDescent="0.35">
      <c r="A10777">
        <v>10776</v>
      </c>
      <c r="B10777" t="s">
        <v>21654</v>
      </c>
      <c r="C10777" t="s">
        <v>33</v>
      </c>
      <c r="D10777" t="s">
        <v>45</v>
      </c>
      <c r="E10777">
        <v>115</v>
      </c>
      <c r="F10777">
        <v>2</v>
      </c>
      <c r="G10777">
        <v>2</v>
      </c>
      <c r="H10777">
        <v>1</v>
      </c>
      <c r="I10777">
        <v>0</v>
      </c>
      <c r="J10777">
        <v>0.96557971014492705</v>
      </c>
      <c r="K10777">
        <v>1</v>
      </c>
      <c r="L10777">
        <v>0.98248847926267302</v>
      </c>
      <c r="M10777">
        <v>0.96195652173913004</v>
      </c>
      <c r="N10777">
        <v>0.96195652173913004</v>
      </c>
      <c r="O10777">
        <v>0.96195652173913004</v>
      </c>
      <c r="P10777" t="s">
        <v>21655</v>
      </c>
      <c r="Q10777" t="s">
        <v>21656</v>
      </c>
      <c r="AF10777" t="s">
        <v>21658</v>
      </c>
    </row>
    <row r="10778" spans="1:32" hidden="1" x14ac:dyDescent="0.35">
      <c r="A10778">
        <v>10777</v>
      </c>
      <c r="B10778" t="s">
        <v>21659</v>
      </c>
      <c r="C10778" t="s">
        <v>33</v>
      </c>
      <c r="D10778" t="s">
        <v>34</v>
      </c>
      <c r="E10778">
        <v>352</v>
      </c>
      <c r="F10778">
        <v>2</v>
      </c>
      <c r="G10778">
        <v>2</v>
      </c>
      <c r="H10778">
        <v>1</v>
      </c>
      <c r="I10778">
        <v>0</v>
      </c>
      <c r="J10778">
        <v>0.99326599326599296</v>
      </c>
      <c r="K10778">
        <v>1</v>
      </c>
      <c r="L10778">
        <v>0.99662162162162204</v>
      </c>
      <c r="M10778">
        <v>0.99191919191919198</v>
      </c>
      <c r="N10778">
        <v>0.99191919191919198</v>
      </c>
      <c r="O10778">
        <v>0.99191919191919198</v>
      </c>
      <c r="AF10778" t="s">
        <v>21660</v>
      </c>
    </row>
    <row r="10779" spans="1:32" hidden="1" x14ac:dyDescent="0.35">
      <c r="A10779">
        <v>10778</v>
      </c>
      <c r="B10779" t="s">
        <v>21659</v>
      </c>
      <c r="C10779" t="s">
        <v>33</v>
      </c>
      <c r="D10779" t="s">
        <v>45</v>
      </c>
      <c r="E10779">
        <v>1614</v>
      </c>
      <c r="F10779">
        <v>2</v>
      </c>
      <c r="G10779">
        <v>2</v>
      </c>
      <c r="H10779">
        <v>1</v>
      </c>
      <c r="I10779">
        <v>0</v>
      </c>
      <c r="J10779">
        <v>0.99326599326599296</v>
      </c>
      <c r="K10779">
        <v>1</v>
      </c>
      <c r="L10779">
        <v>0.99662162162162204</v>
      </c>
      <c r="M10779">
        <v>0.99191919191919198</v>
      </c>
      <c r="N10779">
        <v>0.99191919191919198</v>
      </c>
      <c r="O10779">
        <v>0.99191919191919198</v>
      </c>
      <c r="AF10779" t="s">
        <v>21661</v>
      </c>
    </row>
    <row r="10780" spans="1:32" hidden="1" x14ac:dyDescent="0.35">
      <c r="A10780">
        <v>10779</v>
      </c>
      <c r="B10780" t="s">
        <v>21662</v>
      </c>
      <c r="C10780" t="s">
        <v>33</v>
      </c>
      <c r="D10780" t="s">
        <v>34</v>
      </c>
      <c r="E10780">
        <v>2300</v>
      </c>
      <c r="F10780">
        <v>2</v>
      </c>
      <c r="G10780">
        <v>2</v>
      </c>
      <c r="H10780">
        <v>1</v>
      </c>
      <c r="I10780">
        <v>0</v>
      </c>
      <c r="J10780">
        <v>1</v>
      </c>
      <c r="K10780">
        <v>0.98979615690307998</v>
      </c>
      <c r="L10780">
        <v>0.99487191536604402</v>
      </c>
      <c r="M10780">
        <v>0.98976109215017105</v>
      </c>
      <c r="N10780">
        <v>0.98976109215017105</v>
      </c>
      <c r="O10780">
        <v>0.98976109215017105</v>
      </c>
      <c r="AF10780" t="s">
        <v>21663</v>
      </c>
    </row>
    <row r="10781" spans="1:32" hidden="1" x14ac:dyDescent="0.35">
      <c r="A10781">
        <v>10780</v>
      </c>
      <c r="B10781" t="s">
        <v>21662</v>
      </c>
      <c r="C10781" t="s">
        <v>33</v>
      </c>
      <c r="D10781" t="s">
        <v>45</v>
      </c>
      <c r="E10781">
        <v>577</v>
      </c>
      <c r="F10781">
        <v>2</v>
      </c>
      <c r="G10781">
        <v>2</v>
      </c>
      <c r="H10781">
        <v>1</v>
      </c>
      <c r="I10781">
        <v>0</v>
      </c>
      <c r="J10781">
        <v>1</v>
      </c>
      <c r="K10781">
        <v>0.98979615690307998</v>
      </c>
      <c r="L10781">
        <v>0.99487191536604402</v>
      </c>
      <c r="M10781">
        <v>0.98976109215017105</v>
      </c>
      <c r="N10781">
        <v>0.98976109215017105</v>
      </c>
      <c r="O10781">
        <v>0.98976109215017105</v>
      </c>
      <c r="AF10781" t="s">
        <v>21664</v>
      </c>
    </row>
    <row r="10782" spans="1:32" hidden="1" x14ac:dyDescent="0.35">
      <c r="A10782">
        <v>10781</v>
      </c>
      <c r="B10782" t="s">
        <v>21665</v>
      </c>
      <c r="C10782" t="s">
        <v>33</v>
      </c>
      <c r="D10782" t="s">
        <v>34</v>
      </c>
      <c r="E10782">
        <v>1386</v>
      </c>
      <c r="F10782">
        <v>2</v>
      </c>
      <c r="G10782">
        <v>2</v>
      </c>
      <c r="H10782">
        <v>1</v>
      </c>
      <c r="I10782">
        <v>0</v>
      </c>
      <c r="J10782">
        <v>0.99593495934959397</v>
      </c>
      <c r="K10782">
        <v>1</v>
      </c>
      <c r="L10782">
        <v>0.9979633401222</v>
      </c>
      <c r="M10782">
        <v>0.98780487804878003</v>
      </c>
      <c r="N10782">
        <v>0.98780487804878003</v>
      </c>
      <c r="O10782">
        <v>0.98780487804878003</v>
      </c>
      <c r="AF10782" t="s">
        <v>21666</v>
      </c>
    </row>
    <row r="10783" spans="1:32" hidden="1" x14ac:dyDescent="0.35">
      <c r="A10783">
        <v>10782</v>
      </c>
      <c r="B10783" t="s">
        <v>21665</v>
      </c>
      <c r="C10783" t="s">
        <v>33</v>
      </c>
      <c r="D10783" t="s">
        <v>45</v>
      </c>
      <c r="E10783">
        <v>136</v>
      </c>
      <c r="F10783">
        <v>2</v>
      </c>
      <c r="G10783">
        <v>2</v>
      </c>
      <c r="H10783">
        <v>1</v>
      </c>
      <c r="I10783">
        <v>0</v>
      </c>
      <c r="J10783">
        <v>0.99593495934959397</v>
      </c>
      <c r="K10783">
        <v>1</v>
      </c>
      <c r="L10783">
        <v>0.9979633401222</v>
      </c>
      <c r="M10783">
        <v>0.98780487804878003</v>
      </c>
      <c r="N10783">
        <v>0.98780487804878003</v>
      </c>
      <c r="O10783">
        <v>0.98780487804878003</v>
      </c>
      <c r="AF10783" t="s">
        <v>21667</v>
      </c>
    </row>
    <row r="10784" spans="1:32" hidden="1" x14ac:dyDescent="0.35">
      <c r="A10784">
        <v>10783</v>
      </c>
      <c r="B10784" t="s">
        <v>21668</v>
      </c>
      <c r="C10784" t="s">
        <v>33</v>
      </c>
      <c r="D10784" t="s">
        <v>34</v>
      </c>
      <c r="E10784">
        <v>164</v>
      </c>
      <c r="F10784">
        <v>2</v>
      </c>
      <c r="G10784">
        <v>2</v>
      </c>
      <c r="H10784">
        <v>1</v>
      </c>
      <c r="I10784">
        <v>0</v>
      </c>
      <c r="J10784">
        <v>0.99148418491484203</v>
      </c>
      <c r="K10784">
        <v>1</v>
      </c>
      <c r="L10784">
        <v>0.99572388515577304</v>
      </c>
      <c r="M10784">
        <v>0.98905109489051102</v>
      </c>
      <c r="N10784">
        <v>0.98905109489051102</v>
      </c>
      <c r="O10784">
        <v>0.98905109489051102</v>
      </c>
      <c r="R10784" t="s">
        <v>113</v>
      </c>
      <c r="S10784" t="s">
        <v>114</v>
      </c>
      <c r="V10784" t="s">
        <v>4627</v>
      </c>
      <c r="W10784" t="s">
        <v>4628</v>
      </c>
      <c r="AF10784" t="s">
        <v>21669</v>
      </c>
    </row>
    <row r="10785" spans="1:32" hidden="1" x14ac:dyDescent="0.35">
      <c r="A10785">
        <v>10784</v>
      </c>
      <c r="B10785" t="s">
        <v>21668</v>
      </c>
      <c r="C10785" t="s">
        <v>33</v>
      </c>
      <c r="D10785" t="s">
        <v>45</v>
      </c>
      <c r="E10785">
        <v>1425</v>
      </c>
      <c r="F10785">
        <v>2</v>
      </c>
      <c r="G10785">
        <v>2</v>
      </c>
      <c r="H10785">
        <v>1</v>
      </c>
      <c r="I10785">
        <v>0</v>
      </c>
      <c r="J10785">
        <v>0.99148418491484203</v>
      </c>
      <c r="K10785">
        <v>1</v>
      </c>
      <c r="L10785">
        <v>0.99572388515577304</v>
      </c>
      <c r="M10785">
        <v>0.98905109489051102</v>
      </c>
      <c r="N10785">
        <v>0.98905109489051102</v>
      </c>
      <c r="O10785">
        <v>0.98905109489051102</v>
      </c>
      <c r="R10785" t="s">
        <v>113</v>
      </c>
      <c r="S10785" t="s">
        <v>114</v>
      </c>
      <c r="V10785" t="s">
        <v>4627</v>
      </c>
      <c r="W10785" t="s">
        <v>4628</v>
      </c>
      <c r="AF10785" t="s">
        <v>21670</v>
      </c>
    </row>
    <row r="10786" spans="1:32" hidden="1" x14ac:dyDescent="0.35">
      <c r="A10786">
        <v>10785</v>
      </c>
      <c r="B10786" t="s">
        <v>21671</v>
      </c>
      <c r="C10786" t="s">
        <v>33</v>
      </c>
      <c r="D10786" t="s">
        <v>60</v>
      </c>
      <c r="E10786">
        <v>1443</v>
      </c>
      <c r="F10786">
        <v>2</v>
      </c>
      <c r="G10786">
        <v>2</v>
      </c>
      <c r="H10786">
        <v>1</v>
      </c>
      <c r="I10786">
        <v>0</v>
      </c>
      <c r="J10786">
        <v>0.995215311004785</v>
      </c>
      <c r="K10786">
        <v>1</v>
      </c>
      <c r="L10786">
        <v>0.99760191846522805</v>
      </c>
      <c r="M10786">
        <v>0.995215311004785</v>
      </c>
      <c r="N10786">
        <v>0.995215311004785</v>
      </c>
      <c r="O10786">
        <v>0.995215311004785</v>
      </c>
      <c r="P10786" t="s">
        <v>19580</v>
      </c>
      <c r="Q10786" t="s">
        <v>19581</v>
      </c>
      <c r="R10786" t="s">
        <v>224</v>
      </c>
      <c r="S10786" t="s">
        <v>225</v>
      </c>
      <c r="T10786" t="s">
        <v>19582</v>
      </c>
      <c r="U10786" t="s">
        <v>19583</v>
      </c>
      <c r="V10786" t="s">
        <v>19584</v>
      </c>
      <c r="W10786" t="s">
        <v>19585</v>
      </c>
      <c r="X10786" t="s">
        <v>19584</v>
      </c>
      <c r="Y10786" t="s">
        <v>1598</v>
      </c>
      <c r="AD10786" t="s">
        <v>1170</v>
      </c>
      <c r="AE10786" t="s">
        <v>19586</v>
      </c>
      <c r="AF10786" t="s">
        <v>21672</v>
      </c>
    </row>
    <row r="10787" spans="1:32" hidden="1" x14ac:dyDescent="0.35">
      <c r="A10787">
        <v>10786</v>
      </c>
      <c r="B10787" t="s">
        <v>21671</v>
      </c>
      <c r="C10787" t="s">
        <v>33</v>
      </c>
      <c r="D10787" t="s">
        <v>62</v>
      </c>
      <c r="E10787">
        <v>1478</v>
      </c>
      <c r="F10787">
        <v>2</v>
      </c>
      <c r="G10787">
        <v>2</v>
      </c>
      <c r="H10787">
        <v>1</v>
      </c>
      <c r="I10787">
        <v>0</v>
      </c>
      <c r="J10787">
        <v>0.995215311004785</v>
      </c>
      <c r="K10787">
        <v>1</v>
      </c>
      <c r="L10787">
        <v>0.99760191846522805</v>
      </c>
      <c r="M10787">
        <v>0.995215311004785</v>
      </c>
      <c r="N10787">
        <v>0.995215311004785</v>
      </c>
      <c r="O10787">
        <v>0.995215311004785</v>
      </c>
      <c r="P10787" t="s">
        <v>19580</v>
      </c>
      <c r="Q10787" t="s">
        <v>19581</v>
      </c>
      <c r="R10787" t="s">
        <v>224</v>
      </c>
      <c r="S10787" t="s">
        <v>225</v>
      </c>
      <c r="T10787" t="s">
        <v>19582</v>
      </c>
      <c r="U10787" t="s">
        <v>19583</v>
      </c>
      <c r="V10787" t="s">
        <v>19584</v>
      </c>
      <c r="W10787" t="s">
        <v>19585</v>
      </c>
      <c r="X10787" t="s">
        <v>19584</v>
      </c>
      <c r="Y10787" t="s">
        <v>1598</v>
      </c>
      <c r="AD10787" t="s">
        <v>1170</v>
      </c>
      <c r="AE10787" t="s">
        <v>19586</v>
      </c>
      <c r="AF10787" t="s">
        <v>21673</v>
      </c>
    </row>
    <row r="10788" spans="1:32" hidden="1" x14ac:dyDescent="0.35">
      <c r="A10788">
        <v>10787</v>
      </c>
      <c r="B10788" t="s">
        <v>21674</v>
      </c>
      <c r="C10788" t="s">
        <v>33</v>
      </c>
      <c r="D10788" t="s">
        <v>60</v>
      </c>
      <c r="E10788">
        <v>2520</v>
      </c>
      <c r="F10788">
        <v>2</v>
      </c>
      <c r="G10788">
        <v>2</v>
      </c>
      <c r="H10788">
        <v>1</v>
      </c>
      <c r="I10788">
        <v>0</v>
      </c>
      <c r="J10788">
        <v>0.99193047796399703</v>
      </c>
      <c r="K10788">
        <v>1</v>
      </c>
      <c r="L10788">
        <v>0.99594889373636597</v>
      </c>
      <c r="M10788">
        <v>0.98696461824953396</v>
      </c>
      <c r="N10788">
        <v>0.98696461824953396</v>
      </c>
      <c r="O10788">
        <v>0.98696461824953396</v>
      </c>
      <c r="P10788" t="s">
        <v>19350</v>
      </c>
      <c r="Q10788" t="s">
        <v>12502</v>
      </c>
      <c r="AF10788" t="s">
        <v>21675</v>
      </c>
    </row>
    <row r="10789" spans="1:32" hidden="1" x14ac:dyDescent="0.35">
      <c r="A10789">
        <v>10788</v>
      </c>
      <c r="B10789" t="s">
        <v>21674</v>
      </c>
      <c r="C10789" t="s">
        <v>33</v>
      </c>
      <c r="D10789" t="s">
        <v>62</v>
      </c>
      <c r="E10789">
        <v>46</v>
      </c>
      <c r="F10789">
        <v>2</v>
      </c>
      <c r="G10789">
        <v>2</v>
      </c>
      <c r="H10789">
        <v>1</v>
      </c>
      <c r="I10789">
        <v>0</v>
      </c>
      <c r="J10789">
        <v>0.99193047796399703</v>
      </c>
      <c r="K10789">
        <v>1</v>
      </c>
      <c r="L10789">
        <v>0.99594889373636597</v>
      </c>
      <c r="M10789">
        <v>0.98696461824953396</v>
      </c>
      <c r="N10789">
        <v>0.98696461824953396</v>
      </c>
      <c r="O10789">
        <v>0.98696461824953396</v>
      </c>
      <c r="P10789" t="s">
        <v>19350</v>
      </c>
      <c r="Q10789" t="s">
        <v>12502</v>
      </c>
      <c r="AF10789" t="s">
        <v>21676</v>
      </c>
    </row>
    <row r="10790" spans="1:32" hidden="1" x14ac:dyDescent="0.35">
      <c r="A10790">
        <v>10789</v>
      </c>
      <c r="B10790" t="s">
        <v>21677</v>
      </c>
      <c r="C10790" t="s">
        <v>33</v>
      </c>
      <c r="D10790" t="s">
        <v>58</v>
      </c>
      <c r="E10790">
        <v>501</v>
      </c>
      <c r="F10790">
        <v>2</v>
      </c>
      <c r="G10790">
        <v>2</v>
      </c>
      <c r="H10790">
        <v>1</v>
      </c>
      <c r="I10790">
        <v>0</v>
      </c>
      <c r="J10790">
        <v>0.69099756690997605</v>
      </c>
      <c r="K10790">
        <v>0.98331669592555404</v>
      </c>
      <c r="L10790">
        <v>0.81163908051025102</v>
      </c>
      <c r="M10790">
        <v>0.58851674641148299</v>
      </c>
      <c r="N10790">
        <v>0.58851674641148299</v>
      </c>
      <c r="O10790">
        <v>0.58851674641148299</v>
      </c>
      <c r="P10790" t="s">
        <v>21678</v>
      </c>
      <c r="Q10790" t="s">
        <v>21679</v>
      </c>
      <c r="R10790" t="s">
        <v>13853</v>
      </c>
      <c r="S10790" t="s">
        <v>13854</v>
      </c>
      <c r="V10790" t="s">
        <v>21680</v>
      </c>
      <c r="W10790" t="s">
        <v>21681</v>
      </c>
      <c r="AF10790" t="s">
        <v>21682</v>
      </c>
    </row>
    <row r="10791" spans="1:32" hidden="1" x14ac:dyDescent="0.35">
      <c r="A10791">
        <v>10790</v>
      </c>
      <c r="B10791" t="s">
        <v>21677</v>
      </c>
      <c r="C10791" t="s">
        <v>33</v>
      </c>
      <c r="D10791" t="s">
        <v>60</v>
      </c>
      <c r="E10791">
        <v>672</v>
      </c>
      <c r="F10791">
        <v>2</v>
      </c>
      <c r="G10791">
        <v>2</v>
      </c>
      <c r="H10791">
        <v>1</v>
      </c>
      <c r="I10791">
        <v>0</v>
      </c>
      <c r="J10791">
        <v>0.69099756690997605</v>
      </c>
      <c r="K10791">
        <v>0.98331669592555404</v>
      </c>
      <c r="L10791">
        <v>0.81163908051025102</v>
      </c>
      <c r="M10791">
        <v>0.58851674641148299</v>
      </c>
      <c r="N10791">
        <v>0.58851674641148299</v>
      </c>
      <c r="O10791">
        <v>0.58851674641148299</v>
      </c>
      <c r="P10791" t="s">
        <v>21678</v>
      </c>
      <c r="Q10791" t="s">
        <v>21679</v>
      </c>
      <c r="R10791" t="s">
        <v>13853</v>
      </c>
      <c r="S10791" t="s">
        <v>13854</v>
      </c>
      <c r="V10791" t="s">
        <v>21680</v>
      </c>
      <c r="W10791" t="s">
        <v>21681</v>
      </c>
      <c r="AF10791" t="s">
        <v>21683</v>
      </c>
    </row>
    <row r="10792" spans="1:32" hidden="1" x14ac:dyDescent="0.35">
      <c r="A10792">
        <v>10791</v>
      </c>
      <c r="B10792" t="s">
        <v>21684</v>
      </c>
      <c r="C10792" t="s">
        <v>33</v>
      </c>
      <c r="D10792" t="s">
        <v>34</v>
      </c>
      <c r="E10792">
        <v>2212</v>
      </c>
      <c r="F10792">
        <v>2</v>
      </c>
      <c r="G10792">
        <v>2</v>
      </c>
      <c r="H10792">
        <v>1</v>
      </c>
      <c r="I10792">
        <v>0</v>
      </c>
      <c r="J10792">
        <v>0.98398576512455505</v>
      </c>
      <c r="K10792">
        <v>1</v>
      </c>
      <c r="L10792">
        <v>0.99192825112107597</v>
      </c>
      <c r="M10792">
        <v>0.97686832740213503</v>
      </c>
      <c r="N10792">
        <v>0.97686832740213503</v>
      </c>
      <c r="O10792">
        <v>0.97686832740213503</v>
      </c>
      <c r="P10792" t="s">
        <v>15601</v>
      </c>
      <c r="Q10792" t="s">
        <v>15602</v>
      </c>
      <c r="R10792" t="s">
        <v>319</v>
      </c>
      <c r="S10792" t="s">
        <v>320</v>
      </c>
      <c r="T10792" t="s">
        <v>15603</v>
      </c>
      <c r="U10792" t="s">
        <v>15604</v>
      </c>
      <c r="V10792" t="s">
        <v>15605</v>
      </c>
      <c r="W10792" t="s">
        <v>15606</v>
      </c>
      <c r="AD10792" t="s">
        <v>245</v>
      </c>
      <c r="AE10792" t="s">
        <v>15607</v>
      </c>
      <c r="AF10792" t="s">
        <v>21685</v>
      </c>
    </row>
    <row r="10793" spans="1:32" hidden="1" x14ac:dyDescent="0.35">
      <c r="A10793">
        <v>10792</v>
      </c>
      <c r="B10793" t="s">
        <v>21684</v>
      </c>
      <c r="C10793" t="s">
        <v>33</v>
      </c>
      <c r="D10793" t="s">
        <v>45</v>
      </c>
      <c r="E10793">
        <v>664</v>
      </c>
      <c r="F10793">
        <v>2</v>
      </c>
      <c r="G10793">
        <v>2</v>
      </c>
      <c r="H10793">
        <v>1</v>
      </c>
      <c r="I10793">
        <v>0</v>
      </c>
      <c r="J10793">
        <v>0.98398576512455505</v>
      </c>
      <c r="K10793">
        <v>1</v>
      </c>
      <c r="L10793">
        <v>0.99192825112107597</v>
      </c>
      <c r="M10793">
        <v>0.97686832740213503</v>
      </c>
      <c r="N10793">
        <v>0.97686832740213503</v>
      </c>
      <c r="O10793">
        <v>0.97686832740213503</v>
      </c>
      <c r="P10793" t="s">
        <v>15601</v>
      </c>
      <c r="Q10793" t="s">
        <v>15602</v>
      </c>
      <c r="R10793" t="s">
        <v>319</v>
      </c>
      <c r="S10793" t="s">
        <v>320</v>
      </c>
      <c r="T10793" t="s">
        <v>15603</v>
      </c>
      <c r="U10793" t="s">
        <v>15604</v>
      </c>
      <c r="V10793" t="s">
        <v>15605</v>
      </c>
      <c r="W10793" t="s">
        <v>15606</v>
      </c>
      <c r="AD10793" t="s">
        <v>245</v>
      </c>
      <c r="AE10793" t="s">
        <v>15607</v>
      </c>
      <c r="AF10793" t="s">
        <v>21686</v>
      </c>
    </row>
    <row r="10794" spans="1:32" hidden="1" x14ac:dyDescent="0.35">
      <c r="A10794">
        <v>10793</v>
      </c>
      <c r="B10794" t="s">
        <v>21687</v>
      </c>
      <c r="C10794" t="s">
        <v>33</v>
      </c>
      <c r="D10794" t="s">
        <v>60</v>
      </c>
      <c r="E10794">
        <v>562</v>
      </c>
      <c r="F10794">
        <v>2</v>
      </c>
      <c r="G10794">
        <v>2</v>
      </c>
      <c r="H10794">
        <v>1</v>
      </c>
      <c r="I10794">
        <v>0</v>
      </c>
      <c r="J10794">
        <v>0.99715099715099698</v>
      </c>
      <c r="K10794">
        <v>1</v>
      </c>
      <c r="L10794">
        <v>0.99857346647646195</v>
      </c>
      <c r="M10794">
        <v>0.99145299145299104</v>
      </c>
      <c r="N10794">
        <v>0.99145299145299104</v>
      </c>
      <c r="O10794">
        <v>0.99145299145299104</v>
      </c>
      <c r="P10794" t="s">
        <v>14079</v>
      </c>
      <c r="Q10794" t="s">
        <v>14080</v>
      </c>
      <c r="R10794" t="s">
        <v>96</v>
      </c>
      <c r="S10794" t="s">
        <v>97</v>
      </c>
      <c r="T10794" t="s">
        <v>14081</v>
      </c>
      <c r="U10794" t="s">
        <v>14082</v>
      </c>
      <c r="V10794" t="s">
        <v>14083</v>
      </c>
      <c r="W10794" t="s">
        <v>14084</v>
      </c>
      <c r="AD10794" t="s">
        <v>941</v>
      </c>
      <c r="AE10794" t="s">
        <v>13439</v>
      </c>
      <c r="AF10794" t="s">
        <v>21688</v>
      </c>
    </row>
    <row r="10795" spans="1:32" hidden="1" x14ac:dyDescent="0.35">
      <c r="A10795">
        <v>10794</v>
      </c>
      <c r="B10795" t="s">
        <v>21687</v>
      </c>
      <c r="C10795" t="s">
        <v>33</v>
      </c>
      <c r="D10795" t="s">
        <v>62</v>
      </c>
      <c r="E10795">
        <v>646</v>
      </c>
      <c r="F10795">
        <v>2</v>
      </c>
      <c r="G10795">
        <v>2</v>
      </c>
      <c r="H10795">
        <v>1</v>
      </c>
      <c r="I10795">
        <v>0</v>
      </c>
      <c r="J10795">
        <v>0.99715099715099698</v>
      </c>
      <c r="K10795">
        <v>1</v>
      </c>
      <c r="L10795">
        <v>0.99857346647646195</v>
      </c>
      <c r="M10795">
        <v>0.99145299145299104</v>
      </c>
      <c r="N10795">
        <v>0.99145299145299104</v>
      </c>
      <c r="O10795">
        <v>0.99145299145299104</v>
      </c>
      <c r="P10795" t="s">
        <v>14079</v>
      </c>
      <c r="Q10795" t="s">
        <v>14080</v>
      </c>
      <c r="R10795" t="s">
        <v>96</v>
      </c>
      <c r="S10795" t="s">
        <v>97</v>
      </c>
      <c r="T10795" t="s">
        <v>14081</v>
      </c>
      <c r="U10795" t="s">
        <v>14082</v>
      </c>
      <c r="V10795" t="s">
        <v>14083</v>
      </c>
      <c r="W10795" t="s">
        <v>14084</v>
      </c>
      <c r="AD10795" t="s">
        <v>941</v>
      </c>
      <c r="AE10795" t="s">
        <v>13439</v>
      </c>
      <c r="AF10795" t="s">
        <v>21689</v>
      </c>
    </row>
    <row r="10796" spans="1:32" hidden="1" x14ac:dyDescent="0.35">
      <c r="A10796">
        <v>10795</v>
      </c>
      <c r="B10796" t="s">
        <v>21690</v>
      </c>
      <c r="C10796" t="s">
        <v>33</v>
      </c>
      <c r="D10796" t="s">
        <v>34</v>
      </c>
      <c r="E10796">
        <v>49</v>
      </c>
      <c r="F10796">
        <v>2</v>
      </c>
      <c r="G10796">
        <v>2</v>
      </c>
      <c r="H10796">
        <v>1</v>
      </c>
      <c r="I10796">
        <v>0</v>
      </c>
      <c r="J10796">
        <v>0.99588477366255101</v>
      </c>
      <c r="K10796">
        <v>1</v>
      </c>
      <c r="L10796">
        <v>0.99793814432989703</v>
      </c>
      <c r="M10796">
        <v>0.99588477366255101</v>
      </c>
      <c r="N10796">
        <v>0.99588477366255101</v>
      </c>
      <c r="O10796">
        <v>0.99588477366255101</v>
      </c>
      <c r="P10796" t="s">
        <v>169</v>
      </c>
      <c r="Q10796" t="s">
        <v>170</v>
      </c>
      <c r="R10796" t="s">
        <v>96</v>
      </c>
      <c r="S10796" t="s">
        <v>97</v>
      </c>
      <c r="T10796" t="s">
        <v>2722</v>
      </c>
      <c r="U10796" t="s">
        <v>2723</v>
      </c>
      <c r="V10796" t="s">
        <v>2724</v>
      </c>
      <c r="W10796" t="s">
        <v>2725</v>
      </c>
      <c r="AD10796" t="s">
        <v>166</v>
      </c>
      <c r="AE10796" t="s">
        <v>2726</v>
      </c>
      <c r="AF10796" t="s">
        <v>21691</v>
      </c>
    </row>
    <row r="10797" spans="1:32" hidden="1" x14ac:dyDescent="0.35">
      <c r="A10797">
        <v>10796</v>
      </c>
      <c r="B10797" t="s">
        <v>21690</v>
      </c>
      <c r="C10797" t="s">
        <v>33</v>
      </c>
      <c r="D10797" t="s">
        <v>45</v>
      </c>
      <c r="E10797">
        <v>1307</v>
      </c>
      <c r="F10797">
        <v>2</v>
      </c>
      <c r="G10797">
        <v>2</v>
      </c>
      <c r="H10797">
        <v>1</v>
      </c>
      <c r="I10797">
        <v>0</v>
      </c>
      <c r="J10797">
        <v>0.99588477366255101</v>
      </c>
      <c r="K10797">
        <v>1</v>
      </c>
      <c r="L10797">
        <v>0.99793814432989703</v>
      </c>
      <c r="M10797">
        <v>0.99588477366255101</v>
      </c>
      <c r="N10797">
        <v>0.99588477366255101</v>
      </c>
      <c r="O10797">
        <v>0.99588477366255101</v>
      </c>
      <c r="P10797" t="s">
        <v>169</v>
      </c>
      <c r="Q10797" t="s">
        <v>170</v>
      </c>
      <c r="R10797" t="s">
        <v>96</v>
      </c>
      <c r="S10797" t="s">
        <v>97</v>
      </c>
      <c r="T10797" t="s">
        <v>2722</v>
      </c>
      <c r="U10797" t="s">
        <v>2723</v>
      </c>
      <c r="V10797" t="s">
        <v>2724</v>
      </c>
      <c r="W10797" t="s">
        <v>2725</v>
      </c>
      <c r="AD10797" t="s">
        <v>166</v>
      </c>
      <c r="AE10797" t="s">
        <v>2726</v>
      </c>
      <c r="AF10797" t="s">
        <v>21692</v>
      </c>
    </row>
    <row r="10798" spans="1:32" hidden="1" x14ac:dyDescent="0.35">
      <c r="A10798">
        <v>10797</v>
      </c>
      <c r="B10798" t="s">
        <v>21693</v>
      </c>
      <c r="C10798" t="s">
        <v>33</v>
      </c>
      <c r="D10798" t="s">
        <v>34</v>
      </c>
      <c r="E10798">
        <v>702</v>
      </c>
      <c r="F10798">
        <v>2</v>
      </c>
      <c r="G10798">
        <v>2</v>
      </c>
      <c r="H10798">
        <v>1</v>
      </c>
      <c r="I10798">
        <v>0</v>
      </c>
      <c r="J10798">
        <v>0.98417132216014902</v>
      </c>
      <c r="K10798">
        <v>1</v>
      </c>
      <c r="L10798">
        <v>0.99202252463632101</v>
      </c>
      <c r="M10798">
        <v>0.98044692737430195</v>
      </c>
      <c r="N10798">
        <v>0.98044692737430195</v>
      </c>
      <c r="O10798">
        <v>0.98044692737430195</v>
      </c>
      <c r="P10798" t="s">
        <v>8909</v>
      </c>
      <c r="Q10798" t="s">
        <v>8910</v>
      </c>
      <c r="R10798" t="s">
        <v>342</v>
      </c>
      <c r="S10798" t="s">
        <v>343</v>
      </c>
      <c r="T10798" t="s">
        <v>12990</v>
      </c>
      <c r="U10798" t="s">
        <v>12566</v>
      </c>
      <c r="V10798" t="s">
        <v>12991</v>
      </c>
      <c r="W10798" t="s">
        <v>12992</v>
      </c>
      <c r="AD10798" t="s">
        <v>439</v>
      </c>
      <c r="AE10798" t="s">
        <v>11415</v>
      </c>
      <c r="AF10798" t="s">
        <v>21694</v>
      </c>
    </row>
    <row r="10799" spans="1:32" hidden="1" x14ac:dyDescent="0.35">
      <c r="A10799">
        <v>10798</v>
      </c>
      <c r="B10799" t="s">
        <v>21693</v>
      </c>
      <c r="C10799" t="s">
        <v>33</v>
      </c>
      <c r="D10799" t="s">
        <v>45</v>
      </c>
      <c r="E10799">
        <v>1968</v>
      </c>
      <c r="F10799">
        <v>2</v>
      </c>
      <c r="G10799">
        <v>2</v>
      </c>
      <c r="H10799">
        <v>1</v>
      </c>
      <c r="I10799">
        <v>0</v>
      </c>
      <c r="J10799">
        <v>0.98417132216014902</v>
      </c>
      <c r="K10799">
        <v>1</v>
      </c>
      <c r="L10799">
        <v>0.99202252463632101</v>
      </c>
      <c r="M10799">
        <v>0.98044692737430195</v>
      </c>
      <c r="N10799">
        <v>0.98044692737430195</v>
      </c>
      <c r="O10799">
        <v>0.98044692737430195</v>
      </c>
      <c r="P10799" t="s">
        <v>8909</v>
      </c>
      <c r="Q10799" t="s">
        <v>8910</v>
      </c>
      <c r="R10799" t="s">
        <v>342</v>
      </c>
      <c r="S10799" t="s">
        <v>343</v>
      </c>
      <c r="T10799" t="s">
        <v>12990</v>
      </c>
      <c r="U10799" t="s">
        <v>12566</v>
      </c>
      <c r="V10799" t="s">
        <v>12991</v>
      </c>
      <c r="W10799" t="s">
        <v>12992</v>
      </c>
      <c r="AD10799" t="s">
        <v>439</v>
      </c>
      <c r="AE10799" t="s">
        <v>11415</v>
      </c>
      <c r="AF10799" t="s">
        <v>21695</v>
      </c>
    </row>
    <row r="10800" spans="1:32" hidden="1" x14ac:dyDescent="0.35">
      <c r="A10800">
        <v>10799</v>
      </c>
      <c r="B10800" t="s">
        <v>21696</v>
      </c>
      <c r="C10800" t="s">
        <v>33</v>
      </c>
      <c r="D10800" t="s">
        <v>34</v>
      </c>
      <c r="E10800">
        <v>2369</v>
      </c>
      <c r="F10800">
        <v>2</v>
      </c>
      <c r="G10800">
        <v>2</v>
      </c>
      <c r="H10800">
        <v>1</v>
      </c>
      <c r="I10800">
        <v>0</v>
      </c>
      <c r="J10800">
        <v>0.96296296296296302</v>
      </c>
      <c r="K10800">
        <v>1</v>
      </c>
      <c r="L10800">
        <v>0.98113207547169801</v>
      </c>
      <c r="M10800">
        <v>0.94444444444444398</v>
      </c>
      <c r="N10800">
        <v>0.94444444444444398</v>
      </c>
      <c r="O10800">
        <v>0.94444444444444398</v>
      </c>
      <c r="P10800" t="s">
        <v>1041</v>
      </c>
      <c r="Q10800" t="s">
        <v>1042</v>
      </c>
      <c r="AF10800" t="s">
        <v>21697</v>
      </c>
    </row>
    <row r="10801" spans="1:32" hidden="1" x14ac:dyDescent="0.35">
      <c r="A10801">
        <v>10800</v>
      </c>
      <c r="B10801" t="s">
        <v>21696</v>
      </c>
      <c r="C10801" t="s">
        <v>33</v>
      </c>
      <c r="D10801" t="s">
        <v>45</v>
      </c>
      <c r="E10801">
        <v>510</v>
      </c>
      <c r="F10801">
        <v>2</v>
      </c>
      <c r="G10801">
        <v>2</v>
      </c>
      <c r="H10801">
        <v>1</v>
      </c>
      <c r="I10801">
        <v>0</v>
      </c>
      <c r="J10801">
        <v>0.96296296296296302</v>
      </c>
      <c r="K10801">
        <v>1</v>
      </c>
      <c r="L10801">
        <v>0.98113207547169801</v>
      </c>
      <c r="M10801">
        <v>0.94444444444444398</v>
      </c>
      <c r="N10801">
        <v>0.94444444444444398</v>
      </c>
      <c r="O10801">
        <v>0.94444444444444398</v>
      </c>
      <c r="P10801" t="s">
        <v>1041</v>
      </c>
      <c r="Q10801" t="s">
        <v>1042</v>
      </c>
      <c r="AF10801" t="s">
        <v>21698</v>
      </c>
    </row>
    <row r="10802" spans="1:32" hidden="1" x14ac:dyDescent="0.35">
      <c r="A10802">
        <v>10801</v>
      </c>
      <c r="B10802" t="s">
        <v>21699</v>
      </c>
      <c r="C10802" t="s">
        <v>33</v>
      </c>
      <c r="D10802" t="s">
        <v>60</v>
      </c>
      <c r="E10802">
        <v>1873</v>
      </c>
      <c r="F10802">
        <v>2</v>
      </c>
      <c r="G10802">
        <v>2</v>
      </c>
      <c r="H10802">
        <v>1</v>
      </c>
      <c r="I10802">
        <v>0</v>
      </c>
      <c r="J10802">
        <v>0.98550724637681197</v>
      </c>
      <c r="K10802">
        <v>0.93450082735796902</v>
      </c>
      <c r="L10802">
        <v>0.95932652545045505</v>
      </c>
      <c r="M10802">
        <v>0.91891891891891897</v>
      </c>
      <c r="N10802">
        <v>0.91891891891891897</v>
      </c>
      <c r="O10802">
        <v>0.91891891891891897</v>
      </c>
      <c r="P10802" t="s">
        <v>19404</v>
      </c>
      <c r="Q10802" t="s">
        <v>19405</v>
      </c>
      <c r="AF10802" t="s">
        <v>21700</v>
      </c>
    </row>
    <row r="10803" spans="1:32" hidden="1" x14ac:dyDescent="0.35">
      <c r="A10803">
        <v>10802</v>
      </c>
      <c r="B10803" t="s">
        <v>21699</v>
      </c>
      <c r="C10803" t="s">
        <v>33</v>
      </c>
      <c r="D10803" t="s">
        <v>62</v>
      </c>
      <c r="E10803">
        <v>1912</v>
      </c>
      <c r="F10803">
        <v>2</v>
      </c>
      <c r="G10803">
        <v>2</v>
      </c>
      <c r="H10803">
        <v>1</v>
      </c>
      <c r="I10803">
        <v>0</v>
      </c>
      <c r="J10803">
        <v>0.98550724637681197</v>
      </c>
      <c r="K10803">
        <v>0.93450082735796902</v>
      </c>
      <c r="L10803">
        <v>0.95932652545045505</v>
      </c>
      <c r="M10803">
        <v>0.91891891891891897</v>
      </c>
      <c r="N10803">
        <v>0.91891891891891897</v>
      </c>
      <c r="O10803">
        <v>0.91891891891891897</v>
      </c>
      <c r="P10803" t="s">
        <v>19404</v>
      </c>
      <c r="Q10803" t="s">
        <v>19405</v>
      </c>
      <c r="AF10803" t="e">
        <f>----------MNPDPTDLTLSEEHRKELIGWAARCVARLLPIFHQHRPADQRLDEALAAVEKFHDNTFSVGQMRTLAFGCHAAARDCTNAQAKAVARACGQAIAIAHMGGHARNLARYTRQALADPSEELAWQREQLPSHLQDYVYRT</f>
        <v>#NAME?</v>
      </c>
    </row>
    <row r="10804" spans="1:32" hidden="1" x14ac:dyDescent="0.35">
      <c r="A10804">
        <v>10803</v>
      </c>
      <c r="B10804" t="s">
        <v>21701</v>
      </c>
      <c r="C10804" t="s">
        <v>33</v>
      </c>
      <c r="D10804" t="s">
        <v>60</v>
      </c>
      <c r="E10804">
        <v>1051</v>
      </c>
      <c r="F10804">
        <v>2</v>
      </c>
      <c r="G10804">
        <v>2</v>
      </c>
      <c r="H10804">
        <v>1</v>
      </c>
      <c r="I10804">
        <v>0</v>
      </c>
      <c r="J10804">
        <v>0.98690835850956704</v>
      </c>
      <c r="K10804">
        <v>1</v>
      </c>
      <c r="L10804">
        <v>0.99341104916371004</v>
      </c>
      <c r="M10804">
        <v>0.98489425981873102</v>
      </c>
      <c r="N10804">
        <v>0.98489425981873102</v>
      </c>
      <c r="O10804">
        <v>0.98489425981873102</v>
      </c>
      <c r="P10804" t="s">
        <v>21702</v>
      </c>
      <c r="Q10804" t="s">
        <v>21703</v>
      </c>
      <c r="R10804" t="s">
        <v>652</v>
      </c>
      <c r="S10804" t="s">
        <v>653</v>
      </c>
      <c r="T10804" t="s">
        <v>21704</v>
      </c>
      <c r="U10804" t="s">
        <v>21705</v>
      </c>
      <c r="V10804" t="s">
        <v>21706</v>
      </c>
      <c r="W10804" t="s">
        <v>21707</v>
      </c>
      <c r="AD10804" t="s">
        <v>219</v>
      </c>
      <c r="AE10804" t="s">
        <v>21708</v>
      </c>
      <c r="AF10804" t="s">
        <v>21709</v>
      </c>
    </row>
    <row r="10805" spans="1:32" hidden="1" x14ac:dyDescent="0.35">
      <c r="A10805">
        <v>10804</v>
      </c>
      <c r="B10805" t="s">
        <v>21701</v>
      </c>
      <c r="C10805" t="s">
        <v>33</v>
      </c>
      <c r="D10805" t="s">
        <v>62</v>
      </c>
      <c r="E10805">
        <v>1087</v>
      </c>
      <c r="F10805">
        <v>2</v>
      </c>
      <c r="G10805">
        <v>2</v>
      </c>
      <c r="H10805">
        <v>1</v>
      </c>
      <c r="I10805">
        <v>0</v>
      </c>
      <c r="J10805">
        <v>0.98690835850956704</v>
      </c>
      <c r="K10805">
        <v>1</v>
      </c>
      <c r="L10805">
        <v>0.99341104916371004</v>
      </c>
      <c r="M10805">
        <v>0.98489425981873102</v>
      </c>
      <c r="N10805">
        <v>0.98489425981873102</v>
      </c>
      <c r="O10805">
        <v>0.98489425981873102</v>
      </c>
      <c r="P10805" t="s">
        <v>21702</v>
      </c>
      <c r="Q10805" t="s">
        <v>21703</v>
      </c>
      <c r="R10805" t="s">
        <v>652</v>
      </c>
      <c r="S10805" t="s">
        <v>653</v>
      </c>
      <c r="T10805" t="s">
        <v>21704</v>
      </c>
      <c r="U10805" t="s">
        <v>21705</v>
      </c>
      <c r="V10805" t="s">
        <v>21706</v>
      </c>
      <c r="W10805" t="s">
        <v>21707</v>
      </c>
      <c r="AD10805" t="s">
        <v>219</v>
      </c>
      <c r="AE10805" t="s">
        <v>21708</v>
      </c>
      <c r="AF10805" t="s">
        <v>21710</v>
      </c>
    </row>
    <row r="10806" spans="1:32" hidden="1" x14ac:dyDescent="0.35">
      <c r="A10806">
        <v>10805</v>
      </c>
      <c r="B10806" t="s">
        <v>21711</v>
      </c>
      <c r="C10806" t="s">
        <v>33</v>
      </c>
      <c r="D10806" t="s">
        <v>60</v>
      </c>
      <c r="E10806">
        <v>2029</v>
      </c>
      <c r="F10806">
        <v>2</v>
      </c>
      <c r="G10806">
        <v>2</v>
      </c>
      <c r="H10806">
        <v>1</v>
      </c>
      <c r="I10806">
        <v>0</v>
      </c>
      <c r="J10806">
        <v>0.99172870140612102</v>
      </c>
      <c r="K10806">
        <v>1</v>
      </c>
      <c r="L10806">
        <v>0.99584717607973405</v>
      </c>
      <c r="M10806">
        <v>0.99007444168734504</v>
      </c>
      <c r="N10806">
        <v>0.99007444168734504</v>
      </c>
      <c r="O10806">
        <v>0.99007444168734504</v>
      </c>
      <c r="P10806" t="s">
        <v>21712</v>
      </c>
      <c r="Q10806" t="s">
        <v>21713</v>
      </c>
      <c r="R10806" t="s">
        <v>138</v>
      </c>
      <c r="S10806" t="s">
        <v>139</v>
      </c>
      <c r="T10806" t="s">
        <v>21714</v>
      </c>
      <c r="U10806" t="s">
        <v>21715</v>
      </c>
      <c r="V10806" t="s">
        <v>21716</v>
      </c>
      <c r="W10806" t="s">
        <v>21717</v>
      </c>
      <c r="X10806" t="s">
        <v>21716</v>
      </c>
      <c r="Y10806" t="s">
        <v>15411</v>
      </c>
      <c r="AD10806" t="s">
        <v>14436</v>
      </c>
      <c r="AE10806" t="s">
        <v>19752</v>
      </c>
      <c r="AF10806" t="s">
        <v>21718</v>
      </c>
    </row>
    <row r="10807" spans="1:32" hidden="1" x14ac:dyDescent="0.35">
      <c r="A10807">
        <v>10806</v>
      </c>
      <c r="B10807" t="s">
        <v>21711</v>
      </c>
      <c r="C10807" t="s">
        <v>33</v>
      </c>
      <c r="D10807" t="s">
        <v>62</v>
      </c>
      <c r="E10807">
        <v>2069</v>
      </c>
      <c r="F10807">
        <v>2</v>
      </c>
      <c r="G10807">
        <v>2</v>
      </c>
      <c r="H10807">
        <v>1</v>
      </c>
      <c r="I10807">
        <v>0</v>
      </c>
      <c r="J10807">
        <v>0.99172870140612102</v>
      </c>
      <c r="K10807">
        <v>1</v>
      </c>
      <c r="L10807">
        <v>0.99584717607973405</v>
      </c>
      <c r="M10807">
        <v>0.99007444168734504</v>
      </c>
      <c r="N10807">
        <v>0.99007444168734504</v>
      </c>
      <c r="O10807">
        <v>0.99007444168734504</v>
      </c>
      <c r="P10807" t="s">
        <v>21712</v>
      </c>
      <c r="Q10807" t="s">
        <v>21713</v>
      </c>
      <c r="R10807" t="s">
        <v>138</v>
      </c>
      <c r="S10807" t="s">
        <v>139</v>
      </c>
      <c r="T10807" t="s">
        <v>21714</v>
      </c>
      <c r="U10807" t="s">
        <v>21715</v>
      </c>
      <c r="V10807" t="s">
        <v>21716</v>
      </c>
      <c r="W10807" t="s">
        <v>21717</v>
      </c>
      <c r="X10807" t="s">
        <v>21716</v>
      </c>
      <c r="Y10807" t="s">
        <v>15411</v>
      </c>
      <c r="AD10807" t="s">
        <v>14436</v>
      </c>
      <c r="AE10807" t="s">
        <v>19752</v>
      </c>
      <c r="AF10807" t="s">
        <v>21719</v>
      </c>
    </row>
    <row r="10808" spans="1:32" hidden="1" x14ac:dyDescent="0.35">
      <c r="A10808">
        <v>10807</v>
      </c>
      <c r="B10808" t="s">
        <v>21720</v>
      </c>
      <c r="C10808" t="s">
        <v>33</v>
      </c>
      <c r="D10808" t="s">
        <v>60</v>
      </c>
      <c r="E10808">
        <v>1426</v>
      </c>
      <c r="F10808">
        <v>2</v>
      </c>
      <c r="G10808">
        <v>2</v>
      </c>
      <c r="H10808">
        <v>1</v>
      </c>
      <c r="I10808">
        <v>0</v>
      </c>
      <c r="J10808">
        <v>0.99713876967095805</v>
      </c>
      <c r="K10808">
        <v>1</v>
      </c>
      <c r="L10808">
        <v>0.99856733524355301</v>
      </c>
      <c r="M10808">
        <v>0.99570815450643801</v>
      </c>
      <c r="N10808">
        <v>0.99570815450643801</v>
      </c>
      <c r="O10808">
        <v>0.99570815450643801</v>
      </c>
      <c r="AF10808" t="s">
        <v>21721</v>
      </c>
    </row>
    <row r="10809" spans="1:32" hidden="1" x14ac:dyDescent="0.35">
      <c r="A10809">
        <v>10808</v>
      </c>
      <c r="B10809" t="s">
        <v>21720</v>
      </c>
      <c r="C10809" t="s">
        <v>33</v>
      </c>
      <c r="D10809" t="s">
        <v>62</v>
      </c>
      <c r="E10809">
        <v>1461</v>
      </c>
      <c r="F10809">
        <v>2</v>
      </c>
      <c r="G10809">
        <v>2</v>
      </c>
      <c r="H10809">
        <v>1</v>
      </c>
      <c r="I10809">
        <v>0</v>
      </c>
      <c r="J10809">
        <v>0.99713876967095805</v>
      </c>
      <c r="K10809">
        <v>1</v>
      </c>
      <c r="L10809">
        <v>0.99856733524355301</v>
      </c>
      <c r="M10809">
        <v>0.99570815450643801</v>
      </c>
      <c r="N10809">
        <v>0.99570815450643801</v>
      </c>
      <c r="O10809">
        <v>0.99570815450643801</v>
      </c>
      <c r="AF10809" t="s">
        <v>21722</v>
      </c>
    </row>
    <row r="10810" spans="1:32" hidden="1" x14ac:dyDescent="0.35">
      <c r="A10810">
        <v>10809</v>
      </c>
      <c r="B10810" t="s">
        <v>21723</v>
      </c>
      <c r="C10810" t="s">
        <v>33</v>
      </c>
      <c r="D10810" t="s">
        <v>60</v>
      </c>
      <c r="E10810">
        <v>192</v>
      </c>
      <c r="F10810">
        <v>2</v>
      </c>
      <c r="G10810">
        <v>2</v>
      </c>
      <c r="H10810">
        <v>1</v>
      </c>
      <c r="I10810">
        <v>0</v>
      </c>
      <c r="J10810">
        <v>0.95776772247360498</v>
      </c>
      <c r="K10810">
        <v>0.66443452380952395</v>
      </c>
      <c r="L10810">
        <v>0.78458027297147903</v>
      </c>
      <c r="M10810">
        <v>0.54285714285714304</v>
      </c>
      <c r="N10810">
        <v>0.54285714285714304</v>
      </c>
      <c r="O10810">
        <v>0.54285714285714304</v>
      </c>
      <c r="P10810" t="s">
        <v>21724</v>
      </c>
      <c r="Q10810" t="s">
        <v>21725</v>
      </c>
      <c r="AF10810" t="s">
        <v>21726</v>
      </c>
    </row>
    <row r="10811" spans="1:32" hidden="1" x14ac:dyDescent="0.35">
      <c r="A10811">
        <v>10810</v>
      </c>
      <c r="B10811" t="s">
        <v>21723</v>
      </c>
      <c r="C10811" t="s">
        <v>33</v>
      </c>
      <c r="D10811" t="s">
        <v>62</v>
      </c>
      <c r="E10811">
        <v>268</v>
      </c>
      <c r="F10811">
        <v>2</v>
      </c>
      <c r="G10811">
        <v>2</v>
      </c>
      <c r="H10811">
        <v>1</v>
      </c>
      <c r="I10811">
        <v>0</v>
      </c>
      <c r="J10811">
        <v>0.95776772247360498</v>
      </c>
      <c r="K10811">
        <v>0.66443452380952395</v>
      </c>
      <c r="L10811">
        <v>0.78458027297147903</v>
      </c>
      <c r="M10811">
        <v>0.54285714285714304</v>
      </c>
      <c r="N10811">
        <v>0.54285714285714304</v>
      </c>
      <c r="O10811">
        <v>0.54285714285714304</v>
      </c>
      <c r="P10811" t="s">
        <v>21724</v>
      </c>
      <c r="Q10811" t="s">
        <v>21725</v>
      </c>
      <c r="AF10811" t="e">
        <f>--------------------------------------------------------------------------------------------------------------------------------------------------------------------MSNTVELYAVTPTGDKLEHRCIAVNPYEIPLLFQLLCSHNPQLVPSRTFKDEDALAIIGDYAEGKQKVLAFLDRCVEMNNQHSLVEAEELENMIQQVTTVITQPTLEGCTHVLLESVDVAQMLTSNLKQQLRRDHAEVTRVDAAAEERLIRIFTEAPKQAPTNEEDEFFFPDFDAMSDEEYVTYLHDDIEKTELTSTPQENLHRLGFAAFGEFGDYYNFTQ</f>
        <v>#NAME?</v>
      </c>
    </row>
    <row r="10812" spans="1:32" hidden="1" x14ac:dyDescent="0.35">
      <c r="A10812">
        <v>10811</v>
      </c>
      <c r="B10812" t="s">
        <v>21727</v>
      </c>
      <c r="C10812" t="s">
        <v>33</v>
      </c>
      <c r="D10812" t="s">
        <v>34</v>
      </c>
      <c r="E10812">
        <v>2268</v>
      </c>
      <c r="F10812">
        <v>2</v>
      </c>
      <c r="G10812">
        <v>2</v>
      </c>
      <c r="H10812">
        <v>1</v>
      </c>
      <c r="I10812">
        <v>0</v>
      </c>
      <c r="J10812">
        <v>0.96119929453262798</v>
      </c>
      <c r="K10812">
        <v>0.82865916826994401</v>
      </c>
      <c r="L10812">
        <v>0.89002189223598105</v>
      </c>
      <c r="M10812">
        <v>0.76824034334763902</v>
      </c>
      <c r="N10812">
        <v>0.76824034334763902</v>
      </c>
      <c r="O10812">
        <v>0.76824034334763902</v>
      </c>
      <c r="AF10812" t="s">
        <v>21728</v>
      </c>
    </row>
    <row r="10813" spans="1:32" hidden="1" x14ac:dyDescent="0.35">
      <c r="A10813">
        <v>10812</v>
      </c>
      <c r="B10813" t="s">
        <v>21727</v>
      </c>
      <c r="C10813" t="s">
        <v>33</v>
      </c>
      <c r="D10813" t="s">
        <v>45</v>
      </c>
      <c r="E10813">
        <v>608</v>
      </c>
      <c r="F10813">
        <v>2</v>
      </c>
      <c r="G10813">
        <v>2</v>
      </c>
      <c r="H10813">
        <v>1</v>
      </c>
      <c r="I10813">
        <v>0</v>
      </c>
      <c r="J10813">
        <v>0.96119929453262798</v>
      </c>
      <c r="K10813">
        <v>0.82865916826994401</v>
      </c>
      <c r="L10813">
        <v>0.89002189223598105</v>
      </c>
      <c r="M10813">
        <v>0.76824034334763902</v>
      </c>
      <c r="N10813">
        <v>0.76824034334763902</v>
      </c>
      <c r="O10813">
        <v>0.76824034334763902</v>
      </c>
      <c r="AF10813" t="e">
        <f>--------------------------------------------MVVMLFVASLLAEDHMQEKQQAVTAGTTIVPESINSETDQAVGRAIEKYEAVLDAQWTDRDCTLSSCPHSSRAIPGVPTGRGLFTTHERNNIEERGNLLAYPSSSRVQVRSDIELYSVKAKNNDEVEAIVYVTIIKTSEDNEKNSNSSDIHIMTLAPSSLNDGEYVVMEDIIDGSNMQVPHIQPLYTNG</f>
        <v>#NAME?</v>
      </c>
    </row>
    <row r="10814" spans="1:32" hidden="1" x14ac:dyDescent="0.35">
      <c r="A10814">
        <v>10813</v>
      </c>
      <c r="B10814" t="s">
        <v>21729</v>
      </c>
      <c r="C10814" t="s">
        <v>33</v>
      </c>
      <c r="D10814" t="s">
        <v>34</v>
      </c>
      <c r="E10814">
        <v>619</v>
      </c>
      <c r="F10814">
        <v>2</v>
      </c>
      <c r="G10814">
        <v>2</v>
      </c>
      <c r="H10814">
        <v>1</v>
      </c>
      <c r="I10814">
        <v>0</v>
      </c>
      <c r="J10814">
        <v>0.99261603375527396</v>
      </c>
      <c r="K10814">
        <v>1</v>
      </c>
      <c r="L10814">
        <v>0.99629433562731595</v>
      </c>
      <c r="M10814">
        <v>0.990506329113924</v>
      </c>
      <c r="N10814">
        <v>0.990506329113924</v>
      </c>
      <c r="O10814">
        <v>0.990506329113924</v>
      </c>
      <c r="P10814" t="s">
        <v>21730</v>
      </c>
      <c r="Q10814" t="s">
        <v>21731</v>
      </c>
      <c r="AF10814" t="s">
        <v>21732</v>
      </c>
    </row>
    <row r="10815" spans="1:32" hidden="1" x14ac:dyDescent="0.35">
      <c r="A10815">
        <v>10814</v>
      </c>
      <c r="B10815" t="s">
        <v>21729</v>
      </c>
      <c r="C10815" t="s">
        <v>33</v>
      </c>
      <c r="D10815" t="s">
        <v>45</v>
      </c>
      <c r="E10815">
        <v>1886</v>
      </c>
      <c r="F10815">
        <v>2</v>
      </c>
      <c r="G10815">
        <v>2</v>
      </c>
      <c r="H10815">
        <v>1</v>
      </c>
      <c r="I10815">
        <v>0</v>
      </c>
      <c r="J10815">
        <v>0.99261603375527396</v>
      </c>
      <c r="K10815">
        <v>1</v>
      </c>
      <c r="L10815">
        <v>0.99629433562731595</v>
      </c>
      <c r="M10815">
        <v>0.990506329113924</v>
      </c>
      <c r="N10815">
        <v>0.990506329113924</v>
      </c>
      <c r="O10815">
        <v>0.990506329113924</v>
      </c>
      <c r="P10815" t="s">
        <v>21730</v>
      </c>
      <c r="Q10815" t="s">
        <v>21731</v>
      </c>
      <c r="AF10815" t="s">
        <v>21733</v>
      </c>
    </row>
    <row r="10816" spans="1:32" hidden="1" x14ac:dyDescent="0.35">
      <c r="A10816">
        <v>10815</v>
      </c>
      <c r="B10816" t="s">
        <v>21734</v>
      </c>
      <c r="C10816" t="s">
        <v>33</v>
      </c>
      <c r="D10816" t="s">
        <v>34</v>
      </c>
      <c r="E10816">
        <v>976</v>
      </c>
      <c r="F10816">
        <v>2</v>
      </c>
      <c r="G10816">
        <v>2</v>
      </c>
      <c r="H10816">
        <v>1</v>
      </c>
      <c r="I10816">
        <v>0</v>
      </c>
      <c r="J10816">
        <v>0.885844748858447</v>
      </c>
      <c r="K10816">
        <v>0.97787876361306703</v>
      </c>
      <c r="L10816">
        <v>0.92958935375353002</v>
      </c>
      <c r="M10816">
        <v>0.83035714285714302</v>
      </c>
      <c r="N10816">
        <v>0.83035714285714302</v>
      </c>
      <c r="O10816">
        <v>0.83035714285714302</v>
      </c>
      <c r="AF10816" t="s">
        <v>21735</v>
      </c>
    </row>
    <row r="10817" spans="1:32" hidden="1" x14ac:dyDescent="0.35">
      <c r="A10817">
        <v>10816</v>
      </c>
      <c r="B10817" t="s">
        <v>21734</v>
      </c>
      <c r="C10817" t="s">
        <v>33</v>
      </c>
      <c r="D10817" t="s">
        <v>45</v>
      </c>
      <c r="E10817">
        <v>2230</v>
      </c>
      <c r="F10817">
        <v>2</v>
      </c>
      <c r="G10817">
        <v>2</v>
      </c>
      <c r="H10817">
        <v>1</v>
      </c>
      <c r="I10817">
        <v>0</v>
      </c>
      <c r="J10817">
        <v>0.885844748858447</v>
      </c>
      <c r="K10817">
        <v>0.97787876361306703</v>
      </c>
      <c r="L10817">
        <v>0.92958935375353002</v>
      </c>
      <c r="M10817">
        <v>0.83035714285714302</v>
      </c>
      <c r="N10817">
        <v>0.83035714285714302</v>
      </c>
      <c r="O10817">
        <v>0.83035714285714302</v>
      </c>
      <c r="AF10817" t="s">
        <v>21736</v>
      </c>
    </row>
    <row r="10818" spans="1:32" hidden="1" x14ac:dyDescent="0.35">
      <c r="A10818">
        <v>10817</v>
      </c>
      <c r="B10818" t="s">
        <v>21737</v>
      </c>
      <c r="C10818" t="s">
        <v>33</v>
      </c>
      <c r="D10818" t="s">
        <v>60</v>
      </c>
      <c r="E10818">
        <v>2109</v>
      </c>
      <c r="F10818">
        <v>2</v>
      </c>
      <c r="G10818">
        <v>2</v>
      </c>
      <c r="H10818">
        <v>1</v>
      </c>
      <c r="I10818">
        <v>0</v>
      </c>
      <c r="J10818">
        <v>0.98255813953488402</v>
      </c>
      <c r="K10818">
        <v>1</v>
      </c>
      <c r="L10818">
        <v>0.99120234604105595</v>
      </c>
      <c r="M10818">
        <v>0.97093023255813904</v>
      </c>
      <c r="N10818">
        <v>0.97093023255813904</v>
      </c>
      <c r="O10818">
        <v>0.97093023255813904</v>
      </c>
      <c r="P10818" t="s">
        <v>2133</v>
      </c>
      <c r="Q10818" t="s">
        <v>2134</v>
      </c>
      <c r="R10818" t="s">
        <v>319</v>
      </c>
      <c r="S10818" t="s">
        <v>320</v>
      </c>
      <c r="T10818" t="s">
        <v>21738</v>
      </c>
      <c r="U10818" t="s">
        <v>21739</v>
      </c>
      <c r="V10818" t="s">
        <v>21740</v>
      </c>
      <c r="W10818" t="s">
        <v>21741</v>
      </c>
      <c r="X10818" t="s">
        <v>21740</v>
      </c>
      <c r="Y10818" t="s">
        <v>10466</v>
      </c>
      <c r="AD10818" t="s">
        <v>219</v>
      </c>
      <c r="AE10818" t="s">
        <v>21742</v>
      </c>
      <c r="AF10818" t="s">
        <v>21743</v>
      </c>
    </row>
    <row r="10819" spans="1:32" hidden="1" x14ac:dyDescent="0.35">
      <c r="A10819">
        <v>10818</v>
      </c>
      <c r="B10819" t="s">
        <v>21737</v>
      </c>
      <c r="C10819" t="s">
        <v>33</v>
      </c>
      <c r="D10819" t="s">
        <v>62</v>
      </c>
      <c r="E10819">
        <v>2144</v>
      </c>
      <c r="F10819">
        <v>2</v>
      </c>
      <c r="G10819">
        <v>2</v>
      </c>
      <c r="H10819">
        <v>1</v>
      </c>
      <c r="I10819">
        <v>0</v>
      </c>
      <c r="J10819">
        <v>0.98255813953488402</v>
      </c>
      <c r="K10819">
        <v>1</v>
      </c>
      <c r="L10819">
        <v>0.99120234604105595</v>
      </c>
      <c r="M10819">
        <v>0.97093023255813904</v>
      </c>
      <c r="N10819">
        <v>0.97093023255813904</v>
      </c>
      <c r="O10819">
        <v>0.97093023255813904</v>
      </c>
      <c r="P10819" t="s">
        <v>2133</v>
      </c>
      <c r="Q10819" t="s">
        <v>2134</v>
      </c>
      <c r="R10819" t="s">
        <v>319</v>
      </c>
      <c r="S10819" t="s">
        <v>320</v>
      </c>
      <c r="T10819" t="s">
        <v>21738</v>
      </c>
      <c r="U10819" t="s">
        <v>21739</v>
      </c>
      <c r="V10819" t="s">
        <v>21740</v>
      </c>
      <c r="W10819" t="s">
        <v>21741</v>
      </c>
      <c r="X10819" t="s">
        <v>21740</v>
      </c>
      <c r="Y10819" t="s">
        <v>10466</v>
      </c>
      <c r="AD10819" t="s">
        <v>219</v>
      </c>
      <c r="AE10819" t="s">
        <v>21742</v>
      </c>
      <c r="AF10819" t="s">
        <v>21744</v>
      </c>
    </row>
    <row r="10820" spans="1:32" hidden="1" x14ac:dyDescent="0.35">
      <c r="A10820">
        <v>10819</v>
      </c>
      <c r="B10820" t="s">
        <v>21745</v>
      </c>
      <c r="C10820" t="s">
        <v>33</v>
      </c>
      <c r="D10820" t="s">
        <v>34</v>
      </c>
      <c r="E10820">
        <v>716</v>
      </c>
      <c r="F10820">
        <v>2</v>
      </c>
      <c r="G10820">
        <v>2</v>
      </c>
      <c r="H10820">
        <v>1</v>
      </c>
      <c r="I10820">
        <v>0</v>
      </c>
      <c r="J10820">
        <v>1</v>
      </c>
      <c r="K10820">
        <v>0.54022495799184</v>
      </c>
      <c r="L10820">
        <v>0.70148838348417697</v>
      </c>
      <c r="M10820">
        <v>0.28512396694214898</v>
      </c>
      <c r="N10820">
        <v>0.28512396694214898</v>
      </c>
      <c r="O10820">
        <v>0.28512396694214898</v>
      </c>
      <c r="P10820" t="s">
        <v>11509</v>
      </c>
      <c r="Q10820" t="s">
        <v>11510</v>
      </c>
      <c r="R10820" t="s">
        <v>75</v>
      </c>
      <c r="S10820" t="s">
        <v>76</v>
      </c>
      <c r="V10820" t="s">
        <v>11511</v>
      </c>
      <c r="W10820" t="s">
        <v>11512</v>
      </c>
      <c r="X10820" t="s">
        <v>11511</v>
      </c>
      <c r="Y10820" t="s">
        <v>2750</v>
      </c>
      <c r="AF10820" t="e">
        <f>-----------------------------------------------------------------------------------------------------------------------------------------------------------------------------MLRGMWQPDTDQSEQVIAGTPQEYRLGIPLQKLAQPADIAEACAFLISPAAGHITMHDLRVDGGATLDS</f>
        <v>#NAME?</v>
      </c>
    </row>
    <row r="10821" spans="1:32" hidden="1" x14ac:dyDescent="0.35">
      <c r="A10821">
        <v>10820</v>
      </c>
      <c r="B10821" t="s">
        <v>21745</v>
      </c>
      <c r="C10821" t="s">
        <v>33</v>
      </c>
      <c r="D10821" t="s">
        <v>45</v>
      </c>
      <c r="E10821">
        <v>1982</v>
      </c>
      <c r="F10821">
        <v>2</v>
      </c>
      <c r="G10821">
        <v>2</v>
      </c>
      <c r="H10821">
        <v>1</v>
      </c>
      <c r="I10821">
        <v>0</v>
      </c>
      <c r="J10821">
        <v>1</v>
      </c>
      <c r="K10821">
        <v>0.54022495799184</v>
      </c>
      <c r="L10821">
        <v>0.70148838348417697</v>
      </c>
      <c r="M10821">
        <v>0.28512396694214898</v>
      </c>
      <c r="N10821">
        <v>0.28512396694214898</v>
      </c>
      <c r="O10821">
        <v>0.28512396694214898</v>
      </c>
      <c r="P10821" t="s">
        <v>11509</v>
      </c>
      <c r="Q10821" t="s">
        <v>11510</v>
      </c>
      <c r="R10821" t="s">
        <v>75</v>
      </c>
      <c r="S10821" t="s">
        <v>76</v>
      </c>
      <c r="T10821" t="s">
        <v>21746</v>
      </c>
      <c r="U10821" t="s">
        <v>21747</v>
      </c>
      <c r="V10821" t="s">
        <v>11511</v>
      </c>
      <c r="W10821" t="s">
        <v>11512</v>
      </c>
      <c r="X10821" t="s">
        <v>11511</v>
      </c>
      <c r="Y10821" t="s">
        <v>2750</v>
      </c>
      <c r="AD10821" t="s">
        <v>219</v>
      </c>
      <c r="AE10821" t="s">
        <v>21748</v>
      </c>
      <c r="AF10821" t="s">
        <v>21749</v>
      </c>
    </row>
    <row r="10822" spans="1:32" hidden="1" x14ac:dyDescent="0.35">
      <c r="A10822">
        <v>10821</v>
      </c>
      <c r="B10822" t="s">
        <v>21750</v>
      </c>
      <c r="C10822" t="s">
        <v>33</v>
      </c>
      <c r="D10822" t="s">
        <v>60</v>
      </c>
      <c r="E10822">
        <v>1064</v>
      </c>
      <c r="F10822">
        <v>2</v>
      </c>
      <c r="G10822">
        <v>2</v>
      </c>
      <c r="H10822">
        <v>1</v>
      </c>
      <c r="I10822">
        <v>0</v>
      </c>
      <c r="J10822">
        <v>0.98793363499245901</v>
      </c>
      <c r="K10822">
        <v>1</v>
      </c>
      <c r="L10822">
        <v>0.993930197268589</v>
      </c>
      <c r="M10822">
        <v>0.98190045248868796</v>
      </c>
      <c r="N10822">
        <v>0.98190045248868796</v>
      </c>
      <c r="O10822">
        <v>0.98190045248868796</v>
      </c>
      <c r="P10822" t="s">
        <v>1247</v>
      </c>
      <c r="Q10822" t="s">
        <v>1248</v>
      </c>
      <c r="R10822" t="s">
        <v>235</v>
      </c>
      <c r="S10822" t="s">
        <v>236</v>
      </c>
      <c r="T10822" t="s">
        <v>10188</v>
      </c>
      <c r="U10822" t="s">
        <v>10189</v>
      </c>
      <c r="V10822" t="s">
        <v>10190</v>
      </c>
      <c r="W10822" t="s">
        <v>10191</v>
      </c>
      <c r="AD10822" t="s">
        <v>439</v>
      </c>
      <c r="AE10822" t="s">
        <v>10192</v>
      </c>
      <c r="AF10822" t="s">
        <v>21751</v>
      </c>
    </row>
    <row r="10823" spans="1:32" hidden="1" x14ac:dyDescent="0.35">
      <c r="A10823">
        <v>10822</v>
      </c>
      <c r="B10823" t="s">
        <v>21750</v>
      </c>
      <c r="C10823" t="s">
        <v>33</v>
      </c>
      <c r="D10823" t="s">
        <v>62</v>
      </c>
      <c r="E10823">
        <v>1100</v>
      </c>
      <c r="F10823">
        <v>2</v>
      </c>
      <c r="G10823">
        <v>2</v>
      </c>
      <c r="H10823">
        <v>1</v>
      </c>
      <c r="I10823">
        <v>0</v>
      </c>
      <c r="J10823">
        <v>0.98793363499245901</v>
      </c>
      <c r="K10823">
        <v>1</v>
      </c>
      <c r="L10823">
        <v>0.993930197268589</v>
      </c>
      <c r="M10823">
        <v>0.98190045248868796</v>
      </c>
      <c r="N10823">
        <v>0.98190045248868796</v>
      </c>
      <c r="O10823">
        <v>0.98190045248868796</v>
      </c>
      <c r="P10823" t="s">
        <v>1247</v>
      </c>
      <c r="Q10823" t="s">
        <v>1248</v>
      </c>
      <c r="R10823" t="s">
        <v>235</v>
      </c>
      <c r="S10823" t="s">
        <v>236</v>
      </c>
      <c r="T10823" t="s">
        <v>10188</v>
      </c>
      <c r="U10823" t="s">
        <v>10189</v>
      </c>
      <c r="V10823" t="s">
        <v>10190</v>
      </c>
      <c r="W10823" t="s">
        <v>10191</v>
      </c>
      <c r="AD10823" t="s">
        <v>439</v>
      </c>
      <c r="AE10823" t="s">
        <v>10192</v>
      </c>
      <c r="AF10823" t="s">
        <v>21752</v>
      </c>
    </row>
    <row r="10824" spans="1:32" hidden="1" x14ac:dyDescent="0.35">
      <c r="A10824">
        <v>10823</v>
      </c>
      <c r="B10824" t="s">
        <v>21753</v>
      </c>
      <c r="C10824" t="s">
        <v>33</v>
      </c>
      <c r="D10824" t="s">
        <v>60</v>
      </c>
      <c r="E10824">
        <v>903</v>
      </c>
      <c r="F10824">
        <v>2</v>
      </c>
      <c r="G10824">
        <v>2</v>
      </c>
      <c r="H10824">
        <v>1</v>
      </c>
      <c r="I10824">
        <v>0</v>
      </c>
      <c r="J10824">
        <v>0.99246704331450097</v>
      </c>
      <c r="K10824">
        <v>0.96766348405692804</v>
      </c>
      <c r="L10824">
        <v>0.97990833113881204</v>
      </c>
      <c r="M10824">
        <v>0.95628415300546399</v>
      </c>
      <c r="N10824">
        <v>0.95628415300546399</v>
      </c>
      <c r="O10824">
        <v>0.95628415300546399</v>
      </c>
      <c r="P10824" t="s">
        <v>8645</v>
      </c>
      <c r="Q10824" t="s">
        <v>8646</v>
      </c>
      <c r="R10824" t="s">
        <v>8647</v>
      </c>
      <c r="S10824" t="s">
        <v>8648</v>
      </c>
      <c r="V10824" t="s">
        <v>8651</v>
      </c>
      <c r="W10824" t="s">
        <v>8652</v>
      </c>
      <c r="X10824" t="s">
        <v>8651</v>
      </c>
      <c r="Y10824" t="s">
        <v>5826</v>
      </c>
      <c r="AF10824" t="s">
        <v>21754</v>
      </c>
    </row>
    <row r="10825" spans="1:32" hidden="1" x14ac:dyDescent="0.35">
      <c r="A10825">
        <v>10824</v>
      </c>
      <c r="B10825" t="s">
        <v>21753</v>
      </c>
      <c r="C10825" t="s">
        <v>33</v>
      </c>
      <c r="D10825" t="s">
        <v>62</v>
      </c>
      <c r="E10825">
        <v>937</v>
      </c>
      <c r="F10825">
        <v>2</v>
      </c>
      <c r="G10825">
        <v>2</v>
      </c>
      <c r="H10825">
        <v>1</v>
      </c>
      <c r="I10825">
        <v>0</v>
      </c>
      <c r="J10825">
        <v>0.99246704331450097</v>
      </c>
      <c r="K10825">
        <v>0.96766348405692804</v>
      </c>
      <c r="L10825">
        <v>0.97990833113881204</v>
      </c>
      <c r="M10825">
        <v>0.95628415300546399</v>
      </c>
      <c r="N10825">
        <v>0.95628415300546399</v>
      </c>
      <c r="O10825">
        <v>0.95628415300546399</v>
      </c>
      <c r="P10825" t="s">
        <v>8645</v>
      </c>
      <c r="Q10825" t="s">
        <v>8646</v>
      </c>
      <c r="R10825" t="s">
        <v>8647</v>
      </c>
      <c r="S10825" t="s">
        <v>8648</v>
      </c>
      <c r="V10825" t="s">
        <v>8651</v>
      </c>
      <c r="W10825" t="s">
        <v>8652</v>
      </c>
      <c r="X10825" t="s">
        <v>8651</v>
      </c>
      <c r="Y10825" t="s">
        <v>5826</v>
      </c>
      <c r="AF10825" t="e">
        <f>------MMDVQESFRQLPVWAEVSNPEIVRDVDTLVQQARAEGHAVVWVMHAAPGSGTAFDPELGHVRLMEGLTPDPGEPTFVKTTRNAFTSTELARYLTQEHITHLVIVGIQTEQCCETTARLAADMGYDVTFVTDATATFPIVRPDTGEVLPAQEVIERTEYALAGRFAHIESKDAVSWRR</f>
        <v>#NAME?</v>
      </c>
    </row>
    <row r="10826" spans="1:32" hidden="1" x14ac:dyDescent="0.35">
      <c r="A10826">
        <v>10825</v>
      </c>
      <c r="B10826" t="s">
        <v>21755</v>
      </c>
      <c r="C10826" t="s">
        <v>33</v>
      </c>
      <c r="D10826" t="s">
        <v>60</v>
      </c>
      <c r="E10826">
        <v>2247</v>
      </c>
      <c r="F10826">
        <v>2</v>
      </c>
      <c r="G10826">
        <v>2</v>
      </c>
      <c r="H10826">
        <v>1</v>
      </c>
      <c r="I10826">
        <v>0</v>
      </c>
      <c r="J10826">
        <v>0.93333333333333302</v>
      </c>
      <c r="K10826">
        <v>1</v>
      </c>
      <c r="L10826">
        <v>0.96551724137931005</v>
      </c>
      <c r="M10826">
        <v>0.93333333333333302</v>
      </c>
      <c r="N10826">
        <v>0.93333333333333302</v>
      </c>
      <c r="O10826">
        <v>0.93333333333333302</v>
      </c>
      <c r="AF10826" t="s">
        <v>21756</v>
      </c>
    </row>
    <row r="10827" spans="1:32" hidden="1" x14ac:dyDescent="0.35">
      <c r="A10827">
        <v>10826</v>
      </c>
      <c r="B10827" t="s">
        <v>21755</v>
      </c>
      <c r="C10827" t="s">
        <v>33</v>
      </c>
      <c r="D10827" t="s">
        <v>62</v>
      </c>
      <c r="E10827">
        <v>2277</v>
      </c>
      <c r="F10827">
        <v>2</v>
      </c>
      <c r="G10827">
        <v>2</v>
      </c>
      <c r="H10827">
        <v>1</v>
      </c>
      <c r="I10827">
        <v>0</v>
      </c>
      <c r="J10827">
        <v>0.93333333333333302</v>
      </c>
      <c r="K10827">
        <v>1</v>
      </c>
      <c r="L10827">
        <v>0.96551724137931005</v>
      </c>
      <c r="M10827">
        <v>0.93333333333333302</v>
      </c>
      <c r="N10827">
        <v>0.93333333333333302</v>
      </c>
      <c r="O10827">
        <v>0.93333333333333302</v>
      </c>
      <c r="AF10827" t="s">
        <v>21757</v>
      </c>
    </row>
    <row r="10828" spans="1:32" hidden="1" x14ac:dyDescent="0.35">
      <c r="A10828">
        <v>10827</v>
      </c>
      <c r="B10828" t="s">
        <v>21758</v>
      </c>
      <c r="C10828" t="s">
        <v>33</v>
      </c>
      <c r="D10828" t="s">
        <v>60</v>
      </c>
      <c r="E10828">
        <v>461</v>
      </c>
      <c r="F10828">
        <v>2</v>
      </c>
      <c r="G10828">
        <v>2</v>
      </c>
      <c r="H10828">
        <v>1</v>
      </c>
      <c r="I10828">
        <v>0</v>
      </c>
      <c r="J10828">
        <v>0.995567375886525</v>
      </c>
      <c r="K10828">
        <v>1</v>
      </c>
      <c r="L10828">
        <v>0.99777876499333595</v>
      </c>
      <c r="M10828">
        <v>0.99202127659574502</v>
      </c>
      <c r="N10828">
        <v>0.99202127659574502</v>
      </c>
      <c r="O10828">
        <v>0.99202127659574502</v>
      </c>
      <c r="P10828" t="s">
        <v>10334</v>
      </c>
      <c r="Q10828" t="s">
        <v>10335</v>
      </c>
      <c r="R10828" t="s">
        <v>2071</v>
      </c>
      <c r="S10828" t="s">
        <v>2072</v>
      </c>
      <c r="V10828" t="s">
        <v>10336</v>
      </c>
      <c r="W10828" t="s">
        <v>10337</v>
      </c>
      <c r="AF10828" t="s">
        <v>21759</v>
      </c>
    </row>
    <row r="10829" spans="1:32" hidden="1" x14ac:dyDescent="0.35">
      <c r="A10829">
        <v>10828</v>
      </c>
      <c r="B10829" t="s">
        <v>21758</v>
      </c>
      <c r="C10829" t="s">
        <v>33</v>
      </c>
      <c r="D10829" t="s">
        <v>62</v>
      </c>
      <c r="E10829">
        <v>543</v>
      </c>
      <c r="F10829">
        <v>2</v>
      </c>
      <c r="G10829">
        <v>2</v>
      </c>
      <c r="H10829">
        <v>1</v>
      </c>
      <c r="I10829">
        <v>0</v>
      </c>
      <c r="J10829">
        <v>0.995567375886525</v>
      </c>
      <c r="K10829">
        <v>1</v>
      </c>
      <c r="L10829">
        <v>0.99777876499333595</v>
      </c>
      <c r="M10829">
        <v>0.99202127659574502</v>
      </c>
      <c r="N10829">
        <v>0.99202127659574502</v>
      </c>
      <c r="O10829">
        <v>0.99202127659574502</v>
      </c>
      <c r="P10829" t="s">
        <v>10334</v>
      </c>
      <c r="Q10829" t="s">
        <v>10335</v>
      </c>
      <c r="R10829" t="s">
        <v>2071</v>
      </c>
      <c r="S10829" t="s">
        <v>2072</v>
      </c>
      <c r="V10829" t="s">
        <v>10336</v>
      </c>
      <c r="W10829" t="s">
        <v>10337</v>
      </c>
      <c r="AF10829" t="s">
        <v>21760</v>
      </c>
    </row>
    <row r="10830" spans="1:32" hidden="1" x14ac:dyDescent="0.35">
      <c r="A10830">
        <v>10829</v>
      </c>
      <c r="B10830" t="s">
        <v>21761</v>
      </c>
      <c r="C10830" t="s">
        <v>33</v>
      </c>
      <c r="D10830" t="s">
        <v>34</v>
      </c>
      <c r="E10830">
        <v>2128</v>
      </c>
      <c r="F10830">
        <v>2</v>
      </c>
      <c r="G10830">
        <v>2</v>
      </c>
      <c r="H10830">
        <v>1</v>
      </c>
      <c r="I10830">
        <v>0</v>
      </c>
      <c r="J10830">
        <v>0.99012345679012304</v>
      </c>
      <c r="K10830">
        <v>1</v>
      </c>
      <c r="L10830">
        <v>0.99503722084367197</v>
      </c>
      <c r="M10830">
        <v>0.98518518518518505</v>
      </c>
      <c r="N10830">
        <v>0.98518518518518505</v>
      </c>
      <c r="O10830">
        <v>0.98518518518518505</v>
      </c>
      <c r="P10830" t="s">
        <v>14833</v>
      </c>
      <c r="Q10830" t="s">
        <v>14834</v>
      </c>
      <c r="AF10830" t="s">
        <v>21762</v>
      </c>
    </row>
    <row r="10831" spans="1:32" hidden="1" x14ac:dyDescent="0.35">
      <c r="A10831">
        <v>10830</v>
      </c>
      <c r="B10831" t="s">
        <v>21761</v>
      </c>
      <c r="C10831" t="s">
        <v>33</v>
      </c>
      <c r="D10831" t="s">
        <v>45</v>
      </c>
      <c r="E10831">
        <v>744</v>
      </c>
      <c r="F10831">
        <v>2</v>
      </c>
      <c r="G10831">
        <v>2</v>
      </c>
      <c r="H10831">
        <v>1</v>
      </c>
      <c r="I10831">
        <v>0</v>
      </c>
      <c r="J10831">
        <v>0.99012345679012304</v>
      </c>
      <c r="K10831">
        <v>1</v>
      </c>
      <c r="L10831">
        <v>0.99503722084367197</v>
      </c>
      <c r="M10831">
        <v>0.98518518518518505</v>
      </c>
      <c r="N10831">
        <v>0.98518518518518505</v>
      </c>
      <c r="O10831">
        <v>0.98518518518518505</v>
      </c>
      <c r="P10831" t="s">
        <v>14833</v>
      </c>
      <c r="Q10831" t="s">
        <v>14834</v>
      </c>
      <c r="AF10831" t="s">
        <v>21763</v>
      </c>
    </row>
    <row r="10832" spans="1:32" hidden="1" x14ac:dyDescent="0.35">
      <c r="A10832">
        <v>10831</v>
      </c>
      <c r="B10832" t="s">
        <v>21764</v>
      </c>
      <c r="C10832" t="s">
        <v>33</v>
      </c>
      <c r="D10832" t="s">
        <v>60</v>
      </c>
      <c r="E10832">
        <v>1707</v>
      </c>
      <c r="F10832">
        <v>2</v>
      </c>
      <c r="G10832">
        <v>2</v>
      </c>
      <c r="H10832">
        <v>1</v>
      </c>
      <c r="I10832">
        <v>0</v>
      </c>
      <c r="J10832">
        <v>0.97420634920634896</v>
      </c>
      <c r="K10832">
        <v>0.87081681205392703</v>
      </c>
      <c r="L10832">
        <v>0.91961476160449196</v>
      </c>
      <c r="M10832">
        <v>0.83589743589743604</v>
      </c>
      <c r="N10832">
        <v>0.83589743589743604</v>
      </c>
      <c r="O10832">
        <v>0.83589743589743604</v>
      </c>
      <c r="AF10832" t="e">
        <f>---------------------------MLLQQPPSISLSPQLVARFYSNGTQVTHEQLDEVGVGVLHLWDHAAENLVEQCGDGTTIKLKMRNAGVLVGLDVVGCQVSLGVDKRGEQVEPTTLVTHPHTFDALDRHMRALLRAEPTYYAPTPQVLLAVHPRTDVATLQVWLAATEVTLTATPFTCLYGYPRPVRLQ</f>
        <v>#NAME?</v>
      </c>
    </row>
    <row r="10833" spans="1:32" hidden="1" x14ac:dyDescent="0.35">
      <c r="A10833">
        <v>10832</v>
      </c>
      <c r="B10833" t="s">
        <v>21764</v>
      </c>
      <c r="C10833" t="s">
        <v>33</v>
      </c>
      <c r="D10833" t="s">
        <v>62</v>
      </c>
      <c r="E10833">
        <v>1742</v>
      </c>
      <c r="F10833">
        <v>2</v>
      </c>
      <c r="G10833">
        <v>2</v>
      </c>
      <c r="H10833">
        <v>1</v>
      </c>
      <c r="I10833">
        <v>0</v>
      </c>
      <c r="J10833">
        <v>0.97420634920634896</v>
      </c>
      <c r="K10833">
        <v>0.87081681205392703</v>
      </c>
      <c r="L10833">
        <v>0.91961476160449196</v>
      </c>
      <c r="M10833">
        <v>0.83589743589743604</v>
      </c>
      <c r="N10833">
        <v>0.83589743589743604</v>
      </c>
      <c r="O10833">
        <v>0.83589743589743604</v>
      </c>
      <c r="AF10833" t="s">
        <v>21765</v>
      </c>
    </row>
    <row r="10834" spans="1:32" hidden="1" x14ac:dyDescent="0.35">
      <c r="A10834">
        <v>10833</v>
      </c>
      <c r="B10834" t="s">
        <v>21766</v>
      </c>
      <c r="C10834" t="s">
        <v>33</v>
      </c>
      <c r="D10834" t="s">
        <v>34</v>
      </c>
      <c r="E10834">
        <v>1031</v>
      </c>
      <c r="F10834">
        <v>2</v>
      </c>
      <c r="G10834">
        <v>2</v>
      </c>
      <c r="H10834">
        <v>1</v>
      </c>
      <c r="I10834">
        <v>0</v>
      </c>
      <c r="J10834">
        <v>0.98148148148148195</v>
      </c>
      <c r="K10834">
        <v>1</v>
      </c>
      <c r="L10834">
        <v>0.99065420560747697</v>
      </c>
      <c r="M10834">
        <v>0.97712418300653603</v>
      </c>
      <c r="N10834">
        <v>0.97712418300653603</v>
      </c>
      <c r="O10834">
        <v>0.97712418300653603</v>
      </c>
      <c r="P10834" t="s">
        <v>11074</v>
      </c>
      <c r="Q10834" t="s">
        <v>11075</v>
      </c>
      <c r="R10834" t="s">
        <v>96</v>
      </c>
      <c r="S10834" t="s">
        <v>97</v>
      </c>
      <c r="T10834" t="s">
        <v>21767</v>
      </c>
      <c r="U10834" t="s">
        <v>21768</v>
      </c>
      <c r="V10834" t="s">
        <v>11078</v>
      </c>
      <c r="W10834" t="s">
        <v>11079</v>
      </c>
      <c r="AD10834" t="s">
        <v>21769</v>
      </c>
      <c r="AE10834" t="s">
        <v>21770</v>
      </c>
      <c r="AF10834" t="s">
        <v>21771</v>
      </c>
    </row>
    <row r="10835" spans="1:32" hidden="1" x14ac:dyDescent="0.35">
      <c r="A10835">
        <v>10834</v>
      </c>
      <c r="B10835" t="s">
        <v>21766</v>
      </c>
      <c r="C10835" t="s">
        <v>33</v>
      </c>
      <c r="D10835" t="s">
        <v>45</v>
      </c>
      <c r="E10835">
        <v>2286</v>
      </c>
      <c r="F10835">
        <v>2</v>
      </c>
      <c r="G10835">
        <v>2</v>
      </c>
      <c r="H10835">
        <v>1</v>
      </c>
      <c r="I10835">
        <v>0</v>
      </c>
      <c r="J10835">
        <v>0.98148148148148195</v>
      </c>
      <c r="K10835">
        <v>1</v>
      </c>
      <c r="L10835">
        <v>0.99065420560747697</v>
      </c>
      <c r="M10835">
        <v>0.97712418300653603</v>
      </c>
      <c r="N10835">
        <v>0.97712418300653603</v>
      </c>
      <c r="O10835">
        <v>0.97712418300653603</v>
      </c>
      <c r="P10835" t="s">
        <v>11074</v>
      </c>
      <c r="Q10835" t="s">
        <v>11075</v>
      </c>
      <c r="R10835" t="s">
        <v>96</v>
      </c>
      <c r="S10835" t="s">
        <v>97</v>
      </c>
      <c r="T10835" t="s">
        <v>21767</v>
      </c>
      <c r="U10835" t="s">
        <v>21768</v>
      </c>
      <c r="V10835" t="s">
        <v>11078</v>
      </c>
      <c r="W10835" t="s">
        <v>11079</v>
      </c>
      <c r="AD10835" t="s">
        <v>21769</v>
      </c>
      <c r="AE10835" t="s">
        <v>21770</v>
      </c>
      <c r="AF10835" t="s">
        <v>21772</v>
      </c>
    </row>
    <row r="10836" spans="1:32" hidden="1" x14ac:dyDescent="0.35">
      <c r="A10836">
        <v>10835</v>
      </c>
      <c r="B10836" t="s">
        <v>21773</v>
      </c>
      <c r="C10836" t="s">
        <v>33</v>
      </c>
      <c r="D10836" t="s">
        <v>34</v>
      </c>
      <c r="E10836">
        <v>633</v>
      </c>
      <c r="F10836">
        <v>2</v>
      </c>
      <c r="G10836">
        <v>2</v>
      </c>
      <c r="H10836">
        <v>1</v>
      </c>
      <c r="I10836">
        <v>0</v>
      </c>
      <c r="J10836">
        <v>0.98550724637681197</v>
      </c>
      <c r="K10836">
        <v>1</v>
      </c>
      <c r="L10836">
        <v>0.99270072992700698</v>
      </c>
      <c r="M10836">
        <v>0.98550724637681197</v>
      </c>
      <c r="N10836">
        <v>0.98550724637681197</v>
      </c>
      <c r="O10836">
        <v>0.98550724637681197</v>
      </c>
      <c r="AF10836" t="s">
        <v>21774</v>
      </c>
    </row>
    <row r="10837" spans="1:32" hidden="1" x14ac:dyDescent="0.35">
      <c r="A10837">
        <v>10836</v>
      </c>
      <c r="B10837" t="s">
        <v>21773</v>
      </c>
      <c r="C10837" t="s">
        <v>33</v>
      </c>
      <c r="D10837" t="s">
        <v>45</v>
      </c>
      <c r="E10837">
        <v>1899</v>
      </c>
      <c r="F10837">
        <v>2</v>
      </c>
      <c r="G10837">
        <v>2</v>
      </c>
      <c r="H10837">
        <v>1</v>
      </c>
      <c r="I10837">
        <v>0</v>
      </c>
      <c r="J10837">
        <v>0.98550724637681197</v>
      </c>
      <c r="K10837">
        <v>1</v>
      </c>
      <c r="L10837">
        <v>0.99270072992700698</v>
      </c>
      <c r="M10837">
        <v>0.98550724637681197</v>
      </c>
      <c r="N10837">
        <v>0.98550724637681197</v>
      </c>
      <c r="O10837">
        <v>0.98550724637681197</v>
      </c>
      <c r="AF10837" t="s">
        <v>21775</v>
      </c>
    </row>
    <row r="10838" spans="1:32" hidden="1" x14ac:dyDescent="0.35">
      <c r="A10838">
        <v>10837</v>
      </c>
      <c r="B10838" t="s">
        <v>21776</v>
      </c>
      <c r="C10838" t="s">
        <v>33</v>
      </c>
      <c r="D10838" t="s">
        <v>60</v>
      </c>
      <c r="E10838">
        <v>2488</v>
      </c>
      <c r="F10838">
        <v>2</v>
      </c>
      <c r="G10838">
        <v>2</v>
      </c>
      <c r="H10838">
        <v>1</v>
      </c>
      <c r="I10838">
        <v>0</v>
      </c>
      <c r="J10838">
        <v>0.99639249639249605</v>
      </c>
      <c r="K10838">
        <v>1</v>
      </c>
      <c r="L10838">
        <v>0.99819298879653096</v>
      </c>
      <c r="M10838">
        <v>0.993506493506494</v>
      </c>
      <c r="N10838">
        <v>0.993506493506494</v>
      </c>
      <c r="O10838">
        <v>0.993506493506494</v>
      </c>
      <c r="P10838" t="s">
        <v>12891</v>
      </c>
      <c r="Q10838" t="s">
        <v>12892</v>
      </c>
      <c r="R10838" t="s">
        <v>1259</v>
      </c>
      <c r="S10838" t="s">
        <v>1260</v>
      </c>
      <c r="V10838" t="s">
        <v>14579</v>
      </c>
      <c r="W10838" t="s">
        <v>2923</v>
      </c>
      <c r="AF10838" t="s">
        <v>21777</v>
      </c>
    </row>
    <row r="10839" spans="1:32" hidden="1" x14ac:dyDescent="0.35">
      <c r="A10839">
        <v>10838</v>
      </c>
      <c r="B10839" t="s">
        <v>21776</v>
      </c>
      <c r="C10839" t="s">
        <v>33</v>
      </c>
      <c r="D10839" t="s">
        <v>62</v>
      </c>
      <c r="E10839">
        <v>15</v>
      </c>
      <c r="F10839">
        <v>2</v>
      </c>
      <c r="G10839">
        <v>2</v>
      </c>
      <c r="H10839">
        <v>1</v>
      </c>
      <c r="I10839">
        <v>0</v>
      </c>
      <c r="J10839">
        <v>0.99639249639249605</v>
      </c>
      <c r="K10839">
        <v>1</v>
      </c>
      <c r="L10839">
        <v>0.99819298879653096</v>
      </c>
      <c r="M10839">
        <v>0.993506493506494</v>
      </c>
      <c r="N10839">
        <v>0.993506493506494</v>
      </c>
      <c r="O10839">
        <v>0.993506493506494</v>
      </c>
      <c r="P10839" t="s">
        <v>12891</v>
      </c>
      <c r="Q10839" t="s">
        <v>12892</v>
      </c>
      <c r="R10839" t="s">
        <v>1259</v>
      </c>
      <c r="S10839" t="s">
        <v>1260</v>
      </c>
      <c r="V10839" t="s">
        <v>14579</v>
      </c>
      <c r="W10839" t="s">
        <v>2923</v>
      </c>
      <c r="AF10839" t="s">
        <v>21778</v>
      </c>
    </row>
    <row r="10840" spans="1:32" hidden="1" x14ac:dyDescent="0.35">
      <c r="A10840">
        <v>10839</v>
      </c>
      <c r="B10840" t="s">
        <v>21779</v>
      </c>
      <c r="C10840" t="s">
        <v>33</v>
      </c>
      <c r="D10840" t="s">
        <v>34</v>
      </c>
      <c r="E10840">
        <v>1553</v>
      </c>
      <c r="F10840">
        <v>2</v>
      </c>
      <c r="G10840">
        <v>2</v>
      </c>
      <c r="H10840">
        <v>1</v>
      </c>
      <c r="I10840">
        <v>0</v>
      </c>
      <c r="J10840">
        <v>0.99321113374066505</v>
      </c>
      <c r="K10840">
        <v>1</v>
      </c>
      <c r="L10840">
        <v>0.99659400544959098</v>
      </c>
      <c r="M10840">
        <v>0.99185336048879802</v>
      </c>
      <c r="N10840">
        <v>0.99185336048879802</v>
      </c>
      <c r="O10840">
        <v>0.99185336048879802</v>
      </c>
      <c r="P10840" t="s">
        <v>1992</v>
      </c>
      <c r="Q10840" t="s">
        <v>1993</v>
      </c>
      <c r="R10840" t="s">
        <v>1191</v>
      </c>
      <c r="S10840" t="s">
        <v>1192</v>
      </c>
      <c r="T10840" t="s">
        <v>15769</v>
      </c>
      <c r="U10840" t="s">
        <v>15770</v>
      </c>
      <c r="V10840" t="s">
        <v>1996</v>
      </c>
      <c r="W10840" t="s">
        <v>1997</v>
      </c>
      <c r="AD10840" t="s">
        <v>15773</v>
      </c>
      <c r="AE10840" t="s">
        <v>15774</v>
      </c>
      <c r="AF10840" t="s">
        <v>21780</v>
      </c>
    </row>
    <row r="10841" spans="1:32" hidden="1" x14ac:dyDescent="0.35">
      <c r="A10841">
        <v>10840</v>
      </c>
      <c r="B10841" t="s">
        <v>21779</v>
      </c>
      <c r="C10841" t="s">
        <v>33</v>
      </c>
      <c r="D10841" t="s">
        <v>45</v>
      </c>
      <c r="E10841">
        <v>303</v>
      </c>
      <c r="F10841">
        <v>2</v>
      </c>
      <c r="G10841">
        <v>2</v>
      </c>
      <c r="H10841">
        <v>1</v>
      </c>
      <c r="I10841">
        <v>0</v>
      </c>
      <c r="J10841">
        <v>0.99321113374066505</v>
      </c>
      <c r="K10841">
        <v>1</v>
      </c>
      <c r="L10841">
        <v>0.99659400544959098</v>
      </c>
      <c r="M10841">
        <v>0.99185336048879802</v>
      </c>
      <c r="N10841">
        <v>0.99185336048879802</v>
      </c>
      <c r="O10841">
        <v>0.99185336048879802</v>
      </c>
      <c r="P10841" t="s">
        <v>1992</v>
      </c>
      <c r="Q10841" t="s">
        <v>1993</v>
      </c>
      <c r="R10841" t="s">
        <v>1191</v>
      </c>
      <c r="S10841" t="s">
        <v>1192</v>
      </c>
      <c r="T10841" t="s">
        <v>15769</v>
      </c>
      <c r="U10841" t="s">
        <v>15770</v>
      </c>
      <c r="V10841" t="s">
        <v>1996</v>
      </c>
      <c r="W10841" t="s">
        <v>1997</v>
      </c>
      <c r="AD10841" t="s">
        <v>15773</v>
      </c>
      <c r="AE10841" t="s">
        <v>15774</v>
      </c>
      <c r="AF10841" t="s">
        <v>21781</v>
      </c>
    </row>
    <row r="10842" spans="1:32" hidden="1" x14ac:dyDescent="0.35">
      <c r="A10842">
        <v>10841</v>
      </c>
      <c r="B10842" t="s">
        <v>21782</v>
      </c>
      <c r="C10842" t="s">
        <v>33</v>
      </c>
      <c r="D10842" t="s">
        <v>45</v>
      </c>
      <c r="E10842">
        <v>17</v>
      </c>
      <c r="F10842">
        <v>1</v>
      </c>
      <c r="G10842">
        <v>2</v>
      </c>
      <c r="H10842">
        <v>2</v>
      </c>
      <c r="I10842">
        <v>0</v>
      </c>
      <c r="J10842">
        <v>0.56047197640117996</v>
      </c>
      <c r="K10842">
        <v>0.68390002906131997</v>
      </c>
      <c r="L10842">
        <v>0.61606464829841201</v>
      </c>
      <c r="M10842">
        <v>0.26881720430107497</v>
      </c>
      <c r="N10842">
        <v>0.26881720430107497</v>
      </c>
      <c r="O10842">
        <v>0.26881720430107497</v>
      </c>
      <c r="P10842" t="s">
        <v>21783</v>
      </c>
      <c r="Q10842" t="s">
        <v>21784</v>
      </c>
      <c r="AF10842" t="s">
        <v>21785</v>
      </c>
    </row>
    <row r="10843" spans="1:32" hidden="1" x14ac:dyDescent="0.35">
      <c r="A10843">
        <v>10842</v>
      </c>
      <c r="B10843" t="s">
        <v>21782</v>
      </c>
      <c r="C10843" t="s">
        <v>33</v>
      </c>
      <c r="D10843" t="s">
        <v>45</v>
      </c>
      <c r="E10843">
        <v>2272</v>
      </c>
      <c r="F10843">
        <v>1</v>
      </c>
      <c r="G10843">
        <v>2</v>
      </c>
      <c r="H10843">
        <v>2</v>
      </c>
      <c r="I10843">
        <v>0</v>
      </c>
      <c r="J10843">
        <v>0.56047197640117996</v>
      </c>
      <c r="K10843">
        <v>0.68390002906131997</v>
      </c>
      <c r="L10843">
        <v>0.61606464829841201</v>
      </c>
      <c r="M10843">
        <v>0.26881720430107497</v>
      </c>
      <c r="N10843">
        <v>0.26881720430107497</v>
      </c>
      <c r="O10843">
        <v>0.26881720430107497</v>
      </c>
      <c r="P10843" t="s">
        <v>21783</v>
      </c>
      <c r="Q10843" t="s">
        <v>21784</v>
      </c>
      <c r="AF10843" t="e">
        <f>-----------------------------------------------------------------------MSVPE--PQFPSVYEFVDCLILPMYGSAGSRIRSVKWSAHWWAHPEAVARLDSLWRRYEFLRVDEPATFLETFLRNHADYHMRQLMADSSVFADCRREDTPTIPLPSAPMKDQKN</f>
        <v>#NAME?</v>
      </c>
    </row>
    <row r="10844" spans="1:32" hidden="1" x14ac:dyDescent="0.35">
      <c r="A10844">
        <v>10843</v>
      </c>
      <c r="B10844" t="s">
        <v>21786</v>
      </c>
      <c r="C10844" t="s">
        <v>33</v>
      </c>
      <c r="D10844" t="s">
        <v>34</v>
      </c>
      <c r="E10844">
        <v>1171</v>
      </c>
      <c r="F10844">
        <v>2</v>
      </c>
      <c r="G10844">
        <v>2</v>
      </c>
      <c r="H10844">
        <v>1</v>
      </c>
      <c r="I10844">
        <v>0</v>
      </c>
      <c r="J10844">
        <v>0.98039215686274495</v>
      </c>
      <c r="K10844">
        <v>1</v>
      </c>
      <c r="L10844">
        <v>0.99009900990098998</v>
      </c>
      <c r="M10844">
        <v>0.97478991596638698</v>
      </c>
      <c r="N10844">
        <v>0.97478991596638698</v>
      </c>
      <c r="O10844">
        <v>0.97478991596638698</v>
      </c>
      <c r="AF10844" t="s">
        <v>21787</v>
      </c>
    </row>
    <row r="10845" spans="1:32" hidden="1" x14ac:dyDescent="0.35">
      <c r="A10845">
        <v>10844</v>
      </c>
      <c r="B10845" t="s">
        <v>21786</v>
      </c>
      <c r="C10845" t="s">
        <v>33</v>
      </c>
      <c r="D10845" t="s">
        <v>45</v>
      </c>
      <c r="E10845">
        <v>2416</v>
      </c>
      <c r="F10845">
        <v>2</v>
      </c>
      <c r="G10845">
        <v>2</v>
      </c>
      <c r="H10845">
        <v>1</v>
      </c>
      <c r="I10845">
        <v>0</v>
      </c>
      <c r="J10845">
        <v>0.98039215686274495</v>
      </c>
      <c r="K10845">
        <v>1</v>
      </c>
      <c r="L10845">
        <v>0.99009900990098998</v>
      </c>
      <c r="M10845">
        <v>0.97478991596638698</v>
      </c>
      <c r="N10845">
        <v>0.97478991596638698</v>
      </c>
      <c r="O10845">
        <v>0.97478991596638698</v>
      </c>
      <c r="AF10845" t="s">
        <v>21788</v>
      </c>
    </row>
    <row r="10846" spans="1:32" hidden="1" x14ac:dyDescent="0.35">
      <c r="A10846">
        <v>10845</v>
      </c>
      <c r="B10846" t="s">
        <v>21789</v>
      </c>
      <c r="C10846" t="s">
        <v>33</v>
      </c>
      <c r="D10846" t="s">
        <v>60</v>
      </c>
      <c r="E10846">
        <v>702</v>
      </c>
      <c r="F10846">
        <v>2</v>
      </c>
      <c r="G10846">
        <v>2</v>
      </c>
      <c r="H10846">
        <v>1</v>
      </c>
      <c r="I10846">
        <v>0</v>
      </c>
      <c r="J10846">
        <v>0.99530516431924898</v>
      </c>
      <c r="K10846">
        <v>1</v>
      </c>
      <c r="L10846">
        <v>0.997647058823529</v>
      </c>
      <c r="M10846">
        <v>0.99530516431924898</v>
      </c>
      <c r="N10846">
        <v>0.99530516431924898</v>
      </c>
      <c r="O10846">
        <v>0.99530516431924898</v>
      </c>
      <c r="P10846" t="s">
        <v>18762</v>
      </c>
      <c r="Q10846" t="s">
        <v>18763</v>
      </c>
      <c r="AF10846" t="s">
        <v>21790</v>
      </c>
    </row>
    <row r="10847" spans="1:32" hidden="1" x14ac:dyDescent="0.35">
      <c r="A10847">
        <v>10846</v>
      </c>
      <c r="B10847" t="s">
        <v>21789</v>
      </c>
      <c r="C10847" t="s">
        <v>33</v>
      </c>
      <c r="D10847" t="s">
        <v>62</v>
      </c>
      <c r="E10847">
        <v>733</v>
      </c>
      <c r="F10847">
        <v>2</v>
      </c>
      <c r="G10847">
        <v>2</v>
      </c>
      <c r="H10847">
        <v>1</v>
      </c>
      <c r="I10847">
        <v>0</v>
      </c>
      <c r="J10847">
        <v>0.99530516431924898</v>
      </c>
      <c r="K10847">
        <v>1</v>
      </c>
      <c r="L10847">
        <v>0.997647058823529</v>
      </c>
      <c r="M10847">
        <v>0.99530516431924898</v>
      </c>
      <c r="N10847">
        <v>0.99530516431924898</v>
      </c>
      <c r="O10847">
        <v>0.99530516431924898</v>
      </c>
      <c r="P10847" t="s">
        <v>18762</v>
      </c>
      <c r="Q10847" t="s">
        <v>18763</v>
      </c>
      <c r="AF10847" t="s">
        <v>21791</v>
      </c>
    </row>
    <row r="10848" spans="1:32" hidden="1" x14ac:dyDescent="0.35">
      <c r="A10848">
        <v>4274</v>
      </c>
      <c r="B10848" t="s">
        <v>8881</v>
      </c>
      <c r="C10848" t="s">
        <v>72</v>
      </c>
      <c r="D10848" t="s">
        <v>58</v>
      </c>
      <c r="E10848">
        <v>958</v>
      </c>
      <c r="F10848">
        <v>5</v>
      </c>
      <c r="G10848">
        <v>5</v>
      </c>
      <c r="H10848">
        <v>1</v>
      </c>
      <c r="I10848">
        <v>1</v>
      </c>
      <c r="J10848">
        <v>0.74408065112837596</v>
      </c>
      <c r="K10848">
        <v>0.88784760548335195</v>
      </c>
      <c r="L10848">
        <v>0.80963145495433397</v>
      </c>
      <c r="M10848">
        <v>0.47445255474452602</v>
      </c>
      <c r="N10848">
        <v>0.99513381995133798</v>
      </c>
      <c r="O10848">
        <v>0.65717761557177601</v>
      </c>
      <c r="P10848" t="s">
        <v>8882</v>
      </c>
      <c r="Q10848" t="s">
        <v>8883</v>
      </c>
      <c r="R10848" t="s">
        <v>869</v>
      </c>
      <c r="S10848" t="s">
        <v>870</v>
      </c>
      <c r="T10848" t="s">
        <v>8884</v>
      </c>
      <c r="U10848" t="s">
        <v>8885</v>
      </c>
      <c r="V10848" t="s">
        <v>8886</v>
      </c>
      <c r="W10848" t="s">
        <v>8887</v>
      </c>
      <c r="X10848" t="s">
        <v>8886</v>
      </c>
      <c r="Y10848" t="s">
        <v>1153</v>
      </c>
      <c r="Z10848" t="s">
        <v>7283</v>
      </c>
      <c r="AA10848" t="s">
        <v>7284</v>
      </c>
      <c r="AB10848" t="s">
        <v>7283</v>
      </c>
      <c r="AC10848" t="s">
        <v>1742</v>
      </c>
      <c r="AD10848" t="s">
        <v>191</v>
      </c>
      <c r="AE10848" t="s">
        <v>8888</v>
      </c>
      <c r="AF10848" t="s">
        <v>8889</v>
      </c>
    </row>
    <row r="10849" spans="1:32" hidden="1" x14ac:dyDescent="0.35">
      <c r="A10849">
        <v>10848</v>
      </c>
      <c r="B10849" t="s">
        <v>21794</v>
      </c>
      <c r="C10849" t="s">
        <v>33</v>
      </c>
      <c r="D10849" t="s">
        <v>60</v>
      </c>
      <c r="E10849">
        <v>650</v>
      </c>
      <c r="F10849">
        <v>1</v>
      </c>
      <c r="G10849">
        <v>1</v>
      </c>
      <c r="H10849">
        <v>1</v>
      </c>
      <c r="I10849">
        <v>0</v>
      </c>
      <c r="J10849">
        <v>1</v>
      </c>
      <c r="K10849">
        <v>1</v>
      </c>
      <c r="L10849">
        <v>1</v>
      </c>
      <c r="M10849">
        <v>0</v>
      </c>
      <c r="N10849">
        <v>0</v>
      </c>
      <c r="O10849">
        <v>0</v>
      </c>
      <c r="AF10849" t="s">
        <v>21795</v>
      </c>
    </row>
    <row r="10850" spans="1:32" hidden="1" x14ac:dyDescent="0.35">
      <c r="A10850">
        <v>10849</v>
      </c>
      <c r="B10850" t="s">
        <v>21796</v>
      </c>
      <c r="C10850" t="s">
        <v>33</v>
      </c>
      <c r="D10850" t="s">
        <v>58</v>
      </c>
      <c r="E10850">
        <v>438</v>
      </c>
      <c r="F10850">
        <v>1</v>
      </c>
      <c r="G10850">
        <v>1</v>
      </c>
      <c r="H10850">
        <v>1</v>
      </c>
      <c r="I10850">
        <v>0</v>
      </c>
      <c r="J10850">
        <v>1</v>
      </c>
      <c r="K10850">
        <v>1</v>
      </c>
      <c r="L10850">
        <v>1</v>
      </c>
      <c r="M10850">
        <v>0</v>
      </c>
      <c r="N10850">
        <v>0</v>
      </c>
      <c r="O10850">
        <v>0</v>
      </c>
      <c r="AF10850" t="s">
        <v>21797</v>
      </c>
    </row>
    <row r="10851" spans="1:32" hidden="1" x14ac:dyDescent="0.35">
      <c r="A10851">
        <v>10850</v>
      </c>
      <c r="B10851" t="s">
        <v>21798</v>
      </c>
      <c r="C10851" t="s">
        <v>33</v>
      </c>
      <c r="D10851" t="s">
        <v>58</v>
      </c>
      <c r="E10851">
        <v>1315</v>
      </c>
      <c r="F10851">
        <v>1</v>
      </c>
      <c r="G10851">
        <v>1</v>
      </c>
      <c r="H10851">
        <v>1</v>
      </c>
      <c r="I10851">
        <v>0</v>
      </c>
      <c r="J10851">
        <v>1</v>
      </c>
      <c r="K10851">
        <v>1</v>
      </c>
      <c r="L10851">
        <v>1</v>
      </c>
      <c r="M10851">
        <v>0</v>
      </c>
      <c r="N10851">
        <v>0</v>
      </c>
      <c r="O10851">
        <v>0</v>
      </c>
      <c r="P10851" t="s">
        <v>12891</v>
      </c>
      <c r="Q10851" t="s">
        <v>12892</v>
      </c>
      <c r="R10851" t="s">
        <v>1259</v>
      </c>
      <c r="S10851" t="s">
        <v>1260</v>
      </c>
      <c r="T10851" t="s">
        <v>14577</v>
      </c>
      <c r="U10851" t="s">
        <v>14578</v>
      </c>
      <c r="V10851" t="s">
        <v>14579</v>
      </c>
      <c r="W10851" t="s">
        <v>2923</v>
      </c>
      <c r="AD10851" t="s">
        <v>5013</v>
      </c>
      <c r="AE10851" t="s">
        <v>5014</v>
      </c>
      <c r="AF10851" t="s">
        <v>21799</v>
      </c>
    </row>
    <row r="10852" spans="1:32" hidden="1" x14ac:dyDescent="0.35">
      <c r="A10852">
        <v>10851</v>
      </c>
      <c r="B10852" t="s">
        <v>21800</v>
      </c>
      <c r="C10852" t="s">
        <v>33</v>
      </c>
      <c r="D10852" t="s">
        <v>58</v>
      </c>
      <c r="E10852">
        <v>1347</v>
      </c>
      <c r="F10852">
        <v>1</v>
      </c>
      <c r="G10852">
        <v>1</v>
      </c>
      <c r="H10852">
        <v>1</v>
      </c>
      <c r="I10852">
        <v>0</v>
      </c>
      <c r="J10852">
        <v>1</v>
      </c>
      <c r="K10852">
        <v>1</v>
      </c>
      <c r="L10852">
        <v>1</v>
      </c>
      <c r="M10852">
        <v>0</v>
      </c>
      <c r="N10852">
        <v>0</v>
      </c>
      <c r="O10852">
        <v>0</v>
      </c>
      <c r="AF10852" t="s">
        <v>21801</v>
      </c>
    </row>
    <row r="10853" spans="1:32" hidden="1" x14ac:dyDescent="0.35">
      <c r="A10853">
        <v>10852</v>
      </c>
      <c r="B10853" t="s">
        <v>21802</v>
      </c>
      <c r="C10853" t="s">
        <v>33</v>
      </c>
      <c r="D10853" t="s">
        <v>58</v>
      </c>
      <c r="E10853">
        <v>1281</v>
      </c>
      <c r="F10853">
        <v>1</v>
      </c>
      <c r="G10853">
        <v>1</v>
      </c>
      <c r="H10853">
        <v>1</v>
      </c>
      <c r="I10853">
        <v>0</v>
      </c>
      <c r="J10853">
        <v>1</v>
      </c>
      <c r="K10853">
        <v>1</v>
      </c>
      <c r="L10853">
        <v>1</v>
      </c>
      <c r="M10853">
        <v>0</v>
      </c>
      <c r="N10853">
        <v>0</v>
      </c>
      <c r="O10853">
        <v>0</v>
      </c>
      <c r="AF10853" t="s">
        <v>21803</v>
      </c>
    </row>
    <row r="10854" spans="1:32" hidden="1" x14ac:dyDescent="0.35">
      <c r="A10854">
        <v>10853</v>
      </c>
      <c r="B10854" t="s">
        <v>21804</v>
      </c>
      <c r="C10854" t="s">
        <v>33</v>
      </c>
      <c r="D10854" t="s">
        <v>34</v>
      </c>
      <c r="E10854">
        <v>1195</v>
      </c>
      <c r="F10854">
        <v>1</v>
      </c>
      <c r="G10854">
        <v>1</v>
      </c>
      <c r="H10854">
        <v>1</v>
      </c>
      <c r="I10854">
        <v>0</v>
      </c>
      <c r="J10854">
        <v>1</v>
      </c>
      <c r="K10854">
        <v>1</v>
      </c>
      <c r="L10854">
        <v>1</v>
      </c>
      <c r="M10854">
        <v>0</v>
      </c>
      <c r="N10854">
        <v>0</v>
      </c>
      <c r="O10854">
        <v>0</v>
      </c>
      <c r="AF10854" t="s">
        <v>21805</v>
      </c>
    </row>
    <row r="10855" spans="1:32" hidden="1" x14ac:dyDescent="0.35">
      <c r="A10855">
        <v>11900</v>
      </c>
      <c r="B10855" t="s">
        <v>24516</v>
      </c>
      <c r="C10855" t="s">
        <v>10130</v>
      </c>
      <c r="D10855" t="s">
        <v>58</v>
      </c>
      <c r="E10855">
        <v>181</v>
      </c>
      <c r="F10855">
        <v>1</v>
      </c>
      <c r="G10855">
        <v>1</v>
      </c>
      <c r="H10855">
        <v>1</v>
      </c>
      <c r="I10855">
        <v>0</v>
      </c>
      <c r="J10855">
        <v>1</v>
      </c>
      <c r="K10855">
        <v>1</v>
      </c>
      <c r="L10855">
        <v>1</v>
      </c>
      <c r="M10855">
        <v>0</v>
      </c>
      <c r="N10855">
        <v>0</v>
      </c>
      <c r="O10855">
        <v>0</v>
      </c>
      <c r="P10855" t="s">
        <v>10786</v>
      </c>
      <c r="Q10855" t="s">
        <v>10787</v>
      </c>
      <c r="R10855" t="s">
        <v>869</v>
      </c>
      <c r="S10855" t="s">
        <v>870</v>
      </c>
      <c r="T10855" t="s">
        <v>10788</v>
      </c>
      <c r="U10855" t="s">
        <v>10789</v>
      </c>
      <c r="V10855" t="s">
        <v>10790</v>
      </c>
      <c r="W10855" t="s">
        <v>10791</v>
      </c>
      <c r="X10855" t="s">
        <v>10790</v>
      </c>
      <c r="Y10855" t="s">
        <v>1153</v>
      </c>
      <c r="Z10855" t="s">
        <v>7283</v>
      </c>
      <c r="AA10855" t="s">
        <v>7284</v>
      </c>
      <c r="AB10855" t="s">
        <v>7283</v>
      </c>
      <c r="AC10855" t="s">
        <v>1742</v>
      </c>
      <c r="AD10855" t="s">
        <v>191</v>
      </c>
      <c r="AE10855" t="s">
        <v>10792</v>
      </c>
      <c r="AF10855" t="s">
        <v>24517</v>
      </c>
    </row>
    <row r="10856" spans="1:32" hidden="1" x14ac:dyDescent="0.35">
      <c r="A10856">
        <v>10855</v>
      </c>
      <c r="B10856" t="s">
        <v>21808</v>
      </c>
      <c r="C10856" t="s">
        <v>33</v>
      </c>
      <c r="D10856" t="s">
        <v>58</v>
      </c>
      <c r="E10856">
        <v>1538</v>
      </c>
      <c r="F10856">
        <v>1</v>
      </c>
      <c r="G10856">
        <v>1</v>
      </c>
      <c r="H10856">
        <v>1</v>
      </c>
      <c r="I10856">
        <v>0</v>
      </c>
      <c r="J10856">
        <v>1</v>
      </c>
      <c r="K10856">
        <v>1</v>
      </c>
      <c r="L10856">
        <v>1</v>
      </c>
      <c r="M10856">
        <v>0</v>
      </c>
      <c r="N10856">
        <v>0</v>
      </c>
      <c r="O10856">
        <v>0</v>
      </c>
      <c r="AF10856" t="s">
        <v>21809</v>
      </c>
    </row>
    <row r="10857" spans="1:32" hidden="1" x14ac:dyDescent="0.35">
      <c r="A10857">
        <v>10856</v>
      </c>
      <c r="B10857" t="s">
        <v>21810</v>
      </c>
      <c r="C10857" t="s">
        <v>33</v>
      </c>
      <c r="D10857" t="s">
        <v>60</v>
      </c>
      <c r="E10857">
        <v>1948</v>
      </c>
      <c r="F10857">
        <v>1</v>
      </c>
      <c r="G10857">
        <v>1</v>
      </c>
      <c r="H10857">
        <v>1</v>
      </c>
      <c r="I10857">
        <v>0</v>
      </c>
      <c r="J10857">
        <v>1</v>
      </c>
      <c r="K10857">
        <v>1</v>
      </c>
      <c r="L10857">
        <v>1</v>
      </c>
      <c r="M10857">
        <v>0</v>
      </c>
      <c r="N10857">
        <v>0</v>
      </c>
      <c r="O10857">
        <v>0</v>
      </c>
      <c r="AF10857" t="s">
        <v>21811</v>
      </c>
    </row>
    <row r="10858" spans="1:32" hidden="1" x14ac:dyDescent="0.35">
      <c r="A10858">
        <v>10857</v>
      </c>
      <c r="B10858" t="s">
        <v>21812</v>
      </c>
      <c r="C10858" t="s">
        <v>33</v>
      </c>
      <c r="D10858" t="s">
        <v>58</v>
      </c>
      <c r="E10858">
        <v>1153</v>
      </c>
      <c r="F10858">
        <v>1</v>
      </c>
      <c r="G10858">
        <v>1</v>
      </c>
      <c r="H10858">
        <v>1</v>
      </c>
      <c r="I10858">
        <v>0</v>
      </c>
      <c r="J10858">
        <v>1</v>
      </c>
      <c r="K10858">
        <v>1</v>
      </c>
      <c r="L10858">
        <v>1</v>
      </c>
      <c r="M10858">
        <v>0</v>
      </c>
      <c r="N10858">
        <v>0</v>
      </c>
      <c r="O10858">
        <v>0</v>
      </c>
      <c r="P10858" t="s">
        <v>4358</v>
      </c>
      <c r="Q10858" t="s">
        <v>4359</v>
      </c>
      <c r="R10858" t="s">
        <v>319</v>
      </c>
      <c r="S10858" t="s">
        <v>320</v>
      </c>
      <c r="V10858" t="s">
        <v>4360</v>
      </c>
      <c r="W10858" t="s">
        <v>4361</v>
      </c>
      <c r="AF10858" t="s">
        <v>21813</v>
      </c>
    </row>
    <row r="10859" spans="1:32" hidden="1" x14ac:dyDescent="0.35">
      <c r="A10859">
        <v>10858</v>
      </c>
      <c r="B10859" t="s">
        <v>21814</v>
      </c>
      <c r="C10859" t="s">
        <v>33</v>
      </c>
      <c r="D10859" t="s">
        <v>58</v>
      </c>
      <c r="E10859">
        <v>47</v>
      </c>
      <c r="F10859">
        <v>1</v>
      </c>
      <c r="G10859">
        <v>1</v>
      </c>
      <c r="H10859">
        <v>1</v>
      </c>
      <c r="I10859">
        <v>0</v>
      </c>
      <c r="J10859">
        <v>1</v>
      </c>
      <c r="K10859">
        <v>1</v>
      </c>
      <c r="L10859">
        <v>1</v>
      </c>
      <c r="M10859">
        <v>0</v>
      </c>
      <c r="N10859">
        <v>0</v>
      </c>
      <c r="O10859">
        <v>0</v>
      </c>
      <c r="AF10859" t="s">
        <v>21815</v>
      </c>
    </row>
    <row r="10860" spans="1:32" hidden="1" x14ac:dyDescent="0.35">
      <c r="A10860">
        <v>579</v>
      </c>
      <c r="B10860" t="s">
        <v>1162</v>
      </c>
      <c r="C10860" t="s">
        <v>72</v>
      </c>
      <c r="D10860" t="s">
        <v>58</v>
      </c>
      <c r="E10860">
        <v>1278</v>
      </c>
      <c r="F10860">
        <v>5</v>
      </c>
      <c r="G10860">
        <v>5</v>
      </c>
      <c r="H10860">
        <v>1</v>
      </c>
      <c r="I10860">
        <v>1</v>
      </c>
      <c r="J10860">
        <v>0.85032467532467504</v>
      </c>
      <c r="K10860">
        <v>0.99039518722124498</v>
      </c>
      <c r="L10860">
        <v>0.91503056293664198</v>
      </c>
      <c r="M10860">
        <v>0.71382636655948595</v>
      </c>
      <c r="N10860">
        <v>1</v>
      </c>
      <c r="O10860">
        <v>0.79196141479099702</v>
      </c>
      <c r="P10860" t="s">
        <v>1163</v>
      </c>
      <c r="Q10860" t="s">
        <v>1164</v>
      </c>
      <c r="R10860" t="s">
        <v>224</v>
      </c>
      <c r="S10860" t="s">
        <v>225</v>
      </c>
      <c r="T10860" t="s">
        <v>1165</v>
      </c>
      <c r="U10860" t="s">
        <v>1166</v>
      </c>
      <c r="V10860" t="s">
        <v>1167</v>
      </c>
      <c r="W10860" t="s">
        <v>1168</v>
      </c>
      <c r="X10860" t="s">
        <v>1167</v>
      </c>
      <c r="Y10860" t="s">
        <v>1169</v>
      </c>
      <c r="AD10860" t="s">
        <v>1170</v>
      </c>
      <c r="AE10860" t="s">
        <v>1171</v>
      </c>
      <c r="AF10860" t="s">
        <v>1172</v>
      </c>
    </row>
    <row r="10861" spans="1:32" hidden="1" x14ac:dyDescent="0.35">
      <c r="A10861">
        <v>10860</v>
      </c>
      <c r="B10861" t="s">
        <v>21818</v>
      </c>
      <c r="C10861" t="s">
        <v>33</v>
      </c>
      <c r="D10861" t="s">
        <v>60</v>
      </c>
      <c r="E10861">
        <v>646</v>
      </c>
      <c r="F10861">
        <v>1</v>
      </c>
      <c r="G10861">
        <v>1</v>
      </c>
      <c r="H10861">
        <v>1</v>
      </c>
      <c r="I10861">
        <v>0</v>
      </c>
      <c r="J10861">
        <v>1</v>
      </c>
      <c r="K10861">
        <v>1</v>
      </c>
      <c r="L10861">
        <v>1</v>
      </c>
      <c r="M10861">
        <v>0</v>
      </c>
      <c r="N10861">
        <v>0</v>
      </c>
      <c r="O10861">
        <v>0</v>
      </c>
      <c r="AF10861" t="s">
        <v>21819</v>
      </c>
    </row>
    <row r="10862" spans="1:32" hidden="1" x14ac:dyDescent="0.35">
      <c r="A10862">
        <v>11203</v>
      </c>
      <c r="B10862" t="s">
        <v>22752</v>
      </c>
      <c r="C10862" t="s">
        <v>33</v>
      </c>
      <c r="D10862" t="s">
        <v>58</v>
      </c>
      <c r="E10862">
        <v>1834</v>
      </c>
      <c r="F10862">
        <v>1</v>
      </c>
      <c r="G10862">
        <v>1</v>
      </c>
      <c r="H10862">
        <v>1</v>
      </c>
      <c r="I10862">
        <v>0</v>
      </c>
      <c r="J10862">
        <v>1</v>
      </c>
      <c r="K10862">
        <v>1</v>
      </c>
      <c r="L10862">
        <v>1</v>
      </c>
      <c r="M10862">
        <v>0</v>
      </c>
      <c r="N10862">
        <v>0</v>
      </c>
      <c r="O10862">
        <v>0</v>
      </c>
      <c r="P10862" t="s">
        <v>1163</v>
      </c>
      <c r="Q10862" t="s">
        <v>1164</v>
      </c>
      <c r="R10862" t="s">
        <v>224</v>
      </c>
      <c r="S10862" t="s">
        <v>225</v>
      </c>
      <c r="T10862" t="s">
        <v>14740</v>
      </c>
      <c r="U10862" t="s">
        <v>14741</v>
      </c>
      <c r="V10862" t="s">
        <v>1167</v>
      </c>
      <c r="W10862" t="s">
        <v>1168</v>
      </c>
      <c r="X10862" t="s">
        <v>1167</v>
      </c>
      <c r="Y10862" t="s">
        <v>1169</v>
      </c>
      <c r="AD10862" t="s">
        <v>14742</v>
      </c>
      <c r="AE10862" t="s">
        <v>14743</v>
      </c>
      <c r="AF10862" t="s">
        <v>22753</v>
      </c>
    </row>
    <row r="10863" spans="1:32" hidden="1" x14ac:dyDescent="0.35">
      <c r="A10863">
        <v>10862</v>
      </c>
      <c r="B10863" t="s">
        <v>21822</v>
      </c>
      <c r="C10863" t="s">
        <v>33</v>
      </c>
      <c r="D10863" t="s">
        <v>34</v>
      </c>
      <c r="E10863">
        <v>991</v>
      </c>
      <c r="F10863">
        <v>1</v>
      </c>
      <c r="G10863">
        <v>1</v>
      </c>
      <c r="H10863">
        <v>1</v>
      </c>
      <c r="I10863">
        <v>0</v>
      </c>
      <c r="J10863">
        <v>1</v>
      </c>
      <c r="K10863">
        <v>1</v>
      </c>
      <c r="L10863">
        <v>1</v>
      </c>
      <c r="M10863">
        <v>0</v>
      </c>
      <c r="N10863">
        <v>0</v>
      </c>
      <c r="O10863">
        <v>0</v>
      </c>
      <c r="P10863" t="s">
        <v>21823</v>
      </c>
      <c r="Q10863" t="s">
        <v>21824</v>
      </c>
      <c r="R10863" t="s">
        <v>371</v>
      </c>
      <c r="S10863" t="s">
        <v>372</v>
      </c>
      <c r="T10863" t="s">
        <v>21825</v>
      </c>
      <c r="U10863" t="s">
        <v>21826</v>
      </c>
      <c r="V10863" t="s">
        <v>21827</v>
      </c>
      <c r="W10863" t="s">
        <v>21828</v>
      </c>
      <c r="AD10863" t="s">
        <v>21829</v>
      </c>
      <c r="AE10863" t="s">
        <v>21830</v>
      </c>
      <c r="AF10863" t="s">
        <v>21831</v>
      </c>
    </row>
    <row r="10864" spans="1:32" hidden="1" x14ac:dyDescent="0.35">
      <c r="A10864">
        <v>10863</v>
      </c>
      <c r="B10864" t="s">
        <v>21832</v>
      </c>
      <c r="C10864" t="s">
        <v>33</v>
      </c>
      <c r="D10864" t="s">
        <v>60</v>
      </c>
      <c r="E10864">
        <v>2059</v>
      </c>
      <c r="F10864">
        <v>1</v>
      </c>
      <c r="G10864">
        <v>1</v>
      </c>
      <c r="H10864">
        <v>1</v>
      </c>
      <c r="I10864">
        <v>0</v>
      </c>
      <c r="J10864">
        <v>1</v>
      </c>
      <c r="K10864">
        <v>1</v>
      </c>
      <c r="L10864">
        <v>1</v>
      </c>
      <c r="M10864">
        <v>0</v>
      </c>
      <c r="N10864">
        <v>0</v>
      </c>
      <c r="O10864">
        <v>0</v>
      </c>
      <c r="AF10864" t="s">
        <v>21833</v>
      </c>
    </row>
    <row r="10865" spans="1:32" hidden="1" x14ac:dyDescent="0.35">
      <c r="A10865">
        <v>10864</v>
      </c>
      <c r="B10865" t="s">
        <v>21834</v>
      </c>
      <c r="C10865" t="s">
        <v>33</v>
      </c>
      <c r="D10865" t="s">
        <v>58</v>
      </c>
      <c r="E10865">
        <v>503</v>
      </c>
      <c r="F10865">
        <v>1</v>
      </c>
      <c r="G10865">
        <v>1</v>
      </c>
      <c r="H10865">
        <v>1</v>
      </c>
      <c r="I10865">
        <v>0</v>
      </c>
      <c r="J10865">
        <v>1</v>
      </c>
      <c r="K10865">
        <v>1</v>
      </c>
      <c r="L10865">
        <v>1</v>
      </c>
      <c r="M10865">
        <v>0</v>
      </c>
      <c r="N10865">
        <v>0</v>
      </c>
      <c r="O10865">
        <v>0</v>
      </c>
      <c r="P10865" t="s">
        <v>21835</v>
      </c>
      <c r="Q10865" t="s">
        <v>21836</v>
      </c>
      <c r="R10865" t="s">
        <v>13853</v>
      </c>
      <c r="S10865" t="s">
        <v>13854</v>
      </c>
      <c r="V10865" t="s">
        <v>21837</v>
      </c>
      <c r="W10865" t="s">
        <v>21838</v>
      </c>
      <c r="AF10865" t="s">
        <v>21839</v>
      </c>
    </row>
    <row r="10866" spans="1:32" hidden="1" x14ac:dyDescent="0.35">
      <c r="A10866">
        <v>10865</v>
      </c>
      <c r="B10866" t="s">
        <v>21840</v>
      </c>
      <c r="C10866" t="s">
        <v>33</v>
      </c>
      <c r="D10866" t="s">
        <v>58</v>
      </c>
      <c r="E10866">
        <v>1430</v>
      </c>
      <c r="F10866">
        <v>1</v>
      </c>
      <c r="G10866">
        <v>1</v>
      </c>
      <c r="H10866">
        <v>1</v>
      </c>
      <c r="I10866">
        <v>0</v>
      </c>
      <c r="J10866">
        <v>1</v>
      </c>
      <c r="K10866">
        <v>1</v>
      </c>
      <c r="L10866">
        <v>1</v>
      </c>
      <c r="M10866">
        <v>0</v>
      </c>
      <c r="N10866">
        <v>0</v>
      </c>
      <c r="O10866">
        <v>0</v>
      </c>
      <c r="P10866" t="s">
        <v>21841</v>
      </c>
      <c r="Q10866" t="s">
        <v>21842</v>
      </c>
      <c r="AF10866" t="s">
        <v>21843</v>
      </c>
    </row>
    <row r="10867" spans="1:32" hidden="1" x14ac:dyDescent="0.35">
      <c r="A10867">
        <v>10866</v>
      </c>
      <c r="B10867" t="s">
        <v>21844</v>
      </c>
      <c r="C10867" t="s">
        <v>33</v>
      </c>
      <c r="D10867" t="s">
        <v>45</v>
      </c>
      <c r="E10867">
        <v>14</v>
      </c>
      <c r="F10867">
        <v>1</v>
      </c>
      <c r="G10867">
        <v>1</v>
      </c>
      <c r="H10867">
        <v>1</v>
      </c>
      <c r="I10867">
        <v>0</v>
      </c>
      <c r="J10867">
        <v>1</v>
      </c>
      <c r="K10867">
        <v>1</v>
      </c>
      <c r="L10867">
        <v>1</v>
      </c>
      <c r="M10867">
        <v>0</v>
      </c>
      <c r="N10867">
        <v>0</v>
      </c>
      <c r="O10867">
        <v>0</v>
      </c>
      <c r="P10867" t="s">
        <v>18244</v>
      </c>
      <c r="Q10867" t="s">
        <v>18245</v>
      </c>
      <c r="R10867" t="s">
        <v>1259</v>
      </c>
      <c r="S10867" t="s">
        <v>1260</v>
      </c>
      <c r="T10867" t="s">
        <v>18246</v>
      </c>
      <c r="U10867" t="s">
        <v>407</v>
      </c>
      <c r="V10867" t="s">
        <v>18247</v>
      </c>
      <c r="W10867" t="s">
        <v>18248</v>
      </c>
      <c r="AD10867" t="s">
        <v>410</v>
      </c>
      <c r="AE10867" t="s">
        <v>411</v>
      </c>
      <c r="AF10867" t="s">
        <v>21845</v>
      </c>
    </row>
    <row r="10868" spans="1:32" hidden="1" x14ac:dyDescent="0.35">
      <c r="A10868">
        <v>1309</v>
      </c>
      <c r="B10868" t="s">
        <v>2710</v>
      </c>
      <c r="C10868" t="s">
        <v>72</v>
      </c>
      <c r="D10868" t="s">
        <v>58</v>
      </c>
      <c r="E10868">
        <v>876</v>
      </c>
      <c r="F10868">
        <v>5</v>
      </c>
      <c r="G10868">
        <v>5</v>
      </c>
      <c r="H10868">
        <v>1</v>
      </c>
      <c r="I10868">
        <v>1</v>
      </c>
      <c r="J10868">
        <v>0.84804270462633402</v>
      </c>
      <c r="K10868">
        <v>0.96305841924398605</v>
      </c>
      <c r="L10868">
        <v>0.90189847027814096</v>
      </c>
      <c r="M10868">
        <v>0.69520547945205502</v>
      </c>
      <c r="N10868">
        <v>1</v>
      </c>
      <c r="O10868">
        <v>0.78321917808219199</v>
      </c>
      <c r="P10868" t="s">
        <v>1163</v>
      </c>
      <c r="Q10868" t="s">
        <v>1164</v>
      </c>
      <c r="R10868" t="s">
        <v>224</v>
      </c>
      <c r="S10868" t="s">
        <v>225</v>
      </c>
      <c r="T10868" t="s">
        <v>2711</v>
      </c>
      <c r="U10868" t="s">
        <v>2712</v>
      </c>
      <c r="V10868" t="s">
        <v>2713</v>
      </c>
      <c r="W10868" t="s">
        <v>2714</v>
      </c>
      <c r="X10868" t="s">
        <v>2713</v>
      </c>
      <c r="Y10868" t="s">
        <v>2715</v>
      </c>
      <c r="AD10868" t="s">
        <v>1170</v>
      </c>
      <c r="AE10868" t="s">
        <v>2716</v>
      </c>
      <c r="AF10868" t="s">
        <v>2717</v>
      </c>
    </row>
    <row r="10869" spans="1:32" hidden="1" x14ac:dyDescent="0.35">
      <c r="A10869">
        <v>10868</v>
      </c>
      <c r="B10869" t="s">
        <v>21848</v>
      </c>
      <c r="C10869" t="s">
        <v>33</v>
      </c>
      <c r="D10869" t="s">
        <v>34</v>
      </c>
      <c r="E10869">
        <v>1710</v>
      </c>
      <c r="F10869">
        <v>1</v>
      </c>
      <c r="G10869">
        <v>1</v>
      </c>
      <c r="H10869">
        <v>1</v>
      </c>
      <c r="I10869">
        <v>0</v>
      </c>
      <c r="J10869">
        <v>1</v>
      </c>
      <c r="K10869">
        <v>1</v>
      </c>
      <c r="L10869">
        <v>1</v>
      </c>
      <c r="M10869">
        <v>0</v>
      </c>
      <c r="N10869">
        <v>0</v>
      </c>
      <c r="O10869">
        <v>0</v>
      </c>
      <c r="AF10869" t="s">
        <v>21849</v>
      </c>
    </row>
    <row r="10870" spans="1:32" hidden="1" x14ac:dyDescent="0.35">
      <c r="A10870">
        <v>10869</v>
      </c>
      <c r="B10870" t="s">
        <v>21850</v>
      </c>
      <c r="C10870" t="s">
        <v>33</v>
      </c>
      <c r="D10870" t="s">
        <v>34</v>
      </c>
      <c r="E10870">
        <v>1376</v>
      </c>
      <c r="F10870">
        <v>1</v>
      </c>
      <c r="G10870">
        <v>1</v>
      </c>
      <c r="H10870">
        <v>1</v>
      </c>
      <c r="I10870">
        <v>0</v>
      </c>
      <c r="J10870">
        <v>1</v>
      </c>
      <c r="K10870">
        <v>1</v>
      </c>
      <c r="L10870">
        <v>1</v>
      </c>
      <c r="M10870">
        <v>0</v>
      </c>
      <c r="N10870">
        <v>0</v>
      </c>
      <c r="O10870">
        <v>0</v>
      </c>
      <c r="P10870" t="s">
        <v>18075</v>
      </c>
      <c r="Q10870" t="s">
        <v>18076</v>
      </c>
      <c r="R10870" t="s">
        <v>869</v>
      </c>
      <c r="S10870" t="s">
        <v>870</v>
      </c>
      <c r="T10870" t="s">
        <v>18077</v>
      </c>
      <c r="U10870" t="s">
        <v>18078</v>
      </c>
      <c r="V10870" t="s">
        <v>18079</v>
      </c>
      <c r="W10870" t="s">
        <v>18080</v>
      </c>
      <c r="X10870" t="s">
        <v>18079</v>
      </c>
      <c r="Y10870" t="s">
        <v>1091</v>
      </c>
      <c r="Z10870" t="s">
        <v>18081</v>
      </c>
      <c r="AA10870" t="s">
        <v>18082</v>
      </c>
      <c r="AB10870" t="s">
        <v>18081</v>
      </c>
      <c r="AC10870" t="s">
        <v>1094</v>
      </c>
      <c r="AD10870" t="s">
        <v>219</v>
      </c>
      <c r="AE10870" t="s">
        <v>18083</v>
      </c>
      <c r="AF10870" t="s">
        <v>21851</v>
      </c>
    </row>
    <row r="10871" spans="1:32" hidden="1" x14ac:dyDescent="0.35">
      <c r="A10871">
        <v>10870</v>
      </c>
      <c r="B10871" t="s">
        <v>21852</v>
      </c>
      <c r="C10871" t="s">
        <v>33</v>
      </c>
      <c r="D10871" t="s">
        <v>34</v>
      </c>
      <c r="E10871">
        <v>1712</v>
      </c>
      <c r="F10871">
        <v>1</v>
      </c>
      <c r="G10871">
        <v>1</v>
      </c>
      <c r="H10871">
        <v>1</v>
      </c>
      <c r="I10871">
        <v>0</v>
      </c>
      <c r="J10871">
        <v>1</v>
      </c>
      <c r="K10871">
        <v>1</v>
      </c>
      <c r="L10871">
        <v>1</v>
      </c>
      <c r="M10871">
        <v>0</v>
      </c>
      <c r="N10871">
        <v>0</v>
      </c>
      <c r="O10871">
        <v>0</v>
      </c>
      <c r="P10871" t="s">
        <v>14148</v>
      </c>
      <c r="Q10871" t="s">
        <v>14149</v>
      </c>
      <c r="R10871" t="s">
        <v>113</v>
      </c>
      <c r="S10871" t="s">
        <v>114</v>
      </c>
      <c r="T10871" t="s">
        <v>14898</v>
      </c>
      <c r="U10871" t="s">
        <v>14899</v>
      </c>
      <c r="V10871" t="s">
        <v>14052</v>
      </c>
      <c r="W10871" t="s">
        <v>14053</v>
      </c>
      <c r="AD10871" t="s">
        <v>14054</v>
      </c>
      <c r="AE10871" t="s">
        <v>14055</v>
      </c>
      <c r="AF10871" t="s">
        <v>21853</v>
      </c>
    </row>
    <row r="10872" spans="1:32" hidden="1" x14ac:dyDescent="0.35">
      <c r="A10872">
        <v>10871</v>
      </c>
      <c r="B10872" t="s">
        <v>21854</v>
      </c>
      <c r="C10872" t="s">
        <v>33</v>
      </c>
      <c r="D10872" t="s">
        <v>58</v>
      </c>
      <c r="E10872">
        <v>1040</v>
      </c>
      <c r="F10872">
        <v>1</v>
      </c>
      <c r="G10872">
        <v>1</v>
      </c>
      <c r="H10872">
        <v>1</v>
      </c>
      <c r="I10872">
        <v>0</v>
      </c>
      <c r="J10872">
        <v>1</v>
      </c>
      <c r="K10872">
        <v>1</v>
      </c>
      <c r="L10872">
        <v>1</v>
      </c>
      <c r="M10872">
        <v>0</v>
      </c>
      <c r="N10872">
        <v>0</v>
      </c>
      <c r="O10872">
        <v>0</v>
      </c>
      <c r="P10872" t="s">
        <v>2440</v>
      </c>
      <c r="Q10872" t="s">
        <v>2441</v>
      </c>
      <c r="R10872" t="s">
        <v>288</v>
      </c>
      <c r="S10872" t="s">
        <v>289</v>
      </c>
      <c r="T10872" t="s">
        <v>8027</v>
      </c>
      <c r="U10872" t="s">
        <v>8028</v>
      </c>
      <c r="V10872" t="s">
        <v>2442</v>
      </c>
      <c r="W10872" t="s">
        <v>2443</v>
      </c>
      <c r="AD10872" t="s">
        <v>219</v>
      </c>
      <c r="AE10872" t="s">
        <v>8029</v>
      </c>
      <c r="AF10872" t="s">
        <v>21855</v>
      </c>
    </row>
    <row r="10873" spans="1:32" hidden="1" x14ac:dyDescent="0.35">
      <c r="A10873">
        <v>10872</v>
      </c>
      <c r="B10873" t="s">
        <v>21856</v>
      </c>
      <c r="C10873" t="s">
        <v>33</v>
      </c>
      <c r="D10873" t="s">
        <v>34</v>
      </c>
      <c r="E10873">
        <v>1027</v>
      </c>
      <c r="F10873">
        <v>1</v>
      </c>
      <c r="G10873">
        <v>1</v>
      </c>
      <c r="H10873">
        <v>1</v>
      </c>
      <c r="I10873">
        <v>0</v>
      </c>
      <c r="J10873">
        <v>1</v>
      </c>
      <c r="K10873">
        <v>1</v>
      </c>
      <c r="L10873">
        <v>1</v>
      </c>
      <c r="M10873">
        <v>0</v>
      </c>
      <c r="N10873">
        <v>0</v>
      </c>
      <c r="O10873">
        <v>0</v>
      </c>
      <c r="AF10873" t="s">
        <v>21857</v>
      </c>
    </row>
    <row r="10874" spans="1:32" hidden="1" x14ac:dyDescent="0.35">
      <c r="A10874">
        <v>11496</v>
      </c>
      <c r="B10874" t="s">
        <v>23470</v>
      </c>
      <c r="C10874" t="s">
        <v>33</v>
      </c>
      <c r="D10874" t="s">
        <v>58</v>
      </c>
      <c r="E10874">
        <v>1676</v>
      </c>
      <c r="F10874">
        <v>1</v>
      </c>
      <c r="G10874">
        <v>1</v>
      </c>
      <c r="H10874">
        <v>1</v>
      </c>
      <c r="I10874">
        <v>0</v>
      </c>
      <c r="J10874">
        <v>1</v>
      </c>
      <c r="K10874">
        <v>1</v>
      </c>
      <c r="L10874">
        <v>1</v>
      </c>
      <c r="M10874">
        <v>0</v>
      </c>
      <c r="N10874">
        <v>0</v>
      </c>
      <c r="O10874">
        <v>0</v>
      </c>
      <c r="P10874" t="s">
        <v>23471</v>
      </c>
      <c r="Q10874" t="s">
        <v>23472</v>
      </c>
      <c r="R10874" t="s">
        <v>157</v>
      </c>
      <c r="S10874" t="s">
        <v>158</v>
      </c>
      <c r="V10874" t="s">
        <v>18284</v>
      </c>
      <c r="W10874" t="s">
        <v>18285</v>
      </c>
      <c r="AF10874" t="s">
        <v>23473</v>
      </c>
    </row>
    <row r="10875" spans="1:32" hidden="1" x14ac:dyDescent="0.35">
      <c r="A10875">
        <v>10874</v>
      </c>
      <c r="B10875" t="s">
        <v>21860</v>
      </c>
      <c r="C10875" t="s">
        <v>33</v>
      </c>
      <c r="D10875" t="s">
        <v>58</v>
      </c>
      <c r="E10875">
        <v>1273</v>
      </c>
      <c r="F10875">
        <v>1</v>
      </c>
      <c r="G10875">
        <v>1</v>
      </c>
      <c r="H10875">
        <v>1</v>
      </c>
      <c r="I10875">
        <v>0</v>
      </c>
      <c r="J10875">
        <v>1</v>
      </c>
      <c r="K10875">
        <v>1</v>
      </c>
      <c r="L10875">
        <v>1</v>
      </c>
      <c r="M10875">
        <v>0</v>
      </c>
      <c r="N10875">
        <v>0</v>
      </c>
      <c r="O10875">
        <v>0</v>
      </c>
      <c r="P10875" t="s">
        <v>21861</v>
      </c>
      <c r="Q10875" t="s">
        <v>21862</v>
      </c>
      <c r="R10875" t="s">
        <v>213</v>
      </c>
      <c r="S10875" t="s">
        <v>214</v>
      </c>
      <c r="T10875" t="s">
        <v>21863</v>
      </c>
      <c r="U10875" t="s">
        <v>21864</v>
      </c>
      <c r="V10875" t="s">
        <v>21865</v>
      </c>
      <c r="W10875" t="s">
        <v>21866</v>
      </c>
      <c r="AD10875" t="s">
        <v>410</v>
      </c>
      <c r="AE10875" t="s">
        <v>532</v>
      </c>
      <c r="AF10875" t="s">
        <v>21867</v>
      </c>
    </row>
    <row r="10876" spans="1:32" hidden="1" x14ac:dyDescent="0.35">
      <c r="A10876">
        <v>10875</v>
      </c>
      <c r="B10876" t="s">
        <v>21868</v>
      </c>
      <c r="C10876" t="s">
        <v>33</v>
      </c>
      <c r="D10876" t="s">
        <v>58</v>
      </c>
      <c r="E10876">
        <v>381</v>
      </c>
      <c r="F10876">
        <v>1</v>
      </c>
      <c r="G10876">
        <v>1</v>
      </c>
      <c r="H10876">
        <v>1</v>
      </c>
      <c r="I10876">
        <v>0</v>
      </c>
      <c r="J10876">
        <v>1</v>
      </c>
      <c r="K10876">
        <v>1</v>
      </c>
      <c r="L10876">
        <v>1</v>
      </c>
      <c r="M10876">
        <v>0</v>
      </c>
      <c r="N10876">
        <v>0</v>
      </c>
      <c r="O10876">
        <v>0</v>
      </c>
      <c r="P10876" t="s">
        <v>14908</v>
      </c>
      <c r="Q10876" t="s">
        <v>2083</v>
      </c>
      <c r="R10876" t="s">
        <v>96</v>
      </c>
      <c r="S10876" t="s">
        <v>97</v>
      </c>
      <c r="V10876" t="s">
        <v>14909</v>
      </c>
      <c r="W10876" t="s">
        <v>14910</v>
      </c>
      <c r="AF10876" t="s">
        <v>21869</v>
      </c>
    </row>
    <row r="10877" spans="1:32" hidden="1" x14ac:dyDescent="0.35">
      <c r="A10877">
        <v>11595</v>
      </c>
      <c r="B10877" t="s">
        <v>23731</v>
      </c>
      <c r="C10877" t="s">
        <v>33</v>
      </c>
      <c r="D10877" t="s">
        <v>58</v>
      </c>
      <c r="E10877">
        <v>1484</v>
      </c>
      <c r="F10877">
        <v>1</v>
      </c>
      <c r="G10877">
        <v>1</v>
      </c>
      <c r="H10877">
        <v>1</v>
      </c>
      <c r="I10877">
        <v>0</v>
      </c>
      <c r="J10877">
        <v>1</v>
      </c>
      <c r="K10877">
        <v>1</v>
      </c>
      <c r="L10877">
        <v>1</v>
      </c>
      <c r="M10877">
        <v>0</v>
      </c>
      <c r="N10877">
        <v>0</v>
      </c>
      <c r="O10877">
        <v>0</v>
      </c>
      <c r="P10877" t="s">
        <v>15407</v>
      </c>
      <c r="Q10877" t="s">
        <v>15408</v>
      </c>
      <c r="R10877" t="s">
        <v>157</v>
      </c>
      <c r="S10877" t="s">
        <v>158</v>
      </c>
      <c r="V10877" t="s">
        <v>18284</v>
      </c>
      <c r="W10877" t="s">
        <v>18285</v>
      </c>
      <c r="AF10877" t="s">
        <v>23732</v>
      </c>
    </row>
    <row r="10878" spans="1:32" hidden="1" x14ac:dyDescent="0.35">
      <c r="A10878">
        <v>10877</v>
      </c>
      <c r="B10878" t="s">
        <v>21872</v>
      </c>
      <c r="C10878" t="s">
        <v>33</v>
      </c>
      <c r="D10878" t="s">
        <v>58</v>
      </c>
      <c r="E10878">
        <v>516</v>
      </c>
      <c r="F10878">
        <v>1</v>
      </c>
      <c r="G10878">
        <v>1</v>
      </c>
      <c r="H10878">
        <v>1</v>
      </c>
      <c r="I10878">
        <v>0</v>
      </c>
      <c r="J10878">
        <v>1</v>
      </c>
      <c r="K10878">
        <v>1</v>
      </c>
      <c r="L10878">
        <v>1</v>
      </c>
      <c r="M10878">
        <v>0</v>
      </c>
      <c r="N10878">
        <v>0</v>
      </c>
      <c r="O10878">
        <v>0</v>
      </c>
      <c r="AF10878" t="s">
        <v>21873</v>
      </c>
    </row>
    <row r="10879" spans="1:32" hidden="1" x14ac:dyDescent="0.35">
      <c r="A10879">
        <v>1899</v>
      </c>
      <c r="B10879" t="s">
        <v>3933</v>
      </c>
      <c r="C10879" t="s">
        <v>72</v>
      </c>
      <c r="D10879" t="s">
        <v>58</v>
      </c>
      <c r="E10879">
        <v>715</v>
      </c>
      <c r="F10879">
        <v>5</v>
      </c>
      <c r="G10879">
        <v>5</v>
      </c>
      <c r="H10879">
        <v>1</v>
      </c>
      <c r="I10879">
        <v>1</v>
      </c>
      <c r="J10879">
        <v>0.752886836027714</v>
      </c>
      <c r="K10879">
        <v>0.92074749521557897</v>
      </c>
      <c r="L10879">
        <v>0.82839919749773305</v>
      </c>
      <c r="M10879">
        <v>0.50264550264550301</v>
      </c>
      <c r="N10879">
        <v>1</v>
      </c>
      <c r="O10879">
        <v>0.62751322751322802</v>
      </c>
      <c r="P10879" t="s">
        <v>3934</v>
      </c>
      <c r="Q10879" t="s">
        <v>3935</v>
      </c>
      <c r="R10879" t="s">
        <v>75</v>
      </c>
      <c r="S10879" t="s">
        <v>76</v>
      </c>
      <c r="V10879" t="s">
        <v>3936</v>
      </c>
      <c r="W10879" t="s">
        <v>3937</v>
      </c>
      <c r="AF10879" t="s">
        <v>3938</v>
      </c>
    </row>
    <row r="10880" spans="1:32" hidden="1" x14ac:dyDescent="0.35">
      <c r="A10880">
        <v>10879</v>
      </c>
      <c r="B10880" t="s">
        <v>21876</v>
      </c>
      <c r="C10880" t="s">
        <v>33</v>
      </c>
      <c r="D10880" t="s">
        <v>58</v>
      </c>
      <c r="E10880">
        <v>417</v>
      </c>
      <c r="F10880">
        <v>1</v>
      </c>
      <c r="G10880">
        <v>1</v>
      </c>
      <c r="H10880">
        <v>1</v>
      </c>
      <c r="I10880">
        <v>0</v>
      </c>
      <c r="J10880">
        <v>1</v>
      </c>
      <c r="K10880">
        <v>1</v>
      </c>
      <c r="L10880">
        <v>1</v>
      </c>
      <c r="M10880">
        <v>0</v>
      </c>
      <c r="N10880">
        <v>0</v>
      </c>
      <c r="O10880">
        <v>0</v>
      </c>
      <c r="AF10880" t="s">
        <v>21877</v>
      </c>
    </row>
    <row r="10881" spans="1:32" hidden="1" x14ac:dyDescent="0.35">
      <c r="A10881">
        <v>11449</v>
      </c>
      <c r="B10881" t="s">
        <v>23363</v>
      </c>
      <c r="C10881" t="s">
        <v>33</v>
      </c>
      <c r="D10881" t="s">
        <v>58</v>
      </c>
      <c r="E10881">
        <v>64</v>
      </c>
      <c r="F10881">
        <v>1</v>
      </c>
      <c r="G10881">
        <v>1</v>
      </c>
      <c r="H10881">
        <v>1</v>
      </c>
      <c r="I10881">
        <v>0</v>
      </c>
      <c r="J10881">
        <v>1</v>
      </c>
      <c r="K10881">
        <v>1</v>
      </c>
      <c r="L10881">
        <v>1</v>
      </c>
      <c r="M10881">
        <v>0</v>
      </c>
      <c r="N10881">
        <v>0</v>
      </c>
      <c r="O10881">
        <v>0</v>
      </c>
      <c r="P10881" t="s">
        <v>3934</v>
      </c>
      <c r="Q10881" t="s">
        <v>3935</v>
      </c>
      <c r="R10881" t="s">
        <v>75</v>
      </c>
      <c r="S10881" t="s">
        <v>76</v>
      </c>
      <c r="V10881" t="s">
        <v>3936</v>
      </c>
      <c r="W10881" t="s">
        <v>3937</v>
      </c>
      <c r="AF10881" t="s">
        <v>23364</v>
      </c>
    </row>
    <row r="10882" spans="1:32" hidden="1" x14ac:dyDescent="0.35">
      <c r="A10882">
        <v>10881</v>
      </c>
      <c r="B10882" t="s">
        <v>21880</v>
      </c>
      <c r="C10882" t="s">
        <v>33</v>
      </c>
      <c r="D10882" t="s">
        <v>58</v>
      </c>
      <c r="E10882">
        <v>398</v>
      </c>
      <c r="F10882">
        <v>1</v>
      </c>
      <c r="G10882">
        <v>1</v>
      </c>
      <c r="H10882">
        <v>1</v>
      </c>
      <c r="I10882">
        <v>0</v>
      </c>
      <c r="J10882">
        <v>1</v>
      </c>
      <c r="K10882">
        <v>1</v>
      </c>
      <c r="L10882">
        <v>1</v>
      </c>
      <c r="M10882">
        <v>0</v>
      </c>
      <c r="N10882">
        <v>0</v>
      </c>
      <c r="O10882">
        <v>0</v>
      </c>
      <c r="AF10882" t="s">
        <v>21881</v>
      </c>
    </row>
    <row r="10883" spans="1:32" hidden="1" x14ac:dyDescent="0.35">
      <c r="A10883">
        <v>989</v>
      </c>
      <c r="B10883" t="s">
        <v>2053</v>
      </c>
      <c r="C10883" t="s">
        <v>72</v>
      </c>
      <c r="D10883" t="s">
        <v>58</v>
      </c>
      <c r="E10883">
        <v>1054</v>
      </c>
      <c r="F10883">
        <v>5</v>
      </c>
      <c r="G10883">
        <v>5</v>
      </c>
      <c r="H10883">
        <v>1</v>
      </c>
      <c r="I10883">
        <v>1</v>
      </c>
      <c r="J10883">
        <v>0.888622617824946</v>
      </c>
      <c r="K10883">
        <v>0.95885245901639604</v>
      </c>
      <c r="L10883">
        <v>0.92240268128088998</v>
      </c>
      <c r="M10883">
        <v>0.72459016393442599</v>
      </c>
      <c r="N10883">
        <v>1</v>
      </c>
      <c r="O10883">
        <v>0.83409836065573795</v>
      </c>
      <c r="P10883" t="s">
        <v>2054</v>
      </c>
      <c r="Q10883" t="s">
        <v>2055</v>
      </c>
      <c r="R10883" t="s">
        <v>869</v>
      </c>
      <c r="S10883" t="s">
        <v>870</v>
      </c>
      <c r="T10883" t="s">
        <v>2056</v>
      </c>
      <c r="U10883" t="s">
        <v>2057</v>
      </c>
      <c r="V10883" t="s">
        <v>2058</v>
      </c>
      <c r="W10883" t="s">
        <v>2059</v>
      </c>
      <c r="X10883" t="s">
        <v>2058</v>
      </c>
      <c r="Y10883" t="s">
        <v>2060</v>
      </c>
      <c r="Z10883" t="s">
        <v>2061</v>
      </c>
      <c r="AA10883" t="s">
        <v>2062</v>
      </c>
      <c r="AB10883" t="s">
        <v>2061</v>
      </c>
      <c r="AC10883" t="s">
        <v>1094</v>
      </c>
      <c r="AD10883" t="s">
        <v>219</v>
      </c>
      <c r="AE10883" t="s">
        <v>2063</v>
      </c>
      <c r="AF10883" t="s">
        <v>2064</v>
      </c>
    </row>
    <row r="10884" spans="1:32" hidden="1" x14ac:dyDescent="0.35">
      <c r="A10884">
        <v>10883</v>
      </c>
      <c r="B10884" t="s">
        <v>21884</v>
      </c>
      <c r="C10884" t="s">
        <v>33</v>
      </c>
      <c r="D10884" t="s">
        <v>34</v>
      </c>
      <c r="E10884">
        <v>788</v>
      </c>
      <c r="F10884">
        <v>1</v>
      </c>
      <c r="G10884">
        <v>1</v>
      </c>
      <c r="H10884">
        <v>1</v>
      </c>
      <c r="I10884">
        <v>0</v>
      </c>
      <c r="J10884">
        <v>1</v>
      </c>
      <c r="K10884">
        <v>1</v>
      </c>
      <c r="L10884">
        <v>1</v>
      </c>
      <c r="M10884">
        <v>0</v>
      </c>
      <c r="N10884">
        <v>0</v>
      </c>
      <c r="O10884">
        <v>0</v>
      </c>
      <c r="AF10884" t="s">
        <v>21885</v>
      </c>
    </row>
    <row r="10885" spans="1:32" hidden="1" x14ac:dyDescent="0.35">
      <c r="A10885">
        <v>10884</v>
      </c>
      <c r="B10885" t="s">
        <v>21886</v>
      </c>
      <c r="C10885" t="s">
        <v>33</v>
      </c>
      <c r="D10885" t="s">
        <v>60</v>
      </c>
      <c r="E10885">
        <v>1908</v>
      </c>
      <c r="F10885">
        <v>1</v>
      </c>
      <c r="G10885">
        <v>1</v>
      </c>
      <c r="H10885">
        <v>1</v>
      </c>
      <c r="I10885">
        <v>0</v>
      </c>
      <c r="J10885">
        <v>1</v>
      </c>
      <c r="K10885">
        <v>1</v>
      </c>
      <c r="L10885">
        <v>1</v>
      </c>
      <c r="M10885">
        <v>0</v>
      </c>
      <c r="N10885">
        <v>0</v>
      </c>
      <c r="O10885">
        <v>0</v>
      </c>
      <c r="AF10885" t="s">
        <v>21887</v>
      </c>
    </row>
    <row r="10886" spans="1:32" hidden="1" x14ac:dyDescent="0.35">
      <c r="A10886">
        <v>10885</v>
      </c>
      <c r="B10886" t="s">
        <v>21888</v>
      </c>
      <c r="C10886" t="s">
        <v>33</v>
      </c>
      <c r="D10886" t="s">
        <v>58</v>
      </c>
      <c r="E10886">
        <v>1848</v>
      </c>
      <c r="F10886">
        <v>1</v>
      </c>
      <c r="G10886">
        <v>1</v>
      </c>
      <c r="H10886">
        <v>1</v>
      </c>
      <c r="I10886">
        <v>0</v>
      </c>
      <c r="J10886">
        <v>1</v>
      </c>
      <c r="K10886">
        <v>1</v>
      </c>
      <c r="L10886">
        <v>1</v>
      </c>
      <c r="M10886">
        <v>0</v>
      </c>
      <c r="N10886">
        <v>0</v>
      </c>
      <c r="O10886">
        <v>0</v>
      </c>
      <c r="AF10886" t="s">
        <v>21889</v>
      </c>
    </row>
    <row r="10887" spans="1:32" hidden="1" x14ac:dyDescent="0.35">
      <c r="A10887">
        <v>10886</v>
      </c>
      <c r="B10887" t="s">
        <v>21890</v>
      </c>
      <c r="C10887" t="s">
        <v>33</v>
      </c>
      <c r="D10887" t="s">
        <v>34</v>
      </c>
      <c r="E10887">
        <v>2390</v>
      </c>
      <c r="F10887">
        <v>1</v>
      </c>
      <c r="G10887">
        <v>1</v>
      </c>
      <c r="H10887">
        <v>1</v>
      </c>
      <c r="I10887">
        <v>0</v>
      </c>
      <c r="J10887">
        <v>1</v>
      </c>
      <c r="K10887">
        <v>1</v>
      </c>
      <c r="L10887">
        <v>1</v>
      </c>
      <c r="M10887">
        <v>0</v>
      </c>
      <c r="N10887">
        <v>0</v>
      </c>
      <c r="O10887">
        <v>0</v>
      </c>
      <c r="P10887" t="s">
        <v>21891</v>
      </c>
      <c r="Q10887" t="s">
        <v>16157</v>
      </c>
      <c r="AF10887" t="s">
        <v>21892</v>
      </c>
    </row>
    <row r="10888" spans="1:32" hidden="1" x14ac:dyDescent="0.35">
      <c r="A10888">
        <v>5960</v>
      </c>
      <c r="B10888" t="s">
        <v>12259</v>
      </c>
      <c r="C10888" t="s">
        <v>13295</v>
      </c>
      <c r="D10888" t="s">
        <v>58</v>
      </c>
      <c r="E10888">
        <v>1052</v>
      </c>
      <c r="F10888">
        <v>3</v>
      </c>
      <c r="G10888">
        <v>3</v>
      </c>
      <c r="H10888">
        <v>1</v>
      </c>
      <c r="I10888">
        <v>0</v>
      </c>
      <c r="J10888">
        <v>0.85912368275097095</v>
      </c>
      <c r="K10888">
        <v>0.99174917491749104</v>
      </c>
      <c r="L10888">
        <v>0.92068474610801398</v>
      </c>
      <c r="M10888">
        <v>0.72772277227722804</v>
      </c>
      <c r="N10888">
        <v>1</v>
      </c>
      <c r="O10888">
        <v>0.81848184818481895</v>
      </c>
      <c r="P10888" t="s">
        <v>12260</v>
      </c>
      <c r="Q10888" t="s">
        <v>12261</v>
      </c>
      <c r="R10888" t="s">
        <v>869</v>
      </c>
      <c r="S10888" t="s">
        <v>870</v>
      </c>
      <c r="T10888" t="s">
        <v>12262</v>
      </c>
      <c r="U10888" t="s">
        <v>12263</v>
      </c>
      <c r="V10888" t="s">
        <v>12264</v>
      </c>
      <c r="W10888" t="s">
        <v>12265</v>
      </c>
      <c r="X10888" t="s">
        <v>12264</v>
      </c>
      <c r="Y10888" t="s">
        <v>2060</v>
      </c>
      <c r="Z10888" t="s">
        <v>2061</v>
      </c>
      <c r="AA10888" t="s">
        <v>2062</v>
      </c>
      <c r="AB10888" t="s">
        <v>2061</v>
      </c>
      <c r="AC10888" t="s">
        <v>1094</v>
      </c>
      <c r="AD10888" t="s">
        <v>219</v>
      </c>
      <c r="AE10888" t="s">
        <v>2063</v>
      </c>
      <c r="AF10888" t="s">
        <v>12266</v>
      </c>
    </row>
    <row r="10889" spans="1:32" hidden="1" x14ac:dyDescent="0.35">
      <c r="A10889">
        <v>10888</v>
      </c>
      <c r="B10889" t="s">
        <v>21901</v>
      </c>
      <c r="C10889" t="s">
        <v>33</v>
      </c>
      <c r="D10889" t="s">
        <v>58</v>
      </c>
      <c r="E10889">
        <v>699</v>
      </c>
      <c r="F10889">
        <v>1</v>
      </c>
      <c r="G10889">
        <v>1</v>
      </c>
      <c r="H10889">
        <v>1</v>
      </c>
      <c r="I10889">
        <v>0</v>
      </c>
      <c r="J10889">
        <v>1</v>
      </c>
      <c r="K10889">
        <v>1</v>
      </c>
      <c r="L10889">
        <v>1</v>
      </c>
      <c r="M10889">
        <v>0</v>
      </c>
      <c r="N10889">
        <v>0</v>
      </c>
      <c r="O10889">
        <v>0</v>
      </c>
      <c r="P10889" t="s">
        <v>21902</v>
      </c>
      <c r="Q10889" t="s">
        <v>21903</v>
      </c>
      <c r="AF10889" t="s">
        <v>21904</v>
      </c>
    </row>
    <row r="10890" spans="1:32" hidden="1" x14ac:dyDescent="0.35">
      <c r="A10890">
        <v>10889</v>
      </c>
      <c r="B10890" t="s">
        <v>21905</v>
      </c>
      <c r="C10890" t="s">
        <v>33</v>
      </c>
      <c r="D10890" t="s">
        <v>58</v>
      </c>
      <c r="E10890">
        <v>472</v>
      </c>
      <c r="F10890">
        <v>1</v>
      </c>
      <c r="G10890">
        <v>1</v>
      </c>
      <c r="H10890">
        <v>1</v>
      </c>
      <c r="I10890">
        <v>0</v>
      </c>
      <c r="J10890">
        <v>1</v>
      </c>
      <c r="K10890">
        <v>1</v>
      </c>
      <c r="L10890">
        <v>1</v>
      </c>
      <c r="M10890">
        <v>0</v>
      </c>
      <c r="N10890">
        <v>0</v>
      </c>
      <c r="O10890">
        <v>0</v>
      </c>
      <c r="AF10890" t="s">
        <v>21906</v>
      </c>
    </row>
    <row r="10891" spans="1:32" hidden="1" x14ac:dyDescent="0.35">
      <c r="A10891">
        <v>10890</v>
      </c>
      <c r="B10891" t="s">
        <v>21907</v>
      </c>
      <c r="C10891" t="s">
        <v>33</v>
      </c>
      <c r="D10891" t="s">
        <v>45</v>
      </c>
      <c r="E10891">
        <v>503</v>
      </c>
      <c r="F10891">
        <v>1</v>
      </c>
      <c r="G10891">
        <v>1</v>
      </c>
      <c r="H10891">
        <v>1</v>
      </c>
      <c r="I10891">
        <v>0</v>
      </c>
      <c r="J10891">
        <v>1</v>
      </c>
      <c r="K10891">
        <v>1</v>
      </c>
      <c r="L10891">
        <v>1</v>
      </c>
      <c r="M10891">
        <v>0</v>
      </c>
      <c r="N10891">
        <v>0</v>
      </c>
      <c r="O10891">
        <v>0</v>
      </c>
      <c r="P10891" t="s">
        <v>381</v>
      </c>
      <c r="Q10891" t="s">
        <v>382</v>
      </c>
      <c r="R10891" t="s">
        <v>371</v>
      </c>
      <c r="S10891" t="s">
        <v>372</v>
      </c>
      <c r="V10891" t="s">
        <v>4106</v>
      </c>
      <c r="W10891" t="s">
        <v>4107</v>
      </c>
      <c r="AF10891" t="s">
        <v>21908</v>
      </c>
    </row>
    <row r="10892" spans="1:32" hidden="1" x14ac:dyDescent="0.35">
      <c r="A10892">
        <v>2994</v>
      </c>
      <c r="B10892" t="s">
        <v>6180</v>
      </c>
      <c r="C10892" t="s">
        <v>72</v>
      </c>
      <c r="D10892" t="s">
        <v>58</v>
      </c>
      <c r="E10892">
        <v>170</v>
      </c>
      <c r="F10892">
        <v>5</v>
      </c>
      <c r="G10892">
        <v>5</v>
      </c>
      <c r="H10892">
        <v>1</v>
      </c>
      <c r="I10892">
        <v>1</v>
      </c>
      <c r="J10892">
        <v>0.73420235878336404</v>
      </c>
      <c r="K10892">
        <v>0.99079130791307701</v>
      </c>
      <c r="L10892">
        <v>0.84341331724999102</v>
      </c>
      <c r="M10892">
        <v>0.52398523985239898</v>
      </c>
      <c r="N10892">
        <v>1</v>
      </c>
      <c r="O10892">
        <v>0.65350553505535003</v>
      </c>
      <c r="P10892" t="s">
        <v>6181</v>
      </c>
      <c r="Q10892" t="s">
        <v>6182</v>
      </c>
      <c r="R10892" t="s">
        <v>235</v>
      </c>
      <c r="S10892" t="s">
        <v>236</v>
      </c>
      <c r="T10892" t="s">
        <v>6183</v>
      </c>
      <c r="U10892" t="s">
        <v>6184</v>
      </c>
      <c r="V10892" t="s">
        <v>6185</v>
      </c>
      <c r="W10892" t="s">
        <v>6186</v>
      </c>
      <c r="X10892" t="s">
        <v>6185</v>
      </c>
      <c r="Y10892" t="s">
        <v>3568</v>
      </c>
      <c r="Z10892" t="s">
        <v>6187</v>
      </c>
      <c r="AA10892" t="s">
        <v>6188</v>
      </c>
      <c r="AB10892" t="s">
        <v>6187</v>
      </c>
      <c r="AC10892" t="s">
        <v>6189</v>
      </c>
      <c r="AD10892" t="s">
        <v>219</v>
      </c>
      <c r="AE10892" t="s">
        <v>6190</v>
      </c>
      <c r="AF10892" t="s">
        <v>6191</v>
      </c>
    </row>
    <row r="10893" spans="1:32" hidden="1" x14ac:dyDescent="0.35">
      <c r="A10893">
        <v>11133</v>
      </c>
      <c r="B10893" t="s">
        <v>22572</v>
      </c>
      <c r="C10893" t="s">
        <v>33</v>
      </c>
      <c r="D10893" t="s">
        <v>58</v>
      </c>
      <c r="E10893">
        <v>1513</v>
      </c>
      <c r="F10893">
        <v>1</v>
      </c>
      <c r="G10893">
        <v>1</v>
      </c>
      <c r="H10893">
        <v>1</v>
      </c>
      <c r="I10893">
        <v>0</v>
      </c>
      <c r="J10893">
        <v>1</v>
      </c>
      <c r="K10893">
        <v>1</v>
      </c>
      <c r="L10893">
        <v>1</v>
      </c>
      <c r="M10893">
        <v>0</v>
      </c>
      <c r="N10893">
        <v>0</v>
      </c>
      <c r="O10893">
        <v>0</v>
      </c>
      <c r="P10893" t="s">
        <v>9278</v>
      </c>
      <c r="Q10893" t="s">
        <v>9279</v>
      </c>
      <c r="R10893" t="s">
        <v>652</v>
      </c>
      <c r="S10893" t="s">
        <v>653</v>
      </c>
      <c r="T10893" t="s">
        <v>22573</v>
      </c>
      <c r="U10893" t="s">
        <v>22574</v>
      </c>
      <c r="V10893" t="s">
        <v>22575</v>
      </c>
      <c r="W10893" t="s">
        <v>22576</v>
      </c>
      <c r="X10893" t="s">
        <v>22575</v>
      </c>
      <c r="Y10893" t="s">
        <v>4474</v>
      </c>
      <c r="Z10893" t="s">
        <v>22577</v>
      </c>
      <c r="AA10893" t="s">
        <v>22578</v>
      </c>
      <c r="AB10893" t="s">
        <v>22577</v>
      </c>
      <c r="AC10893" t="s">
        <v>6590</v>
      </c>
      <c r="AD10893" t="s">
        <v>951</v>
      </c>
      <c r="AE10893" t="s">
        <v>22579</v>
      </c>
      <c r="AF10893" t="s">
        <v>22580</v>
      </c>
    </row>
    <row r="10894" spans="1:32" hidden="1" x14ac:dyDescent="0.35">
      <c r="A10894">
        <v>10893</v>
      </c>
      <c r="B10894" t="s">
        <v>21913</v>
      </c>
      <c r="C10894" t="s">
        <v>33</v>
      </c>
      <c r="D10894" t="s">
        <v>60</v>
      </c>
      <c r="E10894">
        <v>647</v>
      </c>
      <c r="F10894">
        <v>1</v>
      </c>
      <c r="G10894">
        <v>1</v>
      </c>
      <c r="H10894">
        <v>1</v>
      </c>
      <c r="I10894">
        <v>0</v>
      </c>
      <c r="J10894">
        <v>1</v>
      </c>
      <c r="K10894">
        <v>1</v>
      </c>
      <c r="L10894">
        <v>1</v>
      </c>
      <c r="M10894">
        <v>0</v>
      </c>
      <c r="N10894">
        <v>0</v>
      </c>
      <c r="O10894">
        <v>0</v>
      </c>
      <c r="P10894" t="s">
        <v>21914</v>
      </c>
      <c r="Q10894" t="s">
        <v>21915</v>
      </c>
      <c r="R10894" t="s">
        <v>14365</v>
      </c>
      <c r="S10894" t="s">
        <v>14366</v>
      </c>
      <c r="T10894" t="s">
        <v>21916</v>
      </c>
      <c r="U10894" t="s">
        <v>21917</v>
      </c>
      <c r="V10894" t="s">
        <v>21918</v>
      </c>
      <c r="W10894" t="s">
        <v>21919</v>
      </c>
      <c r="AD10894" t="s">
        <v>410</v>
      </c>
      <c r="AE10894" t="s">
        <v>3673</v>
      </c>
      <c r="AF10894" t="s">
        <v>21920</v>
      </c>
    </row>
    <row r="10895" spans="1:32" hidden="1" x14ac:dyDescent="0.35">
      <c r="A10895">
        <v>10894</v>
      </c>
      <c r="B10895" t="s">
        <v>21921</v>
      </c>
      <c r="C10895" t="s">
        <v>33</v>
      </c>
      <c r="D10895" t="s">
        <v>45</v>
      </c>
      <c r="E10895">
        <v>853</v>
      </c>
      <c r="F10895">
        <v>1</v>
      </c>
      <c r="G10895">
        <v>1</v>
      </c>
      <c r="H10895">
        <v>1</v>
      </c>
      <c r="I10895">
        <v>0</v>
      </c>
      <c r="J10895">
        <v>1</v>
      </c>
      <c r="K10895">
        <v>1</v>
      </c>
      <c r="L10895">
        <v>1</v>
      </c>
      <c r="M10895">
        <v>0</v>
      </c>
      <c r="N10895">
        <v>0</v>
      </c>
      <c r="O10895">
        <v>0</v>
      </c>
      <c r="AF10895" t="s">
        <v>21922</v>
      </c>
    </row>
    <row r="10896" spans="1:32" hidden="1" x14ac:dyDescent="0.35">
      <c r="A10896">
        <v>4534</v>
      </c>
      <c r="B10896" t="s">
        <v>9462</v>
      </c>
      <c r="C10896" t="s">
        <v>72</v>
      </c>
      <c r="D10896" t="s">
        <v>58</v>
      </c>
      <c r="E10896">
        <v>1372</v>
      </c>
      <c r="F10896">
        <v>5</v>
      </c>
      <c r="G10896">
        <v>5</v>
      </c>
      <c r="H10896">
        <v>1</v>
      </c>
      <c r="I10896">
        <v>1</v>
      </c>
      <c r="J10896">
        <v>0.89666043476667001</v>
      </c>
      <c r="K10896">
        <v>0.99704428813526502</v>
      </c>
      <c r="L10896">
        <v>0.94419172542485996</v>
      </c>
      <c r="M10896">
        <v>0.80921052631578905</v>
      </c>
      <c r="N10896">
        <v>0.99780701754386003</v>
      </c>
      <c r="O10896">
        <v>0.85997807017543804</v>
      </c>
      <c r="P10896" t="s">
        <v>9463</v>
      </c>
      <c r="Q10896" t="s">
        <v>9464</v>
      </c>
      <c r="R10896" t="s">
        <v>652</v>
      </c>
      <c r="S10896" t="s">
        <v>653</v>
      </c>
      <c r="T10896" t="s">
        <v>9465</v>
      </c>
      <c r="U10896" t="s">
        <v>9466</v>
      </c>
      <c r="V10896" t="s">
        <v>9467</v>
      </c>
      <c r="W10896" t="s">
        <v>9468</v>
      </c>
      <c r="X10896" t="s">
        <v>9467</v>
      </c>
      <c r="Y10896" t="s">
        <v>3424</v>
      </c>
      <c r="Z10896" t="s">
        <v>3425</v>
      </c>
      <c r="AA10896" t="s">
        <v>3426</v>
      </c>
      <c r="AB10896" t="s">
        <v>3425</v>
      </c>
      <c r="AC10896" t="s">
        <v>2106</v>
      </c>
      <c r="AD10896" t="s">
        <v>1140</v>
      </c>
      <c r="AE10896" t="s">
        <v>9469</v>
      </c>
      <c r="AF10896" t="s">
        <v>9470</v>
      </c>
    </row>
    <row r="10897" spans="1:32" hidden="1" x14ac:dyDescent="0.35">
      <c r="A10897">
        <v>1629</v>
      </c>
      <c r="B10897" t="s">
        <v>3417</v>
      </c>
      <c r="C10897" t="s">
        <v>72</v>
      </c>
      <c r="D10897" t="s">
        <v>58</v>
      </c>
      <c r="E10897">
        <v>1339</v>
      </c>
      <c r="F10897">
        <v>5</v>
      </c>
      <c r="G10897">
        <v>5</v>
      </c>
      <c r="H10897">
        <v>1</v>
      </c>
      <c r="I10897">
        <v>1</v>
      </c>
      <c r="J10897">
        <v>0.82004401557474205</v>
      </c>
      <c r="K10897">
        <v>0.87515797179625399</v>
      </c>
      <c r="L10897">
        <v>0.846705068541174</v>
      </c>
      <c r="M10897">
        <v>0.58479532163742698</v>
      </c>
      <c r="N10897">
        <v>1</v>
      </c>
      <c r="O10897">
        <v>0.70979532163742698</v>
      </c>
      <c r="P10897" t="s">
        <v>3418</v>
      </c>
      <c r="Q10897" t="s">
        <v>3419</v>
      </c>
      <c r="R10897" t="s">
        <v>652</v>
      </c>
      <c r="S10897" t="s">
        <v>653</v>
      </c>
      <c r="T10897" t="s">
        <v>3420</v>
      </c>
      <c r="U10897" t="s">
        <v>3421</v>
      </c>
      <c r="V10897" t="s">
        <v>3422</v>
      </c>
      <c r="W10897" t="s">
        <v>3423</v>
      </c>
      <c r="X10897" t="s">
        <v>3422</v>
      </c>
      <c r="Y10897" t="s">
        <v>3424</v>
      </c>
      <c r="Z10897" t="s">
        <v>3425</v>
      </c>
      <c r="AA10897" t="s">
        <v>3426</v>
      </c>
      <c r="AB10897" t="s">
        <v>3425</v>
      </c>
      <c r="AC10897" t="s">
        <v>2106</v>
      </c>
      <c r="AD10897" t="s">
        <v>1140</v>
      </c>
      <c r="AE10897" t="s">
        <v>3427</v>
      </c>
      <c r="AF10897" t="s">
        <v>3428</v>
      </c>
    </row>
    <row r="10898" spans="1:32" hidden="1" x14ac:dyDescent="0.35">
      <c r="A10898">
        <v>10897</v>
      </c>
      <c r="B10898" t="s">
        <v>21927</v>
      </c>
      <c r="C10898" t="s">
        <v>33</v>
      </c>
      <c r="D10898" t="s">
        <v>60</v>
      </c>
      <c r="E10898">
        <v>676</v>
      </c>
      <c r="F10898">
        <v>1</v>
      </c>
      <c r="G10898">
        <v>1</v>
      </c>
      <c r="H10898">
        <v>1</v>
      </c>
      <c r="I10898">
        <v>0</v>
      </c>
      <c r="J10898">
        <v>1</v>
      </c>
      <c r="K10898">
        <v>1</v>
      </c>
      <c r="L10898">
        <v>1</v>
      </c>
      <c r="M10898">
        <v>0</v>
      </c>
      <c r="N10898">
        <v>0</v>
      </c>
      <c r="O10898">
        <v>0</v>
      </c>
      <c r="AF10898" t="s">
        <v>21928</v>
      </c>
    </row>
    <row r="10899" spans="1:32" hidden="1" x14ac:dyDescent="0.35">
      <c r="A10899">
        <v>10898</v>
      </c>
      <c r="B10899" t="s">
        <v>21929</v>
      </c>
      <c r="C10899" t="s">
        <v>33</v>
      </c>
      <c r="D10899" t="s">
        <v>58</v>
      </c>
      <c r="E10899">
        <v>1713</v>
      </c>
      <c r="F10899">
        <v>1</v>
      </c>
      <c r="G10899">
        <v>1</v>
      </c>
      <c r="H10899">
        <v>1</v>
      </c>
      <c r="I10899">
        <v>0</v>
      </c>
      <c r="J10899">
        <v>1</v>
      </c>
      <c r="K10899">
        <v>1</v>
      </c>
      <c r="L10899">
        <v>1</v>
      </c>
      <c r="M10899">
        <v>0</v>
      </c>
      <c r="N10899">
        <v>0</v>
      </c>
      <c r="O10899">
        <v>0</v>
      </c>
      <c r="AF10899" t="s">
        <v>21930</v>
      </c>
    </row>
    <row r="10900" spans="1:32" hidden="1" x14ac:dyDescent="0.35">
      <c r="A10900">
        <v>10899</v>
      </c>
      <c r="B10900" t="s">
        <v>21931</v>
      </c>
      <c r="C10900" t="s">
        <v>33</v>
      </c>
      <c r="D10900" t="s">
        <v>62</v>
      </c>
      <c r="E10900">
        <v>93</v>
      </c>
      <c r="F10900">
        <v>1</v>
      </c>
      <c r="G10900">
        <v>1</v>
      </c>
      <c r="H10900">
        <v>1</v>
      </c>
      <c r="I10900">
        <v>0</v>
      </c>
      <c r="J10900">
        <v>1</v>
      </c>
      <c r="K10900">
        <v>1</v>
      </c>
      <c r="L10900">
        <v>1</v>
      </c>
      <c r="M10900">
        <v>0</v>
      </c>
      <c r="N10900">
        <v>0</v>
      </c>
      <c r="O10900">
        <v>0</v>
      </c>
      <c r="P10900" t="s">
        <v>21841</v>
      </c>
      <c r="Q10900" t="s">
        <v>21842</v>
      </c>
      <c r="R10900" t="s">
        <v>138</v>
      </c>
      <c r="S10900" t="s">
        <v>139</v>
      </c>
      <c r="V10900" t="s">
        <v>21932</v>
      </c>
      <c r="W10900" t="s">
        <v>21933</v>
      </c>
      <c r="AF10900" t="s">
        <v>21934</v>
      </c>
    </row>
    <row r="10901" spans="1:32" hidden="1" x14ac:dyDescent="0.35">
      <c r="A10901">
        <v>2149</v>
      </c>
      <c r="B10901" t="s">
        <v>4467</v>
      </c>
      <c r="C10901" t="s">
        <v>72</v>
      </c>
      <c r="D10901" t="s">
        <v>58</v>
      </c>
      <c r="E10901">
        <v>402</v>
      </c>
      <c r="F10901">
        <v>5</v>
      </c>
      <c r="G10901">
        <v>5</v>
      </c>
      <c r="H10901">
        <v>1</v>
      </c>
      <c r="I10901">
        <v>1</v>
      </c>
      <c r="J10901">
        <v>0.92264921171171199</v>
      </c>
      <c r="K10901">
        <v>0.93536163009209805</v>
      </c>
      <c r="L10901">
        <v>0.92896193203266897</v>
      </c>
      <c r="M10901">
        <v>0.78937007874015797</v>
      </c>
      <c r="N10901">
        <v>1</v>
      </c>
      <c r="O10901">
        <v>0.85964566929133901</v>
      </c>
      <c r="P10901" t="s">
        <v>4468</v>
      </c>
      <c r="Q10901" t="s">
        <v>4469</v>
      </c>
      <c r="R10901" t="s">
        <v>652</v>
      </c>
      <c r="S10901" t="s">
        <v>653</v>
      </c>
      <c r="T10901" t="s">
        <v>4470</v>
      </c>
      <c r="U10901" t="s">
        <v>4471</v>
      </c>
      <c r="V10901" t="s">
        <v>4472</v>
      </c>
      <c r="W10901" t="s">
        <v>4473</v>
      </c>
      <c r="X10901" t="s">
        <v>4472</v>
      </c>
      <c r="Y10901" t="s">
        <v>4474</v>
      </c>
      <c r="AD10901" t="s">
        <v>219</v>
      </c>
      <c r="AE10901" t="s">
        <v>4475</v>
      </c>
      <c r="AF10901" t="s">
        <v>4476</v>
      </c>
    </row>
    <row r="10902" spans="1:32" hidden="1" x14ac:dyDescent="0.35">
      <c r="A10902">
        <v>10901</v>
      </c>
      <c r="B10902" t="s">
        <v>21937</v>
      </c>
      <c r="C10902" t="s">
        <v>33</v>
      </c>
      <c r="D10902" t="s">
        <v>58</v>
      </c>
      <c r="E10902">
        <v>1633</v>
      </c>
      <c r="F10902">
        <v>1</v>
      </c>
      <c r="G10902">
        <v>1</v>
      </c>
      <c r="H10902">
        <v>1</v>
      </c>
      <c r="I10902">
        <v>0</v>
      </c>
      <c r="J10902">
        <v>1</v>
      </c>
      <c r="K10902">
        <v>1</v>
      </c>
      <c r="L10902">
        <v>1</v>
      </c>
      <c r="M10902">
        <v>0</v>
      </c>
      <c r="N10902">
        <v>0</v>
      </c>
      <c r="O10902">
        <v>0</v>
      </c>
      <c r="P10902" t="s">
        <v>14500</v>
      </c>
      <c r="Q10902" t="s">
        <v>14501</v>
      </c>
      <c r="AF10902" t="s">
        <v>21938</v>
      </c>
    </row>
    <row r="10903" spans="1:32" hidden="1" x14ac:dyDescent="0.35">
      <c r="A10903">
        <v>10902</v>
      </c>
      <c r="B10903" t="s">
        <v>21939</v>
      </c>
      <c r="C10903" t="s">
        <v>33</v>
      </c>
      <c r="D10903" t="s">
        <v>58</v>
      </c>
      <c r="E10903">
        <v>1593</v>
      </c>
      <c r="F10903">
        <v>1</v>
      </c>
      <c r="G10903">
        <v>1</v>
      </c>
      <c r="H10903">
        <v>1</v>
      </c>
      <c r="I10903">
        <v>0</v>
      </c>
      <c r="J10903">
        <v>1</v>
      </c>
      <c r="K10903">
        <v>1</v>
      </c>
      <c r="L10903">
        <v>1</v>
      </c>
      <c r="M10903">
        <v>0</v>
      </c>
      <c r="N10903">
        <v>0</v>
      </c>
      <c r="O10903">
        <v>0</v>
      </c>
      <c r="P10903" t="s">
        <v>21940</v>
      </c>
      <c r="Q10903" t="s">
        <v>21941</v>
      </c>
      <c r="R10903" t="s">
        <v>1259</v>
      </c>
      <c r="S10903" t="s">
        <v>1260</v>
      </c>
      <c r="V10903" t="s">
        <v>14967</v>
      </c>
      <c r="W10903" t="s">
        <v>2923</v>
      </c>
      <c r="AF10903" t="s">
        <v>21942</v>
      </c>
    </row>
    <row r="10904" spans="1:32" hidden="1" x14ac:dyDescent="0.35">
      <c r="A10904">
        <v>10903</v>
      </c>
      <c r="B10904" t="s">
        <v>21943</v>
      </c>
      <c r="C10904" t="s">
        <v>33</v>
      </c>
      <c r="D10904" t="s">
        <v>58</v>
      </c>
      <c r="E10904">
        <v>692</v>
      </c>
      <c r="F10904">
        <v>1</v>
      </c>
      <c r="G10904">
        <v>1</v>
      </c>
      <c r="H10904">
        <v>1</v>
      </c>
      <c r="I10904">
        <v>0</v>
      </c>
      <c r="J10904">
        <v>1</v>
      </c>
      <c r="K10904">
        <v>1</v>
      </c>
      <c r="L10904">
        <v>1</v>
      </c>
      <c r="M10904">
        <v>0</v>
      </c>
      <c r="N10904">
        <v>0</v>
      </c>
      <c r="O10904">
        <v>0</v>
      </c>
      <c r="P10904" t="s">
        <v>21944</v>
      </c>
      <c r="Q10904" t="s">
        <v>14364</v>
      </c>
      <c r="R10904" t="s">
        <v>13853</v>
      </c>
      <c r="S10904" t="s">
        <v>13854</v>
      </c>
      <c r="T10904" t="s">
        <v>21945</v>
      </c>
      <c r="U10904" t="s">
        <v>14368</v>
      </c>
      <c r="V10904" t="s">
        <v>21946</v>
      </c>
      <c r="W10904" t="s">
        <v>14364</v>
      </c>
      <c r="AD10904" t="s">
        <v>410</v>
      </c>
      <c r="AE10904" t="s">
        <v>1217</v>
      </c>
      <c r="AF10904" t="s">
        <v>21947</v>
      </c>
    </row>
    <row r="10905" spans="1:32" hidden="1" x14ac:dyDescent="0.35">
      <c r="A10905">
        <v>10904</v>
      </c>
      <c r="B10905" t="s">
        <v>21948</v>
      </c>
      <c r="C10905" t="s">
        <v>33</v>
      </c>
      <c r="D10905" t="s">
        <v>58</v>
      </c>
      <c r="E10905">
        <v>659</v>
      </c>
      <c r="F10905">
        <v>1</v>
      </c>
      <c r="G10905">
        <v>1</v>
      </c>
      <c r="H10905">
        <v>1</v>
      </c>
      <c r="I10905">
        <v>0</v>
      </c>
      <c r="J10905">
        <v>1</v>
      </c>
      <c r="K10905">
        <v>1</v>
      </c>
      <c r="L10905">
        <v>1</v>
      </c>
      <c r="M10905">
        <v>0</v>
      </c>
      <c r="N10905">
        <v>0</v>
      </c>
      <c r="O10905">
        <v>0</v>
      </c>
      <c r="AF10905" t="s">
        <v>21949</v>
      </c>
    </row>
    <row r="10906" spans="1:32" hidden="1" x14ac:dyDescent="0.35">
      <c r="A10906">
        <v>10905</v>
      </c>
      <c r="B10906" t="s">
        <v>21950</v>
      </c>
      <c r="C10906" t="s">
        <v>33</v>
      </c>
      <c r="D10906" t="s">
        <v>58</v>
      </c>
      <c r="E10906">
        <v>141</v>
      </c>
      <c r="F10906">
        <v>1</v>
      </c>
      <c r="G10906">
        <v>1</v>
      </c>
      <c r="H10906">
        <v>1</v>
      </c>
      <c r="I10906">
        <v>0</v>
      </c>
      <c r="J10906">
        <v>1</v>
      </c>
      <c r="K10906">
        <v>1</v>
      </c>
      <c r="L10906">
        <v>1</v>
      </c>
      <c r="M10906">
        <v>0</v>
      </c>
      <c r="N10906">
        <v>0</v>
      </c>
      <c r="O10906">
        <v>0</v>
      </c>
      <c r="P10906" t="s">
        <v>21951</v>
      </c>
      <c r="Q10906" t="s">
        <v>21952</v>
      </c>
      <c r="R10906" t="s">
        <v>319</v>
      </c>
      <c r="S10906" t="s">
        <v>320</v>
      </c>
      <c r="T10906" t="s">
        <v>7004</v>
      </c>
      <c r="U10906" t="s">
        <v>7005</v>
      </c>
      <c r="V10906" t="s">
        <v>2904</v>
      </c>
      <c r="W10906" t="s">
        <v>2905</v>
      </c>
      <c r="Z10906" t="s">
        <v>2906</v>
      </c>
      <c r="AA10906" t="s">
        <v>2907</v>
      </c>
      <c r="AB10906" t="s">
        <v>2906</v>
      </c>
      <c r="AC10906" t="s">
        <v>2908</v>
      </c>
      <c r="AD10906" t="s">
        <v>640</v>
      </c>
      <c r="AE10906" t="s">
        <v>7006</v>
      </c>
      <c r="AF10906" t="s">
        <v>21953</v>
      </c>
    </row>
    <row r="10907" spans="1:32" hidden="1" x14ac:dyDescent="0.35">
      <c r="A10907">
        <v>10906</v>
      </c>
      <c r="B10907" t="s">
        <v>21954</v>
      </c>
      <c r="C10907" t="s">
        <v>33</v>
      </c>
      <c r="D10907" t="s">
        <v>58</v>
      </c>
      <c r="E10907">
        <v>1489</v>
      </c>
      <c r="F10907">
        <v>1</v>
      </c>
      <c r="G10907">
        <v>1</v>
      </c>
      <c r="H10907">
        <v>1</v>
      </c>
      <c r="I10907">
        <v>0</v>
      </c>
      <c r="J10907">
        <v>1</v>
      </c>
      <c r="K10907">
        <v>1</v>
      </c>
      <c r="L10907">
        <v>1</v>
      </c>
      <c r="M10907">
        <v>0</v>
      </c>
      <c r="N10907">
        <v>0</v>
      </c>
      <c r="O10907">
        <v>0</v>
      </c>
      <c r="P10907" t="s">
        <v>1247</v>
      </c>
      <c r="Q10907" t="s">
        <v>1248</v>
      </c>
      <c r="R10907" t="s">
        <v>12738</v>
      </c>
      <c r="S10907" t="s">
        <v>12739</v>
      </c>
      <c r="T10907" t="s">
        <v>12740</v>
      </c>
      <c r="U10907" t="s">
        <v>12741</v>
      </c>
      <c r="V10907" t="s">
        <v>12742</v>
      </c>
      <c r="W10907" t="s">
        <v>12743</v>
      </c>
      <c r="AD10907" t="s">
        <v>439</v>
      </c>
      <c r="AE10907" t="s">
        <v>471</v>
      </c>
      <c r="AF10907" t="s">
        <v>21955</v>
      </c>
    </row>
    <row r="10908" spans="1:32" hidden="1" x14ac:dyDescent="0.35">
      <c r="A10908">
        <v>10907</v>
      </c>
      <c r="B10908" t="s">
        <v>21956</v>
      </c>
      <c r="C10908" t="s">
        <v>33</v>
      </c>
      <c r="D10908" t="s">
        <v>58</v>
      </c>
      <c r="E10908">
        <v>406</v>
      </c>
      <c r="F10908">
        <v>1</v>
      </c>
      <c r="G10908">
        <v>1</v>
      </c>
      <c r="H10908">
        <v>1</v>
      </c>
      <c r="I10908">
        <v>0</v>
      </c>
      <c r="J10908">
        <v>1</v>
      </c>
      <c r="K10908">
        <v>1</v>
      </c>
      <c r="L10908">
        <v>1</v>
      </c>
      <c r="M10908">
        <v>0</v>
      </c>
      <c r="N10908">
        <v>0</v>
      </c>
      <c r="O10908">
        <v>0</v>
      </c>
      <c r="AF10908" t="s">
        <v>21957</v>
      </c>
    </row>
    <row r="10909" spans="1:32" hidden="1" x14ac:dyDescent="0.35">
      <c r="A10909">
        <v>10908</v>
      </c>
      <c r="B10909" t="s">
        <v>21958</v>
      </c>
      <c r="C10909" t="s">
        <v>33</v>
      </c>
      <c r="D10909" t="s">
        <v>58</v>
      </c>
      <c r="E10909">
        <v>1527</v>
      </c>
      <c r="F10909">
        <v>1</v>
      </c>
      <c r="G10909">
        <v>1</v>
      </c>
      <c r="H10909">
        <v>1</v>
      </c>
      <c r="I10909">
        <v>0</v>
      </c>
      <c r="J10909">
        <v>1</v>
      </c>
      <c r="K10909">
        <v>1</v>
      </c>
      <c r="L10909">
        <v>1</v>
      </c>
      <c r="M10909">
        <v>0</v>
      </c>
      <c r="N10909">
        <v>0</v>
      </c>
      <c r="O10909">
        <v>0</v>
      </c>
      <c r="P10909" t="s">
        <v>4358</v>
      </c>
      <c r="Q10909" t="s">
        <v>4359</v>
      </c>
      <c r="R10909" t="s">
        <v>319</v>
      </c>
      <c r="S10909" t="s">
        <v>320</v>
      </c>
      <c r="T10909" t="s">
        <v>21959</v>
      </c>
      <c r="U10909" t="s">
        <v>21960</v>
      </c>
      <c r="V10909" t="s">
        <v>4360</v>
      </c>
      <c r="W10909" t="s">
        <v>4361</v>
      </c>
      <c r="AD10909" t="s">
        <v>166</v>
      </c>
      <c r="AE10909" t="s">
        <v>9717</v>
      </c>
      <c r="AF10909" t="s">
        <v>21961</v>
      </c>
    </row>
    <row r="10910" spans="1:32" hidden="1" x14ac:dyDescent="0.35">
      <c r="A10910">
        <v>1429</v>
      </c>
      <c r="B10910" t="s">
        <v>2984</v>
      </c>
      <c r="C10910" t="s">
        <v>72</v>
      </c>
      <c r="D10910" t="s">
        <v>58</v>
      </c>
      <c r="E10910">
        <v>77</v>
      </c>
      <c r="F10910">
        <v>5</v>
      </c>
      <c r="G10910">
        <v>5</v>
      </c>
      <c r="H10910">
        <v>1</v>
      </c>
      <c r="I10910">
        <v>1</v>
      </c>
      <c r="J10910">
        <v>0.87723970944309904</v>
      </c>
      <c r="K10910">
        <v>0.95724306092635703</v>
      </c>
      <c r="L10910">
        <v>0.91549687813567504</v>
      </c>
      <c r="M10910">
        <v>0.75925925925925897</v>
      </c>
      <c r="N10910">
        <v>1</v>
      </c>
      <c r="O10910">
        <v>0.81736111111111098</v>
      </c>
      <c r="P10910" t="s">
        <v>2985</v>
      </c>
      <c r="Q10910" t="s">
        <v>2986</v>
      </c>
      <c r="R10910" t="s">
        <v>224</v>
      </c>
      <c r="S10910" t="s">
        <v>225</v>
      </c>
      <c r="T10910" t="s">
        <v>2987</v>
      </c>
      <c r="U10910" t="s">
        <v>2988</v>
      </c>
      <c r="V10910" t="s">
        <v>2989</v>
      </c>
      <c r="W10910" t="s">
        <v>2990</v>
      </c>
      <c r="X10910" t="s">
        <v>2989</v>
      </c>
      <c r="Y10910" t="s">
        <v>1598</v>
      </c>
      <c r="AD10910" t="s">
        <v>2991</v>
      </c>
      <c r="AE10910" t="s">
        <v>2992</v>
      </c>
      <c r="AF10910" t="s">
        <v>2993</v>
      </c>
    </row>
    <row r="10911" spans="1:32" hidden="1" x14ac:dyDescent="0.35">
      <c r="A10911">
        <v>10910</v>
      </c>
      <c r="B10911" t="s">
        <v>21964</v>
      </c>
      <c r="C10911" t="s">
        <v>33</v>
      </c>
      <c r="D10911" t="s">
        <v>58</v>
      </c>
      <c r="E10911">
        <v>574</v>
      </c>
      <c r="F10911">
        <v>1</v>
      </c>
      <c r="G10911">
        <v>1</v>
      </c>
      <c r="H10911">
        <v>1</v>
      </c>
      <c r="I10911">
        <v>0</v>
      </c>
      <c r="J10911">
        <v>1</v>
      </c>
      <c r="K10911">
        <v>1</v>
      </c>
      <c r="L10911">
        <v>1</v>
      </c>
      <c r="M10911">
        <v>0</v>
      </c>
      <c r="N10911">
        <v>0</v>
      </c>
      <c r="O10911">
        <v>0</v>
      </c>
      <c r="P10911" t="s">
        <v>2732</v>
      </c>
      <c r="Q10911" t="s">
        <v>2733</v>
      </c>
      <c r="R10911" t="s">
        <v>21965</v>
      </c>
      <c r="S10911" t="s">
        <v>21966</v>
      </c>
      <c r="T10911" t="s">
        <v>21967</v>
      </c>
      <c r="U10911" t="s">
        <v>21968</v>
      </c>
      <c r="V10911" t="s">
        <v>21969</v>
      </c>
      <c r="W10911" t="s">
        <v>21970</v>
      </c>
      <c r="Z10911" t="s">
        <v>21971</v>
      </c>
      <c r="AA10911" t="s">
        <v>21972</v>
      </c>
      <c r="AB10911" t="s">
        <v>21971</v>
      </c>
      <c r="AC10911" t="s">
        <v>21973</v>
      </c>
      <c r="AD10911" t="s">
        <v>1140</v>
      </c>
      <c r="AE10911" t="s">
        <v>21974</v>
      </c>
      <c r="AF10911" t="s">
        <v>21975</v>
      </c>
    </row>
    <row r="10912" spans="1:32" hidden="1" x14ac:dyDescent="0.35">
      <c r="A10912">
        <v>10911</v>
      </c>
      <c r="B10912" t="s">
        <v>21976</v>
      </c>
      <c r="C10912" t="s">
        <v>33</v>
      </c>
      <c r="D10912" t="s">
        <v>58</v>
      </c>
      <c r="E10912">
        <v>1267</v>
      </c>
      <c r="F10912">
        <v>1</v>
      </c>
      <c r="G10912">
        <v>1</v>
      </c>
      <c r="H10912">
        <v>1</v>
      </c>
      <c r="I10912">
        <v>0</v>
      </c>
      <c r="J10912">
        <v>1</v>
      </c>
      <c r="K10912">
        <v>1</v>
      </c>
      <c r="L10912">
        <v>1</v>
      </c>
      <c r="M10912">
        <v>0</v>
      </c>
      <c r="N10912">
        <v>0</v>
      </c>
      <c r="O10912">
        <v>0</v>
      </c>
      <c r="P10912" t="s">
        <v>21977</v>
      </c>
      <c r="Q10912" t="s">
        <v>21978</v>
      </c>
      <c r="R10912" t="s">
        <v>288</v>
      </c>
      <c r="S10912" t="s">
        <v>289</v>
      </c>
      <c r="V10912" t="s">
        <v>21979</v>
      </c>
      <c r="W10912" t="s">
        <v>21980</v>
      </c>
      <c r="AF10912" t="s">
        <v>21981</v>
      </c>
    </row>
    <row r="10913" spans="1:32" hidden="1" x14ac:dyDescent="0.35">
      <c r="A10913">
        <v>1849</v>
      </c>
      <c r="B10913" t="s">
        <v>3831</v>
      </c>
      <c r="C10913" t="s">
        <v>72</v>
      </c>
      <c r="D10913" t="s">
        <v>58</v>
      </c>
      <c r="E10913">
        <v>78</v>
      </c>
      <c r="F10913">
        <v>5</v>
      </c>
      <c r="G10913">
        <v>5</v>
      </c>
      <c r="H10913">
        <v>1</v>
      </c>
      <c r="I10913">
        <v>1</v>
      </c>
      <c r="J10913">
        <v>0.83736559139784905</v>
      </c>
      <c r="K10913">
        <v>0.95529877847474298</v>
      </c>
      <c r="L10913">
        <v>0.89245297674544499</v>
      </c>
      <c r="M10913">
        <v>0.645299145299145</v>
      </c>
      <c r="N10913">
        <v>1</v>
      </c>
      <c r="O10913">
        <v>0.734615384615385</v>
      </c>
      <c r="P10913" t="s">
        <v>3832</v>
      </c>
      <c r="Q10913" t="s">
        <v>3833</v>
      </c>
      <c r="R10913" t="s">
        <v>224</v>
      </c>
      <c r="S10913" t="s">
        <v>225</v>
      </c>
      <c r="T10913" t="s">
        <v>3834</v>
      </c>
      <c r="U10913" t="s">
        <v>3835</v>
      </c>
      <c r="V10913" t="s">
        <v>3836</v>
      </c>
      <c r="W10913" t="s">
        <v>3837</v>
      </c>
      <c r="AD10913" t="s">
        <v>166</v>
      </c>
      <c r="AE10913" t="s">
        <v>818</v>
      </c>
      <c r="AF10913" t="s">
        <v>3838</v>
      </c>
    </row>
    <row r="10914" spans="1:32" hidden="1" x14ac:dyDescent="0.35">
      <c r="A10914">
        <v>10913</v>
      </c>
      <c r="B10914" t="s">
        <v>21984</v>
      </c>
      <c r="C10914" t="s">
        <v>33</v>
      </c>
      <c r="D10914" t="s">
        <v>34</v>
      </c>
      <c r="E10914">
        <v>1259</v>
      </c>
      <c r="F10914">
        <v>1</v>
      </c>
      <c r="G10914">
        <v>1</v>
      </c>
      <c r="H10914">
        <v>1</v>
      </c>
      <c r="I10914">
        <v>0</v>
      </c>
      <c r="J10914">
        <v>1</v>
      </c>
      <c r="K10914">
        <v>1</v>
      </c>
      <c r="L10914">
        <v>1</v>
      </c>
      <c r="M10914">
        <v>0</v>
      </c>
      <c r="N10914">
        <v>0</v>
      </c>
      <c r="O10914">
        <v>0</v>
      </c>
      <c r="AF10914" t="s">
        <v>21985</v>
      </c>
    </row>
    <row r="10915" spans="1:32" hidden="1" x14ac:dyDescent="0.35">
      <c r="A10915">
        <v>529</v>
      </c>
      <c r="B10915" t="s">
        <v>1025</v>
      </c>
      <c r="C10915" t="s">
        <v>72</v>
      </c>
      <c r="D10915" t="s">
        <v>58</v>
      </c>
      <c r="E10915">
        <v>588</v>
      </c>
      <c r="F10915">
        <v>5</v>
      </c>
      <c r="G10915">
        <v>5</v>
      </c>
      <c r="H10915">
        <v>1</v>
      </c>
      <c r="I10915">
        <v>1</v>
      </c>
      <c r="J10915">
        <v>0.77449168207024</v>
      </c>
      <c r="K10915">
        <v>0.91425722831505396</v>
      </c>
      <c r="L10915">
        <v>0.83859076295842006</v>
      </c>
      <c r="M10915">
        <v>0.57983193277310896</v>
      </c>
      <c r="N10915">
        <v>1</v>
      </c>
      <c r="O10915">
        <v>0.69411764705882395</v>
      </c>
      <c r="P10915" t="s">
        <v>1026</v>
      </c>
      <c r="Q10915" t="s">
        <v>1027</v>
      </c>
      <c r="R10915" t="s">
        <v>652</v>
      </c>
      <c r="S10915" t="s">
        <v>653</v>
      </c>
      <c r="V10915" t="s">
        <v>1028</v>
      </c>
      <c r="W10915" t="s">
        <v>1029</v>
      </c>
      <c r="AF10915" t="s">
        <v>1030</v>
      </c>
    </row>
    <row r="10916" spans="1:32" hidden="1" x14ac:dyDescent="0.35">
      <c r="A10916">
        <v>10873</v>
      </c>
      <c r="B10916" t="s">
        <v>21858</v>
      </c>
      <c r="C10916" t="s">
        <v>33</v>
      </c>
      <c r="D10916" t="s">
        <v>58</v>
      </c>
      <c r="E10916">
        <v>635</v>
      </c>
      <c r="F10916">
        <v>1</v>
      </c>
      <c r="G10916">
        <v>1</v>
      </c>
      <c r="H10916">
        <v>1</v>
      </c>
      <c r="I10916">
        <v>0</v>
      </c>
      <c r="J10916">
        <v>1</v>
      </c>
      <c r="K10916">
        <v>1</v>
      </c>
      <c r="L10916">
        <v>1</v>
      </c>
      <c r="M10916">
        <v>0</v>
      </c>
      <c r="N10916">
        <v>0</v>
      </c>
      <c r="O10916">
        <v>0</v>
      </c>
      <c r="P10916" t="s">
        <v>1026</v>
      </c>
      <c r="Q10916" t="s">
        <v>1027</v>
      </c>
      <c r="R10916" t="s">
        <v>652</v>
      </c>
      <c r="S10916" t="s">
        <v>653</v>
      </c>
      <c r="V10916" t="s">
        <v>1028</v>
      </c>
      <c r="W10916" t="s">
        <v>1029</v>
      </c>
      <c r="AF10916" t="s">
        <v>21859</v>
      </c>
    </row>
    <row r="10917" spans="1:32" hidden="1" x14ac:dyDescent="0.35">
      <c r="A10917">
        <v>10916</v>
      </c>
      <c r="B10917" t="s">
        <v>21990</v>
      </c>
      <c r="C10917" t="s">
        <v>33</v>
      </c>
      <c r="D10917" t="s">
        <v>58</v>
      </c>
      <c r="E10917">
        <v>1098</v>
      </c>
      <c r="F10917">
        <v>1</v>
      </c>
      <c r="G10917">
        <v>1</v>
      </c>
      <c r="H10917">
        <v>1</v>
      </c>
      <c r="I10917">
        <v>0</v>
      </c>
      <c r="J10917">
        <v>1</v>
      </c>
      <c r="K10917">
        <v>1</v>
      </c>
      <c r="L10917">
        <v>1</v>
      </c>
      <c r="M10917">
        <v>0</v>
      </c>
      <c r="N10917">
        <v>0</v>
      </c>
      <c r="O10917">
        <v>0</v>
      </c>
      <c r="P10917" t="s">
        <v>1016</v>
      </c>
      <c r="Q10917" t="s">
        <v>1017</v>
      </c>
      <c r="R10917" t="s">
        <v>319</v>
      </c>
      <c r="S10917" t="s">
        <v>320</v>
      </c>
      <c r="T10917" t="s">
        <v>10975</v>
      </c>
      <c r="U10917" t="s">
        <v>10976</v>
      </c>
      <c r="V10917" t="s">
        <v>10977</v>
      </c>
      <c r="W10917" t="s">
        <v>10978</v>
      </c>
      <c r="AD10917" t="s">
        <v>245</v>
      </c>
      <c r="AE10917" t="s">
        <v>10979</v>
      </c>
      <c r="AF10917" t="s">
        <v>21991</v>
      </c>
    </row>
    <row r="10918" spans="1:32" hidden="1" x14ac:dyDescent="0.35">
      <c r="A10918">
        <v>10917</v>
      </c>
      <c r="B10918" t="s">
        <v>21992</v>
      </c>
      <c r="C10918" t="s">
        <v>33</v>
      </c>
      <c r="D10918" t="s">
        <v>34</v>
      </c>
      <c r="E10918">
        <v>267</v>
      </c>
      <c r="F10918">
        <v>1</v>
      </c>
      <c r="G10918">
        <v>1</v>
      </c>
      <c r="H10918">
        <v>1</v>
      </c>
      <c r="I10918">
        <v>0</v>
      </c>
      <c r="J10918">
        <v>1</v>
      </c>
      <c r="K10918">
        <v>1</v>
      </c>
      <c r="L10918">
        <v>1</v>
      </c>
      <c r="M10918">
        <v>0</v>
      </c>
      <c r="N10918">
        <v>0</v>
      </c>
      <c r="O10918">
        <v>0</v>
      </c>
      <c r="AF10918" t="s">
        <v>21993</v>
      </c>
    </row>
    <row r="10919" spans="1:32" hidden="1" x14ac:dyDescent="0.35">
      <c r="A10919">
        <v>4019</v>
      </c>
      <c r="B10919" t="s">
        <v>8293</v>
      </c>
      <c r="C10919" t="s">
        <v>72</v>
      </c>
      <c r="D10919" t="s">
        <v>58</v>
      </c>
      <c r="E10919">
        <v>293</v>
      </c>
      <c r="F10919">
        <v>5</v>
      </c>
      <c r="G10919">
        <v>5</v>
      </c>
      <c r="H10919">
        <v>1</v>
      </c>
      <c r="I10919">
        <v>1</v>
      </c>
      <c r="J10919">
        <v>0.79117269694636905</v>
      </c>
      <c r="K10919">
        <v>0.93267318388673703</v>
      </c>
      <c r="L10919">
        <v>0.85611546423002605</v>
      </c>
      <c r="M10919">
        <v>0.60171919770773596</v>
      </c>
      <c r="N10919">
        <v>0.99283667621776495</v>
      </c>
      <c r="O10919">
        <v>0.69813753581661897</v>
      </c>
      <c r="P10919" t="s">
        <v>8294</v>
      </c>
      <c r="Q10919" t="s">
        <v>8295</v>
      </c>
      <c r="R10919" t="s">
        <v>371</v>
      </c>
      <c r="S10919" t="s">
        <v>372</v>
      </c>
      <c r="T10919" t="s">
        <v>8296</v>
      </c>
      <c r="U10919" t="s">
        <v>8297</v>
      </c>
      <c r="V10919" t="s">
        <v>8298</v>
      </c>
      <c r="W10919" t="s">
        <v>8299</v>
      </c>
      <c r="AD10919" t="s">
        <v>8300</v>
      </c>
      <c r="AE10919" t="s">
        <v>8301</v>
      </c>
      <c r="AF10919" t="s">
        <v>8302</v>
      </c>
    </row>
    <row r="10920" spans="1:32" hidden="1" x14ac:dyDescent="0.35">
      <c r="A10920">
        <v>3464</v>
      </c>
      <c r="B10920" t="s">
        <v>7120</v>
      </c>
      <c r="C10920" t="s">
        <v>72</v>
      </c>
      <c r="D10920" t="s">
        <v>58</v>
      </c>
      <c r="E10920">
        <v>1112</v>
      </c>
      <c r="F10920">
        <v>5</v>
      </c>
      <c r="G10920">
        <v>5</v>
      </c>
      <c r="H10920">
        <v>1</v>
      </c>
      <c r="I10920">
        <v>1</v>
      </c>
      <c r="J10920">
        <v>0.90146182999458602</v>
      </c>
      <c r="K10920">
        <v>0.98777795300425797</v>
      </c>
      <c r="L10920">
        <v>0.94264807374540605</v>
      </c>
      <c r="M10920">
        <v>0.79946524064171098</v>
      </c>
      <c r="N10920">
        <v>1</v>
      </c>
      <c r="O10920">
        <v>0.86096256684492001</v>
      </c>
      <c r="P10920" t="s">
        <v>7121</v>
      </c>
      <c r="Q10920" t="s">
        <v>7122</v>
      </c>
      <c r="R10920" t="s">
        <v>371</v>
      </c>
      <c r="S10920" t="s">
        <v>372</v>
      </c>
      <c r="T10920" t="s">
        <v>7123</v>
      </c>
      <c r="U10920" t="s">
        <v>7124</v>
      </c>
      <c r="V10920" t="s">
        <v>7125</v>
      </c>
      <c r="W10920" t="s">
        <v>7126</v>
      </c>
      <c r="AD10920" t="s">
        <v>7127</v>
      </c>
      <c r="AE10920" t="s">
        <v>7128</v>
      </c>
      <c r="AF10920" t="s">
        <v>7129</v>
      </c>
    </row>
    <row r="10921" spans="1:32" hidden="1" x14ac:dyDescent="0.35">
      <c r="A10921">
        <v>10920</v>
      </c>
      <c r="B10921" t="s">
        <v>22002</v>
      </c>
      <c r="C10921" t="s">
        <v>33</v>
      </c>
      <c r="D10921" t="s">
        <v>58</v>
      </c>
      <c r="E10921">
        <v>519</v>
      </c>
      <c r="F10921">
        <v>1</v>
      </c>
      <c r="G10921">
        <v>1</v>
      </c>
      <c r="H10921">
        <v>1</v>
      </c>
      <c r="I10921">
        <v>0</v>
      </c>
      <c r="J10921">
        <v>1</v>
      </c>
      <c r="K10921">
        <v>1</v>
      </c>
      <c r="L10921">
        <v>1</v>
      </c>
      <c r="M10921">
        <v>0</v>
      </c>
      <c r="N10921">
        <v>0</v>
      </c>
      <c r="O10921">
        <v>0</v>
      </c>
      <c r="AF10921" t="s">
        <v>22003</v>
      </c>
    </row>
    <row r="10922" spans="1:32" hidden="1" x14ac:dyDescent="0.35">
      <c r="A10922">
        <v>10921</v>
      </c>
      <c r="B10922" t="s">
        <v>22004</v>
      </c>
      <c r="C10922" t="s">
        <v>33</v>
      </c>
      <c r="D10922" t="s">
        <v>58</v>
      </c>
      <c r="E10922">
        <v>11</v>
      </c>
      <c r="F10922">
        <v>1</v>
      </c>
      <c r="G10922">
        <v>1</v>
      </c>
      <c r="H10922">
        <v>1</v>
      </c>
      <c r="I10922">
        <v>0</v>
      </c>
      <c r="J10922">
        <v>1</v>
      </c>
      <c r="K10922">
        <v>1</v>
      </c>
      <c r="L10922">
        <v>1</v>
      </c>
      <c r="M10922">
        <v>0</v>
      </c>
      <c r="N10922">
        <v>0</v>
      </c>
      <c r="O10922">
        <v>0</v>
      </c>
      <c r="AF10922" t="s">
        <v>22005</v>
      </c>
    </row>
    <row r="10923" spans="1:32" hidden="1" x14ac:dyDescent="0.35">
      <c r="A10923">
        <v>10922</v>
      </c>
      <c r="B10923" t="s">
        <v>22006</v>
      </c>
      <c r="C10923" t="s">
        <v>33</v>
      </c>
      <c r="D10923" t="s">
        <v>58</v>
      </c>
      <c r="E10923">
        <v>1028</v>
      </c>
      <c r="F10923">
        <v>1</v>
      </c>
      <c r="G10923">
        <v>1</v>
      </c>
      <c r="H10923">
        <v>1</v>
      </c>
      <c r="I10923">
        <v>0</v>
      </c>
      <c r="J10923">
        <v>1</v>
      </c>
      <c r="K10923">
        <v>1</v>
      </c>
      <c r="L10923">
        <v>1</v>
      </c>
      <c r="M10923">
        <v>0</v>
      </c>
      <c r="N10923">
        <v>0</v>
      </c>
      <c r="O10923">
        <v>0</v>
      </c>
      <c r="P10923" t="s">
        <v>19445</v>
      </c>
      <c r="Q10923" t="s">
        <v>19446</v>
      </c>
      <c r="AF10923" t="s">
        <v>22007</v>
      </c>
    </row>
    <row r="10924" spans="1:32" hidden="1" x14ac:dyDescent="0.35">
      <c r="A10924">
        <v>10923</v>
      </c>
      <c r="B10924" t="s">
        <v>22008</v>
      </c>
      <c r="C10924" t="s">
        <v>33</v>
      </c>
      <c r="D10924" t="s">
        <v>62</v>
      </c>
      <c r="E10924">
        <v>944</v>
      </c>
      <c r="F10924">
        <v>1</v>
      </c>
      <c r="G10924">
        <v>1</v>
      </c>
      <c r="H10924">
        <v>1</v>
      </c>
      <c r="I10924">
        <v>0</v>
      </c>
      <c r="J10924">
        <v>1</v>
      </c>
      <c r="K10924">
        <v>1</v>
      </c>
      <c r="L10924">
        <v>1</v>
      </c>
      <c r="M10924">
        <v>0</v>
      </c>
      <c r="N10924">
        <v>0</v>
      </c>
      <c r="O10924">
        <v>0</v>
      </c>
      <c r="AF10924" t="s">
        <v>22009</v>
      </c>
    </row>
    <row r="10925" spans="1:32" hidden="1" x14ac:dyDescent="0.35">
      <c r="A10925">
        <v>10924</v>
      </c>
      <c r="B10925" t="s">
        <v>22010</v>
      </c>
      <c r="C10925" t="s">
        <v>33</v>
      </c>
      <c r="D10925" t="s">
        <v>60</v>
      </c>
      <c r="E10925">
        <v>16</v>
      </c>
      <c r="F10925">
        <v>1</v>
      </c>
      <c r="G10925">
        <v>1</v>
      </c>
      <c r="H10925">
        <v>1</v>
      </c>
      <c r="I10925">
        <v>0</v>
      </c>
      <c r="J10925">
        <v>1</v>
      </c>
      <c r="K10925">
        <v>1</v>
      </c>
      <c r="L10925">
        <v>1</v>
      </c>
      <c r="M10925">
        <v>0</v>
      </c>
      <c r="N10925">
        <v>0</v>
      </c>
      <c r="O10925">
        <v>0</v>
      </c>
      <c r="P10925" t="s">
        <v>22011</v>
      </c>
      <c r="Q10925" t="s">
        <v>22012</v>
      </c>
      <c r="R10925" t="s">
        <v>1259</v>
      </c>
      <c r="S10925" t="s">
        <v>1260</v>
      </c>
      <c r="V10925" t="s">
        <v>22013</v>
      </c>
      <c r="W10925" t="s">
        <v>22014</v>
      </c>
      <c r="AF10925" t="s">
        <v>22015</v>
      </c>
    </row>
    <row r="10926" spans="1:32" hidden="1" x14ac:dyDescent="0.35">
      <c r="A10926">
        <v>599</v>
      </c>
      <c r="B10926" t="s">
        <v>1210</v>
      </c>
      <c r="C10926" t="s">
        <v>72</v>
      </c>
      <c r="D10926" t="s">
        <v>58</v>
      </c>
      <c r="E10926">
        <v>934</v>
      </c>
      <c r="F10926">
        <v>5</v>
      </c>
      <c r="G10926">
        <v>5</v>
      </c>
      <c r="H10926">
        <v>1</v>
      </c>
      <c r="I10926">
        <v>1</v>
      </c>
      <c r="J10926">
        <v>0.84517837235228499</v>
      </c>
      <c r="K10926">
        <v>0.84040389775455504</v>
      </c>
      <c r="L10926">
        <v>0.84278437311480403</v>
      </c>
      <c r="M10926">
        <v>0.60616438356164404</v>
      </c>
      <c r="N10926">
        <v>1</v>
      </c>
      <c r="O10926">
        <v>0.71678082191780801</v>
      </c>
      <c r="P10926" t="s">
        <v>1211</v>
      </c>
      <c r="Q10926" t="s">
        <v>1212</v>
      </c>
      <c r="R10926" t="s">
        <v>371</v>
      </c>
      <c r="S10926" t="s">
        <v>372</v>
      </c>
      <c r="T10926" t="s">
        <v>1213</v>
      </c>
      <c r="U10926" t="s">
        <v>1214</v>
      </c>
      <c r="V10926" t="s">
        <v>1215</v>
      </c>
      <c r="W10926" t="s">
        <v>1216</v>
      </c>
      <c r="AD10926" t="s">
        <v>410</v>
      </c>
      <c r="AE10926" t="s">
        <v>1217</v>
      </c>
      <c r="AF10926" t="s">
        <v>1218</v>
      </c>
    </row>
    <row r="10927" spans="1:32" hidden="1" x14ac:dyDescent="0.35">
      <c r="A10927">
        <v>10926</v>
      </c>
      <c r="B10927" t="s">
        <v>22018</v>
      </c>
      <c r="C10927" t="s">
        <v>33</v>
      </c>
      <c r="D10927" t="s">
        <v>58</v>
      </c>
      <c r="E10927">
        <v>1815</v>
      </c>
      <c r="F10927">
        <v>1</v>
      </c>
      <c r="G10927">
        <v>1</v>
      </c>
      <c r="H10927">
        <v>1</v>
      </c>
      <c r="I10927">
        <v>0</v>
      </c>
      <c r="J10927">
        <v>1</v>
      </c>
      <c r="K10927">
        <v>1</v>
      </c>
      <c r="L10927">
        <v>1</v>
      </c>
      <c r="M10927">
        <v>0</v>
      </c>
      <c r="N10927">
        <v>0</v>
      </c>
      <c r="O10927">
        <v>0</v>
      </c>
      <c r="P10927" t="s">
        <v>10830</v>
      </c>
      <c r="Q10927" t="s">
        <v>10831</v>
      </c>
      <c r="R10927" t="s">
        <v>96</v>
      </c>
      <c r="S10927" t="s">
        <v>97</v>
      </c>
      <c r="T10927" t="s">
        <v>10832</v>
      </c>
      <c r="U10927" t="s">
        <v>10833</v>
      </c>
      <c r="V10927" t="s">
        <v>10834</v>
      </c>
      <c r="W10927" t="s">
        <v>10835</v>
      </c>
      <c r="AD10927" t="s">
        <v>7708</v>
      </c>
      <c r="AE10927" t="s">
        <v>10836</v>
      </c>
      <c r="AF10927" t="s">
        <v>22019</v>
      </c>
    </row>
    <row r="10928" spans="1:32" hidden="1" x14ac:dyDescent="0.35">
      <c r="A10928">
        <v>10927</v>
      </c>
      <c r="B10928" t="s">
        <v>22020</v>
      </c>
      <c r="C10928" t="s">
        <v>33</v>
      </c>
      <c r="D10928" t="s">
        <v>58</v>
      </c>
      <c r="E10928">
        <v>493</v>
      </c>
      <c r="F10928">
        <v>1</v>
      </c>
      <c r="G10928">
        <v>1</v>
      </c>
      <c r="H10928">
        <v>1</v>
      </c>
      <c r="I10928">
        <v>0</v>
      </c>
      <c r="J10928">
        <v>1</v>
      </c>
      <c r="K10928">
        <v>1</v>
      </c>
      <c r="L10928">
        <v>1</v>
      </c>
      <c r="M10928">
        <v>0</v>
      </c>
      <c r="N10928">
        <v>0</v>
      </c>
      <c r="O10928">
        <v>0</v>
      </c>
      <c r="AF10928" t="s">
        <v>22021</v>
      </c>
    </row>
    <row r="10929" spans="1:32" hidden="1" x14ac:dyDescent="0.35">
      <c r="A10929">
        <v>10928</v>
      </c>
      <c r="B10929" t="s">
        <v>22022</v>
      </c>
      <c r="C10929" t="s">
        <v>33</v>
      </c>
      <c r="D10929" t="s">
        <v>60</v>
      </c>
      <c r="E10929">
        <v>1076</v>
      </c>
      <c r="F10929">
        <v>1</v>
      </c>
      <c r="G10929">
        <v>1</v>
      </c>
      <c r="H10929">
        <v>1</v>
      </c>
      <c r="I10929">
        <v>0</v>
      </c>
      <c r="J10929">
        <v>1</v>
      </c>
      <c r="K10929">
        <v>1</v>
      </c>
      <c r="L10929">
        <v>1</v>
      </c>
      <c r="M10929">
        <v>0</v>
      </c>
      <c r="N10929">
        <v>0</v>
      </c>
      <c r="O10929">
        <v>0</v>
      </c>
      <c r="AF10929" t="s">
        <v>22023</v>
      </c>
    </row>
    <row r="10930" spans="1:32" hidden="1" x14ac:dyDescent="0.35">
      <c r="A10930">
        <v>10929</v>
      </c>
      <c r="B10930" t="s">
        <v>22024</v>
      </c>
      <c r="C10930" t="s">
        <v>33</v>
      </c>
      <c r="D10930" t="s">
        <v>58</v>
      </c>
      <c r="E10930">
        <v>1249</v>
      </c>
      <c r="F10930">
        <v>1</v>
      </c>
      <c r="G10930">
        <v>1</v>
      </c>
      <c r="H10930">
        <v>1</v>
      </c>
      <c r="I10930">
        <v>0</v>
      </c>
      <c r="J10930">
        <v>1</v>
      </c>
      <c r="K10930">
        <v>1</v>
      </c>
      <c r="L10930">
        <v>1</v>
      </c>
      <c r="M10930">
        <v>0</v>
      </c>
      <c r="N10930">
        <v>0</v>
      </c>
      <c r="O10930">
        <v>0</v>
      </c>
      <c r="AF10930" t="s">
        <v>22025</v>
      </c>
    </row>
    <row r="10931" spans="1:32" hidden="1" x14ac:dyDescent="0.35">
      <c r="A10931">
        <v>10930</v>
      </c>
      <c r="B10931" t="s">
        <v>22026</v>
      </c>
      <c r="C10931" t="s">
        <v>33</v>
      </c>
      <c r="D10931" t="s">
        <v>58</v>
      </c>
      <c r="E10931">
        <v>1407</v>
      </c>
      <c r="F10931">
        <v>1</v>
      </c>
      <c r="G10931">
        <v>1</v>
      </c>
      <c r="H10931">
        <v>1</v>
      </c>
      <c r="I10931">
        <v>0</v>
      </c>
      <c r="J10931">
        <v>1</v>
      </c>
      <c r="K10931">
        <v>1</v>
      </c>
      <c r="L10931">
        <v>1</v>
      </c>
      <c r="M10931">
        <v>0</v>
      </c>
      <c r="N10931">
        <v>0</v>
      </c>
      <c r="O10931">
        <v>0</v>
      </c>
      <c r="P10931" t="s">
        <v>19258</v>
      </c>
      <c r="Q10931" t="s">
        <v>19259</v>
      </c>
      <c r="R10931" t="s">
        <v>22027</v>
      </c>
      <c r="S10931" t="s">
        <v>22028</v>
      </c>
      <c r="T10931" t="s">
        <v>19260</v>
      </c>
      <c r="U10931" t="s">
        <v>19261</v>
      </c>
      <c r="V10931" t="s">
        <v>22029</v>
      </c>
      <c r="W10931" t="s">
        <v>22030</v>
      </c>
      <c r="Z10931" t="s">
        <v>15474</v>
      </c>
      <c r="AA10931" t="s">
        <v>15475</v>
      </c>
      <c r="AB10931" t="s">
        <v>15474</v>
      </c>
      <c r="AC10931" t="s">
        <v>15476</v>
      </c>
      <c r="AD10931" t="s">
        <v>1231</v>
      </c>
      <c r="AE10931" t="s">
        <v>19264</v>
      </c>
      <c r="AF10931" t="s">
        <v>22031</v>
      </c>
    </row>
    <row r="10932" spans="1:32" hidden="1" x14ac:dyDescent="0.35">
      <c r="A10932">
        <v>10931</v>
      </c>
      <c r="B10932" t="s">
        <v>22032</v>
      </c>
      <c r="C10932" t="s">
        <v>33</v>
      </c>
      <c r="D10932" t="s">
        <v>60</v>
      </c>
      <c r="E10932">
        <v>2437</v>
      </c>
      <c r="F10932">
        <v>1</v>
      </c>
      <c r="G10932">
        <v>1</v>
      </c>
      <c r="H10932">
        <v>1</v>
      </c>
      <c r="I10932">
        <v>0</v>
      </c>
      <c r="J10932">
        <v>1</v>
      </c>
      <c r="K10932">
        <v>1</v>
      </c>
      <c r="L10932">
        <v>1</v>
      </c>
      <c r="M10932">
        <v>0</v>
      </c>
      <c r="N10932">
        <v>0</v>
      </c>
      <c r="O10932">
        <v>0</v>
      </c>
      <c r="AF10932" t="s">
        <v>22033</v>
      </c>
    </row>
    <row r="10933" spans="1:32" hidden="1" x14ac:dyDescent="0.35">
      <c r="A10933">
        <v>10932</v>
      </c>
      <c r="B10933" t="s">
        <v>22034</v>
      </c>
      <c r="C10933" t="s">
        <v>33</v>
      </c>
      <c r="D10933" t="s">
        <v>34</v>
      </c>
      <c r="E10933">
        <v>11</v>
      </c>
      <c r="F10933">
        <v>1</v>
      </c>
      <c r="G10933">
        <v>1</v>
      </c>
      <c r="H10933">
        <v>1</v>
      </c>
      <c r="I10933">
        <v>0</v>
      </c>
      <c r="J10933">
        <v>1</v>
      </c>
      <c r="K10933">
        <v>1</v>
      </c>
      <c r="L10933">
        <v>1</v>
      </c>
      <c r="M10933">
        <v>0</v>
      </c>
      <c r="N10933">
        <v>0</v>
      </c>
      <c r="O10933">
        <v>0</v>
      </c>
      <c r="AF10933" t="s">
        <v>22035</v>
      </c>
    </row>
    <row r="10934" spans="1:32" hidden="1" x14ac:dyDescent="0.35">
      <c r="A10934">
        <v>10933</v>
      </c>
      <c r="B10934" t="s">
        <v>22036</v>
      </c>
      <c r="C10934" t="s">
        <v>33</v>
      </c>
      <c r="D10934" t="s">
        <v>58</v>
      </c>
      <c r="E10934">
        <v>367</v>
      </c>
      <c r="F10934">
        <v>1</v>
      </c>
      <c r="G10934">
        <v>1</v>
      </c>
      <c r="H10934">
        <v>1</v>
      </c>
      <c r="I10934">
        <v>0</v>
      </c>
      <c r="J10934">
        <v>1</v>
      </c>
      <c r="K10934">
        <v>1</v>
      </c>
      <c r="L10934">
        <v>1</v>
      </c>
      <c r="M10934">
        <v>0</v>
      </c>
      <c r="N10934">
        <v>0</v>
      </c>
      <c r="O10934">
        <v>0</v>
      </c>
      <c r="AF10934" t="s">
        <v>22037</v>
      </c>
    </row>
    <row r="10935" spans="1:32" hidden="1" x14ac:dyDescent="0.35">
      <c r="A10935">
        <v>4714</v>
      </c>
      <c r="B10935" t="s">
        <v>9858</v>
      </c>
      <c r="C10935" t="s">
        <v>10127</v>
      </c>
      <c r="D10935" t="s">
        <v>58</v>
      </c>
      <c r="E10935">
        <v>814</v>
      </c>
      <c r="F10935">
        <v>5</v>
      </c>
      <c r="G10935">
        <v>5</v>
      </c>
      <c r="H10935">
        <v>1</v>
      </c>
      <c r="I10935">
        <v>1</v>
      </c>
      <c r="J10935">
        <v>0.71666903644722502</v>
      </c>
      <c r="K10935">
        <v>0.97043703562582795</v>
      </c>
      <c r="L10935">
        <v>0.824467633383692</v>
      </c>
      <c r="M10935">
        <v>0.49379310344827598</v>
      </c>
      <c r="N10935">
        <v>0.99448275862069002</v>
      </c>
      <c r="O10935">
        <v>0.62841379310344803</v>
      </c>
      <c r="P10935" t="s">
        <v>6973</v>
      </c>
      <c r="Q10935" t="s">
        <v>6974</v>
      </c>
      <c r="R10935" t="s">
        <v>371</v>
      </c>
      <c r="S10935" t="s">
        <v>372</v>
      </c>
      <c r="T10935" t="s">
        <v>9859</v>
      </c>
      <c r="U10935" t="s">
        <v>9860</v>
      </c>
      <c r="V10935" t="s">
        <v>9861</v>
      </c>
      <c r="W10935" t="s">
        <v>9862</v>
      </c>
      <c r="AD10935" t="s">
        <v>1437</v>
      </c>
      <c r="AE10935" t="s">
        <v>9863</v>
      </c>
      <c r="AF10935" t="s">
        <v>9864</v>
      </c>
    </row>
    <row r="10936" spans="1:32" hidden="1" x14ac:dyDescent="0.35">
      <c r="A10936">
        <v>10935</v>
      </c>
      <c r="B10936" t="s">
        <v>22040</v>
      </c>
      <c r="C10936" t="s">
        <v>33</v>
      </c>
      <c r="D10936" t="s">
        <v>58</v>
      </c>
      <c r="E10936">
        <v>605</v>
      </c>
      <c r="F10936">
        <v>1</v>
      </c>
      <c r="G10936">
        <v>1</v>
      </c>
      <c r="H10936">
        <v>1</v>
      </c>
      <c r="I10936">
        <v>0</v>
      </c>
      <c r="J10936">
        <v>1</v>
      </c>
      <c r="K10936">
        <v>1</v>
      </c>
      <c r="L10936">
        <v>1</v>
      </c>
      <c r="M10936">
        <v>0</v>
      </c>
      <c r="N10936">
        <v>0</v>
      </c>
      <c r="O10936">
        <v>0</v>
      </c>
      <c r="P10936" t="s">
        <v>22041</v>
      </c>
      <c r="Q10936" t="s">
        <v>22042</v>
      </c>
      <c r="AF10936" t="s">
        <v>22043</v>
      </c>
    </row>
    <row r="10937" spans="1:32" hidden="1" x14ac:dyDescent="0.35">
      <c r="A10937">
        <v>10936</v>
      </c>
      <c r="B10937" t="s">
        <v>22044</v>
      </c>
      <c r="C10937" t="s">
        <v>33</v>
      </c>
      <c r="D10937" t="s">
        <v>34</v>
      </c>
      <c r="E10937">
        <v>793</v>
      </c>
      <c r="F10937">
        <v>1</v>
      </c>
      <c r="G10937">
        <v>1</v>
      </c>
      <c r="H10937">
        <v>1</v>
      </c>
      <c r="I10937">
        <v>0</v>
      </c>
      <c r="J10937">
        <v>1</v>
      </c>
      <c r="K10937">
        <v>1</v>
      </c>
      <c r="L10937">
        <v>1</v>
      </c>
      <c r="M10937">
        <v>0</v>
      </c>
      <c r="N10937">
        <v>0</v>
      </c>
      <c r="O10937">
        <v>0</v>
      </c>
      <c r="AF10937" t="s">
        <v>22045</v>
      </c>
    </row>
    <row r="10938" spans="1:32" hidden="1" x14ac:dyDescent="0.35">
      <c r="A10938">
        <v>10937</v>
      </c>
      <c r="B10938" t="s">
        <v>22046</v>
      </c>
      <c r="C10938" t="s">
        <v>33</v>
      </c>
      <c r="D10938" t="s">
        <v>58</v>
      </c>
      <c r="E10938">
        <v>1191</v>
      </c>
      <c r="F10938">
        <v>1</v>
      </c>
      <c r="G10938">
        <v>1</v>
      </c>
      <c r="H10938">
        <v>1</v>
      </c>
      <c r="I10938">
        <v>0</v>
      </c>
      <c r="J10938">
        <v>1</v>
      </c>
      <c r="K10938">
        <v>1</v>
      </c>
      <c r="L10938">
        <v>1</v>
      </c>
      <c r="M10938">
        <v>0</v>
      </c>
      <c r="N10938">
        <v>0</v>
      </c>
      <c r="O10938">
        <v>0</v>
      </c>
      <c r="AF10938" t="s">
        <v>22047</v>
      </c>
    </row>
    <row r="10939" spans="1:32" hidden="1" x14ac:dyDescent="0.35">
      <c r="A10939">
        <v>10938</v>
      </c>
      <c r="B10939" t="s">
        <v>22048</v>
      </c>
      <c r="C10939" t="s">
        <v>33</v>
      </c>
      <c r="D10939" t="s">
        <v>34</v>
      </c>
      <c r="E10939">
        <v>2021</v>
      </c>
      <c r="F10939">
        <v>1</v>
      </c>
      <c r="G10939">
        <v>1</v>
      </c>
      <c r="H10939">
        <v>1</v>
      </c>
      <c r="I10939">
        <v>0</v>
      </c>
      <c r="J10939">
        <v>1</v>
      </c>
      <c r="K10939">
        <v>1</v>
      </c>
      <c r="L10939">
        <v>1</v>
      </c>
      <c r="M10939">
        <v>0</v>
      </c>
      <c r="N10939">
        <v>0</v>
      </c>
      <c r="O10939">
        <v>0</v>
      </c>
      <c r="AF10939" t="s">
        <v>22049</v>
      </c>
    </row>
    <row r="10940" spans="1:32" hidden="1" x14ac:dyDescent="0.35">
      <c r="A10940">
        <v>10939</v>
      </c>
      <c r="B10940" t="s">
        <v>22050</v>
      </c>
      <c r="C10940" t="s">
        <v>33</v>
      </c>
      <c r="D10940" t="s">
        <v>58</v>
      </c>
      <c r="E10940">
        <v>739</v>
      </c>
      <c r="F10940">
        <v>1</v>
      </c>
      <c r="G10940">
        <v>1</v>
      </c>
      <c r="H10940">
        <v>1</v>
      </c>
      <c r="I10940">
        <v>0</v>
      </c>
      <c r="J10940">
        <v>1</v>
      </c>
      <c r="K10940">
        <v>1</v>
      </c>
      <c r="L10940">
        <v>1</v>
      </c>
      <c r="M10940">
        <v>0</v>
      </c>
      <c r="N10940">
        <v>0</v>
      </c>
      <c r="O10940">
        <v>0</v>
      </c>
      <c r="P10940" t="s">
        <v>13409</v>
      </c>
      <c r="Q10940" t="s">
        <v>13410</v>
      </c>
      <c r="AF10940" t="s">
        <v>22051</v>
      </c>
    </row>
    <row r="10941" spans="1:32" hidden="1" x14ac:dyDescent="0.35">
      <c r="A10941">
        <v>10940</v>
      </c>
      <c r="B10941" t="s">
        <v>22052</v>
      </c>
      <c r="C10941" t="s">
        <v>33</v>
      </c>
      <c r="D10941" t="s">
        <v>58</v>
      </c>
      <c r="E10941">
        <v>1403</v>
      </c>
      <c r="F10941">
        <v>1</v>
      </c>
      <c r="G10941">
        <v>1</v>
      </c>
      <c r="H10941">
        <v>1</v>
      </c>
      <c r="I10941">
        <v>0</v>
      </c>
      <c r="J10941">
        <v>1</v>
      </c>
      <c r="K10941">
        <v>1</v>
      </c>
      <c r="L10941">
        <v>1</v>
      </c>
      <c r="M10941">
        <v>0</v>
      </c>
      <c r="N10941">
        <v>0</v>
      </c>
      <c r="O10941">
        <v>0</v>
      </c>
      <c r="AF10941" t="s">
        <v>22053</v>
      </c>
    </row>
    <row r="10942" spans="1:32" hidden="1" x14ac:dyDescent="0.35">
      <c r="A10942">
        <v>10941</v>
      </c>
      <c r="B10942" t="s">
        <v>22054</v>
      </c>
      <c r="C10942" t="s">
        <v>33</v>
      </c>
      <c r="D10942" t="s">
        <v>60</v>
      </c>
      <c r="E10942">
        <v>2058</v>
      </c>
      <c r="F10942">
        <v>1</v>
      </c>
      <c r="G10942">
        <v>1</v>
      </c>
      <c r="H10942">
        <v>1</v>
      </c>
      <c r="I10942">
        <v>0</v>
      </c>
      <c r="J10942">
        <v>1</v>
      </c>
      <c r="K10942">
        <v>1</v>
      </c>
      <c r="L10942">
        <v>1</v>
      </c>
      <c r="M10942">
        <v>0</v>
      </c>
      <c r="N10942">
        <v>0</v>
      </c>
      <c r="O10942">
        <v>0</v>
      </c>
      <c r="AF10942" t="s">
        <v>22055</v>
      </c>
    </row>
    <row r="10943" spans="1:32" hidden="1" x14ac:dyDescent="0.35">
      <c r="A10943">
        <v>10942</v>
      </c>
      <c r="B10943" t="s">
        <v>22056</v>
      </c>
      <c r="C10943" t="s">
        <v>33</v>
      </c>
      <c r="D10943" t="s">
        <v>60</v>
      </c>
      <c r="E10943">
        <v>2514</v>
      </c>
      <c r="F10943">
        <v>1</v>
      </c>
      <c r="G10943">
        <v>1</v>
      </c>
      <c r="H10943">
        <v>1</v>
      </c>
      <c r="I10943">
        <v>0</v>
      </c>
      <c r="J10943">
        <v>1</v>
      </c>
      <c r="K10943">
        <v>1</v>
      </c>
      <c r="L10943">
        <v>1</v>
      </c>
      <c r="M10943">
        <v>0</v>
      </c>
      <c r="N10943">
        <v>0</v>
      </c>
      <c r="O10943">
        <v>0</v>
      </c>
      <c r="P10943" t="s">
        <v>15377</v>
      </c>
      <c r="Q10943" t="s">
        <v>10223</v>
      </c>
      <c r="R10943" t="s">
        <v>224</v>
      </c>
      <c r="S10943" t="s">
        <v>225</v>
      </c>
      <c r="V10943" t="s">
        <v>8738</v>
      </c>
      <c r="W10943" t="s">
        <v>8739</v>
      </c>
      <c r="AF10943" t="s">
        <v>22057</v>
      </c>
    </row>
    <row r="10944" spans="1:32" hidden="1" x14ac:dyDescent="0.35">
      <c r="A10944">
        <v>10943</v>
      </c>
      <c r="B10944" t="s">
        <v>22058</v>
      </c>
      <c r="C10944" t="s">
        <v>33</v>
      </c>
      <c r="D10944" t="s">
        <v>34</v>
      </c>
      <c r="E10944">
        <v>112</v>
      </c>
      <c r="F10944">
        <v>1</v>
      </c>
      <c r="G10944">
        <v>1</v>
      </c>
      <c r="H10944">
        <v>1</v>
      </c>
      <c r="I10944">
        <v>0</v>
      </c>
      <c r="J10944">
        <v>1</v>
      </c>
      <c r="K10944">
        <v>1</v>
      </c>
      <c r="L10944">
        <v>1</v>
      </c>
      <c r="M10944">
        <v>0</v>
      </c>
      <c r="N10944">
        <v>0</v>
      </c>
      <c r="O10944">
        <v>0</v>
      </c>
      <c r="AF10944" t="s">
        <v>22059</v>
      </c>
    </row>
    <row r="10945" spans="1:32" hidden="1" x14ac:dyDescent="0.35">
      <c r="A10945">
        <v>10944</v>
      </c>
      <c r="B10945" t="s">
        <v>22060</v>
      </c>
      <c r="C10945" t="s">
        <v>33</v>
      </c>
      <c r="D10945" t="s">
        <v>58</v>
      </c>
      <c r="E10945">
        <v>695</v>
      </c>
      <c r="F10945">
        <v>1</v>
      </c>
      <c r="G10945">
        <v>1</v>
      </c>
      <c r="H10945">
        <v>1</v>
      </c>
      <c r="I10945">
        <v>0</v>
      </c>
      <c r="J10945">
        <v>1</v>
      </c>
      <c r="K10945">
        <v>1</v>
      </c>
      <c r="L10945">
        <v>1</v>
      </c>
      <c r="M10945">
        <v>0</v>
      </c>
      <c r="N10945">
        <v>0</v>
      </c>
      <c r="O10945">
        <v>0</v>
      </c>
      <c r="R10945" t="s">
        <v>8647</v>
      </c>
      <c r="S10945" t="s">
        <v>8648</v>
      </c>
      <c r="V10945" t="s">
        <v>12077</v>
      </c>
      <c r="W10945" t="s">
        <v>12078</v>
      </c>
      <c r="X10945" t="s">
        <v>12077</v>
      </c>
      <c r="Y10945" t="s">
        <v>5826</v>
      </c>
      <c r="AF10945" t="s">
        <v>22061</v>
      </c>
    </row>
    <row r="10946" spans="1:32" hidden="1" x14ac:dyDescent="0.35">
      <c r="A10946">
        <v>10945</v>
      </c>
      <c r="B10946" t="s">
        <v>22062</v>
      </c>
      <c r="C10946" t="s">
        <v>33</v>
      </c>
      <c r="D10946" t="s">
        <v>58</v>
      </c>
      <c r="E10946">
        <v>1434</v>
      </c>
      <c r="F10946">
        <v>1</v>
      </c>
      <c r="G10946">
        <v>1</v>
      </c>
      <c r="H10946">
        <v>1</v>
      </c>
      <c r="I10946">
        <v>0</v>
      </c>
      <c r="J10946">
        <v>1</v>
      </c>
      <c r="K10946">
        <v>1</v>
      </c>
      <c r="L10946">
        <v>1</v>
      </c>
      <c r="M10946">
        <v>0</v>
      </c>
      <c r="N10946">
        <v>0</v>
      </c>
      <c r="O10946">
        <v>0</v>
      </c>
      <c r="P10946" t="s">
        <v>3179</v>
      </c>
      <c r="Q10946" t="s">
        <v>3180</v>
      </c>
      <c r="R10946" t="s">
        <v>18146</v>
      </c>
      <c r="S10946" t="s">
        <v>18147</v>
      </c>
      <c r="V10946" t="s">
        <v>18148</v>
      </c>
      <c r="W10946" t="s">
        <v>18149</v>
      </c>
      <c r="X10946" t="s">
        <v>18148</v>
      </c>
      <c r="Y10946" t="s">
        <v>2750</v>
      </c>
      <c r="AF10946" t="s">
        <v>22063</v>
      </c>
    </row>
    <row r="10947" spans="1:32" hidden="1" x14ac:dyDescent="0.35">
      <c r="A10947">
        <v>4059</v>
      </c>
      <c r="B10947" t="s">
        <v>8385</v>
      </c>
      <c r="C10947" t="s">
        <v>72</v>
      </c>
      <c r="D10947" t="s">
        <v>58</v>
      </c>
      <c r="E10947">
        <v>2</v>
      </c>
      <c r="F10947">
        <v>5</v>
      </c>
      <c r="G10947">
        <v>5</v>
      </c>
      <c r="H10947">
        <v>1</v>
      </c>
      <c r="I10947">
        <v>1</v>
      </c>
      <c r="J10947">
        <v>0.79218533886583697</v>
      </c>
      <c r="K10947">
        <v>0.94691670279905504</v>
      </c>
      <c r="L10947">
        <v>0.862667642396033</v>
      </c>
      <c r="M10947">
        <v>0.59803921568627405</v>
      </c>
      <c r="N10947">
        <v>0.99754901960784303</v>
      </c>
      <c r="O10947">
        <v>0.70735294117647096</v>
      </c>
      <c r="P10947" t="s">
        <v>448</v>
      </c>
      <c r="Q10947" t="s">
        <v>449</v>
      </c>
      <c r="R10947" t="s">
        <v>371</v>
      </c>
      <c r="S10947" t="s">
        <v>372</v>
      </c>
      <c r="T10947" t="s">
        <v>8386</v>
      </c>
      <c r="U10947" t="s">
        <v>8387</v>
      </c>
      <c r="V10947" t="s">
        <v>8388</v>
      </c>
      <c r="W10947" t="s">
        <v>8389</v>
      </c>
      <c r="AD10947" t="s">
        <v>6268</v>
      </c>
      <c r="AE10947" t="s">
        <v>8390</v>
      </c>
      <c r="AF10947" t="s">
        <v>8391</v>
      </c>
    </row>
    <row r="10948" spans="1:32" hidden="1" x14ac:dyDescent="0.35">
      <c r="A10948">
        <v>10947</v>
      </c>
      <c r="B10948" t="s">
        <v>22066</v>
      </c>
      <c r="C10948" t="s">
        <v>33</v>
      </c>
      <c r="D10948" t="s">
        <v>58</v>
      </c>
      <c r="E10948">
        <v>291</v>
      </c>
      <c r="F10948">
        <v>1</v>
      </c>
      <c r="G10948">
        <v>1</v>
      </c>
      <c r="H10948">
        <v>1</v>
      </c>
      <c r="I10948">
        <v>0</v>
      </c>
      <c r="J10948">
        <v>1</v>
      </c>
      <c r="K10948">
        <v>1</v>
      </c>
      <c r="L10948">
        <v>1</v>
      </c>
      <c r="M10948">
        <v>0</v>
      </c>
      <c r="N10948">
        <v>0</v>
      </c>
      <c r="O10948">
        <v>0</v>
      </c>
      <c r="P10948" t="s">
        <v>19807</v>
      </c>
      <c r="Q10948" t="s">
        <v>19808</v>
      </c>
      <c r="T10948" t="s">
        <v>19809</v>
      </c>
      <c r="U10948" t="s">
        <v>19810</v>
      </c>
      <c r="AD10948" t="s">
        <v>4789</v>
      </c>
      <c r="AE10948" t="s">
        <v>4790</v>
      </c>
      <c r="AF10948" t="s">
        <v>22067</v>
      </c>
    </row>
    <row r="10949" spans="1:32" hidden="1" x14ac:dyDescent="0.35">
      <c r="A10949">
        <v>10948</v>
      </c>
      <c r="B10949" t="s">
        <v>22068</v>
      </c>
      <c r="C10949" t="s">
        <v>33</v>
      </c>
      <c r="D10949" t="s">
        <v>58</v>
      </c>
      <c r="E10949">
        <v>1209</v>
      </c>
      <c r="F10949">
        <v>1</v>
      </c>
      <c r="G10949">
        <v>1</v>
      </c>
      <c r="H10949">
        <v>1</v>
      </c>
      <c r="I10949">
        <v>0</v>
      </c>
      <c r="J10949">
        <v>1</v>
      </c>
      <c r="K10949">
        <v>1</v>
      </c>
      <c r="L10949">
        <v>1</v>
      </c>
      <c r="M10949">
        <v>0</v>
      </c>
      <c r="N10949">
        <v>0</v>
      </c>
      <c r="O10949">
        <v>0</v>
      </c>
      <c r="P10949" t="s">
        <v>20365</v>
      </c>
      <c r="Q10949" t="s">
        <v>20366</v>
      </c>
      <c r="AF10949" t="s">
        <v>22069</v>
      </c>
    </row>
    <row r="10950" spans="1:32" hidden="1" x14ac:dyDescent="0.35">
      <c r="A10950">
        <v>10949</v>
      </c>
      <c r="B10950" t="s">
        <v>22070</v>
      </c>
      <c r="C10950" t="s">
        <v>33</v>
      </c>
      <c r="D10950" t="s">
        <v>58</v>
      </c>
      <c r="E10950">
        <v>680</v>
      </c>
      <c r="F10950">
        <v>1</v>
      </c>
      <c r="G10950">
        <v>1</v>
      </c>
      <c r="H10950">
        <v>1</v>
      </c>
      <c r="I10950">
        <v>0</v>
      </c>
      <c r="J10950">
        <v>1</v>
      </c>
      <c r="K10950">
        <v>1</v>
      </c>
      <c r="L10950">
        <v>1</v>
      </c>
      <c r="M10950">
        <v>0</v>
      </c>
      <c r="N10950">
        <v>0</v>
      </c>
      <c r="O10950">
        <v>0</v>
      </c>
      <c r="P10950" t="s">
        <v>13336</v>
      </c>
      <c r="Q10950" t="s">
        <v>13337</v>
      </c>
      <c r="AF10950" t="s">
        <v>22071</v>
      </c>
    </row>
    <row r="10951" spans="1:32" hidden="1" x14ac:dyDescent="0.35">
      <c r="A10951">
        <v>10950</v>
      </c>
      <c r="B10951" t="s">
        <v>22072</v>
      </c>
      <c r="C10951" t="s">
        <v>33</v>
      </c>
      <c r="D10951" t="s">
        <v>58</v>
      </c>
      <c r="E10951">
        <v>1704</v>
      </c>
      <c r="F10951">
        <v>1</v>
      </c>
      <c r="G10951">
        <v>1</v>
      </c>
      <c r="H10951">
        <v>1</v>
      </c>
      <c r="I10951">
        <v>0</v>
      </c>
      <c r="J10951">
        <v>1</v>
      </c>
      <c r="K10951">
        <v>1</v>
      </c>
      <c r="L10951">
        <v>1</v>
      </c>
      <c r="M10951">
        <v>0</v>
      </c>
      <c r="N10951">
        <v>0</v>
      </c>
      <c r="O10951">
        <v>0</v>
      </c>
      <c r="AF10951" t="s">
        <v>22073</v>
      </c>
    </row>
    <row r="10952" spans="1:32" hidden="1" x14ac:dyDescent="0.35">
      <c r="A10952">
        <v>10951</v>
      </c>
      <c r="B10952" t="s">
        <v>22074</v>
      </c>
      <c r="C10952" t="s">
        <v>33</v>
      </c>
      <c r="D10952" t="s">
        <v>45</v>
      </c>
      <c r="E10952">
        <v>10</v>
      </c>
      <c r="F10952">
        <v>1</v>
      </c>
      <c r="G10952">
        <v>1</v>
      </c>
      <c r="H10952">
        <v>1</v>
      </c>
      <c r="I10952">
        <v>0</v>
      </c>
      <c r="J10952">
        <v>1</v>
      </c>
      <c r="K10952">
        <v>1</v>
      </c>
      <c r="L10952">
        <v>1</v>
      </c>
      <c r="M10952">
        <v>0</v>
      </c>
      <c r="N10952">
        <v>0</v>
      </c>
      <c r="O10952">
        <v>0</v>
      </c>
      <c r="AF10952" t="s">
        <v>22075</v>
      </c>
    </row>
    <row r="10953" spans="1:32" hidden="1" x14ac:dyDescent="0.35">
      <c r="A10953">
        <v>10952</v>
      </c>
      <c r="B10953" t="s">
        <v>22076</v>
      </c>
      <c r="C10953" t="s">
        <v>33</v>
      </c>
      <c r="D10953" t="s">
        <v>58</v>
      </c>
      <c r="E10953">
        <v>499</v>
      </c>
      <c r="F10953">
        <v>1</v>
      </c>
      <c r="G10953">
        <v>1</v>
      </c>
      <c r="H10953">
        <v>1</v>
      </c>
      <c r="I10953">
        <v>0</v>
      </c>
      <c r="J10953">
        <v>1</v>
      </c>
      <c r="K10953">
        <v>1</v>
      </c>
      <c r="L10953">
        <v>1</v>
      </c>
      <c r="M10953">
        <v>0</v>
      </c>
      <c r="N10953">
        <v>0</v>
      </c>
      <c r="O10953">
        <v>0</v>
      </c>
      <c r="P10953" t="s">
        <v>22077</v>
      </c>
      <c r="Q10953" t="s">
        <v>22078</v>
      </c>
      <c r="AF10953" t="s">
        <v>22079</v>
      </c>
    </row>
    <row r="10954" spans="1:32" hidden="1" x14ac:dyDescent="0.35">
      <c r="A10954">
        <v>11472</v>
      </c>
      <c r="B10954" t="s">
        <v>23413</v>
      </c>
      <c r="C10954" t="s">
        <v>33</v>
      </c>
      <c r="D10954" t="s">
        <v>58</v>
      </c>
      <c r="E10954">
        <v>1391</v>
      </c>
      <c r="F10954">
        <v>1</v>
      </c>
      <c r="G10954">
        <v>1</v>
      </c>
      <c r="H10954">
        <v>1</v>
      </c>
      <c r="I10954">
        <v>0</v>
      </c>
      <c r="J10954">
        <v>1</v>
      </c>
      <c r="K10954">
        <v>1</v>
      </c>
      <c r="L10954">
        <v>1</v>
      </c>
      <c r="M10954">
        <v>0</v>
      </c>
      <c r="N10954">
        <v>0</v>
      </c>
      <c r="O10954">
        <v>0</v>
      </c>
      <c r="P10954" t="s">
        <v>11747</v>
      </c>
      <c r="Q10954" t="s">
        <v>11748</v>
      </c>
      <c r="R10954" t="s">
        <v>371</v>
      </c>
      <c r="S10954" t="s">
        <v>372</v>
      </c>
      <c r="T10954" t="s">
        <v>11743</v>
      </c>
      <c r="U10954" t="s">
        <v>11744</v>
      </c>
      <c r="V10954" t="s">
        <v>11745</v>
      </c>
      <c r="W10954" t="s">
        <v>11746</v>
      </c>
      <c r="AD10954" t="s">
        <v>3095</v>
      </c>
      <c r="AE10954" t="s">
        <v>3096</v>
      </c>
      <c r="AF10954" t="s">
        <v>23414</v>
      </c>
    </row>
    <row r="10955" spans="1:32" hidden="1" x14ac:dyDescent="0.35">
      <c r="A10955">
        <v>10954</v>
      </c>
      <c r="B10955" t="s">
        <v>22082</v>
      </c>
      <c r="C10955" t="s">
        <v>33</v>
      </c>
      <c r="D10955" t="s">
        <v>58</v>
      </c>
      <c r="E10955">
        <v>762</v>
      </c>
      <c r="F10955">
        <v>1</v>
      </c>
      <c r="G10955">
        <v>1</v>
      </c>
      <c r="H10955">
        <v>1</v>
      </c>
      <c r="I10955">
        <v>0</v>
      </c>
      <c r="J10955">
        <v>1</v>
      </c>
      <c r="K10955">
        <v>1</v>
      </c>
      <c r="L10955">
        <v>1</v>
      </c>
      <c r="M10955">
        <v>0</v>
      </c>
      <c r="N10955">
        <v>0</v>
      </c>
      <c r="O10955">
        <v>0</v>
      </c>
      <c r="AF10955" t="s">
        <v>22083</v>
      </c>
    </row>
    <row r="10956" spans="1:32" hidden="1" x14ac:dyDescent="0.35">
      <c r="A10956">
        <v>1474</v>
      </c>
      <c r="B10956" t="s">
        <v>3088</v>
      </c>
      <c r="C10956" t="s">
        <v>72</v>
      </c>
      <c r="D10956" t="s">
        <v>58</v>
      </c>
      <c r="E10956">
        <v>84</v>
      </c>
      <c r="F10956">
        <v>5</v>
      </c>
      <c r="G10956">
        <v>5</v>
      </c>
      <c r="H10956">
        <v>1</v>
      </c>
      <c r="I10956">
        <v>1</v>
      </c>
      <c r="J10956">
        <v>0.89210110584518199</v>
      </c>
      <c r="K10956">
        <v>0.96865091108950296</v>
      </c>
      <c r="L10956">
        <v>0.92880141050113996</v>
      </c>
      <c r="M10956">
        <v>0.76605504587156004</v>
      </c>
      <c r="N10956">
        <v>1</v>
      </c>
      <c r="O10956">
        <v>0.83532110091743095</v>
      </c>
      <c r="P10956" t="s">
        <v>3089</v>
      </c>
      <c r="Q10956" t="s">
        <v>3090</v>
      </c>
      <c r="R10956" t="s">
        <v>371</v>
      </c>
      <c r="S10956" t="s">
        <v>372</v>
      </c>
      <c r="T10956" t="s">
        <v>3091</v>
      </c>
      <c r="U10956" t="s">
        <v>3092</v>
      </c>
      <c r="V10956" t="s">
        <v>3093</v>
      </c>
      <c r="W10956" t="s">
        <v>3094</v>
      </c>
      <c r="AD10956" t="s">
        <v>3095</v>
      </c>
      <c r="AE10956" t="s">
        <v>3096</v>
      </c>
      <c r="AF10956" t="s">
        <v>3097</v>
      </c>
    </row>
    <row r="10957" spans="1:32" hidden="1" x14ac:dyDescent="0.35">
      <c r="A10957">
        <v>10956</v>
      </c>
      <c r="B10957" t="s">
        <v>22086</v>
      </c>
      <c r="C10957" t="s">
        <v>33</v>
      </c>
      <c r="D10957" t="s">
        <v>58</v>
      </c>
      <c r="E10957">
        <v>607</v>
      </c>
      <c r="F10957">
        <v>1</v>
      </c>
      <c r="G10957">
        <v>1</v>
      </c>
      <c r="H10957">
        <v>1</v>
      </c>
      <c r="I10957">
        <v>0</v>
      </c>
      <c r="J10957">
        <v>1</v>
      </c>
      <c r="K10957">
        <v>1</v>
      </c>
      <c r="L10957">
        <v>1</v>
      </c>
      <c r="M10957">
        <v>0</v>
      </c>
      <c r="N10957">
        <v>0</v>
      </c>
      <c r="O10957">
        <v>0</v>
      </c>
      <c r="AF10957" t="s">
        <v>22087</v>
      </c>
    </row>
    <row r="10958" spans="1:32" hidden="1" x14ac:dyDescent="0.35">
      <c r="A10958">
        <v>10957</v>
      </c>
      <c r="B10958" t="s">
        <v>22088</v>
      </c>
      <c r="C10958" t="s">
        <v>33</v>
      </c>
      <c r="D10958" t="s">
        <v>34</v>
      </c>
      <c r="E10958">
        <v>2384</v>
      </c>
      <c r="F10958">
        <v>1</v>
      </c>
      <c r="G10958">
        <v>1</v>
      </c>
      <c r="H10958">
        <v>1</v>
      </c>
      <c r="I10958">
        <v>0</v>
      </c>
      <c r="J10958">
        <v>1</v>
      </c>
      <c r="K10958">
        <v>1</v>
      </c>
      <c r="L10958">
        <v>1</v>
      </c>
      <c r="M10958">
        <v>0</v>
      </c>
      <c r="N10958">
        <v>0</v>
      </c>
      <c r="O10958">
        <v>0</v>
      </c>
      <c r="AF10958" t="s">
        <v>22089</v>
      </c>
    </row>
    <row r="10959" spans="1:32" hidden="1" x14ac:dyDescent="0.35">
      <c r="A10959">
        <v>10958</v>
      </c>
      <c r="B10959" t="s">
        <v>22090</v>
      </c>
      <c r="C10959" t="s">
        <v>33</v>
      </c>
      <c r="D10959" t="s">
        <v>58</v>
      </c>
      <c r="E10959">
        <v>1441</v>
      </c>
      <c r="F10959">
        <v>1</v>
      </c>
      <c r="G10959">
        <v>1</v>
      </c>
      <c r="H10959">
        <v>1</v>
      </c>
      <c r="I10959">
        <v>0</v>
      </c>
      <c r="J10959">
        <v>1</v>
      </c>
      <c r="K10959">
        <v>1</v>
      </c>
      <c r="L10959">
        <v>1</v>
      </c>
      <c r="M10959">
        <v>0</v>
      </c>
      <c r="N10959">
        <v>0</v>
      </c>
      <c r="O10959">
        <v>0</v>
      </c>
      <c r="R10959" t="s">
        <v>1259</v>
      </c>
      <c r="S10959" t="s">
        <v>1260</v>
      </c>
      <c r="T10959" t="s">
        <v>11641</v>
      </c>
      <c r="U10959" t="s">
        <v>407</v>
      </c>
      <c r="V10959" t="s">
        <v>12880</v>
      </c>
      <c r="W10959" t="s">
        <v>12881</v>
      </c>
      <c r="AD10959" t="s">
        <v>410</v>
      </c>
      <c r="AE10959" t="s">
        <v>411</v>
      </c>
      <c r="AF10959" t="s">
        <v>22091</v>
      </c>
    </row>
    <row r="10960" spans="1:32" hidden="1" x14ac:dyDescent="0.35">
      <c r="A10960">
        <v>10959</v>
      </c>
      <c r="B10960" t="s">
        <v>22092</v>
      </c>
      <c r="C10960" t="s">
        <v>33</v>
      </c>
      <c r="D10960" t="s">
        <v>45</v>
      </c>
      <c r="E10960">
        <v>15</v>
      </c>
      <c r="F10960">
        <v>1</v>
      </c>
      <c r="G10960">
        <v>1</v>
      </c>
      <c r="H10960">
        <v>1</v>
      </c>
      <c r="I10960">
        <v>0</v>
      </c>
      <c r="J10960">
        <v>1</v>
      </c>
      <c r="K10960">
        <v>1</v>
      </c>
      <c r="L10960">
        <v>1</v>
      </c>
      <c r="M10960">
        <v>0</v>
      </c>
      <c r="N10960">
        <v>0</v>
      </c>
      <c r="O10960">
        <v>0</v>
      </c>
      <c r="P10960" t="s">
        <v>16423</v>
      </c>
      <c r="Q10960" t="s">
        <v>16424</v>
      </c>
      <c r="R10960" t="s">
        <v>1259</v>
      </c>
      <c r="S10960" t="s">
        <v>1260</v>
      </c>
      <c r="V10960" t="s">
        <v>16425</v>
      </c>
      <c r="W10960" t="s">
        <v>16426</v>
      </c>
      <c r="AF10960" t="s">
        <v>22093</v>
      </c>
    </row>
    <row r="10961" spans="1:32" hidden="1" x14ac:dyDescent="0.35">
      <c r="A10961">
        <v>10960</v>
      </c>
      <c r="B10961" t="s">
        <v>22094</v>
      </c>
      <c r="C10961" t="s">
        <v>33</v>
      </c>
      <c r="D10961" t="s">
        <v>58</v>
      </c>
      <c r="E10961">
        <v>691</v>
      </c>
      <c r="F10961">
        <v>1</v>
      </c>
      <c r="G10961">
        <v>1</v>
      </c>
      <c r="H10961">
        <v>1</v>
      </c>
      <c r="I10961">
        <v>0</v>
      </c>
      <c r="J10961">
        <v>1</v>
      </c>
      <c r="K10961">
        <v>1</v>
      </c>
      <c r="L10961">
        <v>1</v>
      </c>
      <c r="M10961">
        <v>0</v>
      </c>
      <c r="N10961">
        <v>0</v>
      </c>
      <c r="O10961">
        <v>0</v>
      </c>
      <c r="P10961" t="s">
        <v>21944</v>
      </c>
      <c r="Q10961" t="s">
        <v>14364</v>
      </c>
      <c r="R10961" t="s">
        <v>13853</v>
      </c>
      <c r="S10961" t="s">
        <v>13854</v>
      </c>
      <c r="V10961" t="s">
        <v>21946</v>
      </c>
      <c r="W10961" t="s">
        <v>14364</v>
      </c>
      <c r="AF10961" t="s">
        <v>22095</v>
      </c>
    </row>
    <row r="10962" spans="1:32" hidden="1" x14ac:dyDescent="0.35">
      <c r="A10962">
        <v>10961</v>
      </c>
      <c r="B10962" t="s">
        <v>22096</v>
      </c>
      <c r="C10962" t="s">
        <v>33</v>
      </c>
      <c r="D10962" t="s">
        <v>45</v>
      </c>
      <c r="E10962">
        <v>13</v>
      </c>
      <c r="F10962">
        <v>1</v>
      </c>
      <c r="G10962">
        <v>1</v>
      </c>
      <c r="H10962">
        <v>1</v>
      </c>
      <c r="I10962">
        <v>0</v>
      </c>
      <c r="J10962">
        <v>1</v>
      </c>
      <c r="K10962">
        <v>1</v>
      </c>
      <c r="L10962">
        <v>1</v>
      </c>
      <c r="M10962">
        <v>0</v>
      </c>
      <c r="N10962">
        <v>0</v>
      </c>
      <c r="O10962">
        <v>0</v>
      </c>
      <c r="AF10962" t="s">
        <v>22097</v>
      </c>
    </row>
    <row r="10963" spans="1:32" hidden="1" x14ac:dyDescent="0.35">
      <c r="A10963">
        <v>10962</v>
      </c>
      <c r="B10963" t="s">
        <v>22098</v>
      </c>
      <c r="C10963" t="s">
        <v>33</v>
      </c>
      <c r="D10963" t="s">
        <v>34</v>
      </c>
      <c r="E10963">
        <v>2018</v>
      </c>
      <c r="F10963">
        <v>1</v>
      </c>
      <c r="G10963">
        <v>1</v>
      </c>
      <c r="H10963">
        <v>1</v>
      </c>
      <c r="I10963">
        <v>0</v>
      </c>
      <c r="J10963">
        <v>1</v>
      </c>
      <c r="K10963">
        <v>1</v>
      </c>
      <c r="L10963">
        <v>1</v>
      </c>
      <c r="M10963">
        <v>0</v>
      </c>
      <c r="N10963">
        <v>0</v>
      </c>
      <c r="O10963">
        <v>0</v>
      </c>
      <c r="AF10963" t="s">
        <v>22099</v>
      </c>
    </row>
    <row r="10964" spans="1:32" hidden="1" x14ac:dyDescent="0.35">
      <c r="A10964">
        <v>4699</v>
      </c>
      <c r="B10964" t="s">
        <v>9830</v>
      </c>
      <c r="C10964" t="s">
        <v>10127</v>
      </c>
      <c r="D10964" t="s">
        <v>58</v>
      </c>
      <c r="E10964">
        <v>1033</v>
      </c>
      <c r="F10964">
        <v>5</v>
      </c>
      <c r="G10964">
        <v>5</v>
      </c>
      <c r="H10964">
        <v>1</v>
      </c>
      <c r="I10964">
        <v>1</v>
      </c>
      <c r="J10964">
        <v>0.80822222222222195</v>
      </c>
      <c r="K10964">
        <v>0.94371200757875096</v>
      </c>
      <c r="L10964">
        <v>0.87072791081859502</v>
      </c>
      <c r="M10964">
        <v>0.63389121338912102</v>
      </c>
      <c r="N10964">
        <v>0.997907949790795</v>
      </c>
      <c r="O10964">
        <v>0.73995815899581596</v>
      </c>
      <c r="P10964" t="s">
        <v>9831</v>
      </c>
      <c r="Q10964" t="s">
        <v>9832</v>
      </c>
      <c r="R10964" t="s">
        <v>371</v>
      </c>
      <c r="S10964" t="s">
        <v>372</v>
      </c>
      <c r="T10964" t="s">
        <v>9833</v>
      </c>
      <c r="U10964" t="s">
        <v>9834</v>
      </c>
      <c r="V10964" t="s">
        <v>9835</v>
      </c>
      <c r="W10964" t="s">
        <v>9836</v>
      </c>
      <c r="AD10964" t="s">
        <v>410</v>
      </c>
      <c r="AE10964" t="s">
        <v>1217</v>
      </c>
      <c r="AF10964" t="s">
        <v>9837</v>
      </c>
    </row>
    <row r="10965" spans="1:32" hidden="1" x14ac:dyDescent="0.35">
      <c r="A10965">
        <v>10964</v>
      </c>
      <c r="B10965" t="s">
        <v>22102</v>
      </c>
      <c r="C10965" t="s">
        <v>33</v>
      </c>
      <c r="D10965" t="s">
        <v>60</v>
      </c>
      <c r="E10965">
        <v>2198</v>
      </c>
      <c r="F10965">
        <v>1</v>
      </c>
      <c r="G10965">
        <v>1</v>
      </c>
      <c r="H10965">
        <v>1</v>
      </c>
      <c r="I10965">
        <v>0</v>
      </c>
      <c r="J10965">
        <v>1</v>
      </c>
      <c r="K10965">
        <v>1</v>
      </c>
      <c r="L10965">
        <v>1</v>
      </c>
      <c r="M10965">
        <v>0</v>
      </c>
      <c r="N10965">
        <v>0</v>
      </c>
      <c r="O10965">
        <v>0</v>
      </c>
      <c r="R10965" t="s">
        <v>13853</v>
      </c>
      <c r="S10965" t="s">
        <v>13854</v>
      </c>
      <c r="V10965" t="s">
        <v>22103</v>
      </c>
      <c r="W10965" t="s">
        <v>14364</v>
      </c>
      <c r="AF10965" t="s">
        <v>22104</v>
      </c>
    </row>
    <row r="10966" spans="1:32" hidden="1" x14ac:dyDescent="0.35">
      <c r="A10966">
        <v>10965</v>
      </c>
      <c r="B10966" t="s">
        <v>22105</v>
      </c>
      <c r="C10966" t="s">
        <v>33</v>
      </c>
      <c r="D10966" t="s">
        <v>34</v>
      </c>
      <c r="E10966">
        <v>2174</v>
      </c>
      <c r="F10966">
        <v>1</v>
      </c>
      <c r="G10966">
        <v>1</v>
      </c>
      <c r="H10966">
        <v>1</v>
      </c>
      <c r="I10966">
        <v>0</v>
      </c>
      <c r="J10966">
        <v>1</v>
      </c>
      <c r="K10966">
        <v>1</v>
      </c>
      <c r="L10966">
        <v>1</v>
      </c>
      <c r="M10966">
        <v>0</v>
      </c>
      <c r="N10966">
        <v>0</v>
      </c>
      <c r="O10966">
        <v>0</v>
      </c>
      <c r="AF10966" t="s">
        <v>22106</v>
      </c>
    </row>
    <row r="10967" spans="1:32" hidden="1" x14ac:dyDescent="0.35">
      <c r="A10967">
        <v>10966</v>
      </c>
      <c r="B10967" t="s">
        <v>22107</v>
      </c>
      <c r="C10967" t="s">
        <v>33</v>
      </c>
      <c r="D10967" t="s">
        <v>58</v>
      </c>
      <c r="E10967">
        <v>380</v>
      </c>
      <c r="F10967">
        <v>1</v>
      </c>
      <c r="G10967">
        <v>1</v>
      </c>
      <c r="H10967">
        <v>1</v>
      </c>
      <c r="I10967">
        <v>0</v>
      </c>
      <c r="J10967">
        <v>1</v>
      </c>
      <c r="K10967">
        <v>1</v>
      </c>
      <c r="L10967">
        <v>1</v>
      </c>
      <c r="M10967">
        <v>0</v>
      </c>
      <c r="N10967">
        <v>0</v>
      </c>
      <c r="O10967">
        <v>0</v>
      </c>
      <c r="AF10967" t="s">
        <v>22108</v>
      </c>
    </row>
    <row r="10968" spans="1:32" hidden="1" x14ac:dyDescent="0.35">
      <c r="A10968">
        <v>1144</v>
      </c>
      <c r="B10968" t="s">
        <v>2373</v>
      </c>
      <c r="C10968" t="s">
        <v>72</v>
      </c>
      <c r="D10968" t="s">
        <v>58</v>
      </c>
      <c r="E10968">
        <v>1844</v>
      </c>
      <c r="F10968">
        <v>5</v>
      </c>
      <c r="G10968">
        <v>5</v>
      </c>
      <c r="H10968">
        <v>1</v>
      </c>
      <c r="I10968">
        <v>1</v>
      </c>
      <c r="J10968">
        <v>0.84506098378233496</v>
      </c>
      <c r="K10968">
        <v>0.93428968948289404</v>
      </c>
      <c r="L10968">
        <v>0.88743807052182999</v>
      </c>
      <c r="M10968">
        <v>0.67977528089887596</v>
      </c>
      <c r="N10968">
        <v>1</v>
      </c>
      <c r="O10968">
        <v>0.78277153558052404</v>
      </c>
      <c r="P10968" t="s">
        <v>2374</v>
      </c>
      <c r="Q10968" t="s">
        <v>2375</v>
      </c>
      <c r="R10968" t="s">
        <v>371</v>
      </c>
      <c r="S10968" t="s">
        <v>372</v>
      </c>
      <c r="T10968" t="s">
        <v>2376</v>
      </c>
      <c r="U10968" t="s">
        <v>2377</v>
      </c>
      <c r="V10968" t="s">
        <v>2378</v>
      </c>
      <c r="W10968" t="s">
        <v>2379</v>
      </c>
      <c r="AD10968" t="s">
        <v>2380</v>
      </c>
      <c r="AE10968" t="s">
        <v>2381</v>
      </c>
      <c r="AF10968" t="s">
        <v>2382</v>
      </c>
    </row>
    <row r="10969" spans="1:32" hidden="1" x14ac:dyDescent="0.35">
      <c r="A10969">
        <v>10968</v>
      </c>
      <c r="B10969" t="s">
        <v>22113</v>
      </c>
      <c r="C10969" t="s">
        <v>33</v>
      </c>
      <c r="D10969" t="s">
        <v>58</v>
      </c>
      <c r="E10969">
        <v>1475</v>
      </c>
      <c r="F10969">
        <v>1</v>
      </c>
      <c r="G10969">
        <v>1</v>
      </c>
      <c r="H10969">
        <v>1</v>
      </c>
      <c r="I10969">
        <v>0</v>
      </c>
      <c r="J10969">
        <v>1</v>
      </c>
      <c r="K10969">
        <v>1</v>
      </c>
      <c r="L10969">
        <v>1</v>
      </c>
      <c r="M10969">
        <v>0</v>
      </c>
      <c r="N10969">
        <v>0</v>
      </c>
      <c r="O10969">
        <v>0</v>
      </c>
      <c r="AF10969" t="s">
        <v>22114</v>
      </c>
    </row>
    <row r="10970" spans="1:32" hidden="1" x14ac:dyDescent="0.35">
      <c r="A10970">
        <v>10969</v>
      </c>
      <c r="B10970" t="s">
        <v>22115</v>
      </c>
      <c r="C10970" t="s">
        <v>33</v>
      </c>
      <c r="D10970" t="s">
        <v>58</v>
      </c>
      <c r="E10970">
        <v>306</v>
      </c>
      <c r="F10970">
        <v>1</v>
      </c>
      <c r="G10970">
        <v>1</v>
      </c>
      <c r="H10970">
        <v>1</v>
      </c>
      <c r="I10970">
        <v>0</v>
      </c>
      <c r="J10970">
        <v>1</v>
      </c>
      <c r="K10970">
        <v>1</v>
      </c>
      <c r="L10970">
        <v>1</v>
      </c>
      <c r="M10970">
        <v>0</v>
      </c>
      <c r="N10970">
        <v>0</v>
      </c>
      <c r="O10970">
        <v>0</v>
      </c>
      <c r="P10970" t="s">
        <v>22116</v>
      </c>
      <c r="Q10970" t="s">
        <v>22117</v>
      </c>
      <c r="R10970" t="s">
        <v>1498</v>
      </c>
      <c r="S10970" t="s">
        <v>1499</v>
      </c>
      <c r="V10970" t="s">
        <v>2578</v>
      </c>
      <c r="W10970" t="s">
        <v>2579</v>
      </c>
      <c r="AF10970" t="s">
        <v>22118</v>
      </c>
    </row>
    <row r="10971" spans="1:32" hidden="1" x14ac:dyDescent="0.35">
      <c r="A10971">
        <v>10970</v>
      </c>
      <c r="B10971" t="s">
        <v>22119</v>
      </c>
      <c r="C10971" t="s">
        <v>33</v>
      </c>
      <c r="D10971" t="s">
        <v>58</v>
      </c>
      <c r="E10971">
        <v>832</v>
      </c>
      <c r="F10971">
        <v>1</v>
      </c>
      <c r="G10971">
        <v>1</v>
      </c>
      <c r="H10971">
        <v>1</v>
      </c>
      <c r="I10971">
        <v>0</v>
      </c>
      <c r="J10971">
        <v>1</v>
      </c>
      <c r="K10971">
        <v>1</v>
      </c>
      <c r="L10971">
        <v>1</v>
      </c>
      <c r="M10971">
        <v>0</v>
      </c>
      <c r="N10971">
        <v>0</v>
      </c>
      <c r="O10971">
        <v>0</v>
      </c>
      <c r="P10971" t="s">
        <v>16355</v>
      </c>
      <c r="Q10971" t="s">
        <v>16356</v>
      </c>
      <c r="AF10971" t="s">
        <v>22120</v>
      </c>
    </row>
    <row r="10972" spans="1:32" hidden="1" x14ac:dyDescent="0.35">
      <c r="A10972">
        <v>10971</v>
      </c>
      <c r="B10972" t="s">
        <v>22121</v>
      </c>
      <c r="C10972" t="s">
        <v>33</v>
      </c>
      <c r="D10972" t="s">
        <v>58</v>
      </c>
      <c r="E10972">
        <v>492</v>
      </c>
      <c r="F10972">
        <v>1</v>
      </c>
      <c r="G10972">
        <v>1</v>
      </c>
      <c r="H10972">
        <v>1</v>
      </c>
      <c r="I10972">
        <v>0</v>
      </c>
      <c r="J10972">
        <v>1</v>
      </c>
      <c r="K10972">
        <v>1</v>
      </c>
      <c r="L10972">
        <v>1</v>
      </c>
      <c r="M10972">
        <v>0</v>
      </c>
      <c r="N10972">
        <v>0</v>
      </c>
      <c r="O10972">
        <v>0</v>
      </c>
      <c r="P10972" t="s">
        <v>1631</v>
      </c>
      <c r="Q10972" t="s">
        <v>1632</v>
      </c>
      <c r="R10972" t="s">
        <v>96</v>
      </c>
      <c r="S10972" t="s">
        <v>97</v>
      </c>
      <c r="T10972" t="s">
        <v>1633</v>
      </c>
      <c r="U10972" t="s">
        <v>1634</v>
      </c>
      <c r="V10972" t="s">
        <v>1635</v>
      </c>
      <c r="W10972" t="s">
        <v>1636</v>
      </c>
      <c r="AD10972" t="s">
        <v>410</v>
      </c>
      <c r="AE10972" t="s">
        <v>1637</v>
      </c>
      <c r="AF10972" t="s">
        <v>22122</v>
      </c>
    </row>
    <row r="10973" spans="1:32" hidden="1" x14ac:dyDescent="0.35">
      <c r="A10973">
        <v>10972</v>
      </c>
      <c r="B10973" t="s">
        <v>22123</v>
      </c>
      <c r="C10973" t="s">
        <v>33</v>
      </c>
      <c r="D10973" t="s">
        <v>58</v>
      </c>
      <c r="E10973">
        <v>1268</v>
      </c>
      <c r="F10973">
        <v>1</v>
      </c>
      <c r="G10973">
        <v>1</v>
      </c>
      <c r="H10973">
        <v>1</v>
      </c>
      <c r="I10973">
        <v>0</v>
      </c>
      <c r="J10973">
        <v>1</v>
      </c>
      <c r="K10973">
        <v>1</v>
      </c>
      <c r="L10973">
        <v>1</v>
      </c>
      <c r="M10973">
        <v>0</v>
      </c>
      <c r="N10973">
        <v>0</v>
      </c>
      <c r="O10973">
        <v>0</v>
      </c>
      <c r="P10973" t="s">
        <v>22124</v>
      </c>
      <c r="Q10973" t="s">
        <v>16820</v>
      </c>
      <c r="R10973" t="s">
        <v>288</v>
      </c>
      <c r="S10973" t="s">
        <v>289</v>
      </c>
      <c r="T10973" t="s">
        <v>22125</v>
      </c>
      <c r="U10973" t="s">
        <v>407</v>
      </c>
      <c r="V10973" t="s">
        <v>22126</v>
      </c>
      <c r="W10973" t="s">
        <v>22127</v>
      </c>
      <c r="AD10973" t="s">
        <v>410</v>
      </c>
      <c r="AE10973" t="s">
        <v>411</v>
      </c>
      <c r="AF10973" t="s">
        <v>22128</v>
      </c>
    </row>
    <row r="10974" spans="1:32" hidden="1" x14ac:dyDescent="0.35">
      <c r="A10974">
        <v>11846</v>
      </c>
      <c r="B10974" t="s">
        <v>24363</v>
      </c>
      <c r="C10974" t="s">
        <v>33</v>
      </c>
      <c r="D10974" t="s">
        <v>58</v>
      </c>
      <c r="E10974">
        <v>393</v>
      </c>
      <c r="F10974">
        <v>1</v>
      </c>
      <c r="G10974">
        <v>1</v>
      </c>
      <c r="H10974">
        <v>1</v>
      </c>
      <c r="I10974">
        <v>0</v>
      </c>
      <c r="J10974">
        <v>1</v>
      </c>
      <c r="K10974">
        <v>1</v>
      </c>
      <c r="L10974">
        <v>1</v>
      </c>
      <c r="M10974">
        <v>0</v>
      </c>
      <c r="N10974">
        <v>0</v>
      </c>
      <c r="O10974">
        <v>0</v>
      </c>
      <c r="P10974" t="s">
        <v>24364</v>
      </c>
      <c r="Q10974" t="s">
        <v>24365</v>
      </c>
      <c r="R10974" t="s">
        <v>138</v>
      </c>
      <c r="S10974" t="s">
        <v>139</v>
      </c>
      <c r="T10974" t="s">
        <v>24366</v>
      </c>
      <c r="U10974" t="s">
        <v>24367</v>
      </c>
      <c r="V10974" t="s">
        <v>24368</v>
      </c>
      <c r="W10974" t="s">
        <v>24369</v>
      </c>
      <c r="AD10974" t="s">
        <v>14829</v>
      </c>
      <c r="AE10974" t="s">
        <v>23346</v>
      </c>
      <c r="AF10974" t="s">
        <v>24370</v>
      </c>
    </row>
    <row r="10975" spans="1:32" hidden="1" x14ac:dyDescent="0.35">
      <c r="A10975">
        <v>10974</v>
      </c>
      <c r="B10975" t="s">
        <v>22131</v>
      </c>
      <c r="C10975" t="s">
        <v>33</v>
      </c>
      <c r="D10975" t="s">
        <v>58</v>
      </c>
      <c r="E10975">
        <v>124</v>
      </c>
      <c r="F10975">
        <v>1</v>
      </c>
      <c r="G10975">
        <v>1</v>
      </c>
      <c r="H10975">
        <v>1</v>
      </c>
      <c r="I10975">
        <v>0</v>
      </c>
      <c r="J10975">
        <v>1</v>
      </c>
      <c r="K10975">
        <v>1</v>
      </c>
      <c r="L10975">
        <v>1</v>
      </c>
      <c r="M10975">
        <v>0</v>
      </c>
      <c r="N10975">
        <v>0</v>
      </c>
      <c r="O10975">
        <v>0</v>
      </c>
      <c r="R10975" t="s">
        <v>9049</v>
      </c>
      <c r="S10975" t="s">
        <v>9050</v>
      </c>
      <c r="T10975" t="s">
        <v>17571</v>
      </c>
      <c r="U10975" t="s">
        <v>17572</v>
      </c>
      <c r="V10975" t="s">
        <v>14244</v>
      </c>
      <c r="W10975" t="s">
        <v>14245</v>
      </c>
      <c r="AD10975" t="s">
        <v>17573</v>
      </c>
      <c r="AE10975" t="s">
        <v>17574</v>
      </c>
      <c r="AF10975" t="s">
        <v>22132</v>
      </c>
    </row>
    <row r="10976" spans="1:32" hidden="1" x14ac:dyDescent="0.35">
      <c r="A10976">
        <v>3239</v>
      </c>
      <c r="B10976" t="s">
        <v>6660</v>
      </c>
      <c r="C10976" t="s">
        <v>72</v>
      </c>
      <c r="D10976" t="s">
        <v>58</v>
      </c>
      <c r="E10976">
        <v>299</v>
      </c>
      <c r="F10976">
        <v>5</v>
      </c>
      <c r="G10976">
        <v>5</v>
      </c>
      <c r="H10976">
        <v>1</v>
      </c>
      <c r="I10976">
        <v>1</v>
      </c>
      <c r="J10976">
        <v>0.73598008385744196</v>
      </c>
      <c r="K10976">
        <v>0.96796215133660302</v>
      </c>
      <c r="L10976">
        <v>0.83617959646433104</v>
      </c>
      <c r="M10976">
        <v>0.55133079847908795</v>
      </c>
      <c r="N10976">
        <v>1</v>
      </c>
      <c r="O10976">
        <v>0.65437262357414405</v>
      </c>
      <c r="P10976" t="s">
        <v>6661</v>
      </c>
      <c r="Q10976" t="s">
        <v>6662</v>
      </c>
      <c r="R10976" t="s">
        <v>224</v>
      </c>
      <c r="S10976" t="s">
        <v>225</v>
      </c>
      <c r="T10976" t="s">
        <v>6663</v>
      </c>
      <c r="U10976" t="s">
        <v>6664</v>
      </c>
      <c r="V10976" t="s">
        <v>6665</v>
      </c>
      <c r="W10976" t="s">
        <v>6666</v>
      </c>
      <c r="AD10976" t="s">
        <v>3044</v>
      </c>
      <c r="AE10976" t="s">
        <v>6667</v>
      </c>
      <c r="AF10976" t="s">
        <v>6668</v>
      </c>
    </row>
    <row r="10977" spans="1:32" hidden="1" x14ac:dyDescent="0.35">
      <c r="A10977">
        <v>10976</v>
      </c>
      <c r="B10977" t="s">
        <v>22142</v>
      </c>
      <c r="C10977" t="s">
        <v>33</v>
      </c>
      <c r="D10977" t="s">
        <v>58</v>
      </c>
      <c r="E10977">
        <v>20</v>
      </c>
      <c r="F10977">
        <v>1</v>
      </c>
      <c r="G10977">
        <v>1</v>
      </c>
      <c r="H10977">
        <v>1</v>
      </c>
      <c r="I10977">
        <v>0</v>
      </c>
      <c r="J10977">
        <v>1</v>
      </c>
      <c r="K10977">
        <v>1</v>
      </c>
      <c r="L10977">
        <v>1</v>
      </c>
      <c r="M10977">
        <v>0</v>
      </c>
      <c r="N10977">
        <v>0</v>
      </c>
      <c r="O10977">
        <v>0</v>
      </c>
      <c r="P10977" t="s">
        <v>10744</v>
      </c>
      <c r="Q10977" t="s">
        <v>10745</v>
      </c>
      <c r="AF10977" t="s">
        <v>22143</v>
      </c>
    </row>
    <row r="10978" spans="1:32" hidden="1" x14ac:dyDescent="0.35">
      <c r="A10978">
        <v>10977</v>
      </c>
      <c r="B10978" t="s">
        <v>22144</v>
      </c>
      <c r="C10978" t="s">
        <v>33</v>
      </c>
      <c r="D10978" t="s">
        <v>58</v>
      </c>
      <c r="E10978">
        <v>1305</v>
      </c>
      <c r="F10978">
        <v>1</v>
      </c>
      <c r="G10978">
        <v>1</v>
      </c>
      <c r="H10978">
        <v>1</v>
      </c>
      <c r="I10978">
        <v>0</v>
      </c>
      <c r="J10978">
        <v>1</v>
      </c>
      <c r="K10978">
        <v>1</v>
      </c>
      <c r="L10978">
        <v>1</v>
      </c>
      <c r="M10978">
        <v>0</v>
      </c>
      <c r="N10978">
        <v>0</v>
      </c>
      <c r="O10978">
        <v>0</v>
      </c>
      <c r="P10978" t="s">
        <v>15131</v>
      </c>
      <c r="Q10978" t="s">
        <v>15132</v>
      </c>
      <c r="AF10978" t="s">
        <v>22145</v>
      </c>
    </row>
    <row r="10979" spans="1:32" hidden="1" x14ac:dyDescent="0.35">
      <c r="A10979">
        <v>2494</v>
      </c>
      <c r="B10979" t="s">
        <v>5164</v>
      </c>
      <c r="C10979" t="s">
        <v>72</v>
      </c>
      <c r="D10979" t="s">
        <v>58</v>
      </c>
      <c r="E10979">
        <v>1463</v>
      </c>
      <c r="F10979">
        <v>5</v>
      </c>
      <c r="G10979">
        <v>5</v>
      </c>
      <c r="H10979">
        <v>1</v>
      </c>
      <c r="I10979">
        <v>1</v>
      </c>
      <c r="J10979">
        <v>0.74519567703146306</v>
      </c>
      <c r="K10979">
        <v>0.84416749991668205</v>
      </c>
      <c r="L10979">
        <v>0.791600032959482</v>
      </c>
      <c r="M10979">
        <v>0.49270072992700698</v>
      </c>
      <c r="N10979">
        <v>1</v>
      </c>
      <c r="O10979">
        <v>0.64653284671532896</v>
      </c>
      <c r="P10979" t="s">
        <v>5165</v>
      </c>
      <c r="Q10979" t="s">
        <v>5166</v>
      </c>
      <c r="R10979" t="s">
        <v>224</v>
      </c>
      <c r="S10979" t="s">
        <v>225</v>
      </c>
      <c r="T10979" t="s">
        <v>5167</v>
      </c>
      <c r="U10979" t="s">
        <v>5168</v>
      </c>
      <c r="V10979" t="s">
        <v>5169</v>
      </c>
      <c r="W10979" t="s">
        <v>5170</v>
      </c>
      <c r="AD10979" t="s">
        <v>5171</v>
      </c>
      <c r="AE10979" t="s">
        <v>5172</v>
      </c>
      <c r="AF10979" t="s">
        <v>5173</v>
      </c>
    </row>
    <row r="10980" spans="1:32" hidden="1" x14ac:dyDescent="0.35">
      <c r="A10980">
        <v>4279</v>
      </c>
      <c r="B10980" t="s">
        <v>8894</v>
      </c>
      <c r="C10980" t="s">
        <v>72</v>
      </c>
      <c r="D10980" t="s">
        <v>58</v>
      </c>
      <c r="E10980">
        <v>1176</v>
      </c>
      <c r="F10980">
        <v>5</v>
      </c>
      <c r="G10980">
        <v>5</v>
      </c>
      <c r="H10980">
        <v>1</v>
      </c>
      <c r="I10980">
        <v>1</v>
      </c>
      <c r="J10980">
        <v>0.78038674033149202</v>
      </c>
      <c r="K10980">
        <v>0.92465200144248205</v>
      </c>
      <c r="L10980">
        <v>0.84641614723185499</v>
      </c>
      <c r="M10980">
        <v>0.58898305084745795</v>
      </c>
      <c r="N10980">
        <v>0.99152542372881403</v>
      </c>
      <c r="O10980">
        <v>0.69618644067796598</v>
      </c>
      <c r="P10980" t="s">
        <v>8895</v>
      </c>
      <c r="Q10980" t="s">
        <v>8896</v>
      </c>
      <c r="R10980" t="s">
        <v>371</v>
      </c>
      <c r="S10980" t="s">
        <v>372</v>
      </c>
      <c r="T10980" t="s">
        <v>8897</v>
      </c>
      <c r="U10980" t="s">
        <v>8898</v>
      </c>
      <c r="V10980" t="s">
        <v>8899</v>
      </c>
      <c r="W10980" t="s">
        <v>8900</v>
      </c>
      <c r="AD10980" t="s">
        <v>8901</v>
      </c>
      <c r="AE10980" t="s">
        <v>8902</v>
      </c>
      <c r="AF10980" t="s">
        <v>8903</v>
      </c>
    </row>
    <row r="10981" spans="1:32" hidden="1" x14ac:dyDescent="0.35">
      <c r="A10981">
        <v>10980</v>
      </c>
      <c r="B10981" t="s">
        <v>22155</v>
      </c>
      <c r="C10981" t="s">
        <v>33</v>
      </c>
      <c r="D10981" t="s">
        <v>58</v>
      </c>
      <c r="E10981">
        <v>442</v>
      </c>
      <c r="F10981">
        <v>1</v>
      </c>
      <c r="G10981">
        <v>1</v>
      </c>
      <c r="H10981">
        <v>1</v>
      </c>
      <c r="I10981">
        <v>0</v>
      </c>
      <c r="J10981">
        <v>1</v>
      </c>
      <c r="K10981">
        <v>1</v>
      </c>
      <c r="L10981">
        <v>1</v>
      </c>
      <c r="M10981">
        <v>0</v>
      </c>
      <c r="N10981">
        <v>0</v>
      </c>
      <c r="O10981">
        <v>0</v>
      </c>
      <c r="P10981" t="s">
        <v>10643</v>
      </c>
      <c r="Q10981" t="s">
        <v>10644</v>
      </c>
      <c r="R10981" t="s">
        <v>96</v>
      </c>
      <c r="S10981" t="s">
        <v>97</v>
      </c>
      <c r="T10981" t="s">
        <v>10645</v>
      </c>
      <c r="U10981" t="s">
        <v>10646</v>
      </c>
      <c r="V10981" t="s">
        <v>10647</v>
      </c>
      <c r="W10981" t="s">
        <v>10648</v>
      </c>
      <c r="AD10981" t="s">
        <v>219</v>
      </c>
      <c r="AE10981" t="s">
        <v>10649</v>
      </c>
      <c r="AF10981" t="s">
        <v>22156</v>
      </c>
    </row>
    <row r="10982" spans="1:32" hidden="1" x14ac:dyDescent="0.35">
      <c r="A10982">
        <v>4804</v>
      </c>
      <c r="B10982" t="s">
        <v>10077</v>
      </c>
      <c r="C10982" t="s">
        <v>10127</v>
      </c>
      <c r="D10982" t="s">
        <v>58</v>
      </c>
      <c r="E10982">
        <v>300</v>
      </c>
      <c r="F10982">
        <v>5</v>
      </c>
      <c r="G10982">
        <v>5</v>
      </c>
      <c r="H10982">
        <v>1</v>
      </c>
      <c r="I10982">
        <v>1</v>
      </c>
      <c r="J10982">
        <v>0.88110838110838097</v>
      </c>
      <c r="K10982">
        <v>0.92566037735849005</v>
      </c>
      <c r="L10982">
        <v>0.902835089137354</v>
      </c>
      <c r="M10982">
        <v>0.74339622641509395</v>
      </c>
      <c r="N10982">
        <v>0.99622641509433996</v>
      </c>
      <c r="O10982">
        <v>0.81169811320754703</v>
      </c>
      <c r="P10982" t="s">
        <v>7133</v>
      </c>
      <c r="Q10982" t="s">
        <v>7134</v>
      </c>
      <c r="R10982" t="s">
        <v>224</v>
      </c>
      <c r="S10982" t="s">
        <v>225</v>
      </c>
      <c r="T10982" t="s">
        <v>10078</v>
      </c>
      <c r="U10982" t="s">
        <v>10079</v>
      </c>
      <c r="V10982" t="s">
        <v>10080</v>
      </c>
      <c r="W10982" t="s">
        <v>10081</v>
      </c>
      <c r="AD10982" t="s">
        <v>2991</v>
      </c>
      <c r="AE10982" t="s">
        <v>10082</v>
      </c>
      <c r="AF10982" t="s">
        <v>10083</v>
      </c>
    </row>
    <row r="10983" spans="1:32" hidden="1" x14ac:dyDescent="0.35">
      <c r="A10983">
        <v>10982</v>
      </c>
      <c r="B10983" t="s">
        <v>22159</v>
      </c>
      <c r="C10983" t="s">
        <v>33</v>
      </c>
      <c r="D10983" t="s">
        <v>58</v>
      </c>
      <c r="E10983">
        <v>128</v>
      </c>
      <c r="F10983">
        <v>1</v>
      </c>
      <c r="G10983">
        <v>1</v>
      </c>
      <c r="H10983">
        <v>1</v>
      </c>
      <c r="I10983">
        <v>0</v>
      </c>
      <c r="J10983">
        <v>1</v>
      </c>
      <c r="K10983">
        <v>1</v>
      </c>
      <c r="L10983">
        <v>1</v>
      </c>
      <c r="M10983">
        <v>0</v>
      </c>
      <c r="N10983">
        <v>0</v>
      </c>
      <c r="O10983">
        <v>0</v>
      </c>
      <c r="AF10983" t="s">
        <v>22160</v>
      </c>
    </row>
    <row r="10984" spans="1:32" hidden="1" x14ac:dyDescent="0.35">
      <c r="A10984">
        <v>4034</v>
      </c>
      <c r="B10984" t="s">
        <v>8332</v>
      </c>
      <c r="C10984" t="s">
        <v>72</v>
      </c>
      <c r="D10984" t="s">
        <v>58</v>
      </c>
      <c r="E10984">
        <v>1181</v>
      </c>
      <c r="F10984">
        <v>5</v>
      </c>
      <c r="G10984">
        <v>5</v>
      </c>
      <c r="H10984">
        <v>1</v>
      </c>
      <c r="I10984">
        <v>1</v>
      </c>
      <c r="J10984">
        <v>0.82332726905195097</v>
      </c>
      <c r="K10984">
        <v>0.75660756105720905</v>
      </c>
      <c r="L10984">
        <v>0.78855864826557398</v>
      </c>
      <c r="M10984">
        <v>0.45714285714285702</v>
      </c>
      <c r="N10984">
        <v>0.99591836734693895</v>
      </c>
      <c r="O10984">
        <v>0.70367346938775499</v>
      </c>
      <c r="P10984" t="s">
        <v>8333</v>
      </c>
      <c r="Q10984" t="s">
        <v>8334</v>
      </c>
      <c r="R10984" t="s">
        <v>224</v>
      </c>
      <c r="S10984" t="s">
        <v>225</v>
      </c>
      <c r="T10984" t="s">
        <v>8335</v>
      </c>
      <c r="U10984" t="s">
        <v>8336</v>
      </c>
      <c r="V10984" t="s">
        <v>8337</v>
      </c>
      <c r="W10984" t="s">
        <v>8338</v>
      </c>
      <c r="X10984" t="s">
        <v>8337</v>
      </c>
      <c r="Y10984" t="s">
        <v>2715</v>
      </c>
      <c r="AD10984" t="s">
        <v>210</v>
      </c>
      <c r="AE10984" t="s">
        <v>8339</v>
      </c>
      <c r="AF10984" t="s">
        <v>8340</v>
      </c>
    </row>
    <row r="10985" spans="1:32" hidden="1" x14ac:dyDescent="0.35">
      <c r="A10985">
        <v>10984</v>
      </c>
      <c r="B10985" t="s">
        <v>22163</v>
      </c>
      <c r="C10985" t="s">
        <v>33</v>
      </c>
      <c r="D10985" t="s">
        <v>60</v>
      </c>
      <c r="E10985">
        <v>648</v>
      </c>
      <c r="F10985">
        <v>1</v>
      </c>
      <c r="G10985">
        <v>1</v>
      </c>
      <c r="H10985">
        <v>1</v>
      </c>
      <c r="I10985">
        <v>0</v>
      </c>
      <c r="J10985">
        <v>1</v>
      </c>
      <c r="K10985">
        <v>1</v>
      </c>
      <c r="L10985">
        <v>1</v>
      </c>
      <c r="M10985">
        <v>0</v>
      </c>
      <c r="N10985">
        <v>0</v>
      </c>
      <c r="O10985">
        <v>0</v>
      </c>
      <c r="AF10985" t="s">
        <v>22164</v>
      </c>
    </row>
    <row r="10986" spans="1:32" hidden="1" x14ac:dyDescent="0.35">
      <c r="A10986">
        <v>10985</v>
      </c>
      <c r="B10986" t="s">
        <v>22165</v>
      </c>
      <c r="C10986" t="s">
        <v>33</v>
      </c>
      <c r="D10986" t="s">
        <v>58</v>
      </c>
      <c r="E10986">
        <v>38</v>
      </c>
      <c r="F10986">
        <v>1</v>
      </c>
      <c r="G10986">
        <v>1</v>
      </c>
      <c r="H10986">
        <v>1</v>
      </c>
      <c r="I10986">
        <v>0</v>
      </c>
      <c r="J10986">
        <v>1</v>
      </c>
      <c r="K10986">
        <v>1</v>
      </c>
      <c r="L10986">
        <v>1</v>
      </c>
      <c r="M10986">
        <v>0</v>
      </c>
      <c r="N10986">
        <v>0</v>
      </c>
      <c r="O10986">
        <v>0</v>
      </c>
      <c r="P10986" t="s">
        <v>22166</v>
      </c>
      <c r="Q10986" t="s">
        <v>22167</v>
      </c>
      <c r="R10986" t="s">
        <v>319</v>
      </c>
      <c r="S10986" t="s">
        <v>320</v>
      </c>
      <c r="V10986" t="s">
        <v>22168</v>
      </c>
      <c r="W10986" t="s">
        <v>22169</v>
      </c>
      <c r="AF10986" t="s">
        <v>22170</v>
      </c>
    </row>
    <row r="10987" spans="1:32" hidden="1" x14ac:dyDescent="0.35">
      <c r="A10987">
        <v>10986</v>
      </c>
      <c r="B10987" t="s">
        <v>22171</v>
      </c>
      <c r="C10987" t="s">
        <v>33</v>
      </c>
      <c r="D10987" t="s">
        <v>58</v>
      </c>
      <c r="E10987">
        <v>22</v>
      </c>
      <c r="F10987">
        <v>1</v>
      </c>
      <c r="G10987">
        <v>1</v>
      </c>
      <c r="H10987">
        <v>1</v>
      </c>
      <c r="I10987">
        <v>0</v>
      </c>
      <c r="J10987">
        <v>1</v>
      </c>
      <c r="K10987">
        <v>1</v>
      </c>
      <c r="L10987">
        <v>1</v>
      </c>
      <c r="M10987">
        <v>0</v>
      </c>
      <c r="N10987">
        <v>0</v>
      </c>
      <c r="O10987">
        <v>0</v>
      </c>
      <c r="AF10987" t="s">
        <v>22172</v>
      </c>
    </row>
    <row r="10988" spans="1:32" hidden="1" x14ac:dyDescent="0.35">
      <c r="A10988">
        <v>10987</v>
      </c>
      <c r="B10988" t="s">
        <v>22173</v>
      </c>
      <c r="C10988" t="s">
        <v>33</v>
      </c>
      <c r="D10988" t="s">
        <v>58</v>
      </c>
      <c r="E10988">
        <v>1467</v>
      </c>
      <c r="F10988">
        <v>1</v>
      </c>
      <c r="G10988">
        <v>1</v>
      </c>
      <c r="H10988">
        <v>1</v>
      </c>
      <c r="I10988">
        <v>0</v>
      </c>
      <c r="J10988">
        <v>1</v>
      </c>
      <c r="K10988">
        <v>1</v>
      </c>
      <c r="L10988">
        <v>1</v>
      </c>
      <c r="M10988">
        <v>0</v>
      </c>
      <c r="N10988">
        <v>0</v>
      </c>
      <c r="O10988">
        <v>0</v>
      </c>
      <c r="P10988" t="s">
        <v>169</v>
      </c>
      <c r="Q10988" t="s">
        <v>170</v>
      </c>
      <c r="R10988" t="s">
        <v>96</v>
      </c>
      <c r="S10988" t="s">
        <v>97</v>
      </c>
      <c r="V10988" t="s">
        <v>11799</v>
      </c>
      <c r="W10988" t="s">
        <v>11800</v>
      </c>
      <c r="AF10988" t="s">
        <v>22174</v>
      </c>
    </row>
    <row r="10989" spans="1:32" hidden="1" x14ac:dyDescent="0.35">
      <c r="A10989">
        <v>10988</v>
      </c>
      <c r="B10989" t="s">
        <v>22175</v>
      </c>
      <c r="C10989" t="s">
        <v>33</v>
      </c>
      <c r="D10989" t="s">
        <v>34</v>
      </c>
      <c r="E10989">
        <v>1357</v>
      </c>
      <c r="F10989">
        <v>1</v>
      </c>
      <c r="G10989">
        <v>1</v>
      </c>
      <c r="H10989">
        <v>1</v>
      </c>
      <c r="I10989">
        <v>0</v>
      </c>
      <c r="J10989">
        <v>1</v>
      </c>
      <c r="K10989">
        <v>1</v>
      </c>
      <c r="L10989">
        <v>1</v>
      </c>
      <c r="M10989">
        <v>0</v>
      </c>
      <c r="N10989">
        <v>0</v>
      </c>
      <c r="O10989">
        <v>0</v>
      </c>
      <c r="AF10989" t="s">
        <v>22176</v>
      </c>
    </row>
    <row r="10990" spans="1:32" hidden="1" x14ac:dyDescent="0.35">
      <c r="A10990">
        <v>10989</v>
      </c>
      <c r="B10990" t="s">
        <v>22177</v>
      </c>
      <c r="C10990" t="s">
        <v>33</v>
      </c>
      <c r="D10990" t="s">
        <v>58</v>
      </c>
      <c r="E10990">
        <v>1697</v>
      </c>
      <c r="F10990">
        <v>1</v>
      </c>
      <c r="G10990">
        <v>1</v>
      </c>
      <c r="H10990">
        <v>1</v>
      </c>
      <c r="I10990">
        <v>0</v>
      </c>
      <c r="J10990">
        <v>1</v>
      </c>
      <c r="K10990">
        <v>1</v>
      </c>
      <c r="L10990">
        <v>1</v>
      </c>
      <c r="M10990">
        <v>0</v>
      </c>
      <c r="N10990">
        <v>0</v>
      </c>
      <c r="O10990">
        <v>0</v>
      </c>
      <c r="AF10990" t="s">
        <v>22178</v>
      </c>
    </row>
    <row r="10991" spans="1:32" hidden="1" x14ac:dyDescent="0.35">
      <c r="A10991">
        <v>489</v>
      </c>
      <c r="B10991" t="s">
        <v>934</v>
      </c>
      <c r="C10991" t="s">
        <v>72</v>
      </c>
      <c r="D10991" t="s">
        <v>58</v>
      </c>
      <c r="E10991">
        <v>1227</v>
      </c>
      <c r="F10991">
        <v>5</v>
      </c>
      <c r="G10991">
        <v>5</v>
      </c>
      <c r="H10991">
        <v>1</v>
      </c>
      <c r="I10991">
        <v>1</v>
      </c>
      <c r="J10991">
        <v>0.82794808064070702</v>
      </c>
      <c r="K10991">
        <v>0.93175313059033904</v>
      </c>
      <c r="L10991">
        <v>0.87678886754139096</v>
      </c>
      <c r="M10991">
        <v>0.62307692307692297</v>
      </c>
      <c r="N10991">
        <v>1</v>
      </c>
      <c r="O10991">
        <v>0.72846153846153805</v>
      </c>
      <c r="P10991" t="s">
        <v>935</v>
      </c>
      <c r="Q10991" t="s">
        <v>936</v>
      </c>
      <c r="R10991" t="s">
        <v>224</v>
      </c>
      <c r="S10991" t="s">
        <v>225</v>
      </c>
      <c r="T10991" t="s">
        <v>937</v>
      </c>
      <c r="U10991" t="s">
        <v>938</v>
      </c>
      <c r="V10991" t="s">
        <v>939</v>
      </c>
      <c r="W10991" t="s">
        <v>940</v>
      </c>
      <c r="AD10991" t="s">
        <v>941</v>
      </c>
      <c r="AE10991" t="s">
        <v>942</v>
      </c>
      <c r="AF10991" t="e">
        <f>--------MPQQVRIDAWVWAVRLYKTRTAAAAAVKAGHVKLNGVAIKPSSPVVVGDRVRVWVDHRLYDVEVTRLISKRVGAPIARECYVDHSPPPPPKEILASQPRRDRGAGRPTKKERREIDRLRGHP</f>
        <v>#NAME?</v>
      </c>
    </row>
    <row r="10992" spans="1:32" hidden="1" x14ac:dyDescent="0.35">
      <c r="A10992">
        <v>10991</v>
      </c>
      <c r="B10992" t="s">
        <v>22181</v>
      </c>
      <c r="C10992" t="s">
        <v>33</v>
      </c>
      <c r="D10992" t="s">
        <v>58</v>
      </c>
      <c r="E10992">
        <v>23</v>
      </c>
      <c r="F10992">
        <v>1</v>
      </c>
      <c r="G10992">
        <v>1</v>
      </c>
      <c r="H10992">
        <v>1</v>
      </c>
      <c r="I10992">
        <v>0</v>
      </c>
      <c r="J10992">
        <v>1</v>
      </c>
      <c r="K10992">
        <v>1</v>
      </c>
      <c r="L10992">
        <v>1</v>
      </c>
      <c r="M10992">
        <v>0</v>
      </c>
      <c r="N10992">
        <v>0</v>
      </c>
      <c r="O10992">
        <v>0</v>
      </c>
      <c r="P10992" t="s">
        <v>10904</v>
      </c>
      <c r="Q10992" t="s">
        <v>10905</v>
      </c>
      <c r="R10992" t="s">
        <v>96</v>
      </c>
      <c r="S10992" t="s">
        <v>97</v>
      </c>
      <c r="V10992" t="s">
        <v>10906</v>
      </c>
      <c r="W10992" t="s">
        <v>10907</v>
      </c>
      <c r="AF10992" t="s">
        <v>22182</v>
      </c>
    </row>
    <row r="10993" spans="1:32" hidden="1" x14ac:dyDescent="0.35">
      <c r="A10993">
        <v>2369</v>
      </c>
      <c r="B10993" t="s">
        <v>4924</v>
      </c>
      <c r="C10993" t="s">
        <v>72</v>
      </c>
      <c r="D10993" t="s">
        <v>58</v>
      </c>
      <c r="E10993">
        <v>213</v>
      </c>
      <c r="F10993">
        <v>5</v>
      </c>
      <c r="G10993">
        <v>5</v>
      </c>
      <c r="H10993">
        <v>1</v>
      </c>
      <c r="I10993">
        <v>1</v>
      </c>
      <c r="J10993">
        <v>0.90472127417519899</v>
      </c>
      <c r="K10993">
        <v>0.99322033898304996</v>
      </c>
      <c r="L10993">
        <v>0.94690749640731398</v>
      </c>
      <c r="M10993">
        <v>0.78813559322033899</v>
      </c>
      <c r="N10993">
        <v>1</v>
      </c>
      <c r="O10993">
        <v>0.85</v>
      </c>
      <c r="P10993" t="s">
        <v>4925</v>
      </c>
      <c r="Q10993" t="s">
        <v>4926</v>
      </c>
      <c r="R10993" t="s">
        <v>224</v>
      </c>
      <c r="S10993" t="s">
        <v>225</v>
      </c>
      <c r="T10993" t="s">
        <v>4927</v>
      </c>
      <c r="U10993" t="s">
        <v>4928</v>
      </c>
      <c r="V10993" t="s">
        <v>4929</v>
      </c>
      <c r="W10993" t="s">
        <v>4930</v>
      </c>
      <c r="X10993" t="s">
        <v>4929</v>
      </c>
      <c r="Y10993" t="s">
        <v>749</v>
      </c>
      <c r="AD10993" t="s">
        <v>762</v>
      </c>
      <c r="AE10993" t="s">
        <v>1545</v>
      </c>
      <c r="AF10993" t="s">
        <v>4931</v>
      </c>
    </row>
    <row r="10994" spans="1:32" hidden="1" x14ac:dyDescent="0.35">
      <c r="A10994">
        <v>10993</v>
      </c>
      <c r="B10994" t="s">
        <v>22192</v>
      </c>
      <c r="C10994" t="s">
        <v>33</v>
      </c>
      <c r="D10994" t="s">
        <v>58</v>
      </c>
      <c r="E10994">
        <v>1590</v>
      </c>
      <c r="F10994">
        <v>1</v>
      </c>
      <c r="G10994">
        <v>1</v>
      </c>
      <c r="H10994">
        <v>1</v>
      </c>
      <c r="I10994">
        <v>0</v>
      </c>
      <c r="J10994">
        <v>1</v>
      </c>
      <c r="K10994">
        <v>1</v>
      </c>
      <c r="L10994">
        <v>1</v>
      </c>
      <c r="M10994">
        <v>0</v>
      </c>
      <c r="N10994">
        <v>0</v>
      </c>
      <c r="O10994">
        <v>0</v>
      </c>
      <c r="P10994" t="s">
        <v>13559</v>
      </c>
      <c r="Q10994" t="s">
        <v>13560</v>
      </c>
      <c r="T10994" t="s">
        <v>13561</v>
      </c>
      <c r="U10994" t="s">
        <v>13562</v>
      </c>
      <c r="AD10994" t="s">
        <v>4789</v>
      </c>
      <c r="AE10994" t="s">
        <v>4790</v>
      </c>
      <c r="AF10994" t="s">
        <v>22193</v>
      </c>
    </row>
    <row r="10995" spans="1:32" hidden="1" x14ac:dyDescent="0.35">
      <c r="A10995">
        <v>2674</v>
      </c>
      <c r="B10995" t="s">
        <v>5524</v>
      </c>
      <c r="C10995" t="s">
        <v>72</v>
      </c>
      <c r="D10995" t="s">
        <v>58</v>
      </c>
      <c r="E10995">
        <v>215</v>
      </c>
      <c r="F10995">
        <v>5</v>
      </c>
      <c r="G10995">
        <v>5</v>
      </c>
      <c r="H10995">
        <v>1</v>
      </c>
      <c r="I10995">
        <v>1</v>
      </c>
      <c r="J10995">
        <v>0.86242459622494605</v>
      </c>
      <c r="K10995">
        <v>0.98454919938874397</v>
      </c>
      <c r="L10995">
        <v>0.91944936930120702</v>
      </c>
      <c r="M10995">
        <v>0.71264367816092</v>
      </c>
      <c r="N10995">
        <v>1</v>
      </c>
      <c r="O10995">
        <v>0.81206896551724095</v>
      </c>
      <c r="P10995" t="s">
        <v>5525</v>
      </c>
      <c r="Q10995" t="s">
        <v>5526</v>
      </c>
      <c r="R10995" t="s">
        <v>224</v>
      </c>
      <c r="S10995" t="s">
        <v>225</v>
      </c>
      <c r="T10995" t="s">
        <v>5527</v>
      </c>
      <c r="U10995" t="s">
        <v>5528</v>
      </c>
      <c r="V10995" t="s">
        <v>5529</v>
      </c>
      <c r="W10995" t="s">
        <v>5530</v>
      </c>
      <c r="X10995" t="s">
        <v>5529</v>
      </c>
      <c r="Y10995" t="s">
        <v>749</v>
      </c>
      <c r="AD10995" t="s">
        <v>762</v>
      </c>
      <c r="AE10995" t="s">
        <v>1545</v>
      </c>
      <c r="AF10995" t="s">
        <v>5531</v>
      </c>
    </row>
    <row r="10996" spans="1:32" hidden="1" x14ac:dyDescent="0.35">
      <c r="A10996">
        <v>10995</v>
      </c>
      <c r="B10996" t="s">
        <v>22196</v>
      </c>
      <c r="C10996" t="s">
        <v>33</v>
      </c>
      <c r="D10996" t="s">
        <v>58</v>
      </c>
      <c r="E10996">
        <v>318</v>
      </c>
      <c r="F10996">
        <v>1</v>
      </c>
      <c r="G10996">
        <v>1</v>
      </c>
      <c r="H10996">
        <v>1</v>
      </c>
      <c r="I10996">
        <v>0</v>
      </c>
      <c r="J10996">
        <v>1</v>
      </c>
      <c r="K10996">
        <v>1</v>
      </c>
      <c r="L10996">
        <v>1</v>
      </c>
      <c r="M10996">
        <v>0</v>
      </c>
      <c r="N10996">
        <v>0</v>
      </c>
      <c r="O10996">
        <v>0</v>
      </c>
      <c r="P10996" t="s">
        <v>11321</v>
      </c>
      <c r="Q10996" t="s">
        <v>11322</v>
      </c>
      <c r="R10996" t="s">
        <v>96</v>
      </c>
      <c r="S10996" t="s">
        <v>97</v>
      </c>
      <c r="T10996" t="s">
        <v>11323</v>
      </c>
      <c r="U10996" t="s">
        <v>11324</v>
      </c>
      <c r="V10996" t="s">
        <v>11325</v>
      </c>
      <c r="W10996" t="s">
        <v>11326</v>
      </c>
      <c r="AD10996" t="s">
        <v>11327</v>
      </c>
      <c r="AE10996" t="s">
        <v>11328</v>
      </c>
      <c r="AF10996" t="s">
        <v>22197</v>
      </c>
    </row>
    <row r="10997" spans="1:32" hidden="1" x14ac:dyDescent="0.35">
      <c r="A10997">
        <v>10996</v>
      </c>
      <c r="B10997" t="s">
        <v>22198</v>
      </c>
      <c r="C10997" t="s">
        <v>33</v>
      </c>
      <c r="D10997" t="s">
        <v>58</v>
      </c>
      <c r="E10997">
        <v>602</v>
      </c>
      <c r="F10997">
        <v>1</v>
      </c>
      <c r="G10997">
        <v>1</v>
      </c>
      <c r="H10997">
        <v>1</v>
      </c>
      <c r="I10997">
        <v>0</v>
      </c>
      <c r="J10997">
        <v>1</v>
      </c>
      <c r="K10997">
        <v>1</v>
      </c>
      <c r="L10997">
        <v>1</v>
      </c>
      <c r="M10997">
        <v>0</v>
      </c>
      <c r="N10997">
        <v>0</v>
      </c>
      <c r="O10997">
        <v>0</v>
      </c>
      <c r="P10997" t="s">
        <v>2795</v>
      </c>
      <c r="Q10997" t="s">
        <v>2796</v>
      </c>
      <c r="R10997" t="s">
        <v>288</v>
      </c>
      <c r="S10997" t="s">
        <v>289</v>
      </c>
      <c r="V10997" t="s">
        <v>2797</v>
      </c>
      <c r="W10997" t="s">
        <v>2798</v>
      </c>
      <c r="X10997" t="s">
        <v>2797</v>
      </c>
      <c r="Y10997" t="s">
        <v>1136</v>
      </c>
      <c r="AF10997" t="s">
        <v>22199</v>
      </c>
    </row>
    <row r="10998" spans="1:32" hidden="1" x14ac:dyDescent="0.35">
      <c r="A10998">
        <v>1249</v>
      </c>
      <c r="B10998" t="s">
        <v>2585</v>
      </c>
      <c r="C10998" t="s">
        <v>72</v>
      </c>
      <c r="D10998" t="s">
        <v>58</v>
      </c>
      <c r="E10998">
        <v>212</v>
      </c>
      <c r="F10998">
        <v>5</v>
      </c>
      <c r="G10998">
        <v>5</v>
      </c>
      <c r="H10998">
        <v>1</v>
      </c>
      <c r="I10998">
        <v>1</v>
      </c>
      <c r="J10998">
        <v>0.96643356643356604</v>
      </c>
      <c r="K10998">
        <v>1</v>
      </c>
      <c r="L10998">
        <v>0.982930298719772</v>
      </c>
      <c r="M10998">
        <v>0.93006993006993</v>
      </c>
      <c r="N10998">
        <v>1</v>
      </c>
      <c r="O10998">
        <v>0.95524475524475505</v>
      </c>
      <c r="P10998" t="s">
        <v>2586</v>
      </c>
      <c r="Q10998" t="s">
        <v>2587</v>
      </c>
      <c r="R10998" t="s">
        <v>224</v>
      </c>
      <c r="S10998" t="s">
        <v>225</v>
      </c>
      <c r="T10998" t="s">
        <v>2588</v>
      </c>
      <c r="U10998" t="s">
        <v>2589</v>
      </c>
      <c r="V10998" t="s">
        <v>2590</v>
      </c>
      <c r="W10998" t="s">
        <v>2591</v>
      </c>
      <c r="X10998" t="s">
        <v>2590</v>
      </c>
      <c r="Y10998" t="s">
        <v>749</v>
      </c>
      <c r="AD10998" t="s">
        <v>762</v>
      </c>
      <c r="AE10998" t="s">
        <v>1545</v>
      </c>
      <c r="AF10998" t="s">
        <v>2592</v>
      </c>
    </row>
    <row r="10999" spans="1:32" hidden="1" x14ac:dyDescent="0.35">
      <c r="A10999">
        <v>3179</v>
      </c>
      <c r="B10999" t="s">
        <v>6532</v>
      </c>
      <c r="C10999" t="s">
        <v>72</v>
      </c>
      <c r="D10999" t="s">
        <v>58</v>
      </c>
      <c r="E10999">
        <v>1585</v>
      </c>
      <c r="F10999">
        <v>5</v>
      </c>
      <c r="G10999">
        <v>5</v>
      </c>
      <c r="H10999">
        <v>1</v>
      </c>
      <c r="I10999">
        <v>1</v>
      </c>
      <c r="J10999">
        <v>0.91496598639455795</v>
      </c>
      <c r="K10999">
        <v>1</v>
      </c>
      <c r="L10999">
        <v>0.95559502664298401</v>
      </c>
      <c r="M10999">
        <v>0.80272108843537404</v>
      </c>
      <c r="N10999">
        <v>1</v>
      </c>
      <c r="O10999">
        <v>0.865986394557823</v>
      </c>
      <c r="P10999" t="s">
        <v>6533</v>
      </c>
      <c r="Q10999" t="s">
        <v>6534</v>
      </c>
      <c r="R10999" t="s">
        <v>224</v>
      </c>
      <c r="S10999" t="s">
        <v>225</v>
      </c>
      <c r="T10999" t="s">
        <v>6535</v>
      </c>
      <c r="U10999" t="s">
        <v>6536</v>
      </c>
      <c r="V10999" t="s">
        <v>6537</v>
      </c>
      <c r="W10999" t="s">
        <v>6538</v>
      </c>
      <c r="X10999" t="s">
        <v>6537</v>
      </c>
      <c r="Y10999" t="s">
        <v>749</v>
      </c>
      <c r="AD10999" t="s">
        <v>762</v>
      </c>
      <c r="AE10999" t="s">
        <v>1545</v>
      </c>
      <c r="AF10999" t="s">
        <v>6539</v>
      </c>
    </row>
    <row r="11000" spans="1:32" hidden="1" x14ac:dyDescent="0.35">
      <c r="A11000">
        <v>10999</v>
      </c>
      <c r="B11000" t="s">
        <v>22208</v>
      </c>
      <c r="C11000" t="s">
        <v>33</v>
      </c>
      <c r="D11000" t="s">
        <v>58</v>
      </c>
      <c r="E11000">
        <v>829</v>
      </c>
      <c r="F11000">
        <v>1</v>
      </c>
      <c r="G11000">
        <v>1</v>
      </c>
      <c r="H11000">
        <v>1</v>
      </c>
      <c r="I11000">
        <v>0</v>
      </c>
      <c r="J11000">
        <v>1</v>
      </c>
      <c r="K11000">
        <v>1</v>
      </c>
      <c r="L11000">
        <v>1</v>
      </c>
      <c r="M11000">
        <v>0</v>
      </c>
      <c r="N11000">
        <v>0</v>
      </c>
      <c r="O11000">
        <v>0</v>
      </c>
      <c r="P11000" t="s">
        <v>1504</v>
      </c>
      <c r="Q11000" t="s">
        <v>1505</v>
      </c>
      <c r="R11000" t="s">
        <v>1259</v>
      </c>
      <c r="S11000" t="s">
        <v>1260</v>
      </c>
      <c r="V11000" t="s">
        <v>1508</v>
      </c>
      <c r="W11000" t="s">
        <v>1509</v>
      </c>
      <c r="AF11000" t="s">
        <v>22209</v>
      </c>
    </row>
    <row r="11001" spans="1:32" hidden="1" x14ac:dyDescent="0.35">
      <c r="A11001">
        <v>11000</v>
      </c>
      <c r="B11001" t="s">
        <v>22210</v>
      </c>
      <c r="C11001" t="s">
        <v>33</v>
      </c>
      <c r="D11001" t="s">
        <v>58</v>
      </c>
      <c r="E11001">
        <v>900</v>
      </c>
      <c r="F11001">
        <v>1</v>
      </c>
      <c r="G11001">
        <v>1</v>
      </c>
      <c r="H11001">
        <v>1</v>
      </c>
      <c r="I11001">
        <v>0</v>
      </c>
      <c r="J11001">
        <v>1</v>
      </c>
      <c r="K11001">
        <v>1</v>
      </c>
      <c r="L11001">
        <v>1</v>
      </c>
      <c r="M11001">
        <v>0</v>
      </c>
      <c r="N11001">
        <v>0</v>
      </c>
      <c r="O11001">
        <v>0</v>
      </c>
      <c r="P11001" t="s">
        <v>11518</v>
      </c>
      <c r="Q11001" t="s">
        <v>11519</v>
      </c>
      <c r="R11001" t="s">
        <v>6699</v>
      </c>
      <c r="S11001" t="s">
        <v>6700</v>
      </c>
      <c r="T11001" t="s">
        <v>11520</v>
      </c>
      <c r="U11001" t="s">
        <v>11521</v>
      </c>
      <c r="V11001" t="s">
        <v>11522</v>
      </c>
      <c r="W11001" t="s">
        <v>11523</v>
      </c>
      <c r="AD11001" t="s">
        <v>410</v>
      </c>
      <c r="AE11001" t="s">
        <v>11524</v>
      </c>
      <c r="AF11001" t="s">
        <v>22211</v>
      </c>
    </row>
    <row r="11002" spans="1:32" hidden="1" x14ac:dyDescent="0.35">
      <c r="A11002">
        <v>11001</v>
      </c>
      <c r="B11002" t="s">
        <v>22212</v>
      </c>
      <c r="C11002" t="s">
        <v>33</v>
      </c>
      <c r="D11002" t="s">
        <v>58</v>
      </c>
      <c r="E11002">
        <v>132</v>
      </c>
      <c r="F11002">
        <v>1</v>
      </c>
      <c r="G11002">
        <v>1</v>
      </c>
      <c r="H11002">
        <v>1</v>
      </c>
      <c r="I11002">
        <v>0</v>
      </c>
      <c r="J11002">
        <v>1</v>
      </c>
      <c r="K11002">
        <v>1</v>
      </c>
      <c r="L11002">
        <v>1</v>
      </c>
      <c r="M11002">
        <v>0</v>
      </c>
      <c r="N11002">
        <v>0</v>
      </c>
      <c r="O11002">
        <v>0</v>
      </c>
      <c r="P11002" t="s">
        <v>16133</v>
      </c>
      <c r="Q11002" t="s">
        <v>16134</v>
      </c>
      <c r="AF11002" t="s">
        <v>22213</v>
      </c>
    </row>
    <row r="11003" spans="1:32" hidden="1" x14ac:dyDescent="0.35">
      <c r="A11003">
        <v>11002</v>
      </c>
      <c r="B11003" t="s">
        <v>22214</v>
      </c>
      <c r="C11003" t="s">
        <v>33</v>
      </c>
      <c r="D11003" t="s">
        <v>58</v>
      </c>
      <c r="E11003">
        <v>1799</v>
      </c>
      <c r="F11003">
        <v>1</v>
      </c>
      <c r="G11003">
        <v>1</v>
      </c>
      <c r="H11003">
        <v>1</v>
      </c>
      <c r="I11003">
        <v>0</v>
      </c>
      <c r="J11003">
        <v>1</v>
      </c>
      <c r="K11003">
        <v>1</v>
      </c>
      <c r="L11003">
        <v>1</v>
      </c>
      <c r="M11003">
        <v>0</v>
      </c>
      <c r="N11003">
        <v>0</v>
      </c>
      <c r="O11003">
        <v>0</v>
      </c>
      <c r="AF11003" t="s">
        <v>22215</v>
      </c>
    </row>
    <row r="11004" spans="1:32" hidden="1" x14ac:dyDescent="0.35">
      <c r="A11004">
        <v>11003</v>
      </c>
      <c r="B11004" t="s">
        <v>22216</v>
      </c>
      <c r="C11004" t="s">
        <v>33</v>
      </c>
      <c r="D11004" t="s">
        <v>58</v>
      </c>
      <c r="E11004">
        <v>1778</v>
      </c>
      <c r="F11004">
        <v>1</v>
      </c>
      <c r="G11004">
        <v>1</v>
      </c>
      <c r="H11004">
        <v>1</v>
      </c>
      <c r="I11004">
        <v>0</v>
      </c>
      <c r="J11004">
        <v>1</v>
      </c>
      <c r="K11004">
        <v>1</v>
      </c>
      <c r="L11004">
        <v>1</v>
      </c>
      <c r="M11004">
        <v>0</v>
      </c>
      <c r="N11004">
        <v>0</v>
      </c>
      <c r="O11004">
        <v>0</v>
      </c>
      <c r="P11004" t="s">
        <v>16645</v>
      </c>
      <c r="Q11004" t="s">
        <v>16646</v>
      </c>
      <c r="AF11004" t="s">
        <v>22217</v>
      </c>
    </row>
    <row r="11005" spans="1:32" hidden="1" x14ac:dyDescent="0.35">
      <c r="A11005">
        <v>11004</v>
      </c>
      <c r="B11005" t="s">
        <v>22218</v>
      </c>
      <c r="C11005" t="s">
        <v>33</v>
      </c>
      <c r="D11005" t="s">
        <v>58</v>
      </c>
      <c r="E11005">
        <v>139</v>
      </c>
      <c r="F11005">
        <v>1</v>
      </c>
      <c r="G11005">
        <v>1</v>
      </c>
      <c r="H11005">
        <v>1</v>
      </c>
      <c r="I11005">
        <v>0</v>
      </c>
      <c r="J11005">
        <v>1</v>
      </c>
      <c r="K11005">
        <v>1</v>
      </c>
      <c r="L11005">
        <v>1</v>
      </c>
      <c r="M11005">
        <v>0</v>
      </c>
      <c r="N11005">
        <v>0</v>
      </c>
      <c r="O11005">
        <v>0</v>
      </c>
      <c r="P11005" t="s">
        <v>16753</v>
      </c>
      <c r="Q11005" t="s">
        <v>16754</v>
      </c>
      <c r="R11005" t="s">
        <v>5842</v>
      </c>
      <c r="S11005" t="s">
        <v>5843</v>
      </c>
      <c r="T11005" t="s">
        <v>18011</v>
      </c>
      <c r="U11005" t="s">
        <v>18012</v>
      </c>
      <c r="V11005" t="s">
        <v>18013</v>
      </c>
      <c r="W11005" t="s">
        <v>18014</v>
      </c>
      <c r="Z11005" t="s">
        <v>6065</v>
      </c>
      <c r="AA11005" t="s">
        <v>6066</v>
      </c>
      <c r="AB11005" t="s">
        <v>6065</v>
      </c>
      <c r="AC11005" t="s">
        <v>4023</v>
      </c>
      <c r="AD11005" t="s">
        <v>147</v>
      </c>
      <c r="AE11005" t="s">
        <v>18015</v>
      </c>
      <c r="AF11005" t="s">
        <v>22219</v>
      </c>
    </row>
    <row r="11006" spans="1:32" hidden="1" x14ac:dyDescent="0.35">
      <c r="A11006">
        <v>11005</v>
      </c>
      <c r="B11006" t="s">
        <v>22220</v>
      </c>
      <c r="C11006" t="s">
        <v>33</v>
      </c>
      <c r="D11006" t="s">
        <v>58</v>
      </c>
      <c r="E11006">
        <v>1580</v>
      </c>
      <c r="F11006">
        <v>1</v>
      </c>
      <c r="G11006">
        <v>1</v>
      </c>
      <c r="H11006">
        <v>1</v>
      </c>
      <c r="I11006">
        <v>0</v>
      </c>
      <c r="J11006">
        <v>1</v>
      </c>
      <c r="K11006">
        <v>1</v>
      </c>
      <c r="L11006">
        <v>1</v>
      </c>
      <c r="M11006">
        <v>0</v>
      </c>
      <c r="N11006">
        <v>0</v>
      </c>
      <c r="O11006">
        <v>0</v>
      </c>
      <c r="AF11006" t="s">
        <v>22221</v>
      </c>
    </row>
    <row r="11007" spans="1:32" hidden="1" x14ac:dyDescent="0.35">
      <c r="A11007">
        <v>1269</v>
      </c>
      <c r="B11007" t="s">
        <v>2631</v>
      </c>
      <c r="C11007" t="s">
        <v>72</v>
      </c>
      <c r="D11007" t="s">
        <v>58</v>
      </c>
      <c r="E11007">
        <v>260</v>
      </c>
      <c r="F11007">
        <v>5</v>
      </c>
      <c r="G11007">
        <v>5</v>
      </c>
      <c r="H11007">
        <v>1</v>
      </c>
      <c r="I11007">
        <v>1</v>
      </c>
      <c r="J11007">
        <v>0.97978142076502694</v>
      </c>
      <c r="K11007">
        <v>1</v>
      </c>
      <c r="L11007">
        <v>0.98978746894838499</v>
      </c>
      <c r="M11007">
        <v>0.95081967213114704</v>
      </c>
      <c r="N11007">
        <v>1</v>
      </c>
      <c r="O11007">
        <v>0.96557377049180304</v>
      </c>
      <c r="P11007" t="s">
        <v>2632</v>
      </c>
      <c r="Q11007" t="s">
        <v>2633</v>
      </c>
      <c r="R11007" t="s">
        <v>224</v>
      </c>
      <c r="S11007" t="s">
        <v>225</v>
      </c>
      <c r="T11007" t="s">
        <v>2634</v>
      </c>
      <c r="U11007" t="s">
        <v>2635</v>
      </c>
      <c r="V11007" t="s">
        <v>2636</v>
      </c>
      <c r="W11007" t="s">
        <v>2637</v>
      </c>
      <c r="X11007" t="s">
        <v>2636</v>
      </c>
      <c r="Y11007" t="s">
        <v>749</v>
      </c>
      <c r="AD11007" t="s">
        <v>762</v>
      </c>
      <c r="AE11007" t="s">
        <v>1545</v>
      </c>
      <c r="AF11007" t="s">
        <v>2638</v>
      </c>
    </row>
    <row r="11008" spans="1:32" hidden="1" x14ac:dyDescent="0.35">
      <c r="A11008">
        <v>11007</v>
      </c>
      <c r="B11008" t="s">
        <v>22224</v>
      </c>
      <c r="C11008" t="s">
        <v>33</v>
      </c>
      <c r="D11008" t="s">
        <v>58</v>
      </c>
      <c r="E11008">
        <v>221</v>
      </c>
      <c r="F11008">
        <v>1</v>
      </c>
      <c r="G11008">
        <v>1</v>
      </c>
      <c r="H11008">
        <v>1</v>
      </c>
      <c r="I11008">
        <v>0</v>
      </c>
      <c r="J11008">
        <v>1</v>
      </c>
      <c r="K11008">
        <v>1</v>
      </c>
      <c r="L11008">
        <v>1</v>
      </c>
      <c r="M11008">
        <v>0</v>
      </c>
      <c r="N11008">
        <v>0</v>
      </c>
      <c r="O11008">
        <v>0</v>
      </c>
      <c r="P11008" t="s">
        <v>16423</v>
      </c>
      <c r="Q11008" t="s">
        <v>16424</v>
      </c>
      <c r="R11008" t="s">
        <v>1259</v>
      </c>
      <c r="S11008" t="s">
        <v>1260</v>
      </c>
      <c r="V11008" t="s">
        <v>16425</v>
      </c>
      <c r="W11008" t="s">
        <v>16426</v>
      </c>
      <c r="AF11008" t="s">
        <v>22225</v>
      </c>
    </row>
    <row r="11009" spans="1:32" hidden="1" x14ac:dyDescent="0.35">
      <c r="A11009">
        <v>11008</v>
      </c>
      <c r="B11009" t="s">
        <v>22226</v>
      </c>
      <c r="C11009" t="s">
        <v>33</v>
      </c>
      <c r="D11009" t="s">
        <v>58</v>
      </c>
      <c r="E11009">
        <v>339</v>
      </c>
      <c r="F11009">
        <v>1</v>
      </c>
      <c r="G11009">
        <v>1</v>
      </c>
      <c r="H11009">
        <v>1</v>
      </c>
      <c r="I11009">
        <v>0</v>
      </c>
      <c r="J11009">
        <v>1</v>
      </c>
      <c r="K11009">
        <v>1</v>
      </c>
      <c r="L11009">
        <v>1</v>
      </c>
      <c r="M11009">
        <v>0</v>
      </c>
      <c r="N11009">
        <v>0</v>
      </c>
      <c r="O11009">
        <v>0</v>
      </c>
      <c r="P11009" t="s">
        <v>13324</v>
      </c>
      <c r="Q11009" t="s">
        <v>13325</v>
      </c>
      <c r="AF11009" t="s">
        <v>22227</v>
      </c>
    </row>
    <row r="11010" spans="1:32" hidden="1" x14ac:dyDescent="0.35">
      <c r="A11010">
        <v>11009</v>
      </c>
      <c r="B11010" t="s">
        <v>22228</v>
      </c>
      <c r="C11010" t="s">
        <v>33</v>
      </c>
      <c r="D11010" t="s">
        <v>58</v>
      </c>
      <c r="E11010">
        <v>1272</v>
      </c>
      <c r="F11010">
        <v>1</v>
      </c>
      <c r="G11010">
        <v>1</v>
      </c>
      <c r="H11010">
        <v>1</v>
      </c>
      <c r="I11010">
        <v>0</v>
      </c>
      <c r="J11010">
        <v>1</v>
      </c>
      <c r="K11010">
        <v>1</v>
      </c>
      <c r="L11010">
        <v>1</v>
      </c>
      <c r="M11010">
        <v>0</v>
      </c>
      <c r="N11010">
        <v>0</v>
      </c>
      <c r="O11010">
        <v>0</v>
      </c>
      <c r="AF11010" t="s">
        <v>22229</v>
      </c>
    </row>
    <row r="11011" spans="1:32" hidden="1" x14ac:dyDescent="0.35">
      <c r="A11011">
        <v>11010</v>
      </c>
      <c r="B11011" t="s">
        <v>22230</v>
      </c>
      <c r="C11011" t="s">
        <v>33</v>
      </c>
      <c r="D11011" t="s">
        <v>60</v>
      </c>
      <c r="E11011">
        <v>17</v>
      </c>
      <c r="F11011">
        <v>1</v>
      </c>
      <c r="G11011">
        <v>1</v>
      </c>
      <c r="H11011">
        <v>1</v>
      </c>
      <c r="I11011">
        <v>0</v>
      </c>
      <c r="J11011">
        <v>1</v>
      </c>
      <c r="K11011">
        <v>1</v>
      </c>
      <c r="L11011">
        <v>1</v>
      </c>
      <c r="M11011">
        <v>0</v>
      </c>
      <c r="N11011">
        <v>0</v>
      </c>
      <c r="O11011">
        <v>0</v>
      </c>
      <c r="AF11011" t="s">
        <v>22231</v>
      </c>
    </row>
    <row r="11012" spans="1:32" hidden="1" x14ac:dyDescent="0.35">
      <c r="A11012">
        <v>11011</v>
      </c>
      <c r="B11012" t="s">
        <v>22232</v>
      </c>
      <c r="C11012" t="s">
        <v>33</v>
      </c>
      <c r="D11012" t="s">
        <v>58</v>
      </c>
      <c r="E11012">
        <v>627</v>
      </c>
      <c r="F11012">
        <v>1</v>
      </c>
      <c r="G11012">
        <v>1</v>
      </c>
      <c r="H11012">
        <v>1</v>
      </c>
      <c r="I11012">
        <v>0</v>
      </c>
      <c r="J11012">
        <v>1</v>
      </c>
      <c r="K11012">
        <v>1</v>
      </c>
      <c r="L11012">
        <v>1</v>
      </c>
      <c r="M11012">
        <v>0</v>
      </c>
      <c r="N11012">
        <v>0</v>
      </c>
      <c r="O11012">
        <v>0</v>
      </c>
      <c r="P11012" t="s">
        <v>11476</v>
      </c>
      <c r="Q11012" t="s">
        <v>11477</v>
      </c>
      <c r="R11012" t="s">
        <v>11478</v>
      </c>
      <c r="S11012" t="s">
        <v>11479</v>
      </c>
      <c r="T11012" t="s">
        <v>22233</v>
      </c>
      <c r="U11012" t="s">
        <v>22234</v>
      </c>
      <c r="V11012" t="s">
        <v>11480</v>
      </c>
      <c r="W11012" t="s">
        <v>11481</v>
      </c>
      <c r="Z11012" t="s">
        <v>22138</v>
      </c>
      <c r="AA11012" t="s">
        <v>22139</v>
      </c>
      <c r="AB11012" t="s">
        <v>22138</v>
      </c>
      <c r="AC11012" t="s">
        <v>21973</v>
      </c>
      <c r="AD11012" t="s">
        <v>410</v>
      </c>
      <c r="AE11012" t="s">
        <v>22235</v>
      </c>
      <c r="AF11012" t="s">
        <v>22236</v>
      </c>
    </row>
    <row r="11013" spans="1:32" hidden="1" x14ac:dyDescent="0.35">
      <c r="A11013">
        <v>11012</v>
      </c>
      <c r="B11013" t="s">
        <v>22237</v>
      </c>
      <c r="C11013" t="s">
        <v>33</v>
      </c>
      <c r="D11013" t="s">
        <v>58</v>
      </c>
      <c r="E11013">
        <v>745</v>
      </c>
      <c r="F11013">
        <v>1</v>
      </c>
      <c r="G11013">
        <v>1</v>
      </c>
      <c r="H11013">
        <v>1</v>
      </c>
      <c r="I11013">
        <v>0</v>
      </c>
      <c r="J11013">
        <v>1</v>
      </c>
      <c r="K11013">
        <v>1</v>
      </c>
      <c r="L11013">
        <v>1</v>
      </c>
      <c r="M11013">
        <v>0</v>
      </c>
      <c r="N11013">
        <v>0</v>
      </c>
      <c r="O11013">
        <v>0</v>
      </c>
      <c r="P11013" t="s">
        <v>10443</v>
      </c>
      <c r="Q11013" t="s">
        <v>10444</v>
      </c>
      <c r="R11013" t="s">
        <v>5180</v>
      </c>
      <c r="S11013" t="s">
        <v>5181</v>
      </c>
      <c r="V11013" t="s">
        <v>10445</v>
      </c>
      <c r="W11013" t="s">
        <v>10446</v>
      </c>
      <c r="AF11013" t="s">
        <v>22238</v>
      </c>
    </row>
    <row r="11014" spans="1:32" hidden="1" x14ac:dyDescent="0.35">
      <c r="A11014">
        <v>11013</v>
      </c>
      <c r="B11014" t="s">
        <v>22239</v>
      </c>
      <c r="C11014" t="s">
        <v>33</v>
      </c>
      <c r="D11014" t="s">
        <v>45</v>
      </c>
      <c r="E11014">
        <v>2051</v>
      </c>
      <c r="F11014">
        <v>1</v>
      </c>
      <c r="G11014">
        <v>1</v>
      </c>
      <c r="H11014">
        <v>1</v>
      </c>
      <c r="I11014">
        <v>0</v>
      </c>
      <c r="J11014">
        <v>1</v>
      </c>
      <c r="K11014">
        <v>1</v>
      </c>
      <c r="L11014">
        <v>1</v>
      </c>
      <c r="M11014">
        <v>0</v>
      </c>
      <c r="N11014">
        <v>0</v>
      </c>
      <c r="O11014">
        <v>0</v>
      </c>
      <c r="AF11014" t="s">
        <v>22240</v>
      </c>
    </row>
    <row r="11015" spans="1:32" hidden="1" x14ac:dyDescent="0.35">
      <c r="A11015">
        <v>2524</v>
      </c>
      <c r="B11015" t="s">
        <v>5220</v>
      </c>
      <c r="C11015" t="s">
        <v>72</v>
      </c>
      <c r="D11015" t="s">
        <v>58</v>
      </c>
      <c r="E11015">
        <v>277</v>
      </c>
      <c r="F11015">
        <v>5</v>
      </c>
      <c r="G11015">
        <v>5</v>
      </c>
      <c r="H11015">
        <v>1</v>
      </c>
      <c r="I11015">
        <v>1</v>
      </c>
      <c r="J11015">
        <v>0.90997074049065996</v>
      </c>
      <c r="K11015">
        <v>0.98097130242825503</v>
      </c>
      <c r="L11015">
        <v>0.94413806685771995</v>
      </c>
      <c r="M11015">
        <v>0.82119205298013198</v>
      </c>
      <c r="N11015">
        <v>1</v>
      </c>
      <c r="O11015">
        <v>0.87284768211920505</v>
      </c>
      <c r="P11015" t="s">
        <v>5221</v>
      </c>
      <c r="Q11015" t="s">
        <v>5222</v>
      </c>
      <c r="R11015" t="s">
        <v>224</v>
      </c>
      <c r="S11015" t="s">
        <v>225</v>
      </c>
      <c r="T11015" t="s">
        <v>5223</v>
      </c>
      <c r="U11015" t="s">
        <v>5224</v>
      </c>
      <c r="V11015" t="s">
        <v>5225</v>
      </c>
      <c r="W11015" t="s">
        <v>5226</v>
      </c>
      <c r="X11015" t="s">
        <v>5225</v>
      </c>
      <c r="Y11015" t="s">
        <v>749</v>
      </c>
      <c r="AD11015" t="s">
        <v>762</v>
      </c>
      <c r="AE11015" t="s">
        <v>1545</v>
      </c>
      <c r="AF11015" t="s">
        <v>5227</v>
      </c>
    </row>
    <row r="11016" spans="1:32" hidden="1" x14ac:dyDescent="0.35">
      <c r="A11016">
        <v>11015</v>
      </c>
      <c r="B11016" t="s">
        <v>22243</v>
      </c>
      <c r="C11016" t="s">
        <v>33</v>
      </c>
      <c r="D11016" t="s">
        <v>60</v>
      </c>
      <c r="E11016">
        <v>663</v>
      </c>
      <c r="F11016">
        <v>1</v>
      </c>
      <c r="G11016">
        <v>1</v>
      </c>
      <c r="H11016">
        <v>1</v>
      </c>
      <c r="I11016">
        <v>0</v>
      </c>
      <c r="J11016">
        <v>1</v>
      </c>
      <c r="K11016">
        <v>1</v>
      </c>
      <c r="L11016">
        <v>1</v>
      </c>
      <c r="M11016">
        <v>0</v>
      </c>
      <c r="N11016">
        <v>0</v>
      </c>
      <c r="O11016">
        <v>0</v>
      </c>
      <c r="AF11016" t="s">
        <v>22244</v>
      </c>
    </row>
    <row r="11017" spans="1:32" hidden="1" x14ac:dyDescent="0.35">
      <c r="A11017">
        <v>11016</v>
      </c>
      <c r="B11017" t="s">
        <v>22245</v>
      </c>
      <c r="C11017" t="s">
        <v>33</v>
      </c>
      <c r="D11017" t="s">
        <v>60</v>
      </c>
      <c r="E11017">
        <v>645</v>
      </c>
      <c r="F11017">
        <v>1</v>
      </c>
      <c r="G11017">
        <v>1</v>
      </c>
      <c r="H11017">
        <v>1</v>
      </c>
      <c r="I11017">
        <v>0</v>
      </c>
      <c r="J11017">
        <v>1</v>
      </c>
      <c r="K11017">
        <v>1</v>
      </c>
      <c r="L11017">
        <v>1</v>
      </c>
      <c r="M11017">
        <v>0</v>
      </c>
      <c r="N11017">
        <v>0</v>
      </c>
      <c r="O11017">
        <v>0</v>
      </c>
      <c r="AF11017" t="s">
        <v>22246</v>
      </c>
    </row>
    <row r="11018" spans="1:32" hidden="1" x14ac:dyDescent="0.35">
      <c r="A11018">
        <v>1964</v>
      </c>
      <c r="B11018" t="s">
        <v>4074</v>
      </c>
      <c r="C11018" t="s">
        <v>72</v>
      </c>
      <c r="D11018" t="s">
        <v>58</v>
      </c>
      <c r="E11018">
        <v>244</v>
      </c>
      <c r="F11018">
        <v>5</v>
      </c>
      <c r="G11018">
        <v>5</v>
      </c>
      <c r="H11018">
        <v>1</v>
      </c>
      <c r="I11018">
        <v>1</v>
      </c>
      <c r="J11018">
        <v>0.96425120772946904</v>
      </c>
      <c r="K11018">
        <v>1</v>
      </c>
      <c r="L11018">
        <v>0.98180029513034905</v>
      </c>
      <c r="M11018">
        <v>0.92028985507246397</v>
      </c>
      <c r="N11018">
        <v>1</v>
      </c>
      <c r="O11018">
        <v>0.950724637681159</v>
      </c>
      <c r="P11018" t="s">
        <v>4075</v>
      </c>
      <c r="Q11018" t="s">
        <v>4076</v>
      </c>
      <c r="R11018" t="s">
        <v>224</v>
      </c>
      <c r="S11018" t="s">
        <v>225</v>
      </c>
      <c r="T11018" t="s">
        <v>4077</v>
      </c>
      <c r="U11018" t="s">
        <v>4078</v>
      </c>
      <c r="V11018" t="s">
        <v>4079</v>
      </c>
      <c r="W11018" t="s">
        <v>4080</v>
      </c>
      <c r="X11018" t="s">
        <v>4079</v>
      </c>
      <c r="Y11018" t="s">
        <v>749</v>
      </c>
      <c r="AD11018" t="s">
        <v>750</v>
      </c>
      <c r="AE11018" t="s">
        <v>751</v>
      </c>
      <c r="AF11018" t="s">
        <v>4081</v>
      </c>
    </row>
    <row r="11019" spans="1:32" hidden="1" x14ac:dyDescent="0.35">
      <c r="A11019">
        <v>11018</v>
      </c>
      <c r="B11019" t="s">
        <v>22249</v>
      </c>
      <c r="C11019" t="s">
        <v>33</v>
      </c>
      <c r="D11019" t="s">
        <v>45</v>
      </c>
      <c r="E11019">
        <v>2014</v>
      </c>
      <c r="F11019">
        <v>1</v>
      </c>
      <c r="G11019">
        <v>1</v>
      </c>
      <c r="H11019">
        <v>1</v>
      </c>
      <c r="I11019">
        <v>0</v>
      </c>
      <c r="J11019">
        <v>1</v>
      </c>
      <c r="K11019">
        <v>1</v>
      </c>
      <c r="L11019">
        <v>1</v>
      </c>
      <c r="M11019">
        <v>0</v>
      </c>
      <c r="N11019">
        <v>0</v>
      </c>
      <c r="O11019">
        <v>0</v>
      </c>
      <c r="AF11019" t="s">
        <v>22250</v>
      </c>
    </row>
    <row r="11020" spans="1:32" hidden="1" x14ac:dyDescent="0.35">
      <c r="A11020">
        <v>2854</v>
      </c>
      <c r="B11020" t="s">
        <v>5897</v>
      </c>
      <c r="C11020" t="s">
        <v>72</v>
      </c>
      <c r="D11020" t="s">
        <v>58</v>
      </c>
      <c r="E11020">
        <v>288</v>
      </c>
      <c r="F11020">
        <v>5</v>
      </c>
      <c r="G11020">
        <v>5</v>
      </c>
      <c r="H11020">
        <v>1</v>
      </c>
      <c r="I11020">
        <v>1</v>
      </c>
      <c r="J11020">
        <v>0.86080347448425598</v>
      </c>
      <c r="K11020">
        <v>0.90459580323357403</v>
      </c>
      <c r="L11020">
        <v>0.88215648466102503</v>
      </c>
      <c r="M11020">
        <v>0.68421052631578905</v>
      </c>
      <c r="N11020">
        <v>1</v>
      </c>
      <c r="O11020">
        <v>0.76315789473684204</v>
      </c>
      <c r="P11020" t="s">
        <v>5898</v>
      </c>
      <c r="Q11020" t="s">
        <v>5899</v>
      </c>
      <c r="R11020" t="s">
        <v>224</v>
      </c>
      <c r="S11020" t="s">
        <v>225</v>
      </c>
      <c r="T11020" t="s">
        <v>5900</v>
      </c>
      <c r="U11020" t="s">
        <v>5901</v>
      </c>
      <c r="V11020" t="s">
        <v>5902</v>
      </c>
      <c r="W11020" t="s">
        <v>5903</v>
      </c>
      <c r="X11020" t="s">
        <v>5902</v>
      </c>
      <c r="Y11020" t="s">
        <v>749</v>
      </c>
      <c r="AD11020" t="s">
        <v>750</v>
      </c>
      <c r="AE11020" t="s">
        <v>751</v>
      </c>
      <c r="AF11020" t="s">
        <v>5904</v>
      </c>
    </row>
    <row r="11021" spans="1:32" hidden="1" x14ac:dyDescent="0.35">
      <c r="A11021">
        <v>11020</v>
      </c>
      <c r="B11021" t="s">
        <v>22253</v>
      </c>
      <c r="C11021" t="s">
        <v>33</v>
      </c>
      <c r="D11021" t="s">
        <v>58</v>
      </c>
      <c r="E11021">
        <v>1529</v>
      </c>
      <c r="F11021">
        <v>1</v>
      </c>
      <c r="G11021">
        <v>1</v>
      </c>
      <c r="H11021">
        <v>1</v>
      </c>
      <c r="I11021">
        <v>0</v>
      </c>
      <c r="J11021">
        <v>1</v>
      </c>
      <c r="K11021">
        <v>1</v>
      </c>
      <c r="L11021">
        <v>1</v>
      </c>
      <c r="M11021">
        <v>0</v>
      </c>
      <c r="N11021">
        <v>0</v>
      </c>
      <c r="O11021">
        <v>0</v>
      </c>
      <c r="AF11021" t="s">
        <v>22254</v>
      </c>
    </row>
    <row r="11022" spans="1:32" hidden="1" x14ac:dyDescent="0.35">
      <c r="A11022">
        <v>11021</v>
      </c>
      <c r="B11022" t="s">
        <v>22255</v>
      </c>
      <c r="C11022" t="s">
        <v>33</v>
      </c>
      <c r="D11022" t="s">
        <v>34</v>
      </c>
      <c r="E11022">
        <v>1131</v>
      </c>
      <c r="F11022">
        <v>1</v>
      </c>
      <c r="G11022">
        <v>1</v>
      </c>
      <c r="H11022">
        <v>1</v>
      </c>
      <c r="I11022">
        <v>0</v>
      </c>
      <c r="J11022">
        <v>1</v>
      </c>
      <c r="K11022">
        <v>1</v>
      </c>
      <c r="L11022">
        <v>1</v>
      </c>
      <c r="M11022">
        <v>0</v>
      </c>
      <c r="N11022">
        <v>0</v>
      </c>
      <c r="O11022">
        <v>0</v>
      </c>
      <c r="P11022" t="s">
        <v>21289</v>
      </c>
      <c r="Q11022" t="s">
        <v>21290</v>
      </c>
      <c r="R11022" t="s">
        <v>113</v>
      </c>
      <c r="S11022" t="s">
        <v>114</v>
      </c>
      <c r="T11022" t="s">
        <v>21291</v>
      </c>
      <c r="U11022" t="s">
        <v>21292</v>
      </c>
      <c r="V11022" t="s">
        <v>18093</v>
      </c>
      <c r="W11022" t="s">
        <v>18094</v>
      </c>
      <c r="AD11022" t="s">
        <v>21295</v>
      </c>
      <c r="AE11022" t="s">
        <v>21296</v>
      </c>
      <c r="AF11022" t="s">
        <v>22256</v>
      </c>
    </row>
    <row r="11023" spans="1:32" hidden="1" x14ac:dyDescent="0.35">
      <c r="A11023">
        <v>11022</v>
      </c>
      <c r="B11023" t="s">
        <v>22257</v>
      </c>
      <c r="C11023" t="s">
        <v>33</v>
      </c>
      <c r="D11023" t="s">
        <v>58</v>
      </c>
      <c r="E11023">
        <v>1312</v>
      </c>
      <c r="F11023">
        <v>1</v>
      </c>
      <c r="G11023">
        <v>1</v>
      </c>
      <c r="H11023">
        <v>1</v>
      </c>
      <c r="I11023">
        <v>0</v>
      </c>
      <c r="J11023">
        <v>1</v>
      </c>
      <c r="K11023">
        <v>1</v>
      </c>
      <c r="L11023">
        <v>1</v>
      </c>
      <c r="M11023">
        <v>0</v>
      </c>
      <c r="N11023">
        <v>0</v>
      </c>
      <c r="O11023">
        <v>0</v>
      </c>
      <c r="P11023" t="s">
        <v>12226</v>
      </c>
      <c r="Q11023" t="s">
        <v>12227</v>
      </c>
      <c r="R11023" t="s">
        <v>12228</v>
      </c>
      <c r="S11023" t="s">
        <v>12229</v>
      </c>
      <c r="T11023" t="s">
        <v>12230</v>
      </c>
      <c r="U11023" t="s">
        <v>12231</v>
      </c>
      <c r="V11023" t="s">
        <v>12232</v>
      </c>
      <c r="W11023" t="s">
        <v>12233</v>
      </c>
      <c r="AD11023" t="s">
        <v>12234</v>
      </c>
      <c r="AE11023" t="s">
        <v>12235</v>
      </c>
      <c r="AF11023" t="s">
        <v>22258</v>
      </c>
    </row>
    <row r="11024" spans="1:32" hidden="1" x14ac:dyDescent="0.35">
      <c r="A11024">
        <v>11023</v>
      </c>
      <c r="B11024" t="s">
        <v>22259</v>
      </c>
      <c r="C11024" t="s">
        <v>33</v>
      </c>
      <c r="D11024" t="s">
        <v>34</v>
      </c>
      <c r="E11024">
        <v>1263</v>
      </c>
      <c r="F11024">
        <v>1</v>
      </c>
      <c r="G11024">
        <v>1</v>
      </c>
      <c r="H11024">
        <v>1</v>
      </c>
      <c r="I11024">
        <v>0</v>
      </c>
      <c r="J11024">
        <v>1</v>
      </c>
      <c r="K11024">
        <v>1</v>
      </c>
      <c r="L11024">
        <v>1</v>
      </c>
      <c r="M11024">
        <v>0</v>
      </c>
      <c r="N11024">
        <v>0</v>
      </c>
      <c r="O11024">
        <v>0</v>
      </c>
      <c r="P11024" t="s">
        <v>22260</v>
      </c>
      <c r="Q11024" t="s">
        <v>22261</v>
      </c>
      <c r="AF11024" t="s">
        <v>22262</v>
      </c>
    </row>
    <row r="11025" spans="1:32" hidden="1" x14ac:dyDescent="0.35">
      <c r="A11025">
        <v>11024</v>
      </c>
      <c r="B11025" t="s">
        <v>22263</v>
      </c>
      <c r="C11025" t="s">
        <v>33</v>
      </c>
      <c r="D11025" t="s">
        <v>34</v>
      </c>
      <c r="E11025">
        <v>2211</v>
      </c>
      <c r="F11025">
        <v>1</v>
      </c>
      <c r="G11025">
        <v>1</v>
      </c>
      <c r="H11025">
        <v>1</v>
      </c>
      <c r="I11025">
        <v>0</v>
      </c>
      <c r="J11025">
        <v>1</v>
      </c>
      <c r="K11025">
        <v>1</v>
      </c>
      <c r="L11025">
        <v>1</v>
      </c>
      <c r="M11025">
        <v>0</v>
      </c>
      <c r="N11025">
        <v>0</v>
      </c>
      <c r="O11025">
        <v>0</v>
      </c>
      <c r="P11025" t="s">
        <v>169</v>
      </c>
      <c r="Q11025" t="s">
        <v>170</v>
      </c>
      <c r="R11025" t="s">
        <v>138</v>
      </c>
      <c r="S11025" t="s">
        <v>139</v>
      </c>
      <c r="T11025" t="s">
        <v>11557</v>
      </c>
      <c r="U11025" t="s">
        <v>11558</v>
      </c>
      <c r="V11025" t="s">
        <v>11356</v>
      </c>
      <c r="W11025" t="s">
        <v>11357</v>
      </c>
      <c r="AD11025" t="s">
        <v>439</v>
      </c>
      <c r="AE11025" t="s">
        <v>11443</v>
      </c>
      <c r="AF11025" t="s">
        <v>22264</v>
      </c>
    </row>
    <row r="11026" spans="1:32" hidden="1" x14ac:dyDescent="0.35">
      <c r="A11026">
        <v>11025</v>
      </c>
      <c r="B11026" t="s">
        <v>22265</v>
      </c>
      <c r="C11026" t="s">
        <v>33</v>
      </c>
      <c r="D11026" t="s">
        <v>58</v>
      </c>
      <c r="E11026">
        <v>925</v>
      </c>
      <c r="F11026">
        <v>1</v>
      </c>
      <c r="G11026">
        <v>1</v>
      </c>
      <c r="H11026">
        <v>1</v>
      </c>
      <c r="I11026">
        <v>0</v>
      </c>
      <c r="J11026">
        <v>1</v>
      </c>
      <c r="K11026">
        <v>1</v>
      </c>
      <c r="L11026">
        <v>1</v>
      </c>
      <c r="M11026">
        <v>0</v>
      </c>
      <c r="N11026">
        <v>0</v>
      </c>
      <c r="O11026">
        <v>0</v>
      </c>
      <c r="AF11026" t="s">
        <v>22266</v>
      </c>
    </row>
    <row r="11027" spans="1:32" hidden="1" x14ac:dyDescent="0.35">
      <c r="A11027">
        <v>1954</v>
      </c>
      <c r="B11027" t="s">
        <v>4051</v>
      </c>
      <c r="C11027" t="s">
        <v>72</v>
      </c>
      <c r="D11027" t="s">
        <v>58</v>
      </c>
      <c r="E11027">
        <v>274</v>
      </c>
      <c r="F11027">
        <v>5</v>
      </c>
      <c r="G11027">
        <v>5</v>
      </c>
      <c r="H11027">
        <v>1</v>
      </c>
      <c r="I11027">
        <v>1</v>
      </c>
      <c r="J11027">
        <v>0.86396599149787401</v>
      </c>
      <c r="K11027">
        <v>0.98034313725490196</v>
      </c>
      <c r="L11027">
        <v>0.91848282631376998</v>
      </c>
      <c r="M11027">
        <v>0.74264705882352899</v>
      </c>
      <c r="N11027">
        <v>1</v>
      </c>
      <c r="O11027">
        <v>0.80441176470588205</v>
      </c>
      <c r="P11027" t="s">
        <v>4052</v>
      </c>
      <c r="Q11027" t="s">
        <v>4053</v>
      </c>
      <c r="R11027" t="s">
        <v>224</v>
      </c>
      <c r="S11027" t="s">
        <v>225</v>
      </c>
      <c r="T11027" t="s">
        <v>4054</v>
      </c>
      <c r="U11027" t="s">
        <v>4055</v>
      </c>
      <c r="V11027" t="s">
        <v>4056</v>
      </c>
      <c r="W11027" t="s">
        <v>4057</v>
      </c>
      <c r="X11027" t="s">
        <v>4056</v>
      </c>
      <c r="Y11027" t="s">
        <v>749</v>
      </c>
      <c r="AD11027" t="s">
        <v>762</v>
      </c>
      <c r="AE11027" t="s">
        <v>1545</v>
      </c>
      <c r="AF11027" t="s">
        <v>4058</v>
      </c>
    </row>
    <row r="11028" spans="1:32" hidden="1" x14ac:dyDescent="0.35">
      <c r="A11028">
        <v>949</v>
      </c>
      <c r="B11028" t="s">
        <v>1970</v>
      </c>
      <c r="C11028" t="s">
        <v>72</v>
      </c>
      <c r="D11028" t="s">
        <v>58</v>
      </c>
      <c r="E11028">
        <v>1178</v>
      </c>
      <c r="F11028">
        <v>5</v>
      </c>
      <c r="G11028">
        <v>5</v>
      </c>
      <c r="H11028">
        <v>1</v>
      </c>
      <c r="I11028">
        <v>1</v>
      </c>
      <c r="J11028">
        <v>0.94817432273262703</v>
      </c>
      <c r="K11028">
        <v>0.98443935926773396</v>
      </c>
      <c r="L11028">
        <v>0.96596658860335005</v>
      </c>
      <c r="M11028">
        <v>0.89565217391304397</v>
      </c>
      <c r="N11028">
        <v>1</v>
      </c>
      <c r="O11028">
        <v>0.92</v>
      </c>
      <c r="P11028" t="s">
        <v>1971</v>
      </c>
      <c r="Q11028" t="s">
        <v>1972</v>
      </c>
      <c r="R11028" t="s">
        <v>224</v>
      </c>
      <c r="S11028" t="s">
        <v>225</v>
      </c>
      <c r="T11028" t="s">
        <v>1973</v>
      </c>
      <c r="U11028" t="s">
        <v>1974</v>
      </c>
      <c r="V11028" t="s">
        <v>1975</v>
      </c>
      <c r="W11028" t="s">
        <v>1976</v>
      </c>
      <c r="X11028" t="s">
        <v>1975</v>
      </c>
      <c r="Y11028" t="s">
        <v>749</v>
      </c>
      <c r="AD11028" t="s">
        <v>750</v>
      </c>
      <c r="AE11028" t="s">
        <v>751</v>
      </c>
      <c r="AF11028" t="s">
        <v>1977</v>
      </c>
    </row>
    <row r="11029" spans="1:32" hidden="1" x14ac:dyDescent="0.35">
      <c r="A11029">
        <v>754</v>
      </c>
      <c r="B11029" t="s">
        <v>1538</v>
      </c>
      <c r="C11029" t="s">
        <v>72</v>
      </c>
      <c r="D11029" t="s">
        <v>58</v>
      </c>
      <c r="E11029">
        <v>240</v>
      </c>
      <c r="F11029">
        <v>5</v>
      </c>
      <c r="G11029">
        <v>5</v>
      </c>
      <c r="H11029">
        <v>1</v>
      </c>
      <c r="I11029">
        <v>1</v>
      </c>
      <c r="J11029">
        <v>0.93666666666666698</v>
      </c>
      <c r="K11029">
        <v>1</v>
      </c>
      <c r="L11029">
        <v>0.96729776247848498</v>
      </c>
      <c r="M11029">
        <v>0.878571428571429</v>
      </c>
      <c r="N11029">
        <v>1</v>
      </c>
      <c r="O11029">
        <v>0.91142857142857103</v>
      </c>
      <c r="P11029" t="s">
        <v>1539</v>
      </c>
      <c r="Q11029" t="s">
        <v>1540</v>
      </c>
      <c r="R11029" t="s">
        <v>224</v>
      </c>
      <c r="S11029" t="s">
        <v>225</v>
      </c>
      <c r="T11029" t="s">
        <v>1541</v>
      </c>
      <c r="U11029" t="s">
        <v>1542</v>
      </c>
      <c r="V11029" t="s">
        <v>1543</v>
      </c>
      <c r="W11029" t="s">
        <v>1544</v>
      </c>
      <c r="X11029" t="s">
        <v>1543</v>
      </c>
      <c r="Y11029" t="s">
        <v>749</v>
      </c>
      <c r="AD11029" t="s">
        <v>762</v>
      </c>
      <c r="AE11029" t="s">
        <v>1545</v>
      </c>
      <c r="AF11029" t="s">
        <v>1546</v>
      </c>
    </row>
    <row r="11030" spans="1:32" hidden="1" x14ac:dyDescent="0.35">
      <c r="A11030">
        <v>2079</v>
      </c>
      <c r="B11030" t="s">
        <v>4326</v>
      </c>
      <c r="C11030" t="s">
        <v>72</v>
      </c>
      <c r="D11030" t="s">
        <v>58</v>
      </c>
      <c r="E11030">
        <v>836</v>
      </c>
      <c r="F11030">
        <v>5</v>
      </c>
      <c r="G11030">
        <v>5</v>
      </c>
      <c r="H11030">
        <v>1</v>
      </c>
      <c r="I11030">
        <v>1</v>
      </c>
      <c r="J11030">
        <v>0.96482939632545905</v>
      </c>
      <c r="K11030">
        <v>1</v>
      </c>
      <c r="L11030">
        <v>0.98209991985038703</v>
      </c>
      <c r="M11030">
        <v>0.93700787401574803</v>
      </c>
      <c r="N11030">
        <v>1</v>
      </c>
      <c r="O11030">
        <v>0.95118110236220499</v>
      </c>
      <c r="P11030" t="s">
        <v>4327</v>
      </c>
      <c r="Q11030" t="s">
        <v>4328</v>
      </c>
      <c r="R11030" t="s">
        <v>224</v>
      </c>
      <c r="S11030" t="s">
        <v>225</v>
      </c>
      <c r="T11030" t="s">
        <v>4329</v>
      </c>
      <c r="U11030" t="s">
        <v>4330</v>
      </c>
      <c r="V11030" t="s">
        <v>4331</v>
      </c>
      <c r="W11030" t="s">
        <v>4332</v>
      </c>
      <c r="X11030" t="s">
        <v>4331</v>
      </c>
      <c r="Y11030" t="s">
        <v>749</v>
      </c>
      <c r="AD11030" t="s">
        <v>750</v>
      </c>
      <c r="AE11030" t="s">
        <v>751</v>
      </c>
      <c r="AF11030" t="s">
        <v>4333</v>
      </c>
    </row>
    <row r="11031" spans="1:32" hidden="1" x14ac:dyDescent="0.35">
      <c r="A11031">
        <v>11030</v>
      </c>
      <c r="B11031" t="s">
        <v>22288</v>
      </c>
      <c r="C11031" t="s">
        <v>33</v>
      </c>
      <c r="D11031" t="s">
        <v>60</v>
      </c>
      <c r="E11031">
        <v>2248</v>
      </c>
      <c r="F11031">
        <v>1</v>
      </c>
      <c r="G11031">
        <v>1</v>
      </c>
      <c r="H11031">
        <v>1</v>
      </c>
      <c r="I11031">
        <v>0</v>
      </c>
      <c r="J11031">
        <v>1</v>
      </c>
      <c r="K11031">
        <v>1</v>
      </c>
      <c r="L11031">
        <v>1</v>
      </c>
      <c r="M11031">
        <v>0</v>
      </c>
      <c r="N11031">
        <v>0</v>
      </c>
      <c r="O11031">
        <v>0</v>
      </c>
      <c r="AF11031" t="s">
        <v>22289</v>
      </c>
    </row>
    <row r="11032" spans="1:32" hidden="1" x14ac:dyDescent="0.35">
      <c r="A11032">
        <v>11031</v>
      </c>
      <c r="B11032" t="s">
        <v>22290</v>
      </c>
      <c r="C11032" t="s">
        <v>33</v>
      </c>
      <c r="D11032" t="s">
        <v>58</v>
      </c>
      <c r="E11032">
        <v>486</v>
      </c>
      <c r="F11032">
        <v>1</v>
      </c>
      <c r="G11032">
        <v>1</v>
      </c>
      <c r="H11032">
        <v>1</v>
      </c>
      <c r="I11032">
        <v>0</v>
      </c>
      <c r="J11032">
        <v>1</v>
      </c>
      <c r="K11032">
        <v>1</v>
      </c>
      <c r="L11032">
        <v>1</v>
      </c>
      <c r="M11032">
        <v>0</v>
      </c>
      <c r="N11032">
        <v>0</v>
      </c>
      <c r="O11032">
        <v>0</v>
      </c>
      <c r="T11032" t="s">
        <v>22291</v>
      </c>
      <c r="U11032" t="s">
        <v>22292</v>
      </c>
      <c r="AD11032" t="s">
        <v>8300</v>
      </c>
      <c r="AE11032" t="s">
        <v>22293</v>
      </c>
      <c r="AF11032" t="s">
        <v>22294</v>
      </c>
    </row>
    <row r="11033" spans="1:32" hidden="1" x14ac:dyDescent="0.35">
      <c r="A11033">
        <v>11032</v>
      </c>
      <c r="B11033" t="s">
        <v>22295</v>
      </c>
      <c r="C11033" t="s">
        <v>33</v>
      </c>
      <c r="D11033" t="s">
        <v>58</v>
      </c>
      <c r="E11033">
        <v>1861</v>
      </c>
      <c r="F11033">
        <v>1</v>
      </c>
      <c r="G11033">
        <v>1</v>
      </c>
      <c r="H11033">
        <v>1</v>
      </c>
      <c r="I11033">
        <v>0</v>
      </c>
      <c r="J11033">
        <v>1</v>
      </c>
      <c r="K11033">
        <v>1</v>
      </c>
      <c r="L11033">
        <v>1</v>
      </c>
      <c r="M11033">
        <v>0</v>
      </c>
      <c r="N11033">
        <v>0</v>
      </c>
      <c r="O11033">
        <v>0</v>
      </c>
      <c r="AF11033" t="s">
        <v>22296</v>
      </c>
    </row>
    <row r="11034" spans="1:32" hidden="1" x14ac:dyDescent="0.35">
      <c r="A11034">
        <v>11033</v>
      </c>
      <c r="B11034" t="s">
        <v>22297</v>
      </c>
      <c r="C11034" t="s">
        <v>33</v>
      </c>
      <c r="D11034" t="s">
        <v>58</v>
      </c>
      <c r="E11034">
        <v>1356</v>
      </c>
      <c r="F11034">
        <v>1</v>
      </c>
      <c r="G11034">
        <v>1</v>
      </c>
      <c r="H11034">
        <v>1</v>
      </c>
      <c r="I11034">
        <v>0</v>
      </c>
      <c r="J11034">
        <v>1</v>
      </c>
      <c r="K11034">
        <v>1</v>
      </c>
      <c r="L11034">
        <v>1</v>
      </c>
      <c r="M11034">
        <v>0</v>
      </c>
      <c r="N11034">
        <v>0</v>
      </c>
      <c r="O11034">
        <v>0</v>
      </c>
      <c r="P11034" t="s">
        <v>14154</v>
      </c>
      <c r="Q11034" t="s">
        <v>14155</v>
      </c>
      <c r="R11034" t="s">
        <v>319</v>
      </c>
      <c r="S11034" t="s">
        <v>320</v>
      </c>
      <c r="V11034" t="s">
        <v>14156</v>
      </c>
      <c r="W11034" t="s">
        <v>14157</v>
      </c>
      <c r="AF11034" t="s">
        <v>22298</v>
      </c>
    </row>
    <row r="11035" spans="1:32" hidden="1" x14ac:dyDescent="0.35">
      <c r="A11035">
        <v>11034</v>
      </c>
      <c r="B11035" t="s">
        <v>22299</v>
      </c>
      <c r="C11035" t="s">
        <v>33</v>
      </c>
      <c r="D11035" t="s">
        <v>58</v>
      </c>
      <c r="E11035">
        <v>1668</v>
      </c>
      <c r="F11035">
        <v>1</v>
      </c>
      <c r="G11035">
        <v>1</v>
      </c>
      <c r="H11035">
        <v>1</v>
      </c>
      <c r="I11035">
        <v>0</v>
      </c>
      <c r="J11035">
        <v>1</v>
      </c>
      <c r="K11035">
        <v>1</v>
      </c>
      <c r="L11035">
        <v>1</v>
      </c>
      <c r="M11035">
        <v>0</v>
      </c>
      <c r="N11035">
        <v>0</v>
      </c>
      <c r="O11035">
        <v>0</v>
      </c>
      <c r="P11035" t="s">
        <v>22300</v>
      </c>
      <c r="Q11035" t="s">
        <v>22301</v>
      </c>
      <c r="AF11035" t="s">
        <v>22302</v>
      </c>
    </row>
    <row r="11036" spans="1:32" hidden="1" x14ac:dyDescent="0.35">
      <c r="A11036">
        <v>11035</v>
      </c>
      <c r="B11036" t="s">
        <v>22303</v>
      </c>
      <c r="C11036" t="s">
        <v>33</v>
      </c>
      <c r="D11036" t="s">
        <v>60</v>
      </c>
      <c r="E11036">
        <v>2023</v>
      </c>
      <c r="F11036">
        <v>1</v>
      </c>
      <c r="G11036">
        <v>1</v>
      </c>
      <c r="H11036">
        <v>1</v>
      </c>
      <c r="I11036">
        <v>0</v>
      </c>
      <c r="J11036">
        <v>1</v>
      </c>
      <c r="K11036">
        <v>1</v>
      </c>
      <c r="L11036">
        <v>1</v>
      </c>
      <c r="M11036">
        <v>0</v>
      </c>
      <c r="N11036">
        <v>0</v>
      </c>
      <c r="O11036">
        <v>0</v>
      </c>
      <c r="AF11036" t="s">
        <v>22304</v>
      </c>
    </row>
    <row r="11037" spans="1:32" hidden="1" x14ac:dyDescent="0.35">
      <c r="A11037">
        <v>11036</v>
      </c>
      <c r="B11037" t="s">
        <v>22305</v>
      </c>
      <c r="C11037" t="s">
        <v>33</v>
      </c>
      <c r="D11037" t="s">
        <v>58</v>
      </c>
      <c r="E11037">
        <v>220</v>
      </c>
      <c r="F11037">
        <v>1</v>
      </c>
      <c r="G11037">
        <v>1</v>
      </c>
      <c r="H11037">
        <v>1</v>
      </c>
      <c r="I11037">
        <v>0</v>
      </c>
      <c r="J11037">
        <v>1</v>
      </c>
      <c r="K11037">
        <v>1</v>
      </c>
      <c r="L11037">
        <v>1</v>
      </c>
      <c r="M11037">
        <v>0</v>
      </c>
      <c r="N11037">
        <v>0</v>
      </c>
      <c r="O11037">
        <v>0</v>
      </c>
      <c r="P11037" t="s">
        <v>18244</v>
      </c>
      <c r="Q11037" t="s">
        <v>18245</v>
      </c>
      <c r="R11037" t="s">
        <v>1259</v>
      </c>
      <c r="S11037" t="s">
        <v>1260</v>
      </c>
      <c r="T11037" t="s">
        <v>18246</v>
      </c>
      <c r="U11037" t="s">
        <v>407</v>
      </c>
      <c r="V11037" t="s">
        <v>18247</v>
      </c>
      <c r="W11037" t="s">
        <v>18248</v>
      </c>
      <c r="AD11037" t="s">
        <v>410</v>
      </c>
      <c r="AE11037" t="s">
        <v>411</v>
      </c>
      <c r="AF11037" t="s">
        <v>22306</v>
      </c>
    </row>
    <row r="11038" spans="1:32" hidden="1" x14ac:dyDescent="0.35">
      <c r="A11038">
        <v>11037</v>
      </c>
      <c r="B11038" t="s">
        <v>22307</v>
      </c>
      <c r="C11038" t="s">
        <v>33</v>
      </c>
      <c r="D11038" t="s">
        <v>34</v>
      </c>
      <c r="E11038">
        <v>1252</v>
      </c>
      <c r="F11038">
        <v>1</v>
      </c>
      <c r="G11038">
        <v>1</v>
      </c>
      <c r="H11038">
        <v>1</v>
      </c>
      <c r="I11038">
        <v>0</v>
      </c>
      <c r="J11038">
        <v>1</v>
      </c>
      <c r="K11038">
        <v>1</v>
      </c>
      <c r="L11038">
        <v>1</v>
      </c>
      <c r="M11038">
        <v>0</v>
      </c>
      <c r="N11038">
        <v>0</v>
      </c>
      <c r="O11038">
        <v>0</v>
      </c>
      <c r="P11038" t="s">
        <v>12781</v>
      </c>
      <c r="Q11038" t="s">
        <v>12782</v>
      </c>
      <c r="R11038" t="s">
        <v>288</v>
      </c>
      <c r="S11038" t="s">
        <v>289</v>
      </c>
      <c r="T11038" t="s">
        <v>12783</v>
      </c>
      <c r="U11038" t="s">
        <v>407</v>
      </c>
      <c r="V11038" t="s">
        <v>12784</v>
      </c>
      <c r="W11038" t="s">
        <v>12785</v>
      </c>
      <c r="AD11038" t="s">
        <v>410</v>
      </c>
      <c r="AE11038" t="s">
        <v>411</v>
      </c>
      <c r="AF11038" t="s">
        <v>22308</v>
      </c>
    </row>
    <row r="11039" spans="1:32" hidden="1" x14ac:dyDescent="0.35">
      <c r="A11039">
        <v>11038</v>
      </c>
      <c r="B11039" t="s">
        <v>22309</v>
      </c>
      <c r="C11039" t="s">
        <v>33</v>
      </c>
      <c r="D11039" t="s">
        <v>60</v>
      </c>
      <c r="E11039">
        <v>2073</v>
      </c>
      <c r="F11039">
        <v>1</v>
      </c>
      <c r="G11039">
        <v>1</v>
      </c>
      <c r="H11039">
        <v>1</v>
      </c>
      <c r="I11039">
        <v>0</v>
      </c>
      <c r="J11039">
        <v>1</v>
      </c>
      <c r="K11039">
        <v>1</v>
      </c>
      <c r="L11039">
        <v>1</v>
      </c>
      <c r="M11039">
        <v>0</v>
      </c>
      <c r="N11039">
        <v>0</v>
      </c>
      <c r="O11039">
        <v>0</v>
      </c>
      <c r="AF11039" t="s">
        <v>22310</v>
      </c>
    </row>
    <row r="11040" spans="1:32" hidden="1" x14ac:dyDescent="0.35">
      <c r="A11040">
        <v>11039</v>
      </c>
      <c r="B11040" t="s">
        <v>22311</v>
      </c>
      <c r="C11040" t="s">
        <v>33</v>
      </c>
      <c r="D11040" t="s">
        <v>58</v>
      </c>
      <c r="E11040">
        <v>317</v>
      </c>
      <c r="F11040">
        <v>1</v>
      </c>
      <c r="G11040">
        <v>1</v>
      </c>
      <c r="H11040">
        <v>1</v>
      </c>
      <c r="I11040">
        <v>0</v>
      </c>
      <c r="J11040">
        <v>1</v>
      </c>
      <c r="K11040">
        <v>1</v>
      </c>
      <c r="L11040">
        <v>1</v>
      </c>
      <c r="M11040">
        <v>0</v>
      </c>
      <c r="N11040">
        <v>0</v>
      </c>
      <c r="O11040">
        <v>0</v>
      </c>
      <c r="AF11040" t="s">
        <v>22312</v>
      </c>
    </row>
    <row r="11041" spans="1:32" hidden="1" x14ac:dyDescent="0.35">
      <c r="A11041">
        <v>11040</v>
      </c>
      <c r="B11041" t="s">
        <v>22313</v>
      </c>
      <c r="C11041" t="s">
        <v>33</v>
      </c>
      <c r="D11041" t="s">
        <v>58</v>
      </c>
      <c r="E11041">
        <v>617</v>
      </c>
      <c r="F11041">
        <v>1</v>
      </c>
      <c r="G11041">
        <v>1</v>
      </c>
      <c r="H11041">
        <v>1</v>
      </c>
      <c r="I11041">
        <v>0</v>
      </c>
      <c r="J11041">
        <v>1</v>
      </c>
      <c r="K11041">
        <v>1</v>
      </c>
      <c r="L11041">
        <v>1</v>
      </c>
      <c r="M11041">
        <v>0</v>
      </c>
      <c r="N11041">
        <v>0</v>
      </c>
      <c r="O11041">
        <v>0</v>
      </c>
      <c r="P11041" t="s">
        <v>7716</v>
      </c>
      <c r="Q11041" t="s">
        <v>7717</v>
      </c>
      <c r="R11041" t="s">
        <v>7718</v>
      </c>
      <c r="S11041" t="s">
        <v>7719</v>
      </c>
      <c r="V11041" t="s">
        <v>7720</v>
      </c>
      <c r="W11041" t="s">
        <v>7721</v>
      </c>
      <c r="AF11041" t="s">
        <v>22314</v>
      </c>
    </row>
    <row r="11042" spans="1:32" hidden="1" x14ac:dyDescent="0.35">
      <c r="A11042">
        <v>11041</v>
      </c>
      <c r="B11042" t="s">
        <v>22315</v>
      </c>
      <c r="C11042" t="s">
        <v>33</v>
      </c>
      <c r="D11042" t="s">
        <v>60</v>
      </c>
      <c r="E11042">
        <v>83</v>
      </c>
      <c r="F11042">
        <v>1</v>
      </c>
      <c r="G11042">
        <v>1</v>
      </c>
      <c r="H11042">
        <v>1</v>
      </c>
      <c r="I11042">
        <v>0</v>
      </c>
      <c r="J11042">
        <v>1</v>
      </c>
      <c r="K11042">
        <v>1</v>
      </c>
      <c r="L11042">
        <v>1</v>
      </c>
      <c r="M11042">
        <v>0</v>
      </c>
      <c r="N11042">
        <v>0</v>
      </c>
      <c r="O11042">
        <v>0</v>
      </c>
      <c r="P11042" t="s">
        <v>22316</v>
      </c>
      <c r="Q11042" t="s">
        <v>22317</v>
      </c>
      <c r="AF11042" t="s">
        <v>22318</v>
      </c>
    </row>
    <row r="11043" spans="1:32" hidden="1" x14ac:dyDescent="0.35">
      <c r="A11043">
        <v>11042</v>
      </c>
      <c r="B11043" t="s">
        <v>22319</v>
      </c>
      <c r="C11043" t="s">
        <v>33</v>
      </c>
      <c r="D11043" t="s">
        <v>58</v>
      </c>
      <c r="E11043">
        <v>1383</v>
      </c>
      <c r="F11043">
        <v>1</v>
      </c>
      <c r="G11043">
        <v>1</v>
      </c>
      <c r="H11043">
        <v>1</v>
      </c>
      <c r="I11043">
        <v>0</v>
      </c>
      <c r="J11043">
        <v>1</v>
      </c>
      <c r="K11043">
        <v>1</v>
      </c>
      <c r="L11043">
        <v>1</v>
      </c>
      <c r="M11043">
        <v>0</v>
      </c>
      <c r="N11043">
        <v>0</v>
      </c>
      <c r="O11043">
        <v>0</v>
      </c>
      <c r="AF11043" t="s">
        <v>22320</v>
      </c>
    </row>
    <row r="11044" spans="1:32" hidden="1" x14ac:dyDescent="0.35">
      <c r="A11044">
        <v>11043</v>
      </c>
      <c r="B11044" t="s">
        <v>22321</v>
      </c>
      <c r="C11044" t="s">
        <v>33</v>
      </c>
      <c r="D11044" t="s">
        <v>58</v>
      </c>
      <c r="E11044">
        <v>1717</v>
      </c>
      <c r="F11044">
        <v>1</v>
      </c>
      <c r="G11044">
        <v>1</v>
      </c>
      <c r="H11044">
        <v>1</v>
      </c>
      <c r="I11044">
        <v>0</v>
      </c>
      <c r="J11044">
        <v>1</v>
      </c>
      <c r="K11044">
        <v>1</v>
      </c>
      <c r="L11044">
        <v>1</v>
      </c>
      <c r="M11044">
        <v>0</v>
      </c>
      <c r="N11044">
        <v>0</v>
      </c>
      <c r="O11044">
        <v>0</v>
      </c>
      <c r="P11044" t="s">
        <v>10439</v>
      </c>
      <c r="Q11044" t="s">
        <v>10440</v>
      </c>
      <c r="AF11044" t="s">
        <v>22322</v>
      </c>
    </row>
    <row r="11045" spans="1:32" hidden="1" x14ac:dyDescent="0.35">
      <c r="A11045">
        <v>869</v>
      </c>
      <c r="B11045" t="s">
        <v>1816</v>
      </c>
      <c r="C11045" t="s">
        <v>72</v>
      </c>
      <c r="D11045" t="s">
        <v>58</v>
      </c>
      <c r="E11045">
        <v>1462</v>
      </c>
      <c r="F11045">
        <v>5</v>
      </c>
      <c r="G11045">
        <v>5</v>
      </c>
      <c r="H11045">
        <v>1</v>
      </c>
      <c r="I11045">
        <v>1</v>
      </c>
      <c r="J11045">
        <v>0.93201320132013199</v>
      </c>
      <c r="K11045">
        <v>1</v>
      </c>
      <c r="L11045">
        <v>0.96481038606081304</v>
      </c>
      <c r="M11045">
        <v>0.85148514851485102</v>
      </c>
      <c r="N11045">
        <v>1</v>
      </c>
      <c r="O11045">
        <v>0.89900990099009903</v>
      </c>
      <c r="P11045" t="s">
        <v>1817</v>
      </c>
      <c r="Q11045" t="s">
        <v>1818</v>
      </c>
      <c r="R11045" t="s">
        <v>224</v>
      </c>
      <c r="S11045" t="s">
        <v>225</v>
      </c>
      <c r="T11045" t="s">
        <v>1819</v>
      </c>
      <c r="U11045" t="s">
        <v>1820</v>
      </c>
      <c r="V11045" t="s">
        <v>1821</v>
      </c>
      <c r="W11045" t="s">
        <v>1822</v>
      </c>
      <c r="X11045" t="s">
        <v>1821</v>
      </c>
      <c r="Y11045" t="s">
        <v>749</v>
      </c>
      <c r="AD11045" t="s">
        <v>750</v>
      </c>
      <c r="AE11045" t="s">
        <v>751</v>
      </c>
      <c r="AF11045" t="s">
        <v>1823</v>
      </c>
    </row>
    <row r="11046" spans="1:32" hidden="1" x14ac:dyDescent="0.35">
      <c r="A11046">
        <v>11045</v>
      </c>
      <c r="B11046" t="s">
        <v>22325</v>
      </c>
      <c r="C11046" t="s">
        <v>33</v>
      </c>
      <c r="D11046" t="s">
        <v>58</v>
      </c>
      <c r="E11046">
        <v>740</v>
      </c>
      <c r="F11046">
        <v>1</v>
      </c>
      <c r="G11046">
        <v>1</v>
      </c>
      <c r="H11046">
        <v>1</v>
      </c>
      <c r="I11046">
        <v>0</v>
      </c>
      <c r="J11046">
        <v>1</v>
      </c>
      <c r="K11046">
        <v>1</v>
      </c>
      <c r="L11046">
        <v>1</v>
      </c>
      <c r="M11046">
        <v>0</v>
      </c>
      <c r="N11046">
        <v>0</v>
      </c>
      <c r="O11046">
        <v>0</v>
      </c>
      <c r="AF11046" t="s">
        <v>22326</v>
      </c>
    </row>
    <row r="11047" spans="1:32" hidden="1" x14ac:dyDescent="0.35">
      <c r="A11047">
        <v>11046</v>
      </c>
      <c r="B11047" t="s">
        <v>22327</v>
      </c>
      <c r="C11047" t="s">
        <v>33</v>
      </c>
      <c r="D11047" t="s">
        <v>58</v>
      </c>
      <c r="E11047">
        <v>1578</v>
      </c>
      <c r="F11047">
        <v>1</v>
      </c>
      <c r="G11047">
        <v>1</v>
      </c>
      <c r="H11047">
        <v>1</v>
      </c>
      <c r="I11047">
        <v>0</v>
      </c>
      <c r="J11047">
        <v>1</v>
      </c>
      <c r="K11047">
        <v>1</v>
      </c>
      <c r="L11047">
        <v>1</v>
      </c>
      <c r="M11047">
        <v>0</v>
      </c>
      <c r="N11047">
        <v>0</v>
      </c>
      <c r="O11047">
        <v>0</v>
      </c>
      <c r="AF11047" t="s">
        <v>22328</v>
      </c>
    </row>
    <row r="11048" spans="1:32" hidden="1" x14ac:dyDescent="0.35">
      <c r="A11048">
        <v>11047</v>
      </c>
      <c r="B11048" t="s">
        <v>22329</v>
      </c>
      <c r="C11048" t="s">
        <v>33</v>
      </c>
      <c r="D11048" t="s">
        <v>58</v>
      </c>
      <c r="E11048">
        <v>636</v>
      </c>
      <c r="F11048">
        <v>1</v>
      </c>
      <c r="G11048">
        <v>1</v>
      </c>
      <c r="H11048">
        <v>1</v>
      </c>
      <c r="I11048">
        <v>0</v>
      </c>
      <c r="J11048">
        <v>1</v>
      </c>
      <c r="K11048">
        <v>1</v>
      </c>
      <c r="L11048">
        <v>1</v>
      </c>
      <c r="M11048">
        <v>0</v>
      </c>
      <c r="N11048">
        <v>0</v>
      </c>
      <c r="O11048">
        <v>0</v>
      </c>
      <c r="P11048" t="s">
        <v>4565</v>
      </c>
      <c r="Q11048" t="s">
        <v>2733</v>
      </c>
      <c r="AF11048" t="s">
        <v>22330</v>
      </c>
    </row>
    <row r="11049" spans="1:32" hidden="1" x14ac:dyDescent="0.35">
      <c r="A11049">
        <v>1599</v>
      </c>
      <c r="B11049" t="s">
        <v>3352</v>
      </c>
      <c r="C11049" t="s">
        <v>72</v>
      </c>
      <c r="D11049" t="s">
        <v>58</v>
      </c>
      <c r="E11049">
        <v>242</v>
      </c>
      <c r="F11049">
        <v>5</v>
      </c>
      <c r="G11049">
        <v>5</v>
      </c>
      <c r="H11049">
        <v>1</v>
      </c>
      <c r="I11049">
        <v>1</v>
      </c>
      <c r="J11049">
        <v>0.91914051456036205</v>
      </c>
      <c r="K11049">
        <v>0.98266806722688904</v>
      </c>
      <c r="L11049">
        <v>0.94984326141188702</v>
      </c>
      <c r="M11049">
        <v>0.82499999999999996</v>
      </c>
      <c r="N11049">
        <v>1</v>
      </c>
      <c r="O11049">
        <v>0.88666666666666705</v>
      </c>
      <c r="P11049" t="s">
        <v>3353</v>
      </c>
      <c r="Q11049" t="s">
        <v>3354</v>
      </c>
      <c r="R11049" t="s">
        <v>224</v>
      </c>
      <c r="S11049" t="s">
        <v>225</v>
      </c>
      <c r="T11049" t="s">
        <v>3355</v>
      </c>
      <c r="U11049" t="s">
        <v>3356</v>
      </c>
      <c r="V11049" t="s">
        <v>3357</v>
      </c>
      <c r="W11049" t="s">
        <v>3358</v>
      </c>
      <c r="X11049" t="s">
        <v>3357</v>
      </c>
      <c r="Y11049" t="s">
        <v>749</v>
      </c>
      <c r="AD11049" t="s">
        <v>762</v>
      </c>
      <c r="AE11049" t="s">
        <v>1545</v>
      </c>
      <c r="AF11049" t="s">
        <v>3359</v>
      </c>
    </row>
    <row r="11050" spans="1:32" hidden="1" x14ac:dyDescent="0.35">
      <c r="A11050">
        <v>11049</v>
      </c>
      <c r="B11050" t="s">
        <v>22333</v>
      </c>
      <c r="C11050" t="s">
        <v>33</v>
      </c>
      <c r="D11050" t="s">
        <v>62</v>
      </c>
      <c r="E11050">
        <v>269</v>
      </c>
      <c r="F11050">
        <v>1</v>
      </c>
      <c r="G11050">
        <v>1</v>
      </c>
      <c r="H11050">
        <v>1</v>
      </c>
      <c r="I11050">
        <v>0</v>
      </c>
      <c r="J11050">
        <v>1</v>
      </c>
      <c r="K11050">
        <v>1</v>
      </c>
      <c r="L11050">
        <v>1</v>
      </c>
      <c r="M11050">
        <v>0</v>
      </c>
      <c r="N11050">
        <v>0</v>
      </c>
      <c r="O11050">
        <v>0</v>
      </c>
      <c r="P11050" t="s">
        <v>8233</v>
      </c>
      <c r="Q11050" t="s">
        <v>8234</v>
      </c>
      <c r="R11050" t="s">
        <v>138</v>
      </c>
      <c r="S11050" t="s">
        <v>139</v>
      </c>
      <c r="T11050" t="s">
        <v>22334</v>
      </c>
      <c r="U11050" t="s">
        <v>22335</v>
      </c>
      <c r="V11050" t="s">
        <v>22336</v>
      </c>
      <c r="W11050" t="s">
        <v>22337</v>
      </c>
      <c r="AD11050" t="s">
        <v>219</v>
      </c>
      <c r="AE11050" t="s">
        <v>1987</v>
      </c>
      <c r="AF11050" t="s">
        <v>22338</v>
      </c>
    </row>
    <row r="11051" spans="1:32" hidden="1" x14ac:dyDescent="0.35">
      <c r="A11051">
        <v>11050</v>
      </c>
      <c r="B11051" t="s">
        <v>22339</v>
      </c>
      <c r="C11051" t="s">
        <v>33</v>
      </c>
      <c r="D11051" t="s">
        <v>58</v>
      </c>
      <c r="E11051">
        <v>451</v>
      </c>
      <c r="F11051">
        <v>1</v>
      </c>
      <c r="G11051">
        <v>1</v>
      </c>
      <c r="H11051">
        <v>1</v>
      </c>
      <c r="I11051">
        <v>0</v>
      </c>
      <c r="J11051">
        <v>1</v>
      </c>
      <c r="K11051">
        <v>1</v>
      </c>
      <c r="L11051">
        <v>1</v>
      </c>
      <c r="M11051">
        <v>0</v>
      </c>
      <c r="N11051">
        <v>0</v>
      </c>
      <c r="O11051">
        <v>0</v>
      </c>
      <c r="AF11051" t="s">
        <v>22340</v>
      </c>
    </row>
    <row r="11052" spans="1:32" hidden="1" x14ac:dyDescent="0.35">
      <c r="A11052">
        <v>11051</v>
      </c>
      <c r="B11052" t="s">
        <v>22341</v>
      </c>
      <c r="C11052" t="s">
        <v>33</v>
      </c>
      <c r="D11052" t="s">
        <v>60</v>
      </c>
      <c r="E11052">
        <v>649</v>
      </c>
      <c r="F11052">
        <v>1</v>
      </c>
      <c r="G11052">
        <v>1</v>
      </c>
      <c r="H11052">
        <v>1</v>
      </c>
      <c r="I11052">
        <v>0</v>
      </c>
      <c r="J11052">
        <v>1</v>
      </c>
      <c r="K11052">
        <v>1</v>
      </c>
      <c r="L11052">
        <v>1</v>
      </c>
      <c r="M11052">
        <v>0</v>
      </c>
      <c r="N11052">
        <v>0</v>
      </c>
      <c r="O11052">
        <v>0</v>
      </c>
      <c r="P11052" t="s">
        <v>22342</v>
      </c>
      <c r="Q11052" t="s">
        <v>22343</v>
      </c>
      <c r="R11052" t="s">
        <v>13853</v>
      </c>
      <c r="S11052" t="s">
        <v>13854</v>
      </c>
      <c r="V11052" t="s">
        <v>22344</v>
      </c>
      <c r="W11052" t="s">
        <v>22345</v>
      </c>
      <c r="AF11052" t="s">
        <v>22346</v>
      </c>
    </row>
    <row r="11053" spans="1:32" hidden="1" x14ac:dyDescent="0.35">
      <c r="A11053">
        <v>11052</v>
      </c>
      <c r="B11053" t="s">
        <v>22347</v>
      </c>
      <c r="C11053" t="s">
        <v>33</v>
      </c>
      <c r="D11053" t="s">
        <v>45</v>
      </c>
      <c r="E11053">
        <v>1971</v>
      </c>
      <c r="F11053">
        <v>1</v>
      </c>
      <c r="G11053">
        <v>1</v>
      </c>
      <c r="H11053">
        <v>1</v>
      </c>
      <c r="I11053">
        <v>0</v>
      </c>
      <c r="J11053">
        <v>1</v>
      </c>
      <c r="K11053">
        <v>1</v>
      </c>
      <c r="L11053">
        <v>1</v>
      </c>
      <c r="M11053">
        <v>0</v>
      </c>
      <c r="N11053">
        <v>0</v>
      </c>
      <c r="O11053">
        <v>0</v>
      </c>
      <c r="AF11053" t="s">
        <v>22348</v>
      </c>
    </row>
    <row r="11054" spans="1:32" hidden="1" x14ac:dyDescent="0.35">
      <c r="A11054">
        <v>11053</v>
      </c>
      <c r="B11054" t="s">
        <v>22349</v>
      </c>
      <c r="C11054" t="s">
        <v>33</v>
      </c>
      <c r="D11054" t="s">
        <v>58</v>
      </c>
      <c r="E11054">
        <v>81</v>
      </c>
      <c r="F11054">
        <v>1</v>
      </c>
      <c r="G11054">
        <v>1</v>
      </c>
      <c r="H11054">
        <v>1</v>
      </c>
      <c r="I11054">
        <v>0</v>
      </c>
      <c r="J11054">
        <v>1</v>
      </c>
      <c r="K11054">
        <v>1</v>
      </c>
      <c r="L11054">
        <v>1</v>
      </c>
      <c r="M11054">
        <v>0</v>
      </c>
      <c r="N11054">
        <v>0</v>
      </c>
      <c r="O11054">
        <v>0</v>
      </c>
      <c r="P11054" t="s">
        <v>18905</v>
      </c>
      <c r="Q11054" t="s">
        <v>18906</v>
      </c>
      <c r="AF11054" t="s">
        <v>22350</v>
      </c>
    </row>
    <row r="11055" spans="1:32" hidden="1" x14ac:dyDescent="0.35">
      <c r="A11055">
        <v>11054</v>
      </c>
      <c r="B11055" t="s">
        <v>22351</v>
      </c>
      <c r="C11055" t="s">
        <v>33</v>
      </c>
      <c r="D11055" t="s">
        <v>58</v>
      </c>
      <c r="E11055">
        <v>1711</v>
      </c>
      <c r="F11055">
        <v>1</v>
      </c>
      <c r="G11055">
        <v>1</v>
      </c>
      <c r="H11055">
        <v>1</v>
      </c>
      <c r="I11055">
        <v>0</v>
      </c>
      <c r="J11055">
        <v>1</v>
      </c>
      <c r="K11055">
        <v>1</v>
      </c>
      <c r="L11055">
        <v>1</v>
      </c>
      <c r="M11055">
        <v>0</v>
      </c>
      <c r="N11055">
        <v>0</v>
      </c>
      <c r="O11055">
        <v>0</v>
      </c>
      <c r="AF11055" t="s">
        <v>22352</v>
      </c>
    </row>
    <row r="11056" spans="1:32" hidden="1" x14ac:dyDescent="0.35">
      <c r="A11056">
        <v>11055</v>
      </c>
      <c r="B11056" t="s">
        <v>22353</v>
      </c>
      <c r="C11056" t="s">
        <v>33</v>
      </c>
      <c r="D11056" t="s">
        <v>58</v>
      </c>
      <c r="E11056">
        <v>1183</v>
      </c>
      <c r="F11056">
        <v>1</v>
      </c>
      <c r="G11056">
        <v>1</v>
      </c>
      <c r="H11056">
        <v>1</v>
      </c>
      <c r="I11056">
        <v>0</v>
      </c>
      <c r="J11056">
        <v>1</v>
      </c>
      <c r="K11056">
        <v>1</v>
      </c>
      <c r="L11056">
        <v>1</v>
      </c>
      <c r="M11056">
        <v>0</v>
      </c>
      <c r="N11056">
        <v>0</v>
      </c>
      <c r="O11056">
        <v>0</v>
      </c>
      <c r="AF11056" t="s">
        <v>22354</v>
      </c>
    </row>
    <row r="11057" spans="1:32" hidden="1" x14ac:dyDescent="0.35">
      <c r="A11057">
        <v>11056</v>
      </c>
      <c r="B11057" t="s">
        <v>22355</v>
      </c>
      <c r="C11057" t="s">
        <v>33</v>
      </c>
      <c r="D11057" t="s">
        <v>58</v>
      </c>
      <c r="E11057">
        <v>1685</v>
      </c>
      <c r="F11057">
        <v>1</v>
      </c>
      <c r="G11057">
        <v>1</v>
      </c>
      <c r="H11057">
        <v>1</v>
      </c>
      <c r="I11057">
        <v>0</v>
      </c>
      <c r="J11057">
        <v>1</v>
      </c>
      <c r="K11057">
        <v>1</v>
      </c>
      <c r="L11057">
        <v>1</v>
      </c>
      <c r="M11057">
        <v>0</v>
      </c>
      <c r="N11057">
        <v>0</v>
      </c>
      <c r="O11057">
        <v>0</v>
      </c>
      <c r="AF11057" t="s">
        <v>22356</v>
      </c>
    </row>
    <row r="11058" spans="1:32" hidden="1" x14ac:dyDescent="0.35">
      <c r="A11058">
        <v>11057</v>
      </c>
      <c r="B11058" t="s">
        <v>22357</v>
      </c>
      <c r="C11058" t="s">
        <v>33</v>
      </c>
      <c r="D11058" t="s">
        <v>58</v>
      </c>
      <c r="E11058">
        <v>323</v>
      </c>
      <c r="F11058">
        <v>1</v>
      </c>
      <c r="G11058">
        <v>1</v>
      </c>
      <c r="H11058">
        <v>1</v>
      </c>
      <c r="I11058">
        <v>0</v>
      </c>
      <c r="J11058">
        <v>1</v>
      </c>
      <c r="K11058">
        <v>1</v>
      </c>
      <c r="L11058">
        <v>1</v>
      </c>
      <c r="M11058">
        <v>0</v>
      </c>
      <c r="N11058">
        <v>0</v>
      </c>
      <c r="O11058">
        <v>0</v>
      </c>
      <c r="AF11058" t="s">
        <v>22358</v>
      </c>
    </row>
    <row r="11059" spans="1:32" hidden="1" x14ac:dyDescent="0.35">
      <c r="A11059">
        <v>11058</v>
      </c>
      <c r="B11059" t="s">
        <v>22359</v>
      </c>
      <c r="C11059" t="s">
        <v>33</v>
      </c>
      <c r="D11059" t="s">
        <v>34</v>
      </c>
      <c r="E11059">
        <v>2400</v>
      </c>
      <c r="F11059">
        <v>1</v>
      </c>
      <c r="G11059">
        <v>1</v>
      </c>
      <c r="H11059">
        <v>1</v>
      </c>
      <c r="I11059">
        <v>0</v>
      </c>
      <c r="J11059">
        <v>1</v>
      </c>
      <c r="K11059">
        <v>1</v>
      </c>
      <c r="L11059">
        <v>1</v>
      </c>
      <c r="M11059">
        <v>0</v>
      </c>
      <c r="N11059">
        <v>0</v>
      </c>
      <c r="O11059">
        <v>0</v>
      </c>
      <c r="AF11059" t="s">
        <v>22360</v>
      </c>
    </row>
    <row r="11060" spans="1:32" hidden="1" x14ac:dyDescent="0.35">
      <c r="A11060">
        <v>11059</v>
      </c>
      <c r="B11060" t="s">
        <v>22361</v>
      </c>
      <c r="C11060" t="s">
        <v>33</v>
      </c>
      <c r="D11060" t="s">
        <v>58</v>
      </c>
      <c r="E11060">
        <v>487</v>
      </c>
      <c r="F11060">
        <v>1</v>
      </c>
      <c r="G11060">
        <v>1</v>
      </c>
      <c r="H11060">
        <v>1</v>
      </c>
      <c r="I11060">
        <v>0</v>
      </c>
      <c r="J11060">
        <v>1</v>
      </c>
      <c r="K11060">
        <v>1</v>
      </c>
      <c r="L11060">
        <v>1</v>
      </c>
      <c r="M11060">
        <v>0</v>
      </c>
      <c r="N11060">
        <v>0</v>
      </c>
      <c r="O11060">
        <v>0</v>
      </c>
      <c r="AF11060" t="s">
        <v>22362</v>
      </c>
    </row>
    <row r="11061" spans="1:32" hidden="1" x14ac:dyDescent="0.35">
      <c r="A11061">
        <v>2064</v>
      </c>
      <c r="B11061" t="s">
        <v>4294</v>
      </c>
      <c r="C11061" t="s">
        <v>72</v>
      </c>
      <c r="D11061" t="s">
        <v>58</v>
      </c>
      <c r="E11061">
        <v>239</v>
      </c>
      <c r="F11061">
        <v>5</v>
      </c>
      <c r="G11061">
        <v>5</v>
      </c>
      <c r="H11061">
        <v>1</v>
      </c>
      <c r="I11061">
        <v>1</v>
      </c>
      <c r="J11061">
        <v>0.88223552894211599</v>
      </c>
      <c r="K11061">
        <v>0.98243059600077598</v>
      </c>
      <c r="L11061">
        <v>0.92964114585200397</v>
      </c>
      <c r="M11061">
        <v>0.79411764705882304</v>
      </c>
      <c r="N11061">
        <v>1</v>
      </c>
      <c r="O11061">
        <v>0.84117647058823497</v>
      </c>
      <c r="P11061" t="s">
        <v>4295</v>
      </c>
      <c r="Q11061" t="s">
        <v>4296</v>
      </c>
      <c r="R11061" t="s">
        <v>224</v>
      </c>
      <c r="S11061" t="s">
        <v>225</v>
      </c>
      <c r="T11061" t="s">
        <v>4297</v>
      </c>
      <c r="U11061" t="s">
        <v>4298</v>
      </c>
      <c r="V11061" t="s">
        <v>4299</v>
      </c>
      <c r="W11061" t="s">
        <v>4300</v>
      </c>
      <c r="X11061" t="s">
        <v>4299</v>
      </c>
      <c r="Y11061" t="s">
        <v>749</v>
      </c>
      <c r="AD11061" t="s">
        <v>762</v>
      </c>
      <c r="AE11061" t="s">
        <v>1545</v>
      </c>
      <c r="AF11061" t="s">
        <v>4301</v>
      </c>
    </row>
    <row r="11062" spans="1:32" hidden="1" x14ac:dyDescent="0.35">
      <c r="A11062">
        <v>11061</v>
      </c>
      <c r="B11062" t="s">
        <v>22369</v>
      </c>
      <c r="C11062" t="s">
        <v>33</v>
      </c>
      <c r="D11062" t="s">
        <v>34</v>
      </c>
      <c r="E11062">
        <v>2391</v>
      </c>
      <c r="F11062">
        <v>1</v>
      </c>
      <c r="G11062">
        <v>1</v>
      </c>
      <c r="H11062">
        <v>1</v>
      </c>
      <c r="I11062">
        <v>0</v>
      </c>
      <c r="J11062">
        <v>1</v>
      </c>
      <c r="K11062">
        <v>1</v>
      </c>
      <c r="L11062">
        <v>1</v>
      </c>
      <c r="M11062">
        <v>0</v>
      </c>
      <c r="N11062">
        <v>0</v>
      </c>
      <c r="O11062">
        <v>0</v>
      </c>
      <c r="AF11062" t="s">
        <v>22370</v>
      </c>
    </row>
    <row r="11063" spans="1:32" hidden="1" x14ac:dyDescent="0.35">
      <c r="A11063">
        <v>11062</v>
      </c>
      <c r="B11063" t="s">
        <v>22371</v>
      </c>
      <c r="C11063" t="s">
        <v>33</v>
      </c>
      <c r="D11063" t="s">
        <v>60</v>
      </c>
      <c r="E11063">
        <v>2021</v>
      </c>
      <c r="F11063">
        <v>1</v>
      </c>
      <c r="G11063">
        <v>1</v>
      </c>
      <c r="H11063">
        <v>1</v>
      </c>
      <c r="I11063">
        <v>0</v>
      </c>
      <c r="J11063">
        <v>1</v>
      </c>
      <c r="K11063">
        <v>1</v>
      </c>
      <c r="L11063">
        <v>1</v>
      </c>
      <c r="M11063">
        <v>0</v>
      </c>
      <c r="N11063">
        <v>0</v>
      </c>
      <c r="O11063">
        <v>0</v>
      </c>
      <c r="AF11063" t="s">
        <v>22372</v>
      </c>
    </row>
    <row r="11064" spans="1:32" hidden="1" x14ac:dyDescent="0.35">
      <c r="A11064">
        <v>11063</v>
      </c>
      <c r="B11064" t="s">
        <v>22373</v>
      </c>
      <c r="C11064" t="s">
        <v>33</v>
      </c>
      <c r="D11064" t="s">
        <v>60</v>
      </c>
      <c r="E11064">
        <v>18</v>
      </c>
      <c r="F11064">
        <v>1</v>
      </c>
      <c r="G11064">
        <v>1</v>
      </c>
      <c r="H11064">
        <v>1</v>
      </c>
      <c r="I11064">
        <v>0</v>
      </c>
      <c r="J11064">
        <v>1</v>
      </c>
      <c r="K11064">
        <v>1</v>
      </c>
      <c r="L11064">
        <v>1</v>
      </c>
      <c r="M11064">
        <v>0</v>
      </c>
      <c r="N11064">
        <v>0</v>
      </c>
      <c r="O11064">
        <v>0</v>
      </c>
      <c r="R11064" t="s">
        <v>13853</v>
      </c>
      <c r="S11064" t="s">
        <v>13854</v>
      </c>
      <c r="V11064" t="s">
        <v>22374</v>
      </c>
      <c r="W11064" t="s">
        <v>14364</v>
      </c>
      <c r="AF11064" t="s">
        <v>22375</v>
      </c>
    </row>
    <row r="11065" spans="1:32" hidden="1" x14ac:dyDescent="0.35">
      <c r="A11065">
        <v>11064</v>
      </c>
      <c r="B11065" t="s">
        <v>22376</v>
      </c>
      <c r="C11065" t="s">
        <v>33</v>
      </c>
      <c r="D11065" t="s">
        <v>58</v>
      </c>
      <c r="E11065">
        <v>1486</v>
      </c>
      <c r="F11065">
        <v>1</v>
      </c>
      <c r="G11065">
        <v>1</v>
      </c>
      <c r="H11065">
        <v>1</v>
      </c>
      <c r="I11065">
        <v>0</v>
      </c>
      <c r="J11065">
        <v>1</v>
      </c>
      <c r="K11065">
        <v>1</v>
      </c>
      <c r="L11065">
        <v>1</v>
      </c>
      <c r="M11065">
        <v>0</v>
      </c>
      <c r="N11065">
        <v>0</v>
      </c>
      <c r="O11065">
        <v>0</v>
      </c>
      <c r="P11065" t="s">
        <v>5019</v>
      </c>
      <c r="Q11065" t="s">
        <v>5020</v>
      </c>
      <c r="R11065" t="s">
        <v>288</v>
      </c>
      <c r="S11065" t="s">
        <v>289</v>
      </c>
      <c r="V11065" t="s">
        <v>5023</v>
      </c>
      <c r="W11065" t="s">
        <v>5024</v>
      </c>
      <c r="AF11065" t="s">
        <v>22377</v>
      </c>
    </row>
    <row r="11066" spans="1:32" hidden="1" x14ac:dyDescent="0.35">
      <c r="A11066">
        <v>1189</v>
      </c>
      <c r="B11066" t="s">
        <v>2485</v>
      </c>
      <c r="C11066" t="s">
        <v>72</v>
      </c>
      <c r="D11066" t="s">
        <v>58</v>
      </c>
      <c r="E11066">
        <v>261</v>
      </c>
      <c r="F11066">
        <v>5</v>
      </c>
      <c r="G11066">
        <v>5</v>
      </c>
      <c r="H11066">
        <v>1</v>
      </c>
      <c r="I11066">
        <v>1</v>
      </c>
      <c r="J11066">
        <v>0.91730769230769205</v>
      </c>
      <c r="K11066">
        <v>1</v>
      </c>
      <c r="L11066">
        <v>0.95687061183550703</v>
      </c>
      <c r="M11066">
        <v>0.83653846153846201</v>
      </c>
      <c r="N11066">
        <v>1</v>
      </c>
      <c r="O11066">
        <v>0.875</v>
      </c>
      <c r="P11066" t="s">
        <v>2486</v>
      </c>
      <c r="Q11066" t="s">
        <v>2487</v>
      </c>
      <c r="R11066" t="s">
        <v>224</v>
      </c>
      <c r="S11066" t="s">
        <v>225</v>
      </c>
      <c r="T11066" t="s">
        <v>2488</v>
      </c>
      <c r="U11066" t="s">
        <v>2489</v>
      </c>
      <c r="V11066" t="s">
        <v>2490</v>
      </c>
      <c r="W11066" t="s">
        <v>2491</v>
      </c>
      <c r="X11066" t="s">
        <v>2490</v>
      </c>
      <c r="Y11066" t="s">
        <v>749</v>
      </c>
      <c r="AD11066" t="s">
        <v>762</v>
      </c>
      <c r="AE11066" t="s">
        <v>1545</v>
      </c>
      <c r="AF11066" t="s">
        <v>2492</v>
      </c>
    </row>
    <row r="11067" spans="1:32" hidden="1" x14ac:dyDescent="0.35">
      <c r="A11067">
        <v>11066</v>
      </c>
      <c r="B11067" t="s">
        <v>22380</v>
      </c>
      <c r="C11067" t="s">
        <v>33</v>
      </c>
      <c r="D11067" t="s">
        <v>58</v>
      </c>
      <c r="E11067">
        <v>1822</v>
      </c>
      <c r="F11067">
        <v>1</v>
      </c>
      <c r="G11067">
        <v>1</v>
      </c>
      <c r="H11067">
        <v>1</v>
      </c>
      <c r="I11067">
        <v>0</v>
      </c>
      <c r="J11067">
        <v>1</v>
      </c>
      <c r="K11067">
        <v>1</v>
      </c>
      <c r="L11067">
        <v>1</v>
      </c>
      <c r="M11067">
        <v>0</v>
      </c>
      <c r="N11067">
        <v>0</v>
      </c>
      <c r="O11067">
        <v>0</v>
      </c>
      <c r="P11067" t="s">
        <v>16096</v>
      </c>
      <c r="Q11067" t="s">
        <v>16097</v>
      </c>
      <c r="R11067" t="s">
        <v>288</v>
      </c>
      <c r="S11067" t="s">
        <v>289</v>
      </c>
      <c r="V11067" t="s">
        <v>16098</v>
      </c>
      <c r="W11067" t="s">
        <v>16099</v>
      </c>
      <c r="AF11067" t="s">
        <v>22381</v>
      </c>
    </row>
    <row r="11068" spans="1:32" hidden="1" x14ac:dyDescent="0.35">
      <c r="A11068">
        <v>11067</v>
      </c>
      <c r="B11068" t="s">
        <v>22382</v>
      </c>
      <c r="C11068" t="s">
        <v>33</v>
      </c>
      <c r="D11068" t="s">
        <v>45</v>
      </c>
      <c r="E11068">
        <v>11</v>
      </c>
      <c r="F11068">
        <v>1</v>
      </c>
      <c r="G11068">
        <v>1</v>
      </c>
      <c r="H11068">
        <v>1</v>
      </c>
      <c r="I11068">
        <v>0</v>
      </c>
      <c r="J11068">
        <v>1</v>
      </c>
      <c r="K11068">
        <v>1</v>
      </c>
      <c r="L11068">
        <v>1</v>
      </c>
      <c r="M11068">
        <v>0</v>
      </c>
      <c r="N11068">
        <v>0</v>
      </c>
      <c r="O11068">
        <v>0</v>
      </c>
      <c r="R11068" t="s">
        <v>540</v>
      </c>
      <c r="S11068" t="s">
        <v>541</v>
      </c>
      <c r="V11068" t="s">
        <v>22383</v>
      </c>
      <c r="W11068" t="s">
        <v>22384</v>
      </c>
      <c r="AF11068" t="s">
        <v>22385</v>
      </c>
    </row>
    <row r="11069" spans="1:32" hidden="1" x14ac:dyDescent="0.35">
      <c r="A11069">
        <v>6239</v>
      </c>
      <c r="B11069" t="s">
        <v>12850</v>
      </c>
      <c r="C11069" t="s">
        <v>68</v>
      </c>
      <c r="D11069" t="s">
        <v>58</v>
      </c>
      <c r="E11069">
        <v>642</v>
      </c>
      <c r="F11069">
        <v>3</v>
      </c>
      <c r="G11069">
        <v>3</v>
      </c>
      <c r="H11069">
        <v>1</v>
      </c>
      <c r="I11069">
        <v>0</v>
      </c>
      <c r="J11069">
        <v>0.81023102310230999</v>
      </c>
      <c r="K11069">
        <v>0.95842924847664102</v>
      </c>
      <c r="L11069">
        <v>0.87812127975391396</v>
      </c>
      <c r="M11069">
        <v>0.59715639810426502</v>
      </c>
      <c r="N11069">
        <v>0.99052132701421802</v>
      </c>
      <c r="O11069">
        <v>0.72985781990521303</v>
      </c>
      <c r="P11069" t="s">
        <v>12851</v>
      </c>
      <c r="Q11069" t="s">
        <v>12852</v>
      </c>
      <c r="R11069" t="s">
        <v>224</v>
      </c>
      <c r="S11069" t="s">
        <v>225</v>
      </c>
      <c r="T11069" t="s">
        <v>12853</v>
      </c>
      <c r="U11069" t="s">
        <v>12854</v>
      </c>
      <c r="V11069" t="s">
        <v>12855</v>
      </c>
      <c r="W11069" t="s">
        <v>12856</v>
      </c>
      <c r="X11069" t="s">
        <v>12855</v>
      </c>
      <c r="Y11069" t="s">
        <v>749</v>
      </c>
      <c r="AD11069" t="s">
        <v>12857</v>
      </c>
      <c r="AE11069" t="s">
        <v>12858</v>
      </c>
      <c r="AF11069" t="s">
        <v>12859</v>
      </c>
    </row>
    <row r="11070" spans="1:32" hidden="1" x14ac:dyDescent="0.35">
      <c r="A11070">
        <v>11069</v>
      </c>
      <c r="B11070" t="s">
        <v>22388</v>
      </c>
      <c r="C11070" t="s">
        <v>33</v>
      </c>
      <c r="D11070" t="s">
        <v>58</v>
      </c>
      <c r="E11070">
        <v>670</v>
      </c>
      <c r="F11070">
        <v>1</v>
      </c>
      <c r="G11070">
        <v>1</v>
      </c>
      <c r="H11070">
        <v>1</v>
      </c>
      <c r="I11070">
        <v>0</v>
      </c>
      <c r="J11070">
        <v>1</v>
      </c>
      <c r="K11070">
        <v>1</v>
      </c>
      <c r="L11070">
        <v>1</v>
      </c>
      <c r="M11070">
        <v>0</v>
      </c>
      <c r="N11070">
        <v>0</v>
      </c>
      <c r="O11070">
        <v>0</v>
      </c>
      <c r="P11070" t="s">
        <v>5134</v>
      </c>
      <c r="Q11070" t="s">
        <v>5135</v>
      </c>
      <c r="R11070" t="s">
        <v>22389</v>
      </c>
      <c r="S11070" t="s">
        <v>22390</v>
      </c>
      <c r="V11070" t="s">
        <v>22391</v>
      </c>
      <c r="W11070" t="s">
        <v>22392</v>
      </c>
      <c r="AF11070" t="s">
        <v>22393</v>
      </c>
    </row>
    <row r="11071" spans="1:32" hidden="1" x14ac:dyDescent="0.35">
      <c r="A11071">
        <v>2024</v>
      </c>
      <c r="B11071" t="s">
        <v>4208</v>
      </c>
      <c r="C11071" t="s">
        <v>72</v>
      </c>
      <c r="D11071" t="s">
        <v>58</v>
      </c>
      <c r="E11071">
        <v>1461</v>
      </c>
      <c r="F11071">
        <v>5</v>
      </c>
      <c r="G11071">
        <v>5</v>
      </c>
      <c r="H11071">
        <v>1</v>
      </c>
      <c r="I11071">
        <v>1</v>
      </c>
      <c r="J11071">
        <v>0.892078071182549</v>
      </c>
      <c r="K11071">
        <v>0.97880490296220601</v>
      </c>
      <c r="L11071">
        <v>0.93343132837873299</v>
      </c>
      <c r="M11071">
        <v>0.78651685393258397</v>
      </c>
      <c r="N11071">
        <v>1</v>
      </c>
      <c r="O11071">
        <v>0.84719101123595497</v>
      </c>
      <c r="P11071" t="s">
        <v>4209</v>
      </c>
      <c r="Q11071" t="s">
        <v>4210</v>
      </c>
      <c r="R11071" t="s">
        <v>224</v>
      </c>
      <c r="S11071" t="s">
        <v>225</v>
      </c>
      <c r="T11071" t="s">
        <v>4211</v>
      </c>
      <c r="U11071" t="s">
        <v>4212</v>
      </c>
      <c r="V11071" t="s">
        <v>4213</v>
      </c>
      <c r="W11071" t="s">
        <v>4214</v>
      </c>
      <c r="X11071" t="s">
        <v>4213</v>
      </c>
      <c r="Y11071" t="s">
        <v>749</v>
      </c>
      <c r="AD11071" t="s">
        <v>750</v>
      </c>
      <c r="AE11071" t="s">
        <v>751</v>
      </c>
      <c r="AF11071" t="s">
        <v>4215</v>
      </c>
    </row>
    <row r="11072" spans="1:32" hidden="1" x14ac:dyDescent="0.35">
      <c r="A11072">
        <v>11071</v>
      </c>
      <c r="B11072" t="s">
        <v>22402</v>
      </c>
      <c r="C11072" t="s">
        <v>33</v>
      </c>
      <c r="D11072" t="s">
        <v>58</v>
      </c>
      <c r="E11072">
        <v>1259</v>
      </c>
      <c r="F11072">
        <v>1</v>
      </c>
      <c r="G11072">
        <v>1</v>
      </c>
      <c r="H11072">
        <v>1</v>
      </c>
      <c r="I11072">
        <v>0</v>
      </c>
      <c r="J11072">
        <v>1</v>
      </c>
      <c r="K11072">
        <v>1</v>
      </c>
      <c r="L11072">
        <v>1</v>
      </c>
      <c r="M11072">
        <v>0</v>
      </c>
      <c r="N11072">
        <v>0</v>
      </c>
      <c r="O11072">
        <v>0</v>
      </c>
      <c r="AF11072" t="s">
        <v>22403</v>
      </c>
    </row>
    <row r="11073" spans="1:32" hidden="1" x14ac:dyDescent="0.35">
      <c r="A11073">
        <v>1104</v>
      </c>
      <c r="B11073" t="s">
        <v>2284</v>
      </c>
      <c r="C11073" t="s">
        <v>72</v>
      </c>
      <c r="D11073" t="s">
        <v>58</v>
      </c>
      <c r="E11073">
        <v>546</v>
      </c>
      <c r="F11073">
        <v>5</v>
      </c>
      <c r="G11073">
        <v>5</v>
      </c>
      <c r="H11073">
        <v>1</v>
      </c>
      <c r="I11073">
        <v>1</v>
      </c>
      <c r="J11073">
        <v>0.95897435897435901</v>
      </c>
      <c r="K11073">
        <v>1</v>
      </c>
      <c r="L11073">
        <v>0.97905759162303696</v>
      </c>
      <c r="M11073">
        <v>0.88461538461538503</v>
      </c>
      <c r="N11073">
        <v>1</v>
      </c>
      <c r="O11073">
        <v>0.93846153846153801</v>
      </c>
      <c r="P11073" t="s">
        <v>2285</v>
      </c>
      <c r="Q11073" t="s">
        <v>2286</v>
      </c>
      <c r="R11073" t="s">
        <v>224</v>
      </c>
      <c r="S11073" t="s">
        <v>225</v>
      </c>
      <c r="T11073" t="s">
        <v>2287</v>
      </c>
      <c r="U11073" t="s">
        <v>2288</v>
      </c>
      <c r="V11073" t="s">
        <v>2289</v>
      </c>
      <c r="W11073" t="s">
        <v>2290</v>
      </c>
      <c r="X11073" t="s">
        <v>2289</v>
      </c>
      <c r="Y11073" t="s">
        <v>749</v>
      </c>
      <c r="AD11073" t="s">
        <v>750</v>
      </c>
      <c r="AE11073" t="s">
        <v>751</v>
      </c>
      <c r="AF11073" t="s">
        <v>2291</v>
      </c>
    </row>
    <row r="11074" spans="1:32" hidden="1" x14ac:dyDescent="0.35">
      <c r="A11074">
        <v>984</v>
      </c>
      <c r="B11074" t="s">
        <v>2043</v>
      </c>
      <c r="C11074" t="s">
        <v>72</v>
      </c>
      <c r="D11074" t="s">
        <v>58</v>
      </c>
      <c r="E11074">
        <v>245</v>
      </c>
      <c r="F11074">
        <v>5</v>
      </c>
      <c r="G11074">
        <v>5</v>
      </c>
      <c r="H11074">
        <v>1</v>
      </c>
      <c r="I11074">
        <v>1</v>
      </c>
      <c r="J11074">
        <v>0.92192982456140304</v>
      </c>
      <c r="K11074">
        <v>1</v>
      </c>
      <c r="L11074">
        <v>0.95937927886809704</v>
      </c>
      <c r="M11074">
        <v>0.85526315789473695</v>
      </c>
      <c r="N11074">
        <v>1</v>
      </c>
      <c r="O11074">
        <v>0.89736842105263104</v>
      </c>
      <c r="P11074" t="s">
        <v>2044</v>
      </c>
      <c r="Q11074" t="s">
        <v>2045</v>
      </c>
      <c r="R11074" t="s">
        <v>224</v>
      </c>
      <c r="S11074" t="s">
        <v>225</v>
      </c>
      <c r="T11074" t="s">
        <v>2046</v>
      </c>
      <c r="U11074" t="s">
        <v>2047</v>
      </c>
      <c r="V11074" t="s">
        <v>2048</v>
      </c>
      <c r="W11074" t="s">
        <v>2049</v>
      </c>
      <c r="X11074" t="s">
        <v>2048</v>
      </c>
      <c r="Y11074" t="s">
        <v>749</v>
      </c>
      <c r="AD11074" t="s">
        <v>762</v>
      </c>
      <c r="AE11074" t="s">
        <v>1545</v>
      </c>
      <c r="AF11074" t="s">
        <v>2050</v>
      </c>
    </row>
    <row r="11075" spans="1:32" hidden="1" x14ac:dyDescent="0.35">
      <c r="A11075">
        <v>11074</v>
      </c>
      <c r="B11075" t="s">
        <v>22410</v>
      </c>
      <c r="C11075" t="s">
        <v>33</v>
      </c>
      <c r="D11075" t="s">
        <v>58</v>
      </c>
      <c r="E11075">
        <v>468</v>
      </c>
      <c r="F11075">
        <v>1</v>
      </c>
      <c r="G11075">
        <v>1</v>
      </c>
      <c r="H11075">
        <v>1</v>
      </c>
      <c r="I11075">
        <v>0</v>
      </c>
      <c r="J11075">
        <v>1</v>
      </c>
      <c r="K11075">
        <v>1</v>
      </c>
      <c r="L11075">
        <v>1</v>
      </c>
      <c r="M11075">
        <v>0</v>
      </c>
      <c r="N11075">
        <v>0</v>
      </c>
      <c r="O11075">
        <v>0</v>
      </c>
      <c r="AF11075" t="s">
        <v>22411</v>
      </c>
    </row>
    <row r="11076" spans="1:32" hidden="1" x14ac:dyDescent="0.35">
      <c r="A11076">
        <v>11075</v>
      </c>
      <c r="B11076" t="s">
        <v>22412</v>
      </c>
      <c r="C11076" t="s">
        <v>33</v>
      </c>
      <c r="D11076" t="s">
        <v>58</v>
      </c>
      <c r="E11076">
        <v>1666</v>
      </c>
      <c r="F11076">
        <v>1</v>
      </c>
      <c r="G11076">
        <v>1</v>
      </c>
      <c r="H11076">
        <v>1</v>
      </c>
      <c r="I11076">
        <v>0</v>
      </c>
      <c r="J11076">
        <v>1</v>
      </c>
      <c r="K11076">
        <v>1</v>
      </c>
      <c r="L11076">
        <v>1</v>
      </c>
      <c r="M11076">
        <v>0</v>
      </c>
      <c r="N11076">
        <v>0</v>
      </c>
      <c r="O11076">
        <v>0</v>
      </c>
      <c r="AF11076" t="s">
        <v>22413</v>
      </c>
    </row>
    <row r="11077" spans="1:32" hidden="1" x14ac:dyDescent="0.35">
      <c r="A11077">
        <v>11076</v>
      </c>
      <c r="B11077" t="s">
        <v>22414</v>
      </c>
      <c r="C11077" t="s">
        <v>33</v>
      </c>
      <c r="D11077" t="s">
        <v>58</v>
      </c>
      <c r="E11077">
        <v>1306</v>
      </c>
      <c r="F11077">
        <v>1</v>
      </c>
      <c r="G11077">
        <v>1</v>
      </c>
      <c r="H11077">
        <v>1</v>
      </c>
      <c r="I11077">
        <v>0</v>
      </c>
      <c r="J11077">
        <v>1</v>
      </c>
      <c r="K11077">
        <v>1</v>
      </c>
      <c r="L11077">
        <v>1</v>
      </c>
      <c r="M11077">
        <v>0</v>
      </c>
      <c r="N11077">
        <v>0</v>
      </c>
      <c r="O11077">
        <v>0</v>
      </c>
      <c r="P11077" t="s">
        <v>14833</v>
      </c>
      <c r="Q11077" t="s">
        <v>14834</v>
      </c>
      <c r="AF11077" t="s">
        <v>22415</v>
      </c>
    </row>
    <row r="11078" spans="1:32" hidden="1" x14ac:dyDescent="0.35">
      <c r="A11078">
        <v>11077</v>
      </c>
      <c r="B11078" t="s">
        <v>22416</v>
      </c>
      <c r="C11078" t="s">
        <v>33</v>
      </c>
      <c r="D11078" t="s">
        <v>58</v>
      </c>
      <c r="E11078">
        <v>922</v>
      </c>
      <c r="F11078">
        <v>1</v>
      </c>
      <c r="G11078">
        <v>1</v>
      </c>
      <c r="H11078">
        <v>1</v>
      </c>
      <c r="I11078">
        <v>0</v>
      </c>
      <c r="J11078">
        <v>1</v>
      </c>
      <c r="K11078">
        <v>1</v>
      </c>
      <c r="L11078">
        <v>1</v>
      </c>
      <c r="M11078">
        <v>0</v>
      </c>
      <c r="N11078">
        <v>0</v>
      </c>
      <c r="O11078">
        <v>0</v>
      </c>
      <c r="P11078" t="s">
        <v>14169</v>
      </c>
      <c r="Q11078" t="s">
        <v>14170</v>
      </c>
      <c r="AF11078" t="s">
        <v>22417</v>
      </c>
    </row>
    <row r="11079" spans="1:32" hidden="1" x14ac:dyDescent="0.35">
      <c r="A11079">
        <v>2979</v>
      </c>
      <c r="B11079" t="s">
        <v>6152</v>
      </c>
      <c r="C11079" t="s">
        <v>72</v>
      </c>
      <c r="D11079" t="s">
        <v>58</v>
      </c>
      <c r="E11079">
        <v>237</v>
      </c>
      <c r="F11079">
        <v>5</v>
      </c>
      <c r="G11079">
        <v>5</v>
      </c>
      <c r="H11079">
        <v>1</v>
      </c>
      <c r="I11079">
        <v>1</v>
      </c>
      <c r="J11079">
        <v>0.92507645259938798</v>
      </c>
      <c r="K11079">
        <v>1</v>
      </c>
      <c r="L11079">
        <v>0.96108022239872903</v>
      </c>
      <c r="M11079">
        <v>0.83944954128440397</v>
      </c>
      <c r="N11079">
        <v>1</v>
      </c>
      <c r="O11079">
        <v>0.88348623853210995</v>
      </c>
      <c r="P11079" t="s">
        <v>6153</v>
      </c>
      <c r="Q11079" t="s">
        <v>6154</v>
      </c>
      <c r="R11079" t="s">
        <v>224</v>
      </c>
      <c r="S11079" t="s">
        <v>225</v>
      </c>
      <c r="T11079" t="s">
        <v>6155</v>
      </c>
      <c r="U11079" t="s">
        <v>6156</v>
      </c>
      <c r="V11079" t="s">
        <v>6157</v>
      </c>
      <c r="W11079" t="s">
        <v>6158</v>
      </c>
      <c r="X11079" t="s">
        <v>6157</v>
      </c>
      <c r="Y11079" t="s">
        <v>749</v>
      </c>
      <c r="AD11079" t="s">
        <v>762</v>
      </c>
      <c r="AE11079" t="s">
        <v>1545</v>
      </c>
      <c r="AF11079" t="s">
        <v>6159</v>
      </c>
    </row>
    <row r="11080" spans="1:32" hidden="1" x14ac:dyDescent="0.35">
      <c r="A11080">
        <v>11079</v>
      </c>
      <c r="B11080" t="s">
        <v>22423</v>
      </c>
      <c r="C11080" t="s">
        <v>33</v>
      </c>
      <c r="D11080" t="s">
        <v>58</v>
      </c>
      <c r="E11080">
        <v>1635</v>
      </c>
      <c r="F11080">
        <v>1</v>
      </c>
      <c r="G11080">
        <v>1</v>
      </c>
      <c r="H11080">
        <v>1</v>
      </c>
      <c r="I11080">
        <v>0</v>
      </c>
      <c r="J11080">
        <v>1</v>
      </c>
      <c r="K11080">
        <v>1</v>
      </c>
      <c r="L11080">
        <v>1</v>
      </c>
      <c r="M11080">
        <v>0</v>
      </c>
      <c r="N11080">
        <v>0</v>
      </c>
      <c r="O11080">
        <v>0</v>
      </c>
      <c r="P11080" t="s">
        <v>2596</v>
      </c>
      <c r="Q11080" t="s">
        <v>2597</v>
      </c>
      <c r="R11080" t="s">
        <v>1102</v>
      </c>
      <c r="S11080" t="s">
        <v>1103</v>
      </c>
      <c r="T11080" t="s">
        <v>11762</v>
      </c>
      <c r="U11080" t="s">
        <v>11763</v>
      </c>
      <c r="V11080" t="s">
        <v>2600</v>
      </c>
      <c r="W11080" t="s">
        <v>2601</v>
      </c>
      <c r="X11080" t="s">
        <v>2600</v>
      </c>
      <c r="Y11080" t="s">
        <v>1108</v>
      </c>
      <c r="AD11080" t="s">
        <v>219</v>
      </c>
      <c r="AE11080" t="s">
        <v>11764</v>
      </c>
      <c r="AF11080" t="s">
        <v>22424</v>
      </c>
    </row>
    <row r="11081" spans="1:32" hidden="1" x14ac:dyDescent="0.35">
      <c r="A11081">
        <v>864</v>
      </c>
      <c r="B11081" t="s">
        <v>1806</v>
      </c>
      <c r="C11081" t="s">
        <v>72</v>
      </c>
      <c r="D11081" t="s">
        <v>58</v>
      </c>
      <c r="E11081">
        <v>276</v>
      </c>
      <c r="F11081">
        <v>5</v>
      </c>
      <c r="G11081">
        <v>5</v>
      </c>
      <c r="H11081">
        <v>1</v>
      </c>
      <c r="I11081">
        <v>1</v>
      </c>
      <c r="J11081">
        <v>0.80437158469945402</v>
      </c>
      <c r="K11081">
        <v>1</v>
      </c>
      <c r="L11081">
        <v>0.89158086008479698</v>
      </c>
      <c r="M11081">
        <v>0.67213114754098402</v>
      </c>
      <c r="N11081">
        <v>1</v>
      </c>
      <c r="O11081">
        <v>0.76721311475409804</v>
      </c>
      <c r="P11081" t="s">
        <v>1807</v>
      </c>
      <c r="Q11081" t="s">
        <v>1808</v>
      </c>
      <c r="R11081" t="s">
        <v>224</v>
      </c>
      <c r="S11081" t="s">
        <v>225</v>
      </c>
      <c r="T11081" t="s">
        <v>1809</v>
      </c>
      <c r="U11081" t="s">
        <v>1810</v>
      </c>
      <c r="V11081" t="s">
        <v>1811</v>
      </c>
      <c r="W11081" t="s">
        <v>1812</v>
      </c>
      <c r="X11081" t="s">
        <v>1811</v>
      </c>
      <c r="Y11081" t="s">
        <v>749</v>
      </c>
      <c r="AD11081" t="s">
        <v>762</v>
      </c>
      <c r="AE11081" t="s">
        <v>1545</v>
      </c>
      <c r="AF11081" t="s">
        <v>1813</v>
      </c>
    </row>
    <row r="11082" spans="1:32" hidden="1" x14ac:dyDescent="0.35">
      <c r="A11082">
        <v>11081</v>
      </c>
      <c r="B11082" t="s">
        <v>22427</v>
      </c>
      <c r="C11082" t="s">
        <v>33</v>
      </c>
      <c r="D11082" t="s">
        <v>45</v>
      </c>
      <c r="E11082">
        <v>1163</v>
      </c>
      <c r="F11082">
        <v>1</v>
      </c>
      <c r="G11082">
        <v>1</v>
      </c>
      <c r="H11082">
        <v>1</v>
      </c>
      <c r="I11082">
        <v>0</v>
      </c>
      <c r="J11082">
        <v>1</v>
      </c>
      <c r="K11082">
        <v>1</v>
      </c>
      <c r="L11082">
        <v>1</v>
      </c>
      <c r="M11082">
        <v>0</v>
      </c>
      <c r="N11082">
        <v>0</v>
      </c>
      <c r="O11082">
        <v>0</v>
      </c>
      <c r="P11082" t="s">
        <v>570</v>
      </c>
      <c r="Q11082" t="s">
        <v>571</v>
      </c>
      <c r="AF11082" t="s">
        <v>22428</v>
      </c>
    </row>
    <row r="11083" spans="1:32" hidden="1" x14ac:dyDescent="0.35">
      <c r="A11083">
        <v>11082</v>
      </c>
      <c r="B11083" t="s">
        <v>22429</v>
      </c>
      <c r="C11083" t="s">
        <v>33</v>
      </c>
      <c r="D11083" t="s">
        <v>58</v>
      </c>
      <c r="E11083">
        <v>10</v>
      </c>
      <c r="F11083">
        <v>1</v>
      </c>
      <c r="G11083">
        <v>1</v>
      </c>
      <c r="H11083">
        <v>1</v>
      </c>
      <c r="I11083">
        <v>0</v>
      </c>
      <c r="J11083">
        <v>1</v>
      </c>
      <c r="K11083">
        <v>1</v>
      </c>
      <c r="L11083">
        <v>1</v>
      </c>
      <c r="M11083">
        <v>0</v>
      </c>
      <c r="N11083">
        <v>0</v>
      </c>
      <c r="O11083">
        <v>0</v>
      </c>
      <c r="P11083" t="s">
        <v>21835</v>
      </c>
      <c r="Q11083" t="s">
        <v>21836</v>
      </c>
      <c r="AF11083" t="s">
        <v>22430</v>
      </c>
    </row>
    <row r="11084" spans="1:32" hidden="1" x14ac:dyDescent="0.35">
      <c r="A11084">
        <v>509</v>
      </c>
      <c r="B11084" t="s">
        <v>980</v>
      </c>
      <c r="C11084" t="s">
        <v>72</v>
      </c>
      <c r="D11084" t="s">
        <v>58</v>
      </c>
      <c r="E11084">
        <v>547</v>
      </c>
      <c r="F11084">
        <v>5</v>
      </c>
      <c r="G11084">
        <v>5</v>
      </c>
      <c r="H11084">
        <v>1</v>
      </c>
      <c r="I11084">
        <v>1</v>
      </c>
      <c r="J11084">
        <v>0.94696969696969702</v>
      </c>
      <c r="K11084">
        <v>1</v>
      </c>
      <c r="L11084">
        <v>0.97276264591439698</v>
      </c>
      <c r="M11084">
        <v>0.89772727272727304</v>
      </c>
      <c r="N11084">
        <v>1</v>
      </c>
      <c r="O11084">
        <v>0.92727272727272703</v>
      </c>
      <c r="P11084" t="s">
        <v>981</v>
      </c>
      <c r="Q11084" t="s">
        <v>982</v>
      </c>
      <c r="R11084" t="s">
        <v>224</v>
      </c>
      <c r="S11084" t="s">
        <v>225</v>
      </c>
      <c r="T11084" t="s">
        <v>983</v>
      </c>
      <c r="U11084" t="s">
        <v>984</v>
      </c>
      <c r="V11084" t="s">
        <v>985</v>
      </c>
      <c r="W11084" t="s">
        <v>986</v>
      </c>
      <c r="X11084" t="s">
        <v>985</v>
      </c>
      <c r="Y11084" t="s">
        <v>749</v>
      </c>
      <c r="AD11084" t="s">
        <v>750</v>
      </c>
      <c r="AE11084" t="s">
        <v>751</v>
      </c>
      <c r="AF11084" t="s">
        <v>987</v>
      </c>
    </row>
    <row r="11085" spans="1:32" hidden="1" x14ac:dyDescent="0.35">
      <c r="A11085">
        <v>11084</v>
      </c>
      <c r="B11085" t="s">
        <v>22437</v>
      </c>
      <c r="C11085" t="s">
        <v>33</v>
      </c>
      <c r="D11085" t="s">
        <v>34</v>
      </c>
      <c r="E11085">
        <v>894</v>
      </c>
      <c r="F11085">
        <v>1</v>
      </c>
      <c r="G11085">
        <v>1</v>
      </c>
      <c r="H11085">
        <v>1</v>
      </c>
      <c r="I11085">
        <v>0</v>
      </c>
      <c r="J11085">
        <v>1</v>
      </c>
      <c r="K11085">
        <v>1</v>
      </c>
      <c r="L11085">
        <v>1</v>
      </c>
      <c r="M11085">
        <v>0</v>
      </c>
      <c r="N11085">
        <v>0</v>
      </c>
      <c r="O11085">
        <v>0</v>
      </c>
      <c r="AF11085" t="s">
        <v>22438</v>
      </c>
    </row>
    <row r="11086" spans="1:32" hidden="1" x14ac:dyDescent="0.35">
      <c r="A11086">
        <v>11085</v>
      </c>
      <c r="B11086" t="s">
        <v>22439</v>
      </c>
      <c r="C11086" t="s">
        <v>33</v>
      </c>
      <c r="D11086" t="s">
        <v>58</v>
      </c>
      <c r="E11086">
        <v>532</v>
      </c>
      <c r="F11086">
        <v>1</v>
      </c>
      <c r="G11086">
        <v>1</v>
      </c>
      <c r="H11086">
        <v>1</v>
      </c>
      <c r="I11086">
        <v>0</v>
      </c>
      <c r="J11086">
        <v>1</v>
      </c>
      <c r="K11086">
        <v>1</v>
      </c>
      <c r="L11086">
        <v>1</v>
      </c>
      <c r="M11086">
        <v>0</v>
      </c>
      <c r="N11086">
        <v>0</v>
      </c>
      <c r="O11086">
        <v>0</v>
      </c>
      <c r="AF11086" t="s">
        <v>22440</v>
      </c>
    </row>
    <row r="11087" spans="1:32" hidden="1" x14ac:dyDescent="0.35">
      <c r="A11087">
        <v>11086</v>
      </c>
      <c r="B11087" t="s">
        <v>22441</v>
      </c>
      <c r="C11087" t="s">
        <v>33</v>
      </c>
      <c r="D11087" t="s">
        <v>62</v>
      </c>
      <c r="E11087">
        <v>1907</v>
      </c>
      <c r="F11087">
        <v>1</v>
      </c>
      <c r="G11087">
        <v>1</v>
      </c>
      <c r="H11087">
        <v>1</v>
      </c>
      <c r="I11087">
        <v>0</v>
      </c>
      <c r="J11087">
        <v>1</v>
      </c>
      <c r="K11087">
        <v>1</v>
      </c>
      <c r="L11087">
        <v>1</v>
      </c>
      <c r="M11087">
        <v>0</v>
      </c>
      <c r="N11087">
        <v>0</v>
      </c>
      <c r="O11087">
        <v>0</v>
      </c>
      <c r="AF11087" t="s">
        <v>22442</v>
      </c>
    </row>
    <row r="11088" spans="1:32" hidden="1" x14ac:dyDescent="0.35">
      <c r="A11088">
        <v>3234</v>
      </c>
      <c r="B11088" t="s">
        <v>6649</v>
      </c>
      <c r="C11088" t="s">
        <v>72</v>
      </c>
      <c r="D11088" t="s">
        <v>58</v>
      </c>
      <c r="E11088">
        <v>548</v>
      </c>
      <c r="F11088">
        <v>5</v>
      </c>
      <c r="G11088">
        <v>5</v>
      </c>
      <c r="H11088">
        <v>1</v>
      </c>
      <c r="I11088">
        <v>1</v>
      </c>
      <c r="J11088">
        <v>0.85029239766081899</v>
      </c>
      <c r="K11088">
        <v>1</v>
      </c>
      <c r="L11088">
        <v>0.919089759797724</v>
      </c>
      <c r="M11088">
        <v>0.71929824561403499</v>
      </c>
      <c r="N11088">
        <v>1</v>
      </c>
      <c r="O11088">
        <v>0.80350877192982495</v>
      </c>
      <c r="P11088" t="s">
        <v>6650</v>
      </c>
      <c r="Q11088" t="s">
        <v>6651</v>
      </c>
      <c r="R11088" t="s">
        <v>224</v>
      </c>
      <c r="S11088" t="s">
        <v>225</v>
      </c>
      <c r="T11088" t="s">
        <v>6652</v>
      </c>
      <c r="U11088" t="s">
        <v>6653</v>
      </c>
      <c r="V11088" t="s">
        <v>6654</v>
      </c>
      <c r="W11088" t="s">
        <v>6655</v>
      </c>
      <c r="X11088" t="s">
        <v>6654</v>
      </c>
      <c r="Y11088" t="s">
        <v>749</v>
      </c>
      <c r="AD11088" t="s">
        <v>750</v>
      </c>
      <c r="AE11088" t="s">
        <v>751</v>
      </c>
      <c r="AF11088" t="s">
        <v>6656</v>
      </c>
    </row>
    <row r="11089" spans="1:32" hidden="1" x14ac:dyDescent="0.35">
      <c r="A11089">
        <v>11088</v>
      </c>
      <c r="B11089" t="s">
        <v>22449</v>
      </c>
      <c r="C11089" t="s">
        <v>33</v>
      </c>
      <c r="D11089" t="s">
        <v>58</v>
      </c>
      <c r="E11089">
        <v>818</v>
      </c>
      <c r="F11089">
        <v>1</v>
      </c>
      <c r="G11089">
        <v>1</v>
      </c>
      <c r="H11089">
        <v>1</v>
      </c>
      <c r="I11089">
        <v>0</v>
      </c>
      <c r="J11089">
        <v>1</v>
      </c>
      <c r="K11089">
        <v>1</v>
      </c>
      <c r="L11089">
        <v>1</v>
      </c>
      <c r="M11089">
        <v>0</v>
      </c>
      <c r="N11089">
        <v>0</v>
      </c>
      <c r="O11089">
        <v>0</v>
      </c>
      <c r="P11089" t="s">
        <v>11852</v>
      </c>
      <c r="Q11089" t="s">
        <v>11853</v>
      </c>
      <c r="T11089" t="s">
        <v>11854</v>
      </c>
      <c r="U11089" t="s">
        <v>407</v>
      </c>
      <c r="AD11089" t="s">
        <v>410</v>
      </c>
      <c r="AE11089" t="s">
        <v>411</v>
      </c>
      <c r="AF11089" t="s">
        <v>22450</v>
      </c>
    </row>
    <row r="11090" spans="1:32" hidden="1" x14ac:dyDescent="0.35">
      <c r="A11090">
        <v>2084</v>
      </c>
      <c r="B11090" t="s">
        <v>4336</v>
      </c>
      <c r="C11090" t="s">
        <v>72</v>
      </c>
      <c r="D11090" t="s">
        <v>58</v>
      </c>
      <c r="E11090">
        <v>545</v>
      </c>
      <c r="F11090">
        <v>5</v>
      </c>
      <c r="G11090">
        <v>5</v>
      </c>
      <c r="H11090">
        <v>1</v>
      </c>
      <c r="I11090">
        <v>1</v>
      </c>
      <c r="J11090">
        <v>0.99012345679012304</v>
      </c>
      <c r="K11090">
        <v>1</v>
      </c>
      <c r="L11090">
        <v>0.99503722084367197</v>
      </c>
      <c r="M11090">
        <v>0.94444444444444398</v>
      </c>
      <c r="N11090">
        <v>1</v>
      </c>
      <c r="O11090">
        <v>0.97037037037036999</v>
      </c>
      <c r="P11090" t="s">
        <v>4337</v>
      </c>
      <c r="Q11090" t="s">
        <v>4338</v>
      </c>
      <c r="R11090" t="s">
        <v>224</v>
      </c>
      <c r="S11090" t="s">
        <v>225</v>
      </c>
      <c r="T11090" t="s">
        <v>4339</v>
      </c>
      <c r="U11090" t="s">
        <v>4340</v>
      </c>
      <c r="V11090" t="s">
        <v>4341</v>
      </c>
      <c r="W11090" t="s">
        <v>4342</v>
      </c>
      <c r="X11090" t="s">
        <v>4341</v>
      </c>
      <c r="Y11090" t="s">
        <v>749</v>
      </c>
      <c r="AD11090" t="s">
        <v>750</v>
      </c>
      <c r="AE11090" t="s">
        <v>751</v>
      </c>
      <c r="AF11090" t="s">
        <v>4343</v>
      </c>
    </row>
    <row r="11091" spans="1:32" hidden="1" x14ac:dyDescent="0.35">
      <c r="A11091">
        <v>11090</v>
      </c>
      <c r="B11091" t="s">
        <v>22453</v>
      </c>
      <c r="C11091" t="s">
        <v>33</v>
      </c>
      <c r="D11091" t="s">
        <v>62</v>
      </c>
      <c r="E11091">
        <v>1405</v>
      </c>
      <c r="F11091">
        <v>1</v>
      </c>
      <c r="G11091">
        <v>1</v>
      </c>
      <c r="H11091">
        <v>1</v>
      </c>
      <c r="I11091">
        <v>0</v>
      </c>
      <c r="J11091">
        <v>1</v>
      </c>
      <c r="K11091">
        <v>1</v>
      </c>
      <c r="L11091">
        <v>1</v>
      </c>
      <c r="M11091">
        <v>0</v>
      </c>
      <c r="N11091">
        <v>0</v>
      </c>
      <c r="O11091">
        <v>0</v>
      </c>
      <c r="AF11091" t="s">
        <v>22454</v>
      </c>
    </row>
    <row r="11092" spans="1:32" hidden="1" x14ac:dyDescent="0.35">
      <c r="A11092">
        <v>5957</v>
      </c>
      <c r="B11092" t="s">
        <v>12250</v>
      </c>
      <c r="C11092" t="s">
        <v>13295</v>
      </c>
      <c r="D11092" t="s">
        <v>58</v>
      </c>
      <c r="E11092">
        <v>1888</v>
      </c>
      <c r="F11092">
        <v>3</v>
      </c>
      <c r="G11092">
        <v>3</v>
      </c>
      <c r="H11092">
        <v>1</v>
      </c>
      <c r="I11092">
        <v>0</v>
      </c>
      <c r="J11092">
        <v>0.98581560283687897</v>
      </c>
      <c r="K11092">
        <v>1</v>
      </c>
      <c r="L11092">
        <v>0.99285714285714299</v>
      </c>
      <c r="M11092">
        <v>0.97872340425531901</v>
      </c>
      <c r="N11092">
        <v>1</v>
      </c>
      <c r="O11092">
        <v>0.98581560283687897</v>
      </c>
      <c r="P11092" t="s">
        <v>12251</v>
      </c>
      <c r="Q11092" t="s">
        <v>12252</v>
      </c>
      <c r="R11092" t="s">
        <v>224</v>
      </c>
      <c r="S11092" t="s">
        <v>225</v>
      </c>
      <c r="T11092" t="s">
        <v>12253</v>
      </c>
      <c r="U11092" t="s">
        <v>12254</v>
      </c>
      <c r="V11092" t="s">
        <v>12255</v>
      </c>
      <c r="W11092" t="s">
        <v>12256</v>
      </c>
      <c r="X11092" t="s">
        <v>12255</v>
      </c>
      <c r="Y11092" t="s">
        <v>749</v>
      </c>
      <c r="AD11092" t="s">
        <v>750</v>
      </c>
      <c r="AE11092" t="s">
        <v>751</v>
      </c>
      <c r="AF11092" t="s">
        <v>12257</v>
      </c>
    </row>
    <row r="11093" spans="1:32" hidden="1" x14ac:dyDescent="0.35">
      <c r="A11093">
        <v>1824</v>
      </c>
      <c r="B11093" t="s">
        <v>3783</v>
      </c>
      <c r="C11093" t="s">
        <v>72</v>
      </c>
      <c r="D11093" t="s">
        <v>58</v>
      </c>
      <c r="E11093">
        <v>835</v>
      </c>
      <c r="F11093">
        <v>5</v>
      </c>
      <c r="G11093">
        <v>5</v>
      </c>
      <c r="H11093">
        <v>1</v>
      </c>
      <c r="I11093">
        <v>1</v>
      </c>
      <c r="J11093">
        <v>0.92395833333333299</v>
      </c>
      <c r="K11093">
        <v>1</v>
      </c>
      <c r="L11093">
        <v>0.96047644829453205</v>
      </c>
      <c r="M11093">
        <v>0.859375</v>
      </c>
      <c r="N11093">
        <v>1</v>
      </c>
      <c r="O11093">
        <v>0.90937500000000004</v>
      </c>
      <c r="P11093" t="s">
        <v>3784</v>
      </c>
      <c r="Q11093" t="s">
        <v>3785</v>
      </c>
      <c r="R11093" t="s">
        <v>224</v>
      </c>
      <c r="S11093" t="s">
        <v>225</v>
      </c>
      <c r="T11093" t="s">
        <v>3786</v>
      </c>
      <c r="U11093" t="s">
        <v>3787</v>
      </c>
      <c r="V11093" t="s">
        <v>3788</v>
      </c>
      <c r="W11093" t="s">
        <v>3789</v>
      </c>
      <c r="X11093" t="s">
        <v>3788</v>
      </c>
      <c r="Y11093" t="s">
        <v>749</v>
      </c>
      <c r="AD11093" t="s">
        <v>750</v>
      </c>
      <c r="AE11093" t="s">
        <v>751</v>
      </c>
      <c r="AF11093" t="s">
        <v>3790</v>
      </c>
    </row>
    <row r="11094" spans="1:32" hidden="1" x14ac:dyDescent="0.35">
      <c r="A11094">
        <v>414</v>
      </c>
      <c r="B11094" t="s">
        <v>742</v>
      </c>
      <c r="C11094" t="s">
        <v>72</v>
      </c>
      <c r="D11094" t="s">
        <v>58</v>
      </c>
      <c r="E11094">
        <v>1602</v>
      </c>
      <c r="F11094">
        <v>5</v>
      </c>
      <c r="G11094">
        <v>5</v>
      </c>
      <c r="H11094">
        <v>1</v>
      </c>
      <c r="I11094">
        <v>1</v>
      </c>
      <c r="J11094">
        <v>0.995</v>
      </c>
      <c r="K11094">
        <v>1</v>
      </c>
      <c r="L11094">
        <v>0.99749373433583999</v>
      </c>
      <c r="M11094">
        <v>0.97499999999999998</v>
      </c>
      <c r="N11094">
        <v>1</v>
      </c>
      <c r="O11094">
        <v>0.98499999999999999</v>
      </c>
      <c r="P11094" t="s">
        <v>743</v>
      </c>
      <c r="Q11094" t="s">
        <v>744</v>
      </c>
      <c r="R11094" t="s">
        <v>224</v>
      </c>
      <c r="S11094" t="s">
        <v>225</v>
      </c>
      <c r="T11094" t="s">
        <v>745</v>
      </c>
      <c r="U11094" t="s">
        <v>746</v>
      </c>
      <c r="V11094" t="s">
        <v>747</v>
      </c>
      <c r="W11094" t="s">
        <v>748</v>
      </c>
      <c r="X11094" t="s">
        <v>747</v>
      </c>
      <c r="Y11094" t="s">
        <v>749</v>
      </c>
      <c r="AD11094" t="s">
        <v>750</v>
      </c>
      <c r="AE11094" t="s">
        <v>751</v>
      </c>
      <c r="AF11094" t="s">
        <v>752</v>
      </c>
    </row>
    <row r="11095" spans="1:32" hidden="1" x14ac:dyDescent="0.35">
      <c r="A11095">
        <v>11094</v>
      </c>
      <c r="B11095" t="s">
        <v>22463</v>
      </c>
      <c r="C11095" t="s">
        <v>33</v>
      </c>
      <c r="D11095" t="s">
        <v>58</v>
      </c>
      <c r="E11095">
        <v>376</v>
      </c>
      <c r="F11095">
        <v>1</v>
      </c>
      <c r="G11095">
        <v>1</v>
      </c>
      <c r="H11095">
        <v>1</v>
      </c>
      <c r="I11095">
        <v>0</v>
      </c>
      <c r="J11095">
        <v>1</v>
      </c>
      <c r="K11095">
        <v>1</v>
      </c>
      <c r="L11095">
        <v>1</v>
      </c>
      <c r="M11095">
        <v>0</v>
      </c>
      <c r="N11095">
        <v>0</v>
      </c>
      <c r="O11095">
        <v>0</v>
      </c>
      <c r="P11095" t="s">
        <v>381</v>
      </c>
      <c r="Q11095" t="s">
        <v>382</v>
      </c>
      <c r="R11095" t="s">
        <v>4098</v>
      </c>
      <c r="S11095" t="s">
        <v>4099</v>
      </c>
      <c r="T11095" t="s">
        <v>4100</v>
      </c>
      <c r="U11095" t="s">
        <v>4101</v>
      </c>
      <c r="V11095" t="s">
        <v>16086</v>
      </c>
      <c r="W11095" t="s">
        <v>16087</v>
      </c>
      <c r="AD11095" t="s">
        <v>3017</v>
      </c>
      <c r="AE11095" t="s">
        <v>4104</v>
      </c>
      <c r="AF11095" t="s">
        <v>22464</v>
      </c>
    </row>
    <row r="11096" spans="1:32" hidden="1" x14ac:dyDescent="0.35">
      <c r="A11096">
        <v>11095</v>
      </c>
      <c r="B11096" t="s">
        <v>22465</v>
      </c>
      <c r="C11096" t="s">
        <v>33</v>
      </c>
      <c r="D11096" t="s">
        <v>58</v>
      </c>
      <c r="E11096">
        <v>467</v>
      </c>
      <c r="F11096">
        <v>1</v>
      </c>
      <c r="G11096">
        <v>1</v>
      </c>
      <c r="H11096">
        <v>1</v>
      </c>
      <c r="I11096">
        <v>0</v>
      </c>
      <c r="J11096">
        <v>1</v>
      </c>
      <c r="K11096">
        <v>1</v>
      </c>
      <c r="L11096">
        <v>1</v>
      </c>
      <c r="M11096">
        <v>0</v>
      </c>
      <c r="N11096">
        <v>0</v>
      </c>
      <c r="O11096">
        <v>0</v>
      </c>
      <c r="P11096" t="s">
        <v>22466</v>
      </c>
      <c r="Q11096" t="s">
        <v>22467</v>
      </c>
      <c r="AF11096" t="s">
        <v>22468</v>
      </c>
    </row>
    <row r="11097" spans="1:32" hidden="1" x14ac:dyDescent="0.35">
      <c r="A11097">
        <v>11096</v>
      </c>
      <c r="B11097" t="s">
        <v>22469</v>
      </c>
      <c r="C11097" t="s">
        <v>33</v>
      </c>
      <c r="D11097" t="s">
        <v>58</v>
      </c>
      <c r="E11097">
        <v>195</v>
      </c>
      <c r="F11097">
        <v>1</v>
      </c>
      <c r="G11097">
        <v>1</v>
      </c>
      <c r="H11097">
        <v>1</v>
      </c>
      <c r="I11097">
        <v>0</v>
      </c>
      <c r="J11097">
        <v>1</v>
      </c>
      <c r="K11097">
        <v>1</v>
      </c>
      <c r="L11097">
        <v>1</v>
      </c>
      <c r="M11097">
        <v>0</v>
      </c>
      <c r="N11097">
        <v>0</v>
      </c>
      <c r="O11097">
        <v>0</v>
      </c>
      <c r="AF11097" t="s">
        <v>22470</v>
      </c>
    </row>
    <row r="11098" spans="1:32" hidden="1" x14ac:dyDescent="0.35">
      <c r="A11098">
        <v>11097</v>
      </c>
      <c r="B11098" t="s">
        <v>22471</v>
      </c>
      <c r="C11098" t="s">
        <v>33</v>
      </c>
      <c r="D11098" t="s">
        <v>45</v>
      </c>
      <c r="E11098">
        <v>2046</v>
      </c>
      <c r="F11098">
        <v>1</v>
      </c>
      <c r="G11098">
        <v>1</v>
      </c>
      <c r="H11098">
        <v>1</v>
      </c>
      <c r="I11098">
        <v>0</v>
      </c>
      <c r="J11098">
        <v>1</v>
      </c>
      <c r="K11098">
        <v>1</v>
      </c>
      <c r="L11098">
        <v>1</v>
      </c>
      <c r="M11098">
        <v>0</v>
      </c>
      <c r="N11098">
        <v>0</v>
      </c>
      <c r="O11098">
        <v>0</v>
      </c>
      <c r="AF11098" t="s">
        <v>22472</v>
      </c>
    </row>
    <row r="11099" spans="1:32" hidden="1" x14ac:dyDescent="0.35">
      <c r="A11099">
        <v>11098</v>
      </c>
      <c r="B11099" t="s">
        <v>22473</v>
      </c>
      <c r="C11099" t="s">
        <v>33</v>
      </c>
      <c r="D11099" t="s">
        <v>60</v>
      </c>
      <c r="E11099">
        <v>674</v>
      </c>
      <c r="F11099">
        <v>1</v>
      </c>
      <c r="G11099">
        <v>1</v>
      </c>
      <c r="H11099">
        <v>1</v>
      </c>
      <c r="I11099">
        <v>0</v>
      </c>
      <c r="J11099">
        <v>1</v>
      </c>
      <c r="K11099">
        <v>1</v>
      </c>
      <c r="L11099">
        <v>1</v>
      </c>
      <c r="M11099">
        <v>0</v>
      </c>
      <c r="N11099">
        <v>0</v>
      </c>
      <c r="O11099">
        <v>0</v>
      </c>
      <c r="P11099" t="s">
        <v>21835</v>
      </c>
      <c r="Q11099" t="s">
        <v>21836</v>
      </c>
      <c r="R11099" t="s">
        <v>13853</v>
      </c>
      <c r="S11099" t="s">
        <v>13854</v>
      </c>
      <c r="V11099" t="s">
        <v>21837</v>
      </c>
      <c r="W11099" t="s">
        <v>21838</v>
      </c>
      <c r="AF11099" t="s">
        <v>22474</v>
      </c>
    </row>
    <row r="11100" spans="1:32" hidden="1" x14ac:dyDescent="0.35">
      <c r="A11100">
        <v>2639</v>
      </c>
      <c r="B11100" t="s">
        <v>5454</v>
      </c>
      <c r="C11100" t="s">
        <v>72</v>
      </c>
      <c r="D11100" t="s">
        <v>58</v>
      </c>
      <c r="E11100">
        <v>238</v>
      </c>
      <c r="F11100">
        <v>5</v>
      </c>
      <c r="G11100">
        <v>5</v>
      </c>
      <c r="H11100">
        <v>1</v>
      </c>
      <c r="I11100">
        <v>1</v>
      </c>
      <c r="J11100">
        <v>0.85729696409308098</v>
      </c>
      <c r="K11100">
        <v>0.98774663818022101</v>
      </c>
      <c r="L11100">
        <v>0.91791022516942899</v>
      </c>
      <c r="M11100">
        <v>0.75342465753424703</v>
      </c>
      <c r="N11100">
        <v>1</v>
      </c>
      <c r="O11100">
        <v>0.81735159817351599</v>
      </c>
      <c r="P11100" t="s">
        <v>5455</v>
      </c>
      <c r="Q11100" t="s">
        <v>5456</v>
      </c>
      <c r="R11100" t="s">
        <v>224</v>
      </c>
      <c r="S11100" t="s">
        <v>225</v>
      </c>
      <c r="T11100" t="s">
        <v>5457</v>
      </c>
      <c r="U11100" t="s">
        <v>5458</v>
      </c>
      <c r="V11100" t="s">
        <v>5459</v>
      </c>
      <c r="W11100" t="s">
        <v>5460</v>
      </c>
      <c r="X11100" t="s">
        <v>5459</v>
      </c>
      <c r="Y11100" t="s">
        <v>749</v>
      </c>
      <c r="AD11100" t="s">
        <v>750</v>
      </c>
      <c r="AE11100" t="s">
        <v>751</v>
      </c>
      <c r="AF11100" t="s">
        <v>5461</v>
      </c>
    </row>
    <row r="11101" spans="1:32" hidden="1" x14ac:dyDescent="0.35">
      <c r="A11101">
        <v>2679</v>
      </c>
      <c r="B11101" t="s">
        <v>5535</v>
      </c>
      <c r="C11101" t="s">
        <v>72</v>
      </c>
      <c r="D11101" t="s">
        <v>58</v>
      </c>
      <c r="E11101">
        <v>262</v>
      </c>
      <c r="F11101">
        <v>5</v>
      </c>
      <c r="G11101">
        <v>5</v>
      </c>
      <c r="H11101">
        <v>1</v>
      </c>
      <c r="I11101">
        <v>1</v>
      </c>
      <c r="J11101">
        <v>0.94492131616595099</v>
      </c>
      <c r="K11101">
        <v>0.99151211741950296</v>
      </c>
      <c r="L11101">
        <v>0.967656226893152</v>
      </c>
      <c r="M11101">
        <v>0.88829787234042601</v>
      </c>
      <c r="N11101">
        <v>1</v>
      </c>
      <c r="O11101">
        <v>0.91702127659574495</v>
      </c>
      <c r="P11101" t="s">
        <v>5536</v>
      </c>
      <c r="Q11101" t="s">
        <v>5537</v>
      </c>
      <c r="R11101" t="s">
        <v>224</v>
      </c>
      <c r="S11101" t="s">
        <v>225</v>
      </c>
      <c r="T11101" t="s">
        <v>5538</v>
      </c>
      <c r="U11101" t="s">
        <v>5539</v>
      </c>
      <c r="V11101" t="s">
        <v>5540</v>
      </c>
      <c r="W11101" t="s">
        <v>5541</v>
      </c>
      <c r="X11101" t="s">
        <v>5540</v>
      </c>
      <c r="Y11101" t="s">
        <v>749</v>
      </c>
      <c r="AD11101" t="s">
        <v>762</v>
      </c>
      <c r="AE11101" t="s">
        <v>1545</v>
      </c>
      <c r="AF11101" t="s">
        <v>5542</v>
      </c>
    </row>
    <row r="11102" spans="1:32" hidden="1" x14ac:dyDescent="0.35">
      <c r="A11102">
        <v>11101</v>
      </c>
      <c r="B11102" t="s">
        <v>22479</v>
      </c>
      <c r="C11102" t="s">
        <v>33</v>
      </c>
      <c r="D11102" t="s">
        <v>45</v>
      </c>
      <c r="E11102">
        <v>12</v>
      </c>
      <c r="F11102">
        <v>1</v>
      </c>
      <c r="G11102">
        <v>1</v>
      </c>
      <c r="H11102">
        <v>1</v>
      </c>
      <c r="I11102">
        <v>0</v>
      </c>
      <c r="J11102">
        <v>1</v>
      </c>
      <c r="K11102">
        <v>1</v>
      </c>
      <c r="L11102">
        <v>1</v>
      </c>
      <c r="M11102">
        <v>0</v>
      </c>
      <c r="N11102">
        <v>0</v>
      </c>
      <c r="O11102">
        <v>0</v>
      </c>
      <c r="P11102" t="s">
        <v>2334</v>
      </c>
      <c r="Q11102" t="s">
        <v>2335</v>
      </c>
      <c r="R11102" t="s">
        <v>5842</v>
      </c>
      <c r="S11102" t="s">
        <v>5843</v>
      </c>
      <c r="V11102" t="s">
        <v>22480</v>
      </c>
      <c r="W11102" t="s">
        <v>22481</v>
      </c>
      <c r="AF11102" t="s">
        <v>22482</v>
      </c>
    </row>
    <row r="11103" spans="1:32" hidden="1" x14ac:dyDescent="0.35">
      <c r="A11103">
        <v>11102</v>
      </c>
      <c r="B11103" t="s">
        <v>22483</v>
      </c>
      <c r="C11103" t="s">
        <v>33</v>
      </c>
      <c r="D11103" t="s">
        <v>58</v>
      </c>
      <c r="E11103">
        <v>346</v>
      </c>
      <c r="F11103">
        <v>1</v>
      </c>
      <c r="G11103">
        <v>1</v>
      </c>
      <c r="H11103">
        <v>1</v>
      </c>
      <c r="I11103">
        <v>0</v>
      </c>
      <c r="J11103">
        <v>1</v>
      </c>
      <c r="K11103">
        <v>1</v>
      </c>
      <c r="L11103">
        <v>1</v>
      </c>
      <c r="M11103">
        <v>0</v>
      </c>
      <c r="N11103">
        <v>0</v>
      </c>
      <c r="O11103">
        <v>0</v>
      </c>
      <c r="AF11103" t="s">
        <v>22484</v>
      </c>
    </row>
    <row r="11104" spans="1:32" hidden="1" x14ac:dyDescent="0.35">
      <c r="A11104">
        <v>11103</v>
      </c>
      <c r="B11104" t="s">
        <v>22485</v>
      </c>
      <c r="C11104" t="s">
        <v>33</v>
      </c>
      <c r="D11104" t="s">
        <v>58</v>
      </c>
      <c r="E11104">
        <v>356</v>
      </c>
      <c r="F11104">
        <v>1</v>
      </c>
      <c r="G11104">
        <v>1</v>
      </c>
      <c r="H11104">
        <v>1</v>
      </c>
      <c r="I11104">
        <v>0</v>
      </c>
      <c r="J11104">
        <v>1</v>
      </c>
      <c r="K11104">
        <v>1</v>
      </c>
      <c r="L11104">
        <v>1</v>
      </c>
      <c r="M11104">
        <v>0</v>
      </c>
      <c r="N11104">
        <v>0</v>
      </c>
      <c r="O11104">
        <v>0</v>
      </c>
      <c r="AF11104" t="s">
        <v>22486</v>
      </c>
    </row>
    <row r="11105" spans="1:32" hidden="1" x14ac:dyDescent="0.35">
      <c r="A11105">
        <v>11104</v>
      </c>
      <c r="B11105" t="s">
        <v>22487</v>
      </c>
      <c r="C11105" t="s">
        <v>33</v>
      </c>
      <c r="D11105" t="s">
        <v>58</v>
      </c>
      <c r="E11105">
        <v>35</v>
      </c>
      <c r="F11105">
        <v>1</v>
      </c>
      <c r="G11105">
        <v>1</v>
      </c>
      <c r="H11105">
        <v>1</v>
      </c>
      <c r="I11105">
        <v>0</v>
      </c>
      <c r="J11105">
        <v>1</v>
      </c>
      <c r="K11105">
        <v>1</v>
      </c>
      <c r="L11105">
        <v>1</v>
      </c>
      <c r="M11105">
        <v>0</v>
      </c>
      <c r="N11105">
        <v>0</v>
      </c>
      <c r="O11105">
        <v>0</v>
      </c>
      <c r="P11105" t="s">
        <v>11585</v>
      </c>
      <c r="Q11105" t="s">
        <v>11586</v>
      </c>
      <c r="R11105" t="s">
        <v>288</v>
      </c>
      <c r="S11105" t="s">
        <v>289</v>
      </c>
      <c r="T11105" t="s">
        <v>11587</v>
      </c>
      <c r="U11105" t="s">
        <v>407</v>
      </c>
      <c r="V11105" t="s">
        <v>11588</v>
      </c>
      <c r="W11105" t="s">
        <v>11589</v>
      </c>
      <c r="AD11105" t="s">
        <v>410</v>
      </c>
      <c r="AE11105" t="s">
        <v>411</v>
      </c>
      <c r="AF11105" t="s">
        <v>22488</v>
      </c>
    </row>
    <row r="11106" spans="1:32" hidden="1" x14ac:dyDescent="0.35">
      <c r="A11106">
        <v>11105</v>
      </c>
      <c r="B11106" t="s">
        <v>22489</v>
      </c>
      <c r="C11106" t="s">
        <v>33</v>
      </c>
      <c r="D11106" t="s">
        <v>58</v>
      </c>
      <c r="E11106">
        <v>1355</v>
      </c>
      <c r="F11106">
        <v>1</v>
      </c>
      <c r="G11106">
        <v>1</v>
      </c>
      <c r="H11106">
        <v>1</v>
      </c>
      <c r="I11106">
        <v>0</v>
      </c>
      <c r="J11106">
        <v>1</v>
      </c>
      <c r="K11106">
        <v>1</v>
      </c>
      <c r="L11106">
        <v>1</v>
      </c>
      <c r="M11106">
        <v>0</v>
      </c>
      <c r="N11106">
        <v>0</v>
      </c>
      <c r="O11106">
        <v>0</v>
      </c>
      <c r="AF11106" t="s">
        <v>22490</v>
      </c>
    </row>
    <row r="11107" spans="1:32" hidden="1" x14ac:dyDescent="0.35">
      <c r="A11107">
        <v>11106</v>
      </c>
      <c r="B11107" t="s">
        <v>22491</v>
      </c>
      <c r="C11107" t="s">
        <v>33</v>
      </c>
      <c r="D11107" t="s">
        <v>62</v>
      </c>
      <c r="E11107">
        <v>2092</v>
      </c>
      <c r="F11107">
        <v>1</v>
      </c>
      <c r="G11107">
        <v>1</v>
      </c>
      <c r="H11107">
        <v>1</v>
      </c>
      <c r="I11107">
        <v>0</v>
      </c>
      <c r="J11107">
        <v>1</v>
      </c>
      <c r="K11107">
        <v>1</v>
      </c>
      <c r="L11107">
        <v>1</v>
      </c>
      <c r="M11107">
        <v>0</v>
      </c>
      <c r="N11107">
        <v>0</v>
      </c>
      <c r="O11107">
        <v>0</v>
      </c>
      <c r="AF11107" t="s">
        <v>22492</v>
      </c>
    </row>
    <row r="11108" spans="1:32" hidden="1" x14ac:dyDescent="0.35">
      <c r="A11108">
        <v>11107</v>
      </c>
      <c r="B11108" t="s">
        <v>22493</v>
      </c>
      <c r="C11108" t="s">
        <v>33</v>
      </c>
      <c r="D11108" t="s">
        <v>58</v>
      </c>
      <c r="E11108">
        <v>1598</v>
      </c>
      <c r="F11108">
        <v>1</v>
      </c>
      <c r="G11108">
        <v>1</v>
      </c>
      <c r="H11108">
        <v>1</v>
      </c>
      <c r="I11108">
        <v>0</v>
      </c>
      <c r="J11108">
        <v>1</v>
      </c>
      <c r="K11108">
        <v>1</v>
      </c>
      <c r="L11108">
        <v>1</v>
      </c>
      <c r="M11108">
        <v>0</v>
      </c>
      <c r="N11108">
        <v>0</v>
      </c>
      <c r="O11108">
        <v>0</v>
      </c>
      <c r="P11108" t="s">
        <v>22494</v>
      </c>
      <c r="Q11108" t="s">
        <v>370</v>
      </c>
      <c r="R11108" t="s">
        <v>319</v>
      </c>
      <c r="S11108" t="s">
        <v>320</v>
      </c>
      <c r="T11108" t="s">
        <v>21738</v>
      </c>
      <c r="U11108" t="s">
        <v>21739</v>
      </c>
      <c r="V11108" t="s">
        <v>21740</v>
      </c>
      <c r="W11108" t="s">
        <v>21741</v>
      </c>
      <c r="X11108" t="s">
        <v>21740</v>
      </c>
      <c r="Y11108" t="s">
        <v>10466</v>
      </c>
      <c r="AD11108" t="s">
        <v>219</v>
      </c>
      <c r="AE11108" t="s">
        <v>21742</v>
      </c>
      <c r="AF11108" t="s">
        <v>22495</v>
      </c>
    </row>
    <row r="11109" spans="1:32" hidden="1" x14ac:dyDescent="0.35">
      <c r="A11109">
        <v>2799</v>
      </c>
      <c r="B11109" t="s">
        <v>5789</v>
      </c>
      <c r="C11109" t="s">
        <v>72</v>
      </c>
      <c r="D11109" t="s">
        <v>58</v>
      </c>
      <c r="E11109">
        <v>273</v>
      </c>
      <c r="F11109">
        <v>5</v>
      </c>
      <c r="G11109">
        <v>5</v>
      </c>
      <c r="H11109">
        <v>1</v>
      </c>
      <c r="I11109">
        <v>1</v>
      </c>
      <c r="J11109">
        <v>0.89513108614232195</v>
      </c>
      <c r="K11109">
        <v>1</v>
      </c>
      <c r="L11109">
        <v>0.94466403162055301</v>
      </c>
      <c r="M11109">
        <v>0.797752808988764</v>
      </c>
      <c r="N11109">
        <v>1</v>
      </c>
      <c r="O11109">
        <v>0.85617977528089895</v>
      </c>
      <c r="P11109" t="s">
        <v>5790</v>
      </c>
      <c r="Q11109" t="s">
        <v>5791</v>
      </c>
      <c r="R11109" t="s">
        <v>224</v>
      </c>
      <c r="S11109" t="s">
        <v>225</v>
      </c>
      <c r="T11109" t="s">
        <v>5792</v>
      </c>
      <c r="U11109" t="s">
        <v>5793</v>
      </c>
      <c r="V11109" t="s">
        <v>5794</v>
      </c>
      <c r="W11109" t="s">
        <v>5795</v>
      </c>
      <c r="X11109" t="s">
        <v>5794</v>
      </c>
      <c r="Y11109" t="s">
        <v>749</v>
      </c>
      <c r="AD11109" t="s">
        <v>762</v>
      </c>
      <c r="AE11109" t="s">
        <v>1545</v>
      </c>
      <c r="AF11109" t="s">
        <v>5796</v>
      </c>
    </row>
    <row r="11110" spans="1:32" hidden="1" x14ac:dyDescent="0.35">
      <c r="A11110">
        <v>11109</v>
      </c>
      <c r="B11110" t="s">
        <v>22498</v>
      </c>
      <c r="C11110" t="s">
        <v>33</v>
      </c>
      <c r="D11110" t="s">
        <v>60</v>
      </c>
      <c r="E11110">
        <v>643</v>
      </c>
      <c r="F11110">
        <v>1</v>
      </c>
      <c r="G11110">
        <v>1</v>
      </c>
      <c r="H11110">
        <v>1</v>
      </c>
      <c r="I11110">
        <v>0</v>
      </c>
      <c r="J11110">
        <v>1</v>
      </c>
      <c r="K11110">
        <v>1</v>
      </c>
      <c r="L11110">
        <v>1</v>
      </c>
      <c r="M11110">
        <v>0</v>
      </c>
      <c r="N11110">
        <v>0</v>
      </c>
      <c r="O11110">
        <v>0</v>
      </c>
      <c r="AF11110" t="s">
        <v>22499</v>
      </c>
    </row>
    <row r="11111" spans="1:32" hidden="1" x14ac:dyDescent="0.35">
      <c r="A11111">
        <v>11110</v>
      </c>
      <c r="B11111" t="s">
        <v>22500</v>
      </c>
      <c r="C11111" t="s">
        <v>33</v>
      </c>
      <c r="D11111" t="s">
        <v>58</v>
      </c>
      <c r="E11111">
        <v>14</v>
      </c>
      <c r="F11111">
        <v>1</v>
      </c>
      <c r="G11111">
        <v>1</v>
      </c>
      <c r="H11111">
        <v>1</v>
      </c>
      <c r="I11111">
        <v>0</v>
      </c>
      <c r="J11111">
        <v>1</v>
      </c>
      <c r="K11111">
        <v>1</v>
      </c>
      <c r="L11111">
        <v>1</v>
      </c>
      <c r="M11111">
        <v>0</v>
      </c>
      <c r="N11111">
        <v>0</v>
      </c>
      <c r="O11111">
        <v>0</v>
      </c>
      <c r="AF11111" t="s">
        <v>22501</v>
      </c>
    </row>
    <row r="11112" spans="1:32" hidden="1" x14ac:dyDescent="0.35">
      <c r="A11112">
        <v>11111</v>
      </c>
      <c r="B11112" t="s">
        <v>22502</v>
      </c>
      <c r="C11112" t="s">
        <v>33</v>
      </c>
      <c r="D11112" t="s">
        <v>34</v>
      </c>
      <c r="E11112">
        <v>791</v>
      </c>
      <c r="F11112">
        <v>1</v>
      </c>
      <c r="G11112">
        <v>1</v>
      </c>
      <c r="H11112">
        <v>1</v>
      </c>
      <c r="I11112">
        <v>0</v>
      </c>
      <c r="J11112">
        <v>1</v>
      </c>
      <c r="K11112">
        <v>1</v>
      </c>
      <c r="L11112">
        <v>1</v>
      </c>
      <c r="M11112">
        <v>0</v>
      </c>
      <c r="N11112">
        <v>0</v>
      </c>
      <c r="O11112">
        <v>0</v>
      </c>
      <c r="AF11112" t="s">
        <v>22503</v>
      </c>
    </row>
    <row r="11113" spans="1:32" hidden="1" x14ac:dyDescent="0.35">
      <c r="A11113">
        <v>11112</v>
      </c>
      <c r="B11113" t="s">
        <v>22504</v>
      </c>
      <c r="C11113" t="s">
        <v>33</v>
      </c>
      <c r="D11113" t="s">
        <v>60</v>
      </c>
      <c r="E11113">
        <v>658</v>
      </c>
      <c r="F11113">
        <v>1</v>
      </c>
      <c r="G11113">
        <v>1</v>
      </c>
      <c r="H11113">
        <v>1</v>
      </c>
      <c r="I11113">
        <v>0</v>
      </c>
      <c r="J11113">
        <v>1</v>
      </c>
      <c r="K11113">
        <v>1</v>
      </c>
      <c r="L11113">
        <v>1</v>
      </c>
      <c r="M11113">
        <v>0</v>
      </c>
      <c r="N11113">
        <v>0</v>
      </c>
      <c r="O11113">
        <v>0</v>
      </c>
      <c r="P11113" t="s">
        <v>22505</v>
      </c>
      <c r="Q11113" t="s">
        <v>22506</v>
      </c>
      <c r="R11113" t="s">
        <v>371</v>
      </c>
      <c r="S11113" t="s">
        <v>372</v>
      </c>
      <c r="T11113" t="s">
        <v>22291</v>
      </c>
      <c r="U11113" t="s">
        <v>22292</v>
      </c>
      <c r="V11113" t="s">
        <v>22507</v>
      </c>
      <c r="W11113" t="s">
        <v>22508</v>
      </c>
      <c r="AD11113" t="s">
        <v>8300</v>
      </c>
      <c r="AE11113" t="s">
        <v>22293</v>
      </c>
      <c r="AF11113" t="s">
        <v>22509</v>
      </c>
    </row>
    <row r="11114" spans="1:32" hidden="1" x14ac:dyDescent="0.35">
      <c r="A11114">
        <v>11113</v>
      </c>
      <c r="B11114" t="s">
        <v>22510</v>
      </c>
      <c r="C11114" t="s">
        <v>33</v>
      </c>
      <c r="D11114" t="s">
        <v>58</v>
      </c>
      <c r="E11114">
        <v>1435</v>
      </c>
      <c r="F11114">
        <v>1</v>
      </c>
      <c r="G11114">
        <v>1</v>
      </c>
      <c r="H11114">
        <v>1</v>
      </c>
      <c r="I11114">
        <v>0</v>
      </c>
      <c r="J11114">
        <v>1</v>
      </c>
      <c r="K11114">
        <v>1</v>
      </c>
      <c r="L11114">
        <v>1</v>
      </c>
      <c r="M11114">
        <v>0</v>
      </c>
      <c r="N11114">
        <v>0</v>
      </c>
      <c r="O11114">
        <v>0</v>
      </c>
      <c r="P11114" t="s">
        <v>182</v>
      </c>
      <c r="Q11114" t="s">
        <v>183</v>
      </c>
      <c r="R11114" t="s">
        <v>96</v>
      </c>
      <c r="S11114" t="s">
        <v>97</v>
      </c>
      <c r="V11114" t="s">
        <v>8211</v>
      </c>
      <c r="W11114" t="s">
        <v>8212</v>
      </c>
      <c r="AF11114" t="s">
        <v>22511</v>
      </c>
    </row>
    <row r="11115" spans="1:32" hidden="1" x14ac:dyDescent="0.35">
      <c r="A11115">
        <v>11114</v>
      </c>
      <c r="B11115" t="s">
        <v>22512</v>
      </c>
      <c r="C11115" t="s">
        <v>33</v>
      </c>
      <c r="D11115" t="s">
        <v>58</v>
      </c>
      <c r="E11115">
        <v>1182</v>
      </c>
      <c r="F11115">
        <v>1</v>
      </c>
      <c r="G11115">
        <v>1</v>
      </c>
      <c r="H11115">
        <v>1</v>
      </c>
      <c r="I11115">
        <v>0</v>
      </c>
      <c r="J11115">
        <v>1</v>
      </c>
      <c r="K11115">
        <v>1</v>
      </c>
      <c r="L11115">
        <v>1</v>
      </c>
      <c r="M11115">
        <v>0</v>
      </c>
      <c r="N11115">
        <v>0</v>
      </c>
      <c r="O11115">
        <v>0</v>
      </c>
      <c r="P11115" t="s">
        <v>22513</v>
      </c>
      <c r="Q11115" t="s">
        <v>22514</v>
      </c>
      <c r="R11115" t="s">
        <v>288</v>
      </c>
      <c r="S11115" t="s">
        <v>289</v>
      </c>
      <c r="T11115" t="s">
        <v>22515</v>
      </c>
      <c r="U11115" t="s">
        <v>22516</v>
      </c>
      <c r="V11115" t="s">
        <v>7530</v>
      </c>
      <c r="W11115" t="s">
        <v>7531</v>
      </c>
      <c r="AD11115" t="s">
        <v>410</v>
      </c>
      <c r="AE11115" t="s">
        <v>532</v>
      </c>
      <c r="AF11115" t="s">
        <v>22517</v>
      </c>
    </row>
    <row r="11116" spans="1:32" hidden="1" x14ac:dyDescent="0.35">
      <c r="A11116">
        <v>11115</v>
      </c>
      <c r="B11116" t="s">
        <v>22518</v>
      </c>
      <c r="C11116" t="s">
        <v>33</v>
      </c>
      <c r="D11116" t="s">
        <v>58</v>
      </c>
      <c r="E11116">
        <v>249</v>
      </c>
      <c r="F11116">
        <v>1</v>
      </c>
      <c r="G11116">
        <v>1</v>
      </c>
      <c r="H11116">
        <v>1</v>
      </c>
      <c r="I11116">
        <v>0</v>
      </c>
      <c r="J11116">
        <v>1</v>
      </c>
      <c r="K11116">
        <v>1</v>
      </c>
      <c r="L11116">
        <v>1</v>
      </c>
      <c r="M11116">
        <v>0</v>
      </c>
      <c r="N11116">
        <v>0</v>
      </c>
      <c r="O11116">
        <v>0</v>
      </c>
      <c r="AF11116" t="s">
        <v>22519</v>
      </c>
    </row>
    <row r="11117" spans="1:32" hidden="1" x14ac:dyDescent="0.35">
      <c r="A11117">
        <v>11116</v>
      </c>
      <c r="B11117" t="s">
        <v>22520</v>
      </c>
      <c r="C11117" t="s">
        <v>33</v>
      </c>
      <c r="D11117" t="s">
        <v>34</v>
      </c>
      <c r="E11117">
        <v>1140</v>
      </c>
      <c r="F11117">
        <v>1</v>
      </c>
      <c r="G11117">
        <v>1</v>
      </c>
      <c r="H11117">
        <v>1</v>
      </c>
      <c r="I11117">
        <v>0</v>
      </c>
      <c r="J11117">
        <v>1</v>
      </c>
      <c r="K11117">
        <v>1</v>
      </c>
      <c r="L11117">
        <v>1</v>
      </c>
      <c r="M11117">
        <v>0</v>
      </c>
      <c r="N11117">
        <v>0</v>
      </c>
      <c r="O11117">
        <v>0</v>
      </c>
      <c r="AF11117" t="s">
        <v>22521</v>
      </c>
    </row>
    <row r="11118" spans="1:32" hidden="1" x14ac:dyDescent="0.35">
      <c r="A11118">
        <v>3084</v>
      </c>
      <c r="B11118" t="s">
        <v>6369</v>
      </c>
      <c r="C11118" t="s">
        <v>72</v>
      </c>
      <c r="D11118" t="s">
        <v>58</v>
      </c>
      <c r="E11118">
        <v>216</v>
      </c>
      <c r="F11118">
        <v>5</v>
      </c>
      <c r="G11118">
        <v>5</v>
      </c>
      <c r="H11118">
        <v>1</v>
      </c>
      <c r="I11118">
        <v>1</v>
      </c>
      <c r="J11118">
        <v>0.91974822974036197</v>
      </c>
      <c r="K11118">
        <v>0.97048737522020001</v>
      </c>
      <c r="L11118">
        <v>0.94443681306359994</v>
      </c>
      <c r="M11118">
        <v>0.82442748091603102</v>
      </c>
      <c r="N11118">
        <v>1</v>
      </c>
      <c r="O11118">
        <v>0.86870229007633604</v>
      </c>
      <c r="P11118" t="s">
        <v>6370</v>
      </c>
      <c r="Q11118" t="s">
        <v>6371</v>
      </c>
      <c r="R11118" t="s">
        <v>224</v>
      </c>
      <c r="S11118" t="s">
        <v>225</v>
      </c>
      <c r="T11118" t="s">
        <v>6372</v>
      </c>
      <c r="U11118" t="s">
        <v>6373</v>
      </c>
      <c r="V11118" t="s">
        <v>6374</v>
      </c>
      <c r="W11118" t="s">
        <v>6375</v>
      </c>
      <c r="X11118" t="s">
        <v>6374</v>
      </c>
      <c r="Y11118" t="s">
        <v>749</v>
      </c>
      <c r="AD11118" t="s">
        <v>750</v>
      </c>
      <c r="AE11118" t="s">
        <v>751</v>
      </c>
      <c r="AF11118" t="s">
        <v>6376</v>
      </c>
    </row>
    <row r="11119" spans="1:32" hidden="1" x14ac:dyDescent="0.35">
      <c r="A11119">
        <v>11118</v>
      </c>
      <c r="B11119" t="s">
        <v>22530</v>
      </c>
      <c r="C11119" t="s">
        <v>33</v>
      </c>
      <c r="D11119" t="s">
        <v>58</v>
      </c>
      <c r="E11119">
        <v>1186</v>
      </c>
      <c r="F11119">
        <v>1</v>
      </c>
      <c r="G11119">
        <v>1</v>
      </c>
      <c r="H11119">
        <v>1</v>
      </c>
      <c r="I11119">
        <v>0</v>
      </c>
      <c r="J11119">
        <v>1</v>
      </c>
      <c r="K11119">
        <v>1</v>
      </c>
      <c r="L11119">
        <v>1</v>
      </c>
      <c r="M11119">
        <v>0</v>
      </c>
      <c r="N11119">
        <v>0</v>
      </c>
      <c r="O11119">
        <v>0</v>
      </c>
      <c r="AF11119" t="s">
        <v>22531</v>
      </c>
    </row>
    <row r="11120" spans="1:32" hidden="1" x14ac:dyDescent="0.35">
      <c r="A11120">
        <v>11119</v>
      </c>
      <c r="B11120" t="s">
        <v>22532</v>
      </c>
      <c r="C11120" t="s">
        <v>33</v>
      </c>
      <c r="D11120" t="s">
        <v>58</v>
      </c>
      <c r="E11120">
        <v>780</v>
      </c>
      <c r="F11120">
        <v>1</v>
      </c>
      <c r="G11120">
        <v>1</v>
      </c>
      <c r="H11120">
        <v>1</v>
      </c>
      <c r="I11120">
        <v>0</v>
      </c>
      <c r="J11120">
        <v>1</v>
      </c>
      <c r="K11120">
        <v>1</v>
      </c>
      <c r="L11120">
        <v>1</v>
      </c>
      <c r="M11120">
        <v>0</v>
      </c>
      <c r="N11120">
        <v>0</v>
      </c>
      <c r="O11120">
        <v>0</v>
      </c>
      <c r="P11120" t="s">
        <v>1504</v>
      </c>
      <c r="Q11120" t="s">
        <v>1505</v>
      </c>
      <c r="R11120" t="s">
        <v>1259</v>
      </c>
      <c r="S11120" t="s">
        <v>1260</v>
      </c>
      <c r="T11120" t="s">
        <v>1506</v>
      </c>
      <c r="U11120" t="s">
        <v>1507</v>
      </c>
      <c r="V11120" t="s">
        <v>1508</v>
      </c>
      <c r="W11120" t="s">
        <v>1509</v>
      </c>
      <c r="AD11120" t="s">
        <v>410</v>
      </c>
      <c r="AE11120" t="s">
        <v>1510</v>
      </c>
      <c r="AF11120" t="s">
        <v>22533</v>
      </c>
    </row>
    <row r="11121" spans="1:32" hidden="1" x14ac:dyDescent="0.35">
      <c r="A11121">
        <v>11120</v>
      </c>
      <c r="B11121" t="s">
        <v>22534</v>
      </c>
      <c r="C11121" t="s">
        <v>33</v>
      </c>
      <c r="D11121" t="s">
        <v>58</v>
      </c>
      <c r="E11121">
        <v>1823</v>
      </c>
      <c r="F11121">
        <v>1</v>
      </c>
      <c r="G11121">
        <v>1</v>
      </c>
      <c r="H11121">
        <v>1</v>
      </c>
      <c r="I11121">
        <v>0</v>
      </c>
      <c r="J11121">
        <v>1</v>
      </c>
      <c r="K11121">
        <v>1</v>
      </c>
      <c r="L11121">
        <v>1</v>
      </c>
      <c r="M11121">
        <v>0</v>
      </c>
      <c r="N11121">
        <v>0</v>
      </c>
      <c r="O11121">
        <v>0</v>
      </c>
      <c r="P11121" t="s">
        <v>15703</v>
      </c>
      <c r="Q11121" t="s">
        <v>15704</v>
      </c>
      <c r="AF11121" t="s">
        <v>22535</v>
      </c>
    </row>
    <row r="11122" spans="1:32" hidden="1" x14ac:dyDescent="0.35">
      <c r="A11122">
        <v>969</v>
      </c>
      <c r="B11122" t="s">
        <v>2010</v>
      </c>
      <c r="C11122" t="s">
        <v>72</v>
      </c>
      <c r="D11122" t="s">
        <v>58</v>
      </c>
      <c r="E11122">
        <v>1845</v>
      </c>
      <c r="F11122">
        <v>5</v>
      </c>
      <c r="G11122">
        <v>5</v>
      </c>
      <c r="H11122">
        <v>1</v>
      </c>
      <c r="I11122">
        <v>1</v>
      </c>
      <c r="J11122">
        <v>0.83599999999999997</v>
      </c>
      <c r="K11122">
        <v>1</v>
      </c>
      <c r="L11122">
        <v>0.91067538126361702</v>
      </c>
      <c r="M11122">
        <v>0.72</v>
      </c>
      <c r="N11122">
        <v>1</v>
      </c>
      <c r="O11122">
        <v>0.793333333333333</v>
      </c>
      <c r="P11122" t="s">
        <v>2011</v>
      </c>
      <c r="Q11122" t="s">
        <v>2012</v>
      </c>
      <c r="R11122" t="s">
        <v>224</v>
      </c>
      <c r="S11122" t="s">
        <v>225</v>
      </c>
      <c r="T11122" t="s">
        <v>2013</v>
      </c>
      <c r="U11122" t="s">
        <v>2014</v>
      </c>
      <c r="V11122" t="s">
        <v>2015</v>
      </c>
      <c r="W11122" t="s">
        <v>2016</v>
      </c>
      <c r="X11122" t="s">
        <v>2015</v>
      </c>
      <c r="Y11122" t="s">
        <v>749</v>
      </c>
      <c r="AD11122" t="s">
        <v>750</v>
      </c>
      <c r="AE11122" t="s">
        <v>751</v>
      </c>
      <c r="AF11122" t="s">
        <v>2017</v>
      </c>
    </row>
    <row r="11123" spans="1:32" hidden="1" x14ac:dyDescent="0.35">
      <c r="A11123">
        <v>11122</v>
      </c>
      <c r="B11123" t="s">
        <v>22538</v>
      </c>
      <c r="C11123" t="s">
        <v>33</v>
      </c>
      <c r="D11123" t="s">
        <v>34</v>
      </c>
      <c r="E11123">
        <v>2394</v>
      </c>
      <c r="F11123">
        <v>1</v>
      </c>
      <c r="G11123">
        <v>1</v>
      </c>
      <c r="H11123">
        <v>1</v>
      </c>
      <c r="I11123">
        <v>0</v>
      </c>
      <c r="J11123">
        <v>1</v>
      </c>
      <c r="K11123">
        <v>1</v>
      </c>
      <c r="L11123">
        <v>1</v>
      </c>
      <c r="M11123">
        <v>0</v>
      </c>
      <c r="N11123">
        <v>0</v>
      </c>
      <c r="O11123">
        <v>0</v>
      </c>
      <c r="AF11123" t="s">
        <v>22539</v>
      </c>
    </row>
    <row r="11124" spans="1:32" hidden="1" x14ac:dyDescent="0.35">
      <c r="A11124">
        <v>11123</v>
      </c>
      <c r="B11124" t="s">
        <v>22540</v>
      </c>
      <c r="C11124" t="s">
        <v>33</v>
      </c>
      <c r="D11124" t="s">
        <v>58</v>
      </c>
      <c r="E11124">
        <v>425</v>
      </c>
      <c r="F11124">
        <v>1</v>
      </c>
      <c r="G11124">
        <v>1</v>
      </c>
      <c r="H11124">
        <v>1</v>
      </c>
      <c r="I11124">
        <v>0</v>
      </c>
      <c r="J11124">
        <v>1</v>
      </c>
      <c r="K11124">
        <v>1</v>
      </c>
      <c r="L11124">
        <v>1</v>
      </c>
      <c r="M11124">
        <v>0</v>
      </c>
      <c r="N11124">
        <v>0</v>
      </c>
      <c r="O11124">
        <v>0</v>
      </c>
      <c r="P11124" t="s">
        <v>611</v>
      </c>
      <c r="Q11124" t="s">
        <v>612</v>
      </c>
      <c r="R11124" t="s">
        <v>613</v>
      </c>
      <c r="S11124" t="s">
        <v>614</v>
      </c>
      <c r="V11124" t="s">
        <v>617</v>
      </c>
      <c r="W11124" t="s">
        <v>618</v>
      </c>
      <c r="X11124" t="s">
        <v>617</v>
      </c>
      <c r="Y11124" t="s">
        <v>619</v>
      </c>
      <c r="AF11124" t="s">
        <v>22541</v>
      </c>
    </row>
    <row r="11125" spans="1:32" hidden="1" x14ac:dyDescent="0.35">
      <c r="A11125">
        <v>11124</v>
      </c>
      <c r="B11125" t="s">
        <v>22542</v>
      </c>
      <c r="C11125" t="s">
        <v>33</v>
      </c>
      <c r="D11125" t="s">
        <v>58</v>
      </c>
      <c r="E11125">
        <v>1077</v>
      </c>
      <c r="F11125">
        <v>1</v>
      </c>
      <c r="G11125">
        <v>1</v>
      </c>
      <c r="H11125">
        <v>1</v>
      </c>
      <c r="I11125">
        <v>0</v>
      </c>
      <c r="J11125">
        <v>1</v>
      </c>
      <c r="K11125">
        <v>1</v>
      </c>
      <c r="L11125">
        <v>1</v>
      </c>
      <c r="M11125">
        <v>0</v>
      </c>
      <c r="N11125">
        <v>0</v>
      </c>
      <c r="O11125">
        <v>0</v>
      </c>
      <c r="P11125" t="s">
        <v>22543</v>
      </c>
      <c r="Q11125" t="s">
        <v>22544</v>
      </c>
      <c r="AF11125" t="s">
        <v>22545</v>
      </c>
    </row>
    <row r="11126" spans="1:32" hidden="1" x14ac:dyDescent="0.35">
      <c r="A11126">
        <v>1289</v>
      </c>
      <c r="B11126" t="s">
        <v>2668</v>
      </c>
      <c r="C11126" t="s">
        <v>72</v>
      </c>
      <c r="D11126" t="s">
        <v>58</v>
      </c>
      <c r="E11126">
        <v>823</v>
      </c>
      <c r="F11126">
        <v>5</v>
      </c>
      <c r="G11126">
        <v>5</v>
      </c>
      <c r="H11126">
        <v>1</v>
      </c>
      <c r="I11126">
        <v>1</v>
      </c>
      <c r="J11126">
        <v>0.94165293794618299</v>
      </c>
      <c r="K11126">
        <v>0.97345373477879105</v>
      </c>
      <c r="L11126">
        <v>0.95728930650619004</v>
      </c>
      <c r="M11126">
        <v>0.87575150300601201</v>
      </c>
      <c r="N11126">
        <v>1</v>
      </c>
      <c r="O11126">
        <v>0.91222444889779597</v>
      </c>
      <c r="P11126" t="s">
        <v>2669</v>
      </c>
      <c r="Q11126" t="s">
        <v>2670</v>
      </c>
      <c r="R11126" t="s">
        <v>224</v>
      </c>
      <c r="S11126" t="s">
        <v>225</v>
      </c>
      <c r="T11126" t="s">
        <v>2671</v>
      </c>
      <c r="U11126" t="s">
        <v>2672</v>
      </c>
      <c r="V11126" t="s">
        <v>2673</v>
      </c>
      <c r="W11126" t="s">
        <v>2674</v>
      </c>
      <c r="X11126" t="s">
        <v>2673</v>
      </c>
      <c r="Y11126" t="s">
        <v>761</v>
      </c>
      <c r="AD11126" t="s">
        <v>750</v>
      </c>
      <c r="AE11126" t="s">
        <v>2675</v>
      </c>
      <c r="AF11126" t="s">
        <v>2676</v>
      </c>
    </row>
    <row r="11127" spans="1:32" hidden="1" x14ac:dyDescent="0.35">
      <c r="A11127">
        <v>419</v>
      </c>
      <c r="B11127" t="s">
        <v>754</v>
      </c>
      <c r="C11127" t="s">
        <v>72</v>
      </c>
      <c r="D11127" t="s">
        <v>58</v>
      </c>
      <c r="E11127">
        <v>236</v>
      </c>
      <c r="F11127">
        <v>5</v>
      </c>
      <c r="G11127">
        <v>5</v>
      </c>
      <c r="H11127">
        <v>1</v>
      </c>
      <c r="I11127">
        <v>1</v>
      </c>
      <c r="J11127">
        <v>0.99207920792079196</v>
      </c>
      <c r="K11127">
        <v>1</v>
      </c>
      <c r="L11127">
        <v>0.99602385685884698</v>
      </c>
      <c r="M11127">
        <v>0.98019801980197996</v>
      </c>
      <c r="N11127">
        <v>1</v>
      </c>
      <c r="O11127">
        <v>0.988118811881188</v>
      </c>
      <c r="P11127" t="s">
        <v>755</v>
      </c>
      <c r="Q11127" t="s">
        <v>756</v>
      </c>
      <c r="R11127" t="s">
        <v>224</v>
      </c>
      <c r="S11127" t="s">
        <v>225</v>
      </c>
      <c r="T11127" t="s">
        <v>757</v>
      </c>
      <c r="U11127" t="s">
        <v>758</v>
      </c>
      <c r="V11127" t="s">
        <v>759</v>
      </c>
      <c r="W11127" t="s">
        <v>760</v>
      </c>
      <c r="X11127" t="s">
        <v>759</v>
      </c>
      <c r="Y11127" t="s">
        <v>761</v>
      </c>
      <c r="AD11127" t="s">
        <v>762</v>
      </c>
      <c r="AE11127" t="s">
        <v>763</v>
      </c>
      <c r="AF11127" t="s">
        <v>764</v>
      </c>
    </row>
    <row r="11128" spans="1:32" hidden="1" x14ac:dyDescent="0.35">
      <c r="A11128">
        <v>11127</v>
      </c>
      <c r="B11128" t="s">
        <v>22557</v>
      </c>
      <c r="C11128" t="s">
        <v>33</v>
      </c>
      <c r="D11128" t="s">
        <v>58</v>
      </c>
      <c r="E11128">
        <v>1316</v>
      </c>
      <c r="F11128">
        <v>1</v>
      </c>
      <c r="G11128">
        <v>1</v>
      </c>
      <c r="H11128">
        <v>1</v>
      </c>
      <c r="I11128">
        <v>0</v>
      </c>
      <c r="J11128">
        <v>1</v>
      </c>
      <c r="K11128">
        <v>1</v>
      </c>
      <c r="L11128">
        <v>1</v>
      </c>
      <c r="M11128">
        <v>0</v>
      </c>
      <c r="N11128">
        <v>0</v>
      </c>
      <c r="O11128">
        <v>0</v>
      </c>
      <c r="P11128" t="s">
        <v>12884</v>
      </c>
      <c r="Q11128" t="s">
        <v>12885</v>
      </c>
      <c r="R11128" t="s">
        <v>1259</v>
      </c>
      <c r="S11128" t="s">
        <v>1260</v>
      </c>
      <c r="V11128" t="s">
        <v>13606</v>
      </c>
      <c r="W11128" t="s">
        <v>13607</v>
      </c>
      <c r="AF11128" t="s">
        <v>22558</v>
      </c>
    </row>
    <row r="11129" spans="1:32" hidden="1" x14ac:dyDescent="0.35">
      <c r="A11129">
        <v>11128</v>
      </c>
      <c r="B11129" t="s">
        <v>22559</v>
      </c>
      <c r="C11129" t="s">
        <v>33</v>
      </c>
      <c r="D11129" t="s">
        <v>58</v>
      </c>
      <c r="E11129">
        <v>1111</v>
      </c>
      <c r="F11129">
        <v>1</v>
      </c>
      <c r="G11129">
        <v>1</v>
      </c>
      <c r="H11129">
        <v>1</v>
      </c>
      <c r="I11129">
        <v>0</v>
      </c>
      <c r="J11129">
        <v>1</v>
      </c>
      <c r="K11129">
        <v>1</v>
      </c>
      <c r="L11129">
        <v>1</v>
      </c>
      <c r="M11129">
        <v>0</v>
      </c>
      <c r="N11129">
        <v>0</v>
      </c>
      <c r="O11129">
        <v>0</v>
      </c>
      <c r="P11129" t="s">
        <v>11017</v>
      </c>
      <c r="Q11129" t="s">
        <v>11018</v>
      </c>
      <c r="R11129" t="s">
        <v>96</v>
      </c>
      <c r="S11129" t="s">
        <v>97</v>
      </c>
      <c r="T11129" t="s">
        <v>11019</v>
      </c>
      <c r="U11129" t="s">
        <v>11020</v>
      </c>
      <c r="V11129" t="s">
        <v>11021</v>
      </c>
      <c r="W11129" t="s">
        <v>11022</v>
      </c>
      <c r="AD11129" t="s">
        <v>8082</v>
      </c>
      <c r="AE11129" t="s">
        <v>11023</v>
      </c>
      <c r="AF11129" t="s">
        <v>22560</v>
      </c>
    </row>
    <row r="11130" spans="1:32" hidden="1" x14ac:dyDescent="0.35">
      <c r="A11130">
        <v>2519</v>
      </c>
      <c r="B11130" t="s">
        <v>5210</v>
      </c>
      <c r="C11130" t="s">
        <v>72</v>
      </c>
      <c r="D11130" t="s">
        <v>58</v>
      </c>
      <c r="E11130">
        <v>285</v>
      </c>
      <c r="F11130">
        <v>5</v>
      </c>
      <c r="G11130">
        <v>5</v>
      </c>
      <c r="H11130">
        <v>1</v>
      </c>
      <c r="I11130">
        <v>1</v>
      </c>
      <c r="J11130">
        <v>0.92786069651741299</v>
      </c>
      <c r="K11130">
        <v>1</v>
      </c>
      <c r="L11130">
        <v>0.96258064516129005</v>
      </c>
      <c r="M11130">
        <v>0.83582089552238803</v>
      </c>
      <c r="N11130">
        <v>1</v>
      </c>
      <c r="O11130">
        <v>0.90298507462686595</v>
      </c>
      <c r="P11130" t="s">
        <v>5211</v>
      </c>
      <c r="Q11130" t="s">
        <v>5212</v>
      </c>
      <c r="R11130" t="s">
        <v>224</v>
      </c>
      <c r="S11130" t="s">
        <v>225</v>
      </c>
      <c r="T11130" t="s">
        <v>5213</v>
      </c>
      <c r="U11130" t="s">
        <v>5214</v>
      </c>
      <c r="V11130" t="s">
        <v>5215</v>
      </c>
      <c r="W11130" t="s">
        <v>5216</v>
      </c>
      <c r="X11130" t="s">
        <v>5215</v>
      </c>
      <c r="Y11130" t="s">
        <v>761</v>
      </c>
      <c r="AD11130" t="s">
        <v>762</v>
      </c>
      <c r="AE11130" t="s">
        <v>763</v>
      </c>
      <c r="AF11130" t="s">
        <v>5217</v>
      </c>
    </row>
    <row r="11131" spans="1:32" hidden="1" x14ac:dyDescent="0.35">
      <c r="A11131">
        <v>11130</v>
      </c>
      <c r="B11131" t="s">
        <v>22566</v>
      </c>
      <c r="C11131" t="s">
        <v>33</v>
      </c>
      <c r="D11131" t="s">
        <v>58</v>
      </c>
      <c r="E11131">
        <v>1724</v>
      </c>
      <c r="F11131">
        <v>1</v>
      </c>
      <c r="G11131">
        <v>1</v>
      </c>
      <c r="H11131">
        <v>1</v>
      </c>
      <c r="I11131">
        <v>0</v>
      </c>
      <c r="J11131">
        <v>1</v>
      </c>
      <c r="K11131">
        <v>1</v>
      </c>
      <c r="L11131">
        <v>1</v>
      </c>
      <c r="M11131">
        <v>0</v>
      </c>
      <c r="N11131">
        <v>0</v>
      </c>
      <c r="O11131">
        <v>0</v>
      </c>
      <c r="AF11131" t="s">
        <v>22567</v>
      </c>
    </row>
    <row r="11132" spans="1:32" hidden="1" x14ac:dyDescent="0.35">
      <c r="A11132">
        <v>11131</v>
      </c>
      <c r="B11132" t="s">
        <v>22568</v>
      </c>
      <c r="C11132" t="s">
        <v>33</v>
      </c>
      <c r="D11132" t="s">
        <v>58</v>
      </c>
      <c r="E11132">
        <v>1558</v>
      </c>
      <c r="F11132">
        <v>1</v>
      </c>
      <c r="G11132">
        <v>1</v>
      </c>
      <c r="H11132">
        <v>1</v>
      </c>
      <c r="I11132">
        <v>0</v>
      </c>
      <c r="J11132">
        <v>1</v>
      </c>
      <c r="K11132">
        <v>1</v>
      </c>
      <c r="L11132">
        <v>1</v>
      </c>
      <c r="M11132">
        <v>0</v>
      </c>
      <c r="N11132">
        <v>0</v>
      </c>
      <c r="O11132">
        <v>0</v>
      </c>
      <c r="AF11132" t="s">
        <v>22569</v>
      </c>
    </row>
    <row r="11133" spans="1:32" hidden="1" x14ac:dyDescent="0.35">
      <c r="A11133">
        <v>11132</v>
      </c>
      <c r="B11133" t="s">
        <v>22570</v>
      </c>
      <c r="C11133" t="s">
        <v>33</v>
      </c>
      <c r="D11133" t="s">
        <v>45</v>
      </c>
      <c r="E11133">
        <v>1532</v>
      </c>
      <c r="F11133">
        <v>1</v>
      </c>
      <c r="G11133">
        <v>1</v>
      </c>
      <c r="H11133">
        <v>1</v>
      </c>
      <c r="I11133">
        <v>0</v>
      </c>
      <c r="J11133">
        <v>1</v>
      </c>
      <c r="K11133">
        <v>1</v>
      </c>
      <c r="L11133">
        <v>1</v>
      </c>
      <c r="M11133">
        <v>0</v>
      </c>
      <c r="N11133">
        <v>0</v>
      </c>
      <c r="O11133">
        <v>0</v>
      </c>
      <c r="AF11133" t="s">
        <v>22571</v>
      </c>
    </row>
    <row r="11134" spans="1:32" hidden="1" x14ac:dyDescent="0.35">
      <c r="A11134">
        <v>669</v>
      </c>
      <c r="B11134" t="s">
        <v>1372</v>
      </c>
      <c r="C11134" t="s">
        <v>72</v>
      </c>
      <c r="D11134" t="s">
        <v>58</v>
      </c>
      <c r="E11134">
        <v>228</v>
      </c>
      <c r="F11134">
        <v>5</v>
      </c>
      <c r="G11134">
        <v>5</v>
      </c>
      <c r="H11134">
        <v>1</v>
      </c>
      <c r="I11134">
        <v>1</v>
      </c>
      <c r="J11134">
        <v>0.97971710701894898</v>
      </c>
      <c r="K11134">
        <v>0.88982619118969197</v>
      </c>
      <c r="L11134">
        <v>0.93261059277672298</v>
      </c>
      <c r="M11134">
        <v>0.823943661971831</v>
      </c>
      <c r="N11134">
        <v>1</v>
      </c>
      <c r="O11134">
        <v>0.89154929577464803</v>
      </c>
      <c r="P11134" t="s">
        <v>1373</v>
      </c>
      <c r="Q11134" t="s">
        <v>1374</v>
      </c>
      <c r="R11134" t="s">
        <v>224</v>
      </c>
      <c r="S11134" t="s">
        <v>225</v>
      </c>
      <c r="T11134" t="s">
        <v>1375</v>
      </c>
      <c r="U11134" t="s">
        <v>1376</v>
      </c>
      <c r="V11134" t="s">
        <v>1377</v>
      </c>
      <c r="W11134" t="s">
        <v>1378</v>
      </c>
      <c r="X11134" t="s">
        <v>1377</v>
      </c>
      <c r="Y11134" t="s">
        <v>761</v>
      </c>
      <c r="AD11134" t="s">
        <v>762</v>
      </c>
      <c r="AE11134" t="s">
        <v>763</v>
      </c>
      <c r="AF11134" t="e">
        <f>-------------------MPTIQQLVRKGRHDKTAKVKTAALKGSPQRRGVCTRVYTTTPKKPNSALRKVARVRLSSGIEVSAYIPGEGHNLQEHSMVLVRGGRVKDLPGVRYKIIRGTLDTQGVKDRKQARSRYGAKKEK</f>
        <v>#NAME?</v>
      </c>
    </row>
    <row r="11135" spans="1:32" hidden="1" x14ac:dyDescent="0.35">
      <c r="A11135">
        <v>11134</v>
      </c>
      <c r="B11135" t="s">
        <v>22581</v>
      </c>
      <c r="C11135" t="s">
        <v>33</v>
      </c>
      <c r="D11135" t="s">
        <v>58</v>
      </c>
      <c r="E11135">
        <v>482</v>
      </c>
      <c r="F11135">
        <v>1</v>
      </c>
      <c r="G11135">
        <v>1</v>
      </c>
      <c r="H11135">
        <v>1</v>
      </c>
      <c r="I11135">
        <v>0</v>
      </c>
      <c r="J11135">
        <v>1</v>
      </c>
      <c r="K11135">
        <v>1</v>
      </c>
      <c r="L11135">
        <v>1</v>
      </c>
      <c r="M11135">
        <v>0</v>
      </c>
      <c r="N11135">
        <v>0</v>
      </c>
      <c r="O11135">
        <v>0</v>
      </c>
      <c r="P11135" t="s">
        <v>22582</v>
      </c>
      <c r="Q11135" t="s">
        <v>22583</v>
      </c>
      <c r="AF11135" t="s">
        <v>22584</v>
      </c>
    </row>
    <row r="11136" spans="1:32" hidden="1" x14ac:dyDescent="0.35">
      <c r="A11136">
        <v>11135</v>
      </c>
      <c r="B11136" t="s">
        <v>22585</v>
      </c>
      <c r="C11136" t="s">
        <v>33</v>
      </c>
      <c r="D11136" t="s">
        <v>58</v>
      </c>
      <c r="E11136">
        <v>810</v>
      </c>
      <c r="F11136">
        <v>1</v>
      </c>
      <c r="G11136">
        <v>1</v>
      </c>
      <c r="H11136">
        <v>1</v>
      </c>
      <c r="I11136">
        <v>0</v>
      </c>
      <c r="J11136">
        <v>1</v>
      </c>
      <c r="K11136">
        <v>1</v>
      </c>
      <c r="L11136">
        <v>1</v>
      </c>
      <c r="M11136">
        <v>0</v>
      </c>
      <c r="N11136">
        <v>0</v>
      </c>
      <c r="O11136">
        <v>0</v>
      </c>
      <c r="P11136" t="s">
        <v>21638</v>
      </c>
      <c r="Q11136" t="s">
        <v>21639</v>
      </c>
      <c r="AF11136" t="s">
        <v>22586</v>
      </c>
    </row>
    <row r="11137" spans="1:32" hidden="1" x14ac:dyDescent="0.35">
      <c r="A11137">
        <v>11136</v>
      </c>
      <c r="B11137" t="s">
        <v>22587</v>
      </c>
      <c r="C11137" t="s">
        <v>33</v>
      </c>
      <c r="D11137" t="s">
        <v>58</v>
      </c>
      <c r="E11137">
        <v>1574</v>
      </c>
      <c r="F11137">
        <v>1</v>
      </c>
      <c r="G11137">
        <v>1</v>
      </c>
      <c r="H11137">
        <v>1</v>
      </c>
      <c r="I11137">
        <v>0</v>
      </c>
      <c r="J11137">
        <v>1</v>
      </c>
      <c r="K11137">
        <v>1</v>
      </c>
      <c r="L11137">
        <v>1</v>
      </c>
      <c r="M11137">
        <v>0</v>
      </c>
      <c r="N11137">
        <v>0</v>
      </c>
      <c r="O11137">
        <v>0</v>
      </c>
      <c r="P11137" t="s">
        <v>19126</v>
      </c>
      <c r="Q11137" t="s">
        <v>19127</v>
      </c>
      <c r="R11137" t="s">
        <v>1852</v>
      </c>
      <c r="S11137" t="s">
        <v>1853</v>
      </c>
      <c r="T11137" t="s">
        <v>19128</v>
      </c>
      <c r="U11137" t="s">
        <v>19129</v>
      </c>
      <c r="V11137" t="s">
        <v>19130</v>
      </c>
      <c r="W11137" t="s">
        <v>19131</v>
      </c>
      <c r="AD11137" t="s">
        <v>191</v>
      </c>
      <c r="AE11137" t="s">
        <v>19132</v>
      </c>
      <c r="AF11137" t="s">
        <v>22588</v>
      </c>
    </row>
    <row r="11138" spans="1:32" hidden="1" x14ac:dyDescent="0.35">
      <c r="A11138">
        <v>2254</v>
      </c>
      <c r="B11138" t="s">
        <v>4693</v>
      </c>
      <c r="C11138" t="s">
        <v>72</v>
      </c>
      <c r="D11138" t="s">
        <v>58</v>
      </c>
      <c r="E11138">
        <v>1010</v>
      </c>
      <c r="F11138">
        <v>5</v>
      </c>
      <c r="G11138">
        <v>5</v>
      </c>
      <c r="H11138">
        <v>1</v>
      </c>
      <c r="I11138">
        <v>1</v>
      </c>
      <c r="J11138">
        <v>0.91377694470477999</v>
      </c>
      <c r="K11138">
        <v>0.987997577016268</v>
      </c>
      <c r="L11138">
        <v>0.94943895502883902</v>
      </c>
      <c r="M11138">
        <v>0.842592592592593</v>
      </c>
      <c r="N11138">
        <v>1</v>
      </c>
      <c r="O11138">
        <v>0.88333333333333297</v>
      </c>
      <c r="P11138" t="s">
        <v>4694</v>
      </c>
      <c r="Q11138" t="s">
        <v>4695</v>
      </c>
      <c r="R11138" t="s">
        <v>224</v>
      </c>
      <c r="S11138" t="s">
        <v>225</v>
      </c>
      <c r="V11138" t="s">
        <v>4696</v>
      </c>
      <c r="W11138" t="s">
        <v>4697</v>
      </c>
      <c r="X11138" t="s">
        <v>4696</v>
      </c>
      <c r="Y11138" t="s">
        <v>761</v>
      </c>
      <c r="AF11138" t="s">
        <v>4698</v>
      </c>
    </row>
    <row r="11139" spans="1:32" hidden="1" x14ac:dyDescent="0.35">
      <c r="A11139">
        <v>11138</v>
      </c>
      <c r="B11139" t="s">
        <v>22591</v>
      </c>
      <c r="C11139" t="s">
        <v>33</v>
      </c>
      <c r="D11139" t="s">
        <v>45</v>
      </c>
      <c r="E11139">
        <v>1377</v>
      </c>
      <c r="F11139">
        <v>1</v>
      </c>
      <c r="G11139">
        <v>1</v>
      </c>
      <c r="H11139">
        <v>1</v>
      </c>
      <c r="I11139">
        <v>0</v>
      </c>
      <c r="J11139">
        <v>1</v>
      </c>
      <c r="K11139">
        <v>1</v>
      </c>
      <c r="L11139">
        <v>1</v>
      </c>
      <c r="M11139">
        <v>0</v>
      </c>
      <c r="N11139">
        <v>0</v>
      </c>
      <c r="O11139">
        <v>0</v>
      </c>
      <c r="AF11139" t="s">
        <v>22592</v>
      </c>
    </row>
    <row r="11140" spans="1:32" hidden="1" x14ac:dyDescent="0.35">
      <c r="A11140">
        <v>11139</v>
      </c>
      <c r="B11140" t="s">
        <v>22593</v>
      </c>
      <c r="C11140" t="s">
        <v>33</v>
      </c>
      <c r="D11140" t="s">
        <v>62</v>
      </c>
      <c r="E11140">
        <v>1923</v>
      </c>
      <c r="F11140">
        <v>1</v>
      </c>
      <c r="G11140">
        <v>1</v>
      </c>
      <c r="H11140">
        <v>1</v>
      </c>
      <c r="I11140">
        <v>0</v>
      </c>
      <c r="J11140">
        <v>1</v>
      </c>
      <c r="K11140">
        <v>1</v>
      </c>
      <c r="L11140">
        <v>1</v>
      </c>
      <c r="M11140">
        <v>0</v>
      </c>
      <c r="N11140">
        <v>0</v>
      </c>
      <c r="O11140">
        <v>0</v>
      </c>
      <c r="P11140" t="s">
        <v>13618</v>
      </c>
      <c r="Q11140" t="s">
        <v>13619</v>
      </c>
      <c r="R11140" t="s">
        <v>138</v>
      </c>
      <c r="S11140" t="s">
        <v>139</v>
      </c>
      <c r="V11140" t="s">
        <v>13620</v>
      </c>
      <c r="W11140" t="s">
        <v>13621</v>
      </c>
      <c r="AF11140" t="s">
        <v>22594</v>
      </c>
    </row>
    <row r="11141" spans="1:32" hidden="1" x14ac:dyDescent="0.35">
      <c r="A11141">
        <v>11140</v>
      </c>
      <c r="B11141" t="s">
        <v>22595</v>
      </c>
      <c r="C11141" t="s">
        <v>33</v>
      </c>
      <c r="D11141" t="s">
        <v>58</v>
      </c>
      <c r="E11141">
        <v>511</v>
      </c>
      <c r="F11141">
        <v>1</v>
      </c>
      <c r="G11141">
        <v>1</v>
      </c>
      <c r="H11141">
        <v>1</v>
      </c>
      <c r="I11141">
        <v>0</v>
      </c>
      <c r="J11141">
        <v>1</v>
      </c>
      <c r="K11141">
        <v>1</v>
      </c>
      <c r="L11141">
        <v>1</v>
      </c>
      <c r="M11141">
        <v>0</v>
      </c>
      <c r="N11141">
        <v>0</v>
      </c>
      <c r="O11141">
        <v>0</v>
      </c>
      <c r="AF11141" t="s">
        <v>22596</v>
      </c>
    </row>
    <row r="11142" spans="1:32" hidden="1" x14ac:dyDescent="0.35">
      <c r="A11142">
        <v>11141</v>
      </c>
      <c r="B11142" t="s">
        <v>22597</v>
      </c>
      <c r="C11142" t="s">
        <v>33</v>
      </c>
      <c r="D11142" t="s">
        <v>58</v>
      </c>
      <c r="E11142">
        <v>643</v>
      </c>
      <c r="F11142">
        <v>1</v>
      </c>
      <c r="G11142">
        <v>1</v>
      </c>
      <c r="H11142">
        <v>1</v>
      </c>
      <c r="I11142">
        <v>0</v>
      </c>
      <c r="J11142">
        <v>1</v>
      </c>
      <c r="K11142">
        <v>1</v>
      </c>
      <c r="L11142">
        <v>1</v>
      </c>
      <c r="M11142">
        <v>0</v>
      </c>
      <c r="N11142">
        <v>0</v>
      </c>
      <c r="O11142">
        <v>0</v>
      </c>
      <c r="AF11142" t="s">
        <v>22598</v>
      </c>
    </row>
    <row r="11143" spans="1:32" hidden="1" x14ac:dyDescent="0.35">
      <c r="A11143">
        <v>11142</v>
      </c>
      <c r="B11143" t="s">
        <v>22599</v>
      </c>
      <c r="C11143" t="s">
        <v>33</v>
      </c>
      <c r="D11143" t="s">
        <v>45</v>
      </c>
      <c r="E11143">
        <v>2496</v>
      </c>
      <c r="F11143">
        <v>1</v>
      </c>
      <c r="G11143">
        <v>1</v>
      </c>
      <c r="H11143">
        <v>1</v>
      </c>
      <c r="I11143">
        <v>0</v>
      </c>
      <c r="J11143">
        <v>1</v>
      </c>
      <c r="K11143">
        <v>1</v>
      </c>
      <c r="L11143">
        <v>1</v>
      </c>
      <c r="M11143">
        <v>0</v>
      </c>
      <c r="N11143">
        <v>0</v>
      </c>
      <c r="O11143">
        <v>0</v>
      </c>
      <c r="AF11143" t="s">
        <v>22600</v>
      </c>
    </row>
    <row r="11144" spans="1:32" hidden="1" x14ac:dyDescent="0.35">
      <c r="A11144">
        <v>2889</v>
      </c>
      <c r="B11144" t="s">
        <v>5959</v>
      </c>
      <c r="C11144" t="s">
        <v>72</v>
      </c>
      <c r="D11144" t="s">
        <v>58</v>
      </c>
      <c r="E11144">
        <v>284</v>
      </c>
      <c r="F11144">
        <v>5</v>
      </c>
      <c r="G11144">
        <v>5</v>
      </c>
      <c r="H11144">
        <v>1</v>
      </c>
      <c r="I11144">
        <v>1</v>
      </c>
      <c r="J11144">
        <v>0.97377049180327901</v>
      </c>
      <c r="K11144">
        <v>1</v>
      </c>
      <c r="L11144">
        <v>0.98671096345514997</v>
      </c>
      <c r="M11144">
        <v>0.95901639344262302</v>
      </c>
      <c r="N11144">
        <v>1</v>
      </c>
      <c r="O11144">
        <v>0.970491803278689</v>
      </c>
      <c r="P11144" t="s">
        <v>5960</v>
      </c>
      <c r="Q11144" t="s">
        <v>5961</v>
      </c>
      <c r="R11144" t="s">
        <v>224</v>
      </c>
      <c r="S11144" t="s">
        <v>225</v>
      </c>
      <c r="T11144" t="s">
        <v>5962</v>
      </c>
      <c r="U11144" t="s">
        <v>5963</v>
      </c>
      <c r="V11144" t="s">
        <v>4696</v>
      </c>
      <c r="W11144" t="s">
        <v>4697</v>
      </c>
      <c r="X11144" t="s">
        <v>4696</v>
      </c>
      <c r="Y11144" t="s">
        <v>761</v>
      </c>
      <c r="AD11144" t="s">
        <v>762</v>
      </c>
      <c r="AE11144" t="s">
        <v>763</v>
      </c>
      <c r="AF11144" t="s">
        <v>5964</v>
      </c>
    </row>
    <row r="11145" spans="1:32" hidden="1" x14ac:dyDescent="0.35">
      <c r="A11145">
        <v>11144</v>
      </c>
      <c r="B11145" t="s">
        <v>22605</v>
      </c>
      <c r="C11145" t="s">
        <v>33</v>
      </c>
      <c r="D11145" t="s">
        <v>58</v>
      </c>
      <c r="E11145">
        <v>990</v>
      </c>
      <c r="F11145">
        <v>1</v>
      </c>
      <c r="G11145">
        <v>1</v>
      </c>
      <c r="H11145">
        <v>1</v>
      </c>
      <c r="I11145">
        <v>0</v>
      </c>
      <c r="J11145">
        <v>1</v>
      </c>
      <c r="K11145">
        <v>1</v>
      </c>
      <c r="L11145">
        <v>1</v>
      </c>
      <c r="M11145">
        <v>0</v>
      </c>
      <c r="N11145">
        <v>0</v>
      </c>
      <c r="O11145">
        <v>0</v>
      </c>
      <c r="P11145" t="s">
        <v>12891</v>
      </c>
      <c r="Q11145" t="s">
        <v>12892</v>
      </c>
      <c r="R11145" t="s">
        <v>1259</v>
      </c>
      <c r="S11145" t="s">
        <v>1260</v>
      </c>
      <c r="T11145" t="s">
        <v>14577</v>
      </c>
      <c r="U11145" t="s">
        <v>14578</v>
      </c>
      <c r="V11145" t="s">
        <v>14579</v>
      </c>
      <c r="W11145" t="s">
        <v>2923</v>
      </c>
      <c r="AD11145" t="s">
        <v>5013</v>
      </c>
      <c r="AE11145" t="s">
        <v>5014</v>
      </c>
      <c r="AF11145" t="s">
        <v>22606</v>
      </c>
    </row>
    <row r="11146" spans="1:32" hidden="1" x14ac:dyDescent="0.35">
      <c r="A11146">
        <v>11145</v>
      </c>
      <c r="B11146" t="s">
        <v>22607</v>
      </c>
      <c r="C11146" t="s">
        <v>33</v>
      </c>
      <c r="D11146" t="s">
        <v>58</v>
      </c>
      <c r="E11146">
        <v>198</v>
      </c>
      <c r="F11146">
        <v>1</v>
      </c>
      <c r="G11146">
        <v>1</v>
      </c>
      <c r="H11146">
        <v>1</v>
      </c>
      <c r="I11146">
        <v>0</v>
      </c>
      <c r="J11146">
        <v>1</v>
      </c>
      <c r="K11146">
        <v>1</v>
      </c>
      <c r="L11146">
        <v>1</v>
      </c>
      <c r="M11146">
        <v>0</v>
      </c>
      <c r="N11146">
        <v>0</v>
      </c>
      <c r="O11146">
        <v>0</v>
      </c>
      <c r="P11146" t="s">
        <v>169</v>
      </c>
      <c r="Q11146" t="s">
        <v>170</v>
      </c>
      <c r="R11146" t="s">
        <v>96</v>
      </c>
      <c r="S11146" t="s">
        <v>97</v>
      </c>
      <c r="V11146" t="s">
        <v>11799</v>
      </c>
      <c r="W11146" t="s">
        <v>11800</v>
      </c>
      <c r="AF11146" t="s">
        <v>22608</v>
      </c>
    </row>
    <row r="11147" spans="1:32" hidden="1" x14ac:dyDescent="0.35">
      <c r="A11147">
        <v>11146</v>
      </c>
      <c r="B11147" t="s">
        <v>22609</v>
      </c>
      <c r="C11147" t="s">
        <v>33</v>
      </c>
      <c r="D11147" t="s">
        <v>58</v>
      </c>
      <c r="E11147">
        <v>1386</v>
      </c>
      <c r="F11147">
        <v>1</v>
      </c>
      <c r="G11147">
        <v>1</v>
      </c>
      <c r="H11147">
        <v>1</v>
      </c>
      <c r="I11147">
        <v>0</v>
      </c>
      <c r="J11147">
        <v>1</v>
      </c>
      <c r="K11147">
        <v>1</v>
      </c>
      <c r="L11147">
        <v>1</v>
      </c>
      <c r="M11147">
        <v>0</v>
      </c>
      <c r="N11147">
        <v>0</v>
      </c>
      <c r="O11147">
        <v>0</v>
      </c>
      <c r="AF11147" t="s">
        <v>22610</v>
      </c>
    </row>
    <row r="11148" spans="1:32" hidden="1" x14ac:dyDescent="0.35">
      <c r="A11148">
        <v>11147</v>
      </c>
      <c r="B11148" t="s">
        <v>22611</v>
      </c>
      <c r="C11148" t="s">
        <v>33</v>
      </c>
      <c r="D11148" t="s">
        <v>58</v>
      </c>
      <c r="E11148">
        <v>1777</v>
      </c>
      <c r="F11148">
        <v>1</v>
      </c>
      <c r="G11148">
        <v>1</v>
      </c>
      <c r="H11148">
        <v>1</v>
      </c>
      <c r="I11148">
        <v>0</v>
      </c>
      <c r="J11148">
        <v>1</v>
      </c>
      <c r="K11148">
        <v>1</v>
      </c>
      <c r="L11148">
        <v>1</v>
      </c>
      <c r="M11148">
        <v>0</v>
      </c>
      <c r="N11148">
        <v>0</v>
      </c>
      <c r="O11148">
        <v>0</v>
      </c>
      <c r="AF11148" t="s">
        <v>22612</v>
      </c>
    </row>
    <row r="11149" spans="1:32" hidden="1" x14ac:dyDescent="0.35">
      <c r="A11149">
        <v>2719</v>
      </c>
      <c r="B11149" t="s">
        <v>5616</v>
      </c>
      <c r="C11149" t="s">
        <v>72</v>
      </c>
      <c r="D11149" t="s">
        <v>58</v>
      </c>
      <c r="E11149">
        <v>544</v>
      </c>
      <c r="F11149">
        <v>5</v>
      </c>
      <c r="G11149">
        <v>5</v>
      </c>
      <c r="H11149">
        <v>1</v>
      </c>
      <c r="I11149">
        <v>1</v>
      </c>
      <c r="J11149">
        <v>0.94983498349835005</v>
      </c>
      <c r="K11149">
        <v>1</v>
      </c>
      <c r="L11149">
        <v>0.97427217332430605</v>
      </c>
      <c r="M11149">
        <v>0.90099009900990101</v>
      </c>
      <c r="N11149">
        <v>1</v>
      </c>
      <c r="O11149">
        <v>0.92871287128712898</v>
      </c>
      <c r="P11149" t="s">
        <v>5617</v>
      </c>
      <c r="Q11149" t="s">
        <v>5618</v>
      </c>
      <c r="R11149" t="s">
        <v>224</v>
      </c>
      <c r="S11149" t="s">
        <v>225</v>
      </c>
      <c r="T11149" t="s">
        <v>5619</v>
      </c>
      <c r="U11149" t="s">
        <v>5620</v>
      </c>
      <c r="V11149" t="s">
        <v>5621</v>
      </c>
      <c r="W11149" t="s">
        <v>5622</v>
      </c>
      <c r="X11149" t="s">
        <v>5621</v>
      </c>
      <c r="Y11149" t="s">
        <v>761</v>
      </c>
      <c r="AD11149" t="s">
        <v>762</v>
      </c>
      <c r="AE11149" t="s">
        <v>763</v>
      </c>
      <c r="AF11149" t="s">
        <v>5623</v>
      </c>
    </row>
    <row r="11150" spans="1:32" hidden="1" x14ac:dyDescent="0.35">
      <c r="A11150">
        <v>11149</v>
      </c>
      <c r="B11150" t="s">
        <v>22615</v>
      </c>
      <c r="C11150" t="s">
        <v>33</v>
      </c>
      <c r="D11150" t="s">
        <v>58</v>
      </c>
      <c r="E11150">
        <v>616</v>
      </c>
      <c r="F11150">
        <v>1</v>
      </c>
      <c r="G11150">
        <v>1</v>
      </c>
      <c r="H11150">
        <v>1</v>
      </c>
      <c r="I11150">
        <v>0</v>
      </c>
      <c r="J11150">
        <v>1</v>
      </c>
      <c r="K11150">
        <v>1</v>
      </c>
      <c r="L11150">
        <v>1</v>
      </c>
      <c r="M11150">
        <v>0</v>
      </c>
      <c r="N11150">
        <v>0</v>
      </c>
      <c r="O11150">
        <v>0</v>
      </c>
      <c r="P11150" t="s">
        <v>4867</v>
      </c>
      <c r="Q11150" t="s">
        <v>4868</v>
      </c>
      <c r="R11150" t="s">
        <v>96</v>
      </c>
      <c r="S11150" t="s">
        <v>97</v>
      </c>
      <c r="V11150" t="s">
        <v>22616</v>
      </c>
      <c r="W11150" t="s">
        <v>22617</v>
      </c>
      <c r="AF11150" t="s">
        <v>22618</v>
      </c>
    </row>
    <row r="11151" spans="1:32" hidden="1" x14ac:dyDescent="0.35">
      <c r="A11151">
        <v>11150</v>
      </c>
      <c r="B11151" t="s">
        <v>22619</v>
      </c>
      <c r="C11151" t="s">
        <v>33</v>
      </c>
      <c r="D11151" t="s">
        <v>58</v>
      </c>
      <c r="E11151">
        <v>1240</v>
      </c>
      <c r="F11151">
        <v>1</v>
      </c>
      <c r="G11151">
        <v>1</v>
      </c>
      <c r="H11151">
        <v>1</v>
      </c>
      <c r="I11151">
        <v>0</v>
      </c>
      <c r="J11151">
        <v>1</v>
      </c>
      <c r="K11151">
        <v>1</v>
      </c>
      <c r="L11151">
        <v>1</v>
      </c>
      <c r="M11151">
        <v>0</v>
      </c>
      <c r="N11151">
        <v>0</v>
      </c>
      <c r="O11151">
        <v>0</v>
      </c>
      <c r="P11151" t="s">
        <v>15052</v>
      </c>
      <c r="Q11151" t="s">
        <v>15053</v>
      </c>
      <c r="AF11151" t="s">
        <v>22620</v>
      </c>
    </row>
    <row r="11152" spans="1:32" hidden="1" x14ac:dyDescent="0.35">
      <c r="A11152">
        <v>11151</v>
      </c>
      <c r="B11152" t="s">
        <v>22621</v>
      </c>
      <c r="C11152" t="s">
        <v>33</v>
      </c>
      <c r="D11152" t="s">
        <v>58</v>
      </c>
      <c r="E11152">
        <v>1548</v>
      </c>
      <c r="F11152">
        <v>1</v>
      </c>
      <c r="G11152">
        <v>1</v>
      </c>
      <c r="H11152">
        <v>1</v>
      </c>
      <c r="I11152">
        <v>0</v>
      </c>
      <c r="J11152">
        <v>1</v>
      </c>
      <c r="K11152">
        <v>1</v>
      </c>
      <c r="L11152">
        <v>1</v>
      </c>
      <c r="M11152">
        <v>0</v>
      </c>
      <c r="N11152">
        <v>0</v>
      </c>
      <c r="O11152">
        <v>0</v>
      </c>
      <c r="P11152" t="s">
        <v>17608</v>
      </c>
      <c r="Q11152" t="s">
        <v>3623</v>
      </c>
      <c r="R11152" t="s">
        <v>1259</v>
      </c>
      <c r="S11152" t="s">
        <v>1260</v>
      </c>
      <c r="T11152" t="s">
        <v>18620</v>
      </c>
      <c r="U11152" t="s">
        <v>2977</v>
      </c>
      <c r="V11152" t="s">
        <v>18621</v>
      </c>
      <c r="W11152" t="s">
        <v>18622</v>
      </c>
      <c r="AD11152" t="s">
        <v>410</v>
      </c>
      <c r="AE11152" t="s">
        <v>603</v>
      </c>
      <c r="AF11152" t="s">
        <v>22622</v>
      </c>
    </row>
    <row r="11153" spans="1:32" hidden="1" x14ac:dyDescent="0.35">
      <c r="A11153">
        <v>11152</v>
      </c>
      <c r="B11153" t="s">
        <v>22623</v>
      </c>
      <c r="C11153" t="s">
        <v>33</v>
      </c>
      <c r="D11153" t="s">
        <v>58</v>
      </c>
      <c r="E11153">
        <v>577</v>
      </c>
      <c r="F11153">
        <v>1</v>
      </c>
      <c r="G11153">
        <v>1</v>
      </c>
      <c r="H11153">
        <v>1</v>
      </c>
      <c r="I11153">
        <v>0</v>
      </c>
      <c r="J11153">
        <v>1</v>
      </c>
      <c r="K11153">
        <v>1</v>
      </c>
      <c r="L11153">
        <v>1</v>
      </c>
      <c r="M11153">
        <v>0</v>
      </c>
      <c r="N11153">
        <v>0</v>
      </c>
      <c r="O11153">
        <v>0</v>
      </c>
      <c r="P11153" t="s">
        <v>8952</v>
      </c>
      <c r="Q11153" t="s">
        <v>8953</v>
      </c>
      <c r="R11153" t="s">
        <v>22624</v>
      </c>
      <c r="S11153" t="s">
        <v>22625</v>
      </c>
      <c r="T11153" t="s">
        <v>8954</v>
      </c>
      <c r="U11153" t="s">
        <v>8955</v>
      </c>
      <c r="V11153" t="s">
        <v>22626</v>
      </c>
      <c r="W11153" t="s">
        <v>22627</v>
      </c>
      <c r="Z11153" t="s">
        <v>8958</v>
      </c>
      <c r="AA11153" t="s">
        <v>8959</v>
      </c>
      <c r="AB11153" t="s">
        <v>8958</v>
      </c>
      <c r="AC11153" t="s">
        <v>244</v>
      </c>
      <c r="AD11153" t="s">
        <v>219</v>
      </c>
      <c r="AE11153" t="s">
        <v>8960</v>
      </c>
      <c r="AF11153" t="s">
        <v>22628</v>
      </c>
    </row>
    <row r="11154" spans="1:32" hidden="1" x14ac:dyDescent="0.35">
      <c r="A11154">
        <v>11153</v>
      </c>
      <c r="B11154" t="s">
        <v>22629</v>
      </c>
      <c r="C11154" t="s">
        <v>33</v>
      </c>
      <c r="D11154" t="s">
        <v>58</v>
      </c>
      <c r="E11154">
        <v>1667</v>
      </c>
      <c r="F11154">
        <v>1</v>
      </c>
      <c r="G11154">
        <v>1</v>
      </c>
      <c r="H11154">
        <v>1</v>
      </c>
      <c r="I11154">
        <v>0</v>
      </c>
      <c r="J11154">
        <v>1</v>
      </c>
      <c r="K11154">
        <v>1</v>
      </c>
      <c r="L11154">
        <v>1</v>
      </c>
      <c r="M11154">
        <v>0</v>
      </c>
      <c r="N11154">
        <v>0</v>
      </c>
      <c r="O11154">
        <v>0</v>
      </c>
      <c r="P11154" t="s">
        <v>16575</v>
      </c>
      <c r="Q11154" t="s">
        <v>16576</v>
      </c>
      <c r="R11154" t="s">
        <v>319</v>
      </c>
      <c r="S11154" t="s">
        <v>320</v>
      </c>
      <c r="T11154" t="s">
        <v>16577</v>
      </c>
      <c r="U11154" t="s">
        <v>16578</v>
      </c>
      <c r="V11154" t="s">
        <v>16579</v>
      </c>
      <c r="W11154" t="s">
        <v>16580</v>
      </c>
      <c r="AD11154" t="s">
        <v>219</v>
      </c>
      <c r="AE11154" t="s">
        <v>16581</v>
      </c>
      <c r="AF11154" t="s">
        <v>22630</v>
      </c>
    </row>
    <row r="11155" spans="1:32" hidden="1" x14ac:dyDescent="0.35">
      <c r="A11155">
        <v>11154</v>
      </c>
      <c r="B11155" t="s">
        <v>22631</v>
      </c>
      <c r="C11155" t="s">
        <v>33</v>
      </c>
      <c r="D11155" t="s">
        <v>34</v>
      </c>
      <c r="E11155">
        <v>38</v>
      </c>
      <c r="F11155">
        <v>1</v>
      </c>
      <c r="G11155">
        <v>1</v>
      </c>
      <c r="H11155">
        <v>1</v>
      </c>
      <c r="I11155">
        <v>0</v>
      </c>
      <c r="J11155">
        <v>1</v>
      </c>
      <c r="K11155">
        <v>1</v>
      </c>
      <c r="L11155">
        <v>1</v>
      </c>
      <c r="M11155">
        <v>0</v>
      </c>
      <c r="N11155">
        <v>0</v>
      </c>
      <c r="O11155">
        <v>0</v>
      </c>
      <c r="AF11155" t="s">
        <v>22632</v>
      </c>
    </row>
    <row r="11156" spans="1:32" hidden="1" x14ac:dyDescent="0.35">
      <c r="A11156">
        <v>2324</v>
      </c>
      <c r="B11156" t="s">
        <v>4831</v>
      </c>
      <c r="C11156" t="s">
        <v>72</v>
      </c>
      <c r="D11156" t="s">
        <v>58</v>
      </c>
      <c r="E11156">
        <v>1126</v>
      </c>
      <c r="F11156">
        <v>5</v>
      </c>
      <c r="G11156">
        <v>5</v>
      </c>
      <c r="H11156">
        <v>1</v>
      </c>
      <c r="I11156">
        <v>1</v>
      </c>
      <c r="J11156">
        <v>0.91573033707865203</v>
      </c>
      <c r="K11156">
        <v>1</v>
      </c>
      <c r="L11156">
        <v>0.95601173020527896</v>
      </c>
      <c r="M11156">
        <v>0.86516853932584303</v>
      </c>
      <c r="N11156">
        <v>1</v>
      </c>
      <c r="O11156">
        <v>0.89775280898876397</v>
      </c>
      <c r="P11156" t="s">
        <v>4832</v>
      </c>
      <c r="Q11156" t="s">
        <v>4833</v>
      </c>
      <c r="R11156" t="s">
        <v>224</v>
      </c>
      <c r="S11156" t="s">
        <v>225</v>
      </c>
      <c r="T11156" t="s">
        <v>4834</v>
      </c>
      <c r="U11156" t="s">
        <v>4835</v>
      </c>
      <c r="V11156" t="s">
        <v>4836</v>
      </c>
      <c r="W11156" t="s">
        <v>4837</v>
      </c>
      <c r="X11156" t="s">
        <v>4836</v>
      </c>
      <c r="Y11156" t="s">
        <v>761</v>
      </c>
      <c r="AD11156" t="s">
        <v>762</v>
      </c>
      <c r="AE11156" t="s">
        <v>763</v>
      </c>
      <c r="AF11156" t="s">
        <v>4838</v>
      </c>
    </row>
    <row r="11157" spans="1:32" hidden="1" x14ac:dyDescent="0.35">
      <c r="A11157">
        <v>11156</v>
      </c>
      <c r="B11157" t="s">
        <v>22635</v>
      </c>
      <c r="C11157" t="s">
        <v>33</v>
      </c>
      <c r="D11157" t="s">
        <v>62</v>
      </c>
      <c r="E11157">
        <v>217</v>
      </c>
      <c r="F11157">
        <v>1</v>
      </c>
      <c r="G11157">
        <v>1</v>
      </c>
      <c r="H11157">
        <v>1</v>
      </c>
      <c r="I11157">
        <v>0</v>
      </c>
      <c r="J11157">
        <v>1</v>
      </c>
      <c r="K11157">
        <v>1</v>
      </c>
      <c r="L11157">
        <v>1</v>
      </c>
      <c r="M11157">
        <v>0</v>
      </c>
      <c r="N11157">
        <v>0</v>
      </c>
      <c r="O11157">
        <v>0</v>
      </c>
      <c r="AF11157" t="s">
        <v>22636</v>
      </c>
    </row>
    <row r="11158" spans="1:32" hidden="1" x14ac:dyDescent="0.35">
      <c r="A11158">
        <v>2284</v>
      </c>
      <c r="B11158" t="s">
        <v>4750</v>
      </c>
      <c r="C11158" t="s">
        <v>72</v>
      </c>
      <c r="D11158" t="s">
        <v>58</v>
      </c>
      <c r="E11158">
        <v>1185</v>
      </c>
      <c r="F11158">
        <v>5</v>
      </c>
      <c r="G11158">
        <v>5</v>
      </c>
      <c r="H11158">
        <v>1</v>
      </c>
      <c r="I11158">
        <v>1</v>
      </c>
      <c r="J11158">
        <v>0.84995625546806697</v>
      </c>
      <c r="K11158">
        <v>0.92721359940872095</v>
      </c>
      <c r="L11158">
        <v>0.886905657115305</v>
      </c>
      <c r="M11158">
        <v>0.63030303030303003</v>
      </c>
      <c r="N11158">
        <v>1</v>
      </c>
      <c r="O11158">
        <v>0.75030303030303003</v>
      </c>
      <c r="P11158" t="s">
        <v>4751</v>
      </c>
      <c r="Q11158" t="s">
        <v>4752</v>
      </c>
      <c r="R11158" t="s">
        <v>224</v>
      </c>
      <c r="S11158" t="s">
        <v>225</v>
      </c>
      <c r="T11158" t="s">
        <v>4753</v>
      </c>
      <c r="U11158" t="s">
        <v>4754</v>
      </c>
      <c r="V11158" t="s">
        <v>4755</v>
      </c>
      <c r="W11158" t="s">
        <v>4756</v>
      </c>
      <c r="X11158" t="s">
        <v>4755</v>
      </c>
      <c r="Y11158" t="s">
        <v>761</v>
      </c>
      <c r="AD11158" t="s">
        <v>750</v>
      </c>
      <c r="AE11158" t="s">
        <v>2675</v>
      </c>
      <c r="AF11158" t="s">
        <v>4757</v>
      </c>
    </row>
    <row r="11159" spans="1:32" hidden="1" x14ac:dyDescent="0.35">
      <c r="A11159">
        <v>11158</v>
      </c>
      <c r="B11159" t="s">
        <v>22639</v>
      </c>
      <c r="C11159" t="s">
        <v>33</v>
      </c>
      <c r="D11159" t="s">
        <v>58</v>
      </c>
      <c r="E11159">
        <v>369</v>
      </c>
      <c r="F11159">
        <v>1</v>
      </c>
      <c r="G11159">
        <v>1</v>
      </c>
      <c r="H11159">
        <v>1</v>
      </c>
      <c r="I11159">
        <v>0</v>
      </c>
      <c r="J11159">
        <v>1</v>
      </c>
      <c r="K11159">
        <v>1</v>
      </c>
      <c r="L11159">
        <v>1</v>
      </c>
      <c r="M11159">
        <v>0</v>
      </c>
      <c r="N11159">
        <v>0</v>
      </c>
      <c r="O11159">
        <v>0</v>
      </c>
      <c r="AF11159" t="s">
        <v>22640</v>
      </c>
    </row>
    <row r="11160" spans="1:32" hidden="1" x14ac:dyDescent="0.35">
      <c r="A11160">
        <v>11159</v>
      </c>
      <c r="B11160" t="s">
        <v>22641</v>
      </c>
      <c r="C11160" t="s">
        <v>33</v>
      </c>
      <c r="D11160" t="s">
        <v>58</v>
      </c>
      <c r="E11160">
        <v>127</v>
      </c>
      <c r="F11160">
        <v>1</v>
      </c>
      <c r="G11160">
        <v>1</v>
      </c>
      <c r="H11160">
        <v>1</v>
      </c>
      <c r="I11160">
        <v>0</v>
      </c>
      <c r="J11160">
        <v>1</v>
      </c>
      <c r="K11160">
        <v>1</v>
      </c>
      <c r="L11160">
        <v>1</v>
      </c>
      <c r="M11160">
        <v>0</v>
      </c>
      <c r="N11160">
        <v>0</v>
      </c>
      <c r="O11160">
        <v>0</v>
      </c>
      <c r="AF11160" t="s">
        <v>22642</v>
      </c>
    </row>
    <row r="11161" spans="1:32" hidden="1" x14ac:dyDescent="0.35">
      <c r="A11161">
        <v>11160</v>
      </c>
      <c r="B11161" t="s">
        <v>22643</v>
      </c>
      <c r="C11161" t="s">
        <v>33</v>
      </c>
      <c r="D11161" t="s">
        <v>62</v>
      </c>
      <c r="E11161">
        <v>1844</v>
      </c>
      <c r="F11161">
        <v>1</v>
      </c>
      <c r="G11161">
        <v>1</v>
      </c>
      <c r="H11161">
        <v>1</v>
      </c>
      <c r="I11161">
        <v>0</v>
      </c>
      <c r="J11161">
        <v>1</v>
      </c>
      <c r="K11161">
        <v>1</v>
      </c>
      <c r="L11161">
        <v>1</v>
      </c>
      <c r="M11161">
        <v>0</v>
      </c>
      <c r="N11161">
        <v>0</v>
      </c>
      <c r="O11161">
        <v>0</v>
      </c>
      <c r="AF11161" t="s">
        <v>22644</v>
      </c>
    </row>
    <row r="11162" spans="1:32" hidden="1" x14ac:dyDescent="0.35">
      <c r="A11162">
        <v>1034</v>
      </c>
      <c r="B11162" t="s">
        <v>2151</v>
      </c>
      <c r="C11162" t="s">
        <v>72</v>
      </c>
      <c r="D11162" t="s">
        <v>58</v>
      </c>
      <c r="E11162">
        <v>246</v>
      </c>
      <c r="F11162">
        <v>5</v>
      </c>
      <c r="G11162">
        <v>5</v>
      </c>
      <c r="H11162">
        <v>1</v>
      </c>
      <c r="I11162">
        <v>1</v>
      </c>
      <c r="J11162">
        <v>0.934782608695652</v>
      </c>
      <c r="K11162">
        <v>1</v>
      </c>
      <c r="L11162">
        <v>0.96629213483146104</v>
      </c>
      <c r="M11162">
        <v>0.89130434782608703</v>
      </c>
      <c r="N11162">
        <v>1</v>
      </c>
      <c r="O11162">
        <v>0.91739130434782601</v>
      </c>
      <c r="P11162" t="s">
        <v>2152</v>
      </c>
      <c r="Q11162" t="s">
        <v>2153</v>
      </c>
      <c r="R11162" t="s">
        <v>224</v>
      </c>
      <c r="S11162" t="s">
        <v>225</v>
      </c>
      <c r="T11162" t="s">
        <v>2154</v>
      </c>
      <c r="U11162" t="s">
        <v>2155</v>
      </c>
      <c r="V11162" t="s">
        <v>2156</v>
      </c>
      <c r="W11162" t="s">
        <v>2157</v>
      </c>
      <c r="X11162" t="s">
        <v>2156</v>
      </c>
      <c r="Y11162" t="s">
        <v>761</v>
      </c>
      <c r="AD11162" t="s">
        <v>762</v>
      </c>
      <c r="AE11162" t="s">
        <v>763</v>
      </c>
      <c r="AF11162" t="s">
        <v>2158</v>
      </c>
    </row>
    <row r="11163" spans="1:32" hidden="1" x14ac:dyDescent="0.35">
      <c r="A11163">
        <v>11162</v>
      </c>
      <c r="B11163" t="s">
        <v>22647</v>
      </c>
      <c r="C11163" t="s">
        <v>33</v>
      </c>
      <c r="D11163" t="s">
        <v>58</v>
      </c>
      <c r="E11163">
        <v>444</v>
      </c>
      <c r="F11163">
        <v>1</v>
      </c>
      <c r="G11163">
        <v>1</v>
      </c>
      <c r="H11163">
        <v>1</v>
      </c>
      <c r="I11163">
        <v>0</v>
      </c>
      <c r="J11163">
        <v>1</v>
      </c>
      <c r="K11163">
        <v>1</v>
      </c>
      <c r="L11163">
        <v>1</v>
      </c>
      <c r="M11163">
        <v>0</v>
      </c>
      <c r="N11163">
        <v>0</v>
      </c>
      <c r="O11163">
        <v>0</v>
      </c>
      <c r="P11163" t="s">
        <v>2596</v>
      </c>
      <c r="Q11163" t="s">
        <v>2597</v>
      </c>
      <c r="AF11163" t="s">
        <v>22648</v>
      </c>
    </row>
    <row r="11164" spans="1:32" hidden="1" x14ac:dyDescent="0.35">
      <c r="A11164">
        <v>2554</v>
      </c>
      <c r="B11164" t="s">
        <v>5282</v>
      </c>
      <c r="C11164" t="s">
        <v>72</v>
      </c>
      <c r="D11164" t="s">
        <v>58</v>
      </c>
      <c r="E11164">
        <v>543</v>
      </c>
      <c r="F11164">
        <v>5</v>
      </c>
      <c r="G11164">
        <v>5</v>
      </c>
      <c r="H11164">
        <v>1</v>
      </c>
      <c r="I11164">
        <v>1</v>
      </c>
      <c r="J11164">
        <v>0.96178861788617898</v>
      </c>
      <c r="K11164">
        <v>1</v>
      </c>
      <c r="L11164">
        <v>0.98052217157065902</v>
      </c>
      <c r="M11164">
        <v>0.90243902439024404</v>
      </c>
      <c r="N11164">
        <v>1</v>
      </c>
      <c r="O11164">
        <v>0.94390243902438997</v>
      </c>
      <c r="P11164" t="s">
        <v>5283</v>
      </c>
      <c r="Q11164" t="s">
        <v>5284</v>
      </c>
      <c r="R11164" t="s">
        <v>224</v>
      </c>
      <c r="S11164" t="s">
        <v>225</v>
      </c>
      <c r="T11164" t="s">
        <v>5285</v>
      </c>
      <c r="U11164" t="s">
        <v>5286</v>
      </c>
      <c r="V11164" t="s">
        <v>5287</v>
      </c>
      <c r="W11164" t="s">
        <v>5288</v>
      </c>
      <c r="X11164" t="s">
        <v>5287</v>
      </c>
      <c r="Y11164" t="s">
        <v>761</v>
      </c>
      <c r="AD11164" t="s">
        <v>750</v>
      </c>
      <c r="AE11164" t="s">
        <v>2675</v>
      </c>
      <c r="AF11164" t="s">
        <v>5289</v>
      </c>
    </row>
    <row r="11165" spans="1:32" hidden="1" x14ac:dyDescent="0.35">
      <c r="A11165">
        <v>11164</v>
      </c>
      <c r="B11165" t="s">
        <v>22651</v>
      </c>
      <c r="C11165" t="s">
        <v>33</v>
      </c>
      <c r="D11165" t="s">
        <v>62</v>
      </c>
      <c r="E11165">
        <v>1908</v>
      </c>
      <c r="F11165">
        <v>1</v>
      </c>
      <c r="G11165">
        <v>1</v>
      </c>
      <c r="H11165">
        <v>1</v>
      </c>
      <c r="I11165">
        <v>0</v>
      </c>
      <c r="J11165">
        <v>1</v>
      </c>
      <c r="K11165">
        <v>1</v>
      </c>
      <c r="L11165">
        <v>1</v>
      </c>
      <c r="M11165">
        <v>0</v>
      </c>
      <c r="N11165">
        <v>0</v>
      </c>
      <c r="O11165">
        <v>0</v>
      </c>
      <c r="AF11165" t="s">
        <v>22652</v>
      </c>
    </row>
    <row r="11166" spans="1:32" hidden="1" x14ac:dyDescent="0.35">
      <c r="A11166">
        <v>11165</v>
      </c>
      <c r="B11166" t="s">
        <v>22653</v>
      </c>
      <c r="C11166" t="s">
        <v>33</v>
      </c>
      <c r="D11166" t="s">
        <v>58</v>
      </c>
      <c r="E11166">
        <v>24</v>
      </c>
      <c r="F11166">
        <v>1</v>
      </c>
      <c r="G11166">
        <v>1</v>
      </c>
      <c r="H11166">
        <v>1</v>
      </c>
      <c r="I11166">
        <v>0</v>
      </c>
      <c r="J11166">
        <v>1</v>
      </c>
      <c r="K11166">
        <v>1</v>
      </c>
      <c r="L11166">
        <v>1</v>
      </c>
      <c r="M11166">
        <v>0</v>
      </c>
      <c r="N11166">
        <v>0</v>
      </c>
      <c r="O11166">
        <v>0</v>
      </c>
      <c r="AF11166" t="s">
        <v>22654</v>
      </c>
    </row>
    <row r="11167" spans="1:32" hidden="1" x14ac:dyDescent="0.35">
      <c r="A11167">
        <v>11166</v>
      </c>
      <c r="B11167" t="s">
        <v>22655</v>
      </c>
      <c r="C11167" t="s">
        <v>33</v>
      </c>
      <c r="D11167" t="s">
        <v>58</v>
      </c>
      <c r="E11167">
        <v>1702</v>
      </c>
      <c r="F11167">
        <v>1</v>
      </c>
      <c r="G11167">
        <v>1</v>
      </c>
      <c r="H11167">
        <v>1</v>
      </c>
      <c r="I11167">
        <v>0</v>
      </c>
      <c r="J11167">
        <v>1</v>
      </c>
      <c r="K11167">
        <v>1</v>
      </c>
      <c r="L11167">
        <v>1</v>
      </c>
      <c r="M11167">
        <v>0</v>
      </c>
      <c r="N11167">
        <v>0</v>
      </c>
      <c r="O11167">
        <v>0</v>
      </c>
      <c r="AF11167" t="s">
        <v>22656</v>
      </c>
    </row>
    <row r="11168" spans="1:32" hidden="1" x14ac:dyDescent="0.35">
      <c r="A11168">
        <v>4214</v>
      </c>
      <c r="B11168" t="s">
        <v>8733</v>
      </c>
      <c r="C11168" t="s">
        <v>72</v>
      </c>
      <c r="D11168" t="s">
        <v>58</v>
      </c>
      <c r="E11168">
        <v>1719</v>
      </c>
      <c r="F11168">
        <v>5</v>
      </c>
      <c r="G11168">
        <v>5</v>
      </c>
      <c r="H11168">
        <v>1</v>
      </c>
      <c r="I11168">
        <v>1</v>
      </c>
      <c r="J11168">
        <v>0.73651691276573505</v>
      </c>
      <c r="K11168">
        <v>0.90390598742017603</v>
      </c>
      <c r="L11168">
        <v>0.81167124307972305</v>
      </c>
      <c r="M11168">
        <v>0.51129943502824904</v>
      </c>
      <c r="N11168">
        <v>0.99717514124293805</v>
      </c>
      <c r="O11168">
        <v>0.63163841807909604</v>
      </c>
      <c r="P11168" t="s">
        <v>8734</v>
      </c>
      <c r="Q11168" t="s">
        <v>8735</v>
      </c>
      <c r="R11168" t="s">
        <v>224</v>
      </c>
      <c r="S11168" t="s">
        <v>225</v>
      </c>
      <c r="T11168" t="s">
        <v>8736</v>
      </c>
      <c r="U11168" t="s">
        <v>8737</v>
      </c>
      <c r="V11168" t="s">
        <v>8738</v>
      </c>
      <c r="W11168" t="s">
        <v>8739</v>
      </c>
      <c r="AD11168" t="s">
        <v>219</v>
      </c>
      <c r="AE11168" t="s">
        <v>8740</v>
      </c>
      <c r="AF11168" t="s">
        <v>8741</v>
      </c>
    </row>
    <row r="11169" spans="1:32" hidden="1" x14ac:dyDescent="0.35">
      <c r="A11169">
        <v>11168</v>
      </c>
      <c r="B11169" t="s">
        <v>22659</v>
      </c>
      <c r="C11169" t="s">
        <v>33</v>
      </c>
      <c r="D11169" t="s">
        <v>34</v>
      </c>
      <c r="E11169">
        <v>2231</v>
      </c>
      <c r="F11169">
        <v>1</v>
      </c>
      <c r="G11169">
        <v>1</v>
      </c>
      <c r="H11169">
        <v>1</v>
      </c>
      <c r="I11169">
        <v>0</v>
      </c>
      <c r="J11169">
        <v>1</v>
      </c>
      <c r="K11169">
        <v>1</v>
      </c>
      <c r="L11169">
        <v>1</v>
      </c>
      <c r="M11169">
        <v>0</v>
      </c>
      <c r="N11169">
        <v>0</v>
      </c>
      <c r="O11169">
        <v>0</v>
      </c>
      <c r="AF11169" t="s">
        <v>22660</v>
      </c>
    </row>
    <row r="11170" spans="1:32" hidden="1" x14ac:dyDescent="0.35">
      <c r="A11170">
        <v>11169</v>
      </c>
      <c r="B11170" t="s">
        <v>22661</v>
      </c>
      <c r="C11170" t="s">
        <v>33</v>
      </c>
      <c r="D11170" t="s">
        <v>45</v>
      </c>
      <c r="E11170">
        <v>1734</v>
      </c>
      <c r="F11170">
        <v>1</v>
      </c>
      <c r="G11170">
        <v>1</v>
      </c>
      <c r="H11170">
        <v>1</v>
      </c>
      <c r="I11170">
        <v>0</v>
      </c>
      <c r="J11170">
        <v>1</v>
      </c>
      <c r="K11170">
        <v>1</v>
      </c>
      <c r="L11170">
        <v>1</v>
      </c>
      <c r="M11170">
        <v>0</v>
      </c>
      <c r="N11170">
        <v>0</v>
      </c>
      <c r="O11170">
        <v>0</v>
      </c>
      <c r="AF11170" t="s">
        <v>22662</v>
      </c>
    </row>
    <row r="11171" spans="1:32" hidden="1" x14ac:dyDescent="0.35">
      <c r="A11171">
        <v>11919</v>
      </c>
      <c r="B11171" t="s">
        <v>24573</v>
      </c>
      <c r="C11171" t="s">
        <v>10130</v>
      </c>
      <c r="D11171" t="s">
        <v>58</v>
      </c>
      <c r="E11171">
        <v>1632</v>
      </c>
      <c r="F11171">
        <v>1</v>
      </c>
      <c r="G11171">
        <v>1</v>
      </c>
      <c r="H11171">
        <v>1</v>
      </c>
      <c r="I11171">
        <v>0</v>
      </c>
      <c r="J11171">
        <v>1</v>
      </c>
      <c r="K11171">
        <v>1</v>
      </c>
      <c r="L11171">
        <v>1</v>
      </c>
      <c r="M11171">
        <v>0</v>
      </c>
      <c r="N11171">
        <v>0</v>
      </c>
      <c r="O11171">
        <v>0</v>
      </c>
      <c r="P11171" t="s">
        <v>12423</v>
      </c>
      <c r="Q11171" t="s">
        <v>12424</v>
      </c>
      <c r="R11171" t="s">
        <v>224</v>
      </c>
      <c r="S11171" t="s">
        <v>225</v>
      </c>
      <c r="T11171" t="s">
        <v>16874</v>
      </c>
      <c r="U11171" t="s">
        <v>16875</v>
      </c>
      <c r="V11171" t="s">
        <v>8738</v>
      </c>
      <c r="W11171" t="s">
        <v>8739</v>
      </c>
      <c r="AD11171" t="s">
        <v>219</v>
      </c>
      <c r="AE11171" t="s">
        <v>16876</v>
      </c>
      <c r="AF11171" t="s">
        <v>24574</v>
      </c>
    </row>
    <row r="11172" spans="1:32" hidden="1" x14ac:dyDescent="0.35">
      <c r="A11172">
        <v>11171</v>
      </c>
      <c r="B11172" t="s">
        <v>22665</v>
      </c>
      <c r="C11172" t="s">
        <v>33</v>
      </c>
      <c r="D11172" t="s">
        <v>58</v>
      </c>
      <c r="E11172">
        <v>1740</v>
      </c>
      <c r="F11172">
        <v>1</v>
      </c>
      <c r="G11172">
        <v>1</v>
      </c>
      <c r="H11172">
        <v>1</v>
      </c>
      <c r="I11172">
        <v>0</v>
      </c>
      <c r="J11172">
        <v>1</v>
      </c>
      <c r="K11172">
        <v>1</v>
      </c>
      <c r="L11172">
        <v>1</v>
      </c>
      <c r="M11172">
        <v>0</v>
      </c>
      <c r="N11172">
        <v>0</v>
      </c>
      <c r="O11172">
        <v>0</v>
      </c>
      <c r="AF11172" t="s">
        <v>22666</v>
      </c>
    </row>
    <row r="11173" spans="1:32" hidden="1" x14ac:dyDescent="0.35">
      <c r="A11173">
        <v>6044</v>
      </c>
      <c r="B11173" t="s">
        <v>12422</v>
      </c>
      <c r="C11173" t="s">
        <v>68</v>
      </c>
      <c r="D11173" t="s">
        <v>58</v>
      </c>
      <c r="E11173">
        <v>1571</v>
      </c>
      <c r="F11173">
        <v>3</v>
      </c>
      <c r="G11173">
        <v>3</v>
      </c>
      <c r="H11173">
        <v>1</v>
      </c>
      <c r="I11173">
        <v>0</v>
      </c>
      <c r="J11173">
        <v>0.80160466812545605</v>
      </c>
      <c r="K11173">
        <v>0.91655243729408697</v>
      </c>
      <c r="L11173">
        <v>0.85523344751096098</v>
      </c>
      <c r="M11173">
        <v>0.56287425149700598</v>
      </c>
      <c r="N11173">
        <v>1</v>
      </c>
      <c r="O11173">
        <v>0.70858283433133695</v>
      </c>
      <c r="P11173" t="s">
        <v>12423</v>
      </c>
      <c r="Q11173" t="s">
        <v>12424</v>
      </c>
      <c r="R11173" t="s">
        <v>224</v>
      </c>
      <c r="S11173" t="s">
        <v>225</v>
      </c>
      <c r="T11173" t="s">
        <v>12425</v>
      </c>
      <c r="U11173" t="s">
        <v>12426</v>
      </c>
      <c r="V11173" t="s">
        <v>8738</v>
      </c>
      <c r="W11173" t="s">
        <v>8739</v>
      </c>
      <c r="AD11173" t="s">
        <v>1170</v>
      </c>
      <c r="AE11173" t="s">
        <v>12427</v>
      </c>
      <c r="AF11173" t="s">
        <v>12428</v>
      </c>
    </row>
    <row r="11174" spans="1:32" hidden="1" x14ac:dyDescent="0.35">
      <c r="A11174">
        <v>11173</v>
      </c>
      <c r="B11174" t="s">
        <v>22669</v>
      </c>
      <c r="C11174" t="s">
        <v>33</v>
      </c>
      <c r="D11174" t="s">
        <v>58</v>
      </c>
      <c r="E11174">
        <v>1653</v>
      </c>
      <c r="F11174">
        <v>1</v>
      </c>
      <c r="G11174">
        <v>1</v>
      </c>
      <c r="H11174">
        <v>1</v>
      </c>
      <c r="I11174">
        <v>0</v>
      </c>
      <c r="J11174">
        <v>1</v>
      </c>
      <c r="K11174">
        <v>1</v>
      </c>
      <c r="L11174">
        <v>1</v>
      </c>
      <c r="M11174">
        <v>0</v>
      </c>
      <c r="N11174">
        <v>0</v>
      </c>
      <c r="O11174">
        <v>0</v>
      </c>
      <c r="P11174" t="s">
        <v>4491</v>
      </c>
      <c r="Q11174" t="s">
        <v>4492</v>
      </c>
      <c r="R11174" t="s">
        <v>4500</v>
      </c>
      <c r="S11174" t="s">
        <v>4501</v>
      </c>
      <c r="T11174" t="s">
        <v>22670</v>
      </c>
      <c r="U11174" t="s">
        <v>21897</v>
      </c>
      <c r="V11174" t="s">
        <v>4502</v>
      </c>
      <c r="W11174" t="s">
        <v>4503</v>
      </c>
      <c r="AD11174" t="s">
        <v>166</v>
      </c>
      <c r="AE11174" t="s">
        <v>818</v>
      </c>
      <c r="AF11174" t="s">
        <v>22671</v>
      </c>
    </row>
    <row r="11175" spans="1:32" hidden="1" x14ac:dyDescent="0.35">
      <c r="A11175">
        <v>11174</v>
      </c>
      <c r="B11175" t="s">
        <v>22672</v>
      </c>
      <c r="C11175" t="s">
        <v>33</v>
      </c>
      <c r="D11175" t="s">
        <v>58</v>
      </c>
      <c r="E11175">
        <v>1154</v>
      </c>
      <c r="F11175">
        <v>1</v>
      </c>
      <c r="G11175">
        <v>1</v>
      </c>
      <c r="H11175">
        <v>1</v>
      </c>
      <c r="I11175">
        <v>0</v>
      </c>
      <c r="J11175">
        <v>1</v>
      </c>
      <c r="K11175">
        <v>1</v>
      </c>
      <c r="L11175">
        <v>1</v>
      </c>
      <c r="M11175">
        <v>0</v>
      </c>
      <c r="N11175">
        <v>0</v>
      </c>
      <c r="O11175">
        <v>0</v>
      </c>
      <c r="AF11175" t="s">
        <v>22673</v>
      </c>
    </row>
    <row r="11176" spans="1:32" hidden="1" x14ac:dyDescent="0.35">
      <c r="A11176">
        <v>11175</v>
      </c>
      <c r="B11176" t="s">
        <v>22674</v>
      </c>
      <c r="C11176" t="s">
        <v>33</v>
      </c>
      <c r="D11176" t="s">
        <v>58</v>
      </c>
      <c r="E11176">
        <v>52</v>
      </c>
      <c r="F11176">
        <v>1</v>
      </c>
      <c r="G11176">
        <v>1</v>
      </c>
      <c r="H11176">
        <v>1</v>
      </c>
      <c r="I11176">
        <v>0</v>
      </c>
      <c r="J11176">
        <v>1</v>
      </c>
      <c r="K11176">
        <v>1</v>
      </c>
      <c r="L11176">
        <v>1</v>
      </c>
      <c r="M11176">
        <v>0</v>
      </c>
      <c r="N11176">
        <v>0</v>
      </c>
      <c r="O11176">
        <v>0</v>
      </c>
      <c r="AF11176" t="s">
        <v>22675</v>
      </c>
    </row>
    <row r="11177" spans="1:32" hidden="1" x14ac:dyDescent="0.35">
      <c r="A11177">
        <v>11176</v>
      </c>
      <c r="B11177" t="s">
        <v>22676</v>
      </c>
      <c r="C11177" t="s">
        <v>33</v>
      </c>
      <c r="D11177" t="s">
        <v>58</v>
      </c>
      <c r="E11177">
        <v>1798</v>
      </c>
      <c r="F11177">
        <v>1</v>
      </c>
      <c r="G11177">
        <v>1</v>
      </c>
      <c r="H11177">
        <v>1</v>
      </c>
      <c r="I11177">
        <v>0</v>
      </c>
      <c r="J11177">
        <v>1</v>
      </c>
      <c r="K11177">
        <v>1</v>
      </c>
      <c r="L11177">
        <v>1</v>
      </c>
      <c r="M11177">
        <v>0</v>
      </c>
      <c r="N11177">
        <v>0</v>
      </c>
      <c r="O11177">
        <v>0</v>
      </c>
      <c r="T11177" t="s">
        <v>17806</v>
      </c>
      <c r="U11177" t="s">
        <v>17807</v>
      </c>
      <c r="AD11177" t="s">
        <v>14008</v>
      </c>
      <c r="AE11177" t="s">
        <v>17808</v>
      </c>
      <c r="AF11177" t="s">
        <v>22677</v>
      </c>
    </row>
    <row r="11178" spans="1:32" hidden="1" x14ac:dyDescent="0.35">
      <c r="A11178">
        <v>11177</v>
      </c>
      <c r="B11178" t="s">
        <v>22678</v>
      </c>
      <c r="C11178" t="s">
        <v>33</v>
      </c>
      <c r="D11178" t="s">
        <v>58</v>
      </c>
      <c r="E11178">
        <v>434</v>
      </c>
      <c r="F11178">
        <v>1</v>
      </c>
      <c r="G11178">
        <v>1</v>
      </c>
      <c r="H11178">
        <v>1</v>
      </c>
      <c r="I11178">
        <v>0</v>
      </c>
      <c r="J11178">
        <v>1</v>
      </c>
      <c r="K11178">
        <v>1</v>
      </c>
      <c r="L11178">
        <v>1</v>
      </c>
      <c r="M11178">
        <v>0</v>
      </c>
      <c r="N11178">
        <v>0</v>
      </c>
      <c r="O11178">
        <v>0</v>
      </c>
      <c r="AF11178" t="s">
        <v>22679</v>
      </c>
    </row>
    <row r="11179" spans="1:32" hidden="1" x14ac:dyDescent="0.35">
      <c r="A11179">
        <v>11178</v>
      </c>
      <c r="B11179" t="s">
        <v>22680</v>
      </c>
      <c r="C11179" t="s">
        <v>33</v>
      </c>
      <c r="D11179" t="s">
        <v>34</v>
      </c>
      <c r="E11179">
        <v>260</v>
      </c>
      <c r="F11179">
        <v>1</v>
      </c>
      <c r="G11179">
        <v>1</v>
      </c>
      <c r="H11179">
        <v>1</v>
      </c>
      <c r="I11179">
        <v>0</v>
      </c>
      <c r="J11179">
        <v>1</v>
      </c>
      <c r="K11179">
        <v>1</v>
      </c>
      <c r="L11179">
        <v>1</v>
      </c>
      <c r="M11179">
        <v>0</v>
      </c>
      <c r="N11179">
        <v>0</v>
      </c>
      <c r="O11179">
        <v>0</v>
      </c>
      <c r="P11179" t="s">
        <v>22466</v>
      </c>
      <c r="Q11179" t="s">
        <v>22467</v>
      </c>
      <c r="R11179" t="s">
        <v>96</v>
      </c>
      <c r="S11179" t="s">
        <v>97</v>
      </c>
      <c r="V11179" t="s">
        <v>22681</v>
      </c>
      <c r="W11179" t="s">
        <v>22682</v>
      </c>
      <c r="AF11179" t="s">
        <v>22683</v>
      </c>
    </row>
    <row r="11180" spans="1:32" hidden="1" x14ac:dyDescent="0.35">
      <c r="A11180">
        <v>11179</v>
      </c>
      <c r="B11180" t="s">
        <v>22684</v>
      </c>
      <c r="C11180" t="s">
        <v>33</v>
      </c>
      <c r="D11180" t="s">
        <v>58</v>
      </c>
      <c r="E11180">
        <v>652</v>
      </c>
      <c r="F11180">
        <v>1</v>
      </c>
      <c r="G11180">
        <v>1</v>
      </c>
      <c r="H11180">
        <v>1</v>
      </c>
      <c r="I11180">
        <v>0</v>
      </c>
      <c r="J11180">
        <v>1</v>
      </c>
      <c r="K11180">
        <v>1</v>
      </c>
      <c r="L11180">
        <v>1</v>
      </c>
      <c r="M11180">
        <v>0</v>
      </c>
      <c r="N11180">
        <v>0</v>
      </c>
      <c r="O11180">
        <v>0</v>
      </c>
      <c r="AF11180" t="s">
        <v>22685</v>
      </c>
    </row>
    <row r="11181" spans="1:32" hidden="1" x14ac:dyDescent="0.35">
      <c r="A11181">
        <v>11180</v>
      </c>
      <c r="B11181" t="s">
        <v>22686</v>
      </c>
      <c r="C11181" t="s">
        <v>33</v>
      </c>
      <c r="D11181" t="s">
        <v>58</v>
      </c>
      <c r="E11181">
        <v>1530</v>
      </c>
      <c r="F11181">
        <v>1</v>
      </c>
      <c r="G11181">
        <v>1</v>
      </c>
      <c r="H11181">
        <v>1</v>
      </c>
      <c r="I11181">
        <v>0</v>
      </c>
      <c r="J11181">
        <v>1</v>
      </c>
      <c r="K11181">
        <v>1</v>
      </c>
      <c r="L11181">
        <v>1</v>
      </c>
      <c r="M11181">
        <v>0</v>
      </c>
      <c r="N11181">
        <v>0</v>
      </c>
      <c r="O11181">
        <v>0</v>
      </c>
      <c r="AF11181" t="s">
        <v>22687</v>
      </c>
    </row>
    <row r="11182" spans="1:32" hidden="1" x14ac:dyDescent="0.35">
      <c r="A11182">
        <v>11181</v>
      </c>
      <c r="B11182" t="s">
        <v>22688</v>
      </c>
      <c r="C11182" t="s">
        <v>33</v>
      </c>
      <c r="D11182" t="s">
        <v>45</v>
      </c>
      <c r="E11182">
        <v>5</v>
      </c>
      <c r="F11182">
        <v>1</v>
      </c>
      <c r="G11182">
        <v>1</v>
      </c>
      <c r="H11182">
        <v>1</v>
      </c>
      <c r="I11182">
        <v>0</v>
      </c>
      <c r="J11182">
        <v>1</v>
      </c>
      <c r="K11182">
        <v>1</v>
      </c>
      <c r="L11182">
        <v>1</v>
      </c>
      <c r="M11182">
        <v>0</v>
      </c>
      <c r="N11182">
        <v>0</v>
      </c>
      <c r="O11182">
        <v>0</v>
      </c>
      <c r="T11182" t="s">
        <v>22689</v>
      </c>
      <c r="U11182" t="s">
        <v>22690</v>
      </c>
      <c r="AD11182" t="s">
        <v>17573</v>
      </c>
      <c r="AE11182" t="s">
        <v>22691</v>
      </c>
      <c r="AF11182" t="s">
        <v>22692</v>
      </c>
    </row>
    <row r="11183" spans="1:32" hidden="1" x14ac:dyDescent="0.35">
      <c r="A11183">
        <v>11182</v>
      </c>
      <c r="B11183" t="s">
        <v>22693</v>
      </c>
      <c r="C11183" t="s">
        <v>33</v>
      </c>
      <c r="D11183" t="s">
        <v>60</v>
      </c>
      <c r="E11183">
        <v>2061</v>
      </c>
      <c r="F11183">
        <v>1</v>
      </c>
      <c r="G11183">
        <v>1</v>
      </c>
      <c r="H11183">
        <v>1</v>
      </c>
      <c r="I11183">
        <v>0</v>
      </c>
      <c r="J11183">
        <v>1</v>
      </c>
      <c r="K11183">
        <v>1</v>
      </c>
      <c r="L11183">
        <v>1</v>
      </c>
      <c r="M11183">
        <v>0</v>
      </c>
      <c r="N11183">
        <v>0</v>
      </c>
      <c r="O11183">
        <v>0</v>
      </c>
      <c r="AF11183" t="s">
        <v>22694</v>
      </c>
    </row>
    <row r="11184" spans="1:32" hidden="1" x14ac:dyDescent="0.35">
      <c r="A11184">
        <v>11183</v>
      </c>
      <c r="B11184" t="s">
        <v>22695</v>
      </c>
      <c r="C11184" t="s">
        <v>33</v>
      </c>
      <c r="D11184" t="s">
        <v>45</v>
      </c>
      <c r="E11184">
        <v>1256</v>
      </c>
      <c r="F11184">
        <v>1</v>
      </c>
      <c r="G11184">
        <v>1</v>
      </c>
      <c r="H11184">
        <v>1</v>
      </c>
      <c r="I11184">
        <v>0</v>
      </c>
      <c r="J11184">
        <v>1</v>
      </c>
      <c r="K11184">
        <v>1</v>
      </c>
      <c r="L11184">
        <v>1</v>
      </c>
      <c r="M11184">
        <v>0</v>
      </c>
      <c r="N11184">
        <v>0</v>
      </c>
      <c r="O11184">
        <v>0</v>
      </c>
      <c r="R11184" t="s">
        <v>371</v>
      </c>
      <c r="S11184" t="s">
        <v>372</v>
      </c>
      <c r="V11184" t="s">
        <v>373</v>
      </c>
      <c r="W11184" t="s">
        <v>374</v>
      </c>
      <c r="AF11184" t="s">
        <v>22696</v>
      </c>
    </row>
    <row r="11185" spans="1:32" hidden="1" x14ac:dyDescent="0.35">
      <c r="A11185">
        <v>11184</v>
      </c>
      <c r="B11185" t="s">
        <v>22697</v>
      </c>
      <c r="C11185" t="s">
        <v>33</v>
      </c>
      <c r="D11185" t="s">
        <v>58</v>
      </c>
      <c r="E11185">
        <v>884</v>
      </c>
      <c r="F11185">
        <v>1</v>
      </c>
      <c r="G11185">
        <v>1</v>
      </c>
      <c r="H11185">
        <v>1</v>
      </c>
      <c r="I11185">
        <v>0</v>
      </c>
      <c r="J11185">
        <v>1</v>
      </c>
      <c r="K11185">
        <v>1</v>
      </c>
      <c r="L11185">
        <v>1</v>
      </c>
      <c r="M11185">
        <v>0</v>
      </c>
      <c r="N11185">
        <v>0</v>
      </c>
      <c r="O11185">
        <v>0</v>
      </c>
      <c r="AF11185" t="s">
        <v>22698</v>
      </c>
    </row>
    <row r="11186" spans="1:32" hidden="1" x14ac:dyDescent="0.35">
      <c r="A11186">
        <v>11185</v>
      </c>
      <c r="B11186" t="s">
        <v>22699</v>
      </c>
      <c r="C11186" t="s">
        <v>33</v>
      </c>
      <c r="D11186" t="s">
        <v>58</v>
      </c>
      <c r="E11186">
        <v>1410</v>
      </c>
      <c r="F11186">
        <v>1</v>
      </c>
      <c r="G11186">
        <v>1</v>
      </c>
      <c r="H11186">
        <v>1</v>
      </c>
      <c r="I11186">
        <v>0</v>
      </c>
      <c r="J11186">
        <v>1</v>
      </c>
      <c r="K11186">
        <v>1</v>
      </c>
      <c r="L11186">
        <v>1</v>
      </c>
      <c r="M11186">
        <v>0</v>
      </c>
      <c r="N11186">
        <v>0</v>
      </c>
      <c r="O11186">
        <v>0</v>
      </c>
      <c r="P11186" t="s">
        <v>3647</v>
      </c>
      <c r="Q11186" t="s">
        <v>3648</v>
      </c>
      <c r="R11186" t="s">
        <v>184</v>
      </c>
      <c r="S11186" t="s">
        <v>185</v>
      </c>
      <c r="T11186" t="s">
        <v>11887</v>
      </c>
      <c r="U11186" t="s">
        <v>9779</v>
      </c>
      <c r="V11186" t="s">
        <v>11888</v>
      </c>
      <c r="W11186" t="s">
        <v>11889</v>
      </c>
      <c r="Z11186" t="s">
        <v>4557</v>
      </c>
      <c r="AA11186" t="s">
        <v>4558</v>
      </c>
      <c r="AB11186" t="s">
        <v>4557</v>
      </c>
      <c r="AC11186" t="s">
        <v>1800</v>
      </c>
      <c r="AD11186" t="s">
        <v>11890</v>
      </c>
      <c r="AE11186" t="s">
        <v>11891</v>
      </c>
      <c r="AF11186" t="s">
        <v>22700</v>
      </c>
    </row>
    <row r="11187" spans="1:32" hidden="1" x14ac:dyDescent="0.35">
      <c r="A11187">
        <v>11186</v>
      </c>
      <c r="B11187" t="s">
        <v>22701</v>
      </c>
      <c r="C11187" t="s">
        <v>33</v>
      </c>
      <c r="D11187" t="s">
        <v>60</v>
      </c>
      <c r="E11187">
        <v>661</v>
      </c>
      <c r="F11187">
        <v>1</v>
      </c>
      <c r="G11187">
        <v>1</v>
      </c>
      <c r="H11187">
        <v>1</v>
      </c>
      <c r="I11187">
        <v>0</v>
      </c>
      <c r="J11187">
        <v>1</v>
      </c>
      <c r="K11187">
        <v>1</v>
      </c>
      <c r="L11187">
        <v>1</v>
      </c>
      <c r="M11187">
        <v>0</v>
      </c>
      <c r="N11187">
        <v>0</v>
      </c>
      <c r="O11187">
        <v>0</v>
      </c>
      <c r="P11187" t="s">
        <v>22702</v>
      </c>
      <c r="Q11187" t="s">
        <v>22703</v>
      </c>
      <c r="R11187" t="s">
        <v>371</v>
      </c>
      <c r="S11187" t="s">
        <v>372</v>
      </c>
      <c r="T11187" t="s">
        <v>22704</v>
      </c>
      <c r="U11187" t="s">
        <v>22705</v>
      </c>
      <c r="V11187" t="s">
        <v>22706</v>
      </c>
      <c r="W11187" t="s">
        <v>22707</v>
      </c>
      <c r="Z11187" t="s">
        <v>1798</v>
      </c>
      <c r="AA11187" t="s">
        <v>1799</v>
      </c>
      <c r="AB11187" t="s">
        <v>1798</v>
      </c>
      <c r="AC11187" t="s">
        <v>1800</v>
      </c>
      <c r="AD11187" t="s">
        <v>22708</v>
      </c>
      <c r="AE11187" t="s">
        <v>22709</v>
      </c>
      <c r="AF11187" t="s">
        <v>22710</v>
      </c>
    </row>
    <row r="11188" spans="1:32" hidden="1" x14ac:dyDescent="0.35">
      <c r="A11188">
        <v>11187</v>
      </c>
      <c r="B11188" t="s">
        <v>22711</v>
      </c>
      <c r="C11188" t="s">
        <v>33</v>
      </c>
      <c r="D11188" t="s">
        <v>34</v>
      </c>
      <c r="E11188">
        <v>2417</v>
      </c>
      <c r="F11188">
        <v>1</v>
      </c>
      <c r="G11188">
        <v>1</v>
      </c>
      <c r="H11188">
        <v>1</v>
      </c>
      <c r="I11188">
        <v>0</v>
      </c>
      <c r="J11188">
        <v>1</v>
      </c>
      <c r="K11188">
        <v>1</v>
      </c>
      <c r="L11188">
        <v>1</v>
      </c>
      <c r="M11188">
        <v>0</v>
      </c>
      <c r="N11188">
        <v>0</v>
      </c>
      <c r="O11188">
        <v>0</v>
      </c>
      <c r="AF11188" t="s">
        <v>22712</v>
      </c>
    </row>
    <row r="11189" spans="1:32" hidden="1" x14ac:dyDescent="0.35">
      <c r="A11189">
        <v>11188</v>
      </c>
      <c r="B11189" t="s">
        <v>22713</v>
      </c>
      <c r="C11189" t="s">
        <v>33</v>
      </c>
      <c r="D11189" t="s">
        <v>58</v>
      </c>
      <c r="E11189">
        <v>121</v>
      </c>
      <c r="F11189">
        <v>1</v>
      </c>
      <c r="G11189">
        <v>1</v>
      </c>
      <c r="H11189">
        <v>1</v>
      </c>
      <c r="I11189">
        <v>0</v>
      </c>
      <c r="J11189">
        <v>1</v>
      </c>
      <c r="K11189">
        <v>1</v>
      </c>
      <c r="L11189">
        <v>1</v>
      </c>
      <c r="M11189">
        <v>0</v>
      </c>
      <c r="N11189">
        <v>0</v>
      </c>
      <c r="O11189">
        <v>0</v>
      </c>
      <c r="P11189" t="s">
        <v>4551</v>
      </c>
      <c r="Q11189" t="s">
        <v>4552</v>
      </c>
      <c r="R11189" t="s">
        <v>8647</v>
      </c>
      <c r="S11189" t="s">
        <v>8648</v>
      </c>
      <c r="V11189" t="s">
        <v>9316</v>
      </c>
      <c r="W11189" t="s">
        <v>9317</v>
      </c>
      <c r="X11189" t="s">
        <v>9316</v>
      </c>
      <c r="Y11189" t="s">
        <v>875</v>
      </c>
      <c r="AF11189" t="s">
        <v>22714</v>
      </c>
    </row>
    <row r="11190" spans="1:32" hidden="1" x14ac:dyDescent="0.35">
      <c r="A11190">
        <v>11189</v>
      </c>
      <c r="B11190" t="s">
        <v>22715</v>
      </c>
      <c r="C11190" t="s">
        <v>33</v>
      </c>
      <c r="D11190" t="s">
        <v>58</v>
      </c>
      <c r="E11190">
        <v>496</v>
      </c>
      <c r="F11190">
        <v>1</v>
      </c>
      <c r="G11190">
        <v>1</v>
      </c>
      <c r="H11190">
        <v>1</v>
      </c>
      <c r="I11190">
        <v>0</v>
      </c>
      <c r="J11190">
        <v>1</v>
      </c>
      <c r="K11190">
        <v>1</v>
      </c>
      <c r="L11190">
        <v>1</v>
      </c>
      <c r="M11190">
        <v>0</v>
      </c>
      <c r="N11190">
        <v>0</v>
      </c>
      <c r="O11190">
        <v>0</v>
      </c>
      <c r="AF11190" t="s">
        <v>22716</v>
      </c>
    </row>
    <row r="11191" spans="1:32" hidden="1" x14ac:dyDescent="0.35">
      <c r="A11191">
        <v>11190</v>
      </c>
      <c r="B11191" t="s">
        <v>22717</v>
      </c>
      <c r="C11191" t="s">
        <v>33</v>
      </c>
      <c r="D11191" t="s">
        <v>58</v>
      </c>
      <c r="E11191">
        <v>9</v>
      </c>
      <c r="F11191">
        <v>1</v>
      </c>
      <c r="G11191">
        <v>1</v>
      </c>
      <c r="H11191">
        <v>1</v>
      </c>
      <c r="I11191">
        <v>0</v>
      </c>
      <c r="J11191">
        <v>1</v>
      </c>
      <c r="K11191">
        <v>1</v>
      </c>
      <c r="L11191">
        <v>1</v>
      </c>
      <c r="M11191">
        <v>0</v>
      </c>
      <c r="N11191">
        <v>0</v>
      </c>
      <c r="O11191">
        <v>0</v>
      </c>
      <c r="AF11191" t="s">
        <v>22718</v>
      </c>
    </row>
    <row r="11192" spans="1:32" hidden="1" x14ac:dyDescent="0.35">
      <c r="A11192">
        <v>11191</v>
      </c>
      <c r="B11192" t="s">
        <v>22719</v>
      </c>
      <c r="C11192" t="s">
        <v>33</v>
      </c>
      <c r="D11192" t="s">
        <v>60</v>
      </c>
      <c r="E11192">
        <v>654</v>
      </c>
      <c r="F11192">
        <v>1</v>
      </c>
      <c r="G11192">
        <v>1</v>
      </c>
      <c r="H11192">
        <v>1</v>
      </c>
      <c r="I11192">
        <v>0</v>
      </c>
      <c r="J11192">
        <v>1</v>
      </c>
      <c r="K11192">
        <v>1</v>
      </c>
      <c r="L11192">
        <v>1</v>
      </c>
      <c r="M11192">
        <v>0</v>
      </c>
      <c r="N11192">
        <v>0</v>
      </c>
      <c r="O11192">
        <v>0</v>
      </c>
      <c r="AF11192" t="s">
        <v>22720</v>
      </c>
    </row>
    <row r="11193" spans="1:32" hidden="1" x14ac:dyDescent="0.35">
      <c r="A11193">
        <v>11192</v>
      </c>
      <c r="B11193" t="s">
        <v>22721</v>
      </c>
      <c r="C11193" t="s">
        <v>33</v>
      </c>
      <c r="D11193" t="s">
        <v>58</v>
      </c>
      <c r="E11193">
        <v>1745</v>
      </c>
      <c r="F11193">
        <v>1</v>
      </c>
      <c r="G11193">
        <v>1</v>
      </c>
      <c r="H11193">
        <v>1</v>
      </c>
      <c r="I11193">
        <v>0</v>
      </c>
      <c r="J11193">
        <v>1</v>
      </c>
      <c r="K11193">
        <v>1</v>
      </c>
      <c r="L11193">
        <v>1</v>
      </c>
      <c r="M11193">
        <v>0</v>
      </c>
      <c r="N11193">
        <v>0</v>
      </c>
      <c r="O11193">
        <v>0</v>
      </c>
      <c r="AF11193" t="s">
        <v>22722</v>
      </c>
    </row>
    <row r="11194" spans="1:32" hidden="1" x14ac:dyDescent="0.35">
      <c r="A11194">
        <v>11143</v>
      </c>
      <c r="B11194" t="s">
        <v>22601</v>
      </c>
      <c r="C11194" t="s">
        <v>33</v>
      </c>
      <c r="D11194" t="s">
        <v>58</v>
      </c>
      <c r="E11194">
        <v>1424</v>
      </c>
      <c r="F11194">
        <v>1</v>
      </c>
      <c r="G11194">
        <v>1</v>
      </c>
      <c r="H11194">
        <v>1</v>
      </c>
      <c r="I11194">
        <v>0</v>
      </c>
      <c r="J11194">
        <v>1</v>
      </c>
      <c r="K11194">
        <v>1</v>
      </c>
      <c r="L11194">
        <v>1</v>
      </c>
      <c r="M11194">
        <v>0</v>
      </c>
      <c r="N11194">
        <v>0</v>
      </c>
      <c r="O11194">
        <v>0</v>
      </c>
      <c r="P11194" t="s">
        <v>15377</v>
      </c>
      <c r="Q11194" t="s">
        <v>10223</v>
      </c>
      <c r="R11194" t="s">
        <v>224</v>
      </c>
      <c r="S11194" t="s">
        <v>225</v>
      </c>
      <c r="T11194" t="s">
        <v>22602</v>
      </c>
      <c r="U11194" t="s">
        <v>22603</v>
      </c>
      <c r="V11194" t="s">
        <v>8738</v>
      </c>
      <c r="W11194" t="s">
        <v>8739</v>
      </c>
      <c r="AD11194" t="s">
        <v>410</v>
      </c>
      <c r="AE11194" t="s">
        <v>563</v>
      </c>
      <c r="AF11194" t="s">
        <v>22604</v>
      </c>
    </row>
    <row r="11195" spans="1:32" hidden="1" x14ac:dyDescent="0.35">
      <c r="A11195">
        <v>11194</v>
      </c>
      <c r="B11195" t="s">
        <v>22725</v>
      </c>
      <c r="C11195" t="s">
        <v>33</v>
      </c>
      <c r="D11195" t="s">
        <v>60</v>
      </c>
      <c r="E11195">
        <v>1634</v>
      </c>
      <c r="F11195">
        <v>1</v>
      </c>
      <c r="G11195">
        <v>1</v>
      </c>
      <c r="H11195">
        <v>1</v>
      </c>
      <c r="I11195">
        <v>0</v>
      </c>
      <c r="J11195">
        <v>1</v>
      </c>
      <c r="K11195">
        <v>1</v>
      </c>
      <c r="L11195">
        <v>1</v>
      </c>
      <c r="M11195">
        <v>0</v>
      </c>
      <c r="N11195">
        <v>0</v>
      </c>
      <c r="O11195">
        <v>0</v>
      </c>
      <c r="AF11195" t="s">
        <v>22726</v>
      </c>
    </row>
    <row r="11196" spans="1:32" hidden="1" x14ac:dyDescent="0.35">
      <c r="A11196">
        <v>11971</v>
      </c>
      <c r="B11196" t="s">
        <v>24715</v>
      </c>
      <c r="D11196" t="s">
        <v>58</v>
      </c>
      <c r="E11196">
        <v>1307</v>
      </c>
      <c r="F11196">
        <v>1</v>
      </c>
      <c r="G11196">
        <v>1</v>
      </c>
      <c r="H11196">
        <v>1</v>
      </c>
      <c r="I11196">
        <v>0</v>
      </c>
      <c r="J11196">
        <v>1</v>
      </c>
      <c r="K11196">
        <v>1</v>
      </c>
      <c r="L11196">
        <v>1</v>
      </c>
      <c r="M11196">
        <v>0</v>
      </c>
      <c r="N11196">
        <v>0</v>
      </c>
      <c r="O11196">
        <v>0</v>
      </c>
      <c r="P11196" t="s">
        <v>15377</v>
      </c>
      <c r="Q11196" t="s">
        <v>10223</v>
      </c>
      <c r="R11196" t="s">
        <v>224</v>
      </c>
      <c r="S11196" t="s">
        <v>225</v>
      </c>
      <c r="V11196" t="s">
        <v>8738</v>
      </c>
      <c r="W11196" t="s">
        <v>8739</v>
      </c>
      <c r="AF11196" t="s">
        <v>24716</v>
      </c>
    </row>
    <row r="11197" spans="1:32" hidden="1" x14ac:dyDescent="0.35">
      <c r="A11197">
        <v>11196</v>
      </c>
      <c r="B11197" t="s">
        <v>22729</v>
      </c>
      <c r="C11197" t="s">
        <v>33</v>
      </c>
      <c r="D11197" t="s">
        <v>60</v>
      </c>
      <c r="E11197">
        <v>683</v>
      </c>
      <c r="F11197">
        <v>1</v>
      </c>
      <c r="G11197">
        <v>1</v>
      </c>
      <c r="H11197">
        <v>1</v>
      </c>
      <c r="I11197">
        <v>0</v>
      </c>
      <c r="J11197">
        <v>1</v>
      </c>
      <c r="K11197">
        <v>1</v>
      </c>
      <c r="L11197">
        <v>1</v>
      </c>
      <c r="M11197">
        <v>0</v>
      </c>
      <c r="N11197">
        <v>0</v>
      </c>
      <c r="O11197">
        <v>0</v>
      </c>
      <c r="P11197" t="s">
        <v>22730</v>
      </c>
      <c r="Q11197" t="s">
        <v>22731</v>
      </c>
      <c r="R11197" t="s">
        <v>22732</v>
      </c>
      <c r="S11197" t="s">
        <v>22733</v>
      </c>
      <c r="V11197" t="s">
        <v>22734</v>
      </c>
      <c r="W11197" t="s">
        <v>22735</v>
      </c>
      <c r="AF11197" t="s">
        <v>22736</v>
      </c>
    </row>
    <row r="11198" spans="1:32" hidden="1" x14ac:dyDescent="0.35">
      <c r="A11198">
        <v>2989</v>
      </c>
      <c r="B11198" t="s">
        <v>6170</v>
      </c>
      <c r="C11198" t="s">
        <v>72</v>
      </c>
      <c r="D11198" t="s">
        <v>58</v>
      </c>
      <c r="E11198">
        <v>241</v>
      </c>
      <c r="F11198">
        <v>5</v>
      </c>
      <c r="G11198">
        <v>5</v>
      </c>
      <c r="H11198">
        <v>1</v>
      </c>
      <c r="I11198">
        <v>1</v>
      </c>
      <c r="J11198">
        <v>0.97608695652173905</v>
      </c>
      <c r="K11198">
        <v>1</v>
      </c>
      <c r="L11198">
        <v>0.98789878987898805</v>
      </c>
      <c r="M11198">
        <v>0.92391304347826098</v>
      </c>
      <c r="N11198">
        <v>1</v>
      </c>
      <c r="O11198">
        <v>0.95434782608695601</v>
      </c>
      <c r="P11198" t="s">
        <v>6171</v>
      </c>
      <c r="Q11198" t="s">
        <v>6172</v>
      </c>
      <c r="R11198" t="s">
        <v>224</v>
      </c>
      <c r="S11198" t="s">
        <v>225</v>
      </c>
      <c r="T11198" t="s">
        <v>6173</v>
      </c>
      <c r="U11198" t="s">
        <v>6174</v>
      </c>
      <c r="V11198" t="s">
        <v>6175</v>
      </c>
      <c r="W11198" t="s">
        <v>6176</v>
      </c>
      <c r="X11198" t="s">
        <v>6175</v>
      </c>
      <c r="Y11198" t="s">
        <v>761</v>
      </c>
      <c r="AD11198" t="s">
        <v>762</v>
      </c>
      <c r="AE11198" t="s">
        <v>763</v>
      </c>
      <c r="AF11198" t="s">
        <v>6177</v>
      </c>
    </row>
    <row r="11199" spans="1:32" hidden="1" x14ac:dyDescent="0.35">
      <c r="A11199">
        <v>11198</v>
      </c>
      <c r="B11199" t="s">
        <v>22739</v>
      </c>
      <c r="C11199" t="s">
        <v>33</v>
      </c>
      <c r="D11199" t="s">
        <v>58</v>
      </c>
      <c r="E11199">
        <v>1503</v>
      </c>
      <c r="F11199">
        <v>1</v>
      </c>
      <c r="G11199">
        <v>1</v>
      </c>
      <c r="H11199">
        <v>1</v>
      </c>
      <c r="I11199">
        <v>0</v>
      </c>
      <c r="J11199">
        <v>1</v>
      </c>
      <c r="K11199">
        <v>1</v>
      </c>
      <c r="L11199">
        <v>1</v>
      </c>
      <c r="M11199">
        <v>0</v>
      </c>
      <c r="N11199">
        <v>0</v>
      </c>
      <c r="O11199">
        <v>0</v>
      </c>
      <c r="AF11199" t="s">
        <v>22740</v>
      </c>
    </row>
    <row r="11200" spans="1:32" hidden="1" x14ac:dyDescent="0.35">
      <c r="A11200">
        <v>11199</v>
      </c>
      <c r="B11200" t="s">
        <v>22741</v>
      </c>
      <c r="C11200" t="s">
        <v>33</v>
      </c>
      <c r="D11200" t="s">
        <v>58</v>
      </c>
      <c r="E11200">
        <v>1661</v>
      </c>
      <c r="F11200">
        <v>1</v>
      </c>
      <c r="G11200">
        <v>1</v>
      </c>
      <c r="H11200">
        <v>1</v>
      </c>
      <c r="I11200">
        <v>0</v>
      </c>
      <c r="J11200">
        <v>1</v>
      </c>
      <c r="K11200">
        <v>1</v>
      </c>
      <c r="L11200">
        <v>1</v>
      </c>
      <c r="M11200">
        <v>0</v>
      </c>
      <c r="N11200">
        <v>0</v>
      </c>
      <c r="O11200">
        <v>0</v>
      </c>
      <c r="P11200" t="s">
        <v>8980</v>
      </c>
      <c r="Q11200" t="s">
        <v>8981</v>
      </c>
      <c r="R11200" t="s">
        <v>1102</v>
      </c>
      <c r="S11200" t="s">
        <v>1103</v>
      </c>
      <c r="T11200" t="s">
        <v>22742</v>
      </c>
      <c r="U11200" t="s">
        <v>22743</v>
      </c>
      <c r="V11200" t="s">
        <v>8984</v>
      </c>
      <c r="W11200" t="s">
        <v>8985</v>
      </c>
      <c r="X11200" t="s">
        <v>8984</v>
      </c>
      <c r="Y11200" t="s">
        <v>1108</v>
      </c>
      <c r="AD11200" t="s">
        <v>219</v>
      </c>
      <c r="AE11200" t="s">
        <v>22744</v>
      </c>
      <c r="AF11200" t="s">
        <v>22745</v>
      </c>
    </row>
    <row r="11201" spans="1:32" hidden="1" x14ac:dyDescent="0.35">
      <c r="A11201">
        <v>11200</v>
      </c>
      <c r="B11201" t="s">
        <v>22746</v>
      </c>
      <c r="C11201" t="s">
        <v>33</v>
      </c>
      <c r="D11201" t="s">
        <v>45</v>
      </c>
      <c r="E11201">
        <v>1282</v>
      </c>
      <c r="F11201">
        <v>1</v>
      </c>
      <c r="G11201">
        <v>1</v>
      </c>
      <c r="H11201">
        <v>1</v>
      </c>
      <c r="I11201">
        <v>0</v>
      </c>
      <c r="J11201">
        <v>1</v>
      </c>
      <c r="K11201">
        <v>1</v>
      </c>
      <c r="L11201">
        <v>1</v>
      </c>
      <c r="M11201">
        <v>0</v>
      </c>
      <c r="N11201">
        <v>0</v>
      </c>
      <c r="O11201">
        <v>0</v>
      </c>
      <c r="AF11201" t="s">
        <v>22747</v>
      </c>
    </row>
    <row r="11202" spans="1:32" hidden="1" x14ac:dyDescent="0.35">
      <c r="A11202">
        <v>11201</v>
      </c>
      <c r="B11202" t="s">
        <v>22748</v>
      </c>
      <c r="C11202" t="s">
        <v>33</v>
      </c>
      <c r="D11202" t="s">
        <v>45</v>
      </c>
      <c r="E11202">
        <v>1279</v>
      </c>
      <c r="F11202">
        <v>1</v>
      </c>
      <c r="G11202">
        <v>1</v>
      </c>
      <c r="H11202">
        <v>1</v>
      </c>
      <c r="I11202">
        <v>0</v>
      </c>
      <c r="J11202">
        <v>1</v>
      </c>
      <c r="K11202">
        <v>1</v>
      </c>
      <c r="L11202">
        <v>1</v>
      </c>
      <c r="M11202">
        <v>0</v>
      </c>
      <c r="N11202">
        <v>0</v>
      </c>
      <c r="O11202">
        <v>0</v>
      </c>
      <c r="AF11202" t="s">
        <v>22749</v>
      </c>
    </row>
    <row r="11203" spans="1:32" hidden="1" x14ac:dyDescent="0.35">
      <c r="A11203">
        <v>11202</v>
      </c>
      <c r="B11203" t="s">
        <v>22750</v>
      </c>
      <c r="C11203" t="s">
        <v>33</v>
      </c>
      <c r="D11203" t="s">
        <v>58</v>
      </c>
      <c r="E11203">
        <v>508</v>
      </c>
      <c r="F11203">
        <v>1</v>
      </c>
      <c r="G11203">
        <v>1</v>
      </c>
      <c r="H11203">
        <v>1</v>
      </c>
      <c r="I11203">
        <v>0</v>
      </c>
      <c r="J11203">
        <v>1</v>
      </c>
      <c r="K11203">
        <v>1</v>
      </c>
      <c r="L11203">
        <v>1</v>
      </c>
      <c r="M11203">
        <v>0</v>
      </c>
      <c r="N11203">
        <v>0</v>
      </c>
      <c r="O11203">
        <v>0</v>
      </c>
      <c r="AF11203" t="s">
        <v>22751</v>
      </c>
    </row>
    <row r="11204" spans="1:32" hidden="1" x14ac:dyDescent="0.35">
      <c r="A11204">
        <v>2144</v>
      </c>
      <c r="B11204" t="s">
        <v>4456</v>
      </c>
      <c r="C11204" t="s">
        <v>72</v>
      </c>
      <c r="D11204" t="s">
        <v>58</v>
      </c>
      <c r="E11204">
        <v>1169</v>
      </c>
      <c r="F11204">
        <v>5</v>
      </c>
      <c r="G11204">
        <v>5</v>
      </c>
      <c r="H11204">
        <v>1</v>
      </c>
      <c r="I11204">
        <v>1</v>
      </c>
      <c r="J11204">
        <v>0.90522757455028402</v>
      </c>
      <c r="K11204">
        <v>0.92958330508665898</v>
      </c>
      <c r="L11204">
        <v>0.91724378784208904</v>
      </c>
      <c r="M11204">
        <v>0.75503355704698005</v>
      </c>
      <c r="N11204">
        <v>1</v>
      </c>
      <c r="O11204">
        <v>0.82651006711409403</v>
      </c>
      <c r="P11204" t="s">
        <v>4457</v>
      </c>
      <c r="Q11204" t="s">
        <v>4458</v>
      </c>
      <c r="R11204" t="s">
        <v>224</v>
      </c>
      <c r="S11204" t="s">
        <v>225</v>
      </c>
      <c r="T11204" t="s">
        <v>4459</v>
      </c>
      <c r="U11204" t="s">
        <v>4460</v>
      </c>
      <c r="V11204" t="s">
        <v>4461</v>
      </c>
      <c r="W11204" t="s">
        <v>4462</v>
      </c>
      <c r="X11204" t="s">
        <v>4461</v>
      </c>
      <c r="Y11204" t="s">
        <v>761</v>
      </c>
      <c r="AD11204" t="s">
        <v>762</v>
      </c>
      <c r="AE11204" t="s">
        <v>763</v>
      </c>
      <c r="AF11204" t="s">
        <v>4463</v>
      </c>
    </row>
    <row r="11205" spans="1:32" hidden="1" x14ac:dyDescent="0.35">
      <c r="A11205">
        <v>3554</v>
      </c>
      <c r="B11205" t="s">
        <v>7298</v>
      </c>
      <c r="C11205" t="s">
        <v>72</v>
      </c>
      <c r="D11205" t="s">
        <v>58</v>
      </c>
      <c r="E11205">
        <v>1446</v>
      </c>
      <c r="F11205">
        <v>5</v>
      </c>
      <c r="G11205">
        <v>5</v>
      </c>
      <c r="H11205">
        <v>1</v>
      </c>
      <c r="I11205">
        <v>1</v>
      </c>
      <c r="J11205">
        <v>0.83754789272030605</v>
      </c>
      <c r="K11205">
        <v>1</v>
      </c>
      <c r="L11205">
        <v>0.91159299416180195</v>
      </c>
      <c r="M11205">
        <v>0.64367816091954</v>
      </c>
      <c r="N11205">
        <v>1</v>
      </c>
      <c r="O11205">
        <v>0.79310344827586199</v>
      </c>
      <c r="P11205" t="s">
        <v>7299</v>
      </c>
      <c r="Q11205" t="s">
        <v>7300</v>
      </c>
      <c r="R11205" t="s">
        <v>224</v>
      </c>
      <c r="S11205" t="s">
        <v>225</v>
      </c>
      <c r="T11205" t="s">
        <v>7301</v>
      </c>
      <c r="U11205" t="s">
        <v>7302</v>
      </c>
      <c r="V11205" t="s">
        <v>7303</v>
      </c>
      <c r="W11205" t="s">
        <v>7304</v>
      </c>
      <c r="X11205" t="s">
        <v>7303</v>
      </c>
      <c r="Y11205" t="s">
        <v>761</v>
      </c>
      <c r="AD11205" t="s">
        <v>750</v>
      </c>
      <c r="AE11205" t="s">
        <v>2675</v>
      </c>
      <c r="AF11205" t="s">
        <v>7305</v>
      </c>
    </row>
    <row r="11206" spans="1:32" hidden="1" x14ac:dyDescent="0.35">
      <c r="A11206">
        <v>11205</v>
      </c>
      <c r="B11206" t="s">
        <v>22756</v>
      </c>
      <c r="C11206" t="s">
        <v>33</v>
      </c>
      <c r="D11206" t="s">
        <v>58</v>
      </c>
      <c r="E11206">
        <v>728</v>
      </c>
      <c r="F11206">
        <v>1</v>
      </c>
      <c r="G11206">
        <v>1</v>
      </c>
      <c r="H11206">
        <v>1</v>
      </c>
      <c r="I11206">
        <v>0</v>
      </c>
      <c r="J11206">
        <v>1</v>
      </c>
      <c r="K11206">
        <v>1</v>
      </c>
      <c r="L11206">
        <v>1</v>
      </c>
      <c r="M11206">
        <v>0</v>
      </c>
      <c r="N11206">
        <v>0</v>
      </c>
      <c r="O11206">
        <v>0</v>
      </c>
      <c r="P11206" t="s">
        <v>13476</v>
      </c>
      <c r="Q11206" t="s">
        <v>13477</v>
      </c>
      <c r="AF11206" t="s">
        <v>22757</v>
      </c>
    </row>
    <row r="11207" spans="1:32" hidden="1" x14ac:dyDescent="0.35">
      <c r="A11207">
        <v>11206</v>
      </c>
      <c r="B11207" t="s">
        <v>22758</v>
      </c>
      <c r="C11207" t="s">
        <v>33</v>
      </c>
      <c r="D11207" t="s">
        <v>58</v>
      </c>
      <c r="E11207">
        <v>1804</v>
      </c>
      <c r="F11207">
        <v>1</v>
      </c>
      <c r="G11207">
        <v>1</v>
      </c>
      <c r="H11207">
        <v>1</v>
      </c>
      <c r="I11207">
        <v>0</v>
      </c>
      <c r="J11207">
        <v>1</v>
      </c>
      <c r="K11207">
        <v>1</v>
      </c>
      <c r="L11207">
        <v>1</v>
      </c>
      <c r="M11207">
        <v>0</v>
      </c>
      <c r="N11207">
        <v>0</v>
      </c>
      <c r="O11207">
        <v>0</v>
      </c>
      <c r="P11207" t="s">
        <v>14058</v>
      </c>
      <c r="Q11207" t="s">
        <v>3188</v>
      </c>
      <c r="R11207" t="s">
        <v>8647</v>
      </c>
      <c r="S11207" t="s">
        <v>8648</v>
      </c>
      <c r="T11207" t="s">
        <v>14059</v>
      </c>
      <c r="U11207" t="s">
        <v>14060</v>
      </c>
      <c r="V11207" t="s">
        <v>14061</v>
      </c>
      <c r="W11207" t="s">
        <v>14062</v>
      </c>
      <c r="Z11207" t="s">
        <v>3029</v>
      </c>
      <c r="AA11207" t="s">
        <v>3030</v>
      </c>
      <c r="AB11207" t="s">
        <v>3029</v>
      </c>
      <c r="AC11207" t="s">
        <v>1094</v>
      </c>
      <c r="AD11207" t="s">
        <v>219</v>
      </c>
      <c r="AE11207" t="s">
        <v>14063</v>
      </c>
      <c r="AF11207" t="s">
        <v>22759</v>
      </c>
    </row>
    <row r="11208" spans="1:32" hidden="1" x14ac:dyDescent="0.35">
      <c r="A11208">
        <v>11207</v>
      </c>
      <c r="B11208" t="s">
        <v>22760</v>
      </c>
      <c r="C11208" t="s">
        <v>33</v>
      </c>
      <c r="D11208" t="s">
        <v>62</v>
      </c>
      <c r="E11208">
        <v>94</v>
      </c>
      <c r="F11208">
        <v>1</v>
      </c>
      <c r="G11208">
        <v>1</v>
      </c>
      <c r="H11208">
        <v>1</v>
      </c>
      <c r="I11208">
        <v>0</v>
      </c>
      <c r="J11208">
        <v>1</v>
      </c>
      <c r="K11208">
        <v>1</v>
      </c>
      <c r="L11208">
        <v>1</v>
      </c>
      <c r="M11208">
        <v>0</v>
      </c>
      <c r="N11208">
        <v>0</v>
      </c>
      <c r="O11208">
        <v>0</v>
      </c>
      <c r="P11208" t="s">
        <v>11901</v>
      </c>
      <c r="Q11208" t="s">
        <v>11902</v>
      </c>
      <c r="AF11208" t="s">
        <v>22761</v>
      </c>
    </row>
    <row r="11209" spans="1:32" hidden="1" x14ac:dyDescent="0.35">
      <c r="A11209">
        <v>11208</v>
      </c>
      <c r="B11209" t="s">
        <v>22762</v>
      </c>
      <c r="C11209" t="s">
        <v>33</v>
      </c>
      <c r="D11209" t="s">
        <v>58</v>
      </c>
      <c r="E11209">
        <v>1173</v>
      </c>
      <c r="F11209">
        <v>1</v>
      </c>
      <c r="G11209">
        <v>1</v>
      </c>
      <c r="H11209">
        <v>1</v>
      </c>
      <c r="I11209">
        <v>0</v>
      </c>
      <c r="J11209">
        <v>1</v>
      </c>
      <c r="K11209">
        <v>1</v>
      </c>
      <c r="L11209">
        <v>1</v>
      </c>
      <c r="M11209">
        <v>0</v>
      </c>
      <c r="N11209">
        <v>0</v>
      </c>
      <c r="O11209">
        <v>0</v>
      </c>
      <c r="P11209" t="s">
        <v>12207</v>
      </c>
      <c r="Q11209" t="s">
        <v>12208</v>
      </c>
      <c r="R11209" t="s">
        <v>96</v>
      </c>
      <c r="S11209" t="s">
        <v>97</v>
      </c>
      <c r="T11209" t="s">
        <v>12209</v>
      </c>
      <c r="U11209" t="s">
        <v>12210</v>
      </c>
      <c r="V11209" t="s">
        <v>12211</v>
      </c>
      <c r="W11209" t="s">
        <v>12212</v>
      </c>
      <c r="AD11209" t="s">
        <v>410</v>
      </c>
      <c r="AE11209" t="s">
        <v>1637</v>
      </c>
      <c r="AF11209" t="s">
        <v>22763</v>
      </c>
    </row>
    <row r="11210" spans="1:32" hidden="1" x14ac:dyDescent="0.35">
      <c r="A11210">
        <v>11209</v>
      </c>
      <c r="B11210" t="s">
        <v>22764</v>
      </c>
      <c r="C11210" t="s">
        <v>33</v>
      </c>
      <c r="D11210" t="s">
        <v>45</v>
      </c>
      <c r="E11210">
        <v>513</v>
      </c>
      <c r="F11210">
        <v>1</v>
      </c>
      <c r="G11210">
        <v>1</v>
      </c>
      <c r="H11210">
        <v>1</v>
      </c>
      <c r="I11210">
        <v>0</v>
      </c>
      <c r="J11210">
        <v>1</v>
      </c>
      <c r="K11210">
        <v>1</v>
      </c>
      <c r="L11210">
        <v>1</v>
      </c>
      <c r="M11210">
        <v>0</v>
      </c>
      <c r="N11210">
        <v>0</v>
      </c>
      <c r="O11210">
        <v>0</v>
      </c>
      <c r="P11210" t="s">
        <v>22765</v>
      </c>
      <c r="Q11210" t="s">
        <v>22766</v>
      </c>
      <c r="R11210" t="s">
        <v>138</v>
      </c>
      <c r="S11210" t="s">
        <v>139</v>
      </c>
      <c r="T11210" t="s">
        <v>22767</v>
      </c>
      <c r="U11210" t="s">
        <v>22768</v>
      </c>
      <c r="V11210" t="s">
        <v>15409</v>
      </c>
      <c r="W11210" t="s">
        <v>15410</v>
      </c>
      <c r="X11210" t="s">
        <v>15409</v>
      </c>
      <c r="Y11210" t="s">
        <v>15411</v>
      </c>
      <c r="AD11210" t="s">
        <v>14436</v>
      </c>
      <c r="AE11210" t="s">
        <v>22769</v>
      </c>
      <c r="AF11210" t="s">
        <v>22770</v>
      </c>
    </row>
    <row r="11211" spans="1:32" hidden="1" x14ac:dyDescent="0.35">
      <c r="A11211">
        <v>11210</v>
      </c>
      <c r="B11211" t="s">
        <v>22771</v>
      </c>
      <c r="C11211" t="s">
        <v>33</v>
      </c>
      <c r="D11211" t="s">
        <v>58</v>
      </c>
      <c r="E11211">
        <v>1743</v>
      </c>
      <c r="F11211">
        <v>1</v>
      </c>
      <c r="G11211">
        <v>1</v>
      </c>
      <c r="H11211">
        <v>1</v>
      </c>
      <c r="I11211">
        <v>0</v>
      </c>
      <c r="J11211">
        <v>1</v>
      </c>
      <c r="K11211">
        <v>1</v>
      </c>
      <c r="L11211">
        <v>1</v>
      </c>
      <c r="M11211">
        <v>0</v>
      </c>
      <c r="N11211">
        <v>0</v>
      </c>
      <c r="O11211">
        <v>0</v>
      </c>
      <c r="R11211" t="s">
        <v>15141</v>
      </c>
      <c r="S11211" t="s">
        <v>15142</v>
      </c>
      <c r="V11211" t="s">
        <v>15143</v>
      </c>
      <c r="W11211" t="s">
        <v>15144</v>
      </c>
      <c r="AF11211" t="s">
        <v>22772</v>
      </c>
    </row>
    <row r="11212" spans="1:32" hidden="1" x14ac:dyDescent="0.35">
      <c r="A11212">
        <v>11211</v>
      </c>
      <c r="B11212" t="s">
        <v>22773</v>
      </c>
      <c r="C11212" t="s">
        <v>33</v>
      </c>
      <c r="D11212" t="s">
        <v>58</v>
      </c>
      <c r="E11212">
        <v>1716</v>
      </c>
      <c r="F11212">
        <v>1</v>
      </c>
      <c r="G11212">
        <v>1</v>
      </c>
      <c r="H11212">
        <v>1</v>
      </c>
      <c r="I11212">
        <v>0</v>
      </c>
      <c r="J11212">
        <v>1</v>
      </c>
      <c r="K11212">
        <v>1</v>
      </c>
      <c r="L11212">
        <v>1</v>
      </c>
      <c r="M11212">
        <v>0</v>
      </c>
      <c r="N11212">
        <v>0</v>
      </c>
      <c r="O11212">
        <v>0</v>
      </c>
      <c r="P11212" t="s">
        <v>14105</v>
      </c>
      <c r="Q11212" t="s">
        <v>14106</v>
      </c>
      <c r="AF11212" t="s">
        <v>22774</v>
      </c>
    </row>
    <row r="11213" spans="1:32" hidden="1" x14ac:dyDescent="0.35">
      <c r="A11213">
        <v>11212</v>
      </c>
      <c r="B11213" t="s">
        <v>22775</v>
      </c>
      <c r="C11213" t="s">
        <v>33</v>
      </c>
      <c r="D11213" t="s">
        <v>58</v>
      </c>
      <c r="E11213">
        <v>474</v>
      </c>
      <c r="F11213">
        <v>1</v>
      </c>
      <c r="G11213">
        <v>1</v>
      </c>
      <c r="H11213">
        <v>1</v>
      </c>
      <c r="I11213">
        <v>0</v>
      </c>
      <c r="J11213">
        <v>1</v>
      </c>
      <c r="K11213">
        <v>1</v>
      </c>
      <c r="L11213">
        <v>1</v>
      </c>
      <c r="M11213">
        <v>0</v>
      </c>
      <c r="N11213">
        <v>0</v>
      </c>
      <c r="O11213">
        <v>0</v>
      </c>
      <c r="P11213" t="s">
        <v>12377</v>
      </c>
      <c r="Q11213" t="s">
        <v>2878</v>
      </c>
      <c r="AF11213" t="s">
        <v>22776</v>
      </c>
    </row>
    <row r="11214" spans="1:32" hidden="1" x14ac:dyDescent="0.35">
      <c r="A11214">
        <v>11213</v>
      </c>
      <c r="B11214" t="s">
        <v>22777</v>
      </c>
      <c r="C11214" t="s">
        <v>33</v>
      </c>
      <c r="D11214" t="s">
        <v>62</v>
      </c>
      <c r="E11214">
        <v>2108</v>
      </c>
      <c r="F11214">
        <v>1</v>
      </c>
      <c r="G11214">
        <v>1</v>
      </c>
      <c r="H11214">
        <v>1</v>
      </c>
      <c r="I11214">
        <v>0</v>
      </c>
      <c r="J11214">
        <v>1</v>
      </c>
      <c r="K11214">
        <v>1</v>
      </c>
      <c r="L11214">
        <v>1</v>
      </c>
      <c r="M11214">
        <v>0</v>
      </c>
      <c r="N11214">
        <v>0</v>
      </c>
      <c r="O11214">
        <v>0</v>
      </c>
      <c r="AF11214" t="s">
        <v>22778</v>
      </c>
    </row>
    <row r="11215" spans="1:32" hidden="1" x14ac:dyDescent="0.35">
      <c r="A11215">
        <v>11214</v>
      </c>
      <c r="B11215" t="s">
        <v>22779</v>
      </c>
      <c r="C11215" t="s">
        <v>33</v>
      </c>
      <c r="D11215" t="s">
        <v>34</v>
      </c>
      <c r="E11215">
        <v>2401</v>
      </c>
      <c r="F11215">
        <v>1</v>
      </c>
      <c r="G11215">
        <v>1</v>
      </c>
      <c r="H11215">
        <v>1</v>
      </c>
      <c r="I11215">
        <v>0</v>
      </c>
      <c r="J11215">
        <v>1</v>
      </c>
      <c r="K11215">
        <v>1</v>
      </c>
      <c r="L11215">
        <v>1</v>
      </c>
      <c r="M11215">
        <v>0</v>
      </c>
      <c r="N11215">
        <v>0</v>
      </c>
      <c r="O11215">
        <v>0</v>
      </c>
      <c r="AF11215" t="s">
        <v>22780</v>
      </c>
    </row>
    <row r="11216" spans="1:32" hidden="1" x14ac:dyDescent="0.35">
      <c r="A11216">
        <v>11215</v>
      </c>
      <c r="B11216" t="s">
        <v>22781</v>
      </c>
      <c r="C11216" t="s">
        <v>33</v>
      </c>
      <c r="D11216" t="s">
        <v>60</v>
      </c>
      <c r="E11216">
        <v>687</v>
      </c>
      <c r="F11216">
        <v>1</v>
      </c>
      <c r="G11216">
        <v>1</v>
      </c>
      <c r="H11216">
        <v>1</v>
      </c>
      <c r="I11216">
        <v>0</v>
      </c>
      <c r="J11216">
        <v>1</v>
      </c>
      <c r="K11216">
        <v>1</v>
      </c>
      <c r="L11216">
        <v>1</v>
      </c>
      <c r="M11216">
        <v>0</v>
      </c>
      <c r="N11216">
        <v>0</v>
      </c>
      <c r="O11216">
        <v>0</v>
      </c>
      <c r="AF11216" t="s">
        <v>22782</v>
      </c>
    </row>
    <row r="11217" spans="1:32" hidden="1" x14ac:dyDescent="0.35">
      <c r="A11217">
        <v>11216</v>
      </c>
      <c r="B11217" t="s">
        <v>22783</v>
      </c>
      <c r="C11217" t="s">
        <v>33</v>
      </c>
      <c r="D11217" t="s">
        <v>34</v>
      </c>
      <c r="E11217">
        <v>809</v>
      </c>
      <c r="F11217">
        <v>1</v>
      </c>
      <c r="G11217">
        <v>1</v>
      </c>
      <c r="H11217">
        <v>1</v>
      </c>
      <c r="I11217">
        <v>0</v>
      </c>
      <c r="J11217">
        <v>1</v>
      </c>
      <c r="K11217">
        <v>1</v>
      </c>
      <c r="L11217">
        <v>1</v>
      </c>
      <c r="M11217">
        <v>0</v>
      </c>
      <c r="N11217">
        <v>0</v>
      </c>
      <c r="O11217">
        <v>0</v>
      </c>
      <c r="P11217" t="s">
        <v>22784</v>
      </c>
      <c r="Q11217" t="s">
        <v>22785</v>
      </c>
      <c r="AF11217" t="s">
        <v>22786</v>
      </c>
    </row>
    <row r="11218" spans="1:32" hidden="1" x14ac:dyDescent="0.35">
      <c r="A11218">
        <v>11217</v>
      </c>
      <c r="B11218" t="s">
        <v>22787</v>
      </c>
      <c r="C11218" t="s">
        <v>33</v>
      </c>
      <c r="D11218" t="s">
        <v>45</v>
      </c>
      <c r="E11218">
        <v>872</v>
      </c>
      <c r="F11218">
        <v>1</v>
      </c>
      <c r="G11218">
        <v>1</v>
      </c>
      <c r="H11218">
        <v>1</v>
      </c>
      <c r="I11218">
        <v>0</v>
      </c>
      <c r="J11218">
        <v>1</v>
      </c>
      <c r="K11218">
        <v>1</v>
      </c>
      <c r="L11218">
        <v>1</v>
      </c>
      <c r="M11218">
        <v>0</v>
      </c>
      <c r="N11218">
        <v>0</v>
      </c>
      <c r="O11218">
        <v>0</v>
      </c>
      <c r="AF11218" t="s">
        <v>22788</v>
      </c>
    </row>
    <row r="11219" spans="1:32" hidden="1" x14ac:dyDescent="0.35">
      <c r="A11219">
        <v>11218</v>
      </c>
      <c r="B11219" t="s">
        <v>22789</v>
      </c>
      <c r="C11219" t="s">
        <v>33</v>
      </c>
      <c r="D11219" t="s">
        <v>58</v>
      </c>
      <c r="E11219">
        <v>606</v>
      </c>
      <c r="F11219">
        <v>1</v>
      </c>
      <c r="G11219">
        <v>1</v>
      </c>
      <c r="H11219">
        <v>1</v>
      </c>
      <c r="I11219">
        <v>0</v>
      </c>
      <c r="J11219">
        <v>1</v>
      </c>
      <c r="K11219">
        <v>1</v>
      </c>
      <c r="L11219">
        <v>1</v>
      </c>
      <c r="M11219">
        <v>0</v>
      </c>
      <c r="N11219">
        <v>0</v>
      </c>
      <c r="O11219">
        <v>0</v>
      </c>
      <c r="AF11219" t="s">
        <v>22790</v>
      </c>
    </row>
    <row r="11220" spans="1:32" hidden="1" x14ac:dyDescent="0.35">
      <c r="A11220">
        <v>11219</v>
      </c>
      <c r="B11220" t="s">
        <v>22791</v>
      </c>
      <c r="C11220" t="s">
        <v>33</v>
      </c>
      <c r="D11220" t="s">
        <v>60</v>
      </c>
      <c r="E11220">
        <v>1872</v>
      </c>
      <c r="F11220">
        <v>1</v>
      </c>
      <c r="G11220">
        <v>1</v>
      </c>
      <c r="H11220">
        <v>1</v>
      </c>
      <c r="I11220">
        <v>0</v>
      </c>
      <c r="J11220">
        <v>1</v>
      </c>
      <c r="K11220">
        <v>1</v>
      </c>
      <c r="L11220">
        <v>1</v>
      </c>
      <c r="M11220">
        <v>0</v>
      </c>
      <c r="N11220">
        <v>0</v>
      </c>
      <c r="O11220">
        <v>0</v>
      </c>
      <c r="P11220" t="s">
        <v>14276</v>
      </c>
      <c r="Q11220" t="s">
        <v>14277</v>
      </c>
      <c r="R11220" t="s">
        <v>869</v>
      </c>
      <c r="S11220" t="s">
        <v>870</v>
      </c>
      <c r="V11220" t="s">
        <v>17450</v>
      </c>
      <c r="W11220" t="s">
        <v>17451</v>
      </c>
      <c r="X11220" t="s">
        <v>17450</v>
      </c>
      <c r="Y11220" t="s">
        <v>6133</v>
      </c>
      <c r="AF11220" t="s">
        <v>22792</v>
      </c>
    </row>
    <row r="11221" spans="1:32" hidden="1" x14ac:dyDescent="0.35">
      <c r="A11221">
        <v>11220</v>
      </c>
      <c r="B11221" t="s">
        <v>22793</v>
      </c>
      <c r="C11221" t="s">
        <v>33</v>
      </c>
      <c r="D11221" t="s">
        <v>58</v>
      </c>
      <c r="E11221">
        <v>1354</v>
      </c>
      <c r="F11221">
        <v>1</v>
      </c>
      <c r="G11221">
        <v>1</v>
      </c>
      <c r="H11221">
        <v>1</v>
      </c>
      <c r="I11221">
        <v>0</v>
      </c>
      <c r="J11221">
        <v>1</v>
      </c>
      <c r="K11221">
        <v>1</v>
      </c>
      <c r="L11221">
        <v>1</v>
      </c>
      <c r="M11221">
        <v>0</v>
      </c>
      <c r="N11221">
        <v>0</v>
      </c>
      <c r="O11221">
        <v>0</v>
      </c>
      <c r="P11221" t="s">
        <v>22794</v>
      </c>
      <c r="Q11221" t="s">
        <v>22795</v>
      </c>
      <c r="R11221" t="s">
        <v>1259</v>
      </c>
      <c r="S11221" t="s">
        <v>1260</v>
      </c>
      <c r="V11221" t="s">
        <v>14357</v>
      </c>
      <c r="W11221" t="s">
        <v>14358</v>
      </c>
      <c r="AF11221" t="s">
        <v>22796</v>
      </c>
    </row>
    <row r="11222" spans="1:32" hidden="1" x14ac:dyDescent="0.35">
      <c r="A11222">
        <v>3289</v>
      </c>
      <c r="B11222" t="s">
        <v>6761</v>
      </c>
      <c r="C11222" t="s">
        <v>72</v>
      </c>
      <c r="D11222" t="s">
        <v>58</v>
      </c>
      <c r="E11222">
        <v>243</v>
      </c>
      <c r="F11222">
        <v>5</v>
      </c>
      <c r="G11222">
        <v>5</v>
      </c>
      <c r="H11222">
        <v>1</v>
      </c>
      <c r="I11222">
        <v>1</v>
      </c>
      <c r="J11222">
        <v>0.95497311827956999</v>
      </c>
      <c r="K11222">
        <v>1</v>
      </c>
      <c r="L11222">
        <v>0.97696803025094503</v>
      </c>
      <c r="M11222">
        <v>0.91129032258064502</v>
      </c>
      <c r="N11222">
        <v>1</v>
      </c>
      <c r="O11222">
        <v>0.93830645161290305</v>
      </c>
      <c r="P11222" t="s">
        <v>6762</v>
      </c>
      <c r="Q11222" t="s">
        <v>6763</v>
      </c>
      <c r="R11222" t="s">
        <v>224</v>
      </c>
      <c r="S11222" t="s">
        <v>225</v>
      </c>
      <c r="T11222" t="s">
        <v>6764</v>
      </c>
      <c r="U11222" t="s">
        <v>6765</v>
      </c>
      <c r="V11222" t="s">
        <v>6766</v>
      </c>
      <c r="W11222" t="s">
        <v>6767</v>
      </c>
      <c r="X11222" t="s">
        <v>6766</v>
      </c>
      <c r="Y11222" t="s">
        <v>761</v>
      </c>
      <c r="AD11222" t="s">
        <v>762</v>
      </c>
      <c r="AE11222" t="s">
        <v>763</v>
      </c>
      <c r="AF11222" t="s">
        <v>6768</v>
      </c>
    </row>
    <row r="11223" spans="1:32" hidden="1" x14ac:dyDescent="0.35">
      <c r="A11223">
        <v>1079</v>
      </c>
      <c r="B11223" t="s">
        <v>2240</v>
      </c>
      <c r="C11223" t="s">
        <v>72</v>
      </c>
      <c r="D11223" t="s">
        <v>58</v>
      </c>
      <c r="E11223">
        <v>286</v>
      </c>
      <c r="F11223">
        <v>5</v>
      </c>
      <c r="G11223">
        <v>5</v>
      </c>
      <c r="H11223">
        <v>1</v>
      </c>
      <c r="I11223">
        <v>1</v>
      </c>
      <c r="J11223">
        <v>0.95593108018555295</v>
      </c>
      <c r="K11223">
        <v>0.99116226893625203</v>
      </c>
      <c r="L11223">
        <v>0.97322793363835103</v>
      </c>
      <c r="M11223">
        <v>0.87684729064039402</v>
      </c>
      <c r="N11223">
        <v>1</v>
      </c>
      <c r="O11223">
        <v>0.922167487684729</v>
      </c>
      <c r="P11223" t="s">
        <v>2241</v>
      </c>
      <c r="Q11223" t="s">
        <v>2242</v>
      </c>
      <c r="R11223" t="s">
        <v>224</v>
      </c>
      <c r="S11223" t="s">
        <v>225</v>
      </c>
      <c r="T11223" t="s">
        <v>2243</v>
      </c>
      <c r="U11223" t="s">
        <v>2244</v>
      </c>
      <c r="V11223" t="s">
        <v>2245</v>
      </c>
      <c r="W11223" t="s">
        <v>2246</v>
      </c>
      <c r="X11223" t="s">
        <v>2245</v>
      </c>
      <c r="Y11223" t="s">
        <v>761</v>
      </c>
      <c r="AD11223" t="s">
        <v>762</v>
      </c>
      <c r="AE11223" t="s">
        <v>763</v>
      </c>
      <c r="AF11223" t="s">
        <v>2247</v>
      </c>
    </row>
    <row r="11224" spans="1:32" hidden="1" x14ac:dyDescent="0.35">
      <c r="A11224">
        <v>11223</v>
      </c>
      <c r="B11224" t="s">
        <v>22801</v>
      </c>
      <c r="C11224" t="s">
        <v>33</v>
      </c>
      <c r="D11224" t="s">
        <v>34</v>
      </c>
      <c r="E11224">
        <v>2387</v>
      </c>
      <c r="F11224">
        <v>1</v>
      </c>
      <c r="G11224">
        <v>1</v>
      </c>
      <c r="H11224">
        <v>1</v>
      </c>
      <c r="I11224">
        <v>0</v>
      </c>
      <c r="J11224">
        <v>1</v>
      </c>
      <c r="K11224">
        <v>1</v>
      </c>
      <c r="L11224">
        <v>1</v>
      </c>
      <c r="M11224">
        <v>0</v>
      </c>
      <c r="N11224">
        <v>0</v>
      </c>
      <c r="O11224">
        <v>0</v>
      </c>
      <c r="AF11224" t="s">
        <v>22802</v>
      </c>
    </row>
    <row r="11225" spans="1:32" hidden="1" x14ac:dyDescent="0.35">
      <c r="A11225">
        <v>11224</v>
      </c>
      <c r="B11225" t="s">
        <v>22803</v>
      </c>
      <c r="C11225" t="s">
        <v>33</v>
      </c>
      <c r="D11225" t="s">
        <v>58</v>
      </c>
      <c r="E11225">
        <v>603</v>
      </c>
      <c r="F11225">
        <v>1</v>
      </c>
      <c r="G11225">
        <v>1</v>
      </c>
      <c r="H11225">
        <v>1</v>
      </c>
      <c r="I11225">
        <v>0</v>
      </c>
      <c r="J11225">
        <v>1</v>
      </c>
      <c r="K11225">
        <v>1</v>
      </c>
      <c r="L11225">
        <v>1</v>
      </c>
      <c r="M11225">
        <v>0</v>
      </c>
      <c r="N11225">
        <v>0</v>
      </c>
      <c r="O11225">
        <v>0</v>
      </c>
      <c r="P11225" t="s">
        <v>4915</v>
      </c>
      <c r="Q11225" t="s">
        <v>4916</v>
      </c>
      <c r="R11225" t="s">
        <v>319</v>
      </c>
      <c r="S11225" t="s">
        <v>320</v>
      </c>
      <c r="T11225" t="s">
        <v>22804</v>
      </c>
      <c r="U11225" t="s">
        <v>22805</v>
      </c>
      <c r="V11225" t="s">
        <v>4360</v>
      </c>
      <c r="W11225" t="s">
        <v>4361</v>
      </c>
      <c r="AD11225" t="s">
        <v>166</v>
      </c>
      <c r="AE11225" t="s">
        <v>22806</v>
      </c>
      <c r="AF11225" t="s">
        <v>22807</v>
      </c>
    </row>
    <row r="11226" spans="1:32" hidden="1" x14ac:dyDescent="0.35">
      <c r="A11226">
        <v>1584</v>
      </c>
      <c r="B11226" t="s">
        <v>3323</v>
      </c>
      <c r="C11226" t="s">
        <v>72</v>
      </c>
      <c r="D11226" t="s">
        <v>58</v>
      </c>
      <c r="E11226">
        <v>275</v>
      </c>
      <c r="F11226">
        <v>5</v>
      </c>
      <c r="G11226">
        <v>5</v>
      </c>
      <c r="H11226">
        <v>1</v>
      </c>
      <c r="I11226">
        <v>1</v>
      </c>
      <c r="J11226">
        <v>0.96676347208777003</v>
      </c>
      <c r="K11226">
        <v>0.98387331966279301</v>
      </c>
      <c r="L11226">
        <v>0.97524335707634202</v>
      </c>
      <c r="M11226">
        <v>0.91428571428571404</v>
      </c>
      <c r="N11226">
        <v>1</v>
      </c>
      <c r="O11226">
        <v>0.94</v>
      </c>
      <c r="P11226" t="s">
        <v>3324</v>
      </c>
      <c r="Q11226" t="s">
        <v>3325</v>
      </c>
      <c r="R11226" t="s">
        <v>224</v>
      </c>
      <c r="S11226" t="s">
        <v>225</v>
      </c>
      <c r="T11226" t="s">
        <v>3326</v>
      </c>
      <c r="U11226" t="s">
        <v>3327</v>
      </c>
      <c r="V11226" t="s">
        <v>3328</v>
      </c>
      <c r="W11226" t="s">
        <v>3329</v>
      </c>
      <c r="X11226" t="s">
        <v>3328</v>
      </c>
      <c r="Y11226" t="s">
        <v>761</v>
      </c>
      <c r="AD11226" t="s">
        <v>762</v>
      </c>
      <c r="AE11226" t="s">
        <v>763</v>
      </c>
      <c r="AF11226" t="s">
        <v>3330</v>
      </c>
    </row>
    <row r="11227" spans="1:32" hidden="1" x14ac:dyDescent="0.35">
      <c r="A11227">
        <v>11226</v>
      </c>
      <c r="B11227" t="s">
        <v>22810</v>
      </c>
      <c r="C11227" t="s">
        <v>33</v>
      </c>
      <c r="D11227" t="s">
        <v>60</v>
      </c>
      <c r="E11227">
        <v>684</v>
      </c>
      <c r="F11227">
        <v>1</v>
      </c>
      <c r="G11227">
        <v>1</v>
      </c>
      <c r="H11227">
        <v>1</v>
      </c>
      <c r="I11227">
        <v>0</v>
      </c>
      <c r="J11227">
        <v>1</v>
      </c>
      <c r="K11227">
        <v>1</v>
      </c>
      <c r="L11227">
        <v>1</v>
      </c>
      <c r="M11227">
        <v>0</v>
      </c>
      <c r="N11227">
        <v>0</v>
      </c>
      <c r="O11227">
        <v>0</v>
      </c>
      <c r="AF11227" t="s">
        <v>22811</v>
      </c>
    </row>
    <row r="11228" spans="1:32" hidden="1" x14ac:dyDescent="0.35">
      <c r="A11228">
        <v>11227</v>
      </c>
      <c r="B11228" t="s">
        <v>22812</v>
      </c>
      <c r="C11228" t="s">
        <v>33</v>
      </c>
      <c r="D11228" t="s">
        <v>58</v>
      </c>
      <c r="E11228">
        <v>1610</v>
      </c>
      <c r="F11228">
        <v>1</v>
      </c>
      <c r="G11228">
        <v>1</v>
      </c>
      <c r="H11228">
        <v>1</v>
      </c>
      <c r="I11228">
        <v>0</v>
      </c>
      <c r="J11228">
        <v>1</v>
      </c>
      <c r="K11228">
        <v>1</v>
      </c>
      <c r="L11228">
        <v>1</v>
      </c>
      <c r="M11228">
        <v>0</v>
      </c>
      <c r="N11228">
        <v>0</v>
      </c>
      <c r="O11228">
        <v>0</v>
      </c>
      <c r="P11228" t="s">
        <v>18482</v>
      </c>
      <c r="Q11228" t="s">
        <v>18483</v>
      </c>
      <c r="R11228" t="s">
        <v>18484</v>
      </c>
      <c r="S11228" t="s">
        <v>18485</v>
      </c>
      <c r="T11228" t="s">
        <v>18486</v>
      </c>
      <c r="U11228" t="s">
        <v>18487</v>
      </c>
      <c r="V11228" t="s">
        <v>18488</v>
      </c>
      <c r="W11228" t="s">
        <v>18489</v>
      </c>
      <c r="AD11228" t="s">
        <v>166</v>
      </c>
      <c r="AE11228" t="s">
        <v>2843</v>
      </c>
      <c r="AF11228" t="s">
        <v>22813</v>
      </c>
    </row>
    <row r="11229" spans="1:32" hidden="1" x14ac:dyDescent="0.35">
      <c r="A11229">
        <v>11228</v>
      </c>
      <c r="B11229" t="s">
        <v>22814</v>
      </c>
      <c r="C11229" t="s">
        <v>33</v>
      </c>
      <c r="D11229" t="s">
        <v>45</v>
      </c>
      <c r="E11229">
        <v>1164</v>
      </c>
      <c r="F11229">
        <v>1</v>
      </c>
      <c r="G11229">
        <v>1</v>
      </c>
      <c r="H11229">
        <v>1</v>
      </c>
      <c r="I11229">
        <v>0</v>
      </c>
      <c r="J11229">
        <v>1</v>
      </c>
      <c r="K11229">
        <v>1</v>
      </c>
      <c r="L11229">
        <v>1</v>
      </c>
      <c r="M11229">
        <v>0</v>
      </c>
      <c r="N11229">
        <v>0</v>
      </c>
      <c r="O11229">
        <v>0</v>
      </c>
      <c r="AF11229" t="s">
        <v>22815</v>
      </c>
    </row>
    <row r="11230" spans="1:32" hidden="1" x14ac:dyDescent="0.35">
      <c r="A11230">
        <v>11229</v>
      </c>
      <c r="B11230" t="s">
        <v>22816</v>
      </c>
      <c r="C11230" t="s">
        <v>33</v>
      </c>
      <c r="D11230" t="s">
        <v>62</v>
      </c>
      <c r="E11230">
        <v>216</v>
      </c>
      <c r="F11230">
        <v>1</v>
      </c>
      <c r="G11230">
        <v>1</v>
      </c>
      <c r="H11230">
        <v>1</v>
      </c>
      <c r="I11230">
        <v>0</v>
      </c>
      <c r="J11230">
        <v>1</v>
      </c>
      <c r="K11230">
        <v>1</v>
      </c>
      <c r="L11230">
        <v>1</v>
      </c>
      <c r="M11230">
        <v>0</v>
      </c>
      <c r="N11230">
        <v>0</v>
      </c>
      <c r="O11230">
        <v>0</v>
      </c>
      <c r="AF11230" t="s">
        <v>22817</v>
      </c>
    </row>
    <row r="11231" spans="1:32" hidden="1" x14ac:dyDescent="0.35">
      <c r="A11231">
        <v>11230</v>
      </c>
      <c r="B11231" t="s">
        <v>22818</v>
      </c>
      <c r="C11231" t="s">
        <v>33</v>
      </c>
      <c r="D11231" t="s">
        <v>58</v>
      </c>
      <c r="E11231">
        <v>1873</v>
      </c>
      <c r="F11231">
        <v>1</v>
      </c>
      <c r="G11231">
        <v>1</v>
      </c>
      <c r="H11231">
        <v>1</v>
      </c>
      <c r="I11231">
        <v>0</v>
      </c>
      <c r="J11231">
        <v>1</v>
      </c>
      <c r="K11231">
        <v>1</v>
      </c>
      <c r="L11231">
        <v>1</v>
      </c>
      <c r="M11231">
        <v>0</v>
      </c>
      <c r="N11231">
        <v>0</v>
      </c>
      <c r="O11231">
        <v>0</v>
      </c>
      <c r="AF11231" t="s">
        <v>22819</v>
      </c>
    </row>
    <row r="11232" spans="1:32" hidden="1" x14ac:dyDescent="0.35">
      <c r="A11232">
        <v>1504</v>
      </c>
      <c r="B11232" t="s">
        <v>3151</v>
      </c>
      <c r="C11232" t="s">
        <v>72</v>
      </c>
      <c r="D11232" t="s">
        <v>58</v>
      </c>
      <c r="E11232">
        <v>1847</v>
      </c>
      <c r="F11232">
        <v>5</v>
      </c>
      <c r="G11232">
        <v>5</v>
      </c>
      <c r="H11232">
        <v>1</v>
      </c>
      <c r="I11232">
        <v>1</v>
      </c>
      <c r="J11232">
        <v>0.89436866037075902</v>
      </c>
      <c r="K11232">
        <v>0.97282768777614004</v>
      </c>
      <c r="L11232">
        <v>0.93194976173922806</v>
      </c>
      <c r="M11232">
        <v>0.76530612244898</v>
      </c>
      <c r="N11232">
        <v>1</v>
      </c>
      <c r="O11232">
        <v>0.840816326530612</v>
      </c>
      <c r="P11232" t="s">
        <v>3152</v>
      </c>
      <c r="Q11232" t="s">
        <v>3153</v>
      </c>
      <c r="R11232" t="s">
        <v>224</v>
      </c>
      <c r="S11232" t="s">
        <v>225</v>
      </c>
      <c r="T11232" t="s">
        <v>3154</v>
      </c>
      <c r="U11232" t="s">
        <v>3155</v>
      </c>
      <c r="V11232" t="s">
        <v>3156</v>
      </c>
      <c r="W11232" t="s">
        <v>3157</v>
      </c>
      <c r="X11232" t="s">
        <v>3156</v>
      </c>
      <c r="Y11232" t="s">
        <v>761</v>
      </c>
      <c r="AD11232" t="s">
        <v>750</v>
      </c>
      <c r="AE11232" t="s">
        <v>2675</v>
      </c>
      <c r="AF11232" t="e">
        <f>---MRKYELMIILDPSQDERTVAPSLDKFLEVVRKENGTVDKVDIWGKRTLAYPINKKDEGIYAVVDLHCESATVLELDRLLNLSDDVLRTKVLRADR</f>
        <v>#NAME?</v>
      </c>
    </row>
    <row r="11233" spans="1:32" hidden="1" x14ac:dyDescent="0.35">
      <c r="A11233">
        <v>3199</v>
      </c>
      <c r="B11233" t="s">
        <v>6571</v>
      </c>
      <c r="C11233" t="s">
        <v>72</v>
      </c>
      <c r="D11233" t="s">
        <v>58</v>
      </c>
      <c r="E11233">
        <v>229</v>
      </c>
      <c r="F11233">
        <v>5</v>
      </c>
      <c r="G11233">
        <v>5</v>
      </c>
      <c r="H11233">
        <v>1</v>
      </c>
      <c r="I11233">
        <v>1</v>
      </c>
      <c r="J11233">
        <v>0.95096774193548395</v>
      </c>
      <c r="K11233">
        <v>1</v>
      </c>
      <c r="L11233">
        <v>0.97486772486772499</v>
      </c>
      <c r="M11233">
        <v>0.90967741935483903</v>
      </c>
      <c r="N11233">
        <v>1</v>
      </c>
      <c r="O11233">
        <v>0.94064516129032305</v>
      </c>
      <c r="P11233" t="s">
        <v>6572</v>
      </c>
      <c r="Q11233" t="s">
        <v>6573</v>
      </c>
      <c r="R11233" t="s">
        <v>224</v>
      </c>
      <c r="S11233" t="s">
        <v>225</v>
      </c>
      <c r="T11233" t="s">
        <v>6574</v>
      </c>
      <c r="U11233" t="s">
        <v>6575</v>
      </c>
      <c r="V11233" t="s">
        <v>6576</v>
      </c>
      <c r="W11233" t="s">
        <v>6577</v>
      </c>
      <c r="X11233" t="s">
        <v>6576</v>
      </c>
      <c r="Y11233" t="s">
        <v>761</v>
      </c>
      <c r="AD11233" t="s">
        <v>762</v>
      </c>
      <c r="AE11233" t="s">
        <v>763</v>
      </c>
      <c r="AF11233" t="s">
        <v>6578</v>
      </c>
    </row>
    <row r="11234" spans="1:32" hidden="1" x14ac:dyDescent="0.35">
      <c r="A11234">
        <v>11233</v>
      </c>
      <c r="B11234" t="s">
        <v>22824</v>
      </c>
      <c r="C11234" t="s">
        <v>33</v>
      </c>
      <c r="D11234" t="s">
        <v>58</v>
      </c>
      <c r="E11234">
        <v>735</v>
      </c>
      <c r="F11234">
        <v>1</v>
      </c>
      <c r="G11234">
        <v>1</v>
      </c>
      <c r="H11234">
        <v>1</v>
      </c>
      <c r="I11234">
        <v>0</v>
      </c>
      <c r="J11234">
        <v>1</v>
      </c>
      <c r="K11234">
        <v>1</v>
      </c>
      <c r="L11234">
        <v>1</v>
      </c>
      <c r="M11234">
        <v>0</v>
      </c>
      <c r="N11234">
        <v>0</v>
      </c>
      <c r="O11234">
        <v>0</v>
      </c>
      <c r="AF11234" t="s">
        <v>22825</v>
      </c>
    </row>
    <row r="11235" spans="1:32" hidden="1" x14ac:dyDescent="0.35">
      <c r="A11235">
        <v>2184</v>
      </c>
      <c r="B11235" t="s">
        <v>4540</v>
      </c>
      <c r="C11235" t="s">
        <v>72</v>
      </c>
      <c r="D11235" t="s">
        <v>58</v>
      </c>
      <c r="E11235">
        <v>272</v>
      </c>
      <c r="F11235">
        <v>5</v>
      </c>
      <c r="G11235">
        <v>5</v>
      </c>
      <c r="H11235">
        <v>1</v>
      </c>
      <c r="I11235">
        <v>1</v>
      </c>
      <c r="J11235">
        <v>0.93888888888888899</v>
      </c>
      <c r="K11235">
        <v>1</v>
      </c>
      <c r="L11235">
        <v>0.96848137535816603</v>
      </c>
      <c r="M11235">
        <v>0.87121212121212099</v>
      </c>
      <c r="N11235">
        <v>1</v>
      </c>
      <c r="O11235">
        <v>0.91060606060606097</v>
      </c>
      <c r="P11235" t="s">
        <v>4541</v>
      </c>
      <c r="Q11235" t="s">
        <v>4542</v>
      </c>
      <c r="R11235" t="s">
        <v>224</v>
      </c>
      <c r="S11235" t="s">
        <v>225</v>
      </c>
      <c r="T11235" t="s">
        <v>4543</v>
      </c>
      <c r="U11235" t="s">
        <v>4544</v>
      </c>
      <c r="V11235" t="s">
        <v>4545</v>
      </c>
      <c r="W11235" t="s">
        <v>4546</v>
      </c>
      <c r="X11235" t="s">
        <v>4545</v>
      </c>
      <c r="Y11235" t="s">
        <v>761</v>
      </c>
      <c r="AD11235" t="s">
        <v>762</v>
      </c>
      <c r="AE11235" t="s">
        <v>763</v>
      </c>
      <c r="AF11235" t="s">
        <v>4547</v>
      </c>
    </row>
    <row r="11236" spans="1:32" hidden="1" x14ac:dyDescent="0.35">
      <c r="A11236">
        <v>4654</v>
      </c>
      <c r="B11236" t="s">
        <v>9723</v>
      </c>
      <c r="C11236" t="s">
        <v>10127</v>
      </c>
      <c r="D11236" t="s">
        <v>58</v>
      </c>
      <c r="E11236">
        <v>1584</v>
      </c>
      <c r="F11236">
        <v>5</v>
      </c>
      <c r="G11236">
        <v>5</v>
      </c>
      <c r="H11236">
        <v>1</v>
      </c>
      <c r="I11236">
        <v>1</v>
      </c>
      <c r="J11236">
        <v>0.88869863013698602</v>
      </c>
      <c r="K11236">
        <v>0.97905969493440503</v>
      </c>
      <c r="L11236">
        <v>0.93169335457496505</v>
      </c>
      <c r="M11236">
        <v>0.76536312849162003</v>
      </c>
      <c r="N11236">
        <v>0.994413407821229</v>
      </c>
      <c r="O11236">
        <v>0.82178770949720703</v>
      </c>
      <c r="P11236" t="s">
        <v>9724</v>
      </c>
      <c r="Q11236" t="s">
        <v>9725</v>
      </c>
      <c r="R11236" t="s">
        <v>224</v>
      </c>
      <c r="S11236" t="s">
        <v>225</v>
      </c>
      <c r="T11236" t="s">
        <v>9726</v>
      </c>
      <c r="U11236" t="s">
        <v>9727</v>
      </c>
      <c r="V11236" t="s">
        <v>9728</v>
      </c>
      <c r="W11236" t="s">
        <v>9729</v>
      </c>
      <c r="X11236" t="s">
        <v>9728</v>
      </c>
      <c r="Y11236" t="s">
        <v>761</v>
      </c>
      <c r="AD11236" t="s">
        <v>762</v>
      </c>
      <c r="AE11236" t="s">
        <v>763</v>
      </c>
      <c r="AF11236" t="s">
        <v>9730</v>
      </c>
    </row>
    <row r="11237" spans="1:32" hidden="1" x14ac:dyDescent="0.35">
      <c r="A11237">
        <v>11236</v>
      </c>
      <c r="B11237" t="s">
        <v>22832</v>
      </c>
      <c r="C11237" t="s">
        <v>33</v>
      </c>
      <c r="D11237" t="s">
        <v>58</v>
      </c>
      <c r="E11237">
        <v>1374</v>
      </c>
      <c r="F11237">
        <v>1</v>
      </c>
      <c r="G11237">
        <v>1</v>
      </c>
      <c r="H11237">
        <v>1</v>
      </c>
      <c r="I11237">
        <v>0</v>
      </c>
      <c r="J11237">
        <v>1</v>
      </c>
      <c r="K11237">
        <v>1</v>
      </c>
      <c r="L11237">
        <v>1</v>
      </c>
      <c r="M11237">
        <v>0</v>
      </c>
      <c r="N11237">
        <v>0</v>
      </c>
      <c r="O11237">
        <v>0</v>
      </c>
      <c r="AF11237" t="s">
        <v>22833</v>
      </c>
    </row>
    <row r="11238" spans="1:32" hidden="1" x14ac:dyDescent="0.35">
      <c r="A11238">
        <v>774</v>
      </c>
      <c r="B11238" t="s">
        <v>1581</v>
      </c>
      <c r="C11238" t="s">
        <v>72</v>
      </c>
      <c r="D11238" t="s">
        <v>58</v>
      </c>
      <c r="E11238">
        <v>1452</v>
      </c>
      <c r="F11238">
        <v>5</v>
      </c>
      <c r="G11238">
        <v>5</v>
      </c>
      <c r="H11238">
        <v>1</v>
      </c>
      <c r="I11238">
        <v>1</v>
      </c>
      <c r="J11238">
        <v>0.781378267444372</v>
      </c>
      <c r="K11238">
        <v>0.99548387096774105</v>
      </c>
      <c r="L11238">
        <v>0.87553158520301799</v>
      </c>
      <c r="M11238">
        <v>0.54193548387096802</v>
      </c>
      <c r="N11238">
        <v>1</v>
      </c>
      <c r="O11238">
        <v>0.69161290322580604</v>
      </c>
      <c r="P11238" t="s">
        <v>1582</v>
      </c>
      <c r="Q11238" t="s">
        <v>1583</v>
      </c>
      <c r="R11238" t="s">
        <v>224</v>
      </c>
      <c r="S11238" t="s">
        <v>225</v>
      </c>
      <c r="T11238" t="s">
        <v>1584</v>
      </c>
      <c r="U11238" t="s">
        <v>1585</v>
      </c>
      <c r="V11238" t="s">
        <v>1586</v>
      </c>
      <c r="W11238" t="s">
        <v>1587</v>
      </c>
      <c r="AD11238" t="s">
        <v>210</v>
      </c>
      <c r="AE11238" t="s">
        <v>1520</v>
      </c>
      <c r="AF11238" t="s">
        <v>1588</v>
      </c>
    </row>
    <row r="11239" spans="1:32" hidden="1" x14ac:dyDescent="0.35">
      <c r="A11239">
        <v>11238</v>
      </c>
      <c r="B11239" t="s">
        <v>22836</v>
      </c>
      <c r="C11239" t="s">
        <v>33</v>
      </c>
      <c r="D11239" t="s">
        <v>58</v>
      </c>
      <c r="E11239">
        <v>1232</v>
      </c>
      <c r="F11239">
        <v>1</v>
      </c>
      <c r="G11239">
        <v>1</v>
      </c>
      <c r="H11239">
        <v>1</v>
      </c>
      <c r="I11239">
        <v>0</v>
      </c>
      <c r="J11239">
        <v>1</v>
      </c>
      <c r="K11239">
        <v>1</v>
      </c>
      <c r="L11239">
        <v>1</v>
      </c>
      <c r="M11239">
        <v>0</v>
      </c>
      <c r="N11239">
        <v>0</v>
      </c>
      <c r="O11239">
        <v>0</v>
      </c>
      <c r="P11239" t="s">
        <v>16796</v>
      </c>
      <c r="Q11239" t="s">
        <v>16797</v>
      </c>
      <c r="R11239" t="s">
        <v>288</v>
      </c>
      <c r="S11239" t="s">
        <v>289</v>
      </c>
      <c r="V11239" t="s">
        <v>16798</v>
      </c>
      <c r="W11239" t="s">
        <v>16799</v>
      </c>
      <c r="AF11239" t="s">
        <v>22837</v>
      </c>
    </row>
    <row r="11240" spans="1:32" hidden="1" x14ac:dyDescent="0.35">
      <c r="A11240">
        <v>624</v>
      </c>
      <c r="B11240" t="s">
        <v>1267</v>
      </c>
      <c r="C11240" t="s">
        <v>72</v>
      </c>
      <c r="D11240" t="s">
        <v>58</v>
      </c>
      <c r="E11240">
        <v>362</v>
      </c>
      <c r="F11240">
        <v>5</v>
      </c>
      <c r="G11240">
        <v>5</v>
      </c>
      <c r="H11240">
        <v>1</v>
      </c>
      <c r="I11240">
        <v>1</v>
      </c>
      <c r="J11240">
        <v>0.84110169491525399</v>
      </c>
      <c r="K11240">
        <v>0.97767984127262797</v>
      </c>
      <c r="L11240">
        <v>0.90426272228655002</v>
      </c>
      <c r="M11240">
        <v>0.71301775147929003</v>
      </c>
      <c r="N11240">
        <v>1</v>
      </c>
      <c r="O11240">
        <v>0.77544378698224903</v>
      </c>
      <c r="P11240" t="s">
        <v>1268</v>
      </c>
      <c r="Q11240" t="s">
        <v>1269</v>
      </c>
      <c r="R11240" t="s">
        <v>224</v>
      </c>
      <c r="S11240" t="s">
        <v>225</v>
      </c>
      <c r="T11240" t="s">
        <v>1270</v>
      </c>
      <c r="U11240" t="s">
        <v>1271</v>
      </c>
      <c r="V11240" t="s">
        <v>1272</v>
      </c>
      <c r="W11240" t="s">
        <v>1273</v>
      </c>
      <c r="AD11240" t="s">
        <v>1274</v>
      </c>
      <c r="AE11240" t="s">
        <v>1275</v>
      </c>
      <c r="AF11240" t="s">
        <v>1276</v>
      </c>
    </row>
    <row r="11241" spans="1:32" hidden="1" x14ac:dyDescent="0.35">
      <c r="A11241">
        <v>11240</v>
      </c>
      <c r="B11241" t="s">
        <v>22843</v>
      </c>
      <c r="C11241" t="s">
        <v>33</v>
      </c>
      <c r="D11241" t="s">
        <v>58</v>
      </c>
      <c r="E11241">
        <v>1214</v>
      </c>
      <c r="F11241">
        <v>1</v>
      </c>
      <c r="G11241">
        <v>1</v>
      </c>
      <c r="H11241">
        <v>1</v>
      </c>
      <c r="I11241">
        <v>0</v>
      </c>
      <c r="J11241">
        <v>1</v>
      </c>
      <c r="K11241">
        <v>1</v>
      </c>
      <c r="L11241">
        <v>1</v>
      </c>
      <c r="M11241">
        <v>0</v>
      </c>
      <c r="N11241">
        <v>0</v>
      </c>
      <c r="O11241">
        <v>0</v>
      </c>
      <c r="P11241" t="s">
        <v>4358</v>
      </c>
      <c r="Q11241" t="s">
        <v>4359</v>
      </c>
      <c r="R11241" t="s">
        <v>319</v>
      </c>
      <c r="S11241" t="s">
        <v>320</v>
      </c>
      <c r="V11241" t="s">
        <v>4360</v>
      </c>
      <c r="W11241" t="s">
        <v>4361</v>
      </c>
      <c r="AF11241" t="s">
        <v>22844</v>
      </c>
    </row>
    <row r="11242" spans="1:32" hidden="1" x14ac:dyDescent="0.35">
      <c r="A11242">
        <v>11241</v>
      </c>
      <c r="B11242" t="s">
        <v>22845</v>
      </c>
      <c r="C11242" t="s">
        <v>33</v>
      </c>
      <c r="D11242" t="s">
        <v>34</v>
      </c>
      <c r="E11242">
        <v>1088</v>
      </c>
      <c r="F11242">
        <v>1</v>
      </c>
      <c r="G11242">
        <v>1</v>
      </c>
      <c r="H11242">
        <v>1</v>
      </c>
      <c r="I11242">
        <v>0</v>
      </c>
      <c r="J11242">
        <v>1</v>
      </c>
      <c r="K11242">
        <v>1</v>
      </c>
      <c r="L11242">
        <v>1</v>
      </c>
      <c r="M11242">
        <v>0</v>
      </c>
      <c r="N11242">
        <v>0</v>
      </c>
      <c r="O11242">
        <v>0</v>
      </c>
      <c r="AF11242" t="s">
        <v>22846</v>
      </c>
    </row>
    <row r="11243" spans="1:32" hidden="1" x14ac:dyDescent="0.35">
      <c r="A11243">
        <v>11242</v>
      </c>
      <c r="B11243" t="s">
        <v>22847</v>
      </c>
      <c r="C11243" t="s">
        <v>33</v>
      </c>
      <c r="D11243" t="s">
        <v>58</v>
      </c>
      <c r="E11243">
        <v>1487</v>
      </c>
      <c r="F11243">
        <v>1</v>
      </c>
      <c r="G11243">
        <v>1</v>
      </c>
      <c r="H11243">
        <v>1</v>
      </c>
      <c r="I11243">
        <v>0</v>
      </c>
      <c r="J11243">
        <v>1</v>
      </c>
      <c r="K11243">
        <v>1</v>
      </c>
      <c r="L11243">
        <v>1</v>
      </c>
      <c r="M11243">
        <v>0</v>
      </c>
      <c r="N11243">
        <v>0</v>
      </c>
      <c r="O11243">
        <v>0</v>
      </c>
      <c r="P11243" t="s">
        <v>169</v>
      </c>
      <c r="Q11243" t="s">
        <v>170</v>
      </c>
      <c r="R11243" t="s">
        <v>96</v>
      </c>
      <c r="S11243" t="s">
        <v>97</v>
      </c>
      <c r="T11243" t="s">
        <v>12817</v>
      </c>
      <c r="U11243" t="s">
        <v>12818</v>
      </c>
      <c r="V11243" t="s">
        <v>11799</v>
      </c>
      <c r="W11243" t="s">
        <v>11800</v>
      </c>
      <c r="AD11243" t="s">
        <v>439</v>
      </c>
      <c r="AE11243" t="s">
        <v>471</v>
      </c>
      <c r="AF11243" t="s">
        <v>22848</v>
      </c>
    </row>
    <row r="11244" spans="1:32" hidden="1" x14ac:dyDescent="0.35">
      <c r="A11244">
        <v>11243</v>
      </c>
      <c r="B11244" t="s">
        <v>22849</v>
      </c>
      <c r="C11244" t="s">
        <v>33</v>
      </c>
      <c r="D11244" t="s">
        <v>58</v>
      </c>
      <c r="E11244">
        <v>510</v>
      </c>
      <c r="F11244">
        <v>1</v>
      </c>
      <c r="G11244">
        <v>1</v>
      </c>
      <c r="H11244">
        <v>1</v>
      </c>
      <c r="I11244">
        <v>0</v>
      </c>
      <c r="J11244">
        <v>1</v>
      </c>
      <c r="K11244">
        <v>1</v>
      </c>
      <c r="L11244">
        <v>1</v>
      </c>
      <c r="M11244">
        <v>0</v>
      </c>
      <c r="N11244">
        <v>0</v>
      </c>
      <c r="O11244">
        <v>0</v>
      </c>
      <c r="AF11244" t="s">
        <v>22850</v>
      </c>
    </row>
    <row r="11245" spans="1:32" hidden="1" x14ac:dyDescent="0.35">
      <c r="A11245">
        <v>11244</v>
      </c>
      <c r="B11245" t="s">
        <v>22851</v>
      </c>
      <c r="C11245" t="s">
        <v>33</v>
      </c>
      <c r="D11245" t="s">
        <v>58</v>
      </c>
      <c r="E11245">
        <v>483</v>
      </c>
      <c r="F11245">
        <v>1</v>
      </c>
      <c r="G11245">
        <v>1</v>
      </c>
      <c r="H11245">
        <v>1</v>
      </c>
      <c r="I11245">
        <v>0</v>
      </c>
      <c r="J11245">
        <v>1</v>
      </c>
      <c r="K11245">
        <v>1</v>
      </c>
      <c r="L11245">
        <v>1</v>
      </c>
      <c r="M11245">
        <v>0</v>
      </c>
      <c r="N11245">
        <v>0</v>
      </c>
      <c r="O11245">
        <v>0</v>
      </c>
      <c r="AF11245" t="s">
        <v>22852</v>
      </c>
    </row>
    <row r="11246" spans="1:32" hidden="1" x14ac:dyDescent="0.35">
      <c r="A11246">
        <v>11245</v>
      </c>
      <c r="B11246" t="s">
        <v>22853</v>
      </c>
      <c r="C11246" t="s">
        <v>33</v>
      </c>
      <c r="D11246" t="s">
        <v>58</v>
      </c>
      <c r="E11246">
        <v>353</v>
      </c>
      <c r="F11246">
        <v>1</v>
      </c>
      <c r="G11246">
        <v>1</v>
      </c>
      <c r="H11246">
        <v>1</v>
      </c>
      <c r="I11246">
        <v>0</v>
      </c>
      <c r="J11246">
        <v>1</v>
      </c>
      <c r="K11246">
        <v>1</v>
      </c>
      <c r="L11246">
        <v>1</v>
      </c>
      <c r="M11246">
        <v>0</v>
      </c>
      <c r="N11246">
        <v>0</v>
      </c>
      <c r="O11246">
        <v>0</v>
      </c>
      <c r="R11246" t="s">
        <v>288</v>
      </c>
      <c r="S11246" t="s">
        <v>289</v>
      </c>
      <c r="T11246" t="s">
        <v>10380</v>
      </c>
      <c r="U11246" t="s">
        <v>10381</v>
      </c>
      <c r="V11246" t="s">
        <v>10382</v>
      </c>
      <c r="W11246" t="s">
        <v>10383</v>
      </c>
      <c r="AD11246" t="s">
        <v>4789</v>
      </c>
      <c r="AE11246" t="s">
        <v>10384</v>
      </c>
      <c r="AF11246" t="s">
        <v>22854</v>
      </c>
    </row>
    <row r="11247" spans="1:32" hidden="1" x14ac:dyDescent="0.35">
      <c r="A11247">
        <v>11246</v>
      </c>
      <c r="B11247" t="s">
        <v>22855</v>
      </c>
      <c r="C11247" t="s">
        <v>33</v>
      </c>
      <c r="D11247" t="s">
        <v>58</v>
      </c>
      <c r="E11247">
        <v>867</v>
      </c>
      <c r="F11247">
        <v>1</v>
      </c>
      <c r="G11247">
        <v>1</v>
      </c>
      <c r="H11247">
        <v>1</v>
      </c>
      <c r="I11247">
        <v>0</v>
      </c>
      <c r="J11247">
        <v>1</v>
      </c>
      <c r="K11247">
        <v>1</v>
      </c>
      <c r="L11247">
        <v>1</v>
      </c>
      <c r="M11247">
        <v>0</v>
      </c>
      <c r="N11247">
        <v>0</v>
      </c>
      <c r="O11247">
        <v>0</v>
      </c>
      <c r="P11247" t="s">
        <v>17658</v>
      </c>
      <c r="Q11247" t="s">
        <v>17659</v>
      </c>
      <c r="AF11247" t="s">
        <v>22856</v>
      </c>
    </row>
    <row r="11248" spans="1:32" hidden="1" x14ac:dyDescent="0.35">
      <c r="A11248">
        <v>11247</v>
      </c>
      <c r="B11248" t="s">
        <v>22857</v>
      </c>
      <c r="C11248" t="s">
        <v>33</v>
      </c>
      <c r="D11248" t="s">
        <v>58</v>
      </c>
      <c r="E11248">
        <v>448</v>
      </c>
      <c r="F11248">
        <v>1</v>
      </c>
      <c r="G11248">
        <v>1</v>
      </c>
      <c r="H11248">
        <v>1</v>
      </c>
      <c r="I11248">
        <v>0</v>
      </c>
      <c r="J11248">
        <v>1</v>
      </c>
      <c r="K11248">
        <v>1</v>
      </c>
      <c r="L11248">
        <v>1</v>
      </c>
      <c r="M11248">
        <v>0</v>
      </c>
      <c r="N11248">
        <v>0</v>
      </c>
      <c r="O11248">
        <v>0</v>
      </c>
      <c r="P11248" t="s">
        <v>14188</v>
      </c>
      <c r="Q11248" t="s">
        <v>14189</v>
      </c>
      <c r="AF11248" t="s">
        <v>22858</v>
      </c>
    </row>
    <row r="11249" spans="1:32" hidden="1" x14ac:dyDescent="0.35">
      <c r="A11249">
        <v>11248</v>
      </c>
      <c r="B11249" t="s">
        <v>22859</v>
      </c>
      <c r="C11249" t="s">
        <v>33</v>
      </c>
      <c r="D11249" t="s">
        <v>58</v>
      </c>
      <c r="E11249">
        <v>62</v>
      </c>
      <c r="F11249">
        <v>1</v>
      </c>
      <c r="G11249">
        <v>1</v>
      </c>
      <c r="H11249">
        <v>1</v>
      </c>
      <c r="I11249">
        <v>0</v>
      </c>
      <c r="J11249">
        <v>1</v>
      </c>
      <c r="K11249">
        <v>1</v>
      </c>
      <c r="L11249">
        <v>1</v>
      </c>
      <c r="M11249">
        <v>0</v>
      </c>
      <c r="N11249">
        <v>0</v>
      </c>
      <c r="O11249">
        <v>0</v>
      </c>
      <c r="AF11249" t="s">
        <v>22860</v>
      </c>
    </row>
    <row r="11250" spans="1:32" hidden="1" x14ac:dyDescent="0.35">
      <c r="A11250">
        <v>11249</v>
      </c>
      <c r="B11250" t="s">
        <v>22861</v>
      </c>
      <c r="C11250" t="s">
        <v>33</v>
      </c>
      <c r="D11250" t="s">
        <v>58</v>
      </c>
      <c r="E11250">
        <v>110</v>
      </c>
      <c r="F11250">
        <v>1</v>
      </c>
      <c r="G11250">
        <v>1</v>
      </c>
      <c r="H11250">
        <v>1</v>
      </c>
      <c r="I11250">
        <v>0</v>
      </c>
      <c r="J11250">
        <v>1</v>
      </c>
      <c r="K11250">
        <v>1</v>
      </c>
      <c r="L11250">
        <v>1</v>
      </c>
      <c r="M11250">
        <v>0</v>
      </c>
      <c r="N11250">
        <v>0</v>
      </c>
      <c r="O11250">
        <v>0</v>
      </c>
      <c r="AF11250" t="s">
        <v>22862</v>
      </c>
    </row>
    <row r="11251" spans="1:32" hidden="1" x14ac:dyDescent="0.35">
      <c r="A11251">
        <v>10854</v>
      </c>
      <c r="B11251" t="s">
        <v>21806</v>
      </c>
      <c r="C11251" t="s">
        <v>33</v>
      </c>
      <c r="D11251" t="s">
        <v>58</v>
      </c>
      <c r="E11251">
        <v>1136</v>
      </c>
      <c r="F11251">
        <v>1</v>
      </c>
      <c r="G11251">
        <v>1</v>
      </c>
      <c r="H11251">
        <v>1</v>
      </c>
      <c r="I11251">
        <v>0</v>
      </c>
      <c r="J11251">
        <v>1</v>
      </c>
      <c r="K11251">
        <v>1</v>
      </c>
      <c r="L11251">
        <v>1</v>
      </c>
      <c r="M11251">
        <v>0</v>
      </c>
      <c r="N11251">
        <v>0</v>
      </c>
      <c r="O11251">
        <v>0</v>
      </c>
      <c r="P11251" t="s">
        <v>10179</v>
      </c>
      <c r="Q11251" t="s">
        <v>10180</v>
      </c>
      <c r="R11251" t="s">
        <v>224</v>
      </c>
      <c r="S11251" t="s">
        <v>225</v>
      </c>
      <c r="T11251" t="s">
        <v>10181</v>
      </c>
      <c r="U11251" t="s">
        <v>10182</v>
      </c>
      <c r="V11251" t="s">
        <v>10183</v>
      </c>
      <c r="W11251" t="s">
        <v>10184</v>
      </c>
      <c r="AD11251" t="s">
        <v>210</v>
      </c>
      <c r="AE11251" t="s">
        <v>1520</v>
      </c>
      <c r="AF11251" t="s">
        <v>21807</v>
      </c>
    </row>
    <row r="11252" spans="1:32" hidden="1" x14ac:dyDescent="0.35">
      <c r="A11252">
        <v>539</v>
      </c>
      <c r="B11252" t="s">
        <v>1043</v>
      </c>
      <c r="C11252" t="s">
        <v>72</v>
      </c>
      <c r="D11252" t="s">
        <v>58</v>
      </c>
      <c r="E11252">
        <v>1166</v>
      </c>
      <c r="F11252">
        <v>5</v>
      </c>
      <c r="G11252">
        <v>5</v>
      </c>
      <c r="H11252">
        <v>1</v>
      </c>
      <c r="I11252">
        <v>1</v>
      </c>
      <c r="J11252">
        <v>0.91621621621621596</v>
      </c>
      <c r="K11252">
        <v>1</v>
      </c>
      <c r="L11252">
        <v>0.95627644569816606</v>
      </c>
      <c r="M11252">
        <v>0.81621621621621598</v>
      </c>
      <c r="N11252">
        <v>1</v>
      </c>
      <c r="O11252">
        <v>0.86648648648648696</v>
      </c>
      <c r="P11252" t="s">
        <v>1044</v>
      </c>
      <c r="Q11252" t="s">
        <v>1045</v>
      </c>
      <c r="R11252" t="s">
        <v>224</v>
      </c>
      <c r="S11252" t="s">
        <v>225</v>
      </c>
      <c r="T11252" t="s">
        <v>1046</v>
      </c>
      <c r="U11252" t="s">
        <v>1047</v>
      </c>
      <c r="V11252" t="s">
        <v>1048</v>
      </c>
      <c r="W11252" t="s">
        <v>1049</v>
      </c>
      <c r="AD11252" t="s">
        <v>1050</v>
      </c>
      <c r="AE11252" t="s">
        <v>1051</v>
      </c>
      <c r="AF11252" t="s">
        <v>1052</v>
      </c>
    </row>
    <row r="11253" spans="1:32" hidden="1" x14ac:dyDescent="0.35">
      <c r="A11253">
        <v>11539</v>
      </c>
      <c r="B11253" t="s">
        <v>23583</v>
      </c>
      <c r="C11253" t="s">
        <v>33</v>
      </c>
      <c r="D11253" t="s">
        <v>58</v>
      </c>
      <c r="E11253">
        <v>49</v>
      </c>
      <c r="F11253">
        <v>1</v>
      </c>
      <c r="G11253">
        <v>1</v>
      </c>
      <c r="H11253">
        <v>1</v>
      </c>
      <c r="I11253">
        <v>0</v>
      </c>
      <c r="J11253">
        <v>1</v>
      </c>
      <c r="K11253">
        <v>1</v>
      </c>
      <c r="L11253">
        <v>1</v>
      </c>
      <c r="M11253">
        <v>0</v>
      </c>
      <c r="N11253">
        <v>0</v>
      </c>
      <c r="O11253">
        <v>0</v>
      </c>
      <c r="P11253" t="s">
        <v>11166</v>
      </c>
      <c r="Q11253" t="s">
        <v>936</v>
      </c>
      <c r="R11253" t="s">
        <v>224</v>
      </c>
      <c r="S11253" t="s">
        <v>225</v>
      </c>
      <c r="T11253" t="s">
        <v>11167</v>
      </c>
      <c r="U11253" t="s">
        <v>1585</v>
      </c>
      <c r="V11253" t="s">
        <v>11168</v>
      </c>
      <c r="W11253" t="s">
        <v>11169</v>
      </c>
      <c r="AD11253" t="s">
        <v>210</v>
      </c>
      <c r="AE11253" t="s">
        <v>1520</v>
      </c>
      <c r="AF11253" t="s">
        <v>23584</v>
      </c>
    </row>
    <row r="11254" spans="1:32" hidden="1" x14ac:dyDescent="0.35">
      <c r="A11254">
        <v>849</v>
      </c>
      <c r="B11254" t="s">
        <v>1765</v>
      </c>
      <c r="C11254" t="s">
        <v>72</v>
      </c>
      <c r="D11254" t="s">
        <v>58</v>
      </c>
      <c r="E11254">
        <v>354</v>
      </c>
      <c r="F11254">
        <v>5</v>
      </c>
      <c r="G11254">
        <v>5</v>
      </c>
      <c r="H11254">
        <v>1</v>
      </c>
      <c r="I11254">
        <v>1</v>
      </c>
      <c r="J11254">
        <v>0.85884509624198002</v>
      </c>
      <c r="K11254">
        <v>0.98298071827483902</v>
      </c>
      <c r="L11254">
        <v>0.91672965264876305</v>
      </c>
      <c r="M11254">
        <v>0.76126126126126104</v>
      </c>
      <c r="N11254">
        <v>1</v>
      </c>
      <c r="O11254">
        <v>0.81981981981981999</v>
      </c>
      <c r="P11254" t="s">
        <v>1766</v>
      </c>
      <c r="Q11254" t="s">
        <v>1767</v>
      </c>
      <c r="R11254" t="s">
        <v>224</v>
      </c>
      <c r="S11254" t="s">
        <v>225</v>
      </c>
      <c r="T11254" t="s">
        <v>1768</v>
      </c>
      <c r="U11254" t="s">
        <v>1769</v>
      </c>
      <c r="V11254" t="s">
        <v>1770</v>
      </c>
      <c r="W11254" t="s">
        <v>1771</v>
      </c>
      <c r="AD11254" t="s">
        <v>210</v>
      </c>
      <c r="AE11254" t="s">
        <v>1520</v>
      </c>
      <c r="AF11254" t="s">
        <v>1772</v>
      </c>
    </row>
    <row r="11255" spans="1:32" hidden="1" x14ac:dyDescent="0.35">
      <c r="A11255">
        <v>739</v>
      </c>
      <c r="B11255" t="s">
        <v>1513</v>
      </c>
      <c r="C11255" t="s">
        <v>72</v>
      </c>
      <c r="D11255" t="s">
        <v>58</v>
      </c>
      <c r="E11255">
        <v>688</v>
      </c>
      <c r="F11255">
        <v>5</v>
      </c>
      <c r="G11255">
        <v>5</v>
      </c>
      <c r="H11255">
        <v>1</v>
      </c>
      <c r="I11255">
        <v>1</v>
      </c>
      <c r="J11255">
        <v>0.89667761956918601</v>
      </c>
      <c r="K11255">
        <v>0.93690340350187096</v>
      </c>
      <c r="L11255">
        <v>0.91634926741469602</v>
      </c>
      <c r="M11255">
        <v>0.75447570332480796</v>
      </c>
      <c r="N11255">
        <v>1</v>
      </c>
      <c r="O11255">
        <v>0.82864450127877198</v>
      </c>
      <c r="P11255" t="s">
        <v>1514</v>
      </c>
      <c r="Q11255" t="s">
        <v>1515</v>
      </c>
      <c r="R11255" t="s">
        <v>224</v>
      </c>
      <c r="S11255" t="s">
        <v>225</v>
      </c>
      <c r="T11255" t="s">
        <v>1516</v>
      </c>
      <c r="U11255" t="s">
        <v>1517</v>
      </c>
      <c r="V11255" t="s">
        <v>1518</v>
      </c>
      <c r="W11255" t="s">
        <v>1519</v>
      </c>
      <c r="AD11255" t="s">
        <v>210</v>
      </c>
      <c r="AE11255" t="s">
        <v>1520</v>
      </c>
      <c r="AF11255" t="s">
        <v>1521</v>
      </c>
    </row>
    <row r="11256" spans="1:32" hidden="1" x14ac:dyDescent="0.35">
      <c r="A11256">
        <v>11255</v>
      </c>
      <c r="B11256" t="s">
        <v>22888</v>
      </c>
      <c r="C11256" t="s">
        <v>33</v>
      </c>
      <c r="D11256" t="s">
        <v>58</v>
      </c>
      <c r="E11256">
        <v>495</v>
      </c>
      <c r="F11256">
        <v>1</v>
      </c>
      <c r="G11256">
        <v>1</v>
      </c>
      <c r="H11256">
        <v>1</v>
      </c>
      <c r="I11256">
        <v>0</v>
      </c>
      <c r="J11256">
        <v>1</v>
      </c>
      <c r="K11256">
        <v>1</v>
      </c>
      <c r="L11256">
        <v>1</v>
      </c>
      <c r="M11256">
        <v>0</v>
      </c>
      <c r="N11256">
        <v>0</v>
      </c>
      <c r="O11256">
        <v>0</v>
      </c>
      <c r="P11256" t="s">
        <v>3006</v>
      </c>
      <c r="Q11256" t="s">
        <v>3007</v>
      </c>
      <c r="R11256" t="s">
        <v>3008</v>
      </c>
      <c r="S11256" t="s">
        <v>3009</v>
      </c>
      <c r="T11256" t="s">
        <v>3010</v>
      </c>
      <c r="U11256" t="s">
        <v>3011</v>
      </c>
      <c r="V11256" t="s">
        <v>3012</v>
      </c>
      <c r="W11256" t="s">
        <v>3013</v>
      </c>
      <c r="X11256" t="s">
        <v>3012</v>
      </c>
      <c r="Y11256" t="s">
        <v>3014</v>
      </c>
      <c r="Z11256" t="s">
        <v>3015</v>
      </c>
      <c r="AA11256" t="s">
        <v>3016</v>
      </c>
      <c r="AB11256" t="s">
        <v>3015</v>
      </c>
      <c r="AC11256" t="s">
        <v>2304</v>
      </c>
      <c r="AD11256" t="s">
        <v>3017</v>
      </c>
      <c r="AE11256" t="s">
        <v>3018</v>
      </c>
      <c r="AF11256" t="s">
        <v>22889</v>
      </c>
    </row>
    <row r="11257" spans="1:32" hidden="1" x14ac:dyDescent="0.35">
      <c r="A11257">
        <v>2154</v>
      </c>
      <c r="B11257" t="s">
        <v>4480</v>
      </c>
      <c r="C11257" t="s">
        <v>72</v>
      </c>
      <c r="D11257" t="s">
        <v>58</v>
      </c>
      <c r="E11257">
        <v>1132</v>
      </c>
      <c r="F11257">
        <v>5</v>
      </c>
      <c r="G11257">
        <v>5</v>
      </c>
      <c r="H11257">
        <v>1</v>
      </c>
      <c r="I11257">
        <v>1</v>
      </c>
      <c r="J11257">
        <v>0.81043517885623195</v>
      </c>
      <c r="K11257">
        <v>0.95157881334351901</v>
      </c>
      <c r="L11257">
        <v>0.87535394066317895</v>
      </c>
      <c r="M11257">
        <v>0.62337662337662303</v>
      </c>
      <c r="N11257">
        <v>1</v>
      </c>
      <c r="O11257">
        <v>0.72337662337662301</v>
      </c>
      <c r="P11257" t="s">
        <v>4481</v>
      </c>
      <c r="Q11257" t="s">
        <v>4482</v>
      </c>
      <c r="R11257" t="s">
        <v>224</v>
      </c>
      <c r="S11257" t="s">
        <v>225</v>
      </c>
      <c r="T11257" t="s">
        <v>4483</v>
      </c>
      <c r="U11257" t="s">
        <v>4484</v>
      </c>
      <c r="V11257" t="s">
        <v>4485</v>
      </c>
      <c r="W11257" t="s">
        <v>4486</v>
      </c>
      <c r="AD11257" t="s">
        <v>210</v>
      </c>
      <c r="AE11257" t="s">
        <v>1520</v>
      </c>
      <c r="AF11257" t="s">
        <v>4487</v>
      </c>
    </row>
    <row r="11258" spans="1:32" hidden="1" x14ac:dyDescent="0.35">
      <c r="A11258">
        <v>11257</v>
      </c>
      <c r="B11258" t="s">
        <v>22892</v>
      </c>
      <c r="C11258" t="s">
        <v>33</v>
      </c>
      <c r="D11258" t="s">
        <v>60</v>
      </c>
      <c r="E11258">
        <v>1262</v>
      </c>
      <c r="F11258">
        <v>1</v>
      </c>
      <c r="G11258">
        <v>1</v>
      </c>
      <c r="H11258">
        <v>1</v>
      </c>
      <c r="I11258">
        <v>0</v>
      </c>
      <c r="J11258">
        <v>1</v>
      </c>
      <c r="K11258">
        <v>1</v>
      </c>
      <c r="L11258">
        <v>1</v>
      </c>
      <c r="M11258">
        <v>0</v>
      </c>
      <c r="N11258">
        <v>0</v>
      </c>
      <c r="O11258">
        <v>0</v>
      </c>
      <c r="AF11258" t="s">
        <v>22893</v>
      </c>
    </row>
    <row r="11259" spans="1:32" hidden="1" x14ac:dyDescent="0.35">
      <c r="A11259">
        <v>11258</v>
      </c>
      <c r="B11259" t="s">
        <v>22894</v>
      </c>
      <c r="C11259" t="s">
        <v>33</v>
      </c>
      <c r="D11259" t="s">
        <v>62</v>
      </c>
      <c r="E11259">
        <v>943</v>
      </c>
      <c r="F11259">
        <v>1</v>
      </c>
      <c r="G11259">
        <v>1</v>
      </c>
      <c r="H11259">
        <v>1</v>
      </c>
      <c r="I11259">
        <v>0</v>
      </c>
      <c r="J11259">
        <v>1</v>
      </c>
      <c r="K11259">
        <v>1</v>
      </c>
      <c r="L11259">
        <v>1</v>
      </c>
      <c r="M11259">
        <v>0</v>
      </c>
      <c r="N11259">
        <v>0</v>
      </c>
      <c r="O11259">
        <v>0</v>
      </c>
      <c r="AF11259" t="s">
        <v>22895</v>
      </c>
    </row>
    <row r="11260" spans="1:32" hidden="1" x14ac:dyDescent="0.35">
      <c r="A11260">
        <v>1874</v>
      </c>
      <c r="B11260" t="s">
        <v>3880</v>
      </c>
      <c r="C11260" t="s">
        <v>72</v>
      </c>
      <c r="D11260" t="s">
        <v>58</v>
      </c>
      <c r="E11260">
        <v>1324</v>
      </c>
      <c r="F11260">
        <v>5</v>
      </c>
      <c r="G11260">
        <v>5</v>
      </c>
      <c r="H11260">
        <v>1</v>
      </c>
      <c r="I11260">
        <v>1</v>
      </c>
      <c r="J11260">
        <v>0.87650028971111704</v>
      </c>
      <c r="K11260">
        <v>0.98705557161439095</v>
      </c>
      <c r="L11260">
        <v>0.92849858964315601</v>
      </c>
      <c r="M11260">
        <v>0.76715686274509798</v>
      </c>
      <c r="N11260">
        <v>1</v>
      </c>
      <c r="O11260">
        <v>0.82794117647058796</v>
      </c>
      <c r="P11260" t="s">
        <v>3881</v>
      </c>
      <c r="Q11260" t="s">
        <v>3882</v>
      </c>
      <c r="R11260" t="s">
        <v>652</v>
      </c>
      <c r="S11260" t="s">
        <v>653</v>
      </c>
      <c r="T11260" t="s">
        <v>3883</v>
      </c>
      <c r="U11260" t="s">
        <v>3884</v>
      </c>
      <c r="V11260" t="s">
        <v>3885</v>
      </c>
      <c r="W11260" t="s">
        <v>3886</v>
      </c>
      <c r="Z11260" t="s">
        <v>3855</v>
      </c>
      <c r="AA11260" t="s">
        <v>3856</v>
      </c>
      <c r="AB11260" t="s">
        <v>3855</v>
      </c>
      <c r="AC11260" t="s">
        <v>729</v>
      </c>
      <c r="AD11260" t="s">
        <v>219</v>
      </c>
      <c r="AE11260" t="s">
        <v>3857</v>
      </c>
      <c r="AF11260" t="s">
        <v>3887</v>
      </c>
    </row>
    <row r="11261" spans="1:32" hidden="1" x14ac:dyDescent="0.35">
      <c r="A11261">
        <v>11260</v>
      </c>
      <c r="B11261" t="s">
        <v>22902</v>
      </c>
      <c r="C11261" t="s">
        <v>33</v>
      </c>
      <c r="D11261" t="s">
        <v>58</v>
      </c>
      <c r="E11261">
        <v>1322</v>
      </c>
      <c r="F11261">
        <v>1</v>
      </c>
      <c r="G11261">
        <v>1</v>
      </c>
      <c r="H11261">
        <v>1</v>
      </c>
      <c r="I11261">
        <v>0</v>
      </c>
      <c r="J11261">
        <v>1</v>
      </c>
      <c r="K11261">
        <v>1</v>
      </c>
      <c r="L11261">
        <v>1</v>
      </c>
      <c r="M11261">
        <v>0</v>
      </c>
      <c r="N11261">
        <v>0</v>
      </c>
      <c r="O11261">
        <v>0</v>
      </c>
      <c r="P11261" t="s">
        <v>10222</v>
      </c>
      <c r="Q11261" t="s">
        <v>10223</v>
      </c>
      <c r="R11261" t="s">
        <v>10224</v>
      </c>
      <c r="S11261" t="s">
        <v>10225</v>
      </c>
      <c r="V11261" t="s">
        <v>10228</v>
      </c>
      <c r="W11261" t="s">
        <v>10229</v>
      </c>
      <c r="AF11261" t="s">
        <v>22903</v>
      </c>
    </row>
    <row r="11262" spans="1:32" hidden="1" x14ac:dyDescent="0.35">
      <c r="A11262">
        <v>3564</v>
      </c>
      <c r="B11262" t="s">
        <v>7322</v>
      </c>
      <c r="C11262" t="s">
        <v>72</v>
      </c>
      <c r="D11262" t="s">
        <v>58</v>
      </c>
      <c r="E11262">
        <v>855</v>
      </c>
      <c r="F11262">
        <v>5</v>
      </c>
      <c r="G11262">
        <v>5</v>
      </c>
      <c r="H11262">
        <v>1</v>
      </c>
      <c r="I11262">
        <v>1</v>
      </c>
      <c r="J11262">
        <v>0.77536231884058004</v>
      </c>
      <c r="K11262">
        <v>0.90013568521031195</v>
      </c>
      <c r="L11262">
        <v>0.83310310184603797</v>
      </c>
      <c r="M11262">
        <v>0.56716417910447803</v>
      </c>
      <c r="N11262">
        <v>0.97014925373134298</v>
      </c>
      <c r="O11262">
        <v>0.67014925373134304</v>
      </c>
      <c r="P11262" t="s">
        <v>7323</v>
      </c>
      <c r="Q11262" t="s">
        <v>7324</v>
      </c>
      <c r="R11262" t="s">
        <v>224</v>
      </c>
      <c r="S11262" t="s">
        <v>225</v>
      </c>
      <c r="T11262" t="s">
        <v>7325</v>
      </c>
      <c r="U11262" t="s">
        <v>407</v>
      </c>
      <c r="V11262" t="s">
        <v>7326</v>
      </c>
      <c r="W11262" t="s">
        <v>7327</v>
      </c>
      <c r="AD11262" t="s">
        <v>410</v>
      </c>
      <c r="AE11262" t="s">
        <v>411</v>
      </c>
      <c r="AF11262" t="s">
        <v>7328</v>
      </c>
    </row>
    <row r="11263" spans="1:32" hidden="1" x14ac:dyDescent="0.35">
      <c r="A11263">
        <v>11262</v>
      </c>
      <c r="B11263" t="s">
        <v>22906</v>
      </c>
      <c r="C11263" t="s">
        <v>33</v>
      </c>
      <c r="D11263" t="s">
        <v>34</v>
      </c>
      <c r="E11263">
        <v>1123</v>
      </c>
      <c r="F11263">
        <v>1</v>
      </c>
      <c r="G11263">
        <v>1</v>
      </c>
      <c r="H11263">
        <v>1</v>
      </c>
      <c r="I11263">
        <v>0</v>
      </c>
      <c r="J11263">
        <v>1</v>
      </c>
      <c r="K11263">
        <v>1</v>
      </c>
      <c r="L11263">
        <v>1</v>
      </c>
      <c r="M11263">
        <v>0</v>
      </c>
      <c r="N11263">
        <v>0</v>
      </c>
      <c r="O11263">
        <v>0</v>
      </c>
      <c r="AF11263" t="s">
        <v>22907</v>
      </c>
    </row>
    <row r="11264" spans="1:32" hidden="1" x14ac:dyDescent="0.35">
      <c r="A11264">
        <v>11263</v>
      </c>
      <c r="B11264" t="s">
        <v>22908</v>
      </c>
      <c r="C11264" t="s">
        <v>33</v>
      </c>
      <c r="D11264" t="s">
        <v>58</v>
      </c>
      <c r="E11264">
        <v>1353</v>
      </c>
      <c r="F11264">
        <v>1</v>
      </c>
      <c r="G11264">
        <v>1</v>
      </c>
      <c r="H11264">
        <v>1</v>
      </c>
      <c r="I11264">
        <v>0</v>
      </c>
      <c r="J11264">
        <v>1</v>
      </c>
      <c r="K11264">
        <v>1</v>
      </c>
      <c r="L11264">
        <v>1</v>
      </c>
      <c r="M11264">
        <v>0</v>
      </c>
      <c r="N11264">
        <v>0</v>
      </c>
      <c r="O11264">
        <v>0</v>
      </c>
      <c r="P11264" t="s">
        <v>22909</v>
      </c>
      <c r="Q11264" t="s">
        <v>22910</v>
      </c>
      <c r="AF11264" t="s">
        <v>22911</v>
      </c>
    </row>
    <row r="11265" spans="1:32" hidden="1" x14ac:dyDescent="0.35">
      <c r="A11265">
        <v>11264</v>
      </c>
      <c r="B11265" t="s">
        <v>22912</v>
      </c>
      <c r="C11265" t="s">
        <v>33</v>
      </c>
      <c r="D11265" t="s">
        <v>45</v>
      </c>
      <c r="E11265">
        <v>598</v>
      </c>
      <c r="F11265">
        <v>1</v>
      </c>
      <c r="G11265">
        <v>1</v>
      </c>
      <c r="H11265">
        <v>1</v>
      </c>
      <c r="I11265">
        <v>0</v>
      </c>
      <c r="J11265">
        <v>1</v>
      </c>
      <c r="K11265">
        <v>1</v>
      </c>
      <c r="L11265">
        <v>1</v>
      </c>
      <c r="M11265">
        <v>0</v>
      </c>
      <c r="N11265">
        <v>0</v>
      </c>
      <c r="O11265">
        <v>0</v>
      </c>
      <c r="AF11265" t="s">
        <v>22913</v>
      </c>
    </row>
    <row r="11266" spans="1:32" hidden="1" x14ac:dyDescent="0.35">
      <c r="A11266">
        <v>11265</v>
      </c>
      <c r="B11266" t="s">
        <v>22914</v>
      </c>
      <c r="C11266" t="s">
        <v>33</v>
      </c>
      <c r="D11266" t="s">
        <v>58</v>
      </c>
      <c r="E11266">
        <v>1358</v>
      </c>
      <c r="F11266">
        <v>1</v>
      </c>
      <c r="G11266">
        <v>1</v>
      </c>
      <c r="H11266">
        <v>1</v>
      </c>
      <c r="I11266">
        <v>0</v>
      </c>
      <c r="J11266">
        <v>1</v>
      </c>
      <c r="K11266">
        <v>1</v>
      </c>
      <c r="L11266">
        <v>1</v>
      </c>
      <c r="M11266">
        <v>0</v>
      </c>
      <c r="N11266">
        <v>0</v>
      </c>
      <c r="O11266">
        <v>0</v>
      </c>
      <c r="P11266" t="s">
        <v>13419</v>
      </c>
      <c r="Q11266" t="s">
        <v>13420</v>
      </c>
      <c r="R11266" t="s">
        <v>288</v>
      </c>
      <c r="S11266" t="s">
        <v>289</v>
      </c>
      <c r="T11266" t="s">
        <v>13421</v>
      </c>
      <c r="U11266" t="s">
        <v>407</v>
      </c>
      <c r="V11266" t="s">
        <v>13422</v>
      </c>
      <c r="W11266" t="s">
        <v>13423</v>
      </c>
      <c r="AD11266" t="s">
        <v>410</v>
      </c>
      <c r="AE11266" t="s">
        <v>411</v>
      </c>
      <c r="AF11266" t="s">
        <v>22915</v>
      </c>
    </row>
    <row r="11267" spans="1:32" hidden="1" x14ac:dyDescent="0.35">
      <c r="A11267">
        <v>11266</v>
      </c>
      <c r="B11267" t="s">
        <v>22916</v>
      </c>
      <c r="C11267" t="s">
        <v>33</v>
      </c>
      <c r="D11267" t="s">
        <v>58</v>
      </c>
      <c r="E11267">
        <v>1636</v>
      </c>
      <c r="F11267">
        <v>1</v>
      </c>
      <c r="G11267">
        <v>1</v>
      </c>
      <c r="H11267">
        <v>1</v>
      </c>
      <c r="I11267">
        <v>0</v>
      </c>
      <c r="J11267">
        <v>1</v>
      </c>
      <c r="K11267">
        <v>1</v>
      </c>
      <c r="L11267">
        <v>1</v>
      </c>
      <c r="M11267">
        <v>0</v>
      </c>
      <c r="N11267">
        <v>0</v>
      </c>
      <c r="O11267">
        <v>0</v>
      </c>
      <c r="P11267" t="s">
        <v>17101</v>
      </c>
      <c r="Q11267" t="s">
        <v>17102</v>
      </c>
      <c r="R11267" t="s">
        <v>96</v>
      </c>
      <c r="S11267" t="s">
        <v>97</v>
      </c>
      <c r="T11267" t="s">
        <v>17103</v>
      </c>
      <c r="U11267" t="s">
        <v>17104</v>
      </c>
      <c r="V11267" t="s">
        <v>17105</v>
      </c>
      <c r="W11267" t="s">
        <v>17106</v>
      </c>
      <c r="AD11267" t="s">
        <v>1717</v>
      </c>
      <c r="AE11267" t="s">
        <v>17107</v>
      </c>
      <c r="AF11267" t="s">
        <v>22917</v>
      </c>
    </row>
    <row r="11268" spans="1:32" hidden="1" x14ac:dyDescent="0.35">
      <c r="A11268">
        <v>2289</v>
      </c>
      <c r="B11268" t="s">
        <v>4761</v>
      </c>
      <c r="C11268" t="s">
        <v>72</v>
      </c>
      <c r="D11268" t="s">
        <v>58</v>
      </c>
      <c r="E11268">
        <v>1674</v>
      </c>
      <c r="F11268">
        <v>5</v>
      </c>
      <c r="G11268">
        <v>5</v>
      </c>
      <c r="H11268">
        <v>1</v>
      </c>
      <c r="I11268">
        <v>1</v>
      </c>
      <c r="J11268">
        <v>0.87869308307264504</v>
      </c>
      <c r="K11268">
        <v>0.96911757165564505</v>
      </c>
      <c r="L11268">
        <v>0.92169282033195099</v>
      </c>
      <c r="M11268">
        <v>0.76262626262626299</v>
      </c>
      <c r="N11268">
        <v>1</v>
      </c>
      <c r="O11268">
        <v>0.82525252525252502</v>
      </c>
      <c r="P11268" t="s">
        <v>4762</v>
      </c>
      <c r="Q11268" t="s">
        <v>4763</v>
      </c>
      <c r="R11268" t="s">
        <v>113</v>
      </c>
      <c r="S11268" t="s">
        <v>114</v>
      </c>
      <c r="T11268" t="s">
        <v>4764</v>
      </c>
      <c r="U11268" t="s">
        <v>4765</v>
      </c>
      <c r="V11268" t="s">
        <v>4766</v>
      </c>
      <c r="W11268" t="s">
        <v>4767</v>
      </c>
      <c r="AD11268" t="s">
        <v>312</v>
      </c>
      <c r="AE11268" t="s">
        <v>805</v>
      </c>
      <c r="AF11268" t="s">
        <v>4768</v>
      </c>
    </row>
    <row r="11269" spans="1:32" hidden="1" x14ac:dyDescent="0.35">
      <c r="A11269">
        <v>11268</v>
      </c>
      <c r="B11269" t="s">
        <v>22920</v>
      </c>
      <c r="C11269" t="s">
        <v>33</v>
      </c>
      <c r="D11269" t="s">
        <v>58</v>
      </c>
      <c r="E11269">
        <v>1137</v>
      </c>
      <c r="F11269">
        <v>1</v>
      </c>
      <c r="G11269">
        <v>1</v>
      </c>
      <c r="H11269">
        <v>1</v>
      </c>
      <c r="I11269">
        <v>0</v>
      </c>
      <c r="J11269">
        <v>1</v>
      </c>
      <c r="K11269">
        <v>1</v>
      </c>
      <c r="L11269">
        <v>1</v>
      </c>
      <c r="M11269">
        <v>0</v>
      </c>
      <c r="N11269">
        <v>0</v>
      </c>
      <c r="O11269">
        <v>0</v>
      </c>
      <c r="P11269" t="s">
        <v>15744</v>
      </c>
      <c r="Q11269" t="s">
        <v>15745</v>
      </c>
      <c r="AF11269" t="s">
        <v>22921</v>
      </c>
    </row>
    <row r="11270" spans="1:32" hidden="1" x14ac:dyDescent="0.35">
      <c r="A11270">
        <v>11269</v>
      </c>
      <c r="B11270" t="s">
        <v>22922</v>
      </c>
      <c r="C11270" t="s">
        <v>33</v>
      </c>
      <c r="D11270" t="s">
        <v>60</v>
      </c>
      <c r="E11270">
        <v>681</v>
      </c>
      <c r="F11270">
        <v>1</v>
      </c>
      <c r="G11270">
        <v>1</v>
      </c>
      <c r="H11270">
        <v>1</v>
      </c>
      <c r="I11270">
        <v>0</v>
      </c>
      <c r="J11270">
        <v>1</v>
      </c>
      <c r="K11270">
        <v>1</v>
      </c>
      <c r="L11270">
        <v>1</v>
      </c>
      <c r="M11270">
        <v>0</v>
      </c>
      <c r="N11270">
        <v>0</v>
      </c>
      <c r="O11270">
        <v>0</v>
      </c>
      <c r="AF11270" t="s">
        <v>22923</v>
      </c>
    </row>
    <row r="11271" spans="1:32" hidden="1" x14ac:dyDescent="0.35">
      <c r="A11271">
        <v>11270</v>
      </c>
      <c r="B11271" t="s">
        <v>22924</v>
      </c>
      <c r="C11271" t="s">
        <v>33</v>
      </c>
      <c r="D11271" t="s">
        <v>58</v>
      </c>
      <c r="E11271">
        <v>194</v>
      </c>
      <c r="F11271">
        <v>1</v>
      </c>
      <c r="G11271">
        <v>1</v>
      </c>
      <c r="H11271">
        <v>1</v>
      </c>
      <c r="I11271">
        <v>0</v>
      </c>
      <c r="J11271">
        <v>1</v>
      </c>
      <c r="K11271">
        <v>1</v>
      </c>
      <c r="L11271">
        <v>1</v>
      </c>
      <c r="M11271">
        <v>0</v>
      </c>
      <c r="N11271">
        <v>0</v>
      </c>
      <c r="O11271">
        <v>0</v>
      </c>
      <c r="AF11271" t="s">
        <v>22925</v>
      </c>
    </row>
    <row r="11272" spans="1:32" hidden="1" x14ac:dyDescent="0.35">
      <c r="A11272">
        <v>11271</v>
      </c>
      <c r="B11272" t="s">
        <v>22926</v>
      </c>
      <c r="C11272" t="s">
        <v>33</v>
      </c>
      <c r="D11272" t="s">
        <v>62</v>
      </c>
      <c r="E11272">
        <v>239</v>
      </c>
      <c r="F11272">
        <v>1</v>
      </c>
      <c r="G11272">
        <v>1</v>
      </c>
      <c r="H11272">
        <v>1</v>
      </c>
      <c r="I11272">
        <v>0</v>
      </c>
      <c r="J11272">
        <v>1</v>
      </c>
      <c r="K11272">
        <v>1</v>
      </c>
      <c r="L11272">
        <v>1</v>
      </c>
      <c r="M11272">
        <v>0</v>
      </c>
      <c r="N11272">
        <v>0</v>
      </c>
      <c r="O11272">
        <v>0</v>
      </c>
      <c r="P11272" t="s">
        <v>13582</v>
      </c>
      <c r="Q11272" t="s">
        <v>13583</v>
      </c>
      <c r="AF11272" t="s">
        <v>22927</v>
      </c>
    </row>
    <row r="11273" spans="1:32" hidden="1" x14ac:dyDescent="0.35">
      <c r="A11273">
        <v>11272</v>
      </c>
      <c r="B11273" t="s">
        <v>22928</v>
      </c>
      <c r="C11273" t="s">
        <v>33</v>
      </c>
      <c r="D11273" t="s">
        <v>58</v>
      </c>
      <c r="E11273">
        <v>12</v>
      </c>
      <c r="F11273">
        <v>1</v>
      </c>
      <c r="G11273">
        <v>1</v>
      </c>
      <c r="H11273">
        <v>1</v>
      </c>
      <c r="I11273">
        <v>0</v>
      </c>
      <c r="J11273">
        <v>1</v>
      </c>
      <c r="K11273">
        <v>1</v>
      </c>
      <c r="L11273">
        <v>1</v>
      </c>
      <c r="M11273">
        <v>0</v>
      </c>
      <c r="N11273">
        <v>0</v>
      </c>
      <c r="O11273">
        <v>0</v>
      </c>
      <c r="AF11273" t="s">
        <v>22929</v>
      </c>
    </row>
    <row r="11274" spans="1:32" hidden="1" x14ac:dyDescent="0.35">
      <c r="A11274">
        <v>11273</v>
      </c>
      <c r="B11274" t="s">
        <v>22930</v>
      </c>
      <c r="C11274" t="s">
        <v>33</v>
      </c>
      <c r="D11274" t="s">
        <v>45</v>
      </c>
      <c r="E11274">
        <v>412</v>
      </c>
      <c r="F11274">
        <v>1</v>
      </c>
      <c r="G11274">
        <v>1</v>
      </c>
      <c r="H11274">
        <v>1</v>
      </c>
      <c r="I11274">
        <v>0</v>
      </c>
      <c r="J11274">
        <v>1</v>
      </c>
      <c r="K11274">
        <v>1</v>
      </c>
      <c r="L11274">
        <v>1</v>
      </c>
      <c r="M11274">
        <v>0</v>
      </c>
      <c r="N11274">
        <v>0</v>
      </c>
      <c r="O11274">
        <v>0</v>
      </c>
      <c r="P11274" t="s">
        <v>22931</v>
      </c>
      <c r="Q11274" t="s">
        <v>22932</v>
      </c>
      <c r="AF11274" t="s">
        <v>22933</v>
      </c>
    </row>
    <row r="11275" spans="1:32" hidden="1" x14ac:dyDescent="0.35">
      <c r="A11275">
        <v>11274</v>
      </c>
      <c r="B11275" t="s">
        <v>22934</v>
      </c>
      <c r="C11275" t="s">
        <v>33</v>
      </c>
      <c r="D11275" t="s">
        <v>58</v>
      </c>
      <c r="E11275">
        <v>941</v>
      </c>
      <c r="F11275">
        <v>1</v>
      </c>
      <c r="G11275">
        <v>1</v>
      </c>
      <c r="H11275">
        <v>1</v>
      </c>
      <c r="I11275">
        <v>0</v>
      </c>
      <c r="J11275">
        <v>1</v>
      </c>
      <c r="K11275">
        <v>1</v>
      </c>
      <c r="L11275">
        <v>1</v>
      </c>
      <c r="M11275">
        <v>0</v>
      </c>
      <c r="N11275">
        <v>0</v>
      </c>
      <c r="O11275">
        <v>0</v>
      </c>
      <c r="AF11275" t="s">
        <v>22935</v>
      </c>
    </row>
    <row r="11276" spans="1:32" hidden="1" x14ac:dyDescent="0.35">
      <c r="A11276">
        <v>1689</v>
      </c>
      <c r="B11276" t="s">
        <v>3530</v>
      </c>
      <c r="C11276" t="s">
        <v>72</v>
      </c>
      <c r="D11276" t="s">
        <v>58</v>
      </c>
      <c r="E11276">
        <v>998</v>
      </c>
      <c r="F11276">
        <v>5</v>
      </c>
      <c r="G11276">
        <v>5</v>
      </c>
      <c r="H11276">
        <v>1</v>
      </c>
      <c r="I11276">
        <v>1</v>
      </c>
      <c r="J11276">
        <v>0.77347143334446999</v>
      </c>
      <c r="K11276">
        <v>0.96030897023662298</v>
      </c>
      <c r="L11276">
        <v>0.85682310646526105</v>
      </c>
      <c r="M11276">
        <v>0.61538461538461497</v>
      </c>
      <c r="N11276">
        <v>1</v>
      </c>
      <c r="O11276">
        <v>0.69615384615384601</v>
      </c>
      <c r="P11276" t="s">
        <v>3531</v>
      </c>
      <c r="Q11276" t="s">
        <v>3532</v>
      </c>
      <c r="R11276" t="s">
        <v>1191</v>
      </c>
      <c r="S11276" t="s">
        <v>1192</v>
      </c>
      <c r="T11276" t="s">
        <v>3533</v>
      </c>
      <c r="U11276" t="s">
        <v>3534</v>
      </c>
      <c r="V11276" t="s">
        <v>3535</v>
      </c>
      <c r="W11276" t="s">
        <v>3536</v>
      </c>
      <c r="AD11276" t="s">
        <v>3537</v>
      </c>
      <c r="AE11276" t="s">
        <v>3538</v>
      </c>
      <c r="AF11276" t="s">
        <v>3539</v>
      </c>
    </row>
    <row r="11277" spans="1:32" hidden="1" x14ac:dyDescent="0.35">
      <c r="A11277">
        <v>11276</v>
      </c>
      <c r="B11277" t="s">
        <v>22938</v>
      </c>
      <c r="C11277" t="s">
        <v>33</v>
      </c>
      <c r="D11277" t="s">
        <v>58</v>
      </c>
      <c r="E11277">
        <v>1827</v>
      </c>
      <c r="F11277">
        <v>1</v>
      </c>
      <c r="G11277">
        <v>1</v>
      </c>
      <c r="H11277">
        <v>1</v>
      </c>
      <c r="I11277">
        <v>0</v>
      </c>
      <c r="J11277">
        <v>1</v>
      </c>
      <c r="K11277">
        <v>1</v>
      </c>
      <c r="L11277">
        <v>1</v>
      </c>
      <c r="M11277">
        <v>0</v>
      </c>
      <c r="N11277">
        <v>0</v>
      </c>
      <c r="O11277">
        <v>0</v>
      </c>
      <c r="P11277" t="s">
        <v>15718</v>
      </c>
      <c r="Q11277" t="s">
        <v>15719</v>
      </c>
      <c r="AF11277" t="s">
        <v>22939</v>
      </c>
    </row>
    <row r="11278" spans="1:32" hidden="1" x14ac:dyDescent="0.35">
      <c r="A11278">
        <v>11277</v>
      </c>
      <c r="B11278" t="s">
        <v>22940</v>
      </c>
      <c r="C11278" t="s">
        <v>33</v>
      </c>
      <c r="D11278" t="s">
        <v>58</v>
      </c>
      <c r="E11278">
        <v>106</v>
      </c>
      <c r="F11278">
        <v>1</v>
      </c>
      <c r="G11278">
        <v>1</v>
      </c>
      <c r="H11278">
        <v>1</v>
      </c>
      <c r="I11278">
        <v>0</v>
      </c>
      <c r="J11278">
        <v>1</v>
      </c>
      <c r="K11278">
        <v>1</v>
      </c>
      <c r="L11278">
        <v>1</v>
      </c>
      <c r="M11278">
        <v>0</v>
      </c>
      <c r="N11278">
        <v>0</v>
      </c>
      <c r="O11278">
        <v>0</v>
      </c>
      <c r="AF11278" t="s">
        <v>22941</v>
      </c>
    </row>
    <row r="11279" spans="1:32" hidden="1" x14ac:dyDescent="0.35">
      <c r="A11279">
        <v>11278</v>
      </c>
      <c r="B11279" t="s">
        <v>22942</v>
      </c>
      <c r="C11279" t="s">
        <v>33</v>
      </c>
      <c r="D11279" t="s">
        <v>34</v>
      </c>
      <c r="E11279">
        <v>792</v>
      </c>
      <c r="F11279">
        <v>1</v>
      </c>
      <c r="G11279">
        <v>1</v>
      </c>
      <c r="H11279">
        <v>1</v>
      </c>
      <c r="I11279">
        <v>0</v>
      </c>
      <c r="J11279">
        <v>1</v>
      </c>
      <c r="K11279">
        <v>1</v>
      </c>
      <c r="L11279">
        <v>1</v>
      </c>
      <c r="M11279">
        <v>0</v>
      </c>
      <c r="N11279">
        <v>0</v>
      </c>
      <c r="O11279">
        <v>0</v>
      </c>
      <c r="AF11279" t="s">
        <v>22943</v>
      </c>
    </row>
    <row r="11280" spans="1:32" hidden="1" x14ac:dyDescent="0.35">
      <c r="A11280">
        <v>11137</v>
      </c>
      <c r="B11280" t="s">
        <v>22589</v>
      </c>
      <c r="C11280" t="s">
        <v>33</v>
      </c>
      <c r="D11280" t="s">
        <v>58</v>
      </c>
      <c r="E11280">
        <v>1887</v>
      </c>
      <c r="F11280">
        <v>1</v>
      </c>
      <c r="G11280">
        <v>1</v>
      </c>
      <c r="H11280">
        <v>1</v>
      </c>
      <c r="I11280">
        <v>0</v>
      </c>
      <c r="J11280">
        <v>1</v>
      </c>
      <c r="K11280">
        <v>1</v>
      </c>
      <c r="L11280">
        <v>1</v>
      </c>
      <c r="M11280">
        <v>0</v>
      </c>
      <c r="N11280">
        <v>0</v>
      </c>
      <c r="O11280">
        <v>0</v>
      </c>
      <c r="P11280" t="s">
        <v>16444</v>
      </c>
      <c r="Q11280" t="s">
        <v>16445</v>
      </c>
      <c r="R11280" t="s">
        <v>224</v>
      </c>
      <c r="S11280" t="s">
        <v>225</v>
      </c>
      <c r="T11280" t="s">
        <v>16446</v>
      </c>
      <c r="U11280" t="s">
        <v>16447</v>
      </c>
      <c r="V11280" t="s">
        <v>16448</v>
      </c>
      <c r="W11280" t="s">
        <v>16449</v>
      </c>
      <c r="AD11280" t="s">
        <v>2991</v>
      </c>
      <c r="AE11280" t="s">
        <v>16450</v>
      </c>
      <c r="AF11280" t="s">
        <v>22590</v>
      </c>
    </row>
    <row r="11281" spans="1:32" hidden="1" x14ac:dyDescent="0.35">
      <c r="A11281">
        <v>11195</v>
      </c>
      <c r="B11281" t="s">
        <v>22727</v>
      </c>
      <c r="C11281" t="s">
        <v>33</v>
      </c>
      <c r="D11281" t="s">
        <v>58</v>
      </c>
      <c r="E11281">
        <v>1801</v>
      </c>
      <c r="F11281">
        <v>1</v>
      </c>
      <c r="G11281">
        <v>1</v>
      </c>
      <c r="H11281">
        <v>1</v>
      </c>
      <c r="I11281">
        <v>0</v>
      </c>
      <c r="J11281">
        <v>1</v>
      </c>
      <c r="K11281">
        <v>1</v>
      </c>
      <c r="L11281">
        <v>1</v>
      </c>
      <c r="M11281">
        <v>0</v>
      </c>
      <c r="N11281">
        <v>0</v>
      </c>
      <c r="O11281">
        <v>0</v>
      </c>
      <c r="P11281" t="s">
        <v>10211</v>
      </c>
      <c r="Q11281" t="s">
        <v>10212</v>
      </c>
      <c r="R11281" t="s">
        <v>224</v>
      </c>
      <c r="S11281" t="s">
        <v>225</v>
      </c>
      <c r="V11281" t="s">
        <v>10215</v>
      </c>
      <c r="W11281" t="s">
        <v>10216</v>
      </c>
      <c r="AF11281" t="s">
        <v>22728</v>
      </c>
    </row>
    <row r="11282" spans="1:32" hidden="1" x14ac:dyDescent="0.35">
      <c r="A11282">
        <v>11281</v>
      </c>
      <c r="B11282" t="s">
        <v>22948</v>
      </c>
      <c r="C11282" t="s">
        <v>33</v>
      </c>
      <c r="D11282" t="s">
        <v>58</v>
      </c>
      <c r="E11282">
        <v>1094</v>
      </c>
      <c r="F11282">
        <v>1</v>
      </c>
      <c r="G11282">
        <v>1</v>
      </c>
      <c r="H11282">
        <v>1</v>
      </c>
      <c r="I11282">
        <v>0</v>
      </c>
      <c r="J11282">
        <v>1</v>
      </c>
      <c r="K11282">
        <v>1</v>
      </c>
      <c r="L11282">
        <v>1</v>
      </c>
      <c r="M11282">
        <v>0</v>
      </c>
      <c r="N11282">
        <v>0</v>
      </c>
      <c r="O11282">
        <v>0</v>
      </c>
      <c r="AF11282" t="s">
        <v>22949</v>
      </c>
    </row>
    <row r="11283" spans="1:32" hidden="1" x14ac:dyDescent="0.35">
      <c r="A11283">
        <v>859</v>
      </c>
      <c r="B11283" t="s">
        <v>1791</v>
      </c>
      <c r="C11283" t="s">
        <v>72</v>
      </c>
      <c r="D11283" t="s">
        <v>58</v>
      </c>
      <c r="E11283">
        <v>344</v>
      </c>
      <c r="F11283">
        <v>5</v>
      </c>
      <c r="G11283">
        <v>5</v>
      </c>
      <c r="H11283">
        <v>1</v>
      </c>
      <c r="I11283">
        <v>1</v>
      </c>
      <c r="J11283">
        <v>0.91044984632578896</v>
      </c>
      <c r="K11283">
        <v>0.96482885535517005</v>
      </c>
      <c r="L11283">
        <v>0.93685091426825995</v>
      </c>
      <c r="M11283">
        <v>0.81616161616161598</v>
      </c>
      <c r="N11283">
        <v>1</v>
      </c>
      <c r="O11283">
        <v>0.87434343434343398</v>
      </c>
      <c r="P11283" t="s">
        <v>1792</v>
      </c>
      <c r="Q11283" t="s">
        <v>1793</v>
      </c>
      <c r="R11283" t="s">
        <v>869</v>
      </c>
      <c r="S11283" t="s">
        <v>870</v>
      </c>
      <c r="T11283" t="s">
        <v>1794</v>
      </c>
      <c r="U11283" t="s">
        <v>1795</v>
      </c>
      <c r="V11283" t="s">
        <v>1796</v>
      </c>
      <c r="W11283" t="s">
        <v>1797</v>
      </c>
      <c r="Z11283" t="s">
        <v>1798</v>
      </c>
      <c r="AA11283" t="s">
        <v>1799</v>
      </c>
      <c r="AB11283" t="s">
        <v>1798</v>
      </c>
      <c r="AC11283" t="s">
        <v>1800</v>
      </c>
      <c r="AD11283" t="s">
        <v>1801</v>
      </c>
      <c r="AE11283" t="s">
        <v>1802</v>
      </c>
      <c r="AF11283" t="s">
        <v>1803</v>
      </c>
    </row>
    <row r="11284" spans="1:32" hidden="1" x14ac:dyDescent="0.35">
      <c r="A11284">
        <v>2579</v>
      </c>
      <c r="B11284" t="s">
        <v>5335</v>
      </c>
      <c r="C11284" t="s">
        <v>72</v>
      </c>
      <c r="D11284" t="s">
        <v>58</v>
      </c>
      <c r="E11284">
        <v>1006</v>
      </c>
      <c r="F11284">
        <v>5</v>
      </c>
      <c r="G11284">
        <v>5</v>
      </c>
      <c r="H11284">
        <v>1</v>
      </c>
      <c r="I11284">
        <v>1</v>
      </c>
      <c r="J11284">
        <v>0.85459162775456698</v>
      </c>
      <c r="K11284">
        <v>0.98767332813643705</v>
      </c>
      <c r="L11284">
        <v>0.91632569406789099</v>
      </c>
      <c r="M11284">
        <v>0.74271844660194197</v>
      </c>
      <c r="N11284">
        <v>1</v>
      </c>
      <c r="O11284">
        <v>0.80558252427184496</v>
      </c>
      <c r="P11284" t="s">
        <v>5336</v>
      </c>
      <c r="Q11284" t="s">
        <v>5337</v>
      </c>
      <c r="R11284" t="s">
        <v>869</v>
      </c>
      <c r="S11284" t="s">
        <v>870</v>
      </c>
      <c r="T11284" t="s">
        <v>5338</v>
      </c>
      <c r="U11284" t="s">
        <v>5339</v>
      </c>
      <c r="V11284" t="s">
        <v>5340</v>
      </c>
      <c r="W11284" t="s">
        <v>5341</v>
      </c>
      <c r="X11284" t="s">
        <v>5340</v>
      </c>
      <c r="Y11284" t="s">
        <v>2431</v>
      </c>
      <c r="Z11284" t="s">
        <v>5342</v>
      </c>
      <c r="AA11284" t="s">
        <v>5343</v>
      </c>
      <c r="AB11284" t="s">
        <v>5342</v>
      </c>
      <c r="AC11284" t="s">
        <v>5344</v>
      </c>
      <c r="AD11284" t="s">
        <v>951</v>
      </c>
      <c r="AE11284" t="s">
        <v>5345</v>
      </c>
      <c r="AF11284" t="s">
        <v>5346</v>
      </c>
    </row>
    <row r="11285" spans="1:32" hidden="1" x14ac:dyDescent="0.35">
      <c r="A11285">
        <v>2299</v>
      </c>
      <c r="B11285" t="s">
        <v>4782</v>
      </c>
      <c r="C11285" t="s">
        <v>72</v>
      </c>
      <c r="D11285" t="s">
        <v>58</v>
      </c>
      <c r="E11285">
        <v>1587</v>
      </c>
      <c r="F11285">
        <v>5</v>
      </c>
      <c r="G11285">
        <v>5</v>
      </c>
      <c r="H11285">
        <v>1</v>
      </c>
      <c r="I11285">
        <v>1</v>
      </c>
      <c r="J11285">
        <v>0.77115384615384597</v>
      </c>
      <c r="K11285">
        <v>0.99047619047618995</v>
      </c>
      <c r="L11285">
        <v>0.86716223943442305</v>
      </c>
      <c r="M11285">
        <v>0.63809523809523805</v>
      </c>
      <c r="N11285">
        <v>1</v>
      </c>
      <c r="O11285">
        <v>0.72</v>
      </c>
      <c r="P11285" t="s">
        <v>4783</v>
      </c>
      <c r="Q11285" t="s">
        <v>4784</v>
      </c>
      <c r="R11285" t="s">
        <v>138</v>
      </c>
      <c r="S11285" t="s">
        <v>139</v>
      </c>
      <c r="T11285" t="s">
        <v>4785</v>
      </c>
      <c r="U11285" t="s">
        <v>4786</v>
      </c>
      <c r="V11285" t="s">
        <v>4787</v>
      </c>
      <c r="W11285" t="s">
        <v>4788</v>
      </c>
      <c r="AD11285" t="s">
        <v>4789</v>
      </c>
      <c r="AE11285" t="s">
        <v>4790</v>
      </c>
      <c r="AF11285" t="s">
        <v>4791</v>
      </c>
    </row>
    <row r="11286" spans="1:32" hidden="1" x14ac:dyDescent="0.35">
      <c r="A11286">
        <v>11285</v>
      </c>
      <c r="B11286" t="s">
        <v>22962</v>
      </c>
      <c r="C11286" t="s">
        <v>33</v>
      </c>
      <c r="D11286" t="s">
        <v>58</v>
      </c>
      <c r="E11286">
        <v>1425</v>
      </c>
      <c r="F11286">
        <v>1</v>
      </c>
      <c r="G11286">
        <v>1</v>
      </c>
      <c r="H11286">
        <v>1</v>
      </c>
      <c r="I11286">
        <v>0</v>
      </c>
      <c r="J11286">
        <v>1</v>
      </c>
      <c r="K11286">
        <v>1</v>
      </c>
      <c r="L11286">
        <v>1</v>
      </c>
      <c r="M11286">
        <v>0</v>
      </c>
      <c r="N11286">
        <v>0</v>
      </c>
      <c r="O11286">
        <v>0</v>
      </c>
      <c r="P11286" t="s">
        <v>22963</v>
      </c>
      <c r="Q11286" t="s">
        <v>22964</v>
      </c>
      <c r="R11286" t="s">
        <v>1259</v>
      </c>
      <c r="S11286" t="s">
        <v>1260</v>
      </c>
      <c r="T11286" t="s">
        <v>22965</v>
      </c>
      <c r="U11286" t="s">
        <v>22966</v>
      </c>
      <c r="V11286" t="s">
        <v>22967</v>
      </c>
      <c r="W11286" t="s">
        <v>22968</v>
      </c>
      <c r="AD11286" t="s">
        <v>166</v>
      </c>
      <c r="AE11286" t="s">
        <v>2843</v>
      </c>
      <c r="AF11286" t="s">
        <v>22969</v>
      </c>
    </row>
    <row r="11287" spans="1:32" hidden="1" x14ac:dyDescent="0.35">
      <c r="A11287">
        <v>11286</v>
      </c>
      <c r="B11287" t="s">
        <v>22970</v>
      </c>
      <c r="C11287" t="s">
        <v>33</v>
      </c>
      <c r="D11287" t="s">
        <v>58</v>
      </c>
      <c r="E11287">
        <v>1549</v>
      </c>
      <c r="F11287">
        <v>1</v>
      </c>
      <c r="G11287">
        <v>1</v>
      </c>
      <c r="H11287">
        <v>1</v>
      </c>
      <c r="I11287">
        <v>0</v>
      </c>
      <c r="J11287">
        <v>1</v>
      </c>
      <c r="K11287">
        <v>1</v>
      </c>
      <c r="L11287">
        <v>1</v>
      </c>
      <c r="M11287">
        <v>0</v>
      </c>
      <c r="N11287">
        <v>0</v>
      </c>
      <c r="O11287">
        <v>0</v>
      </c>
      <c r="P11287" t="s">
        <v>17608</v>
      </c>
      <c r="Q11287" t="s">
        <v>3623</v>
      </c>
      <c r="R11287" t="s">
        <v>1259</v>
      </c>
      <c r="S11287" t="s">
        <v>1260</v>
      </c>
      <c r="T11287" t="s">
        <v>17609</v>
      </c>
      <c r="U11287" t="s">
        <v>407</v>
      </c>
      <c r="V11287" t="s">
        <v>17610</v>
      </c>
      <c r="W11287" t="s">
        <v>17611</v>
      </c>
      <c r="AD11287" t="s">
        <v>410</v>
      </c>
      <c r="AE11287" t="s">
        <v>411</v>
      </c>
      <c r="AF11287" t="s">
        <v>22971</v>
      </c>
    </row>
    <row r="11288" spans="1:32" hidden="1" x14ac:dyDescent="0.35">
      <c r="A11288">
        <v>11287</v>
      </c>
      <c r="B11288" t="s">
        <v>22972</v>
      </c>
      <c r="C11288" t="s">
        <v>33</v>
      </c>
      <c r="D11288" t="s">
        <v>58</v>
      </c>
      <c r="E11288">
        <v>1609</v>
      </c>
      <c r="F11288">
        <v>1</v>
      </c>
      <c r="G11288">
        <v>1</v>
      </c>
      <c r="H11288">
        <v>1</v>
      </c>
      <c r="I11288">
        <v>0</v>
      </c>
      <c r="J11288">
        <v>1</v>
      </c>
      <c r="K11288">
        <v>1</v>
      </c>
      <c r="L11288">
        <v>1</v>
      </c>
      <c r="M11288">
        <v>0</v>
      </c>
      <c r="N11288">
        <v>0</v>
      </c>
      <c r="O11288">
        <v>0</v>
      </c>
      <c r="P11288" t="s">
        <v>18482</v>
      </c>
      <c r="Q11288" t="s">
        <v>18483</v>
      </c>
      <c r="T11288" t="s">
        <v>18486</v>
      </c>
      <c r="U11288" t="s">
        <v>18487</v>
      </c>
      <c r="AD11288" t="s">
        <v>166</v>
      </c>
      <c r="AE11288" t="s">
        <v>2843</v>
      </c>
      <c r="AF11288" t="s">
        <v>22973</v>
      </c>
    </row>
    <row r="11289" spans="1:32" hidden="1" x14ac:dyDescent="0.35">
      <c r="A11289">
        <v>3489</v>
      </c>
      <c r="B11289" t="s">
        <v>7172</v>
      </c>
      <c r="C11289" t="s">
        <v>72</v>
      </c>
      <c r="D11289" t="s">
        <v>58</v>
      </c>
      <c r="E11289">
        <v>1586</v>
      </c>
      <c r="F11289">
        <v>5</v>
      </c>
      <c r="G11289">
        <v>5</v>
      </c>
      <c r="H11289">
        <v>1</v>
      </c>
      <c r="I11289">
        <v>1</v>
      </c>
      <c r="J11289">
        <v>0.75473684210526304</v>
      </c>
      <c r="K11289">
        <v>0.98958333333333404</v>
      </c>
      <c r="L11289">
        <v>0.85635081278837399</v>
      </c>
      <c r="M11289">
        <v>0.59375</v>
      </c>
      <c r="N11289">
        <v>1</v>
      </c>
      <c r="O11289">
        <v>0.70104166666666701</v>
      </c>
      <c r="P11289" t="s">
        <v>4783</v>
      </c>
      <c r="Q11289" t="s">
        <v>4784</v>
      </c>
      <c r="R11289" t="s">
        <v>138</v>
      </c>
      <c r="S11289" t="s">
        <v>139</v>
      </c>
      <c r="T11289" t="s">
        <v>4785</v>
      </c>
      <c r="U11289" t="s">
        <v>4786</v>
      </c>
      <c r="V11289" t="s">
        <v>4787</v>
      </c>
      <c r="W11289" t="s">
        <v>4788</v>
      </c>
      <c r="AD11289" t="s">
        <v>4789</v>
      </c>
      <c r="AE11289" t="s">
        <v>4790</v>
      </c>
      <c r="AF11289" t="s">
        <v>7173</v>
      </c>
    </row>
    <row r="11290" spans="1:32" hidden="1" x14ac:dyDescent="0.35">
      <c r="A11290">
        <v>11289</v>
      </c>
      <c r="B11290" t="s">
        <v>22976</v>
      </c>
      <c r="C11290" t="s">
        <v>33</v>
      </c>
      <c r="D11290" t="s">
        <v>34</v>
      </c>
      <c r="E11290">
        <v>1085</v>
      </c>
      <c r="F11290">
        <v>1</v>
      </c>
      <c r="G11290">
        <v>1</v>
      </c>
      <c r="H11290">
        <v>1</v>
      </c>
      <c r="I11290">
        <v>0</v>
      </c>
      <c r="J11290">
        <v>1</v>
      </c>
      <c r="K11290">
        <v>1</v>
      </c>
      <c r="L11290">
        <v>1</v>
      </c>
      <c r="M11290">
        <v>0</v>
      </c>
      <c r="N11290">
        <v>0</v>
      </c>
      <c r="O11290">
        <v>0</v>
      </c>
      <c r="AF11290" t="s">
        <v>22977</v>
      </c>
    </row>
    <row r="11291" spans="1:32" hidden="1" x14ac:dyDescent="0.35">
      <c r="A11291">
        <v>11290</v>
      </c>
      <c r="B11291" t="s">
        <v>22978</v>
      </c>
      <c r="C11291" t="s">
        <v>33</v>
      </c>
      <c r="D11291" t="s">
        <v>45</v>
      </c>
      <c r="E11291">
        <v>488</v>
      </c>
      <c r="F11291">
        <v>1</v>
      </c>
      <c r="G11291">
        <v>1</v>
      </c>
      <c r="H11291">
        <v>1</v>
      </c>
      <c r="I11291">
        <v>0</v>
      </c>
      <c r="J11291">
        <v>1</v>
      </c>
      <c r="K11291">
        <v>1</v>
      </c>
      <c r="L11291">
        <v>1</v>
      </c>
      <c r="M11291">
        <v>0</v>
      </c>
      <c r="N11291">
        <v>0</v>
      </c>
      <c r="O11291">
        <v>0</v>
      </c>
      <c r="AF11291" t="s">
        <v>22979</v>
      </c>
    </row>
    <row r="11292" spans="1:32" hidden="1" x14ac:dyDescent="0.35">
      <c r="A11292">
        <v>11291</v>
      </c>
      <c r="B11292" t="s">
        <v>22980</v>
      </c>
      <c r="C11292" t="s">
        <v>33</v>
      </c>
      <c r="D11292" t="s">
        <v>58</v>
      </c>
      <c r="E11292">
        <v>1850</v>
      </c>
      <c r="F11292">
        <v>1</v>
      </c>
      <c r="G11292">
        <v>1</v>
      </c>
      <c r="H11292">
        <v>1</v>
      </c>
      <c r="I11292">
        <v>0</v>
      </c>
      <c r="J11292">
        <v>1</v>
      </c>
      <c r="K11292">
        <v>1</v>
      </c>
      <c r="L11292">
        <v>1</v>
      </c>
      <c r="M11292">
        <v>0</v>
      </c>
      <c r="N11292">
        <v>0</v>
      </c>
      <c r="O11292">
        <v>0</v>
      </c>
      <c r="P11292" t="s">
        <v>15699</v>
      </c>
      <c r="Q11292" t="s">
        <v>15700</v>
      </c>
      <c r="AF11292" t="s">
        <v>22981</v>
      </c>
    </row>
    <row r="11293" spans="1:32" hidden="1" x14ac:dyDescent="0.35">
      <c r="A11293">
        <v>2939</v>
      </c>
      <c r="B11293" t="s">
        <v>6072</v>
      </c>
      <c r="C11293" t="s">
        <v>72</v>
      </c>
      <c r="D11293" t="s">
        <v>58</v>
      </c>
      <c r="E11293">
        <v>973</v>
      </c>
      <c r="F11293">
        <v>5</v>
      </c>
      <c r="G11293">
        <v>5</v>
      </c>
      <c r="H11293">
        <v>1</v>
      </c>
      <c r="I11293">
        <v>1</v>
      </c>
      <c r="J11293">
        <v>0.81764658440196802</v>
      </c>
      <c r="K11293">
        <v>0.94151739490577502</v>
      </c>
      <c r="L11293">
        <v>0.87522083348100899</v>
      </c>
      <c r="M11293">
        <v>0.62727272727272698</v>
      </c>
      <c r="N11293">
        <v>1</v>
      </c>
      <c r="O11293">
        <v>0.74840909090909102</v>
      </c>
      <c r="P11293" t="s">
        <v>4806</v>
      </c>
      <c r="Q11293" t="s">
        <v>4807</v>
      </c>
      <c r="R11293" t="s">
        <v>235</v>
      </c>
      <c r="S11293" t="s">
        <v>236</v>
      </c>
      <c r="T11293" t="s">
        <v>6073</v>
      </c>
      <c r="U11293" t="s">
        <v>6074</v>
      </c>
      <c r="V11293" t="s">
        <v>6075</v>
      </c>
      <c r="W11293" t="s">
        <v>6076</v>
      </c>
      <c r="AD11293" t="s">
        <v>191</v>
      </c>
      <c r="AE11293" t="s">
        <v>6077</v>
      </c>
      <c r="AF11293" t="s">
        <v>6078</v>
      </c>
    </row>
    <row r="11294" spans="1:32" hidden="1" x14ac:dyDescent="0.35">
      <c r="A11294">
        <v>11293</v>
      </c>
      <c r="B11294" t="s">
        <v>22987</v>
      </c>
      <c r="C11294" t="s">
        <v>33</v>
      </c>
      <c r="D11294" t="s">
        <v>58</v>
      </c>
      <c r="E11294">
        <v>445</v>
      </c>
      <c r="F11294">
        <v>1</v>
      </c>
      <c r="G11294">
        <v>1</v>
      </c>
      <c r="H11294">
        <v>1</v>
      </c>
      <c r="I11294">
        <v>0</v>
      </c>
      <c r="J11294">
        <v>1</v>
      </c>
      <c r="K11294">
        <v>1</v>
      </c>
      <c r="L11294">
        <v>1</v>
      </c>
      <c r="M11294">
        <v>0</v>
      </c>
      <c r="N11294">
        <v>0</v>
      </c>
      <c r="O11294">
        <v>0</v>
      </c>
      <c r="P11294" t="s">
        <v>10047</v>
      </c>
      <c r="Q11294" t="s">
        <v>10048</v>
      </c>
      <c r="R11294" t="s">
        <v>18752</v>
      </c>
      <c r="S11294" t="s">
        <v>18753</v>
      </c>
      <c r="T11294" t="s">
        <v>18754</v>
      </c>
      <c r="U11294" t="s">
        <v>18755</v>
      </c>
      <c r="V11294" t="s">
        <v>18756</v>
      </c>
      <c r="W11294" t="s">
        <v>18757</v>
      </c>
      <c r="X11294" t="s">
        <v>18756</v>
      </c>
      <c r="Y11294" t="s">
        <v>8625</v>
      </c>
      <c r="AD11294" t="s">
        <v>219</v>
      </c>
      <c r="AE11294" t="s">
        <v>18758</v>
      </c>
      <c r="AF11294" t="s">
        <v>22988</v>
      </c>
    </row>
    <row r="11295" spans="1:32" hidden="1" x14ac:dyDescent="0.35">
      <c r="A11295">
        <v>11294</v>
      </c>
      <c r="B11295" t="s">
        <v>22989</v>
      </c>
      <c r="C11295" t="s">
        <v>33</v>
      </c>
      <c r="D11295" t="s">
        <v>62</v>
      </c>
      <c r="E11295">
        <v>2109</v>
      </c>
      <c r="F11295">
        <v>1</v>
      </c>
      <c r="G11295">
        <v>1</v>
      </c>
      <c r="H11295">
        <v>1</v>
      </c>
      <c r="I11295">
        <v>0</v>
      </c>
      <c r="J11295">
        <v>1</v>
      </c>
      <c r="K11295">
        <v>1</v>
      </c>
      <c r="L11295">
        <v>1</v>
      </c>
      <c r="M11295">
        <v>0</v>
      </c>
      <c r="N11295">
        <v>0</v>
      </c>
      <c r="O11295">
        <v>0</v>
      </c>
      <c r="P11295" t="s">
        <v>2440</v>
      </c>
      <c r="Q11295" t="s">
        <v>2441</v>
      </c>
      <c r="R11295" t="s">
        <v>288</v>
      </c>
      <c r="S11295" t="s">
        <v>289</v>
      </c>
      <c r="V11295" t="s">
        <v>2442</v>
      </c>
      <c r="W11295" t="s">
        <v>2443</v>
      </c>
      <c r="AF11295" t="s">
        <v>22990</v>
      </c>
    </row>
    <row r="11296" spans="1:32" hidden="1" x14ac:dyDescent="0.35">
      <c r="A11296">
        <v>11869</v>
      </c>
      <c r="B11296" t="s">
        <v>24421</v>
      </c>
      <c r="C11296" t="s">
        <v>33</v>
      </c>
      <c r="D11296" t="s">
        <v>58</v>
      </c>
      <c r="E11296">
        <v>68</v>
      </c>
      <c r="F11296">
        <v>1</v>
      </c>
      <c r="G11296">
        <v>1</v>
      </c>
      <c r="H11296">
        <v>1</v>
      </c>
      <c r="I11296">
        <v>0</v>
      </c>
      <c r="J11296">
        <v>1</v>
      </c>
      <c r="K11296">
        <v>1</v>
      </c>
      <c r="L11296">
        <v>1</v>
      </c>
      <c r="M11296">
        <v>0</v>
      </c>
      <c r="N11296">
        <v>0</v>
      </c>
      <c r="O11296">
        <v>0</v>
      </c>
      <c r="P11296" t="s">
        <v>4806</v>
      </c>
      <c r="Q11296" t="s">
        <v>4807</v>
      </c>
      <c r="R11296" t="s">
        <v>235</v>
      </c>
      <c r="S11296" t="s">
        <v>236</v>
      </c>
      <c r="V11296" t="s">
        <v>6075</v>
      </c>
      <c r="W11296" t="s">
        <v>6076</v>
      </c>
      <c r="AF11296" t="s">
        <v>24422</v>
      </c>
    </row>
    <row r="11297" spans="1:32" hidden="1" x14ac:dyDescent="0.35">
      <c r="A11297">
        <v>11296</v>
      </c>
      <c r="B11297" t="s">
        <v>22995</v>
      </c>
      <c r="C11297" t="s">
        <v>33</v>
      </c>
      <c r="D11297" t="s">
        <v>62</v>
      </c>
      <c r="E11297">
        <v>371</v>
      </c>
      <c r="F11297">
        <v>1</v>
      </c>
      <c r="G11297">
        <v>1</v>
      </c>
      <c r="H11297">
        <v>1</v>
      </c>
      <c r="I11297">
        <v>0</v>
      </c>
      <c r="J11297">
        <v>1</v>
      </c>
      <c r="K11297">
        <v>1</v>
      </c>
      <c r="L11297">
        <v>1</v>
      </c>
      <c r="M11297">
        <v>0</v>
      </c>
      <c r="N11297">
        <v>0</v>
      </c>
      <c r="O11297">
        <v>0</v>
      </c>
      <c r="AF11297" t="s">
        <v>22996</v>
      </c>
    </row>
    <row r="11298" spans="1:32" hidden="1" x14ac:dyDescent="0.35">
      <c r="A11298">
        <v>11297</v>
      </c>
      <c r="B11298" t="s">
        <v>22997</v>
      </c>
      <c r="C11298" t="s">
        <v>33</v>
      </c>
      <c r="D11298" t="s">
        <v>45</v>
      </c>
      <c r="E11298">
        <v>1732</v>
      </c>
      <c r="F11298">
        <v>1</v>
      </c>
      <c r="G11298">
        <v>1</v>
      </c>
      <c r="H11298">
        <v>1</v>
      </c>
      <c r="I11298">
        <v>0</v>
      </c>
      <c r="J11298">
        <v>1</v>
      </c>
      <c r="K11298">
        <v>1</v>
      </c>
      <c r="L11298">
        <v>1</v>
      </c>
      <c r="M11298">
        <v>0</v>
      </c>
      <c r="N11298">
        <v>0</v>
      </c>
      <c r="O11298">
        <v>0</v>
      </c>
      <c r="AF11298" t="s">
        <v>22998</v>
      </c>
    </row>
    <row r="11299" spans="1:32" hidden="1" x14ac:dyDescent="0.35">
      <c r="A11299">
        <v>11962</v>
      </c>
      <c r="B11299" t="s">
        <v>24695</v>
      </c>
      <c r="D11299" t="s">
        <v>58</v>
      </c>
      <c r="E11299">
        <v>1659</v>
      </c>
      <c r="F11299">
        <v>1</v>
      </c>
      <c r="G11299">
        <v>1</v>
      </c>
      <c r="H11299">
        <v>1</v>
      </c>
      <c r="I11299">
        <v>0</v>
      </c>
      <c r="J11299">
        <v>1</v>
      </c>
      <c r="K11299">
        <v>1</v>
      </c>
      <c r="L11299">
        <v>1</v>
      </c>
      <c r="M11299">
        <v>0</v>
      </c>
      <c r="N11299">
        <v>0</v>
      </c>
      <c r="O11299">
        <v>0</v>
      </c>
      <c r="P11299" t="s">
        <v>1992</v>
      </c>
      <c r="Q11299" t="s">
        <v>1993</v>
      </c>
      <c r="R11299" t="s">
        <v>1191</v>
      </c>
      <c r="S11299" t="s">
        <v>1192</v>
      </c>
      <c r="T11299" t="s">
        <v>15769</v>
      </c>
      <c r="U11299" t="s">
        <v>15770</v>
      </c>
      <c r="V11299" t="s">
        <v>15771</v>
      </c>
      <c r="W11299" t="s">
        <v>15772</v>
      </c>
      <c r="AD11299" t="s">
        <v>15773</v>
      </c>
      <c r="AE11299" t="s">
        <v>15774</v>
      </c>
      <c r="AF11299" t="s">
        <v>24696</v>
      </c>
    </row>
    <row r="11300" spans="1:32" hidden="1" x14ac:dyDescent="0.35">
      <c r="A11300">
        <v>11299</v>
      </c>
      <c r="B11300" t="s">
        <v>23007</v>
      </c>
      <c r="C11300" t="s">
        <v>33</v>
      </c>
      <c r="D11300" t="s">
        <v>58</v>
      </c>
      <c r="E11300">
        <v>489</v>
      </c>
      <c r="F11300">
        <v>1</v>
      </c>
      <c r="G11300">
        <v>1</v>
      </c>
      <c r="H11300">
        <v>1</v>
      </c>
      <c r="I11300">
        <v>0</v>
      </c>
      <c r="J11300">
        <v>1</v>
      </c>
      <c r="K11300">
        <v>1</v>
      </c>
      <c r="L11300">
        <v>1</v>
      </c>
      <c r="M11300">
        <v>0</v>
      </c>
      <c r="N11300">
        <v>0</v>
      </c>
      <c r="O11300">
        <v>0</v>
      </c>
      <c r="AF11300" t="s">
        <v>23008</v>
      </c>
    </row>
    <row r="11301" spans="1:32" hidden="1" x14ac:dyDescent="0.35">
      <c r="A11301">
        <v>11300</v>
      </c>
      <c r="B11301" t="s">
        <v>23009</v>
      </c>
      <c r="C11301" t="s">
        <v>33</v>
      </c>
      <c r="D11301" t="s">
        <v>60</v>
      </c>
      <c r="E11301">
        <v>2199</v>
      </c>
      <c r="F11301">
        <v>1</v>
      </c>
      <c r="G11301">
        <v>1</v>
      </c>
      <c r="H11301">
        <v>1</v>
      </c>
      <c r="I11301">
        <v>0</v>
      </c>
      <c r="J11301">
        <v>1</v>
      </c>
      <c r="K11301">
        <v>1</v>
      </c>
      <c r="L11301">
        <v>1</v>
      </c>
      <c r="M11301">
        <v>0</v>
      </c>
      <c r="N11301">
        <v>0</v>
      </c>
      <c r="O11301">
        <v>0</v>
      </c>
      <c r="AF11301" t="s">
        <v>23010</v>
      </c>
    </row>
    <row r="11302" spans="1:32" hidden="1" x14ac:dyDescent="0.35">
      <c r="A11302">
        <v>11301</v>
      </c>
      <c r="B11302" t="s">
        <v>23011</v>
      </c>
      <c r="C11302" t="s">
        <v>33</v>
      </c>
      <c r="D11302" t="s">
        <v>58</v>
      </c>
      <c r="E11302">
        <v>1134</v>
      </c>
      <c r="F11302">
        <v>1</v>
      </c>
      <c r="G11302">
        <v>1</v>
      </c>
      <c r="H11302">
        <v>1</v>
      </c>
      <c r="I11302">
        <v>0</v>
      </c>
      <c r="J11302">
        <v>1</v>
      </c>
      <c r="K11302">
        <v>1</v>
      </c>
      <c r="L11302">
        <v>1</v>
      </c>
      <c r="M11302">
        <v>0</v>
      </c>
      <c r="N11302">
        <v>0</v>
      </c>
      <c r="O11302">
        <v>0</v>
      </c>
      <c r="P11302" t="s">
        <v>14267</v>
      </c>
      <c r="Q11302" t="s">
        <v>14268</v>
      </c>
      <c r="R11302" t="s">
        <v>288</v>
      </c>
      <c r="S11302" t="s">
        <v>289</v>
      </c>
      <c r="T11302" t="s">
        <v>14269</v>
      </c>
      <c r="U11302" t="s">
        <v>407</v>
      </c>
      <c r="V11302" t="s">
        <v>14270</v>
      </c>
      <c r="W11302" t="s">
        <v>14271</v>
      </c>
      <c r="AD11302" t="s">
        <v>410</v>
      </c>
      <c r="AE11302" t="s">
        <v>411</v>
      </c>
      <c r="AF11302" t="s">
        <v>23012</v>
      </c>
    </row>
    <row r="11303" spans="1:32" hidden="1" x14ac:dyDescent="0.35">
      <c r="A11303">
        <v>11302</v>
      </c>
      <c r="B11303" t="s">
        <v>23013</v>
      </c>
      <c r="C11303" t="s">
        <v>33</v>
      </c>
      <c r="D11303" t="s">
        <v>58</v>
      </c>
      <c r="E11303">
        <v>849</v>
      </c>
      <c r="F11303">
        <v>1</v>
      </c>
      <c r="G11303">
        <v>1</v>
      </c>
      <c r="H11303">
        <v>1</v>
      </c>
      <c r="I11303">
        <v>0</v>
      </c>
      <c r="J11303">
        <v>1</v>
      </c>
      <c r="K11303">
        <v>1</v>
      </c>
      <c r="L11303">
        <v>1</v>
      </c>
      <c r="M11303">
        <v>0</v>
      </c>
      <c r="N11303">
        <v>0</v>
      </c>
      <c r="O11303">
        <v>0</v>
      </c>
      <c r="P11303" t="s">
        <v>4358</v>
      </c>
      <c r="Q11303" t="s">
        <v>4359</v>
      </c>
      <c r="R11303" t="s">
        <v>319</v>
      </c>
      <c r="S11303" t="s">
        <v>320</v>
      </c>
      <c r="T11303" t="s">
        <v>11374</v>
      </c>
      <c r="U11303" t="s">
        <v>9714</v>
      </c>
      <c r="V11303" t="s">
        <v>4360</v>
      </c>
      <c r="W11303" t="s">
        <v>4361</v>
      </c>
      <c r="AD11303" t="s">
        <v>166</v>
      </c>
      <c r="AE11303" t="s">
        <v>9717</v>
      </c>
      <c r="AF11303" t="s">
        <v>23014</v>
      </c>
    </row>
    <row r="11304" spans="1:32" hidden="1" x14ac:dyDescent="0.35">
      <c r="A11304">
        <v>11313</v>
      </c>
      <c r="B11304" t="s">
        <v>23039</v>
      </c>
      <c r="C11304" t="s">
        <v>33</v>
      </c>
      <c r="D11304" t="s">
        <v>58</v>
      </c>
      <c r="E11304">
        <v>374</v>
      </c>
      <c r="F11304">
        <v>1</v>
      </c>
      <c r="G11304">
        <v>1</v>
      </c>
      <c r="H11304">
        <v>1</v>
      </c>
      <c r="I11304">
        <v>0</v>
      </c>
      <c r="J11304">
        <v>1</v>
      </c>
      <c r="K11304">
        <v>1</v>
      </c>
      <c r="L11304">
        <v>1</v>
      </c>
      <c r="M11304">
        <v>0</v>
      </c>
      <c r="N11304">
        <v>0</v>
      </c>
      <c r="O11304">
        <v>0</v>
      </c>
      <c r="R11304" t="s">
        <v>1191</v>
      </c>
      <c r="S11304" t="s">
        <v>1192</v>
      </c>
      <c r="V11304" t="s">
        <v>14042</v>
      </c>
      <c r="W11304" t="s">
        <v>14043</v>
      </c>
      <c r="X11304" t="s">
        <v>14042</v>
      </c>
      <c r="Y11304" t="s">
        <v>7046</v>
      </c>
      <c r="AF11304" t="s">
        <v>23040</v>
      </c>
    </row>
    <row r="11305" spans="1:32" hidden="1" x14ac:dyDescent="0.35">
      <c r="A11305">
        <v>11304</v>
      </c>
      <c r="B11305" t="s">
        <v>23017</v>
      </c>
      <c r="C11305" t="s">
        <v>33</v>
      </c>
      <c r="D11305" t="s">
        <v>58</v>
      </c>
      <c r="E11305">
        <v>955</v>
      </c>
      <c r="F11305">
        <v>1</v>
      </c>
      <c r="G11305">
        <v>1</v>
      </c>
      <c r="H11305">
        <v>1</v>
      </c>
      <c r="I11305">
        <v>0</v>
      </c>
      <c r="J11305">
        <v>1</v>
      </c>
      <c r="K11305">
        <v>1</v>
      </c>
      <c r="L11305">
        <v>1</v>
      </c>
      <c r="M11305">
        <v>0</v>
      </c>
      <c r="N11305">
        <v>0</v>
      </c>
      <c r="O11305">
        <v>0</v>
      </c>
      <c r="P11305" t="s">
        <v>10744</v>
      </c>
      <c r="Q11305" t="s">
        <v>10745</v>
      </c>
      <c r="AF11305" t="s">
        <v>23018</v>
      </c>
    </row>
    <row r="11306" spans="1:32" hidden="1" x14ac:dyDescent="0.35">
      <c r="A11306">
        <v>2119</v>
      </c>
      <c r="B11306" t="s">
        <v>4413</v>
      </c>
      <c r="C11306" t="s">
        <v>72</v>
      </c>
      <c r="D11306" t="s">
        <v>58</v>
      </c>
      <c r="E11306">
        <v>1617</v>
      </c>
      <c r="F11306">
        <v>5</v>
      </c>
      <c r="G11306">
        <v>5</v>
      </c>
      <c r="H11306">
        <v>1</v>
      </c>
      <c r="I11306">
        <v>1</v>
      </c>
      <c r="J11306">
        <v>0.88693553946914905</v>
      </c>
      <c r="K11306">
        <v>0.93335655890003799</v>
      </c>
      <c r="L11306">
        <v>0.90955413565408505</v>
      </c>
      <c r="M11306">
        <v>0.70673076923076905</v>
      </c>
      <c r="N11306">
        <v>1</v>
      </c>
      <c r="O11306">
        <v>0.79038461538461502</v>
      </c>
      <c r="P11306" t="s">
        <v>2233</v>
      </c>
      <c r="Q11306" t="s">
        <v>2234</v>
      </c>
      <c r="R11306" t="s">
        <v>235</v>
      </c>
      <c r="S11306" t="s">
        <v>236</v>
      </c>
      <c r="T11306" t="s">
        <v>4414</v>
      </c>
      <c r="U11306" t="s">
        <v>4415</v>
      </c>
      <c r="V11306" t="s">
        <v>4416</v>
      </c>
      <c r="W11306" t="s">
        <v>4417</v>
      </c>
      <c r="X11306" t="s">
        <v>4416</v>
      </c>
      <c r="Y11306" t="s">
        <v>4418</v>
      </c>
      <c r="Z11306" t="s">
        <v>4419</v>
      </c>
      <c r="AA11306" t="s">
        <v>4420</v>
      </c>
      <c r="AB11306" t="s">
        <v>4419</v>
      </c>
      <c r="AC11306" t="s">
        <v>1800</v>
      </c>
      <c r="AD11306" t="s">
        <v>1140</v>
      </c>
      <c r="AE11306" t="s">
        <v>4421</v>
      </c>
      <c r="AF11306" t="s">
        <v>4422</v>
      </c>
    </row>
    <row r="11307" spans="1:32" hidden="1" x14ac:dyDescent="0.35">
      <c r="A11307">
        <v>11306</v>
      </c>
      <c r="B11307" t="s">
        <v>23021</v>
      </c>
      <c r="C11307" t="s">
        <v>33</v>
      </c>
      <c r="D11307" t="s">
        <v>58</v>
      </c>
      <c r="E11307">
        <v>1852</v>
      </c>
      <c r="F11307">
        <v>1</v>
      </c>
      <c r="G11307">
        <v>1</v>
      </c>
      <c r="H11307">
        <v>1</v>
      </c>
      <c r="I11307">
        <v>0</v>
      </c>
      <c r="J11307">
        <v>1</v>
      </c>
      <c r="K11307">
        <v>1</v>
      </c>
      <c r="L11307">
        <v>1</v>
      </c>
      <c r="M11307">
        <v>0</v>
      </c>
      <c r="N11307">
        <v>0</v>
      </c>
      <c r="O11307">
        <v>0</v>
      </c>
      <c r="AF11307" t="s">
        <v>23022</v>
      </c>
    </row>
    <row r="11308" spans="1:32" hidden="1" x14ac:dyDescent="0.35">
      <c r="A11308">
        <v>11307</v>
      </c>
      <c r="B11308" t="s">
        <v>23023</v>
      </c>
      <c r="C11308" t="s">
        <v>33</v>
      </c>
      <c r="D11308" t="s">
        <v>58</v>
      </c>
      <c r="E11308">
        <v>16</v>
      </c>
      <c r="F11308">
        <v>1</v>
      </c>
      <c r="G11308">
        <v>1</v>
      </c>
      <c r="H11308">
        <v>1</v>
      </c>
      <c r="I11308">
        <v>0</v>
      </c>
      <c r="J11308">
        <v>1</v>
      </c>
      <c r="K11308">
        <v>1</v>
      </c>
      <c r="L11308">
        <v>1</v>
      </c>
      <c r="M11308">
        <v>0</v>
      </c>
      <c r="N11308">
        <v>0</v>
      </c>
      <c r="O11308">
        <v>0</v>
      </c>
      <c r="AF11308" t="s">
        <v>23024</v>
      </c>
    </row>
    <row r="11309" spans="1:32" hidden="1" x14ac:dyDescent="0.35">
      <c r="A11309">
        <v>11354</v>
      </c>
      <c r="B11309" t="s">
        <v>23125</v>
      </c>
      <c r="C11309" t="s">
        <v>33</v>
      </c>
      <c r="D11309" t="s">
        <v>58</v>
      </c>
      <c r="E11309">
        <v>255</v>
      </c>
      <c r="F11309">
        <v>1</v>
      </c>
      <c r="G11309">
        <v>1</v>
      </c>
      <c r="H11309">
        <v>1</v>
      </c>
      <c r="I11309">
        <v>0</v>
      </c>
      <c r="J11309">
        <v>1</v>
      </c>
      <c r="K11309">
        <v>1</v>
      </c>
      <c r="L11309">
        <v>1</v>
      </c>
      <c r="M11309">
        <v>0</v>
      </c>
      <c r="N11309">
        <v>0</v>
      </c>
      <c r="O11309">
        <v>0</v>
      </c>
      <c r="P11309" t="s">
        <v>11878</v>
      </c>
      <c r="Q11309" t="s">
        <v>7739</v>
      </c>
      <c r="R11309" t="s">
        <v>235</v>
      </c>
      <c r="S11309" t="s">
        <v>236</v>
      </c>
      <c r="V11309" t="s">
        <v>11881</v>
      </c>
      <c r="W11309" t="s">
        <v>11882</v>
      </c>
      <c r="AF11309" t="s">
        <v>23126</v>
      </c>
    </row>
    <row r="11310" spans="1:32" hidden="1" x14ac:dyDescent="0.35">
      <c r="A11310">
        <v>2839</v>
      </c>
      <c r="B11310" t="s">
        <v>5872</v>
      </c>
      <c r="C11310" t="s">
        <v>72</v>
      </c>
      <c r="D11310" t="s">
        <v>58</v>
      </c>
      <c r="E11310">
        <v>1725</v>
      </c>
      <c r="F11310">
        <v>5</v>
      </c>
      <c r="G11310">
        <v>5</v>
      </c>
      <c r="H11310">
        <v>1</v>
      </c>
      <c r="I11310">
        <v>1</v>
      </c>
      <c r="J11310">
        <v>0.78340536646857595</v>
      </c>
      <c r="K11310">
        <v>0.96459148196435496</v>
      </c>
      <c r="L11310">
        <v>0.86460813027003103</v>
      </c>
      <c r="M11310">
        <v>0.59895833333333304</v>
      </c>
      <c r="N11310">
        <v>1</v>
      </c>
      <c r="O11310">
        <v>0.70664062500000002</v>
      </c>
      <c r="P11310" t="s">
        <v>5873</v>
      </c>
      <c r="Q11310" t="s">
        <v>5874</v>
      </c>
      <c r="R11310" t="s">
        <v>1191</v>
      </c>
      <c r="S11310" t="s">
        <v>1192</v>
      </c>
      <c r="T11310" t="s">
        <v>5875</v>
      </c>
      <c r="U11310" t="s">
        <v>5876</v>
      </c>
      <c r="V11310" t="s">
        <v>5877</v>
      </c>
      <c r="W11310" t="s">
        <v>5878</v>
      </c>
      <c r="AD11310" t="s">
        <v>5879</v>
      </c>
      <c r="AE11310" t="s">
        <v>5880</v>
      </c>
      <c r="AF11310" t="s">
        <v>5881</v>
      </c>
    </row>
    <row r="11311" spans="1:32" hidden="1" x14ac:dyDescent="0.35">
      <c r="A11311">
        <v>11310</v>
      </c>
      <c r="B11311" t="s">
        <v>23033</v>
      </c>
      <c r="C11311" t="s">
        <v>33</v>
      </c>
      <c r="D11311" t="s">
        <v>58</v>
      </c>
      <c r="E11311">
        <v>1093</v>
      </c>
      <c r="F11311">
        <v>1</v>
      </c>
      <c r="G11311">
        <v>1</v>
      </c>
      <c r="H11311">
        <v>1</v>
      </c>
      <c r="I11311">
        <v>0</v>
      </c>
      <c r="J11311">
        <v>1</v>
      </c>
      <c r="K11311">
        <v>1</v>
      </c>
      <c r="L11311">
        <v>1</v>
      </c>
      <c r="M11311">
        <v>0</v>
      </c>
      <c r="N11311">
        <v>0</v>
      </c>
      <c r="O11311">
        <v>0</v>
      </c>
      <c r="AF11311" t="s">
        <v>23034</v>
      </c>
    </row>
    <row r="11312" spans="1:32" hidden="1" x14ac:dyDescent="0.35">
      <c r="A11312">
        <v>11311</v>
      </c>
      <c r="B11312" t="s">
        <v>23035</v>
      </c>
      <c r="C11312" t="s">
        <v>33</v>
      </c>
      <c r="D11312" t="s">
        <v>58</v>
      </c>
      <c r="E11312">
        <v>559</v>
      </c>
      <c r="F11312">
        <v>1</v>
      </c>
      <c r="G11312">
        <v>1</v>
      </c>
      <c r="H11312">
        <v>1</v>
      </c>
      <c r="I11312">
        <v>0</v>
      </c>
      <c r="J11312">
        <v>1</v>
      </c>
      <c r="K11312">
        <v>1</v>
      </c>
      <c r="L11312">
        <v>1</v>
      </c>
      <c r="M11312">
        <v>0</v>
      </c>
      <c r="N11312">
        <v>0</v>
      </c>
      <c r="O11312">
        <v>0</v>
      </c>
      <c r="P11312" t="s">
        <v>10222</v>
      </c>
      <c r="Q11312" t="s">
        <v>10223</v>
      </c>
      <c r="R11312" t="s">
        <v>10224</v>
      </c>
      <c r="S11312" t="s">
        <v>10225</v>
      </c>
      <c r="T11312" t="s">
        <v>10226</v>
      </c>
      <c r="U11312" t="s">
        <v>10227</v>
      </c>
      <c r="V11312" t="s">
        <v>10228</v>
      </c>
      <c r="W11312" t="s">
        <v>10229</v>
      </c>
      <c r="AD11312" t="s">
        <v>1170</v>
      </c>
      <c r="AE11312" t="s">
        <v>10230</v>
      </c>
      <c r="AF11312" t="s">
        <v>23036</v>
      </c>
    </row>
    <row r="11313" spans="1:32" hidden="1" x14ac:dyDescent="0.35">
      <c r="A11313">
        <v>11312</v>
      </c>
      <c r="B11313" t="s">
        <v>23037</v>
      </c>
      <c r="C11313" t="s">
        <v>33</v>
      </c>
      <c r="D11313" t="s">
        <v>60</v>
      </c>
      <c r="E11313">
        <v>664</v>
      </c>
      <c r="F11313">
        <v>1</v>
      </c>
      <c r="G11313">
        <v>1</v>
      </c>
      <c r="H11313">
        <v>1</v>
      </c>
      <c r="I11313">
        <v>0</v>
      </c>
      <c r="J11313">
        <v>1</v>
      </c>
      <c r="K11313">
        <v>1</v>
      </c>
      <c r="L11313">
        <v>1</v>
      </c>
      <c r="M11313">
        <v>0</v>
      </c>
      <c r="N11313">
        <v>0</v>
      </c>
      <c r="O11313">
        <v>0</v>
      </c>
      <c r="AF11313" t="s">
        <v>23038</v>
      </c>
    </row>
    <row r="11314" spans="1:32" hidden="1" x14ac:dyDescent="0.35">
      <c r="A11314">
        <v>11280</v>
      </c>
      <c r="B11314" t="s">
        <v>22946</v>
      </c>
      <c r="C11314" t="s">
        <v>33</v>
      </c>
      <c r="D11314" t="s">
        <v>58</v>
      </c>
      <c r="E11314">
        <v>27</v>
      </c>
      <c r="F11314">
        <v>1</v>
      </c>
      <c r="G11314">
        <v>1</v>
      </c>
      <c r="H11314">
        <v>1</v>
      </c>
      <c r="I11314">
        <v>0</v>
      </c>
      <c r="J11314">
        <v>1</v>
      </c>
      <c r="K11314">
        <v>1</v>
      </c>
      <c r="L11314">
        <v>1</v>
      </c>
      <c r="M11314">
        <v>0</v>
      </c>
      <c r="N11314">
        <v>0</v>
      </c>
      <c r="O11314">
        <v>0</v>
      </c>
      <c r="P11314" t="s">
        <v>12985</v>
      </c>
      <c r="Q11314" t="s">
        <v>12986</v>
      </c>
      <c r="R11314" t="s">
        <v>1191</v>
      </c>
      <c r="S11314" t="s">
        <v>1192</v>
      </c>
      <c r="T11314" t="s">
        <v>12230</v>
      </c>
      <c r="U11314" t="s">
        <v>12231</v>
      </c>
      <c r="V11314" t="s">
        <v>5877</v>
      </c>
      <c r="W11314" t="s">
        <v>5878</v>
      </c>
      <c r="AD11314" t="s">
        <v>12234</v>
      </c>
      <c r="AE11314" t="s">
        <v>12235</v>
      </c>
      <c r="AF11314" t="s">
        <v>22947</v>
      </c>
    </row>
    <row r="11315" spans="1:32" hidden="1" x14ac:dyDescent="0.35">
      <c r="A11315">
        <v>11314</v>
      </c>
      <c r="B11315" t="s">
        <v>23041</v>
      </c>
      <c r="C11315" t="s">
        <v>33</v>
      </c>
      <c r="D11315" t="s">
        <v>62</v>
      </c>
      <c r="E11315">
        <v>2110</v>
      </c>
      <c r="F11315">
        <v>1</v>
      </c>
      <c r="G11315">
        <v>1</v>
      </c>
      <c r="H11315">
        <v>1</v>
      </c>
      <c r="I11315">
        <v>0</v>
      </c>
      <c r="J11315">
        <v>1</v>
      </c>
      <c r="K11315">
        <v>1</v>
      </c>
      <c r="L11315">
        <v>1</v>
      </c>
      <c r="M11315">
        <v>0</v>
      </c>
      <c r="N11315">
        <v>0</v>
      </c>
      <c r="O11315">
        <v>0</v>
      </c>
      <c r="AF11315" t="s">
        <v>23042</v>
      </c>
    </row>
    <row r="11316" spans="1:32" hidden="1" x14ac:dyDescent="0.35">
      <c r="A11316">
        <v>11315</v>
      </c>
      <c r="B11316" t="s">
        <v>23043</v>
      </c>
      <c r="C11316" t="s">
        <v>33</v>
      </c>
      <c r="D11316" t="s">
        <v>45</v>
      </c>
      <c r="E11316">
        <v>2049</v>
      </c>
      <c r="F11316">
        <v>1</v>
      </c>
      <c r="G11316">
        <v>1</v>
      </c>
      <c r="H11316">
        <v>1</v>
      </c>
      <c r="I11316">
        <v>0</v>
      </c>
      <c r="J11316">
        <v>1</v>
      </c>
      <c r="K11316">
        <v>1</v>
      </c>
      <c r="L11316">
        <v>1</v>
      </c>
      <c r="M11316">
        <v>0</v>
      </c>
      <c r="N11316">
        <v>0</v>
      </c>
      <c r="O11316">
        <v>0</v>
      </c>
      <c r="AF11316" t="s">
        <v>23044</v>
      </c>
    </row>
    <row r="11317" spans="1:32" hidden="1" x14ac:dyDescent="0.35">
      <c r="A11317">
        <v>11316</v>
      </c>
      <c r="B11317" t="s">
        <v>23045</v>
      </c>
      <c r="C11317" t="s">
        <v>33</v>
      </c>
      <c r="D11317" t="s">
        <v>58</v>
      </c>
      <c r="E11317">
        <v>169</v>
      </c>
      <c r="F11317">
        <v>1</v>
      </c>
      <c r="G11317">
        <v>1</v>
      </c>
      <c r="H11317">
        <v>1</v>
      </c>
      <c r="I11317">
        <v>0</v>
      </c>
      <c r="J11317">
        <v>1</v>
      </c>
      <c r="K11317">
        <v>1</v>
      </c>
      <c r="L11317">
        <v>1</v>
      </c>
      <c r="M11317">
        <v>0</v>
      </c>
      <c r="N11317">
        <v>0</v>
      </c>
      <c r="O11317">
        <v>0</v>
      </c>
      <c r="AF11317" t="s">
        <v>23046</v>
      </c>
    </row>
    <row r="11318" spans="1:32" hidden="1" x14ac:dyDescent="0.35">
      <c r="A11318">
        <v>11317</v>
      </c>
      <c r="B11318" t="s">
        <v>23047</v>
      </c>
      <c r="C11318" t="s">
        <v>33</v>
      </c>
      <c r="D11318" t="s">
        <v>58</v>
      </c>
      <c r="E11318">
        <v>697</v>
      </c>
      <c r="F11318">
        <v>1</v>
      </c>
      <c r="G11318">
        <v>1</v>
      </c>
      <c r="H11318">
        <v>1</v>
      </c>
      <c r="I11318">
        <v>0</v>
      </c>
      <c r="J11318">
        <v>1</v>
      </c>
      <c r="K11318">
        <v>1</v>
      </c>
      <c r="L11318">
        <v>1</v>
      </c>
      <c r="M11318">
        <v>0</v>
      </c>
      <c r="N11318">
        <v>0</v>
      </c>
      <c r="O11318">
        <v>0</v>
      </c>
      <c r="AF11318" t="s">
        <v>23048</v>
      </c>
    </row>
    <row r="11319" spans="1:32" hidden="1" x14ac:dyDescent="0.35">
      <c r="A11319">
        <v>11318</v>
      </c>
      <c r="B11319" t="s">
        <v>23049</v>
      </c>
      <c r="C11319" t="s">
        <v>33</v>
      </c>
      <c r="D11319" t="s">
        <v>58</v>
      </c>
      <c r="E11319">
        <v>19</v>
      </c>
      <c r="F11319">
        <v>1</v>
      </c>
      <c r="G11319">
        <v>1</v>
      </c>
      <c r="H11319">
        <v>1</v>
      </c>
      <c r="I11319">
        <v>0</v>
      </c>
      <c r="J11319">
        <v>1</v>
      </c>
      <c r="K11319">
        <v>1</v>
      </c>
      <c r="L11319">
        <v>1</v>
      </c>
      <c r="M11319">
        <v>0</v>
      </c>
      <c r="N11319">
        <v>0</v>
      </c>
      <c r="O11319">
        <v>0</v>
      </c>
      <c r="P11319" t="s">
        <v>12377</v>
      </c>
      <c r="Q11319" t="s">
        <v>2878</v>
      </c>
      <c r="T11319" t="s">
        <v>12378</v>
      </c>
      <c r="U11319" t="s">
        <v>12379</v>
      </c>
      <c r="AD11319" t="s">
        <v>312</v>
      </c>
      <c r="AE11319" t="s">
        <v>805</v>
      </c>
      <c r="AF11319" t="s">
        <v>23050</v>
      </c>
    </row>
    <row r="11320" spans="1:32" hidden="1" x14ac:dyDescent="0.35">
      <c r="A11320">
        <v>11319</v>
      </c>
      <c r="B11320" t="s">
        <v>23051</v>
      </c>
      <c r="C11320" t="s">
        <v>33</v>
      </c>
      <c r="D11320" t="s">
        <v>58</v>
      </c>
      <c r="E11320">
        <v>1037</v>
      </c>
      <c r="F11320">
        <v>1</v>
      </c>
      <c r="G11320">
        <v>1</v>
      </c>
      <c r="H11320">
        <v>1</v>
      </c>
      <c r="I11320">
        <v>0</v>
      </c>
      <c r="J11320">
        <v>1</v>
      </c>
      <c r="K11320">
        <v>1</v>
      </c>
      <c r="L11320">
        <v>1</v>
      </c>
      <c r="M11320">
        <v>0</v>
      </c>
      <c r="N11320">
        <v>0</v>
      </c>
      <c r="O11320">
        <v>0</v>
      </c>
      <c r="P11320" t="s">
        <v>10443</v>
      </c>
      <c r="Q11320" t="s">
        <v>10444</v>
      </c>
      <c r="R11320" t="s">
        <v>5180</v>
      </c>
      <c r="S11320" t="s">
        <v>5181</v>
      </c>
      <c r="V11320" t="s">
        <v>10445</v>
      </c>
      <c r="W11320" t="s">
        <v>10446</v>
      </c>
      <c r="AF11320" t="s">
        <v>23052</v>
      </c>
    </row>
    <row r="11321" spans="1:32" hidden="1" x14ac:dyDescent="0.35">
      <c r="A11321">
        <v>11320</v>
      </c>
      <c r="B11321" t="s">
        <v>23053</v>
      </c>
      <c r="C11321" t="s">
        <v>33</v>
      </c>
      <c r="D11321" t="s">
        <v>34</v>
      </c>
      <c r="E11321">
        <v>2375</v>
      </c>
      <c r="F11321">
        <v>1</v>
      </c>
      <c r="G11321">
        <v>1</v>
      </c>
      <c r="H11321">
        <v>1</v>
      </c>
      <c r="I11321">
        <v>0</v>
      </c>
      <c r="J11321">
        <v>1</v>
      </c>
      <c r="K11321">
        <v>1</v>
      </c>
      <c r="L11321">
        <v>1</v>
      </c>
      <c r="M11321">
        <v>0</v>
      </c>
      <c r="N11321">
        <v>0</v>
      </c>
      <c r="O11321">
        <v>0</v>
      </c>
      <c r="P11321" t="s">
        <v>13618</v>
      </c>
      <c r="Q11321" t="s">
        <v>13619</v>
      </c>
      <c r="R11321" t="s">
        <v>138</v>
      </c>
      <c r="S11321" t="s">
        <v>139</v>
      </c>
      <c r="V11321" t="s">
        <v>13620</v>
      </c>
      <c r="W11321" t="s">
        <v>13621</v>
      </c>
      <c r="AF11321" t="s">
        <v>23054</v>
      </c>
    </row>
    <row r="11322" spans="1:32" hidden="1" x14ac:dyDescent="0.35">
      <c r="A11322">
        <v>11321</v>
      </c>
      <c r="B11322" t="s">
        <v>23055</v>
      </c>
      <c r="C11322" t="s">
        <v>33</v>
      </c>
      <c r="D11322" t="s">
        <v>58</v>
      </c>
      <c r="E11322">
        <v>1689</v>
      </c>
      <c r="F11322">
        <v>1</v>
      </c>
      <c r="G11322">
        <v>1</v>
      </c>
      <c r="H11322">
        <v>1</v>
      </c>
      <c r="I11322">
        <v>0</v>
      </c>
      <c r="J11322">
        <v>1</v>
      </c>
      <c r="K11322">
        <v>1</v>
      </c>
      <c r="L11322">
        <v>1</v>
      </c>
      <c r="M11322">
        <v>0</v>
      </c>
      <c r="N11322">
        <v>0</v>
      </c>
      <c r="O11322">
        <v>0</v>
      </c>
      <c r="AF11322" t="s">
        <v>23056</v>
      </c>
    </row>
    <row r="11323" spans="1:32" hidden="1" x14ac:dyDescent="0.35">
      <c r="A11323">
        <v>11901</v>
      </c>
      <c r="B11323" t="s">
        <v>24518</v>
      </c>
      <c r="C11323" t="s">
        <v>10130</v>
      </c>
      <c r="D11323" t="s">
        <v>58</v>
      </c>
      <c r="E11323">
        <v>30</v>
      </c>
      <c r="F11323">
        <v>1</v>
      </c>
      <c r="G11323">
        <v>1</v>
      </c>
      <c r="H11323">
        <v>1</v>
      </c>
      <c r="I11323">
        <v>0</v>
      </c>
      <c r="J11323">
        <v>1</v>
      </c>
      <c r="K11323">
        <v>1</v>
      </c>
      <c r="L11323">
        <v>1</v>
      </c>
      <c r="M11323">
        <v>0</v>
      </c>
      <c r="N11323">
        <v>0</v>
      </c>
      <c r="O11323">
        <v>0</v>
      </c>
      <c r="P11323" t="s">
        <v>14338</v>
      </c>
      <c r="Q11323" t="s">
        <v>14339</v>
      </c>
      <c r="R11323" t="s">
        <v>1191</v>
      </c>
      <c r="S11323" t="s">
        <v>1192</v>
      </c>
      <c r="T11323" t="s">
        <v>14340</v>
      </c>
      <c r="U11323" t="s">
        <v>14341</v>
      </c>
      <c r="V11323" t="s">
        <v>14342</v>
      </c>
      <c r="W11323" t="s">
        <v>14343</v>
      </c>
      <c r="AD11323" t="s">
        <v>14344</v>
      </c>
      <c r="AE11323" t="s">
        <v>14345</v>
      </c>
      <c r="AF11323" t="s">
        <v>24519</v>
      </c>
    </row>
    <row r="11324" spans="1:32" hidden="1" x14ac:dyDescent="0.35">
      <c r="A11324">
        <v>11323</v>
      </c>
      <c r="B11324" t="s">
        <v>23059</v>
      </c>
      <c r="C11324" t="s">
        <v>33</v>
      </c>
      <c r="D11324" t="s">
        <v>58</v>
      </c>
      <c r="E11324">
        <v>517</v>
      </c>
      <c r="F11324">
        <v>1</v>
      </c>
      <c r="G11324">
        <v>1</v>
      </c>
      <c r="H11324">
        <v>1</v>
      </c>
      <c r="I11324">
        <v>0</v>
      </c>
      <c r="J11324">
        <v>1</v>
      </c>
      <c r="K11324">
        <v>1</v>
      </c>
      <c r="L11324">
        <v>1</v>
      </c>
      <c r="M11324">
        <v>0</v>
      </c>
      <c r="N11324">
        <v>0</v>
      </c>
      <c r="O11324">
        <v>0</v>
      </c>
      <c r="AF11324" t="s">
        <v>23060</v>
      </c>
    </row>
    <row r="11325" spans="1:32" hidden="1" x14ac:dyDescent="0.35">
      <c r="A11325">
        <v>11324</v>
      </c>
      <c r="B11325" t="s">
        <v>23061</v>
      </c>
      <c r="C11325" t="s">
        <v>33</v>
      </c>
      <c r="D11325" t="s">
        <v>58</v>
      </c>
      <c r="E11325">
        <v>1280</v>
      </c>
      <c r="F11325">
        <v>1</v>
      </c>
      <c r="G11325">
        <v>1</v>
      </c>
      <c r="H11325">
        <v>1</v>
      </c>
      <c r="I11325">
        <v>0</v>
      </c>
      <c r="J11325">
        <v>1</v>
      </c>
      <c r="K11325">
        <v>1</v>
      </c>
      <c r="L11325">
        <v>1</v>
      </c>
      <c r="M11325">
        <v>0</v>
      </c>
      <c r="N11325">
        <v>0</v>
      </c>
      <c r="O11325">
        <v>0</v>
      </c>
      <c r="AF11325" t="s">
        <v>23062</v>
      </c>
    </row>
    <row r="11326" spans="1:32" hidden="1" x14ac:dyDescent="0.35">
      <c r="A11326">
        <v>11325</v>
      </c>
      <c r="B11326" t="s">
        <v>23063</v>
      </c>
      <c r="C11326" t="s">
        <v>33</v>
      </c>
      <c r="D11326" t="s">
        <v>58</v>
      </c>
      <c r="E11326">
        <v>5</v>
      </c>
      <c r="F11326">
        <v>1</v>
      </c>
      <c r="G11326">
        <v>1</v>
      </c>
      <c r="H11326">
        <v>1</v>
      </c>
      <c r="I11326">
        <v>0</v>
      </c>
      <c r="J11326">
        <v>1</v>
      </c>
      <c r="K11326">
        <v>1</v>
      </c>
      <c r="L11326">
        <v>1</v>
      </c>
      <c r="M11326">
        <v>0</v>
      </c>
      <c r="N11326">
        <v>0</v>
      </c>
      <c r="O11326">
        <v>0</v>
      </c>
      <c r="AF11326" t="s">
        <v>23064</v>
      </c>
    </row>
    <row r="11327" spans="1:32" hidden="1" x14ac:dyDescent="0.35">
      <c r="A11327">
        <v>11326</v>
      </c>
      <c r="B11327" t="s">
        <v>23065</v>
      </c>
      <c r="C11327" t="s">
        <v>33</v>
      </c>
      <c r="D11327" t="s">
        <v>58</v>
      </c>
      <c r="E11327">
        <v>1445</v>
      </c>
      <c r="F11327">
        <v>1</v>
      </c>
      <c r="G11327">
        <v>1</v>
      </c>
      <c r="H11327">
        <v>1</v>
      </c>
      <c r="I11327">
        <v>0</v>
      </c>
      <c r="J11327">
        <v>1</v>
      </c>
      <c r="K11327">
        <v>1</v>
      </c>
      <c r="L11327">
        <v>1</v>
      </c>
      <c r="M11327">
        <v>0</v>
      </c>
      <c r="N11327">
        <v>0</v>
      </c>
      <c r="O11327">
        <v>0</v>
      </c>
      <c r="P11327" t="s">
        <v>19572</v>
      </c>
      <c r="Q11327" t="s">
        <v>19573</v>
      </c>
      <c r="AF11327" t="s">
        <v>23066</v>
      </c>
    </row>
    <row r="11328" spans="1:32" hidden="1" x14ac:dyDescent="0.35">
      <c r="A11328">
        <v>1589</v>
      </c>
      <c r="B11328" t="s">
        <v>3335</v>
      </c>
      <c r="C11328" t="s">
        <v>72</v>
      </c>
      <c r="D11328" t="s">
        <v>58</v>
      </c>
      <c r="E11328">
        <v>1808</v>
      </c>
      <c r="F11328">
        <v>5</v>
      </c>
      <c r="G11328">
        <v>5</v>
      </c>
      <c r="H11328">
        <v>1</v>
      </c>
      <c r="I11328">
        <v>1</v>
      </c>
      <c r="J11328">
        <v>0.88167938931297696</v>
      </c>
      <c r="K11328">
        <v>0.99573125212080305</v>
      </c>
      <c r="L11328">
        <v>0.93524102070631798</v>
      </c>
      <c r="M11328">
        <v>0.79097387173396705</v>
      </c>
      <c r="N11328">
        <v>1</v>
      </c>
      <c r="O11328">
        <v>0.84988123515439395</v>
      </c>
      <c r="P11328" t="s">
        <v>3336</v>
      </c>
      <c r="Q11328" t="s">
        <v>3337</v>
      </c>
      <c r="R11328" t="s">
        <v>224</v>
      </c>
      <c r="S11328" t="s">
        <v>225</v>
      </c>
      <c r="T11328" t="s">
        <v>3338</v>
      </c>
      <c r="U11328" t="s">
        <v>3339</v>
      </c>
      <c r="V11328" t="s">
        <v>3340</v>
      </c>
      <c r="W11328" t="s">
        <v>3341</v>
      </c>
      <c r="X11328" t="s">
        <v>3340</v>
      </c>
      <c r="Y11328" t="s">
        <v>589</v>
      </c>
      <c r="AD11328" t="s">
        <v>997</v>
      </c>
      <c r="AE11328" t="s">
        <v>3342</v>
      </c>
      <c r="AF11328" t="s">
        <v>3343</v>
      </c>
    </row>
    <row r="11329" spans="1:32" hidden="1" x14ac:dyDescent="0.35">
      <c r="A11329">
        <v>11328</v>
      </c>
      <c r="B11329" t="s">
        <v>23069</v>
      </c>
      <c r="C11329" t="s">
        <v>33</v>
      </c>
      <c r="D11329" t="s">
        <v>58</v>
      </c>
      <c r="E11329">
        <v>1501</v>
      </c>
      <c r="F11329">
        <v>1</v>
      </c>
      <c r="G11329">
        <v>1</v>
      </c>
      <c r="H11329">
        <v>1</v>
      </c>
      <c r="I11329">
        <v>0</v>
      </c>
      <c r="J11329">
        <v>1</v>
      </c>
      <c r="K11329">
        <v>1</v>
      </c>
      <c r="L11329">
        <v>1</v>
      </c>
      <c r="M11329">
        <v>0</v>
      </c>
      <c r="N11329">
        <v>0</v>
      </c>
      <c r="O11329">
        <v>0</v>
      </c>
      <c r="AF11329" t="s">
        <v>23070</v>
      </c>
    </row>
    <row r="11330" spans="1:32" hidden="1" x14ac:dyDescent="0.35">
      <c r="A11330">
        <v>11329</v>
      </c>
      <c r="B11330" t="s">
        <v>23071</v>
      </c>
      <c r="C11330" t="s">
        <v>33</v>
      </c>
      <c r="D11330" t="s">
        <v>58</v>
      </c>
      <c r="E11330">
        <v>1843</v>
      </c>
      <c r="F11330">
        <v>1</v>
      </c>
      <c r="G11330">
        <v>1</v>
      </c>
      <c r="H11330">
        <v>1</v>
      </c>
      <c r="I11330">
        <v>0</v>
      </c>
      <c r="J11330">
        <v>1</v>
      </c>
      <c r="K11330">
        <v>1</v>
      </c>
      <c r="L11330">
        <v>1</v>
      </c>
      <c r="M11330">
        <v>0</v>
      </c>
      <c r="N11330">
        <v>0</v>
      </c>
      <c r="O11330">
        <v>0</v>
      </c>
      <c r="AF11330" t="s">
        <v>23072</v>
      </c>
    </row>
    <row r="11331" spans="1:32" hidden="1" x14ac:dyDescent="0.35">
      <c r="A11331">
        <v>11330</v>
      </c>
      <c r="B11331" t="s">
        <v>23073</v>
      </c>
      <c r="C11331" t="s">
        <v>33</v>
      </c>
      <c r="D11331" t="s">
        <v>62</v>
      </c>
      <c r="E11331">
        <v>1989</v>
      </c>
      <c r="F11331">
        <v>1</v>
      </c>
      <c r="G11331">
        <v>1</v>
      </c>
      <c r="H11331">
        <v>1</v>
      </c>
      <c r="I11331">
        <v>0</v>
      </c>
      <c r="J11331">
        <v>1</v>
      </c>
      <c r="K11331">
        <v>1</v>
      </c>
      <c r="L11331">
        <v>1</v>
      </c>
      <c r="M11331">
        <v>0</v>
      </c>
      <c r="N11331">
        <v>0</v>
      </c>
      <c r="O11331">
        <v>0</v>
      </c>
      <c r="AF11331" t="s">
        <v>23074</v>
      </c>
    </row>
    <row r="11332" spans="1:32" hidden="1" x14ac:dyDescent="0.35">
      <c r="A11332">
        <v>11331</v>
      </c>
      <c r="B11332" t="s">
        <v>23075</v>
      </c>
      <c r="C11332" t="s">
        <v>33</v>
      </c>
      <c r="D11332" t="s">
        <v>58</v>
      </c>
      <c r="E11332">
        <v>1642</v>
      </c>
      <c r="F11332">
        <v>1</v>
      </c>
      <c r="G11332">
        <v>1</v>
      </c>
      <c r="H11332">
        <v>1</v>
      </c>
      <c r="I11332">
        <v>0</v>
      </c>
      <c r="J11332">
        <v>1</v>
      </c>
      <c r="K11332">
        <v>1</v>
      </c>
      <c r="L11332">
        <v>1</v>
      </c>
      <c r="M11332">
        <v>0</v>
      </c>
      <c r="N11332">
        <v>0</v>
      </c>
      <c r="O11332">
        <v>0</v>
      </c>
      <c r="AF11332" t="s">
        <v>23076</v>
      </c>
    </row>
    <row r="11333" spans="1:32" hidden="1" x14ac:dyDescent="0.35">
      <c r="A11333">
        <v>11332</v>
      </c>
      <c r="B11333" t="s">
        <v>23077</v>
      </c>
      <c r="C11333" t="s">
        <v>33</v>
      </c>
      <c r="D11333" t="s">
        <v>58</v>
      </c>
      <c r="E11333">
        <v>1591</v>
      </c>
      <c r="F11333">
        <v>1</v>
      </c>
      <c r="G11333">
        <v>1</v>
      </c>
      <c r="H11333">
        <v>1</v>
      </c>
      <c r="I11333">
        <v>0</v>
      </c>
      <c r="J11333">
        <v>1</v>
      </c>
      <c r="K11333">
        <v>1</v>
      </c>
      <c r="L11333">
        <v>1</v>
      </c>
      <c r="M11333">
        <v>0</v>
      </c>
      <c r="N11333">
        <v>0</v>
      </c>
      <c r="O11333">
        <v>0</v>
      </c>
      <c r="P11333" t="s">
        <v>17818</v>
      </c>
      <c r="Q11333" t="s">
        <v>17819</v>
      </c>
      <c r="R11333" t="s">
        <v>96</v>
      </c>
      <c r="S11333" t="s">
        <v>97</v>
      </c>
      <c r="T11333" t="s">
        <v>17820</v>
      </c>
      <c r="U11333" t="s">
        <v>17821</v>
      </c>
      <c r="V11333" t="s">
        <v>17822</v>
      </c>
      <c r="W11333" t="s">
        <v>17823</v>
      </c>
      <c r="AD11333" t="s">
        <v>17824</v>
      </c>
      <c r="AE11333" t="s">
        <v>17825</v>
      </c>
      <c r="AF11333" t="s">
        <v>23078</v>
      </c>
    </row>
    <row r="11334" spans="1:32" hidden="1" x14ac:dyDescent="0.35">
      <c r="A11334">
        <v>11333</v>
      </c>
      <c r="B11334" t="s">
        <v>23079</v>
      </c>
      <c r="C11334" t="s">
        <v>33</v>
      </c>
      <c r="D11334" t="s">
        <v>60</v>
      </c>
      <c r="E11334">
        <v>2521</v>
      </c>
      <c r="F11334">
        <v>1</v>
      </c>
      <c r="G11334">
        <v>1</v>
      </c>
      <c r="H11334">
        <v>1</v>
      </c>
      <c r="I11334">
        <v>0</v>
      </c>
      <c r="J11334">
        <v>1</v>
      </c>
      <c r="K11334">
        <v>1</v>
      </c>
      <c r="L11334">
        <v>1</v>
      </c>
      <c r="M11334">
        <v>0</v>
      </c>
      <c r="N11334">
        <v>0</v>
      </c>
      <c r="O11334">
        <v>0</v>
      </c>
      <c r="AF11334" t="s">
        <v>23080</v>
      </c>
    </row>
    <row r="11335" spans="1:32" hidden="1" x14ac:dyDescent="0.35">
      <c r="A11335">
        <v>11334</v>
      </c>
      <c r="B11335" t="s">
        <v>23081</v>
      </c>
      <c r="C11335" t="s">
        <v>33</v>
      </c>
      <c r="D11335" t="s">
        <v>60</v>
      </c>
      <c r="E11335">
        <v>644</v>
      </c>
      <c r="F11335">
        <v>1</v>
      </c>
      <c r="G11335">
        <v>1</v>
      </c>
      <c r="H11335">
        <v>1</v>
      </c>
      <c r="I11335">
        <v>0</v>
      </c>
      <c r="J11335">
        <v>1</v>
      </c>
      <c r="K11335">
        <v>1</v>
      </c>
      <c r="L11335">
        <v>1</v>
      </c>
      <c r="M11335">
        <v>0</v>
      </c>
      <c r="N11335">
        <v>0</v>
      </c>
      <c r="O11335">
        <v>0</v>
      </c>
      <c r="R11335" t="s">
        <v>96</v>
      </c>
      <c r="S11335" t="s">
        <v>97</v>
      </c>
      <c r="V11335" t="s">
        <v>22681</v>
      </c>
      <c r="W11335" t="s">
        <v>22682</v>
      </c>
      <c r="AF11335" t="s">
        <v>23082</v>
      </c>
    </row>
    <row r="11336" spans="1:32" hidden="1" x14ac:dyDescent="0.35">
      <c r="A11336">
        <v>11335</v>
      </c>
      <c r="B11336" t="s">
        <v>23083</v>
      </c>
      <c r="C11336" t="s">
        <v>33</v>
      </c>
      <c r="D11336" t="s">
        <v>58</v>
      </c>
      <c r="E11336">
        <v>125</v>
      </c>
      <c r="F11336">
        <v>1</v>
      </c>
      <c r="G11336">
        <v>1</v>
      </c>
      <c r="H11336">
        <v>1</v>
      </c>
      <c r="I11336">
        <v>0</v>
      </c>
      <c r="J11336">
        <v>1</v>
      </c>
      <c r="K11336">
        <v>1</v>
      </c>
      <c r="L11336">
        <v>1</v>
      </c>
      <c r="M11336">
        <v>0</v>
      </c>
      <c r="N11336">
        <v>0</v>
      </c>
      <c r="O11336">
        <v>0</v>
      </c>
      <c r="P11336" t="s">
        <v>14242</v>
      </c>
      <c r="Q11336" t="s">
        <v>14243</v>
      </c>
      <c r="R11336" t="s">
        <v>9049</v>
      </c>
      <c r="S11336" t="s">
        <v>9050</v>
      </c>
      <c r="V11336" t="s">
        <v>14244</v>
      </c>
      <c r="W11336" t="s">
        <v>14245</v>
      </c>
      <c r="AF11336" t="s">
        <v>23084</v>
      </c>
    </row>
    <row r="11337" spans="1:32" hidden="1" x14ac:dyDescent="0.35">
      <c r="A11337">
        <v>89</v>
      </c>
      <c r="B11337" t="s">
        <v>135</v>
      </c>
      <c r="C11337" t="s">
        <v>72</v>
      </c>
      <c r="D11337" t="s">
        <v>58</v>
      </c>
      <c r="E11337">
        <v>135</v>
      </c>
      <c r="F11337">
        <v>5</v>
      </c>
      <c r="G11337">
        <v>9</v>
      </c>
      <c r="H11337">
        <v>3</v>
      </c>
      <c r="I11337">
        <v>0</v>
      </c>
      <c r="J11337">
        <v>0.76615384615384596</v>
      </c>
      <c r="K11337">
        <v>0.957725560755044</v>
      </c>
      <c r="L11337">
        <v>0.85129518804108195</v>
      </c>
      <c r="M11337">
        <v>0.51086956521739102</v>
      </c>
      <c r="N11337">
        <v>1</v>
      </c>
      <c r="O11337">
        <v>0.69067028985507295</v>
      </c>
      <c r="P11337" t="s">
        <v>136</v>
      </c>
      <c r="Q11337" t="s">
        <v>137</v>
      </c>
      <c r="R11337" t="s">
        <v>138</v>
      </c>
      <c r="S11337" t="s">
        <v>139</v>
      </c>
      <c r="T11337" t="s">
        <v>140</v>
      </c>
      <c r="U11337" t="s">
        <v>141</v>
      </c>
      <c r="V11337" t="s">
        <v>142</v>
      </c>
      <c r="W11337" t="s">
        <v>143</v>
      </c>
      <c r="Z11337" t="s">
        <v>144</v>
      </c>
      <c r="AA11337" t="s">
        <v>145</v>
      </c>
      <c r="AB11337" t="s">
        <v>144</v>
      </c>
      <c r="AC11337" t="s">
        <v>146</v>
      </c>
      <c r="AD11337" t="s">
        <v>147</v>
      </c>
      <c r="AE11337" t="s">
        <v>148</v>
      </c>
      <c r="AF11337" t="s">
        <v>149</v>
      </c>
    </row>
    <row r="11338" spans="1:32" hidden="1" x14ac:dyDescent="0.35">
      <c r="A11338">
        <v>11337</v>
      </c>
      <c r="B11338" t="s">
        <v>23087</v>
      </c>
      <c r="C11338" t="s">
        <v>33</v>
      </c>
      <c r="D11338" t="s">
        <v>58</v>
      </c>
      <c r="E11338">
        <v>1466</v>
      </c>
      <c r="F11338">
        <v>1</v>
      </c>
      <c r="G11338">
        <v>1</v>
      </c>
      <c r="H11338">
        <v>1</v>
      </c>
      <c r="I11338">
        <v>0</v>
      </c>
      <c r="J11338">
        <v>1</v>
      </c>
      <c r="K11338">
        <v>1</v>
      </c>
      <c r="L11338">
        <v>1</v>
      </c>
      <c r="M11338">
        <v>0</v>
      </c>
      <c r="N11338">
        <v>0</v>
      </c>
      <c r="O11338">
        <v>0</v>
      </c>
      <c r="P11338" t="s">
        <v>169</v>
      </c>
      <c r="Q11338" t="s">
        <v>170</v>
      </c>
      <c r="R11338" t="s">
        <v>12738</v>
      </c>
      <c r="S11338" t="s">
        <v>12739</v>
      </c>
      <c r="V11338" t="s">
        <v>15909</v>
      </c>
      <c r="W11338" t="s">
        <v>15910</v>
      </c>
      <c r="AF11338" t="s">
        <v>23088</v>
      </c>
    </row>
    <row r="11339" spans="1:32" hidden="1" x14ac:dyDescent="0.35">
      <c r="A11339">
        <v>2769</v>
      </c>
      <c r="B11339" t="s">
        <v>5740</v>
      </c>
      <c r="C11339" t="s">
        <v>72</v>
      </c>
      <c r="D11339" t="s">
        <v>58</v>
      </c>
      <c r="E11339">
        <v>1794</v>
      </c>
      <c r="F11339">
        <v>5</v>
      </c>
      <c r="G11339">
        <v>5</v>
      </c>
      <c r="H11339">
        <v>1</v>
      </c>
      <c r="I11339">
        <v>1</v>
      </c>
      <c r="J11339">
        <v>0.75142576204523104</v>
      </c>
      <c r="K11339">
        <v>0.94384246363354996</v>
      </c>
      <c r="L11339">
        <v>0.83671425175507597</v>
      </c>
      <c r="M11339">
        <v>0.58611111111111103</v>
      </c>
      <c r="N11339">
        <v>1</v>
      </c>
      <c r="O11339">
        <v>0.67777777777777803</v>
      </c>
      <c r="P11339" t="s">
        <v>136</v>
      </c>
      <c r="Q11339" t="s">
        <v>137</v>
      </c>
      <c r="R11339" t="s">
        <v>138</v>
      </c>
      <c r="S11339" t="s">
        <v>139</v>
      </c>
      <c r="T11339" t="s">
        <v>140</v>
      </c>
      <c r="U11339" t="s">
        <v>141</v>
      </c>
      <c r="V11339" t="s">
        <v>142</v>
      </c>
      <c r="W11339" t="s">
        <v>143</v>
      </c>
      <c r="Z11339" t="s">
        <v>144</v>
      </c>
      <c r="AA11339" t="s">
        <v>145</v>
      </c>
      <c r="AB11339" t="s">
        <v>144</v>
      </c>
      <c r="AC11339" t="s">
        <v>146</v>
      </c>
      <c r="AD11339" t="s">
        <v>147</v>
      </c>
      <c r="AE11339" t="s">
        <v>148</v>
      </c>
      <c r="AF11339" t="s">
        <v>5741</v>
      </c>
    </row>
    <row r="11340" spans="1:32" hidden="1" x14ac:dyDescent="0.35">
      <c r="A11340">
        <v>11339</v>
      </c>
      <c r="B11340" t="s">
        <v>23091</v>
      </c>
      <c r="C11340" t="s">
        <v>33</v>
      </c>
      <c r="D11340" t="s">
        <v>58</v>
      </c>
      <c r="E11340">
        <v>435</v>
      </c>
      <c r="F11340">
        <v>1</v>
      </c>
      <c r="G11340">
        <v>1</v>
      </c>
      <c r="H11340">
        <v>1</v>
      </c>
      <c r="I11340">
        <v>0</v>
      </c>
      <c r="J11340">
        <v>1</v>
      </c>
      <c r="K11340">
        <v>1</v>
      </c>
      <c r="L11340">
        <v>1</v>
      </c>
      <c r="M11340">
        <v>0</v>
      </c>
      <c r="N11340">
        <v>0</v>
      </c>
      <c r="O11340">
        <v>0</v>
      </c>
      <c r="P11340" t="s">
        <v>18762</v>
      </c>
      <c r="Q11340" t="s">
        <v>18763</v>
      </c>
      <c r="AF11340" t="s">
        <v>23092</v>
      </c>
    </row>
    <row r="11341" spans="1:32" hidden="1" x14ac:dyDescent="0.35">
      <c r="A11341">
        <v>11340</v>
      </c>
      <c r="B11341" t="s">
        <v>23093</v>
      </c>
      <c r="C11341" t="s">
        <v>33</v>
      </c>
      <c r="D11341" t="s">
        <v>60</v>
      </c>
      <c r="E11341">
        <v>1490</v>
      </c>
      <c r="F11341">
        <v>1</v>
      </c>
      <c r="G11341">
        <v>1</v>
      </c>
      <c r="H11341">
        <v>1</v>
      </c>
      <c r="I11341">
        <v>0</v>
      </c>
      <c r="J11341">
        <v>1</v>
      </c>
      <c r="K11341">
        <v>1</v>
      </c>
      <c r="L11341">
        <v>1</v>
      </c>
      <c r="M11341">
        <v>0</v>
      </c>
      <c r="N11341">
        <v>0</v>
      </c>
      <c r="O11341">
        <v>0</v>
      </c>
      <c r="P11341" t="s">
        <v>14773</v>
      </c>
      <c r="Q11341" t="s">
        <v>14774</v>
      </c>
      <c r="R11341" t="s">
        <v>342</v>
      </c>
      <c r="S11341" t="s">
        <v>343</v>
      </c>
      <c r="T11341" t="s">
        <v>14775</v>
      </c>
      <c r="U11341" t="s">
        <v>14776</v>
      </c>
      <c r="V11341" t="s">
        <v>14777</v>
      </c>
      <c r="W11341" t="s">
        <v>14778</v>
      </c>
      <c r="AD11341" t="s">
        <v>166</v>
      </c>
      <c r="AE11341" t="s">
        <v>10202</v>
      </c>
      <c r="AF11341" t="s">
        <v>23094</v>
      </c>
    </row>
    <row r="11342" spans="1:32" hidden="1" x14ac:dyDescent="0.35">
      <c r="A11342">
        <v>11341</v>
      </c>
      <c r="B11342" t="s">
        <v>23095</v>
      </c>
      <c r="C11342" t="s">
        <v>33</v>
      </c>
      <c r="D11342" t="s">
        <v>58</v>
      </c>
      <c r="E11342">
        <v>349</v>
      </c>
      <c r="F11342">
        <v>1</v>
      </c>
      <c r="G11342">
        <v>1</v>
      </c>
      <c r="H11342">
        <v>1</v>
      </c>
      <c r="I11342">
        <v>0</v>
      </c>
      <c r="J11342">
        <v>1</v>
      </c>
      <c r="K11342">
        <v>1</v>
      </c>
      <c r="L11342">
        <v>1</v>
      </c>
      <c r="M11342">
        <v>0</v>
      </c>
      <c r="N11342">
        <v>0</v>
      </c>
      <c r="O11342">
        <v>0</v>
      </c>
      <c r="P11342" t="s">
        <v>15681</v>
      </c>
      <c r="Q11342" t="s">
        <v>15682</v>
      </c>
      <c r="AF11342" t="s">
        <v>23096</v>
      </c>
    </row>
    <row r="11343" spans="1:32" hidden="1" x14ac:dyDescent="0.35">
      <c r="A11343">
        <v>11342</v>
      </c>
      <c r="B11343" t="s">
        <v>23097</v>
      </c>
      <c r="C11343" t="s">
        <v>33</v>
      </c>
      <c r="D11343" t="s">
        <v>45</v>
      </c>
      <c r="E11343">
        <v>2150</v>
      </c>
      <c r="F11343">
        <v>1</v>
      </c>
      <c r="G11343">
        <v>1</v>
      </c>
      <c r="H11343">
        <v>1</v>
      </c>
      <c r="I11343">
        <v>0</v>
      </c>
      <c r="J11343">
        <v>1</v>
      </c>
      <c r="K11343">
        <v>1</v>
      </c>
      <c r="L11343">
        <v>1</v>
      </c>
      <c r="M11343">
        <v>0</v>
      </c>
      <c r="N11343">
        <v>0</v>
      </c>
      <c r="O11343">
        <v>0</v>
      </c>
      <c r="AF11343" t="s">
        <v>23098</v>
      </c>
    </row>
    <row r="11344" spans="1:32" hidden="1" x14ac:dyDescent="0.35">
      <c r="A11344">
        <v>11371</v>
      </c>
      <c r="B11344" t="s">
        <v>23161</v>
      </c>
      <c r="C11344" t="s">
        <v>33</v>
      </c>
      <c r="D11344" t="s">
        <v>58</v>
      </c>
      <c r="E11344">
        <v>1650</v>
      </c>
      <c r="F11344">
        <v>1</v>
      </c>
      <c r="G11344">
        <v>1</v>
      </c>
      <c r="H11344">
        <v>1</v>
      </c>
      <c r="I11344">
        <v>0</v>
      </c>
      <c r="J11344">
        <v>1</v>
      </c>
      <c r="K11344">
        <v>1</v>
      </c>
      <c r="L11344">
        <v>1</v>
      </c>
      <c r="M11344">
        <v>0</v>
      </c>
      <c r="N11344">
        <v>0</v>
      </c>
      <c r="O11344">
        <v>0</v>
      </c>
      <c r="P11344" t="s">
        <v>136</v>
      </c>
      <c r="Q11344" t="s">
        <v>137</v>
      </c>
      <c r="R11344" t="s">
        <v>138</v>
      </c>
      <c r="S11344" t="s">
        <v>139</v>
      </c>
      <c r="T11344" t="s">
        <v>16223</v>
      </c>
      <c r="U11344" t="s">
        <v>16224</v>
      </c>
      <c r="V11344" t="s">
        <v>142</v>
      </c>
      <c r="W11344" t="s">
        <v>143</v>
      </c>
      <c r="Z11344" t="s">
        <v>16227</v>
      </c>
      <c r="AA11344" t="s">
        <v>16228</v>
      </c>
      <c r="AB11344" t="s">
        <v>16227</v>
      </c>
      <c r="AC11344" t="s">
        <v>729</v>
      </c>
      <c r="AD11344" t="s">
        <v>245</v>
      </c>
      <c r="AE11344" t="s">
        <v>16229</v>
      </c>
      <c r="AF11344" t="s">
        <v>23162</v>
      </c>
    </row>
    <row r="11345" spans="1:32" hidden="1" x14ac:dyDescent="0.35">
      <c r="A11345">
        <v>11432</v>
      </c>
      <c r="B11345" t="s">
        <v>23309</v>
      </c>
      <c r="C11345" t="s">
        <v>33</v>
      </c>
      <c r="D11345" t="s">
        <v>58</v>
      </c>
      <c r="E11345">
        <v>592</v>
      </c>
      <c r="F11345">
        <v>1</v>
      </c>
      <c r="G11345">
        <v>1</v>
      </c>
      <c r="H11345">
        <v>1</v>
      </c>
      <c r="I11345">
        <v>0</v>
      </c>
      <c r="J11345">
        <v>1</v>
      </c>
      <c r="K11345">
        <v>1</v>
      </c>
      <c r="L11345">
        <v>1</v>
      </c>
      <c r="M11345">
        <v>0</v>
      </c>
      <c r="N11345">
        <v>0</v>
      </c>
      <c r="O11345">
        <v>0</v>
      </c>
      <c r="P11345" t="s">
        <v>136</v>
      </c>
      <c r="Q11345" t="s">
        <v>137</v>
      </c>
      <c r="R11345" t="s">
        <v>138</v>
      </c>
      <c r="S11345" t="s">
        <v>139</v>
      </c>
      <c r="T11345" t="s">
        <v>140</v>
      </c>
      <c r="U11345" t="s">
        <v>141</v>
      </c>
      <c r="V11345" t="s">
        <v>142</v>
      </c>
      <c r="W11345" t="s">
        <v>143</v>
      </c>
      <c r="Z11345" t="s">
        <v>144</v>
      </c>
      <c r="AA11345" t="s">
        <v>145</v>
      </c>
      <c r="AB11345" t="s">
        <v>144</v>
      </c>
      <c r="AC11345" t="s">
        <v>146</v>
      </c>
      <c r="AD11345" t="s">
        <v>147</v>
      </c>
      <c r="AE11345" t="s">
        <v>148</v>
      </c>
      <c r="AF11345" t="s">
        <v>23310</v>
      </c>
    </row>
    <row r="11346" spans="1:32" hidden="1" x14ac:dyDescent="0.35">
      <c r="A11346">
        <v>11345</v>
      </c>
      <c r="B11346" t="s">
        <v>23103</v>
      </c>
      <c r="C11346" t="s">
        <v>33</v>
      </c>
      <c r="D11346" t="s">
        <v>60</v>
      </c>
      <c r="E11346">
        <v>2309</v>
      </c>
      <c r="F11346">
        <v>1</v>
      </c>
      <c r="G11346">
        <v>1</v>
      </c>
      <c r="H11346">
        <v>1</v>
      </c>
      <c r="I11346">
        <v>0</v>
      </c>
      <c r="J11346">
        <v>1</v>
      </c>
      <c r="K11346">
        <v>1</v>
      </c>
      <c r="L11346">
        <v>1</v>
      </c>
      <c r="M11346">
        <v>0</v>
      </c>
      <c r="N11346">
        <v>0</v>
      </c>
      <c r="O11346">
        <v>0</v>
      </c>
      <c r="AF11346" t="s">
        <v>23104</v>
      </c>
    </row>
    <row r="11347" spans="1:32" hidden="1" x14ac:dyDescent="0.35">
      <c r="A11347">
        <v>11346</v>
      </c>
      <c r="B11347" t="s">
        <v>23105</v>
      </c>
      <c r="C11347" t="s">
        <v>33</v>
      </c>
      <c r="D11347" t="s">
        <v>62</v>
      </c>
      <c r="E11347">
        <v>2090</v>
      </c>
      <c r="F11347">
        <v>1</v>
      </c>
      <c r="G11347">
        <v>1</v>
      </c>
      <c r="H11347">
        <v>1</v>
      </c>
      <c r="I11347">
        <v>0</v>
      </c>
      <c r="J11347">
        <v>1</v>
      </c>
      <c r="K11347">
        <v>1</v>
      </c>
      <c r="L11347">
        <v>1</v>
      </c>
      <c r="M11347">
        <v>0</v>
      </c>
      <c r="N11347">
        <v>0</v>
      </c>
      <c r="O11347">
        <v>0</v>
      </c>
      <c r="AF11347" t="s">
        <v>23106</v>
      </c>
    </row>
    <row r="11348" spans="1:32" hidden="1" x14ac:dyDescent="0.35">
      <c r="A11348">
        <v>11347</v>
      </c>
      <c r="B11348" t="s">
        <v>23107</v>
      </c>
      <c r="C11348" t="s">
        <v>33</v>
      </c>
      <c r="D11348" t="s">
        <v>45</v>
      </c>
      <c r="E11348">
        <v>2067</v>
      </c>
      <c r="F11348">
        <v>1</v>
      </c>
      <c r="G11348">
        <v>1</v>
      </c>
      <c r="H11348">
        <v>1</v>
      </c>
      <c r="I11348">
        <v>0</v>
      </c>
      <c r="J11348">
        <v>1</v>
      </c>
      <c r="K11348">
        <v>1</v>
      </c>
      <c r="L11348">
        <v>1</v>
      </c>
      <c r="M11348">
        <v>0</v>
      </c>
      <c r="N11348">
        <v>0</v>
      </c>
      <c r="O11348">
        <v>0</v>
      </c>
      <c r="AF11348" t="s">
        <v>23108</v>
      </c>
    </row>
    <row r="11349" spans="1:32" hidden="1" x14ac:dyDescent="0.35">
      <c r="A11349">
        <v>11348</v>
      </c>
      <c r="B11349" t="s">
        <v>23109</v>
      </c>
      <c r="C11349" t="s">
        <v>33</v>
      </c>
      <c r="D11349" t="s">
        <v>60</v>
      </c>
      <c r="E11349">
        <v>2077</v>
      </c>
      <c r="F11349">
        <v>1</v>
      </c>
      <c r="G11349">
        <v>1</v>
      </c>
      <c r="H11349">
        <v>1</v>
      </c>
      <c r="I11349">
        <v>0</v>
      </c>
      <c r="J11349">
        <v>1</v>
      </c>
      <c r="K11349">
        <v>1</v>
      </c>
      <c r="L11349">
        <v>1</v>
      </c>
      <c r="M11349">
        <v>0</v>
      </c>
      <c r="N11349">
        <v>0</v>
      </c>
      <c r="O11349">
        <v>0</v>
      </c>
      <c r="P11349" t="s">
        <v>23110</v>
      </c>
      <c r="Q11349" t="s">
        <v>23111</v>
      </c>
      <c r="R11349" t="s">
        <v>138</v>
      </c>
      <c r="S11349" t="s">
        <v>139</v>
      </c>
      <c r="V11349" t="s">
        <v>23112</v>
      </c>
      <c r="W11349" t="s">
        <v>23113</v>
      </c>
      <c r="AF11349" t="s">
        <v>23114</v>
      </c>
    </row>
    <row r="11350" spans="1:32" hidden="1" x14ac:dyDescent="0.35">
      <c r="A11350">
        <v>11349</v>
      </c>
      <c r="B11350" t="s">
        <v>23115</v>
      </c>
      <c r="C11350" t="s">
        <v>33</v>
      </c>
      <c r="D11350" t="s">
        <v>62</v>
      </c>
      <c r="E11350">
        <v>226</v>
      </c>
      <c r="F11350">
        <v>1</v>
      </c>
      <c r="G11350">
        <v>1</v>
      </c>
      <c r="H11350">
        <v>1</v>
      </c>
      <c r="I11350">
        <v>0</v>
      </c>
      <c r="J11350">
        <v>1</v>
      </c>
      <c r="K11350">
        <v>1</v>
      </c>
      <c r="L11350">
        <v>1</v>
      </c>
      <c r="M11350">
        <v>0</v>
      </c>
      <c r="N11350">
        <v>0</v>
      </c>
      <c r="O11350">
        <v>0</v>
      </c>
      <c r="AF11350" t="s">
        <v>23116</v>
      </c>
    </row>
    <row r="11351" spans="1:32" hidden="1" x14ac:dyDescent="0.35">
      <c r="A11351">
        <v>11350</v>
      </c>
      <c r="B11351" t="s">
        <v>23117</v>
      </c>
      <c r="C11351" t="s">
        <v>33</v>
      </c>
      <c r="D11351" t="s">
        <v>58</v>
      </c>
      <c r="E11351">
        <v>202</v>
      </c>
      <c r="F11351">
        <v>1</v>
      </c>
      <c r="G11351">
        <v>1</v>
      </c>
      <c r="H11351">
        <v>1</v>
      </c>
      <c r="I11351">
        <v>0</v>
      </c>
      <c r="J11351">
        <v>1</v>
      </c>
      <c r="K11351">
        <v>1</v>
      </c>
      <c r="L11351">
        <v>1</v>
      </c>
      <c r="M11351">
        <v>0</v>
      </c>
      <c r="N11351">
        <v>0</v>
      </c>
      <c r="O11351">
        <v>0</v>
      </c>
      <c r="AF11351" t="s">
        <v>23118</v>
      </c>
    </row>
    <row r="11352" spans="1:32" hidden="1" x14ac:dyDescent="0.35">
      <c r="A11352">
        <v>11351</v>
      </c>
      <c r="B11352" t="s">
        <v>23119</v>
      </c>
      <c r="C11352" t="s">
        <v>33</v>
      </c>
      <c r="D11352" t="s">
        <v>62</v>
      </c>
      <c r="E11352">
        <v>456</v>
      </c>
      <c r="F11352">
        <v>1</v>
      </c>
      <c r="G11352">
        <v>1</v>
      </c>
      <c r="H11352">
        <v>1</v>
      </c>
      <c r="I11352">
        <v>0</v>
      </c>
      <c r="J11352">
        <v>1</v>
      </c>
      <c r="K11352">
        <v>1</v>
      </c>
      <c r="L11352">
        <v>1</v>
      </c>
      <c r="M11352">
        <v>0</v>
      </c>
      <c r="N11352">
        <v>0</v>
      </c>
      <c r="O11352">
        <v>0</v>
      </c>
      <c r="P11352" t="s">
        <v>22931</v>
      </c>
      <c r="Q11352" t="s">
        <v>22932</v>
      </c>
      <c r="AF11352" t="s">
        <v>23120</v>
      </c>
    </row>
    <row r="11353" spans="1:32" hidden="1" x14ac:dyDescent="0.35">
      <c r="A11353">
        <v>11352</v>
      </c>
      <c r="B11353" t="s">
        <v>23121</v>
      </c>
      <c r="C11353" t="s">
        <v>33</v>
      </c>
      <c r="D11353" t="s">
        <v>60</v>
      </c>
      <c r="E11353">
        <v>163</v>
      </c>
      <c r="F11353">
        <v>1</v>
      </c>
      <c r="G11353">
        <v>1</v>
      </c>
      <c r="H11353">
        <v>1</v>
      </c>
      <c r="I11353">
        <v>0</v>
      </c>
      <c r="J11353">
        <v>1</v>
      </c>
      <c r="K11353">
        <v>1</v>
      </c>
      <c r="L11353">
        <v>1</v>
      </c>
      <c r="M11353">
        <v>0</v>
      </c>
      <c r="N11353">
        <v>0</v>
      </c>
      <c r="O11353">
        <v>0</v>
      </c>
      <c r="P11353" t="s">
        <v>13582</v>
      </c>
      <c r="Q11353" t="s">
        <v>13583</v>
      </c>
      <c r="AF11353" t="s">
        <v>23122</v>
      </c>
    </row>
    <row r="11354" spans="1:32" hidden="1" x14ac:dyDescent="0.35">
      <c r="A11354">
        <v>11353</v>
      </c>
      <c r="B11354" t="s">
        <v>23123</v>
      </c>
      <c r="C11354" t="s">
        <v>33</v>
      </c>
      <c r="D11354" t="s">
        <v>58</v>
      </c>
      <c r="E11354">
        <v>1408</v>
      </c>
      <c r="F11354">
        <v>1</v>
      </c>
      <c r="G11354">
        <v>1</v>
      </c>
      <c r="H11354">
        <v>1</v>
      </c>
      <c r="I11354">
        <v>0</v>
      </c>
      <c r="J11354">
        <v>1</v>
      </c>
      <c r="K11354">
        <v>1</v>
      </c>
      <c r="L11354">
        <v>1</v>
      </c>
      <c r="M11354">
        <v>0</v>
      </c>
      <c r="N11354">
        <v>0</v>
      </c>
      <c r="O11354">
        <v>0</v>
      </c>
      <c r="AF11354" t="s">
        <v>23124</v>
      </c>
    </row>
    <row r="11355" spans="1:32" hidden="1" x14ac:dyDescent="0.35">
      <c r="A11355">
        <v>11802</v>
      </c>
      <c r="B11355" t="s">
        <v>24253</v>
      </c>
      <c r="C11355" t="s">
        <v>33</v>
      </c>
      <c r="D11355" t="s">
        <v>58</v>
      </c>
      <c r="E11355">
        <v>1029</v>
      </c>
      <c r="F11355">
        <v>1</v>
      </c>
      <c r="G11355">
        <v>1</v>
      </c>
      <c r="H11355">
        <v>1</v>
      </c>
      <c r="I11355">
        <v>0</v>
      </c>
      <c r="J11355">
        <v>1</v>
      </c>
      <c r="K11355">
        <v>1</v>
      </c>
      <c r="L11355">
        <v>1</v>
      </c>
      <c r="M11355">
        <v>0</v>
      </c>
      <c r="N11355">
        <v>0</v>
      </c>
      <c r="O11355">
        <v>0</v>
      </c>
      <c r="P11355" t="s">
        <v>10774</v>
      </c>
      <c r="Q11355" t="s">
        <v>10775</v>
      </c>
      <c r="R11355" t="s">
        <v>235</v>
      </c>
      <c r="S11355" t="s">
        <v>236</v>
      </c>
      <c r="V11355" t="s">
        <v>10776</v>
      </c>
      <c r="W11355" t="s">
        <v>10777</v>
      </c>
      <c r="X11355" t="s">
        <v>10776</v>
      </c>
      <c r="Y11355" t="s">
        <v>241</v>
      </c>
      <c r="AF11355" t="s">
        <v>24254</v>
      </c>
    </row>
    <row r="11356" spans="1:32" hidden="1" x14ac:dyDescent="0.35">
      <c r="A11356">
        <v>11355</v>
      </c>
      <c r="B11356" t="s">
        <v>23127</v>
      </c>
      <c r="C11356" t="s">
        <v>33</v>
      </c>
      <c r="D11356" t="s">
        <v>58</v>
      </c>
      <c r="E11356">
        <v>476</v>
      </c>
      <c r="F11356">
        <v>1</v>
      </c>
      <c r="G11356">
        <v>1</v>
      </c>
      <c r="H11356">
        <v>1</v>
      </c>
      <c r="I11356">
        <v>0</v>
      </c>
      <c r="J11356">
        <v>1</v>
      </c>
      <c r="K11356">
        <v>1</v>
      </c>
      <c r="L11356">
        <v>1</v>
      </c>
      <c r="M11356">
        <v>0</v>
      </c>
      <c r="N11356">
        <v>0</v>
      </c>
      <c r="O11356">
        <v>0</v>
      </c>
      <c r="AF11356" t="s">
        <v>23128</v>
      </c>
    </row>
    <row r="11357" spans="1:32" hidden="1" x14ac:dyDescent="0.35">
      <c r="A11357">
        <v>11356</v>
      </c>
      <c r="B11357" t="s">
        <v>23129</v>
      </c>
      <c r="C11357" t="s">
        <v>33</v>
      </c>
      <c r="D11357" t="s">
        <v>60</v>
      </c>
      <c r="E11357">
        <v>2391</v>
      </c>
      <c r="F11357">
        <v>1</v>
      </c>
      <c r="G11357">
        <v>1</v>
      </c>
      <c r="H11357">
        <v>1</v>
      </c>
      <c r="I11357">
        <v>0</v>
      </c>
      <c r="J11357">
        <v>1</v>
      </c>
      <c r="K11357">
        <v>1</v>
      </c>
      <c r="L11357">
        <v>1</v>
      </c>
      <c r="M11357">
        <v>0</v>
      </c>
      <c r="N11357">
        <v>0</v>
      </c>
      <c r="O11357">
        <v>0</v>
      </c>
      <c r="AF11357" t="s">
        <v>23130</v>
      </c>
    </row>
    <row r="11358" spans="1:32" hidden="1" x14ac:dyDescent="0.35">
      <c r="A11358">
        <v>11357</v>
      </c>
      <c r="B11358" t="s">
        <v>23131</v>
      </c>
      <c r="C11358" t="s">
        <v>33</v>
      </c>
      <c r="D11358" t="s">
        <v>58</v>
      </c>
      <c r="E11358">
        <v>1155</v>
      </c>
      <c r="F11358">
        <v>1</v>
      </c>
      <c r="G11358">
        <v>1</v>
      </c>
      <c r="H11358">
        <v>1</v>
      </c>
      <c r="I11358">
        <v>0</v>
      </c>
      <c r="J11358">
        <v>1</v>
      </c>
      <c r="K11358">
        <v>1</v>
      </c>
      <c r="L11358">
        <v>1</v>
      </c>
      <c r="M11358">
        <v>0</v>
      </c>
      <c r="N11358">
        <v>0</v>
      </c>
      <c r="O11358">
        <v>0</v>
      </c>
      <c r="AF11358" t="s">
        <v>23132</v>
      </c>
    </row>
    <row r="11359" spans="1:32" hidden="1" x14ac:dyDescent="0.35">
      <c r="A11359">
        <v>11358</v>
      </c>
      <c r="B11359" t="s">
        <v>23133</v>
      </c>
      <c r="C11359" t="s">
        <v>33</v>
      </c>
      <c r="D11359" t="s">
        <v>60</v>
      </c>
      <c r="E11359">
        <v>1179</v>
      </c>
      <c r="F11359">
        <v>1</v>
      </c>
      <c r="G11359">
        <v>1</v>
      </c>
      <c r="H11359">
        <v>1</v>
      </c>
      <c r="I11359">
        <v>0</v>
      </c>
      <c r="J11359">
        <v>1</v>
      </c>
      <c r="K11359">
        <v>1</v>
      </c>
      <c r="L11359">
        <v>1</v>
      </c>
      <c r="M11359">
        <v>0</v>
      </c>
      <c r="N11359">
        <v>0</v>
      </c>
      <c r="O11359">
        <v>0</v>
      </c>
      <c r="AF11359" t="s">
        <v>23134</v>
      </c>
    </row>
    <row r="11360" spans="1:32" hidden="1" x14ac:dyDescent="0.35">
      <c r="A11360">
        <v>11359</v>
      </c>
      <c r="B11360" t="s">
        <v>23135</v>
      </c>
      <c r="C11360" t="s">
        <v>33</v>
      </c>
      <c r="D11360" t="s">
        <v>62</v>
      </c>
      <c r="E11360">
        <v>1990</v>
      </c>
      <c r="F11360">
        <v>1</v>
      </c>
      <c r="G11360">
        <v>1</v>
      </c>
      <c r="H11360">
        <v>1</v>
      </c>
      <c r="I11360">
        <v>0</v>
      </c>
      <c r="J11360">
        <v>1</v>
      </c>
      <c r="K11360">
        <v>1</v>
      </c>
      <c r="L11360">
        <v>1</v>
      </c>
      <c r="M11360">
        <v>0</v>
      </c>
      <c r="N11360">
        <v>0</v>
      </c>
      <c r="O11360">
        <v>0</v>
      </c>
      <c r="P11360" t="s">
        <v>9089</v>
      </c>
      <c r="Q11360" t="s">
        <v>9090</v>
      </c>
      <c r="R11360" t="s">
        <v>288</v>
      </c>
      <c r="S11360" t="s">
        <v>289</v>
      </c>
      <c r="V11360" t="s">
        <v>23136</v>
      </c>
      <c r="W11360" t="s">
        <v>23137</v>
      </c>
      <c r="AF11360" t="s">
        <v>23138</v>
      </c>
    </row>
    <row r="11361" spans="1:32" hidden="1" x14ac:dyDescent="0.35">
      <c r="A11361">
        <v>1024</v>
      </c>
      <c r="B11361" t="s">
        <v>2132</v>
      </c>
      <c r="C11361" t="s">
        <v>72</v>
      </c>
      <c r="D11361" t="s">
        <v>58</v>
      </c>
      <c r="E11361">
        <v>1026</v>
      </c>
      <c r="F11361">
        <v>5</v>
      </c>
      <c r="G11361">
        <v>5</v>
      </c>
      <c r="H11361">
        <v>1</v>
      </c>
      <c r="I11361">
        <v>1</v>
      </c>
      <c r="J11361">
        <v>0.74863387978142104</v>
      </c>
      <c r="K11361">
        <v>0.90921985815602802</v>
      </c>
      <c r="L11361">
        <v>0.82114938659485304</v>
      </c>
      <c r="M11361">
        <v>0.52910052910052896</v>
      </c>
      <c r="N11361">
        <v>1</v>
      </c>
      <c r="O11361">
        <v>0.64444444444444404</v>
      </c>
      <c r="P11361" t="s">
        <v>2133</v>
      </c>
      <c r="Q11361" t="s">
        <v>2134</v>
      </c>
      <c r="R11361" t="s">
        <v>235</v>
      </c>
      <c r="S11361" t="s">
        <v>236</v>
      </c>
      <c r="T11361" t="s">
        <v>2135</v>
      </c>
      <c r="U11361" t="s">
        <v>2136</v>
      </c>
      <c r="V11361" t="s">
        <v>2137</v>
      </c>
      <c r="W11361" t="s">
        <v>2138</v>
      </c>
      <c r="X11361" t="s">
        <v>2137</v>
      </c>
      <c r="Y11361" t="s">
        <v>241</v>
      </c>
      <c r="Z11361" t="s">
        <v>2139</v>
      </c>
      <c r="AA11361" t="s">
        <v>2140</v>
      </c>
      <c r="AB11361" t="s">
        <v>2139</v>
      </c>
      <c r="AC11361" t="s">
        <v>244</v>
      </c>
      <c r="AD11361" t="s">
        <v>219</v>
      </c>
      <c r="AE11361" t="s">
        <v>2141</v>
      </c>
      <c r="AF11361" t="e">
        <f>--MPKPIVVLVGMPGSGKTTIGRRLATALNVACVDSDVLIERRFSSPCSEVFSSLGEEKFREVEAEVIAEALTMGGVLSLGGGAVLTERTRELLLDHDVAWIDVSVEEGVRRTANDTSRPVLAAD---DPEARYRMLHEQRRPLYSSVSGYRVRTDGKRPQAIVADILAHLDAVKDSQKDSVKDGHVDR</f>
        <v>#NAME?</v>
      </c>
    </row>
    <row r="11362" spans="1:32" hidden="1" x14ac:dyDescent="0.35">
      <c r="A11362">
        <v>11361</v>
      </c>
      <c r="B11362" t="s">
        <v>23141</v>
      </c>
      <c r="C11362" t="s">
        <v>33</v>
      </c>
      <c r="D11362" t="s">
        <v>60</v>
      </c>
      <c r="E11362">
        <v>669</v>
      </c>
      <c r="F11362">
        <v>1</v>
      </c>
      <c r="G11362">
        <v>1</v>
      </c>
      <c r="H11362">
        <v>1</v>
      </c>
      <c r="I11362">
        <v>0</v>
      </c>
      <c r="J11362">
        <v>1</v>
      </c>
      <c r="K11362">
        <v>1</v>
      </c>
      <c r="L11362">
        <v>1</v>
      </c>
      <c r="M11362">
        <v>0</v>
      </c>
      <c r="N11362">
        <v>0</v>
      </c>
      <c r="O11362">
        <v>0</v>
      </c>
      <c r="AF11362" t="s">
        <v>23142</v>
      </c>
    </row>
    <row r="11363" spans="1:32" hidden="1" x14ac:dyDescent="0.35">
      <c r="A11363">
        <v>11028</v>
      </c>
      <c r="B11363" t="s">
        <v>22271</v>
      </c>
      <c r="C11363" t="s">
        <v>33</v>
      </c>
      <c r="D11363" t="s">
        <v>58</v>
      </c>
      <c r="E11363">
        <v>1506</v>
      </c>
      <c r="F11363">
        <v>1</v>
      </c>
      <c r="G11363">
        <v>1</v>
      </c>
      <c r="H11363">
        <v>1</v>
      </c>
      <c r="I11363">
        <v>0</v>
      </c>
      <c r="J11363">
        <v>1</v>
      </c>
      <c r="K11363">
        <v>1</v>
      </c>
      <c r="L11363">
        <v>1</v>
      </c>
      <c r="M11363">
        <v>0</v>
      </c>
      <c r="N11363">
        <v>0</v>
      </c>
      <c r="O11363">
        <v>0</v>
      </c>
      <c r="P11363" t="s">
        <v>22272</v>
      </c>
      <c r="Q11363" t="s">
        <v>22273</v>
      </c>
      <c r="R11363" t="s">
        <v>75</v>
      </c>
      <c r="S11363" t="s">
        <v>76</v>
      </c>
      <c r="T11363" t="s">
        <v>22274</v>
      </c>
      <c r="U11363" t="s">
        <v>22275</v>
      </c>
      <c r="V11363" t="s">
        <v>22276</v>
      </c>
      <c r="W11363" t="s">
        <v>22277</v>
      </c>
      <c r="AD11363" t="s">
        <v>410</v>
      </c>
      <c r="AE11363" t="s">
        <v>4657</v>
      </c>
      <c r="AF11363" t="s">
        <v>22278</v>
      </c>
    </row>
    <row r="11364" spans="1:32" hidden="1" x14ac:dyDescent="0.35">
      <c r="A11364">
        <v>313</v>
      </c>
      <c r="B11364" t="s">
        <v>537</v>
      </c>
      <c r="C11364" t="s">
        <v>72</v>
      </c>
      <c r="D11364" t="s">
        <v>58</v>
      </c>
      <c r="E11364">
        <v>1177</v>
      </c>
      <c r="F11364">
        <v>5</v>
      </c>
      <c r="G11364">
        <v>6</v>
      </c>
      <c r="H11364">
        <v>2</v>
      </c>
      <c r="I11364">
        <v>0</v>
      </c>
      <c r="J11364">
        <v>0.73513513513513495</v>
      </c>
      <c r="K11364">
        <v>0.70759822090437197</v>
      </c>
      <c r="L11364">
        <v>0.72110388460675801</v>
      </c>
      <c r="M11364">
        <v>0.101754385964912</v>
      </c>
      <c r="N11364">
        <v>1</v>
      </c>
      <c r="O11364">
        <v>0.43017543859649099</v>
      </c>
      <c r="P11364" t="s">
        <v>538</v>
      </c>
      <c r="Q11364" t="s">
        <v>539</v>
      </c>
      <c r="R11364" t="s">
        <v>540</v>
      </c>
      <c r="S11364" t="s">
        <v>541</v>
      </c>
      <c r="T11364" t="s">
        <v>542</v>
      </c>
      <c r="U11364" t="s">
        <v>543</v>
      </c>
      <c r="V11364" t="s">
        <v>544</v>
      </c>
      <c r="W11364" t="s">
        <v>545</v>
      </c>
      <c r="AD11364" t="s">
        <v>546</v>
      </c>
      <c r="AE11364" t="s">
        <v>547</v>
      </c>
      <c r="AF11364" t="e">
        <f>---------------------MDLPRRRSAHDSTAASAPKQKKE--------KKQLPWYIDIPMVVITVLICALFIQTFIGRLYVIPSGSMEPTLHGCSGCEGDRIFVDKITYHLRDPKPGDVVVFKGPESWNGSFITNRSSNPLVRGLQNVGSYVGFVAPDENDLVKRIVATGGQTIQCLDGDKGITVDGHVIDSSYALTPHQNPIDPSTGSEACGGPYFGPITVPDGNVFVMGDNRTNSADSRYHLGDEYQGTVPEDLIIGKVDARVLPLSRIGGVKSYDIQN</f>
        <v>#NAME?</v>
      </c>
    </row>
    <row r="11365" spans="1:32" hidden="1" x14ac:dyDescent="0.35">
      <c r="A11365">
        <v>11364</v>
      </c>
      <c r="B11365" t="s">
        <v>23147</v>
      </c>
      <c r="C11365" t="s">
        <v>33</v>
      </c>
      <c r="D11365" t="s">
        <v>60</v>
      </c>
      <c r="E11365">
        <v>665</v>
      </c>
      <c r="F11365">
        <v>1</v>
      </c>
      <c r="G11365">
        <v>1</v>
      </c>
      <c r="H11365">
        <v>1</v>
      </c>
      <c r="I11365">
        <v>0</v>
      </c>
      <c r="J11365">
        <v>1</v>
      </c>
      <c r="K11365">
        <v>1</v>
      </c>
      <c r="L11365">
        <v>1</v>
      </c>
      <c r="M11365">
        <v>0</v>
      </c>
      <c r="N11365">
        <v>0</v>
      </c>
      <c r="O11365">
        <v>0</v>
      </c>
      <c r="AF11365" t="s">
        <v>23148</v>
      </c>
    </row>
    <row r="11366" spans="1:32" hidden="1" x14ac:dyDescent="0.35">
      <c r="A11366">
        <v>11365</v>
      </c>
      <c r="B11366" t="s">
        <v>23149</v>
      </c>
      <c r="C11366" t="s">
        <v>33</v>
      </c>
      <c r="D11366" t="s">
        <v>58</v>
      </c>
      <c r="E11366">
        <v>1512</v>
      </c>
      <c r="F11366">
        <v>1</v>
      </c>
      <c r="G11366">
        <v>1</v>
      </c>
      <c r="H11366">
        <v>1</v>
      </c>
      <c r="I11366">
        <v>0</v>
      </c>
      <c r="J11366">
        <v>1</v>
      </c>
      <c r="K11366">
        <v>1</v>
      </c>
      <c r="L11366">
        <v>1</v>
      </c>
      <c r="M11366">
        <v>0</v>
      </c>
      <c r="N11366">
        <v>0</v>
      </c>
      <c r="O11366">
        <v>0</v>
      </c>
      <c r="AF11366" t="s">
        <v>23150</v>
      </c>
    </row>
    <row r="11367" spans="1:32" hidden="1" x14ac:dyDescent="0.35">
      <c r="A11367">
        <v>11366</v>
      </c>
      <c r="B11367" t="s">
        <v>23151</v>
      </c>
      <c r="C11367" t="s">
        <v>33</v>
      </c>
      <c r="D11367" t="s">
        <v>58</v>
      </c>
      <c r="E11367">
        <v>926</v>
      </c>
      <c r="F11367">
        <v>1</v>
      </c>
      <c r="G11367">
        <v>1</v>
      </c>
      <c r="H11367">
        <v>1</v>
      </c>
      <c r="I11367">
        <v>0</v>
      </c>
      <c r="J11367">
        <v>1</v>
      </c>
      <c r="K11367">
        <v>1</v>
      </c>
      <c r="L11367">
        <v>1</v>
      </c>
      <c r="M11367">
        <v>0</v>
      </c>
      <c r="N11367">
        <v>0</v>
      </c>
      <c r="O11367">
        <v>0</v>
      </c>
      <c r="P11367" t="s">
        <v>10946</v>
      </c>
      <c r="Q11367" t="s">
        <v>10947</v>
      </c>
      <c r="R11367" t="s">
        <v>319</v>
      </c>
      <c r="S11367" t="s">
        <v>320</v>
      </c>
      <c r="T11367" t="s">
        <v>10948</v>
      </c>
      <c r="U11367" t="s">
        <v>10949</v>
      </c>
      <c r="V11367" t="s">
        <v>10950</v>
      </c>
      <c r="W11367" t="s">
        <v>10951</v>
      </c>
      <c r="X11367" t="s">
        <v>10950</v>
      </c>
      <c r="Y11367" t="s">
        <v>10466</v>
      </c>
      <c r="AD11367" t="s">
        <v>951</v>
      </c>
      <c r="AE11367" t="s">
        <v>10952</v>
      </c>
      <c r="AF11367" t="s">
        <v>23152</v>
      </c>
    </row>
    <row r="11368" spans="1:32" hidden="1" x14ac:dyDescent="0.35">
      <c r="A11368">
        <v>11367</v>
      </c>
      <c r="B11368" t="s">
        <v>23153</v>
      </c>
      <c r="C11368" t="s">
        <v>33</v>
      </c>
      <c r="D11368" t="s">
        <v>45</v>
      </c>
      <c r="E11368">
        <v>1531</v>
      </c>
      <c r="F11368">
        <v>1</v>
      </c>
      <c r="G11368">
        <v>1</v>
      </c>
      <c r="H11368">
        <v>1</v>
      </c>
      <c r="I11368">
        <v>0</v>
      </c>
      <c r="J11368">
        <v>1</v>
      </c>
      <c r="K11368">
        <v>1</v>
      </c>
      <c r="L11368">
        <v>1</v>
      </c>
      <c r="M11368">
        <v>0</v>
      </c>
      <c r="N11368">
        <v>0</v>
      </c>
      <c r="O11368">
        <v>0</v>
      </c>
      <c r="AF11368" t="s">
        <v>23154</v>
      </c>
    </row>
    <row r="11369" spans="1:32" hidden="1" x14ac:dyDescent="0.35">
      <c r="A11369">
        <v>11368</v>
      </c>
      <c r="B11369" t="s">
        <v>23155</v>
      </c>
      <c r="C11369" t="s">
        <v>33</v>
      </c>
      <c r="D11369" t="s">
        <v>58</v>
      </c>
      <c r="E11369">
        <v>1223</v>
      </c>
      <c r="F11369">
        <v>1</v>
      </c>
      <c r="G11369">
        <v>1</v>
      </c>
      <c r="H11369">
        <v>1</v>
      </c>
      <c r="I11369">
        <v>0</v>
      </c>
      <c r="J11369">
        <v>1</v>
      </c>
      <c r="K11369">
        <v>1</v>
      </c>
      <c r="L11369">
        <v>1</v>
      </c>
      <c r="M11369">
        <v>0</v>
      </c>
      <c r="N11369">
        <v>0</v>
      </c>
      <c r="O11369">
        <v>0</v>
      </c>
      <c r="P11369" t="s">
        <v>5831</v>
      </c>
      <c r="Q11369" t="s">
        <v>5832</v>
      </c>
      <c r="R11369" t="s">
        <v>4098</v>
      </c>
      <c r="S11369" t="s">
        <v>4099</v>
      </c>
      <c r="T11369" t="s">
        <v>5833</v>
      </c>
      <c r="U11369" t="s">
        <v>5834</v>
      </c>
      <c r="V11369" t="s">
        <v>18744</v>
      </c>
      <c r="W11369" t="s">
        <v>18745</v>
      </c>
      <c r="AD11369" t="s">
        <v>3961</v>
      </c>
      <c r="AE11369" t="s">
        <v>3962</v>
      </c>
      <c r="AF11369" t="s">
        <v>23156</v>
      </c>
    </row>
    <row r="11370" spans="1:32" hidden="1" x14ac:dyDescent="0.35">
      <c r="A11370">
        <v>4564</v>
      </c>
      <c r="B11370" t="s">
        <v>9537</v>
      </c>
      <c r="C11370" t="s">
        <v>72</v>
      </c>
      <c r="D11370" t="s">
        <v>58</v>
      </c>
      <c r="E11370">
        <v>1187</v>
      </c>
      <c r="F11370">
        <v>5</v>
      </c>
      <c r="G11370">
        <v>5</v>
      </c>
      <c r="H11370">
        <v>1</v>
      </c>
      <c r="I11370">
        <v>1</v>
      </c>
      <c r="J11370">
        <v>0.87426128504966705</v>
      </c>
      <c r="K11370">
        <v>0.94019205422706997</v>
      </c>
      <c r="L11370">
        <v>0.90602882502307003</v>
      </c>
      <c r="M11370">
        <v>0.72566371681415898</v>
      </c>
      <c r="N11370">
        <v>0.99823008849557504</v>
      </c>
      <c r="O11370">
        <v>0.80743362831858401</v>
      </c>
      <c r="P11370" t="s">
        <v>9538</v>
      </c>
      <c r="Q11370" t="s">
        <v>9539</v>
      </c>
      <c r="R11370" t="s">
        <v>540</v>
      </c>
      <c r="S11370" t="s">
        <v>541</v>
      </c>
      <c r="T11370" t="s">
        <v>9540</v>
      </c>
      <c r="U11370" t="s">
        <v>9541</v>
      </c>
      <c r="V11370" t="s">
        <v>9542</v>
      </c>
      <c r="W11370" t="s">
        <v>9543</v>
      </c>
      <c r="AD11370" t="s">
        <v>9544</v>
      </c>
      <c r="AE11370" t="s">
        <v>9545</v>
      </c>
      <c r="AF11370" t="s">
        <v>9546</v>
      </c>
    </row>
    <row r="11371" spans="1:32" hidden="1" x14ac:dyDescent="0.35">
      <c r="A11371">
        <v>11370</v>
      </c>
      <c r="B11371" t="s">
        <v>23159</v>
      </c>
      <c r="C11371" t="s">
        <v>33</v>
      </c>
      <c r="D11371" t="s">
        <v>34</v>
      </c>
      <c r="E11371">
        <v>1013</v>
      </c>
      <c r="F11371">
        <v>1</v>
      </c>
      <c r="G11371">
        <v>1</v>
      </c>
      <c r="H11371">
        <v>1</v>
      </c>
      <c r="I11371">
        <v>0</v>
      </c>
      <c r="J11371">
        <v>1</v>
      </c>
      <c r="K11371">
        <v>1</v>
      </c>
      <c r="L11371">
        <v>1</v>
      </c>
      <c r="M11371">
        <v>0</v>
      </c>
      <c r="N11371">
        <v>0</v>
      </c>
      <c r="O11371">
        <v>0</v>
      </c>
      <c r="AF11371" t="s">
        <v>23160</v>
      </c>
    </row>
    <row r="11372" spans="1:32" hidden="1" x14ac:dyDescent="0.35">
      <c r="A11372">
        <v>4669</v>
      </c>
      <c r="B11372" t="s">
        <v>9761</v>
      </c>
      <c r="C11372" t="s">
        <v>10127</v>
      </c>
      <c r="D11372" t="s">
        <v>58</v>
      </c>
      <c r="E11372">
        <v>1190</v>
      </c>
      <c r="F11372">
        <v>5</v>
      </c>
      <c r="G11372">
        <v>5</v>
      </c>
      <c r="H11372">
        <v>1</v>
      </c>
      <c r="I11372">
        <v>1</v>
      </c>
      <c r="J11372">
        <v>0.78878676470588205</v>
      </c>
      <c r="K11372">
        <v>0.77006291644737301</v>
      </c>
      <c r="L11372">
        <v>0.77931239147462406</v>
      </c>
      <c r="M11372">
        <v>0.38663171690694598</v>
      </c>
      <c r="N11372">
        <v>0.98951507208387901</v>
      </c>
      <c r="O11372">
        <v>0.58938401048492794</v>
      </c>
      <c r="P11372" t="s">
        <v>9538</v>
      </c>
      <c r="Q11372" t="s">
        <v>9539</v>
      </c>
      <c r="R11372" t="s">
        <v>540</v>
      </c>
      <c r="S11372" t="s">
        <v>541</v>
      </c>
      <c r="T11372" t="s">
        <v>9762</v>
      </c>
      <c r="U11372" t="s">
        <v>9763</v>
      </c>
      <c r="V11372" t="s">
        <v>9764</v>
      </c>
      <c r="W11372" t="s">
        <v>9765</v>
      </c>
      <c r="AD11372" t="s">
        <v>1079</v>
      </c>
      <c r="AE11372" t="s">
        <v>1080</v>
      </c>
      <c r="AF11372" t="s">
        <v>9766</v>
      </c>
    </row>
    <row r="11373" spans="1:32" hidden="1" x14ac:dyDescent="0.35">
      <c r="A11373">
        <v>11372</v>
      </c>
      <c r="B11373" t="s">
        <v>23163</v>
      </c>
      <c r="C11373" t="s">
        <v>33</v>
      </c>
      <c r="D11373" t="s">
        <v>58</v>
      </c>
      <c r="E11373">
        <v>1289</v>
      </c>
      <c r="F11373">
        <v>1</v>
      </c>
      <c r="G11373">
        <v>1</v>
      </c>
      <c r="H11373">
        <v>1</v>
      </c>
      <c r="I11373">
        <v>0</v>
      </c>
      <c r="J11373">
        <v>1</v>
      </c>
      <c r="K11373">
        <v>1</v>
      </c>
      <c r="L11373">
        <v>1</v>
      </c>
      <c r="M11373">
        <v>0</v>
      </c>
      <c r="N11373">
        <v>0</v>
      </c>
      <c r="O11373">
        <v>0</v>
      </c>
      <c r="P11373" t="s">
        <v>14591</v>
      </c>
      <c r="Q11373" t="s">
        <v>14592</v>
      </c>
      <c r="R11373" t="s">
        <v>96</v>
      </c>
      <c r="S11373" t="s">
        <v>97</v>
      </c>
      <c r="T11373" t="s">
        <v>14593</v>
      </c>
      <c r="U11373" t="s">
        <v>14594</v>
      </c>
      <c r="V11373" t="s">
        <v>14595</v>
      </c>
      <c r="W11373" t="s">
        <v>14596</v>
      </c>
      <c r="AD11373" t="s">
        <v>4789</v>
      </c>
      <c r="AE11373" t="s">
        <v>14597</v>
      </c>
      <c r="AF11373" t="s">
        <v>23164</v>
      </c>
    </row>
    <row r="11374" spans="1:32" hidden="1" x14ac:dyDescent="0.35">
      <c r="A11374">
        <v>11373</v>
      </c>
      <c r="B11374" t="s">
        <v>23165</v>
      </c>
      <c r="C11374" t="s">
        <v>33</v>
      </c>
      <c r="D11374" t="s">
        <v>62</v>
      </c>
      <c r="E11374">
        <v>219</v>
      </c>
      <c r="F11374">
        <v>1</v>
      </c>
      <c r="G11374">
        <v>1</v>
      </c>
      <c r="H11374">
        <v>1</v>
      </c>
      <c r="I11374">
        <v>0</v>
      </c>
      <c r="J11374">
        <v>1</v>
      </c>
      <c r="K11374">
        <v>1</v>
      </c>
      <c r="L11374">
        <v>1</v>
      </c>
      <c r="M11374">
        <v>0</v>
      </c>
      <c r="N11374">
        <v>0</v>
      </c>
      <c r="O11374">
        <v>0</v>
      </c>
      <c r="AF11374" t="s">
        <v>23166</v>
      </c>
    </row>
    <row r="11375" spans="1:32" hidden="1" x14ac:dyDescent="0.35">
      <c r="A11375">
        <v>959</v>
      </c>
      <c r="B11375" t="s">
        <v>1991</v>
      </c>
      <c r="C11375" t="s">
        <v>72</v>
      </c>
      <c r="D11375" t="s">
        <v>58</v>
      </c>
      <c r="E11375">
        <v>351</v>
      </c>
      <c r="F11375">
        <v>5</v>
      </c>
      <c r="G11375">
        <v>5</v>
      </c>
      <c r="H11375">
        <v>1</v>
      </c>
      <c r="I11375">
        <v>1</v>
      </c>
      <c r="J11375">
        <v>0.78773789597669097</v>
      </c>
      <c r="K11375">
        <v>0.85055013735265095</v>
      </c>
      <c r="L11375">
        <v>0.81793990066479605</v>
      </c>
      <c r="M11375">
        <v>0.57076205287713799</v>
      </c>
      <c r="N11375">
        <v>1</v>
      </c>
      <c r="O11375">
        <v>0.65878693623639195</v>
      </c>
      <c r="P11375" t="s">
        <v>1992</v>
      </c>
      <c r="Q11375" t="s">
        <v>1993</v>
      </c>
      <c r="R11375" t="s">
        <v>1191</v>
      </c>
      <c r="S11375" t="s">
        <v>1192</v>
      </c>
      <c r="T11375" t="s">
        <v>1994</v>
      </c>
      <c r="U11375" t="s">
        <v>1995</v>
      </c>
      <c r="V11375" t="s">
        <v>1996</v>
      </c>
      <c r="W11375" t="s">
        <v>1997</v>
      </c>
      <c r="AD11375" t="s">
        <v>1998</v>
      </c>
      <c r="AE11375" t="s">
        <v>1999</v>
      </c>
      <c r="AF11375" t="s">
        <v>2000</v>
      </c>
    </row>
    <row r="11376" spans="1:32" hidden="1" x14ac:dyDescent="0.35">
      <c r="A11376">
        <v>11375</v>
      </c>
      <c r="B11376" t="s">
        <v>23169</v>
      </c>
      <c r="C11376" t="s">
        <v>33</v>
      </c>
      <c r="D11376" t="s">
        <v>34</v>
      </c>
      <c r="E11376">
        <v>2385</v>
      </c>
      <c r="F11376">
        <v>1</v>
      </c>
      <c r="G11376">
        <v>1</v>
      </c>
      <c r="H11376">
        <v>1</v>
      </c>
      <c r="I11376">
        <v>0</v>
      </c>
      <c r="J11376">
        <v>1</v>
      </c>
      <c r="K11376">
        <v>1</v>
      </c>
      <c r="L11376">
        <v>1</v>
      </c>
      <c r="M11376">
        <v>0</v>
      </c>
      <c r="N11376">
        <v>0</v>
      </c>
      <c r="O11376">
        <v>0</v>
      </c>
      <c r="AF11376" t="s">
        <v>23170</v>
      </c>
    </row>
    <row r="11377" spans="1:32" hidden="1" x14ac:dyDescent="0.35">
      <c r="A11377">
        <v>11376</v>
      </c>
      <c r="B11377" t="s">
        <v>23171</v>
      </c>
      <c r="C11377" t="s">
        <v>33</v>
      </c>
      <c r="D11377" t="s">
        <v>58</v>
      </c>
      <c r="E11377">
        <v>1688</v>
      </c>
      <c r="F11377">
        <v>1</v>
      </c>
      <c r="G11377">
        <v>1</v>
      </c>
      <c r="H11377">
        <v>1</v>
      </c>
      <c r="I11377">
        <v>0</v>
      </c>
      <c r="J11377">
        <v>1</v>
      </c>
      <c r="K11377">
        <v>1</v>
      </c>
      <c r="L11377">
        <v>1</v>
      </c>
      <c r="M11377">
        <v>0</v>
      </c>
      <c r="N11377">
        <v>0</v>
      </c>
      <c r="O11377">
        <v>0</v>
      </c>
      <c r="P11377" t="s">
        <v>20465</v>
      </c>
      <c r="Q11377" t="s">
        <v>20466</v>
      </c>
      <c r="AF11377" t="s">
        <v>23172</v>
      </c>
    </row>
    <row r="11378" spans="1:32" hidden="1" x14ac:dyDescent="0.35">
      <c r="A11378">
        <v>11704</v>
      </c>
      <c r="B11378" t="s">
        <v>24020</v>
      </c>
      <c r="C11378" t="s">
        <v>33</v>
      </c>
      <c r="D11378" t="s">
        <v>58</v>
      </c>
      <c r="E11378">
        <v>619</v>
      </c>
      <c r="F11378">
        <v>1</v>
      </c>
      <c r="G11378">
        <v>1</v>
      </c>
      <c r="H11378">
        <v>1</v>
      </c>
      <c r="I11378">
        <v>0</v>
      </c>
      <c r="J11378">
        <v>1</v>
      </c>
      <c r="K11378">
        <v>1</v>
      </c>
      <c r="L11378">
        <v>1</v>
      </c>
      <c r="M11378">
        <v>0</v>
      </c>
      <c r="N11378">
        <v>0</v>
      </c>
      <c r="O11378">
        <v>0</v>
      </c>
      <c r="P11378" t="s">
        <v>1992</v>
      </c>
      <c r="Q11378" t="s">
        <v>1993</v>
      </c>
      <c r="R11378" t="s">
        <v>1191</v>
      </c>
      <c r="S11378" t="s">
        <v>1192</v>
      </c>
      <c r="V11378" t="s">
        <v>1996</v>
      </c>
      <c r="W11378" t="s">
        <v>1997</v>
      </c>
      <c r="AF11378" t="s">
        <v>24021</v>
      </c>
    </row>
    <row r="11379" spans="1:32" hidden="1" x14ac:dyDescent="0.35">
      <c r="A11379">
        <v>3214</v>
      </c>
      <c r="B11379" t="s">
        <v>6599</v>
      </c>
      <c r="C11379" t="s">
        <v>72</v>
      </c>
      <c r="D11379" t="s">
        <v>58</v>
      </c>
      <c r="E11379">
        <v>1826</v>
      </c>
      <c r="F11379">
        <v>5</v>
      </c>
      <c r="G11379">
        <v>5</v>
      </c>
      <c r="H11379">
        <v>1</v>
      </c>
      <c r="I11379">
        <v>1</v>
      </c>
      <c r="J11379">
        <v>0.77466008487052895</v>
      </c>
      <c r="K11379">
        <v>0.88950068543709804</v>
      </c>
      <c r="L11379">
        <v>0.82811791837362003</v>
      </c>
      <c r="M11379">
        <v>0.51834862385321101</v>
      </c>
      <c r="N11379">
        <v>1</v>
      </c>
      <c r="O11379">
        <v>0.652293577981651</v>
      </c>
      <c r="P11379" t="s">
        <v>1992</v>
      </c>
      <c r="Q11379" t="s">
        <v>1993</v>
      </c>
      <c r="R11379" t="s">
        <v>1191</v>
      </c>
      <c r="S11379" t="s">
        <v>1192</v>
      </c>
      <c r="V11379" t="s">
        <v>6600</v>
      </c>
      <c r="W11379" t="s">
        <v>6601</v>
      </c>
      <c r="AF11379" t="e">
        <f>---------------------------------MHALTALLLLVVVAAG-QAHWATLGLSVAY-AVIYWVGYGYNNKKLREGVFIRSG-LWLFVLTLVWVAMLPFGVTAVYLVFPLYFLYLDAMPDWRGIIAVACATAVSIVSQYP-HITGPGILGPTVSALVTITITFAFRALKTISQERQELIDELLRTQNQLAETERTAGMAAERQRIAHEIHDTLAQGLSSIQMLLHVAEADVR----AELGDAPVLRKLELARHTAADNLSEARAMIAALQPAALSKTSLEGALMRVAQSASGVSGVAEHSDREALSTDILVEGDERQLPMKVEATLLRIAQGAMGNVIKHANAERCRVTLTYAEDEVRLDVVDNGVGFDPQAVADRPAGLGHIGLAAMRQRAAECGGDLTVESQPGAGCAVSVAIPLIPDDAAEDATVEG</f>
        <v>#NAME?</v>
      </c>
    </row>
    <row r="11380" spans="1:32" hidden="1" x14ac:dyDescent="0.35">
      <c r="A11380">
        <v>11379</v>
      </c>
      <c r="B11380" t="s">
        <v>23177</v>
      </c>
      <c r="C11380" t="s">
        <v>33</v>
      </c>
      <c r="D11380" t="s">
        <v>58</v>
      </c>
      <c r="E11380">
        <v>490</v>
      </c>
      <c r="F11380">
        <v>1</v>
      </c>
      <c r="G11380">
        <v>1</v>
      </c>
      <c r="H11380">
        <v>1</v>
      </c>
      <c r="I11380">
        <v>0</v>
      </c>
      <c r="J11380">
        <v>1</v>
      </c>
      <c r="K11380">
        <v>1</v>
      </c>
      <c r="L11380">
        <v>1</v>
      </c>
      <c r="M11380">
        <v>0</v>
      </c>
      <c r="N11380">
        <v>0</v>
      </c>
      <c r="O11380">
        <v>0</v>
      </c>
      <c r="AF11380" t="s">
        <v>23178</v>
      </c>
    </row>
    <row r="11381" spans="1:32" hidden="1" x14ac:dyDescent="0.35">
      <c r="A11381">
        <v>11221</v>
      </c>
      <c r="B11381" t="s">
        <v>22797</v>
      </c>
      <c r="C11381" t="s">
        <v>33</v>
      </c>
      <c r="D11381" t="s">
        <v>58</v>
      </c>
      <c r="E11381">
        <v>1560</v>
      </c>
      <c r="F11381">
        <v>1</v>
      </c>
      <c r="G11381">
        <v>1</v>
      </c>
      <c r="H11381">
        <v>1</v>
      </c>
      <c r="I11381">
        <v>0</v>
      </c>
      <c r="J11381">
        <v>1</v>
      </c>
      <c r="K11381">
        <v>1</v>
      </c>
      <c r="L11381">
        <v>1</v>
      </c>
      <c r="M11381">
        <v>0</v>
      </c>
      <c r="N11381">
        <v>0</v>
      </c>
      <c r="O11381">
        <v>0</v>
      </c>
      <c r="P11381" t="s">
        <v>10334</v>
      </c>
      <c r="Q11381" t="s">
        <v>10335</v>
      </c>
      <c r="R11381" t="s">
        <v>1191</v>
      </c>
      <c r="S11381" t="s">
        <v>1192</v>
      </c>
      <c r="V11381" t="s">
        <v>6600</v>
      </c>
      <c r="W11381" t="s">
        <v>6601</v>
      </c>
      <c r="AF11381" t="s">
        <v>22798</v>
      </c>
    </row>
    <row r="11382" spans="1:32" hidden="1" x14ac:dyDescent="0.35">
      <c r="A11382">
        <v>11929</v>
      </c>
      <c r="B11382" t="s">
        <v>24610</v>
      </c>
      <c r="C11382" t="s">
        <v>10130</v>
      </c>
      <c r="D11382" t="s">
        <v>58</v>
      </c>
      <c r="E11382">
        <v>542</v>
      </c>
      <c r="F11382">
        <v>1</v>
      </c>
      <c r="G11382">
        <v>1</v>
      </c>
      <c r="H11382">
        <v>1</v>
      </c>
      <c r="I11382">
        <v>0</v>
      </c>
      <c r="J11382">
        <v>1</v>
      </c>
      <c r="K11382">
        <v>1</v>
      </c>
      <c r="L11382">
        <v>1</v>
      </c>
      <c r="M11382">
        <v>0</v>
      </c>
      <c r="N11382">
        <v>0</v>
      </c>
      <c r="O11382">
        <v>0</v>
      </c>
      <c r="R11382" t="s">
        <v>1191</v>
      </c>
      <c r="S11382" t="s">
        <v>1192</v>
      </c>
      <c r="V11382" t="s">
        <v>13123</v>
      </c>
      <c r="W11382" t="s">
        <v>13124</v>
      </c>
      <c r="AF11382" t="s">
        <v>24611</v>
      </c>
    </row>
    <row r="11383" spans="1:32" hidden="1" x14ac:dyDescent="0.35">
      <c r="A11383">
        <v>11382</v>
      </c>
      <c r="B11383" t="s">
        <v>23189</v>
      </c>
      <c r="C11383" t="s">
        <v>33</v>
      </c>
      <c r="D11383" t="s">
        <v>58</v>
      </c>
      <c r="E11383">
        <v>777</v>
      </c>
      <c r="F11383">
        <v>1</v>
      </c>
      <c r="G11383">
        <v>1</v>
      </c>
      <c r="H11383">
        <v>1</v>
      </c>
      <c r="I11383">
        <v>0</v>
      </c>
      <c r="J11383">
        <v>1</v>
      </c>
      <c r="K11383">
        <v>1</v>
      </c>
      <c r="L11383">
        <v>1</v>
      </c>
      <c r="M11383">
        <v>0</v>
      </c>
      <c r="N11383">
        <v>0</v>
      </c>
      <c r="O11383">
        <v>0</v>
      </c>
      <c r="AF11383" t="s">
        <v>23190</v>
      </c>
    </row>
    <row r="11384" spans="1:32" hidden="1" x14ac:dyDescent="0.35">
      <c r="A11384">
        <v>11383</v>
      </c>
      <c r="B11384" t="s">
        <v>23191</v>
      </c>
      <c r="C11384" t="s">
        <v>33</v>
      </c>
      <c r="D11384" t="s">
        <v>58</v>
      </c>
      <c r="E11384">
        <v>853</v>
      </c>
      <c r="F11384">
        <v>1</v>
      </c>
      <c r="G11384">
        <v>1</v>
      </c>
      <c r="H11384">
        <v>1</v>
      </c>
      <c r="I11384">
        <v>0</v>
      </c>
      <c r="J11384">
        <v>1</v>
      </c>
      <c r="K11384">
        <v>1</v>
      </c>
      <c r="L11384">
        <v>1</v>
      </c>
      <c r="M11384">
        <v>0</v>
      </c>
      <c r="N11384">
        <v>0</v>
      </c>
      <c r="O11384">
        <v>0</v>
      </c>
      <c r="P11384" t="s">
        <v>8980</v>
      </c>
      <c r="Q11384" t="s">
        <v>8981</v>
      </c>
      <c r="R11384" t="s">
        <v>1102</v>
      </c>
      <c r="S11384" t="s">
        <v>1103</v>
      </c>
      <c r="V11384" t="s">
        <v>8984</v>
      </c>
      <c r="W11384" t="s">
        <v>8985</v>
      </c>
      <c r="X11384" t="s">
        <v>8984</v>
      </c>
      <c r="Y11384" t="s">
        <v>1108</v>
      </c>
      <c r="AF11384" t="s">
        <v>23192</v>
      </c>
    </row>
    <row r="11385" spans="1:32" hidden="1" x14ac:dyDescent="0.35">
      <c r="A11385">
        <v>11384</v>
      </c>
      <c r="B11385" t="s">
        <v>23193</v>
      </c>
      <c r="C11385" t="s">
        <v>33</v>
      </c>
      <c r="D11385" t="s">
        <v>58</v>
      </c>
      <c r="E11385">
        <v>119</v>
      </c>
      <c r="F11385">
        <v>1</v>
      </c>
      <c r="G11385">
        <v>1</v>
      </c>
      <c r="H11385">
        <v>1</v>
      </c>
      <c r="I11385">
        <v>0</v>
      </c>
      <c r="J11385">
        <v>1</v>
      </c>
      <c r="K11385">
        <v>1</v>
      </c>
      <c r="L11385">
        <v>1</v>
      </c>
      <c r="M11385">
        <v>0</v>
      </c>
      <c r="N11385">
        <v>0</v>
      </c>
      <c r="O11385">
        <v>0</v>
      </c>
      <c r="AF11385" t="s">
        <v>23194</v>
      </c>
    </row>
    <row r="11386" spans="1:32" hidden="1" x14ac:dyDescent="0.35">
      <c r="A11386">
        <v>11385</v>
      </c>
      <c r="B11386" t="s">
        <v>23195</v>
      </c>
      <c r="C11386" t="s">
        <v>33</v>
      </c>
      <c r="D11386" t="s">
        <v>60</v>
      </c>
      <c r="E11386">
        <v>682</v>
      </c>
      <c r="F11386">
        <v>1</v>
      </c>
      <c r="G11386">
        <v>1</v>
      </c>
      <c r="H11386">
        <v>1</v>
      </c>
      <c r="I11386">
        <v>0</v>
      </c>
      <c r="J11386">
        <v>1</v>
      </c>
      <c r="K11386">
        <v>1</v>
      </c>
      <c r="L11386">
        <v>1</v>
      </c>
      <c r="M11386">
        <v>0</v>
      </c>
      <c r="N11386">
        <v>0</v>
      </c>
      <c r="O11386">
        <v>0</v>
      </c>
      <c r="AF11386" t="s">
        <v>23196</v>
      </c>
    </row>
    <row r="11387" spans="1:32" hidden="1" x14ac:dyDescent="0.35">
      <c r="A11387">
        <v>6368</v>
      </c>
      <c r="B11387" t="s">
        <v>13118</v>
      </c>
      <c r="C11387" t="s">
        <v>68</v>
      </c>
      <c r="D11387" t="s">
        <v>58</v>
      </c>
      <c r="E11387">
        <v>797</v>
      </c>
      <c r="F11387">
        <v>3</v>
      </c>
      <c r="G11387">
        <v>3</v>
      </c>
      <c r="H11387">
        <v>1</v>
      </c>
      <c r="I11387">
        <v>0</v>
      </c>
      <c r="J11387">
        <v>0.82523398128149705</v>
      </c>
      <c r="K11387">
        <v>0.98780512820513</v>
      </c>
      <c r="L11387">
        <v>0.89923085984595197</v>
      </c>
      <c r="M11387">
        <v>0.66879999999999995</v>
      </c>
      <c r="N11387">
        <v>0.99360000000000004</v>
      </c>
      <c r="O11387">
        <v>0.77759999999999996</v>
      </c>
      <c r="P11387" t="s">
        <v>13119</v>
      </c>
      <c r="Q11387" t="s">
        <v>13120</v>
      </c>
      <c r="R11387" t="s">
        <v>1191</v>
      </c>
      <c r="S11387" t="s">
        <v>1192</v>
      </c>
      <c r="T11387" t="s">
        <v>13121</v>
      </c>
      <c r="U11387" t="s">
        <v>13122</v>
      </c>
      <c r="V11387" t="s">
        <v>13123</v>
      </c>
      <c r="W11387" t="s">
        <v>13124</v>
      </c>
      <c r="AD11387" t="s">
        <v>410</v>
      </c>
      <c r="AE11387" t="s">
        <v>1407</v>
      </c>
      <c r="AF11387" t="s">
        <v>13125</v>
      </c>
    </row>
    <row r="11388" spans="1:32" hidden="1" x14ac:dyDescent="0.35">
      <c r="A11388">
        <v>634</v>
      </c>
      <c r="B11388" t="s">
        <v>1292</v>
      </c>
      <c r="C11388" t="s">
        <v>72</v>
      </c>
      <c r="D11388" t="s">
        <v>58</v>
      </c>
      <c r="E11388">
        <v>1846</v>
      </c>
      <c r="F11388">
        <v>5</v>
      </c>
      <c r="G11388">
        <v>5</v>
      </c>
      <c r="H11388">
        <v>1</v>
      </c>
      <c r="I11388">
        <v>1</v>
      </c>
      <c r="J11388">
        <v>0.79686434901158798</v>
      </c>
      <c r="K11388">
        <v>0.91177433247200701</v>
      </c>
      <c r="L11388">
        <v>0.85045535696278995</v>
      </c>
      <c r="M11388">
        <v>0.57407407407407396</v>
      </c>
      <c r="N11388">
        <v>1</v>
      </c>
      <c r="O11388">
        <v>0.68888888888888899</v>
      </c>
      <c r="P11388" t="s">
        <v>1293</v>
      </c>
      <c r="Q11388" t="s">
        <v>1294</v>
      </c>
      <c r="R11388" t="s">
        <v>371</v>
      </c>
      <c r="S11388" t="s">
        <v>372</v>
      </c>
      <c r="T11388" t="s">
        <v>1295</v>
      </c>
      <c r="U11388" t="s">
        <v>1296</v>
      </c>
      <c r="V11388" t="s">
        <v>1297</v>
      </c>
      <c r="W11388" t="s">
        <v>1298</v>
      </c>
      <c r="AD11388" t="s">
        <v>1299</v>
      </c>
      <c r="AE11388" t="s">
        <v>1300</v>
      </c>
      <c r="AF11388" t="s">
        <v>1301</v>
      </c>
    </row>
    <row r="11389" spans="1:32" hidden="1" x14ac:dyDescent="0.35">
      <c r="A11389">
        <v>11388</v>
      </c>
      <c r="B11389" t="s">
        <v>23201</v>
      </c>
      <c r="C11389" t="s">
        <v>33</v>
      </c>
      <c r="D11389" t="s">
        <v>62</v>
      </c>
      <c r="E11389">
        <v>2099</v>
      </c>
      <c r="F11389">
        <v>1</v>
      </c>
      <c r="G11389">
        <v>1</v>
      </c>
      <c r="H11389">
        <v>1</v>
      </c>
      <c r="I11389">
        <v>0</v>
      </c>
      <c r="J11389">
        <v>1</v>
      </c>
      <c r="K11389">
        <v>1</v>
      </c>
      <c r="L11389">
        <v>1</v>
      </c>
      <c r="M11389">
        <v>0</v>
      </c>
      <c r="N11389">
        <v>0</v>
      </c>
      <c r="O11389">
        <v>0</v>
      </c>
      <c r="AF11389" t="s">
        <v>23202</v>
      </c>
    </row>
    <row r="11390" spans="1:32" hidden="1" x14ac:dyDescent="0.35">
      <c r="A11390">
        <v>11389</v>
      </c>
      <c r="B11390" t="s">
        <v>23203</v>
      </c>
      <c r="C11390" t="s">
        <v>33</v>
      </c>
      <c r="D11390" t="s">
        <v>58</v>
      </c>
      <c r="E11390">
        <v>1332</v>
      </c>
      <c r="F11390">
        <v>1</v>
      </c>
      <c r="G11390">
        <v>1</v>
      </c>
      <c r="H11390">
        <v>1</v>
      </c>
      <c r="I11390">
        <v>0</v>
      </c>
      <c r="J11390">
        <v>1</v>
      </c>
      <c r="K11390">
        <v>1</v>
      </c>
      <c r="L11390">
        <v>1</v>
      </c>
      <c r="M11390">
        <v>0</v>
      </c>
      <c r="N11390">
        <v>0</v>
      </c>
      <c r="O11390">
        <v>0</v>
      </c>
      <c r="P11390" t="s">
        <v>15403</v>
      </c>
      <c r="Q11390" t="s">
        <v>15404</v>
      </c>
      <c r="AF11390" t="s">
        <v>23204</v>
      </c>
    </row>
    <row r="11391" spans="1:32" hidden="1" x14ac:dyDescent="0.35">
      <c r="A11391">
        <v>11014</v>
      </c>
      <c r="B11391" t="s">
        <v>22241</v>
      </c>
      <c r="C11391" t="s">
        <v>33</v>
      </c>
      <c r="D11391" t="s">
        <v>58</v>
      </c>
      <c r="E11391">
        <v>1502</v>
      </c>
      <c r="F11391">
        <v>1</v>
      </c>
      <c r="G11391">
        <v>1</v>
      </c>
      <c r="H11391">
        <v>1</v>
      </c>
      <c r="I11391">
        <v>0</v>
      </c>
      <c r="J11391">
        <v>1</v>
      </c>
      <c r="K11391">
        <v>1</v>
      </c>
      <c r="L11391">
        <v>1</v>
      </c>
      <c r="M11391">
        <v>0</v>
      </c>
      <c r="N11391">
        <v>0</v>
      </c>
      <c r="O11391">
        <v>0</v>
      </c>
      <c r="P11391" t="s">
        <v>1293</v>
      </c>
      <c r="Q11391" t="s">
        <v>1294</v>
      </c>
      <c r="R11391" t="s">
        <v>371</v>
      </c>
      <c r="S11391" t="s">
        <v>372</v>
      </c>
      <c r="T11391" t="s">
        <v>1295</v>
      </c>
      <c r="U11391" t="s">
        <v>1296</v>
      </c>
      <c r="V11391" t="s">
        <v>1297</v>
      </c>
      <c r="W11391" t="s">
        <v>1298</v>
      </c>
      <c r="AD11391" t="s">
        <v>1299</v>
      </c>
      <c r="AE11391" t="s">
        <v>1300</v>
      </c>
      <c r="AF11391" t="s">
        <v>22242</v>
      </c>
    </row>
    <row r="11392" spans="1:32" hidden="1" x14ac:dyDescent="0.35">
      <c r="A11392">
        <v>11232</v>
      </c>
      <c r="B11392" t="s">
        <v>22822</v>
      </c>
      <c r="C11392" t="s">
        <v>33</v>
      </c>
      <c r="D11392" t="s">
        <v>58</v>
      </c>
      <c r="E11392">
        <v>484</v>
      </c>
      <c r="F11392">
        <v>1</v>
      </c>
      <c r="G11392">
        <v>1</v>
      </c>
      <c r="H11392">
        <v>1</v>
      </c>
      <c r="I11392">
        <v>0</v>
      </c>
      <c r="J11392">
        <v>1</v>
      </c>
      <c r="K11392">
        <v>1</v>
      </c>
      <c r="L11392">
        <v>1</v>
      </c>
      <c r="M11392">
        <v>0</v>
      </c>
      <c r="N11392">
        <v>0</v>
      </c>
      <c r="O11392">
        <v>0</v>
      </c>
      <c r="P11392" t="s">
        <v>1293</v>
      </c>
      <c r="Q11392" t="s">
        <v>1294</v>
      </c>
      <c r="R11392" t="s">
        <v>371</v>
      </c>
      <c r="S11392" t="s">
        <v>372</v>
      </c>
      <c r="T11392" t="s">
        <v>1295</v>
      </c>
      <c r="U11392" t="s">
        <v>1296</v>
      </c>
      <c r="V11392" t="s">
        <v>1297</v>
      </c>
      <c r="W11392" t="s">
        <v>1298</v>
      </c>
      <c r="AD11392" t="s">
        <v>1299</v>
      </c>
      <c r="AE11392" t="s">
        <v>1300</v>
      </c>
      <c r="AF11392" t="s">
        <v>22823</v>
      </c>
    </row>
    <row r="11393" spans="1:32" hidden="1" x14ac:dyDescent="0.35">
      <c r="A11393">
        <v>11392</v>
      </c>
      <c r="B11393" t="s">
        <v>23209</v>
      </c>
      <c r="C11393" t="s">
        <v>33</v>
      </c>
      <c r="D11393" t="s">
        <v>58</v>
      </c>
      <c r="E11393">
        <v>497</v>
      </c>
      <c r="F11393">
        <v>1</v>
      </c>
      <c r="G11393">
        <v>1</v>
      </c>
      <c r="H11393">
        <v>1</v>
      </c>
      <c r="I11393">
        <v>0</v>
      </c>
      <c r="J11393">
        <v>1</v>
      </c>
      <c r="K11393">
        <v>1</v>
      </c>
      <c r="L11393">
        <v>1</v>
      </c>
      <c r="M11393">
        <v>0</v>
      </c>
      <c r="N11393">
        <v>0</v>
      </c>
      <c r="O11393">
        <v>0</v>
      </c>
      <c r="AF11393" t="s">
        <v>23210</v>
      </c>
    </row>
    <row r="11394" spans="1:32" hidden="1" x14ac:dyDescent="0.35">
      <c r="A11394">
        <v>11393</v>
      </c>
      <c r="B11394" t="s">
        <v>23211</v>
      </c>
      <c r="C11394" t="s">
        <v>33</v>
      </c>
      <c r="D11394" t="s">
        <v>58</v>
      </c>
      <c r="E11394">
        <v>1465</v>
      </c>
      <c r="F11394">
        <v>1</v>
      </c>
      <c r="G11394">
        <v>1</v>
      </c>
      <c r="H11394">
        <v>1</v>
      </c>
      <c r="I11394">
        <v>0</v>
      </c>
      <c r="J11394">
        <v>1</v>
      </c>
      <c r="K11394">
        <v>1</v>
      </c>
      <c r="L11394">
        <v>1</v>
      </c>
      <c r="M11394">
        <v>0</v>
      </c>
      <c r="N11394">
        <v>0</v>
      </c>
      <c r="O11394">
        <v>0</v>
      </c>
      <c r="AF11394" t="s">
        <v>23212</v>
      </c>
    </row>
    <row r="11395" spans="1:32" hidden="1" x14ac:dyDescent="0.35">
      <c r="A11395">
        <v>11394</v>
      </c>
      <c r="B11395" t="s">
        <v>23213</v>
      </c>
      <c r="C11395" t="s">
        <v>33</v>
      </c>
      <c r="D11395" t="s">
        <v>58</v>
      </c>
      <c r="E11395">
        <v>316</v>
      </c>
      <c r="F11395">
        <v>1</v>
      </c>
      <c r="G11395">
        <v>1</v>
      </c>
      <c r="H11395">
        <v>1</v>
      </c>
      <c r="I11395">
        <v>0</v>
      </c>
      <c r="J11395">
        <v>1</v>
      </c>
      <c r="K11395">
        <v>1</v>
      </c>
      <c r="L11395">
        <v>1</v>
      </c>
      <c r="M11395">
        <v>0</v>
      </c>
      <c r="N11395">
        <v>0</v>
      </c>
      <c r="O11395">
        <v>0</v>
      </c>
      <c r="AF11395" t="s">
        <v>23214</v>
      </c>
    </row>
    <row r="11396" spans="1:32" hidden="1" x14ac:dyDescent="0.35">
      <c r="A11396">
        <v>11395</v>
      </c>
      <c r="B11396" t="s">
        <v>23215</v>
      </c>
      <c r="C11396" t="s">
        <v>33</v>
      </c>
      <c r="D11396" t="s">
        <v>58</v>
      </c>
      <c r="E11396">
        <v>1376</v>
      </c>
      <c r="F11396">
        <v>1</v>
      </c>
      <c r="G11396">
        <v>1</v>
      </c>
      <c r="H11396">
        <v>1</v>
      </c>
      <c r="I11396">
        <v>0</v>
      </c>
      <c r="J11396">
        <v>1</v>
      </c>
      <c r="K11396">
        <v>1</v>
      </c>
      <c r="L11396">
        <v>1</v>
      </c>
      <c r="M11396">
        <v>0</v>
      </c>
      <c r="N11396">
        <v>0</v>
      </c>
      <c r="O11396">
        <v>0</v>
      </c>
      <c r="P11396" t="s">
        <v>4551</v>
      </c>
      <c r="Q11396" t="s">
        <v>4552</v>
      </c>
      <c r="R11396" t="s">
        <v>8647</v>
      </c>
      <c r="S11396" t="s">
        <v>8648</v>
      </c>
      <c r="V11396" t="s">
        <v>9316</v>
      </c>
      <c r="W11396" t="s">
        <v>9317</v>
      </c>
      <c r="X11396" t="s">
        <v>9316</v>
      </c>
      <c r="Y11396" t="s">
        <v>875</v>
      </c>
      <c r="AF11396" t="s">
        <v>23216</v>
      </c>
    </row>
    <row r="11397" spans="1:32" hidden="1" x14ac:dyDescent="0.35">
      <c r="A11397">
        <v>11396</v>
      </c>
      <c r="B11397" t="s">
        <v>23217</v>
      </c>
      <c r="C11397" t="s">
        <v>33</v>
      </c>
      <c r="D11397" t="s">
        <v>45</v>
      </c>
      <c r="E11397">
        <v>2191</v>
      </c>
      <c r="F11397">
        <v>1</v>
      </c>
      <c r="G11397">
        <v>1</v>
      </c>
      <c r="H11397">
        <v>1</v>
      </c>
      <c r="I11397">
        <v>0</v>
      </c>
      <c r="J11397">
        <v>1</v>
      </c>
      <c r="K11397">
        <v>1</v>
      </c>
      <c r="L11397">
        <v>1</v>
      </c>
      <c r="M11397">
        <v>0</v>
      </c>
      <c r="N11397">
        <v>0</v>
      </c>
      <c r="O11397">
        <v>0</v>
      </c>
      <c r="AF11397" t="s">
        <v>23218</v>
      </c>
    </row>
    <row r="11398" spans="1:32" hidden="1" x14ac:dyDescent="0.35">
      <c r="A11398">
        <v>10139</v>
      </c>
      <c r="B11398" t="s">
        <v>20493</v>
      </c>
      <c r="C11398" t="s">
        <v>33</v>
      </c>
      <c r="D11398" t="s">
        <v>58</v>
      </c>
      <c r="E11398">
        <v>421</v>
      </c>
      <c r="F11398">
        <v>2</v>
      </c>
      <c r="G11398">
        <v>2</v>
      </c>
      <c r="H11398">
        <v>1</v>
      </c>
      <c r="I11398">
        <v>0</v>
      </c>
      <c r="J11398">
        <v>0.80579710144927497</v>
      </c>
      <c r="K11398">
        <v>0.54801142606020603</v>
      </c>
      <c r="L11398">
        <v>0.65236111267928998</v>
      </c>
      <c r="M11398">
        <v>0.22702702702702701</v>
      </c>
      <c r="N11398">
        <v>0.22702702702702701</v>
      </c>
      <c r="O11398">
        <v>0.22702702702702701</v>
      </c>
      <c r="P11398" t="s">
        <v>20494</v>
      </c>
      <c r="Q11398" t="s">
        <v>20495</v>
      </c>
      <c r="R11398" t="s">
        <v>371</v>
      </c>
      <c r="S11398" t="s">
        <v>372</v>
      </c>
      <c r="T11398" t="s">
        <v>20496</v>
      </c>
      <c r="U11398" t="s">
        <v>20497</v>
      </c>
      <c r="V11398" t="s">
        <v>20498</v>
      </c>
      <c r="W11398" t="s">
        <v>20499</v>
      </c>
      <c r="AD11398" t="s">
        <v>410</v>
      </c>
      <c r="AE11398" t="s">
        <v>20500</v>
      </c>
      <c r="AF11398" t="s">
        <v>20501</v>
      </c>
    </row>
    <row r="11399" spans="1:32" hidden="1" x14ac:dyDescent="0.35">
      <c r="A11399">
        <v>11398</v>
      </c>
      <c r="B11399" t="s">
        <v>23224</v>
      </c>
      <c r="C11399" t="s">
        <v>33</v>
      </c>
      <c r="D11399" t="s">
        <v>58</v>
      </c>
      <c r="E11399">
        <v>1821</v>
      </c>
      <c r="F11399">
        <v>1</v>
      </c>
      <c r="G11399">
        <v>1</v>
      </c>
      <c r="H11399">
        <v>1</v>
      </c>
      <c r="I11399">
        <v>0</v>
      </c>
      <c r="J11399">
        <v>1</v>
      </c>
      <c r="K11399">
        <v>1</v>
      </c>
      <c r="L11399">
        <v>1</v>
      </c>
      <c r="M11399">
        <v>0</v>
      </c>
      <c r="N11399">
        <v>0</v>
      </c>
      <c r="O11399">
        <v>0</v>
      </c>
      <c r="P11399" t="s">
        <v>4358</v>
      </c>
      <c r="Q11399" t="s">
        <v>4359</v>
      </c>
      <c r="R11399" t="s">
        <v>319</v>
      </c>
      <c r="S11399" t="s">
        <v>320</v>
      </c>
      <c r="T11399" t="s">
        <v>16523</v>
      </c>
      <c r="U11399" t="s">
        <v>16524</v>
      </c>
      <c r="V11399" t="s">
        <v>4360</v>
      </c>
      <c r="W11399" t="s">
        <v>4361</v>
      </c>
      <c r="AD11399" t="s">
        <v>166</v>
      </c>
      <c r="AE11399" t="s">
        <v>16525</v>
      </c>
      <c r="AF11399" t="s">
        <v>23225</v>
      </c>
    </row>
    <row r="11400" spans="1:32" hidden="1" x14ac:dyDescent="0.35">
      <c r="A11400">
        <v>11399</v>
      </c>
      <c r="B11400" t="s">
        <v>23226</v>
      </c>
      <c r="C11400" t="s">
        <v>33</v>
      </c>
      <c r="D11400" t="s">
        <v>60</v>
      </c>
      <c r="E11400">
        <v>651</v>
      </c>
      <c r="F11400">
        <v>1</v>
      </c>
      <c r="G11400">
        <v>1</v>
      </c>
      <c r="H11400">
        <v>1</v>
      </c>
      <c r="I11400">
        <v>0</v>
      </c>
      <c r="J11400">
        <v>1</v>
      </c>
      <c r="K11400">
        <v>1</v>
      </c>
      <c r="L11400">
        <v>1</v>
      </c>
      <c r="M11400">
        <v>0</v>
      </c>
      <c r="N11400">
        <v>0</v>
      </c>
      <c r="O11400">
        <v>0</v>
      </c>
      <c r="P11400" t="s">
        <v>12377</v>
      </c>
      <c r="Q11400" t="s">
        <v>2878</v>
      </c>
      <c r="AF11400" t="s">
        <v>23227</v>
      </c>
    </row>
    <row r="11401" spans="1:32" hidden="1" x14ac:dyDescent="0.35">
      <c r="A11401">
        <v>10882</v>
      </c>
      <c r="B11401" t="s">
        <v>21882</v>
      </c>
      <c r="C11401" t="s">
        <v>33</v>
      </c>
      <c r="D11401" t="s">
        <v>58</v>
      </c>
      <c r="E11401">
        <v>391</v>
      </c>
      <c r="F11401">
        <v>1</v>
      </c>
      <c r="G11401">
        <v>1</v>
      </c>
      <c r="H11401">
        <v>1</v>
      </c>
      <c r="I11401">
        <v>0</v>
      </c>
      <c r="J11401">
        <v>1</v>
      </c>
      <c r="K11401">
        <v>1</v>
      </c>
      <c r="L11401">
        <v>1</v>
      </c>
      <c r="M11401">
        <v>0</v>
      </c>
      <c r="N11401">
        <v>0</v>
      </c>
      <c r="O11401">
        <v>0</v>
      </c>
      <c r="R11401" t="s">
        <v>371</v>
      </c>
      <c r="S11401" t="s">
        <v>372</v>
      </c>
      <c r="V11401" t="s">
        <v>20498</v>
      </c>
      <c r="W11401" t="s">
        <v>20499</v>
      </c>
      <c r="AF11401" t="s">
        <v>21883</v>
      </c>
    </row>
    <row r="11402" spans="1:32" hidden="1" x14ac:dyDescent="0.35">
      <c r="A11402">
        <v>11401</v>
      </c>
      <c r="B11402" t="s">
        <v>23230</v>
      </c>
      <c r="C11402" t="s">
        <v>33</v>
      </c>
      <c r="D11402" t="s">
        <v>45</v>
      </c>
      <c r="E11402">
        <v>2273</v>
      </c>
      <c r="F11402">
        <v>1</v>
      </c>
      <c r="G11402">
        <v>1</v>
      </c>
      <c r="H11402">
        <v>1</v>
      </c>
      <c r="I11402">
        <v>0</v>
      </c>
      <c r="J11402">
        <v>1</v>
      </c>
      <c r="K11402">
        <v>1</v>
      </c>
      <c r="L11402">
        <v>1</v>
      </c>
      <c r="M11402">
        <v>0</v>
      </c>
      <c r="N11402">
        <v>0</v>
      </c>
      <c r="O11402">
        <v>0</v>
      </c>
      <c r="AF11402" t="s">
        <v>23231</v>
      </c>
    </row>
    <row r="11403" spans="1:32" hidden="1" x14ac:dyDescent="0.35">
      <c r="A11403">
        <v>11402</v>
      </c>
      <c r="B11403" t="s">
        <v>23232</v>
      </c>
      <c r="C11403" t="s">
        <v>33</v>
      </c>
      <c r="D11403" t="s">
        <v>58</v>
      </c>
      <c r="E11403">
        <v>1078</v>
      </c>
      <c r="F11403">
        <v>1</v>
      </c>
      <c r="G11403">
        <v>1</v>
      </c>
      <c r="H11403">
        <v>1</v>
      </c>
      <c r="I11403">
        <v>0</v>
      </c>
      <c r="J11403">
        <v>1</v>
      </c>
      <c r="K11403">
        <v>1</v>
      </c>
      <c r="L11403">
        <v>1</v>
      </c>
      <c r="M11403">
        <v>0</v>
      </c>
      <c r="N11403">
        <v>0</v>
      </c>
      <c r="O11403">
        <v>0</v>
      </c>
      <c r="P11403" t="s">
        <v>14030</v>
      </c>
      <c r="Q11403" t="s">
        <v>14031</v>
      </c>
      <c r="AF11403" t="s">
        <v>23233</v>
      </c>
    </row>
    <row r="11404" spans="1:32" hidden="1" x14ac:dyDescent="0.35">
      <c r="A11404">
        <v>11403</v>
      </c>
      <c r="B11404" t="s">
        <v>23234</v>
      </c>
      <c r="C11404" t="s">
        <v>33</v>
      </c>
      <c r="D11404" t="s">
        <v>34</v>
      </c>
      <c r="E11404">
        <v>1270</v>
      </c>
      <c r="F11404">
        <v>1</v>
      </c>
      <c r="G11404">
        <v>1</v>
      </c>
      <c r="H11404">
        <v>1</v>
      </c>
      <c r="I11404">
        <v>0</v>
      </c>
      <c r="J11404">
        <v>1</v>
      </c>
      <c r="K11404">
        <v>1</v>
      </c>
      <c r="L11404">
        <v>1</v>
      </c>
      <c r="M11404">
        <v>0</v>
      </c>
      <c r="N11404">
        <v>0</v>
      </c>
      <c r="O11404">
        <v>0</v>
      </c>
      <c r="P11404" t="s">
        <v>23235</v>
      </c>
      <c r="Q11404" t="s">
        <v>23236</v>
      </c>
      <c r="T11404" t="s">
        <v>23237</v>
      </c>
      <c r="U11404" t="s">
        <v>23238</v>
      </c>
      <c r="AD11404" t="s">
        <v>14829</v>
      </c>
      <c r="AE11404" t="s">
        <v>23239</v>
      </c>
      <c r="AF11404" t="s">
        <v>23240</v>
      </c>
    </row>
    <row r="11405" spans="1:32" hidden="1" x14ac:dyDescent="0.35">
      <c r="A11405">
        <v>11404</v>
      </c>
      <c r="B11405" t="s">
        <v>23241</v>
      </c>
      <c r="C11405" t="s">
        <v>33</v>
      </c>
      <c r="D11405" t="s">
        <v>34</v>
      </c>
      <c r="E11405">
        <v>1028</v>
      </c>
      <c r="F11405">
        <v>1</v>
      </c>
      <c r="G11405">
        <v>1</v>
      </c>
      <c r="H11405">
        <v>1</v>
      </c>
      <c r="I11405">
        <v>0</v>
      </c>
      <c r="J11405">
        <v>1</v>
      </c>
      <c r="K11405">
        <v>1</v>
      </c>
      <c r="L11405">
        <v>1</v>
      </c>
      <c r="M11405">
        <v>0</v>
      </c>
      <c r="N11405">
        <v>0</v>
      </c>
      <c r="O11405">
        <v>0</v>
      </c>
      <c r="AF11405" t="s">
        <v>23242</v>
      </c>
    </row>
    <row r="11406" spans="1:32" hidden="1" x14ac:dyDescent="0.35">
      <c r="A11406">
        <v>11405</v>
      </c>
      <c r="B11406" t="s">
        <v>23243</v>
      </c>
      <c r="C11406" t="s">
        <v>33</v>
      </c>
      <c r="D11406" t="s">
        <v>58</v>
      </c>
      <c r="E11406">
        <v>226</v>
      </c>
      <c r="F11406">
        <v>1</v>
      </c>
      <c r="G11406">
        <v>1</v>
      </c>
      <c r="H11406">
        <v>1</v>
      </c>
      <c r="I11406">
        <v>0</v>
      </c>
      <c r="J11406">
        <v>1</v>
      </c>
      <c r="K11406">
        <v>1</v>
      </c>
      <c r="L11406">
        <v>1</v>
      </c>
      <c r="M11406">
        <v>0</v>
      </c>
      <c r="N11406">
        <v>0</v>
      </c>
      <c r="O11406">
        <v>0</v>
      </c>
      <c r="AF11406" t="s">
        <v>23244</v>
      </c>
    </row>
    <row r="11407" spans="1:32" hidden="1" x14ac:dyDescent="0.35">
      <c r="A11407">
        <v>11406</v>
      </c>
      <c r="B11407" t="s">
        <v>23245</v>
      </c>
      <c r="C11407" t="s">
        <v>33</v>
      </c>
      <c r="D11407" t="s">
        <v>58</v>
      </c>
      <c r="E11407">
        <v>473</v>
      </c>
      <c r="F11407">
        <v>1</v>
      </c>
      <c r="G11407">
        <v>1</v>
      </c>
      <c r="H11407">
        <v>1</v>
      </c>
      <c r="I11407">
        <v>0</v>
      </c>
      <c r="J11407">
        <v>1</v>
      </c>
      <c r="K11407">
        <v>1</v>
      </c>
      <c r="L11407">
        <v>1</v>
      </c>
      <c r="M11407">
        <v>0</v>
      </c>
      <c r="N11407">
        <v>0</v>
      </c>
      <c r="O11407">
        <v>0</v>
      </c>
      <c r="AF11407" t="s">
        <v>23246</v>
      </c>
    </row>
    <row r="11408" spans="1:32" hidden="1" x14ac:dyDescent="0.35">
      <c r="A11408">
        <v>11259</v>
      </c>
      <c r="B11408" t="s">
        <v>22896</v>
      </c>
      <c r="C11408" t="s">
        <v>33</v>
      </c>
      <c r="D11408" t="s">
        <v>58</v>
      </c>
      <c r="E11408">
        <v>395</v>
      </c>
      <c r="F11408">
        <v>1</v>
      </c>
      <c r="G11408">
        <v>1</v>
      </c>
      <c r="H11408">
        <v>1</v>
      </c>
      <c r="I11408">
        <v>0</v>
      </c>
      <c r="J11408">
        <v>1</v>
      </c>
      <c r="K11408">
        <v>1</v>
      </c>
      <c r="L11408">
        <v>1</v>
      </c>
      <c r="M11408">
        <v>0</v>
      </c>
      <c r="N11408">
        <v>0</v>
      </c>
      <c r="O11408">
        <v>0</v>
      </c>
      <c r="P11408" t="s">
        <v>22897</v>
      </c>
      <c r="Q11408" t="s">
        <v>22898</v>
      </c>
      <c r="R11408" t="s">
        <v>371</v>
      </c>
      <c r="S11408" t="s">
        <v>372</v>
      </c>
      <c r="T11408" t="s">
        <v>22899</v>
      </c>
      <c r="U11408" t="s">
        <v>22900</v>
      </c>
      <c r="V11408" t="s">
        <v>20498</v>
      </c>
      <c r="W11408" t="s">
        <v>20499</v>
      </c>
      <c r="AD11408" t="s">
        <v>410</v>
      </c>
      <c r="AE11408" t="s">
        <v>1217</v>
      </c>
      <c r="AF11408" t="s">
        <v>22901</v>
      </c>
    </row>
    <row r="11409" spans="1:32" hidden="1" x14ac:dyDescent="0.35">
      <c r="A11409">
        <v>11408</v>
      </c>
      <c r="B11409" t="s">
        <v>23251</v>
      </c>
      <c r="C11409" t="s">
        <v>33</v>
      </c>
      <c r="D11409" t="s">
        <v>58</v>
      </c>
      <c r="E11409">
        <v>526</v>
      </c>
      <c r="F11409">
        <v>1</v>
      </c>
      <c r="G11409">
        <v>1</v>
      </c>
      <c r="H11409">
        <v>1</v>
      </c>
      <c r="I11409">
        <v>0</v>
      </c>
      <c r="J11409">
        <v>1</v>
      </c>
      <c r="K11409">
        <v>1</v>
      </c>
      <c r="L11409">
        <v>1</v>
      </c>
      <c r="M11409">
        <v>0</v>
      </c>
      <c r="N11409">
        <v>0</v>
      </c>
      <c r="O11409">
        <v>0</v>
      </c>
      <c r="AF11409" t="s">
        <v>23252</v>
      </c>
    </row>
    <row r="11410" spans="1:32" hidden="1" x14ac:dyDescent="0.35">
      <c r="A11410">
        <v>11411</v>
      </c>
      <c r="B11410" t="s">
        <v>23257</v>
      </c>
      <c r="C11410" t="s">
        <v>33</v>
      </c>
      <c r="D11410" t="s">
        <v>58</v>
      </c>
      <c r="E11410">
        <v>399</v>
      </c>
      <c r="F11410">
        <v>1</v>
      </c>
      <c r="G11410">
        <v>1</v>
      </c>
      <c r="H11410">
        <v>1</v>
      </c>
      <c r="I11410">
        <v>0</v>
      </c>
      <c r="J11410">
        <v>1</v>
      </c>
      <c r="K11410">
        <v>1</v>
      </c>
      <c r="L11410">
        <v>1</v>
      </c>
      <c r="M11410">
        <v>0</v>
      </c>
      <c r="N11410">
        <v>0</v>
      </c>
      <c r="O11410">
        <v>0</v>
      </c>
      <c r="P11410" t="s">
        <v>22897</v>
      </c>
      <c r="Q11410" t="s">
        <v>22898</v>
      </c>
      <c r="R11410" t="s">
        <v>371</v>
      </c>
      <c r="S11410" t="s">
        <v>372</v>
      </c>
      <c r="V11410" t="s">
        <v>20498</v>
      </c>
      <c r="W11410" t="s">
        <v>20499</v>
      </c>
      <c r="AF11410" t="s">
        <v>23258</v>
      </c>
    </row>
    <row r="11411" spans="1:32" hidden="1" x14ac:dyDescent="0.35">
      <c r="A11411">
        <v>11410</v>
      </c>
      <c r="B11411" t="s">
        <v>23255</v>
      </c>
      <c r="C11411" t="s">
        <v>33</v>
      </c>
      <c r="D11411" t="s">
        <v>58</v>
      </c>
      <c r="E11411">
        <v>803</v>
      </c>
      <c r="F11411">
        <v>1</v>
      </c>
      <c r="G11411">
        <v>1</v>
      </c>
      <c r="H11411">
        <v>1</v>
      </c>
      <c r="I11411">
        <v>0</v>
      </c>
      <c r="J11411">
        <v>1</v>
      </c>
      <c r="K11411">
        <v>1</v>
      </c>
      <c r="L11411">
        <v>1</v>
      </c>
      <c r="M11411">
        <v>0</v>
      </c>
      <c r="N11411">
        <v>0</v>
      </c>
      <c r="O11411">
        <v>0</v>
      </c>
      <c r="AF11411" t="s">
        <v>23256</v>
      </c>
    </row>
    <row r="11412" spans="1:32" hidden="1" x14ac:dyDescent="0.35">
      <c r="A11412">
        <v>4324</v>
      </c>
      <c r="B11412" t="s">
        <v>9002</v>
      </c>
      <c r="C11412" t="s">
        <v>72</v>
      </c>
      <c r="D11412" t="s">
        <v>58</v>
      </c>
      <c r="E11412">
        <v>869</v>
      </c>
      <c r="F11412">
        <v>5</v>
      </c>
      <c r="G11412">
        <v>5</v>
      </c>
      <c r="H11412">
        <v>1</v>
      </c>
      <c r="I11412">
        <v>1</v>
      </c>
      <c r="J11412">
        <v>0.77664361760509304</v>
      </c>
      <c r="K11412">
        <v>0.96172292545710403</v>
      </c>
      <c r="L11412">
        <v>0.85933081828074998</v>
      </c>
      <c r="M11412">
        <v>0.531645569620253</v>
      </c>
      <c r="N11412">
        <v>0.990506329113924</v>
      </c>
      <c r="O11412">
        <v>0.70221518987341802</v>
      </c>
      <c r="P11412" t="s">
        <v>9003</v>
      </c>
      <c r="Q11412" t="s">
        <v>9004</v>
      </c>
      <c r="R11412" t="s">
        <v>371</v>
      </c>
      <c r="S11412" t="s">
        <v>372</v>
      </c>
      <c r="T11412" t="s">
        <v>9005</v>
      </c>
      <c r="U11412" t="s">
        <v>9006</v>
      </c>
      <c r="V11412" t="s">
        <v>9007</v>
      </c>
      <c r="W11412" t="s">
        <v>9008</v>
      </c>
      <c r="AD11412" t="s">
        <v>1480</v>
      </c>
      <c r="AE11412" t="s">
        <v>2816</v>
      </c>
      <c r="AF11412" t="s">
        <v>9009</v>
      </c>
    </row>
    <row r="11413" spans="1:32" hidden="1" x14ac:dyDescent="0.35">
      <c r="A11413">
        <v>11412</v>
      </c>
      <c r="B11413" t="s">
        <v>23259</v>
      </c>
      <c r="C11413" t="s">
        <v>33</v>
      </c>
      <c r="D11413" t="s">
        <v>58</v>
      </c>
      <c r="E11413">
        <v>34</v>
      </c>
      <c r="F11413">
        <v>1</v>
      </c>
      <c r="G11413">
        <v>1</v>
      </c>
      <c r="H11413">
        <v>1</v>
      </c>
      <c r="I11413">
        <v>0</v>
      </c>
      <c r="J11413">
        <v>1</v>
      </c>
      <c r="K11413">
        <v>1</v>
      </c>
      <c r="L11413">
        <v>1</v>
      </c>
      <c r="M11413">
        <v>0</v>
      </c>
      <c r="N11413">
        <v>0</v>
      </c>
      <c r="O11413">
        <v>0</v>
      </c>
      <c r="P11413" t="s">
        <v>3814</v>
      </c>
      <c r="Q11413" t="s">
        <v>3815</v>
      </c>
      <c r="R11413" t="s">
        <v>3970</v>
      </c>
      <c r="S11413" t="s">
        <v>3971</v>
      </c>
      <c r="T11413" t="s">
        <v>15209</v>
      </c>
      <c r="U11413" t="s">
        <v>15210</v>
      </c>
      <c r="V11413" t="s">
        <v>15211</v>
      </c>
      <c r="W11413" t="s">
        <v>15212</v>
      </c>
      <c r="AD11413" t="s">
        <v>410</v>
      </c>
      <c r="AE11413" t="s">
        <v>563</v>
      </c>
      <c r="AF11413" t="s">
        <v>23260</v>
      </c>
    </row>
    <row r="11414" spans="1:32" hidden="1" x14ac:dyDescent="0.35">
      <c r="A11414">
        <v>11413</v>
      </c>
      <c r="B11414" t="s">
        <v>23261</v>
      </c>
      <c r="C11414" t="s">
        <v>33</v>
      </c>
      <c r="D11414" t="s">
        <v>60</v>
      </c>
      <c r="E11414">
        <v>2031</v>
      </c>
      <c r="F11414">
        <v>1</v>
      </c>
      <c r="G11414">
        <v>1</v>
      </c>
      <c r="H11414">
        <v>1</v>
      </c>
      <c r="I11414">
        <v>0</v>
      </c>
      <c r="J11414">
        <v>1</v>
      </c>
      <c r="K11414">
        <v>1</v>
      </c>
      <c r="L11414">
        <v>1</v>
      </c>
      <c r="M11414">
        <v>0</v>
      </c>
      <c r="N11414">
        <v>0</v>
      </c>
      <c r="O11414">
        <v>0</v>
      </c>
      <c r="P11414" t="s">
        <v>13950</v>
      </c>
      <c r="Q11414" t="s">
        <v>13951</v>
      </c>
      <c r="AF11414" t="s">
        <v>23262</v>
      </c>
    </row>
    <row r="11415" spans="1:32" hidden="1" x14ac:dyDescent="0.35">
      <c r="A11415">
        <v>11108</v>
      </c>
      <c r="B11415" t="s">
        <v>22496</v>
      </c>
      <c r="C11415" t="s">
        <v>33</v>
      </c>
      <c r="D11415" t="s">
        <v>58</v>
      </c>
      <c r="E11415">
        <v>466</v>
      </c>
      <c r="F11415">
        <v>1</v>
      </c>
      <c r="G11415">
        <v>1</v>
      </c>
      <c r="H11415">
        <v>1</v>
      </c>
      <c r="I11415">
        <v>0</v>
      </c>
      <c r="J11415">
        <v>1</v>
      </c>
      <c r="K11415">
        <v>1</v>
      </c>
      <c r="L11415">
        <v>1</v>
      </c>
      <c r="M11415">
        <v>0</v>
      </c>
      <c r="N11415">
        <v>0</v>
      </c>
      <c r="O11415">
        <v>0</v>
      </c>
      <c r="P11415" t="s">
        <v>9003</v>
      </c>
      <c r="Q11415" t="s">
        <v>9004</v>
      </c>
      <c r="R11415" t="s">
        <v>371</v>
      </c>
      <c r="S11415" t="s">
        <v>372</v>
      </c>
      <c r="T11415" t="s">
        <v>16650</v>
      </c>
      <c r="U11415" t="s">
        <v>16651</v>
      </c>
      <c r="V11415" t="s">
        <v>9007</v>
      </c>
      <c r="W11415" t="s">
        <v>9008</v>
      </c>
      <c r="AD11415" t="s">
        <v>410</v>
      </c>
      <c r="AE11415" t="s">
        <v>1217</v>
      </c>
      <c r="AF11415" t="s">
        <v>22497</v>
      </c>
    </row>
    <row r="11416" spans="1:32" hidden="1" x14ac:dyDescent="0.35">
      <c r="A11416">
        <v>11415</v>
      </c>
      <c r="B11416" t="s">
        <v>23265</v>
      </c>
      <c r="C11416" t="s">
        <v>33</v>
      </c>
      <c r="D11416" t="s">
        <v>58</v>
      </c>
      <c r="E11416">
        <v>342</v>
      </c>
      <c r="F11416">
        <v>1</v>
      </c>
      <c r="G11416">
        <v>1</v>
      </c>
      <c r="H11416">
        <v>1</v>
      </c>
      <c r="I11416">
        <v>0</v>
      </c>
      <c r="J11416">
        <v>1</v>
      </c>
      <c r="K11416">
        <v>1</v>
      </c>
      <c r="L11416">
        <v>1</v>
      </c>
      <c r="M11416">
        <v>0</v>
      </c>
      <c r="N11416">
        <v>0</v>
      </c>
      <c r="O11416">
        <v>0</v>
      </c>
      <c r="AF11416" t="s">
        <v>23266</v>
      </c>
    </row>
    <row r="11417" spans="1:32" hidden="1" x14ac:dyDescent="0.35">
      <c r="A11417">
        <v>11416</v>
      </c>
      <c r="B11417" t="s">
        <v>23267</v>
      </c>
      <c r="C11417" t="s">
        <v>33</v>
      </c>
      <c r="D11417" t="s">
        <v>58</v>
      </c>
      <c r="E11417">
        <v>1566</v>
      </c>
      <c r="F11417">
        <v>1</v>
      </c>
      <c r="G11417">
        <v>1</v>
      </c>
      <c r="H11417">
        <v>1</v>
      </c>
      <c r="I11417">
        <v>0</v>
      </c>
      <c r="J11417">
        <v>1</v>
      </c>
      <c r="K11417">
        <v>1</v>
      </c>
      <c r="L11417">
        <v>1</v>
      </c>
      <c r="M11417">
        <v>0</v>
      </c>
      <c r="N11417">
        <v>0</v>
      </c>
      <c r="O11417">
        <v>0</v>
      </c>
      <c r="AF11417" t="s">
        <v>23268</v>
      </c>
    </row>
    <row r="11418" spans="1:32" hidden="1" x14ac:dyDescent="0.35">
      <c r="A11418">
        <v>11417</v>
      </c>
      <c r="B11418" t="s">
        <v>23269</v>
      </c>
      <c r="C11418" t="s">
        <v>33</v>
      </c>
      <c r="D11418" t="s">
        <v>58</v>
      </c>
      <c r="E11418">
        <v>477</v>
      </c>
      <c r="F11418">
        <v>1</v>
      </c>
      <c r="G11418">
        <v>1</v>
      </c>
      <c r="H11418">
        <v>1</v>
      </c>
      <c r="I11418">
        <v>0</v>
      </c>
      <c r="J11418">
        <v>1</v>
      </c>
      <c r="K11418">
        <v>1</v>
      </c>
      <c r="L11418">
        <v>1</v>
      </c>
      <c r="M11418">
        <v>0</v>
      </c>
      <c r="N11418">
        <v>0</v>
      </c>
      <c r="O11418">
        <v>0</v>
      </c>
      <c r="AF11418" t="s">
        <v>23270</v>
      </c>
    </row>
    <row r="11419" spans="1:32" hidden="1" x14ac:dyDescent="0.35">
      <c r="A11419">
        <v>11414</v>
      </c>
      <c r="B11419" t="s">
        <v>23263</v>
      </c>
      <c r="C11419" t="s">
        <v>33</v>
      </c>
      <c r="D11419" t="s">
        <v>58</v>
      </c>
      <c r="E11419">
        <v>1171</v>
      </c>
      <c r="F11419">
        <v>1</v>
      </c>
      <c r="G11419">
        <v>1</v>
      </c>
      <c r="H11419">
        <v>1</v>
      </c>
      <c r="I11419">
        <v>0</v>
      </c>
      <c r="J11419">
        <v>1</v>
      </c>
      <c r="K11419">
        <v>1</v>
      </c>
      <c r="L11419">
        <v>1</v>
      </c>
      <c r="M11419">
        <v>0</v>
      </c>
      <c r="N11419">
        <v>0</v>
      </c>
      <c r="O11419">
        <v>0</v>
      </c>
      <c r="P11419" t="s">
        <v>9003</v>
      </c>
      <c r="Q11419" t="s">
        <v>9004</v>
      </c>
      <c r="R11419" t="s">
        <v>371</v>
      </c>
      <c r="S11419" t="s">
        <v>372</v>
      </c>
      <c r="T11419" t="s">
        <v>11698</v>
      </c>
      <c r="U11419" t="s">
        <v>11699</v>
      </c>
      <c r="V11419" t="s">
        <v>9007</v>
      </c>
      <c r="W11419" t="s">
        <v>9008</v>
      </c>
      <c r="AD11419" t="s">
        <v>1480</v>
      </c>
      <c r="AE11419" t="s">
        <v>2816</v>
      </c>
      <c r="AF11419" t="s">
        <v>23264</v>
      </c>
    </row>
    <row r="11420" spans="1:32" hidden="1" x14ac:dyDescent="0.35">
      <c r="A11420">
        <v>11419</v>
      </c>
      <c r="B11420" t="s">
        <v>23273</v>
      </c>
      <c r="C11420" t="s">
        <v>33</v>
      </c>
      <c r="D11420" t="s">
        <v>58</v>
      </c>
      <c r="E11420">
        <v>227</v>
      </c>
      <c r="F11420">
        <v>1</v>
      </c>
      <c r="G11420">
        <v>1</v>
      </c>
      <c r="H11420">
        <v>1</v>
      </c>
      <c r="I11420">
        <v>0</v>
      </c>
      <c r="J11420">
        <v>1</v>
      </c>
      <c r="K11420">
        <v>1</v>
      </c>
      <c r="L11420">
        <v>1</v>
      </c>
      <c r="M11420">
        <v>0</v>
      </c>
      <c r="N11420">
        <v>0</v>
      </c>
      <c r="O11420">
        <v>0</v>
      </c>
      <c r="P11420" t="s">
        <v>21289</v>
      </c>
      <c r="Q11420" t="s">
        <v>21290</v>
      </c>
      <c r="R11420" t="s">
        <v>13853</v>
      </c>
      <c r="S11420" t="s">
        <v>13854</v>
      </c>
      <c r="T11420" t="s">
        <v>17591</v>
      </c>
      <c r="U11420" t="s">
        <v>17592</v>
      </c>
      <c r="V11420" t="s">
        <v>23274</v>
      </c>
      <c r="W11420" t="s">
        <v>23275</v>
      </c>
      <c r="AD11420" t="s">
        <v>14436</v>
      </c>
      <c r="AE11420" t="s">
        <v>17595</v>
      </c>
      <c r="AF11420" t="s">
        <v>23276</v>
      </c>
    </row>
    <row r="11421" spans="1:32" hidden="1" x14ac:dyDescent="0.35">
      <c r="A11421">
        <v>11420</v>
      </c>
      <c r="B11421" t="s">
        <v>23277</v>
      </c>
      <c r="C11421" t="s">
        <v>33</v>
      </c>
      <c r="D11421" t="s">
        <v>45</v>
      </c>
      <c r="E11421">
        <v>504</v>
      </c>
      <c r="F11421">
        <v>1</v>
      </c>
      <c r="G11421">
        <v>1</v>
      </c>
      <c r="H11421">
        <v>1</v>
      </c>
      <c r="I11421">
        <v>0</v>
      </c>
      <c r="J11421">
        <v>1</v>
      </c>
      <c r="K11421">
        <v>1</v>
      </c>
      <c r="L11421">
        <v>1</v>
      </c>
      <c r="M11421">
        <v>0</v>
      </c>
      <c r="N11421">
        <v>0</v>
      </c>
      <c r="O11421">
        <v>0</v>
      </c>
      <c r="P11421" t="s">
        <v>15722</v>
      </c>
      <c r="Q11421" t="s">
        <v>15723</v>
      </c>
      <c r="R11421" t="s">
        <v>371</v>
      </c>
      <c r="S11421" t="s">
        <v>372</v>
      </c>
      <c r="T11421" t="s">
        <v>15724</v>
      </c>
      <c r="U11421" t="s">
        <v>15725</v>
      </c>
      <c r="V11421" t="s">
        <v>15726</v>
      </c>
      <c r="W11421" t="s">
        <v>15727</v>
      </c>
      <c r="AD11421" t="s">
        <v>410</v>
      </c>
      <c r="AE11421" t="s">
        <v>1217</v>
      </c>
      <c r="AF11421" t="s">
        <v>23278</v>
      </c>
    </row>
    <row r="11422" spans="1:32" hidden="1" x14ac:dyDescent="0.35">
      <c r="A11422">
        <v>11421</v>
      </c>
      <c r="B11422" t="s">
        <v>23279</v>
      </c>
      <c r="C11422" t="s">
        <v>33</v>
      </c>
      <c r="D11422" t="s">
        <v>34</v>
      </c>
      <c r="E11422">
        <v>784</v>
      </c>
      <c r="F11422">
        <v>1</v>
      </c>
      <c r="G11422">
        <v>1</v>
      </c>
      <c r="H11422">
        <v>1</v>
      </c>
      <c r="I11422">
        <v>0</v>
      </c>
      <c r="J11422">
        <v>1</v>
      </c>
      <c r="K11422">
        <v>1</v>
      </c>
      <c r="L11422">
        <v>1</v>
      </c>
      <c r="M11422">
        <v>0</v>
      </c>
      <c r="N11422">
        <v>0</v>
      </c>
      <c r="O11422">
        <v>0</v>
      </c>
      <c r="AF11422" t="s">
        <v>23280</v>
      </c>
    </row>
    <row r="11423" spans="1:32" hidden="1" x14ac:dyDescent="0.35">
      <c r="A11423">
        <v>11422</v>
      </c>
      <c r="B11423" t="s">
        <v>23281</v>
      </c>
      <c r="C11423" t="s">
        <v>33</v>
      </c>
      <c r="D11423" t="s">
        <v>34</v>
      </c>
      <c r="E11423">
        <v>1089</v>
      </c>
      <c r="F11423">
        <v>1</v>
      </c>
      <c r="G11423">
        <v>1</v>
      </c>
      <c r="H11423">
        <v>1</v>
      </c>
      <c r="I11423">
        <v>0</v>
      </c>
      <c r="J11423">
        <v>1</v>
      </c>
      <c r="K11423">
        <v>1</v>
      </c>
      <c r="L11423">
        <v>1</v>
      </c>
      <c r="M11423">
        <v>0</v>
      </c>
      <c r="N11423">
        <v>0</v>
      </c>
      <c r="O11423">
        <v>0</v>
      </c>
      <c r="AF11423" t="s">
        <v>23282</v>
      </c>
    </row>
    <row r="11424" spans="1:32" hidden="1" x14ac:dyDescent="0.35">
      <c r="A11424">
        <v>11458</v>
      </c>
      <c r="B11424" t="s">
        <v>23381</v>
      </c>
      <c r="C11424" t="s">
        <v>33</v>
      </c>
      <c r="D11424" t="s">
        <v>58</v>
      </c>
      <c r="E11424">
        <v>414</v>
      </c>
      <c r="F11424">
        <v>1</v>
      </c>
      <c r="G11424">
        <v>1</v>
      </c>
      <c r="H11424">
        <v>1</v>
      </c>
      <c r="I11424">
        <v>0</v>
      </c>
      <c r="J11424">
        <v>1</v>
      </c>
      <c r="K11424">
        <v>1</v>
      </c>
      <c r="L11424">
        <v>1</v>
      </c>
      <c r="M11424">
        <v>0</v>
      </c>
      <c r="N11424">
        <v>0</v>
      </c>
      <c r="O11424">
        <v>0</v>
      </c>
      <c r="P11424" t="s">
        <v>9003</v>
      </c>
      <c r="Q11424" t="s">
        <v>9004</v>
      </c>
      <c r="R11424" t="s">
        <v>371</v>
      </c>
      <c r="S11424" t="s">
        <v>372</v>
      </c>
      <c r="T11424" t="s">
        <v>16650</v>
      </c>
      <c r="U11424" t="s">
        <v>16651</v>
      </c>
      <c r="V11424" t="s">
        <v>9007</v>
      </c>
      <c r="W11424" t="s">
        <v>9008</v>
      </c>
      <c r="AD11424" t="s">
        <v>410</v>
      </c>
      <c r="AE11424" t="s">
        <v>1217</v>
      </c>
      <c r="AF11424" t="s">
        <v>23382</v>
      </c>
    </row>
    <row r="11425" spans="1:32" hidden="1" x14ac:dyDescent="0.35">
      <c r="A11425">
        <v>11424</v>
      </c>
      <c r="B11425" t="s">
        <v>23288</v>
      </c>
      <c r="C11425" t="s">
        <v>33</v>
      </c>
      <c r="D11425" t="s">
        <v>45</v>
      </c>
      <c r="E11425">
        <v>1728</v>
      </c>
      <c r="F11425">
        <v>1</v>
      </c>
      <c r="G11425">
        <v>1</v>
      </c>
      <c r="H11425">
        <v>1</v>
      </c>
      <c r="I11425">
        <v>0</v>
      </c>
      <c r="J11425">
        <v>1</v>
      </c>
      <c r="K11425">
        <v>1</v>
      </c>
      <c r="L11425">
        <v>1</v>
      </c>
      <c r="M11425">
        <v>0</v>
      </c>
      <c r="N11425">
        <v>0</v>
      </c>
      <c r="O11425">
        <v>0</v>
      </c>
      <c r="AF11425" t="s">
        <v>23289</v>
      </c>
    </row>
    <row r="11426" spans="1:32" hidden="1" x14ac:dyDescent="0.35">
      <c r="A11426">
        <v>11425</v>
      </c>
      <c r="B11426" t="s">
        <v>23290</v>
      </c>
      <c r="C11426" t="s">
        <v>33</v>
      </c>
      <c r="D11426" t="s">
        <v>45</v>
      </c>
      <c r="E11426">
        <v>2500</v>
      </c>
      <c r="F11426">
        <v>1</v>
      </c>
      <c r="G11426">
        <v>1</v>
      </c>
      <c r="H11426">
        <v>1</v>
      </c>
      <c r="I11426">
        <v>0</v>
      </c>
      <c r="J11426">
        <v>1</v>
      </c>
      <c r="K11426">
        <v>1</v>
      </c>
      <c r="L11426">
        <v>1</v>
      </c>
      <c r="M11426">
        <v>0</v>
      </c>
      <c r="N11426">
        <v>0</v>
      </c>
      <c r="O11426">
        <v>0</v>
      </c>
      <c r="AF11426" t="s">
        <v>23291</v>
      </c>
    </row>
    <row r="11427" spans="1:32" hidden="1" x14ac:dyDescent="0.35">
      <c r="A11427">
        <v>11426</v>
      </c>
      <c r="B11427" t="s">
        <v>23292</v>
      </c>
      <c r="C11427" t="s">
        <v>33</v>
      </c>
      <c r="D11427" t="s">
        <v>45</v>
      </c>
      <c r="E11427">
        <v>1527</v>
      </c>
      <c r="F11427">
        <v>1</v>
      </c>
      <c r="G11427">
        <v>1</v>
      </c>
      <c r="H11427">
        <v>1</v>
      </c>
      <c r="I11427">
        <v>0</v>
      </c>
      <c r="J11427">
        <v>1</v>
      </c>
      <c r="K11427">
        <v>1</v>
      </c>
      <c r="L11427">
        <v>1</v>
      </c>
      <c r="M11427">
        <v>0</v>
      </c>
      <c r="N11427">
        <v>0</v>
      </c>
      <c r="O11427">
        <v>0</v>
      </c>
      <c r="P11427" t="s">
        <v>3168</v>
      </c>
      <c r="Q11427" t="s">
        <v>3169</v>
      </c>
      <c r="R11427" t="s">
        <v>288</v>
      </c>
      <c r="S11427" t="s">
        <v>289</v>
      </c>
      <c r="V11427" t="s">
        <v>23293</v>
      </c>
      <c r="W11427" t="s">
        <v>18869</v>
      </c>
      <c r="AF11427" t="s">
        <v>23294</v>
      </c>
    </row>
    <row r="11428" spans="1:32" hidden="1" x14ac:dyDescent="0.35">
      <c r="A11428">
        <v>11779</v>
      </c>
      <c r="B11428" t="s">
        <v>24202</v>
      </c>
      <c r="C11428" t="s">
        <v>33</v>
      </c>
      <c r="D11428" t="s">
        <v>58</v>
      </c>
      <c r="E11428">
        <v>21</v>
      </c>
      <c r="F11428">
        <v>1</v>
      </c>
      <c r="G11428">
        <v>1</v>
      </c>
      <c r="H11428">
        <v>1</v>
      </c>
      <c r="I11428">
        <v>0</v>
      </c>
      <c r="J11428">
        <v>1</v>
      </c>
      <c r="K11428">
        <v>1</v>
      </c>
      <c r="L11428">
        <v>1</v>
      </c>
      <c r="M11428">
        <v>0</v>
      </c>
      <c r="N11428">
        <v>0</v>
      </c>
      <c r="O11428">
        <v>0</v>
      </c>
      <c r="P11428" t="s">
        <v>9003</v>
      </c>
      <c r="Q11428" t="s">
        <v>9004</v>
      </c>
      <c r="R11428" t="s">
        <v>371</v>
      </c>
      <c r="S11428" t="s">
        <v>372</v>
      </c>
      <c r="T11428" t="s">
        <v>16650</v>
      </c>
      <c r="U11428" t="s">
        <v>16651</v>
      </c>
      <c r="V11428" t="s">
        <v>9007</v>
      </c>
      <c r="W11428" t="s">
        <v>9008</v>
      </c>
      <c r="AD11428" t="s">
        <v>410</v>
      </c>
      <c r="AE11428" t="s">
        <v>1217</v>
      </c>
      <c r="AF11428" t="s">
        <v>24203</v>
      </c>
    </row>
    <row r="11429" spans="1:32" hidden="1" x14ac:dyDescent="0.35">
      <c r="A11429">
        <v>11428</v>
      </c>
      <c r="B11429" t="s">
        <v>23297</v>
      </c>
      <c r="C11429" t="s">
        <v>33</v>
      </c>
      <c r="D11429" t="s">
        <v>58</v>
      </c>
      <c r="E11429">
        <v>396</v>
      </c>
      <c r="F11429">
        <v>1</v>
      </c>
      <c r="G11429">
        <v>1</v>
      </c>
      <c r="H11429">
        <v>1</v>
      </c>
      <c r="I11429">
        <v>0</v>
      </c>
      <c r="J11429">
        <v>1</v>
      </c>
      <c r="K11429">
        <v>1</v>
      </c>
      <c r="L11429">
        <v>1</v>
      </c>
      <c r="M11429">
        <v>0</v>
      </c>
      <c r="N11429">
        <v>0</v>
      </c>
      <c r="O11429">
        <v>0</v>
      </c>
      <c r="P11429" t="s">
        <v>14514</v>
      </c>
      <c r="Q11429" t="s">
        <v>14515</v>
      </c>
      <c r="AF11429" t="s">
        <v>23298</v>
      </c>
    </row>
    <row r="11430" spans="1:32" hidden="1" x14ac:dyDescent="0.35">
      <c r="A11430">
        <v>11429</v>
      </c>
      <c r="B11430" t="s">
        <v>23299</v>
      </c>
      <c r="C11430" t="s">
        <v>33</v>
      </c>
      <c r="D11430" t="s">
        <v>58</v>
      </c>
      <c r="E11430">
        <v>1285</v>
      </c>
      <c r="F11430">
        <v>1</v>
      </c>
      <c r="G11430">
        <v>1</v>
      </c>
      <c r="H11430">
        <v>1</v>
      </c>
      <c r="I11430">
        <v>0</v>
      </c>
      <c r="J11430">
        <v>1</v>
      </c>
      <c r="K11430">
        <v>1</v>
      </c>
      <c r="L11430">
        <v>1</v>
      </c>
      <c r="M11430">
        <v>0</v>
      </c>
      <c r="N11430">
        <v>0</v>
      </c>
      <c r="O11430">
        <v>0</v>
      </c>
      <c r="AF11430" t="s">
        <v>23300</v>
      </c>
    </row>
    <row r="11431" spans="1:32" hidden="1" x14ac:dyDescent="0.35">
      <c r="A11431">
        <v>11430</v>
      </c>
      <c r="B11431" t="s">
        <v>23301</v>
      </c>
      <c r="C11431" t="s">
        <v>33</v>
      </c>
      <c r="D11431" t="s">
        <v>58</v>
      </c>
      <c r="E11431">
        <v>197</v>
      </c>
      <c r="F11431">
        <v>1</v>
      </c>
      <c r="G11431">
        <v>1</v>
      </c>
      <c r="H11431">
        <v>1</v>
      </c>
      <c r="I11431">
        <v>0</v>
      </c>
      <c r="J11431">
        <v>1</v>
      </c>
      <c r="K11431">
        <v>1</v>
      </c>
      <c r="L11431">
        <v>1</v>
      </c>
      <c r="M11431">
        <v>0</v>
      </c>
      <c r="N11431">
        <v>0</v>
      </c>
      <c r="O11431">
        <v>0</v>
      </c>
      <c r="AF11431" t="s">
        <v>23302</v>
      </c>
    </row>
    <row r="11432" spans="1:32" hidden="1" x14ac:dyDescent="0.35">
      <c r="A11432">
        <v>11431</v>
      </c>
      <c r="B11432" t="s">
        <v>23303</v>
      </c>
      <c r="C11432" t="s">
        <v>33</v>
      </c>
      <c r="D11432" t="s">
        <v>62</v>
      </c>
      <c r="E11432">
        <v>218</v>
      </c>
      <c r="F11432">
        <v>1</v>
      </c>
      <c r="G11432">
        <v>1</v>
      </c>
      <c r="H11432">
        <v>1</v>
      </c>
      <c r="I11432">
        <v>0</v>
      </c>
      <c r="J11432">
        <v>1</v>
      </c>
      <c r="K11432">
        <v>1</v>
      </c>
      <c r="L11432">
        <v>1</v>
      </c>
      <c r="M11432">
        <v>0</v>
      </c>
      <c r="N11432">
        <v>0</v>
      </c>
      <c r="O11432">
        <v>0</v>
      </c>
      <c r="R11432" t="s">
        <v>23304</v>
      </c>
      <c r="S11432" t="s">
        <v>23305</v>
      </c>
      <c r="V11432" t="s">
        <v>23306</v>
      </c>
      <c r="W11432" t="s">
        <v>23307</v>
      </c>
      <c r="AF11432" t="s">
        <v>23308</v>
      </c>
    </row>
    <row r="11433" spans="1:32" hidden="1" x14ac:dyDescent="0.35">
      <c r="A11433">
        <v>11161</v>
      </c>
      <c r="B11433" t="s">
        <v>22645</v>
      </c>
      <c r="C11433" t="s">
        <v>33</v>
      </c>
      <c r="D11433" t="s">
        <v>58</v>
      </c>
      <c r="E11433">
        <v>783</v>
      </c>
      <c r="F11433">
        <v>1</v>
      </c>
      <c r="G11433">
        <v>1</v>
      </c>
      <c r="H11433">
        <v>1</v>
      </c>
      <c r="I11433">
        <v>0</v>
      </c>
      <c r="J11433">
        <v>1</v>
      </c>
      <c r="K11433">
        <v>1</v>
      </c>
      <c r="L11433">
        <v>1</v>
      </c>
      <c r="M11433">
        <v>0</v>
      </c>
      <c r="N11433">
        <v>0</v>
      </c>
      <c r="O11433">
        <v>0</v>
      </c>
      <c r="P11433" t="s">
        <v>18308</v>
      </c>
      <c r="Q11433" t="s">
        <v>18309</v>
      </c>
      <c r="R11433" t="s">
        <v>157</v>
      </c>
      <c r="S11433" t="s">
        <v>158</v>
      </c>
      <c r="T11433" t="s">
        <v>18310</v>
      </c>
      <c r="U11433" t="s">
        <v>18311</v>
      </c>
      <c r="V11433" t="s">
        <v>18312</v>
      </c>
      <c r="W11433" t="s">
        <v>18313</v>
      </c>
      <c r="AD11433" t="s">
        <v>166</v>
      </c>
      <c r="AE11433" t="s">
        <v>2843</v>
      </c>
      <c r="AF11433" t="s">
        <v>22646</v>
      </c>
    </row>
    <row r="11434" spans="1:32" hidden="1" x14ac:dyDescent="0.35">
      <c r="A11434">
        <v>11433</v>
      </c>
      <c r="B11434" t="s">
        <v>23311</v>
      </c>
      <c r="C11434" t="s">
        <v>33</v>
      </c>
      <c r="D11434" t="s">
        <v>58</v>
      </c>
      <c r="E11434">
        <v>960</v>
      </c>
      <c r="F11434">
        <v>1</v>
      </c>
      <c r="G11434">
        <v>1</v>
      </c>
      <c r="H11434">
        <v>1</v>
      </c>
      <c r="I11434">
        <v>0</v>
      </c>
      <c r="J11434">
        <v>1</v>
      </c>
      <c r="K11434">
        <v>1</v>
      </c>
      <c r="L11434">
        <v>1</v>
      </c>
      <c r="M11434">
        <v>0</v>
      </c>
      <c r="N11434">
        <v>0</v>
      </c>
      <c r="O11434">
        <v>0</v>
      </c>
      <c r="P11434" t="s">
        <v>14720</v>
      </c>
      <c r="Q11434" t="s">
        <v>14721</v>
      </c>
      <c r="AF11434" t="s">
        <v>23312</v>
      </c>
    </row>
    <row r="11435" spans="1:32" hidden="1" x14ac:dyDescent="0.35">
      <c r="A11435">
        <v>11434</v>
      </c>
      <c r="B11435" t="s">
        <v>23313</v>
      </c>
      <c r="C11435" t="s">
        <v>33</v>
      </c>
      <c r="D11435" t="s">
        <v>45</v>
      </c>
      <c r="E11435">
        <v>1293</v>
      </c>
      <c r="F11435">
        <v>1</v>
      </c>
      <c r="G11435">
        <v>1</v>
      </c>
      <c r="H11435">
        <v>1</v>
      </c>
      <c r="I11435">
        <v>0</v>
      </c>
      <c r="J11435">
        <v>1</v>
      </c>
      <c r="K11435">
        <v>1</v>
      </c>
      <c r="L11435">
        <v>1</v>
      </c>
      <c r="M11435">
        <v>0</v>
      </c>
      <c r="N11435">
        <v>0</v>
      </c>
      <c r="O11435">
        <v>0</v>
      </c>
      <c r="P11435" t="s">
        <v>13229</v>
      </c>
      <c r="Q11435" t="s">
        <v>13230</v>
      </c>
      <c r="R11435" t="s">
        <v>516</v>
      </c>
      <c r="S11435" t="s">
        <v>517</v>
      </c>
      <c r="V11435" t="s">
        <v>13233</v>
      </c>
      <c r="W11435" t="s">
        <v>13234</v>
      </c>
      <c r="AF11435" t="s">
        <v>23314</v>
      </c>
    </row>
    <row r="11436" spans="1:32" hidden="1" x14ac:dyDescent="0.35">
      <c r="A11436">
        <v>11435</v>
      </c>
      <c r="B11436" t="s">
        <v>23315</v>
      </c>
      <c r="C11436" t="s">
        <v>33</v>
      </c>
      <c r="D11436" t="s">
        <v>58</v>
      </c>
      <c r="E11436">
        <v>1284</v>
      </c>
      <c r="F11436">
        <v>1</v>
      </c>
      <c r="G11436">
        <v>1</v>
      </c>
      <c r="H11436">
        <v>1</v>
      </c>
      <c r="I11436">
        <v>0</v>
      </c>
      <c r="J11436">
        <v>1</v>
      </c>
      <c r="K11436">
        <v>1</v>
      </c>
      <c r="L11436">
        <v>1</v>
      </c>
      <c r="M11436">
        <v>0</v>
      </c>
      <c r="N11436">
        <v>0</v>
      </c>
      <c r="O11436">
        <v>0</v>
      </c>
      <c r="P11436" t="s">
        <v>23316</v>
      </c>
      <c r="Q11436" t="s">
        <v>23317</v>
      </c>
      <c r="R11436" t="s">
        <v>288</v>
      </c>
      <c r="S11436" t="s">
        <v>289</v>
      </c>
      <c r="T11436" t="s">
        <v>23318</v>
      </c>
      <c r="U11436" t="s">
        <v>23319</v>
      </c>
      <c r="V11436" t="s">
        <v>23320</v>
      </c>
      <c r="W11436" t="s">
        <v>23321</v>
      </c>
      <c r="AD11436" t="s">
        <v>410</v>
      </c>
      <c r="AE11436" t="s">
        <v>603</v>
      </c>
      <c r="AF11436" t="s">
        <v>23322</v>
      </c>
    </row>
    <row r="11437" spans="1:32" hidden="1" x14ac:dyDescent="0.35">
      <c r="A11437">
        <v>11436</v>
      </c>
      <c r="B11437" t="s">
        <v>23323</v>
      </c>
      <c r="C11437" t="s">
        <v>33</v>
      </c>
      <c r="D11437" t="s">
        <v>34</v>
      </c>
      <c r="E11437">
        <v>970</v>
      </c>
      <c r="F11437">
        <v>1</v>
      </c>
      <c r="G11437">
        <v>1</v>
      </c>
      <c r="H11437">
        <v>1</v>
      </c>
      <c r="I11437">
        <v>0</v>
      </c>
      <c r="J11437">
        <v>1</v>
      </c>
      <c r="K11437">
        <v>1</v>
      </c>
      <c r="L11437">
        <v>1</v>
      </c>
      <c r="M11437">
        <v>0</v>
      </c>
      <c r="N11437">
        <v>0</v>
      </c>
      <c r="O11437">
        <v>0</v>
      </c>
      <c r="AF11437" t="s">
        <v>23324</v>
      </c>
    </row>
    <row r="11438" spans="1:32" hidden="1" x14ac:dyDescent="0.35">
      <c r="A11438">
        <v>11437</v>
      </c>
      <c r="B11438" t="s">
        <v>23325</v>
      </c>
      <c r="C11438" t="s">
        <v>33</v>
      </c>
      <c r="D11438" t="s">
        <v>58</v>
      </c>
      <c r="E11438">
        <v>378</v>
      </c>
      <c r="F11438">
        <v>1</v>
      </c>
      <c r="G11438">
        <v>1</v>
      </c>
      <c r="H11438">
        <v>1</v>
      </c>
      <c r="I11438">
        <v>0</v>
      </c>
      <c r="J11438">
        <v>1</v>
      </c>
      <c r="K11438">
        <v>1</v>
      </c>
      <c r="L11438">
        <v>1</v>
      </c>
      <c r="M11438">
        <v>0</v>
      </c>
      <c r="N11438">
        <v>0</v>
      </c>
      <c r="O11438">
        <v>0</v>
      </c>
      <c r="P11438" t="s">
        <v>8002</v>
      </c>
      <c r="Q11438" t="s">
        <v>8003</v>
      </c>
      <c r="R11438" t="s">
        <v>213</v>
      </c>
      <c r="S11438" t="s">
        <v>214</v>
      </c>
      <c r="T11438" t="s">
        <v>4493</v>
      </c>
      <c r="U11438" t="s">
        <v>4494</v>
      </c>
      <c r="V11438" t="s">
        <v>15221</v>
      </c>
      <c r="W11438" t="s">
        <v>15222</v>
      </c>
      <c r="AD11438" t="s">
        <v>245</v>
      </c>
      <c r="AE11438" t="s">
        <v>4497</v>
      </c>
      <c r="AF11438" t="s">
        <v>23326</v>
      </c>
    </row>
    <row r="11439" spans="1:32" hidden="1" x14ac:dyDescent="0.35">
      <c r="A11439">
        <v>11438</v>
      </c>
      <c r="B11439" t="s">
        <v>23327</v>
      </c>
      <c r="C11439" t="s">
        <v>33</v>
      </c>
      <c r="D11439" t="s">
        <v>58</v>
      </c>
      <c r="E11439">
        <v>504</v>
      </c>
      <c r="F11439">
        <v>1</v>
      </c>
      <c r="G11439">
        <v>1</v>
      </c>
      <c r="H11439">
        <v>1</v>
      </c>
      <c r="I11439">
        <v>0</v>
      </c>
      <c r="J11439">
        <v>1</v>
      </c>
      <c r="K11439">
        <v>1</v>
      </c>
      <c r="L11439">
        <v>1</v>
      </c>
      <c r="M11439">
        <v>0</v>
      </c>
      <c r="N11439">
        <v>0</v>
      </c>
      <c r="O11439">
        <v>0</v>
      </c>
      <c r="AF11439" t="s">
        <v>23328</v>
      </c>
    </row>
    <row r="11440" spans="1:32" hidden="1" x14ac:dyDescent="0.35">
      <c r="A11440">
        <v>11439</v>
      </c>
      <c r="B11440" t="s">
        <v>23329</v>
      </c>
      <c r="C11440" t="s">
        <v>33</v>
      </c>
      <c r="D11440" t="s">
        <v>58</v>
      </c>
      <c r="E11440">
        <v>134</v>
      </c>
      <c r="F11440">
        <v>1</v>
      </c>
      <c r="G11440">
        <v>1</v>
      </c>
      <c r="H11440">
        <v>1</v>
      </c>
      <c r="I11440">
        <v>0</v>
      </c>
      <c r="J11440">
        <v>1</v>
      </c>
      <c r="K11440">
        <v>1</v>
      </c>
      <c r="L11440">
        <v>1</v>
      </c>
      <c r="M11440">
        <v>0</v>
      </c>
      <c r="N11440">
        <v>0</v>
      </c>
      <c r="O11440">
        <v>0</v>
      </c>
      <c r="AF11440" t="s">
        <v>23330</v>
      </c>
    </row>
    <row r="11441" spans="1:32" hidden="1" x14ac:dyDescent="0.35">
      <c r="A11441">
        <v>11440</v>
      </c>
      <c r="B11441" t="s">
        <v>23331</v>
      </c>
      <c r="C11441" t="s">
        <v>33</v>
      </c>
      <c r="D11441" t="s">
        <v>60</v>
      </c>
      <c r="E11441">
        <v>670</v>
      </c>
      <c r="F11441">
        <v>1</v>
      </c>
      <c r="G11441">
        <v>1</v>
      </c>
      <c r="H11441">
        <v>1</v>
      </c>
      <c r="I11441">
        <v>0</v>
      </c>
      <c r="J11441">
        <v>1</v>
      </c>
      <c r="K11441">
        <v>1</v>
      </c>
      <c r="L11441">
        <v>1</v>
      </c>
      <c r="M11441">
        <v>0</v>
      </c>
      <c r="N11441">
        <v>0</v>
      </c>
      <c r="O11441">
        <v>0</v>
      </c>
      <c r="P11441" t="s">
        <v>22077</v>
      </c>
      <c r="Q11441" t="s">
        <v>22078</v>
      </c>
      <c r="AF11441" t="s">
        <v>23332</v>
      </c>
    </row>
    <row r="11442" spans="1:32" hidden="1" x14ac:dyDescent="0.35">
      <c r="A11442">
        <v>11678</v>
      </c>
      <c r="B11442" t="s">
        <v>23954</v>
      </c>
      <c r="C11442" t="s">
        <v>33</v>
      </c>
      <c r="D11442" t="s">
        <v>58</v>
      </c>
      <c r="E11442">
        <v>1493</v>
      </c>
      <c r="F11442">
        <v>1</v>
      </c>
      <c r="G11442">
        <v>1</v>
      </c>
      <c r="H11442">
        <v>1</v>
      </c>
      <c r="I11442">
        <v>0</v>
      </c>
      <c r="J11442">
        <v>1</v>
      </c>
      <c r="K11442">
        <v>1</v>
      </c>
      <c r="L11442">
        <v>1</v>
      </c>
      <c r="M11442">
        <v>0</v>
      </c>
      <c r="N11442">
        <v>0</v>
      </c>
      <c r="O11442">
        <v>0</v>
      </c>
      <c r="P11442" t="s">
        <v>18308</v>
      </c>
      <c r="Q11442" t="s">
        <v>18309</v>
      </c>
      <c r="R11442" t="s">
        <v>157</v>
      </c>
      <c r="S11442" t="s">
        <v>158</v>
      </c>
      <c r="T11442" t="s">
        <v>18310</v>
      </c>
      <c r="U11442" t="s">
        <v>18311</v>
      </c>
      <c r="V11442" t="s">
        <v>18312</v>
      </c>
      <c r="W11442" t="s">
        <v>18313</v>
      </c>
      <c r="AD11442" t="s">
        <v>166</v>
      </c>
      <c r="AE11442" t="s">
        <v>2843</v>
      </c>
      <c r="AF11442" t="s">
        <v>23955</v>
      </c>
    </row>
    <row r="11443" spans="1:32" hidden="1" x14ac:dyDescent="0.35">
      <c r="A11443">
        <v>11442</v>
      </c>
      <c r="B11443" t="s">
        <v>23335</v>
      </c>
      <c r="C11443" t="s">
        <v>33</v>
      </c>
      <c r="D11443" t="s">
        <v>62</v>
      </c>
      <c r="E11443">
        <v>1845</v>
      </c>
      <c r="F11443">
        <v>1</v>
      </c>
      <c r="G11443">
        <v>1</v>
      </c>
      <c r="H11443">
        <v>1</v>
      </c>
      <c r="I11443">
        <v>0</v>
      </c>
      <c r="J11443">
        <v>1</v>
      </c>
      <c r="K11443">
        <v>1</v>
      </c>
      <c r="L11443">
        <v>1</v>
      </c>
      <c r="M11443">
        <v>0</v>
      </c>
      <c r="N11443">
        <v>0</v>
      </c>
      <c r="O11443">
        <v>0</v>
      </c>
      <c r="AF11443" t="s">
        <v>23336</v>
      </c>
    </row>
    <row r="11444" spans="1:32" hidden="1" x14ac:dyDescent="0.35">
      <c r="A11444">
        <v>11443</v>
      </c>
      <c r="B11444" t="s">
        <v>23337</v>
      </c>
      <c r="C11444" t="s">
        <v>33</v>
      </c>
      <c r="D11444" t="s">
        <v>60</v>
      </c>
      <c r="E11444">
        <v>642</v>
      </c>
      <c r="F11444">
        <v>1</v>
      </c>
      <c r="G11444">
        <v>1</v>
      </c>
      <c r="H11444">
        <v>1</v>
      </c>
      <c r="I11444">
        <v>0</v>
      </c>
      <c r="J11444">
        <v>1</v>
      </c>
      <c r="K11444">
        <v>1</v>
      </c>
      <c r="L11444">
        <v>1</v>
      </c>
      <c r="M11444">
        <v>0</v>
      </c>
      <c r="N11444">
        <v>0</v>
      </c>
      <c r="O11444">
        <v>0</v>
      </c>
      <c r="AF11444" t="s">
        <v>23338</v>
      </c>
    </row>
    <row r="11445" spans="1:32" hidden="1" x14ac:dyDescent="0.35">
      <c r="A11445">
        <v>2344</v>
      </c>
      <c r="B11445" t="s">
        <v>4877</v>
      </c>
      <c r="C11445" t="s">
        <v>72</v>
      </c>
      <c r="D11445" t="s">
        <v>58</v>
      </c>
      <c r="E11445">
        <v>1829</v>
      </c>
      <c r="F11445">
        <v>5</v>
      </c>
      <c r="G11445">
        <v>5</v>
      </c>
      <c r="H11445">
        <v>1</v>
      </c>
      <c r="I11445">
        <v>1</v>
      </c>
      <c r="J11445">
        <v>0.76370170709793395</v>
      </c>
      <c r="K11445">
        <v>0.94007220216606302</v>
      </c>
      <c r="L11445">
        <v>0.84275823415992102</v>
      </c>
      <c r="M11445">
        <v>0.55595667870036103</v>
      </c>
      <c r="N11445">
        <v>1</v>
      </c>
      <c r="O11445">
        <v>0.66678700361010801</v>
      </c>
      <c r="P11445" t="s">
        <v>4878</v>
      </c>
      <c r="Q11445" t="s">
        <v>4879</v>
      </c>
      <c r="R11445" t="s">
        <v>157</v>
      </c>
      <c r="S11445" t="s">
        <v>158</v>
      </c>
      <c r="T11445" t="s">
        <v>4880</v>
      </c>
      <c r="U11445" t="s">
        <v>4881</v>
      </c>
      <c r="V11445" t="s">
        <v>4882</v>
      </c>
      <c r="W11445" t="s">
        <v>4883</v>
      </c>
      <c r="AD11445" t="s">
        <v>4884</v>
      </c>
      <c r="AE11445" t="s">
        <v>4885</v>
      </c>
      <c r="AF11445" t="e">
        <f>-------------------MKKFSVVNLLGEILLTVGALLFLFSFYEAYWTNLESNQLQHQAEDQMEQEWK----NPRQKKNLELGEAFARMYIPAFGSDFQFAIVEGTTDDDLLRGPGRYVDTQMPGEPGNFAVAGHRVGKGAPFNDLGNLNACDAIVVETQNSWDIYRMLP---TGDDRAAEAAACLSPEQVERVVAGDYSAVPGRMITLPGDVETINPIPGTT-LAADPGMESLITMTTCHPQFSNAQRMILHAMLVRSDPKTDGYTPPELESN</f>
        <v>#NAME?</v>
      </c>
    </row>
    <row r="11446" spans="1:32" hidden="1" x14ac:dyDescent="0.35">
      <c r="A11446">
        <v>1409</v>
      </c>
      <c r="B11446" t="s">
        <v>2940</v>
      </c>
      <c r="C11446" t="s">
        <v>72</v>
      </c>
      <c r="D11446" t="s">
        <v>58</v>
      </c>
      <c r="E11446">
        <v>1394</v>
      </c>
      <c r="F11446">
        <v>5</v>
      </c>
      <c r="G11446">
        <v>5</v>
      </c>
      <c r="H11446">
        <v>1</v>
      </c>
      <c r="I11446">
        <v>1</v>
      </c>
      <c r="J11446">
        <v>0.78520770010131702</v>
      </c>
      <c r="K11446">
        <v>0.88717568866111296</v>
      </c>
      <c r="L11446">
        <v>0.83308311570218796</v>
      </c>
      <c r="M11446">
        <v>0.51785714285714302</v>
      </c>
      <c r="N11446">
        <v>1</v>
      </c>
      <c r="O11446">
        <v>0.65535714285714297</v>
      </c>
      <c r="P11446" t="s">
        <v>2941</v>
      </c>
      <c r="Q11446" t="s">
        <v>2942</v>
      </c>
      <c r="R11446" t="s">
        <v>224</v>
      </c>
      <c r="S11446" t="s">
        <v>225</v>
      </c>
      <c r="T11446" t="s">
        <v>2943</v>
      </c>
      <c r="U11446" t="s">
        <v>2944</v>
      </c>
      <c r="V11446" t="s">
        <v>2945</v>
      </c>
      <c r="W11446" t="s">
        <v>2946</v>
      </c>
      <c r="X11446" t="s">
        <v>2945</v>
      </c>
      <c r="Y11446" t="s">
        <v>2715</v>
      </c>
      <c r="AD11446" t="s">
        <v>210</v>
      </c>
      <c r="AE11446" t="s">
        <v>1520</v>
      </c>
      <c r="AF11446" t="s">
        <v>2947</v>
      </c>
    </row>
    <row r="11447" spans="1:32" hidden="1" x14ac:dyDescent="0.35">
      <c r="A11447">
        <v>2209</v>
      </c>
      <c r="B11447" t="s">
        <v>4592</v>
      </c>
      <c r="C11447" t="s">
        <v>72</v>
      </c>
      <c r="D11447" t="s">
        <v>58</v>
      </c>
      <c r="E11447">
        <v>153</v>
      </c>
      <c r="F11447">
        <v>5</v>
      </c>
      <c r="G11447">
        <v>5</v>
      </c>
      <c r="H11447">
        <v>1</v>
      </c>
      <c r="I11447">
        <v>1</v>
      </c>
      <c r="J11447">
        <v>0.91405622489959804</v>
      </c>
      <c r="K11447">
        <v>1</v>
      </c>
      <c r="L11447">
        <v>0.95509861519093597</v>
      </c>
      <c r="M11447">
        <v>0.83534136546184701</v>
      </c>
      <c r="N11447">
        <v>1</v>
      </c>
      <c r="O11447">
        <v>0.88995983935742995</v>
      </c>
      <c r="P11447" t="s">
        <v>4593</v>
      </c>
      <c r="Q11447" t="s">
        <v>4594</v>
      </c>
      <c r="R11447" t="s">
        <v>652</v>
      </c>
      <c r="S11447" t="s">
        <v>653</v>
      </c>
      <c r="T11447" t="s">
        <v>4595</v>
      </c>
      <c r="U11447" t="s">
        <v>4596</v>
      </c>
      <c r="V11447" t="s">
        <v>4597</v>
      </c>
      <c r="W11447" t="s">
        <v>4598</v>
      </c>
      <c r="X11447" t="s">
        <v>4597</v>
      </c>
      <c r="Y11447" t="s">
        <v>1782</v>
      </c>
      <c r="Z11447" t="s">
        <v>1702</v>
      </c>
      <c r="AA11447" t="s">
        <v>1703</v>
      </c>
      <c r="AB11447" t="s">
        <v>1702</v>
      </c>
      <c r="AC11447" t="s">
        <v>1704</v>
      </c>
      <c r="AD11447" t="s">
        <v>1140</v>
      </c>
      <c r="AE11447" t="s">
        <v>2957</v>
      </c>
      <c r="AF11447" t="s">
        <v>4599</v>
      </c>
    </row>
    <row r="11448" spans="1:32" hidden="1" x14ac:dyDescent="0.35">
      <c r="A11448">
        <v>1414</v>
      </c>
      <c r="B11448" t="s">
        <v>2950</v>
      </c>
      <c r="C11448" t="s">
        <v>72</v>
      </c>
      <c r="D11448" t="s">
        <v>58</v>
      </c>
      <c r="E11448">
        <v>152</v>
      </c>
      <c r="F11448">
        <v>5</v>
      </c>
      <c r="G11448">
        <v>5</v>
      </c>
      <c r="H11448">
        <v>1</v>
      </c>
      <c r="I11448">
        <v>1</v>
      </c>
      <c r="J11448">
        <v>0.91073209654897302</v>
      </c>
      <c r="K11448">
        <v>0.994653502235464</v>
      </c>
      <c r="L11448">
        <v>0.95084466893062303</v>
      </c>
      <c r="M11448">
        <v>0.82589285714285698</v>
      </c>
      <c r="N11448">
        <v>1</v>
      </c>
      <c r="O11448">
        <v>0.87886904761904705</v>
      </c>
      <c r="P11448" t="s">
        <v>2951</v>
      </c>
      <c r="Q11448" t="s">
        <v>2952</v>
      </c>
      <c r="R11448" t="s">
        <v>652</v>
      </c>
      <c r="S11448" t="s">
        <v>653</v>
      </c>
      <c r="T11448" t="s">
        <v>2953</v>
      </c>
      <c r="U11448" t="s">
        <v>2954</v>
      </c>
      <c r="V11448" t="s">
        <v>2955</v>
      </c>
      <c r="W11448" t="s">
        <v>2956</v>
      </c>
      <c r="X11448" t="s">
        <v>2955</v>
      </c>
      <c r="Y11448" t="s">
        <v>1782</v>
      </c>
      <c r="Z11448" t="s">
        <v>1702</v>
      </c>
      <c r="AA11448" t="s">
        <v>1703</v>
      </c>
      <c r="AB11448" t="s">
        <v>1702</v>
      </c>
      <c r="AC11448" t="s">
        <v>1704</v>
      </c>
      <c r="AD11448" t="s">
        <v>1140</v>
      </c>
      <c r="AE11448" t="s">
        <v>2957</v>
      </c>
      <c r="AF11448" t="s">
        <v>2958</v>
      </c>
    </row>
    <row r="11449" spans="1:32" hidden="1" x14ac:dyDescent="0.35">
      <c r="A11449">
        <v>11448</v>
      </c>
      <c r="B11449" t="s">
        <v>23361</v>
      </c>
      <c r="C11449" t="s">
        <v>33</v>
      </c>
      <c r="D11449" t="s">
        <v>45</v>
      </c>
      <c r="E11449">
        <v>850</v>
      </c>
      <c r="F11449">
        <v>1</v>
      </c>
      <c r="G11449">
        <v>1</v>
      </c>
      <c r="H11449">
        <v>1</v>
      </c>
      <c r="I11449">
        <v>0</v>
      </c>
      <c r="J11449">
        <v>1</v>
      </c>
      <c r="K11449">
        <v>1</v>
      </c>
      <c r="L11449">
        <v>1</v>
      </c>
      <c r="M11449">
        <v>0</v>
      </c>
      <c r="N11449">
        <v>0</v>
      </c>
      <c r="O11449">
        <v>0</v>
      </c>
      <c r="AF11449" t="s">
        <v>23362</v>
      </c>
    </row>
    <row r="11450" spans="1:32" hidden="1" x14ac:dyDescent="0.35">
      <c r="A11450">
        <v>6068</v>
      </c>
      <c r="B11450" t="s">
        <v>12475</v>
      </c>
      <c r="C11450" t="s">
        <v>68</v>
      </c>
      <c r="D11450" t="s">
        <v>58</v>
      </c>
      <c r="E11450">
        <v>909</v>
      </c>
      <c r="F11450">
        <v>3</v>
      </c>
      <c r="G11450">
        <v>3</v>
      </c>
      <c r="H11450">
        <v>1</v>
      </c>
      <c r="I11450">
        <v>0</v>
      </c>
      <c r="J11450">
        <v>0.79060950714494005</v>
      </c>
      <c r="K11450">
        <v>0.88741339491916904</v>
      </c>
      <c r="L11450">
        <v>0.83621917904438403</v>
      </c>
      <c r="M11450">
        <v>0.49653579676674398</v>
      </c>
      <c r="N11450">
        <v>1</v>
      </c>
      <c r="O11450">
        <v>0.66435719784449598</v>
      </c>
      <c r="P11450" t="s">
        <v>12476</v>
      </c>
      <c r="Q11450" t="s">
        <v>12477</v>
      </c>
      <c r="R11450" t="s">
        <v>342</v>
      </c>
      <c r="S11450" t="s">
        <v>343</v>
      </c>
      <c r="T11450" t="s">
        <v>12478</v>
      </c>
      <c r="U11450" t="s">
        <v>12479</v>
      </c>
      <c r="V11450" t="s">
        <v>11985</v>
      </c>
      <c r="W11450" t="s">
        <v>11986</v>
      </c>
      <c r="X11450" t="s">
        <v>11985</v>
      </c>
      <c r="Y11450" t="s">
        <v>4418</v>
      </c>
      <c r="Z11450" t="s">
        <v>5716</v>
      </c>
      <c r="AA11450" t="s">
        <v>5717</v>
      </c>
      <c r="AB11450" t="s">
        <v>5716</v>
      </c>
      <c r="AC11450" t="s">
        <v>1094</v>
      </c>
      <c r="AD11450" t="s">
        <v>219</v>
      </c>
      <c r="AE11450" t="s">
        <v>12480</v>
      </c>
      <c r="AF11450" t="s">
        <v>12481</v>
      </c>
    </row>
    <row r="11451" spans="1:32" hidden="1" x14ac:dyDescent="0.35">
      <c r="A11451">
        <v>11544</v>
      </c>
      <c r="B11451" t="s">
        <v>23599</v>
      </c>
      <c r="C11451" t="s">
        <v>33</v>
      </c>
      <c r="D11451" t="s">
        <v>58</v>
      </c>
      <c r="E11451">
        <v>894</v>
      </c>
      <c r="F11451">
        <v>1</v>
      </c>
      <c r="G11451">
        <v>1</v>
      </c>
      <c r="H11451">
        <v>1</v>
      </c>
      <c r="I11451">
        <v>0</v>
      </c>
      <c r="J11451">
        <v>1</v>
      </c>
      <c r="K11451">
        <v>1</v>
      </c>
      <c r="L11451">
        <v>1</v>
      </c>
      <c r="M11451">
        <v>0</v>
      </c>
      <c r="N11451">
        <v>0</v>
      </c>
      <c r="O11451">
        <v>0</v>
      </c>
      <c r="P11451" t="s">
        <v>10522</v>
      </c>
      <c r="Q11451" t="s">
        <v>10523</v>
      </c>
      <c r="R11451" t="s">
        <v>869</v>
      </c>
      <c r="S11451" t="s">
        <v>870</v>
      </c>
      <c r="T11451" t="s">
        <v>23600</v>
      </c>
      <c r="U11451" t="s">
        <v>23601</v>
      </c>
      <c r="V11451" t="s">
        <v>23602</v>
      </c>
      <c r="W11451" t="s">
        <v>23603</v>
      </c>
      <c r="X11451" t="s">
        <v>23602</v>
      </c>
      <c r="Y11451" t="s">
        <v>10001</v>
      </c>
      <c r="Z11451" t="s">
        <v>22872</v>
      </c>
      <c r="AA11451" t="s">
        <v>22873</v>
      </c>
      <c r="AB11451" t="s">
        <v>22872</v>
      </c>
      <c r="AC11451" t="s">
        <v>878</v>
      </c>
      <c r="AD11451" t="s">
        <v>410</v>
      </c>
      <c r="AE11451" t="s">
        <v>10528</v>
      </c>
      <c r="AF11451" t="s">
        <v>23604</v>
      </c>
    </row>
    <row r="11452" spans="1:32" hidden="1" x14ac:dyDescent="0.35">
      <c r="A11452">
        <v>11451</v>
      </c>
      <c r="B11452" t="s">
        <v>23367</v>
      </c>
      <c r="C11452" t="s">
        <v>33</v>
      </c>
      <c r="D11452" t="s">
        <v>58</v>
      </c>
      <c r="E11452">
        <v>370</v>
      </c>
      <c r="F11452">
        <v>1</v>
      </c>
      <c r="G11452">
        <v>1</v>
      </c>
      <c r="H11452">
        <v>1</v>
      </c>
      <c r="I11452">
        <v>0</v>
      </c>
      <c r="J11452">
        <v>1</v>
      </c>
      <c r="K11452">
        <v>1</v>
      </c>
      <c r="L11452">
        <v>1</v>
      </c>
      <c r="M11452">
        <v>0</v>
      </c>
      <c r="N11452">
        <v>0</v>
      </c>
      <c r="O11452">
        <v>0</v>
      </c>
      <c r="AF11452" t="s">
        <v>23368</v>
      </c>
    </row>
    <row r="11453" spans="1:32" hidden="1" x14ac:dyDescent="0.35">
      <c r="A11453">
        <v>11452</v>
      </c>
      <c r="B11453" t="s">
        <v>23369</v>
      </c>
      <c r="C11453" t="s">
        <v>33</v>
      </c>
      <c r="D11453" t="s">
        <v>45</v>
      </c>
      <c r="E11453">
        <v>2148</v>
      </c>
      <c r="F11453">
        <v>1</v>
      </c>
      <c r="G11453">
        <v>1</v>
      </c>
      <c r="H11453">
        <v>1</v>
      </c>
      <c r="I11453">
        <v>0</v>
      </c>
      <c r="J11453">
        <v>1</v>
      </c>
      <c r="K11453">
        <v>1</v>
      </c>
      <c r="L11453">
        <v>1</v>
      </c>
      <c r="M11453">
        <v>0</v>
      </c>
      <c r="N11453">
        <v>0</v>
      </c>
      <c r="O11453">
        <v>0</v>
      </c>
      <c r="AF11453" t="s">
        <v>23370</v>
      </c>
    </row>
    <row r="11454" spans="1:32" hidden="1" x14ac:dyDescent="0.35">
      <c r="A11454">
        <v>11453</v>
      </c>
      <c r="B11454" t="s">
        <v>23371</v>
      </c>
      <c r="C11454" t="s">
        <v>33</v>
      </c>
      <c r="D11454" t="s">
        <v>58</v>
      </c>
      <c r="E11454">
        <v>591</v>
      </c>
      <c r="F11454">
        <v>1</v>
      </c>
      <c r="G11454">
        <v>1</v>
      </c>
      <c r="H11454">
        <v>1</v>
      </c>
      <c r="I11454">
        <v>0</v>
      </c>
      <c r="J11454">
        <v>1</v>
      </c>
      <c r="K11454">
        <v>1</v>
      </c>
      <c r="L11454">
        <v>1</v>
      </c>
      <c r="M11454">
        <v>0</v>
      </c>
      <c r="N11454">
        <v>0</v>
      </c>
      <c r="O11454">
        <v>0</v>
      </c>
      <c r="P11454" t="s">
        <v>17320</v>
      </c>
      <c r="Q11454" t="s">
        <v>17321</v>
      </c>
      <c r="AF11454" t="s">
        <v>23372</v>
      </c>
    </row>
    <row r="11455" spans="1:32" hidden="1" x14ac:dyDescent="0.35">
      <c r="A11455">
        <v>11454</v>
      </c>
      <c r="B11455" t="s">
        <v>23373</v>
      </c>
      <c r="C11455" t="s">
        <v>33</v>
      </c>
      <c r="D11455" t="s">
        <v>34</v>
      </c>
      <c r="E11455">
        <v>2388</v>
      </c>
      <c r="F11455">
        <v>1</v>
      </c>
      <c r="G11455">
        <v>1</v>
      </c>
      <c r="H11455">
        <v>1</v>
      </c>
      <c r="I11455">
        <v>0</v>
      </c>
      <c r="J11455">
        <v>1</v>
      </c>
      <c r="K11455">
        <v>1</v>
      </c>
      <c r="L11455">
        <v>1</v>
      </c>
      <c r="M11455">
        <v>0</v>
      </c>
      <c r="N11455">
        <v>0</v>
      </c>
      <c r="O11455">
        <v>0</v>
      </c>
      <c r="R11455" t="s">
        <v>13853</v>
      </c>
      <c r="S11455" t="s">
        <v>13854</v>
      </c>
      <c r="V11455" t="s">
        <v>20555</v>
      </c>
      <c r="W11455" t="s">
        <v>20556</v>
      </c>
      <c r="AF11455" t="s">
        <v>23374</v>
      </c>
    </row>
    <row r="11456" spans="1:32" hidden="1" x14ac:dyDescent="0.35">
      <c r="A11456">
        <v>11455</v>
      </c>
      <c r="B11456" t="s">
        <v>23375</v>
      </c>
      <c r="C11456" t="s">
        <v>33</v>
      </c>
      <c r="D11456" t="s">
        <v>58</v>
      </c>
      <c r="E11456">
        <v>18</v>
      </c>
      <c r="F11456">
        <v>1</v>
      </c>
      <c r="G11456">
        <v>1</v>
      </c>
      <c r="H11456">
        <v>1</v>
      </c>
      <c r="I11456">
        <v>0</v>
      </c>
      <c r="J11456">
        <v>1</v>
      </c>
      <c r="K11456">
        <v>1</v>
      </c>
      <c r="L11456">
        <v>1</v>
      </c>
      <c r="M11456">
        <v>0</v>
      </c>
      <c r="N11456">
        <v>0</v>
      </c>
      <c r="O11456">
        <v>0</v>
      </c>
      <c r="AF11456" t="s">
        <v>23376</v>
      </c>
    </row>
    <row r="11457" spans="1:32" hidden="1" x14ac:dyDescent="0.35">
      <c r="A11457">
        <v>11456</v>
      </c>
      <c r="B11457" t="s">
        <v>23377</v>
      </c>
      <c r="C11457" t="s">
        <v>33</v>
      </c>
      <c r="D11457" t="s">
        <v>58</v>
      </c>
      <c r="E11457">
        <v>604</v>
      </c>
      <c r="F11457">
        <v>1</v>
      </c>
      <c r="G11457">
        <v>1</v>
      </c>
      <c r="H11457">
        <v>1</v>
      </c>
      <c r="I11457">
        <v>0</v>
      </c>
      <c r="J11457">
        <v>1</v>
      </c>
      <c r="K11457">
        <v>1</v>
      </c>
      <c r="L11457">
        <v>1</v>
      </c>
      <c r="M11457">
        <v>0</v>
      </c>
      <c r="N11457">
        <v>0</v>
      </c>
      <c r="O11457">
        <v>0</v>
      </c>
      <c r="AF11457" t="s">
        <v>23378</v>
      </c>
    </row>
    <row r="11458" spans="1:32" hidden="1" x14ac:dyDescent="0.35">
      <c r="A11458">
        <v>11457</v>
      </c>
      <c r="B11458" t="s">
        <v>23379</v>
      </c>
      <c r="C11458" t="s">
        <v>33</v>
      </c>
      <c r="D11458" t="s">
        <v>62</v>
      </c>
      <c r="E11458">
        <v>945</v>
      </c>
      <c r="F11458">
        <v>1</v>
      </c>
      <c r="G11458">
        <v>1</v>
      </c>
      <c r="H11458">
        <v>1</v>
      </c>
      <c r="I11458">
        <v>0</v>
      </c>
      <c r="J11458">
        <v>1</v>
      </c>
      <c r="K11458">
        <v>1</v>
      </c>
      <c r="L11458">
        <v>1</v>
      </c>
      <c r="M11458">
        <v>0</v>
      </c>
      <c r="N11458">
        <v>0</v>
      </c>
      <c r="O11458">
        <v>0</v>
      </c>
      <c r="AF11458" t="s">
        <v>23380</v>
      </c>
    </row>
    <row r="11459" spans="1:32" hidden="1" x14ac:dyDescent="0.35">
      <c r="A11459">
        <v>4504</v>
      </c>
      <c r="B11459" t="s">
        <v>9382</v>
      </c>
      <c r="C11459" t="s">
        <v>72</v>
      </c>
      <c r="D11459" t="s">
        <v>58</v>
      </c>
      <c r="E11459">
        <v>535</v>
      </c>
      <c r="F11459">
        <v>5</v>
      </c>
      <c r="G11459">
        <v>5</v>
      </c>
      <c r="H11459">
        <v>1</v>
      </c>
      <c r="I11459">
        <v>1</v>
      </c>
      <c r="J11459">
        <v>0.79737737990165203</v>
      </c>
      <c r="K11459">
        <v>0.86676719498163401</v>
      </c>
      <c r="L11459">
        <v>0.83062561432516502</v>
      </c>
      <c r="M11459">
        <v>0.54144241119483305</v>
      </c>
      <c r="N11459">
        <v>0.99677072120559695</v>
      </c>
      <c r="O11459">
        <v>0.68471474703982804</v>
      </c>
      <c r="P11459" t="s">
        <v>381</v>
      </c>
      <c r="Q11459" t="s">
        <v>382</v>
      </c>
      <c r="R11459" t="s">
        <v>371</v>
      </c>
      <c r="S11459" t="s">
        <v>372</v>
      </c>
      <c r="T11459" t="s">
        <v>4100</v>
      </c>
      <c r="U11459" t="s">
        <v>4101</v>
      </c>
      <c r="V11459" t="s">
        <v>4106</v>
      </c>
      <c r="W11459" t="s">
        <v>4107</v>
      </c>
      <c r="AD11459" t="s">
        <v>3017</v>
      </c>
      <c r="AE11459" t="s">
        <v>4104</v>
      </c>
      <c r="AF11459" t="s">
        <v>9383</v>
      </c>
    </row>
    <row r="11460" spans="1:32" hidden="1" x14ac:dyDescent="0.35">
      <c r="A11460">
        <v>11459</v>
      </c>
      <c r="B11460" t="s">
        <v>23383</v>
      </c>
      <c r="C11460" t="s">
        <v>33</v>
      </c>
      <c r="D11460" t="s">
        <v>58</v>
      </c>
      <c r="E11460">
        <v>1439</v>
      </c>
      <c r="F11460">
        <v>1</v>
      </c>
      <c r="G11460">
        <v>1</v>
      </c>
      <c r="H11460">
        <v>1</v>
      </c>
      <c r="I11460">
        <v>0</v>
      </c>
      <c r="J11460">
        <v>1</v>
      </c>
      <c r="K11460">
        <v>1</v>
      </c>
      <c r="L11460">
        <v>1</v>
      </c>
      <c r="M11460">
        <v>0</v>
      </c>
      <c r="N11460">
        <v>0</v>
      </c>
      <c r="O11460">
        <v>0</v>
      </c>
      <c r="P11460" t="s">
        <v>169</v>
      </c>
      <c r="Q11460" t="s">
        <v>170</v>
      </c>
      <c r="R11460" t="s">
        <v>96</v>
      </c>
      <c r="S11460" t="s">
        <v>97</v>
      </c>
      <c r="T11460" t="s">
        <v>12817</v>
      </c>
      <c r="U11460" t="s">
        <v>12818</v>
      </c>
      <c r="V11460" t="s">
        <v>11799</v>
      </c>
      <c r="W11460" t="s">
        <v>11800</v>
      </c>
      <c r="AD11460" t="s">
        <v>439</v>
      </c>
      <c r="AE11460" t="s">
        <v>471</v>
      </c>
      <c r="AF11460" t="s">
        <v>23384</v>
      </c>
    </row>
    <row r="11461" spans="1:32" hidden="1" x14ac:dyDescent="0.35">
      <c r="A11461">
        <v>3394</v>
      </c>
      <c r="B11461" t="s">
        <v>6972</v>
      </c>
      <c r="C11461" t="s">
        <v>72</v>
      </c>
      <c r="D11461" t="s">
        <v>58</v>
      </c>
      <c r="E11461">
        <v>742</v>
      </c>
      <c r="F11461">
        <v>5</v>
      </c>
      <c r="G11461">
        <v>5</v>
      </c>
      <c r="H11461">
        <v>1</v>
      </c>
      <c r="I11461">
        <v>1</v>
      </c>
      <c r="J11461">
        <v>0.85853093691788795</v>
      </c>
      <c r="K11461">
        <v>0.89462365591397797</v>
      </c>
      <c r="L11461">
        <v>0.87620577060473004</v>
      </c>
      <c r="M11461">
        <v>0.69261744966442995</v>
      </c>
      <c r="N11461">
        <v>1</v>
      </c>
      <c r="O11461">
        <v>0.77288590604026797</v>
      </c>
      <c r="P11461" t="s">
        <v>6973</v>
      </c>
      <c r="Q11461" t="s">
        <v>6974</v>
      </c>
      <c r="R11461" t="s">
        <v>371</v>
      </c>
      <c r="S11461" t="s">
        <v>372</v>
      </c>
      <c r="T11461" t="s">
        <v>6975</v>
      </c>
      <c r="U11461" t="s">
        <v>6976</v>
      </c>
      <c r="V11461" t="s">
        <v>6977</v>
      </c>
      <c r="W11461" t="s">
        <v>6978</v>
      </c>
      <c r="AD11461" t="s">
        <v>5171</v>
      </c>
      <c r="AE11461" t="s">
        <v>6979</v>
      </c>
      <c r="AF11461" t="s">
        <v>6980</v>
      </c>
    </row>
    <row r="11462" spans="1:32" hidden="1" x14ac:dyDescent="0.35">
      <c r="A11462">
        <v>11461</v>
      </c>
      <c r="B11462" t="s">
        <v>23387</v>
      </c>
      <c r="C11462" t="s">
        <v>33</v>
      </c>
      <c r="D11462" t="s">
        <v>34</v>
      </c>
      <c r="E11462">
        <v>2395</v>
      </c>
      <c r="F11462">
        <v>1</v>
      </c>
      <c r="G11462">
        <v>1</v>
      </c>
      <c r="H11462">
        <v>1</v>
      </c>
      <c r="I11462">
        <v>0</v>
      </c>
      <c r="J11462">
        <v>1</v>
      </c>
      <c r="K11462">
        <v>1</v>
      </c>
      <c r="L11462">
        <v>1</v>
      </c>
      <c r="M11462">
        <v>0</v>
      </c>
      <c r="N11462">
        <v>0</v>
      </c>
      <c r="O11462">
        <v>0</v>
      </c>
      <c r="AF11462" t="s">
        <v>23388</v>
      </c>
    </row>
    <row r="11463" spans="1:32" hidden="1" x14ac:dyDescent="0.35">
      <c r="A11463">
        <v>11462</v>
      </c>
      <c r="B11463" t="s">
        <v>23389</v>
      </c>
      <c r="C11463" t="s">
        <v>33</v>
      </c>
      <c r="D11463" t="s">
        <v>58</v>
      </c>
      <c r="E11463">
        <v>389</v>
      </c>
      <c r="F11463">
        <v>1</v>
      </c>
      <c r="G11463">
        <v>1</v>
      </c>
      <c r="H11463">
        <v>1</v>
      </c>
      <c r="I11463">
        <v>0</v>
      </c>
      <c r="J11463">
        <v>1</v>
      </c>
      <c r="K11463">
        <v>1</v>
      </c>
      <c r="L11463">
        <v>1</v>
      </c>
      <c r="M11463">
        <v>0</v>
      </c>
      <c r="N11463">
        <v>0</v>
      </c>
      <c r="O11463">
        <v>0</v>
      </c>
      <c r="P11463" t="s">
        <v>23390</v>
      </c>
      <c r="Q11463" t="s">
        <v>23391</v>
      </c>
      <c r="AF11463" t="s">
        <v>23392</v>
      </c>
    </row>
    <row r="11464" spans="1:32" hidden="1" x14ac:dyDescent="0.35">
      <c r="A11464">
        <v>11463</v>
      </c>
      <c r="B11464" t="s">
        <v>23393</v>
      </c>
      <c r="C11464" t="s">
        <v>33</v>
      </c>
      <c r="D11464" t="s">
        <v>62</v>
      </c>
      <c r="E11464">
        <v>161</v>
      </c>
      <c r="F11464">
        <v>1</v>
      </c>
      <c r="G11464">
        <v>1</v>
      </c>
      <c r="H11464">
        <v>1</v>
      </c>
      <c r="I11464">
        <v>0</v>
      </c>
      <c r="J11464">
        <v>1</v>
      </c>
      <c r="K11464">
        <v>1</v>
      </c>
      <c r="L11464">
        <v>1</v>
      </c>
      <c r="M11464">
        <v>0</v>
      </c>
      <c r="N11464">
        <v>0</v>
      </c>
      <c r="O11464">
        <v>0</v>
      </c>
      <c r="P11464" t="s">
        <v>23394</v>
      </c>
      <c r="Q11464" t="s">
        <v>23395</v>
      </c>
      <c r="AF11464" t="s">
        <v>23396</v>
      </c>
    </row>
    <row r="11465" spans="1:32" hidden="1" x14ac:dyDescent="0.35">
      <c r="A11465">
        <v>11464</v>
      </c>
      <c r="B11465" t="s">
        <v>23397</v>
      </c>
      <c r="C11465" t="s">
        <v>33</v>
      </c>
      <c r="D11465" t="s">
        <v>58</v>
      </c>
      <c r="E11465">
        <v>964</v>
      </c>
      <c r="F11465">
        <v>1</v>
      </c>
      <c r="G11465">
        <v>1</v>
      </c>
      <c r="H11465">
        <v>1</v>
      </c>
      <c r="I11465">
        <v>0</v>
      </c>
      <c r="J11465">
        <v>1</v>
      </c>
      <c r="K11465">
        <v>1</v>
      </c>
      <c r="L11465">
        <v>1</v>
      </c>
      <c r="M11465">
        <v>0</v>
      </c>
      <c r="N11465">
        <v>0</v>
      </c>
      <c r="O11465">
        <v>0</v>
      </c>
      <c r="P11465" t="s">
        <v>3484</v>
      </c>
      <c r="Q11465" t="s">
        <v>3485</v>
      </c>
      <c r="R11465" t="s">
        <v>213</v>
      </c>
      <c r="S11465" t="s">
        <v>214</v>
      </c>
      <c r="T11465" t="s">
        <v>8408</v>
      </c>
      <c r="U11465" t="s">
        <v>8409</v>
      </c>
      <c r="V11465" t="s">
        <v>11752</v>
      </c>
      <c r="W11465" t="s">
        <v>11753</v>
      </c>
      <c r="X11465" t="s">
        <v>11752</v>
      </c>
      <c r="Y11465" t="s">
        <v>710</v>
      </c>
      <c r="Z11465" t="s">
        <v>5732</v>
      </c>
      <c r="AA11465" t="s">
        <v>5733</v>
      </c>
      <c r="AB11465" t="s">
        <v>5732</v>
      </c>
      <c r="AC11465" t="s">
        <v>713</v>
      </c>
      <c r="AD11465" t="s">
        <v>3948</v>
      </c>
      <c r="AE11465" t="s">
        <v>8410</v>
      </c>
      <c r="AF11465" t="s">
        <v>23398</v>
      </c>
    </row>
    <row r="11466" spans="1:32" hidden="1" x14ac:dyDescent="0.35">
      <c r="A11466">
        <v>11465</v>
      </c>
      <c r="B11466" t="s">
        <v>23399</v>
      </c>
      <c r="C11466" t="s">
        <v>33</v>
      </c>
      <c r="D11466" t="s">
        <v>58</v>
      </c>
      <c r="E11466">
        <v>1164</v>
      </c>
      <c r="F11466">
        <v>1</v>
      </c>
      <c r="G11466">
        <v>1</v>
      </c>
      <c r="H11466">
        <v>1</v>
      </c>
      <c r="I11466">
        <v>0</v>
      </c>
      <c r="J11466">
        <v>1</v>
      </c>
      <c r="K11466">
        <v>1</v>
      </c>
      <c r="L11466">
        <v>1</v>
      </c>
      <c r="M11466">
        <v>0</v>
      </c>
      <c r="N11466">
        <v>0</v>
      </c>
      <c r="O11466">
        <v>0</v>
      </c>
      <c r="P11466" t="s">
        <v>10613</v>
      </c>
      <c r="Q11466" t="s">
        <v>10614</v>
      </c>
      <c r="R11466" t="s">
        <v>1259</v>
      </c>
      <c r="S11466" t="s">
        <v>1260</v>
      </c>
      <c r="T11466" t="s">
        <v>10615</v>
      </c>
      <c r="U11466" t="s">
        <v>10616</v>
      </c>
      <c r="V11466" t="s">
        <v>10617</v>
      </c>
      <c r="W11466" t="s">
        <v>10618</v>
      </c>
      <c r="AD11466" t="s">
        <v>410</v>
      </c>
      <c r="AE11466" t="s">
        <v>501</v>
      </c>
      <c r="AF11466" t="s">
        <v>23400</v>
      </c>
    </row>
    <row r="11467" spans="1:32" hidden="1" x14ac:dyDescent="0.35">
      <c r="A11467">
        <v>11466</v>
      </c>
      <c r="B11467" t="s">
        <v>23401</v>
      </c>
      <c r="C11467" t="s">
        <v>33</v>
      </c>
      <c r="D11467" t="s">
        <v>45</v>
      </c>
      <c r="E11467">
        <v>151</v>
      </c>
      <c r="F11467">
        <v>1</v>
      </c>
      <c r="G11467">
        <v>1</v>
      </c>
      <c r="H11467">
        <v>1</v>
      </c>
      <c r="I11467">
        <v>0</v>
      </c>
      <c r="J11467">
        <v>1</v>
      </c>
      <c r="K11467">
        <v>1</v>
      </c>
      <c r="L11467">
        <v>1</v>
      </c>
      <c r="M11467">
        <v>0</v>
      </c>
      <c r="N11467">
        <v>0</v>
      </c>
      <c r="O11467">
        <v>0</v>
      </c>
      <c r="AF11467" t="s">
        <v>23402</v>
      </c>
    </row>
    <row r="11468" spans="1:32" hidden="1" x14ac:dyDescent="0.35">
      <c r="A11468">
        <v>11467</v>
      </c>
      <c r="B11468" t="s">
        <v>23403</v>
      </c>
      <c r="C11468" t="s">
        <v>33</v>
      </c>
      <c r="D11468" t="s">
        <v>34</v>
      </c>
      <c r="E11468">
        <v>2402</v>
      </c>
      <c r="F11468">
        <v>1</v>
      </c>
      <c r="G11468">
        <v>1</v>
      </c>
      <c r="H11468">
        <v>1</v>
      </c>
      <c r="I11468">
        <v>0</v>
      </c>
      <c r="J11468">
        <v>1</v>
      </c>
      <c r="K11468">
        <v>1</v>
      </c>
      <c r="L11468">
        <v>1</v>
      </c>
      <c r="M11468">
        <v>0</v>
      </c>
      <c r="N11468">
        <v>0</v>
      </c>
      <c r="O11468">
        <v>0</v>
      </c>
      <c r="P11468" t="s">
        <v>9003</v>
      </c>
      <c r="Q11468" t="s">
        <v>9004</v>
      </c>
      <c r="R11468" t="s">
        <v>371</v>
      </c>
      <c r="S11468" t="s">
        <v>372</v>
      </c>
      <c r="V11468" t="s">
        <v>9007</v>
      </c>
      <c r="W11468" t="s">
        <v>9008</v>
      </c>
      <c r="AF11468" t="s">
        <v>23404</v>
      </c>
    </row>
    <row r="11469" spans="1:32" hidden="1" x14ac:dyDescent="0.35">
      <c r="A11469">
        <v>11468</v>
      </c>
      <c r="B11469" t="s">
        <v>23405</v>
      </c>
      <c r="C11469" t="s">
        <v>33</v>
      </c>
      <c r="D11469" t="s">
        <v>58</v>
      </c>
      <c r="E11469">
        <v>115</v>
      </c>
      <c r="F11469">
        <v>1</v>
      </c>
      <c r="G11469">
        <v>1</v>
      </c>
      <c r="H11469">
        <v>1</v>
      </c>
      <c r="I11469">
        <v>0</v>
      </c>
      <c r="J11469">
        <v>1</v>
      </c>
      <c r="K11469">
        <v>1</v>
      </c>
      <c r="L11469">
        <v>1</v>
      </c>
      <c r="M11469">
        <v>0</v>
      </c>
      <c r="N11469">
        <v>0</v>
      </c>
      <c r="O11469">
        <v>0</v>
      </c>
      <c r="P11469" t="s">
        <v>1981</v>
      </c>
      <c r="Q11469" t="s">
        <v>1982</v>
      </c>
      <c r="R11469" t="s">
        <v>96</v>
      </c>
      <c r="S11469" t="s">
        <v>97</v>
      </c>
      <c r="V11469" t="s">
        <v>3383</v>
      </c>
      <c r="W11469" t="s">
        <v>3384</v>
      </c>
      <c r="AF11469" t="s">
        <v>23406</v>
      </c>
    </row>
    <row r="11470" spans="1:32" hidden="1" x14ac:dyDescent="0.35">
      <c r="A11470">
        <v>4374</v>
      </c>
      <c r="B11470" t="s">
        <v>9114</v>
      </c>
      <c r="C11470" t="s">
        <v>72</v>
      </c>
      <c r="D11470" t="s">
        <v>58</v>
      </c>
      <c r="E11470">
        <v>371</v>
      </c>
      <c r="F11470">
        <v>5</v>
      </c>
      <c r="G11470">
        <v>5</v>
      </c>
      <c r="H11470">
        <v>1</v>
      </c>
      <c r="I11470">
        <v>1</v>
      </c>
      <c r="J11470">
        <v>0.80993750952598698</v>
      </c>
      <c r="K11470">
        <v>0.92449655785032003</v>
      </c>
      <c r="L11470">
        <v>0.86343373174551197</v>
      </c>
      <c r="M11470">
        <v>0.60842105263157897</v>
      </c>
      <c r="N11470">
        <v>0.995789473684211</v>
      </c>
      <c r="O11470">
        <v>0.71831578947368402</v>
      </c>
      <c r="P11470" t="s">
        <v>6973</v>
      </c>
      <c r="Q11470" t="s">
        <v>6974</v>
      </c>
      <c r="R11470" t="s">
        <v>371</v>
      </c>
      <c r="S11470" t="s">
        <v>372</v>
      </c>
      <c r="V11470" t="s">
        <v>6977</v>
      </c>
      <c r="W11470" t="s">
        <v>6978</v>
      </c>
      <c r="AF11470" t="s">
        <v>9115</v>
      </c>
    </row>
    <row r="11471" spans="1:32" hidden="1" x14ac:dyDescent="0.35">
      <c r="A11471">
        <v>11470</v>
      </c>
      <c r="B11471" t="s">
        <v>23409</v>
      </c>
      <c r="C11471" t="s">
        <v>33</v>
      </c>
      <c r="D11471" t="s">
        <v>58</v>
      </c>
      <c r="E11471">
        <v>189</v>
      </c>
      <c r="F11471">
        <v>1</v>
      </c>
      <c r="G11471">
        <v>1</v>
      </c>
      <c r="H11471">
        <v>1</v>
      </c>
      <c r="I11471">
        <v>0</v>
      </c>
      <c r="J11471">
        <v>1</v>
      </c>
      <c r="K11471">
        <v>1</v>
      </c>
      <c r="L11471">
        <v>1</v>
      </c>
      <c r="M11471">
        <v>0</v>
      </c>
      <c r="N11471">
        <v>0</v>
      </c>
      <c r="O11471">
        <v>0</v>
      </c>
      <c r="AF11471" t="s">
        <v>23410</v>
      </c>
    </row>
    <row r="11472" spans="1:32" hidden="1" x14ac:dyDescent="0.35">
      <c r="A11472">
        <v>11471</v>
      </c>
      <c r="B11472" t="s">
        <v>23411</v>
      </c>
      <c r="C11472" t="s">
        <v>33</v>
      </c>
      <c r="D11472" t="s">
        <v>45</v>
      </c>
      <c r="E11472">
        <v>9</v>
      </c>
      <c r="F11472">
        <v>1</v>
      </c>
      <c r="G11472">
        <v>1</v>
      </c>
      <c r="H11472">
        <v>1</v>
      </c>
      <c r="I11472">
        <v>0</v>
      </c>
      <c r="J11472">
        <v>1</v>
      </c>
      <c r="K11472">
        <v>1</v>
      </c>
      <c r="L11472">
        <v>1</v>
      </c>
      <c r="M11472">
        <v>0</v>
      </c>
      <c r="N11472">
        <v>0</v>
      </c>
      <c r="O11472">
        <v>0</v>
      </c>
      <c r="AF11472" t="s">
        <v>23412</v>
      </c>
    </row>
    <row r="11473" spans="1:32" hidden="1" x14ac:dyDescent="0.35">
      <c r="A11473">
        <v>11292</v>
      </c>
      <c r="B11473" t="s">
        <v>22982</v>
      </c>
      <c r="C11473" t="s">
        <v>33</v>
      </c>
      <c r="D11473" t="s">
        <v>58</v>
      </c>
      <c r="E11473">
        <v>888</v>
      </c>
      <c r="F11473">
        <v>1</v>
      </c>
      <c r="G11473">
        <v>1</v>
      </c>
      <c r="H11473">
        <v>1</v>
      </c>
      <c r="I11473">
        <v>0</v>
      </c>
      <c r="J11473">
        <v>1</v>
      </c>
      <c r="K11473">
        <v>1</v>
      </c>
      <c r="L11473">
        <v>1</v>
      </c>
      <c r="M11473">
        <v>0</v>
      </c>
      <c r="N11473">
        <v>0</v>
      </c>
      <c r="O11473">
        <v>0</v>
      </c>
      <c r="P11473" t="s">
        <v>6973</v>
      </c>
      <c r="Q11473" t="s">
        <v>6974</v>
      </c>
      <c r="R11473" t="s">
        <v>371</v>
      </c>
      <c r="S11473" t="s">
        <v>372</v>
      </c>
      <c r="T11473" t="s">
        <v>22983</v>
      </c>
      <c r="U11473" t="s">
        <v>22984</v>
      </c>
      <c r="V11473" t="s">
        <v>6977</v>
      </c>
      <c r="W11473" t="s">
        <v>6978</v>
      </c>
      <c r="AD11473" t="s">
        <v>7062</v>
      </c>
      <c r="AE11473" t="s">
        <v>22985</v>
      </c>
      <c r="AF11473" t="s">
        <v>22986</v>
      </c>
    </row>
    <row r="11474" spans="1:32" hidden="1" x14ac:dyDescent="0.35">
      <c r="A11474">
        <v>11473</v>
      </c>
      <c r="B11474" t="s">
        <v>23415</v>
      </c>
      <c r="C11474" t="s">
        <v>33</v>
      </c>
      <c r="D11474" t="s">
        <v>58</v>
      </c>
      <c r="E11474">
        <v>259</v>
      </c>
      <c r="F11474">
        <v>1</v>
      </c>
      <c r="G11474">
        <v>1</v>
      </c>
      <c r="H11474">
        <v>1</v>
      </c>
      <c r="I11474">
        <v>0</v>
      </c>
      <c r="J11474">
        <v>1</v>
      </c>
      <c r="K11474">
        <v>1</v>
      </c>
      <c r="L11474">
        <v>1</v>
      </c>
      <c r="M11474">
        <v>0</v>
      </c>
      <c r="N11474">
        <v>0</v>
      </c>
      <c r="O11474">
        <v>0</v>
      </c>
      <c r="P11474" t="s">
        <v>20906</v>
      </c>
      <c r="Q11474" t="s">
        <v>20907</v>
      </c>
      <c r="AF11474" t="s">
        <v>23416</v>
      </c>
    </row>
    <row r="11475" spans="1:32" hidden="1" x14ac:dyDescent="0.35">
      <c r="A11475">
        <v>11474</v>
      </c>
      <c r="B11475" t="s">
        <v>23417</v>
      </c>
      <c r="C11475" t="s">
        <v>33</v>
      </c>
      <c r="D11475" t="s">
        <v>58</v>
      </c>
      <c r="E11475">
        <v>278</v>
      </c>
      <c r="F11475">
        <v>1</v>
      </c>
      <c r="G11475">
        <v>1</v>
      </c>
      <c r="H11475">
        <v>1</v>
      </c>
      <c r="I11475">
        <v>0</v>
      </c>
      <c r="J11475">
        <v>1</v>
      </c>
      <c r="K11475">
        <v>1</v>
      </c>
      <c r="L11475">
        <v>1</v>
      </c>
      <c r="M11475">
        <v>0</v>
      </c>
      <c r="N11475">
        <v>0</v>
      </c>
      <c r="O11475">
        <v>0</v>
      </c>
      <c r="AF11475" t="s">
        <v>23418</v>
      </c>
    </row>
    <row r="11476" spans="1:32" hidden="1" x14ac:dyDescent="0.35">
      <c r="A11476">
        <v>11475</v>
      </c>
      <c r="B11476" t="s">
        <v>23419</v>
      </c>
      <c r="C11476" t="s">
        <v>33</v>
      </c>
      <c r="D11476" t="s">
        <v>58</v>
      </c>
      <c r="E11476">
        <v>1423</v>
      </c>
      <c r="F11476">
        <v>1</v>
      </c>
      <c r="G11476">
        <v>1</v>
      </c>
      <c r="H11476">
        <v>1</v>
      </c>
      <c r="I11476">
        <v>0</v>
      </c>
      <c r="J11476">
        <v>1</v>
      </c>
      <c r="K11476">
        <v>1</v>
      </c>
      <c r="L11476">
        <v>1</v>
      </c>
      <c r="M11476">
        <v>0</v>
      </c>
      <c r="N11476">
        <v>0</v>
      </c>
      <c r="O11476">
        <v>0</v>
      </c>
      <c r="AF11476" t="s">
        <v>23420</v>
      </c>
    </row>
    <row r="11477" spans="1:32" hidden="1" x14ac:dyDescent="0.35">
      <c r="A11477">
        <v>2954</v>
      </c>
      <c r="B11477" t="s">
        <v>6099</v>
      </c>
      <c r="C11477" t="s">
        <v>72</v>
      </c>
      <c r="D11477" t="s">
        <v>58</v>
      </c>
      <c r="E11477">
        <v>1086</v>
      </c>
      <c r="F11477">
        <v>5</v>
      </c>
      <c r="G11477">
        <v>5</v>
      </c>
      <c r="H11477">
        <v>1</v>
      </c>
      <c r="I11477">
        <v>1</v>
      </c>
      <c r="J11477">
        <v>0.86205401143307703</v>
      </c>
      <c r="K11477">
        <v>0.967051977770509</v>
      </c>
      <c r="L11477">
        <v>0.91153934394402103</v>
      </c>
      <c r="M11477">
        <v>0.71199999999999997</v>
      </c>
      <c r="N11477">
        <v>1</v>
      </c>
      <c r="O11477">
        <v>0.8024</v>
      </c>
      <c r="P11477" t="s">
        <v>6100</v>
      </c>
      <c r="Q11477" t="s">
        <v>6101</v>
      </c>
      <c r="R11477" t="s">
        <v>371</v>
      </c>
      <c r="S11477" t="s">
        <v>372</v>
      </c>
      <c r="V11477" t="s">
        <v>6102</v>
      </c>
      <c r="W11477" t="s">
        <v>6103</v>
      </c>
      <c r="AF11477" t="s">
        <v>6104</v>
      </c>
    </row>
    <row r="11478" spans="1:32" hidden="1" x14ac:dyDescent="0.35">
      <c r="A11478">
        <v>11477</v>
      </c>
      <c r="B11478" t="s">
        <v>23423</v>
      </c>
      <c r="C11478" t="s">
        <v>33</v>
      </c>
      <c r="D11478" t="s">
        <v>58</v>
      </c>
      <c r="E11478">
        <v>1773</v>
      </c>
      <c r="F11478">
        <v>1</v>
      </c>
      <c r="G11478">
        <v>1</v>
      </c>
      <c r="H11478">
        <v>1</v>
      </c>
      <c r="I11478">
        <v>0</v>
      </c>
      <c r="J11478">
        <v>1</v>
      </c>
      <c r="K11478">
        <v>1</v>
      </c>
      <c r="L11478">
        <v>1</v>
      </c>
      <c r="M11478">
        <v>0</v>
      </c>
      <c r="N11478">
        <v>0</v>
      </c>
      <c r="O11478">
        <v>0</v>
      </c>
      <c r="P11478" t="s">
        <v>18638</v>
      </c>
      <c r="Q11478" t="s">
        <v>18639</v>
      </c>
      <c r="R11478" t="s">
        <v>319</v>
      </c>
      <c r="S11478" t="s">
        <v>320</v>
      </c>
      <c r="T11478" t="s">
        <v>18640</v>
      </c>
      <c r="U11478" t="s">
        <v>18641</v>
      </c>
      <c r="V11478" t="s">
        <v>18642</v>
      </c>
      <c r="W11478" t="s">
        <v>18643</v>
      </c>
      <c r="AD11478" t="s">
        <v>245</v>
      </c>
      <c r="AE11478" t="s">
        <v>18644</v>
      </c>
      <c r="AF11478" t="s">
        <v>23424</v>
      </c>
    </row>
    <row r="11479" spans="1:32" hidden="1" x14ac:dyDescent="0.35">
      <c r="A11479">
        <v>11478</v>
      </c>
      <c r="B11479" t="s">
        <v>23425</v>
      </c>
      <c r="C11479" t="s">
        <v>33</v>
      </c>
      <c r="D11479" t="s">
        <v>58</v>
      </c>
      <c r="E11479">
        <v>1365</v>
      </c>
      <c r="F11479">
        <v>1</v>
      </c>
      <c r="G11479">
        <v>1</v>
      </c>
      <c r="H11479">
        <v>1</v>
      </c>
      <c r="I11479">
        <v>0</v>
      </c>
      <c r="J11479">
        <v>1</v>
      </c>
      <c r="K11479">
        <v>1</v>
      </c>
      <c r="L11479">
        <v>1</v>
      </c>
      <c r="M11479">
        <v>0</v>
      </c>
      <c r="N11479">
        <v>0</v>
      </c>
      <c r="O11479">
        <v>0</v>
      </c>
      <c r="P11479" t="s">
        <v>4915</v>
      </c>
      <c r="Q11479" t="s">
        <v>4916</v>
      </c>
      <c r="R11479" t="s">
        <v>319</v>
      </c>
      <c r="S11479" t="s">
        <v>320</v>
      </c>
      <c r="T11479" t="s">
        <v>23426</v>
      </c>
      <c r="U11479" t="s">
        <v>23427</v>
      </c>
      <c r="V11479" t="s">
        <v>11821</v>
      </c>
      <c r="W11479" t="s">
        <v>11822</v>
      </c>
      <c r="AD11479" t="s">
        <v>166</v>
      </c>
      <c r="AE11479" t="s">
        <v>23428</v>
      </c>
      <c r="AF11479" t="s">
        <v>23429</v>
      </c>
    </row>
    <row r="11480" spans="1:32" hidden="1" x14ac:dyDescent="0.35">
      <c r="A11480">
        <v>11479</v>
      </c>
      <c r="B11480" t="s">
        <v>23430</v>
      </c>
      <c r="C11480" t="s">
        <v>33</v>
      </c>
      <c r="D11480" t="s">
        <v>34</v>
      </c>
      <c r="E11480">
        <v>893</v>
      </c>
      <c r="F11480">
        <v>1</v>
      </c>
      <c r="G11480">
        <v>1</v>
      </c>
      <c r="H11480">
        <v>1</v>
      </c>
      <c r="I11480">
        <v>0</v>
      </c>
      <c r="J11480">
        <v>1</v>
      </c>
      <c r="K11480">
        <v>1</v>
      </c>
      <c r="L11480">
        <v>1</v>
      </c>
      <c r="M11480">
        <v>0</v>
      </c>
      <c r="N11480">
        <v>0</v>
      </c>
      <c r="O11480">
        <v>0</v>
      </c>
      <c r="AF11480" t="s">
        <v>23431</v>
      </c>
    </row>
    <row r="11481" spans="1:32" hidden="1" x14ac:dyDescent="0.35">
      <c r="A11481">
        <v>11480</v>
      </c>
      <c r="B11481" t="s">
        <v>23432</v>
      </c>
      <c r="C11481" t="s">
        <v>33</v>
      </c>
      <c r="D11481" t="s">
        <v>58</v>
      </c>
      <c r="E11481">
        <v>1042</v>
      </c>
      <c r="F11481">
        <v>1</v>
      </c>
      <c r="G11481">
        <v>1</v>
      </c>
      <c r="H11481">
        <v>1</v>
      </c>
      <c r="I11481">
        <v>0</v>
      </c>
      <c r="J11481">
        <v>1</v>
      </c>
      <c r="K11481">
        <v>1</v>
      </c>
      <c r="L11481">
        <v>1</v>
      </c>
      <c r="M11481">
        <v>0</v>
      </c>
      <c r="N11481">
        <v>0</v>
      </c>
      <c r="O11481">
        <v>0</v>
      </c>
      <c r="AF11481" t="s">
        <v>23433</v>
      </c>
    </row>
    <row r="11482" spans="1:32" hidden="1" x14ac:dyDescent="0.35">
      <c r="A11482">
        <v>4739</v>
      </c>
      <c r="B11482" t="s">
        <v>9922</v>
      </c>
      <c r="C11482" t="s">
        <v>10127</v>
      </c>
      <c r="D11482" t="s">
        <v>58</v>
      </c>
      <c r="E11482">
        <v>916</v>
      </c>
      <c r="F11482">
        <v>5</v>
      </c>
      <c r="G11482">
        <v>5</v>
      </c>
      <c r="H11482">
        <v>1</v>
      </c>
      <c r="I11482">
        <v>1</v>
      </c>
      <c r="J11482">
        <v>0.74343945140405299</v>
      </c>
      <c r="K11482">
        <v>0.89969463582572795</v>
      </c>
      <c r="L11482">
        <v>0.81413743612016198</v>
      </c>
      <c r="M11482">
        <v>0.44809866392600201</v>
      </c>
      <c r="N11482">
        <v>0.99691675231243604</v>
      </c>
      <c r="O11482">
        <v>0.63278520041109998</v>
      </c>
      <c r="P11482" t="s">
        <v>9923</v>
      </c>
      <c r="Q11482" t="s">
        <v>9924</v>
      </c>
      <c r="R11482" t="s">
        <v>371</v>
      </c>
      <c r="S11482" t="s">
        <v>372</v>
      </c>
      <c r="T11482" t="s">
        <v>9925</v>
      </c>
      <c r="U11482" t="s">
        <v>9926</v>
      </c>
      <c r="V11482" t="s">
        <v>6102</v>
      </c>
      <c r="W11482" t="s">
        <v>6103</v>
      </c>
      <c r="AD11482" t="s">
        <v>6721</v>
      </c>
      <c r="AE11482" t="s">
        <v>6722</v>
      </c>
      <c r="AF11482" t="s">
        <v>9927</v>
      </c>
    </row>
    <row r="11483" spans="1:32" hidden="1" x14ac:dyDescent="0.35">
      <c r="A11483">
        <v>11482</v>
      </c>
      <c r="B11483" t="s">
        <v>23442</v>
      </c>
      <c r="C11483" t="s">
        <v>33</v>
      </c>
      <c r="D11483" t="s">
        <v>58</v>
      </c>
      <c r="E11483">
        <v>1041</v>
      </c>
      <c r="F11483">
        <v>1</v>
      </c>
      <c r="G11483">
        <v>1</v>
      </c>
      <c r="H11483">
        <v>1</v>
      </c>
      <c r="I11483">
        <v>0</v>
      </c>
      <c r="J11483">
        <v>1</v>
      </c>
      <c r="K11483">
        <v>1</v>
      </c>
      <c r="L11483">
        <v>1</v>
      </c>
      <c r="M11483">
        <v>0</v>
      </c>
      <c r="N11483">
        <v>0</v>
      </c>
      <c r="O11483">
        <v>0</v>
      </c>
      <c r="P11483" t="s">
        <v>11321</v>
      </c>
      <c r="Q11483" t="s">
        <v>11322</v>
      </c>
      <c r="R11483" t="s">
        <v>96</v>
      </c>
      <c r="S11483" t="s">
        <v>97</v>
      </c>
      <c r="T11483" t="s">
        <v>11323</v>
      </c>
      <c r="U11483" t="s">
        <v>11324</v>
      </c>
      <c r="V11483" t="s">
        <v>11325</v>
      </c>
      <c r="W11483" t="s">
        <v>11326</v>
      </c>
      <c r="AD11483" t="s">
        <v>11327</v>
      </c>
      <c r="AE11483" t="s">
        <v>11328</v>
      </c>
      <c r="AF11483" t="s">
        <v>23443</v>
      </c>
    </row>
    <row r="11484" spans="1:32" hidden="1" x14ac:dyDescent="0.35">
      <c r="A11484">
        <v>11483</v>
      </c>
      <c r="B11484" t="s">
        <v>23444</v>
      </c>
      <c r="C11484" t="s">
        <v>33</v>
      </c>
      <c r="D11484" t="s">
        <v>60</v>
      </c>
      <c r="E11484">
        <v>1738</v>
      </c>
      <c r="F11484">
        <v>1</v>
      </c>
      <c r="G11484">
        <v>1</v>
      </c>
      <c r="H11484">
        <v>1</v>
      </c>
      <c r="I11484">
        <v>0</v>
      </c>
      <c r="J11484">
        <v>1</v>
      </c>
      <c r="K11484">
        <v>1</v>
      </c>
      <c r="L11484">
        <v>1</v>
      </c>
      <c r="M11484">
        <v>0</v>
      </c>
      <c r="N11484">
        <v>0</v>
      </c>
      <c r="O11484">
        <v>0</v>
      </c>
      <c r="P11484" t="s">
        <v>10026</v>
      </c>
      <c r="Q11484" t="s">
        <v>10027</v>
      </c>
      <c r="R11484" t="s">
        <v>235</v>
      </c>
      <c r="S11484" t="s">
        <v>236</v>
      </c>
      <c r="T11484" t="s">
        <v>15631</v>
      </c>
      <c r="U11484" t="s">
        <v>15632</v>
      </c>
      <c r="V11484" t="s">
        <v>15633</v>
      </c>
      <c r="W11484" t="s">
        <v>15634</v>
      </c>
      <c r="AD11484" t="s">
        <v>166</v>
      </c>
      <c r="AE11484" t="s">
        <v>818</v>
      </c>
      <c r="AF11484" t="s">
        <v>23445</v>
      </c>
    </row>
    <row r="11485" spans="1:32" hidden="1" x14ac:dyDescent="0.35">
      <c r="A11485">
        <v>11484</v>
      </c>
      <c r="B11485" t="s">
        <v>23446</v>
      </c>
      <c r="C11485" t="s">
        <v>33</v>
      </c>
      <c r="D11485" t="s">
        <v>58</v>
      </c>
      <c r="E11485">
        <v>995</v>
      </c>
      <c r="F11485">
        <v>1</v>
      </c>
      <c r="G11485">
        <v>1</v>
      </c>
      <c r="H11485">
        <v>1</v>
      </c>
      <c r="I11485">
        <v>0</v>
      </c>
      <c r="J11485">
        <v>1</v>
      </c>
      <c r="K11485">
        <v>1</v>
      </c>
      <c r="L11485">
        <v>1</v>
      </c>
      <c r="M11485">
        <v>0</v>
      </c>
      <c r="N11485">
        <v>0</v>
      </c>
      <c r="O11485">
        <v>0</v>
      </c>
      <c r="AF11485" t="s">
        <v>23447</v>
      </c>
    </row>
    <row r="11486" spans="1:32" hidden="1" x14ac:dyDescent="0.35">
      <c r="A11486">
        <v>11485</v>
      </c>
      <c r="B11486" t="s">
        <v>23448</v>
      </c>
      <c r="C11486" t="s">
        <v>33</v>
      </c>
      <c r="D11486" t="s">
        <v>58</v>
      </c>
      <c r="E11486">
        <v>1375</v>
      </c>
      <c r="F11486">
        <v>1</v>
      </c>
      <c r="G11486">
        <v>1</v>
      </c>
      <c r="H11486">
        <v>1</v>
      </c>
      <c r="I11486">
        <v>0</v>
      </c>
      <c r="J11486">
        <v>1</v>
      </c>
      <c r="K11486">
        <v>1</v>
      </c>
      <c r="L11486">
        <v>1</v>
      </c>
      <c r="M11486">
        <v>0</v>
      </c>
      <c r="N11486">
        <v>0</v>
      </c>
      <c r="O11486">
        <v>0</v>
      </c>
      <c r="P11486" t="s">
        <v>12874</v>
      </c>
      <c r="Q11486" t="s">
        <v>12875</v>
      </c>
      <c r="AF11486" t="s">
        <v>23449</v>
      </c>
    </row>
    <row r="11487" spans="1:32" hidden="1" x14ac:dyDescent="0.35">
      <c r="A11487">
        <v>11486</v>
      </c>
      <c r="B11487" t="s">
        <v>23450</v>
      </c>
      <c r="C11487" t="s">
        <v>33</v>
      </c>
      <c r="D11487" t="s">
        <v>62</v>
      </c>
      <c r="E11487">
        <v>538</v>
      </c>
      <c r="F11487">
        <v>1</v>
      </c>
      <c r="G11487">
        <v>1</v>
      </c>
      <c r="H11487">
        <v>1</v>
      </c>
      <c r="I11487">
        <v>0</v>
      </c>
      <c r="J11487">
        <v>1</v>
      </c>
      <c r="K11487">
        <v>1</v>
      </c>
      <c r="L11487">
        <v>1</v>
      </c>
      <c r="M11487">
        <v>0</v>
      </c>
      <c r="N11487">
        <v>0</v>
      </c>
      <c r="O11487">
        <v>0</v>
      </c>
      <c r="AF11487" t="s">
        <v>23451</v>
      </c>
    </row>
    <row r="11488" spans="1:32" hidden="1" x14ac:dyDescent="0.35">
      <c r="A11488">
        <v>11487</v>
      </c>
      <c r="B11488" t="s">
        <v>23452</v>
      </c>
      <c r="C11488" t="s">
        <v>33</v>
      </c>
      <c r="D11488" t="s">
        <v>58</v>
      </c>
      <c r="E11488">
        <v>1583</v>
      </c>
      <c r="F11488">
        <v>1</v>
      </c>
      <c r="G11488">
        <v>1</v>
      </c>
      <c r="H11488">
        <v>1</v>
      </c>
      <c r="I11488">
        <v>0</v>
      </c>
      <c r="J11488">
        <v>1</v>
      </c>
      <c r="K11488">
        <v>1</v>
      </c>
      <c r="L11488">
        <v>1</v>
      </c>
      <c r="M11488">
        <v>0</v>
      </c>
      <c r="N11488">
        <v>0</v>
      </c>
      <c r="O11488">
        <v>0</v>
      </c>
      <c r="AF11488" t="s">
        <v>23453</v>
      </c>
    </row>
    <row r="11489" spans="1:32" hidden="1" x14ac:dyDescent="0.35">
      <c r="A11489">
        <v>11488</v>
      </c>
      <c r="B11489" t="s">
        <v>23454</v>
      </c>
      <c r="C11489" t="s">
        <v>33</v>
      </c>
      <c r="D11489" t="s">
        <v>60</v>
      </c>
      <c r="E11489">
        <v>667</v>
      </c>
      <c r="F11489">
        <v>1</v>
      </c>
      <c r="G11489">
        <v>1</v>
      </c>
      <c r="H11489">
        <v>1</v>
      </c>
      <c r="I11489">
        <v>0</v>
      </c>
      <c r="J11489">
        <v>1</v>
      </c>
      <c r="K11489">
        <v>1</v>
      </c>
      <c r="L11489">
        <v>1</v>
      </c>
      <c r="M11489">
        <v>0</v>
      </c>
      <c r="N11489">
        <v>0</v>
      </c>
      <c r="O11489">
        <v>0</v>
      </c>
      <c r="AF11489" t="s">
        <v>23455</v>
      </c>
    </row>
    <row r="11490" spans="1:32" hidden="1" x14ac:dyDescent="0.35">
      <c r="A11490">
        <v>11489</v>
      </c>
      <c r="B11490" t="s">
        <v>23456</v>
      </c>
      <c r="C11490" t="s">
        <v>33</v>
      </c>
      <c r="D11490" t="s">
        <v>58</v>
      </c>
      <c r="E11490">
        <v>469</v>
      </c>
      <c r="F11490">
        <v>1</v>
      </c>
      <c r="G11490">
        <v>1</v>
      </c>
      <c r="H11490">
        <v>1</v>
      </c>
      <c r="I11490">
        <v>0</v>
      </c>
      <c r="J11490">
        <v>1</v>
      </c>
      <c r="K11490">
        <v>1</v>
      </c>
      <c r="L11490">
        <v>1</v>
      </c>
      <c r="M11490">
        <v>0</v>
      </c>
      <c r="N11490">
        <v>0</v>
      </c>
      <c r="O11490">
        <v>0</v>
      </c>
      <c r="AF11490" t="s">
        <v>23457</v>
      </c>
    </row>
    <row r="11491" spans="1:32" hidden="1" x14ac:dyDescent="0.35">
      <c r="A11491">
        <v>11490</v>
      </c>
      <c r="B11491" t="s">
        <v>23458</v>
      </c>
      <c r="C11491" t="s">
        <v>33</v>
      </c>
      <c r="D11491" t="s">
        <v>58</v>
      </c>
      <c r="E11491">
        <v>458</v>
      </c>
      <c r="F11491">
        <v>1</v>
      </c>
      <c r="G11491">
        <v>1</v>
      </c>
      <c r="H11491">
        <v>1</v>
      </c>
      <c r="I11491">
        <v>0</v>
      </c>
      <c r="J11491">
        <v>1</v>
      </c>
      <c r="K11491">
        <v>1</v>
      </c>
      <c r="L11491">
        <v>1</v>
      </c>
      <c r="M11491">
        <v>0</v>
      </c>
      <c r="N11491">
        <v>0</v>
      </c>
      <c r="O11491">
        <v>0</v>
      </c>
      <c r="P11491" t="s">
        <v>14407</v>
      </c>
      <c r="Q11491" t="s">
        <v>14408</v>
      </c>
      <c r="R11491" t="s">
        <v>1259</v>
      </c>
      <c r="S11491" t="s">
        <v>1260</v>
      </c>
      <c r="V11491" t="s">
        <v>14409</v>
      </c>
      <c r="W11491" t="s">
        <v>14410</v>
      </c>
      <c r="AF11491" t="s">
        <v>23459</v>
      </c>
    </row>
    <row r="11492" spans="1:32" hidden="1" x14ac:dyDescent="0.35">
      <c r="A11492">
        <v>11491</v>
      </c>
      <c r="B11492" t="s">
        <v>23460</v>
      </c>
      <c r="C11492" t="s">
        <v>33</v>
      </c>
      <c r="D11492" t="s">
        <v>58</v>
      </c>
      <c r="E11492">
        <v>763</v>
      </c>
      <c r="F11492">
        <v>1</v>
      </c>
      <c r="G11492">
        <v>1</v>
      </c>
      <c r="H11492">
        <v>1</v>
      </c>
      <c r="I11492">
        <v>0</v>
      </c>
      <c r="J11492">
        <v>1</v>
      </c>
      <c r="K11492">
        <v>1</v>
      </c>
      <c r="L11492">
        <v>1</v>
      </c>
      <c r="M11492">
        <v>0</v>
      </c>
      <c r="N11492">
        <v>0</v>
      </c>
      <c r="O11492">
        <v>0</v>
      </c>
      <c r="AF11492" t="s">
        <v>23461</v>
      </c>
    </row>
    <row r="11493" spans="1:32" hidden="1" x14ac:dyDescent="0.35">
      <c r="A11493">
        <v>11492</v>
      </c>
      <c r="B11493" t="s">
        <v>23462</v>
      </c>
      <c r="C11493" t="s">
        <v>33</v>
      </c>
      <c r="D11493" t="s">
        <v>58</v>
      </c>
      <c r="E11493">
        <v>788</v>
      </c>
      <c r="F11493">
        <v>1</v>
      </c>
      <c r="G11493">
        <v>1</v>
      </c>
      <c r="H11493">
        <v>1</v>
      </c>
      <c r="I11493">
        <v>0</v>
      </c>
      <c r="J11493">
        <v>1</v>
      </c>
      <c r="K11493">
        <v>1</v>
      </c>
      <c r="L11493">
        <v>1</v>
      </c>
      <c r="M11493">
        <v>0</v>
      </c>
      <c r="N11493">
        <v>0</v>
      </c>
      <c r="O11493">
        <v>0</v>
      </c>
      <c r="AF11493" t="s">
        <v>23463</v>
      </c>
    </row>
    <row r="11494" spans="1:32" hidden="1" x14ac:dyDescent="0.35">
      <c r="A11494">
        <v>2894</v>
      </c>
      <c r="B11494" t="s">
        <v>5967</v>
      </c>
      <c r="C11494" t="s">
        <v>72</v>
      </c>
      <c r="D11494" t="s">
        <v>58</v>
      </c>
      <c r="E11494">
        <v>1820</v>
      </c>
      <c r="F11494">
        <v>5</v>
      </c>
      <c r="G11494">
        <v>5</v>
      </c>
      <c r="H11494">
        <v>1</v>
      </c>
      <c r="I11494">
        <v>1</v>
      </c>
      <c r="J11494">
        <v>0.87756121939030496</v>
      </c>
      <c r="K11494">
        <v>0.99552238805970406</v>
      </c>
      <c r="L11494">
        <v>0.93282738402197996</v>
      </c>
      <c r="M11494">
        <v>0.79104477611940305</v>
      </c>
      <c r="N11494">
        <v>1</v>
      </c>
      <c r="O11494">
        <v>0.85522388059701504</v>
      </c>
      <c r="P11494" t="s">
        <v>5968</v>
      </c>
      <c r="Q11494" t="s">
        <v>5969</v>
      </c>
      <c r="R11494" t="s">
        <v>342</v>
      </c>
      <c r="S11494" t="s">
        <v>343</v>
      </c>
      <c r="T11494" t="s">
        <v>5970</v>
      </c>
      <c r="U11494" t="s">
        <v>5971</v>
      </c>
      <c r="V11494" t="s">
        <v>5972</v>
      </c>
      <c r="W11494" t="s">
        <v>5973</v>
      </c>
      <c r="AD11494" t="s">
        <v>951</v>
      </c>
      <c r="AE11494" t="s">
        <v>5974</v>
      </c>
      <c r="AF11494" t="e">
        <f>-MTVYTLPELDYAYDALEPHISAEIMELHHTKHHANYVAGANAALEALQKAREEGTIGAQVTALSKNLAFNLGGHTNHSIFWKNLSPNGGGQPTGALAEAIDRDFGSFDAFKDHFKAAALGLQGSGWAVLGFDHIAGRLVIEQMTDQQGNLSINLTPLLMLDMWEHAFYLQYKNVKADYVEAVWNVFNWDDVAARFDAASK</f>
        <v>#NAME?</v>
      </c>
    </row>
    <row r="11495" spans="1:32" hidden="1" x14ac:dyDescent="0.35">
      <c r="A11495">
        <v>11494</v>
      </c>
      <c r="B11495" t="s">
        <v>23466</v>
      </c>
      <c r="C11495" t="s">
        <v>33</v>
      </c>
      <c r="D11495" t="s">
        <v>58</v>
      </c>
      <c r="E11495">
        <v>555</v>
      </c>
      <c r="F11495">
        <v>1</v>
      </c>
      <c r="G11495">
        <v>1</v>
      </c>
      <c r="H11495">
        <v>1</v>
      </c>
      <c r="I11495">
        <v>0</v>
      </c>
      <c r="J11495">
        <v>1</v>
      </c>
      <c r="K11495">
        <v>1</v>
      </c>
      <c r="L11495">
        <v>1</v>
      </c>
      <c r="M11495">
        <v>0</v>
      </c>
      <c r="N11495">
        <v>0</v>
      </c>
      <c r="O11495">
        <v>0</v>
      </c>
      <c r="P11495" t="s">
        <v>16832</v>
      </c>
      <c r="Q11495" t="s">
        <v>16833</v>
      </c>
      <c r="T11495" t="s">
        <v>16834</v>
      </c>
      <c r="U11495" t="s">
        <v>16835</v>
      </c>
      <c r="AD11495" t="s">
        <v>16838</v>
      </c>
      <c r="AE11495" t="s">
        <v>16839</v>
      </c>
      <c r="AF11495" t="s">
        <v>23467</v>
      </c>
    </row>
    <row r="11496" spans="1:32" hidden="1" x14ac:dyDescent="0.35">
      <c r="A11496">
        <v>1869</v>
      </c>
      <c r="B11496" t="s">
        <v>3872</v>
      </c>
      <c r="C11496" t="s">
        <v>72</v>
      </c>
      <c r="D11496" t="s">
        <v>58</v>
      </c>
      <c r="E11496">
        <v>1118</v>
      </c>
      <c r="F11496">
        <v>5</v>
      </c>
      <c r="G11496">
        <v>5</v>
      </c>
      <c r="H11496">
        <v>1</v>
      </c>
      <c r="I11496">
        <v>1</v>
      </c>
      <c r="J11496">
        <v>0.79482708514966605</v>
      </c>
      <c r="K11496">
        <v>0.92012411347517498</v>
      </c>
      <c r="L11496">
        <v>0.85289840046274101</v>
      </c>
      <c r="M11496">
        <v>0.51329787234042601</v>
      </c>
      <c r="N11496">
        <v>1</v>
      </c>
      <c r="O11496">
        <v>0.68297872340425503</v>
      </c>
      <c r="P11496" t="s">
        <v>3873</v>
      </c>
      <c r="Q11496" t="s">
        <v>3874</v>
      </c>
      <c r="R11496" t="s">
        <v>342</v>
      </c>
      <c r="S11496" t="s">
        <v>343</v>
      </c>
      <c r="V11496" t="s">
        <v>3875</v>
      </c>
      <c r="W11496" t="s">
        <v>3876</v>
      </c>
      <c r="AF11496" t="s">
        <v>3877</v>
      </c>
    </row>
    <row r="11497" spans="1:32" hidden="1" x14ac:dyDescent="0.35">
      <c r="A11497">
        <v>11974</v>
      </c>
      <c r="B11497" t="s">
        <v>24724</v>
      </c>
      <c r="D11497" t="s">
        <v>58</v>
      </c>
      <c r="E11497">
        <v>1771</v>
      </c>
      <c r="F11497">
        <v>1</v>
      </c>
      <c r="G11497">
        <v>1</v>
      </c>
      <c r="H11497">
        <v>1</v>
      </c>
      <c r="I11497">
        <v>0</v>
      </c>
      <c r="J11497">
        <v>1</v>
      </c>
      <c r="K11497">
        <v>1</v>
      </c>
      <c r="L11497">
        <v>1</v>
      </c>
      <c r="M11497">
        <v>0</v>
      </c>
      <c r="N11497">
        <v>0</v>
      </c>
      <c r="O11497">
        <v>0</v>
      </c>
      <c r="P11497" t="s">
        <v>24725</v>
      </c>
      <c r="Q11497" t="s">
        <v>24726</v>
      </c>
      <c r="R11497" t="s">
        <v>138</v>
      </c>
      <c r="S11497" t="s">
        <v>139</v>
      </c>
      <c r="V11497" t="s">
        <v>24727</v>
      </c>
      <c r="W11497" t="s">
        <v>24728</v>
      </c>
      <c r="AF11497" t="s">
        <v>24729</v>
      </c>
    </row>
    <row r="11498" spans="1:32" hidden="1" x14ac:dyDescent="0.35">
      <c r="A11498">
        <v>11497</v>
      </c>
      <c r="B11498" t="s">
        <v>23474</v>
      </c>
      <c r="C11498" t="s">
        <v>33</v>
      </c>
      <c r="D11498" t="s">
        <v>58</v>
      </c>
      <c r="E11498">
        <v>1385</v>
      </c>
      <c r="F11498">
        <v>1</v>
      </c>
      <c r="G11498">
        <v>1</v>
      </c>
      <c r="H11498">
        <v>1</v>
      </c>
      <c r="I11498">
        <v>0</v>
      </c>
      <c r="J11498">
        <v>1</v>
      </c>
      <c r="K11498">
        <v>1</v>
      </c>
      <c r="L11498">
        <v>1</v>
      </c>
      <c r="M11498">
        <v>0</v>
      </c>
      <c r="N11498">
        <v>0</v>
      </c>
      <c r="O11498">
        <v>0</v>
      </c>
      <c r="P11498" t="s">
        <v>18424</v>
      </c>
      <c r="Q11498" t="s">
        <v>18425</v>
      </c>
      <c r="R11498" t="s">
        <v>1259</v>
      </c>
      <c r="S11498" t="s">
        <v>1260</v>
      </c>
      <c r="T11498" t="s">
        <v>23475</v>
      </c>
      <c r="U11498" t="s">
        <v>407</v>
      </c>
      <c r="V11498" t="s">
        <v>18426</v>
      </c>
      <c r="W11498" t="s">
        <v>18427</v>
      </c>
      <c r="AD11498" t="s">
        <v>410</v>
      </c>
      <c r="AE11498" t="s">
        <v>411</v>
      </c>
      <c r="AF11498" t="s">
        <v>23476</v>
      </c>
    </row>
    <row r="11499" spans="1:32" hidden="1" x14ac:dyDescent="0.35">
      <c r="A11499">
        <v>11498</v>
      </c>
      <c r="B11499" t="s">
        <v>23477</v>
      </c>
      <c r="C11499" t="s">
        <v>33</v>
      </c>
      <c r="D11499" t="s">
        <v>60</v>
      </c>
      <c r="E11499">
        <v>655</v>
      </c>
      <c r="F11499">
        <v>1</v>
      </c>
      <c r="G11499">
        <v>1</v>
      </c>
      <c r="H11499">
        <v>1</v>
      </c>
      <c r="I11499">
        <v>0</v>
      </c>
      <c r="J11499">
        <v>1</v>
      </c>
      <c r="K11499">
        <v>1</v>
      </c>
      <c r="L11499">
        <v>1</v>
      </c>
      <c r="M11499">
        <v>0</v>
      </c>
      <c r="N11499">
        <v>0</v>
      </c>
      <c r="O11499">
        <v>0</v>
      </c>
      <c r="P11499" t="s">
        <v>23478</v>
      </c>
      <c r="Q11499" t="s">
        <v>2878</v>
      </c>
      <c r="AF11499" t="s">
        <v>23479</v>
      </c>
    </row>
    <row r="11500" spans="1:32" hidden="1" x14ac:dyDescent="0.35">
      <c r="A11500">
        <v>11499</v>
      </c>
      <c r="B11500" t="s">
        <v>23480</v>
      </c>
      <c r="C11500" t="s">
        <v>33</v>
      </c>
      <c r="D11500" t="s">
        <v>58</v>
      </c>
      <c r="E11500">
        <v>608</v>
      </c>
      <c r="F11500">
        <v>1</v>
      </c>
      <c r="G11500">
        <v>1</v>
      </c>
      <c r="H11500">
        <v>1</v>
      </c>
      <c r="I11500">
        <v>0</v>
      </c>
      <c r="J11500">
        <v>1</v>
      </c>
      <c r="K11500">
        <v>1</v>
      </c>
      <c r="L11500">
        <v>1</v>
      </c>
      <c r="M11500">
        <v>0</v>
      </c>
      <c r="N11500">
        <v>0</v>
      </c>
      <c r="O11500">
        <v>0</v>
      </c>
      <c r="P11500" t="s">
        <v>169</v>
      </c>
      <c r="Q11500" t="s">
        <v>170</v>
      </c>
      <c r="R11500" t="s">
        <v>319</v>
      </c>
      <c r="S11500" t="s">
        <v>320</v>
      </c>
      <c r="V11500" t="s">
        <v>3642</v>
      </c>
      <c r="W11500" t="s">
        <v>3643</v>
      </c>
      <c r="AF11500" t="s">
        <v>23481</v>
      </c>
    </row>
    <row r="11501" spans="1:32" hidden="1" x14ac:dyDescent="0.35">
      <c r="A11501">
        <v>11500</v>
      </c>
      <c r="B11501" t="s">
        <v>23482</v>
      </c>
      <c r="C11501" t="s">
        <v>33</v>
      </c>
      <c r="D11501" t="s">
        <v>58</v>
      </c>
      <c r="E11501">
        <v>921</v>
      </c>
      <c r="F11501">
        <v>1</v>
      </c>
      <c r="G11501">
        <v>1</v>
      </c>
      <c r="H11501">
        <v>1</v>
      </c>
      <c r="I11501">
        <v>0</v>
      </c>
      <c r="J11501">
        <v>1</v>
      </c>
      <c r="K11501">
        <v>1</v>
      </c>
      <c r="L11501">
        <v>1</v>
      </c>
      <c r="M11501">
        <v>0</v>
      </c>
      <c r="N11501">
        <v>0</v>
      </c>
      <c r="O11501">
        <v>0</v>
      </c>
      <c r="P11501" t="s">
        <v>10915</v>
      </c>
      <c r="Q11501" t="s">
        <v>10916</v>
      </c>
      <c r="T11501" t="s">
        <v>10917</v>
      </c>
      <c r="U11501" t="s">
        <v>10918</v>
      </c>
      <c r="AD11501" t="s">
        <v>10919</v>
      </c>
      <c r="AE11501" t="s">
        <v>10920</v>
      </c>
      <c r="AF11501" t="s">
        <v>23483</v>
      </c>
    </row>
    <row r="11502" spans="1:32" hidden="1" x14ac:dyDescent="0.35">
      <c r="A11502">
        <v>11501</v>
      </c>
      <c r="B11502" t="s">
        <v>23484</v>
      </c>
      <c r="C11502" t="s">
        <v>33</v>
      </c>
      <c r="D11502" t="s">
        <v>58</v>
      </c>
      <c r="E11502">
        <v>957</v>
      </c>
      <c r="F11502">
        <v>1</v>
      </c>
      <c r="G11502">
        <v>1</v>
      </c>
      <c r="H11502">
        <v>1</v>
      </c>
      <c r="I11502">
        <v>0</v>
      </c>
      <c r="J11502">
        <v>1</v>
      </c>
      <c r="K11502">
        <v>1</v>
      </c>
      <c r="L11502">
        <v>1</v>
      </c>
      <c r="M11502">
        <v>0</v>
      </c>
      <c r="N11502">
        <v>0</v>
      </c>
      <c r="O11502">
        <v>0</v>
      </c>
      <c r="AF11502" t="s">
        <v>23485</v>
      </c>
    </row>
    <row r="11503" spans="1:32" hidden="1" x14ac:dyDescent="0.35">
      <c r="A11503">
        <v>2074</v>
      </c>
      <c r="B11503" t="s">
        <v>4314</v>
      </c>
      <c r="C11503" t="s">
        <v>72</v>
      </c>
      <c r="D11503" t="s">
        <v>58</v>
      </c>
      <c r="E11503">
        <v>718</v>
      </c>
      <c r="F11503">
        <v>5</v>
      </c>
      <c r="G11503">
        <v>5</v>
      </c>
      <c r="H11503">
        <v>1</v>
      </c>
      <c r="I11503">
        <v>1</v>
      </c>
      <c r="J11503">
        <v>0.75507653858169299</v>
      </c>
      <c r="K11503">
        <v>0.85033969898705697</v>
      </c>
      <c r="L11503">
        <v>0.79988172724863205</v>
      </c>
      <c r="M11503">
        <v>0.51174934725848598</v>
      </c>
      <c r="N11503">
        <v>1</v>
      </c>
      <c r="O11503">
        <v>0.62454308093994804</v>
      </c>
      <c r="P11503" t="s">
        <v>4315</v>
      </c>
      <c r="Q11503" t="s">
        <v>4316</v>
      </c>
      <c r="R11503" t="s">
        <v>235</v>
      </c>
      <c r="S11503" t="s">
        <v>236</v>
      </c>
      <c r="T11503" t="s">
        <v>4317</v>
      </c>
      <c r="U11503" t="s">
        <v>4318</v>
      </c>
      <c r="V11503" t="s">
        <v>4319</v>
      </c>
      <c r="W11503" t="s">
        <v>4320</v>
      </c>
      <c r="X11503" t="s">
        <v>4319</v>
      </c>
      <c r="Y11503" t="s">
        <v>1136</v>
      </c>
      <c r="Z11503" t="s">
        <v>2933</v>
      </c>
      <c r="AA11503" t="s">
        <v>2934</v>
      </c>
      <c r="AB11503" t="s">
        <v>2933</v>
      </c>
      <c r="AC11503" t="s">
        <v>2804</v>
      </c>
      <c r="AD11503" t="s">
        <v>219</v>
      </c>
      <c r="AE11503" t="s">
        <v>4321</v>
      </c>
      <c r="AF11503" t="s">
        <v>4322</v>
      </c>
    </row>
    <row r="11504" spans="1:32" hidden="1" x14ac:dyDescent="0.35">
      <c r="A11504">
        <v>11503</v>
      </c>
      <c r="B11504" t="s">
        <v>23488</v>
      </c>
      <c r="C11504" t="s">
        <v>33</v>
      </c>
      <c r="D11504" t="s">
        <v>60</v>
      </c>
      <c r="E11504">
        <v>19</v>
      </c>
      <c r="F11504">
        <v>1</v>
      </c>
      <c r="G11504">
        <v>1</v>
      </c>
      <c r="H11504">
        <v>1</v>
      </c>
      <c r="I11504">
        <v>0</v>
      </c>
      <c r="J11504">
        <v>1</v>
      </c>
      <c r="K11504">
        <v>1</v>
      </c>
      <c r="L11504">
        <v>1</v>
      </c>
      <c r="M11504">
        <v>0</v>
      </c>
      <c r="N11504">
        <v>0</v>
      </c>
      <c r="O11504">
        <v>0</v>
      </c>
      <c r="AF11504" t="s">
        <v>23489</v>
      </c>
    </row>
    <row r="11505" spans="1:32" hidden="1" x14ac:dyDescent="0.35">
      <c r="A11505">
        <v>11504</v>
      </c>
      <c r="B11505" t="s">
        <v>23490</v>
      </c>
      <c r="C11505" t="s">
        <v>33</v>
      </c>
      <c r="D11505" t="s">
        <v>62</v>
      </c>
      <c r="E11505">
        <v>1761</v>
      </c>
      <c r="F11505">
        <v>1</v>
      </c>
      <c r="G11505">
        <v>1</v>
      </c>
      <c r="H11505">
        <v>1</v>
      </c>
      <c r="I11505">
        <v>0</v>
      </c>
      <c r="J11505">
        <v>1</v>
      </c>
      <c r="K11505">
        <v>1</v>
      </c>
      <c r="L11505">
        <v>1</v>
      </c>
      <c r="M11505">
        <v>0</v>
      </c>
      <c r="N11505">
        <v>0</v>
      </c>
      <c r="O11505">
        <v>0</v>
      </c>
      <c r="AF11505" t="s">
        <v>23491</v>
      </c>
    </row>
    <row r="11506" spans="1:32" hidden="1" x14ac:dyDescent="0.35">
      <c r="A11506">
        <v>11505</v>
      </c>
      <c r="B11506" t="s">
        <v>23492</v>
      </c>
      <c r="C11506" t="s">
        <v>33</v>
      </c>
      <c r="D11506" t="s">
        <v>60</v>
      </c>
      <c r="E11506">
        <v>2070</v>
      </c>
      <c r="F11506">
        <v>1</v>
      </c>
      <c r="G11506">
        <v>1</v>
      </c>
      <c r="H11506">
        <v>1</v>
      </c>
      <c r="I11506">
        <v>0</v>
      </c>
      <c r="J11506">
        <v>1</v>
      </c>
      <c r="K11506">
        <v>1</v>
      </c>
      <c r="L11506">
        <v>1</v>
      </c>
      <c r="M11506">
        <v>0</v>
      </c>
      <c r="N11506">
        <v>0</v>
      </c>
      <c r="O11506">
        <v>0</v>
      </c>
      <c r="AF11506" t="s">
        <v>23493</v>
      </c>
    </row>
    <row r="11507" spans="1:32" hidden="1" x14ac:dyDescent="0.35">
      <c r="A11507">
        <v>3094</v>
      </c>
      <c r="B11507" t="s">
        <v>6383</v>
      </c>
      <c r="C11507" t="s">
        <v>72</v>
      </c>
      <c r="D11507" t="s">
        <v>58</v>
      </c>
      <c r="E11507">
        <v>716</v>
      </c>
      <c r="F11507">
        <v>5</v>
      </c>
      <c r="G11507">
        <v>5</v>
      </c>
      <c r="H11507">
        <v>1</v>
      </c>
      <c r="I11507">
        <v>1</v>
      </c>
      <c r="J11507">
        <v>0.83157568238213397</v>
      </c>
      <c r="K11507">
        <v>0.977212858063919</v>
      </c>
      <c r="L11507">
        <v>0.89853117830645102</v>
      </c>
      <c r="M11507">
        <v>0.71515151515151498</v>
      </c>
      <c r="N11507">
        <v>1</v>
      </c>
      <c r="O11507">
        <v>0.78151515151515105</v>
      </c>
      <c r="P11507" t="s">
        <v>4315</v>
      </c>
      <c r="Q11507" t="s">
        <v>4316</v>
      </c>
      <c r="R11507" t="s">
        <v>235</v>
      </c>
      <c r="S11507" t="s">
        <v>236</v>
      </c>
      <c r="T11507" t="s">
        <v>4317</v>
      </c>
      <c r="U11507" t="s">
        <v>4318</v>
      </c>
      <c r="V11507" t="s">
        <v>4319</v>
      </c>
      <c r="W11507" t="s">
        <v>4320</v>
      </c>
      <c r="X11507" t="s">
        <v>4319</v>
      </c>
      <c r="Y11507" t="s">
        <v>1136</v>
      </c>
      <c r="Z11507" t="s">
        <v>2933</v>
      </c>
      <c r="AA11507" t="s">
        <v>2934</v>
      </c>
      <c r="AB11507" t="s">
        <v>2933</v>
      </c>
      <c r="AC11507" t="s">
        <v>2804</v>
      </c>
      <c r="AD11507" t="s">
        <v>219</v>
      </c>
      <c r="AE11507" t="s">
        <v>4321</v>
      </c>
      <c r="AF11507" t="s">
        <v>6384</v>
      </c>
    </row>
    <row r="11508" spans="1:32" hidden="1" x14ac:dyDescent="0.35">
      <c r="A11508">
        <v>11507</v>
      </c>
      <c r="B11508" t="s">
        <v>23496</v>
      </c>
      <c r="C11508" t="s">
        <v>33</v>
      </c>
      <c r="D11508" t="s">
        <v>58</v>
      </c>
      <c r="E11508">
        <v>1684</v>
      </c>
      <c r="F11508">
        <v>1</v>
      </c>
      <c r="G11508">
        <v>1</v>
      </c>
      <c r="H11508">
        <v>1</v>
      </c>
      <c r="I11508">
        <v>0</v>
      </c>
      <c r="J11508">
        <v>1</v>
      </c>
      <c r="K11508">
        <v>1</v>
      </c>
      <c r="L11508">
        <v>1</v>
      </c>
      <c r="M11508">
        <v>0</v>
      </c>
      <c r="N11508">
        <v>0</v>
      </c>
      <c r="O11508">
        <v>0</v>
      </c>
      <c r="AF11508" t="s">
        <v>23497</v>
      </c>
    </row>
    <row r="11509" spans="1:32" hidden="1" x14ac:dyDescent="0.35">
      <c r="A11509">
        <v>11508</v>
      </c>
      <c r="B11509" t="s">
        <v>23498</v>
      </c>
      <c r="C11509" t="s">
        <v>33</v>
      </c>
      <c r="D11509" t="s">
        <v>62</v>
      </c>
      <c r="E11509">
        <v>2096</v>
      </c>
      <c r="F11509">
        <v>1</v>
      </c>
      <c r="G11509">
        <v>1</v>
      </c>
      <c r="H11509">
        <v>1</v>
      </c>
      <c r="I11509">
        <v>0</v>
      </c>
      <c r="J11509">
        <v>1</v>
      </c>
      <c r="K11509">
        <v>1</v>
      </c>
      <c r="L11509">
        <v>1</v>
      </c>
      <c r="M11509">
        <v>0</v>
      </c>
      <c r="N11509">
        <v>0</v>
      </c>
      <c r="O11509">
        <v>0</v>
      </c>
      <c r="AF11509" t="s">
        <v>23499</v>
      </c>
    </row>
    <row r="11510" spans="1:32" hidden="1" x14ac:dyDescent="0.35">
      <c r="A11510">
        <v>4769</v>
      </c>
      <c r="B11510" t="s">
        <v>9996</v>
      </c>
      <c r="C11510" t="s">
        <v>10127</v>
      </c>
      <c r="D11510" t="s">
        <v>58</v>
      </c>
      <c r="E11510">
        <v>811</v>
      </c>
      <c r="F11510">
        <v>5</v>
      </c>
      <c r="G11510">
        <v>5</v>
      </c>
      <c r="H11510">
        <v>1</v>
      </c>
      <c r="I11510">
        <v>1</v>
      </c>
      <c r="J11510">
        <v>0.73584129920855201</v>
      </c>
      <c r="K11510">
        <v>0.90286879600863201</v>
      </c>
      <c r="L11510">
        <v>0.81084280838802203</v>
      </c>
      <c r="M11510">
        <v>0.49723756906077299</v>
      </c>
      <c r="N11510">
        <v>0.98895027624309395</v>
      </c>
      <c r="O11510">
        <v>0.64751381215469594</v>
      </c>
      <c r="P11510" t="s">
        <v>3075</v>
      </c>
      <c r="Q11510" t="s">
        <v>3076</v>
      </c>
      <c r="R11510" t="s">
        <v>869</v>
      </c>
      <c r="S11510" t="s">
        <v>870</v>
      </c>
      <c r="T11510" t="s">
        <v>9997</v>
      </c>
      <c r="U11510" t="s">
        <v>9998</v>
      </c>
      <c r="V11510" t="s">
        <v>9999</v>
      </c>
      <c r="W11510" t="s">
        <v>10000</v>
      </c>
      <c r="X11510" t="s">
        <v>9999</v>
      </c>
      <c r="Y11510" t="s">
        <v>10001</v>
      </c>
      <c r="Z11510" t="s">
        <v>10002</v>
      </c>
      <c r="AA11510" t="s">
        <v>10003</v>
      </c>
      <c r="AB11510" t="s">
        <v>10002</v>
      </c>
      <c r="AC11510" t="s">
        <v>1742</v>
      </c>
      <c r="AD11510" t="s">
        <v>219</v>
      </c>
      <c r="AE11510" t="s">
        <v>10004</v>
      </c>
      <c r="AF11510" t="s">
        <v>10005</v>
      </c>
    </row>
    <row r="11511" spans="1:32" hidden="1" x14ac:dyDescent="0.35">
      <c r="A11511">
        <v>11510</v>
      </c>
      <c r="B11511" t="s">
        <v>23502</v>
      </c>
      <c r="C11511" t="s">
        <v>33</v>
      </c>
      <c r="D11511" t="s">
        <v>34</v>
      </c>
      <c r="E11511">
        <v>2383</v>
      </c>
      <c r="F11511">
        <v>1</v>
      </c>
      <c r="G11511">
        <v>1</v>
      </c>
      <c r="H11511">
        <v>1</v>
      </c>
      <c r="I11511">
        <v>0</v>
      </c>
      <c r="J11511">
        <v>1</v>
      </c>
      <c r="K11511">
        <v>1</v>
      </c>
      <c r="L11511">
        <v>1</v>
      </c>
      <c r="M11511">
        <v>0</v>
      </c>
      <c r="N11511">
        <v>0</v>
      </c>
      <c r="O11511">
        <v>0</v>
      </c>
      <c r="AF11511" t="s">
        <v>23503</v>
      </c>
    </row>
    <row r="11512" spans="1:32" hidden="1" x14ac:dyDescent="0.35">
      <c r="A11512">
        <v>11594</v>
      </c>
      <c r="B11512" t="s">
        <v>23725</v>
      </c>
      <c r="C11512" t="s">
        <v>33</v>
      </c>
      <c r="D11512" t="s">
        <v>58</v>
      </c>
      <c r="E11512">
        <v>891</v>
      </c>
      <c r="F11512">
        <v>1</v>
      </c>
      <c r="G11512">
        <v>1</v>
      </c>
      <c r="H11512">
        <v>1</v>
      </c>
      <c r="I11512">
        <v>0</v>
      </c>
      <c r="J11512">
        <v>1</v>
      </c>
      <c r="K11512">
        <v>1</v>
      </c>
      <c r="L11512">
        <v>1</v>
      </c>
      <c r="M11512">
        <v>0</v>
      </c>
      <c r="N11512">
        <v>0</v>
      </c>
      <c r="O11512">
        <v>0</v>
      </c>
      <c r="P11512" t="s">
        <v>23726</v>
      </c>
      <c r="Q11512" t="s">
        <v>23727</v>
      </c>
      <c r="R11512" t="s">
        <v>869</v>
      </c>
      <c r="S11512" t="s">
        <v>870</v>
      </c>
      <c r="T11512" t="s">
        <v>15820</v>
      </c>
      <c r="U11512" t="s">
        <v>15821</v>
      </c>
      <c r="V11512" t="s">
        <v>23728</v>
      </c>
      <c r="W11512" t="s">
        <v>23729</v>
      </c>
      <c r="X11512" t="s">
        <v>23728</v>
      </c>
      <c r="Y11512" t="s">
        <v>10001</v>
      </c>
      <c r="Z11512" t="s">
        <v>10562</v>
      </c>
      <c r="AA11512" t="s">
        <v>10563</v>
      </c>
      <c r="AB11512" t="s">
        <v>10562</v>
      </c>
      <c r="AC11512" t="s">
        <v>1156</v>
      </c>
      <c r="AD11512" t="s">
        <v>410</v>
      </c>
      <c r="AE11512" t="s">
        <v>11908</v>
      </c>
      <c r="AF11512" t="s">
        <v>23730</v>
      </c>
    </row>
    <row r="11513" spans="1:32" hidden="1" x14ac:dyDescent="0.35">
      <c r="A11513">
        <v>11512</v>
      </c>
      <c r="B11513" t="s">
        <v>23506</v>
      </c>
      <c r="C11513" t="s">
        <v>33</v>
      </c>
      <c r="D11513" t="s">
        <v>58</v>
      </c>
      <c r="E11513">
        <v>959</v>
      </c>
      <c r="F11513">
        <v>1</v>
      </c>
      <c r="G11513">
        <v>1</v>
      </c>
      <c r="H11513">
        <v>1</v>
      </c>
      <c r="I11513">
        <v>0</v>
      </c>
      <c r="J11513">
        <v>1</v>
      </c>
      <c r="K11513">
        <v>1</v>
      </c>
      <c r="L11513">
        <v>1</v>
      </c>
      <c r="M11513">
        <v>0</v>
      </c>
      <c r="N11513">
        <v>0</v>
      </c>
      <c r="O11513">
        <v>0</v>
      </c>
      <c r="P11513" t="s">
        <v>4167</v>
      </c>
      <c r="Q11513" t="s">
        <v>4168</v>
      </c>
      <c r="R11513" t="s">
        <v>18767</v>
      </c>
      <c r="S11513" t="s">
        <v>18768</v>
      </c>
      <c r="T11513" t="s">
        <v>18769</v>
      </c>
      <c r="U11513" t="s">
        <v>18770</v>
      </c>
      <c r="V11513" t="s">
        <v>18771</v>
      </c>
      <c r="W11513" t="s">
        <v>18772</v>
      </c>
      <c r="AD11513" t="s">
        <v>4173</v>
      </c>
      <c r="AE11513" t="s">
        <v>4174</v>
      </c>
      <c r="AF11513" t="s">
        <v>23507</v>
      </c>
    </row>
    <row r="11514" spans="1:32" hidden="1" x14ac:dyDescent="0.35">
      <c r="A11514">
        <v>11251</v>
      </c>
      <c r="B11514" t="s">
        <v>22865</v>
      </c>
      <c r="C11514" t="s">
        <v>33</v>
      </c>
      <c r="D11514" t="s">
        <v>58</v>
      </c>
      <c r="E11514">
        <v>893</v>
      </c>
      <c r="F11514">
        <v>1</v>
      </c>
      <c r="G11514">
        <v>1</v>
      </c>
      <c r="H11514">
        <v>1</v>
      </c>
      <c r="I11514">
        <v>0</v>
      </c>
      <c r="J11514">
        <v>1</v>
      </c>
      <c r="K11514">
        <v>1</v>
      </c>
      <c r="L11514">
        <v>1</v>
      </c>
      <c r="M11514">
        <v>0</v>
      </c>
      <c r="N11514">
        <v>0</v>
      </c>
      <c r="O11514">
        <v>0</v>
      </c>
      <c r="P11514" t="s">
        <v>22866</v>
      </c>
      <c r="Q11514" t="s">
        <v>22867</v>
      </c>
      <c r="R11514" t="s">
        <v>869</v>
      </c>
      <c r="S11514" t="s">
        <v>870</v>
      </c>
      <c r="T11514" t="s">
        <v>22868</v>
      </c>
      <c r="U11514" t="s">
        <v>22869</v>
      </c>
      <c r="V11514" t="s">
        <v>22870</v>
      </c>
      <c r="W11514" t="s">
        <v>22871</v>
      </c>
      <c r="X11514" t="s">
        <v>22870</v>
      </c>
      <c r="Y11514" t="s">
        <v>10001</v>
      </c>
      <c r="Z11514" t="s">
        <v>22872</v>
      </c>
      <c r="AA11514" t="s">
        <v>22873</v>
      </c>
      <c r="AB11514" t="s">
        <v>22872</v>
      </c>
      <c r="AC11514" t="s">
        <v>878</v>
      </c>
      <c r="AD11514" t="s">
        <v>219</v>
      </c>
      <c r="AE11514" t="s">
        <v>22874</v>
      </c>
      <c r="AF11514" t="s">
        <v>22875</v>
      </c>
    </row>
    <row r="11515" spans="1:32" hidden="1" x14ac:dyDescent="0.35">
      <c r="A11515">
        <v>11514</v>
      </c>
      <c r="B11515" t="s">
        <v>23510</v>
      </c>
      <c r="C11515" t="s">
        <v>33</v>
      </c>
      <c r="D11515" t="s">
        <v>34</v>
      </c>
      <c r="E11515">
        <v>469</v>
      </c>
      <c r="F11515">
        <v>1</v>
      </c>
      <c r="G11515">
        <v>1</v>
      </c>
      <c r="H11515">
        <v>1</v>
      </c>
      <c r="I11515">
        <v>0</v>
      </c>
      <c r="J11515">
        <v>1</v>
      </c>
      <c r="K11515">
        <v>1</v>
      </c>
      <c r="L11515">
        <v>1</v>
      </c>
      <c r="M11515">
        <v>0</v>
      </c>
      <c r="N11515">
        <v>0</v>
      </c>
      <c r="O11515">
        <v>0</v>
      </c>
      <c r="AF11515" t="s">
        <v>23511</v>
      </c>
    </row>
    <row r="11516" spans="1:32" hidden="1" x14ac:dyDescent="0.35">
      <c r="A11516">
        <v>11515</v>
      </c>
      <c r="B11516" t="s">
        <v>23512</v>
      </c>
      <c r="C11516" t="s">
        <v>33</v>
      </c>
      <c r="D11516" t="s">
        <v>45</v>
      </c>
      <c r="E11516">
        <v>952</v>
      </c>
      <c r="F11516">
        <v>1</v>
      </c>
      <c r="G11516">
        <v>1</v>
      </c>
      <c r="H11516">
        <v>1</v>
      </c>
      <c r="I11516">
        <v>0</v>
      </c>
      <c r="J11516">
        <v>1</v>
      </c>
      <c r="K11516">
        <v>1</v>
      </c>
      <c r="L11516">
        <v>1</v>
      </c>
      <c r="M11516">
        <v>0</v>
      </c>
      <c r="N11516">
        <v>0</v>
      </c>
      <c r="O11516">
        <v>0</v>
      </c>
      <c r="AF11516" t="s">
        <v>23513</v>
      </c>
    </row>
    <row r="11517" spans="1:32" hidden="1" x14ac:dyDescent="0.35">
      <c r="A11517">
        <v>11516</v>
      </c>
      <c r="B11517" t="s">
        <v>23514</v>
      </c>
      <c r="C11517" t="s">
        <v>33</v>
      </c>
      <c r="D11517" t="s">
        <v>58</v>
      </c>
      <c r="E11517">
        <v>364</v>
      </c>
      <c r="F11517">
        <v>1</v>
      </c>
      <c r="G11517">
        <v>1</v>
      </c>
      <c r="H11517">
        <v>1</v>
      </c>
      <c r="I11517">
        <v>0</v>
      </c>
      <c r="J11517">
        <v>1</v>
      </c>
      <c r="K11517">
        <v>1</v>
      </c>
      <c r="L11517">
        <v>1</v>
      </c>
      <c r="M11517">
        <v>0</v>
      </c>
      <c r="N11517">
        <v>0</v>
      </c>
      <c r="O11517">
        <v>0</v>
      </c>
      <c r="R11517" t="s">
        <v>1259</v>
      </c>
      <c r="S11517" t="s">
        <v>1260</v>
      </c>
      <c r="V11517" t="s">
        <v>14995</v>
      </c>
      <c r="W11517" t="s">
        <v>2923</v>
      </c>
      <c r="AF11517" t="s">
        <v>23515</v>
      </c>
    </row>
    <row r="11518" spans="1:32" hidden="1" x14ac:dyDescent="0.35">
      <c r="A11518">
        <v>11517</v>
      </c>
      <c r="B11518" t="s">
        <v>23516</v>
      </c>
      <c r="C11518" t="s">
        <v>33</v>
      </c>
      <c r="D11518" t="s">
        <v>58</v>
      </c>
      <c r="E11518">
        <v>1754</v>
      </c>
      <c r="F11518">
        <v>1</v>
      </c>
      <c r="G11518">
        <v>1</v>
      </c>
      <c r="H11518">
        <v>1</v>
      </c>
      <c r="I11518">
        <v>0</v>
      </c>
      <c r="J11518">
        <v>1</v>
      </c>
      <c r="K11518">
        <v>1</v>
      </c>
      <c r="L11518">
        <v>1</v>
      </c>
      <c r="M11518">
        <v>0</v>
      </c>
      <c r="N11518">
        <v>0</v>
      </c>
      <c r="O11518">
        <v>0</v>
      </c>
      <c r="AF11518" t="s">
        <v>23517</v>
      </c>
    </row>
    <row r="11519" spans="1:32" hidden="1" x14ac:dyDescent="0.35">
      <c r="A11519">
        <v>11518</v>
      </c>
      <c r="B11519" t="s">
        <v>23518</v>
      </c>
      <c r="C11519" t="s">
        <v>33</v>
      </c>
      <c r="D11519" t="s">
        <v>58</v>
      </c>
      <c r="E11519">
        <v>234</v>
      </c>
      <c r="F11519">
        <v>1</v>
      </c>
      <c r="G11519">
        <v>1</v>
      </c>
      <c r="H11519">
        <v>1</v>
      </c>
      <c r="I11519">
        <v>0</v>
      </c>
      <c r="J11519">
        <v>1</v>
      </c>
      <c r="K11519">
        <v>1</v>
      </c>
      <c r="L11519">
        <v>1</v>
      </c>
      <c r="M11519">
        <v>0</v>
      </c>
      <c r="N11519">
        <v>0</v>
      </c>
      <c r="O11519">
        <v>0</v>
      </c>
      <c r="P11519" t="s">
        <v>8484</v>
      </c>
      <c r="Q11519" t="s">
        <v>8485</v>
      </c>
      <c r="AF11519" t="s">
        <v>23519</v>
      </c>
    </row>
    <row r="11520" spans="1:32" hidden="1" x14ac:dyDescent="0.35">
      <c r="A11520">
        <v>11519</v>
      </c>
      <c r="B11520" t="s">
        <v>23520</v>
      </c>
      <c r="C11520" t="s">
        <v>33</v>
      </c>
      <c r="D11520" t="s">
        <v>58</v>
      </c>
      <c r="E11520">
        <v>969</v>
      </c>
      <c r="F11520">
        <v>1</v>
      </c>
      <c r="G11520">
        <v>1</v>
      </c>
      <c r="H11520">
        <v>1</v>
      </c>
      <c r="I11520">
        <v>0</v>
      </c>
      <c r="J11520">
        <v>1</v>
      </c>
      <c r="K11520">
        <v>1</v>
      </c>
      <c r="L11520">
        <v>1</v>
      </c>
      <c r="M11520">
        <v>0</v>
      </c>
      <c r="N11520">
        <v>0</v>
      </c>
      <c r="O11520">
        <v>0</v>
      </c>
      <c r="AF11520" t="s">
        <v>23521</v>
      </c>
    </row>
    <row r="11521" spans="1:32" hidden="1" x14ac:dyDescent="0.35">
      <c r="A11521">
        <v>4539</v>
      </c>
      <c r="B11521" t="s">
        <v>9475</v>
      </c>
      <c r="C11521" t="s">
        <v>72</v>
      </c>
      <c r="D11521" t="s">
        <v>58</v>
      </c>
      <c r="E11521">
        <v>1231</v>
      </c>
      <c r="F11521">
        <v>5</v>
      </c>
      <c r="G11521">
        <v>5</v>
      </c>
      <c r="H11521">
        <v>1</v>
      </c>
      <c r="I11521">
        <v>1</v>
      </c>
      <c r="J11521">
        <v>0.83436853002070399</v>
      </c>
      <c r="K11521">
        <v>0.956618095560824</v>
      </c>
      <c r="L11521">
        <v>0.89132104370140197</v>
      </c>
      <c r="M11521">
        <v>0.66813186813186798</v>
      </c>
      <c r="N11521">
        <v>0.99780219780219803</v>
      </c>
      <c r="O11521">
        <v>0.75560439560439596</v>
      </c>
      <c r="P11521" t="s">
        <v>233</v>
      </c>
      <c r="Q11521" t="s">
        <v>234</v>
      </c>
      <c r="R11521" t="s">
        <v>235</v>
      </c>
      <c r="S11521" t="s">
        <v>236</v>
      </c>
      <c r="T11521" t="s">
        <v>9476</v>
      </c>
      <c r="U11521" t="s">
        <v>9477</v>
      </c>
      <c r="V11521" t="s">
        <v>9478</v>
      </c>
      <c r="W11521" t="s">
        <v>9479</v>
      </c>
      <c r="X11521" t="s">
        <v>9478</v>
      </c>
      <c r="Y11521" t="s">
        <v>1108</v>
      </c>
      <c r="Z11521" t="s">
        <v>9480</v>
      </c>
      <c r="AA11521" t="s">
        <v>9481</v>
      </c>
      <c r="AB11521" t="s">
        <v>9480</v>
      </c>
      <c r="AC11521" t="s">
        <v>9482</v>
      </c>
      <c r="AD11521" t="s">
        <v>245</v>
      </c>
      <c r="AE11521" t="s">
        <v>9483</v>
      </c>
      <c r="AF11521" t="s">
        <v>9484</v>
      </c>
    </row>
    <row r="11522" spans="1:32" hidden="1" x14ac:dyDescent="0.35">
      <c r="A11522">
        <v>11521</v>
      </c>
      <c r="B11522" t="s">
        <v>23524</v>
      </c>
      <c r="C11522" t="s">
        <v>33</v>
      </c>
      <c r="D11522" t="s">
        <v>34</v>
      </c>
      <c r="E11522">
        <v>84</v>
      </c>
      <c r="F11522">
        <v>1</v>
      </c>
      <c r="G11522">
        <v>1</v>
      </c>
      <c r="H11522">
        <v>1</v>
      </c>
      <c r="I11522">
        <v>0</v>
      </c>
      <c r="J11522">
        <v>1</v>
      </c>
      <c r="K11522">
        <v>1</v>
      </c>
      <c r="L11522">
        <v>1</v>
      </c>
      <c r="M11522">
        <v>0</v>
      </c>
      <c r="N11522">
        <v>0</v>
      </c>
      <c r="O11522">
        <v>0</v>
      </c>
      <c r="AF11522" t="s">
        <v>23525</v>
      </c>
    </row>
    <row r="11523" spans="1:32" hidden="1" x14ac:dyDescent="0.35">
      <c r="A11523">
        <v>11522</v>
      </c>
      <c r="B11523" t="s">
        <v>23526</v>
      </c>
      <c r="C11523" t="s">
        <v>33</v>
      </c>
      <c r="D11523" t="s">
        <v>34</v>
      </c>
      <c r="E11523">
        <v>790</v>
      </c>
      <c r="F11523">
        <v>1</v>
      </c>
      <c r="G11523">
        <v>1</v>
      </c>
      <c r="H11523">
        <v>1</v>
      </c>
      <c r="I11523">
        <v>0</v>
      </c>
      <c r="J11523">
        <v>1</v>
      </c>
      <c r="K11523">
        <v>1</v>
      </c>
      <c r="L11523">
        <v>1</v>
      </c>
      <c r="M11523">
        <v>0</v>
      </c>
      <c r="N11523">
        <v>0</v>
      </c>
      <c r="O11523">
        <v>0</v>
      </c>
      <c r="AF11523" t="s">
        <v>23527</v>
      </c>
    </row>
    <row r="11524" spans="1:32" hidden="1" x14ac:dyDescent="0.35">
      <c r="A11524">
        <v>11523</v>
      </c>
      <c r="B11524" t="s">
        <v>23528</v>
      </c>
      <c r="C11524" t="s">
        <v>33</v>
      </c>
      <c r="D11524" t="s">
        <v>58</v>
      </c>
      <c r="E11524">
        <v>1491</v>
      </c>
      <c r="F11524">
        <v>1</v>
      </c>
      <c r="G11524">
        <v>1</v>
      </c>
      <c r="H11524">
        <v>1</v>
      </c>
      <c r="I11524">
        <v>0</v>
      </c>
      <c r="J11524">
        <v>1</v>
      </c>
      <c r="K11524">
        <v>1</v>
      </c>
      <c r="L11524">
        <v>1</v>
      </c>
      <c r="M11524">
        <v>0</v>
      </c>
      <c r="N11524">
        <v>0</v>
      </c>
      <c r="O11524">
        <v>0</v>
      </c>
      <c r="P11524" t="s">
        <v>23529</v>
      </c>
      <c r="Q11524" t="s">
        <v>23530</v>
      </c>
      <c r="R11524" t="s">
        <v>288</v>
      </c>
      <c r="S11524" t="s">
        <v>289</v>
      </c>
      <c r="T11524" t="s">
        <v>23531</v>
      </c>
      <c r="U11524" t="s">
        <v>23532</v>
      </c>
      <c r="V11524" t="s">
        <v>23533</v>
      </c>
      <c r="W11524" t="s">
        <v>23534</v>
      </c>
      <c r="Z11524" t="s">
        <v>23535</v>
      </c>
      <c r="AA11524" t="s">
        <v>23536</v>
      </c>
      <c r="AB11524" t="s">
        <v>23535</v>
      </c>
      <c r="AC11524" t="s">
        <v>23537</v>
      </c>
      <c r="AD11524" t="s">
        <v>219</v>
      </c>
      <c r="AE11524" t="s">
        <v>23538</v>
      </c>
      <c r="AF11524" t="s">
        <v>23539</v>
      </c>
    </row>
    <row r="11525" spans="1:32" hidden="1" x14ac:dyDescent="0.35">
      <c r="A11525">
        <v>11524</v>
      </c>
      <c r="B11525" t="s">
        <v>23540</v>
      </c>
      <c r="C11525" t="s">
        <v>33</v>
      </c>
      <c r="D11525" t="s">
        <v>60</v>
      </c>
      <c r="E11525">
        <v>2057</v>
      </c>
      <c r="F11525">
        <v>1</v>
      </c>
      <c r="G11525">
        <v>1</v>
      </c>
      <c r="H11525">
        <v>1</v>
      </c>
      <c r="I11525">
        <v>0</v>
      </c>
      <c r="J11525">
        <v>1</v>
      </c>
      <c r="K11525">
        <v>1</v>
      </c>
      <c r="L11525">
        <v>1</v>
      </c>
      <c r="M11525">
        <v>0</v>
      </c>
      <c r="N11525">
        <v>0</v>
      </c>
      <c r="O11525">
        <v>0</v>
      </c>
      <c r="AF11525" t="s">
        <v>23541</v>
      </c>
    </row>
    <row r="11526" spans="1:32" hidden="1" x14ac:dyDescent="0.35">
      <c r="A11526">
        <v>11525</v>
      </c>
      <c r="B11526" t="s">
        <v>23542</v>
      </c>
      <c r="C11526" t="s">
        <v>33</v>
      </c>
      <c r="D11526" t="s">
        <v>60</v>
      </c>
      <c r="E11526">
        <v>2513</v>
      </c>
      <c r="F11526">
        <v>1</v>
      </c>
      <c r="G11526">
        <v>1</v>
      </c>
      <c r="H11526">
        <v>1</v>
      </c>
      <c r="I11526">
        <v>0</v>
      </c>
      <c r="J11526">
        <v>1</v>
      </c>
      <c r="K11526">
        <v>1</v>
      </c>
      <c r="L11526">
        <v>1</v>
      </c>
      <c r="M11526">
        <v>0</v>
      </c>
      <c r="N11526">
        <v>0</v>
      </c>
      <c r="O11526">
        <v>0</v>
      </c>
      <c r="P11526" t="s">
        <v>13851</v>
      </c>
      <c r="Q11526" t="s">
        <v>13852</v>
      </c>
      <c r="R11526" t="s">
        <v>13853</v>
      </c>
      <c r="S11526" t="s">
        <v>13854</v>
      </c>
      <c r="V11526" t="s">
        <v>13855</v>
      </c>
      <c r="W11526" t="s">
        <v>13856</v>
      </c>
      <c r="AF11526" t="s">
        <v>23543</v>
      </c>
    </row>
    <row r="11527" spans="1:32" hidden="1" x14ac:dyDescent="0.35">
      <c r="A11527">
        <v>11526</v>
      </c>
      <c r="B11527" t="s">
        <v>23544</v>
      </c>
      <c r="C11527" t="s">
        <v>33</v>
      </c>
      <c r="D11527" t="s">
        <v>58</v>
      </c>
      <c r="E11527">
        <v>1443</v>
      </c>
      <c r="F11527">
        <v>1</v>
      </c>
      <c r="G11527">
        <v>1</v>
      </c>
      <c r="H11527">
        <v>1</v>
      </c>
      <c r="I11527">
        <v>0</v>
      </c>
      <c r="J11527">
        <v>1</v>
      </c>
      <c r="K11527">
        <v>1</v>
      </c>
      <c r="L11527">
        <v>1</v>
      </c>
      <c r="M11527">
        <v>0</v>
      </c>
      <c r="N11527">
        <v>0</v>
      </c>
      <c r="O11527">
        <v>0</v>
      </c>
      <c r="AF11527" t="s">
        <v>23545</v>
      </c>
    </row>
    <row r="11528" spans="1:32" hidden="1" x14ac:dyDescent="0.35">
      <c r="A11528">
        <v>11527</v>
      </c>
      <c r="B11528" t="s">
        <v>23546</v>
      </c>
      <c r="C11528" t="s">
        <v>33</v>
      </c>
      <c r="D11528" t="s">
        <v>45</v>
      </c>
      <c r="E11528">
        <v>422</v>
      </c>
      <c r="F11528">
        <v>1</v>
      </c>
      <c r="G11528">
        <v>1</v>
      </c>
      <c r="H11528">
        <v>1</v>
      </c>
      <c r="I11528">
        <v>0</v>
      </c>
      <c r="J11528">
        <v>1</v>
      </c>
      <c r="K11528">
        <v>1</v>
      </c>
      <c r="L11528">
        <v>1</v>
      </c>
      <c r="M11528">
        <v>0</v>
      </c>
      <c r="N11528">
        <v>0</v>
      </c>
      <c r="O11528">
        <v>0</v>
      </c>
      <c r="P11528" t="s">
        <v>23547</v>
      </c>
      <c r="Q11528" t="s">
        <v>23548</v>
      </c>
      <c r="AF11528" t="s">
        <v>23549</v>
      </c>
    </row>
    <row r="11529" spans="1:32" hidden="1" x14ac:dyDescent="0.35">
      <c r="A11529">
        <v>11528</v>
      </c>
      <c r="B11529" t="s">
        <v>23550</v>
      </c>
      <c r="C11529" t="s">
        <v>33</v>
      </c>
      <c r="D11529" t="s">
        <v>58</v>
      </c>
      <c r="E11529">
        <v>1442</v>
      </c>
      <c r="F11529">
        <v>1</v>
      </c>
      <c r="G11529">
        <v>1</v>
      </c>
      <c r="H11529">
        <v>1</v>
      </c>
      <c r="I11529">
        <v>0</v>
      </c>
      <c r="J11529">
        <v>1</v>
      </c>
      <c r="K11529">
        <v>1</v>
      </c>
      <c r="L11529">
        <v>1</v>
      </c>
      <c r="M11529">
        <v>0</v>
      </c>
      <c r="N11529">
        <v>0</v>
      </c>
      <c r="O11529">
        <v>0</v>
      </c>
      <c r="AF11529" t="s">
        <v>23551</v>
      </c>
    </row>
    <row r="11530" spans="1:32" hidden="1" x14ac:dyDescent="0.35">
      <c r="A11530">
        <v>11529</v>
      </c>
      <c r="B11530" t="s">
        <v>23552</v>
      </c>
      <c r="C11530" t="s">
        <v>33</v>
      </c>
      <c r="D11530" t="s">
        <v>60</v>
      </c>
      <c r="E11530">
        <v>1949</v>
      </c>
      <c r="F11530">
        <v>1</v>
      </c>
      <c r="G11530">
        <v>1</v>
      </c>
      <c r="H11530">
        <v>1</v>
      </c>
      <c r="I11530">
        <v>0</v>
      </c>
      <c r="J11530">
        <v>1</v>
      </c>
      <c r="K11530">
        <v>1</v>
      </c>
      <c r="L11530">
        <v>1</v>
      </c>
      <c r="M11530">
        <v>0</v>
      </c>
      <c r="N11530">
        <v>0</v>
      </c>
      <c r="O11530">
        <v>0</v>
      </c>
      <c r="P11530" t="s">
        <v>12781</v>
      </c>
      <c r="Q11530" t="s">
        <v>12782</v>
      </c>
      <c r="R11530" t="s">
        <v>288</v>
      </c>
      <c r="S11530" t="s">
        <v>289</v>
      </c>
      <c r="V11530" t="s">
        <v>23553</v>
      </c>
      <c r="W11530" t="s">
        <v>23554</v>
      </c>
      <c r="AF11530" t="s">
        <v>23555</v>
      </c>
    </row>
    <row r="11531" spans="1:32" hidden="1" x14ac:dyDescent="0.35">
      <c r="A11531">
        <v>11261</v>
      </c>
      <c r="B11531" t="s">
        <v>22904</v>
      </c>
      <c r="C11531" t="s">
        <v>33</v>
      </c>
      <c r="D11531" t="s">
        <v>58</v>
      </c>
      <c r="E11531">
        <v>1257</v>
      </c>
      <c r="F11531">
        <v>1</v>
      </c>
      <c r="G11531">
        <v>1</v>
      </c>
      <c r="H11531">
        <v>1</v>
      </c>
      <c r="I11531">
        <v>0</v>
      </c>
      <c r="J11531">
        <v>1</v>
      </c>
      <c r="K11531">
        <v>1</v>
      </c>
      <c r="L11531">
        <v>1</v>
      </c>
      <c r="M11531">
        <v>0</v>
      </c>
      <c r="N11531">
        <v>0</v>
      </c>
      <c r="O11531">
        <v>0</v>
      </c>
      <c r="P11531" t="s">
        <v>233</v>
      </c>
      <c r="Q11531" t="s">
        <v>234</v>
      </c>
      <c r="R11531" t="s">
        <v>235</v>
      </c>
      <c r="S11531" t="s">
        <v>236</v>
      </c>
      <c r="T11531" t="s">
        <v>11532</v>
      </c>
      <c r="U11531" t="s">
        <v>11533</v>
      </c>
      <c r="V11531" t="s">
        <v>11534</v>
      </c>
      <c r="W11531" t="s">
        <v>11535</v>
      </c>
      <c r="X11531" t="s">
        <v>11534</v>
      </c>
      <c r="Y11531" t="s">
        <v>7046</v>
      </c>
      <c r="Z11531" t="s">
        <v>7047</v>
      </c>
      <c r="AA11531" t="s">
        <v>7048</v>
      </c>
      <c r="AB11531" t="s">
        <v>7047</v>
      </c>
      <c r="AC11531" t="s">
        <v>7049</v>
      </c>
      <c r="AD11531" t="s">
        <v>245</v>
      </c>
      <c r="AE11531" t="s">
        <v>11536</v>
      </c>
      <c r="AF11531" t="s">
        <v>22905</v>
      </c>
    </row>
    <row r="11532" spans="1:32" hidden="1" x14ac:dyDescent="0.35">
      <c r="A11532">
        <v>11531</v>
      </c>
      <c r="B11532" t="s">
        <v>23562</v>
      </c>
      <c r="C11532" t="s">
        <v>33</v>
      </c>
      <c r="D11532" t="s">
        <v>34</v>
      </c>
      <c r="E11532">
        <v>754</v>
      </c>
      <c r="F11532">
        <v>1</v>
      </c>
      <c r="G11532">
        <v>1</v>
      </c>
      <c r="H11532">
        <v>1</v>
      </c>
      <c r="I11532">
        <v>0</v>
      </c>
      <c r="J11532">
        <v>1</v>
      </c>
      <c r="K11532">
        <v>1</v>
      </c>
      <c r="L11532">
        <v>1</v>
      </c>
      <c r="M11532">
        <v>0</v>
      </c>
      <c r="N11532">
        <v>0</v>
      </c>
      <c r="O11532">
        <v>0</v>
      </c>
      <c r="AF11532" t="s">
        <v>23563</v>
      </c>
    </row>
    <row r="11533" spans="1:32" hidden="1" x14ac:dyDescent="0.35">
      <c r="A11533">
        <v>11532</v>
      </c>
      <c r="B11533" t="s">
        <v>23564</v>
      </c>
      <c r="C11533" t="s">
        <v>33</v>
      </c>
      <c r="D11533" t="s">
        <v>58</v>
      </c>
      <c r="E11533">
        <v>634</v>
      </c>
      <c r="F11533">
        <v>1</v>
      </c>
      <c r="G11533">
        <v>1</v>
      </c>
      <c r="H11533">
        <v>1</v>
      </c>
      <c r="I11533">
        <v>0</v>
      </c>
      <c r="J11533">
        <v>1</v>
      </c>
      <c r="K11533">
        <v>1</v>
      </c>
      <c r="L11533">
        <v>1</v>
      </c>
      <c r="M11533">
        <v>0</v>
      </c>
      <c r="N11533">
        <v>0</v>
      </c>
      <c r="O11533">
        <v>0</v>
      </c>
      <c r="P11533" t="s">
        <v>4358</v>
      </c>
      <c r="Q11533" t="s">
        <v>4359</v>
      </c>
      <c r="R11533" t="s">
        <v>319</v>
      </c>
      <c r="S11533" t="s">
        <v>320</v>
      </c>
      <c r="V11533" t="s">
        <v>4360</v>
      </c>
      <c r="W11533" t="s">
        <v>4361</v>
      </c>
      <c r="AF11533" t="s">
        <v>23565</v>
      </c>
    </row>
    <row r="11534" spans="1:32" hidden="1" x14ac:dyDescent="0.35">
      <c r="A11534">
        <v>4749</v>
      </c>
      <c r="B11534" t="s">
        <v>9950</v>
      </c>
      <c r="C11534" t="s">
        <v>10127</v>
      </c>
      <c r="D11534" t="s">
        <v>58</v>
      </c>
      <c r="E11534">
        <v>1060</v>
      </c>
      <c r="F11534">
        <v>5</v>
      </c>
      <c r="G11534">
        <v>5</v>
      </c>
      <c r="H11534">
        <v>1</v>
      </c>
      <c r="I11534">
        <v>1</v>
      </c>
      <c r="J11534">
        <v>0.89379585094495495</v>
      </c>
      <c r="K11534">
        <v>0.985909823865045</v>
      </c>
      <c r="L11534">
        <v>0.93759583937577895</v>
      </c>
      <c r="M11534">
        <v>0.81465517241379304</v>
      </c>
      <c r="N11534">
        <v>0.99712643678160895</v>
      </c>
      <c r="O11534">
        <v>0.861206896551724</v>
      </c>
      <c r="P11534" t="s">
        <v>3336</v>
      </c>
      <c r="Q11534" t="s">
        <v>3337</v>
      </c>
      <c r="R11534" t="s">
        <v>224</v>
      </c>
      <c r="S11534" t="s">
        <v>225</v>
      </c>
      <c r="T11534" t="s">
        <v>9951</v>
      </c>
      <c r="U11534" t="s">
        <v>9952</v>
      </c>
      <c r="V11534" t="s">
        <v>9953</v>
      </c>
      <c r="W11534" t="s">
        <v>9954</v>
      </c>
      <c r="X11534" t="s">
        <v>9953</v>
      </c>
      <c r="Y11534" t="s">
        <v>589</v>
      </c>
      <c r="AD11534" t="s">
        <v>997</v>
      </c>
      <c r="AE11534" t="s">
        <v>9955</v>
      </c>
      <c r="AF11534" t="s">
        <v>9956</v>
      </c>
    </row>
    <row r="11535" spans="1:32" hidden="1" x14ac:dyDescent="0.35">
      <c r="A11535">
        <v>11534</v>
      </c>
      <c r="B11535" t="s">
        <v>23568</v>
      </c>
      <c r="C11535" t="s">
        <v>33</v>
      </c>
      <c r="D11535" t="s">
        <v>34</v>
      </c>
      <c r="E11535">
        <v>2396</v>
      </c>
      <c r="F11535">
        <v>1</v>
      </c>
      <c r="G11535">
        <v>1</v>
      </c>
      <c r="H11535">
        <v>1</v>
      </c>
      <c r="I11535">
        <v>0</v>
      </c>
      <c r="J11535">
        <v>1</v>
      </c>
      <c r="K11535">
        <v>1</v>
      </c>
      <c r="L11535">
        <v>1</v>
      </c>
      <c r="M11535">
        <v>0</v>
      </c>
      <c r="N11535">
        <v>0</v>
      </c>
      <c r="O11535">
        <v>0</v>
      </c>
      <c r="AF11535" t="s">
        <v>23569</v>
      </c>
    </row>
    <row r="11536" spans="1:32" hidden="1" x14ac:dyDescent="0.35">
      <c r="A11536">
        <v>11535</v>
      </c>
      <c r="B11536" t="s">
        <v>23570</v>
      </c>
      <c r="C11536" t="s">
        <v>33</v>
      </c>
      <c r="D11536" t="s">
        <v>58</v>
      </c>
      <c r="E11536">
        <v>1510</v>
      </c>
      <c r="F11536">
        <v>1</v>
      </c>
      <c r="G11536">
        <v>1</v>
      </c>
      <c r="H11536">
        <v>1</v>
      </c>
      <c r="I11536">
        <v>0</v>
      </c>
      <c r="J11536">
        <v>1</v>
      </c>
      <c r="K11536">
        <v>1</v>
      </c>
      <c r="L11536">
        <v>1</v>
      </c>
      <c r="M11536">
        <v>0</v>
      </c>
      <c r="N11536">
        <v>0</v>
      </c>
      <c r="O11536">
        <v>0</v>
      </c>
      <c r="P11536" t="s">
        <v>626</v>
      </c>
      <c r="Q11536" t="s">
        <v>627</v>
      </c>
      <c r="AF11536" t="s">
        <v>23571</v>
      </c>
    </row>
    <row r="11537" spans="1:32" hidden="1" x14ac:dyDescent="0.35">
      <c r="A11537">
        <v>1299</v>
      </c>
      <c r="B11537" t="s">
        <v>2691</v>
      </c>
      <c r="C11537" t="s">
        <v>72</v>
      </c>
      <c r="D11537" t="s">
        <v>58</v>
      </c>
      <c r="E11537">
        <v>1135</v>
      </c>
      <c r="F11537">
        <v>5</v>
      </c>
      <c r="G11537">
        <v>5</v>
      </c>
      <c r="H11537">
        <v>1</v>
      </c>
      <c r="I11537">
        <v>1</v>
      </c>
      <c r="J11537">
        <v>0.83207185387021898</v>
      </c>
      <c r="K11537">
        <v>0.86467009425878605</v>
      </c>
      <c r="L11537">
        <v>0.84805783119749101</v>
      </c>
      <c r="M11537">
        <v>0.57948717948717998</v>
      </c>
      <c r="N11537">
        <v>1</v>
      </c>
      <c r="O11537">
        <v>0.74820512820512797</v>
      </c>
      <c r="P11537" t="s">
        <v>2692</v>
      </c>
      <c r="Q11537" t="s">
        <v>2693</v>
      </c>
      <c r="R11537" t="s">
        <v>113</v>
      </c>
      <c r="S11537" t="s">
        <v>114</v>
      </c>
      <c r="T11537" t="s">
        <v>2694</v>
      </c>
      <c r="U11537" t="s">
        <v>2695</v>
      </c>
      <c r="V11537" t="s">
        <v>2696</v>
      </c>
      <c r="W11537" t="s">
        <v>2697</v>
      </c>
      <c r="AD11537" t="s">
        <v>2698</v>
      </c>
      <c r="AE11537" t="s">
        <v>2699</v>
      </c>
      <c r="AF11537" t="s">
        <v>2700</v>
      </c>
    </row>
    <row r="11538" spans="1:32" hidden="1" x14ac:dyDescent="0.35">
      <c r="A11538">
        <v>11537</v>
      </c>
      <c r="B11538" t="s">
        <v>23579</v>
      </c>
      <c r="C11538" t="s">
        <v>33</v>
      </c>
      <c r="D11538" t="s">
        <v>58</v>
      </c>
      <c r="E11538">
        <v>290</v>
      </c>
      <c r="F11538">
        <v>1</v>
      </c>
      <c r="G11538">
        <v>1</v>
      </c>
      <c r="H11538">
        <v>1</v>
      </c>
      <c r="I11538">
        <v>0</v>
      </c>
      <c r="J11538">
        <v>1</v>
      </c>
      <c r="K11538">
        <v>1</v>
      </c>
      <c r="L11538">
        <v>1</v>
      </c>
      <c r="M11538">
        <v>0</v>
      </c>
      <c r="N11538">
        <v>0</v>
      </c>
      <c r="O11538">
        <v>0</v>
      </c>
      <c r="P11538" t="s">
        <v>15241</v>
      </c>
      <c r="Q11538" t="s">
        <v>15242</v>
      </c>
      <c r="T11538" t="s">
        <v>15243</v>
      </c>
      <c r="U11538" t="s">
        <v>15244</v>
      </c>
      <c r="AD11538" t="s">
        <v>5013</v>
      </c>
      <c r="AE11538" t="s">
        <v>15245</v>
      </c>
      <c r="AF11538" t="s">
        <v>23580</v>
      </c>
    </row>
    <row r="11539" spans="1:32" hidden="1" x14ac:dyDescent="0.35">
      <c r="A11539">
        <v>11538</v>
      </c>
      <c r="B11539" t="s">
        <v>23581</v>
      </c>
      <c r="C11539" t="s">
        <v>33</v>
      </c>
      <c r="D11539" t="s">
        <v>34</v>
      </c>
      <c r="E11539">
        <v>810</v>
      </c>
      <c r="F11539">
        <v>1</v>
      </c>
      <c r="G11539">
        <v>1</v>
      </c>
      <c r="H11539">
        <v>1</v>
      </c>
      <c r="I11539">
        <v>0</v>
      </c>
      <c r="J11539">
        <v>1</v>
      </c>
      <c r="K11539">
        <v>1</v>
      </c>
      <c r="L11539">
        <v>1</v>
      </c>
      <c r="M11539">
        <v>0</v>
      </c>
      <c r="N11539">
        <v>0</v>
      </c>
      <c r="O11539">
        <v>0</v>
      </c>
      <c r="AF11539" t="s">
        <v>23582</v>
      </c>
    </row>
    <row r="11540" spans="1:32" hidden="1" x14ac:dyDescent="0.35">
      <c r="A11540">
        <v>11740</v>
      </c>
      <c r="B11540" t="s">
        <v>24115</v>
      </c>
      <c r="C11540" t="s">
        <v>33</v>
      </c>
      <c r="D11540" t="s">
        <v>58</v>
      </c>
      <c r="E11540">
        <v>1021</v>
      </c>
      <c r="F11540">
        <v>1</v>
      </c>
      <c r="G11540">
        <v>1</v>
      </c>
      <c r="H11540">
        <v>1</v>
      </c>
      <c r="I11540">
        <v>0</v>
      </c>
      <c r="J11540">
        <v>1</v>
      </c>
      <c r="K11540">
        <v>1</v>
      </c>
      <c r="L11540">
        <v>1</v>
      </c>
      <c r="M11540">
        <v>0</v>
      </c>
      <c r="N11540">
        <v>0</v>
      </c>
      <c r="O11540">
        <v>0</v>
      </c>
      <c r="P11540" t="s">
        <v>17897</v>
      </c>
      <c r="Q11540" t="s">
        <v>17898</v>
      </c>
      <c r="R11540" t="s">
        <v>113</v>
      </c>
      <c r="S11540" t="s">
        <v>114</v>
      </c>
      <c r="T11540" t="s">
        <v>17899</v>
      </c>
      <c r="U11540" t="s">
        <v>17900</v>
      </c>
      <c r="V11540" t="s">
        <v>17901</v>
      </c>
      <c r="W11540" t="s">
        <v>17902</v>
      </c>
      <c r="AD11540" t="s">
        <v>2698</v>
      </c>
      <c r="AE11540" t="s">
        <v>2699</v>
      </c>
      <c r="AF11540" t="s">
        <v>24116</v>
      </c>
    </row>
    <row r="11541" spans="1:32" hidden="1" x14ac:dyDescent="0.35">
      <c r="A11541">
        <v>11540</v>
      </c>
      <c r="B11541" t="s">
        <v>23585</v>
      </c>
      <c r="C11541" t="s">
        <v>33</v>
      </c>
      <c r="D11541" t="s">
        <v>58</v>
      </c>
      <c r="E11541">
        <v>1775</v>
      </c>
      <c r="F11541">
        <v>1</v>
      </c>
      <c r="G11541">
        <v>1</v>
      </c>
      <c r="H11541">
        <v>1</v>
      </c>
      <c r="I11541">
        <v>0</v>
      </c>
      <c r="J11541">
        <v>1</v>
      </c>
      <c r="K11541">
        <v>1</v>
      </c>
      <c r="L11541">
        <v>1</v>
      </c>
      <c r="M11541">
        <v>0</v>
      </c>
      <c r="N11541">
        <v>0</v>
      </c>
      <c r="O11541">
        <v>0</v>
      </c>
      <c r="P11541" t="s">
        <v>15548</v>
      </c>
      <c r="Q11541" t="s">
        <v>15549</v>
      </c>
      <c r="AF11541" t="s">
        <v>23586</v>
      </c>
    </row>
    <row r="11542" spans="1:32" hidden="1" x14ac:dyDescent="0.35">
      <c r="A11542">
        <v>11541</v>
      </c>
      <c r="B11542" t="s">
        <v>23587</v>
      </c>
      <c r="C11542" t="s">
        <v>33</v>
      </c>
      <c r="D11542" t="s">
        <v>45</v>
      </c>
      <c r="E11542">
        <v>1292</v>
      </c>
      <c r="F11542">
        <v>1</v>
      </c>
      <c r="G11542">
        <v>1</v>
      </c>
      <c r="H11542">
        <v>1</v>
      </c>
      <c r="I11542">
        <v>0</v>
      </c>
      <c r="J11542">
        <v>1</v>
      </c>
      <c r="K11542">
        <v>1</v>
      </c>
      <c r="L11542">
        <v>1</v>
      </c>
      <c r="M11542">
        <v>0</v>
      </c>
      <c r="N11542">
        <v>0</v>
      </c>
      <c r="O11542">
        <v>0</v>
      </c>
      <c r="P11542" t="s">
        <v>169</v>
      </c>
      <c r="Q11542" t="s">
        <v>170</v>
      </c>
      <c r="R11542" t="s">
        <v>157</v>
      </c>
      <c r="S11542" t="s">
        <v>158</v>
      </c>
      <c r="T11542" t="s">
        <v>159</v>
      </c>
      <c r="U11542" t="s">
        <v>160</v>
      </c>
      <c r="V11542" t="s">
        <v>161</v>
      </c>
      <c r="W11542" t="s">
        <v>162</v>
      </c>
      <c r="AD11542" t="s">
        <v>166</v>
      </c>
      <c r="AE11542" t="s">
        <v>167</v>
      </c>
      <c r="AF11542" t="s">
        <v>23588</v>
      </c>
    </row>
    <row r="11543" spans="1:32" hidden="1" x14ac:dyDescent="0.35">
      <c r="A11543">
        <v>11542</v>
      </c>
      <c r="B11543" t="s">
        <v>23589</v>
      </c>
      <c r="C11543" t="s">
        <v>33</v>
      </c>
      <c r="D11543" t="s">
        <v>34</v>
      </c>
      <c r="E11543">
        <v>270</v>
      </c>
      <c r="F11543">
        <v>1</v>
      </c>
      <c r="G11543">
        <v>1</v>
      </c>
      <c r="H11543">
        <v>1</v>
      </c>
      <c r="I11543">
        <v>0</v>
      </c>
      <c r="J11543">
        <v>1</v>
      </c>
      <c r="K11543">
        <v>1</v>
      </c>
      <c r="L11543">
        <v>1</v>
      </c>
      <c r="M11543">
        <v>0</v>
      </c>
      <c r="N11543">
        <v>0</v>
      </c>
      <c r="O11543">
        <v>0</v>
      </c>
      <c r="P11543" t="s">
        <v>16381</v>
      </c>
      <c r="Q11543" t="s">
        <v>16382</v>
      </c>
      <c r="R11543" t="s">
        <v>371</v>
      </c>
      <c r="S11543" t="s">
        <v>372</v>
      </c>
      <c r="T11543" t="s">
        <v>23248</v>
      </c>
      <c r="U11543" t="s">
        <v>23249</v>
      </c>
      <c r="V11543" t="s">
        <v>19078</v>
      </c>
      <c r="W11543" t="s">
        <v>19079</v>
      </c>
      <c r="AD11543" t="s">
        <v>14829</v>
      </c>
      <c r="AE11543" t="s">
        <v>18901</v>
      </c>
      <c r="AF11543" t="s">
        <v>23590</v>
      </c>
    </row>
    <row r="11544" spans="1:32" hidden="1" x14ac:dyDescent="0.35">
      <c r="A11544">
        <v>1799</v>
      </c>
      <c r="B11544" t="s">
        <v>3736</v>
      </c>
      <c r="C11544" t="s">
        <v>72</v>
      </c>
      <c r="D11544" t="s">
        <v>58</v>
      </c>
      <c r="E11544">
        <v>661</v>
      </c>
      <c r="F11544">
        <v>5</v>
      </c>
      <c r="G11544">
        <v>5</v>
      </c>
      <c r="H11544">
        <v>1</v>
      </c>
      <c r="I11544">
        <v>1</v>
      </c>
      <c r="J11544">
        <v>0.91001340225923799</v>
      </c>
      <c r="K11544">
        <v>0.994857142857142</v>
      </c>
      <c r="L11544">
        <v>0.95054578449373905</v>
      </c>
      <c r="M11544">
        <v>0.83428571428571396</v>
      </c>
      <c r="N11544">
        <v>1</v>
      </c>
      <c r="O11544">
        <v>0.878857142857143</v>
      </c>
      <c r="P11544" t="s">
        <v>3737</v>
      </c>
      <c r="Q11544" t="s">
        <v>3738</v>
      </c>
      <c r="R11544" t="s">
        <v>113</v>
      </c>
      <c r="S11544" t="s">
        <v>114</v>
      </c>
      <c r="T11544" t="s">
        <v>3739</v>
      </c>
      <c r="U11544" t="s">
        <v>3740</v>
      </c>
      <c r="V11544" t="s">
        <v>3741</v>
      </c>
      <c r="W11544" t="s">
        <v>3742</v>
      </c>
      <c r="AD11544" t="s">
        <v>125</v>
      </c>
      <c r="AE11544" t="s">
        <v>3743</v>
      </c>
      <c r="AF11544" t="s">
        <v>3744</v>
      </c>
    </row>
    <row r="11545" spans="1:32" hidden="1" x14ac:dyDescent="0.35">
      <c r="A11545">
        <v>3184</v>
      </c>
      <c r="B11545" t="s">
        <v>6543</v>
      </c>
      <c r="C11545" t="s">
        <v>72</v>
      </c>
      <c r="D11545" t="s">
        <v>58</v>
      </c>
      <c r="E11545">
        <v>1254</v>
      </c>
      <c r="F11545">
        <v>5</v>
      </c>
      <c r="G11545">
        <v>5</v>
      </c>
      <c r="H11545">
        <v>1</v>
      </c>
      <c r="I11545">
        <v>1</v>
      </c>
      <c r="J11545">
        <v>0.80769653052261703</v>
      </c>
      <c r="K11545">
        <v>0.88882607081378795</v>
      </c>
      <c r="L11545">
        <v>0.84632144961562294</v>
      </c>
      <c r="M11545">
        <v>0.619738751814224</v>
      </c>
      <c r="N11545">
        <v>1</v>
      </c>
      <c r="O11545">
        <v>0.71044992743105995</v>
      </c>
      <c r="P11545" t="s">
        <v>4603</v>
      </c>
      <c r="Q11545" t="s">
        <v>4604</v>
      </c>
      <c r="R11545" t="s">
        <v>113</v>
      </c>
      <c r="S11545" t="s">
        <v>114</v>
      </c>
      <c r="T11545" t="s">
        <v>6544</v>
      </c>
      <c r="U11545" t="s">
        <v>6545</v>
      </c>
      <c r="V11545" t="s">
        <v>6546</v>
      </c>
      <c r="W11545" t="s">
        <v>6547</v>
      </c>
      <c r="AD11545" t="s">
        <v>6548</v>
      </c>
      <c r="AE11545" t="s">
        <v>6549</v>
      </c>
      <c r="AF11545" t="s">
        <v>6550</v>
      </c>
    </row>
    <row r="11546" spans="1:32" hidden="1" x14ac:dyDescent="0.35">
      <c r="A11546">
        <v>11545</v>
      </c>
      <c r="B11546" t="s">
        <v>23605</v>
      </c>
      <c r="C11546" t="s">
        <v>33</v>
      </c>
      <c r="D11546" t="s">
        <v>58</v>
      </c>
      <c r="E11546">
        <v>632</v>
      </c>
      <c r="F11546">
        <v>1</v>
      </c>
      <c r="G11546">
        <v>1</v>
      </c>
      <c r="H11546">
        <v>1</v>
      </c>
      <c r="I11546">
        <v>0</v>
      </c>
      <c r="J11546">
        <v>1</v>
      </c>
      <c r="K11546">
        <v>1</v>
      </c>
      <c r="L11546">
        <v>1</v>
      </c>
      <c r="M11546">
        <v>0</v>
      </c>
      <c r="N11546">
        <v>0</v>
      </c>
      <c r="O11546">
        <v>0</v>
      </c>
      <c r="AF11546" t="s">
        <v>23606</v>
      </c>
    </row>
    <row r="11547" spans="1:32" hidden="1" x14ac:dyDescent="0.35">
      <c r="A11547">
        <v>11546</v>
      </c>
      <c r="B11547" t="s">
        <v>23607</v>
      </c>
      <c r="C11547" t="s">
        <v>33</v>
      </c>
      <c r="D11547" t="s">
        <v>45</v>
      </c>
      <c r="E11547">
        <v>394</v>
      </c>
      <c r="F11547">
        <v>1</v>
      </c>
      <c r="G11547">
        <v>1</v>
      </c>
      <c r="H11547">
        <v>1</v>
      </c>
      <c r="I11547">
        <v>0</v>
      </c>
      <c r="J11547">
        <v>1</v>
      </c>
      <c r="K11547">
        <v>1</v>
      </c>
      <c r="L11547">
        <v>1</v>
      </c>
      <c r="M11547">
        <v>0</v>
      </c>
      <c r="N11547">
        <v>0</v>
      </c>
      <c r="O11547">
        <v>0</v>
      </c>
      <c r="AF11547" t="s">
        <v>23608</v>
      </c>
    </row>
    <row r="11548" spans="1:32" hidden="1" x14ac:dyDescent="0.35">
      <c r="A11548">
        <v>1924</v>
      </c>
      <c r="B11548" t="s">
        <v>3992</v>
      </c>
      <c r="C11548" t="s">
        <v>72</v>
      </c>
      <c r="D11548" t="s">
        <v>58</v>
      </c>
      <c r="E11548">
        <v>211</v>
      </c>
      <c r="F11548">
        <v>5</v>
      </c>
      <c r="G11548">
        <v>5</v>
      </c>
      <c r="H11548">
        <v>1</v>
      </c>
      <c r="I11548">
        <v>1</v>
      </c>
      <c r="J11548">
        <v>0.75637104994903204</v>
      </c>
      <c r="K11548">
        <v>0.88038095238095504</v>
      </c>
      <c r="L11548">
        <v>0.81367814349343304</v>
      </c>
      <c r="M11548">
        <v>0.54817275747508298</v>
      </c>
      <c r="N11548">
        <v>1</v>
      </c>
      <c r="O11548">
        <v>0.65049833887043196</v>
      </c>
      <c r="P11548" t="s">
        <v>3993</v>
      </c>
      <c r="Q11548" t="s">
        <v>3994</v>
      </c>
      <c r="R11548" t="s">
        <v>113</v>
      </c>
      <c r="S11548" t="s">
        <v>114</v>
      </c>
      <c r="T11548" t="s">
        <v>3995</v>
      </c>
      <c r="U11548" t="s">
        <v>3996</v>
      </c>
      <c r="V11548" t="s">
        <v>3997</v>
      </c>
      <c r="W11548" t="s">
        <v>3998</v>
      </c>
      <c r="AD11548" t="s">
        <v>2698</v>
      </c>
      <c r="AE11548" t="s">
        <v>2699</v>
      </c>
      <c r="AF11548" t="s">
        <v>3999</v>
      </c>
    </row>
    <row r="11549" spans="1:32" hidden="1" x14ac:dyDescent="0.35">
      <c r="A11549">
        <v>11548</v>
      </c>
      <c r="B11549" t="s">
        <v>23611</v>
      </c>
      <c r="C11549" t="s">
        <v>33</v>
      </c>
      <c r="D11549" t="s">
        <v>34</v>
      </c>
      <c r="E11549">
        <v>1130</v>
      </c>
      <c r="F11549">
        <v>1</v>
      </c>
      <c r="G11549">
        <v>1</v>
      </c>
      <c r="H11549">
        <v>1</v>
      </c>
      <c r="I11549">
        <v>0</v>
      </c>
      <c r="J11549">
        <v>1</v>
      </c>
      <c r="K11549">
        <v>1</v>
      </c>
      <c r="L11549">
        <v>1</v>
      </c>
      <c r="M11549">
        <v>0</v>
      </c>
      <c r="N11549">
        <v>0</v>
      </c>
      <c r="O11549">
        <v>0</v>
      </c>
      <c r="P11549" t="s">
        <v>13851</v>
      </c>
      <c r="Q11549" t="s">
        <v>13852</v>
      </c>
      <c r="R11549" t="s">
        <v>13853</v>
      </c>
      <c r="S11549" t="s">
        <v>13854</v>
      </c>
      <c r="V11549" t="s">
        <v>13855</v>
      </c>
      <c r="W11549" t="s">
        <v>13856</v>
      </c>
      <c r="AF11549" t="s">
        <v>23612</v>
      </c>
    </row>
    <row r="11550" spans="1:32" hidden="1" x14ac:dyDescent="0.35">
      <c r="A11550">
        <v>11549</v>
      </c>
      <c r="B11550" t="s">
        <v>23613</v>
      </c>
      <c r="C11550" t="s">
        <v>33</v>
      </c>
      <c r="D11550" t="s">
        <v>45</v>
      </c>
      <c r="E11550">
        <v>2495</v>
      </c>
      <c r="F11550">
        <v>1</v>
      </c>
      <c r="G11550">
        <v>1</v>
      </c>
      <c r="H11550">
        <v>1</v>
      </c>
      <c r="I11550">
        <v>0</v>
      </c>
      <c r="J11550">
        <v>1</v>
      </c>
      <c r="K11550">
        <v>1</v>
      </c>
      <c r="L11550">
        <v>1</v>
      </c>
      <c r="M11550">
        <v>0</v>
      </c>
      <c r="N11550">
        <v>0</v>
      </c>
      <c r="O11550">
        <v>0</v>
      </c>
      <c r="P11550" t="s">
        <v>11901</v>
      </c>
      <c r="Q11550" t="s">
        <v>11902</v>
      </c>
      <c r="AF11550" t="s">
        <v>23614</v>
      </c>
    </row>
    <row r="11551" spans="1:32" hidden="1" x14ac:dyDescent="0.35">
      <c r="A11551">
        <v>11550</v>
      </c>
      <c r="B11551" t="s">
        <v>23615</v>
      </c>
      <c r="C11551" t="s">
        <v>33</v>
      </c>
      <c r="D11551" t="s">
        <v>45</v>
      </c>
      <c r="E11551">
        <v>1526</v>
      </c>
      <c r="F11551">
        <v>1</v>
      </c>
      <c r="G11551">
        <v>1</v>
      </c>
      <c r="H11551">
        <v>1</v>
      </c>
      <c r="I11551">
        <v>0</v>
      </c>
      <c r="J11551">
        <v>1</v>
      </c>
      <c r="K11551">
        <v>1</v>
      </c>
      <c r="L11551">
        <v>1</v>
      </c>
      <c r="M11551">
        <v>0</v>
      </c>
      <c r="N11551">
        <v>0</v>
      </c>
      <c r="O11551">
        <v>0</v>
      </c>
      <c r="P11551" t="s">
        <v>17818</v>
      </c>
      <c r="Q11551" t="s">
        <v>17819</v>
      </c>
      <c r="R11551" t="s">
        <v>96</v>
      </c>
      <c r="S11551" t="s">
        <v>97</v>
      </c>
      <c r="V11551" t="s">
        <v>17822</v>
      </c>
      <c r="W11551" t="s">
        <v>17823</v>
      </c>
      <c r="AF11551" t="s">
        <v>23616</v>
      </c>
    </row>
    <row r="11552" spans="1:32" hidden="1" x14ac:dyDescent="0.35">
      <c r="A11552">
        <v>11551</v>
      </c>
      <c r="B11552" t="s">
        <v>23617</v>
      </c>
      <c r="C11552" t="s">
        <v>33</v>
      </c>
      <c r="D11552" t="s">
        <v>62</v>
      </c>
      <c r="E11552">
        <v>2094</v>
      </c>
      <c r="F11552">
        <v>1</v>
      </c>
      <c r="G11552">
        <v>1</v>
      </c>
      <c r="H11552">
        <v>1</v>
      </c>
      <c r="I11552">
        <v>0</v>
      </c>
      <c r="J11552">
        <v>1</v>
      </c>
      <c r="K11552">
        <v>1</v>
      </c>
      <c r="L11552">
        <v>1</v>
      </c>
      <c r="M11552">
        <v>0</v>
      </c>
      <c r="N11552">
        <v>0</v>
      </c>
      <c r="O11552">
        <v>0</v>
      </c>
      <c r="P11552" t="s">
        <v>23618</v>
      </c>
      <c r="Q11552" t="s">
        <v>19461</v>
      </c>
      <c r="R11552" t="s">
        <v>13853</v>
      </c>
      <c r="S11552" t="s">
        <v>13854</v>
      </c>
      <c r="T11552" t="s">
        <v>19462</v>
      </c>
      <c r="U11552" t="s">
        <v>19463</v>
      </c>
      <c r="V11552" t="s">
        <v>19464</v>
      </c>
      <c r="W11552" t="s">
        <v>19465</v>
      </c>
      <c r="AD11552" t="s">
        <v>410</v>
      </c>
      <c r="AE11552" t="s">
        <v>1217</v>
      </c>
      <c r="AF11552" t="s">
        <v>23619</v>
      </c>
    </row>
    <row r="11553" spans="1:32" hidden="1" x14ac:dyDescent="0.35">
      <c r="A11553">
        <v>11552</v>
      </c>
      <c r="B11553" t="s">
        <v>23620</v>
      </c>
      <c r="C11553" t="s">
        <v>33</v>
      </c>
      <c r="D11553" t="s">
        <v>58</v>
      </c>
      <c r="E11553">
        <v>862</v>
      </c>
      <c r="F11553">
        <v>1</v>
      </c>
      <c r="G11553">
        <v>1</v>
      </c>
      <c r="H11553">
        <v>1</v>
      </c>
      <c r="I11553">
        <v>0</v>
      </c>
      <c r="J11553">
        <v>1</v>
      </c>
      <c r="K11553">
        <v>1</v>
      </c>
      <c r="L11553">
        <v>1</v>
      </c>
      <c r="M11553">
        <v>0</v>
      </c>
      <c r="N11553">
        <v>0</v>
      </c>
      <c r="O11553">
        <v>0</v>
      </c>
      <c r="AF11553" t="s">
        <v>23621</v>
      </c>
    </row>
    <row r="11554" spans="1:32" hidden="1" x14ac:dyDescent="0.35">
      <c r="A11554">
        <v>3569</v>
      </c>
      <c r="B11554" t="s">
        <v>7333</v>
      </c>
      <c r="C11554" t="s">
        <v>72</v>
      </c>
      <c r="D11554" t="s">
        <v>58</v>
      </c>
      <c r="E11554">
        <v>1179</v>
      </c>
      <c r="F11554">
        <v>5</v>
      </c>
      <c r="G11554">
        <v>5</v>
      </c>
      <c r="H11554">
        <v>1</v>
      </c>
      <c r="I11554">
        <v>1</v>
      </c>
      <c r="J11554">
        <v>0.82279968660224601</v>
      </c>
      <c r="K11554">
        <v>0.981951548665286</v>
      </c>
      <c r="L11554">
        <v>0.89535821969460405</v>
      </c>
      <c r="M11554">
        <v>0.67051282051282002</v>
      </c>
      <c r="N11554">
        <v>0.99871794871794894</v>
      </c>
      <c r="O11554">
        <v>0.76551282051282099</v>
      </c>
      <c r="P11554" t="s">
        <v>7334</v>
      </c>
      <c r="Q11554" t="s">
        <v>7335</v>
      </c>
      <c r="R11554" t="s">
        <v>113</v>
      </c>
      <c r="S11554" t="s">
        <v>114</v>
      </c>
      <c r="T11554" t="s">
        <v>7336</v>
      </c>
      <c r="U11554" t="s">
        <v>7337</v>
      </c>
      <c r="V11554" t="s">
        <v>7338</v>
      </c>
      <c r="W11554" t="s">
        <v>7339</v>
      </c>
      <c r="AD11554" t="s">
        <v>410</v>
      </c>
      <c r="AE11554" t="s">
        <v>3673</v>
      </c>
      <c r="AF11554" t="s">
        <v>7340</v>
      </c>
    </row>
    <row r="11555" spans="1:32" hidden="1" x14ac:dyDescent="0.35">
      <c r="A11555">
        <v>1184</v>
      </c>
      <c r="B11555" t="s">
        <v>2473</v>
      </c>
      <c r="C11555" t="s">
        <v>72</v>
      </c>
      <c r="D11555" t="s">
        <v>58</v>
      </c>
      <c r="E11555">
        <v>1092</v>
      </c>
      <c r="F11555">
        <v>5</v>
      </c>
      <c r="G11555">
        <v>5</v>
      </c>
      <c r="H11555">
        <v>1</v>
      </c>
      <c r="I11555">
        <v>1</v>
      </c>
      <c r="J11555">
        <v>0.84390669282755604</v>
      </c>
      <c r="K11555">
        <v>0.945836208879687</v>
      </c>
      <c r="L11555">
        <v>0.89196890372444704</v>
      </c>
      <c r="M11555">
        <v>0.66666666666666696</v>
      </c>
      <c r="N11555">
        <v>1</v>
      </c>
      <c r="O11555">
        <v>0.77160493827160503</v>
      </c>
      <c r="P11555" t="s">
        <v>2474</v>
      </c>
      <c r="Q11555" t="s">
        <v>2475</v>
      </c>
      <c r="R11555" t="s">
        <v>113</v>
      </c>
      <c r="S11555" t="s">
        <v>114</v>
      </c>
      <c r="T11555" t="s">
        <v>2476</v>
      </c>
      <c r="U11555" t="s">
        <v>2477</v>
      </c>
      <c r="V11555" t="s">
        <v>2478</v>
      </c>
      <c r="W11555" t="s">
        <v>2479</v>
      </c>
      <c r="AD11555" t="s">
        <v>312</v>
      </c>
      <c r="AE11555" t="s">
        <v>805</v>
      </c>
      <c r="AF11555" t="s">
        <v>2480</v>
      </c>
    </row>
    <row r="11556" spans="1:32" hidden="1" x14ac:dyDescent="0.35">
      <c r="A11556">
        <v>11555</v>
      </c>
      <c r="B11556" t="s">
        <v>23626</v>
      </c>
      <c r="C11556" t="s">
        <v>33</v>
      </c>
      <c r="D11556" t="s">
        <v>34</v>
      </c>
      <c r="E11556">
        <v>783</v>
      </c>
      <c r="F11556">
        <v>1</v>
      </c>
      <c r="G11556">
        <v>1</v>
      </c>
      <c r="H11556">
        <v>1</v>
      </c>
      <c r="I11556">
        <v>0</v>
      </c>
      <c r="J11556">
        <v>1</v>
      </c>
      <c r="K11556">
        <v>1</v>
      </c>
      <c r="L11556">
        <v>1</v>
      </c>
      <c r="M11556">
        <v>0</v>
      </c>
      <c r="N11556">
        <v>0</v>
      </c>
      <c r="O11556">
        <v>0</v>
      </c>
      <c r="AF11556" t="s">
        <v>23627</v>
      </c>
    </row>
    <row r="11557" spans="1:32" hidden="1" x14ac:dyDescent="0.35">
      <c r="A11557">
        <v>11556</v>
      </c>
      <c r="B11557" t="s">
        <v>23628</v>
      </c>
      <c r="C11557" t="s">
        <v>33</v>
      </c>
      <c r="D11557" t="s">
        <v>45</v>
      </c>
      <c r="E11557">
        <v>29</v>
      </c>
      <c r="F11557">
        <v>1</v>
      </c>
      <c r="G11557">
        <v>1</v>
      </c>
      <c r="H11557">
        <v>1</v>
      </c>
      <c r="I11557">
        <v>0</v>
      </c>
      <c r="J11557">
        <v>1</v>
      </c>
      <c r="K11557">
        <v>1</v>
      </c>
      <c r="L11557">
        <v>1</v>
      </c>
      <c r="M11557">
        <v>0</v>
      </c>
      <c r="N11557">
        <v>0</v>
      </c>
      <c r="O11557">
        <v>0</v>
      </c>
      <c r="AF11557" t="s">
        <v>23629</v>
      </c>
    </row>
    <row r="11558" spans="1:32" hidden="1" x14ac:dyDescent="0.35">
      <c r="A11558">
        <v>11557</v>
      </c>
      <c r="B11558" t="s">
        <v>23630</v>
      </c>
      <c r="C11558" t="s">
        <v>33</v>
      </c>
      <c r="D11558" t="s">
        <v>45</v>
      </c>
      <c r="E11558">
        <v>355</v>
      </c>
      <c r="F11558">
        <v>1</v>
      </c>
      <c r="G11558">
        <v>1</v>
      </c>
      <c r="H11558">
        <v>1</v>
      </c>
      <c r="I11558">
        <v>0</v>
      </c>
      <c r="J11558">
        <v>1</v>
      </c>
      <c r="K11558">
        <v>1</v>
      </c>
      <c r="L11558">
        <v>1</v>
      </c>
      <c r="M11558">
        <v>0</v>
      </c>
      <c r="N11558">
        <v>0</v>
      </c>
      <c r="O11558">
        <v>0</v>
      </c>
      <c r="AF11558" t="s">
        <v>23631</v>
      </c>
    </row>
    <row r="11559" spans="1:32" hidden="1" x14ac:dyDescent="0.35">
      <c r="A11559">
        <v>11558</v>
      </c>
      <c r="B11559" t="s">
        <v>23632</v>
      </c>
      <c r="C11559" t="s">
        <v>33</v>
      </c>
      <c r="D11559" t="s">
        <v>58</v>
      </c>
      <c r="E11559">
        <v>478</v>
      </c>
      <c r="F11559">
        <v>1</v>
      </c>
      <c r="G11559">
        <v>1</v>
      </c>
      <c r="H11559">
        <v>1</v>
      </c>
      <c r="I11559">
        <v>0</v>
      </c>
      <c r="J11559">
        <v>1</v>
      </c>
      <c r="K11559">
        <v>1</v>
      </c>
      <c r="L11559">
        <v>1</v>
      </c>
      <c r="M11559">
        <v>0</v>
      </c>
      <c r="N11559">
        <v>0</v>
      </c>
      <c r="O11559">
        <v>0</v>
      </c>
      <c r="P11559" t="s">
        <v>23633</v>
      </c>
      <c r="Q11559" t="s">
        <v>23634</v>
      </c>
      <c r="AF11559" t="s">
        <v>23635</v>
      </c>
    </row>
    <row r="11560" spans="1:32" hidden="1" x14ac:dyDescent="0.35">
      <c r="A11560">
        <v>1729</v>
      </c>
      <c r="B11560" t="s">
        <v>3611</v>
      </c>
      <c r="C11560" t="s">
        <v>72</v>
      </c>
      <c r="D11560" t="s">
        <v>58</v>
      </c>
      <c r="E11560">
        <v>1398</v>
      </c>
      <c r="F11560">
        <v>5</v>
      </c>
      <c r="G11560">
        <v>5</v>
      </c>
      <c r="H11560">
        <v>1</v>
      </c>
      <c r="I11560">
        <v>1</v>
      </c>
      <c r="J11560">
        <v>0.79646193599682003</v>
      </c>
      <c r="K11560">
        <v>0.98084580953851197</v>
      </c>
      <c r="L11560">
        <v>0.879089571675848</v>
      </c>
      <c r="M11560">
        <v>0.63157894736842102</v>
      </c>
      <c r="N11560">
        <v>1</v>
      </c>
      <c r="O11560">
        <v>0.72514619883040898</v>
      </c>
      <c r="P11560" t="s">
        <v>3612</v>
      </c>
      <c r="Q11560" t="s">
        <v>3613</v>
      </c>
      <c r="R11560" t="s">
        <v>113</v>
      </c>
      <c r="S11560" t="s">
        <v>114</v>
      </c>
      <c r="T11560" t="s">
        <v>3614</v>
      </c>
      <c r="U11560" t="s">
        <v>3615</v>
      </c>
      <c r="V11560" t="s">
        <v>3616</v>
      </c>
      <c r="W11560" t="s">
        <v>3617</v>
      </c>
      <c r="AD11560" t="s">
        <v>312</v>
      </c>
      <c r="AE11560" t="s">
        <v>805</v>
      </c>
      <c r="AF11560" t="s">
        <v>3618</v>
      </c>
    </row>
    <row r="11561" spans="1:32" hidden="1" x14ac:dyDescent="0.35">
      <c r="A11561">
        <v>11560</v>
      </c>
      <c r="B11561" t="s">
        <v>23646</v>
      </c>
      <c r="C11561" t="s">
        <v>33</v>
      </c>
      <c r="D11561" t="s">
        <v>58</v>
      </c>
      <c r="E11561">
        <v>854</v>
      </c>
      <c r="F11561">
        <v>1</v>
      </c>
      <c r="G11561">
        <v>1</v>
      </c>
      <c r="H11561">
        <v>1</v>
      </c>
      <c r="I11561">
        <v>0</v>
      </c>
      <c r="J11561">
        <v>1</v>
      </c>
      <c r="K11561">
        <v>1</v>
      </c>
      <c r="L11561">
        <v>1</v>
      </c>
      <c r="M11561">
        <v>0</v>
      </c>
      <c r="N11561">
        <v>0</v>
      </c>
      <c r="O11561">
        <v>0</v>
      </c>
      <c r="P11561" t="s">
        <v>3647</v>
      </c>
      <c r="Q11561" t="s">
        <v>3648</v>
      </c>
      <c r="R11561" t="s">
        <v>10106</v>
      </c>
      <c r="S11561" t="s">
        <v>10107</v>
      </c>
      <c r="V11561" t="s">
        <v>10108</v>
      </c>
      <c r="W11561" t="s">
        <v>10109</v>
      </c>
      <c r="X11561" t="s">
        <v>10108</v>
      </c>
      <c r="Y11561" t="s">
        <v>1136</v>
      </c>
      <c r="AF11561" t="s">
        <v>23647</v>
      </c>
    </row>
    <row r="11562" spans="1:32" hidden="1" x14ac:dyDescent="0.35">
      <c r="A11562">
        <v>11561</v>
      </c>
      <c r="B11562" t="s">
        <v>23648</v>
      </c>
      <c r="C11562" t="s">
        <v>33</v>
      </c>
      <c r="D11562" t="s">
        <v>58</v>
      </c>
      <c r="E11562">
        <v>1870</v>
      </c>
      <c r="F11562">
        <v>1</v>
      </c>
      <c r="G11562">
        <v>1</v>
      </c>
      <c r="H11562">
        <v>1</v>
      </c>
      <c r="I11562">
        <v>0</v>
      </c>
      <c r="J11562">
        <v>1</v>
      </c>
      <c r="K11562">
        <v>1</v>
      </c>
      <c r="L11562">
        <v>1</v>
      </c>
      <c r="M11562">
        <v>0</v>
      </c>
      <c r="N11562">
        <v>0</v>
      </c>
      <c r="O11562">
        <v>0</v>
      </c>
      <c r="P11562" t="s">
        <v>11476</v>
      </c>
      <c r="Q11562" t="s">
        <v>11477</v>
      </c>
      <c r="R11562" t="s">
        <v>11478</v>
      </c>
      <c r="S11562" t="s">
        <v>11479</v>
      </c>
      <c r="V11562" t="s">
        <v>11480</v>
      </c>
      <c r="W11562" t="s">
        <v>11481</v>
      </c>
      <c r="AF11562" t="s">
        <v>23649</v>
      </c>
    </row>
    <row r="11563" spans="1:32" hidden="1" x14ac:dyDescent="0.35">
      <c r="A11563">
        <v>11562</v>
      </c>
      <c r="B11563" t="s">
        <v>23650</v>
      </c>
      <c r="C11563" t="s">
        <v>33</v>
      </c>
      <c r="D11563" t="s">
        <v>58</v>
      </c>
      <c r="E11563">
        <v>70</v>
      </c>
      <c r="F11563">
        <v>1</v>
      </c>
      <c r="G11563">
        <v>1</v>
      </c>
      <c r="H11563">
        <v>1</v>
      </c>
      <c r="I11563">
        <v>0</v>
      </c>
      <c r="J11563">
        <v>1</v>
      </c>
      <c r="K11563">
        <v>1</v>
      </c>
      <c r="L11563">
        <v>1</v>
      </c>
      <c r="M11563">
        <v>0</v>
      </c>
      <c r="N11563">
        <v>0</v>
      </c>
      <c r="O11563">
        <v>0</v>
      </c>
      <c r="P11563" t="s">
        <v>4358</v>
      </c>
      <c r="Q11563" t="s">
        <v>4359</v>
      </c>
      <c r="R11563" t="s">
        <v>319</v>
      </c>
      <c r="S11563" t="s">
        <v>320</v>
      </c>
      <c r="V11563" t="s">
        <v>4360</v>
      </c>
      <c r="W11563" t="s">
        <v>4361</v>
      </c>
      <c r="AF11563" t="s">
        <v>23651</v>
      </c>
    </row>
    <row r="11564" spans="1:32" hidden="1" x14ac:dyDescent="0.35">
      <c r="A11564">
        <v>11563</v>
      </c>
      <c r="B11564" t="s">
        <v>23652</v>
      </c>
      <c r="C11564" t="s">
        <v>33</v>
      </c>
      <c r="D11564" t="s">
        <v>58</v>
      </c>
      <c r="E11564">
        <v>1565</v>
      </c>
      <c r="F11564">
        <v>1</v>
      </c>
      <c r="G11564">
        <v>1</v>
      </c>
      <c r="H11564">
        <v>1</v>
      </c>
      <c r="I11564">
        <v>0</v>
      </c>
      <c r="J11564">
        <v>1</v>
      </c>
      <c r="K11564">
        <v>1</v>
      </c>
      <c r="L11564">
        <v>1</v>
      </c>
      <c r="M11564">
        <v>0</v>
      </c>
      <c r="N11564">
        <v>0</v>
      </c>
      <c r="O11564">
        <v>0</v>
      </c>
      <c r="P11564" t="s">
        <v>14849</v>
      </c>
      <c r="Q11564" t="s">
        <v>14850</v>
      </c>
      <c r="AF11564" t="s">
        <v>23653</v>
      </c>
    </row>
    <row r="11565" spans="1:32" hidden="1" x14ac:dyDescent="0.35">
      <c r="A11565">
        <v>11564</v>
      </c>
      <c r="B11565" t="s">
        <v>23654</v>
      </c>
      <c r="C11565" t="s">
        <v>33</v>
      </c>
      <c r="D11565" t="s">
        <v>58</v>
      </c>
      <c r="E11565">
        <v>1020</v>
      </c>
      <c r="F11565">
        <v>1</v>
      </c>
      <c r="G11565">
        <v>1</v>
      </c>
      <c r="H11565">
        <v>1</v>
      </c>
      <c r="I11565">
        <v>0</v>
      </c>
      <c r="J11565">
        <v>1</v>
      </c>
      <c r="K11565">
        <v>1</v>
      </c>
      <c r="L11565">
        <v>1</v>
      </c>
      <c r="M11565">
        <v>0</v>
      </c>
      <c r="N11565">
        <v>0</v>
      </c>
      <c r="O11565">
        <v>0</v>
      </c>
      <c r="P11565" t="s">
        <v>15681</v>
      </c>
      <c r="Q11565" t="s">
        <v>15682</v>
      </c>
      <c r="AF11565" t="s">
        <v>23655</v>
      </c>
    </row>
    <row r="11566" spans="1:32" hidden="1" x14ac:dyDescent="0.35">
      <c r="A11566">
        <v>11565</v>
      </c>
      <c r="B11566" t="s">
        <v>23656</v>
      </c>
      <c r="C11566" t="s">
        <v>33</v>
      </c>
      <c r="D11566" t="s">
        <v>62</v>
      </c>
      <c r="E11566">
        <v>318</v>
      </c>
      <c r="F11566">
        <v>1</v>
      </c>
      <c r="G11566">
        <v>1</v>
      </c>
      <c r="H11566">
        <v>1</v>
      </c>
      <c r="I11566">
        <v>0</v>
      </c>
      <c r="J11566">
        <v>1</v>
      </c>
      <c r="K11566">
        <v>1</v>
      </c>
      <c r="L11566">
        <v>1</v>
      </c>
      <c r="M11566">
        <v>0</v>
      </c>
      <c r="N11566">
        <v>0</v>
      </c>
      <c r="O11566">
        <v>0</v>
      </c>
      <c r="AF11566" t="s">
        <v>23657</v>
      </c>
    </row>
    <row r="11567" spans="1:32" hidden="1" x14ac:dyDescent="0.35">
      <c r="A11567">
        <v>11566</v>
      </c>
      <c r="B11567" t="s">
        <v>23658</v>
      </c>
      <c r="C11567" t="s">
        <v>33</v>
      </c>
      <c r="D11567" t="s">
        <v>60</v>
      </c>
      <c r="E11567">
        <v>2217</v>
      </c>
      <c r="F11567">
        <v>1</v>
      </c>
      <c r="G11567">
        <v>1</v>
      </c>
      <c r="H11567">
        <v>1</v>
      </c>
      <c r="I11567">
        <v>0</v>
      </c>
      <c r="J11567">
        <v>1</v>
      </c>
      <c r="K11567">
        <v>1</v>
      </c>
      <c r="L11567">
        <v>1</v>
      </c>
      <c r="M11567">
        <v>0</v>
      </c>
      <c r="N11567">
        <v>0</v>
      </c>
      <c r="O11567">
        <v>0</v>
      </c>
      <c r="P11567" t="s">
        <v>12781</v>
      </c>
      <c r="Q11567" t="s">
        <v>12782</v>
      </c>
      <c r="R11567" t="s">
        <v>288</v>
      </c>
      <c r="S11567" t="s">
        <v>289</v>
      </c>
      <c r="V11567" t="s">
        <v>23659</v>
      </c>
      <c r="W11567" t="s">
        <v>21380</v>
      </c>
      <c r="AF11567" t="s">
        <v>23660</v>
      </c>
    </row>
    <row r="11568" spans="1:32" hidden="1" x14ac:dyDescent="0.35">
      <c r="A11568">
        <v>11567</v>
      </c>
      <c r="B11568" t="s">
        <v>23661</v>
      </c>
      <c r="C11568" t="s">
        <v>33</v>
      </c>
      <c r="D11568" t="s">
        <v>58</v>
      </c>
      <c r="E11568">
        <v>424</v>
      </c>
      <c r="F11568">
        <v>1</v>
      </c>
      <c r="G11568">
        <v>1</v>
      </c>
      <c r="H11568">
        <v>1</v>
      </c>
      <c r="I11568">
        <v>0</v>
      </c>
      <c r="J11568">
        <v>1</v>
      </c>
      <c r="K11568">
        <v>1</v>
      </c>
      <c r="L11568">
        <v>1</v>
      </c>
      <c r="M11568">
        <v>0</v>
      </c>
      <c r="N11568">
        <v>0</v>
      </c>
      <c r="O11568">
        <v>0</v>
      </c>
      <c r="AF11568" t="s">
        <v>23662</v>
      </c>
    </row>
    <row r="11569" spans="1:32" hidden="1" x14ac:dyDescent="0.35">
      <c r="A11569">
        <v>11568</v>
      </c>
      <c r="B11569" t="s">
        <v>23663</v>
      </c>
      <c r="C11569" t="s">
        <v>33</v>
      </c>
      <c r="D11569" t="s">
        <v>58</v>
      </c>
      <c r="E11569">
        <v>105</v>
      </c>
      <c r="F11569">
        <v>1</v>
      </c>
      <c r="G11569">
        <v>1</v>
      </c>
      <c r="H11569">
        <v>1</v>
      </c>
      <c r="I11569">
        <v>0</v>
      </c>
      <c r="J11569">
        <v>1</v>
      </c>
      <c r="K11569">
        <v>1</v>
      </c>
      <c r="L11569">
        <v>1</v>
      </c>
      <c r="M11569">
        <v>0</v>
      </c>
      <c r="N11569">
        <v>0</v>
      </c>
      <c r="O11569">
        <v>0</v>
      </c>
      <c r="R11569" t="s">
        <v>1259</v>
      </c>
      <c r="S11569" t="s">
        <v>1260</v>
      </c>
      <c r="V11569" t="s">
        <v>15418</v>
      </c>
      <c r="W11569" t="s">
        <v>15419</v>
      </c>
      <c r="AF11569" t="s">
        <v>23664</v>
      </c>
    </row>
    <row r="11570" spans="1:32" hidden="1" x14ac:dyDescent="0.35">
      <c r="A11570">
        <v>11569</v>
      </c>
      <c r="B11570" t="s">
        <v>23665</v>
      </c>
      <c r="C11570" t="s">
        <v>33</v>
      </c>
      <c r="D11570" t="s">
        <v>58</v>
      </c>
      <c r="E11570">
        <v>1224</v>
      </c>
      <c r="F11570">
        <v>1</v>
      </c>
      <c r="G11570">
        <v>1</v>
      </c>
      <c r="H11570">
        <v>1</v>
      </c>
      <c r="I11570">
        <v>0</v>
      </c>
      <c r="J11570">
        <v>1</v>
      </c>
      <c r="K11570">
        <v>1</v>
      </c>
      <c r="L11570">
        <v>1</v>
      </c>
      <c r="M11570">
        <v>0</v>
      </c>
      <c r="N11570">
        <v>0</v>
      </c>
      <c r="O11570">
        <v>0</v>
      </c>
      <c r="AF11570" t="s">
        <v>23666</v>
      </c>
    </row>
    <row r="11571" spans="1:32" hidden="1" x14ac:dyDescent="0.35">
      <c r="A11571">
        <v>1379</v>
      </c>
      <c r="B11571" t="s">
        <v>2876</v>
      </c>
      <c r="C11571" t="s">
        <v>72</v>
      </c>
      <c r="D11571" t="s">
        <v>58</v>
      </c>
      <c r="E11571">
        <v>1115</v>
      </c>
      <c r="F11571">
        <v>5</v>
      </c>
      <c r="G11571">
        <v>5</v>
      </c>
      <c r="H11571">
        <v>1</v>
      </c>
      <c r="I11571">
        <v>1</v>
      </c>
      <c r="J11571">
        <v>0.84868629313073796</v>
      </c>
      <c r="K11571">
        <v>0.79966598150051404</v>
      </c>
      <c r="L11571">
        <v>0.82344723033703104</v>
      </c>
      <c r="M11571">
        <v>0.52857142857142903</v>
      </c>
      <c r="N11571">
        <v>1</v>
      </c>
      <c r="O11571">
        <v>0.74</v>
      </c>
      <c r="P11571" t="s">
        <v>2877</v>
      </c>
      <c r="Q11571" t="s">
        <v>2878</v>
      </c>
      <c r="R11571" t="s">
        <v>113</v>
      </c>
      <c r="S11571" t="s">
        <v>114</v>
      </c>
      <c r="T11571" t="s">
        <v>2879</v>
      </c>
      <c r="U11571" t="s">
        <v>2880</v>
      </c>
      <c r="V11571" t="s">
        <v>2881</v>
      </c>
      <c r="W11571" t="s">
        <v>2882</v>
      </c>
      <c r="AD11571" t="s">
        <v>312</v>
      </c>
      <c r="AE11571" t="s">
        <v>2883</v>
      </c>
      <c r="AF11571" t="s">
        <v>2884</v>
      </c>
    </row>
    <row r="11572" spans="1:32" hidden="1" x14ac:dyDescent="0.35">
      <c r="A11572">
        <v>10900</v>
      </c>
      <c r="B11572" t="s">
        <v>21935</v>
      </c>
      <c r="C11572" t="s">
        <v>33</v>
      </c>
      <c r="D11572" t="s">
        <v>58</v>
      </c>
      <c r="E11572">
        <v>400</v>
      </c>
      <c r="F11572">
        <v>1</v>
      </c>
      <c r="G11572">
        <v>1</v>
      </c>
      <c r="H11572">
        <v>1</v>
      </c>
      <c r="I11572">
        <v>0</v>
      </c>
      <c r="J11572">
        <v>1</v>
      </c>
      <c r="K11572">
        <v>1</v>
      </c>
      <c r="L11572">
        <v>1</v>
      </c>
      <c r="M11572">
        <v>0</v>
      </c>
      <c r="N11572">
        <v>0</v>
      </c>
      <c r="O11572">
        <v>0</v>
      </c>
      <c r="R11572" t="s">
        <v>113</v>
      </c>
      <c r="S11572" t="s">
        <v>114</v>
      </c>
      <c r="V11572" t="s">
        <v>2881</v>
      </c>
      <c r="W11572" t="s">
        <v>2882</v>
      </c>
      <c r="AF11572" t="s">
        <v>21936</v>
      </c>
    </row>
    <row r="11573" spans="1:32" hidden="1" x14ac:dyDescent="0.35">
      <c r="A11573">
        <v>11572</v>
      </c>
      <c r="B11573" t="s">
        <v>23674</v>
      </c>
      <c r="C11573" t="s">
        <v>33</v>
      </c>
      <c r="D11573" t="s">
        <v>58</v>
      </c>
      <c r="E11573">
        <v>150</v>
      </c>
      <c r="F11573">
        <v>1</v>
      </c>
      <c r="G11573">
        <v>1</v>
      </c>
      <c r="H11573">
        <v>1</v>
      </c>
      <c r="I11573">
        <v>0</v>
      </c>
      <c r="J11573">
        <v>1</v>
      </c>
      <c r="K11573">
        <v>1</v>
      </c>
      <c r="L11573">
        <v>1</v>
      </c>
      <c r="M11573">
        <v>0</v>
      </c>
      <c r="N11573">
        <v>0</v>
      </c>
      <c r="O11573">
        <v>0</v>
      </c>
      <c r="P11573" t="s">
        <v>13328</v>
      </c>
      <c r="Q11573" t="s">
        <v>13329</v>
      </c>
      <c r="R11573" t="s">
        <v>13330</v>
      </c>
      <c r="S11573" t="s">
        <v>13331</v>
      </c>
      <c r="T11573" t="s">
        <v>23675</v>
      </c>
      <c r="U11573" t="s">
        <v>23676</v>
      </c>
      <c r="V11573" t="s">
        <v>13332</v>
      </c>
      <c r="W11573" t="s">
        <v>13333</v>
      </c>
      <c r="AD11573" t="s">
        <v>312</v>
      </c>
      <c r="AE11573" t="s">
        <v>2883</v>
      </c>
      <c r="AF11573" t="s">
        <v>23677</v>
      </c>
    </row>
    <row r="11574" spans="1:32" hidden="1" x14ac:dyDescent="0.35">
      <c r="A11574">
        <v>11573</v>
      </c>
      <c r="B11574" t="s">
        <v>23678</v>
      </c>
      <c r="C11574" t="s">
        <v>33</v>
      </c>
      <c r="D11574" t="s">
        <v>58</v>
      </c>
      <c r="E11574">
        <v>1505</v>
      </c>
      <c r="F11574">
        <v>1</v>
      </c>
      <c r="G11574">
        <v>1</v>
      </c>
      <c r="H11574">
        <v>1</v>
      </c>
      <c r="I11574">
        <v>0</v>
      </c>
      <c r="J11574">
        <v>1</v>
      </c>
      <c r="K11574">
        <v>1</v>
      </c>
      <c r="L11574">
        <v>1</v>
      </c>
      <c r="M11574">
        <v>0</v>
      </c>
      <c r="N11574">
        <v>0</v>
      </c>
      <c r="O11574">
        <v>0</v>
      </c>
      <c r="P11574" t="s">
        <v>4131</v>
      </c>
      <c r="Q11574" t="s">
        <v>4132</v>
      </c>
      <c r="R11574" t="s">
        <v>288</v>
      </c>
      <c r="S11574" t="s">
        <v>289</v>
      </c>
      <c r="T11574" t="s">
        <v>23679</v>
      </c>
      <c r="U11574" t="s">
        <v>23680</v>
      </c>
      <c r="V11574" t="s">
        <v>23681</v>
      </c>
      <c r="W11574" t="s">
        <v>23682</v>
      </c>
      <c r="AD11574" t="s">
        <v>219</v>
      </c>
      <c r="AE11574" t="s">
        <v>23683</v>
      </c>
      <c r="AF11574" t="s">
        <v>23684</v>
      </c>
    </row>
    <row r="11575" spans="1:32" hidden="1" x14ac:dyDescent="0.35">
      <c r="A11575">
        <v>11574</v>
      </c>
      <c r="B11575" t="s">
        <v>23685</v>
      </c>
      <c r="C11575" t="s">
        <v>33</v>
      </c>
      <c r="D11575" t="s">
        <v>58</v>
      </c>
      <c r="E11575">
        <v>1031</v>
      </c>
      <c r="F11575">
        <v>1</v>
      </c>
      <c r="G11575">
        <v>1</v>
      </c>
      <c r="H11575">
        <v>1</v>
      </c>
      <c r="I11575">
        <v>0</v>
      </c>
      <c r="J11575">
        <v>1</v>
      </c>
      <c r="K11575">
        <v>1</v>
      </c>
      <c r="L11575">
        <v>1</v>
      </c>
      <c r="M11575">
        <v>0</v>
      </c>
      <c r="N11575">
        <v>0</v>
      </c>
      <c r="O11575">
        <v>0</v>
      </c>
      <c r="P11575" t="s">
        <v>10810</v>
      </c>
      <c r="Q11575" t="s">
        <v>10811</v>
      </c>
      <c r="R11575" t="s">
        <v>10812</v>
      </c>
      <c r="S11575" t="s">
        <v>10813</v>
      </c>
      <c r="T11575" t="s">
        <v>10814</v>
      </c>
      <c r="U11575" t="s">
        <v>10815</v>
      </c>
      <c r="V11575" t="s">
        <v>10816</v>
      </c>
      <c r="W11575" t="s">
        <v>10817</v>
      </c>
      <c r="AD11575" t="s">
        <v>210</v>
      </c>
      <c r="AE11575" t="s">
        <v>10818</v>
      </c>
      <c r="AF11575" t="s">
        <v>23686</v>
      </c>
    </row>
    <row r="11576" spans="1:32" hidden="1" x14ac:dyDescent="0.35">
      <c r="A11576">
        <v>11793</v>
      </c>
      <c r="B11576" t="s">
        <v>24232</v>
      </c>
      <c r="C11576" t="s">
        <v>33</v>
      </c>
      <c r="D11576" t="s">
        <v>58</v>
      </c>
      <c r="E11576">
        <v>1854</v>
      </c>
      <c r="F11576">
        <v>1</v>
      </c>
      <c r="G11576">
        <v>1</v>
      </c>
      <c r="H11576">
        <v>1</v>
      </c>
      <c r="I11576">
        <v>0</v>
      </c>
      <c r="J11576">
        <v>1</v>
      </c>
      <c r="K11576">
        <v>1</v>
      </c>
      <c r="L11576">
        <v>1</v>
      </c>
      <c r="M11576">
        <v>0</v>
      </c>
      <c r="N11576">
        <v>0</v>
      </c>
      <c r="O11576">
        <v>0</v>
      </c>
      <c r="P11576" t="s">
        <v>2877</v>
      </c>
      <c r="Q11576" t="s">
        <v>2878</v>
      </c>
      <c r="R11576" t="s">
        <v>113</v>
      </c>
      <c r="S11576" t="s">
        <v>114</v>
      </c>
      <c r="V11576" t="s">
        <v>2881</v>
      </c>
      <c r="W11576" t="s">
        <v>2882</v>
      </c>
      <c r="AF11576" t="s">
        <v>24233</v>
      </c>
    </row>
    <row r="11577" spans="1:32" hidden="1" x14ac:dyDescent="0.35">
      <c r="A11577">
        <v>11576</v>
      </c>
      <c r="B11577" t="s">
        <v>23689</v>
      </c>
      <c r="C11577" t="s">
        <v>33</v>
      </c>
      <c r="D11577" t="s">
        <v>58</v>
      </c>
      <c r="E11577">
        <v>1812</v>
      </c>
      <c r="F11577">
        <v>1</v>
      </c>
      <c r="G11577">
        <v>1</v>
      </c>
      <c r="H11577">
        <v>1</v>
      </c>
      <c r="I11577">
        <v>0</v>
      </c>
      <c r="J11577">
        <v>1</v>
      </c>
      <c r="K11577">
        <v>1</v>
      </c>
      <c r="L11577">
        <v>1</v>
      </c>
      <c r="M11577">
        <v>0</v>
      </c>
      <c r="N11577">
        <v>0</v>
      </c>
      <c r="O11577">
        <v>0</v>
      </c>
      <c r="P11577" t="s">
        <v>1444</v>
      </c>
      <c r="Q11577" t="s">
        <v>1445</v>
      </c>
      <c r="R11577" t="s">
        <v>319</v>
      </c>
      <c r="S11577" t="s">
        <v>320</v>
      </c>
      <c r="V11577" t="s">
        <v>1446</v>
      </c>
      <c r="W11577" t="s">
        <v>1447</v>
      </c>
      <c r="AF11577" t="s">
        <v>23690</v>
      </c>
    </row>
    <row r="11578" spans="1:32" hidden="1" x14ac:dyDescent="0.35">
      <c r="A11578">
        <v>11577</v>
      </c>
      <c r="B11578" t="s">
        <v>23691</v>
      </c>
      <c r="C11578" t="s">
        <v>33</v>
      </c>
      <c r="D11578" t="s">
        <v>58</v>
      </c>
      <c r="E11578">
        <v>17</v>
      </c>
      <c r="F11578">
        <v>1</v>
      </c>
      <c r="G11578">
        <v>1</v>
      </c>
      <c r="H11578">
        <v>1</v>
      </c>
      <c r="I11578">
        <v>0</v>
      </c>
      <c r="J11578">
        <v>1</v>
      </c>
      <c r="K11578">
        <v>1</v>
      </c>
      <c r="L11578">
        <v>1</v>
      </c>
      <c r="M11578">
        <v>0</v>
      </c>
      <c r="N11578">
        <v>0</v>
      </c>
      <c r="O11578">
        <v>0</v>
      </c>
      <c r="AF11578" t="s">
        <v>23692</v>
      </c>
    </row>
    <row r="11579" spans="1:32" hidden="1" x14ac:dyDescent="0.35">
      <c r="A11579">
        <v>11578</v>
      </c>
      <c r="B11579" t="s">
        <v>23693</v>
      </c>
      <c r="C11579" t="s">
        <v>33</v>
      </c>
      <c r="D11579" t="s">
        <v>58</v>
      </c>
      <c r="E11579">
        <v>520</v>
      </c>
      <c r="F11579">
        <v>1</v>
      </c>
      <c r="G11579">
        <v>1</v>
      </c>
      <c r="H11579">
        <v>1</v>
      </c>
      <c r="I11579">
        <v>0</v>
      </c>
      <c r="J11579">
        <v>1</v>
      </c>
      <c r="K11579">
        <v>1</v>
      </c>
      <c r="L11579">
        <v>1</v>
      </c>
      <c r="M11579">
        <v>0</v>
      </c>
      <c r="N11579">
        <v>0</v>
      </c>
      <c r="O11579">
        <v>0</v>
      </c>
      <c r="AF11579" t="s">
        <v>23694</v>
      </c>
    </row>
    <row r="11580" spans="1:32" hidden="1" x14ac:dyDescent="0.35">
      <c r="A11580">
        <v>11579</v>
      </c>
      <c r="B11580" t="s">
        <v>23695</v>
      </c>
      <c r="C11580" t="s">
        <v>33</v>
      </c>
      <c r="D11580" t="s">
        <v>58</v>
      </c>
      <c r="E11580">
        <v>708</v>
      </c>
      <c r="F11580">
        <v>1</v>
      </c>
      <c r="G11580">
        <v>1</v>
      </c>
      <c r="H11580">
        <v>1</v>
      </c>
      <c r="I11580">
        <v>0</v>
      </c>
      <c r="J11580">
        <v>1</v>
      </c>
      <c r="K11580">
        <v>1</v>
      </c>
      <c r="L11580">
        <v>1</v>
      </c>
      <c r="M11580">
        <v>0</v>
      </c>
      <c r="N11580">
        <v>0</v>
      </c>
      <c r="O11580">
        <v>0</v>
      </c>
      <c r="AF11580" t="s">
        <v>23696</v>
      </c>
    </row>
    <row r="11581" spans="1:32" hidden="1" x14ac:dyDescent="0.35">
      <c r="A11581">
        <v>1569</v>
      </c>
      <c r="B11581" t="s">
        <v>3293</v>
      </c>
      <c r="C11581" t="s">
        <v>72</v>
      </c>
      <c r="D11581" t="s">
        <v>58</v>
      </c>
      <c r="E11581">
        <v>1444</v>
      </c>
      <c r="F11581">
        <v>5</v>
      </c>
      <c r="G11581">
        <v>5</v>
      </c>
      <c r="H11581">
        <v>1</v>
      </c>
      <c r="I11581">
        <v>1</v>
      </c>
      <c r="J11581">
        <v>0.94678780012978603</v>
      </c>
      <c r="K11581">
        <v>0.98322963959419596</v>
      </c>
      <c r="L11581">
        <v>0.96466467953462998</v>
      </c>
      <c r="M11581">
        <v>0.87878787878787901</v>
      </c>
      <c r="N11581">
        <v>1</v>
      </c>
      <c r="O11581">
        <v>0.91451355661881994</v>
      </c>
      <c r="P11581" t="s">
        <v>1401</v>
      </c>
      <c r="Q11581" t="s">
        <v>1402</v>
      </c>
      <c r="R11581" t="s">
        <v>224</v>
      </c>
      <c r="S11581" t="s">
        <v>225</v>
      </c>
      <c r="T11581" t="s">
        <v>3294</v>
      </c>
      <c r="U11581" t="s">
        <v>3295</v>
      </c>
      <c r="V11581" t="s">
        <v>3296</v>
      </c>
      <c r="W11581" t="s">
        <v>3297</v>
      </c>
      <c r="AF11581" t="s">
        <v>3298</v>
      </c>
    </row>
    <row r="11582" spans="1:32" hidden="1" x14ac:dyDescent="0.35">
      <c r="A11582">
        <v>2329</v>
      </c>
      <c r="B11582" t="s">
        <v>4842</v>
      </c>
      <c r="C11582" t="s">
        <v>72</v>
      </c>
      <c r="D11582" t="s">
        <v>58</v>
      </c>
      <c r="E11582">
        <v>230</v>
      </c>
      <c r="F11582">
        <v>5</v>
      </c>
      <c r="G11582">
        <v>5</v>
      </c>
      <c r="H11582">
        <v>1</v>
      </c>
      <c r="I11582">
        <v>1</v>
      </c>
      <c r="J11582">
        <v>0.94088530618017296</v>
      </c>
      <c r="K11582">
        <v>0.99592184985795695</v>
      </c>
      <c r="L11582">
        <v>0.96762161551687298</v>
      </c>
      <c r="M11582">
        <v>0.88028169014084501</v>
      </c>
      <c r="N11582">
        <v>1</v>
      </c>
      <c r="O11582">
        <v>0.90985915492957803</v>
      </c>
      <c r="P11582" t="s">
        <v>1401</v>
      </c>
      <c r="Q11582" t="s">
        <v>1402</v>
      </c>
      <c r="R11582" t="s">
        <v>224</v>
      </c>
      <c r="S11582" t="s">
        <v>225</v>
      </c>
      <c r="T11582" t="s">
        <v>4843</v>
      </c>
      <c r="U11582" t="s">
        <v>4844</v>
      </c>
      <c r="V11582" t="s">
        <v>4845</v>
      </c>
      <c r="W11582" t="s">
        <v>4846</v>
      </c>
      <c r="X11582" t="s">
        <v>4845</v>
      </c>
      <c r="Y11582" t="s">
        <v>773</v>
      </c>
      <c r="AD11582" t="s">
        <v>4847</v>
      </c>
      <c r="AE11582" t="s">
        <v>4848</v>
      </c>
      <c r="AF11582" t="s">
        <v>4849</v>
      </c>
    </row>
    <row r="11583" spans="1:32" hidden="1" x14ac:dyDescent="0.35">
      <c r="A11583">
        <v>11582</v>
      </c>
      <c r="B11583" t="s">
        <v>23701</v>
      </c>
      <c r="C11583" t="s">
        <v>33</v>
      </c>
      <c r="D11583" t="s">
        <v>58</v>
      </c>
      <c r="E11583">
        <v>218</v>
      </c>
      <c r="F11583">
        <v>1</v>
      </c>
      <c r="G11583">
        <v>1</v>
      </c>
      <c r="H11583">
        <v>1</v>
      </c>
      <c r="I11583">
        <v>0</v>
      </c>
      <c r="J11583">
        <v>1</v>
      </c>
      <c r="K11583">
        <v>1</v>
      </c>
      <c r="L11583">
        <v>1</v>
      </c>
      <c r="M11583">
        <v>0</v>
      </c>
      <c r="N11583">
        <v>0</v>
      </c>
      <c r="O11583">
        <v>0</v>
      </c>
      <c r="P11583" t="s">
        <v>14169</v>
      </c>
      <c r="Q11583" t="s">
        <v>14170</v>
      </c>
      <c r="AF11583" t="s">
        <v>23702</v>
      </c>
    </row>
    <row r="11584" spans="1:32" hidden="1" x14ac:dyDescent="0.35">
      <c r="A11584">
        <v>474</v>
      </c>
      <c r="B11584" t="s">
        <v>897</v>
      </c>
      <c r="C11584" t="s">
        <v>72</v>
      </c>
      <c r="D11584" t="s">
        <v>58</v>
      </c>
      <c r="E11584">
        <v>1168</v>
      </c>
      <c r="F11584">
        <v>5</v>
      </c>
      <c r="G11584">
        <v>5</v>
      </c>
      <c r="H11584">
        <v>1</v>
      </c>
      <c r="I11584">
        <v>1</v>
      </c>
      <c r="J11584">
        <v>0.88109940670783404</v>
      </c>
      <c r="K11584">
        <v>0.99746376811594195</v>
      </c>
      <c r="L11584">
        <v>0.93567759240459003</v>
      </c>
      <c r="M11584">
        <v>0.76449275362318803</v>
      </c>
      <c r="N11584">
        <v>1</v>
      </c>
      <c r="O11584">
        <v>0.83188405797101495</v>
      </c>
      <c r="P11584" t="s">
        <v>898</v>
      </c>
      <c r="Q11584" t="s">
        <v>899</v>
      </c>
      <c r="R11584" t="s">
        <v>224</v>
      </c>
      <c r="S11584" t="s">
        <v>225</v>
      </c>
      <c r="T11584" t="s">
        <v>900</v>
      </c>
      <c r="U11584" t="s">
        <v>901</v>
      </c>
      <c r="V11584" t="s">
        <v>902</v>
      </c>
      <c r="W11584" t="s">
        <v>903</v>
      </c>
      <c r="X11584" t="s">
        <v>902</v>
      </c>
      <c r="Y11584" t="s">
        <v>773</v>
      </c>
      <c r="AD11584" t="s">
        <v>904</v>
      </c>
      <c r="AE11584" t="s">
        <v>905</v>
      </c>
      <c r="AF11584" t="s">
        <v>906</v>
      </c>
    </row>
    <row r="11585" spans="1:32" hidden="1" x14ac:dyDescent="0.35">
      <c r="A11585">
        <v>11584</v>
      </c>
      <c r="B11585" t="s">
        <v>23705</v>
      </c>
      <c r="C11585" t="s">
        <v>33</v>
      </c>
      <c r="D11585" t="s">
        <v>58</v>
      </c>
      <c r="E11585">
        <v>660</v>
      </c>
      <c r="F11585">
        <v>1</v>
      </c>
      <c r="G11585">
        <v>1</v>
      </c>
      <c r="H11585">
        <v>1</v>
      </c>
      <c r="I11585">
        <v>0</v>
      </c>
      <c r="J11585">
        <v>1</v>
      </c>
      <c r="K11585">
        <v>1</v>
      </c>
      <c r="L11585">
        <v>1</v>
      </c>
      <c r="M11585">
        <v>0</v>
      </c>
      <c r="N11585">
        <v>0</v>
      </c>
      <c r="O11585">
        <v>0</v>
      </c>
      <c r="AF11585" t="s">
        <v>23706</v>
      </c>
    </row>
    <row r="11586" spans="1:32" hidden="1" x14ac:dyDescent="0.35">
      <c r="A11586">
        <v>11585</v>
      </c>
      <c r="B11586" t="s">
        <v>23707</v>
      </c>
      <c r="C11586" t="s">
        <v>33</v>
      </c>
      <c r="D11586" t="s">
        <v>58</v>
      </c>
      <c r="E11586">
        <v>966</v>
      </c>
      <c r="F11586">
        <v>1</v>
      </c>
      <c r="G11586">
        <v>1</v>
      </c>
      <c r="H11586">
        <v>1</v>
      </c>
      <c r="I11586">
        <v>0</v>
      </c>
      <c r="J11586">
        <v>1</v>
      </c>
      <c r="K11586">
        <v>1</v>
      </c>
      <c r="L11586">
        <v>1</v>
      </c>
      <c r="M11586">
        <v>0</v>
      </c>
      <c r="N11586">
        <v>0</v>
      </c>
      <c r="O11586">
        <v>0</v>
      </c>
      <c r="P11586" t="s">
        <v>3512</v>
      </c>
      <c r="Q11586" t="s">
        <v>3513</v>
      </c>
      <c r="AF11586" t="s">
        <v>23708</v>
      </c>
    </row>
    <row r="11587" spans="1:32" hidden="1" x14ac:dyDescent="0.35">
      <c r="A11587">
        <v>11586</v>
      </c>
      <c r="B11587" t="s">
        <v>23709</v>
      </c>
      <c r="C11587" t="s">
        <v>33</v>
      </c>
      <c r="D11587" t="s">
        <v>58</v>
      </c>
      <c r="E11587">
        <v>1438</v>
      </c>
      <c r="F11587">
        <v>1</v>
      </c>
      <c r="G11587">
        <v>1</v>
      </c>
      <c r="H11587">
        <v>1</v>
      </c>
      <c r="I11587">
        <v>0</v>
      </c>
      <c r="J11587">
        <v>1</v>
      </c>
      <c r="K11587">
        <v>1</v>
      </c>
      <c r="L11587">
        <v>1</v>
      </c>
      <c r="M11587">
        <v>0</v>
      </c>
      <c r="N11587">
        <v>0</v>
      </c>
      <c r="O11587">
        <v>0</v>
      </c>
      <c r="P11587" t="s">
        <v>1247</v>
      </c>
      <c r="Q11587" t="s">
        <v>1248</v>
      </c>
      <c r="R11587" t="s">
        <v>12738</v>
      </c>
      <c r="S11587" t="s">
        <v>12739</v>
      </c>
      <c r="V11587" t="s">
        <v>12845</v>
      </c>
      <c r="W11587" t="s">
        <v>12846</v>
      </c>
      <c r="AF11587" t="s">
        <v>23710</v>
      </c>
    </row>
    <row r="11588" spans="1:32" hidden="1" x14ac:dyDescent="0.35">
      <c r="A11588">
        <v>11587</v>
      </c>
      <c r="B11588" t="s">
        <v>23711</v>
      </c>
      <c r="C11588" t="s">
        <v>33</v>
      </c>
      <c r="D11588" t="s">
        <v>58</v>
      </c>
      <c r="E11588">
        <v>537</v>
      </c>
      <c r="F11588">
        <v>1</v>
      </c>
      <c r="G11588">
        <v>1</v>
      </c>
      <c r="H11588">
        <v>1</v>
      </c>
      <c r="I11588">
        <v>0</v>
      </c>
      <c r="J11588">
        <v>1</v>
      </c>
      <c r="K11588">
        <v>1</v>
      </c>
      <c r="L11588">
        <v>1</v>
      </c>
      <c r="M11588">
        <v>0</v>
      </c>
      <c r="N11588">
        <v>0</v>
      </c>
      <c r="O11588">
        <v>0</v>
      </c>
      <c r="P11588" t="s">
        <v>12959</v>
      </c>
      <c r="Q11588" t="s">
        <v>12960</v>
      </c>
      <c r="T11588" t="s">
        <v>12961</v>
      </c>
      <c r="U11588" t="s">
        <v>12962</v>
      </c>
      <c r="AD11588" t="s">
        <v>166</v>
      </c>
      <c r="AE11588" t="s">
        <v>3695</v>
      </c>
      <c r="AF11588" t="s">
        <v>23712</v>
      </c>
    </row>
    <row r="11589" spans="1:32" hidden="1" x14ac:dyDescent="0.35">
      <c r="A11589">
        <v>1784</v>
      </c>
      <c r="B11589" t="s">
        <v>3707</v>
      </c>
      <c r="C11589" t="s">
        <v>72</v>
      </c>
      <c r="D11589" t="s">
        <v>58</v>
      </c>
      <c r="E11589">
        <v>233</v>
      </c>
      <c r="F11589">
        <v>5</v>
      </c>
      <c r="G11589">
        <v>5</v>
      </c>
      <c r="H11589">
        <v>1</v>
      </c>
      <c r="I11589">
        <v>1</v>
      </c>
      <c r="J11589">
        <v>0.95357052737824899</v>
      </c>
      <c r="K11589">
        <v>0.99823677581864201</v>
      </c>
      <c r="L11589">
        <v>0.97539256791040096</v>
      </c>
      <c r="M11589">
        <v>0.90176322418136001</v>
      </c>
      <c r="N11589">
        <v>1</v>
      </c>
      <c r="O11589">
        <v>0.92896725440806005</v>
      </c>
      <c r="P11589" t="s">
        <v>1401</v>
      </c>
      <c r="Q11589" t="s">
        <v>1402</v>
      </c>
      <c r="R11589" t="s">
        <v>224</v>
      </c>
      <c r="S11589" t="s">
        <v>225</v>
      </c>
      <c r="T11589" t="s">
        <v>3708</v>
      </c>
      <c r="U11589" t="s">
        <v>3709</v>
      </c>
      <c r="V11589" t="s">
        <v>3710</v>
      </c>
      <c r="W11589" t="s">
        <v>3711</v>
      </c>
      <c r="X11589" t="s">
        <v>3710</v>
      </c>
      <c r="Y11589" t="s">
        <v>773</v>
      </c>
      <c r="AD11589" t="s">
        <v>3712</v>
      </c>
      <c r="AE11589" t="s">
        <v>3713</v>
      </c>
      <c r="AF11589" t="s">
        <v>3714</v>
      </c>
    </row>
    <row r="11590" spans="1:32" hidden="1" x14ac:dyDescent="0.35">
      <c r="A11590">
        <v>11589</v>
      </c>
      <c r="B11590" t="s">
        <v>23715</v>
      </c>
      <c r="C11590" t="s">
        <v>33</v>
      </c>
      <c r="D11590" t="s">
        <v>58</v>
      </c>
      <c r="E11590">
        <v>945</v>
      </c>
      <c r="F11590">
        <v>1</v>
      </c>
      <c r="G11590">
        <v>1</v>
      </c>
      <c r="H11590">
        <v>1</v>
      </c>
      <c r="I11590">
        <v>0</v>
      </c>
      <c r="J11590">
        <v>1</v>
      </c>
      <c r="K11590">
        <v>1</v>
      </c>
      <c r="L11590">
        <v>1</v>
      </c>
      <c r="M11590">
        <v>0</v>
      </c>
      <c r="N11590">
        <v>0</v>
      </c>
      <c r="O11590">
        <v>0</v>
      </c>
      <c r="R11590" t="s">
        <v>288</v>
      </c>
      <c r="S11590" t="s">
        <v>289</v>
      </c>
      <c r="V11590" t="s">
        <v>12060</v>
      </c>
      <c r="W11590" t="s">
        <v>12061</v>
      </c>
      <c r="AF11590" t="s">
        <v>23716</v>
      </c>
    </row>
    <row r="11591" spans="1:32" hidden="1" x14ac:dyDescent="0.35">
      <c r="A11591">
        <v>11590</v>
      </c>
      <c r="B11591" t="s">
        <v>23717</v>
      </c>
      <c r="C11591" t="s">
        <v>33</v>
      </c>
      <c r="D11591" t="s">
        <v>58</v>
      </c>
      <c r="E11591">
        <v>778</v>
      </c>
      <c r="F11591">
        <v>1</v>
      </c>
      <c r="G11591">
        <v>1</v>
      </c>
      <c r="H11591">
        <v>1</v>
      </c>
      <c r="I11591">
        <v>0</v>
      </c>
      <c r="J11591">
        <v>1</v>
      </c>
      <c r="K11591">
        <v>1</v>
      </c>
      <c r="L11591">
        <v>1</v>
      </c>
      <c r="M11591">
        <v>0</v>
      </c>
      <c r="N11591">
        <v>0</v>
      </c>
      <c r="O11591">
        <v>0</v>
      </c>
      <c r="R11591" t="s">
        <v>1259</v>
      </c>
      <c r="S11591" t="s">
        <v>1260</v>
      </c>
      <c r="V11591" t="s">
        <v>13821</v>
      </c>
      <c r="W11591" t="s">
        <v>13822</v>
      </c>
      <c r="AF11591" t="s">
        <v>23718</v>
      </c>
    </row>
    <row r="11592" spans="1:32" hidden="1" x14ac:dyDescent="0.35">
      <c r="A11592">
        <v>11591</v>
      </c>
      <c r="B11592" t="s">
        <v>23719</v>
      </c>
      <c r="C11592" t="s">
        <v>33</v>
      </c>
      <c r="D11592" t="s">
        <v>45</v>
      </c>
      <c r="E11592">
        <v>18</v>
      </c>
      <c r="F11592">
        <v>1</v>
      </c>
      <c r="G11592">
        <v>1</v>
      </c>
      <c r="H11592">
        <v>1</v>
      </c>
      <c r="I11592">
        <v>0</v>
      </c>
      <c r="J11592">
        <v>1</v>
      </c>
      <c r="K11592">
        <v>1</v>
      </c>
      <c r="L11592">
        <v>1</v>
      </c>
      <c r="M11592">
        <v>0</v>
      </c>
      <c r="N11592">
        <v>0</v>
      </c>
      <c r="O11592">
        <v>0</v>
      </c>
      <c r="AF11592" t="s">
        <v>23720</v>
      </c>
    </row>
    <row r="11593" spans="1:32" hidden="1" x14ac:dyDescent="0.35">
      <c r="A11593">
        <v>11592</v>
      </c>
      <c r="B11593" t="s">
        <v>23721</v>
      </c>
      <c r="C11593" t="s">
        <v>33</v>
      </c>
      <c r="D11593" t="s">
        <v>58</v>
      </c>
      <c r="E11593">
        <v>159</v>
      </c>
      <c r="F11593">
        <v>1</v>
      </c>
      <c r="G11593">
        <v>1</v>
      </c>
      <c r="H11593">
        <v>1</v>
      </c>
      <c r="I11593">
        <v>0</v>
      </c>
      <c r="J11593">
        <v>1</v>
      </c>
      <c r="K11593">
        <v>1</v>
      </c>
      <c r="L11593">
        <v>1</v>
      </c>
      <c r="M11593">
        <v>0</v>
      </c>
      <c r="N11593">
        <v>0</v>
      </c>
      <c r="O11593">
        <v>0</v>
      </c>
      <c r="P11593" t="s">
        <v>14500</v>
      </c>
      <c r="Q11593" t="s">
        <v>14501</v>
      </c>
      <c r="AF11593" t="s">
        <v>23722</v>
      </c>
    </row>
    <row r="11594" spans="1:32" hidden="1" x14ac:dyDescent="0.35">
      <c r="A11594">
        <v>11593</v>
      </c>
      <c r="B11594" t="s">
        <v>23723</v>
      </c>
      <c r="C11594" t="s">
        <v>33</v>
      </c>
      <c r="D11594" t="s">
        <v>58</v>
      </c>
      <c r="E11594">
        <v>551</v>
      </c>
      <c r="F11594">
        <v>1</v>
      </c>
      <c r="G11594">
        <v>1</v>
      </c>
      <c r="H11594">
        <v>1</v>
      </c>
      <c r="I11594">
        <v>0</v>
      </c>
      <c r="J11594">
        <v>1</v>
      </c>
      <c r="K11594">
        <v>1</v>
      </c>
      <c r="L11594">
        <v>1</v>
      </c>
      <c r="M11594">
        <v>0</v>
      </c>
      <c r="N11594">
        <v>0</v>
      </c>
      <c r="O11594">
        <v>0</v>
      </c>
      <c r="P11594" t="s">
        <v>597</v>
      </c>
      <c r="Q11594" t="s">
        <v>598</v>
      </c>
      <c r="R11594" t="s">
        <v>96</v>
      </c>
      <c r="S11594" t="s">
        <v>97</v>
      </c>
      <c r="T11594" t="s">
        <v>18346</v>
      </c>
      <c r="U11594" t="s">
        <v>18347</v>
      </c>
      <c r="V11594" t="s">
        <v>601</v>
      </c>
      <c r="W11594" t="s">
        <v>602</v>
      </c>
      <c r="AD11594" t="s">
        <v>5658</v>
      </c>
      <c r="AE11594" t="s">
        <v>18348</v>
      </c>
      <c r="AF11594" t="s">
        <v>23724</v>
      </c>
    </row>
    <row r="11595" spans="1:32" hidden="1" x14ac:dyDescent="0.35">
      <c r="A11595">
        <v>1114</v>
      </c>
      <c r="B11595" t="s">
        <v>2310</v>
      </c>
      <c r="C11595" t="s">
        <v>72</v>
      </c>
      <c r="D11595" t="s">
        <v>58</v>
      </c>
      <c r="E11595">
        <v>1022</v>
      </c>
      <c r="F11595">
        <v>5</v>
      </c>
      <c r="G11595">
        <v>5</v>
      </c>
      <c r="H11595">
        <v>1</v>
      </c>
      <c r="I11595">
        <v>1</v>
      </c>
      <c r="J11595">
        <v>0.92121212121212104</v>
      </c>
      <c r="K11595">
        <v>1</v>
      </c>
      <c r="L11595">
        <v>0.958990536277602</v>
      </c>
      <c r="M11595">
        <v>0.83957219251336901</v>
      </c>
      <c r="N11595">
        <v>1</v>
      </c>
      <c r="O11595">
        <v>0.88342245989304802</v>
      </c>
      <c r="P11595" t="s">
        <v>2311</v>
      </c>
      <c r="Q11595" t="s">
        <v>2312</v>
      </c>
      <c r="R11595" t="s">
        <v>224</v>
      </c>
      <c r="S11595" t="s">
        <v>225</v>
      </c>
      <c r="T11595" t="s">
        <v>2313</v>
      </c>
      <c r="U11595" t="s">
        <v>2314</v>
      </c>
      <c r="V11595" t="s">
        <v>2315</v>
      </c>
      <c r="W11595" t="s">
        <v>2316</v>
      </c>
      <c r="X11595" t="s">
        <v>2315</v>
      </c>
      <c r="Y11595" t="s">
        <v>773</v>
      </c>
      <c r="AD11595" t="s">
        <v>774</v>
      </c>
      <c r="AE11595" t="s">
        <v>2317</v>
      </c>
      <c r="AF11595" t="s">
        <v>2318</v>
      </c>
    </row>
    <row r="11596" spans="1:32" hidden="1" x14ac:dyDescent="0.35">
      <c r="A11596">
        <v>424</v>
      </c>
      <c r="B11596" t="s">
        <v>766</v>
      </c>
      <c r="C11596" t="s">
        <v>72</v>
      </c>
      <c r="D11596" t="s">
        <v>58</v>
      </c>
      <c r="E11596">
        <v>283</v>
      </c>
      <c r="F11596">
        <v>5</v>
      </c>
      <c r="G11596">
        <v>5</v>
      </c>
      <c r="H11596">
        <v>1</v>
      </c>
      <c r="I11596">
        <v>1</v>
      </c>
      <c r="J11596">
        <v>0.99726027397260297</v>
      </c>
      <c r="K11596">
        <v>1</v>
      </c>
      <c r="L11596">
        <v>0.99862825788751697</v>
      </c>
      <c r="M11596">
        <v>0.98630136986301398</v>
      </c>
      <c r="N11596">
        <v>1</v>
      </c>
      <c r="O11596">
        <v>0.99178082191780803</v>
      </c>
      <c r="P11596" t="s">
        <v>767</v>
      </c>
      <c r="Q11596" t="s">
        <v>768</v>
      </c>
      <c r="R11596" t="s">
        <v>224</v>
      </c>
      <c r="S11596" t="s">
        <v>225</v>
      </c>
      <c r="T11596" t="s">
        <v>769</v>
      </c>
      <c r="U11596" t="s">
        <v>770</v>
      </c>
      <c r="V11596" t="s">
        <v>771</v>
      </c>
      <c r="W11596" t="s">
        <v>772</v>
      </c>
      <c r="X11596" t="s">
        <v>771</v>
      </c>
      <c r="Y11596" t="s">
        <v>773</v>
      </c>
      <c r="AD11596" t="s">
        <v>774</v>
      </c>
      <c r="AE11596" t="s">
        <v>775</v>
      </c>
      <c r="AF11596" t="s">
        <v>776</v>
      </c>
    </row>
    <row r="11597" spans="1:32" hidden="1" x14ac:dyDescent="0.35">
      <c r="A11597">
        <v>11596</v>
      </c>
      <c r="B11597" t="s">
        <v>23733</v>
      </c>
      <c r="C11597" t="s">
        <v>33</v>
      </c>
      <c r="D11597" t="s">
        <v>62</v>
      </c>
      <c r="E11597">
        <v>1846</v>
      </c>
      <c r="F11597">
        <v>1</v>
      </c>
      <c r="G11597">
        <v>1</v>
      </c>
      <c r="H11597">
        <v>1</v>
      </c>
      <c r="I11597">
        <v>0</v>
      </c>
      <c r="J11597">
        <v>1</v>
      </c>
      <c r="K11597">
        <v>1</v>
      </c>
      <c r="L11597">
        <v>1</v>
      </c>
      <c r="M11597">
        <v>0</v>
      </c>
      <c r="N11597">
        <v>0</v>
      </c>
      <c r="O11597">
        <v>0</v>
      </c>
      <c r="P11597" t="s">
        <v>16851</v>
      </c>
      <c r="Q11597" t="s">
        <v>16852</v>
      </c>
      <c r="R11597" t="s">
        <v>113</v>
      </c>
      <c r="S11597" t="s">
        <v>114</v>
      </c>
      <c r="V11597" t="s">
        <v>16848</v>
      </c>
      <c r="W11597" t="s">
        <v>16849</v>
      </c>
      <c r="AF11597" t="s">
        <v>23734</v>
      </c>
    </row>
    <row r="11598" spans="1:32" hidden="1" x14ac:dyDescent="0.35">
      <c r="A11598">
        <v>11597</v>
      </c>
      <c r="B11598" t="s">
        <v>23735</v>
      </c>
      <c r="C11598" t="s">
        <v>33</v>
      </c>
      <c r="D11598" t="s">
        <v>58</v>
      </c>
      <c r="E11598">
        <v>1533</v>
      </c>
      <c r="F11598">
        <v>1</v>
      </c>
      <c r="G11598">
        <v>1</v>
      </c>
      <c r="H11598">
        <v>1</v>
      </c>
      <c r="I11598">
        <v>0</v>
      </c>
      <c r="J11598">
        <v>1</v>
      </c>
      <c r="K11598">
        <v>1</v>
      </c>
      <c r="L11598">
        <v>1</v>
      </c>
      <c r="M11598">
        <v>0</v>
      </c>
      <c r="N11598">
        <v>0</v>
      </c>
      <c r="O11598">
        <v>0</v>
      </c>
      <c r="P11598" t="s">
        <v>14169</v>
      </c>
      <c r="Q11598" t="s">
        <v>14170</v>
      </c>
      <c r="AF11598" t="s">
        <v>23736</v>
      </c>
    </row>
    <row r="11599" spans="1:32" hidden="1" x14ac:dyDescent="0.35">
      <c r="A11599">
        <v>11598</v>
      </c>
      <c r="B11599" t="s">
        <v>23737</v>
      </c>
      <c r="C11599" t="s">
        <v>33</v>
      </c>
      <c r="D11599" t="s">
        <v>58</v>
      </c>
      <c r="E11599">
        <v>743</v>
      </c>
      <c r="F11599">
        <v>1</v>
      </c>
      <c r="G11599">
        <v>1</v>
      </c>
      <c r="H11599">
        <v>1</v>
      </c>
      <c r="I11599">
        <v>0</v>
      </c>
      <c r="J11599">
        <v>1</v>
      </c>
      <c r="K11599">
        <v>1</v>
      </c>
      <c r="L11599">
        <v>1</v>
      </c>
      <c r="M11599">
        <v>0</v>
      </c>
      <c r="N11599">
        <v>0</v>
      </c>
      <c r="O11599">
        <v>0</v>
      </c>
      <c r="AF11599" t="s">
        <v>23738</v>
      </c>
    </row>
    <row r="11600" spans="1:32" hidden="1" x14ac:dyDescent="0.35">
      <c r="A11600">
        <v>11599</v>
      </c>
      <c r="B11600" t="s">
        <v>23739</v>
      </c>
      <c r="C11600" t="s">
        <v>33</v>
      </c>
      <c r="D11600" t="s">
        <v>62</v>
      </c>
      <c r="E11600">
        <v>767</v>
      </c>
      <c r="F11600">
        <v>1</v>
      </c>
      <c r="G11600">
        <v>1</v>
      </c>
      <c r="H11600">
        <v>1</v>
      </c>
      <c r="I11600">
        <v>0</v>
      </c>
      <c r="J11600">
        <v>1</v>
      </c>
      <c r="K11600">
        <v>1</v>
      </c>
      <c r="L11600">
        <v>1</v>
      </c>
      <c r="M11600">
        <v>0</v>
      </c>
      <c r="N11600">
        <v>0</v>
      </c>
      <c r="O11600">
        <v>0</v>
      </c>
      <c r="AF11600" t="s">
        <v>23740</v>
      </c>
    </row>
    <row r="11601" spans="1:32" hidden="1" x14ac:dyDescent="0.35">
      <c r="A11601">
        <v>11600</v>
      </c>
      <c r="B11601" t="s">
        <v>23741</v>
      </c>
      <c r="C11601" t="s">
        <v>33</v>
      </c>
      <c r="D11601" t="s">
        <v>58</v>
      </c>
      <c r="E11601">
        <v>1561</v>
      </c>
      <c r="F11601">
        <v>1</v>
      </c>
      <c r="G11601">
        <v>1</v>
      </c>
      <c r="H11601">
        <v>1</v>
      </c>
      <c r="I11601">
        <v>0</v>
      </c>
      <c r="J11601">
        <v>1</v>
      </c>
      <c r="K11601">
        <v>1</v>
      </c>
      <c r="L11601">
        <v>1</v>
      </c>
      <c r="M11601">
        <v>0</v>
      </c>
      <c r="N11601">
        <v>0</v>
      </c>
      <c r="O11601">
        <v>0</v>
      </c>
      <c r="P11601" t="s">
        <v>10334</v>
      </c>
      <c r="Q11601" t="s">
        <v>10335</v>
      </c>
      <c r="R11601" t="s">
        <v>2071</v>
      </c>
      <c r="S11601" t="s">
        <v>2072</v>
      </c>
      <c r="V11601" t="s">
        <v>10336</v>
      </c>
      <c r="W11601" t="s">
        <v>10337</v>
      </c>
      <c r="AF11601" t="s">
        <v>23742</v>
      </c>
    </row>
    <row r="11602" spans="1:32" hidden="1" x14ac:dyDescent="0.35">
      <c r="A11602">
        <v>11601</v>
      </c>
      <c r="B11602" t="s">
        <v>23743</v>
      </c>
      <c r="C11602" t="s">
        <v>33</v>
      </c>
      <c r="D11602" t="s">
        <v>60</v>
      </c>
      <c r="E11602">
        <v>689</v>
      </c>
      <c r="F11602">
        <v>1</v>
      </c>
      <c r="G11602">
        <v>1</v>
      </c>
      <c r="H11602">
        <v>1</v>
      </c>
      <c r="I11602">
        <v>0</v>
      </c>
      <c r="J11602">
        <v>1</v>
      </c>
      <c r="K11602">
        <v>1</v>
      </c>
      <c r="L11602">
        <v>1</v>
      </c>
      <c r="M11602">
        <v>0</v>
      </c>
      <c r="N11602">
        <v>0</v>
      </c>
      <c r="O11602">
        <v>0</v>
      </c>
      <c r="P11602" t="s">
        <v>13196</v>
      </c>
      <c r="Q11602" t="s">
        <v>13197</v>
      </c>
      <c r="R11602" t="s">
        <v>157</v>
      </c>
      <c r="S11602" t="s">
        <v>158</v>
      </c>
      <c r="T11602" t="s">
        <v>13198</v>
      </c>
      <c r="U11602" t="s">
        <v>13199</v>
      </c>
      <c r="V11602" t="s">
        <v>13200</v>
      </c>
      <c r="W11602" t="s">
        <v>13201</v>
      </c>
      <c r="AD11602" t="s">
        <v>410</v>
      </c>
      <c r="AE11602" t="s">
        <v>5489</v>
      </c>
      <c r="AF11602" t="s">
        <v>23744</v>
      </c>
    </row>
    <row r="11603" spans="1:32" hidden="1" x14ac:dyDescent="0.35">
      <c r="A11603">
        <v>11602</v>
      </c>
      <c r="B11603" t="s">
        <v>23745</v>
      </c>
      <c r="C11603" t="s">
        <v>33</v>
      </c>
      <c r="D11603" t="s">
        <v>58</v>
      </c>
      <c r="E11603">
        <v>618</v>
      </c>
      <c r="F11603">
        <v>1</v>
      </c>
      <c r="G11603">
        <v>1</v>
      </c>
      <c r="H11603">
        <v>1</v>
      </c>
      <c r="I11603">
        <v>0</v>
      </c>
      <c r="J11603">
        <v>1</v>
      </c>
      <c r="K11603">
        <v>1</v>
      </c>
      <c r="L11603">
        <v>1</v>
      </c>
      <c r="M11603">
        <v>0</v>
      </c>
      <c r="N11603">
        <v>0</v>
      </c>
      <c r="O11603">
        <v>0</v>
      </c>
      <c r="P11603" t="s">
        <v>2574</v>
      </c>
      <c r="Q11603" t="s">
        <v>2575</v>
      </c>
      <c r="R11603" t="s">
        <v>1498</v>
      </c>
      <c r="S11603" t="s">
        <v>1499</v>
      </c>
      <c r="T11603" t="s">
        <v>2576</v>
      </c>
      <c r="U11603" t="s">
        <v>2577</v>
      </c>
      <c r="V11603" t="s">
        <v>2578</v>
      </c>
      <c r="W11603" t="s">
        <v>2579</v>
      </c>
      <c r="AD11603" t="s">
        <v>2580</v>
      </c>
      <c r="AE11603" t="s">
        <v>2581</v>
      </c>
      <c r="AF11603" t="s">
        <v>23746</v>
      </c>
    </row>
    <row r="11604" spans="1:32" hidden="1" x14ac:dyDescent="0.35">
      <c r="A11604">
        <v>11603</v>
      </c>
      <c r="B11604" t="s">
        <v>23747</v>
      </c>
      <c r="C11604" t="s">
        <v>33</v>
      </c>
      <c r="D11604" t="s">
        <v>60</v>
      </c>
      <c r="E11604">
        <v>657</v>
      </c>
      <c r="F11604">
        <v>1</v>
      </c>
      <c r="G11604">
        <v>1</v>
      </c>
      <c r="H11604">
        <v>1</v>
      </c>
      <c r="I11604">
        <v>0</v>
      </c>
      <c r="J11604">
        <v>1</v>
      </c>
      <c r="K11604">
        <v>1</v>
      </c>
      <c r="L11604">
        <v>1</v>
      </c>
      <c r="M11604">
        <v>0</v>
      </c>
      <c r="N11604">
        <v>0</v>
      </c>
      <c r="O11604">
        <v>0</v>
      </c>
      <c r="P11604" t="s">
        <v>1293</v>
      </c>
      <c r="Q11604" t="s">
        <v>1294</v>
      </c>
      <c r="R11604" t="s">
        <v>371</v>
      </c>
      <c r="S11604" t="s">
        <v>372</v>
      </c>
      <c r="T11604" t="s">
        <v>1295</v>
      </c>
      <c r="U11604" t="s">
        <v>1296</v>
      </c>
      <c r="V11604" t="s">
        <v>1297</v>
      </c>
      <c r="W11604" t="s">
        <v>1298</v>
      </c>
      <c r="AD11604" t="s">
        <v>1299</v>
      </c>
      <c r="AE11604" t="s">
        <v>1300</v>
      </c>
      <c r="AF11604" t="s">
        <v>23748</v>
      </c>
    </row>
    <row r="11605" spans="1:32" hidden="1" x14ac:dyDescent="0.35">
      <c r="A11605">
        <v>11604</v>
      </c>
      <c r="B11605" t="s">
        <v>23749</v>
      </c>
      <c r="C11605" t="s">
        <v>33</v>
      </c>
      <c r="D11605" t="s">
        <v>58</v>
      </c>
      <c r="E11605">
        <v>1070</v>
      </c>
      <c r="F11605">
        <v>1</v>
      </c>
      <c r="G11605">
        <v>1</v>
      </c>
      <c r="H11605">
        <v>1</v>
      </c>
      <c r="I11605">
        <v>0</v>
      </c>
      <c r="J11605">
        <v>1</v>
      </c>
      <c r="K11605">
        <v>1</v>
      </c>
      <c r="L11605">
        <v>1</v>
      </c>
      <c r="M11605">
        <v>0</v>
      </c>
      <c r="N11605">
        <v>0</v>
      </c>
      <c r="O11605">
        <v>0</v>
      </c>
      <c r="P11605" t="s">
        <v>14892</v>
      </c>
      <c r="Q11605" t="s">
        <v>14893</v>
      </c>
      <c r="AF11605" t="s">
        <v>23750</v>
      </c>
    </row>
    <row r="11606" spans="1:32" hidden="1" x14ac:dyDescent="0.35">
      <c r="A11606">
        <v>11605</v>
      </c>
      <c r="B11606" t="s">
        <v>23751</v>
      </c>
      <c r="C11606" t="s">
        <v>33</v>
      </c>
      <c r="D11606" t="s">
        <v>60</v>
      </c>
      <c r="E11606">
        <v>675</v>
      </c>
      <c r="F11606">
        <v>1</v>
      </c>
      <c r="G11606">
        <v>1</v>
      </c>
      <c r="H11606">
        <v>1</v>
      </c>
      <c r="I11606">
        <v>0</v>
      </c>
      <c r="J11606">
        <v>1</v>
      </c>
      <c r="K11606">
        <v>1</v>
      </c>
      <c r="L11606">
        <v>1</v>
      </c>
      <c r="M11606">
        <v>0</v>
      </c>
      <c r="N11606">
        <v>0</v>
      </c>
      <c r="O11606">
        <v>0</v>
      </c>
      <c r="AF11606" t="s">
        <v>23752</v>
      </c>
    </row>
    <row r="11607" spans="1:32" hidden="1" x14ac:dyDescent="0.35">
      <c r="A11607">
        <v>3414</v>
      </c>
      <c r="B11607" t="s">
        <v>7011</v>
      </c>
      <c r="C11607" t="s">
        <v>72</v>
      </c>
      <c r="D11607" t="s">
        <v>58</v>
      </c>
      <c r="E11607">
        <v>1133</v>
      </c>
      <c r="F11607">
        <v>5</v>
      </c>
      <c r="G11607">
        <v>5</v>
      </c>
      <c r="H11607">
        <v>1</v>
      </c>
      <c r="I11607">
        <v>1</v>
      </c>
      <c r="J11607">
        <v>0.90447683498178</v>
      </c>
      <c r="K11607">
        <v>0.80317972604468102</v>
      </c>
      <c r="L11607">
        <v>0.85082384024309599</v>
      </c>
      <c r="M11607">
        <v>0.577380952380952</v>
      </c>
      <c r="N11607">
        <v>1</v>
      </c>
      <c r="O11607">
        <v>0.71607142857142903</v>
      </c>
      <c r="P11607" t="s">
        <v>7012</v>
      </c>
      <c r="Q11607" t="s">
        <v>7013</v>
      </c>
      <c r="R11607" t="s">
        <v>224</v>
      </c>
      <c r="S11607" t="s">
        <v>225</v>
      </c>
      <c r="T11607" t="s">
        <v>7014</v>
      </c>
      <c r="U11607" t="s">
        <v>7015</v>
      </c>
      <c r="V11607" t="s">
        <v>7016</v>
      </c>
      <c r="W11607" t="s">
        <v>7017</v>
      </c>
      <c r="X11607" t="s">
        <v>7016</v>
      </c>
      <c r="Y11607" t="s">
        <v>773</v>
      </c>
      <c r="AD11607" t="s">
        <v>904</v>
      </c>
      <c r="AE11607" t="s">
        <v>5765</v>
      </c>
      <c r="AF11607" t="s">
        <v>7018</v>
      </c>
    </row>
    <row r="11608" spans="1:32" hidden="1" x14ac:dyDescent="0.35">
      <c r="A11608">
        <v>11607</v>
      </c>
      <c r="B11608" t="s">
        <v>23755</v>
      </c>
      <c r="C11608" t="s">
        <v>33</v>
      </c>
      <c r="D11608" t="s">
        <v>62</v>
      </c>
      <c r="E11608">
        <v>1988</v>
      </c>
      <c r="F11608">
        <v>1</v>
      </c>
      <c r="G11608">
        <v>1</v>
      </c>
      <c r="H11608">
        <v>1</v>
      </c>
      <c r="I11608">
        <v>0</v>
      </c>
      <c r="J11608">
        <v>1</v>
      </c>
      <c r="K11608">
        <v>1</v>
      </c>
      <c r="L11608">
        <v>1</v>
      </c>
      <c r="M11608">
        <v>0</v>
      </c>
      <c r="N11608">
        <v>0</v>
      </c>
      <c r="O11608">
        <v>0</v>
      </c>
      <c r="AF11608" t="s">
        <v>23756</v>
      </c>
    </row>
    <row r="11609" spans="1:32" hidden="1" x14ac:dyDescent="0.35">
      <c r="A11609">
        <v>2784</v>
      </c>
      <c r="B11609" t="s">
        <v>5758</v>
      </c>
      <c r="C11609" t="s">
        <v>72</v>
      </c>
      <c r="D11609" t="s">
        <v>58</v>
      </c>
      <c r="E11609">
        <v>834</v>
      </c>
      <c r="F11609">
        <v>5</v>
      </c>
      <c r="G11609">
        <v>5</v>
      </c>
      <c r="H11609">
        <v>1</v>
      </c>
      <c r="I11609">
        <v>1</v>
      </c>
      <c r="J11609">
        <v>0.95630630630630598</v>
      </c>
      <c r="K11609">
        <v>0.844444444444445</v>
      </c>
      <c r="L11609">
        <v>0.89690097001028402</v>
      </c>
      <c r="M11609">
        <v>0.72777777777777797</v>
      </c>
      <c r="N11609">
        <v>1</v>
      </c>
      <c r="O11609">
        <v>0.85888888888888903</v>
      </c>
      <c r="P11609" t="s">
        <v>5759</v>
      </c>
      <c r="Q11609" t="s">
        <v>5760</v>
      </c>
      <c r="R11609" t="s">
        <v>224</v>
      </c>
      <c r="S11609" t="s">
        <v>225</v>
      </c>
      <c r="T11609" t="s">
        <v>5761</v>
      </c>
      <c r="U11609" t="s">
        <v>5762</v>
      </c>
      <c r="V11609" t="s">
        <v>5763</v>
      </c>
      <c r="W11609" t="s">
        <v>5764</v>
      </c>
      <c r="X11609" t="s">
        <v>5763</v>
      </c>
      <c r="Y11609" t="s">
        <v>773</v>
      </c>
      <c r="AD11609" t="s">
        <v>904</v>
      </c>
      <c r="AE11609" t="s">
        <v>5765</v>
      </c>
      <c r="AF11609" t="s">
        <v>5766</v>
      </c>
    </row>
    <row r="11610" spans="1:32" hidden="1" x14ac:dyDescent="0.35">
      <c r="A11610">
        <v>11891</v>
      </c>
      <c r="B11610" t="s">
        <v>24485</v>
      </c>
      <c r="C11610" t="s">
        <v>10130</v>
      </c>
      <c r="D11610" t="s">
        <v>58</v>
      </c>
      <c r="E11610">
        <v>1199</v>
      </c>
      <c r="F11610">
        <v>1</v>
      </c>
      <c r="G11610">
        <v>1</v>
      </c>
      <c r="H11610">
        <v>1</v>
      </c>
      <c r="I11610">
        <v>0</v>
      </c>
      <c r="J11610">
        <v>1</v>
      </c>
      <c r="K11610">
        <v>1</v>
      </c>
      <c r="L11610">
        <v>1</v>
      </c>
      <c r="M11610">
        <v>0</v>
      </c>
      <c r="N11610">
        <v>0</v>
      </c>
      <c r="O11610">
        <v>0</v>
      </c>
      <c r="P11610" t="s">
        <v>12728</v>
      </c>
      <c r="Q11610" t="s">
        <v>12729</v>
      </c>
      <c r="R11610" t="s">
        <v>75</v>
      </c>
      <c r="S11610" t="s">
        <v>76</v>
      </c>
      <c r="T11610" t="s">
        <v>12721</v>
      </c>
      <c r="U11610" t="s">
        <v>12722</v>
      </c>
      <c r="V11610" t="s">
        <v>12723</v>
      </c>
      <c r="W11610" t="s">
        <v>12724</v>
      </c>
      <c r="Z11610" t="s">
        <v>12725</v>
      </c>
      <c r="AA11610" t="s">
        <v>12726</v>
      </c>
      <c r="AB11610" t="s">
        <v>12725</v>
      </c>
      <c r="AC11610" t="s">
        <v>2395</v>
      </c>
      <c r="AD11610" t="s">
        <v>219</v>
      </c>
      <c r="AE11610" t="s">
        <v>12727</v>
      </c>
      <c r="AF11610" t="s">
        <v>24486</v>
      </c>
    </row>
    <row r="11611" spans="1:32" hidden="1" x14ac:dyDescent="0.35">
      <c r="A11611">
        <v>11610</v>
      </c>
      <c r="B11611" t="s">
        <v>23765</v>
      </c>
      <c r="C11611" t="s">
        <v>33</v>
      </c>
      <c r="D11611" t="s">
        <v>58</v>
      </c>
      <c r="E11611">
        <v>1686</v>
      </c>
      <c r="F11611">
        <v>1</v>
      </c>
      <c r="G11611">
        <v>1</v>
      </c>
      <c r="H11611">
        <v>1</v>
      </c>
      <c r="I11611">
        <v>0</v>
      </c>
      <c r="J11611">
        <v>1</v>
      </c>
      <c r="K11611">
        <v>1</v>
      </c>
      <c r="L11611">
        <v>1</v>
      </c>
      <c r="M11611">
        <v>0</v>
      </c>
      <c r="N11611">
        <v>0</v>
      </c>
      <c r="O11611">
        <v>0</v>
      </c>
      <c r="AF11611" t="s">
        <v>23766</v>
      </c>
    </row>
    <row r="11612" spans="1:32" hidden="1" x14ac:dyDescent="0.35">
      <c r="A11612">
        <v>11611</v>
      </c>
      <c r="B11612" t="s">
        <v>23767</v>
      </c>
      <c r="C11612" t="s">
        <v>33</v>
      </c>
      <c r="D11612" t="s">
        <v>62</v>
      </c>
      <c r="E11612">
        <v>2062</v>
      </c>
      <c r="F11612">
        <v>1</v>
      </c>
      <c r="G11612">
        <v>1</v>
      </c>
      <c r="H11612">
        <v>1</v>
      </c>
      <c r="I11612">
        <v>0</v>
      </c>
      <c r="J11612">
        <v>1</v>
      </c>
      <c r="K11612">
        <v>1</v>
      </c>
      <c r="L11612">
        <v>1</v>
      </c>
      <c r="M11612">
        <v>0</v>
      </c>
      <c r="N11612">
        <v>0</v>
      </c>
      <c r="O11612">
        <v>0</v>
      </c>
      <c r="AF11612" t="s">
        <v>23768</v>
      </c>
    </row>
    <row r="11613" spans="1:32" hidden="1" x14ac:dyDescent="0.35">
      <c r="A11613">
        <v>11612</v>
      </c>
      <c r="B11613" t="s">
        <v>23769</v>
      </c>
      <c r="C11613" t="s">
        <v>33</v>
      </c>
      <c r="D11613" t="s">
        <v>58</v>
      </c>
      <c r="E11613">
        <v>1631</v>
      </c>
      <c r="F11613">
        <v>1</v>
      </c>
      <c r="G11613">
        <v>1</v>
      </c>
      <c r="H11613">
        <v>1</v>
      </c>
      <c r="I11613">
        <v>0</v>
      </c>
      <c r="J11613">
        <v>1</v>
      </c>
      <c r="K11613">
        <v>1</v>
      </c>
      <c r="L11613">
        <v>1</v>
      </c>
      <c r="M11613">
        <v>0</v>
      </c>
      <c r="N11613">
        <v>0</v>
      </c>
      <c r="O11613">
        <v>0</v>
      </c>
      <c r="P11613" t="s">
        <v>23770</v>
      </c>
      <c r="Q11613" t="s">
        <v>23771</v>
      </c>
      <c r="R11613" t="s">
        <v>23772</v>
      </c>
      <c r="S11613" t="s">
        <v>23773</v>
      </c>
      <c r="V11613" t="s">
        <v>23774</v>
      </c>
      <c r="W11613" t="s">
        <v>23775</v>
      </c>
      <c r="AF11613" t="s">
        <v>23776</v>
      </c>
    </row>
    <row r="11614" spans="1:32" hidden="1" x14ac:dyDescent="0.35">
      <c r="A11614">
        <v>6179</v>
      </c>
      <c r="B11614" t="s">
        <v>12720</v>
      </c>
      <c r="C11614" t="s">
        <v>68</v>
      </c>
      <c r="D11614" t="s">
        <v>58</v>
      </c>
      <c r="E11614">
        <v>761</v>
      </c>
      <c r="F11614">
        <v>3</v>
      </c>
      <c r="G11614">
        <v>3</v>
      </c>
      <c r="H11614">
        <v>1</v>
      </c>
      <c r="I11614">
        <v>0</v>
      </c>
      <c r="J11614">
        <v>0.81720430107526898</v>
      </c>
      <c r="K11614">
        <v>0.98039400213313499</v>
      </c>
      <c r="L11614">
        <v>0.89139180189658795</v>
      </c>
      <c r="M11614">
        <v>0.59288537549407105</v>
      </c>
      <c r="N11614">
        <v>0.99209486166007899</v>
      </c>
      <c r="O11614">
        <v>0.72859025032938096</v>
      </c>
      <c r="P11614" t="s">
        <v>4551</v>
      </c>
      <c r="Q11614" t="s">
        <v>4552</v>
      </c>
      <c r="R11614" t="s">
        <v>75</v>
      </c>
      <c r="S11614" t="s">
        <v>76</v>
      </c>
      <c r="T11614" t="s">
        <v>12721</v>
      </c>
      <c r="U11614" t="s">
        <v>12722</v>
      </c>
      <c r="V11614" t="s">
        <v>12723</v>
      </c>
      <c r="W11614" t="s">
        <v>12724</v>
      </c>
      <c r="Z11614" t="s">
        <v>12725</v>
      </c>
      <c r="AA11614" t="s">
        <v>12726</v>
      </c>
      <c r="AB11614" t="s">
        <v>12725</v>
      </c>
      <c r="AC11614" t="s">
        <v>2395</v>
      </c>
      <c r="AD11614" t="s">
        <v>219</v>
      </c>
      <c r="AE11614" t="s">
        <v>12727</v>
      </c>
      <c r="AF11614" t="e">
        <f>--MPVSTYLPTRGWFEDDWRARPTPQRPWPVVLLHGTSVSNGDWLELSTQLRKLGWVVFAPAYGQRATSSVPDSAEQVAAYIRQVLDATGAEKVIMVGHSQGGLIARWCAKFFD--IPTRHIICLSTPNHGTSLGGMLSSRVTNDRRAELMKSMIDNYFGPAGMQQIAGSEVLEQLNADGDLLPGVMYTCLATKTDSTVVPSTSCFLE--GAENSYVQDFFPHVVVLHENMPHDRRVRSLVVGEIEQHARLSA</f>
        <v>#NAME?</v>
      </c>
    </row>
    <row r="11615" spans="1:32" hidden="1" x14ac:dyDescent="0.35">
      <c r="A11615">
        <v>10887</v>
      </c>
      <c r="B11615" t="s">
        <v>21893</v>
      </c>
      <c r="C11615" t="s">
        <v>33</v>
      </c>
      <c r="D11615" t="s">
        <v>58</v>
      </c>
      <c r="E11615">
        <v>1654</v>
      </c>
      <c r="F11615">
        <v>1</v>
      </c>
      <c r="G11615">
        <v>1</v>
      </c>
      <c r="H11615">
        <v>1</v>
      </c>
      <c r="I11615">
        <v>0</v>
      </c>
      <c r="J11615">
        <v>1</v>
      </c>
      <c r="K11615">
        <v>1</v>
      </c>
      <c r="L11615">
        <v>1</v>
      </c>
      <c r="M11615">
        <v>0</v>
      </c>
      <c r="N11615">
        <v>0</v>
      </c>
      <c r="O11615">
        <v>0</v>
      </c>
      <c r="P11615" t="s">
        <v>21894</v>
      </c>
      <c r="Q11615" t="s">
        <v>21895</v>
      </c>
      <c r="R11615" t="s">
        <v>342</v>
      </c>
      <c r="S11615" t="s">
        <v>343</v>
      </c>
      <c r="T11615" t="s">
        <v>21896</v>
      </c>
      <c r="U11615" t="s">
        <v>21897</v>
      </c>
      <c r="V11615" t="s">
        <v>21898</v>
      </c>
      <c r="W11615" t="s">
        <v>21899</v>
      </c>
      <c r="AD11615" t="s">
        <v>166</v>
      </c>
      <c r="AE11615" t="s">
        <v>818</v>
      </c>
      <c r="AF11615" t="s">
        <v>21900</v>
      </c>
    </row>
    <row r="11616" spans="1:32" hidden="1" x14ac:dyDescent="0.35">
      <c r="A11616">
        <v>11615</v>
      </c>
      <c r="B11616" t="s">
        <v>23787</v>
      </c>
      <c r="C11616" t="s">
        <v>33</v>
      </c>
      <c r="D11616" t="s">
        <v>34</v>
      </c>
      <c r="E11616">
        <v>2428</v>
      </c>
      <c r="F11616">
        <v>1</v>
      </c>
      <c r="G11616">
        <v>1</v>
      </c>
      <c r="H11616">
        <v>1</v>
      </c>
      <c r="I11616">
        <v>0</v>
      </c>
      <c r="J11616">
        <v>1</v>
      </c>
      <c r="K11616">
        <v>1</v>
      </c>
      <c r="L11616">
        <v>1</v>
      </c>
      <c r="M11616">
        <v>0</v>
      </c>
      <c r="N11616">
        <v>0</v>
      </c>
      <c r="O11616">
        <v>0</v>
      </c>
      <c r="P11616" t="s">
        <v>1199</v>
      </c>
      <c r="Q11616" t="s">
        <v>1200</v>
      </c>
      <c r="R11616" t="s">
        <v>96</v>
      </c>
      <c r="S11616" t="s">
        <v>97</v>
      </c>
      <c r="V11616" t="s">
        <v>1203</v>
      </c>
      <c r="W11616" t="s">
        <v>1204</v>
      </c>
      <c r="AF11616" t="s">
        <v>23788</v>
      </c>
    </row>
    <row r="11617" spans="1:32" hidden="1" x14ac:dyDescent="0.35">
      <c r="A11617">
        <v>2179</v>
      </c>
      <c r="B11617" t="s">
        <v>4532</v>
      </c>
      <c r="C11617" t="s">
        <v>72</v>
      </c>
      <c r="D11617" t="s">
        <v>58</v>
      </c>
      <c r="E11617">
        <v>726</v>
      </c>
      <c r="F11617">
        <v>5</v>
      </c>
      <c r="G11617">
        <v>5</v>
      </c>
      <c r="H11617">
        <v>1</v>
      </c>
      <c r="I11617">
        <v>1</v>
      </c>
      <c r="J11617">
        <v>0.69287020109689201</v>
      </c>
      <c r="K11617">
        <v>0.72476523793063896</v>
      </c>
      <c r="L11617">
        <v>0.70845892015441703</v>
      </c>
      <c r="M11617">
        <v>0.200757575757576</v>
      </c>
      <c r="N11617">
        <v>1</v>
      </c>
      <c r="O11617">
        <v>0.486363636363636</v>
      </c>
      <c r="R11617" t="s">
        <v>224</v>
      </c>
      <c r="S11617" t="s">
        <v>225</v>
      </c>
      <c r="V11617" t="s">
        <v>4533</v>
      </c>
      <c r="W11617" t="s">
        <v>4534</v>
      </c>
      <c r="X11617" t="s">
        <v>4533</v>
      </c>
      <c r="Y11617" t="s">
        <v>1598</v>
      </c>
      <c r="AF11617" t="s">
        <v>4535</v>
      </c>
    </row>
    <row r="11618" spans="1:32" hidden="1" x14ac:dyDescent="0.35">
      <c r="A11618">
        <v>4599</v>
      </c>
      <c r="B11618" t="s">
        <v>9619</v>
      </c>
      <c r="C11618" t="s">
        <v>72</v>
      </c>
      <c r="D11618" t="s">
        <v>58</v>
      </c>
      <c r="E11618">
        <v>1110</v>
      </c>
      <c r="F11618">
        <v>5</v>
      </c>
      <c r="G11618">
        <v>5</v>
      </c>
      <c r="H11618">
        <v>1</v>
      </c>
      <c r="I11618">
        <v>1</v>
      </c>
      <c r="J11618">
        <v>0.88706311945748595</v>
      </c>
      <c r="K11618">
        <v>0.94619018278906997</v>
      </c>
      <c r="L11618">
        <v>0.91567315233128499</v>
      </c>
      <c r="M11618">
        <v>0.75046210720887196</v>
      </c>
      <c r="N11618">
        <v>0.99815157116451003</v>
      </c>
      <c r="O11618">
        <v>0.82181146025878005</v>
      </c>
      <c r="P11618" t="s">
        <v>2848</v>
      </c>
      <c r="Q11618" t="s">
        <v>2849</v>
      </c>
      <c r="R11618" t="s">
        <v>224</v>
      </c>
      <c r="S11618" t="s">
        <v>225</v>
      </c>
      <c r="T11618" t="s">
        <v>9620</v>
      </c>
      <c r="U11618" t="s">
        <v>9621</v>
      </c>
      <c r="V11618" t="s">
        <v>9622</v>
      </c>
      <c r="W11618" t="s">
        <v>9623</v>
      </c>
      <c r="X11618" t="s">
        <v>9622</v>
      </c>
      <c r="Y11618" t="s">
        <v>1598</v>
      </c>
      <c r="AD11618" t="s">
        <v>2991</v>
      </c>
      <c r="AE11618" t="s">
        <v>9624</v>
      </c>
      <c r="AF11618" t="s">
        <v>9625</v>
      </c>
    </row>
    <row r="11619" spans="1:32" hidden="1" x14ac:dyDescent="0.35">
      <c r="A11619">
        <v>11618</v>
      </c>
      <c r="B11619" t="s">
        <v>23793</v>
      </c>
      <c r="C11619" t="s">
        <v>33</v>
      </c>
      <c r="D11619" t="s">
        <v>62</v>
      </c>
      <c r="E11619">
        <v>766</v>
      </c>
      <c r="F11619">
        <v>1</v>
      </c>
      <c r="G11619">
        <v>1</v>
      </c>
      <c r="H11619">
        <v>1</v>
      </c>
      <c r="I11619">
        <v>0</v>
      </c>
      <c r="J11619">
        <v>1</v>
      </c>
      <c r="K11619">
        <v>1</v>
      </c>
      <c r="L11619">
        <v>1</v>
      </c>
      <c r="M11619">
        <v>0</v>
      </c>
      <c r="N11619">
        <v>0</v>
      </c>
      <c r="O11619">
        <v>0</v>
      </c>
      <c r="AF11619" t="s">
        <v>23794</v>
      </c>
    </row>
    <row r="11620" spans="1:32" hidden="1" x14ac:dyDescent="0.35">
      <c r="A11620">
        <v>11619</v>
      </c>
      <c r="B11620" t="s">
        <v>23795</v>
      </c>
      <c r="C11620" t="s">
        <v>33</v>
      </c>
      <c r="D11620" t="s">
        <v>58</v>
      </c>
      <c r="E11620">
        <v>100</v>
      </c>
      <c r="F11620">
        <v>1</v>
      </c>
      <c r="G11620">
        <v>1</v>
      </c>
      <c r="H11620">
        <v>1</v>
      </c>
      <c r="I11620">
        <v>0</v>
      </c>
      <c r="J11620">
        <v>1</v>
      </c>
      <c r="K11620">
        <v>1</v>
      </c>
      <c r="L11620">
        <v>1</v>
      </c>
      <c r="M11620">
        <v>0</v>
      </c>
      <c r="N11620">
        <v>0</v>
      </c>
      <c r="O11620">
        <v>0</v>
      </c>
      <c r="P11620" t="s">
        <v>14377</v>
      </c>
      <c r="Q11620" t="s">
        <v>14378</v>
      </c>
      <c r="AF11620" t="s">
        <v>23796</v>
      </c>
    </row>
    <row r="11621" spans="1:32" hidden="1" x14ac:dyDescent="0.35">
      <c r="A11621">
        <v>11620</v>
      </c>
      <c r="B11621" t="s">
        <v>23797</v>
      </c>
      <c r="C11621" t="s">
        <v>33</v>
      </c>
      <c r="D11621" t="s">
        <v>34</v>
      </c>
      <c r="E11621">
        <v>2210</v>
      </c>
      <c r="F11621">
        <v>1</v>
      </c>
      <c r="G11621">
        <v>1</v>
      </c>
      <c r="H11621">
        <v>1</v>
      </c>
      <c r="I11621">
        <v>0</v>
      </c>
      <c r="J11621">
        <v>1</v>
      </c>
      <c r="K11621">
        <v>1</v>
      </c>
      <c r="L11621">
        <v>1</v>
      </c>
      <c r="M11621">
        <v>0</v>
      </c>
      <c r="N11621">
        <v>0</v>
      </c>
      <c r="O11621">
        <v>0</v>
      </c>
      <c r="P11621" t="s">
        <v>169</v>
      </c>
      <c r="Q11621" t="s">
        <v>170</v>
      </c>
      <c r="R11621" t="s">
        <v>138</v>
      </c>
      <c r="S11621" t="s">
        <v>139</v>
      </c>
      <c r="T11621" t="s">
        <v>11441</v>
      </c>
      <c r="U11621" t="s">
        <v>11442</v>
      </c>
      <c r="V11621" t="s">
        <v>11356</v>
      </c>
      <c r="W11621" t="s">
        <v>11357</v>
      </c>
      <c r="AD11621" t="s">
        <v>439</v>
      </c>
      <c r="AE11621" t="s">
        <v>11443</v>
      </c>
      <c r="AF11621" t="s">
        <v>23798</v>
      </c>
    </row>
    <row r="11622" spans="1:32" hidden="1" x14ac:dyDescent="0.35">
      <c r="A11622">
        <v>2394</v>
      </c>
      <c r="B11622" t="s">
        <v>4972</v>
      </c>
      <c r="C11622" t="s">
        <v>72</v>
      </c>
      <c r="D11622" t="s">
        <v>58</v>
      </c>
      <c r="E11622">
        <v>1107</v>
      </c>
      <c r="F11622">
        <v>5</v>
      </c>
      <c r="G11622">
        <v>5</v>
      </c>
      <c r="H11622">
        <v>1</v>
      </c>
      <c r="I11622">
        <v>1</v>
      </c>
      <c r="J11622">
        <v>0.797983156028369</v>
      </c>
      <c r="K11622">
        <v>0.92076527187290103</v>
      </c>
      <c r="L11622">
        <v>0.85498862507487705</v>
      </c>
      <c r="M11622">
        <v>0.60060975609756095</v>
      </c>
      <c r="N11622">
        <v>1</v>
      </c>
      <c r="O11622">
        <v>0.70030487804878006</v>
      </c>
      <c r="P11622" t="s">
        <v>4973</v>
      </c>
      <c r="Q11622" t="s">
        <v>4974</v>
      </c>
      <c r="R11622" t="s">
        <v>224</v>
      </c>
      <c r="S11622" t="s">
        <v>225</v>
      </c>
      <c r="T11622" t="s">
        <v>4975</v>
      </c>
      <c r="U11622" t="s">
        <v>4976</v>
      </c>
      <c r="V11622" t="s">
        <v>4977</v>
      </c>
      <c r="W11622" t="s">
        <v>4978</v>
      </c>
      <c r="X11622" t="s">
        <v>4977</v>
      </c>
      <c r="Y11622" t="s">
        <v>1598</v>
      </c>
      <c r="AD11622" t="s">
        <v>4979</v>
      </c>
      <c r="AE11622" t="s">
        <v>4980</v>
      </c>
      <c r="AF11622" t="s">
        <v>4981</v>
      </c>
    </row>
    <row r="11623" spans="1:32" hidden="1" x14ac:dyDescent="0.35">
      <c r="A11623">
        <v>11622</v>
      </c>
      <c r="B11623" t="s">
        <v>23801</v>
      </c>
      <c r="C11623" t="s">
        <v>33</v>
      </c>
      <c r="D11623" t="s">
        <v>58</v>
      </c>
      <c r="E11623">
        <v>219</v>
      </c>
      <c r="F11623">
        <v>1</v>
      </c>
      <c r="G11623">
        <v>1</v>
      </c>
      <c r="H11623">
        <v>1</v>
      </c>
      <c r="I11623">
        <v>0</v>
      </c>
      <c r="J11623">
        <v>1</v>
      </c>
      <c r="K11623">
        <v>1</v>
      </c>
      <c r="L11623">
        <v>1</v>
      </c>
      <c r="M11623">
        <v>0</v>
      </c>
      <c r="N11623">
        <v>0</v>
      </c>
      <c r="O11623">
        <v>0</v>
      </c>
      <c r="P11623" t="s">
        <v>23802</v>
      </c>
      <c r="Q11623" t="s">
        <v>23803</v>
      </c>
      <c r="AF11623" t="s">
        <v>23804</v>
      </c>
    </row>
    <row r="11624" spans="1:32" hidden="1" x14ac:dyDescent="0.35">
      <c r="A11624">
        <v>11623</v>
      </c>
      <c r="B11624" t="s">
        <v>23805</v>
      </c>
      <c r="C11624" t="s">
        <v>33</v>
      </c>
      <c r="D11624" t="s">
        <v>58</v>
      </c>
      <c r="E11624">
        <v>470</v>
      </c>
      <c r="F11624">
        <v>1</v>
      </c>
      <c r="G11624">
        <v>1</v>
      </c>
      <c r="H11624">
        <v>1</v>
      </c>
      <c r="I11624">
        <v>0</v>
      </c>
      <c r="J11624">
        <v>1</v>
      </c>
      <c r="K11624">
        <v>1</v>
      </c>
      <c r="L11624">
        <v>1</v>
      </c>
      <c r="M11624">
        <v>0</v>
      </c>
      <c r="N11624">
        <v>0</v>
      </c>
      <c r="O11624">
        <v>0</v>
      </c>
      <c r="AF11624" t="s">
        <v>23806</v>
      </c>
    </row>
    <row r="11625" spans="1:32" hidden="1" x14ac:dyDescent="0.35">
      <c r="A11625">
        <v>11624</v>
      </c>
      <c r="B11625" t="s">
        <v>23807</v>
      </c>
      <c r="C11625" t="s">
        <v>33</v>
      </c>
      <c r="D11625" t="s">
        <v>60</v>
      </c>
      <c r="E11625">
        <v>668</v>
      </c>
      <c r="F11625">
        <v>1</v>
      </c>
      <c r="G11625">
        <v>1</v>
      </c>
      <c r="H11625">
        <v>1</v>
      </c>
      <c r="I11625">
        <v>0</v>
      </c>
      <c r="J11625">
        <v>1</v>
      </c>
      <c r="K11625">
        <v>1</v>
      </c>
      <c r="L11625">
        <v>1</v>
      </c>
      <c r="M11625">
        <v>0</v>
      </c>
      <c r="N11625">
        <v>0</v>
      </c>
      <c r="O11625">
        <v>0</v>
      </c>
      <c r="AF11625" t="s">
        <v>23808</v>
      </c>
    </row>
    <row r="11626" spans="1:32" hidden="1" x14ac:dyDescent="0.35">
      <c r="A11626">
        <v>11625</v>
      </c>
      <c r="B11626" t="s">
        <v>23809</v>
      </c>
      <c r="C11626" t="s">
        <v>33</v>
      </c>
      <c r="D11626" t="s">
        <v>34</v>
      </c>
      <c r="E11626">
        <v>25</v>
      </c>
      <c r="F11626">
        <v>1</v>
      </c>
      <c r="G11626">
        <v>1</v>
      </c>
      <c r="H11626">
        <v>1</v>
      </c>
      <c r="I11626">
        <v>0</v>
      </c>
      <c r="J11626">
        <v>1</v>
      </c>
      <c r="K11626">
        <v>1</v>
      </c>
      <c r="L11626">
        <v>1</v>
      </c>
      <c r="M11626">
        <v>0</v>
      </c>
      <c r="N11626">
        <v>0</v>
      </c>
      <c r="O11626">
        <v>0</v>
      </c>
      <c r="P11626" t="s">
        <v>21638</v>
      </c>
      <c r="Q11626" t="s">
        <v>21639</v>
      </c>
      <c r="AF11626" t="s">
        <v>23810</v>
      </c>
    </row>
    <row r="11627" spans="1:32" hidden="1" x14ac:dyDescent="0.35">
      <c r="A11627">
        <v>11626</v>
      </c>
      <c r="B11627" t="s">
        <v>23811</v>
      </c>
      <c r="C11627" t="s">
        <v>33</v>
      </c>
      <c r="D11627" t="s">
        <v>58</v>
      </c>
      <c r="E11627">
        <v>1800</v>
      </c>
      <c r="F11627">
        <v>1</v>
      </c>
      <c r="G11627">
        <v>1</v>
      </c>
      <c r="H11627">
        <v>1</v>
      </c>
      <c r="I11627">
        <v>0</v>
      </c>
      <c r="J11627">
        <v>1</v>
      </c>
      <c r="K11627">
        <v>1</v>
      </c>
      <c r="L11627">
        <v>1</v>
      </c>
      <c r="M11627">
        <v>0</v>
      </c>
      <c r="N11627">
        <v>0</v>
      </c>
      <c r="O11627">
        <v>0</v>
      </c>
      <c r="P11627" t="s">
        <v>15523</v>
      </c>
      <c r="Q11627" t="s">
        <v>15524</v>
      </c>
      <c r="AF11627" t="s">
        <v>23812</v>
      </c>
    </row>
    <row r="11628" spans="1:32" hidden="1" x14ac:dyDescent="0.35">
      <c r="A11628">
        <v>11627</v>
      </c>
      <c r="B11628" t="s">
        <v>23813</v>
      </c>
      <c r="C11628" t="s">
        <v>33</v>
      </c>
      <c r="D11628" t="s">
        <v>34</v>
      </c>
      <c r="E11628">
        <v>2488</v>
      </c>
      <c r="F11628">
        <v>1</v>
      </c>
      <c r="G11628">
        <v>1</v>
      </c>
      <c r="H11628">
        <v>1</v>
      </c>
      <c r="I11628">
        <v>0</v>
      </c>
      <c r="J11628">
        <v>1</v>
      </c>
      <c r="K11628">
        <v>1</v>
      </c>
      <c r="L11628">
        <v>1</v>
      </c>
      <c r="M11628">
        <v>0</v>
      </c>
      <c r="N11628">
        <v>0</v>
      </c>
      <c r="O11628">
        <v>0</v>
      </c>
      <c r="P11628" t="s">
        <v>12781</v>
      </c>
      <c r="Q11628" t="s">
        <v>12782</v>
      </c>
      <c r="R11628" t="s">
        <v>288</v>
      </c>
      <c r="S11628" t="s">
        <v>289</v>
      </c>
      <c r="T11628" t="s">
        <v>12783</v>
      </c>
      <c r="U11628" t="s">
        <v>407</v>
      </c>
      <c r="V11628" t="s">
        <v>12784</v>
      </c>
      <c r="W11628" t="s">
        <v>12785</v>
      </c>
      <c r="AD11628" t="s">
        <v>410</v>
      </c>
      <c r="AE11628" t="s">
        <v>411</v>
      </c>
      <c r="AF11628" t="s">
        <v>23814</v>
      </c>
    </row>
    <row r="11629" spans="1:32" hidden="1" x14ac:dyDescent="0.35">
      <c r="A11629">
        <v>11628</v>
      </c>
      <c r="B11629" t="s">
        <v>23815</v>
      </c>
      <c r="C11629" t="s">
        <v>33</v>
      </c>
      <c r="D11629" t="s">
        <v>34</v>
      </c>
      <c r="E11629">
        <v>742</v>
      </c>
      <c r="F11629">
        <v>1</v>
      </c>
      <c r="G11629">
        <v>1</v>
      </c>
      <c r="H11629">
        <v>1</v>
      </c>
      <c r="I11629">
        <v>0</v>
      </c>
      <c r="J11629">
        <v>1</v>
      </c>
      <c r="K11629">
        <v>1</v>
      </c>
      <c r="L11629">
        <v>1</v>
      </c>
      <c r="M11629">
        <v>0</v>
      </c>
      <c r="N11629">
        <v>0</v>
      </c>
      <c r="O11629">
        <v>0</v>
      </c>
      <c r="AF11629" t="s">
        <v>23816</v>
      </c>
    </row>
    <row r="11630" spans="1:32" hidden="1" x14ac:dyDescent="0.35">
      <c r="A11630">
        <v>11629</v>
      </c>
      <c r="B11630" t="s">
        <v>23817</v>
      </c>
      <c r="C11630" t="s">
        <v>33</v>
      </c>
      <c r="D11630" t="s">
        <v>58</v>
      </c>
      <c r="E11630">
        <v>359</v>
      </c>
      <c r="F11630">
        <v>1</v>
      </c>
      <c r="G11630">
        <v>1</v>
      </c>
      <c r="H11630">
        <v>1</v>
      </c>
      <c r="I11630">
        <v>0</v>
      </c>
      <c r="J11630">
        <v>1</v>
      </c>
      <c r="K11630">
        <v>1</v>
      </c>
      <c r="L11630">
        <v>1</v>
      </c>
      <c r="M11630">
        <v>0</v>
      </c>
      <c r="N11630">
        <v>0</v>
      </c>
      <c r="O11630">
        <v>0</v>
      </c>
      <c r="P11630" t="s">
        <v>15139</v>
      </c>
      <c r="Q11630" t="s">
        <v>15140</v>
      </c>
      <c r="R11630" t="s">
        <v>6699</v>
      </c>
      <c r="S11630" t="s">
        <v>6700</v>
      </c>
      <c r="T11630" t="s">
        <v>23818</v>
      </c>
      <c r="U11630" t="s">
        <v>23819</v>
      </c>
      <c r="V11630" t="s">
        <v>23820</v>
      </c>
      <c r="W11630" t="s">
        <v>23821</v>
      </c>
      <c r="AD11630" t="s">
        <v>410</v>
      </c>
      <c r="AE11630" t="s">
        <v>23822</v>
      </c>
      <c r="AF11630" t="s">
        <v>23823</v>
      </c>
    </row>
    <row r="11631" spans="1:32" hidden="1" x14ac:dyDescent="0.35">
      <c r="A11631">
        <v>11755</v>
      </c>
      <c r="B11631" t="s">
        <v>24147</v>
      </c>
      <c r="C11631" t="s">
        <v>33</v>
      </c>
      <c r="D11631" t="s">
        <v>58</v>
      </c>
      <c r="E11631">
        <v>1572</v>
      </c>
      <c r="F11631">
        <v>1</v>
      </c>
      <c r="G11631">
        <v>1</v>
      </c>
      <c r="H11631">
        <v>1</v>
      </c>
      <c r="I11631">
        <v>0</v>
      </c>
      <c r="J11631">
        <v>1</v>
      </c>
      <c r="K11631">
        <v>1</v>
      </c>
      <c r="L11631">
        <v>1</v>
      </c>
      <c r="M11631">
        <v>0</v>
      </c>
      <c r="N11631">
        <v>0</v>
      </c>
      <c r="O11631">
        <v>0</v>
      </c>
      <c r="P11631" t="s">
        <v>10067</v>
      </c>
      <c r="Q11631" t="s">
        <v>10068</v>
      </c>
      <c r="R11631" t="s">
        <v>224</v>
      </c>
      <c r="S11631" t="s">
        <v>225</v>
      </c>
      <c r="T11631" t="s">
        <v>15971</v>
      </c>
      <c r="U11631" t="s">
        <v>15972</v>
      </c>
      <c r="V11631" t="s">
        <v>15973</v>
      </c>
      <c r="W11631" t="s">
        <v>15974</v>
      </c>
      <c r="X11631" t="s">
        <v>15973</v>
      </c>
      <c r="Y11631" t="s">
        <v>1598</v>
      </c>
      <c r="AD11631" t="s">
        <v>1717</v>
      </c>
      <c r="AE11631" t="s">
        <v>1718</v>
      </c>
      <c r="AF11631" t="s">
        <v>24148</v>
      </c>
    </row>
    <row r="11632" spans="1:32" hidden="1" x14ac:dyDescent="0.35">
      <c r="A11632">
        <v>11631</v>
      </c>
      <c r="B11632" t="s">
        <v>23828</v>
      </c>
      <c r="C11632" t="s">
        <v>33</v>
      </c>
      <c r="D11632" t="s">
        <v>58</v>
      </c>
      <c r="E11632">
        <v>1346</v>
      </c>
      <c r="F11632">
        <v>1</v>
      </c>
      <c r="G11632">
        <v>1</v>
      </c>
      <c r="H11632">
        <v>1</v>
      </c>
      <c r="I11632">
        <v>0</v>
      </c>
      <c r="J11632">
        <v>1</v>
      </c>
      <c r="K11632">
        <v>1</v>
      </c>
      <c r="L11632">
        <v>1</v>
      </c>
      <c r="M11632">
        <v>0</v>
      </c>
      <c r="N11632">
        <v>0</v>
      </c>
      <c r="O11632">
        <v>0</v>
      </c>
      <c r="AF11632" t="s">
        <v>23829</v>
      </c>
    </row>
    <row r="11633" spans="1:32" hidden="1" x14ac:dyDescent="0.35">
      <c r="A11633">
        <v>3304</v>
      </c>
      <c r="B11633" t="s">
        <v>6790</v>
      </c>
      <c r="C11633" t="s">
        <v>72</v>
      </c>
      <c r="D11633" t="s">
        <v>58</v>
      </c>
      <c r="E11633">
        <v>1251</v>
      </c>
      <c r="F11633">
        <v>5</v>
      </c>
      <c r="G11633">
        <v>5</v>
      </c>
      <c r="H11633">
        <v>1</v>
      </c>
      <c r="I11633">
        <v>1</v>
      </c>
      <c r="J11633">
        <v>0.82954369682908002</v>
      </c>
      <c r="K11633">
        <v>0.92790439544176295</v>
      </c>
      <c r="L11633">
        <v>0.87597152471697204</v>
      </c>
      <c r="M11633">
        <v>0.60515021459227503</v>
      </c>
      <c r="N11633">
        <v>1</v>
      </c>
      <c r="O11633">
        <v>0.75622317596566502</v>
      </c>
      <c r="P11633" t="s">
        <v>6791</v>
      </c>
      <c r="Q11633" t="s">
        <v>6792</v>
      </c>
      <c r="R11633" t="s">
        <v>224</v>
      </c>
      <c r="S11633" t="s">
        <v>225</v>
      </c>
      <c r="T11633" t="s">
        <v>6793</v>
      </c>
      <c r="U11633" t="s">
        <v>6794</v>
      </c>
      <c r="V11633" t="s">
        <v>6795</v>
      </c>
      <c r="W11633" t="s">
        <v>6796</v>
      </c>
      <c r="X11633" t="s">
        <v>6795</v>
      </c>
      <c r="Y11633" t="s">
        <v>1598</v>
      </c>
      <c r="AD11633" t="s">
        <v>6797</v>
      </c>
      <c r="AE11633" t="s">
        <v>6798</v>
      </c>
      <c r="AF11633" t="s">
        <v>6799</v>
      </c>
    </row>
    <row r="11634" spans="1:32" hidden="1" x14ac:dyDescent="0.35">
      <c r="A11634">
        <v>11633</v>
      </c>
      <c r="B11634" t="s">
        <v>23832</v>
      </c>
      <c r="C11634" t="s">
        <v>33</v>
      </c>
      <c r="D11634" t="s">
        <v>58</v>
      </c>
      <c r="E11634">
        <v>1500</v>
      </c>
      <c r="F11634">
        <v>1</v>
      </c>
      <c r="G11634">
        <v>1</v>
      </c>
      <c r="H11634">
        <v>1</v>
      </c>
      <c r="I11634">
        <v>0</v>
      </c>
      <c r="J11634">
        <v>1</v>
      </c>
      <c r="K11634">
        <v>1</v>
      </c>
      <c r="L11634">
        <v>1</v>
      </c>
      <c r="M11634">
        <v>0</v>
      </c>
      <c r="N11634">
        <v>0</v>
      </c>
      <c r="O11634">
        <v>0</v>
      </c>
      <c r="P11634" t="s">
        <v>10654</v>
      </c>
      <c r="Q11634" t="s">
        <v>10655</v>
      </c>
      <c r="R11634" t="s">
        <v>184</v>
      </c>
      <c r="S11634" t="s">
        <v>185</v>
      </c>
      <c r="V11634" t="s">
        <v>14537</v>
      </c>
      <c r="W11634" t="s">
        <v>14538</v>
      </c>
      <c r="X11634" t="s">
        <v>14537</v>
      </c>
      <c r="Y11634" t="s">
        <v>10466</v>
      </c>
      <c r="AF11634" t="s">
        <v>23833</v>
      </c>
    </row>
    <row r="11635" spans="1:32" hidden="1" x14ac:dyDescent="0.35">
      <c r="A11635">
        <v>11634</v>
      </c>
      <c r="B11635" t="s">
        <v>23834</v>
      </c>
      <c r="C11635" t="s">
        <v>33</v>
      </c>
      <c r="D11635" t="s">
        <v>58</v>
      </c>
      <c r="E11635">
        <v>415</v>
      </c>
      <c r="F11635">
        <v>1</v>
      </c>
      <c r="G11635">
        <v>1</v>
      </c>
      <c r="H11635">
        <v>1</v>
      </c>
      <c r="I11635">
        <v>0</v>
      </c>
      <c r="J11635">
        <v>1</v>
      </c>
      <c r="K11635">
        <v>1</v>
      </c>
      <c r="L11635">
        <v>1</v>
      </c>
      <c r="M11635">
        <v>0</v>
      </c>
      <c r="N11635">
        <v>0</v>
      </c>
      <c r="O11635">
        <v>0</v>
      </c>
      <c r="AF11635" t="s">
        <v>23835</v>
      </c>
    </row>
    <row r="11636" spans="1:32" hidden="1" x14ac:dyDescent="0.35">
      <c r="A11636">
        <v>11635</v>
      </c>
      <c r="B11636" t="s">
        <v>23836</v>
      </c>
      <c r="C11636" t="s">
        <v>33</v>
      </c>
      <c r="D11636" t="s">
        <v>58</v>
      </c>
      <c r="E11636">
        <v>375</v>
      </c>
      <c r="F11636">
        <v>1</v>
      </c>
      <c r="G11636">
        <v>1</v>
      </c>
      <c r="H11636">
        <v>1</v>
      </c>
      <c r="I11636">
        <v>0</v>
      </c>
      <c r="J11636">
        <v>1</v>
      </c>
      <c r="K11636">
        <v>1</v>
      </c>
      <c r="L11636">
        <v>1</v>
      </c>
      <c r="M11636">
        <v>0</v>
      </c>
      <c r="N11636">
        <v>0</v>
      </c>
      <c r="O11636">
        <v>0</v>
      </c>
      <c r="P11636" t="s">
        <v>1211</v>
      </c>
      <c r="Q11636" t="s">
        <v>1212</v>
      </c>
      <c r="R11636" t="s">
        <v>4098</v>
      </c>
      <c r="S11636" t="s">
        <v>4099</v>
      </c>
      <c r="V11636" t="s">
        <v>16086</v>
      </c>
      <c r="W11636" t="s">
        <v>16087</v>
      </c>
      <c r="AF11636" t="s">
        <v>23837</v>
      </c>
    </row>
    <row r="11637" spans="1:32" hidden="1" x14ac:dyDescent="0.35">
      <c r="A11637">
        <v>11636</v>
      </c>
      <c r="B11637" t="s">
        <v>23838</v>
      </c>
      <c r="C11637" t="s">
        <v>33</v>
      </c>
      <c r="D11637" t="s">
        <v>62</v>
      </c>
      <c r="E11637">
        <v>866</v>
      </c>
      <c r="F11637">
        <v>1</v>
      </c>
      <c r="G11637">
        <v>1</v>
      </c>
      <c r="H11637">
        <v>1</v>
      </c>
      <c r="I11637">
        <v>0</v>
      </c>
      <c r="J11637">
        <v>1</v>
      </c>
      <c r="K11637">
        <v>1</v>
      </c>
      <c r="L11637">
        <v>1</v>
      </c>
      <c r="M11637">
        <v>0</v>
      </c>
      <c r="N11637">
        <v>0</v>
      </c>
      <c r="O11637">
        <v>0</v>
      </c>
      <c r="AF11637" t="s">
        <v>23839</v>
      </c>
    </row>
    <row r="11638" spans="1:32" hidden="1" x14ac:dyDescent="0.35">
      <c r="A11638">
        <v>11637</v>
      </c>
      <c r="B11638" t="s">
        <v>23840</v>
      </c>
      <c r="C11638" t="s">
        <v>33</v>
      </c>
      <c r="D11638" t="s">
        <v>34</v>
      </c>
      <c r="E11638">
        <v>789</v>
      </c>
      <c r="F11638">
        <v>1</v>
      </c>
      <c r="G11638">
        <v>1</v>
      </c>
      <c r="H11638">
        <v>1</v>
      </c>
      <c r="I11638">
        <v>0</v>
      </c>
      <c r="J11638">
        <v>1</v>
      </c>
      <c r="K11638">
        <v>1</v>
      </c>
      <c r="L11638">
        <v>1</v>
      </c>
      <c r="M11638">
        <v>0</v>
      </c>
      <c r="N11638">
        <v>0</v>
      </c>
      <c r="O11638">
        <v>0</v>
      </c>
      <c r="AF11638" t="s">
        <v>23841</v>
      </c>
    </row>
    <row r="11639" spans="1:32" hidden="1" x14ac:dyDescent="0.35">
      <c r="A11639">
        <v>11638</v>
      </c>
      <c r="B11639" t="s">
        <v>23842</v>
      </c>
      <c r="C11639" t="s">
        <v>33</v>
      </c>
      <c r="D11639" t="s">
        <v>58</v>
      </c>
      <c r="E11639">
        <v>711</v>
      </c>
      <c r="F11639">
        <v>1</v>
      </c>
      <c r="G11639">
        <v>1</v>
      </c>
      <c r="H11639">
        <v>1</v>
      </c>
      <c r="I11639">
        <v>0</v>
      </c>
      <c r="J11639">
        <v>1</v>
      </c>
      <c r="K11639">
        <v>1</v>
      </c>
      <c r="L11639">
        <v>1</v>
      </c>
      <c r="M11639">
        <v>0</v>
      </c>
      <c r="N11639">
        <v>0</v>
      </c>
      <c r="O11639">
        <v>0</v>
      </c>
      <c r="P11639" t="s">
        <v>3862</v>
      </c>
      <c r="Q11639" t="s">
        <v>3863</v>
      </c>
      <c r="R11639" t="s">
        <v>319</v>
      </c>
      <c r="S11639" t="s">
        <v>320</v>
      </c>
      <c r="T11639" t="s">
        <v>10394</v>
      </c>
      <c r="U11639" t="s">
        <v>10395</v>
      </c>
      <c r="V11639" t="s">
        <v>3866</v>
      </c>
      <c r="W11639" t="s">
        <v>3867</v>
      </c>
      <c r="AD11639" t="s">
        <v>219</v>
      </c>
      <c r="AE11639" t="s">
        <v>10396</v>
      </c>
      <c r="AF11639" t="s">
        <v>23843</v>
      </c>
    </row>
    <row r="11640" spans="1:32" hidden="1" x14ac:dyDescent="0.35">
      <c r="A11640">
        <v>11639</v>
      </c>
      <c r="B11640" t="s">
        <v>23844</v>
      </c>
      <c r="C11640" t="s">
        <v>33</v>
      </c>
      <c r="D11640" t="s">
        <v>60</v>
      </c>
      <c r="E11640">
        <v>656</v>
      </c>
      <c r="F11640">
        <v>1</v>
      </c>
      <c r="G11640">
        <v>1</v>
      </c>
      <c r="H11640">
        <v>1</v>
      </c>
      <c r="I11640">
        <v>0</v>
      </c>
      <c r="J11640">
        <v>1</v>
      </c>
      <c r="K11640">
        <v>1</v>
      </c>
      <c r="L11640">
        <v>1</v>
      </c>
      <c r="M11640">
        <v>0</v>
      </c>
      <c r="N11640">
        <v>0</v>
      </c>
      <c r="O11640">
        <v>0</v>
      </c>
      <c r="AF11640" t="s">
        <v>23845</v>
      </c>
    </row>
    <row r="11641" spans="1:32" hidden="1" x14ac:dyDescent="0.35">
      <c r="A11641">
        <v>4799</v>
      </c>
      <c r="B11641" t="s">
        <v>10066</v>
      </c>
      <c r="C11641" t="s">
        <v>10127</v>
      </c>
      <c r="D11641" t="s">
        <v>58</v>
      </c>
      <c r="E11641">
        <v>1570</v>
      </c>
      <c r="F11641">
        <v>5</v>
      </c>
      <c r="G11641">
        <v>5</v>
      </c>
      <c r="H11641">
        <v>1</v>
      </c>
      <c r="I11641">
        <v>1</v>
      </c>
      <c r="J11641">
        <v>0.86674436674436695</v>
      </c>
      <c r="K11641">
        <v>0.92207710283723698</v>
      </c>
      <c r="L11641">
        <v>0.893554944613977</v>
      </c>
      <c r="M11641">
        <v>0.70588235294117696</v>
      </c>
      <c r="N11641">
        <v>0.99732620320855603</v>
      </c>
      <c r="O11641">
        <v>0.79679144385026701</v>
      </c>
      <c r="P11641" t="s">
        <v>10067</v>
      </c>
      <c r="Q11641" t="s">
        <v>10068</v>
      </c>
      <c r="R11641" t="s">
        <v>224</v>
      </c>
      <c r="S11641" t="s">
        <v>225</v>
      </c>
      <c r="T11641" t="s">
        <v>10069</v>
      </c>
      <c r="U11641" t="s">
        <v>10070</v>
      </c>
      <c r="V11641" t="s">
        <v>10071</v>
      </c>
      <c r="W11641" t="s">
        <v>10072</v>
      </c>
      <c r="X11641" t="s">
        <v>10071</v>
      </c>
      <c r="Y11641" t="s">
        <v>1598</v>
      </c>
      <c r="AD11641" t="s">
        <v>2991</v>
      </c>
      <c r="AE11641" t="s">
        <v>10073</v>
      </c>
      <c r="AF11641" t="s">
        <v>10074</v>
      </c>
    </row>
    <row r="11642" spans="1:32" hidden="1" x14ac:dyDescent="0.35">
      <c r="A11642">
        <v>11641</v>
      </c>
      <c r="B11642" t="s">
        <v>23848</v>
      </c>
      <c r="C11642" t="s">
        <v>33</v>
      </c>
      <c r="D11642" t="s">
        <v>58</v>
      </c>
      <c r="E11642">
        <v>1283</v>
      </c>
      <c r="F11642">
        <v>1</v>
      </c>
      <c r="G11642">
        <v>1</v>
      </c>
      <c r="H11642">
        <v>1</v>
      </c>
      <c r="I11642">
        <v>0</v>
      </c>
      <c r="J11642">
        <v>1</v>
      </c>
      <c r="K11642">
        <v>1</v>
      </c>
      <c r="L11642">
        <v>1</v>
      </c>
      <c r="M11642">
        <v>0</v>
      </c>
      <c r="N11642">
        <v>0</v>
      </c>
      <c r="O11642">
        <v>0</v>
      </c>
      <c r="P11642" t="s">
        <v>5831</v>
      </c>
      <c r="Q11642" t="s">
        <v>5832</v>
      </c>
      <c r="R11642" t="s">
        <v>4098</v>
      </c>
      <c r="S11642" t="s">
        <v>4099</v>
      </c>
      <c r="T11642" t="s">
        <v>5833</v>
      </c>
      <c r="U11642" t="s">
        <v>5834</v>
      </c>
      <c r="V11642" t="s">
        <v>18744</v>
      </c>
      <c r="W11642" t="s">
        <v>18745</v>
      </c>
      <c r="AD11642" t="s">
        <v>3961</v>
      </c>
      <c r="AE11642" t="s">
        <v>3962</v>
      </c>
      <c r="AF11642" t="s">
        <v>23849</v>
      </c>
    </row>
    <row r="11643" spans="1:32" hidden="1" x14ac:dyDescent="0.35">
      <c r="A11643">
        <v>11642</v>
      </c>
      <c r="B11643" t="s">
        <v>23850</v>
      </c>
      <c r="C11643" t="s">
        <v>33</v>
      </c>
      <c r="D11643" t="s">
        <v>58</v>
      </c>
      <c r="E11643">
        <v>782</v>
      </c>
      <c r="F11643">
        <v>1</v>
      </c>
      <c r="G11643">
        <v>1</v>
      </c>
      <c r="H11643">
        <v>1</v>
      </c>
      <c r="I11643">
        <v>0</v>
      </c>
      <c r="J11643">
        <v>1</v>
      </c>
      <c r="K11643">
        <v>1</v>
      </c>
      <c r="L11643">
        <v>1</v>
      </c>
      <c r="M11643">
        <v>0</v>
      </c>
      <c r="N11643">
        <v>0</v>
      </c>
      <c r="O11643">
        <v>0</v>
      </c>
      <c r="P11643" t="s">
        <v>3622</v>
      </c>
      <c r="Q11643" t="s">
        <v>3623</v>
      </c>
      <c r="AF11643" t="s">
        <v>23851</v>
      </c>
    </row>
    <row r="11644" spans="1:32" hidden="1" x14ac:dyDescent="0.35">
      <c r="A11644">
        <v>779</v>
      </c>
      <c r="B11644" t="s">
        <v>1591</v>
      </c>
      <c r="C11644" t="s">
        <v>72</v>
      </c>
      <c r="D11644" t="s">
        <v>58</v>
      </c>
      <c r="E11644">
        <v>932</v>
      </c>
      <c r="F11644">
        <v>5</v>
      </c>
      <c r="G11644">
        <v>5</v>
      </c>
      <c r="H11644">
        <v>1</v>
      </c>
      <c r="I11644">
        <v>1</v>
      </c>
      <c r="J11644">
        <v>0.87586618876941502</v>
      </c>
      <c r="K11644">
        <v>1</v>
      </c>
      <c r="L11644">
        <v>0.93382587096363301</v>
      </c>
      <c r="M11644">
        <v>0.77419354838709697</v>
      </c>
      <c r="N11644">
        <v>1</v>
      </c>
      <c r="O11644">
        <v>0.84193548387096795</v>
      </c>
      <c r="P11644" t="s">
        <v>1592</v>
      </c>
      <c r="Q11644" t="s">
        <v>1593</v>
      </c>
      <c r="R11644" t="s">
        <v>224</v>
      </c>
      <c r="S11644" t="s">
        <v>225</v>
      </c>
      <c r="T11644" t="s">
        <v>1594</v>
      </c>
      <c r="U11644" t="s">
        <v>1595</v>
      </c>
      <c r="V11644" t="s">
        <v>1596</v>
      </c>
      <c r="W11644" t="s">
        <v>1597</v>
      </c>
      <c r="X11644" t="s">
        <v>1596</v>
      </c>
      <c r="Y11644" t="s">
        <v>1598</v>
      </c>
      <c r="AD11644" t="s">
        <v>1599</v>
      </c>
      <c r="AE11644" t="s">
        <v>1600</v>
      </c>
      <c r="AF11644" t="s">
        <v>1601</v>
      </c>
    </row>
    <row r="11645" spans="1:32" hidden="1" x14ac:dyDescent="0.35">
      <c r="A11645">
        <v>11644</v>
      </c>
      <c r="B11645" t="s">
        <v>23854</v>
      </c>
      <c r="C11645" t="s">
        <v>33</v>
      </c>
      <c r="D11645" t="s">
        <v>58</v>
      </c>
      <c r="E11645">
        <v>416</v>
      </c>
      <c r="F11645">
        <v>1</v>
      </c>
      <c r="G11645">
        <v>1</v>
      </c>
      <c r="H11645">
        <v>1</v>
      </c>
      <c r="I11645">
        <v>0</v>
      </c>
      <c r="J11645">
        <v>1</v>
      </c>
      <c r="K11645">
        <v>1</v>
      </c>
      <c r="L11645">
        <v>1</v>
      </c>
      <c r="M11645">
        <v>0</v>
      </c>
      <c r="N11645">
        <v>0</v>
      </c>
      <c r="O11645">
        <v>0</v>
      </c>
      <c r="P11645" t="s">
        <v>23855</v>
      </c>
      <c r="Q11645" t="s">
        <v>23856</v>
      </c>
      <c r="AF11645" t="s">
        <v>23857</v>
      </c>
    </row>
    <row r="11646" spans="1:32" hidden="1" x14ac:dyDescent="0.35">
      <c r="A11646">
        <v>2584</v>
      </c>
      <c r="B11646" t="s">
        <v>5350</v>
      </c>
      <c r="C11646" t="s">
        <v>72</v>
      </c>
      <c r="D11646" t="s">
        <v>58</v>
      </c>
      <c r="E11646">
        <v>447</v>
      </c>
      <c r="F11646">
        <v>5</v>
      </c>
      <c r="G11646">
        <v>5</v>
      </c>
      <c r="H11646">
        <v>1</v>
      </c>
      <c r="I11646">
        <v>1</v>
      </c>
      <c r="J11646">
        <v>0.79051094890510998</v>
      </c>
      <c r="K11646">
        <v>0.882704869660771</v>
      </c>
      <c r="L11646">
        <v>0.83406797422794299</v>
      </c>
      <c r="M11646">
        <v>0.579617834394904</v>
      </c>
      <c r="N11646">
        <v>1</v>
      </c>
      <c r="O11646">
        <v>0.707643312101911</v>
      </c>
      <c r="P11646" t="s">
        <v>4727</v>
      </c>
      <c r="Q11646" t="s">
        <v>4728</v>
      </c>
      <c r="R11646" t="s">
        <v>224</v>
      </c>
      <c r="S11646" t="s">
        <v>225</v>
      </c>
      <c r="V11646" t="s">
        <v>5351</v>
      </c>
      <c r="W11646" t="s">
        <v>5352</v>
      </c>
      <c r="X11646" t="s">
        <v>5351</v>
      </c>
      <c r="Y11646" t="s">
        <v>1598</v>
      </c>
      <c r="AF11646" t="s">
        <v>5353</v>
      </c>
    </row>
    <row r="11647" spans="1:32" hidden="1" x14ac:dyDescent="0.35">
      <c r="A11647">
        <v>11646</v>
      </c>
      <c r="B11647" t="s">
        <v>23865</v>
      </c>
      <c r="C11647" t="s">
        <v>33</v>
      </c>
      <c r="D11647" t="s">
        <v>58</v>
      </c>
      <c r="E11647">
        <v>498</v>
      </c>
      <c r="F11647">
        <v>1</v>
      </c>
      <c r="G11647">
        <v>1</v>
      </c>
      <c r="H11647">
        <v>1</v>
      </c>
      <c r="I11647">
        <v>0</v>
      </c>
      <c r="J11647">
        <v>1</v>
      </c>
      <c r="K11647">
        <v>1</v>
      </c>
      <c r="L11647">
        <v>1</v>
      </c>
      <c r="M11647">
        <v>0</v>
      </c>
      <c r="N11647">
        <v>0</v>
      </c>
      <c r="O11647">
        <v>0</v>
      </c>
      <c r="P11647" t="s">
        <v>10135</v>
      </c>
      <c r="Q11647" t="s">
        <v>10136</v>
      </c>
      <c r="AF11647" t="s">
        <v>23866</v>
      </c>
    </row>
    <row r="11648" spans="1:32" hidden="1" x14ac:dyDescent="0.35">
      <c r="A11648">
        <v>11647</v>
      </c>
      <c r="B11648" t="s">
        <v>23867</v>
      </c>
      <c r="C11648" t="s">
        <v>33</v>
      </c>
      <c r="D11648" t="s">
        <v>58</v>
      </c>
      <c r="E11648">
        <v>1605</v>
      </c>
      <c r="F11648">
        <v>1</v>
      </c>
      <c r="G11648">
        <v>1</v>
      </c>
      <c r="H11648">
        <v>1</v>
      </c>
      <c r="I11648">
        <v>0</v>
      </c>
      <c r="J11648">
        <v>1</v>
      </c>
      <c r="K11648">
        <v>1</v>
      </c>
      <c r="L11648">
        <v>1</v>
      </c>
      <c r="M11648">
        <v>0</v>
      </c>
      <c r="N11648">
        <v>0</v>
      </c>
      <c r="O11648">
        <v>0</v>
      </c>
      <c r="P11648" t="s">
        <v>12996</v>
      </c>
      <c r="Q11648" t="s">
        <v>4868</v>
      </c>
      <c r="R11648" t="s">
        <v>96</v>
      </c>
      <c r="S11648" t="s">
        <v>97</v>
      </c>
      <c r="V11648" t="s">
        <v>12997</v>
      </c>
      <c r="W11648" t="s">
        <v>12998</v>
      </c>
      <c r="AF11648" t="s">
        <v>23868</v>
      </c>
    </row>
    <row r="11649" spans="1:32" hidden="1" x14ac:dyDescent="0.35">
      <c r="A11649">
        <v>11648</v>
      </c>
      <c r="B11649" t="s">
        <v>23869</v>
      </c>
      <c r="C11649" t="s">
        <v>33</v>
      </c>
      <c r="D11649" t="s">
        <v>58</v>
      </c>
      <c r="E11649">
        <v>651</v>
      </c>
      <c r="F11649">
        <v>1</v>
      </c>
      <c r="G11649">
        <v>1</v>
      </c>
      <c r="H11649">
        <v>1</v>
      </c>
      <c r="I11649">
        <v>0</v>
      </c>
      <c r="J11649">
        <v>1</v>
      </c>
      <c r="K11649">
        <v>1</v>
      </c>
      <c r="L11649">
        <v>1</v>
      </c>
      <c r="M11649">
        <v>0</v>
      </c>
      <c r="N11649">
        <v>0</v>
      </c>
      <c r="O11649">
        <v>0</v>
      </c>
      <c r="P11649" t="s">
        <v>14600</v>
      </c>
      <c r="Q11649" t="s">
        <v>14601</v>
      </c>
      <c r="R11649" t="s">
        <v>288</v>
      </c>
      <c r="S11649" t="s">
        <v>289</v>
      </c>
      <c r="V11649" t="s">
        <v>14602</v>
      </c>
      <c r="W11649" t="s">
        <v>14603</v>
      </c>
      <c r="AF11649" t="s">
        <v>23870</v>
      </c>
    </row>
    <row r="11650" spans="1:32" hidden="1" x14ac:dyDescent="0.35">
      <c r="A11650">
        <v>11649</v>
      </c>
      <c r="B11650" t="s">
        <v>23871</v>
      </c>
      <c r="C11650" t="s">
        <v>33</v>
      </c>
      <c r="D11650" t="s">
        <v>58</v>
      </c>
      <c r="E11650">
        <v>372</v>
      </c>
      <c r="F11650">
        <v>1</v>
      </c>
      <c r="G11650">
        <v>1</v>
      </c>
      <c r="H11650">
        <v>1</v>
      </c>
      <c r="I11650">
        <v>0</v>
      </c>
      <c r="J11650">
        <v>1</v>
      </c>
      <c r="K11650">
        <v>1</v>
      </c>
      <c r="L11650">
        <v>1</v>
      </c>
      <c r="M11650">
        <v>0</v>
      </c>
      <c r="N11650">
        <v>0</v>
      </c>
      <c r="O11650">
        <v>0</v>
      </c>
      <c r="P11650" t="s">
        <v>15157</v>
      </c>
      <c r="Q11650" t="s">
        <v>15158</v>
      </c>
      <c r="AF11650" t="s">
        <v>23872</v>
      </c>
    </row>
    <row r="11651" spans="1:32" hidden="1" x14ac:dyDescent="0.35">
      <c r="A11651">
        <v>11650</v>
      </c>
      <c r="B11651" t="s">
        <v>23873</v>
      </c>
      <c r="C11651" t="s">
        <v>33</v>
      </c>
      <c r="D11651" t="s">
        <v>62</v>
      </c>
      <c r="E11651">
        <v>1170</v>
      </c>
      <c r="F11651">
        <v>1</v>
      </c>
      <c r="G11651">
        <v>1</v>
      </c>
      <c r="H11651">
        <v>1</v>
      </c>
      <c r="I11651">
        <v>0</v>
      </c>
      <c r="J11651">
        <v>1</v>
      </c>
      <c r="K11651">
        <v>1</v>
      </c>
      <c r="L11651">
        <v>1</v>
      </c>
      <c r="M11651">
        <v>0</v>
      </c>
      <c r="N11651">
        <v>0</v>
      </c>
      <c r="O11651">
        <v>0</v>
      </c>
      <c r="AF11651" t="s">
        <v>23874</v>
      </c>
    </row>
    <row r="11652" spans="1:32" hidden="1" x14ac:dyDescent="0.35">
      <c r="A11652">
        <v>3314</v>
      </c>
      <c r="B11652" t="s">
        <v>6815</v>
      </c>
      <c r="C11652" t="s">
        <v>72</v>
      </c>
      <c r="D11652" t="s">
        <v>58</v>
      </c>
      <c r="E11652">
        <v>1670</v>
      </c>
      <c r="F11652">
        <v>5</v>
      </c>
      <c r="G11652">
        <v>5</v>
      </c>
      <c r="H11652">
        <v>1</v>
      </c>
      <c r="I11652">
        <v>1</v>
      </c>
      <c r="J11652">
        <v>0.85907253775792403</v>
      </c>
      <c r="K11652">
        <v>0.97963362068965598</v>
      </c>
      <c r="L11652">
        <v>0.91540057853440704</v>
      </c>
      <c r="M11652">
        <v>0.74375000000000002</v>
      </c>
      <c r="N11652">
        <v>1</v>
      </c>
      <c r="O11652">
        <v>0.80031249999999998</v>
      </c>
      <c r="P11652" t="s">
        <v>4727</v>
      </c>
      <c r="Q11652" t="s">
        <v>4728</v>
      </c>
      <c r="R11652" t="s">
        <v>224</v>
      </c>
      <c r="S11652" t="s">
        <v>225</v>
      </c>
      <c r="T11652" t="s">
        <v>6816</v>
      </c>
      <c r="U11652" t="s">
        <v>6817</v>
      </c>
      <c r="V11652" t="s">
        <v>5351</v>
      </c>
      <c r="W11652" t="s">
        <v>5352</v>
      </c>
      <c r="X11652" t="s">
        <v>5351</v>
      </c>
      <c r="Y11652" t="s">
        <v>1598</v>
      </c>
      <c r="AD11652" t="s">
        <v>1170</v>
      </c>
      <c r="AE11652" t="s">
        <v>6818</v>
      </c>
      <c r="AF11652" t="s">
        <v>6819</v>
      </c>
    </row>
    <row r="11653" spans="1:32" hidden="1" x14ac:dyDescent="0.35">
      <c r="A11653">
        <v>11652</v>
      </c>
      <c r="B11653" t="s">
        <v>23884</v>
      </c>
      <c r="C11653" t="s">
        <v>33</v>
      </c>
      <c r="D11653" t="s">
        <v>58</v>
      </c>
      <c r="E11653">
        <v>1746</v>
      </c>
      <c r="F11653">
        <v>1</v>
      </c>
      <c r="G11653">
        <v>1</v>
      </c>
      <c r="H11653">
        <v>1</v>
      </c>
      <c r="I11653">
        <v>0</v>
      </c>
      <c r="J11653">
        <v>1</v>
      </c>
      <c r="K11653">
        <v>1</v>
      </c>
      <c r="L11653">
        <v>1</v>
      </c>
      <c r="M11653">
        <v>0</v>
      </c>
      <c r="N11653">
        <v>0</v>
      </c>
      <c r="O11653">
        <v>0</v>
      </c>
      <c r="P11653" t="s">
        <v>15099</v>
      </c>
      <c r="Q11653" t="s">
        <v>15100</v>
      </c>
      <c r="AF11653" t="s">
        <v>23885</v>
      </c>
    </row>
    <row r="11654" spans="1:32" hidden="1" x14ac:dyDescent="0.35">
      <c r="A11654">
        <v>11653</v>
      </c>
      <c r="B11654" t="s">
        <v>23886</v>
      </c>
      <c r="C11654" t="s">
        <v>33</v>
      </c>
      <c r="D11654" t="s">
        <v>60</v>
      </c>
      <c r="E11654">
        <v>909</v>
      </c>
      <c r="F11654">
        <v>1</v>
      </c>
      <c r="G11654">
        <v>1</v>
      </c>
      <c r="H11654">
        <v>1</v>
      </c>
      <c r="I11654">
        <v>0</v>
      </c>
      <c r="J11654">
        <v>1</v>
      </c>
      <c r="K11654">
        <v>1</v>
      </c>
      <c r="L11654">
        <v>1</v>
      </c>
      <c r="M11654">
        <v>0</v>
      </c>
      <c r="N11654">
        <v>0</v>
      </c>
      <c r="O11654">
        <v>0</v>
      </c>
      <c r="P11654" t="s">
        <v>21902</v>
      </c>
      <c r="Q11654" t="s">
        <v>21903</v>
      </c>
      <c r="AF11654" t="s">
        <v>23887</v>
      </c>
    </row>
    <row r="11655" spans="1:32" hidden="1" x14ac:dyDescent="0.35">
      <c r="A11655">
        <v>3814</v>
      </c>
      <c r="B11655" t="s">
        <v>7879</v>
      </c>
      <c r="C11655" t="s">
        <v>72</v>
      </c>
      <c r="D11655" t="s">
        <v>58</v>
      </c>
      <c r="E11655">
        <v>1738</v>
      </c>
      <c r="F11655">
        <v>5</v>
      </c>
      <c r="G11655">
        <v>5</v>
      </c>
      <c r="H11655">
        <v>1</v>
      </c>
      <c r="I11655">
        <v>1</v>
      </c>
      <c r="J11655">
        <v>0.86759634128055196</v>
      </c>
      <c r="K11655">
        <v>0.90704387610677994</v>
      </c>
      <c r="L11655">
        <v>0.88688167954373998</v>
      </c>
      <c r="M11655">
        <v>0.68825910931174095</v>
      </c>
      <c r="N11655">
        <v>0.99595141700404899</v>
      </c>
      <c r="O11655">
        <v>0.80607287449392695</v>
      </c>
      <c r="P11655" t="s">
        <v>4727</v>
      </c>
      <c r="Q11655" t="s">
        <v>4728</v>
      </c>
      <c r="R11655" t="s">
        <v>224</v>
      </c>
      <c r="S11655" t="s">
        <v>225</v>
      </c>
      <c r="V11655" t="s">
        <v>5351</v>
      </c>
      <c r="W11655" t="s">
        <v>5352</v>
      </c>
      <c r="X11655" t="s">
        <v>5351</v>
      </c>
      <c r="Y11655" t="s">
        <v>1598</v>
      </c>
      <c r="AF11655" t="s">
        <v>7880</v>
      </c>
    </row>
    <row r="11656" spans="1:32" hidden="1" x14ac:dyDescent="0.35">
      <c r="A11656">
        <v>4424</v>
      </c>
      <c r="B11656" t="s">
        <v>9221</v>
      </c>
      <c r="C11656" t="s">
        <v>72</v>
      </c>
      <c r="D11656" t="s">
        <v>58</v>
      </c>
      <c r="E11656">
        <v>838</v>
      </c>
      <c r="F11656">
        <v>5</v>
      </c>
      <c r="G11656">
        <v>5</v>
      </c>
      <c r="H11656">
        <v>1</v>
      </c>
      <c r="I11656">
        <v>1</v>
      </c>
      <c r="J11656">
        <v>0.75898967276346896</v>
      </c>
      <c r="K11656">
        <v>0.93590555785677498</v>
      </c>
      <c r="L11656">
        <v>0.83821423326004296</v>
      </c>
      <c r="M11656">
        <v>0.57142857142857095</v>
      </c>
      <c r="N11656">
        <v>0.989547038327526</v>
      </c>
      <c r="O11656">
        <v>0.67142857142857104</v>
      </c>
      <c r="P11656" t="s">
        <v>4727</v>
      </c>
      <c r="Q11656" t="s">
        <v>4728</v>
      </c>
      <c r="R11656" t="s">
        <v>224</v>
      </c>
      <c r="S11656" t="s">
        <v>225</v>
      </c>
      <c r="T11656" t="s">
        <v>5355</v>
      </c>
      <c r="U11656" t="s">
        <v>5356</v>
      </c>
      <c r="V11656" t="s">
        <v>5351</v>
      </c>
      <c r="W11656" t="s">
        <v>5352</v>
      </c>
      <c r="X11656" t="s">
        <v>5351</v>
      </c>
      <c r="Y11656" t="s">
        <v>1598</v>
      </c>
      <c r="AD11656" t="s">
        <v>1717</v>
      </c>
      <c r="AE11656" t="s">
        <v>5357</v>
      </c>
      <c r="AF11656" t="s">
        <v>9222</v>
      </c>
    </row>
    <row r="11657" spans="1:32" hidden="1" x14ac:dyDescent="0.35">
      <c r="A11657">
        <v>11656</v>
      </c>
      <c r="B11657" t="s">
        <v>23892</v>
      </c>
      <c r="C11657" t="s">
        <v>33</v>
      </c>
      <c r="D11657" t="s">
        <v>58</v>
      </c>
      <c r="E11657">
        <v>188</v>
      </c>
      <c r="F11657">
        <v>1</v>
      </c>
      <c r="G11657">
        <v>1</v>
      </c>
      <c r="H11657">
        <v>1</v>
      </c>
      <c r="I11657">
        <v>0</v>
      </c>
      <c r="J11657">
        <v>1</v>
      </c>
      <c r="K11657">
        <v>1</v>
      </c>
      <c r="L11657">
        <v>1</v>
      </c>
      <c r="M11657">
        <v>0</v>
      </c>
      <c r="N11657">
        <v>0</v>
      </c>
      <c r="O11657">
        <v>0</v>
      </c>
      <c r="P11657" t="s">
        <v>4907</v>
      </c>
      <c r="Q11657" t="s">
        <v>4908</v>
      </c>
      <c r="AF11657" t="s">
        <v>23893</v>
      </c>
    </row>
    <row r="11658" spans="1:32" hidden="1" x14ac:dyDescent="0.35">
      <c r="A11658">
        <v>11657</v>
      </c>
      <c r="B11658" t="s">
        <v>23894</v>
      </c>
      <c r="C11658" t="s">
        <v>33</v>
      </c>
      <c r="D11658" t="s">
        <v>60</v>
      </c>
      <c r="E11658">
        <v>2076</v>
      </c>
      <c r="F11658">
        <v>1</v>
      </c>
      <c r="G11658">
        <v>1</v>
      </c>
      <c r="H11658">
        <v>1</v>
      </c>
      <c r="I11658">
        <v>0</v>
      </c>
      <c r="J11658">
        <v>1</v>
      </c>
      <c r="K11658">
        <v>1</v>
      </c>
      <c r="L11658">
        <v>1</v>
      </c>
      <c r="M11658">
        <v>0</v>
      </c>
      <c r="N11658">
        <v>0</v>
      </c>
      <c r="O11658">
        <v>0</v>
      </c>
      <c r="P11658" t="s">
        <v>23895</v>
      </c>
      <c r="Q11658" t="s">
        <v>23896</v>
      </c>
      <c r="R11658" t="s">
        <v>288</v>
      </c>
      <c r="S11658" t="s">
        <v>289</v>
      </c>
      <c r="T11658" t="s">
        <v>23897</v>
      </c>
      <c r="U11658" t="s">
        <v>407</v>
      </c>
      <c r="V11658" t="s">
        <v>23898</v>
      </c>
      <c r="W11658" t="s">
        <v>23899</v>
      </c>
      <c r="AD11658" t="s">
        <v>410</v>
      </c>
      <c r="AE11658" t="s">
        <v>411</v>
      </c>
      <c r="AF11658" t="s">
        <v>23900</v>
      </c>
    </row>
    <row r="11659" spans="1:32" hidden="1" x14ac:dyDescent="0.35">
      <c r="A11659">
        <v>11658</v>
      </c>
      <c r="B11659" t="s">
        <v>23901</v>
      </c>
      <c r="C11659" t="s">
        <v>33</v>
      </c>
      <c r="D11659" t="s">
        <v>58</v>
      </c>
      <c r="E11659">
        <v>179</v>
      </c>
      <c r="F11659">
        <v>1</v>
      </c>
      <c r="G11659">
        <v>1</v>
      </c>
      <c r="H11659">
        <v>1</v>
      </c>
      <c r="I11659">
        <v>0</v>
      </c>
      <c r="J11659">
        <v>1</v>
      </c>
      <c r="K11659">
        <v>1</v>
      </c>
      <c r="L11659">
        <v>1</v>
      </c>
      <c r="M11659">
        <v>0</v>
      </c>
      <c r="N11659">
        <v>0</v>
      </c>
      <c r="O11659">
        <v>0</v>
      </c>
      <c r="AF11659" t="s">
        <v>23902</v>
      </c>
    </row>
    <row r="11660" spans="1:32" hidden="1" x14ac:dyDescent="0.35">
      <c r="A11660">
        <v>11659</v>
      </c>
      <c r="B11660" t="s">
        <v>23903</v>
      </c>
      <c r="C11660" t="s">
        <v>33</v>
      </c>
      <c r="D11660" t="s">
        <v>58</v>
      </c>
      <c r="E11660">
        <v>441</v>
      </c>
      <c r="F11660">
        <v>1</v>
      </c>
      <c r="G11660">
        <v>1</v>
      </c>
      <c r="H11660">
        <v>1</v>
      </c>
      <c r="I11660">
        <v>0</v>
      </c>
      <c r="J11660">
        <v>1</v>
      </c>
      <c r="K11660">
        <v>1</v>
      </c>
      <c r="L11660">
        <v>1</v>
      </c>
      <c r="M11660">
        <v>0</v>
      </c>
      <c r="N11660">
        <v>0</v>
      </c>
      <c r="O11660">
        <v>0</v>
      </c>
      <c r="P11660" t="s">
        <v>13391</v>
      </c>
      <c r="Q11660" t="s">
        <v>13392</v>
      </c>
      <c r="AF11660" t="s">
        <v>23904</v>
      </c>
    </row>
    <row r="11661" spans="1:32" hidden="1" x14ac:dyDescent="0.35">
      <c r="A11661">
        <v>11660</v>
      </c>
      <c r="B11661" t="s">
        <v>23905</v>
      </c>
      <c r="C11661" t="s">
        <v>33</v>
      </c>
      <c r="D11661" t="s">
        <v>34</v>
      </c>
      <c r="E11661">
        <v>269</v>
      </c>
      <c r="F11661">
        <v>1</v>
      </c>
      <c r="G11661">
        <v>1</v>
      </c>
      <c r="H11661">
        <v>1</v>
      </c>
      <c r="I11661">
        <v>0</v>
      </c>
      <c r="J11661">
        <v>1</v>
      </c>
      <c r="K11661">
        <v>1</v>
      </c>
      <c r="L11661">
        <v>1</v>
      </c>
      <c r="M11661">
        <v>0</v>
      </c>
      <c r="N11661">
        <v>0</v>
      </c>
      <c r="O11661">
        <v>0</v>
      </c>
      <c r="AF11661" t="s">
        <v>23906</v>
      </c>
    </row>
    <row r="11662" spans="1:32" hidden="1" x14ac:dyDescent="0.35">
      <c r="A11662">
        <v>11661</v>
      </c>
      <c r="B11662" t="s">
        <v>23907</v>
      </c>
      <c r="C11662" t="s">
        <v>33</v>
      </c>
      <c r="D11662" t="s">
        <v>34</v>
      </c>
      <c r="E11662">
        <v>706</v>
      </c>
      <c r="F11662">
        <v>1</v>
      </c>
      <c r="G11662">
        <v>1</v>
      </c>
      <c r="H11662">
        <v>1</v>
      </c>
      <c r="I11662">
        <v>0</v>
      </c>
      <c r="J11662">
        <v>1</v>
      </c>
      <c r="K11662">
        <v>1</v>
      </c>
      <c r="L11662">
        <v>1</v>
      </c>
      <c r="M11662">
        <v>0</v>
      </c>
      <c r="N11662">
        <v>0</v>
      </c>
      <c r="O11662">
        <v>0</v>
      </c>
      <c r="AF11662" t="s">
        <v>23908</v>
      </c>
    </row>
    <row r="11663" spans="1:32" hidden="1" x14ac:dyDescent="0.35">
      <c r="A11663">
        <v>11662</v>
      </c>
      <c r="B11663" t="s">
        <v>23909</v>
      </c>
      <c r="C11663" t="s">
        <v>33</v>
      </c>
      <c r="D11663" t="s">
        <v>62</v>
      </c>
      <c r="E11663">
        <v>2081</v>
      </c>
      <c r="F11663">
        <v>1</v>
      </c>
      <c r="G11663">
        <v>1</v>
      </c>
      <c r="H11663">
        <v>1</v>
      </c>
      <c r="I11663">
        <v>0</v>
      </c>
      <c r="J11663">
        <v>1</v>
      </c>
      <c r="K11663">
        <v>1</v>
      </c>
      <c r="L11663">
        <v>1</v>
      </c>
      <c r="M11663">
        <v>0</v>
      </c>
      <c r="N11663">
        <v>0</v>
      </c>
      <c r="O11663">
        <v>0</v>
      </c>
      <c r="AF11663" t="s">
        <v>23910</v>
      </c>
    </row>
    <row r="11664" spans="1:32" hidden="1" x14ac:dyDescent="0.35">
      <c r="A11664">
        <v>11663</v>
      </c>
      <c r="B11664" t="s">
        <v>23911</v>
      </c>
      <c r="C11664" t="s">
        <v>33</v>
      </c>
      <c r="D11664" t="s">
        <v>60</v>
      </c>
      <c r="E11664">
        <v>150</v>
      </c>
      <c r="F11664">
        <v>1</v>
      </c>
      <c r="G11664">
        <v>1</v>
      </c>
      <c r="H11664">
        <v>1</v>
      </c>
      <c r="I11664">
        <v>0</v>
      </c>
      <c r="J11664">
        <v>1</v>
      </c>
      <c r="K11664">
        <v>1</v>
      </c>
      <c r="L11664">
        <v>1</v>
      </c>
      <c r="M11664">
        <v>0</v>
      </c>
      <c r="N11664">
        <v>0</v>
      </c>
      <c r="O11664">
        <v>0</v>
      </c>
      <c r="AF11664" t="s">
        <v>23912</v>
      </c>
    </row>
    <row r="11665" spans="1:32" hidden="1" x14ac:dyDescent="0.35">
      <c r="A11665">
        <v>11664</v>
      </c>
      <c r="B11665" t="s">
        <v>23913</v>
      </c>
      <c r="C11665" t="s">
        <v>33</v>
      </c>
      <c r="D11665" t="s">
        <v>58</v>
      </c>
      <c r="E11665">
        <v>1225</v>
      </c>
      <c r="F11665">
        <v>1</v>
      </c>
      <c r="G11665">
        <v>1</v>
      </c>
      <c r="H11665">
        <v>1</v>
      </c>
      <c r="I11665">
        <v>0</v>
      </c>
      <c r="J11665">
        <v>1</v>
      </c>
      <c r="K11665">
        <v>1</v>
      </c>
      <c r="L11665">
        <v>1</v>
      </c>
      <c r="M11665">
        <v>0</v>
      </c>
      <c r="N11665">
        <v>0</v>
      </c>
      <c r="O11665">
        <v>0</v>
      </c>
      <c r="AF11665" t="s">
        <v>23914</v>
      </c>
    </row>
    <row r="11666" spans="1:32" hidden="1" x14ac:dyDescent="0.35">
      <c r="A11666">
        <v>11665</v>
      </c>
      <c r="B11666" t="s">
        <v>23915</v>
      </c>
      <c r="C11666" t="s">
        <v>33</v>
      </c>
      <c r="D11666" t="s">
        <v>58</v>
      </c>
      <c r="E11666">
        <v>1200</v>
      </c>
      <c r="F11666">
        <v>1</v>
      </c>
      <c r="G11666">
        <v>1</v>
      </c>
      <c r="H11666">
        <v>1</v>
      </c>
      <c r="I11666">
        <v>0</v>
      </c>
      <c r="J11666">
        <v>1</v>
      </c>
      <c r="K11666">
        <v>1</v>
      </c>
      <c r="L11666">
        <v>1</v>
      </c>
      <c r="M11666">
        <v>0</v>
      </c>
      <c r="N11666">
        <v>0</v>
      </c>
      <c r="O11666">
        <v>0</v>
      </c>
      <c r="P11666" t="s">
        <v>10946</v>
      </c>
      <c r="Q11666" t="s">
        <v>10947</v>
      </c>
      <c r="R11666" t="s">
        <v>319</v>
      </c>
      <c r="S11666" t="s">
        <v>320</v>
      </c>
      <c r="T11666" t="s">
        <v>10948</v>
      </c>
      <c r="U11666" t="s">
        <v>10949</v>
      </c>
      <c r="V11666" t="s">
        <v>10950</v>
      </c>
      <c r="W11666" t="s">
        <v>10951</v>
      </c>
      <c r="X11666" t="s">
        <v>10950</v>
      </c>
      <c r="Y11666" t="s">
        <v>10466</v>
      </c>
      <c r="AD11666" t="s">
        <v>951</v>
      </c>
      <c r="AE11666" t="s">
        <v>10952</v>
      </c>
      <c r="AF11666" t="s">
        <v>23916</v>
      </c>
    </row>
    <row r="11667" spans="1:32" hidden="1" x14ac:dyDescent="0.35">
      <c r="A11667">
        <v>11666</v>
      </c>
      <c r="B11667" t="s">
        <v>23917</v>
      </c>
      <c r="C11667" t="s">
        <v>33</v>
      </c>
      <c r="D11667" t="s">
        <v>60</v>
      </c>
      <c r="E11667">
        <v>2075</v>
      </c>
      <c r="F11667">
        <v>1</v>
      </c>
      <c r="G11667">
        <v>1</v>
      </c>
      <c r="H11667">
        <v>1</v>
      </c>
      <c r="I11667">
        <v>0</v>
      </c>
      <c r="J11667">
        <v>1</v>
      </c>
      <c r="K11667">
        <v>1</v>
      </c>
      <c r="L11667">
        <v>1</v>
      </c>
      <c r="M11667">
        <v>0</v>
      </c>
      <c r="N11667">
        <v>0</v>
      </c>
      <c r="O11667">
        <v>0</v>
      </c>
      <c r="AF11667" t="s">
        <v>23918</v>
      </c>
    </row>
    <row r="11668" spans="1:32" hidden="1" x14ac:dyDescent="0.35">
      <c r="A11668">
        <v>4049</v>
      </c>
      <c r="B11668" t="s">
        <v>8360</v>
      </c>
      <c r="C11668" t="s">
        <v>72</v>
      </c>
      <c r="D11668" t="s">
        <v>58</v>
      </c>
      <c r="E11668">
        <v>1180</v>
      </c>
      <c r="F11668">
        <v>5</v>
      </c>
      <c r="G11668">
        <v>5</v>
      </c>
      <c r="H11668">
        <v>1</v>
      </c>
      <c r="I11668">
        <v>1</v>
      </c>
      <c r="J11668">
        <v>0.74797831689327299</v>
      </c>
      <c r="K11668">
        <v>0.91607975787786999</v>
      </c>
      <c r="L11668">
        <v>0.82353831975692604</v>
      </c>
      <c r="M11668">
        <v>0.55717761557177603</v>
      </c>
      <c r="N11668">
        <v>0.99513381995133798</v>
      </c>
      <c r="O11668">
        <v>0.65401459854014599</v>
      </c>
      <c r="P11668" t="s">
        <v>8361</v>
      </c>
      <c r="Q11668" t="s">
        <v>8362</v>
      </c>
      <c r="R11668" t="s">
        <v>224</v>
      </c>
      <c r="S11668" t="s">
        <v>225</v>
      </c>
      <c r="T11668" t="s">
        <v>8363</v>
      </c>
      <c r="U11668" t="s">
        <v>8364</v>
      </c>
      <c r="V11668" t="s">
        <v>8365</v>
      </c>
      <c r="W11668" t="s">
        <v>8366</v>
      </c>
      <c r="X11668" t="s">
        <v>8365</v>
      </c>
      <c r="Y11668" t="s">
        <v>1598</v>
      </c>
      <c r="AD11668" t="s">
        <v>2991</v>
      </c>
      <c r="AE11668" t="s">
        <v>8367</v>
      </c>
      <c r="AF11668" t="s">
        <v>8368</v>
      </c>
    </row>
    <row r="11669" spans="1:32" hidden="1" x14ac:dyDescent="0.35">
      <c r="A11669">
        <v>11668</v>
      </c>
      <c r="B11669" t="s">
        <v>23921</v>
      </c>
      <c r="C11669" t="s">
        <v>33</v>
      </c>
      <c r="D11669" t="s">
        <v>58</v>
      </c>
      <c r="E11669">
        <v>471</v>
      </c>
      <c r="F11669">
        <v>1</v>
      </c>
      <c r="G11669">
        <v>1</v>
      </c>
      <c r="H11669">
        <v>1</v>
      </c>
      <c r="I11669">
        <v>0</v>
      </c>
      <c r="J11669">
        <v>1</v>
      </c>
      <c r="K11669">
        <v>1</v>
      </c>
      <c r="L11669">
        <v>1</v>
      </c>
      <c r="M11669">
        <v>0</v>
      </c>
      <c r="N11669">
        <v>0</v>
      </c>
      <c r="O11669">
        <v>0</v>
      </c>
      <c r="AF11669" t="s">
        <v>23922</v>
      </c>
    </row>
    <row r="11670" spans="1:32" hidden="1" x14ac:dyDescent="0.35">
      <c r="A11670">
        <v>11669</v>
      </c>
      <c r="B11670" t="s">
        <v>23923</v>
      </c>
      <c r="C11670" t="s">
        <v>33</v>
      </c>
      <c r="D11670" t="s">
        <v>58</v>
      </c>
      <c r="E11670">
        <v>420</v>
      </c>
      <c r="F11670">
        <v>1</v>
      </c>
      <c r="G11670">
        <v>1</v>
      </c>
      <c r="H11670">
        <v>1</v>
      </c>
      <c r="I11670">
        <v>0</v>
      </c>
      <c r="J11670">
        <v>1</v>
      </c>
      <c r="K11670">
        <v>1</v>
      </c>
      <c r="L11670">
        <v>1</v>
      </c>
      <c r="M11670">
        <v>0</v>
      </c>
      <c r="N11670">
        <v>0</v>
      </c>
      <c r="O11670">
        <v>0</v>
      </c>
      <c r="AF11670" t="s">
        <v>23924</v>
      </c>
    </row>
    <row r="11671" spans="1:32" hidden="1" x14ac:dyDescent="0.35">
      <c r="A11671">
        <v>11670</v>
      </c>
      <c r="B11671" t="s">
        <v>23925</v>
      </c>
      <c r="C11671" t="s">
        <v>33</v>
      </c>
      <c r="D11671" t="s">
        <v>58</v>
      </c>
      <c r="E11671">
        <v>485</v>
      </c>
      <c r="F11671">
        <v>1</v>
      </c>
      <c r="G11671">
        <v>1</v>
      </c>
      <c r="H11671">
        <v>1</v>
      </c>
      <c r="I11671">
        <v>0</v>
      </c>
      <c r="J11671">
        <v>1</v>
      </c>
      <c r="K11671">
        <v>1</v>
      </c>
      <c r="L11671">
        <v>1</v>
      </c>
      <c r="M11671">
        <v>0</v>
      </c>
      <c r="N11671">
        <v>0</v>
      </c>
      <c r="O11671">
        <v>0</v>
      </c>
      <c r="AF11671" t="s">
        <v>23926</v>
      </c>
    </row>
    <row r="11672" spans="1:32" hidden="1" x14ac:dyDescent="0.35">
      <c r="A11672">
        <v>11671</v>
      </c>
      <c r="B11672" t="s">
        <v>23927</v>
      </c>
      <c r="C11672" t="s">
        <v>33</v>
      </c>
      <c r="D11672" t="s">
        <v>58</v>
      </c>
      <c r="E11672">
        <v>1683</v>
      </c>
      <c r="F11672">
        <v>1</v>
      </c>
      <c r="G11672">
        <v>1</v>
      </c>
      <c r="H11672">
        <v>1</v>
      </c>
      <c r="I11672">
        <v>0</v>
      </c>
      <c r="J11672">
        <v>1</v>
      </c>
      <c r="K11672">
        <v>1</v>
      </c>
      <c r="L11672">
        <v>1</v>
      </c>
      <c r="M11672">
        <v>0</v>
      </c>
      <c r="N11672">
        <v>0</v>
      </c>
      <c r="O11672">
        <v>0</v>
      </c>
      <c r="AF11672" t="s">
        <v>23928</v>
      </c>
    </row>
    <row r="11673" spans="1:32" hidden="1" x14ac:dyDescent="0.35">
      <c r="A11673">
        <v>11672</v>
      </c>
      <c r="B11673" t="s">
        <v>23929</v>
      </c>
      <c r="C11673" t="s">
        <v>33</v>
      </c>
      <c r="D11673" t="s">
        <v>58</v>
      </c>
      <c r="E11673">
        <v>935</v>
      </c>
      <c r="F11673">
        <v>1</v>
      </c>
      <c r="G11673">
        <v>1</v>
      </c>
      <c r="H11673">
        <v>1</v>
      </c>
      <c r="I11673">
        <v>0</v>
      </c>
      <c r="J11673">
        <v>1</v>
      </c>
      <c r="K11673">
        <v>1</v>
      </c>
      <c r="L11673">
        <v>1</v>
      </c>
      <c r="M11673">
        <v>0</v>
      </c>
      <c r="N11673">
        <v>0</v>
      </c>
      <c r="O11673">
        <v>0</v>
      </c>
      <c r="P11673" t="s">
        <v>23930</v>
      </c>
      <c r="Q11673" t="s">
        <v>23931</v>
      </c>
      <c r="R11673" t="s">
        <v>319</v>
      </c>
      <c r="S11673" t="s">
        <v>320</v>
      </c>
      <c r="T11673" t="s">
        <v>23932</v>
      </c>
      <c r="U11673" t="s">
        <v>23933</v>
      </c>
      <c r="V11673" t="s">
        <v>23934</v>
      </c>
      <c r="W11673" t="s">
        <v>23935</v>
      </c>
      <c r="AD11673" t="s">
        <v>166</v>
      </c>
      <c r="AE11673" t="s">
        <v>818</v>
      </c>
      <c r="AF11673" t="s">
        <v>23936</v>
      </c>
    </row>
    <row r="11674" spans="1:32" hidden="1" x14ac:dyDescent="0.35">
      <c r="A11674">
        <v>11673</v>
      </c>
      <c r="B11674" t="s">
        <v>23937</v>
      </c>
      <c r="C11674" t="s">
        <v>33</v>
      </c>
      <c r="D11674" t="s">
        <v>60</v>
      </c>
      <c r="E11674">
        <v>666</v>
      </c>
      <c r="F11674">
        <v>1</v>
      </c>
      <c r="G11674">
        <v>1</v>
      </c>
      <c r="H11674">
        <v>1</v>
      </c>
      <c r="I11674">
        <v>0</v>
      </c>
      <c r="J11674">
        <v>1</v>
      </c>
      <c r="K11674">
        <v>1</v>
      </c>
      <c r="L11674">
        <v>1</v>
      </c>
      <c r="M11674">
        <v>0</v>
      </c>
      <c r="N11674">
        <v>0</v>
      </c>
      <c r="O11674">
        <v>0</v>
      </c>
      <c r="AF11674" t="s">
        <v>23938</v>
      </c>
    </row>
    <row r="11675" spans="1:32" hidden="1" x14ac:dyDescent="0.35">
      <c r="A11675">
        <v>3824</v>
      </c>
      <c r="B11675" t="s">
        <v>7892</v>
      </c>
      <c r="C11675" t="s">
        <v>72</v>
      </c>
      <c r="D11675" t="s">
        <v>58</v>
      </c>
      <c r="E11675">
        <v>1783</v>
      </c>
      <c r="F11675">
        <v>5</v>
      </c>
      <c r="G11675">
        <v>5</v>
      </c>
      <c r="H11675">
        <v>1</v>
      </c>
      <c r="I11675">
        <v>1</v>
      </c>
      <c r="J11675">
        <v>0.83140693503387797</v>
      </c>
      <c r="K11675">
        <v>0.79371540214913805</v>
      </c>
      <c r="L11675">
        <v>0.81212407791264096</v>
      </c>
      <c r="M11675">
        <v>0.51951951951951902</v>
      </c>
      <c r="N11675">
        <v>0.99099099099099097</v>
      </c>
      <c r="O11675">
        <v>0.66756756756756797</v>
      </c>
      <c r="P11675" t="s">
        <v>7893</v>
      </c>
      <c r="Q11675" t="s">
        <v>7894</v>
      </c>
      <c r="R11675" t="s">
        <v>224</v>
      </c>
      <c r="S11675" t="s">
        <v>225</v>
      </c>
      <c r="T11675" t="s">
        <v>7895</v>
      </c>
      <c r="U11675" t="s">
        <v>7896</v>
      </c>
      <c r="V11675" t="s">
        <v>7897</v>
      </c>
      <c r="W11675" t="s">
        <v>7898</v>
      </c>
      <c r="X11675" t="s">
        <v>7897</v>
      </c>
      <c r="Y11675" t="s">
        <v>1598</v>
      </c>
      <c r="AD11675" t="s">
        <v>3044</v>
      </c>
      <c r="AE11675" t="s">
        <v>7899</v>
      </c>
      <c r="AF11675" t="s">
        <v>7900</v>
      </c>
    </row>
    <row r="11676" spans="1:32" hidden="1" x14ac:dyDescent="0.35">
      <c r="A11676">
        <v>3434</v>
      </c>
      <c r="B11676" t="s">
        <v>7055</v>
      </c>
      <c r="C11676" t="s">
        <v>72</v>
      </c>
      <c r="D11676" t="s">
        <v>58</v>
      </c>
      <c r="E11676">
        <v>1874</v>
      </c>
      <c r="F11676">
        <v>5</v>
      </c>
      <c r="G11676">
        <v>5</v>
      </c>
      <c r="H11676">
        <v>1</v>
      </c>
      <c r="I11676">
        <v>1</v>
      </c>
      <c r="J11676">
        <v>0.79100529100529104</v>
      </c>
      <c r="K11676">
        <v>0.89124419031311597</v>
      </c>
      <c r="L11676">
        <v>0.83813831175967701</v>
      </c>
      <c r="M11676">
        <v>0.5078125</v>
      </c>
      <c r="N11676">
        <v>1</v>
      </c>
      <c r="O11676">
        <v>0.66718750000000004</v>
      </c>
      <c r="P11676" t="s">
        <v>7056</v>
      </c>
      <c r="Q11676" t="s">
        <v>7057</v>
      </c>
      <c r="R11676" t="s">
        <v>224</v>
      </c>
      <c r="S11676" t="s">
        <v>225</v>
      </c>
      <c r="T11676" t="s">
        <v>7058</v>
      </c>
      <c r="U11676" t="s">
        <v>7059</v>
      </c>
      <c r="V11676" t="s">
        <v>7060</v>
      </c>
      <c r="W11676" t="s">
        <v>7061</v>
      </c>
      <c r="X11676" t="s">
        <v>7060</v>
      </c>
      <c r="Y11676" t="s">
        <v>1598</v>
      </c>
      <c r="AD11676" t="s">
        <v>7062</v>
      </c>
      <c r="AE11676" t="s">
        <v>7063</v>
      </c>
      <c r="AF11676" t="s">
        <v>7064</v>
      </c>
    </row>
    <row r="11677" spans="1:32" hidden="1" x14ac:dyDescent="0.35">
      <c r="A11677">
        <v>1154</v>
      </c>
      <c r="B11677" t="s">
        <v>2401</v>
      </c>
      <c r="C11677" t="s">
        <v>72</v>
      </c>
      <c r="D11677" t="s">
        <v>58</v>
      </c>
      <c r="E11677">
        <v>759</v>
      </c>
      <c r="F11677">
        <v>5</v>
      </c>
      <c r="G11677">
        <v>5</v>
      </c>
      <c r="H11677">
        <v>1</v>
      </c>
      <c r="I11677">
        <v>1</v>
      </c>
      <c r="J11677">
        <v>0.88563344286235901</v>
      </c>
      <c r="K11677">
        <v>0.99240611301978499</v>
      </c>
      <c r="L11677">
        <v>0.935984590780919</v>
      </c>
      <c r="M11677">
        <v>0.79619565217391297</v>
      </c>
      <c r="N11677">
        <v>1</v>
      </c>
      <c r="O11677">
        <v>0.84538043478260905</v>
      </c>
      <c r="P11677" t="s">
        <v>2402</v>
      </c>
      <c r="Q11677" t="s">
        <v>2403</v>
      </c>
      <c r="R11677" t="s">
        <v>224</v>
      </c>
      <c r="S11677" t="s">
        <v>225</v>
      </c>
      <c r="T11677" t="s">
        <v>2404</v>
      </c>
      <c r="U11677" t="s">
        <v>2405</v>
      </c>
      <c r="V11677" t="s">
        <v>2406</v>
      </c>
      <c r="W11677" t="s">
        <v>2407</v>
      </c>
      <c r="X11677" t="s">
        <v>2406</v>
      </c>
      <c r="Y11677" t="s">
        <v>1598</v>
      </c>
      <c r="AD11677" t="s">
        <v>2408</v>
      </c>
      <c r="AE11677" t="s">
        <v>2409</v>
      </c>
      <c r="AF11677" t="s">
        <v>2410</v>
      </c>
    </row>
    <row r="11678" spans="1:32" hidden="1" x14ac:dyDescent="0.35">
      <c r="A11678">
        <v>2244</v>
      </c>
      <c r="B11678" t="s">
        <v>4672</v>
      </c>
      <c r="C11678" t="s">
        <v>72</v>
      </c>
      <c r="D11678" t="s">
        <v>58</v>
      </c>
      <c r="E11678">
        <v>1853</v>
      </c>
      <c r="F11678">
        <v>5</v>
      </c>
      <c r="G11678">
        <v>5</v>
      </c>
      <c r="H11678">
        <v>1</v>
      </c>
      <c r="I11678">
        <v>1</v>
      </c>
      <c r="J11678">
        <v>0.85314164004259896</v>
      </c>
      <c r="K11678">
        <v>0.93384683724236095</v>
      </c>
      <c r="L11678">
        <v>0.89167180695423898</v>
      </c>
      <c r="M11678">
        <v>0.69047619047619002</v>
      </c>
      <c r="N11678">
        <v>1</v>
      </c>
      <c r="O11678">
        <v>0.766369047619048</v>
      </c>
      <c r="P11678" t="s">
        <v>4673</v>
      </c>
      <c r="Q11678" t="s">
        <v>4674</v>
      </c>
      <c r="R11678" t="s">
        <v>224</v>
      </c>
      <c r="S11678" t="s">
        <v>225</v>
      </c>
      <c r="T11678" t="s">
        <v>4675</v>
      </c>
      <c r="U11678" t="s">
        <v>4676</v>
      </c>
      <c r="V11678" t="s">
        <v>4677</v>
      </c>
      <c r="W11678" t="s">
        <v>4678</v>
      </c>
      <c r="AD11678" t="s">
        <v>410</v>
      </c>
      <c r="AE11678" t="s">
        <v>603</v>
      </c>
      <c r="AF11678" t="e">
        <f>-----------------------MSISKILLYYKFQPISDPRAVMLWQRDLCQSLGLRGRILISEHGINGTVGGDIDACKTYVKKTKEY--FKGIEFKWSEGGAEDFPKLSVKVRDEIVAFGAPGELKVDEHGVVGGGVHLKPEEVNELVEN-NPDVVFFDGRNAMEAQIGKFKDAIVPDVNTTHDFIRELESGKYDDLKDKPVITYCTGGIRCEILSSLMKNRGFKEVYQIDGGIVRYGEKYGNQGLWEGSLYVFDKRMHMEFGEDFKA-----LGHCIHCGAETNKFEHCVNEDDCRQLVLMCPDCFGNVATRHCGQERCVEVAREQAEQLAQA</f>
        <v>#NAME?</v>
      </c>
    </row>
    <row r="11679" spans="1:32" hidden="1" x14ac:dyDescent="0.35">
      <c r="A11679">
        <v>3934</v>
      </c>
      <c r="B11679" t="s">
        <v>8116</v>
      </c>
      <c r="C11679" t="s">
        <v>72</v>
      </c>
      <c r="D11679" t="s">
        <v>58</v>
      </c>
      <c r="E11679">
        <v>289</v>
      </c>
      <c r="F11679">
        <v>5</v>
      </c>
      <c r="G11679">
        <v>5</v>
      </c>
      <c r="H11679">
        <v>1</v>
      </c>
      <c r="I11679">
        <v>1</v>
      </c>
      <c r="J11679">
        <v>0.80735153256704995</v>
      </c>
      <c r="K11679">
        <v>0.90411942791522903</v>
      </c>
      <c r="L11679">
        <v>0.85299981431798599</v>
      </c>
      <c r="M11679">
        <v>0.6</v>
      </c>
      <c r="N11679">
        <v>0.99354838709677396</v>
      </c>
      <c r="O11679">
        <v>0.73</v>
      </c>
      <c r="P11679" t="s">
        <v>8117</v>
      </c>
      <c r="Q11679" t="s">
        <v>8118</v>
      </c>
      <c r="R11679" t="s">
        <v>224</v>
      </c>
      <c r="S11679" t="s">
        <v>225</v>
      </c>
      <c r="T11679" t="s">
        <v>8119</v>
      </c>
      <c r="U11679" t="s">
        <v>8120</v>
      </c>
      <c r="V11679" t="s">
        <v>8121</v>
      </c>
      <c r="W11679" t="s">
        <v>8122</v>
      </c>
      <c r="X11679" t="s">
        <v>8121</v>
      </c>
      <c r="Y11679" t="s">
        <v>1598</v>
      </c>
      <c r="AD11679" t="s">
        <v>3044</v>
      </c>
      <c r="AE11679" t="s">
        <v>8123</v>
      </c>
      <c r="AF11679" t="s">
        <v>8124</v>
      </c>
    </row>
    <row r="11680" spans="1:32" hidden="1" x14ac:dyDescent="0.35">
      <c r="A11680">
        <v>11679</v>
      </c>
      <c r="B11680" t="s">
        <v>23956</v>
      </c>
      <c r="C11680" t="s">
        <v>33</v>
      </c>
      <c r="D11680" t="s">
        <v>45</v>
      </c>
      <c r="E11680">
        <v>1441</v>
      </c>
      <c r="F11680">
        <v>1</v>
      </c>
      <c r="G11680">
        <v>1</v>
      </c>
      <c r="H11680">
        <v>1</v>
      </c>
      <c r="I11680">
        <v>0</v>
      </c>
      <c r="J11680">
        <v>1</v>
      </c>
      <c r="K11680">
        <v>1</v>
      </c>
      <c r="L11680">
        <v>1</v>
      </c>
      <c r="M11680">
        <v>0</v>
      </c>
      <c r="N11680">
        <v>0</v>
      </c>
      <c r="O11680">
        <v>0</v>
      </c>
      <c r="AF11680" t="s">
        <v>23957</v>
      </c>
    </row>
    <row r="11681" spans="1:32" hidden="1" x14ac:dyDescent="0.35">
      <c r="A11681">
        <v>11680</v>
      </c>
      <c r="B11681" t="s">
        <v>23958</v>
      </c>
      <c r="C11681" t="s">
        <v>33</v>
      </c>
      <c r="D11681" t="s">
        <v>60</v>
      </c>
      <c r="E11681">
        <v>2002</v>
      </c>
      <c r="F11681">
        <v>1</v>
      </c>
      <c r="G11681">
        <v>1</v>
      </c>
      <c r="H11681">
        <v>1</v>
      </c>
      <c r="I11681">
        <v>0</v>
      </c>
      <c r="J11681">
        <v>1</v>
      </c>
      <c r="K11681">
        <v>1</v>
      </c>
      <c r="L11681">
        <v>1</v>
      </c>
      <c r="M11681">
        <v>0</v>
      </c>
      <c r="N11681">
        <v>0</v>
      </c>
      <c r="O11681">
        <v>0</v>
      </c>
      <c r="P11681" t="s">
        <v>675</v>
      </c>
      <c r="Q11681" t="s">
        <v>676</v>
      </c>
      <c r="R11681" t="s">
        <v>516</v>
      </c>
      <c r="S11681" t="s">
        <v>517</v>
      </c>
      <c r="V11681" t="s">
        <v>2706</v>
      </c>
      <c r="W11681" t="s">
        <v>2707</v>
      </c>
      <c r="AF11681" t="s">
        <v>23959</v>
      </c>
    </row>
    <row r="11682" spans="1:32" hidden="1" x14ac:dyDescent="0.35">
      <c r="A11682">
        <v>4204</v>
      </c>
      <c r="B11682" t="s">
        <v>8714</v>
      </c>
      <c r="C11682" t="s">
        <v>72</v>
      </c>
      <c r="D11682" t="s">
        <v>58</v>
      </c>
      <c r="E11682">
        <v>1128</v>
      </c>
      <c r="F11682">
        <v>5</v>
      </c>
      <c r="G11682">
        <v>5</v>
      </c>
      <c r="H11682">
        <v>1</v>
      </c>
      <c r="I11682">
        <v>1</v>
      </c>
      <c r="J11682">
        <v>0.77405296681193403</v>
      </c>
      <c r="K11682">
        <v>0.96314333437728095</v>
      </c>
      <c r="L11682">
        <v>0.85830709509284198</v>
      </c>
      <c r="M11682">
        <v>0.59677419354838701</v>
      </c>
      <c r="N11682">
        <v>0.99677419354838703</v>
      </c>
      <c r="O11682">
        <v>0.71032258064516096</v>
      </c>
      <c r="P11682" t="s">
        <v>8715</v>
      </c>
      <c r="Q11682" t="s">
        <v>8716</v>
      </c>
      <c r="R11682" t="s">
        <v>224</v>
      </c>
      <c r="S11682" t="s">
        <v>225</v>
      </c>
      <c r="T11682" t="s">
        <v>8717</v>
      </c>
      <c r="U11682" t="s">
        <v>8718</v>
      </c>
      <c r="V11682" t="s">
        <v>8719</v>
      </c>
      <c r="W11682" t="s">
        <v>8720</v>
      </c>
      <c r="X11682" t="s">
        <v>8719</v>
      </c>
      <c r="Y11682" t="s">
        <v>1598</v>
      </c>
      <c r="AD11682" t="s">
        <v>3044</v>
      </c>
      <c r="AE11682" t="s">
        <v>8721</v>
      </c>
      <c r="AF11682" t="s">
        <v>8722</v>
      </c>
    </row>
    <row r="11683" spans="1:32" hidden="1" x14ac:dyDescent="0.35">
      <c r="A11683">
        <v>3499</v>
      </c>
      <c r="B11683" t="s">
        <v>7181</v>
      </c>
      <c r="C11683" t="s">
        <v>72</v>
      </c>
      <c r="D11683" t="s">
        <v>58</v>
      </c>
      <c r="E11683">
        <v>73</v>
      </c>
      <c r="F11683">
        <v>5</v>
      </c>
      <c r="G11683">
        <v>5</v>
      </c>
      <c r="H11683">
        <v>1</v>
      </c>
      <c r="I11683">
        <v>1</v>
      </c>
      <c r="J11683">
        <v>0.76609347442680797</v>
      </c>
      <c r="K11683">
        <v>0.94694968553459102</v>
      </c>
      <c r="L11683">
        <v>0.84697454407968897</v>
      </c>
      <c r="M11683">
        <v>0.52500000000000002</v>
      </c>
      <c r="N11683">
        <v>1</v>
      </c>
      <c r="O11683">
        <v>0.671875</v>
      </c>
      <c r="P11683" t="s">
        <v>7182</v>
      </c>
      <c r="Q11683" t="s">
        <v>7183</v>
      </c>
      <c r="R11683" t="s">
        <v>224</v>
      </c>
      <c r="S11683" t="s">
        <v>225</v>
      </c>
      <c r="T11683" t="s">
        <v>7184</v>
      </c>
      <c r="U11683" t="s">
        <v>7185</v>
      </c>
      <c r="V11683" t="s">
        <v>7186</v>
      </c>
      <c r="W11683" t="s">
        <v>7187</v>
      </c>
      <c r="X11683" t="s">
        <v>7186</v>
      </c>
      <c r="Y11683" t="s">
        <v>7188</v>
      </c>
      <c r="AD11683" t="s">
        <v>2991</v>
      </c>
      <c r="AE11683" t="s">
        <v>7189</v>
      </c>
      <c r="AF11683" t="e">
        <f>----------------MLRRAIDVARDTPPADVPVGAIIYDAAGVEIAHAHNRKETDGDPTAHAEILAIRDAVGVVGDGWRLEGCTLAVTLEPCAMCAGAIAASRINTVVFGAYEPKTGACGSVIDVLRDPVLPGFTAVRGGVLEQPCAHLMEEFFSNLR</f>
        <v>#NAME?</v>
      </c>
    </row>
    <row r="11684" spans="1:32" hidden="1" x14ac:dyDescent="0.35">
      <c r="A11684">
        <v>11683</v>
      </c>
      <c r="B11684" t="s">
        <v>23964</v>
      </c>
      <c r="C11684" t="s">
        <v>33</v>
      </c>
      <c r="D11684" t="s">
        <v>58</v>
      </c>
      <c r="E11684">
        <v>222</v>
      </c>
      <c r="F11684">
        <v>1</v>
      </c>
      <c r="G11684">
        <v>1</v>
      </c>
      <c r="H11684">
        <v>1</v>
      </c>
      <c r="I11684">
        <v>0</v>
      </c>
      <c r="J11684">
        <v>1</v>
      </c>
      <c r="K11684">
        <v>1</v>
      </c>
      <c r="L11684">
        <v>1</v>
      </c>
      <c r="M11684">
        <v>0</v>
      </c>
      <c r="N11684">
        <v>0</v>
      </c>
      <c r="O11684">
        <v>0</v>
      </c>
      <c r="P11684" t="s">
        <v>16645</v>
      </c>
      <c r="Q11684" t="s">
        <v>16646</v>
      </c>
      <c r="AF11684" t="s">
        <v>23965</v>
      </c>
    </row>
    <row r="11685" spans="1:32" hidden="1" x14ac:dyDescent="0.35">
      <c r="A11685">
        <v>11684</v>
      </c>
      <c r="B11685" t="s">
        <v>23966</v>
      </c>
      <c r="C11685" t="s">
        <v>33</v>
      </c>
      <c r="D11685" t="s">
        <v>58</v>
      </c>
      <c r="E11685">
        <v>15</v>
      </c>
      <c r="F11685">
        <v>1</v>
      </c>
      <c r="G11685">
        <v>1</v>
      </c>
      <c r="H11685">
        <v>1</v>
      </c>
      <c r="I11685">
        <v>0</v>
      </c>
      <c r="J11685">
        <v>1</v>
      </c>
      <c r="K11685">
        <v>1</v>
      </c>
      <c r="L11685">
        <v>1</v>
      </c>
      <c r="M11685">
        <v>0</v>
      </c>
      <c r="N11685">
        <v>0</v>
      </c>
      <c r="O11685">
        <v>0</v>
      </c>
      <c r="AF11685" t="s">
        <v>23967</v>
      </c>
    </row>
    <row r="11686" spans="1:32" hidden="1" x14ac:dyDescent="0.35">
      <c r="A11686">
        <v>11343</v>
      </c>
      <c r="B11686" t="s">
        <v>23099</v>
      </c>
      <c r="C11686" t="s">
        <v>33</v>
      </c>
      <c r="D11686" t="s">
        <v>58</v>
      </c>
      <c r="E11686">
        <v>1699</v>
      </c>
      <c r="F11686">
        <v>1</v>
      </c>
      <c r="G11686">
        <v>1</v>
      </c>
      <c r="H11686">
        <v>1</v>
      </c>
      <c r="I11686">
        <v>0</v>
      </c>
      <c r="J11686">
        <v>1</v>
      </c>
      <c r="K11686">
        <v>1</v>
      </c>
      <c r="L11686">
        <v>1</v>
      </c>
      <c r="M11686">
        <v>0</v>
      </c>
      <c r="N11686">
        <v>0</v>
      </c>
      <c r="O11686">
        <v>0</v>
      </c>
      <c r="P11686" t="s">
        <v>17010</v>
      </c>
      <c r="Q11686" t="s">
        <v>17011</v>
      </c>
      <c r="R11686" t="s">
        <v>224</v>
      </c>
      <c r="S11686" t="s">
        <v>225</v>
      </c>
      <c r="T11686" t="s">
        <v>17012</v>
      </c>
      <c r="U11686" t="s">
        <v>17013</v>
      </c>
      <c r="V11686" t="s">
        <v>17014</v>
      </c>
      <c r="W11686" t="s">
        <v>17015</v>
      </c>
      <c r="X11686" t="s">
        <v>17014</v>
      </c>
      <c r="Y11686" t="s">
        <v>1598</v>
      </c>
      <c r="AD11686" t="s">
        <v>2991</v>
      </c>
      <c r="AE11686" t="s">
        <v>17016</v>
      </c>
      <c r="AF11686" t="s">
        <v>23100</v>
      </c>
    </row>
    <row r="11687" spans="1:32" hidden="1" x14ac:dyDescent="0.35">
      <c r="A11687">
        <v>11686</v>
      </c>
      <c r="B11687" t="s">
        <v>23970</v>
      </c>
      <c r="C11687" t="s">
        <v>33</v>
      </c>
      <c r="D11687" t="s">
        <v>58</v>
      </c>
      <c r="E11687">
        <v>1519</v>
      </c>
      <c r="F11687">
        <v>1</v>
      </c>
      <c r="G11687">
        <v>1</v>
      </c>
      <c r="H11687">
        <v>1</v>
      </c>
      <c r="I11687">
        <v>0</v>
      </c>
      <c r="J11687">
        <v>1</v>
      </c>
      <c r="K11687">
        <v>1</v>
      </c>
      <c r="L11687">
        <v>1</v>
      </c>
      <c r="M11687">
        <v>0</v>
      </c>
      <c r="N11687">
        <v>0</v>
      </c>
      <c r="O11687">
        <v>0</v>
      </c>
      <c r="AF11687" t="s">
        <v>23971</v>
      </c>
    </row>
    <row r="11688" spans="1:32" hidden="1" x14ac:dyDescent="0.35">
      <c r="A11688">
        <v>11687</v>
      </c>
      <c r="B11688" t="s">
        <v>23972</v>
      </c>
      <c r="C11688" t="s">
        <v>33</v>
      </c>
      <c r="D11688" t="s">
        <v>45</v>
      </c>
      <c r="E11688">
        <v>126</v>
      </c>
      <c r="F11688">
        <v>1</v>
      </c>
      <c r="G11688">
        <v>1</v>
      </c>
      <c r="H11688">
        <v>1</v>
      </c>
      <c r="I11688">
        <v>0</v>
      </c>
      <c r="J11688">
        <v>1</v>
      </c>
      <c r="K11688">
        <v>1</v>
      </c>
      <c r="L11688">
        <v>1</v>
      </c>
      <c r="M11688">
        <v>0</v>
      </c>
      <c r="N11688">
        <v>0</v>
      </c>
      <c r="O11688">
        <v>0</v>
      </c>
      <c r="AF11688" t="s">
        <v>23973</v>
      </c>
    </row>
    <row r="11689" spans="1:32" hidden="1" x14ac:dyDescent="0.35">
      <c r="A11689">
        <v>11688</v>
      </c>
      <c r="B11689" t="s">
        <v>23974</v>
      </c>
      <c r="C11689" t="s">
        <v>33</v>
      </c>
      <c r="D11689" t="s">
        <v>62</v>
      </c>
      <c r="E11689">
        <v>1979</v>
      </c>
      <c r="F11689">
        <v>1</v>
      </c>
      <c r="G11689">
        <v>1</v>
      </c>
      <c r="H11689">
        <v>1</v>
      </c>
      <c r="I11689">
        <v>0</v>
      </c>
      <c r="J11689">
        <v>1</v>
      </c>
      <c r="K11689">
        <v>1</v>
      </c>
      <c r="L11689">
        <v>1</v>
      </c>
      <c r="M11689">
        <v>0</v>
      </c>
      <c r="N11689">
        <v>0</v>
      </c>
      <c r="O11689">
        <v>0</v>
      </c>
      <c r="AF11689" t="s">
        <v>23975</v>
      </c>
    </row>
    <row r="11690" spans="1:32" hidden="1" x14ac:dyDescent="0.35">
      <c r="A11690">
        <v>11689</v>
      </c>
      <c r="B11690" t="s">
        <v>23976</v>
      </c>
      <c r="C11690" t="s">
        <v>33</v>
      </c>
      <c r="D11690" t="s">
        <v>60</v>
      </c>
      <c r="E11690">
        <v>84</v>
      </c>
      <c r="F11690">
        <v>1</v>
      </c>
      <c r="G11690">
        <v>1</v>
      </c>
      <c r="H11690">
        <v>1</v>
      </c>
      <c r="I11690">
        <v>0</v>
      </c>
      <c r="J11690">
        <v>1</v>
      </c>
      <c r="K11690">
        <v>1</v>
      </c>
      <c r="L11690">
        <v>1</v>
      </c>
      <c r="M11690">
        <v>0</v>
      </c>
      <c r="N11690">
        <v>0</v>
      </c>
      <c r="O11690">
        <v>0</v>
      </c>
      <c r="P11690" t="s">
        <v>22702</v>
      </c>
      <c r="Q11690" t="s">
        <v>22703</v>
      </c>
      <c r="R11690" t="s">
        <v>371</v>
      </c>
      <c r="S11690" t="s">
        <v>372</v>
      </c>
      <c r="T11690" t="s">
        <v>22704</v>
      </c>
      <c r="U11690" t="s">
        <v>22705</v>
      </c>
      <c r="V11690" t="s">
        <v>22706</v>
      </c>
      <c r="W11690" t="s">
        <v>22707</v>
      </c>
      <c r="Z11690" t="s">
        <v>1798</v>
      </c>
      <c r="AA11690" t="s">
        <v>1799</v>
      </c>
      <c r="AB11690" t="s">
        <v>1798</v>
      </c>
      <c r="AC11690" t="s">
        <v>1800</v>
      </c>
      <c r="AD11690" t="s">
        <v>22708</v>
      </c>
      <c r="AE11690" t="s">
        <v>22709</v>
      </c>
      <c r="AF11690" t="s">
        <v>23977</v>
      </c>
    </row>
    <row r="11691" spans="1:32" hidden="1" x14ac:dyDescent="0.35">
      <c r="A11691">
        <v>11690</v>
      </c>
      <c r="B11691" t="s">
        <v>23978</v>
      </c>
      <c r="C11691" t="s">
        <v>33</v>
      </c>
      <c r="D11691" t="s">
        <v>58</v>
      </c>
      <c r="E11691">
        <v>1588</v>
      </c>
      <c r="F11691">
        <v>1</v>
      </c>
      <c r="G11691">
        <v>1</v>
      </c>
      <c r="H11691">
        <v>1</v>
      </c>
      <c r="I11691">
        <v>0</v>
      </c>
      <c r="J11691">
        <v>1</v>
      </c>
      <c r="K11691">
        <v>1</v>
      </c>
      <c r="L11691">
        <v>1</v>
      </c>
      <c r="M11691">
        <v>0</v>
      </c>
      <c r="N11691">
        <v>0</v>
      </c>
      <c r="O11691">
        <v>0</v>
      </c>
      <c r="AF11691" t="s">
        <v>23979</v>
      </c>
    </row>
    <row r="11692" spans="1:32" hidden="1" x14ac:dyDescent="0.35">
      <c r="A11692">
        <v>11691</v>
      </c>
      <c r="B11692" t="s">
        <v>23980</v>
      </c>
      <c r="C11692" t="s">
        <v>33</v>
      </c>
      <c r="D11692" t="s">
        <v>58</v>
      </c>
      <c r="E11692">
        <v>689</v>
      </c>
      <c r="F11692">
        <v>1</v>
      </c>
      <c r="G11692">
        <v>1</v>
      </c>
      <c r="H11692">
        <v>1</v>
      </c>
      <c r="I11692">
        <v>0</v>
      </c>
      <c r="J11692">
        <v>1</v>
      </c>
      <c r="K11692">
        <v>1</v>
      </c>
      <c r="L11692">
        <v>1</v>
      </c>
      <c r="M11692">
        <v>0</v>
      </c>
      <c r="N11692">
        <v>0</v>
      </c>
      <c r="O11692">
        <v>0</v>
      </c>
      <c r="P11692" t="s">
        <v>23981</v>
      </c>
      <c r="Q11692" t="s">
        <v>23982</v>
      </c>
      <c r="AF11692" t="s">
        <v>23983</v>
      </c>
    </row>
    <row r="11693" spans="1:32" hidden="1" x14ac:dyDescent="0.35">
      <c r="A11693">
        <v>11692</v>
      </c>
      <c r="B11693" t="s">
        <v>23984</v>
      </c>
      <c r="C11693" t="s">
        <v>33</v>
      </c>
      <c r="D11693" t="s">
        <v>58</v>
      </c>
      <c r="E11693">
        <v>122</v>
      </c>
      <c r="F11693">
        <v>1</v>
      </c>
      <c r="G11693">
        <v>1</v>
      </c>
      <c r="H11693">
        <v>1</v>
      </c>
      <c r="I11693">
        <v>0</v>
      </c>
      <c r="J11693">
        <v>1</v>
      </c>
      <c r="K11693">
        <v>1</v>
      </c>
      <c r="L11693">
        <v>1</v>
      </c>
      <c r="M11693">
        <v>0</v>
      </c>
      <c r="N11693">
        <v>0</v>
      </c>
      <c r="O11693">
        <v>0</v>
      </c>
      <c r="R11693" t="s">
        <v>9049</v>
      </c>
      <c r="S11693" t="s">
        <v>9050</v>
      </c>
      <c r="V11693" t="s">
        <v>16323</v>
      </c>
      <c r="W11693" t="s">
        <v>16324</v>
      </c>
      <c r="AF11693" t="s">
        <v>23985</v>
      </c>
    </row>
    <row r="11694" spans="1:32" hidden="1" x14ac:dyDescent="0.35">
      <c r="A11694">
        <v>11693</v>
      </c>
      <c r="B11694" t="s">
        <v>23986</v>
      </c>
      <c r="C11694" t="s">
        <v>33</v>
      </c>
      <c r="D11694" t="s">
        <v>58</v>
      </c>
      <c r="E11694">
        <v>878</v>
      </c>
      <c r="F11694">
        <v>1</v>
      </c>
      <c r="G11694">
        <v>1</v>
      </c>
      <c r="H11694">
        <v>1</v>
      </c>
      <c r="I11694">
        <v>0</v>
      </c>
      <c r="J11694">
        <v>1</v>
      </c>
      <c r="K11694">
        <v>1</v>
      </c>
      <c r="L11694">
        <v>1</v>
      </c>
      <c r="M11694">
        <v>0</v>
      </c>
      <c r="N11694">
        <v>0</v>
      </c>
      <c r="O11694">
        <v>0</v>
      </c>
      <c r="AF11694" t="s">
        <v>23987</v>
      </c>
    </row>
    <row r="11695" spans="1:32" hidden="1" x14ac:dyDescent="0.35">
      <c r="A11695">
        <v>11694</v>
      </c>
      <c r="B11695" t="s">
        <v>23988</v>
      </c>
      <c r="C11695" t="s">
        <v>33</v>
      </c>
      <c r="D11695" t="s">
        <v>58</v>
      </c>
      <c r="E11695">
        <v>266</v>
      </c>
      <c r="F11695">
        <v>1</v>
      </c>
      <c r="G11695">
        <v>1</v>
      </c>
      <c r="H11695">
        <v>1</v>
      </c>
      <c r="I11695">
        <v>0</v>
      </c>
      <c r="J11695">
        <v>1</v>
      </c>
      <c r="K11695">
        <v>1</v>
      </c>
      <c r="L11695">
        <v>1</v>
      </c>
      <c r="M11695">
        <v>0</v>
      </c>
      <c r="N11695">
        <v>0</v>
      </c>
      <c r="O11695">
        <v>0</v>
      </c>
      <c r="AF11695" t="s">
        <v>23989</v>
      </c>
    </row>
    <row r="11696" spans="1:32" hidden="1" x14ac:dyDescent="0.35">
      <c r="A11696">
        <v>11695</v>
      </c>
      <c r="B11696" t="s">
        <v>23990</v>
      </c>
      <c r="C11696" t="s">
        <v>33</v>
      </c>
      <c r="D11696" t="s">
        <v>58</v>
      </c>
      <c r="E11696">
        <v>1858</v>
      </c>
      <c r="F11696">
        <v>1</v>
      </c>
      <c r="G11696">
        <v>1</v>
      </c>
      <c r="H11696">
        <v>1</v>
      </c>
      <c r="I11696">
        <v>0</v>
      </c>
      <c r="J11696">
        <v>1</v>
      </c>
      <c r="K11696">
        <v>1</v>
      </c>
      <c r="L11696">
        <v>1</v>
      </c>
      <c r="M11696">
        <v>0</v>
      </c>
      <c r="N11696">
        <v>0</v>
      </c>
      <c r="O11696">
        <v>0</v>
      </c>
      <c r="P11696" t="s">
        <v>23991</v>
      </c>
      <c r="Q11696" t="s">
        <v>23992</v>
      </c>
      <c r="R11696" t="s">
        <v>319</v>
      </c>
      <c r="S11696" t="s">
        <v>320</v>
      </c>
      <c r="T11696" t="s">
        <v>23993</v>
      </c>
      <c r="U11696" t="s">
        <v>23994</v>
      </c>
      <c r="V11696" t="s">
        <v>23995</v>
      </c>
      <c r="W11696" t="s">
        <v>23996</v>
      </c>
      <c r="AD11696" t="s">
        <v>11660</v>
      </c>
      <c r="AE11696" t="s">
        <v>11661</v>
      </c>
      <c r="AF11696" t="s">
        <v>23997</v>
      </c>
    </row>
    <row r="11697" spans="1:32" hidden="1" x14ac:dyDescent="0.35">
      <c r="A11697">
        <v>11696</v>
      </c>
      <c r="B11697" t="s">
        <v>23998</v>
      </c>
      <c r="C11697" t="s">
        <v>33</v>
      </c>
      <c r="D11697" t="s">
        <v>58</v>
      </c>
      <c r="E11697">
        <v>475</v>
      </c>
      <c r="F11697">
        <v>1</v>
      </c>
      <c r="G11697">
        <v>1</v>
      </c>
      <c r="H11697">
        <v>1</v>
      </c>
      <c r="I11697">
        <v>0</v>
      </c>
      <c r="J11697">
        <v>1</v>
      </c>
      <c r="K11697">
        <v>1</v>
      </c>
      <c r="L11697">
        <v>1</v>
      </c>
      <c r="M11697">
        <v>0</v>
      </c>
      <c r="N11697">
        <v>0</v>
      </c>
      <c r="O11697">
        <v>0</v>
      </c>
      <c r="AF11697" t="s">
        <v>23999</v>
      </c>
    </row>
    <row r="11698" spans="1:32" hidden="1" x14ac:dyDescent="0.35">
      <c r="A11698">
        <v>11697</v>
      </c>
      <c r="B11698" t="s">
        <v>24000</v>
      </c>
      <c r="C11698" t="s">
        <v>33</v>
      </c>
      <c r="D11698" t="s">
        <v>58</v>
      </c>
      <c r="E11698">
        <v>428</v>
      </c>
      <c r="F11698">
        <v>1</v>
      </c>
      <c r="G11698">
        <v>1</v>
      </c>
      <c r="H11698">
        <v>1</v>
      </c>
      <c r="I11698">
        <v>0</v>
      </c>
      <c r="J11698">
        <v>1</v>
      </c>
      <c r="K11698">
        <v>1</v>
      </c>
      <c r="L11698">
        <v>1</v>
      </c>
      <c r="M11698">
        <v>0</v>
      </c>
      <c r="N11698">
        <v>0</v>
      </c>
      <c r="O11698">
        <v>0</v>
      </c>
      <c r="P11698" t="s">
        <v>812</v>
      </c>
      <c r="Q11698" t="s">
        <v>813</v>
      </c>
      <c r="R11698" t="s">
        <v>213</v>
      </c>
      <c r="S11698" t="s">
        <v>214</v>
      </c>
      <c r="T11698" t="s">
        <v>24001</v>
      </c>
      <c r="U11698" t="s">
        <v>24002</v>
      </c>
      <c r="V11698" t="s">
        <v>7156</v>
      </c>
      <c r="W11698" t="s">
        <v>7157</v>
      </c>
      <c r="X11698" t="s">
        <v>7156</v>
      </c>
      <c r="Y11698" t="s">
        <v>5826</v>
      </c>
      <c r="AD11698" t="s">
        <v>166</v>
      </c>
      <c r="AE11698" t="s">
        <v>818</v>
      </c>
      <c r="AF11698" t="s">
        <v>24003</v>
      </c>
    </row>
    <row r="11699" spans="1:32" hidden="1" x14ac:dyDescent="0.35">
      <c r="A11699">
        <v>11698</v>
      </c>
      <c r="B11699" t="s">
        <v>24004</v>
      </c>
      <c r="C11699" t="s">
        <v>33</v>
      </c>
      <c r="D11699" t="s">
        <v>34</v>
      </c>
      <c r="E11699">
        <v>1086</v>
      </c>
      <c r="F11699">
        <v>1</v>
      </c>
      <c r="G11699">
        <v>1</v>
      </c>
      <c r="H11699">
        <v>1</v>
      </c>
      <c r="I11699">
        <v>0</v>
      </c>
      <c r="J11699">
        <v>1</v>
      </c>
      <c r="K11699">
        <v>1</v>
      </c>
      <c r="L11699">
        <v>1</v>
      </c>
      <c r="M11699">
        <v>0</v>
      </c>
      <c r="N11699">
        <v>0</v>
      </c>
      <c r="O11699">
        <v>0</v>
      </c>
      <c r="AF11699" t="s">
        <v>24005</v>
      </c>
    </row>
    <row r="11700" spans="1:32" hidden="1" x14ac:dyDescent="0.35">
      <c r="A11700">
        <v>11699</v>
      </c>
      <c r="B11700" t="s">
        <v>24006</v>
      </c>
      <c r="C11700" t="s">
        <v>33</v>
      </c>
      <c r="D11700" t="s">
        <v>58</v>
      </c>
      <c r="E11700">
        <v>560</v>
      </c>
      <c r="F11700">
        <v>1</v>
      </c>
      <c r="G11700">
        <v>1</v>
      </c>
      <c r="H11700">
        <v>1</v>
      </c>
      <c r="I11700">
        <v>0</v>
      </c>
      <c r="J11700">
        <v>1</v>
      </c>
      <c r="K11700">
        <v>1</v>
      </c>
      <c r="L11700">
        <v>1</v>
      </c>
      <c r="M11700">
        <v>0</v>
      </c>
      <c r="N11700">
        <v>0</v>
      </c>
      <c r="O11700">
        <v>0</v>
      </c>
      <c r="AF11700" t="s">
        <v>24007</v>
      </c>
    </row>
    <row r="11701" spans="1:32" hidden="1" x14ac:dyDescent="0.35">
      <c r="A11701">
        <v>11700</v>
      </c>
      <c r="B11701" t="s">
        <v>24008</v>
      </c>
      <c r="C11701" t="s">
        <v>33</v>
      </c>
      <c r="D11701" t="s">
        <v>58</v>
      </c>
      <c r="E11701">
        <v>481</v>
      </c>
      <c r="F11701">
        <v>1</v>
      </c>
      <c r="G11701">
        <v>1</v>
      </c>
      <c r="H11701">
        <v>1</v>
      </c>
      <c r="I11701">
        <v>0</v>
      </c>
      <c r="J11701">
        <v>1</v>
      </c>
      <c r="K11701">
        <v>1</v>
      </c>
      <c r="L11701">
        <v>1</v>
      </c>
      <c r="M11701">
        <v>0</v>
      </c>
      <c r="N11701">
        <v>0</v>
      </c>
      <c r="O11701">
        <v>0</v>
      </c>
      <c r="P11701" t="s">
        <v>23478</v>
      </c>
      <c r="Q11701" t="s">
        <v>2878</v>
      </c>
      <c r="R11701" t="s">
        <v>13853</v>
      </c>
      <c r="S11701" t="s">
        <v>13854</v>
      </c>
      <c r="V11701" t="s">
        <v>24009</v>
      </c>
      <c r="W11701" t="s">
        <v>24010</v>
      </c>
      <c r="AF11701" t="s">
        <v>24011</v>
      </c>
    </row>
    <row r="11702" spans="1:32" hidden="1" x14ac:dyDescent="0.35">
      <c r="A11702">
        <v>11701</v>
      </c>
      <c r="B11702" t="s">
        <v>24012</v>
      </c>
      <c r="C11702" t="s">
        <v>33</v>
      </c>
      <c r="D11702" t="s">
        <v>60</v>
      </c>
      <c r="E11702">
        <v>22</v>
      </c>
      <c r="F11702">
        <v>1</v>
      </c>
      <c r="G11702">
        <v>1</v>
      </c>
      <c r="H11702">
        <v>1</v>
      </c>
      <c r="I11702">
        <v>0</v>
      </c>
      <c r="J11702">
        <v>1</v>
      </c>
      <c r="K11702">
        <v>1</v>
      </c>
      <c r="L11702">
        <v>1</v>
      </c>
      <c r="M11702">
        <v>0</v>
      </c>
      <c r="N11702">
        <v>0</v>
      </c>
      <c r="O11702">
        <v>0</v>
      </c>
      <c r="P11702" t="s">
        <v>24013</v>
      </c>
      <c r="Q11702" t="s">
        <v>24014</v>
      </c>
      <c r="R11702" t="s">
        <v>113</v>
      </c>
      <c r="S11702" t="s">
        <v>114</v>
      </c>
      <c r="T11702" t="s">
        <v>21291</v>
      </c>
      <c r="U11702" t="s">
        <v>21292</v>
      </c>
      <c r="V11702" t="s">
        <v>18093</v>
      </c>
      <c r="W11702" t="s">
        <v>18094</v>
      </c>
      <c r="AD11702" t="s">
        <v>21295</v>
      </c>
      <c r="AE11702" t="s">
        <v>21296</v>
      </c>
      <c r="AF11702" t="s">
        <v>24015</v>
      </c>
    </row>
    <row r="11703" spans="1:32" hidden="1" x14ac:dyDescent="0.35">
      <c r="A11703">
        <v>11702</v>
      </c>
      <c r="B11703" t="s">
        <v>24016</v>
      </c>
      <c r="C11703" t="s">
        <v>33</v>
      </c>
      <c r="D11703" t="s">
        <v>60</v>
      </c>
      <c r="E11703">
        <v>2060</v>
      </c>
      <c r="F11703">
        <v>1</v>
      </c>
      <c r="G11703">
        <v>1</v>
      </c>
      <c r="H11703">
        <v>1</v>
      </c>
      <c r="I11703">
        <v>0</v>
      </c>
      <c r="J11703">
        <v>1</v>
      </c>
      <c r="K11703">
        <v>1</v>
      </c>
      <c r="L11703">
        <v>1</v>
      </c>
      <c r="M11703">
        <v>0</v>
      </c>
      <c r="N11703">
        <v>0</v>
      </c>
      <c r="O11703">
        <v>0</v>
      </c>
      <c r="AF11703" t="s">
        <v>24017</v>
      </c>
    </row>
    <row r="11704" spans="1:32" hidden="1" x14ac:dyDescent="0.35">
      <c r="A11704">
        <v>2269</v>
      </c>
      <c r="B11704" t="s">
        <v>4726</v>
      </c>
      <c r="C11704" t="s">
        <v>72</v>
      </c>
      <c r="D11704" t="s">
        <v>58</v>
      </c>
      <c r="E11704">
        <v>1542</v>
      </c>
      <c r="F11704">
        <v>5</v>
      </c>
      <c r="G11704">
        <v>5</v>
      </c>
      <c r="H11704">
        <v>1</v>
      </c>
      <c r="I11704">
        <v>1</v>
      </c>
      <c r="J11704">
        <v>0.84074544684455699</v>
      </c>
      <c r="K11704">
        <v>0.836467069066823</v>
      </c>
      <c r="L11704">
        <v>0.83860080112889102</v>
      </c>
      <c r="M11704">
        <v>0.52061855670103097</v>
      </c>
      <c r="N11704">
        <v>1</v>
      </c>
      <c r="O11704">
        <v>0.69278350515463905</v>
      </c>
      <c r="P11704" t="s">
        <v>4727</v>
      </c>
      <c r="Q11704" t="s">
        <v>4728</v>
      </c>
      <c r="R11704" t="s">
        <v>224</v>
      </c>
      <c r="S11704" t="s">
        <v>225</v>
      </c>
      <c r="T11704" t="s">
        <v>4729</v>
      </c>
      <c r="U11704" t="s">
        <v>4730</v>
      </c>
      <c r="V11704" t="s">
        <v>4731</v>
      </c>
      <c r="W11704" t="s">
        <v>4732</v>
      </c>
      <c r="X11704" t="s">
        <v>4731</v>
      </c>
      <c r="Y11704" t="s">
        <v>1598</v>
      </c>
      <c r="AD11704" t="s">
        <v>2991</v>
      </c>
      <c r="AE11704" t="s">
        <v>4733</v>
      </c>
      <c r="AF11704" t="s">
        <v>4734</v>
      </c>
    </row>
    <row r="11705" spans="1:32" hidden="1" x14ac:dyDescent="0.35">
      <c r="A11705">
        <v>10925</v>
      </c>
      <c r="B11705" t="s">
        <v>22016</v>
      </c>
      <c r="C11705" t="s">
        <v>33</v>
      </c>
      <c r="D11705" t="s">
        <v>58</v>
      </c>
      <c r="E11705">
        <v>1069</v>
      </c>
      <c r="F11705">
        <v>1</v>
      </c>
      <c r="G11705">
        <v>1</v>
      </c>
      <c r="H11705">
        <v>1</v>
      </c>
      <c r="I11705">
        <v>0</v>
      </c>
      <c r="J11705">
        <v>1</v>
      </c>
      <c r="K11705">
        <v>1</v>
      </c>
      <c r="L11705">
        <v>1</v>
      </c>
      <c r="M11705">
        <v>0</v>
      </c>
      <c r="N11705">
        <v>0</v>
      </c>
      <c r="O11705">
        <v>0</v>
      </c>
      <c r="P11705" t="s">
        <v>19580</v>
      </c>
      <c r="Q11705" t="s">
        <v>19581</v>
      </c>
      <c r="R11705" t="s">
        <v>224</v>
      </c>
      <c r="S11705" t="s">
        <v>225</v>
      </c>
      <c r="T11705" t="s">
        <v>19582</v>
      </c>
      <c r="U11705" t="s">
        <v>19583</v>
      </c>
      <c r="V11705" t="s">
        <v>19584</v>
      </c>
      <c r="W11705" t="s">
        <v>19585</v>
      </c>
      <c r="X11705" t="s">
        <v>19584</v>
      </c>
      <c r="Y11705" t="s">
        <v>1598</v>
      </c>
      <c r="AD11705" t="s">
        <v>1170</v>
      </c>
      <c r="AE11705" t="s">
        <v>19586</v>
      </c>
      <c r="AF11705" t="s">
        <v>22017</v>
      </c>
    </row>
    <row r="11706" spans="1:32" hidden="1" x14ac:dyDescent="0.35">
      <c r="A11706">
        <v>11705</v>
      </c>
      <c r="B11706" t="s">
        <v>24022</v>
      </c>
      <c r="C11706" t="s">
        <v>33</v>
      </c>
      <c r="D11706" t="s">
        <v>58</v>
      </c>
      <c r="E11706">
        <v>217</v>
      </c>
      <c r="F11706">
        <v>1</v>
      </c>
      <c r="G11706">
        <v>1</v>
      </c>
      <c r="H11706">
        <v>1</v>
      </c>
      <c r="I11706">
        <v>0</v>
      </c>
      <c r="J11706">
        <v>1</v>
      </c>
      <c r="K11706">
        <v>1</v>
      </c>
      <c r="L11706">
        <v>1</v>
      </c>
      <c r="M11706">
        <v>0</v>
      </c>
      <c r="N11706">
        <v>0</v>
      </c>
      <c r="O11706">
        <v>0</v>
      </c>
      <c r="P11706" t="s">
        <v>8233</v>
      </c>
      <c r="Q11706" t="s">
        <v>8234</v>
      </c>
      <c r="R11706" t="s">
        <v>288</v>
      </c>
      <c r="S11706" t="s">
        <v>289</v>
      </c>
      <c r="T11706" t="s">
        <v>8235</v>
      </c>
      <c r="U11706" t="s">
        <v>8236</v>
      </c>
      <c r="V11706" t="s">
        <v>8237</v>
      </c>
      <c r="W11706" t="s">
        <v>8238</v>
      </c>
      <c r="AD11706" t="s">
        <v>410</v>
      </c>
      <c r="AE11706" t="s">
        <v>1637</v>
      </c>
      <c r="AF11706" t="s">
        <v>24023</v>
      </c>
    </row>
    <row r="11707" spans="1:32" hidden="1" x14ac:dyDescent="0.35">
      <c r="A11707">
        <v>11706</v>
      </c>
      <c r="B11707" t="s">
        <v>24024</v>
      </c>
      <c r="C11707" t="s">
        <v>33</v>
      </c>
      <c r="D11707" t="s">
        <v>34</v>
      </c>
      <c r="E11707">
        <v>143</v>
      </c>
      <c r="F11707">
        <v>1</v>
      </c>
      <c r="G11707">
        <v>1</v>
      </c>
      <c r="H11707">
        <v>1</v>
      </c>
      <c r="I11707">
        <v>0</v>
      </c>
      <c r="J11707">
        <v>1</v>
      </c>
      <c r="K11707">
        <v>1</v>
      </c>
      <c r="L11707">
        <v>1</v>
      </c>
      <c r="M11707">
        <v>0</v>
      </c>
      <c r="N11707">
        <v>0</v>
      </c>
      <c r="O11707">
        <v>0</v>
      </c>
      <c r="AF11707" t="s">
        <v>24025</v>
      </c>
    </row>
    <row r="11708" spans="1:32" hidden="1" x14ac:dyDescent="0.35">
      <c r="A11708">
        <v>4479</v>
      </c>
      <c r="B11708" t="s">
        <v>9322</v>
      </c>
      <c r="C11708" t="s">
        <v>72</v>
      </c>
      <c r="D11708" t="s">
        <v>58</v>
      </c>
      <c r="E11708">
        <v>1624</v>
      </c>
      <c r="F11708">
        <v>5</v>
      </c>
      <c r="G11708">
        <v>5</v>
      </c>
      <c r="H11708">
        <v>1</v>
      </c>
      <c r="I11708">
        <v>1</v>
      </c>
      <c r="J11708">
        <v>0.87285044293903102</v>
      </c>
      <c r="K11708">
        <v>0.84093269914165103</v>
      </c>
      <c r="L11708">
        <v>0.85659435071412204</v>
      </c>
      <c r="M11708">
        <v>0.637526652452026</v>
      </c>
      <c r="N11708">
        <v>0.993603411513859</v>
      </c>
      <c r="O11708">
        <v>0.73944562899786803</v>
      </c>
      <c r="P11708" t="s">
        <v>9323</v>
      </c>
      <c r="Q11708" t="s">
        <v>9324</v>
      </c>
      <c r="R11708" t="s">
        <v>224</v>
      </c>
      <c r="S11708" t="s">
        <v>225</v>
      </c>
      <c r="T11708" t="s">
        <v>9325</v>
      </c>
      <c r="U11708" t="s">
        <v>9326</v>
      </c>
      <c r="V11708" t="s">
        <v>9327</v>
      </c>
      <c r="W11708" t="s">
        <v>9328</v>
      </c>
      <c r="X11708" t="s">
        <v>9327</v>
      </c>
      <c r="Y11708" t="s">
        <v>1598</v>
      </c>
      <c r="AD11708" t="s">
        <v>1717</v>
      </c>
      <c r="AE11708" t="s">
        <v>9329</v>
      </c>
      <c r="AF11708" t="s">
        <v>9330</v>
      </c>
    </row>
    <row r="11709" spans="1:32" hidden="1" x14ac:dyDescent="0.35">
      <c r="A11709">
        <v>11708</v>
      </c>
      <c r="B11709" t="s">
        <v>24028</v>
      </c>
      <c r="C11709" t="s">
        <v>33</v>
      </c>
      <c r="D11709" t="s">
        <v>58</v>
      </c>
      <c r="E11709">
        <v>1646</v>
      </c>
      <c r="F11709">
        <v>1</v>
      </c>
      <c r="G11709">
        <v>1</v>
      </c>
      <c r="H11709">
        <v>1</v>
      </c>
      <c r="I11709">
        <v>0</v>
      </c>
      <c r="J11709">
        <v>1</v>
      </c>
      <c r="K11709">
        <v>1</v>
      </c>
      <c r="L11709">
        <v>1</v>
      </c>
      <c r="M11709">
        <v>0</v>
      </c>
      <c r="N11709">
        <v>0</v>
      </c>
      <c r="O11709">
        <v>0</v>
      </c>
      <c r="AF11709" t="s">
        <v>24029</v>
      </c>
    </row>
    <row r="11710" spans="1:32" hidden="1" x14ac:dyDescent="0.35">
      <c r="A11710">
        <v>11709</v>
      </c>
      <c r="B11710" t="s">
        <v>24030</v>
      </c>
      <c r="C11710" t="s">
        <v>33</v>
      </c>
      <c r="D11710" t="s">
        <v>62</v>
      </c>
      <c r="E11710">
        <v>2095</v>
      </c>
      <c r="F11710">
        <v>1</v>
      </c>
      <c r="G11710">
        <v>1</v>
      </c>
      <c r="H11710">
        <v>1</v>
      </c>
      <c r="I11710">
        <v>0</v>
      </c>
      <c r="J11710">
        <v>1</v>
      </c>
      <c r="K11710">
        <v>1</v>
      </c>
      <c r="L11710">
        <v>1</v>
      </c>
      <c r="M11710">
        <v>0</v>
      </c>
      <c r="N11710">
        <v>0</v>
      </c>
      <c r="O11710">
        <v>0</v>
      </c>
      <c r="AF11710" t="s">
        <v>24031</v>
      </c>
    </row>
    <row r="11711" spans="1:32" hidden="1" x14ac:dyDescent="0.35">
      <c r="A11711">
        <v>11710</v>
      </c>
      <c r="B11711" t="s">
        <v>24032</v>
      </c>
      <c r="C11711" t="s">
        <v>33</v>
      </c>
      <c r="D11711" t="s">
        <v>34</v>
      </c>
      <c r="E11711">
        <v>1178</v>
      </c>
      <c r="F11711">
        <v>1</v>
      </c>
      <c r="G11711">
        <v>1</v>
      </c>
      <c r="H11711">
        <v>1</v>
      </c>
      <c r="I11711">
        <v>0</v>
      </c>
      <c r="J11711">
        <v>1</v>
      </c>
      <c r="K11711">
        <v>1</v>
      </c>
      <c r="L11711">
        <v>1</v>
      </c>
      <c r="M11711">
        <v>0</v>
      </c>
      <c r="N11711">
        <v>0</v>
      </c>
      <c r="O11711">
        <v>0</v>
      </c>
      <c r="AF11711" t="s">
        <v>24033</v>
      </c>
    </row>
    <row r="11712" spans="1:32" hidden="1" x14ac:dyDescent="0.35">
      <c r="A11712">
        <v>11711</v>
      </c>
      <c r="B11712" t="s">
        <v>24034</v>
      </c>
      <c r="C11712" t="s">
        <v>33</v>
      </c>
      <c r="D11712" t="s">
        <v>60</v>
      </c>
      <c r="E11712">
        <v>2074</v>
      </c>
      <c r="F11712">
        <v>1</v>
      </c>
      <c r="G11712">
        <v>1</v>
      </c>
      <c r="H11712">
        <v>1</v>
      </c>
      <c r="I11712">
        <v>0</v>
      </c>
      <c r="J11712">
        <v>1</v>
      </c>
      <c r="K11712">
        <v>1</v>
      </c>
      <c r="L11712">
        <v>1</v>
      </c>
      <c r="M11712">
        <v>0</v>
      </c>
      <c r="N11712">
        <v>0</v>
      </c>
      <c r="O11712">
        <v>0</v>
      </c>
      <c r="R11712" t="s">
        <v>8647</v>
      </c>
      <c r="S11712" t="s">
        <v>8648</v>
      </c>
      <c r="V11712" t="s">
        <v>9316</v>
      </c>
      <c r="W11712" t="s">
        <v>9317</v>
      </c>
      <c r="X11712" t="s">
        <v>9316</v>
      </c>
      <c r="Y11712" t="s">
        <v>875</v>
      </c>
      <c r="AF11712" t="s">
        <v>24035</v>
      </c>
    </row>
    <row r="11713" spans="1:32" hidden="1" x14ac:dyDescent="0.35">
      <c r="A11713">
        <v>11712</v>
      </c>
      <c r="B11713" t="s">
        <v>24036</v>
      </c>
      <c r="C11713" t="s">
        <v>33</v>
      </c>
      <c r="D11713" t="s">
        <v>58</v>
      </c>
      <c r="E11713">
        <v>903</v>
      </c>
      <c r="F11713">
        <v>1</v>
      </c>
      <c r="G11713">
        <v>1</v>
      </c>
      <c r="H11713">
        <v>1</v>
      </c>
      <c r="I11713">
        <v>0</v>
      </c>
      <c r="J11713">
        <v>1</v>
      </c>
      <c r="K11713">
        <v>1</v>
      </c>
      <c r="L11713">
        <v>1</v>
      </c>
      <c r="M11713">
        <v>0</v>
      </c>
      <c r="N11713">
        <v>0</v>
      </c>
      <c r="O11713">
        <v>0</v>
      </c>
      <c r="AF11713" t="s">
        <v>24037</v>
      </c>
    </row>
    <row r="11714" spans="1:32" hidden="1" x14ac:dyDescent="0.35">
      <c r="A11714">
        <v>11713</v>
      </c>
      <c r="B11714" t="s">
        <v>24038</v>
      </c>
      <c r="C11714" t="s">
        <v>33</v>
      </c>
      <c r="D11714" t="s">
        <v>58</v>
      </c>
      <c r="E11714">
        <v>1099</v>
      </c>
      <c r="F11714">
        <v>1</v>
      </c>
      <c r="G11714">
        <v>1</v>
      </c>
      <c r="H11714">
        <v>1</v>
      </c>
      <c r="I11714">
        <v>0</v>
      </c>
      <c r="J11714">
        <v>1</v>
      </c>
      <c r="K11714">
        <v>1</v>
      </c>
      <c r="L11714">
        <v>1</v>
      </c>
      <c r="M11714">
        <v>0</v>
      </c>
      <c r="N11714">
        <v>0</v>
      </c>
      <c r="O11714">
        <v>0</v>
      </c>
      <c r="P11714" t="s">
        <v>11244</v>
      </c>
      <c r="Q11714" t="s">
        <v>11245</v>
      </c>
      <c r="R11714" t="s">
        <v>11246</v>
      </c>
      <c r="S11714" t="s">
        <v>11247</v>
      </c>
      <c r="T11714" t="s">
        <v>24039</v>
      </c>
      <c r="U11714" t="s">
        <v>24040</v>
      </c>
      <c r="V11714" t="s">
        <v>11250</v>
      </c>
      <c r="W11714" t="s">
        <v>11251</v>
      </c>
      <c r="AD11714" t="s">
        <v>10157</v>
      </c>
      <c r="AE11714" t="s">
        <v>11252</v>
      </c>
      <c r="AF11714" t="s">
        <v>24041</v>
      </c>
    </row>
    <row r="11715" spans="1:32" hidden="1" x14ac:dyDescent="0.35">
      <c r="A11715">
        <v>11714</v>
      </c>
      <c r="B11715" t="s">
        <v>24042</v>
      </c>
      <c r="C11715" t="s">
        <v>33</v>
      </c>
      <c r="D11715" t="s">
        <v>60</v>
      </c>
      <c r="E11715">
        <v>2030</v>
      </c>
      <c r="F11715">
        <v>1</v>
      </c>
      <c r="G11715">
        <v>1</v>
      </c>
      <c r="H11715">
        <v>1</v>
      </c>
      <c r="I11715">
        <v>0</v>
      </c>
      <c r="J11715">
        <v>1</v>
      </c>
      <c r="K11715">
        <v>1</v>
      </c>
      <c r="L11715">
        <v>1</v>
      </c>
      <c r="M11715">
        <v>0</v>
      </c>
      <c r="N11715">
        <v>0</v>
      </c>
      <c r="O11715">
        <v>0</v>
      </c>
      <c r="AF11715" t="s">
        <v>24043</v>
      </c>
    </row>
    <row r="11716" spans="1:32" hidden="1" x14ac:dyDescent="0.35">
      <c r="A11716">
        <v>11715</v>
      </c>
      <c r="B11716" t="s">
        <v>24044</v>
      </c>
      <c r="C11716" t="s">
        <v>33</v>
      </c>
      <c r="D11716" t="s">
        <v>58</v>
      </c>
      <c r="E11716">
        <v>620</v>
      </c>
      <c r="F11716">
        <v>1</v>
      </c>
      <c r="G11716">
        <v>1</v>
      </c>
      <c r="H11716">
        <v>1</v>
      </c>
      <c r="I11716">
        <v>0</v>
      </c>
      <c r="J11716">
        <v>1</v>
      </c>
      <c r="K11716">
        <v>1</v>
      </c>
      <c r="L11716">
        <v>1</v>
      </c>
      <c r="M11716">
        <v>0</v>
      </c>
      <c r="N11716">
        <v>0</v>
      </c>
      <c r="O11716">
        <v>0</v>
      </c>
      <c r="AF11716" t="s">
        <v>24045</v>
      </c>
    </row>
    <row r="11717" spans="1:32" hidden="1" x14ac:dyDescent="0.35">
      <c r="A11717">
        <v>11716</v>
      </c>
      <c r="B11717" t="s">
        <v>24046</v>
      </c>
      <c r="C11717" t="s">
        <v>33</v>
      </c>
      <c r="D11717" t="s">
        <v>60</v>
      </c>
      <c r="E11717">
        <v>2130</v>
      </c>
      <c r="F11717">
        <v>1</v>
      </c>
      <c r="G11717">
        <v>1</v>
      </c>
      <c r="H11717">
        <v>1</v>
      </c>
      <c r="I11717">
        <v>0</v>
      </c>
      <c r="J11717">
        <v>1</v>
      </c>
      <c r="K11717">
        <v>1</v>
      </c>
      <c r="L11717">
        <v>1</v>
      </c>
      <c r="M11717">
        <v>0</v>
      </c>
      <c r="N11717">
        <v>0</v>
      </c>
      <c r="O11717">
        <v>0</v>
      </c>
      <c r="AF11717" t="s">
        <v>24047</v>
      </c>
    </row>
    <row r="11718" spans="1:32" hidden="1" x14ac:dyDescent="0.35">
      <c r="A11718">
        <v>11717</v>
      </c>
      <c r="B11718" t="s">
        <v>24048</v>
      </c>
      <c r="C11718" t="s">
        <v>33</v>
      </c>
      <c r="D11718" t="s">
        <v>45</v>
      </c>
      <c r="E11718">
        <v>16</v>
      </c>
      <c r="F11718">
        <v>1</v>
      </c>
      <c r="G11718">
        <v>1</v>
      </c>
      <c r="H11718">
        <v>1</v>
      </c>
      <c r="I11718">
        <v>0</v>
      </c>
      <c r="J11718">
        <v>1</v>
      </c>
      <c r="K11718">
        <v>1</v>
      </c>
      <c r="L11718">
        <v>1</v>
      </c>
      <c r="M11718">
        <v>0</v>
      </c>
      <c r="N11718">
        <v>0</v>
      </c>
      <c r="O11718">
        <v>0</v>
      </c>
      <c r="P11718" t="s">
        <v>24049</v>
      </c>
      <c r="Q11718" t="s">
        <v>24050</v>
      </c>
      <c r="R11718" t="s">
        <v>540</v>
      </c>
      <c r="S11718" t="s">
        <v>541</v>
      </c>
      <c r="T11718" t="s">
        <v>24051</v>
      </c>
      <c r="U11718" t="s">
        <v>24052</v>
      </c>
      <c r="V11718" t="s">
        <v>24053</v>
      </c>
      <c r="W11718" t="s">
        <v>24054</v>
      </c>
      <c r="AD11718" t="s">
        <v>24055</v>
      </c>
      <c r="AE11718" t="s">
        <v>24056</v>
      </c>
      <c r="AF11718" t="s">
        <v>24057</v>
      </c>
    </row>
    <row r="11719" spans="1:32" hidden="1" x14ac:dyDescent="0.35">
      <c r="A11719">
        <v>11718</v>
      </c>
      <c r="B11719" t="s">
        <v>24058</v>
      </c>
      <c r="C11719" t="s">
        <v>33</v>
      </c>
      <c r="D11719" t="s">
        <v>62</v>
      </c>
      <c r="E11719">
        <v>1525</v>
      </c>
      <c r="F11719">
        <v>1</v>
      </c>
      <c r="G11719">
        <v>1</v>
      </c>
      <c r="H11719">
        <v>1</v>
      </c>
      <c r="I11719">
        <v>0</v>
      </c>
      <c r="J11719">
        <v>1</v>
      </c>
      <c r="K11719">
        <v>1</v>
      </c>
      <c r="L11719">
        <v>1</v>
      </c>
      <c r="M11719">
        <v>0</v>
      </c>
      <c r="N11719">
        <v>0</v>
      </c>
      <c r="O11719">
        <v>0</v>
      </c>
      <c r="AF11719" t="s">
        <v>24059</v>
      </c>
    </row>
    <row r="11720" spans="1:32" hidden="1" x14ac:dyDescent="0.35">
      <c r="A11720">
        <v>6404</v>
      </c>
      <c r="B11720" t="s">
        <v>13186</v>
      </c>
      <c r="C11720" t="s">
        <v>68</v>
      </c>
      <c r="D11720" t="s">
        <v>58</v>
      </c>
      <c r="E11720">
        <v>1494</v>
      </c>
      <c r="F11720">
        <v>3</v>
      </c>
      <c r="G11720">
        <v>3</v>
      </c>
      <c r="H11720">
        <v>1</v>
      </c>
      <c r="I11720">
        <v>0</v>
      </c>
      <c r="J11720">
        <v>0.87359307359307403</v>
      </c>
      <c r="K11720">
        <v>0.92541618878809895</v>
      </c>
      <c r="L11720">
        <v>0.89875821055655303</v>
      </c>
      <c r="M11720">
        <v>0.66187050359712196</v>
      </c>
      <c r="N11720">
        <v>0.99280575539568305</v>
      </c>
      <c r="O11720">
        <v>0.77458033573141505</v>
      </c>
      <c r="P11720" t="s">
        <v>13187</v>
      </c>
      <c r="Q11720" t="s">
        <v>13188</v>
      </c>
      <c r="R11720" t="s">
        <v>342</v>
      </c>
      <c r="S11720" t="s">
        <v>343</v>
      </c>
      <c r="T11720" t="s">
        <v>13189</v>
      </c>
      <c r="U11720" t="s">
        <v>13190</v>
      </c>
      <c r="V11720" t="s">
        <v>13191</v>
      </c>
      <c r="W11720" t="s">
        <v>13192</v>
      </c>
      <c r="AD11720" t="s">
        <v>410</v>
      </c>
      <c r="AE11720" t="s">
        <v>603</v>
      </c>
      <c r="AF11720" t="e">
        <f>----MTTFYEAIGGEDTFTQVVHEFYKRVKEDALIGPMYPHDDWEGAEDRLRWFLAQYWGGPQTFSEHRGHPRLRMRHHPFSIGEAERDRWLDMMHEAMDTIPKEQLDDAHRAAMWEHMVKVANILINRIDLPDPSQNQ</f>
        <v>#NAME?</v>
      </c>
    </row>
    <row r="11721" spans="1:32" hidden="1" x14ac:dyDescent="0.35">
      <c r="A11721">
        <v>4499</v>
      </c>
      <c r="B11721" t="s">
        <v>9370</v>
      </c>
      <c r="C11721" t="s">
        <v>72</v>
      </c>
      <c r="D11721" t="s">
        <v>58</v>
      </c>
      <c r="E11721">
        <v>1869</v>
      </c>
      <c r="F11721">
        <v>5</v>
      </c>
      <c r="G11721">
        <v>5</v>
      </c>
      <c r="H11721">
        <v>1</v>
      </c>
      <c r="I11721">
        <v>1</v>
      </c>
      <c r="J11721">
        <v>0.76434108527131805</v>
      </c>
      <c r="K11721">
        <v>0.99114989525756303</v>
      </c>
      <c r="L11721">
        <v>0.86309368149471399</v>
      </c>
      <c r="M11721">
        <v>0.59219858156028404</v>
      </c>
      <c r="N11721">
        <v>0.99290780141844004</v>
      </c>
      <c r="O11721">
        <v>0.7</v>
      </c>
      <c r="P11721" t="s">
        <v>9371</v>
      </c>
      <c r="Q11721" t="s">
        <v>9372</v>
      </c>
      <c r="R11721" t="s">
        <v>235</v>
      </c>
      <c r="S11721" t="s">
        <v>236</v>
      </c>
      <c r="T11721" t="s">
        <v>9373</v>
      </c>
      <c r="U11721" t="s">
        <v>9374</v>
      </c>
      <c r="V11721" t="s">
        <v>9375</v>
      </c>
      <c r="W11721" t="s">
        <v>9376</v>
      </c>
      <c r="X11721" t="s">
        <v>9375</v>
      </c>
      <c r="Y11721" t="s">
        <v>241</v>
      </c>
      <c r="Z11721" t="s">
        <v>242</v>
      </c>
      <c r="AA11721" t="s">
        <v>243</v>
      </c>
      <c r="AB11721" t="s">
        <v>242</v>
      </c>
      <c r="AC11721" t="s">
        <v>244</v>
      </c>
      <c r="AD11721" t="s">
        <v>245</v>
      </c>
      <c r="AE11721" t="s">
        <v>246</v>
      </c>
      <c r="AF11721" t="s">
        <v>9377</v>
      </c>
    </row>
    <row r="11722" spans="1:32" hidden="1" x14ac:dyDescent="0.35">
      <c r="A11722">
        <v>11721</v>
      </c>
      <c r="B11722" t="s">
        <v>24071</v>
      </c>
      <c r="C11722" t="s">
        <v>33</v>
      </c>
      <c r="D11722" t="s">
        <v>34</v>
      </c>
      <c r="E11722">
        <v>715</v>
      </c>
      <c r="F11722">
        <v>1</v>
      </c>
      <c r="G11722">
        <v>1</v>
      </c>
      <c r="H11722">
        <v>1</v>
      </c>
      <c r="I11722">
        <v>0</v>
      </c>
      <c r="J11722">
        <v>1</v>
      </c>
      <c r="K11722">
        <v>1</v>
      </c>
      <c r="L11722">
        <v>1</v>
      </c>
      <c r="M11722">
        <v>0</v>
      </c>
      <c r="N11722">
        <v>0</v>
      </c>
      <c r="O11722">
        <v>0</v>
      </c>
      <c r="AF11722" t="s">
        <v>24072</v>
      </c>
    </row>
    <row r="11723" spans="1:32" hidden="1" x14ac:dyDescent="0.35">
      <c r="A11723">
        <v>11722</v>
      </c>
      <c r="B11723" t="s">
        <v>24073</v>
      </c>
      <c r="C11723" t="s">
        <v>33</v>
      </c>
      <c r="D11723" t="s">
        <v>58</v>
      </c>
      <c r="E11723">
        <v>523</v>
      </c>
      <c r="F11723">
        <v>1</v>
      </c>
      <c r="G11723">
        <v>1</v>
      </c>
      <c r="H11723">
        <v>1</v>
      </c>
      <c r="I11723">
        <v>0</v>
      </c>
      <c r="J11723">
        <v>1</v>
      </c>
      <c r="K11723">
        <v>1</v>
      </c>
      <c r="L11723">
        <v>1</v>
      </c>
      <c r="M11723">
        <v>0</v>
      </c>
      <c r="N11723">
        <v>0</v>
      </c>
      <c r="O11723">
        <v>0</v>
      </c>
      <c r="AF11723" t="s">
        <v>24074</v>
      </c>
    </row>
    <row r="11724" spans="1:32" hidden="1" x14ac:dyDescent="0.35">
      <c r="A11724">
        <v>11723</v>
      </c>
      <c r="B11724" t="s">
        <v>24075</v>
      </c>
      <c r="C11724" t="s">
        <v>33</v>
      </c>
      <c r="D11724" t="s">
        <v>58</v>
      </c>
      <c r="E11724">
        <v>1824</v>
      </c>
      <c r="F11724">
        <v>1</v>
      </c>
      <c r="G11724">
        <v>1</v>
      </c>
      <c r="H11724">
        <v>1</v>
      </c>
      <c r="I11724">
        <v>0</v>
      </c>
      <c r="J11724">
        <v>1</v>
      </c>
      <c r="K11724">
        <v>1</v>
      </c>
      <c r="L11724">
        <v>1</v>
      </c>
      <c r="M11724">
        <v>0</v>
      </c>
      <c r="N11724">
        <v>0</v>
      </c>
      <c r="O11724">
        <v>0</v>
      </c>
      <c r="P11724" t="s">
        <v>13777</v>
      </c>
      <c r="Q11724" t="s">
        <v>13778</v>
      </c>
      <c r="T11724" t="s">
        <v>13779</v>
      </c>
      <c r="U11724" t="s">
        <v>13780</v>
      </c>
      <c r="AD11724" t="s">
        <v>1480</v>
      </c>
      <c r="AE11724" t="s">
        <v>13781</v>
      </c>
      <c r="AF11724" t="s">
        <v>24076</v>
      </c>
    </row>
    <row r="11725" spans="1:32" hidden="1" x14ac:dyDescent="0.35">
      <c r="A11725">
        <v>11724</v>
      </c>
      <c r="B11725" t="s">
        <v>24077</v>
      </c>
      <c r="C11725" t="s">
        <v>33</v>
      </c>
      <c r="D11725" t="s">
        <v>62</v>
      </c>
      <c r="E11725">
        <v>760</v>
      </c>
      <c r="F11725">
        <v>1</v>
      </c>
      <c r="G11725">
        <v>1</v>
      </c>
      <c r="H11725">
        <v>1</v>
      </c>
      <c r="I11725">
        <v>0</v>
      </c>
      <c r="J11725">
        <v>1</v>
      </c>
      <c r="K11725">
        <v>1</v>
      </c>
      <c r="L11725">
        <v>1</v>
      </c>
      <c r="M11725">
        <v>0</v>
      </c>
      <c r="N11725">
        <v>0</v>
      </c>
      <c r="O11725">
        <v>0</v>
      </c>
      <c r="P11725" t="s">
        <v>13314</v>
      </c>
      <c r="Q11725" t="s">
        <v>13315</v>
      </c>
      <c r="R11725" t="s">
        <v>288</v>
      </c>
      <c r="S11725" t="s">
        <v>289</v>
      </c>
      <c r="V11725" t="s">
        <v>628</v>
      </c>
      <c r="W11725" t="s">
        <v>629</v>
      </c>
      <c r="AF11725" t="s">
        <v>24078</v>
      </c>
    </row>
    <row r="11726" spans="1:32" hidden="1" x14ac:dyDescent="0.35">
      <c r="A11726">
        <v>11725</v>
      </c>
      <c r="B11726" t="s">
        <v>24079</v>
      </c>
      <c r="C11726" t="s">
        <v>33</v>
      </c>
      <c r="D11726" t="s">
        <v>58</v>
      </c>
      <c r="E11726">
        <v>1733</v>
      </c>
      <c r="F11726">
        <v>1</v>
      </c>
      <c r="G11726">
        <v>1</v>
      </c>
      <c r="H11726">
        <v>1</v>
      </c>
      <c r="I11726">
        <v>0</v>
      </c>
      <c r="J11726">
        <v>1</v>
      </c>
      <c r="K11726">
        <v>1</v>
      </c>
      <c r="L11726">
        <v>1</v>
      </c>
      <c r="M11726">
        <v>0</v>
      </c>
      <c r="N11726">
        <v>0</v>
      </c>
      <c r="O11726">
        <v>0</v>
      </c>
      <c r="AF11726" t="s">
        <v>24080</v>
      </c>
    </row>
    <row r="11727" spans="1:32" hidden="1" x14ac:dyDescent="0.35">
      <c r="A11727">
        <v>11726</v>
      </c>
      <c r="B11727" t="s">
        <v>24081</v>
      </c>
      <c r="C11727" t="s">
        <v>33</v>
      </c>
      <c r="D11727" t="s">
        <v>58</v>
      </c>
      <c r="E11727">
        <v>1722</v>
      </c>
      <c r="F11727">
        <v>1</v>
      </c>
      <c r="G11727">
        <v>1</v>
      </c>
      <c r="H11727">
        <v>1</v>
      </c>
      <c r="I11727">
        <v>0</v>
      </c>
      <c r="J11727">
        <v>1</v>
      </c>
      <c r="K11727">
        <v>1</v>
      </c>
      <c r="L11727">
        <v>1</v>
      </c>
      <c r="M11727">
        <v>0</v>
      </c>
      <c r="N11727">
        <v>0</v>
      </c>
      <c r="O11727">
        <v>0</v>
      </c>
      <c r="AF11727" t="s">
        <v>24082</v>
      </c>
    </row>
    <row r="11728" spans="1:32" hidden="1" x14ac:dyDescent="0.35">
      <c r="A11728">
        <v>11727</v>
      </c>
      <c r="B11728" t="s">
        <v>24083</v>
      </c>
      <c r="C11728" t="s">
        <v>33</v>
      </c>
      <c r="D11728" t="s">
        <v>58</v>
      </c>
      <c r="E11728">
        <v>525</v>
      </c>
      <c r="F11728">
        <v>1</v>
      </c>
      <c r="G11728">
        <v>1</v>
      </c>
      <c r="H11728">
        <v>1</v>
      </c>
      <c r="I11728">
        <v>0</v>
      </c>
      <c r="J11728">
        <v>1</v>
      </c>
      <c r="K11728">
        <v>1</v>
      </c>
      <c r="L11728">
        <v>1</v>
      </c>
      <c r="M11728">
        <v>0</v>
      </c>
      <c r="N11728">
        <v>0</v>
      </c>
      <c r="O11728">
        <v>0</v>
      </c>
      <c r="AF11728" t="s">
        <v>24084</v>
      </c>
    </row>
    <row r="11729" spans="1:32" hidden="1" x14ac:dyDescent="0.35">
      <c r="A11729">
        <v>11728</v>
      </c>
      <c r="B11729" t="s">
        <v>24085</v>
      </c>
      <c r="C11729" t="s">
        <v>33</v>
      </c>
      <c r="D11729" t="s">
        <v>58</v>
      </c>
      <c r="E11729">
        <v>582</v>
      </c>
      <c r="F11729">
        <v>1</v>
      </c>
      <c r="G11729">
        <v>1</v>
      </c>
      <c r="H11729">
        <v>1</v>
      </c>
      <c r="I11729">
        <v>0</v>
      </c>
      <c r="J11729">
        <v>1</v>
      </c>
      <c r="K11729">
        <v>1</v>
      </c>
      <c r="L11729">
        <v>1</v>
      </c>
      <c r="M11729">
        <v>0</v>
      </c>
      <c r="N11729">
        <v>0</v>
      </c>
      <c r="O11729">
        <v>0</v>
      </c>
      <c r="P11729" t="s">
        <v>867</v>
      </c>
      <c r="Q11729" t="s">
        <v>868</v>
      </c>
      <c r="R11729" t="s">
        <v>24086</v>
      </c>
      <c r="S11729" t="s">
        <v>24087</v>
      </c>
      <c r="V11729" t="s">
        <v>24088</v>
      </c>
      <c r="W11729" t="s">
        <v>24089</v>
      </c>
      <c r="X11729" t="s">
        <v>24088</v>
      </c>
      <c r="Y11729" t="s">
        <v>3424</v>
      </c>
      <c r="AF11729" t="s">
        <v>24090</v>
      </c>
    </row>
    <row r="11730" spans="1:32" hidden="1" x14ac:dyDescent="0.35">
      <c r="A11730">
        <v>11729</v>
      </c>
      <c r="B11730" t="s">
        <v>24091</v>
      </c>
      <c r="C11730" t="s">
        <v>33</v>
      </c>
      <c r="D11730" t="s">
        <v>34</v>
      </c>
      <c r="E11730">
        <v>1623</v>
      </c>
      <c r="F11730">
        <v>1</v>
      </c>
      <c r="G11730">
        <v>1</v>
      </c>
      <c r="H11730">
        <v>1</v>
      </c>
      <c r="I11730">
        <v>0</v>
      </c>
      <c r="J11730">
        <v>1</v>
      </c>
      <c r="K11730">
        <v>1</v>
      </c>
      <c r="L11730">
        <v>1</v>
      </c>
      <c r="M11730">
        <v>0</v>
      </c>
      <c r="N11730">
        <v>0</v>
      </c>
      <c r="O11730">
        <v>0</v>
      </c>
      <c r="AF11730" t="s">
        <v>24092</v>
      </c>
    </row>
    <row r="11731" spans="1:32" hidden="1" x14ac:dyDescent="0.35">
      <c r="A11731">
        <v>134</v>
      </c>
      <c r="B11731" t="s">
        <v>232</v>
      </c>
      <c r="C11731" t="s">
        <v>72</v>
      </c>
      <c r="D11731" t="s">
        <v>58</v>
      </c>
      <c r="E11731">
        <v>1868</v>
      </c>
      <c r="F11731">
        <v>5</v>
      </c>
      <c r="G11731">
        <v>9</v>
      </c>
      <c r="H11731">
        <v>2</v>
      </c>
      <c r="I11731">
        <v>0</v>
      </c>
      <c r="J11731">
        <v>0.81656619781201201</v>
      </c>
      <c r="K11731">
        <v>0.87107768318304402</v>
      </c>
      <c r="L11731">
        <v>0.84294157051224206</v>
      </c>
      <c r="M11731">
        <v>0.56107660455486497</v>
      </c>
      <c r="N11731">
        <v>0.99792960662525898</v>
      </c>
      <c r="O11731">
        <v>0.72406257188865897</v>
      </c>
      <c r="P11731" t="s">
        <v>233</v>
      </c>
      <c r="Q11731" t="s">
        <v>234</v>
      </c>
      <c r="R11731" t="s">
        <v>235</v>
      </c>
      <c r="S11731" t="s">
        <v>236</v>
      </c>
      <c r="T11731" t="s">
        <v>237</v>
      </c>
      <c r="U11731" t="s">
        <v>238</v>
      </c>
      <c r="V11731" t="s">
        <v>239</v>
      </c>
      <c r="W11731" t="s">
        <v>240</v>
      </c>
      <c r="X11731" t="s">
        <v>239</v>
      </c>
      <c r="Y11731" t="s">
        <v>241</v>
      </c>
      <c r="Z11731" t="s">
        <v>242</v>
      </c>
      <c r="AA11731" t="s">
        <v>243</v>
      </c>
      <c r="AB11731" t="s">
        <v>242</v>
      </c>
      <c r="AC11731" t="s">
        <v>244</v>
      </c>
      <c r="AD11731" t="s">
        <v>245</v>
      </c>
      <c r="AE11731" t="s">
        <v>246</v>
      </c>
      <c r="AF11731" t="s">
        <v>247</v>
      </c>
    </row>
    <row r="11732" spans="1:32" hidden="1" x14ac:dyDescent="0.35">
      <c r="A11732">
        <v>11731</v>
      </c>
      <c r="B11732" t="s">
        <v>24095</v>
      </c>
      <c r="C11732" t="s">
        <v>33</v>
      </c>
      <c r="D11732" t="s">
        <v>58</v>
      </c>
      <c r="E11732">
        <v>1748</v>
      </c>
      <c r="F11732">
        <v>1</v>
      </c>
      <c r="G11732">
        <v>1</v>
      </c>
      <c r="H11732">
        <v>1</v>
      </c>
      <c r="I11732">
        <v>0</v>
      </c>
      <c r="J11732">
        <v>1</v>
      </c>
      <c r="K11732">
        <v>1</v>
      </c>
      <c r="L11732">
        <v>1</v>
      </c>
      <c r="M11732">
        <v>0</v>
      </c>
      <c r="N11732">
        <v>0</v>
      </c>
      <c r="O11732">
        <v>0</v>
      </c>
      <c r="P11732" t="s">
        <v>15079</v>
      </c>
      <c r="Q11732" t="s">
        <v>15080</v>
      </c>
      <c r="T11732" t="s">
        <v>15081</v>
      </c>
      <c r="U11732" t="s">
        <v>15082</v>
      </c>
      <c r="AD11732" t="s">
        <v>410</v>
      </c>
      <c r="AE11732" t="s">
        <v>15083</v>
      </c>
      <c r="AF11732" t="s">
        <v>24096</v>
      </c>
    </row>
    <row r="11733" spans="1:32" hidden="1" x14ac:dyDescent="0.35">
      <c r="A11733">
        <v>11732</v>
      </c>
      <c r="B11733" t="s">
        <v>24097</v>
      </c>
      <c r="C11733" t="s">
        <v>33</v>
      </c>
      <c r="D11733" t="s">
        <v>62</v>
      </c>
      <c r="E11733">
        <v>1112</v>
      </c>
      <c r="F11733">
        <v>1</v>
      </c>
      <c r="G11733">
        <v>1</v>
      </c>
      <c r="H11733">
        <v>1</v>
      </c>
      <c r="I11733">
        <v>0</v>
      </c>
      <c r="J11733">
        <v>1</v>
      </c>
      <c r="K11733">
        <v>1</v>
      </c>
      <c r="L11733">
        <v>1</v>
      </c>
      <c r="M11733">
        <v>0</v>
      </c>
      <c r="N11733">
        <v>0</v>
      </c>
      <c r="O11733">
        <v>0</v>
      </c>
      <c r="AF11733" t="s">
        <v>24098</v>
      </c>
    </row>
    <row r="11734" spans="1:32" hidden="1" x14ac:dyDescent="0.35">
      <c r="A11734">
        <v>11733</v>
      </c>
      <c r="B11734" t="s">
        <v>24099</v>
      </c>
      <c r="C11734" t="s">
        <v>33</v>
      </c>
      <c r="D11734" t="s">
        <v>58</v>
      </c>
      <c r="E11734">
        <v>203</v>
      </c>
      <c r="F11734">
        <v>1</v>
      </c>
      <c r="G11734">
        <v>1</v>
      </c>
      <c r="H11734">
        <v>1</v>
      </c>
      <c r="I11734">
        <v>0</v>
      </c>
      <c r="J11734">
        <v>1</v>
      </c>
      <c r="K11734">
        <v>1</v>
      </c>
      <c r="L11734">
        <v>1</v>
      </c>
      <c r="M11734">
        <v>0</v>
      </c>
      <c r="N11734">
        <v>0</v>
      </c>
      <c r="O11734">
        <v>0</v>
      </c>
      <c r="P11734" t="s">
        <v>10460</v>
      </c>
      <c r="Q11734" t="s">
        <v>10461</v>
      </c>
      <c r="R11734" t="s">
        <v>2219</v>
      </c>
      <c r="S11734" t="s">
        <v>2220</v>
      </c>
      <c r="T11734" t="s">
        <v>10462</v>
      </c>
      <c r="U11734" t="s">
        <v>10463</v>
      </c>
      <c r="V11734" t="s">
        <v>10464</v>
      </c>
      <c r="W11734" t="s">
        <v>10465</v>
      </c>
      <c r="X11734" t="s">
        <v>10464</v>
      </c>
      <c r="Y11734" t="s">
        <v>10466</v>
      </c>
      <c r="Z11734" t="s">
        <v>876</v>
      </c>
      <c r="AA11734" t="s">
        <v>877</v>
      </c>
      <c r="AB11734" t="s">
        <v>876</v>
      </c>
      <c r="AC11734" t="s">
        <v>878</v>
      </c>
      <c r="AD11734" t="s">
        <v>219</v>
      </c>
      <c r="AE11734" t="s">
        <v>10467</v>
      </c>
      <c r="AF11734" t="s">
        <v>24100</v>
      </c>
    </row>
    <row r="11735" spans="1:32" hidden="1" x14ac:dyDescent="0.35">
      <c r="A11735">
        <v>4179</v>
      </c>
      <c r="B11735" t="s">
        <v>8659</v>
      </c>
      <c r="C11735" t="s">
        <v>72</v>
      </c>
      <c r="D11735" t="s">
        <v>58</v>
      </c>
      <c r="E11735">
        <v>1525</v>
      </c>
      <c r="F11735">
        <v>5</v>
      </c>
      <c r="G11735">
        <v>5</v>
      </c>
      <c r="H11735">
        <v>1</v>
      </c>
      <c r="I11735">
        <v>1</v>
      </c>
      <c r="J11735">
        <v>0.85930543187889596</v>
      </c>
      <c r="K11735">
        <v>0.94333364630768302</v>
      </c>
      <c r="L11735">
        <v>0.89936109358261296</v>
      </c>
      <c r="M11735">
        <v>0.71787709497206698</v>
      </c>
      <c r="N11735">
        <v>0.99720670391061506</v>
      </c>
      <c r="O11735">
        <v>0.79888268156424602</v>
      </c>
      <c r="P11735" t="s">
        <v>8560</v>
      </c>
      <c r="Q11735" t="s">
        <v>8561</v>
      </c>
      <c r="R11735" t="s">
        <v>224</v>
      </c>
      <c r="S11735" t="s">
        <v>225</v>
      </c>
      <c r="T11735" t="s">
        <v>8660</v>
      </c>
      <c r="U11735" t="s">
        <v>8661</v>
      </c>
      <c r="V11735" t="s">
        <v>8662</v>
      </c>
      <c r="W11735" t="s">
        <v>8663</v>
      </c>
      <c r="X11735" t="s">
        <v>8662</v>
      </c>
      <c r="Y11735" t="s">
        <v>589</v>
      </c>
      <c r="AD11735" t="s">
        <v>997</v>
      </c>
      <c r="AE11735" t="s">
        <v>8664</v>
      </c>
      <c r="AF11735" t="s">
        <v>8665</v>
      </c>
    </row>
    <row r="11736" spans="1:32" hidden="1" x14ac:dyDescent="0.35">
      <c r="A11736">
        <v>11735</v>
      </c>
      <c r="B11736" t="s">
        <v>24103</v>
      </c>
      <c r="C11736" t="s">
        <v>33</v>
      </c>
      <c r="D11736" t="s">
        <v>58</v>
      </c>
      <c r="E11736">
        <v>1556</v>
      </c>
      <c r="F11736">
        <v>1</v>
      </c>
      <c r="G11736">
        <v>1</v>
      </c>
      <c r="H11736">
        <v>1</v>
      </c>
      <c r="I11736">
        <v>0</v>
      </c>
      <c r="J11736">
        <v>1</v>
      </c>
      <c r="K11736">
        <v>1</v>
      </c>
      <c r="L11736">
        <v>1</v>
      </c>
      <c r="M11736">
        <v>0</v>
      </c>
      <c r="N11736">
        <v>0</v>
      </c>
      <c r="O11736">
        <v>0</v>
      </c>
      <c r="P11736" t="s">
        <v>13521</v>
      </c>
      <c r="Q11736" t="s">
        <v>13522</v>
      </c>
      <c r="AF11736" t="s">
        <v>24104</v>
      </c>
    </row>
    <row r="11737" spans="1:32" hidden="1" x14ac:dyDescent="0.35">
      <c r="A11737">
        <v>644</v>
      </c>
      <c r="B11737" t="s">
        <v>1314</v>
      </c>
      <c r="C11737" t="s">
        <v>72</v>
      </c>
      <c r="D11737" t="s">
        <v>58</v>
      </c>
      <c r="E11737">
        <v>917</v>
      </c>
      <c r="F11737">
        <v>5</v>
      </c>
      <c r="G11737">
        <v>5</v>
      </c>
      <c r="H11737">
        <v>1</v>
      </c>
      <c r="I11737">
        <v>1</v>
      </c>
      <c r="J11737">
        <v>0.74255669580641104</v>
      </c>
      <c r="K11737">
        <v>0.85431208156122296</v>
      </c>
      <c r="L11737">
        <v>0.79452383998306697</v>
      </c>
      <c r="M11737">
        <v>0.35987261146496802</v>
      </c>
      <c r="N11737">
        <v>1</v>
      </c>
      <c r="O11737">
        <v>0.55796178343949099</v>
      </c>
      <c r="P11737" t="s">
        <v>1315</v>
      </c>
      <c r="Q11737" t="s">
        <v>1316</v>
      </c>
      <c r="R11737" t="s">
        <v>540</v>
      </c>
      <c r="S11737" t="s">
        <v>541</v>
      </c>
      <c r="T11737" t="s">
        <v>1317</v>
      </c>
      <c r="U11737" t="s">
        <v>1318</v>
      </c>
      <c r="V11737" t="s">
        <v>1319</v>
      </c>
      <c r="W11737" t="s">
        <v>1320</v>
      </c>
      <c r="AD11737" t="s">
        <v>1321</v>
      </c>
      <c r="AE11737" t="s">
        <v>1322</v>
      </c>
      <c r="AF11737" t="s">
        <v>1323</v>
      </c>
    </row>
    <row r="11738" spans="1:32" hidden="1" x14ac:dyDescent="0.35">
      <c r="A11738">
        <v>11737</v>
      </c>
      <c r="B11738" t="s">
        <v>24107</v>
      </c>
      <c r="C11738" t="s">
        <v>33</v>
      </c>
      <c r="D11738" t="s">
        <v>58</v>
      </c>
      <c r="E11738">
        <v>596</v>
      </c>
      <c r="F11738">
        <v>1</v>
      </c>
      <c r="G11738">
        <v>1</v>
      </c>
      <c r="H11738">
        <v>1</v>
      </c>
      <c r="I11738">
        <v>0</v>
      </c>
      <c r="J11738">
        <v>1</v>
      </c>
      <c r="K11738">
        <v>1</v>
      </c>
      <c r="L11738">
        <v>1</v>
      </c>
      <c r="M11738">
        <v>0</v>
      </c>
      <c r="N11738">
        <v>0</v>
      </c>
      <c r="O11738">
        <v>0</v>
      </c>
      <c r="AF11738" t="s">
        <v>24108</v>
      </c>
    </row>
    <row r="11739" spans="1:32" hidden="1" x14ac:dyDescent="0.35">
      <c r="A11739">
        <v>11738</v>
      </c>
      <c r="B11739" t="s">
        <v>24109</v>
      </c>
      <c r="C11739" t="s">
        <v>33</v>
      </c>
      <c r="D11739" t="s">
        <v>58</v>
      </c>
      <c r="E11739">
        <v>521</v>
      </c>
      <c r="F11739">
        <v>1</v>
      </c>
      <c r="G11739">
        <v>1</v>
      </c>
      <c r="H11739">
        <v>1</v>
      </c>
      <c r="I11739">
        <v>0</v>
      </c>
      <c r="J11739">
        <v>1</v>
      </c>
      <c r="K11739">
        <v>1</v>
      </c>
      <c r="L11739">
        <v>1</v>
      </c>
      <c r="M11739">
        <v>0</v>
      </c>
      <c r="N11739">
        <v>0</v>
      </c>
      <c r="O11739">
        <v>0</v>
      </c>
      <c r="P11739" t="s">
        <v>24110</v>
      </c>
      <c r="Q11739" t="s">
        <v>24111</v>
      </c>
      <c r="AF11739" t="s">
        <v>24112</v>
      </c>
    </row>
    <row r="11740" spans="1:32" hidden="1" x14ac:dyDescent="0.35">
      <c r="A11740">
        <v>11894</v>
      </c>
      <c r="B11740" t="s">
        <v>24496</v>
      </c>
      <c r="C11740" t="s">
        <v>10130</v>
      </c>
      <c r="D11740" t="s">
        <v>58</v>
      </c>
      <c r="E11740">
        <v>918</v>
      </c>
      <c r="F11740">
        <v>1</v>
      </c>
      <c r="G11740">
        <v>1</v>
      </c>
      <c r="H11740">
        <v>1</v>
      </c>
      <c r="I11740">
        <v>0</v>
      </c>
      <c r="J11740">
        <v>1</v>
      </c>
      <c r="K11740">
        <v>1</v>
      </c>
      <c r="L11740">
        <v>1</v>
      </c>
      <c r="M11740">
        <v>0</v>
      </c>
      <c r="N11740">
        <v>0</v>
      </c>
      <c r="O11740">
        <v>0</v>
      </c>
      <c r="P11740" t="s">
        <v>15295</v>
      </c>
      <c r="Q11740" t="s">
        <v>15296</v>
      </c>
      <c r="R11740" t="s">
        <v>540</v>
      </c>
      <c r="S11740" t="s">
        <v>541</v>
      </c>
      <c r="T11740" t="s">
        <v>15297</v>
      </c>
      <c r="U11740" t="s">
        <v>15298</v>
      </c>
      <c r="V11740" t="s">
        <v>15299</v>
      </c>
      <c r="W11740" t="s">
        <v>15300</v>
      </c>
      <c r="AD11740" t="s">
        <v>1321</v>
      </c>
      <c r="AE11740" t="s">
        <v>1322</v>
      </c>
      <c r="AF11740" t="s">
        <v>24497</v>
      </c>
    </row>
    <row r="11741" spans="1:32" hidden="1" x14ac:dyDescent="0.35">
      <c r="A11741">
        <v>11065</v>
      </c>
      <c r="B11741" t="s">
        <v>22378</v>
      </c>
      <c r="C11741" t="s">
        <v>33</v>
      </c>
      <c r="D11741" t="s">
        <v>58</v>
      </c>
      <c r="E11741">
        <v>729</v>
      </c>
      <c r="F11741">
        <v>1</v>
      </c>
      <c r="G11741">
        <v>1</v>
      </c>
      <c r="H11741">
        <v>1</v>
      </c>
      <c r="I11741">
        <v>0</v>
      </c>
      <c r="J11741">
        <v>1</v>
      </c>
      <c r="K11741">
        <v>1</v>
      </c>
      <c r="L11741">
        <v>1</v>
      </c>
      <c r="M11741">
        <v>0</v>
      </c>
      <c r="N11741">
        <v>0</v>
      </c>
      <c r="O11741">
        <v>0</v>
      </c>
      <c r="R11741" t="s">
        <v>540</v>
      </c>
      <c r="S11741" t="s">
        <v>541</v>
      </c>
      <c r="T11741" t="s">
        <v>15519</v>
      </c>
      <c r="U11741" t="s">
        <v>15520</v>
      </c>
      <c r="V11741" t="s">
        <v>15299</v>
      </c>
      <c r="W11741" t="s">
        <v>15300</v>
      </c>
      <c r="AD11741" t="s">
        <v>1321</v>
      </c>
      <c r="AE11741" t="s">
        <v>1322</v>
      </c>
      <c r="AF11741" t="s">
        <v>22379</v>
      </c>
    </row>
    <row r="11742" spans="1:32" hidden="1" x14ac:dyDescent="0.35">
      <c r="A11742">
        <v>11741</v>
      </c>
      <c r="B11742" t="s">
        <v>24117</v>
      </c>
      <c r="C11742" t="s">
        <v>33</v>
      </c>
      <c r="D11742" t="s">
        <v>60</v>
      </c>
      <c r="E11742">
        <v>662</v>
      </c>
      <c r="F11742">
        <v>1</v>
      </c>
      <c r="G11742">
        <v>1</v>
      </c>
      <c r="H11742">
        <v>1</v>
      </c>
      <c r="I11742">
        <v>0</v>
      </c>
      <c r="J11742">
        <v>1</v>
      </c>
      <c r="K11742">
        <v>1</v>
      </c>
      <c r="L11742">
        <v>1</v>
      </c>
      <c r="M11742">
        <v>0</v>
      </c>
      <c r="N11742">
        <v>0</v>
      </c>
      <c r="O11742">
        <v>0</v>
      </c>
      <c r="AF11742" t="s">
        <v>24118</v>
      </c>
    </row>
    <row r="11743" spans="1:32" hidden="1" x14ac:dyDescent="0.35">
      <c r="A11743">
        <v>11742</v>
      </c>
      <c r="B11743" t="s">
        <v>24119</v>
      </c>
      <c r="C11743" t="s">
        <v>33</v>
      </c>
      <c r="D11743" t="s">
        <v>60</v>
      </c>
      <c r="E11743">
        <v>1369</v>
      </c>
      <c r="F11743">
        <v>1</v>
      </c>
      <c r="G11743">
        <v>1</v>
      </c>
      <c r="H11743">
        <v>1</v>
      </c>
      <c r="I11743">
        <v>0</v>
      </c>
      <c r="J11743">
        <v>1</v>
      </c>
      <c r="K11743">
        <v>1</v>
      </c>
      <c r="L11743">
        <v>1</v>
      </c>
      <c r="M11743">
        <v>0</v>
      </c>
      <c r="N11743">
        <v>0</v>
      </c>
      <c r="O11743">
        <v>0</v>
      </c>
      <c r="AF11743" t="s">
        <v>24120</v>
      </c>
    </row>
    <row r="11744" spans="1:32" hidden="1" x14ac:dyDescent="0.35">
      <c r="A11744">
        <v>11743</v>
      </c>
      <c r="B11744" t="s">
        <v>24121</v>
      </c>
      <c r="C11744" t="s">
        <v>33</v>
      </c>
      <c r="D11744" t="s">
        <v>34</v>
      </c>
      <c r="E11744">
        <v>780</v>
      </c>
      <c r="F11744">
        <v>1</v>
      </c>
      <c r="G11744">
        <v>1</v>
      </c>
      <c r="H11744">
        <v>1</v>
      </c>
      <c r="I11744">
        <v>0</v>
      </c>
      <c r="J11744">
        <v>1</v>
      </c>
      <c r="K11744">
        <v>1</v>
      </c>
      <c r="L11744">
        <v>1</v>
      </c>
      <c r="M11744">
        <v>0</v>
      </c>
      <c r="N11744">
        <v>0</v>
      </c>
      <c r="O11744">
        <v>0</v>
      </c>
      <c r="AF11744" t="s">
        <v>24122</v>
      </c>
    </row>
    <row r="11745" spans="1:32" hidden="1" x14ac:dyDescent="0.35">
      <c r="A11745">
        <v>11744</v>
      </c>
      <c r="B11745" t="s">
        <v>24123</v>
      </c>
      <c r="C11745" t="s">
        <v>33</v>
      </c>
      <c r="D11745" t="s">
        <v>58</v>
      </c>
      <c r="E11745">
        <v>813</v>
      </c>
      <c r="F11745">
        <v>1</v>
      </c>
      <c r="G11745">
        <v>1</v>
      </c>
      <c r="H11745">
        <v>1</v>
      </c>
      <c r="I11745">
        <v>0</v>
      </c>
      <c r="J11745">
        <v>1</v>
      </c>
      <c r="K11745">
        <v>1</v>
      </c>
      <c r="L11745">
        <v>1</v>
      </c>
      <c r="M11745">
        <v>0</v>
      </c>
      <c r="N11745">
        <v>0</v>
      </c>
      <c r="O11745">
        <v>0</v>
      </c>
      <c r="P11745" t="s">
        <v>16886</v>
      </c>
      <c r="Q11745" t="s">
        <v>16887</v>
      </c>
      <c r="R11745" t="s">
        <v>288</v>
      </c>
      <c r="S11745" t="s">
        <v>289</v>
      </c>
      <c r="T11745" t="s">
        <v>16888</v>
      </c>
      <c r="U11745" t="s">
        <v>16889</v>
      </c>
      <c r="V11745" t="s">
        <v>16890</v>
      </c>
      <c r="W11745" t="s">
        <v>16891</v>
      </c>
      <c r="AD11745" t="s">
        <v>219</v>
      </c>
      <c r="AE11745" t="s">
        <v>16892</v>
      </c>
      <c r="AF11745" t="s">
        <v>24124</v>
      </c>
    </row>
    <row r="11746" spans="1:32" hidden="1" x14ac:dyDescent="0.35">
      <c r="A11746">
        <v>11745</v>
      </c>
      <c r="B11746" t="s">
        <v>24125</v>
      </c>
      <c r="C11746" t="s">
        <v>33</v>
      </c>
      <c r="D11746" t="s">
        <v>58</v>
      </c>
      <c r="E11746">
        <v>1302</v>
      </c>
      <c r="F11746">
        <v>1</v>
      </c>
      <c r="G11746">
        <v>1</v>
      </c>
      <c r="H11746">
        <v>1</v>
      </c>
      <c r="I11746">
        <v>0</v>
      </c>
      <c r="J11746">
        <v>1</v>
      </c>
      <c r="K11746">
        <v>1</v>
      </c>
      <c r="L11746">
        <v>1</v>
      </c>
      <c r="M11746">
        <v>0</v>
      </c>
      <c r="N11746">
        <v>0</v>
      </c>
      <c r="O11746">
        <v>0</v>
      </c>
      <c r="AF11746" t="s">
        <v>24126</v>
      </c>
    </row>
    <row r="11747" spans="1:32" hidden="1" x14ac:dyDescent="0.35">
      <c r="A11747">
        <v>11746</v>
      </c>
      <c r="B11747" t="s">
        <v>24127</v>
      </c>
      <c r="C11747" t="s">
        <v>33</v>
      </c>
      <c r="D11747" t="s">
        <v>34</v>
      </c>
      <c r="E11747">
        <v>2430</v>
      </c>
      <c r="F11747">
        <v>1</v>
      </c>
      <c r="G11747">
        <v>1</v>
      </c>
      <c r="H11747">
        <v>1</v>
      </c>
      <c r="I11747">
        <v>0</v>
      </c>
      <c r="J11747">
        <v>1</v>
      </c>
      <c r="K11747">
        <v>1</v>
      </c>
      <c r="L11747">
        <v>1</v>
      </c>
      <c r="M11747">
        <v>0</v>
      </c>
      <c r="N11747">
        <v>0</v>
      </c>
      <c r="O11747">
        <v>0</v>
      </c>
      <c r="R11747" t="s">
        <v>96</v>
      </c>
      <c r="S11747" t="s">
        <v>97</v>
      </c>
      <c r="V11747" t="s">
        <v>1203</v>
      </c>
      <c r="W11747" t="s">
        <v>1204</v>
      </c>
      <c r="AF11747" t="s">
        <v>24128</v>
      </c>
    </row>
    <row r="11748" spans="1:32" hidden="1" x14ac:dyDescent="0.35">
      <c r="A11748">
        <v>11747</v>
      </c>
      <c r="B11748" t="s">
        <v>24129</v>
      </c>
      <c r="C11748" t="s">
        <v>33</v>
      </c>
      <c r="D11748" t="s">
        <v>60</v>
      </c>
      <c r="E11748">
        <v>2044</v>
      </c>
      <c r="F11748">
        <v>1</v>
      </c>
      <c r="G11748">
        <v>1</v>
      </c>
      <c r="H11748">
        <v>1</v>
      </c>
      <c r="I11748">
        <v>0</v>
      </c>
      <c r="J11748">
        <v>1</v>
      </c>
      <c r="K11748">
        <v>1</v>
      </c>
      <c r="L11748">
        <v>1</v>
      </c>
      <c r="M11748">
        <v>0</v>
      </c>
      <c r="N11748">
        <v>0</v>
      </c>
      <c r="O11748">
        <v>0</v>
      </c>
      <c r="AF11748" t="s">
        <v>24130</v>
      </c>
    </row>
    <row r="11749" spans="1:32" hidden="1" x14ac:dyDescent="0.35">
      <c r="A11749">
        <v>11748</v>
      </c>
      <c r="B11749" t="s">
        <v>24131</v>
      </c>
      <c r="C11749" t="s">
        <v>33</v>
      </c>
      <c r="D11749" t="s">
        <v>58</v>
      </c>
      <c r="E11749">
        <v>1373</v>
      </c>
      <c r="F11749">
        <v>1</v>
      </c>
      <c r="G11749">
        <v>1</v>
      </c>
      <c r="H11749">
        <v>1</v>
      </c>
      <c r="I11749">
        <v>0</v>
      </c>
      <c r="J11749">
        <v>1</v>
      </c>
      <c r="K11749">
        <v>1</v>
      </c>
      <c r="L11749">
        <v>1</v>
      </c>
      <c r="M11749">
        <v>0</v>
      </c>
      <c r="N11749">
        <v>0</v>
      </c>
      <c r="O11749">
        <v>0</v>
      </c>
      <c r="AF11749" t="s">
        <v>24132</v>
      </c>
    </row>
    <row r="11750" spans="1:32" hidden="1" x14ac:dyDescent="0.35">
      <c r="A11750">
        <v>11444</v>
      </c>
      <c r="B11750" t="s">
        <v>23339</v>
      </c>
      <c r="C11750" t="s">
        <v>33</v>
      </c>
      <c r="D11750" t="s">
        <v>58</v>
      </c>
      <c r="E11750">
        <v>394</v>
      </c>
      <c r="F11750">
        <v>1</v>
      </c>
      <c r="G11750">
        <v>1</v>
      </c>
      <c r="H11750">
        <v>1</v>
      </c>
      <c r="I11750">
        <v>0</v>
      </c>
      <c r="J11750">
        <v>1</v>
      </c>
      <c r="K11750">
        <v>1</v>
      </c>
      <c r="L11750">
        <v>1</v>
      </c>
      <c r="M11750">
        <v>0</v>
      </c>
      <c r="N11750">
        <v>0</v>
      </c>
      <c r="O11750">
        <v>0</v>
      </c>
      <c r="P11750" t="s">
        <v>23340</v>
      </c>
      <c r="Q11750" t="s">
        <v>23341</v>
      </c>
      <c r="R11750" t="s">
        <v>138</v>
      </c>
      <c r="S11750" t="s">
        <v>139</v>
      </c>
      <c r="T11750" t="s">
        <v>23342</v>
      </c>
      <c r="U11750" t="s">
        <v>23343</v>
      </c>
      <c r="V11750" t="s">
        <v>23344</v>
      </c>
      <c r="W11750" t="s">
        <v>23345</v>
      </c>
      <c r="AD11750" t="s">
        <v>14829</v>
      </c>
      <c r="AE11750" t="s">
        <v>23346</v>
      </c>
      <c r="AF11750" t="s">
        <v>23347</v>
      </c>
    </row>
    <row r="11751" spans="1:32" hidden="1" x14ac:dyDescent="0.35">
      <c r="A11751">
        <v>11750</v>
      </c>
      <c r="B11751" t="s">
        <v>24135</v>
      </c>
      <c r="C11751" t="s">
        <v>33</v>
      </c>
      <c r="D11751" t="s">
        <v>60</v>
      </c>
      <c r="E11751">
        <v>679</v>
      </c>
      <c r="F11751">
        <v>1</v>
      </c>
      <c r="G11751">
        <v>1</v>
      </c>
      <c r="H11751">
        <v>1</v>
      </c>
      <c r="I11751">
        <v>0</v>
      </c>
      <c r="J11751">
        <v>1</v>
      </c>
      <c r="K11751">
        <v>1</v>
      </c>
      <c r="L11751">
        <v>1</v>
      </c>
      <c r="M11751">
        <v>0</v>
      </c>
      <c r="N11751">
        <v>0</v>
      </c>
      <c r="O11751">
        <v>0</v>
      </c>
      <c r="AF11751" t="s">
        <v>24136</v>
      </c>
    </row>
    <row r="11752" spans="1:32" hidden="1" x14ac:dyDescent="0.35">
      <c r="A11752">
        <v>11751</v>
      </c>
      <c r="B11752" t="s">
        <v>24137</v>
      </c>
      <c r="C11752" t="s">
        <v>33</v>
      </c>
      <c r="D11752" t="s">
        <v>58</v>
      </c>
      <c r="E11752">
        <v>947</v>
      </c>
      <c r="F11752">
        <v>1</v>
      </c>
      <c r="G11752">
        <v>1</v>
      </c>
      <c r="H11752">
        <v>1</v>
      </c>
      <c r="I11752">
        <v>0</v>
      </c>
      <c r="J11752">
        <v>1</v>
      </c>
      <c r="K11752">
        <v>1</v>
      </c>
      <c r="L11752">
        <v>1</v>
      </c>
      <c r="M11752">
        <v>0</v>
      </c>
      <c r="N11752">
        <v>0</v>
      </c>
      <c r="O11752">
        <v>0</v>
      </c>
      <c r="AF11752" t="s">
        <v>24138</v>
      </c>
    </row>
    <row r="11753" spans="1:32" hidden="1" x14ac:dyDescent="0.35">
      <c r="A11753">
        <v>11752</v>
      </c>
      <c r="B11753" t="s">
        <v>24139</v>
      </c>
      <c r="C11753" t="s">
        <v>33</v>
      </c>
      <c r="D11753" t="s">
        <v>34</v>
      </c>
      <c r="E11753">
        <v>2393</v>
      </c>
      <c r="F11753">
        <v>1</v>
      </c>
      <c r="G11753">
        <v>1</v>
      </c>
      <c r="H11753">
        <v>1</v>
      </c>
      <c r="I11753">
        <v>0</v>
      </c>
      <c r="J11753">
        <v>1</v>
      </c>
      <c r="K11753">
        <v>1</v>
      </c>
      <c r="L11753">
        <v>1</v>
      </c>
      <c r="M11753">
        <v>0</v>
      </c>
      <c r="N11753">
        <v>0</v>
      </c>
      <c r="O11753">
        <v>0</v>
      </c>
      <c r="R11753" t="s">
        <v>13853</v>
      </c>
      <c r="S11753" t="s">
        <v>13854</v>
      </c>
      <c r="V11753" t="s">
        <v>18537</v>
      </c>
      <c r="W11753" t="s">
        <v>18538</v>
      </c>
      <c r="AF11753" t="s">
        <v>24140</v>
      </c>
    </row>
    <row r="11754" spans="1:32" hidden="1" x14ac:dyDescent="0.35">
      <c r="A11754">
        <v>11753</v>
      </c>
      <c r="B11754" t="s">
        <v>24141</v>
      </c>
      <c r="C11754" t="s">
        <v>33</v>
      </c>
      <c r="D11754" t="s">
        <v>60</v>
      </c>
      <c r="E11754">
        <v>660</v>
      </c>
      <c r="F11754">
        <v>1</v>
      </c>
      <c r="G11754">
        <v>1</v>
      </c>
      <c r="H11754">
        <v>1</v>
      </c>
      <c r="I11754">
        <v>0</v>
      </c>
      <c r="J11754">
        <v>1</v>
      </c>
      <c r="K11754">
        <v>1</v>
      </c>
      <c r="L11754">
        <v>1</v>
      </c>
      <c r="M11754">
        <v>0</v>
      </c>
      <c r="N11754">
        <v>0</v>
      </c>
      <c r="O11754">
        <v>0</v>
      </c>
      <c r="P11754" t="s">
        <v>24142</v>
      </c>
      <c r="Q11754" t="s">
        <v>24143</v>
      </c>
      <c r="AF11754" t="s">
        <v>24144</v>
      </c>
    </row>
    <row r="11755" spans="1:32" hidden="1" x14ac:dyDescent="0.35">
      <c r="A11755">
        <v>11283</v>
      </c>
      <c r="B11755" t="s">
        <v>22954</v>
      </c>
      <c r="C11755" t="s">
        <v>33</v>
      </c>
      <c r="D11755" t="s">
        <v>58</v>
      </c>
      <c r="E11755">
        <v>397</v>
      </c>
      <c r="F11755">
        <v>1</v>
      </c>
      <c r="G11755">
        <v>1</v>
      </c>
      <c r="H11755">
        <v>1</v>
      </c>
      <c r="I11755">
        <v>0</v>
      </c>
      <c r="J11755">
        <v>1</v>
      </c>
      <c r="K11755">
        <v>1</v>
      </c>
      <c r="L11755">
        <v>1</v>
      </c>
      <c r="M11755">
        <v>0</v>
      </c>
      <c r="N11755">
        <v>0</v>
      </c>
      <c r="O11755">
        <v>0</v>
      </c>
      <c r="P11755" t="s">
        <v>22955</v>
      </c>
      <c r="Q11755" t="s">
        <v>22956</v>
      </c>
      <c r="R11755" t="s">
        <v>138</v>
      </c>
      <c r="S11755" t="s">
        <v>139</v>
      </c>
      <c r="V11755" t="s">
        <v>22957</v>
      </c>
      <c r="W11755" t="s">
        <v>22958</v>
      </c>
      <c r="AF11755" t="s">
        <v>22959</v>
      </c>
    </row>
    <row r="11756" spans="1:32" hidden="1" x14ac:dyDescent="0.35">
      <c r="A11756">
        <v>11295</v>
      </c>
      <c r="B11756" t="s">
        <v>22991</v>
      </c>
      <c r="C11756" t="s">
        <v>33</v>
      </c>
      <c r="D11756" t="s">
        <v>58</v>
      </c>
      <c r="E11756">
        <v>390</v>
      </c>
      <c r="F11756">
        <v>1</v>
      </c>
      <c r="G11756">
        <v>1</v>
      </c>
      <c r="H11756">
        <v>1</v>
      </c>
      <c r="I11756">
        <v>0</v>
      </c>
      <c r="J11756">
        <v>1</v>
      </c>
      <c r="K11756">
        <v>1</v>
      </c>
      <c r="L11756">
        <v>1</v>
      </c>
      <c r="M11756">
        <v>0</v>
      </c>
      <c r="N11756">
        <v>0</v>
      </c>
      <c r="O11756">
        <v>0</v>
      </c>
      <c r="P11756" t="s">
        <v>22992</v>
      </c>
      <c r="Q11756" t="s">
        <v>22993</v>
      </c>
      <c r="R11756" t="s">
        <v>138</v>
      </c>
      <c r="S11756" t="s">
        <v>139</v>
      </c>
      <c r="V11756" t="s">
        <v>22957</v>
      </c>
      <c r="W11756" t="s">
        <v>22958</v>
      </c>
      <c r="AF11756" t="s">
        <v>22994</v>
      </c>
    </row>
    <row r="11757" spans="1:32" hidden="1" x14ac:dyDescent="0.35">
      <c r="A11757">
        <v>11756</v>
      </c>
      <c r="B11757" t="s">
        <v>24149</v>
      </c>
      <c r="C11757" t="s">
        <v>33</v>
      </c>
      <c r="D11757" t="s">
        <v>58</v>
      </c>
      <c r="E11757">
        <v>1109</v>
      </c>
      <c r="F11757">
        <v>1</v>
      </c>
      <c r="G11757">
        <v>1</v>
      </c>
      <c r="H11757">
        <v>1</v>
      </c>
      <c r="I11757">
        <v>0</v>
      </c>
      <c r="J11757">
        <v>1</v>
      </c>
      <c r="K11757">
        <v>1</v>
      </c>
      <c r="L11757">
        <v>1</v>
      </c>
      <c r="M11757">
        <v>0</v>
      </c>
      <c r="N11757">
        <v>0</v>
      </c>
      <c r="O11757">
        <v>0</v>
      </c>
      <c r="AF11757" t="s">
        <v>24150</v>
      </c>
    </row>
    <row r="11758" spans="1:32" hidden="1" x14ac:dyDescent="0.35">
      <c r="A11758">
        <v>11757</v>
      </c>
      <c r="B11758" t="s">
        <v>24151</v>
      </c>
      <c r="C11758" t="s">
        <v>33</v>
      </c>
      <c r="D11758" t="s">
        <v>58</v>
      </c>
      <c r="E11758">
        <v>1220</v>
      </c>
      <c r="F11758">
        <v>1</v>
      </c>
      <c r="G11758">
        <v>1</v>
      </c>
      <c r="H11758">
        <v>1</v>
      </c>
      <c r="I11758">
        <v>0</v>
      </c>
      <c r="J11758">
        <v>1</v>
      </c>
      <c r="K11758">
        <v>1</v>
      </c>
      <c r="L11758">
        <v>1</v>
      </c>
      <c r="M11758">
        <v>0</v>
      </c>
      <c r="N11758">
        <v>0</v>
      </c>
      <c r="O11758">
        <v>0</v>
      </c>
      <c r="AF11758" t="s">
        <v>24152</v>
      </c>
    </row>
    <row r="11759" spans="1:32" hidden="1" x14ac:dyDescent="0.35">
      <c r="A11759">
        <v>11758</v>
      </c>
      <c r="B11759" t="s">
        <v>24153</v>
      </c>
      <c r="C11759" t="s">
        <v>33</v>
      </c>
      <c r="D11759" t="s">
        <v>58</v>
      </c>
      <c r="E11759">
        <v>571</v>
      </c>
      <c r="F11759">
        <v>1</v>
      </c>
      <c r="G11759">
        <v>1</v>
      </c>
      <c r="H11759">
        <v>1</v>
      </c>
      <c r="I11759">
        <v>0</v>
      </c>
      <c r="J11759">
        <v>1</v>
      </c>
      <c r="K11759">
        <v>1</v>
      </c>
      <c r="L11759">
        <v>1</v>
      </c>
      <c r="M11759">
        <v>0</v>
      </c>
      <c r="N11759">
        <v>0</v>
      </c>
      <c r="O11759">
        <v>0</v>
      </c>
      <c r="AF11759" t="s">
        <v>24154</v>
      </c>
    </row>
    <row r="11760" spans="1:32" hidden="1" x14ac:dyDescent="0.35">
      <c r="A11760">
        <v>11759</v>
      </c>
      <c r="B11760" t="s">
        <v>24155</v>
      </c>
      <c r="C11760" t="s">
        <v>33</v>
      </c>
      <c r="D11760" t="s">
        <v>60</v>
      </c>
      <c r="E11760">
        <v>2216</v>
      </c>
      <c r="F11760">
        <v>1</v>
      </c>
      <c r="G11760">
        <v>1</v>
      </c>
      <c r="H11760">
        <v>1</v>
      </c>
      <c r="I11760">
        <v>0</v>
      </c>
      <c r="J11760">
        <v>1</v>
      </c>
      <c r="K11760">
        <v>1</v>
      </c>
      <c r="L11760">
        <v>1</v>
      </c>
      <c r="M11760">
        <v>0</v>
      </c>
      <c r="N11760">
        <v>0</v>
      </c>
      <c r="O11760">
        <v>0</v>
      </c>
      <c r="AF11760" t="s">
        <v>24156</v>
      </c>
    </row>
    <row r="11761" spans="1:32" hidden="1" x14ac:dyDescent="0.35">
      <c r="A11761">
        <v>11760</v>
      </c>
      <c r="B11761" t="s">
        <v>24157</v>
      </c>
      <c r="C11761" t="s">
        <v>33</v>
      </c>
      <c r="D11761" t="s">
        <v>60</v>
      </c>
      <c r="E11761">
        <v>2116</v>
      </c>
      <c r="F11761">
        <v>1</v>
      </c>
      <c r="G11761">
        <v>1</v>
      </c>
      <c r="H11761">
        <v>1</v>
      </c>
      <c r="I11761">
        <v>0</v>
      </c>
      <c r="J11761">
        <v>1</v>
      </c>
      <c r="K11761">
        <v>1</v>
      </c>
      <c r="L11761">
        <v>1</v>
      </c>
      <c r="M11761">
        <v>0</v>
      </c>
      <c r="N11761">
        <v>0</v>
      </c>
      <c r="O11761">
        <v>0</v>
      </c>
      <c r="P11761" t="s">
        <v>12553</v>
      </c>
      <c r="Q11761" t="s">
        <v>12554</v>
      </c>
      <c r="R11761" t="s">
        <v>288</v>
      </c>
      <c r="S11761" t="s">
        <v>289</v>
      </c>
      <c r="V11761" t="s">
        <v>12555</v>
      </c>
      <c r="W11761" t="s">
        <v>12556</v>
      </c>
      <c r="AF11761" t="s">
        <v>24158</v>
      </c>
    </row>
    <row r="11762" spans="1:32" hidden="1" x14ac:dyDescent="0.35">
      <c r="A11762">
        <v>4139</v>
      </c>
      <c r="B11762" t="s">
        <v>8559</v>
      </c>
      <c r="C11762" t="s">
        <v>72</v>
      </c>
      <c r="D11762" t="s">
        <v>58</v>
      </c>
      <c r="E11762">
        <v>856</v>
      </c>
      <c r="F11762">
        <v>5</v>
      </c>
      <c r="G11762">
        <v>5</v>
      </c>
      <c r="H11762">
        <v>1</v>
      </c>
      <c r="I11762">
        <v>1</v>
      </c>
      <c r="J11762">
        <v>0.82135752367311199</v>
      </c>
      <c r="K11762">
        <v>0.95775524278236102</v>
      </c>
      <c r="L11762">
        <v>0.88432783950386995</v>
      </c>
      <c r="M11762">
        <v>0.66438356164383605</v>
      </c>
      <c r="N11762">
        <v>0.99771689497716898</v>
      </c>
      <c r="O11762">
        <v>0.76278538812785401</v>
      </c>
      <c r="P11762" t="s">
        <v>8560</v>
      </c>
      <c r="Q11762" t="s">
        <v>8561</v>
      </c>
      <c r="R11762" t="s">
        <v>224</v>
      </c>
      <c r="S11762" t="s">
        <v>225</v>
      </c>
      <c r="T11762" t="s">
        <v>8562</v>
      </c>
      <c r="U11762" t="s">
        <v>8563</v>
      </c>
      <c r="V11762" t="s">
        <v>8564</v>
      </c>
      <c r="W11762" t="s">
        <v>8565</v>
      </c>
      <c r="X11762" t="s">
        <v>8564</v>
      </c>
      <c r="Y11762" t="s">
        <v>589</v>
      </c>
      <c r="AD11762" t="s">
        <v>7033</v>
      </c>
      <c r="AE11762" t="s">
        <v>8566</v>
      </c>
      <c r="AF11762" t="s">
        <v>8567</v>
      </c>
    </row>
    <row r="11763" spans="1:32" hidden="1" x14ac:dyDescent="0.35">
      <c r="A11763">
        <v>11762</v>
      </c>
      <c r="B11763" t="s">
        <v>24161</v>
      </c>
      <c r="C11763" t="s">
        <v>33</v>
      </c>
      <c r="D11763" t="s">
        <v>62</v>
      </c>
      <c r="E11763">
        <v>2063</v>
      </c>
      <c r="F11763">
        <v>1</v>
      </c>
      <c r="G11763">
        <v>1</v>
      </c>
      <c r="H11763">
        <v>1</v>
      </c>
      <c r="I11763">
        <v>0</v>
      </c>
      <c r="J11763">
        <v>1</v>
      </c>
      <c r="K11763">
        <v>1</v>
      </c>
      <c r="L11763">
        <v>1</v>
      </c>
      <c r="M11763">
        <v>0</v>
      </c>
      <c r="N11763">
        <v>0</v>
      </c>
      <c r="O11763">
        <v>0</v>
      </c>
      <c r="AF11763" t="s">
        <v>24162</v>
      </c>
    </row>
    <row r="11764" spans="1:32" hidden="1" x14ac:dyDescent="0.35">
      <c r="A11764">
        <v>11763</v>
      </c>
      <c r="B11764" t="s">
        <v>24163</v>
      </c>
      <c r="C11764" t="s">
        <v>33</v>
      </c>
      <c r="D11764" t="s">
        <v>58</v>
      </c>
      <c r="E11764">
        <v>1488</v>
      </c>
      <c r="F11764">
        <v>1</v>
      </c>
      <c r="G11764">
        <v>1</v>
      </c>
      <c r="H11764">
        <v>1</v>
      </c>
      <c r="I11764">
        <v>0</v>
      </c>
      <c r="J11764">
        <v>1</v>
      </c>
      <c r="K11764">
        <v>1</v>
      </c>
      <c r="L11764">
        <v>1</v>
      </c>
      <c r="M11764">
        <v>0</v>
      </c>
      <c r="N11764">
        <v>0</v>
      </c>
      <c r="O11764">
        <v>0</v>
      </c>
      <c r="P11764" t="s">
        <v>1247</v>
      </c>
      <c r="Q11764" t="s">
        <v>1248</v>
      </c>
      <c r="R11764" t="s">
        <v>12738</v>
      </c>
      <c r="S11764" t="s">
        <v>12739</v>
      </c>
      <c r="T11764" t="s">
        <v>13093</v>
      </c>
      <c r="U11764" t="s">
        <v>12741</v>
      </c>
      <c r="V11764" t="s">
        <v>12845</v>
      </c>
      <c r="W11764" t="s">
        <v>12846</v>
      </c>
      <c r="AD11764" t="s">
        <v>439</v>
      </c>
      <c r="AE11764" t="s">
        <v>471</v>
      </c>
      <c r="AF11764" t="s">
        <v>24164</v>
      </c>
    </row>
    <row r="11765" spans="1:32" hidden="1" x14ac:dyDescent="0.35">
      <c r="A11765">
        <v>11764</v>
      </c>
      <c r="B11765" t="s">
        <v>24165</v>
      </c>
      <c r="C11765" t="s">
        <v>33</v>
      </c>
      <c r="D11765" t="s">
        <v>58</v>
      </c>
      <c r="E11765">
        <v>1460</v>
      </c>
      <c r="F11765">
        <v>1</v>
      </c>
      <c r="G11765">
        <v>1</v>
      </c>
      <c r="H11765">
        <v>1</v>
      </c>
      <c r="I11765">
        <v>0</v>
      </c>
      <c r="J11765">
        <v>1</v>
      </c>
      <c r="K11765">
        <v>1</v>
      </c>
      <c r="L11765">
        <v>1</v>
      </c>
      <c r="M11765">
        <v>0</v>
      </c>
      <c r="N11765">
        <v>0</v>
      </c>
      <c r="O11765">
        <v>0</v>
      </c>
      <c r="AF11765" t="s">
        <v>24166</v>
      </c>
    </row>
    <row r="11766" spans="1:32" hidden="1" x14ac:dyDescent="0.35">
      <c r="A11766">
        <v>11765</v>
      </c>
      <c r="B11766" t="s">
        <v>24167</v>
      </c>
      <c r="C11766" t="s">
        <v>33</v>
      </c>
      <c r="D11766" t="s">
        <v>58</v>
      </c>
      <c r="E11766">
        <v>388</v>
      </c>
      <c r="F11766">
        <v>1</v>
      </c>
      <c r="G11766">
        <v>1</v>
      </c>
      <c r="H11766">
        <v>1</v>
      </c>
      <c r="I11766">
        <v>0</v>
      </c>
      <c r="J11766">
        <v>1</v>
      </c>
      <c r="K11766">
        <v>1</v>
      </c>
      <c r="L11766">
        <v>1</v>
      </c>
      <c r="M11766">
        <v>0</v>
      </c>
      <c r="N11766">
        <v>0</v>
      </c>
      <c r="O11766">
        <v>0</v>
      </c>
      <c r="AF11766" t="s">
        <v>24168</v>
      </c>
    </row>
    <row r="11767" spans="1:32" hidden="1" x14ac:dyDescent="0.35">
      <c r="A11767">
        <v>11766</v>
      </c>
      <c r="B11767" t="s">
        <v>24169</v>
      </c>
      <c r="C11767" t="s">
        <v>33</v>
      </c>
      <c r="D11767" t="s">
        <v>60</v>
      </c>
      <c r="E11767">
        <v>1134</v>
      </c>
      <c r="F11767">
        <v>1</v>
      </c>
      <c r="G11767">
        <v>1</v>
      </c>
      <c r="H11767">
        <v>1</v>
      </c>
      <c r="I11767">
        <v>0</v>
      </c>
      <c r="J11767">
        <v>1</v>
      </c>
      <c r="K11767">
        <v>1</v>
      </c>
      <c r="L11767">
        <v>1</v>
      </c>
      <c r="M11767">
        <v>0</v>
      </c>
      <c r="N11767">
        <v>0</v>
      </c>
      <c r="O11767">
        <v>0</v>
      </c>
      <c r="AF11767" t="s">
        <v>24170</v>
      </c>
    </row>
    <row r="11768" spans="1:32" hidden="1" x14ac:dyDescent="0.35">
      <c r="A11768">
        <v>11767</v>
      </c>
      <c r="B11768" t="s">
        <v>24171</v>
      </c>
      <c r="C11768" t="s">
        <v>33</v>
      </c>
      <c r="D11768" t="s">
        <v>58</v>
      </c>
      <c r="E11768">
        <v>746</v>
      </c>
      <c r="F11768">
        <v>1</v>
      </c>
      <c r="G11768">
        <v>1</v>
      </c>
      <c r="H11768">
        <v>1</v>
      </c>
      <c r="I11768">
        <v>0</v>
      </c>
      <c r="J11768">
        <v>1</v>
      </c>
      <c r="K11768">
        <v>1</v>
      </c>
      <c r="L11768">
        <v>1</v>
      </c>
      <c r="M11768">
        <v>0</v>
      </c>
      <c r="N11768">
        <v>0</v>
      </c>
      <c r="O11768">
        <v>0</v>
      </c>
      <c r="R11768" t="s">
        <v>1259</v>
      </c>
      <c r="S11768" t="s">
        <v>1260</v>
      </c>
      <c r="V11768" t="s">
        <v>14845</v>
      </c>
      <c r="W11768" t="s">
        <v>14846</v>
      </c>
      <c r="AF11768" t="s">
        <v>24172</v>
      </c>
    </row>
    <row r="11769" spans="1:32" hidden="1" x14ac:dyDescent="0.35">
      <c r="A11769">
        <v>11768</v>
      </c>
      <c r="B11769" t="s">
        <v>24173</v>
      </c>
      <c r="C11769" t="s">
        <v>33</v>
      </c>
      <c r="D11769" t="s">
        <v>34</v>
      </c>
      <c r="E11769">
        <v>144</v>
      </c>
      <c r="F11769">
        <v>1</v>
      </c>
      <c r="G11769">
        <v>1</v>
      </c>
      <c r="H11769">
        <v>1</v>
      </c>
      <c r="I11769">
        <v>0</v>
      </c>
      <c r="J11769">
        <v>1</v>
      </c>
      <c r="K11769">
        <v>1</v>
      </c>
      <c r="L11769">
        <v>1</v>
      </c>
      <c r="M11769">
        <v>0</v>
      </c>
      <c r="N11769">
        <v>0</v>
      </c>
      <c r="O11769">
        <v>0</v>
      </c>
      <c r="AF11769" t="s">
        <v>24174</v>
      </c>
    </row>
    <row r="11770" spans="1:32" hidden="1" x14ac:dyDescent="0.35">
      <c r="A11770">
        <v>11769</v>
      </c>
      <c r="B11770" t="s">
        <v>24175</v>
      </c>
      <c r="C11770" t="s">
        <v>33</v>
      </c>
      <c r="D11770" t="s">
        <v>58</v>
      </c>
      <c r="E11770">
        <v>13</v>
      </c>
      <c r="F11770">
        <v>1</v>
      </c>
      <c r="G11770">
        <v>1</v>
      </c>
      <c r="H11770">
        <v>1</v>
      </c>
      <c r="I11770">
        <v>0</v>
      </c>
      <c r="J11770">
        <v>1</v>
      </c>
      <c r="K11770">
        <v>1</v>
      </c>
      <c r="L11770">
        <v>1</v>
      </c>
      <c r="M11770">
        <v>0</v>
      </c>
      <c r="N11770">
        <v>0</v>
      </c>
      <c r="O11770">
        <v>0</v>
      </c>
      <c r="AF11770" t="s">
        <v>24176</v>
      </c>
    </row>
    <row r="11771" spans="1:32" hidden="1" x14ac:dyDescent="0.35">
      <c r="A11771">
        <v>11770</v>
      </c>
      <c r="B11771" t="s">
        <v>24177</v>
      </c>
      <c r="C11771" t="s">
        <v>33</v>
      </c>
      <c r="D11771" t="s">
        <v>58</v>
      </c>
      <c r="E11771">
        <v>896</v>
      </c>
      <c r="F11771">
        <v>1</v>
      </c>
      <c r="G11771">
        <v>1</v>
      </c>
      <c r="H11771">
        <v>1</v>
      </c>
      <c r="I11771">
        <v>0</v>
      </c>
      <c r="J11771">
        <v>1</v>
      </c>
      <c r="K11771">
        <v>1</v>
      </c>
      <c r="L11771">
        <v>1</v>
      </c>
      <c r="M11771">
        <v>0</v>
      </c>
      <c r="N11771">
        <v>0</v>
      </c>
      <c r="O11771">
        <v>0</v>
      </c>
      <c r="P11771" t="s">
        <v>10553</v>
      </c>
      <c r="Q11771" t="s">
        <v>10554</v>
      </c>
      <c r="R11771" t="s">
        <v>7230</v>
      </c>
      <c r="S11771" t="s">
        <v>7231</v>
      </c>
      <c r="T11771" t="s">
        <v>24178</v>
      </c>
      <c r="U11771" t="s">
        <v>24179</v>
      </c>
      <c r="V11771" t="s">
        <v>24180</v>
      </c>
      <c r="W11771" t="s">
        <v>24181</v>
      </c>
      <c r="X11771" t="s">
        <v>24180</v>
      </c>
      <c r="Y11771" t="s">
        <v>10001</v>
      </c>
      <c r="Z11771" t="s">
        <v>10562</v>
      </c>
      <c r="AA11771" t="s">
        <v>10563</v>
      </c>
      <c r="AB11771" t="s">
        <v>10562</v>
      </c>
      <c r="AC11771" t="s">
        <v>1156</v>
      </c>
      <c r="AD11771" t="s">
        <v>191</v>
      </c>
      <c r="AE11771" t="s">
        <v>10566</v>
      </c>
      <c r="AF11771" t="s">
        <v>24182</v>
      </c>
    </row>
    <row r="11772" spans="1:32" hidden="1" x14ac:dyDescent="0.35">
      <c r="A11772">
        <v>11771</v>
      </c>
      <c r="B11772" t="s">
        <v>24183</v>
      </c>
      <c r="C11772" t="s">
        <v>33</v>
      </c>
      <c r="D11772" t="s">
        <v>58</v>
      </c>
      <c r="E11772">
        <v>601</v>
      </c>
      <c r="F11772">
        <v>1</v>
      </c>
      <c r="G11772">
        <v>1</v>
      </c>
      <c r="H11772">
        <v>1</v>
      </c>
      <c r="I11772">
        <v>0</v>
      </c>
      <c r="J11772">
        <v>1</v>
      </c>
      <c r="K11772">
        <v>1</v>
      </c>
      <c r="L11772">
        <v>1</v>
      </c>
      <c r="M11772">
        <v>0</v>
      </c>
      <c r="N11772">
        <v>0</v>
      </c>
      <c r="O11772">
        <v>0</v>
      </c>
      <c r="AF11772" t="s">
        <v>24184</v>
      </c>
    </row>
    <row r="11773" spans="1:32" hidden="1" x14ac:dyDescent="0.35">
      <c r="A11773">
        <v>11772</v>
      </c>
      <c r="B11773" t="s">
        <v>24185</v>
      </c>
      <c r="C11773" t="s">
        <v>33</v>
      </c>
      <c r="D11773" t="s">
        <v>58</v>
      </c>
      <c r="E11773">
        <v>358</v>
      </c>
      <c r="F11773">
        <v>1</v>
      </c>
      <c r="G11773">
        <v>1</v>
      </c>
      <c r="H11773">
        <v>1</v>
      </c>
      <c r="I11773">
        <v>0</v>
      </c>
      <c r="J11773">
        <v>1</v>
      </c>
      <c r="K11773">
        <v>1</v>
      </c>
      <c r="L11773">
        <v>1</v>
      </c>
      <c r="M11773">
        <v>0</v>
      </c>
      <c r="N11773">
        <v>0</v>
      </c>
      <c r="O11773">
        <v>0</v>
      </c>
      <c r="P11773" t="s">
        <v>10712</v>
      </c>
      <c r="Q11773" t="s">
        <v>10713</v>
      </c>
      <c r="AF11773" t="s">
        <v>24186</v>
      </c>
    </row>
    <row r="11774" spans="1:32" hidden="1" x14ac:dyDescent="0.35">
      <c r="A11774">
        <v>11773</v>
      </c>
      <c r="B11774" t="s">
        <v>24187</v>
      </c>
      <c r="C11774" t="s">
        <v>33</v>
      </c>
      <c r="D11774" t="s">
        <v>60</v>
      </c>
      <c r="E11774">
        <v>20</v>
      </c>
      <c r="F11774">
        <v>1</v>
      </c>
      <c r="G11774">
        <v>1</v>
      </c>
      <c r="H11774">
        <v>1</v>
      </c>
      <c r="I11774">
        <v>0</v>
      </c>
      <c r="J11774">
        <v>1</v>
      </c>
      <c r="K11774">
        <v>1</v>
      </c>
      <c r="L11774">
        <v>1</v>
      </c>
      <c r="M11774">
        <v>0</v>
      </c>
      <c r="N11774">
        <v>0</v>
      </c>
      <c r="O11774">
        <v>0</v>
      </c>
      <c r="P11774" t="s">
        <v>12377</v>
      </c>
      <c r="Q11774" t="s">
        <v>2878</v>
      </c>
      <c r="R11774" t="s">
        <v>12275</v>
      </c>
      <c r="S11774" t="s">
        <v>12276</v>
      </c>
      <c r="V11774" t="s">
        <v>12277</v>
      </c>
      <c r="W11774" t="s">
        <v>12278</v>
      </c>
      <c r="AF11774" t="s">
        <v>24188</v>
      </c>
    </row>
    <row r="11775" spans="1:32" hidden="1" x14ac:dyDescent="0.35">
      <c r="A11775">
        <v>11774</v>
      </c>
      <c r="B11775" t="s">
        <v>24189</v>
      </c>
      <c r="C11775" t="s">
        <v>33</v>
      </c>
      <c r="D11775" t="s">
        <v>58</v>
      </c>
      <c r="E11775">
        <v>912</v>
      </c>
      <c r="F11775">
        <v>1</v>
      </c>
      <c r="G11775">
        <v>1</v>
      </c>
      <c r="H11775">
        <v>1</v>
      </c>
      <c r="I11775">
        <v>0</v>
      </c>
      <c r="J11775">
        <v>1</v>
      </c>
      <c r="K11775">
        <v>1</v>
      </c>
      <c r="L11775">
        <v>1</v>
      </c>
      <c r="M11775">
        <v>0</v>
      </c>
      <c r="N11775">
        <v>0</v>
      </c>
      <c r="O11775">
        <v>0</v>
      </c>
      <c r="AF11775" t="s">
        <v>24190</v>
      </c>
    </row>
    <row r="11776" spans="1:32" hidden="1" x14ac:dyDescent="0.35">
      <c r="A11776">
        <v>11775</v>
      </c>
      <c r="B11776" t="s">
        <v>24191</v>
      </c>
      <c r="C11776" t="s">
        <v>33</v>
      </c>
      <c r="D11776" t="s">
        <v>45</v>
      </c>
      <c r="E11776">
        <v>1158</v>
      </c>
      <c r="F11776">
        <v>1</v>
      </c>
      <c r="G11776">
        <v>1</v>
      </c>
      <c r="H11776">
        <v>1</v>
      </c>
      <c r="I11776">
        <v>0</v>
      </c>
      <c r="J11776">
        <v>1</v>
      </c>
      <c r="K11776">
        <v>1</v>
      </c>
      <c r="L11776">
        <v>1</v>
      </c>
      <c r="M11776">
        <v>0</v>
      </c>
      <c r="N11776">
        <v>0</v>
      </c>
      <c r="O11776">
        <v>0</v>
      </c>
      <c r="AF11776" t="s">
        <v>24192</v>
      </c>
    </row>
    <row r="11777" spans="1:32" hidden="1" x14ac:dyDescent="0.35">
      <c r="A11777">
        <v>979</v>
      </c>
      <c r="B11777" t="s">
        <v>2033</v>
      </c>
      <c r="C11777" t="s">
        <v>72</v>
      </c>
      <c r="D11777" t="s">
        <v>58</v>
      </c>
      <c r="E11777">
        <v>587</v>
      </c>
      <c r="F11777">
        <v>5</v>
      </c>
      <c r="G11777">
        <v>5</v>
      </c>
      <c r="H11777">
        <v>1</v>
      </c>
      <c r="I11777">
        <v>1</v>
      </c>
      <c r="J11777">
        <v>0.73938736131210803</v>
      </c>
      <c r="K11777">
        <v>0.73246846611332606</v>
      </c>
      <c r="L11777">
        <v>0.73591165155242899</v>
      </c>
      <c r="M11777">
        <v>0.326340326340326</v>
      </c>
      <c r="N11777">
        <v>1</v>
      </c>
      <c r="O11777">
        <v>0.54568764568764605</v>
      </c>
      <c r="P11777" t="s">
        <v>2034</v>
      </c>
      <c r="Q11777" t="s">
        <v>2035</v>
      </c>
      <c r="R11777" t="s">
        <v>869</v>
      </c>
      <c r="S11777" t="s">
        <v>870</v>
      </c>
      <c r="V11777" t="s">
        <v>2036</v>
      </c>
      <c r="W11777" t="s">
        <v>2037</v>
      </c>
      <c r="X11777" t="s">
        <v>2036</v>
      </c>
      <c r="Y11777" t="s">
        <v>2038</v>
      </c>
      <c r="AF11777" t="e">
        <f>-----MNKP------QAGHWVLAALGKKVLRPGGRETTEFLLNHCPITGARVVEFAPGLGITAAEILSRTPRSYVGVDADPSACETTRRRLNEL-----QPPCQVSVRECPADATGLEDGSADVVVGEAMLSMQTDAHKLAIMREAARILRTGGIYAIHELLLTPAELDEESKTAIQRDLARAIKVNARPLTIDEWSDLATQAGFEVVKTFTTSMSLLEPRRLIADEGL-GVFKIAFNLLRQPQLRKRVVTMRATFSKHAEHLGAIGLVLK---------------------------------------------------------------------------------------------------------------------------------------------------------KSDVS</f>
        <v>#NAME?</v>
      </c>
    </row>
    <row r="11778" spans="1:32" hidden="1" x14ac:dyDescent="0.35">
      <c r="A11778">
        <v>11777</v>
      </c>
      <c r="B11778" t="s">
        <v>24195</v>
      </c>
      <c r="C11778" t="s">
        <v>33</v>
      </c>
      <c r="D11778" t="s">
        <v>58</v>
      </c>
      <c r="E11778">
        <v>235</v>
      </c>
      <c r="F11778">
        <v>1</v>
      </c>
      <c r="G11778">
        <v>1</v>
      </c>
      <c r="H11778">
        <v>1</v>
      </c>
      <c r="I11778">
        <v>0</v>
      </c>
      <c r="J11778">
        <v>1</v>
      </c>
      <c r="K11778">
        <v>1</v>
      </c>
      <c r="L11778">
        <v>1</v>
      </c>
      <c r="M11778">
        <v>0</v>
      </c>
      <c r="N11778">
        <v>0</v>
      </c>
      <c r="O11778">
        <v>0</v>
      </c>
      <c r="P11778" t="s">
        <v>24196</v>
      </c>
      <c r="Q11778" t="s">
        <v>5233</v>
      </c>
      <c r="R11778" t="s">
        <v>288</v>
      </c>
      <c r="S11778" t="s">
        <v>289</v>
      </c>
      <c r="V11778" t="s">
        <v>24197</v>
      </c>
      <c r="W11778" t="s">
        <v>24198</v>
      </c>
      <c r="AF11778" t="s">
        <v>24199</v>
      </c>
    </row>
    <row r="11779" spans="1:32" hidden="1" x14ac:dyDescent="0.35">
      <c r="A11779">
        <v>11778</v>
      </c>
      <c r="B11779" t="s">
        <v>24200</v>
      </c>
      <c r="C11779" t="s">
        <v>33</v>
      </c>
      <c r="D11779" t="s">
        <v>34</v>
      </c>
      <c r="E11779">
        <v>1268</v>
      </c>
      <c r="F11779">
        <v>1</v>
      </c>
      <c r="G11779">
        <v>1</v>
      </c>
      <c r="H11779">
        <v>1</v>
      </c>
      <c r="I11779">
        <v>0</v>
      </c>
      <c r="J11779">
        <v>1</v>
      </c>
      <c r="K11779">
        <v>1</v>
      </c>
      <c r="L11779">
        <v>1</v>
      </c>
      <c r="M11779">
        <v>0</v>
      </c>
      <c r="N11779">
        <v>0</v>
      </c>
      <c r="O11779">
        <v>0</v>
      </c>
      <c r="P11779" t="s">
        <v>12924</v>
      </c>
      <c r="Q11779" t="s">
        <v>12925</v>
      </c>
      <c r="AF11779" t="s">
        <v>24201</v>
      </c>
    </row>
    <row r="11780" spans="1:32" hidden="1" x14ac:dyDescent="0.35">
      <c r="A11780">
        <v>1999</v>
      </c>
      <c r="B11780" t="s">
        <v>4141</v>
      </c>
      <c r="C11780" t="s">
        <v>72</v>
      </c>
      <c r="D11780" t="s">
        <v>58</v>
      </c>
      <c r="E11780">
        <v>207</v>
      </c>
      <c r="F11780">
        <v>5</v>
      </c>
      <c r="G11780">
        <v>5</v>
      </c>
      <c r="H11780">
        <v>1</v>
      </c>
      <c r="I11780">
        <v>1</v>
      </c>
      <c r="J11780">
        <v>0.835048599199543</v>
      </c>
      <c r="K11780">
        <v>0.87113844471778101</v>
      </c>
      <c r="L11780">
        <v>0.85271182964826298</v>
      </c>
      <c r="M11780">
        <v>0.57933579335793395</v>
      </c>
      <c r="N11780">
        <v>1</v>
      </c>
      <c r="O11780">
        <v>0.71586715867158701</v>
      </c>
      <c r="P11780" t="s">
        <v>4142</v>
      </c>
      <c r="Q11780" t="s">
        <v>4143</v>
      </c>
      <c r="R11780" t="s">
        <v>869</v>
      </c>
      <c r="S11780" t="s">
        <v>870</v>
      </c>
      <c r="T11780" t="s">
        <v>4144</v>
      </c>
      <c r="U11780" t="s">
        <v>4145</v>
      </c>
      <c r="V11780" t="s">
        <v>2036</v>
      </c>
      <c r="W11780" t="s">
        <v>2037</v>
      </c>
      <c r="X11780" t="s">
        <v>2036</v>
      </c>
      <c r="Y11780" t="s">
        <v>2038</v>
      </c>
      <c r="Z11780" t="s">
        <v>4146</v>
      </c>
      <c r="AA11780" t="s">
        <v>4147</v>
      </c>
      <c r="AB11780" t="s">
        <v>4146</v>
      </c>
      <c r="AC11780" t="s">
        <v>1742</v>
      </c>
      <c r="AD11780" t="s">
        <v>191</v>
      </c>
      <c r="AE11780" t="s">
        <v>4148</v>
      </c>
      <c r="AF11780" t="s">
        <v>4149</v>
      </c>
    </row>
    <row r="11781" spans="1:32" hidden="1" x14ac:dyDescent="0.35">
      <c r="A11781">
        <v>11780</v>
      </c>
      <c r="B11781" t="s">
        <v>24204</v>
      </c>
      <c r="C11781" t="s">
        <v>33</v>
      </c>
      <c r="D11781" t="s">
        <v>58</v>
      </c>
      <c r="E11781">
        <v>1201</v>
      </c>
      <c r="F11781">
        <v>1</v>
      </c>
      <c r="G11781">
        <v>1</v>
      </c>
      <c r="H11781">
        <v>1</v>
      </c>
      <c r="I11781">
        <v>0</v>
      </c>
      <c r="J11781">
        <v>1</v>
      </c>
      <c r="K11781">
        <v>1</v>
      </c>
      <c r="L11781">
        <v>1</v>
      </c>
      <c r="M11781">
        <v>0</v>
      </c>
      <c r="N11781">
        <v>0</v>
      </c>
      <c r="O11781">
        <v>0</v>
      </c>
      <c r="AF11781" t="s">
        <v>24205</v>
      </c>
    </row>
    <row r="11782" spans="1:32" hidden="1" x14ac:dyDescent="0.35">
      <c r="A11782">
        <v>3859</v>
      </c>
      <c r="B11782" t="s">
        <v>7962</v>
      </c>
      <c r="C11782" t="s">
        <v>72</v>
      </c>
      <c r="D11782" t="s">
        <v>58</v>
      </c>
      <c r="E11782">
        <v>1781</v>
      </c>
      <c r="F11782">
        <v>5</v>
      </c>
      <c r="G11782">
        <v>5</v>
      </c>
      <c r="H11782">
        <v>1</v>
      </c>
      <c r="I11782">
        <v>1</v>
      </c>
      <c r="J11782">
        <v>0.75302727877578202</v>
      </c>
      <c r="K11782">
        <v>0.90515154663273301</v>
      </c>
      <c r="L11782">
        <v>0.822111337566519</v>
      </c>
      <c r="M11782">
        <v>0.57194244604316502</v>
      </c>
      <c r="N11782">
        <v>0.99640287769784197</v>
      </c>
      <c r="O11782">
        <v>0.66618705035971204</v>
      </c>
      <c r="P11782" t="s">
        <v>2041</v>
      </c>
      <c r="Q11782" t="s">
        <v>2035</v>
      </c>
      <c r="R11782" t="s">
        <v>869</v>
      </c>
      <c r="S11782" t="s">
        <v>870</v>
      </c>
      <c r="V11782" t="s">
        <v>2036</v>
      </c>
      <c r="W11782" t="s">
        <v>2037</v>
      </c>
      <c r="X11782" t="s">
        <v>2036</v>
      </c>
      <c r="Y11782" t="s">
        <v>2038</v>
      </c>
      <c r="AF11782" t="s">
        <v>7963</v>
      </c>
    </row>
    <row r="11783" spans="1:32" hidden="1" x14ac:dyDescent="0.35">
      <c r="A11783">
        <v>4454</v>
      </c>
      <c r="B11783" t="s">
        <v>9268</v>
      </c>
      <c r="C11783" t="s">
        <v>72</v>
      </c>
      <c r="D11783" t="s">
        <v>58</v>
      </c>
      <c r="E11783">
        <v>722</v>
      </c>
      <c r="F11783">
        <v>5</v>
      </c>
      <c r="G11783">
        <v>5</v>
      </c>
      <c r="H11783">
        <v>1</v>
      </c>
      <c r="I11783">
        <v>1</v>
      </c>
      <c r="J11783">
        <v>0.80124223602484501</v>
      </c>
      <c r="K11783">
        <v>0.97605332605332695</v>
      </c>
      <c r="L11783">
        <v>0.88005075366531205</v>
      </c>
      <c r="M11783">
        <v>0.59932659932659904</v>
      </c>
      <c r="N11783">
        <v>0.99663299663299698</v>
      </c>
      <c r="O11783">
        <v>0.73265993265993301</v>
      </c>
      <c r="P11783" t="s">
        <v>2041</v>
      </c>
      <c r="Q11783" t="s">
        <v>2035</v>
      </c>
      <c r="R11783" t="s">
        <v>869</v>
      </c>
      <c r="S11783" t="s">
        <v>870</v>
      </c>
      <c r="T11783" t="s">
        <v>9269</v>
      </c>
      <c r="U11783" t="s">
        <v>9270</v>
      </c>
      <c r="V11783" t="s">
        <v>2036</v>
      </c>
      <c r="W11783" t="s">
        <v>2037</v>
      </c>
      <c r="X11783" t="s">
        <v>2036</v>
      </c>
      <c r="Y11783" t="s">
        <v>2038</v>
      </c>
      <c r="AD11783" t="s">
        <v>1170</v>
      </c>
      <c r="AE11783" t="s">
        <v>9271</v>
      </c>
      <c r="AF11783" t="s">
        <v>9272</v>
      </c>
    </row>
    <row r="11784" spans="1:32" hidden="1" x14ac:dyDescent="0.35">
      <c r="A11784">
        <v>11783</v>
      </c>
      <c r="B11784" t="s">
        <v>24210</v>
      </c>
      <c r="C11784" t="s">
        <v>33</v>
      </c>
      <c r="D11784" t="s">
        <v>60</v>
      </c>
      <c r="E11784">
        <v>691</v>
      </c>
      <c r="F11784">
        <v>1</v>
      </c>
      <c r="G11784">
        <v>1</v>
      </c>
      <c r="H11784">
        <v>1</v>
      </c>
      <c r="I11784">
        <v>0</v>
      </c>
      <c r="J11784">
        <v>1</v>
      </c>
      <c r="K11784">
        <v>1</v>
      </c>
      <c r="L11784">
        <v>1</v>
      </c>
      <c r="M11784">
        <v>0</v>
      </c>
      <c r="N11784">
        <v>0</v>
      </c>
      <c r="O11784">
        <v>0</v>
      </c>
      <c r="AF11784" t="s">
        <v>24211</v>
      </c>
    </row>
    <row r="11785" spans="1:32" hidden="1" x14ac:dyDescent="0.35">
      <c r="A11785">
        <v>11784</v>
      </c>
      <c r="B11785" t="s">
        <v>24212</v>
      </c>
      <c r="C11785" t="s">
        <v>33</v>
      </c>
      <c r="D11785" t="s">
        <v>34</v>
      </c>
      <c r="E11785">
        <v>122</v>
      </c>
      <c r="F11785">
        <v>1</v>
      </c>
      <c r="G11785">
        <v>1</v>
      </c>
      <c r="H11785">
        <v>1</v>
      </c>
      <c r="I11785">
        <v>0</v>
      </c>
      <c r="J11785">
        <v>1</v>
      </c>
      <c r="K11785">
        <v>1</v>
      </c>
      <c r="L11785">
        <v>1</v>
      </c>
      <c r="M11785">
        <v>0</v>
      </c>
      <c r="N11785">
        <v>0</v>
      </c>
      <c r="O11785">
        <v>0</v>
      </c>
      <c r="AF11785" t="s">
        <v>24213</v>
      </c>
    </row>
    <row r="11786" spans="1:32" hidden="1" x14ac:dyDescent="0.35">
      <c r="A11786">
        <v>11785</v>
      </c>
      <c r="B11786" t="s">
        <v>24214</v>
      </c>
      <c r="C11786" t="s">
        <v>33</v>
      </c>
      <c r="D11786" t="s">
        <v>62</v>
      </c>
      <c r="E11786">
        <v>2098</v>
      </c>
      <c r="F11786">
        <v>1</v>
      </c>
      <c r="G11786">
        <v>1</v>
      </c>
      <c r="H11786">
        <v>1</v>
      </c>
      <c r="I11786">
        <v>0</v>
      </c>
      <c r="J11786">
        <v>1</v>
      </c>
      <c r="K11786">
        <v>1</v>
      </c>
      <c r="L11786">
        <v>1</v>
      </c>
      <c r="M11786">
        <v>0</v>
      </c>
      <c r="N11786">
        <v>0</v>
      </c>
      <c r="O11786">
        <v>0</v>
      </c>
      <c r="AF11786" t="s">
        <v>24215</v>
      </c>
    </row>
    <row r="11787" spans="1:32" hidden="1" x14ac:dyDescent="0.35">
      <c r="A11787">
        <v>11786</v>
      </c>
      <c r="B11787" t="s">
        <v>24216</v>
      </c>
      <c r="C11787" t="s">
        <v>33</v>
      </c>
      <c r="D11787" t="s">
        <v>58</v>
      </c>
      <c r="E11787">
        <v>449</v>
      </c>
      <c r="F11787">
        <v>1</v>
      </c>
      <c r="G11787">
        <v>1</v>
      </c>
      <c r="H11787">
        <v>1</v>
      </c>
      <c r="I11787">
        <v>0</v>
      </c>
      <c r="J11787">
        <v>1</v>
      </c>
      <c r="K11787">
        <v>1</v>
      </c>
      <c r="L11787">
        <v>1</v>
      </c>
      <c r="M11787">
        <v>0</v>
      </c>
      <c r="N11787">
        <v>0</v>
      </c>
      <c r="O11787">
        <v>0</v>
      </c>
      <c r="P11787" t="s">
        <v>17086</v>
      </c>
      <c r="Q11787" t="s">
        <v>17087</v>
      </c>
      <c r="AF11787" t="s">
        <v>24217</v>
      </c>
    </row>
    <row r="11788" spans="1:32" hidden="1" x14ac:dyDescent="0.35">
      <c r="A11788">
        <v>11787</v>
      </c>
      <c r="B11788" t="s">
        <v>24218</v>
      </c>
      <c r="C11788" t="s">
        <v>33</v>
      </c>
      <c r="D11788" t="s">
        <v>45</v>
      </c>
      <c r="E11788">
        <v>125</v>
      </c>
      <c r="F11788">
        <v>1</v>
      </c>
      <c r="G11788">
        <v>1</v>
      </c>
      <c r="H11788">
        <v>1</v>
      </c>
      <c r="I11788">
        <v>0</v>
      </c>
      <c r="J11788">
        <v>1</v>
      </c>
      <c r="K11788">
        <v>1</v>
      </c>
      <c r="L11788">
        <v>1</v>
      </c>
      <c r="M11788">
        <v>0</v>
      </c>
      <c r="N11788">
        <v>0</v>
      </c>
      <c r="O11788">
        <v>0</v>
      </c>
      <c r="AF11788" t="s">
        <v>24219</v>
      </c>
    </row>
    <row r="11789" spans="1:32" hidden="1" x14ac:dyDescent="0.35">
      <c r="A11789">
        <v>11856</v>
      </c>
      <c r="B11789" t="s">
        <v>24389</v>
      </c>
      <c r="C11789" t="s">
        <v>33</v>
      </c>
      <c r="D11789" t="s">
        <v>58</v>
      </c>
      <c r="E11789">
        <v>322</v>
      </c>
      <c r="F11789">
        <v>1</v>
      </c>
      <c r="G11789">
        <v>1</v>
      </c>
      <c r="H11789">
        <v>1</v>
      </c>
      <c r="I11789">
        <v>0</v>
      </c>
      <c r="J11789">
        <v>1</v>
      </c>
      <c r="K11789">
        <v>1</v>
      </c>
      <c r="L11789">
        <v>1</v>
      </c>
      <c r="M11789">
        <v>0</v>
      </c>
      <c r="N11789">
        <v>0</v>
      </c>
      <c r="O11789">
        <v>0</v>
      </c>
      <c r="P11789" t="s">
        <v>14319</v>
      </c>
      <c r="Q11789" t="s">
        <v>2035</v>
      </c>
      <c r="R11789" t="s">
        <v>869</v>
      </c>
      <c r="S11789" t="s">
        <v>870</v>
      </c>
      <c r="V11789" t="s">
        <v>2036</v>
      </c>
      <c r="W11789" t="s">
        <v>2037</v>
      </c>
      <c r="X11789" t="s">
        <v>2036</v>
      </c>
      <c r="Y11789" t="s">
        <v>2038</v>
      </c>
      <c r="AF11789" t="s">
        <v>24390</v>
      </c>
    </row>
    <row r="11790" spans="1:32" hidden="1" x14ac:dyDescent="0.35">
      <c r="A11790">
        <v>11789</v>
      </c>
      <c r="B11790" t="s">
        <v>24222</v>
      </c>
      <c r="C11790" t="s">
        <v>33</v>
      </c>
      <c r="D11790" t="s">
        <v>34</v>
      </c>
      <c r="E11790">
        <v>37</v>
      </c>
      <c r="F11790">
        <v>1</v>
      </c>
      <c r="G11790">
        <v>1</v>
      </c>
      <c r="H11790">
        <v>1</v>
      </c>
      <c r="I11790">
        <v>0</v>
      </c>
      <c r="J11790">
        <v>1</v>
      </c>
      <c r="K11790">
        <v>1</v>
      </c>
      <c r="L11790">
        <v>1</v>
      </c>
      <c r="M11790">
        <v>0</v>
      </c>
      <c r="N11790">
        <v>0</v>
      </c>
      <c r="O11790">
        <v>0</v>
      </c>
      <c r="P11790" t="s">
        <v>24223</v>
      </c>
      <c r="Q11790" t="s">
        <v>24224</v>
      </c>
      <c r="AF11790" t="s">
        <v>24225</v>
      </c>
    </row>
    <row r="11791" spans="1:32" hidden="1" x14ac:dyDescent="0.35">
      <c r="A11791">
        <v>11790</v>
      </c>
      <c r="B11791" t="s">
        <v>24226</v>
      </c>
      <c r="C11791" t="s">
        <v>33</v>
      </c>
      <c r="D11791" t="s">
        <v>58</v>
      </c>
      <c r="E11791">
        <v>326</v>
      </c>
      <c r="F11791">
        <v>1</v>
      </c>
      <c r="G11791">
        <v>1</v>
      </c>
      <c r="H11791">
        <v>1</v>
      </c>
      <c r="I11791">
        <v>0</v>
      </c>
      <c r="J11791">
        <v>1</v>
      </c>
      <c r="K11791">
        <v>1</v>
      </c>
      <c r="L11791">
        <v>1</v>
      </c>
      <c r="M11791">
        <v>0</v>
      </c>
      <c r="N11791">
        <v>0</v>
      </c>
      <c r="O11791">
        <v>0</v>
      </c>
      <c r="AF11791" t="s">
        <v>24227</v>
      </c>
    </row>
    <row r="11792" spans="1:32" hidden="1" x14ac:dyDescent="0.35">
      <c r="A11792">
        <v>11791</v>
      </c>
      <c r="B11792" t="s">
        <v>24228</v>
      </c>
      <c r="C11792" t="s">
        <v>33</v>
      </c>
      <c r="D11792" t="s">
        <v>58</v>
      </c>
      <c r="E11792">
        <v>524</v>
      </c>
      <c r="F11792">
        <v>1</v>
      </c>
      <c r="G11792">
        <v>1</v>
      </c>
      <c r="H11792">
        <v>1</v>
      </c>
      <c r="I11792">
        <v>0</v>
      </c>
      <c r="J11792">
        <v>1</v>
      </c>
      <c r="K11792">
        <v>1</v>
      </c>
      <c r="L11792">
        <v>1</v>
      </c>
      <c r="M11792">
        <v>0</v>
      </c>
      <c r="N11792">
        <v>0</v>
      </c>
      <c r="O11792">
        <v>0</v>
      </c>
      <c r="AF11792" t="s">
        <v>24229</v>
      </c>
    </row>
    <row r="11793" spans="1:32" hidden="1" x14ac:dyDescent="0.35">
      <c r="A11793">
        <v>11792</v>
      </c>
      <c r="B11793" t="s">
        <v>24230</v>
      </c>
      <c r="C11793" t="s">
        <v>33</v>
      </c>
      <c r="D11793" t="s">
        <v>60</v>
      </c>
      <c r="E11793">
        <v>1808</v>
      </c>
      <c r="F11793">
        <v>1</v>
      </c>
      <c r="G11793">
        <v>1</v>
      </c>
      <c r="H11793">
        <v>1</v>
      </c>
      <c r="I11793">
        <v>0</v>
      </c>
      <c r="J11793">
        <v>1</v>
      </c>
      <c r="K11793">
        <v>1</v>
      </c>
      <c r="L11793">
        <v>1</v>
      </c>
      <c r="M11793">
        <v>0</v>
      </c>
      <c r="N11793">
        <v>0</v>
      </c>
      <c r="O11793">
        <v>0</v>
      </c>
      <c r="AF11793" t="s">
        <v>24231</v>
      </c>
    </row>
    <row r="11794" spans="1:32" hidden="1" x14ac:dyDescent="0.35">
      <c r="A11794">
        <v>4484</v>
      </c>
      <c r="B11794" t="s">
        <v>9333</v>
      </c>
      <c r="C11794" t="s">
        <v>72</v>
      </c>
      <c r="D11794" t="s">
        <v>58</v>
      </c>
      <c r="E11794">
        <v>1802</v>
      </c>
      <c r="F11794">
        <v>5</v>
      </c>
      <c r="G11794">
        <v>5</v>
      </c>
      <c r="H11794">
        <v>1</v>
      </c>
      <c r="I11794">
        <v>1</v>
      </c>
      <c r="J11794">
        <v>0.89436080632814496</v>
      </c>
      <c r="K11794">
        <v>0.95050894473307102</v>
      </c>
      <c r="L11794">
        <v>0.92158044842416198</v>
      </c>
      <c r="M11794">
        <v>0.77723970944309895</v>
      </c>
      <c r="N11794">
        <v>0.99515738498789297</v>
      </c>
      <c r="O11794">
        <v>0.83486682808716695</v>
      </c>
      <c r="P11794" t="s">
        <v>9334</v>
      </c>
      <c r="Q11794" t="s">
        <v>9335</v>
      </c>
      <c r="R11794" t="s">
        <v>157</v>
      </c>
      <c r="S11794" t="s">
        <v>158</v>
      </c>
      <c r="T11794" t="s">
        <v>9336</v>
      </c>
      <c r="U11794" t="s">
        <v>9337</v>
      </c>
      <c r="V11794" t="s">
        <v>9338</v>
      </c>
      <c r="W11794" t="s">
        <v>9339</v>
      </c>
      <c r="AD11794" t="s">
        <v>951</v>
      </c>
      <c r="AE11794" t="s">
        <v>9340</v>
      </c>
      <c r="AF11794" t="s">
        <v>9341</v>
      </c>
    </row>
    <row r="11795" spans="1:32" hidden="1" x14ac:dyDescent="0.35">
      <c r="A11795">
        <v>11794</v>
      </c>
      <c r="B11795" t="s">
        <v>24234</v>
      </c>
      <c r="C11795" t="s">
        <v>33</v>
      </c>
      <c r="D11795" t="s">
        <v>58</v>
      </c>
      <c r="E11795">
        <v>460</v>
      </c>
      <c r="F11795">
        <v>1</v>
      </c>
      <c r="G11795">
        <v>1</v>
      </c>
      <c r="H11795">
        <v>1</v>
      </c>
      <c r="I11795">
        <v>0</v>
      </c>
      <c r="J11795">
        <v>1</v>
      </c>
      <c r="K11795">
        <v>1</v>
      </c>
      <c r="L11795">
        <v>1</v>
      </c>
      <c r="M11795">
        <v>0</v>
      </c>
      <c r="N11795">
        <v>0</v>
      </c>
      <c r="O11795">
        <v>0</v>
      </c>
      <c r="AF11795" t="s">
        <v>24235</v>
      </c>
    </row>
    <row r="11796" spans="1:32" hidden="1" x14ac:dyDescent="0.35">
      <c r="A11796">
        <v>11795</v>
      </c>
      <c r="B11796" t="s">
        <v>24236</v>
      </c>
      <c r="C11796" t="s">
        <v>33</v>
      </c>
      <c r="D11796" t="s">
        <v>58</v>
      </c>
      <c r="E11796">
        <v>1575</v>
      </c>
      <c r="F11796">
        <v>1</v>
      </c>
      <c r="G11796">
        <v>1</v>
      </c>
      <c r="H11796">
        <v>1</v>
      </c>
      <c r="I11796">
        <v>0</v>
      </c>
      <c r="J11796">
        <v>1</v>
      </c>
      <c r="K11796">
        <v>1</v>
      </c>
      <c r="L11796">
        <v>1</v>
      </c>
      <c r="M11796">
        <v>0</v>
      </c>
      <c r="N11796">
        <v>0</v>
      </c>
      <c r="O11796">
        <v>0</v>
      </c>
      <c r="P11796" t="s">
        <v>13160</v>
      </c>
      <c r="Q11796" t="s">
        <v>13161</v>
      </c>
      <c r="AF11796" t="s">
        <v>24237</v>
      </c>
    </row>
    <row r="11797" spans="1:32" hidden="1" x14ac:dyDescent="0.35">
      <c r="A11797">
        <v>11796</v>
      </c>
      <c r="B11797" t="s">
        <v>24238</v>
      </c>
      <c r="C11797" t="s">
        <v>33</v>
      </c>
      <c r="D11797" t="s">
        <v>58</v>
      </c>
      <c r="E11797">
        <v>841</v>
      </c>
      <c r="F11797">
        <v>1</v>
      </c>
      <c r="G11797">
        <v>1</v>
      </c>
      <c r="H11797">
        <v>1</v>
      </c>
      <c r="I11797">
        <v>0</v>
      </c>
      <c r="J11797">
        <v>1</v>
      </c>
      <c r="K11797">
        <v>1</v>
      </c>
      <c r="L11797">
        <v>1</v>
      </c>
      <c r="M11797">
        <v>0</v>
      </c>
      <c r="N11797">
        <v>0</v>
      </c>
      <c r="O11797">
        <v>0</v>
      </c>
      <c r="AF11797" t="s">
        <v>24239</v>
      </c>
    </row>
    <row r="11798" spans="1:32" hidden="1" x14ac:dyDescent="0.35">
      <c r="A11798">
        <v>11797</v>
      </c>
      <c r="B11798" t="s">
        <v>24240</v>
      </c>
      <c r="C11798" t="s">
        <v>33</v>
      </c>
      <c r="D11798" t="s">
        <v>58</v>
      </c>
      <c r="E11798">
        <v>1714</v>
      </c>
      <c r="F11798">
        <v>1</v>
      </c>
      <c r="G11798">
        <v>1</v>
      </c>
      <c r="H11798">
        <v>1</v>
      </c>
      <c r="I11798">
        <v>0</v>
      </c>
      <c r="J11798">
        <v>1</v>
      </c>
      <c r="K11798">
        <v>1</v>
      </c>
      <c r="L11798">
        <v>1</v>
      </c>
      <c r="M11798">
        <v>0</v>
      </c>
      <c r="N11798">
        <v>0</v>
      </c>
      <c r="O11798">
        <v>0</v>
      </c>
      <c r="AF11798" t="s">
        <v>24241</v>
      </c>
    </row>
    <row r="11799" spans="1:32" hidden="1" x14ac:dyDescent="0.35">
      <c r="A11799">
        <v>5688</v>
      </c>
      <c r="B11799" t="s">
        <v>11757</v>
      </c>
      <c r="C11799" t="s">
        <v>57</v>
      </c>
      <c r="D11799" t="s">
        <v>58</v>
      </c>
      <c r="E11799">
        <v>1083</v>
      </c>
      <c r="F11799">
        <v>3</v>
      </c>
      <c r="G11799">
        <v>4</v>
      </c>
      <c r="H11799">
        <v>2</v>
      </c>
      <c r="I11799">
        <v>0</v>
      </c>
      <c r="J11799">
        <v>0.83463287849252799</v>
      </c>
      <c r="K11799">
        <v>0.63055754526827501</v>
      </c>
      <c r="L11799">
        <v>0.718383154199977</v>
      </c>
      <c r="M11799">
        <v>0.10662824207492801</v>
      </c>
      <c r="N11799">
        <v>0.68299711815562003</v>
      </c>
      <c r="O11799">
        <v>0.41306436119116202</v>
      </c>
      <c r="P11799" t="s">
        <v>416</v>
      </c>
      <c r="Q11799" t="s">
        <v>417</v>
      </c>
      <c r="R11799" t="s">
        <v>157</v>
      </c>
      <c r="S11799" t="s">
        <v>158</v>
      </c>
      <c r="T11799" t="s">
        <v>10495</v>
      </c>
      <c r="U11799" t="s">
        <v>10496</v>
      </c>
      <c r="V11799" t="s">
        <v>10497</v>
      </c>
      <c r="W11799" t="s">
        <v>10498</v>
      </c>
      <c r="Z11799" t="s">
        <v>10499</v>
      </c>
      <c r="AA11799" t="s">
        <v>10500</v>
      </c>
      <c r="AB11799" t="s">
        <v>10499</v>
      </c>
      <c r="AC11799" t="s">
        <v>4023</v>
      </c>
      <c r="AD11799" t="s">
        <v>951</v>
      </c>
      <c r="AE11799" t="s">
        <v>10501</v>
      </c>
      <c r="AF11799" t="s">
        <v>11758</v>
      </c>
    </row>
    <row r="11800" spans="1:32" hidden="1" x14ac:dyDescent="0.35">
      <c r="A11800">
        <v>11799</v>
      </c>
      <c r="B11800" t="s">
        <v>24244</v>
      </c>
      <c r="C11800" t="s">
        <v>33</v>
      </c>
      <c r="D11800" t="s">
        <v>45</v>
      </c>
      <c r="E11800">
        <v>2065</v>
      </c>
      <c r="F11800">
        <v>1</v>
      </c>
      <c r="G11800">
        <v>1</v>
      </c>
      <c r="H11800">
        <v>1</v>
      </c>
      <c r="I11800">
        <v>0</v>
      </c>
      <c r="J11800">
        <v>1</v>
      </c>
      <c r="K11800">
        <v>1</v>
      </c>
      <c r="L11800">
        <v>1</v>
      </c>
      <c r="M11800">
        <v>0</v>
      </c>
      <c r="N11800">
        <v>0</v>
      </c>
      <c r="O11800">
        <v>0</v>
      </c>
      <c r="P11800" t="s">
        <v>17196</v>
      </c>
      <c r="Q11800" t="s">
        <v>17197</v>
      </c>
      <c r="AF11800" t="s">
        <v>24245</v>
      </c>
    </row>
    <row r="11801" spans="1:32" hidden="1" x14ac:dyDescent="0.35">
      <c r="A11801">
        <v>3609</v>
      </c>
      <c r="B11801" t="s">
        <v>7426</v>
      </c>
      <c r="C11801" t="s">
        <v>72</v>
      </c>
      <c r="D11801" t="s">
        <v>58</v>
      </c>
      <c r="E11801">
        <v>1759</v>
      </c>
      <c r="F11801">
        <v>5</v>
      </c>
      <c r="G11801">
        <v>5</v>
      </c>
      <c r="H11801">
        <v>1</v>
      </c>
      <c r="I11801">
        <v>1</v>
      </c>
      <c r="J11801">
        <v>0.74601701469450898</v>
      </c>
      <c r="K11801">
        <v>0.97122506253432195</v>
      </c>
      <c r="L11801">
        <v>0.84385356188985705</v>
      </c>
      <c r="M11801">
        <v>0.51801801801801795</v>
      </c>
      <c r="N11801">
        <v>0.99549549549549599</v>
      </c>
      <c r="O11801">
        <v>0.66351351351351395</v>
      </c>
      <c r="P11801" t="s">
        <v>7427</v>
      </c>
      <c r="Q11801" t="s">
        <v>7428</v>
      </c>
      <c r="R11801" t="s">
        <v>157</v>
      </c>
      <c r="S11801" t="s">
        <v>158</v>
      </c>
      <c r="T11801" t="s">
        <v>7429</v>
      </c>
      <c r="U11801" t="s">
        <v>7430</v>
      </c>
      <c r="V11801" t="s">
        <v>7431</v>
      </c>
      <c r="W11801" t="s">
        <v>7432</v>
      </c>
      <c r="Z11801" t="s">
        <v>7433</v>
      </c>
      <c r="AA11801" t="s">
        <v>7434</v>
      </c>
      <c r="AB11801" t="s">
        <v>7433</v>
      </c>
      <c r="AC11801" t="s">
        <v>1065</v>
      </c>
      <c r="AD11801" t="s">
        <v>1140</v>
      </c>
      <c r="AE11801" t="s">
        <v>7435</v>
      </c>
      <c r="AF11801" t="s">
        <v>7436</v>
      </c>
    </row>
    <row r="11802" spans="1:32" hidden="1" x14ac:dyDescent="0.35">
      <c r="A11802">
        <v>11801</v>
      </c>
      <c r="B11802" t="s">
        <v>24251</v>
      </c>
      <c r="C11802" t="s">
        <v>33</v>
      </c>
      <c r="D11802" t="s">
        <v>58</v>
      </c>
      <c r="E11802">
        <v>1409</v>
      </c>
      <c r="F11802">
        <v>1</v>
      </c>
      <c r="G11802">
        <v>1</v>
      </c>
      <c r="H11802">
        <v>1</v>
      </c>
      <c r="I11802">
        <v>0</v>
      </c>
      <c r="J11802">
        <v>1</v>
      </c>
      <c r="K11802">
        <v>1</v>
      </c>
      <c r="L11802">
        <v>1</v>
      </c>
      <c r="M11802">
        <v>0</v>
      </c>
      <c r="N11802">
        <v>0</v>
      </c>
      <c r="O11802">
        <v>0</v>
      </c>
      <c r="AF11802" t="s">
        <v>24252</v>
      </c>
    </row>
    <row r="11803" spans="1:32" hidden="1" x14ac:dyDescent="0.35">
      <c r="A11803">
        <v>3279</v>
      </c>
      <c r="B11803" t="s">
        <v>6743</v>
      </c>
      <c r="C11803" t="s">
        <v>72</v>
      </c>
      <c r="D11803" t="s">
        <v>58</v>
      </c>
      <c r="E11803">
        <v>161</v>
      </c>
      <c r="F11803">
        <v>5</v>
      </c>
      <c r="G11803">
        <v>5</v>
      </c>
      <c r="H11803">
        <v>1</v>
      </c>
      <c r="I11803">
        <v>1</v>
      </c>
      <c r="J11803">
        <v>0.75559119664973695</v>
      </c>
      <c r="K11803">
        <v>0.74646365849417495</v>
      </c>
      <c r="L11803">
        <v>0.75099969491209495</v>
      </c>
      <c r="M11803">
        <v>0.37323943661971798</v>
      </c>
      <c r="N11803">
        <v>1</v>
      </c>
      <c r="O11803">
        <v>0.645598591549296</v>
      </c>
      <c r="P11803" t="s">
        <v>6744</v>
      </c>
      <c r="Q11803" t="s">
        <v>6745</v>
      </c>
      <c r="R11803" t="s">
        <v>157</v>
      </c>
      <c r="S11803" t="s">
        <v>158</v>
      </c>
      <c r="T11803" t="s">
        <v>6746</v>
      </c>
      <c r="U11803" t="s">
        <v>6747</v>
      </c>
      <c r="V11803" t="s">
        <v>6748</v>
      </c>
      <c r="W11803" t="s">
        <v>6749</v>
      </c>
      <c r="X11803" t="s">
        <v>6748</v>
      </c>
      <c r="Y11803" t="s">
        <v>1357</v>
      </c>
      <c r="AD11803" t="s">
        <v>2264</v>
      </c>
      <c r="AE11803" t="s">
        <v>6750</v>
      </c>
      <c r="AF11803" t="s">
        <v>6751</v>
      </c>
    </row>
    <row r="11804" spans="1:32" hidden="1" x14ac:dyDescent="0.35">
      <c r="A11804">
        <v>11803</v>
      </c>
      <c r="B11804" t="s">
        <v>24255</v>
      </c>
      <c r="C11804" t="s">
        <v>33</v>
      </c>
      <c r="D11804" t="s">
        <v>58</v>
      </c>
      <c r="E11804">
        <v>1188</v>
      </c>
      <c r="F11804">
        <v>1</v>
      </c>
      <c r="G11804">
        <v>1</v>
      </c>
      <c r="H11804">
        <v>1</v>
      </c>
      <c r="I11804">
        <v>0</v>
      </c>
      <c r="J11804">
        <v>1</v>
      </c>
      <c r="K11804">
        <v>1</v>
      </c>
      <c r="L11804">
        <v>1</v>
      </c>
      <c r="M11804">
        <v>0</v>
      </c>
      <c r="N11804">
        <v>0</v>
      </c>
      <c r="O11804">
        <v>0</v>
      </c>
      <c r="P11804" t="s">
        <v>13048</v>
      </c>
      <c r="Q11804" t="s">
        <v>13049</v>
      </c>
      <c r="R11804" t="s">
        <v>13044</v>
      </c>
      <c r="S11804" t="s">
        <v>13045</v>
      </c>
      <c r="T11804" t="s">
        <v>13050</v>
      </c>
      <c r="U11804" t="s">
        <v>13051</v>
      </c>
      <c r="V11804" t="s">
        <v>13046</v>
      </c>
      <c r="W11804" t="s">
        <v>13047</v>
      </c>
      <c r="AD11804" t="s">
        <v>219</v>
      </c>
      <c r="AE11804" t="s">
        <v>13052</v>
      </c>
      <c r="AF11804" t="s">
        <v>24256</v>
      </c>
    </row>
    <row r="11805" spans="1:32" hidden="1" x14ac:dyDescent="0.35">
      <c r="A11805">
        <v>11804</v>
      </c>
      <c r="B11805" t="s">
        <v>24257</v>
      </c>
      <c r="C11805" t="s">
        <v>33</v>
      </c>
      <c r="D11805" t="s">
        <v>58</v>
      </c>
      <c r="E11805">
        <v>196</v>
      </c>
      <c r="F11805">
        <v>1</v>
      </c>
      <c r="G11805">
        <v>1</v>
      </c>
      <c r="H11805">
        <v>1</v>
      </c>
      <c r="I11805">
        <v>0</v>
      </c>
      <c r="J11805">
        <v>1</v>
      </c>
      <c r="K11805">
        <v>1</v>
      </c>
      <c r="L11805">
        <v>1</v>
      </c>
      <c r="M11805">
        <v>0</v>
      </c>
      <c r="N11805">
        <v>0</v>
      </c>
      <c r="O11805">
        <v>0</v>
      </c>
      <c r="AF11805" t="s">
        <v>24258</v>
      </c>
    </row>
    <row r="11806" spans="1:32" hidden="1" x14ac:dyDescent="0.35">
      <c r="A11806">
        <v>11805</v>
      </c>
      <c r="B11806" t="s">
        <v>24259</v>
      </c>
      <c r="C11806" t="s">
        <v>33</v>
      </c>
      <c r="D11806" t="s">
        <v>58</v>
      </c>
      <c r="E11806">
        <v>1516</v>
      </c>
      <c r="F11806">
        <v>1</v>
      </c>
      <c r="G11806">
        <v>1</v>
      </c>
      <c r="H11806">
        <v>1</v>
      </c>
      <c r="I11806">
        <v>0</v>
      </c>
      <c r="J11806">
        <v>1</v>
      </c>
      <c r="K11806">
        <v>1</v>
      </c>
      <c r="L11806">
        <v>1</v>
      </c>
      <c r="M11806">
        <v>0</v>
      </c>
      <c r="N11806">
        <v>0</v>
      </c>
      <c r="O11806">
        <v>0</v>
      </c>
      <c r="P11806" t="s">
        <v>15014</v>
      </c>
      <c r="Q11806" t="s">
        <v>15015</v>
      </c>
      <c r="R11806" t="s">
        <v>213</v>
      </c>
      <c r="S11806" t="s">
        <v>214</v>
      </c>
      <c r="T11806" t="s">
        <v>24260</v>
      </c>
      <c r="U11806" t="s">
        <v>18876</v>
      </c>
      <c r="V11806" t="s">
        <v>24261</v>
      </c>
      <c r="W11806" t="s">
        <v>24262</v>
      </c>
      <c r="X11806" t="s">
        <v>24261</v>
      </c>
      <c r="Y11806" t="s">
        <v>5003</v>
      </c>
      <c r="Z11806" t="s">
        <v>18879</v>
      </c>
      <c r="AA11806" t="s">
        <v>18880</v>
      </c>
      <c r="AB11806" t="s">
        <v>18879</v>
      </c>
      <c r="AC11806" t="s">
        <v>9182</v>
      </c>
      <c r="AD11806" t="s">
        <v>245</v>
      </c>
      <c r="AE11806" t="s">
        <v>18881</v>
      </c>
      <c r="AF11806" t="s">
        <v>24263</v>
      </c>
    </row>
    <row r="11807" spans="1:32" hidden="1" x14ac:dyDescent="0.35">
      <c r="A11807">
        <v>11806</v>
      </c>
      <c r="B11807" t="s">
        <v>24264</v>
      </c>
      <c r="C11807" t="s">
        <v>33</v>
      </c>
      <c r="D11807" t="s">
        <v>58</v>
      </c>
      <c r="E11807">
        <v>43</v>
      </c>
      <c r="F11807">
        <v>1</v>
      </c>
      <c r="G11807">
        <v>1</v>
      </c>
      <c r="H11807">
        <v>1</v>
      </c>
      <c r="I11807">
        <v>0</v>
      </c>
      <c r="J11807">
        <v>1</v>
      </c>
      <c r="K11807">
        <v>1</v>
      </c>
      <c r="L11807">
        <v>1</v>
      </c>
      <c r="M11807">
        <v>0</v>
      </c>
      <c r="N11807">
        <v>0</v>
      </c>
      <c r="O11807">
        <v>0</v>
      </c>
      <c r="AF11807" t="s">
        <v>24265</v>
      </c>
    </row>
    <row r="11808" spans="1:32" hidden="1" x14ac:dyDescent="0.35">
      <c r="A11808">
        <v>11807</v>
      </c>
      <c r="B11808" t="s">
        <v>24266</v>
      </c>
      <c r="C11808" t="s">
        <v>33</v>
      </c>
      <c r="D11808" t="s">
        <v>60</v>
      </c>
      <c r="E11808">
        <v>1939</v>
      </c>
      <c r="F11808">
        <v>1</v>
      </c>
      <c r="G11808">
        <v>1</v>
      </c>
      <c r="H11808">
        <v>1</v>
      </c>
      <c r="I11808">
        <v>0</v>
      </c>
      <c r="J11808">
        <v>1</v>
      </c>
      <c r="K11808">
        <v>1</v>
      </c>
      <c r="L11808">
        <v>1</v>
      </c>
      <c r="M11808">
        <v>0</v>
      </c>
      <c r="N11808">
        <v>0</v>
      </c>
      <c r="O11808">
        <v>0</v>
      </c>
      <c r="AF11808" t="s">
        <v>24267</v>
      </c>
    </row>
    <row r="11809" spans="1:32" hidden="1" x14ac:dyDescent="0.35">
      <c r="A11809">
        <v>11808</v>
      </c>
      <c r="B11809" t="s">
        <v>24268</v>
      </c>
      <c r="C11809" t="s">
        <v>33</v>
      </c>
      <c r="D11809" t="s">
        <v>34</v>
      </c>
      <c r="E11809">
        <v>2386</v>
      </c>
      <c r="F11809">
        <v>1</v>
      </c>
      <c r="G11809">
        <v>1</v>
      </c>
      <c r="H11809">
        <v>1</v>
      </c>
      <c r="I11809">
        <v>0</v>
      </c>
      <c r="J11809">
        <v>1</v>
      </c>
      <c r="K11809">
        <v>1</v>
      </c>
      <c r="L11809">
        <v>1</v>
      </c>
      <c r="M11809">
        <v>0</v>
      </c>
      <c r="N11809">
        <v>0</v>
      </c>
      <c r="O11809">
        <v>0</v>
      </c>
      <c r="AF11809" t="s">
        <v>24269</v>
      </c>
    </row>
    <row r="11810" spans="1:32" hidden="1" x14ac:dyDescent="0.35">
      <c r="A11810">
        <v>11809</v>
      </c>
      <c r="B11810" t="s">
        <v>24270</v>
      </c>
      <c r="C11810" t="s">
        <v>33</v>
      </c>
      <c r="D11810" t="s">
        <v>58</v>
      </c>
      <c r="E11810">
        <v>418</v>
      </c>
      <c r="F11810">
        <v>1</v>
      </c>
      <c r="G11810">
        <v>1</v>
      </c>
      <c r="H11810">
        <v>1</v>
      </c>
      <c r="I11810">
        <v>0</v>
      </c>
      <c r="J11810">
        <v>1</v>
      </c>
      <c r="K11810">
        <v>1</v>
      </c>
      <c r="L11810">
        <v>1</v>
      </c>
      <c r="M11810">
        <v>0</v>
      </c>
      <c r="N11810">
        <v>0</v>
      </c>
      <c r="O11810">
        <v>0</v>
      </c>
      <c r="AF11810" t="s">
        <v>24271</v>
      </c>
    </row>
    <row r="11811" spans="1:32" hidden="1" x14ac:dyDescent="0.35">
      <c r="A11811">
        <v>11810</v>
      </c>
      <c r="B11811" t="s">
        <v>24272</v>
      </c>
      <c r="C11811" t="s">
        <v>33</v>
      </c>
      <c r="D11811" t="s">
        <v>34</v>
      </c>
      <c r="E11811">
        <v>266</v>
      </c>
      <c r="F11811">
        <v>1</v>
      </c>
      <c r="G11811">
        <v>1</v>
      </c>
      <c r="H11811">
        <v>1</v>
      </c>
      <c r="I11811">
        <v>0</v>
      </c>
      <c r="J11811">
        <v>1</v>
      </c>
      <c r="K11811">
        <v>1</v>
      </c>
      <c r="L11811">
        <v>1</v>
      </c>
      <c r="M11811">
        <v>0</v>
      </c>
      <c r="N11811">
        <v>0</v>
      </c>
      <c r="O11811">
        <v>0</v>
      </c>
      <c r="P11811" t="s">
        <v>24273</v>
      </c>
      <c r="Q11811" t="s">
        <v>24274</v>
      </c>
      <c r="AF11811" t="s">
        <v>24275</v>
      </c>
    </row>
    <row r="11812" spans="1:32" hidden="1" x14ac:dyDescent="0.35">
      <c r="A11812">
        <v>11811</v>
      </c>
      <c r="B11812" t="s">
        <v>24276</v>
      </c>
      <c r="C11812" t="s">
        <v>33</v>
      </c>
      <c r="D11812" t="s">
        <v>58</v>
      </c>
      <c r="E11812">
        <v>1749</v>
      </c>
      <c r="F11812">
        <v>1</v>
      </c>
      <c r="G11812">
        <v>1</v>
      </c>
      <c r="H11812">
        <v>1</v>
      </c>
      <c r="I11812">
        <v>0</v>
      </c>
      <c r="J11812">
        <v>1</v>
      </c>
      <c r="K11812">
        <v>1</v>
      </c>
      <c r="L11812">
        <v>1</v>
      </c>
      <c r="M11812">
        <v>0</v>
      </c>
      <c r="N11812">
        <v>0</v>
      </c>
      <c r="O11812">
        <v>0</v>
      </c>
      <c r="AF11812" t="s">
        <v>24277</v>
      </c>
    </row>
    <row r="11813" spans="1:32" hidden="1" x14ac:dyDescent="0.35">
      <c r="A11813">
        <v>11812</v>
      </c>
      <c r="B11813" t="s">
        <v>24278</v>
      </c>
      <c r="C11813" t="s">
        <v>33</v>
      </c>
      <c r="D11813" t="s">
        <v>45</v>
      </c>
      <c r="E11813">
        <v>2393</v>
      </c>
      <c r="F11813">
        <v>1</v>
      </c>
      <c r="G11813">
        <v>1</v>
      </c>
      <c r="H11813">
        <v>1</v>
      </c>
      <c r="I11813">
        <v>0</v>
      </c>
      <c r="J11813">
        <v>1</v>
      </c>
      <c r="K11813">
        <v>1</v>
      </c>
      <c r="L11813">
        <v>1</v>
      </c>
      <c r="M11813">
        <v>0</v>
      </c>
      <c r="N11813">
        <v>0</v>
      </c>
      <c r="O11813">
        <v>0</v>
      </c>
      <c r="P11813" t="s">
        <v>13160</v>
      </c>
      <c r="Q11813" t="s">
        <v>13161</v>
      </c>
      <c r="R11813" t="s">
        <v>96</v>
      </c>
      <c r="S11813" t="s">
        <v>97</v>
      </c>
      <c r="T11813" t="s">
        <v>13722</v>
      </c>
      <c r="U11813" t="s">
        <v>13723</v>
      </c>
      <c r="V11813" t="s">
        <v>13724</v>
      </c>
      <c r="W11813" t="s">
        <v>13725</v>
      </c>
      <c r="AD11813" t="s">
        <v>546</v>
      </c>
      <c r="AE11813" t="s">
        <v>13726</v>
      </c>
      <c r="AF11813" t="s">
        <v>24279</v>
      </c>
    </row>
    <row r="11814" spans="1:32" hidden="1" x14ac:dyDescent="0.35">
      <c r="A11814">
        <v>2249</v>
      </c>
      <c r="B11814" t="s">
        <v>4682</v>
      </c>
      <c r="C11814" t="s">
        <v>72</v>
      </c>
      <c r="D11814" t="s">
        <v>58</v>
      </c>
      <c r="E11814">
        <v>1614</v>
      </c>
      <c r="F11814">
        <v>5</v>
      </c>
      <c r="G11814">
        <v>5</v>
      </c>
      <c r="H11814">
        <v>1</v>
      </c>
      <c r="I11814">
        <v>1</v>
      </c>
      <c r="J11814">
        <v>0.869236947791165</v>
      </c>
      <c r="K11814">
        <v>0.96995447481888597</v>
      </c>
      <c r="L11814">
        <v>0.91683797219046803</v>
      </c>
      <c r="M11814">
        <v>0.75233644859813098</v>
      </c>
      <c r="N11814">
        <v>1</v>
      </c>
      <c r="O11814">
        <v>0.81775700934579398</v>
      </c>
      <c r="P11814" t="s">
        <v>4683</v>
      </c>
      <c r="Q11814" t="s">
        <v>4684</v>
      </c>
      <c r="R11814" t="s">
        <v>157</v>
      </c>
      <c r="S11814" t="s">
        <v>158</v>
      </c>
      <c r="T11814" t="s">
        <v>4685</v>
      </c>
      <c r="U11814" t="s">
        <v>4686</v>
      </c>
      <c r="V11814" t="s">
        <v>4687</v>
      </c>
      <c r="W11814" t="s">
        <v>4688</v>
      </c>
      <c r="X11814" t="s">
        <v>4687</v>
      </c>
      <c r="Y11814" t="s">
        <v>1357</v>
      </c>
      <c r="AD11814" t="s">
        <v>2264</v>
      </c>
      <c r="AE11814" t="s">
        <v>4689</v>
      </c>
      <c r="AF11814" t="s">
        <v>4690</v>
      </c>
    </row>
    <row r="11815" spans="1:32" hidden="1" x14ac:dyDescent="0.35">
      <c r="A11815">
        <v>11814</v>
      </c>
      <c r="B11815" t="s">
        <v>24286</v>
      </c>
      <c r="C11815" t="s">
        <v>33</v>
      </c>
      <c r="D11815" t="s">
        <v>34</v>
      </c>
      <c r="E11815">
        <v>2398</v>
      </c>
      <c r="F11815">
        <v>1</v>
      </c>
      <c r="G11815">
        <v>1</v>
      </c>
      <c r="H11815">
        <v>1</v>
      </c>
      <c r="I11815">
        <v>0</v>
      </c>
      <c r="J11815">
        <v>1</v>
      </c>
      <c r="K11815">
        <v>1</v>
      </c>
      <c r="L11815">
        <v>1</v>
      </c>
      <c r="M11815">
        <v>0</v>
      </c>
      <c r="N11815">
        <v>0</v>
      </c>
      <c r="O11815">
        <v>0</v>
      </c>
      <c r="AF11815" t="s">
        <v>24287</v>
      </c>
    </row>
    <row r="11816" spans="1:32" hidden="1" x14ac:dyDescent="0.35">
      <c r="A11816">
        <v>11815</v>
      </c>
      <c r="B11816" t="s">
        <v>24288</v>
      </c>
      <c r="C11816" t="s">
        <v>33</v>
      </c>
      <c r="D11816" t="s">
        <v>34</v>
      </c>
      <c r="E11816">
        <v>1108</v>
      </c>
      <c r="F11816">
        <v>1</v>
      </c>
      <c r="G11816">
        <v>1</v>
      </c>
      <c r="H11816">
        <v>1</v>
      </c>
      <c r="I11816">
        <v>0</v>
      </c>
      <c r="J11816">
        <v>1</v>
      </c>
      <c r="K11816">
        <v>1</v>
      </c>
      <c r="L11816">
        <v>1</v>
      </c>
      <c r="M11816">
        <v>0</v>
      </c>
      <c r="N11816">
        <v>0</v>
      </c>
      <c r="O11816">
        <v>0</v>
      </c>
      <c r="AF11816" t="s">
        <v>24289</v>
      </c>
    </row>
    <row r="11817" spans="1:32" hidden="1" x14ac:dyDescent="0.35">
      <c r="A11817">
        <v>11816</v>
      </c>
      <c r="B11817" t="s">
        <v>24290</v>
      </c>
      <c r="C11817" t="s">
        <v>33</v>
      </c>
      <c r="D11817" t="s">
        <v>58</v>
      </c>
      <c r="E11817">
        <v>1437</v>
      </c>
      <c r="F11817">
        <v>1</v>
      </c>
      <c r="G11817">
        <v>1</v>
      </c>
      <c r="H11817">
        <v>1</v>
      </c>
      <c r="I11817">
        <v>0</v>
      </c>
      <c r="J11817">
        <v>1</v>
      </c>
      <c r="K11817">
        <v>1</v>
      </c>
      <c r="L11817">
        <v>1</v>
      </c>
      <c r="M11817">
        <v>0</v>
      </c>
      <c r="N11817">
        <v>0</v>
      </c>
      <c r="O11817">
        <v>0</v>
      </c>
      <c r="P11817" t="s">
        <v>1247</v>
      </c>
      <c r="Q11817" t="s">
        <v>1248</v>
      </c>
      <c r="R11817" t="s">
        <v>12738</v>
      </c>
      <c r="S11817" t="s">
        <v>12739</v>
      </c>
      <c r="V11817" t="s">
        <v>12742</v>
      </c>
      <c r="W11817" t="s">
        <v>12743</v>
      </c>
      <c r="AF11817" t="s">
        <v>24291</v>
      </c>
    </row>
    <row r="11818" spans="1:32" hidden="1" x14ac:dyDescent="0.35">
      <c r="A11818">
        <v>11817</v>
      </c>
      <c r="B11818" t="s">
        <v>24292</v>
      </c>
      <c r="C11818" t="s">
        <v>33</v>
      </c>
      <c r="D11818" t="s">
        <v>58</v>
      </c>
      <c r="E11818">
        <v>553</v>
      </c>
      <c r="F11818">
        <v>1</v>
      </c>
      <c r="G11818">
        <v>1</v>
      </c>
      <c r="H11818">
        <v>1</v>
      </c>
      <c r="I11818">
        <v>0</v>
      </c>
      <c r="J11818">
        <v>1</v>
      </c>
      <c r="K11818">
        <v>1</v>
      </c>
      <c r="L11818">
        <v>1</v>
      </c>
      <c r="M11818">
        <v>0</v>
      </c>
      <c r="N11818">
        <v>0</v>
      </c>
      <c r="O11818">
        <v>0</v>
      </c>
      <c r="AF11818" t="s">
        <v>24293</v>
      </c>
    </row>
    <row r="11819" spans="1:32" hidden="1" x14ac:dyDescent="0.35">
      <c r="A11819">
        <v>11818</v>
      </c>
      <c r="B11819" t="s">
        <v>24294</v>
      </c>
      <c r="C11819" t="s">
        <v>33</v>
      </c>
      <c r="D11819" t="s">
        <v>58</v>
      </c>
      <c r="E11819">
        <v>61</v>
      </c>
      <c r="F11819">
        <v>1</v>
      </c>
      <c r="G11819">
        <v>1</v>
      </c>
      <c r="H11819">
        <v>1</v>
      </c>
      <c r="I11819">
        <v>0</v>
      </c>
      <c r="J11819">
        <v>1</v>
      </c>
      <c r="K11819">
        <v>1</v>
      </c>
      <c r="L11819">
        <v>1</v>
      </c>
      <c r="M11819">
        <v>0</v>
      </c>
      <c r="N11819">
        <v>0</v>
      </c>
      <c r="O11819">
        <v>0</v>
      </c>
      <c r="AF11819" t="s">
        <v>24295</v>
      </c>
    </row>
    <row r="11820" spans="1:32" hidden="1" x14ac:dyDescent="0.35">
      <c r="A11820">
        <v>11819</v>
      </c>
      <c r="B11820" t="s">
        <v>24296</v>
      </c>
      <c r="C11820" t="s">
        <v>33</v>
      </c>
      <c r="D11820" t="s">
        <v>62</v>
      </c>
      <c r="E11820">
        <v>1948</v>
      </c>
      <c r="F11820">
        <v>1</v>
      </c>
      <c r="G11820">
        <v>1</v>
      </c>
      <c r="H11820">
        <v>1</v>
      </c>
      <c r="I11820">
        <v>0</v>
      </c>
      <c r="J11820">
        <v>1</v>
      </c>
      <c r="K11820">
        <v>1</v>
      </c>
      <c r="L11820">
        <v>1</v>
      </c>
      <c r="M11820">
        <v>0</v>
      </c>
      <c r="N11820">
        <v>0</v>
      </c>
      <c r="O11820">
        <v>0</v>
      </c>
      <c r="AF11820" t="s">
        <v>24297</v>
      </c>
    </row>
    <row r="11821" spans="1:32" hidden="1" x14ac:dyDescent="0.35">
      <c r="A11821">
        <v>11820</v>
      </c>
      <c r="B11821" t="s">
        <v>24298</v>
      </c>
      <c r="C11821" t="s">
        <v>33</v>
      </c>
      <c r="D11821" t="s">
        <v>58</v>
      </c>
      <c r="E11821">
        <v>1876</v>
      </c>
      <c r="F11821">
        <v>1</v>
      </c>
      <c r="G11821">
        <v>1</v>
      </c>
      <c r="H11821">
        <v>1</v>
      </c>
      <c r="I11821">
        <v>0</v>
      </c>
      <c r="J11821">
        <v>1</v>
      </c>
      <c r="K11821">
        <v>1</v>
      </c>
      <c r="L11821">
        <v>1</v>
      </c>
      <c r="M11821">
        <v>0</v>
      </c>
      <c r="N11821">
        <v>0</v>
      </c>
      <c r="O11821">
        <v>0</v>
      </c>
      <c r="AF11821" t="s">
        <v>24299</v>
      </c>
    </row>
    <row r="11822" spans="1:32" hidden="1" x14ac:dyDescent="0.35">
      <c r="A11822">
        <v>11821</v>
      </c>
      <c r="B11822" t="s">
        <v>24300</v>
      </c>
      <c r="C11822" t="s">
        <v>33</v>
      </c>
      <c r="D11822" t="s">
        <v>58</v>
      </c>
      <c r="E11822">
        <v>572</v>
      </c>
      <c r="F11822">
        <v>1</v>
      </c>
      <c r="G11822">
        <v>1</v>
      </c>
      <c r="H11822">
        <v>1</v>
      </c>
      <c r="I11822">
        <v>0</v>
      </c>
      <c r="J11822">
        <v>1</v>
      </c>
      <c r="K11822">
        <v>1</v>
      </c>
      <c r="L11822">
        <v>1</v>
      </c>
      <c r="M11822">
        <v>0</v>
      </c>
      <c r="N11822">
        <v>0</v>
      </c>
      <c r="O11822">
        <v>0</v>
      </c>
      <c r="P11822" t="s">
        <v>9882</v>
      </c>
      <c r="Q11822" t="s">
        <v>9883</v>
      </c>
      <c r="R11822" t="s">
        <v>319</v>
      </c>
      <c r="S11822" t="s">
        <v>320</v>
      </c>
      <c r="T11822" t="s">
        <v>24301</v>
      </c>
      <c r="U11822" t="s">
        <v>24302</v>
      </c>
      <c r="V11822" t="s">
        <v>24303</v>
      </c>
      <c r="W11822" t="s">
        <v>24304</v>
      </c>
      <c r="AD11822" t="s">
        <v>219</v>
      </c>
      <c r="AE11822" t="s">
        <v>24305</v>
      </c>
      <c r="AF11822" t="s">
        <v>24306</v>
      </c>
    </row>
    <row r="11823" spans="1:32" hidden="1" x14ac:dyDescent="0.35">
      <c r="A11823">
        <v>2879</v>
      </c>
      <c r="B11823" t="s">
        <v>5941</v>
      </c>
      <c r="C11823" t="s">
        <v>72</v>
      </c>
      <c r="D11823" t="s">
        <v>58</v>
      </c>
      <c r="E11823">
        <v>1295</v>
      </c>
      <c r="F11823">
        <v>5</v>
      </c>
      <c r="G11823">
        <v>5</v>
      </c>
      <c r="H11823">
        <v>1</v>
      </c>
      <c r="I11823">
        <v>1</v>
      </c>
      <c r="J11823">
        <v>0.74310812073638</v>
      </c>
      <c r="K11823">
        <v>0.95501928287766202</v>
      </c>
      <c r="L11823">
        <v>0.835841389822509</v>
      </c>
      <c r="M11823">
        <v>0.510695187165775</v>
      </c>
      <c r="N11823">
        <v>1</v>
      </c>
      <c r="O11823">
        <v>0.63556149732620304</v>
      </c>
      <c r="P11823" t="s">
        <v>5942</v>
      </c>
      <c r="Q11823" t="s">
        <v>5943</v>
      </c>
      <c r="R11823" t="s">
        <v>157</v>
      </c>
      <c r="S11823" t="s">
        <v>158</v>
      </c>
      <c r="T11823" t="s">
        <v>5944</v>
      </c>
      <c r="U11823" t="s">
        <v>5945</v>
      </c>
      <c r="V11823" t="s">
        <v>5946</v>
      </c>
      <c r="W11823" t="s">
        <v>5947</v>
      </c>
      <c r="X11823" t="s">
        <v>5946</v>
      </c>
      <c r="Y11823" t="s">
        <v>1357</v>
      </c>
      <c r="AD11823" t="s">
        <v>2264</v>
      </c>
      <c r="AE11823" t="s">
        <v>5948</v>
      </c>
      <c r="AF11823" t="s">
        <v>5949</v>
      </c>
    </row>
    <row r="11824" spans="1:32" hidden="1" x14ac:dyDescent="0.35">
      <c r="A11824">
        <v>11823</v>
      </c>
      <c r="B11824" t="s">
        <v>24309</v>
      </c>
      <c r="C11824" t="s">
        <v>33</v>
      </c>
      <c r="D11824" t="s">
        <v>60</v>
      </c>
      <c r="E11824">
        <v>692</v>
      </c>
      <c r="F11824">
        <v>1</v>
      </c>
      <c r="G11824">
        <v>1</v>
      </c>
      <c r="H11824">
        <v>1</v>
      </c>
      <c r="I11824">
        <v>0</v>
      </c>
      <c r="J11824">
        <v>1</v>
      </c>
      <c r="K11824">
        <v>1</v>
      </c>
      <c r="L11824">
        <v>1</v>
      </c>
      <c r="M11824">
        <v>0</v>
      </c>
      <c r="N11824">
        <v>0</v>
      </c>
      <c r="O11824">
        <v>0</v>
      </c>
      <c r="AF11824" t="s">
        <v>24310</v>
      </c>
    </row>
    <row r="11825" spans="1:32" hidden="1" x14ac:dyDescent="0.35">
      <c r="A11825">
        <v>11824</v>
      </c>
      <c r="B11825" t="s">
        <v>24311</v>
      </c>
      <c r="C11825" t="s">
        <v>33</v>
      </c>
      <c r="D11825" t="s">
        <v>58</v>
      </c>
      <c r="E11825">
        <v>1427</v>
      </c>
      <c r="F11825">
        <v>1</v>
      </c>
      <c r="G11825">
        <v>1</v>
      </c>
      <c r="H11825">
        <v>1</v>
      </c>
      <c r="I11825">
        <v>0</v>
      </c>
      <c r="J11825">
        <v>1</v>
      </c>
      <c r="K11825">
        <v>1</v>
      </c>
      <c r="L11825">
        <v>1</v>
      </c>
      <c r="M11825">
        <v>0</v>
      </c>
      <c r="N11825">
        <v>0</v>
      </c>
      <c r="O11825">
        <v>0</v>
      </c>
      <c r="P11825" t="s">
        <v>22951</v>
      </c>
      <c r="Q11825" t="s">
        <v>22952</v>
      </c>
      <c r="AF11825" t="s">
        <v>24312</v>
      </c>
    </row>
    <row r="11826" spans="1:32" hidden="1" x14ac:dyDescent="0.35">
      <c r="A11826">
        <v>3039</v>
      </c>
      <c r="B11826" t="s">
        <v>6283</v>
      </c>
      <c r="C11826" t="s">
        <v>72</v>
      </c>
      <c r="D11826" t="s">
        <v>58</v>
      </c>
      <c r="E11826">
        <v>1294</v>
      </c>
      <c r="F11826">
        <v>5</v>
      </c>
      <c r="G11826">
        <v>5</v>
      </c>
      <c r="H11826">
        <v>1</v>
      </c>
      <c r="I11826">
        <v>1</v>
      </c>
      <c r="J11826">
        <v>0.79855643044619395</v>
      </c>
      <c r="K11826">
        <v>0.944391241373431</v>
      </c>
      <c r="L11826">
        <v>0.86537273705812401</v>
      </c>
      <c r="M11826">
        <v>0.624742268041237</v>
      </c>
      <c r="N11826">
        <v>1</v>
      </c>
      <c r="O11826">
        <v>0.70989690721649501</v>
      </c>
      <c r="P11826" t="s">
        <v>6284</v>
      </c>
      <c r="Q11826" t="s">
        <v>6285</v>
      </c>
      <c r="R11826" t="s">
        <v>157</v>
      </c>
      <c r="S11826" t="s">
        <v>158</v>
      </c>
      <c r="T11826" t="s">
        <v>6286</v>
      </c>
      <c r="U11826" t="s">
        <v>6287</v>
      </c>
      <c r="V11826" t="s">
        <v>6288</v>
      </c>
      <c r="W11826" t="s">
        <v>6289</v>
      </c>
      <c r="X11826" t="s">
        <v>6288</v>
      </c>
      <c r="Y11826" t="s">
        <v>1357</v>
      </c>
      <c r="AD11826" t="s">
        <v>1358</v>
      </c>
      <c r="AE11826" t="s">
        <v>6290</v>
      </c>
      <c r="AF11826" t="s">
        <v>6291</v>
      </c>
    </row>
    <row r="11827" spans="1:32" hidden="1" x14ac:dyDescent="0.35">
      <c r="A11827">
        <v>11826</v>
      </c>
      <c r="B11827" t="s">
        <v>24315</v>
      </c>
      <c r="C11827" t="s">
        <v>33</v>
      </c>
      <c r="D11827" t="s">
        <v>58</v>
      </c>
      <c r="E11827">
        <v>522</v>
      </c>
      <c r="F11827">
        <v>1</v>
      </c>
      <c r="G11827">
        <v>1</v>
      </c>
      <c r="H11827">
        <v>1</v>
      </c>
      <c r="I11827">
        <v>0</v>
      </c>
      <c r="J11827">
        <v>1</v>
      </c>
      <c r="K11827">
        <v>1</v>
      </c>
      <c r="L11827">
        <v>1</v>
      </c>
      <c r="M11827">
        <v>0</v>
      </c>
      <c r="N11827">
        <v>0</v>
      </c>
      <c r="O11827">
        <v>0</v>
      </c>
      <c r="AF11827" t="s">
        <v>24316</v>
      </c>
    </row>
    <row r="11828" spans="1:32" hidden="1" x14ac:dyDescent="0.35">
      <c r="A11828">
        <v>11827</v>
      </c>
      <c r="B11828" t="s">
        <v>24317</v>
      </c>
      <c r="C11828" t="s">
        <v>33</v>
      </c>
      <c r="D11828" t="s">
        <v>45</v>
      </c>
      <c r="E11828">
        <v>431</v>
      </c>
      <c r="F11828">
        <v>1</v>
      </c>
      <c r="G11828">
        <v>1</v>
      </c>
      <c r="H11828">
        <v>1</v>
      </c>
      <c r="I11828">
        <v>0</v>
      </c>
      <c r="J11828">
        <v>1</v>
      </c>
      <c r="K11828">
        <v>1</v>
      </c>
      <c r="L11828">
        <v>1</v>
      </c>
      <c r="M11828">
        <v>0</v>
      </c>
      <c r="N11828">
        <v>0</v>
      </c>
      <c r="O11828">
        <v>0</v>
      </c>
      <c r="AF11828" t="s">
        <v>24318</v>
      </c>
    </row>
    <row r="11829" spans="1:32" hidden="1" x14ac:dyDescent="0.35">
      <c r="A11829">
        <v>11828</v>
      </c>
      <c r="B11829" t="s">
        <v>24319</v>
      </c>
      <c r="C11829" t="s">
        <v>33</v>
      </c>
      <c r="D11829" t="s">
        <v>58</v>
      </c>
      <c r="E11829">
        <v>1105</v>
      </c>
      <c r="F11829">
        <v>1</v>
      </c>
      <c r="G11829">
        <v>1</v>
      </c>
      <c r="H11829">
        <v>1</v>
      </c>
      <c r="I11829">
        <v>0</v>
      </c>
      <c r="J11829">
        <v>1</v>
      </c>
      <c r="K11829">
        <v>1</v>
      </c>
      <c r="L11829">
        <v>1</v>
      </c>
      <c r="M11829">
        <v>0</v>
      </c>
      <c r="N11829">
        <v>0</v>
      </c>
      <c r="O11829">
        <v>0</v>
      </c>
      <c r="AF11829" t="s">
        <v>24320</v>
      </c>
    </row>
    <row r="11830" spans="1:32" hidden="1" x14ac:dyDescent="0.35">
      <c r="A11830">
        <v>11829</v>
      </c>
      <c r="B11830" t="s">
        <v>24321</v>
      </c>
      <c r="C11830" t="s">
        <v>33</v>
      </c>
      <c r="D11830" t="s">
        <v>58</v>
      </c>
      <c r="E11830">
        <v>1592</v>
      </c>
      <c r="F11830">
        <v>1</v>
      </c>
      <c r="G11830">
        <v>1</v>
      </c>
      <c r="H11830">
        <v>1</v>
      </c>
      <c r="I11830">
        <v>0</v>
      </c>
      <c r="J11830">
        <v>1</v>
      </c>
      <c r="K11830">
        <v>1</v>
      </c>
      <c r="L11830">
        <v>1</v>
      </c>
      <c r="M11830">
        <v>0</v>
      </c>
      <c r="N11830">
        <v>0</v>
      </c>
      <c r="O11830">
        <v>0</v>
      </c>
      <c r="P11830" t="s">
        <v>15870</v>
      </c>
      <c r="Q11830" t="s">
        <v>15871</v>
      </c>
      <c r="AF11830" t="s">
        <v>24322</v>
      </c>
    </row>
    <row r="11831" spans="1:32" hidden="1" x14ac:dyDescent="0.35">
      <c r="A11831">
        <v>11830</v>
      </c>
      <c r="B11831" t="s">
        <v>24323</v>
      </c>
      <c r="C11831" t="s">
        <v>33</v>
      </c>
      <c r="D11831" t="s">
        <v>34</v>
      </c>
      <c r="E11831">
        <v>1251</v>
      </c>
      <c r="F11831">
        <v>1</v>
      </c>
      <c r="G11831">
        <v>1</v>
      </c>
      <c r="H11831">
        <v>1</v>
      </c>
      <c r="I11831">
        <v>0</v>
      </c>
      <c r="J11831">
        <v>1</v>
      </c>
      <c r="K11831">
        <v>1</v>
      </c>
      <c r="L11831">
        <v>1</v>
      </c>
      <c r="M11831">
        <v>0</v>
      </c>
      <c r="N11831">
        <v>0</v>
      </c>
      <c r="O11831">
        <v>0</v>
      </c>
      <c r="P11831" t="s">
        <v>24324</v>
      </c>
      <c r="Q11831" t="s">
        <v>24325</v>
      </c>
      <c r="AF11831" t="s">
        <v>24326</v>
      </c>
    </row>
    <row r="11832" spans="1:32" hidden="1" x14ac:dyDescent="0.35">
      <c r="A11832">
        <v>11831</v>
      </c>
      <c r="B11832" t="s">
        <v>24327</v>
      </c>
      <c r="C11832" t="s">
        <v>33</v>
      </c>
      <c r="D11832" t="s">
        <v>58</v>
      </c>
      <c r="E11832">
        <v>205</v>
      </c>
      <c r="F11832">
        <v>1</v>
      </c>
      <c r="G11832">
        <v>1</v>
      </c>
      <c r="H11832">
        <v>1</v>
      </c>
      <c r="I11832">
        <v>0</v>
      </c>
      <c r="J11832">
        <v>1</v>
      </c>
      <c r="K11832">
        <v>1</v>
      </c>
      <c r="L11832">
        <v>1</v>
      </c>
      <c r="M11832">
        <v>0</v>
      </c>
      <c r="N11832">
        <v>0</v>
      </c>
      <c r="O11832">
        <v>0</v>
      </c>
      <c r="AF11832" t="s">
        <v>24328</v>
      </c>
    </row>
    <row r="11833" spans="1:32" hidden="1" x14ac:dyDescent="0.35">
      <c r="A11833">
        <v>3194</v>
      </c>
      <c r="B11833" t="s">
        <v>6561</v>
      </c>
      <c r="C11833" t="s">
        <v>72</v>
      </c>
      <c r="D11833" t="s">
        <v>58</v>
      </c>
      <c r="E11833">
        <v>1297</v>
      </c>
      <c r="F11833">
        <v>5</v>
      </c>
      <c r="G11833">
        <v>5</v>
      </c>
      <c r="H11833">
        <v>1</v>
      </c>
      <c r="I11833">
        <v>1</v>
      </c>
      <c r="J11833">
        <v>0.74051807318340401</v>
      </c>
      <c r="K11833">
        <v>0.95101408248826103</v>
      </c>
      <c r="L11833">
        <v>0.83266890738456301</v>
      </c>
      <c r="M11833">
        <v>0.51374207188160703</v>
      </c>
      <c r="N11833">
        <v>1</v>
      </c>
      <c r="O11833">
        <v>0.63636363636363602</v>
      </c>
      <c r="P11833" t="s">
        <v>6293</v>
      </c>
      <c r="Q11833" t="s">
        <v>6294</v>
      </c>
      <c r="R11833" t="s">
        <v>157</v>
      </c>
      <c r="S11833" t="s">
        <v>158</v>
      </c>
      <c r="T11833" t="s">
        <v>6562</v>
      </c>
      <c r="U11833" t="s">
        <v>6563</v>
      </c>
      <c r="V11833" t="s">
        <v>6564</v>
      </c>
      <c r="W11833" t="s">
        <v>6565</v>
      </c>
      <c r="X11833" t="s">
        <v>6564</v>
      </c>
      <c r="Y11833" t="s">
        <v>1357</v>
      </c>
      <c r="AD11833" t="s">
        <v>2264</v>
      </c>
      <c r="AE11833" t="s">
        <v>6566</v>
      </c>
      <c r="AF11833" t="s">
        <v>6567</v>
      </c>
    </row>
    <row r="11834" spans="1:32" hidden="1" x14ac:dyDescent="0.35">
      <c r="A11834">
        <v>11833</v>
      </c>
      <c r="B11834" t="s">
        <v>24331</v>
      </c>
      <c r="C11834" t="s">
        <v>33</v>
      </c>
      <c r="D11834" t="s">
        <v>45</v>
      </c>
      <c r="E11834">
        <v>614</v>
      </c>
      <c r="F11834">
        <v>1</v>
      </c>
      <c r="G11834">
        <v>1</v>
      </c>
      <c r="H11834">
        <v>1</v>
      </c>
      <c r="I11834">
        <v>0</v>
      </c>
      <c r="J11834">
        <v>1</v>
      </c>
      <c r="K11834">
        <v>1</v>
      </c>
      <c r="L11834">
        <v>1</v>
      </c>
      <c r="M11834">
        <v>0</v>
      </c>
      <c r="N11834">
        <v>0</v>
      </c>
      <c r="O11834">
        <v>0</v>
      </c>
      <c r="AF11834" t="s">
        <v>24332</v>
      </c>
    </row>
    <row r="11835" spans="1:32" hidden="1" x14ac:dyDescent="0.35">
      <c r="A11835">
        <v>3439</v>
      </c>
      <c r="B11835" t="s">
        <v>7068</v>
      </c>
      <c r="C11835" t="s">
        <v>72</v>
      </c>
      <c r="D11835" t="s">
        <v>58</v>
      </c>
      <c r="E11835">
        <v>1250</v>
      </c>
      <c r="F11835">
        <v>5</v>
      </c>
      <c r="G11835">
        <v>5</v>
      </c>
      <c r="H11835">
        <v>1</v>
      </c>
      <c r="I11835">
        <v>1</v>
      </c>
      <c r="J11835">
        <v>0.84101669573884896</v>
      </c>
      <c r="K11835">
        <v>0.84737496804975498</v>
      </c>
      <c r="L11835">
        <v>0.84418385966426601</v>
      </c>
      <c r="M11835">
        <v>0.536082474226804</v>
      </c>
      <c r="N11835">
        <v>1</v>
      </c>
      <c r="O11835">
        <v>0.69319587628865997</v>
      </c>
      <c r="P11835" t="s">
        <v>7069</v>
      </c>
      <c r="Q11835" t="s">
        <v>7070</v>
      </c>
      <c r="R11835" t="s">
        <v>157</v>
      </c>
      <c r="S11835" t="s">
        <v>158</v>
      </c>
      <c r="T11835" t="s">
        <v>7071</v>
      </c>
      <c r="U11835" t="s">
        <v>7072</v>
      </c>
      <c r="V11835" t="s">
        <v>7073</v>
      </c>
      <c r="W11835" t="s">
        <v>7074</v>
      </c>
      <c r="X11835" t="s">
        <v>7073</v>
      </c>
      <c r="Y11835" t="s">
        <v>1357</v>
      </c>
      <c r="Z11835" t="s">
        <v>2906</v>
      </c>
      <c r="AA11835" t="s">
        <v>2907</v>
      </c>
      <c r="AB11835" t="s">
        <v>2906</v>
      </c>
      <c r="AC11835" t="s">
        <v>2908</v>
      </c>
      <c r="AD11835" t="s">
        <v>7075</v>
      </c>
      <c r="AE11835" t="s">
        <v>7076</v>
      </c>
      <c r="AF11835" t="s">
        <v>7077</v>
      </c>
    </row>
    <row r="11836" spans="1:32" hidden="1" x14ac:dyDescent="0.35">
      <c r="A11836">
        <v>11835</v>
      </c>
      <c r="B11836" t="s">
        <v>24335</v>
      </c>
      <c r="C11836" t="s">
        <v>33</v>
      </c>
      <c r="D11836" t="s">
        <v>58</v>
      </c>
      <c r="E11836">
        <v>1872</v>
      </c>
      <c r="F11836">
        <v>1</v>
      </c>
      <c r="G11836">
        <v>1</v>
      </c>
      <c r="H11836">
        <v>1</v>
      </c>
      <c r="I11836">
        <v>0</v>
      </c>
      <c r="J11836">
        <v>1</v>
      </c>
      <c r="K11836">
        <v>1</v>
      </c>
      <c r="L11836">
        <v>1</v>
      </c>
      <c r="M11836">
        <v>0</v>
      </c>
      <c r="N11836">
        <v>0</v>
      </c>
      <c r="O11836">
        <v>0</v>
      </c>
      <c r="AF11836" t="s">
        <v>24336</v>
      </c>
    </row>
    <row r="11837" spans="1:32" hidden="1" x14ac:dyDescent="0.35">
      <c r="A11837">
        <v>11836</v>
      </c>
      <c r="B11837" t="s">
        <v>24337</v>
      </c>
      <c r="C11837" t="s">
        <v>33</v>
      </c>
      <c r="D11837" t="s">
        <v>58</v>
      </c>
      <c r="E11837">
        <v>1787</v>
      </c>
      <c r="F11837">
        <v>1</v>
      </c>
      <c r="G11837">
        <v>1</v>
      </c>
      <c r="H11837">
        <v>1</v>
      </c>
      <c r="I11837">
        <v>0</v>
      </c>
      <c r="J11837">
        <v>1</v>
      </c>
      <c r="K11837">
        <v>1</v>
      </c>
      <c r="L11837">
        <v>1</v>
      </c>
      <c r="M11837">
        <v>0</v>
      </c>
      <c r="N11837">
        <v>0</v>
      </c>
      <c r="O11837">
        <v>0</v>
      </c>
      <c r="P11837" t="s">
        <v>14286</v>
      </c>
      <c r="Q11837" t="s">
        <v>14287</v>
      </c>
      <c r="AF11837" t="s">
        <v>24338</v>
      </c>
    </row>
    <row r="11838" spans="1:32" hidden="1" x14ac:dyDescent="0.35">
      <c r="A11838">
        <v>11837</v>
      </c>
      <c r="B11838" t="s">
        <v>24339</v>
      </c>
      <c r="C11838" t="s">
        <v>33</v>
      </c>
      <c r="D11838" t="s">
        <v>58</v>
      </c>
      <c r="E11838">
        <v>712</v>
      </c>
      <c r="F11838">
        <v>1</v>
      </c>
      <c r="G11838">
        <v>1</v>
      </c>
      <c r="H11838">
        <v>1</v>
      </c>
      <c r="I11838">
        <v>0</v>
      </c>
      <c r="J11838">
        <v>1</v>
      </c>
      <c r="K11838">
        <v>1</v>
      </c>
      <c r="L11838">
        <v>1</v>
      </c>
      <c r="M11838">
        <v>0</v>
      </c>
      <c r="N11838">
        <v>0</v>
      </c>
      <c r="O11838">
        <v>0</v>
      </c>
      <c r="AF11838" t="s">
        <v>24340</v>
      </c>
    </row>
    <row r="11839" spans="1:32" hidden="1" x14ac:dyDescent="0.35">
      <c r="A11839">
        <v>11838</v>
      </c>
      <c r="B11839" t="s">
        <v>24341</v>
      </c>
      <c r="C11839" t="s">
        <v>33</v>
      </c>
      <c r="D11839" t="s">
        <v>58</v>
      </c>
      <c r="E11839">
        <v>641</v>
      </c>
      <c r="F11839">
        <v>1</v>
      </c>
      <c r="G11839">
        <v>1</v>
      </c>
      <c r="H11839">
        <v>1</v>
      </c>
      <c r="I11839">
        <v>0</v>
      </c>
      <c r="J11839">
        <v>1</v>
      </c>
      <c r="K11839">
        <v>1</v>
      </c>
      <c r="L11839">
        <v>1</v>
      </c>
      <c r="M11839">
        <v>0</v>
      </c>
      <c r="N11839">
        <v>0</v>
      </c>
      <c r="O11839">
        <v>0</v>
      </c>
      <c r="AF11839" t="s">
        <v>24342</v>
      </c>
    </row>
    <row r="11840" spans="1:32" hidden="1" x14ac:dyDescent="0.35">
      <c r="A11840">
        <v>3539</v>
      </c>
      <c r="B11840" t="s">
        <v>7268</v>
      </c>
      <c r="C11840" t="s">
        <v>72</v>
      </c>
      <c r="D11840" t="s">
        <v>58</v>
      </c>
      <c r="E11840">
        <v>1298</v>
      </c>
      <c r="F11840">
        <v>5</v>
      </c>
      <c r="G11840">
        <v>5</v>
      </c>
      <c r="H11840">
        <v>1</v>
      </c>
      <c r="I11840">
        <v>1</v>
      </c>
      <c r="J11840">
        <v>0.85745494265428701</v>
      </c>
      <c r="K11840">
        <v>0.99511758085535196</v>
      </c>
      <c r="L11840">
        <v>0.92117148170815899</v>
      </c>
      <c r="M11840">
        <v>0.72282608695652195</v>
      </c>
      <c r="N11840">
        <v>1</v>
      </c>
      <c r="O11840">
        <v>0.79728260869565204</v>
      </c>
      <c r="P11840" t="s">
        <v>7069</v>
      </c>
      <c r="Q11840" t="s">
        <v>7070</v>
      </c>
      <c r="R11840" t="s">
        <v>157</v>
      </c>
      <c r="S11840" t="s">
        <v>158</v>
      </c>
      <c r="T11840" t="s">
        <v>7269</v>
      </c>
      <c r="U11840" t="s">
        <v>7270</v>
      </c>
      <c r="V11840" t="s">
        <v>7073</v>
      </c>
      <c r="W11840" t="s">
        <v>7074</v>
      </c>
      <c r="X11840" t="s">
        <v>7073</v>
      </c>
      <c r="Y11840" t="s">
        <v>1357</v>
      </c>
      <c r="AD11840" t="s">
        <v>1358</v>
      </c>
      <c r="AE11840" t="s">
        <v>7271</v>
      </c>
      <c r="AF11840" t="s">
        <v>7272</v>
      </c>
    </row>
    <row r="11841" spans="1:32" hidden="1" x14ac:dyDescent="0.35">
      <c r="A11841">
        <v>11840</v>
      </c>
      <c r="B11841" t="s">
        <v>24345</v>
      </c>
      <c r="C11841" t="s">
        <v>33</v>
      </c>
      <c r="D11841" t="s">
        <v>58</v>
      </c>
      <c r="E11841">
        <v>1184</v>
      </c>
      <c r="F11841">
        <v>1</v>
      </c>
      <c r="G11841">
        <v>1</v>
      </c>
      <c r="H11841">
        <v>1</v>
      </c>
      <c r="I11841">
        <v>0</v>
      </c>
      <c r="J11841">
        <v>1</v>
      </c>
      <c r="K11841">
        <v>1</v>
      </c>
      <c r="L11841">
        <v>1</v>
      </c>
      <c r="M11841">
        <v>0</v>
      </c>
      <c r="N11841">
        <v>0</v>
      </c>
      <c r="O11841">
        <v>0</v>
      </c>
      <c r="P11841" t="s">
        <v>24346</v>
      </c>
      <c r="Q11841" t="s">
        <v>24347</v>
      </c>
      <c r="AF11841" t="s">
        <v>24348</v>
      </c>
    </row>
    <row r="11842" spans="1:32" hidden="1" x14ac:dyDescent="0.35">
      <c r="A11842">
        <v>11841</v>
      </c>
      <c r="B11842" t="s">
        <v>24349</v>
      </c>
      <c r="C11842" t="s">
        <v>33</v>
      </c>
      <c r="D11842" t="s">
        <v>58</v>
      </c>
      <c r="E11842">
        <v>1277</v>
      </c>
      <c r="F11842">
        <v>1</v>
      </c>
      <c r="G11842">
        <v>1</v>
      </c>
      <c r="H11842">
        <v>1</v>
      </c>
      <c r="I11842">
        <v>0</v>
      </c>
      <c r="J11842">
        <v>1</v>
      </c>
      <c r="K11842">
        <v>1</v>
      </c>
      <c r="L11842">
        <v>1</v>
      </c>
      <c r="M11842">
        <v>0</v>
      </c>
      <c r="N11842">
        <v>0</v>
      </c>
      <c r="O11842">
        <v>0</v>
      </c>
      <c r="AF11842" t="s">
        <v>24350</v>
      </c>
    </row>
    <row r="11843" spans="1:32" hidden="1" x14ac:dyDescent="0.35">
      <c r="A11843">
        <v>11547</v>
      </c>
      <c r="B11843" t="s">
        <v>23609</v>
      </c>
      <c r="C11843" t="s">
        <v>33</v>
      </c>
      <c r="D11843" t="s">
        <v>58</v>
      </c>
      <c r="E11843">
        <v>1299</v>
      </c>
      <c r="F11843">
        <v>1</v>
      </c>
      <c r="G11843">
        <v>1</v>
      </c>
      <c r="H11843">
        <v>1</v>
      </c>
      <c r="I11843">
        <v>0</v>
      </c>
      <c r="J11843">
        <v>1</v>
      </c>
      <c r="K11843">
        <v>1</v>
      </c>
      <c r="L11843">
        <v>1</v>
      </c>
      <c r="M11843">
        <v>0</v>
      </c>
      <c r="N11843">
        <v>0</v>
      </c>
      <c r="O11843">
        <v>0</v>
      </c>
      <c r="P11843" t="s">
        <v>6293</v>
      </c>
      <c r="Q11843" t="s">
        <v>6294</v>
      </c>
      <c r="R11843" t="s">
        <v>157</v>
      </c>
      <c r="S11843" t="s">
        <v>158</v>
      </c>
      <c r="T11843" t="s">
        <v>17554</v>
      </c>
      <c r="U11843" t="s">
        <v>17555</v>
      </c>
      <c r="V11843" t="s">
        <v>17556</v>
      </c>
      <c r="W11843" t="s">
        <v>17557</v>
      </c>
      <c r="X11843" t="s">
        <v>17556</v>
      </c>
      <c r="Y11843" t="s">
        <v>1357</v>
      </c>
      <c r="AD11843" t="s">
        <v>245</v>
      </c>
      <c r="AE11843" t="s">
        <v>17558</v>
      </c>
      <c r="AF11843" t="s">
        <v>23610</v>
      </c>
    </row>
    <row r="11844" spans="1:32" hidden="1" x14ac:dyDescent="0.35">
      <c r="A11844">
        <v>3979</v>
      </c>
      <c r="B11844" t="s">
        <v>8224</v>
      </c>
      <c r="C11844" t="s">
        <v>72</v>
      </c>
      <c r="D11844" t="s">
        <v>58</v>
      </c>
      <c r="E11844">
        <v>86</v>
      </c>
      <c r="F11844">
        <v>5</v>
      </c>
      <c r="G11844">
        <v>5</v>
      </c>
      <c r="H11844">
        <v>1</v>
      </c>
      <c r="I11844">
        <v>1</v>
      </c>
      <c r="J11844">
        <v>0.81556847545219602</v>
      </c>
      <c r="K11844">
        <v>0.95042534032523096</v>
      </c>
      <c r="L11844">
        <v>0.87784785984536595</v>
      </c>
      <c r="M11844">
        <v>0.64367816091954</v>
      </c>
      <c r="N11844">
        <v>0.99080459770114904</v>
      </c>
      <c r="O11844">
        <v>0.728275862068966</v>
      </c>
      <c r="P11844" t="s">
        <v>8225</v>
      </c>
      <c r="Q11844" t="s">
        <v>8226</v>
      </c>
      <c r="R11844" t="s">
        <v>157</v>
      </c>
      <c r="S11844" t="s">
        <v>158</v>
      </c>
      <c r="T11844" t="s">
        <v>8227</v>
      </c>
      <c r="U11844" t="s">
        <v>1393</v>
      </c>
      <c r="V11844" t="s">
        <v>8228</v>
      </c>
      <c r="W11844" t="s">
        <v>8229</v>
      </c>
      <c r="X11844" t="s">
        <v>8228</v>
      </c>
      <c r="Y11844" t="s">
        <v>1357</v>
      </c>
      <c r="AD11844" t="s">
        <v>219</v>
      </c>
      <c r="AE11844" t="s">
        <v>1396</v>
      </c>
      <c r="AF11844" t="e">
        <f>---MKSKSIQRARTAVAVTAAKAATVASRATGRGAGGMIGGLVAGFIDPSLMENLAGVRPVSIVTGTNGKSTTTRMLTAAMRTTSTVCSNEGGDNMDAGIISALLEGRGAERVVLEVDELHVPAAADKLDADCLVLLNLSRDQLDRVGEINTIERRLRECLQARPEMTVVANCDDVMVTSVAFDHPNVVWVAAGAGWTGDSTSCPRTESHIVRSEDGVDWCATKPLADGHQFRRPAPDYWLEGEDLVTPQG----RFSLSLQLPGNANRGNAAQAVAAAVTG-GADTQKAVDAVSQVKEVAGRYSTIEFEGRQVHMLLAKNPAGWQEALSMVDRSADGLVIAVNGQVADGEDLSWLWDVRFEDFDDVAVVAAGERGTDLAVRLTYASIEHELVKNTLDAIRACPPGRVEVLANYTAFRDLKRDLAKASARTAEEA</f>
        <v>#NAME?</v>
      </c>
    </row>
    <row r="11845" spans="1:32" hidden="1" x14ac:dyDescent="0.35">
      <c r="A11845">
        <v>11844</v>
      </c>
      <c r="B11845" t="s">
        <v>24359</v>
      </c>
      <c r="C11845" t="s">
        <v>33</v>
      </c>
      <c r="D11845" t="s">
        <v>45</v>
      </c>
      <c r="E11845">
        <v>1972</v>
      </c>
      <c r="F11845">
        <v>1</v>
      </c>
      <c r="G11845">
        <v>1</v>
      </c>
      <c r="H11845">
        <v>1</v>
      </c>
      <c r="I11845">
        <v>0</v>
      </c>
      <c r="J11845">
        <v>1</v>
      </c>
      <c r="K11845">
        <v>1</v>
      </c>
      <c r="L11845">
        <v>1</v>
      </c>
      <c r="M11845">
        <v>0</v>
      </c>
      <c r="N11845">
        <v>0</v>
      </c>
      <c r="O11845">
        <v>0</v>
      </c>
      <c r="AF11845" t="s">
        <v>24360</v>
      </c>
    </row>
    <row r="11846" spans="1:32" hidden="1" x14ac:dyDescent="0.35">
      <c r="A11846">
        <v>11845</v>
      </c>
      <c r="B11846" t="s">
        <v>24361</v>
      </c>
      <c r="C11846" t="s">
        <v>33</v>
      </c>
      <c r="D11846" t="s">
        <v>58</v>
      </c>
      <c r="E11846">
        <v>1019</v>
      </c>
      <c r="F11846">
        <v>1</v>
      </c>
      <c r="G11846">
        <v>1</v>
      </c>
      <c r="H11846">
        <v>1</v>
      </c>
      <c r="I11846">
        <v>0</v>
      </c>
      <c r="J11846">
        <v>1</v>
      </c>
      <c r="K11846">
        <v>1</v>
      </c>
      <c r="L11846">
        <v>1</v>
      </c>
      <c r="M11846">
        <v>0</v>
      </c>
      <c r="N11846">
        <v>0</v>
      </c>
      <c r="O11846">
        <v>0</v>
      </c>
      <c r="P11846" t="s">
        <v>15681</v>
      </c>
      <c r="Q11846" t="s">
        <v>15682</v>
      </c>
      <c r="AF11846" t="s">
        <v>24362</v>
      </c>
    </row>
    <row r="11847" spans="1:32" hidden="1" x14ac:dyDescent="0.35">
      <c r="A11847">
        <v>4264</v>
      </c>
      <c r="B11847" t="s">
        <v>8863</v>
      </c>
      <c r="C11847" t="s">
        <v>72</v>
      </c>
      <c r="D11847" t="s">
        <v>58</v>
      </c>
      <c r="E11847">
        <v>1300</v>
      </c>
      <c r="F11847">
        <v>5</v>
      </c>
      <c r="G11847">
        <v>5</v>
      </c>
      <c r="H11847">
        <v>1</v>
      </c>
      <c r="I11847">
        <v>1</v>
      </c>
      <c r="J11847">
        <v>0.75669050051072495</v>
      </c>
      <c r="K11847">
        <v>0.96246616029578103</v>
      </c>
      <c r="L11847">
        <v>0.84726309959115498</v>
      </c>
      <c r="M11847">
        <v>0.55599214145383102</v>
      </c>
      <c r="N11847">
        <v>0.99803536345776001</v>
      </c>
      <c r="O11847">
        <v>0.68113948919449896</v>
      </c>
      <c r="P11847" t="s">
        <v>6293</v>
      </c>
      <c r="Q11847" t="s">
        <v>6294</v>
      </c>
      <c r="R11847" t="s">
        <v>157</v>
      </c>
      <c r="S11847" t="s">
        <v>158</v>
      </c>
      <c r="T11847" t="s">
        <v>8864</v>
      </c>
      <c r="U11847" t="s">
        <v>8865</v>
      </c>
      <c r="V11847" t="s">
        <v>8228</v>
      </c>
      <c r="W11847" t="s">
        <v>8229</v>
      </c>
      <c r="X11847" t="s">
        <v>8228</v>
      </c>
      <c r="Y11847" t="s">
        <v>1357</v>
      </c>
      <c r="AD11847" t="s">
        <v>2264</v>
      </c>
      <c r="AE11847" t="s">
        <v>8866</v>
      </c>
      <c r="AF11847" t="s">
        <v>8867</v>
      </c>
    </row>
    <row r="11848" spans="1:32" hidden="1" x14ac:dyDescent="0.35">
      <c r="A11848">
        <v>1539</v>
      </c>
      <c r="B11848" t="s">
        <v>3219</v>
      </c>
      <c r="C11848" t="s">
        <v>72</v>
      </c>
      <c r="D11848" t="s">
        <v>58</v>
      </c>
      <c r="E11848">
        <v>943</v>
      </c>
      <c r="F11848">
        <v>5</v>
      </c>
      <c r="G11848">
        <v>5</v>
      </c>
      <c r="H11848">
        <v>1</v>
      </c>
      <c r="I11848">
        <v>1</v>
      </c>
      <c r="J11848">
        <v>0.846981538113037</v>
      </c>
      <c r="K11848">
        <v>0.90646141723420004</v>
      </c>
      <c r="L11848">
        <v>0.87571264644546798</v>
      </c>
      <c r="M11848">
        <v>0.62079510703363905</v>
      </c>
      <c r="N11848">
        <v>1</v>
      </c>
      <c r="O11848">
        <v>0.73608562691131496</v>
      </c>
      <c r="P11848" t="s">
        <v>3220</v>
      </c>
      <c r="Q11848" t="s">
        <v>3221</v>
      </c>
      <c r="R11848" t="s">
        <v>75</v>
      </c>
      <c r="S11848" t="s">
        <v>76</v>
      </c>
      <c r="T11848" t="s">
        <v>3222</v>
      </c>
      <c r="U11848" t="s">
        <v>3223</v>
      </c>
      <c r="V11848" t="s">
        <v>3224</v>
      </c>
      <c r="W11848" t="s">
        <v>3225</v>
      </c>
      <c r="AD11848" t="s">
        <v>2264</v>
      </c>
      <c r="AE11848" t="s">
        <v>3226</v>
      </c>
      <c r="AF11848" t="s">
        <v>3227</v>
      </c>
    </row>
    <row r="11849" spans="1:32" hidden="1" x14ac:dyDescent="0.35">
      <c r="A11849">
        <v>11848</v>
      </c>
      <c r="B11849" t="s">
        <v>24373</v>
      </c>
      <c r="C11849" t="s">
        <v>33</v>
      </c>
      <c r="D11849" t="s">
        <v>58</v>
      </c>
      <c r="E11849">
        <v>1348</v>
      </c>
      <c r="F11849">
        <v>1</v>
      </c>
      <c r="G11849">
        <v>1</v>
      </c>
      <c r="H11849">
        <v>1</v>
      </c>
      <c r="I11849">
        <v>0</v>
      </c>
      <c r="J11849">
        <v>1</v>
      </c>
      <c r="K11849">
        <v>1</v>
      </c>
      <c r="L11849">
        <v>1</v>
      </c>
      <c r="M11849">
        <v>0</v>
      </c>
      <c r="N11849">
        <v>0</v>
      </c>
      <c r="O11849">
        <v>0</v>
      </c>
      <c r="AF11849" t="s">
        <v>24374</v>
      </c>
    </row>
    <row r="11850" spans="1:32" hidden="1" x14ac:dyDescent="0.35">
      <c r="A11850">
        <v>11849</v>
      </c>
      <c r="B11850" t="s">
        <v>24375</v>
      </c>
      <c r="C11850" t="s">
        <v>33</v>
      </c>
      <c r="D11850" t="s">
        <v>34</v>
      </c>
      <c r="E11850">
        <v>890</v>
      </c>
      <c r="F11850">
        <v>1</v>
      </c>
      <c r="G11850">
        <v>1</v>
      </c>
      <c r="H11850">
        <v>1</v>
      </c>
      <c r="I11850">
        <v>0</v>
      </c>
      <c r="J11850">
        <v>1</v>
      </c>
      <c r="K11850">
        <v>1</v>
      </c>
      <c r="L11850">
        <v>1</v>
      </c>
      <c r="M11850">
        <v>0</v>
      </c>
      <c r="N11850">
        <v>0</v>
      </c>
      <c r="O11850">
        <v>0</v>
      </c>
      <c r="AF11850" t="s">
        <v>24376</v>
      </c>
    </row>
    <row r="11851" spans="1:32" hidden="1" x14ac:dyDescent="0.35">
      <c r="A11851">
        <v>1044</v>
      </c>
      <c r="B11851" t="s">
        <v>2174</v>
      </c>
      <c r="C11851" t="s">
        <v>72</v>
      </c>
      <c r="D11851" t="s">
        <v>58</v>
      </c>
      <c r="E11851">
        <v>1390</v>
      </c>
      <c r="F11851">
        <v>5</v>
      </c>
      <c r="G11851">
        <v>5</v>
      </c>
      <c r="H11851">
        <v>1</v>
      </c>
      <c r="I11851">
        <v>1</v>
      </c>
      <c r="J11851">
        <v>0.83073983073983104</v>
      </c>
      <c r="K11851">
        <v>0.99674138507862298</v>
      </c>
      <c r="L11851">
        <v>0.90620112793964602</v>
      </c>
      <c r="M11851">
        <v>0.67346938775510201</v>
      </c>
      <c r="N11851">
        <v>1</v>
      </c>
      <c r="O11851">
        <v>0.78122448979591796</v>
      </c>
      <c r="P11851" t="s">
        <v>2175</v>
      </c>
      <c r="Q11851" t="s">
        <v>2176</v>
      </c>
      <c r="R11851" t="s">
        <v>75</v>
      </c>
      <c r="S11851" t="s">
        <v>76</v>
      </c>
      <c r="T11851" t="s">
        <v>2177</v>
      </c>
      <c r="U11851" t="s">
        <v>2178</v>
      </c>
      <c r="V11851" t="s">
        <v>2179</v>
      </c>
      <c r="W11851" t="s">
        <v>2180</v>
      </c>
      <c r="AD11851" t="s">
        <v>2181</v>
      </c>
      <c r="AE11851" t="s">
        <v>2182</v>
      </c>
      <c r="AF11851" t="e">
        <f>--MNHPAQQLDPQFLPQHIALVMDGNGRWAQQRGMKRTEGHKRGEQVLDTMVDTCLELGIPYLSAYAFSTENWRRSPEEVRFLMNFNRHVLRTRRDSLNERGVKIKWVGRRSRLWRSVIKELQEAEELTKNNTRMTLAMCINYGGRAEIVDAARAFAEDVANGTVKPHQLTENSLRGYLNDPDMPDVDLFLRPSGEQRTSNFLLWQSAYAEMVFQDKLFPDYTPEDLYDAIYEYAQRDRRFGGTK</f>
        <v>#NAME?</v>
      </c>
    </row>
    <row r="11852" spans="1:32" hidden="1" x14ac:dyDescent="0.35">
      <c r="A11852">
        <v>11851</v>
      </c>
      <c r="B11852" t="s">
        <v>24379</v>
      </c>
      <c r="C11852" t="s">
        <v>33</v>
      </c>
      <c r="D11852" t="s">
        <v>58</v>
      </c>
      <c r="E11852">
        <v>1345</v>
      </c>
      <c r="F11852">
        <v>1</v>
      </c>
      <c r="G11852">
        <v>1</v>
      </c>
      <c r="H11852">
        <v>1</v>
      </c>
      <c r="I11852">
        <v>0</v>
      </c>
      <c r="J11852">
        <v>1</v>
      </c>
      <c r="K11852">
        <v>1</v>
      </c>
      <c r="L11852">
        <v>1</v>
      </c>
      <c r="M11852">
        <v>0</v>
      </c>
      <c r="N11852">
        <v>0</v>
      </c>
      <c r="O11852">
        <v>0</v>
      </c>
      <c r="AF11852" t="s">
        <v>24380</v>
      </c>
    </row>
    <row r="11853" spans="1:32" hidden="1" x14ac:dyDescent="0.35">
      <c r="A11853">
        <v>11852</v>
      </c>
      <c r="B11853" t="s">
        <v>24381</v>
      </c>
      <c r="C11853" t="s">
        <v>33</v>
      </c>
      <c r="D11853" t="s">
        <v>58</v>
      </c>
      <c r="E11853">
        <v>1496</v>
      </c>
      <c r="F11853">
        <v>1</v>
      </c>
      <c r="G11853">
        <v>1</v>
      </c>
      <c r="H11853">
        <v>1</v>
      </c>
      <c r="I11853">
        <v>0</v>
      </c>
      <c r="J11853">
        <v>1</v>
      </c>
      <c r="K11853">
        <v>1</v>
      </c>
      <c r="L11853">
        <v>1</v>
      </c>
      <c r="M11853">
        <v>0</v>
      </c>
      <c r="N11853">
        <v>0</v>
      </c>
      <c r="O11853">
        <v>0</v>
      </c>
      <c r="AF11853" t="s">
        <v>24382</v>
      </c>
    </row>
    <row r="11854" spans="1:32" hidden="1" x14ac:dyDescent="0.35">
      <c r="A11854">
        <v>11853</v>
      </c>
      <c r="B11854" t="s">
        <v>24383</v>
      </c>
      <c r="C11854" t="s">
        <v>33</v>
      </c>
      <c r="D11854" t="s">
        <v>58</v>
      </c>
      <c r="E11854">
        <v>427</v>
      </c>
      <c r="F11854">
        <v>1</v>
      </c>
      <c r="G11854">
        <v>1</v>
      </c>
      <c r="H11854">
        <v>1</v>
      </c>
      <c r="I11854">
        <v>0</v>
      </c>
      <c r="J11854">
        <v>1</v>
      </c>
      <c r="K11854">
        <v>1</v>
      </c>
      <c r="L11854">
        <v>1</v>
      </c>
      <c r="M11854">
        <v>0</v>
      </c>
      <c r="N11854">
        <v>0</v>
      </c>
      <c r="O11854">
        <v>0</v>
      </c>
      <c r="AF11854" t="s">
        <v>24384</v>
      </c>
    </row>
    <row r="11855" spans="1:32" hidden="1" x14ac:dyDescent="0.35">
      <c r="A11855">
        <v>11854</v>
      </c>
      <c r="B11855" t="s">
        <v>24385</v>
      </c>
      <c r="C11855" t="s">
        <v>33</v>
      </c>
      <c r="D11855" t="s">
        <v>58</v>
      </c>
      <c r="E11855">
        <v>1090</v>
      </c>
      <c r="F11855">
        <v>1</v>
      </c>
      <c r="G11855">
        <v>1</v>
      </c>
      <c r="H11855">
        <v>1</v>
      </c>
      <c r="I11855">
        <v>0</v>
      </c>
      <c r="J11855">
        <v>1</v>
      </c>
      <c r="K11855">
        <v>1</v>
      </c>
      <c r="L11855">
        <v>1</v>
      </c>
      <c r="M11855">
        <v>0</v>
      </c>
      <c r="N11855">
        <v>0</v>
      </c>
      <c r="O11855">
        <v>0</v>
      </c>
      <c r="R11855" t="s">
        <v>1259</v>
      </c>
      <c r="S11855" t="s">
        <v>1260</v>
      </c>
      <c r="V11855" t="s">
        <v>14967</v>
      </c>
      <c r="W11855" t="s">
        <v>2923</v>
      </c>
      <c r="AF11855" t="s">
        <v>24386</v>
      </c>
    </row>
    <row r="11856" spans="1:32" hidden="1" x14ac:dyDescent="0.35">
      <c r="A11856">
        <v>11855</v>
      </c>
      <c r="B11856" t="s">
        <v>24387</v>
      </c>
      <c r="C11856" t="s">
        <v>33</v>
      </c>
      <c r="D11856" t="s">
        <v>45</v>
      </c>
      <c r="E11856">
        <v>1294</v>
      </c>
      <c r="F11856">
        <v>1</v>
      </c>
      <c r="G11856">
        <v>1</v>
      </c>
      <c r="H11856">
        <v>1</v>
      </c>
      <c r="I11856">
        <v>0</v>
      </c>
      <c r="J11856">
        <v>1</v>
      </c>
      <c r="K11856">
        <v>1</v>
      </c>
      <c r="L11856">
        <v>1</v>
      </c>
      <c r="M11856">
        <v>0</v>
      </c>
      <c r="N11856">
        <v>0</v>
      </c>
      <c r="O11856">
        <v>0</v>
      </c>
      <c r="P11856" t="s">
        <v>20494</v>
      </c>
      <c r="Q11856" t="s">
        <v>20495</v>
      </c>
      <c r="R11856" t="s">
        <v>371</v>
      </c>
      <c r="S11856" t="s">
        <v>372</v>
      </c>
      <c r="V11856" t="s">
        <v>20498</v>
      </c>
      <c r="W11856" t="s">
        <v>20499</v>
      </c>
      <c r="AF11856" t="s">
        <v>24388</v>
      </c>
    </row>
    <row r="11857" spans="1:32" hidden="1" x14ac:dyDescent="0.35">
      <c r="A11857">
        <v>2469</v>
      </c>
      <c r="B11857" t="s">
        <v>5114</v>
      </c>
      <c r="C11857" t="s">
        <v>72</v>
      </c>
      <c r="D11857" t="s">
        <v>58</v>
      </c>
      <c r="E11857">
        <v>665</v>
      </c>
      <c r="F11857">
        <v>5</v>
      </c>
      <c r="G11857">
        <v>5</v>
      </c>
      <c r="H11857">
        <v>1</v>
      </c>
      <c r="I11857">
        <v>1</v>
      </c>
      <c r="J11857">
        <v>0.82252604166666698</v>
      </c>
      <c r="K11857">
        <v>0.99230838838114099</v>
      </c>
      <c r="L11857">
        <v>0.89947543125051699</v>
      </c>
      <c r="M11857">
        <v>0.693798449612403</v>
      </c>
      <c r="N11857">
        <v>1</v>
      </c>
      <c r="O11857">
        <v>0.76860465116279097</v>
      </c>
      <c r="P11857" t="s">
        <v>2175</v>
      </c>
      <c r="Q11857" t="s">
        <v>2176</v>
      </c>
      <c r="R11857" t="s">
        <v>75</v>
      </c>
      <c r="S11857" t="s">
        <v>76</v>
      </c>
      <c r="T11857" t="s">
        <v>5115</v>
      </c>
      <c r="U11857" t="s">
        <v>5116</v>
      </c>
      <c r="V11857" t="s">
        <v>2179</v>
      </c>
      <c r="W11857" t="s">
        <v>2180</v>
      </c>
      <c r="AD11857" t="s">
        <v>1231</v>
      </c>
      <c r="AE11857" t="s">
        <v>5117</v>
      </c>
      <c r="AF11857" t="e">
        <f>-----MRTLLYPLYEWRLQRQLKSKPQPRHVAIMCDGNRRWAREAGFADVSHGHRVGAKKIGEMVRWCQDTDIELVTVYLLSTENLAREESELELLFDIIGDVVDELSESDTNCSVRMVGHLDLLPDELRSRLKRAEEATKDHTGVCVNVAVGYGGRQEIVDAARKLLLEQAAAGVTTSELADSITIESISEHLYTSGQPDPDLVIRTSGEQRLSGFLLWQAAYSEIWFTDTYWPAFRRVDFLRALRSYASRTRRFGR</f>
        <v>#NAME?</v>
      </c>
    </row>
    <row r="11858" spans="1:32" hidden="1" x14ac:dyDescent="0.35">
      <c r="A11858">
        <v>11857</v>
      </c>
      <c r="B11858" t="s">
        <v>24391</v>
      </c>
      <c r="C11858" t="s">
        <v>33</v>
      </c>
      <c r="D11858" t="s">
        <v>34</v>
      </c>
      <c r="E11858">
        <v>2489</v>
      </c>
      <c r="F11858">
        <v>1</v>
      </c>
      <c r="G11858">
        <v>1</v>
      </c>
      <c r="H11858">
        <v>1</v>
      </c>
      <c r="I11858">
        <v>0</v>
      </c>
      <c r="J11858">
        <v>1</v>
      </c>
      <c r="K11858">
        <v>1</v>
      </c>
      <c r="L11858">
        <v>1</v>
      </c>
      <c r="M11858">
        <v>0</v>
      </c>
      <c r="N11858">
        <v>0</v>
      </c>
      <c r="O11858">
        <v>0</v>
      </c>
      <c r="P11858" t="s">
        <v>24324</v>
      </c>
      <c r="Q11858" t="s">
        <v>24325</v>
      </c>
      <c r="AF11858" t="s">
        <v>24392</v>
      </c>
    </row>
    <row r="11859" spans="1:32" hidden="1" x14ac:dyDescent="0.35">
      <c r="A11859">
        <v>11858</v>
      </c>
      <c r="B11859" t="s">
        <v>24393</v>
      </c>
      <c r="C11859" t="s">
        <v>33</v>
      </c>
      <c r="D11859" t="s">
        <v>58</v>
      </c>
      <c r="E11859">
        <v>1792</v>
      </c>
      <c r="F11859">
        <v>1</v>
      </c>
      <c r="G11859">
        <v>1</v>
      </c>
      <c r="H11859">
        <v>1</v>
      </c>
      <c r="I11859">
        <v>0</v>
      </c>
      <c r="J11859">
        <v>1</v>
      </c>
      <c r="K11859">
        <v>1</v>
      </c>
      <c r="L11859">
        <v>1</v>
      </c>
      <c r="M11859">
        <v>0</v>
      </c>
      <c r="N11859">
        <v>0</v>
      </c>
      <c r="O11859">
        <v>0</v>
      </c>
      <c r="P11859" t="s">
        <v>24394</v>
      </c>
      <c r="Q11859" t="s">
        <v>24395</v>
      </c>
      <c r="AF11859" t="s">
        <v>24396</v>
      </c>
    </row>
    <row r="11860" spans="1:32" hidden="1" x14ac:dyDescent="0.35">
      <c r="A11860">
        <v>11073</v>
      </c>
      <c r="B11860" t="s">
        <v>22408</v>
      </c>
      <c r="C11860" t="s">
        <v>33</v>
      </c>
      <c r="D11860" t="s">
        <v>58</v>
      </c>
      <c r="E11860">
        <v>812</v>
      </c>
      <c r="F11860">
        <v>1</v>
      </c>
      <c r="G11860">
        <v>1</v>
      </c>
      <c r="H11860">
        <v>1</v>
      </c>
      <c r="I11860">
        <v>0</v>
      </c>
      <c r="J11860">
        <v>1</v>
      </c>
      <c r="K11860">
        <v>1</v>
      </c>
      <c r="L11860">
        <v>1</v>
      </c>
      <c r="M11860">
        <v>0</v>
      </c>
      <c r="N11860">
        <v>0</v>
      </c>
      <c r="O11860">
        <v>0</v>
      </c>
      <c r="P11860" t="s">
        <v>10166</v>
      </c>
      <c r="Q11860" t="s">
        <v>10167</v>
      </c>
      <c r="R11860" t="s">
        <v>371</v>
      </c>
      <c r="S11860" t="s">
        <v>372</v>
      </c>
      <c r="T11860" t="s">
        <v>10168</v>
      </c>
      <c r="U11860" t="s">
        <v>10169</v>
      </c>
      <c r="V11860" t="s">
        <v>10170</v>
      </c>
      <c r="W11860" t="s">
        <v>10171</v>
      </c>
      <c r="AD11860" t="s">
        <v>3253</v>
      </c>
      <c r="AE11860" t="s">
        <v>10172</v>
      </c>
      <c r="AF11860" t="s">
        <v>22409</v>
      </c>
    </row>
    <row r="11861" spans="1:32" hidden="1" x14ac:dyDescent="0.35">
      <c r="A11861">
        <v>11860</v>
      </c>
      <c r="B11861" t="s">
        <v>24399</v>
      </c>
      <c r="C11861" t="s">
        <v>33</v>
      </c>
      <c r="D11861" t="s">
        <v>58</v>
      </c>
      <c r="E11861">
        <v>1540</v>
      </c>
      <c r="F11861">
        <v>1</v>
      </c>
      <c r="G11861">
        <v>1</v>
      </c>
      <c r="H11861">
        <v>1</v>
      </c>
      <c r="I11861">
        <v>0</v>
      </c>
      <c r="J11861">
        <v>1</v>
      </c>
      <c r="K11861">
        <v>1</v>
      </c>
      <c r="L11861">
        <v>1</v>
      </c>
      <c r="M11861">
        <v>0</v>
      </c>
      <c r="N11861">
        <v>0</v>
      </c>
      <c r="O11861">
        <v>0</v>
      </c>
      <c r="P11861" t="s">
        <v>13988</v>
      </c>
      <c r="Q11861" t="s">
        <v>13989</v>
      </c>
      <c r="AF11861" t="s">
        <v>24400</v>
      </c>
    </row>
    <row r="11862" spans="1:32" hidden="1" x14ac:dyDescent="0.35">
      <c r="A11862">
        <v>11861</v>
      </c>
      <c r="B11862" t="s">
        <v>24401</v>
      </c>
      <c r="C11862" t="s">
        <v>33</v>
      </c>
      <c r="D11862" t="s">
        <v>60</v>
      </c>
      <c r="E11862">
        <v>659</v>
      </c>
      <c r="F11862">
        <v>1</v>
      </c>
      <c r="G11862">
        <v>1</v>
      </c>
      <c r="H11862">
        <v>1</v>
      </c>
      <c r="I11862">
        <v>0</v>
      </c>
      <c r="J11862">
        <v>1</v>
      </c>
      <c r="K11862">
        <v>1</v>
      </c>
      <c r="L11862">
        <v>1</v>
      </c>
      <c r="M11862">
        <v>0</v>
      </c>
      <c r="N11862">
        <v>0</v>
      </c>
      <c r="O11862">
        <v>0</v>
      </c>
      <c r="AF11862" t="s">
        <v>24402</v>
      </c>
    </row>
    <row r="11863" spans="1:32" hidden="1" x14ac:dyDescent="0.35">
      <c r="A11863">
        <v>11862</v>
      </c>
      <c r="B11863" t="s">
        <v>24403</v>
      </c>
      <c r="C11863" t="s">
        <v>33</v>
      </c>
      <c r="D11863" t="s">
        <v>58</v>
      </c>
      <c r="E11863">
        <v>45</v>
      </c>
      <c r="F11863">
        <v>1</v>
      </c>
      <c r="G11863">
        <v>1</v>
      </c>
      <c r="H11863">
        <v>1</v>
      </c>
      <c r="I11863">
        <v>0</v>
      </c>
      <c r="J11863">
        <v>1</v>
      </c>
      <c r="K11863">
        <v>1</v>
      </c>
      <c r="L11863">
        <v>1</v>
      </c>
      <c r="M11863">
        <v>0</v>
      </c>
      <c r="N11863">
        <v>0</v>
      </c>
      <c r="O11863">
        <v>0</v>
      </c>
      <c r="AF11863" t="s">
        <v>24404</v>
      </c>
    </row>
    <row r="11864" spans="1:32" hidden="1" x14ac:dyDescent="0.35">
      <c r="A11864">
        <v>11863</v>
      </c>
      <c r="B11864" t="s">
        <v>24405</v>
      </c>
      <c r="C11864" t="s">
        <v>33</v>
      </c>
      <c r="D11864" t="s">
        <v>58</v>
      </c>
      <c r="E11864">
        <v>1233</v>
      </c>
      <c r="F11864">
        <v>1</v>
      </c>
      <c r="G11864">
        <v>1</v>
      </c>
      <c r="H11864">
        <v>1</v>
      </c>
      <c r="I11864">
        <v>0</v>
      </c>
      <c r="J11864">
        <v>1</v>
      </c>
      <c r="K11864">
        <v>1</v>
      </c>
      <c r="L11864">
        <v>1</v>
      </c>
      <c r="M11864">
        <v>0</v>
      </c>
      <c r="N11864">
        <v>0</v>
      </c>
      <c r="O11864">
        <v>0</v>
      </c>
      <c r="R11864" t="s">
        <v>288</v>
      </c>
      <c r="S11864" t="s">
        <v>289</v>
      </c>
      <c r="V11864" t="s">
        <v>2442</v>
      </c>
      <c r="W11864" t="s">
        <v>2443</v>
      </c>
      <c r="AF11864" t="s">
        <v>24406</v>
      </c>
    </row>
    <row r="11865" spans="1:32" hidden="1" x14ac:dyDescent="0.35">
      <c r="A11865">
        <v>11864</v>
      </c>
      <c r="B11865" t="s">
        <v>24407</v>
      </c>
      <c r="C11865" t="s">
        <v>33</v>
      </c>
      <c r="D11865" t="s">
        <v>58</v>
      </c>
      <c r="E11865">
        <v>505</v>
      </c>
      <c r="F11865">
        <v>1</v>
      </c>
      <c r="G11865">
        <v>1</v>
      </c>
      <c r="H11865">
        <v>1</v>
      </c>
      <c r="I11865">
        <v>0</v>
      </c>
      <c r="J11865">
        <v>1</v>
      </c>
      <c r="K11865">
        <v>1</v>
      </c>
      <c r="L11865">
        <v>1</v>
      </c>
      <c r="M11865">
        <v>0</v>
      </c>
      <c r="N11865">
        <v>0</v>
      </c>
      <c r="O11865">
        <v>0</v>
      </c>
      <c r="AF11865" t="s">
        <v>24408</v>
      </c>
    </row>
    <row r="11866" spans="1:32" hidden="1" x14ac:dyDescent="0.35">
      <c r="A11866">
        <v>11865</v>
      </c>
      <c r="B11866" t="s">
        <v>24409</v>
      </c>
      <c r="C11866" t="s">
        <v>33</v>
      </c>
      <c r="D11866" t="s">
        <v>58</v>
      </c>
      <c r="E11866">
        <v>1418</v>
      </c>
      <c r="F11866">
        <v>1</v>
      </c>
      <c r="G11866">
        <v>1</v>
      </c>
      <c r="H11866">
        <v>1</v>
      </c>
      <c r="I11866">
        <v>0</v>
      </c>
      <c r="J11866">
        <v>1</v>
      </c>
      <c r="K11866">
        <v>1</v>
      </c>
      <c r="L11866">
        <v>1</v>
      </c>
      <c r="M11866">
        <v>0</v>
      </c>
      <c r="N11866">
        <v>0</v>
      </c>
      <c r="O11866">
        <v>0</v>
      </c>
      <c r="AF11866" t="s">
        <v>24410</v>
      </c>
    </row>
    <row r="11867" spans="1:32" hidden="1" x14ac:dyDescent="0.35">
      <c r="A11867">
        <v>4154</v>
      </c>
      <c r="B11867" t="s">
        <v>8596</v>
      </c>
      <c r="C11867" t="s">
        <v>72</v>
      </c>
      <c r="D11867" t="s">
        <v>58</v>
      </c>
      <c r="E11867">
        <v>611</v>
      </c>
      <c r="F11867">
        <v>5</v>
      </c>
      <c r="G11867">
        <v>5</v>
      </c>
      <c r="H11867">
        <v>1</v>
      </c>
      <c r="I11867">
        <v>1</v>
      </c>
      <c r="J11867">
        <v>0.91022206346371404</v>
      </c>
      <c r="K11867">
        <v>0.98417040025742697</v>
      </c>
      <c r="L11867">
        <v>0.94575293100837698</v>
      </c>
      <c r="M11867">
        <v>0.82073813708260102</v>
      </c>
      <c r="N11867">
        <v>0.99824253075571201</v>
      </c>
      <c r="O11867">
        <v>0.87662565905096701</v>
      </c>
      <c r="P11867" t="s">
        <v>8597</v>
      </c>
      <c r="Q11867" t="s">
        <v>8598</v>
      </c>
      <c r="R11867" t="s">
        <v>235</v>
      </c>
      <c r="S11867" t="s">
        <v>236</v>
      </c>
      <c r="T11867" t="s">
        <v>8599</v>
      </c>
      <c r="U11867" t="s">
        <v>8600</v>
      </c>
      <c r="V11867" t="s">
        <v>8601</v>
      </c>
      <c r="W11867" t="s">
        <v>8602</v>
      </c>
      <c r="Z11867" t="s">
        <v>5431</v>
      </c>
      <c r="AA11867" t="s">
        <v>5432</v>
      </c>
      <c r="AB11867" t="s">
        <v>5431</v>
      </c>
      <c r="AC11867" t="s">
        <v>860</v>
      </c>
      <c r="AD11867" t="s">
        <v>219</v>
      </c>
      <c r="AE11867" t="s">
        <v>8603</v>
      </c>
      <c r="AF11867" t="s">
        <v>8604</v>
      </c>
    </row>
    <row r="11868" spans="1:32" hidden="1" x14ac:dyDescent="0.35">
      <c r="A11868">
        <v>11867</v>
      </c>
      <c r="B11868" t="s">
        <v>24415</v>
      </c>
      <c r="C11868" t="s">
        <v>33</v>
      </c>
      <c r="D11868" t="s">
        <v>58</v>
      </c>
      <c r="E11868">
        <v>494</v>
      </c>
      <c r="F11868">
        <v>1</v>
      </c>
      <c r="G11868">
        <v>1</v>
      </c>
      <c r="H11868">
        <v>1</v>
      </c>
      <c r="I11868">
        <v>0</v>
      </c>
      <c r="J11868">
        <v>1</v>
      </c>
      <c r="K11868">
        <v>1</v>
      </c>
      <c r="L11868">
        <v>1</v>
      </c>
      <c r="M11868">
        <v>0</v>
      </c>
      <c r="N11868">
        <v>0</v>
      </c>
      <c r="O11868">
        <v>0</v>
      </c>
      <c r="AF11868" t="s">
        <v>24416</v>
      </c>
    </row>
    <row r="11869" spans="1:32" hidden="1" x14ac:dyDescent="0.35">
      <c r="A11869">
        <v>11868</v>
      </c>
      <c r="B11869" t="s">
        <v>24417</v>
      </c>
      <c r="C11869" t="s">
        <v>33</v>
      </c>
      <c r="D11869" t="s">
        <v>58</v>
      </c>
      <c r="E11869">
        <v>133</v>
      </c>
      <c r="F11869">
        <v>1</v>
      </c>
      <c r="G11869">
        <v>1</v>
      </c>
      <c r="H11869">
        <v>1</v>
      </c>
      <c r="I11869">
        <v>0</v>
      </c>
      <c r="J11869">
        <v>1</v>
      </c>
      <c r="K11869">
        <v>1</v>
      </c>
      <c r="L11869">
        <v>1</v>
      </c>
      <c r="M11869">
        <v>0</v>
      </c>
      <c r="N11869">
        <v>0</v>
      </c>
      <c r="O11869">
        <v>0</v>
      </c>
      <c r="P11869" t="s">
        <v>24418</v>
      </c>
      <c r="Q11869" t="s">
        <v>24419</v>
      </c>
      <c r="AF11869" t="s">
        <v>24420</v>
      </c>
    </row>
    <row r="11870" spans="1:32" hidden="1" x14ac:dyDescent="0.35">
      <c r="A11870">
        <v>3544</v>
      </c>
      <c r="B11870" t="s">
        <v>7276</v>
      </c>
      <c r="C11870" t="s">
        <v>72</v>
      </c>
      <c r="D11870" t="s">
        <v>58</v>
      </c>
      <c r="E11870">
        <v>180</v>
      </c>
      <c r="F11870">
        <v>5</v>
      </c>
      <c r="G11870">
        <v>5</v>
      </c>
      <c r="H11870">
        <v>1</v>
      </c>
      <c r="I11870">
        <v>1</v>
      </c>
      <c r="J11870">
        <v>0.83469174503657295</v>
      </c>
      <c r="K11870">
        <v>0.87440202662896405</v>
      </c>
      <c r="L11870">
        <v>0.85408555758668603</v>
      </c>
      <c r="M11870">
        <v>0.61246612466124695</v>
      </c>
      <c r="N11870">
        <v>1</v>
      </c>
      <c r="O11870">
        <v>0.71382113821138204</v>
      </c>
      <c r="P11870" t="s">
        <v>7277</v>
      </c>
      <c r="Q11870" t="s">
        <v>7278</v>
      </c>
      <c r="R11870" t="s">
        <v>869</v>
      </c>
      <c r="S11870" t="s">
        <v>870</v>
      </c>
      <c r="T11870" t="s">
        <v>7279</v>
      </c>
      <c r="U11870" t="s">
        <v>7280</v>
      </c>
      <c r="V11870" t="s">
        <v>7281</v>
      </c>
      <c r="W11870" t="s">
        <v>7282</v>
      </c>
      <c r="X11870" t="s">
        <v>7281</v>
      </c>
      <c r="Y11870" t="s">
        <v>1153</v>
      </c>
      <c r="Z11870" t="s">
        <v>7283</v>
      </c>
      <c r="AA11870" t="s">
        <v>7284</v>
      </c>
      <c r="AB11870" t="s">
        <v>7283</v>
      </c>
      <c r="AC11870" t="s">
        <v>1742</v>
      </c>
      <c r="AD11870" t="s">
        <v>219</v>
      </c>
      <c r="AE11870" t="s">
        <v>7285</v>
      </c>
      <c r="AF11870" t="s">
        <v>7286</v>
      </c>
    </row>
    <row r="11871" spans="1:32" hidden="1" x14ac:dyDescent="0.35">
      <c r="A11871">
        <v>11870</v>
      </c>
      <c r="B11871" t="s">
        <v>24423</v>
      </c>
      <c r="C11871" t="s">
        <v>33</v>
      </c>
      <c r="D11871" t="s">
        <v>58</v>
      </c>
      <c r="E11871">
        <v>723</v>
      </c>
      <c r="F11871">
        <v>1</v>
      </c>
      <c r="G11871">
        <v>1</v>
      </c>
      <c r="H11871">
        <v>1</v>
      </c>
      <c r="I11871">
        <v>0</v>
      </c>
      <c r="J11871">
        <v>1</v>
      </c>
      <c r="K11871">
        <v>1</v>
      </c>
      <c r="L11871">
        <v>1</v>
      </c>
      <c r="M11871">
        <v>0</v>
      </c>
      <c r="N11871">
        <v>0</v>
      </c>
      <c r="O11871">
        <v>0</v>
      </c>
      <c r="P11871" t="s">
        <v>15601</v>
      </c>
      <c r="Q11871" t="s">
        <v>15602</v>
      </c>
      <c r="R11871" t="s">
        <v>319</v>
      </c>
      <c r="S11871" t="s">
        <v>320</v>
      </c>
      <c r="T11871" t="s">
        <v>15603</v>
      </c>
      <c r="U11871" t="s">
        <v>15604</v>
      </c>
      <c r="V11871" t="s">
        <v>15605</v>
      </c>
      <c r="W11871" t="s">
        <v>15606</v>
      </c>
      <c r="AD11871" t="s">
        <v>245</v>
      </c>
      <c r="AE11871" t="s">
        <v>15607</v>
      </c>
      <c r="AF11871" t="s">
        <v>24424</v>
      </c>
    </row>
    <row r="11872" spans="1:32" hidden="1" x14ac:dyDescent="0.35">
      <c r="A11872">
        <v>1894</v>
      </c>
      <c r="B11872" t="s">
        <v>3919</v>
      </c>
      <c r="C11872" t="s">
        <v>72</v>
      </c>
      <c r="D11872" t="s">
        <v>58</v>
      </c>
      <c r="E11872">
        <v>1141</v>
      </c>
      <c r="F11872">
        <v>5</v>
      </c>
      <c r="G11872">
        <v>5</v>
      </c>
      <c r="H11872">
        <v>1</v>
      </c>
      <c r="I11872">
        <v>1</v>
      </c>
      <c r="J11872">
        <v>0.79367003367003397</v>
      </c>
      <c r="K11872">
        <v>0.94583223655347803</v>
      </c>
      <c r="L11872">
        <v>0.86309597392493898</v>
      </c>
      <c r="M11872">
        <v>0.61450381679389299</v>
      </c>
      <c r="N11872">
        <v>1</v>
      </c>
      <c r="O11872">
        <v>0.70305343511450402</v>
      </c>
      <c r="P11872" t="s">
        <v>3920</v>
      </c>
      <c r="Q11872" t="s">
        <v>3921</v>
      </c>
      <c r="R11872" t="s">
        <v>869</v>
      </c>
      <c r="S11872" t="s">
        <v>870</v>
      </c>
      <c r="T11872" t="s">
        <v>3922</v>
      </c>
      <c r="U11872" t="s">
        <v>3923</v>
      </c>
      <c r="V11872" t="s">
        <v>3924</v>
      </c>
      <c r="W11872" t="s">
        <v>3925</v>
      </c>
      <c r="X11872" t="s">
        <v>3924</v>
      </c>
      <c r="Y11872" t="s">
        <v>1091</v>
      </c>
      <c r="Z11872" t="s">
        <v>3926</v>
      </c>
      <c r="AA11872" t="s">
        <v>3927</v>
      </c>
      <c r="AB11872" t="s">
        <v>3926</v>
      </c>
      <c r="AC11872" t="s">
        <v>1742</v>
      </c>
      <c r="AD11872" t="s">
        <v>219</v>
      </c>
      <c r="AE11872" t="s">
        <v>3928</v>
      </c>
      <c r="AF11872" t="s">
        <v>3929</v>
      </c>
    </row>
    <row r="11873" spans="1:32" hidden="1" x14ac:dyDescent="0.35">
      <c r="A11873">
        <v>11872</v>
      </c>
      <c r="B11873" t="s">
        <v>24427</v>
      </c>
      <c r="C11873" t="s">
        <v>33</v>
      </c>
      <c r="D11873" t="s">
        <v>34</v>
      </c>
      <c r="E11873">
        <v>2389</v>
      </c>
      <c r="F11873">
        <v>1</v>
      </c>
      <c r="G11873">
        <v>1</v>
      </c>
      <c r="H11873">
        <v>1</v>
      </c>
      <c r="I11873">
        <v>0</v>
      </c>
      <c r="J11873">
        <v>1</v>
      </c>
      <c r="K11873">
        <v>1</v>
      </c>
      <c r="L11873">
        <v>1</v>
      </c>
      <c r="M11873">
        <v>0</v>
      </c>
      <c r="N11873">
        <v>0</v>
      </c>
      <c r="O11873">
        <v>0</v>
      </c>
      <c r="P11873" t="s">
        <v>21678</v>
      </c>
      <c r="Q11873" t="s">
        <v>21679</v>
      </c>
      <c r="R11873" t="s">
        <v>13853</v>
      </c>
      <c r="S11873" t="s">
        <v>13854</v>
      </c>
      <c r="V11873" t="s">
        <v>21680</v>
      </c>
      <c r="W11873" t="s">
        <v>21681</v>
      </c>
      <c r="AF11873" t="s">
        <v>24428</v>
      </c>
    </row>
    <row r="11874" spans="1:32" hidden="1" x14ac:dyDescent="0.35">
      <c r="A11874">
        <v>11873</v>
      </c>
      <c r="B11874" t="s">
        <v>24429</v>
      </c>
      <c r="C11874" t="s">
        <v>33</v>
      </c>
      <c r="D11874" t="s">
        <v>58</v>
      </c>
      <c r="E11874">
        <v>586</v>
      </c>
      <c r="F11874">
        <v>1</v>
      </c>
      <c r="G11874">
        <v>1</v>
      </c>
      <c r="H11874">
        <v>1</v>
      </c>
      <c r="I11874">
        <v>0</v>
      </c>
      <c r="J11874">
        <v>1</v>
      </c>
      <c r="K11874">
        <v>1</v>
      </c>
      <c r="L11874">
        <v>1</v>
      </c>
      <c r="M11874">
        <v>0</v>
      </c>
      <c r="N11874">
        <v>0</v>
      </c>
      <c r="O11874">
        <v>0</v>
      </c>
      <c r="R11874" t="s">
        <v>288</v>
      </c>
      <c r="S11874" t="s">
        <v>289</v>
      </c>
      <c r="V11874" t="s">
        <v>11580</v>
      </c>
      <c r="W11874" t="s">
        <v>11581</v>
      </c>
      <c r="AF11874" t="s">
        <v>24430</v>
      </c>
    </row>
    <row r="11875" spans="1:32" hidden="1" x14ac:dyDescent="0.35">
      <c r="A11875">
        <v>1834</v>
      </c>
      <c r="B11875" t="s">
        <v>3799</v>
      </c>
      <c r="C11875" t="s">
        <v>72</v>
      </c>
      <c r="D11875" t="s">
        <v>58</v>
      </c>
      <c r="E11875">
        <v>557</v>
      </c>
      <c r="F11875">
        <v>5</v>
      </c>
      <c r="G11875">
        <v>5</v>
      </c>
      <c r="H11875">
        <v>1</v>
      </c>
      <c r="I11875">
        <v>1</v>
      </c>
      <c r="J11875">
        <v>0.81544688764905404</v>
      </c>
      <c r="K11875">
        <v>0.927157594178869</v>
      </c>
      <c r="L11875">
        <v>0.86772159995856202</v>
      </c>
      <c r="M11875">
        <v>0.63636363636363602</v>
      </c>
      <c r="N11875">
        <v>1</v>
      </c>
      <c r="O11875">
        <v>0.73848484848484897</v>
      </c>
      <c r="P11875" t="s">
        <v>3800</v>
      </c>
      <c r="Q11875" t="s">
        <v>3801</v>
      </c>
      <c r="R11875" t="s">
        <v>157</v>
      </c>
      <c r="S11875" t="s">
        <v>158</v>
      </c>
      <c r="T11875" t="s">
        <v>3802</v>
      </c>
      <c r="U11875" t="s">
        <v>3803</v>
      </c>
      <c r="V11875" t="s">
        <v>3804</v>
      </c>
      <c r="W11875" t="s">
        <v>3805</v>
      </c>
      <c r="Z11875" t="s">
        <v>3806</v>
      </c>
      <c r="AA11875" t="s">
        <v>3807</v>
      </c>
      <c r="AB11875" t="s">
        <v>3806</v>
      </c>
      <c r="AC11875" t="s">
        <v>3808</v>
      </c>
      <c r="AD11875" t="s">
        <v>590</v>
      </c>
      <c r="AE11875" t="s">
        <v>3809</v>
      </c>
      <c r="AF11875" t="e">
        <f>--------------------MNLPIHEHKYAVKTVVVPAAGLGTRFLPATKTVPKELLPVVDTPGIELIAEEAAALGATRLAIITAPKKQGVLAHFDPYVELEETLEQRGKTEQLNKVRRAPELISAVPVVQQRPLGLGHAVGLAEEVLDEDEDVVAVMLPDDLVLPMGVMEKMADVRAQYGGSVLCAFDVPRDEVSNYGVFDIADTDRDD----VKKVLGMVEKPAPQDAPSTFIASGRYLLDRAIFTAIKQIGVGTGGEIQLTDAIQWLIDQGHPVHIVVHEGKRHDLGNPGGYIRACVEFGLNHPTYGPGLRRYLTALLQEQPDGGL</f>
        <v>#NAME?</v>
      </c>
    </row>
    <row r="11876" spans="1:32" hidden="1" x14ac:dyDescent="0.35">
      <c r="A11876">
        <v>3929</v>
      </c>
      <c r="B11876" t="s">
        <v>8105</v>
      </c>
      <c r="C11876" t="s">
        <v>72</v>
      </c>
      <c r="D11876" t="s">
        <v>58</v>
      </c>
      <c r="E11876">
        <v>1474</v>
      </c>
      <c r="F11876">
        <v>5</v>
      </c>
      <c r="G11876">
        <v>5</v>
      </c>
      <c r="H11876">
        <v>1</v>
      </c>
      <c r="I11876">
        <v>1</v>
      </c>
      <c r="J11876">
        <v>0.88290451686678095</v>
      </c>
      <c r="K11876">
        <v>0.96176609968689897</v>
      </c>
      <c r="L11876">
        <v>0.92064960103212001</v>
      </c>
      <c r="M11876">
        <v>0.77362637362637399</v>
      </c>
      <c r="N11876">
        <v>0.99120879120879102</v>
      </c>
      <c r="O11876">
        <v>0.82703296703296703</v>
      </c>
      <c r="P11876" t="s">
        <v>5513</v>
      </c>
      <c r="Q11876" t="s">
        <v>5514</v>
      </c>
      <c r="R11876" t="s">
        <v>224</v>
      </c>
      <c r="S11876" t="s">
        <v>225</v>
      </c>
      <c r="T11876" t="s">
        <v>8106</v>
      </c>
      <c r="U11876" t="s">
        <v>8107</v>
      </c>
      <c r="V11876" t="s">
        <v>8108</v>
      </c>
      <c r="W11876" t="s">
        <v>8109</v>
      </c>
      <c r="X11876" t="s">
        <v>8108</v>
      </c>
      <c r="Y11876" t="s">
        <v>589</v>
      </c>
      <c r="AD11876" t="s">
        <v>997</v>
      </c>
      <c r="AE11876" t="s">
        <v>8110</v>
      </c>
      <c r="AF11876" t="s">
        <v>8111</v>
      </c>
    </row>
    <row r="11877" spans="1:32" hidden="1" x14ac:dyDescent="0.35">
      <c r="A11877">
        <v>1544</v>
      </c>
      <c r="B11877" t="s">
        <v>3231</v>
      </c>
      <c r="C11877" t="s">
        <v>72</v>
      </c>
      <c r="D11877" t="s">
        <v>58</v>
      </c>
      <c r="E11877">
        <v>1772</v>
      </c>
      <c r="F11877">
        <v>5</v>
      </c>
      <c r="G11877">
        <v>5</v>
      </c>
      <c r="H11877">
        <v>1</v>
      </c>
      <c r="I11877">
        <v>1</v>
      </c>
      <c r="J11877">
        <v>0.720566094549834</v>
      </c>
      <c r="K11877">
        <v>0.97154472296735195</v>
      </c>
      <c r="L11877">
        <v>0.82744248126287401</v>
      </c>
      <c r="M11877">
        <v>0.487719298245614</v>
      </c>
      <c r="N11877">
        <v>1</v>
      </c>
      <c r="O11877">
        <v>0.64350877192982503</v>
      </c>
      <c r="P11877" t="s">
        <v>3232</v>
      </c>
      <c r="Q11877" t="s">
        <v>3233</v>
      </c>
      <c r="R11877" t="s">
        <v>138</v>
      </c>
      <c r="S11877" t="s">
        <v>139</v>
      </c>
      <c r="T11877" t="s">
        <v>3234</v>
      </c>
      <c r="U11877" t="s">
        <v>3235</v>
      </c>
      <c r="V11877" t="s">
        <v>3236</v>
      </c>
      <c r="W11877" t="s">
        <v>3237</v>
      </c>
      <c r="Z11877" t="s">
        <v>3238</v>
      </c>
      <c r="AA11877" t="s">
        <v>3239</v>
      </c>
      <c r="AB11877" t="s">
        <v>3238</v>
      </c>
      <c r="AC11877" t="s">
        <v>3240</v>
      </c>
      <c r="AD11877" t="s">
        <v>3241</v>
      </c>
      <c r="AE11877" t="s">
        <v>3242</v>
      </c>
      <c r="AF11877" t="e">
        <f>--------------MKRWKVYPLSALLGIGIVGAAAWGIDVAVMKDRVPRGTTVAGVNIGGMSKPQAEKILQEQLPT--SAPITVTAGNLTAEFNPAASGLSLDLPATIERAGTPRLNPVARISSLFNTHEVGVVSVVNTATFNPAVTQLAQQLTAAPTNAALDLATGPTQ----PVDGQHVDQDELADKLQRGWLAP--VTIDAIVDPPEIGADAL-AAAQAIADKATSSDVIAKGRD-AQGVITPGRMQEILHFIPEGGQLRPDLDAERARDILMEGLALSERPLKNATFKLVSGKPTVIPSSDGVKIEWN--LEDLPNHIIGDAPREFDVTYTDKPATYTTEMAEKATFNNTVGEFTTGGFSSASGVNIRRVAQMVDGAVVAPGETFSLNGYTGPRGTAQGFVESGIILNGRADKAVGGGISQFATTLYNAAYFAGMDDVAHTPHSYYISRYPAGREATVYEGAIDLQFKNTTLNPVIIRASANDSTVTVSLIGTKSVNVQSIPGAWTNPTQPNTVEVHGPDCSPSSGVPGFTTTDTRVVTGLDGREISRTTTTTKYDPAPIVKCVN</f>
        <v>#NAME?</v>
      </c>
    </row>
    <row r="11878" spans="1:32" hidden="1" x14ac:dyDescent="0.35">
      <c r="A11878">
        <v>11877</v>
      </c>
      <c r="B11878" t="s">
        <v>24443</v>
      </c>
      <c r="C11878" t="s">
        <v>33</v>
      </c>
      <c r="D11878" t="s">
        <v>58</v>
      </c>
      <c r="E11878">
        <v>1084</v>
      </c>
      <c r="F11878">
        <v>1</v>
      </c>
      <c r="G11878">
        <v>1</v>
      </c>
      <c r="H11878">
        <v>1</v>
      </c>
      <c r="I11878">
        <v>0</v>
      </c>
      <c r="J11878">
        <v>1</v>
      </c>
      <c r="K11878">
        <v>1</v>
      </c>
      <c r="L11878">
        <v>1</v>
      </c>
      <c r="M11878">
        <v>0</v>
      </c>
      <c r="N11878">
        <v>0</v>
      </c>
      <c r="O11878">
        <v>0</v>
      </c>
      <c r="P11878" t="s">
        <v>14514</v>
      </c>
      <c r="Q11878" t="s">
        <v>14515</v>
      </c>
      <c r="AF11878" t="s">
        <v>24444</v>
      </c>
    </row>
    <row r="11879" spans="1:32" hidden="1" x14ac:dyDescent="0.35">
      <c r="A11879">
        <v>11878</v>
      </c>
      <c r="B11879" t="s">
        <v>24445</v>
      </c>
      <c r="C11879" t="s">
        <v>33</v>
      </c>
      <c r="D11879" t="s">
        <v>58</v>
      </c>
      <c r="E11879">
        <v>443</v>
      </c>
      <c r="F11879">
        <v>1</v>
      </c>
      <c r="G11879">
        <v>1</v>
      </c>
      <c r="H11879">
        <v>1</v>
      </c>
      <c r="I11879">
        <v>0</v>
      </c>
      <c r="J11879">
        <v>1</v>
      </c>
      <c r="K11879">
        <v>1</v>
      </c>
      <c r="L11879">
        <v>1</v>
      </c>
      <c r="M11879">
        <v>0</v>
      </c>
      <c r="N11879">
        <v>0</v>
      </c>
      <c r="O11879">
        <v>0</v>
      </c>
      <c r="P11879" t="s">
        <v>11203</v>
      </c>
      <c r="Q11879" t="s">
        <v>11204</v>
      </c>
      <c r="AF11879" t="s">
        <v>24446</v>
      </c>
    </row>
    <row r="11880" spans="1:32" hidden="1" x14ac:dyDescent="0.35">
      <c r="A11880">
        <v>11879</v>
      </c>
      <c r="B11880" t="s">
        <v>24447</v>
      </c>
      <c r="C11880" t="s">
        <v>33</v>
      </c>
      <c r="D11880" t="s">
        <v>45</v>
      </c>
      <c r="E11880">
        <v>2340</v>
      </c>
      <c r="F11880">
        <v>1</v>
      </c>
      <c r="G11880">
        <v>1</v>
      </c>
      <c r="H11880">
        <v>1</v>
      </c>
      <c r="I11880">
        <v>0</v>
      </c>
      <c r="J11880">
        <v>1</v>
      </c>
      <c r="K11880">
        <v>1</v>
      </c>
      <c r="L11880">
        <v>1</v>
      </c>
      <c r="M11880">
        <v>0</v>
      </c>
      <c r="N11880">
        <v>0</v>
      </c>
      <c r="O11880">
        <v>0</v>
      </c>
      <c r="AF11880" t="s">
        <v>24448</v>
      </c>
    </row>
    <row r="11881" spans="1:32" hidden="1" x14ac:dyDescent="0.35">
      <c r="A11881">
        <v>11880</v>
      </c>
      <c r="B11881" t="s">
        <v>24449</v>
      </c>
      <c r="C11881" t="s">
        <v>33</v>
      </c>
      <c r="D11881" t="s">
        <v>58</v>
      </c>
      <c r="E11881">
        <v>488</v>
      </c>
      <c r="F11881">
        <v>1</v>
      </c>
      <c r="G11881">
        <v>1</v>
      </c>
      <c r="H11881">
        <v>1</v>
      </c>
      <c r="I11881">
        <v>0</v>
      </c>
      <c r="J11881">
        <v>1</v>
      </c>
      <c r="K11881">
        <v>1</v>
      </c>
      <c r="L11881">
        <v>1</v>
      </c>
      <c r="M11881">
        <v>0</v>
      </c>
      <c r="N11881">
        <v>0</v>
      </c>
      <c r="O11881">
        <v>0</v>
      </c>
      <c r="AF11881" t="s">
        <v>24450</v>
      </c>
    </row>
    <row r="11882" spans="1:32" hidden="1" x14ac:dyDescent="0.35">
      <c r="A11882">
        <v>11881</v>
      </c>
      <c r="B11882" t="s">
        <v>24451</v>
      </c>
      <c r="C11882" t="s">
        <v>33</v>
      </c>
      <c r="D11882" t="s">
        <v>58</v>
      </c>
      <c r="E11882">
        <v>621</v>
      </c>
      <c r="F11882">
        <v>1</v>
      </c>
      <c r="G11882">
        <v>1</v>
      </c>
      <c r="H11882">
        <v>1</v>
      </c>
      <c r="I11882">
        <v>0</v>
      </c>
      <c r="J11882">
        <v>1</v>
      </c>
      <c r="K11882">
        <v>1</v>
      </c>
      <c r="L11882">
        <v>1</v>
      </c>
      <c r="M11882">
        <v>0</v>
      </c>
      <c r="N11882">
        <v>0</v>
      </c>
      <c r="O11882">
        <v>0</v>
      </c>
      <c r="P11882" t="s">
        <v>4551</v>
      </c>
      <c r="Q11882" t="s">
        <v>4552</v>
      </c>
      <c r="R11882" t="s">
        <v>8647</v>
      </c>
      <c r="S11882" t="s">
        <v>8648</v>
      </c>
      <c r="T11882" t="s">
        <v>24452</v>
      </c>
      <c r="U11882" t="s">
        <v>24453</v>
      </c>
      <c r="V11882" t="s">
        <v>9316</v>
      </c>
      <c r="W11882" t="s">
        <v>9317</v>
      </c>
      <c r="X11882" t="s">
        <v>9316</v>
      </c>
      <c r="Y11882" t="s">
        <v>875</v>
      </c>
      <c r="Z11882" t="s">
        <v>22138</v>
      </c>
      <c r="AA11882" t="s">
        <v>22139</v>
      </c>
      <c r="AB11882" t="s">
        <v>22138</v>
      </c>
      <c r="AC11882" t="s">
        <v>21973</v>
      </c>
      <c r="AD11882" t="s">
        <v>219</v>
      </c>
      <c r="AE11882" t="s">
        <v>24454</v>
      </c>
      <c r="AF11882" t="s">
        <v>24455</v>
      </c>
    </row>
    <row r="11883" spans="1:32" hidden="1" x14ac:dyDescent="0.35">
      <c r="A11883">
        <v>3532</v>
      </c>
      <c r="B11883" t="s">
        <v>7254</v>
      </c>
      <c r="C11883" t="s">
        <v>72</v>
      </c>
      <c r="D11883" t="s">
        <v>34</v>
      </c>
      <c r="E11883">
        <v>576</v>
      </c>
      <c r="F11883">
        <v>5</v>
      </c>
      <c r="G11883">
        <v>5</v>
      </c>
      <c r="H11883">
        <v>1</v>
      </c>
      <c r="I11883">
        <v>1</v>
      </c>
      <c r="J11883">
        <v>0.74465811965812001</v>
      </c>
      <c r="K11883">
        <v>0.97758454106280002</v>
      </c>
      <c r="L11883">
        <v>0.84537014760736295</v>
      </c>
      <c r="M11883">
        <v>0.52289156626505995</v>
      </c>
      <c r="N11883">
        <v>1</v>
      </c>
      <c r="O11883">
        <v>0.665783132530121</v>
      </c>
      <c r="AF11883" t="e">
        <f>----MANNGIVPVKLSLTKGDFYTLWAPSWREHGAEWQAFLGAGDDLFVFHSPAELLVFLESDEKHDLQSHPKWGAFSARDALRAVPAEKEEFDLVGVPAFLADKPSSSNVKAVARCFRIARSLGDVAASTPIQVFFSSHSILGNAERGLEHFTGPAGMSEWTAIGRVVLVNWDSVIDELDDLVTVKE--VAEDKIKDAEQRIEETKKINEEKQKAEEQKRKEEAEQVDPYDNTVWGIAGIDPIKISIDGRTVYTLRTYVQAKPVFLGKYGEIFTFNSSKALVRWLVEHDDHDLAKVSTWEDIMTVANAGELGVTVHQDNVYSFNGITRDIEKGPEQVDSNQLLRAYELLADAADWAGDDSLNSFFLANPRMQDYISYLTGYTNNAGYTPTPPFNEHAEAWQQLEDMLTKRFSKF</f>
        <v>#NAME?</v>
      </c>
    </row>
    <row r="11884" spans="1:32" hidden="1" x14ac:dyDescent="0.35">
      <c r="A11884">
        <v>3533</v>
      </c>
      <c r="B11884" t="s">
        <v>7254</v>
      </c>
      <c r="C11884" t="s">
        <v>72</v>
      </c>
      <c r="D11884" t="s">
        <v>45</v>
      </c>
      <c r="E11884">
        <v>1842</v>
      </c>
      <c r="F11884">
        <v>5</v>
      </c>
      <c r="G11884">
        <v>5</v>
      </c>
      <c r="H11884">
        <v>1</v>
      </c>
      <c r="I11884">
        <v>1</v>
      </c>
      <c r="J11884">
        <v>0.74465811965812001</v>
      </c>
      <c r="K11884">
        <v>0.97758454106280002</v>
      </c>
      <c r="L11884">
        <v>0.84537014760736295</v>
      </c>
      <c r="M11884">
        <v>0.52289156626505995</v>
      </c>
      <c r="N11884">
        <v>1</v>
      </c>
      <c r="O11884">
        <v>0.665783132530121</v>
      </c>
      <c r="AF11884" t="e">
        <f>----MANNGIVPVKLSLTKGDFYTLWAPSWREHGAEWQAFLGAGDDLFVFHSPAELLVFLESDEKHDLQSHPKWGAFSARDALRAVPAEKEEFDLVGVPAFLADKPSSSNVKAVARCFRIARSLGDVAASTPIQVFFSSHSILGNAERGLEHFSGPAGMSEWTAIGRVVLVNWDSVIDELDDLVTVKE--VDEDKIKDAEQRIEETKKINEEKQKAEEQKRKEEAEQVDPYDNTVWGIAGIDPIKISIDGRTVYTLRTYVQAKPVFLGKYGEIFTFNSSKALVRWLVEHDDHDLAKVSTWEDIMTVANAGELGVTVHQDNVYSFNGITRDIEKGPEQVDSNQLLRAYELLADAADWAGDDSLNSFFLANPRMQDYISYLTGYTNNAGYTPTPPFNEHAEAWQQLEDMLTKRFSKF</f>
        <v>#NAME?</v>
      </c>
    </row>
    <row r="11885" spans="1:32" hidden="1" x14ac:dyDescent="0.35">
      <c r="A11885">
        <v>3574</v>
      </c>
      <c r="B11885" t="s">
        <v>7347</v>
      </c>
      <c r="C11885" t="s">
        <v>72</v>
      </c>
      <c r="D11885" t="s">
        <v>58</v>
      </c>
      <c r="E11885">
        <v>1342</v>
      </c>
      <c r="F11885">
        <v>5</v>
      </c>
      <c r="G11885">
        <v>5</v>
      </c>
      <c r="H11885">
        <v>1</v>
      </c>
      <c r="I11885">
        <v>1</v>
      </c>
      <c r="J11885">
        <v>0.75767195767195805</v>
      </c>
      <c r="K11885">
        <v>0.96259834459360605</v>
      </c>
      <c r="L11885">
        <v>0.84792927162609799</v>
      </c>
      <c r="M11885">
        <v>0.49618320610687</v>
      </c>
      <c r="N11885">
        <v>0.99618320610686995</v>
      </c>
      <c r="O11885">
        <v>0.63587786259542001</v>
      </c>
      <c r="P11885" t="s">
        <v>7348</v>
      </c>
      <c r="Q11885" t="s">
        <v>7349</v>
      </c>
      <c r="AF11885" t="s">
        <v>7350</v>
      </c>
    </row>
    <row r="11886" spans="1:32" hidden="1" x14ac:dyDescent="0.35">
      <c r="A11886">
        <v>3575</v>
      </c>
      <c r="B11886" t="s">
        <v>7347</v>
      </c>
      <c r="C11886" t="s">
        <v>72</v>
      </c>
      <c r="D11886" t="s">
        <v>60</v>
      </c>
      <c r="E11886">
        <v>1804</v>
      </c>
      <c r="F11886">
        <v>5</v>
      </c>
      <c r="G11886">
        <v>5</v>
      </c>
      <c r="H11886">
        <v>1</v>
      </c>
      <c r="I11886">
        <v>1</v>
      </c>
      <c r="J11886">
        <v>0.75767195767195805</v>
      </c>
      <c r="K11886">
        <v>0.96259834459360605</v>
      </c>
      <c r="L11886">
        <v>0.84792927162609799</v>
      </c>
      <c r="M11886">
        <v>0.49618320610687</v>
      </c>
      <c r="N11886">
        <v>0.99618320610686995</v>
      </c>
      <c r="O11886">
        <v>0.63587786259542001</v>
      </c>
      <c r="P11886" t="s">
        <v>7348</v>
      </c>
      <c r="Q11886" t="s">
        <v>7349</v>
      </c>
      <c r="AF11886" t="s">
        <v>7351</v>
      </c>
    </row>
    <row r="11887" spans="1:32" hidden="1" x14ac:dyDescent="0.35">
      <c r="A11887">
        <v>3576</v>
      </c>
      <c r="B11887" t="s">
        <v>7347</v>
      </c>
      <c r="C11887" t="s">
        <v>72</v>
      </c>
      <c r="D11887" t="s">
        <v>62</v>
      </c>
      <c r="E11887">
        <v>1840</v>
      </c>
      <c r="F11887">
        <v>5</v>
      </c>
      <c r="G11887">
        <v>5</v>
      </c>
      <c r="H11887">
        <v>1</v>
      </c>
      <c r="I11887">
        <v>1</v>
      </c>
      <c r="J11887">
        <v>0.75767195767195805</v>
      </c>
      <c r="K11887">
        <v>0.96259834459360605</v>
      </c>
      <c r="L11887">
        <v>0.84792927162609799</v>
      </c>
      <c r="M11887">
        <v>0.49618320610687</v>
      </c>
      <c r="N11887">
        <v>0.99618320610686995</v>
      </c>
      <c r="O11887">
        <v>0.63587786259542001</v>
      </c>
      <c r="P11887" t="s">
        <v>7348</v>
      </c>
      <c r="Q11887" t="s">
        <v>7349</v>
      </c>
      <c r="AF11887" t="s">
        <v>7352</v>
      </c>
    </row>
    <row r="11888" spans="1:32" hidden="1" x14ac:dyDescent="0.35">
      <c r="A11888">
        <v>3577</v>
      </c>
      <c r="B11888" t="s">
        <v>7347</v>
      </c>
      <c r="C11888" t="s">
        <v>72</v>
      </c>
      <c r="D11888" t="s">
        <v>34</v>
      </c>
      <c r="E11888">
        <v>2169</v>
      </c>
      <c r="F11888">
        <v>5</v>
      </c>
      <c r="G11888">
        <v>5</v>
      </c>
      <c r="H11888">
        <v>1</v>
      </c>
      <c r="I11888">
        <v>1</v>
      </c>
      <c r="J11888">
        <v>0.75767195767195805</v>
      </c>
      <c r="K11888">
        <v>0.96259834459360605</v>
      </c>
      <c r="L11888">
        <v>0.84792927162609799</v>
      </c>
      <c r="M11888">
        <v>0.49618320610687</v>
      </c>
      <c r="N11888">
        <v>0.99618320610686995</v>
      </c>
      <c r="O11888">
        <v>0.63587786259542001</v>
      </c>
      <c r="P11888" t="s">
        <v>7348</v>
      </c>
      <c r="Q11888" t="s">
        <v>7349</v>
      </c>
      <c r="AF11888" t="s">
        <v>7353</v>
      </c>
    </row>
    <row r="11889" spans="1:32" hidden="1" x14ac:dyDescent="0.35">
      <c r="A11889">
        <v>3578</v>
      </c>
      <c r="B11889" t="s">
        <v>7347</v>
      </c>
      <c r="C11889" t="s">
        <v>72</v>
      </c>
      <c r="D11889" t="s">
        <v>45</v>
      </c>
      <c r="E11889">
        <v>704</v>
      </c>
      <c r="F11889">
        <v>5</v>
      </c>
      <c r="G11889">
        <v>5</v>
      </c>
      <c r="H11889">
        <v>1</v>
      </c>
      <c r="I11889">
        <v>1</v>
      </c>
      <c r="J11889">
        <v>0.75767195767195805</v>
      </c>
      <c r="K11889">
        <v>0.96259834459360605</v>
      </c>
      <c r="L11889">
        <v>0.84792927162609799</v>
      </c>
      <c r="M11889">
        <v>0.49618320610687</v>
      </c>
      <c r="N11889">
        <v>0.99618320610686995</v>
      </c>
      <c r="O11889">
        <v>0.63587786259542001</v>
      </c>
      <c r="P11889" t="s">
        <v>7348</v>
      </c>
      <c r="Q11889" t="s">
        <v>7349</v>
      </c>
      <c r="AF11889" t="s">
        <v>7354</v>
      </c>
    </row>
    <row r="11890" spans="1:32" hidden="1" x14ac:dyDescent="0.35">
      <c r="A11890">
        <v>3789</v>
      </c>
      <c r="B11890" t="s">
        <v>7829</v>
      </c>
      <c r="C11890" t="s">
        <v>72</v>
      </c>
      <c r="D11890" t="s">
        <v>58</v>
      </c>
      <c r="E11890">
        <v>320</v>
      </c>
      <c r="F11890">
        <v>5</v>
      </c>
      <c r="G11890">
        <v>5</v>
      </c>
      <c r="H11890">
        <v>1</v>
      </c>
      <c r="I11890">
        <v>1</v>
      </c>
      <c r="J11890">
        <v>0.76626289816061</v>
      </c>
      <c r="K11890">
        <v>0.85260469867211397</v>
      </c>
      <c r="L11890">
        <v>0.80713129185864396</v>
      </c>
      <c r="M11890">
        <v>0.47191011235955099</v>
      </c>
      <c r="N11890">
        <v>0.98876404494381998</v>
      </c>
      <c r="O11890">
        <v>0.65505617977528097</v>
      </c>
      <c r="P11890" t="s">
        <v>7830</v>
      </c>
      <c r="Q11890" t="s">
        <v>7831</v>
      </c>
      <c r="T11890" t="s">
        <v>7832</v>
      </c>
      <c r="U11890" t="s">
        <v>7833</v>
      </c>
      <c r="Z11890" t="s">
        <v>81</v>
      </c>
      <c r="AA11890" t="s">
        <v>82</v>
      </c>
      <c r="AB11890" t="s">
        <v>81</v>
      </c>
      <c r="AC11890" t="s">
        <v>83</v>
      </c>
      <c r="AD11890" t="s">
        <v>1705</v>
      </c>
      <c r="AE11890" t="s">
        <v>7834</v>
      </c>
      <c r="AF11890" t="s">
        <v>7835</v>
      </c>
    </row>
    <row r="11891" spans="1:32" hidden="1" x14ac:dyDescent="0.35">
      <c r="A11891">
        <v>3790</v>
      </c>
      <c r="B11891" t="s">
        <v>7829</v>
      </c>
      <c r="C11891" t="s">
        <v>72</v>
      </c>
      <c r="D11891" t="s">
        <v>60</v>
      </c>
      <c r="E11891">
        <v>541</v>
      </c>
      <c r="F11891">
        <v>5</v>
      </c>
      <c r="G11891">
        <v>5</v>
      </c>
      <c r="H11891">
        <v>1</v>
      </c>
      <c r="I11891">
        <v>1</v>
      </c>
      <c r="J11891">
        <v>0.76626289816061</v>
      </c>
      <c r="K11891">
        <v>0.85260469867211397</v>
      </c>
      <c r="L11891">
        <v>0.80713129185864396</v>
      </c>
      <c r="M11891">
        <v>0.47191011235955099</v>
      </c>
      <c r="N11891">
        <v>0.98876404494381998</v>
      </c>
      <c r="O11891">
        <v>0.65505617977528097</v>
      </c>
      <c r="P11891" t="s">
        <v>7830</v>
      </c>
      <c r="Q11891" t="s">
        <v>7831</v>
      </c>
      <c r="T11891" t="s">
        <v>7832</v>
      </c>
      <c r="U11891" t="s">
        <v>7833</v>
      </c>
      <c r="Z11891" t="s">
        <v>81</v>
      </c>
      <c r="AA11891" t="s">
        <v>82</v>
      </c>
      <c r="AB11891" t="s">
        <v>81</v>
      </c>
      <c r="AC11891" t="s">
        <v>83</v>
      </c>
      <c r="AD11891" t="s">
        <v>1705</v>
      </c>
      <c r="AE11891" t="s">
        <v>7834</v>
      </c>
      <c r="AF11891" t="e">
        <f>-------MSESTNSGANQEKPAKPFLRILKGNPDATQVATLTALFATMASNAAAAQEQQRDRNLWGNLDERLRRPMSYSPSAFQNVSFY</f>
        <v>#NAME?</v>
      </c>
    </row>
    <row r="11892" spans="1:32" hidden="1" x14ac:dyDescent="0.35">
      <c r="A11892">
        <v>3791</v>
      </c>
      <c r="B11892" t="s">
        <v>7829</v>
      </c>
      <c r="C11892" t="s">
        <v>72</v>
      </c>
      <c r="D11892" t="s">
        <v>62</v>
      </c>
      <c r="E11892">
        <v>625</v>
      </c>
      <c r="F11892">
        <v>5</v>
      </c>
      <c r="G11892">
        <v>5</v>
      </c>
      <c r="H11892">
        <v>1</v>
      </c>
      <c r="I11892">
        <v>1</v>
      </c>
      <c r="J11892">
        <v>0.76626289816061</v>
      </c>
      <c r="K11892">
        <v>0.85260469867211397</v>
      </c>
      <c r="L11892">
        <v>0.80713129185864396</v>
      </c>
      <c r="M11892">
        <v>0.47191011235955099</v>
      </c>
      <c r="N11892">
        <v>0.98876404494381998</v>
      </c>
      <c r="O11892">
        <v>0.65505617977528097</v>
      </c>
      <c r="P11892" t="s">
        <v>7830</v>
      </c>
      <c r="Q11892" t="s">
        <v>7831</v>
      </c>
      <c r="T11892" t="s">
        <v>7832</v>
      </c>
      <c r="U11892" t="s">
        <v>7833</v>
      </c>
      <c r="Z11892" t="s">
        <v>81</v>
      </c>
      <c r="AA11892" t="s">
        <v>82</v>
      </c>
      <c r="AB11892" t="s">
        <v>81</v>
      </c>
      <c r="AC11892" t="s">
        <v>83</v>
      </c>
      <c r="AD11892" t="s">
        <v>1705</v>
      </c>
      <c r="AE11892" t="s">
        <v>7834</v>
      </c>
      <c r="AF11892" t="e">
        <f>-------MSESTNSGANQEKPAKPFLRILKGNPDATQVATLTALFATMASNAAAAQEQQHDRNLWGNLDERLRRPMSYSPSAFQNVSFY</f>
        <v>#NAME?</v>
      </c>
    </row>
    <row r="11893" spans="1:32" hidden="1" x14ac:dyDescent="0.35">
      <c r="A11893">
        <v>3792</v>
      </c>
      <c r="B11893" t="s">
        <v>7829</v>
      </c>
      <c r="C11893" t="s">
        <v>72</v>
      </c>
      <c r="D11893" t="s">
        <v>34</v>
      </c>
      <c r="E11893">
        <v>542</v>
      </c>
      <c r="F11893">
        <v>5</v>
      </c>
      <c r="G11893">
        <v>5</v>
      </c>
      <c r="H11893">
        <v>1</v>
      </c>
      <c r="I11893">
        <v>1</v>
      </c>
      <c r="J11893">
        <v>0.76626289816061</v>
      </c>
      <c r="K11893">
        <v>0.85260469867211397</v>
      </c>
      <c r="L11893">
        <v>0.80713129185864396</v>
      </c>
      <c r="M11893">
        <v>0.47191011235955099</v>
      </c>
      <c r="N11893">
        <v>0.98876404494381998</v>
      </c>
      <c r="O11893">
        <v>0.65505617977528097</v>
      </c>
      <c r="P11893" t="s">
        <v>7830</v>
      </c>
      <c r="Q11893" t="s">
        <v>7831</v>
      </c>
      <c r="T11893" t="s">
        <v>7832</v>
      </c>
      <c r="U11893" t="s">
        <v>7833</v>
      </c>
      <c r="Z11893" t="s">
        <v>81</v>
      </c>
      <c r="AA11893" t="s">
        <v>82</v>
      </c>
      <c r="AB11893" t="s">
        <v>81</v>
      </c>
      <c r="AC11893" t="s">
        <v>83</v>
      </c>
      <c r="AD11893" t="s">
        <v>1705</v>
      </c>
      <c r="AE11893" t="s">
        <v>7834</v>
      </c>
      <c r="AF11893" t="e">
        <f>-------MSNQ-----------KPFLRIIKGNPSDVEVATLTALFATMANNAASAAAPERERNLWGNVSERLHRPMIYNPSAFRNVSFY</f>
        <v>#NAME?</v>
      </c>
    </row>
    <row r="11894" spans="1:32" hidden="1" x14ac:dyDescent="0.35">
      <c r="A11894">
        <v>3793</v>
      </c>
      <c r="B11894" t="s">
        <v>7829</v>
      </c>
      <c r="C11894" t="s">
        <v>72</v>
      </c>
      <c r="D11894" t="s">
        <v>45</v>
      </c>
      <c r="E11894">
        <v>1809</v>
      </c>
      <c r="F11894">
        <v>5</v>
      </c>
      <c r="G11894">
        <v>5</v>
      </c>
      <c r="H11894">
        <v>1</v>
      </c>
      <c r="I11894">
        <v>1</v>
      </c>
      <c r="J11894">
        <v>0.76626289816061</v>
      </c>
      <c r="K11894">
        <v>0.85260469867211397</v>
      </c>
      <c r="L11894">
        <v>0.80713129185864396</v>
      </c>
      <c r="M11894">
        <v>0.47191011235955099</v>
      </c>
      <c r="N11894">
        <v>0.98876404494381998</v>
      </c>
      <c r="O11894">
        <v>0.65505617977528097</v>
      </c>
      <c r="P11894" t="s">
        <v>7830</v>
      </c>
      <c r="Q11894" t="s">
        <v>7831</v>
      </c>
      <c r="T11894" t="s">
        <v>7832</v>
      </c>
      <c r="U11894" t="s">
        <v>7833</v>
      </c>
      <c r="Z11894" t="s">
        <v>81</v>
      </c>
      <c r="AA11894" t="s">
        <v>82</v>
      </c>
      <c r="AB11894" t="s">
        <v>81</v>
      </c>
      <c r="AC11894" t="s">
        <v>83</v>
      </c>
      <c r="AD11894" t="s">
        <v>1705</v>
      </c>
      <c r="AE11894" t="s">
        <v>7834</v>
      </c>
      <c r="AF11894" t="e">
        <f>-------MSDQ-----------KPFLRIIKGNPSDVEVATLTALFATMANNAASAAAPERERNLWGNVSERLHRPMIYNPSAFRNVSFY</f>
        <v>#NAME?</v>
      </c>
    </row>
    <row r="11895" spans="1:32" hidden="1" x14ac:dyDescent="0.35">
      <c r="A11895">
        <v>3839</v>
      </c>
      <c r="B11895" t="s">
        <v>7927</v>
      </c>
      <c r="C11895" t="s">
        <v>72</v>
      </c>
      <c r="D11895" t="s">
        <v>58</v>
      </c>
      <c r="E11895">
        <v>167</v>
      </c>
      <c r="F11895">
        <v>5</v>
      </c>
      <c r="G11895">
        <v>5</v>
      </c>
      <c r="H11895">
        <v>1</v>
      </c>
      <c r="I11895">
        <v>1</v>
      </c>
      <c r="J11895">
        <v>0.77553704515563304</v>
      </c>
      <c r="K11895">
        <v>0.76573598130840903</v>
      </c>
      <c r="L11895">
        <v>0.77060535040399303</v>
      </c>
      <c r="M11895">
        <v>0.38006230529594998</v>
      </c>
      <c r="N11895">
        <v>0.872274143302181</v>
      </c>
      <c r="O11895">
        <v>0.56323987538940801</v>
      </c>
      <c r="AF11895" t="e">
        <f>----MNREVFLGFPANSAAGASIARGDELTPDFPTEWFEFVDPEDPLHTITVNVTWLESHFACGFGTDRCRGIDAALPSVGCCNHGAFLSDETDKEQLDDAVARMPLKFWQYAQYAEQLGADPAPE-----DPCEPWLEWDELDNDEGEPEPALKTRVVDGACIFANRPGWPTGAGCAIHQWALDAGEDLTVVKPEVCWQLPLRRIEQYEDRADGVEILRTTITEYDRRGWGDGGEDFDWYCSTSPVCHDNPDPMWISHRAELVALIGDAAYEVLARHCAARSRV-GAVCVHPATEAAGRAGSASSATSLVDGDGVVDSAQ</f>
        <v>#NAME?</v>
      </c>
    </row>
    <row r="11896" spans="1:32" hidden="1" x14ac:dyDescent="0.35">
      <c r="A11896">
        <v>3840</v>
      </c>
      <c r="B11896" t="s">
        <v>7927</v>
      </c>
      <c r="C11896" t="s">
        <v>72</v>
      </c>
      <c r="D11896" t="s">
        <v>60</v>
      </c>
      <c r="E11896">
        <v>300</v>
      </c>
      <c r="F11896">
        <v>5</v>
      </c>
      <c r="G11896">
        <v>5</v>
      </c>
      <c r="H11896">
        <v>1</v>
      </c>
      <c r="I11896">
        <v>1</v>
      </c>
      <c r="J11896">
        <v>0.77553704515563304</v>
      </c>
      <c r="K11896">
        <v>0.76573598130840903</v>
      </c>
      <c r="L11896">
        <v>0.77060535040399303</v>
      </c>
      <c r="M11896">
        <v>0.38006230529594998</v>
      </c>
      <c r="N11896">
        <v>0.872274143302181</v>
      </c>
      <c r="O11896">
        <v>0.56323987538940801</v>
      </c>
      <c r="AF11896" t="s">
        <v>7928</v>
      </c>
    </row>
    <row r="11897" spans="1:32" hidden="1" x14ac:dyDescent="0.35">
      <c r="A11897">
        <v>3841</v>
      </c>
      <c r="B11897" t="s">
        <v>7927</v>
      </c>
      <c r="C11897" t="s">
        <v>72</v>
      </c>
      <c r="D11897" t="s">
        <v>62</v>
      </c>
      <c r="E11897">
        <v>380</v>
      </c>
      <c r="F11897">
        <v>5</v>
      </c>
      <c r="G11897">
        <v>5</v>
      </c>
      <c r="H11897">
        <v>1</v>
      </c>
      <c r="I11897">
        <v>1</v>
      </c>
      <c r="J11897">
        <v>0.77553704515563304</v>
      </c>
      <c r="K11897">
        <v>0.76573598130840903</v>
      </c>
      <c r="L11897">
        <v>0.77060535040399303</v>
      </c>
      <c r="M11897">
        <v>0.38006230529594998</v>
      </c>
      <c r="N11897">
        <v>0.872274143302181</v>
      </c>
      <c r="O11897">
        <v>0.56323987538940801</v>
      </c>
      <c r="AF11897" t="s">
        <v>7929</v>
      </c>
    </row>
    <row r="11898" spans="1:32" hidden="1" x14ac:dyDescent="0.35">
      <c r="A11898">
        <v>3842</v>
      </c>
      <c r="B11898" t="s">
        <v>7927</v>
      </c>
      <c r="C11898" t="s">
        <v>72</v>
      </c>
      <c r="D11898" t="s">
        <v>34</v>
      </c>
      <c r="E11898">
        <v>857</v>
      </c>
      <c r="F11898">
        <v>5</v>
      </c>
      <c r="G11898">
        <v>5</v>
      </c>
      <c r="H11898">
        <v>1</v>
      </c>
      <c r="I11898">
        <v>1</v>
      </c>
      <c r="J11898">
        <v>0.77553704515563304</v>
      </c>
      <c r="K11898">
        <v>0.76573598130840903</v>
      </c>
      <c r="L11898">
        <v>0.77060535040399303</v>
      </c>
      <c r="M11898">
        <v>0.38006230529594998</v>
      </c>
      <c r="N11898">
        <v>0.872274143302181</v>
      </c>
      <c r="O11898">
        <v>0.56323987538940801</v>
      </c>
      <c r="AF11898" t="s">
        <v>7930</v>
      </c>
    </row>
    <row r="11899" spans="1:32" hidden="1" x14ac:dyDescent="0.35">
      <c r="A11899">
        <v>3843</v>
      </c>
      <c r="B11899" t="s">
        <v>7927</v>
      </c>
      <c r="C11899" t="s">
        <v>72</v>
      </c>
      <c r="D11899" t="s">
        <v>45</v>
      </c>
      <c r="E11899">
        <v>2114</v>
      </c>
      <c r="F11899">
        <v>5</v>
      </c>
      <c r="G11899">
        <v>5</v>
      </c>
      <c r="H11899">
        <v>1</v>
      </c>
      <c r="I11899">
        <v>1</v>
      </c>
      <c r="J11899">
        <v>0.77553704515563304</v>
      </c>
      <c r="K11899">
        <v>0.76573598130840903</v>
      </c>
      <c r="L11899">
        <v>0.77060535040399303</v>
      </c>
      <c r="M11899">
        <v>0.38006230529594998</v>
      </c>
      <c r="N11899">
        <v>0.872274143302181</v>
      </c>
      <c r="O11899">
        <v>0.56323987538940801</v>
      </c>
      <c r="AF11899" t="s">
        <v>7931</v>
      </c>
    </row>
    <row r="11900" spans="1:32" hidden="1" x14ac:dyDescent="0.35">
      <c r="A11900">
        <v>3994</v>
      </c>
      <c r="B11900" t="s">
        <v>8252</v>
      </c>
      <c r="C11900" t="s">
        <v>72</v>
      </c>
      <c r="D11900" t="s">
        <v>58</v>
      </c>
      <c r="E11900">
        <v>464</v>
      </c>
      <c r="F11900">
        <v>5</v>
      </c>
      <c r="G11900">
        <v>5</v>
      </c>
      <c r="H11900">
        <v>1</v>
      </c>
      <c r="I11900">
        <v>1</v>
      </c>
      <c r="J11900">
        <v>0.70374449339207001</v>
      </c>
      <c r="K11900">
        <v>0.78353548387096805</v>
      </c>
      <c r="L11900">
        <v>0.74149963770266403</v>
      </c>
      <c r="M11900">
        <v>0.34399999999999997</v>
      </c>
      <c r="N11900">
        <v>0.99199999999999999</v>
      </c>
      <c r="O11900">
        <v>0.58160000000000001</v>
      </c>
      <c r="AF11900" t="s">
        <v>8253</v>
      </c>
    </row>
    <row r="11901" spans="1:32" hidden="1" x14ac:dyDescent="0.35">
      <c r="A11901">
        <v>3995</v>
      </c>
      <c r="B11901" t="s">
        <v>8252</v>
      </c>
      <c r="C11901" t="s">
        <v>72</v>
      </c>
      <c r="D11901" t="s">
        <v>60</v>
      </c>
      <c r="E11901">
        <v>732</v>
      </c>
      <c r="F11901">
        <v>5</v>
      </c>
      <c r="G11901">
        <v>5</v>
      </c>
      <c r="H11901">
        <v>1</v>
      </c>
      <c r="I11901">
        <v>1</v>
      </c>
      <c r="J11901">
        <v>0.70374449339207001</v>
      </c>
      <c r="K11901">
        <v>0.78353548387096805</v>
      </c>
      <c r="L11901">
        <v>0.74149963770266403</v>
      </c>
      <c r="M11901">
        <v>0.34399999999999997</v>
      </c>
      <c r="N11901">
        <v>0.99199999999999999</v>
      </c>
      <c r="O11901">
        <v>0.58160000000000001</v>
      </c>
      <c r="AF11901" t="s">
        <v>8254</v>
      </c>
    </row>
    <row r="11902" spans="1:32" hidden="1" x14ac:dyDescent="0.35">
      <c r="A11902">
        <v>3996</v>
      </c>
      <c r="B11902" t="s">
        <v>8252</v>
      </c>
      <c r="C11902" t="s">
        <v>72</v>
      </c>
      <c r="D11902" t="s">
        <v>62</v>
      </c>
      <c r="E11902">
        <v>764</v>
      </c>
      <c r="F11902">
        <v>5</v>
      </c>
      <c r="G11902">
        <v>5</v>
      </c>
      <c r="H11902">
        <v>1</v>
      </c>
      <c r="I11902">
        <v>1</v>
      </c>
      <c r="J11902">
        <v>0.70374449339207001</v>
      </c>
      <c r="K11902">
        <v>0.78353548387096805</v>
      </c>
      <c r="L11902">
        <v>0.74149963770266403</v>
      </c>
      <c r="M11902">
        <v>0.34399999999999997</v>
      </c>
      <c r="N11902">
        <v>0.99199999999999999</v>
      </c>
      <c r="O11902">
        <v>0.58160000000000001</v>
      </c>
      <c r="AF11902" t="e">
        <f>---------------------------------MTNLKPNFTDVDGRKIVTRIVEHKDFEYLSVELLNEEDGTTEILMRLNMYDAKKMGSACDVFLQHTVAKNFGNFSGHLSPTERADLFNDDDV</f>
        <v>#NAME?</v>
      </c>
    </row>
    <row r="11903" spans="1:32" hidden="1" x14ac:dyDescent="0.35">
      <c r="A11903">
        <v>3997</v>
      </c>
      <c r="B11903" t="s">
        <v>8252</v>
      </c>
      <c r="C11903" t="s">
        <v>72</v>
      </c>
      <c r="D11903" t="s">
        <v>34</v>
      </c>
      <c r="E11903">
        <v>404</v>
      </c>
      <c r="F11903">
        <v>5</v>
      </c>
      <c r="G11903">
        <v>5</v>
      </c>
      <c r="H11903">
        <v>1</v>
      </c>
      <c r="I11903">
        <v>1</v>
      </c>
      <c r="J11903">
        <v>0.70374449339207001</v>
      </c>
      <c r="K11903">
        <v>0.78353548387096805</v>
      </c>
      <c r="L11903">
        <v>0.74149963770266403</v>
      </c>
      <c r="M11903">
        <v>0.34399999999999997</v>
      </c>
      <c r="N11903">
        <v>0.99199999999999999</v>
      </c>
      <c r="O11903">
        <v>0.58160000000000001</v>
      </c>
      <c r="AF11903" t="e">
        <f>---------------------------------MSELKPTFTDVKQRKVVAKIVEEVGFEYLSIETINADGESTSQILELNVYDAKRLSEACEAFLKRSIARNFAQFSGHLTPHDRVELANEEDK</f>
        <v>#NAME?</v>
      </c>
    </row>
    <row r="11904" spans="1:32" hidden="1" x14ac:dyDescent="0.35">
      <c r="A11904">
        <v>3998</v>
      </c>
      <c r="B11904" t="s">
        <v>8252</v>
      </c>
      <c r="C11904" t="s">
        <v>72</v>
      </c>
      <c r="D11904" t="s">
        <v>45</v>
      </c>
      <c r="E11904">
        <v>1665</v>
      </c>
      <c r="F11904">
        <v>5</v>
      </c>
      <c r="G11904">
        <v>5</v>
      </c>
      <c r="H11904">
        <v>1</v>
      </c>
      <c r="I11904">
        <v>1</v>
      </c>
      <c r="J11904">
        <v>0.70374449339207001</v>
      </c>
      <c r="K11904">
        <v>0.78353548387096805</v>
      </c>
      <c r="L11904">
        <v>0.74149963770266403</v>
      </c>
      <c r="M11904">
        <v>0.34399999999999997</v>
      </c>
      <c r="N11904">
        <v>0.99199999999999999</v>
      </c>
      <c r="O11904">
        <v>0.58160000000000001</v>
      </c>
      <c r="AF11904" t="e">
        <f>---------------------------------MSELKPTFTDVKQRKVVAKFVEEVGFEYLSIETINADGESTSQILELNVYDAKRLSEACEAFLKRSIARNFAQFSGHLTPHDRVELANEEDK</f>
        <v>#NAME?</v>
      </c>
    </row>
    <row r="11905" spans="1:32" hidden="1" x14ac:dyDescent="0.35">
      <c r="A11905">
        <v>4194</v>
      </c>
      <c r="B11905" t="s">
        <v>8692</v>
      </c>
      <c r="C11905" t="s">
        <v>72</v>
      </c>
      <c r="D11905" t="s">
        <v>58</v>
      </c>
      <c r="E11905">
        <v>57</v>
      </c>
      <c r="F11905">
        <v>5</v>
      </c>
      <c r="G11905">
        <v>5</v>
      </c>
      <c r="H11905">
        <v>1</v>
      </c>
      <c r="I11905">
        <v>1</v>
      </c>
      <c r="J11905">
        <v>0.73312762803642195</v>
      </c>
      <c r="K11905">
        <v>0.946279566251227</v>
      </c>
      <c r="L11905">
        <v>0.82617687506020299</v>
      </c>
      <c r="M11905">
        <v>0.49399656946826798</v>
      </c>
      <c r="N11905">
        <v>0.99828473413379104</v>
      </c>
      <c r="O11905">
        <v>0.63945111492281304</v>
      </c>
      <c r="P11905" t="s">
        <v>8693</v>
      </c>
      <c r="Q11905" t="s">
        <v>8694</v>
      </c>
      <c r="T11905" t="s">
        <v>8695</v>
      </c>
      <c r="U11905" t="s">
        <v>8696</v>
      </c>
      <c r="AD11905" t="s">
        <v>5013</v>
      </c>
      <c r="AE11905" t="s">
        <v>5014</v>
      </c>
      <c r="AF11905" t="s">
        <v>8697</v>
      </c>
    </row>
    <row r="11906" spans="1:32" hidden="1" x14ac:dyDescent="0.35">
      <c r="A11906">
        <v>4195</v>
      </c>
      <c r="B11906" t="s">
        <v>8692</v>
      </c>
      <c r="C11906" t="s">
        <v>72</v>
      </c>
      <c r="D11906" t="s">
        <v>60</v>
      </c>
      <c r="E11906">
        <v>100</v>
      </c>
      <c r="F11906">
        <v>5</v>
      </c>
      <c r="G11906">
        <v>5</v>
      </c>
      <c r="H11906">
        <v>1</v>
      </c>
      <c r="I11906">
        <v>1</v>
      </c>
      <c r="J11906">
        <v>0.73312762803642195</v>
      </c>
      <c r="K11906">
        <v>0.946279566251227</v>
      </c>
      <c r="L11906">
        <v>0.82617687506020299</v>
      </c>
      <c r="M11906">
        <v>0.49399656946826798</v>
      </c>
      <c r="N11906">
        <v>0.99828473413379104</v>
      </c>
      <c r="O11906">
        <v>0.63945111492281304</v>
      </c>
      <c r="P11906" t="s">
        <v>8693</v>
      </c>
      <c r="Q11906" t="s">
        <v>8694</v>
      </c>
      <c r="T11906" t="s">
        <v>8695</v>
      </c>
      <c r="U11906" t="s">
        <v>8696</v>
      </c>
      <c r="AD11906" t="s">
        <v>5013</v>
      </c>
      <c r="AE11906" t="s">
        <v>5014</v>
      </c>
      <c r="AF11906" t="s">
        <v>8698</v>
      </c>
    </row>
    <row r="11907" spans="1:32" hidden="1" x14ac:dyDescent="0.35">
      <c r="A11907">
        <v>4196</v>
      </c>
      <c r="B11907" t="s">
        <v>8692</v>
      </c>
      <c r="C11907" t="s">
        <v>72</v>
      </c>
      <c r="D11907" t="s">
        <v>62</v>
      </c>
      <c r="E11907">
        <v>172</v>
      </c>
      <c r="F11907">
        <v>5</v>
      </c>
      <c r="G11907">
        <v>5</v>
      </c>
      <c r="H11907">
        <v>1</v>
      </c>
      <c r="I11907">
        <v>1</v>
      </c>
      <c r="J11907">
        <v>0.73312762803642195</v>
      </c>
      <c r="K11907">
        <v>0.946279566251227</v>
      </c>
      <c r="L11907">
        <v>0.82617687506020299</v>
      </c>
      <c r="M11907">
        <v>0.49399656946826798</v>
      </c>
      <c r="N11907">
        <v>0.99828473413379104</v>
      </c>
      <c r="O11907">
        <v>0.63945111492281304</v>
      </c>
      <c r="P11907" t="s">
        <v>8693</v>
      </c>
      <c r="Q11907" t="s">
        <v>8694</v>
      </c>
      <c r="T11907" t="s">
        <v>8695</v>
      </c>
      <c r="U11907" t="s">
        <v>8696</v>
      </c>
      <c r="AD11907" t="s">
        <v>5013</v>
      </c>
      <c r="AE11907" t="s">
        <v>5014</v>
      </c>
      <c r="AF11907" t="s">
        <v>8699</v>
      </c>
    </row>
    <row r="11908" spans="1:32" hidden="1" x14ac:dyDescent="0.35">
      <c r="A11908">
        <v>4197</v>
      </c>
      <c r="B11908" t="s">
        <v>8692</v>
      </c>
      <c r="C11908" t="s">
        <v>72</v>
      </c>
      <c r="D11908" t="s">
        <v>34</v>
      </c>
      <c r="E11908">
        <v>969</v>
      </c>
      <c r="F11908">
        <v>5</v>
      </c>
      <c r="G11908">
        <v>5</v>
      </c>
      <c r="H11908">
        <v>1</v>
      </c>
      <c r="I11908">
        <v>1</v>
      </c>
      <c r="J11908">
        <v>0.73312762803642195</v>
      </c>
      <c r="K11908">
        <v>0.946279566251227</v>
      </c>
      <c r="L11908">
        <v>0.82617687506020299</v>
      </c>
      <c r="M11908">
        <v>0.49399656946826798</v>
      </c>
      <c r="N11908">
        <v>0.99828473413379104</v>
      </c>
      <c r="O11908">
        <v>0.63945111492281304</v>
      </c>
      <c r="P11908" t="s">
        <v>8693</v>
      </c>
      <c r="Q11908" t="s">
        <v>8694</v>
      </c>
      <c r="T11908" t="s">
        <v>8695</v>
      </c>
      <c r="U11908" t="s">
        <v>8696</v>
      </c>
      <c r="AD11908" t="s">
        <v>5013</v>
      </c>
      <c r="AE11908" t="s">
        <v>5014</v>
      </c>
      <c r="AF11908" t="s">
        <v>8700</v>
      </c>
    </row>
    <row r="11909" spans="1:32" hidden="1" x14ac:dyDescent="0.35">
      <c r="A11909">
        <v>4198</v>
      </c>
      <c r="B11909" t="s">
        <v>8692</v>
      </c>
      <c r="C11909" t="s">
        <v>72</v>
      </c>
      <c r="D11909" t="s">
        <v>45</v>
      </c>
      <c r="E11909">
        <v>2224</v>
      </c>
      <c r="F11909">
        <v>5</v>
      </c>
      <c r="G11909">
        <v>5</v>
      </c>
      <c r="H11909">
        <v>1</v>
      </c>
      <c r="I11909">
        <v>1</v>
      </c>
      <c r="J11909">
        <v>0.73312762803642195</v>
      </c>
      <c r="K11909">
        <v>0.946279566251227</v>
      </c>
      <c r="L11909">
        <v>0.82617687506020299</v>
      </c>
      <c r="M11909">
        <v>0.49399656946826798</v>
      </c>
      <c r="N11909">
        <v>0.99828473413379104</v>
      </c>
      <c r="O11909">
        <v>0.63945111492281304</v>
      </c>
      <c r="P11909" t="s">
        <v>8693</v>
      </c>
      <c r="Q11909" t="s">
        <v>8694</v>
      </c>
      <c r="T11909" t="s">
        <v>8695</v>
      </c>
      <c r="U11909" t="s">
        <v>8696</v>
      </c>
      <c r="AD11909" t="s">
        <v>5013</v>
      </c>
      <c r="AE11909" t="s">
        <v>5014</v>
      </c>
      <c r="AF11909" t="s">
        <v>8701</v>
      </c>
    </row>
    <row r="11910" spans="1:32" hidden="1" x14ac:dyDescent="0.35">
      <c r="A11910">
        <v>4209</v>
      </c>
      <c r="B11910" t="s">
        <v>8727</v>
      </c>
      <c r="C11910" t="s">
        <v>72</v>
      </c>
      <c r="D11910" t="s">
        <v>58</v>
      </c>
      <c r="E11910">
        <v>885</v>
      </c>
      <c r="F11910">
        <v>5</v>
      </c>
      <c r="G11910">
        <v>5</v>
      </c>
      <c r="H11910">
        <v>1</v>
      </c>
      <c r="I11910">
        <v>1</v>
      </c>
      <c r="J11910">
        <v>0.69731934731934697</v>
      </c>
      <c r="K11910">
        <v>0.94007333908541801</v>
      </c>
      <c r="L11910">
        <v>0.80070142328865301</v>
      </c>
      <c r="M11910">
        <v>0.48852459016393401</v>
      </c>
      <c r="N11910">
        <v>0.99672131147540999</v>
      </c>
      <c r="O11910">
        <v>0.62590163934426202</v>
      </c>
      <c r="AF11910" t="s">
        <v>8728</v>
      </c>
    </row>
    <row r="11911" spans="1:32" hidden="1" x14ac:dyDescent="0.35">
      <c r="A11911">
        <v>4210</v>
      </c>
      <c r="B11911" t="s">
        <v>8727</v>
      </c>
      <c r="C11911" t="s">
        <v>72</v>
      </c>
      <c r="D11911" t="s">
        <v>60</v>
      </c>
      <c r="E11911">
        <v>1352</v>
      </c>
      <c r="F11911">
        <v>5</v>
      </c>
      <c r="G11911">
        <v>5</v>
      </c>
      <c r="H11911">
        <v>1</v>
      </c>
      <c r="I11911">
        <v>1</v>
      </c>
      <c r="J11911">
        <v>0.69731934731934697</v>
      </c>
      <c r="K11911">
        <v>0.94007333908541801</v>
      </c>
      <c r="L11911">
        <v>0.80070142328865301</v>
      </c>
      <c r="M11911">
        <v>0.48852459016393401</v>
      </c>
      <c r="N11911">
        <v>0.99672131147540999</v>
      </c>
      <c r="O11911">
        <v>0.62590163934426202</v>
      </c>
      <c r="AF11911" t="s">
        <v>8729</v>
      </c>
    </row>
    <row r="11912" spans="1:32" hidden="1" x14ac:dyDescent="0.35">
      <c r="A11912">
        <v>4211</v>
      </c>
      <c r="B11912" t="s">
        <v>8727</v>
      </c>
      <c r="C11912" t="s">
        <v>72</v>
      </c>
      <c r="D11912" t="s">
        <v>62</v>
      </c>
      <c r="E11912">
        <v>1388</v>
      </c>
      <c r="F11912">
        <v>5</v>
      </c>
      <c r="G11912">
        <v>5</v>
      </c>
      <c r="H11912">
        <v>1</v>
      </c>
      <c r="I11912">
        <v>1</v>
      </c>
      <c r="J11912">
        <v>0.69731934731934697</v>
      </c>
      <c r="K11912">
        <v>0.94007333908541801</v>
      </c>
      <c r="L11912">
        <v>0.80070142328865301</v>
      </c>
      <c r="M11912">
        <v>0.48852459016393401</v>
      </c>
      <c r="N11912">
        <v>0.99672131147540999</v>
      </c>
      <c r="O11912">
        <v>0.62590163934426202</v>
      </c>
      <c r="AF11912" t="s">
        <v>8730</v>
      </c>
    </row>
    <row r="11913" spans="1:32" hidden="1" x14ac:dyDescent="0.35">
      <c r="A11913">
        <v>4212</v>
      </c>
      <c r="B11913" t="s">
        <v>8727</v>
      </c>
      <c r="C11913" t="s">
        <v>72</v>
      </c>
      <c r="D11913" t="s">
        <v>34</v>
      </c>
      <c r="E11913">
        <v>1678</v>
      </c>
      <c r="F11913">
        <v>5</v>
      </c>
      <c r="G11913">
        <v>5</v>
      </c>
      <c r="H11913">
        <v>1</v>
      </c>
      <c r="I11913">
        <v>1</v>
      </c>
      <c r="J11913">
        <v>0.69731934731934697</v>
      </c>
      <c r="K11913">
        <v>0.94007333908541801</v>
      </c>
      <c r="L11913">
        <v>0.80070142328865301</v>
      </c>
      <c r="M11913">
        <v>0.48852459016393401</v>
      </c>
      <c r="N11913">
        <v>0.99672131147540999</v>
      </c>
      <c r="O11913">
        <v>0.62590163934426202</v>
      </c>
      <c r="AF11913" t="s">
        <v>8731</v>
      </c>
    </row>
    <row r="11914" spans="1:32" hidden="1" x14ac:dyDescent="0.35">
      <c r="A11914">
        <v>4213</v>
      </c>
      <c r="B11914" t="s">
        <v>8727</v>
      </c>
      <c r="C11914" t="s">
        <v>72</v>
      </c>
      <c r="D11914" t="s">
        <v>45</v>
      </c>
      <c r="E11914">
        <v>1198</v>
      </c>
      <c r="F11914">
        <v>5</v>
      </c>
      <c r="G11914">
        <v>5</v>
      </c>
      <c r="H11914">
        <v>1</v>
      </c>
      <c r="I11914">
        <v>1</v>
      </c>
      <c r="J11914">
        <v>0.69731934731934697</v>
      </c>
      <c r="K11914">
        <v>0.94007333908541801</v>
      </c>
      <c r="L11914">
        <v>0.80070142328865301</v>
      </c>
      <c r="M11914">
        <v>0.48852459016393401</v>
      </c>
      <c r="N11914">
        <v>0.99672131147540999</v>
      </c>
      <c r="O11914">
        <v>0.62590163934426202</v>
      </c>
      <c r="AF11914" t="s">
        <v>8732</v>
      </c>
    </row>
    <row r="11915" spans="1:32" hidden="1" x14ac:dyDescent="0.35">
      <c r="A11915">
        <v>4584</v>
      </c>
      <c r="B11915" t="s">
        <v>9589</v>
      </c>
      <c r="C11915" t="s">
        <v>72</v>
      </c>
      <c r="D11915" t="s">
        <v>58</v>
      </c>
      <c r="E11915">
        <v>956</v>
      </c>
      <c r="F11915">
        <v>5</v>
      </c>
      <c r="G11915">
        <v>5</v>
      </c>
      <c r="H11915">
        <v>1</v>
      </c>
      <c r="I11915">
        <v>1</v>
      </c>
      <c r="J11915">
        <v>0.82849891225525696</v>
      </c>
      <c r="K11915">
        <v>0.96513065881487003</v>
      </c>
      <c r="L11915">
        <v>0.89161074717925304</v>
      </c>
      <c r="M11915">
        <v>0.66083916083916105</v>
      </c>
      <c r="N11915">
        <v>0.99300699300699302</v>
      </c>
      <c r="O11915">
        <v>0.76748251748251795</v>
      </c>
      <c r="P11915" t="s">
        <v>9590</v>
      </c>
      <c r="Q11915" t="s">
        <v>9591</v>
      </c>
      <c r="AF11915" t="s">
        <v>9592</v>
      </c>
    </row>
    <row r="11916" spans="1:32" hidden="1" x14ac:dyDescent="0.35">
      <c r="A11916">
        <v>4585</v>
      </c>
      <c r="B11916" t="s">
        <v>9589</v>
      </c>
      <c r="C11916" t="s">
        <v>72</v>
      </c>
      <c r="D11916" t="s">
        <v>60</v>
      </c>
      <c r="E11916">
        <v>1252</v>
      </c>
      <c r="F11916">
        <v>5</v>
      </c>
      <c r="G11916">
        <v>5</v>
      </c>
      <c r="H11916">
        <v>1</v>
      </c>
      <c r="I11916">
        <v>1</v>
      </c>
      <c r="J11916">
        <v>0.82849891225525696</v>
      </c>
      <c r="K11916">
        <v>0.96513065881487003</v>
      </c>
      <c r="L11916">
        <v>0.89161074717925304</v>
      </c>
      <c r="M11916">
        <v>0.66083916083916105</v>
      </c>
      <c r="N11916">
        <v>0.99300699300699302</v>
      </c>
      <c r="O11916">
        <v>0.76748251748251795</v>
      </c>
      <c r="P11916" t="s">
        <v>9590</v>
      </c>
      <c r="Q11916" t="s">
        <v>9591</v>
      </c>
      <c r="AF11916" t="s">
        <v>9593</v>
      </c>
    </row>
    <row r="11917" spans="1:32" hidden="1" x14ac:dyDescent="0.35">
      <c r="A11917">
        <v>4586</v>
      </c>
      <c r="B11917" t="s">
        <v>9589</v>
      </c>
      <c r="C11917" t="s">
        <v>72</v>
      </c>
      <c r="D11917" t="s">
        <v>62</v>
      </c>
      <c r="E11917">
        <v>1289</v>
      </c>
      <c r="F11917">
        <v>5</v>
      </c>
      <c r="G11917">
        <v>5</v>
      </c>
      <c r="H11917">
        <v>1</v>
      </c>
      <c r="I11917">
        <v>1</v>
      </c>
      <c r="J11917">
        <v>0.82849891225525696</v>
      </c>
      <c r="K11917">
        <v>0.96513065881487003</v>
      </c>
      <c r="L11917">
        <v>0.89161074717925304</v>
      </c>
      <c r="M11917">
        <v>0.66083916083916105</v>
      </c>
      <c r="N11917">
        <v>0.99300699300699302</v>
      </c>
      <c r="O11917">
        <v>0.76748251748251795</v>
      </c>
      <c r="P11917" t="s">
        <v>9590</v>
      </c>
      <c r="Q11917" t="s">
        <v>9591</v>
      </c>
      <c r="AF11917" t="s">
        <v>9594</v>
      </c>
    </row>
    <row r="11918" spans="1:32" hidden="1" x14ac:dyDescent="0.35">
      <c r="A11918">
        <v>4587</v>
      </c>
      <c r="B11918" t="s">
        <v>9589</v>
      </c>
      <c r="C11918" t="s">
        <v>72</v>
      </c>
      <c r="D11918" t="s">
        <v>34</v>
      </c>
      <c r="E11918">
        <v>1752</v>
      </c>
      <c r="F11918">
        <v>5</v>
      </c>
      <c r="G11918">
        <v>5</v>
      </c>
      <c r="H11918">
        <v>1</v>
      </c>
      <c r="I11918">
        <v>1</v>
      </c>
      <c r="J11918">
        <v>0.82849891225525696</v>
      </c>
      <c r="K11918">
        <v>0.96513065881487003</v>
      </c>
      <c r="L11918">
        <v>0.89161074717925304</v>
      </c>
      <c r="M11918">
        <v>0.66083916083916105</v>
      </c>
      <c r="N11918">
        <v>0.99300699300699302</v>
      </c>
      <c r="O11918">
        <v>0.76748251748251795</v>
      </c>
      <c r="P11918" t="s">
        <v>9590</v>
      </c>
      <c r="Q11918" t="s">
        <v>9591</v>
      </c>
      <c r="AF11918" t="e">
        <f>----MRNYGDIFT--RKPATPTYPTQPATLGEVVEVLADGYVGAIVGHEKTYDGDFIRLENNQGKTRLFKLRPGAFLVDGIRTTLTKPQPAARPQ------RSNSGSTRVVDAPAKVAAPSRIWVEGVHDAAIVEKIWGHDLRVEGVVVEYLEGLDNLPHRLAEFRPAKGRRVGVLADHLVAGSKETRLTDQVGEHVLVTGHPYIDIWAAVKPERLGIRAWPEIPRGEDWKTGVCARLGWANPQEGWNRVYRAVSTYKDIDSTLIGAVERLVDFVTTPELTKADLR</f>
        <v>#NAME?</v>
      </c>
    </row>
    <row r="11919" spans="1:32" hidden="1" x14ac:dyDescent="0.35">
      <c r="A11919">
        <v>4588</v>
      </c>
      <c r="B11919" t="s">
        <v>9589</v>
      </c>
      <c r="C11919" t="s">
        <v>72</v>
      </c>
      <c r="D11919" t="s">
        <v>45</v>
      </c>
      <c r="E11919">
        <v>1121</v>
      </c>
      <c r="F11919">
        <v>5</v>
      </c>
      <c r="G11919">
        <v>5</v>
      </c>
      <c r="H11919">
        <v>1</v>
      </c>
      <c r="I11919">
        <v>1</v>
      </c>
      <c r="J11919">
        <v>0.82849891225525696</v>
      </c>
      <c r="K11919">
        <v>0.96513065881487003</v>
      </c>
      <c r="L11919">
        <v>0.89161074717925304</v>
      </c>
      <c r="M11919">
        <v>0.66083916083916105</v>
      </c>
      <c r="N11919">
        <v>0.99300699300699302</v>
      </c>
      <c r="O11919">
        <v>0.76748251748251795</v>
      </c>
      <c r="P11919" t="s">
        <v>9590</v>
      </c>
      <c r="Q11919" t="s">
        <v>9591</v>
      </c>
      <c r="AF11919" t="e">
        <f>----MRNYGDIFT--RKPAASTYPTQPAALGEVVEVLADGYVGAIVGHEKTYDGDFIRLENNQGKTRLFKLRPGAFLVDGIRTTLTKPQPAARPQ------RSNSGSTRVVDAPAKVAAPSRIWVEGVHDAAIVEKIWGHDLRVEGVVVEYLEGLDNLPHRLAEFRPAQGRRVGVLADHLVAGSKETRLTDRVGEHVLVTGHPYIDIWAAVKPERLGIRAWPDIPRGEDWKTGVCARLGWANPKEGWNRVYRAVSTYKDIDSTLIGAVERLVDFVTTPELTKADLR</f>
        <v>#NAME?</v>
      </c>
    </row>
    <row r="11920" spans="1:32" hidden="1" x14ac:dyDescent="0.35">
      <c r="A11920">
        <v>11883</v>
      </c>
      <c r="B11920" t="s">
        <v>24458</v>
      </c>
      <c r="C11920" t="s">
        <v>10130</v>
      </c>
      <c r="D11920" t="s">
        <v>45</v>
      </c>
      <c r="E11920">
        <v>1295</v>
      </c>
      <c r="F11920">
        <v>1</v>
      </c>
      <c r="G11920">
        <v>1</v>
      </c>
      <c r="H11920">
        <v>1</v>
      </c>
      <c r="I11920">
        <v>0</v>
      </c>
      <c r="J11920">
        <v>1</v>
      </c>
      <c r="K11920">
        <v>1</v>
      </c>
      <c r="L11920">
        <v>1</v>
      </c>
      <c r="M11920">
        <v>0</v>
      </c>
      <c r="N11920">
        <v>0</v>
      </c>
      <c r="O11920">
        <v>0</v>
      </c>
      <c r="AF11920" t="s">
        <v>24459</v>
      </c>
    </row>
    <row r="11921" spans="1:32" hidden="1" x14ac:dyDescent="0.35">
      <c r="A11921">
        <v>11884</v>
      </c>
      <c r="B11921" t="s">
        <v>24460</v>
      </c>
      <c r="C11921" t="s">
        <v>10130</v>
      </c>
      <c r="D11921" t="s">
        <v>60</v>
      </c>
      <c r="E11921">
        <v>641</v>
      </c>
      <c r="F11921">
        <v>1</v>
      </c>
      <c r="G11921">
        <v>1</v>
      </c>
      <c r="H11921">
        <v>1</v>
      </c>
      <c r="I11921">
        <v>0</v>
      </c>
      <c r="J11921">
        <v>1</v>
      </c>
      <c r="K11921">
        <v>1</v>
      </c>
      <c r="L11921">
        <v>1</v>
      </c>
      <c r="M11921">
        <v>0</v>
      </c>
      <c r="N11921">
        <v>0</v>
      </c>
      <c r="O11921">
        <v>0</v>
      </c>
      <c r="AF11921" t="s">
        <v>24461</v>
      </c>
    </row>
    <row r="11922" spans="1:32" hidden="1" x14ac:dyDescent="0.35">
      <c r="A11922">
        <v>11886</v>
      </c>
      <c r="B11922" t="s">
        <v>24464</v>
      </c>
      <c r="C11922" t="s">
        <v>10130</v>
      </c>
      <c r="D11922" t="s">
        <v>58</v>
      </c>
      <c r="E11922">
        <v>1579</v>
      </c>
      <c r="F11922">
        <v>1</v>
      </c>
      <c r="G11922">
        <v>1</v>
      </c>
      <c r="H11922">
        <v>1</v>
      </c>
      <c r="I11922">
        <v>0</v>
      </c>
      <c r="J11922">
        <v>1</v>
      </c>
      <c r="K11922">
        <v>1</v>
      </c>
      <c r="L11922">
        <v>1</v>
      </c>
      <c r="M11922">
        <v>0</v>
      </c>
      <c r="N11922">
        <v>0</v>
      </c>
      <c r="O11922">
        <v>0</v>
      </c>
      <c r="AF11922" t="s">
        <v>24465</v>
      </c>
    </row>
    <row r="11923" spans="1:32" hidden="1" x14ac:dyDescent="0.35">
      <c r="A11923">
        <v>11887</v>
      </c>
      <c r="B11923" t="s">
        <v>24466</v>
      </c>
      <c r="C11923" t="s">
        <v>10130</v>
      </c>
      <c r="D11923" t="s">
        <v>60</v>
      </c>
      <c r="E11923">
        <v>653</v>
      </c>
      <c r="F11923">
        <v>1</v>
      </c>
      <c r="G11923">
        <v>1</v>
      </c>
      <c r="H11923">
        <v>1</v>
      </c>
      <c r="I11923">
        <v>0</v>
      </c>
      <c r="J11923">
        <v>1</v>
      </c>
      <c r="K11923">
        <v>1</v>
      </c>
      <c r="L11923">
        <v>1</v>
      </c>
      <c r="M11923">
        <v>0</v>
      </c>
      <c r="N11923">
        <v>0</v>
      </c>
      <c r="O11923">
        <v>0</v>
      </c>
      <c r="AF11923" t="s">
        <v>24467</v>
      </c>
    </row>
    <row r="11924" spans="1:32" hidden="1" x14ac:dyDescent="0.35">
      <c r="A11924">
        <v>11888</v>
      </c>
      <c r="B11924" t="s">
        <v>24468</v>
      </c>
      <c r="C11924" t="s">
        <v>10130</v>
      </c>
      <c r="D11924" t="s">
        <v>34</v>
      </c>
      <c r="E11924">
        <v>2397</v>
      </c>
      <c r="F11924">
        <v>1</v>
      </c>
      <c r="G11924">
        <v>1</v>
      </c>
      <c r="H11924">
        <v>1</v>
      </c>
      <c r="I11924">
        <v>0</v>
      </c>
      <c r="J11924">
        <v>1</v>
      </c>
      <c r="K11924">
        <v>1</v>
      </c>
      <c r="L11924">
        <v>1</v>
      </c>
      <c r="M11924">
        <v>0</v>
      </c>
      <c r="N11924">
        <v>0</v>
      </c>
      <c r="O11924">
        <v>0</v>
      </c>
      <c r="P11924" t="s">
        <v>24469</v>
      </c>
      <c r="Q11924" t="s">
        <v>24470</v>
      </c>
      <c r="AF11924" t="s">
        <v>24471</v>
      </c>
    </row>
    <row r="11925" spans="1:32" hidden="1" x14ac:dyDescent="0.35">
      <c r="A11925">
        <v>11889</v>
      </c>
      <c r="B11925" t="s">
        <v>24472</v>
      </c>
      <c r="C11925" t="s">
        <v>10130</v>
      </c>
      <c r="D11925" t="s">
        <v>58</v>
      </c>
      <c r="E11925">
        <v>419</v>
      </c>
      <c r="F11925">
        <v>1</v>
      </c>
      <c r="G11925">
        <v>1</v>
      </c>
      <c r="H11925">
        <v>1</v>
      </c>
      <c r="I11925">
        <v>0</v>
      </c>
      <c r="J11925">
        <v>1</v>
      </c>
      <c r="K11925">
        <v>1</v>
      </c>
      <c r="L11925">
        <v>1</v>
      </c>
      <c r="M11925">
        <v>0</v>
      </c>
      <c r="N11925">
        <v>0</v>
      </c>
      <c r="O11925">
        <v>0</v>
      </c>
      <c r="P11925" t="s">
        <v>24473</v>
      </c>
      <c r="Q11925" t="s">
        <v>24474</v>
      </c>
      <c r="AF11925" t="s">
        <v>24475</v>
      </c>
    </row>
    <row r="11926" spans="1:32" hidden="1" x14ac:dyDescent="0.35">
      <c r="A11926">
        <v>11897</v>
      </c>
      <c r="B11926" t="s">
        <v>24506</v>
      </c>
      <c r="C11926" t="s">
        <v>10130</v>
      </c>
      <c r="D11926" t="s">
        <v>58</v>
      </c>
      <c r="E11926">
        <v>640</v>
      </c>
      <c r="F11926">
        <v>1</v>
      </c>
      <c r="G11926">
        <v>1</v>
      </c>
      <c r="H11926">
        <v>1</v>
      </c>
      <c r="I11926">
        <v>0</v>
      </c>
      <c r="J11926">
        <v>1</v>
      </c>
      <c r="K11926">
        <v>1</v>
      </c>
      <c r="L11926">
        <v>1</v>
      </c>
      <c r="M11926">
        <v>0</v>
      </c>
      <c r="N11926">
        <v>0</v>
      </c>
      <c r="O11926">
        <v>0</v>
      </c>
      <c r="P11926" t="s">
        <v>24507</v>
      </c>
      <c r="Q11926" t="s">
        <v>24508</v>
      </c>
      <c r="AF11926" t="s">
        <v>24509</v>
      </c>
    </row>
    <row r="11927" spans="1:32" hidden="1" x14ac:dyDescent="0.35">
      <c r="A11927">
        <v>11898</v>
      </c>
      <c r="B11927" t="s">
        <v>24510</v>
      </c>
      <c r="C11927" t="s">
        <v>10130</v>
      </c>
      <c r="D11927" t="s">
        <v>58</v>
      </c>
      <c r="E11927">
        <v>1726</v>
      </c>
      <c r="F11927">
        <v>1</v>
      </c>
      <c r="G11927">
        <v>1</v>
      </c>
      <c r="H11927">
        <v>1</v>
      </c>
      <c r="I11927">
        <v>0</v>
      </c>
      <c r="J11927">
        <v>1</v>
      </c>
      <c r="K11927">
        <v>1</v>
      </c>
      <c r="L11927">
        <v>1</v>
      </c>
      <c r="M11927">
        <v>0</v>
      </c>
      <c r="N11927">
        <v>0</v>
      </c>
      <c r="O11927">
        <v>0</v>
      </c>
      <c r="AF11927" t="s">
        <v>24511</v>
      </c>
    </row>
    <row r="11928" spans="1:32" hidden="1" x14ac:dyDescent="0.35">
      <c r="A11928">
        <v>11902</v>
      </c>
      <c r="B11928" t="s">
        <v>24520</v>
      </c>
      <c r="C11928" t="s">
        <v>10130</v>
      </c>
      <c r="D11928" t="s">
        <v>58</v>
      </c>
      <c r="E11928">
        <v>1197</v>
      </c>
      <c r="F11928">
        <v>1</v>
      </c>
      <c r="G11928">
        <v>1</v>
      </c>
      <c r="H11928">
        <v>1</v>
      </c>
      <c r="I11928">
        <v>0</v>
      </c>
      <c r="J11928">
        <v>1</v>
      </c>
      <c r="K11928">
        <v>1</v>
      </c>
      <c r="L11928">
        <v>1</v>
      </c>
      <c r="M11928">
        <v>0</v>
      </c>
      <c r="N11928">
        <v>0</v>
      </c>
      <c r="O11928">
        <v>0</v>
      </c>
      <c r="AF11928" t="s">
        <v>24521</v>
      </c>
    </row>
    <row r="11929" spans="1:32" hidden="1" x14ac:dyDescent="0.35">
      <c r="A11929">
        <v>11903</v>
      </c>
      <c r="B11929" t="s">
        <v>24522</v>
      </c>
      <c r="C11929" t="s">
        <v>10130</v>
      </c>
      <c r="D11929" t="s">
        <v>60</v>
      </c>
      <c r="E11929">
        <v>21</v>
      </c>
      <c r="F11929">
        <v>1</v>
      </c>
      <c r="G11929">
        <v>1</v>
      </c>
      <c r="H11929">
        <v>1</v>
      </c>
      <c r="I11929">
        <v>0</v>
      </c>
      <c r="J11929">
        <v>1</v>
      </c>
      <c r="K11929">
        <v>1</v>
      </c>
      <c r="L11929">
        <v>1</v>
      </c>
      <c r="M11929">
        <v>0</v>
      </c>
      <c r="N11929">
        <v>0</v>
      </c>
      <c r="O11929">
        <v>0</v>
      </c>
      <c r="AF11929" t="s">
        <v>24523</v>
      </c>
    </row>
    <row r="11930" spans="1:32" hidden="1" x14ac:dyDescent="0.35">
      <c r="A11930">
        <v>11904</v>
      </c>
      <c r="B11930" t="s">
        <v>24524</v>
      </c>
      <c r="C11930" t="s">
        <v>10130</v>
      </c>
      <c r="D11930" t="s">
        <v>58</v>
      </c>
      <c r="E11930">
        <v>271</v>
      </c>
      <c r="F11930">
        <v>1</v>
      </c>
      <c r="G11930">
        <v>1</v>
      </c>
      <c r="H11930">
        <v>1</v>
      </c>
      <c r="I11930">
        <v>0</v>
      </c>
      <c r="J11930">
        <v>1</v>
      </c>
      <c r="K11930">
        <v>1</v>
      </c>
      <c r="L11930">
        <v>1</v>
      </c>
      <c r="M11930">
        <v>0</v>
      </c>
      <c r="N11930">
        <v>0</v>
      </c>
      <c r="O11930">
        <v>0</v>
      </c>
      <c r="AF11930" t="s">
        <v>24525</v>
      </c>
    </row>
    <row r="11931" spans="1:32" hidden="1" x14ac:dyDescent="0.35">
      <c r="A11931">
        <v>11905</v>
      </c>
      <c r="B11931" t="s">
        <v>24526</v>
      </c>
      <c r="C11931" t="s">
        <v>10130</v>
      </c>
      <c r="D11931" t="s">
        <v>62</v>
      </c>
      <c r="E11931">
        <v>2070</v>
      </c>
      <c r="F11931">
        <v>1</v>
      </c>
      <c r="G11931">
        <v>1</v>
      </c>
      <c r="H11931">
        <v>1</v>
      </c>
      <c r="I11931">
        <v>0</v>
      </c>
      <c r="J11931">
        <v>1</v>
      </c>
      <c r="K11931">
        <v>1</v>
      </c>
      <c r="L11931">
        <v>1</v>
      </c>
      <c r="M11931">
        <v>0</v>
      </c>
      <c r="N11931">
        <v>0</v>
      </c>
      <c r="O11931">
        <v>0</v>
      </c>
      <c r="AF11931" t="s">
        <v>24527</v>
      </c>
    </row>
    <row r="11932" spans="1:32" hidden="1" x14ac:dyDescent="0.35">
      <c r="A11932">
        <v>11906</v>
      </c>
      <c r="B11932" t="s">
        <v>24528</v>
      </c>
      <c r="C11932" t="s">
        <v>10130</v>
      </c>
      <c r="D11932" t="s">
        <v>34</v>
      </c>
      <c r="E11932">
        <v>35</v>
      </c>
      <c r="F11932">
        <v>1</v>
      </c>
      <c r="G11932">
        <v>1</v>
      </c>
      <c r="H11932">
        <v>1</v>
      </c>
      <c r="I11932">
        <v>0</v>
      </c>
      <c r="J11932">
        <v>1</v>
      </c>
      <c r="K11932">
        <v>1</v>
      </c>
      <c r="L11932">
        <v>1</v>
      </c>
      <c r="M11932">
        <v>0</v>
      </c>
      <c r="N11932">
        <v>0</v>
      </c>
      <c r="O11932">
        <v>0</v>
      </c>
      <c r="P11932" t="s">
        <v>24529</v>
      </c>
      <c r="Q11932" t="s">
        <v>24530</v>
      </c>
      <c r="AF11932" t="s">
        <v>24531</v>
      </c>
    </row>
    <row r="11933" spans="1:32" hidden="1" x14ac:dyDescent="0.35">
      <c r="A11933">
        <v>11908</v>
      </c>
      <c r="B11933" t="s">
        <v>24543</v>
      </c>
      <c r="C11933" t="s">
        <v>10130</v>
      </c>
      <c r="D11933" t="s">
        <v>58</v>
      </c>
      <c r="E11933">
        <v>156</v>
      </c>
      <c r="F11933">
        <v>1</v>
      </c>
      <c r="G11933">
        <v>1</v>
      </c>
      <c r="H11933">
        <v>1</v>
      </c>
      <c r="I11933">
        <v>0</v>
      </c>
      <c r="J11933">
        <v>1</v>
      </c>
      <c r="K11933">
        <v>1</v>
      </c>
      <c r="L11933">
        <v>1</v>
      </c>
      <c r="M11933">
        <v>0</v>
      </c>
      <c r="N11933">
        <v>0</v>
      </c>
      <c r="O11933">
        <v>0</v>
      </c>
      <c r="P11933" t="s">
        <v>15105</v>
      </c>
      <c r="Q11933" t="s">
        <v>15106</v>
      </c>
      <c r="AF11933" t="s">
        <v>24544</v>
      </c>
    </row>
    <row r="11934" spans="1:32" hidden="1" x14ac:dyDescent="0.35">
      <c r="A11934">
        <v>11909</v>
      </c>
      <c r="B11934" t="s">
        <v>24545</v>
      </c>
      <c r="C11934" t="s">
        <v>10130</v>
      </c>
      <c r="D11934" t="s">
        <v>58</v>
      </c>
      <c r="E11934">
        <v>965</v>
      </c>
      <c r="F11934">
        <v>1</v>
      </c>
      <c r="G11934">
        <v>1</v>
      </c>
      <c r="H11934">
        <v>1</v>
      </c>
      <c r="I11934">
        <v>0</v>
      </c>
      <c r="J11934">
        <v>1</v>
      </c>
      <c r="K11934">
        <v>1</v>
      </c>
      <c r="L11934">
        <v>1</v>
      </c>
      <c r="M11934">
        <v>0</v>
      </c>
      <c r="N11934">
        <v>0</v>
      </c>
      <c r="O11934">
        <v>0</v>
      </c>
      <c r="P11934" t="s">
        <v>24546</v>
      </c>
      <c r="Q11934" t="s">
        <v>24547</v>
      </c>
      <c r="AF11934" t="s">
        <v>24548</v>
      </c>
    </row>
    <row r="11935" spans="1:32" hidden="1" x14ac:dyDescent="0.35">
      <c r="A11935">
        <v>11910</v>
      </c>
      <c r="B11935" t="s">
        <v>24549</v>
      </c>
      <c r="C11935" t="s">
        <v>10130</v>
      </c>
      <c r="D11935" t="s">
        <v>34</v>
      </c>
      <c r="E11935">
        <v>178</v>
      </c>
      <c r="F11935">
        <v>1</v>
      </c>
      <c r="G11935">
        <v>1</v>
      </c>
      <c r="H11935">
        <v>1</v>
      </c>
      <c r="I11935">
        <v>0</v>
      </c>
      <c r="J11935">
        <v>1</v>
      </c>
      <c r="K11935">
        <v>1</v>
      </c>
      <c r="L11935">
        <v>1</v>
      </c>
      <c r="M11935">
        <v>0</v>
      </c>
      <c r="N11935">
        <v>0</v>
      </c>
      <c r="O11935">
        <v>0</v>
      </c>
      <c r="AF11935" t="s">
        <v>24550</v>
      </c>
    </row>
    <row r="11936" spans="1:32" hidden="1" x14ac:dyDescent="0.35">
      <c r="A11936">
        <v>11911</v>
      </c>
      <c r="B11936" t="s">
        <v>24551</v>
      </c>
      <c r="C11936" t="s">
        <v>10130</v>
      </c>
      <c r="D11936" t="s">
        <v>60</v>
      </c>
      <c r="E11936">
        <v>688</v>
      </c>
      <c r="F11936">
        <v>1</v>
      </c>
      <c r="G11936">
        <v>1</v>
      </c>
      <c r="H11936">
        <v>1</v>
      </c>
      <c r="I11936">
        <v>0</v>
      </c>
      <c r="J11936">
        <v>1</v>
      </c>
      <c r="K11936">
        <v>1</v>
      </c>
      <c r="L11936">
        <v>1</v>
      </c>
      <c r="M11936">
        <v>0</v>
      </c>
      <c r="N11936">
        <v>0</v>
      </c>
      <c r="O11936">
        <v>0</v>
      </c>
      <c r="AF11936" t="s">
        <v>24552</v>
      </c>
    </row>
    <row r="11937" spans="1:32" hidden="1" x14ac:dyDescent="0.35">
      <c r="A11937">
        <v>11913</v>
      </c>
      <c r="B11937" t="s">
        <v>24555</v>
      </c>
      <c r="C11937" t="s">
        <v>10130</v>
      </c>
      <c r="D11937" t="s">
        <v>58</v>
      </c>
      <c r="E11937">
        <v>837</v>
      </c>
      <c r="F11937">
        <v>1</v>
      </c>
      <c r="G11937">
        <v>1</v>
      </c>
      <c r="H11937">
        <v>1</v>
      </c>
      <c r="I11937">
        <v>0</v>
      </c>
      <c r="J11937">
        <v>1</v>
      </c>
      <c r="K11937">
        <v>1</v>
      </c>
      <c r="L11937">
        <v>1</v>
      </c>
      <c r="M11937">
        <v>0</v>
      </c>
      <c r="N11937">
        <v>0</v>
      </c>
      <c r="O11937">
        <v>0</v>
      </c>
      <c r="P11937" t="s">
        <v>13314</v>
      </c>
      <c r="Q11937" t="s">
        <v>13315</v>
      </c>
      <c r="AF11937" t="s">
        <v>24556</v>
      </c>
    </row>
    <row r="11938" spans="1:32" hidden="1" x14ac:dyDescent="0.35">
      <c r="A11938">
        <v>11915</v>
      </c>
      <c r="B11938" t="s">
        <v>24565</v>
      </c>
      <c r="C11938" t="s">
        <v>10130</v>
      </c>
      <c r="D11938" t="s">
        <v>60</v>
      </c>
      <c r="E11938">
        <v>1945</v>
      </c>
      <c r="F11938">
        <v>1</v>
      </c>
      <c r="G11938">
        <v>1</v>
      </c>
      <c r="H11938">
        <v>1</v>
      </c>
      <c r="I11938">
        <v>0</v>
      </c>
      <c r="J11938">
        <v>1</v>
      </c>
      <c r="K11938">
        <v>1</v>
      </c>
      <c r="L11938">
        <v>1</v>
      </c>
      <c r="M11938">
        <v>0</v>
      </c>
      <c r="N11938">
        <v>0</v>
      </c>
      <c r="O11938">
        <v>0</v>
      </c>
      <c r="AF11938" t="s">
        <v>24566</v>
      </c>
    </row>
    <row r="11939" spans="1:32" hidden="1" x14ac:dyDescent="0.35">
      <c r="A11939">
        <v>11917</v>
      </c>
      <c r="B11939" t="s">
        <v>24569</v>
      </c>
      <c r="C11939" t="s">
        <v>10130</v>
      </c>
      <c r="D11939" t="s">
        <v>58</v>
      </c>
      <c r="E11939">
        <v>802</v>
      </c>
      <c r="F11939">
        <v>1</v>
      </c>
      <c r="G11939">
        <v>1</v>
      </c>
      <c r="H11939">
        <v>1</v>
      </c>
      <c r="I11939">
        <v>0</v>
      </c>
      <c r="J11939">
        <v>1</v>
      </c>
      <c r="K11939">
        <v>1</v>
      </c>
      <c r="L11939">
        <v>1</v>
      </c>
      <c r="M11939">
        <v>0</v>
      </c>
      <c r="N11939">
        <v>0</v>
      </c>
      <c r="O11939">
        <v>0</v>
      </c>
      <c r="AF11939" t="s">
        <v>24570</v>
      </c>
    </row>
    <row r="11940" spans="1:32" hidden="1" x14ac:dyDescent="0.35">
      <c r="A11940">
        <v>11920</v>
      </c>
      <c r="B11940" t="s">
        <v>24575</v>
      </c>
      <c r="C11940" t="s">
        <v>10130</v>
      </c>
      <c r="D11940" t="s">
        <v>58</v>
      </c>
      <c r="E11940">
        <v>1419</v>
      </c>
      <c r="F11940">
        <v>1</v>
      </c>
      <c r="G11940">
        <v>1</v>
      </c>
      <c r="H11940">
        <v>1</v>
      </c>
      <c r="I11940">
        <v>0</v>
      </c>
      <c r="J11940">
        <v>1</v>
      </c>
      <c r="K11940">
        <v>1</v>
      </c>
      <c r="L11940">
        <v>1</v>
      </c>
      <c r="M11940">
        <v>0</v>
      </c>
      <c r="N11940">
        <v>0</v>
      </c>
      <c r="O11940">
        <v>0</v>
      </c>
      <c r="AF11940" t="s">
        <v>24576</v>
      </c>
    </row>
    <row r="11941" spans="1:32" hidden="1" x14ac:dyDescent="0.35">
      <c r="A11941">
        <v>11922</v>
      </c>
      <c r="B11941" t="s">
        <v>24579</v>
      </c>
      <c r="C11941" t="s">
        <v>10130</v>
      </c>
      <c r="D11941" t="s">
        <v>58</v>
      </c>
      <c r="E11941">
        <v>1767</v>
      </c>
      <c r="F11941">
        <v>1</v>
      </c>
      <c r="G11941">
        <v>1</v>
      </c>
      <c r="H11941">
        <v>1</v>
      </c>
      <c r="I11941">
        <v>0</v>
      </c>
      <c r="J11941">
        <v>1</v>
      </c>
      <c r="K11941">
        <v>1</v>
      </c>
      <c r="L11941">
        <v>1</v>
      </c>
      <c r="M11941">
        <v>0</v>
      </c>
      <c r="N11941">
        <v>0</v>
      </c>
      <c r="O11941">
        <v>0</v>
      </c>
      <c r="AF11941" t="s">
        <v>24580</v>
      </c>
    </row>
    <row r="11942" spans="1:32" hidden="1" x14ac:dyDescent="0.35">
      <c r="A11942">
        <v>11930</v>
      </c>
      <c r="B11942" t="s">
        <v>24612</v>
      </c>
      <c r="C11942" t="s">
        <v>10130</v>
      </c>
      <c r="D11942" t="s">
        <v>34</v>
      </c>
      <c r="E11942">
        <v>2392</v>
      </c>
      <c r="F11942">
        <v>1</v>
      </c>
      <c r="G11942">
        <v>1</v>
      </c>
      <c r="H11942">
        <v>1</v>
      </c>
      <c r="I11942">
        <v>0</v>
      </c>
      <c r="J11942">
        <v>1</v>
      </c>
      <c r="K11942">
        <v>1</v>
      </c>
      <c r="L11942">
        <v>1</v>
      </c>
      <c r="M11942">
        <v>0</v>
      </c>
      <c r="N11942">
        <v>0</v>
      </c>
      <c r="O11942">
        <v>0</v>
      </c>
      <c r="AF11942" t="s">
        <v>24613</v>
      </c>
    </row>
    <row r="11943" spans="1:32" hidden="1" x14ac:dyDescent="0.35">
      <c r="A11943">
        <v>11931</v>
      </c>
      <c r="B11943" t="s">
        <v>24614</v>
      </c>
      <c r="C11943" t="s">
        <v>10130</v>
      </c>
      <c r="D11943" t="s">
        <v>45</v>
      </c>
      <c r="E11943">
        <v>2395</v>
      </c>
      <c r="F11943">
        <v>1</v>
      </c>
      <c r="G11943">
        <v>1</v>
      </c>
      <c r="H11943">
        <v>1</v>
      </c>
      <c r="I11943">
        <v>0</v>
      </c>
      <c r="J11943">
        <v>1</v>
      </c>
      <c r="K11943">
        <v>1</v>
      </c>
      <c r="L11943">
        <v>1</v>
      </c>
      <c r="M11943">
        <v>0</v>
      </c>
      <c r="N11943">
        <v>0</v>
      </c>
      <c r="O11943">
        <v>0</v>
      </c>
      <c r="AF11943" t="s">
        <v>24615</v>
      </c>
    </row>
    <row r="11944" spans="1:32" hidden="1" x14ac:dyDescent="0.35">
      <c r="A11944">
        <v>11932</v>
      </c>
      <c r="B11944" t="s">
        <v>24616</v>
      </c>
      <c r="C11944" t="s">
        <v>10130</v>
      </c>
      <c r="D11944" t="s">
        <v>34</v>
      </c>
      <c r="E11944">
        <v>1614</v>
      </c>
      <c r="F11944">
        <v>1</v>
      </c>
      <c r="G11944">
        <v>1</v>
      </c>
      <c r="H11944">
        <v>1</v>
      </c>
      <c r="I11944">
        <v>0</v>
      </c>
      <c r="J11944">
        <v>1</v>
      </c>
      <c r="K11944">
        <v>1</v>
      </c>
      <c r="L11944">
        <v>1</v>
      </c>
      <c r="M11944">
        <v>0</v>
      </c>
      <c r="N11944">
        <v>0</v>
      </c>
      <c r="O11944">
        <v>0</v>
      </c>
      <c r="AF11944" t="s">
        <v>24617</v>
      </c>
    </row>
    <row r="11945" spans="1:32" hidden="1" x14ac:dyDescent="0.35">
      <c r="A11945">
        <v>11933</v>
      </c>
      <c r="B11945" t="s">
        <v>24618</v>
      </c>
      <c r="C11945" t="s">
        <v>10130</v>
      </c>
      <c r="D11945" t="s">
        <v>60</v>
      </c>
      <c r="E11945">
        <v>1370</v>
      </c>
      <c r="F11945">
        <v>1</v>
      </c>
      <c r="G11945">
        <v>1</v>
      </c>
      <c r="H11945">
        <v>1</v>
      </c>
      <c r="I11945">
        <v>0</v>
      </c>
      <c r="J11945">
        <v>1</v>
      </c>
      <c r="K11945">
        <v>1</v>
      </c>
      <c r="L11945">
        <v>1</v>
      </c>
      <c r="M11945">
        <v>0</v>
      </c>
      <c r="N11945">
        <v>0</v>
      </c>
      <c r="O11945">
        <v>0</v>
      </c>
      <c r="AF11945" t="s">
        <v>24619</v>
      </c>
    </row>
    <row r="11946" spans="1:32" hidden="1" x14ac:dyDescent="0.35">
      <c r="A11946">
        <v>11934</v>
      </c>
      <c r="B11946" t="s">
        <v>24620</v>
      </c>
      <c r="C11946" t="s">
        <v>10130</v>
      </c>
      <c r="D11946" t="s">
        <v>45</v>
      </c>
      <c r="E11946">
        <v>1788</v>
      </c>
      <c r="F11946">
        <v>1</v>
      </c>
      <c r="G11946">
        <v>1</v>
      </c>
      <c r="H11946">
        <v>1</v>
      </c>
      <c r="I11946">
        <v>0</v>
      </c>
      <c r="J11946">
        <v>1</v>
      </c>
      <c r="K11946">
        <v>1</v>
      </c>
      <c r="L11946">
        <v>1</v>
      </c>
      <c r="M11946">
        <v>0</v>
      </c>
      <c r="N11946">
        <v>0</v>
      </c>
      <c r="O11946">
        <v>0</v>
      </c>
      <c r="AF11946" t="s">
        <v>24621</v>
      </c>
    </row>
    <row r="11947" spans="1:32" hidden="1" x14ac:dyDescent="0.35">
      <c r="A11947">
        <v>11935</v>
      </c>
      <c r="B11947" t="s">
        <v>24622</v>
      </c>
      <c r="C11947" t="s">
        <v>10130</v>
      </c>
      <c r="D11947" t="s">
        <v>58</v>
      </c>
      <c r="E11947">
        <v>796</v>
      </c>
      <c r="F11947">
        <v>1</v>
      </c>
      <c r="G11947">
        <v>1</v>
      </c>
      <c r="H11947">
        <v>1</v>
      </c>
      <c r="I11947">
        <v>0</v>
      </c>
      <c r="J11947">
        <v>1</v>
      </c>
      <c r="K11947">
        <v>1</v>
      </c>
      <c r="L11947">
        <v>1</v>
      </c>
      <c r="M11947">
        <v>0</v>
      </c>
      <c r="N11947">
        <v>0</v>
      </c>
      <c r="O11947">
        <v>0</v>
      </c>
      <c r="AF11947" t="s">
        <v>24623</v>
      </c>
    </row>
    <row r="11948" spans="1:32" hidden="1" x14ac:dyDescent="0.35">
      <c r="A11948">
        <v>11936</v>
      </c>
      <c r="B11948" t="s">
        <v>24624</v>
      </c>
      <c r="C11948" t="s">
        <v>10130</v>
      </c>
      <c r="D11948" t="s">
        <v>60</v>
      </c>
      <c r="E11948">
        <v>2054</v>
      </c>
      <c r="F11948">
        <v>1</v>
      </c>
      <c r="G11948">
        <v>1</v>
      </c>
      <c r="H11948">
        <v>1</v>
      </c>
      <c r="I11948">
        <v>0</v>
      </c>
      <c r="J11948">
        <v>1</v>
      </c>
      <c r="K11948">
        <v>1</v>
      </c>
      <c r="L11948">
        <v>1</v>
      </c>
      <c r="M11948">
        <v>0</v>
      </c>
      <c r="N11948">
        <v>0</v>
      </c>
      <c r="O11948">
        <v>0</v>
      </c>
      <c r="AF11948" t="s">
        <v>24625</v>
      </c>
    </row>
    <row r="11949" spans="1:32" hidden="1" x14ac:dyDescent="0.35">
      <c r="A11949">
        <v>11938</v>
      </c>
      <c r="B11949" t="s">
        <v>24628</v>
      </c>
      <c r="C11949" t="s">
        <v>10130</v>
      </c>
      <c r="D11949" t="s">
        <v>34</v>
      </c>
      <c r="E11949">
        <v>2431</v>
      </c>
      <c r="F11949">
        <v>1</v>
      </c>
      <c r="G11949">
        <v>1</v>
      </c>
      <c r="H11949">
        <v>1</v>
      </c>
      <c r="I11949">
        <v>0</v>
      </c>
      <c r="J11949">
        <v>1</v>
      </c>
      <c r="K11949">
        <v>1</v>
      </c>
      <c r="L11949">
        <v>1</v>
      </c>
      <c r="M11949">
        <v>0</v>
      </c>
      <c r="N11949">
        <v>0</v>
      </c>
      <c r="O11949">
        <v>0</v>
      </c>
      <c r="P11949" t="s">
        <v>24629</v>
      </c>
      <c r="Q11949" t="s">
        <v>24630</v>
      </c>
      <c r="AF11949" t="s">
        <v>24631</v>
      </c>
    </row>
    <row r="11950" spans="1:32" hidden="1" x14ac:dyDescent="0.35">
      <c r="A11950">
        <v>11939</v>
      </c>
      <c r="B11950" t="s">
        <v>24632</v>
      </c>
      <c r="C11950" t="s">
        <v>10130</v>
      </c>
      <c r="D11950" t="s">
        <v>58</v>
      </c>
      <c r="E11950">
        <v>72</v>
      </c>
      <c r="F11950">
        <v>1</v>
      </c>
      <c r="G11950">
        <v>1</v>
      </c>
      <c r="H11950">
        <v>1</v>
      </c>
      <c r="I11950">
        <v>0</v>
      </c>
      <c r="J11950">
        <v>1</v>
      </c>
      <c r="K11950">
        <v>1</v>
      </c>
      <c r="L11950">
        <v>1</v>
      </c>
      <c r="M11950">
        <v>0</v>
      </c>
      <c r="N11950">
        <v>0</v>
      </c>
      <c r="O11950">
        <v>0</v>
      </c>
      <c r="AF11950" t="s">
        <v>24633</v>
      </c>
    </row>
    <row r="11951" spans="1:32" hidden="1" x14ac:dyDescent="0.35">
      <c r="A11951">
        <v>11942</v>
      </c>
      <c r="B11951" t="s">
        <v>24638</v>
      </c>
      <c r="C11951" t="s">
        <v>10130</v>
      </c>
      <c r="D11951" t="s">
        <v>58</v>
      </c>
      <c r="E11951">
        <v>96</v>
      </c>
      <c r="F11951">
        <v>1</v>
      </c>
      <c r="G11951">
        <v>1</v>
      </c>
      <c r="H11951">
        <v>1</v>
      </c>
      <c r="I11951">
        <v>0</v>
      </c>
      <c r="J11951">
        <v>1</v>
      </c>
      <c r="K11951">
        <v>1</v>
      </c>
      <c r="L11951">
        <v>1</v>
      </c>
      <c r="M11951">
        <v>0</v>
      </c>
      <c r="N11951">
        <v>0</v>
      </c>
      <c r="O11951">
        <v>0</v>
      </c>
      <c r="AF11951" t="s">
        <v>24639</v>
      </c>
    </row>
    <row r="11952" spans="1:32" hidden="1" x14ac:dyDescent="0.35">
      <c r="A11952">
        <v>11945</v>
      </c>
      <c r="B11952" t="s">
        <v>24651</v>
      </c>
      <c r="C11952" t="s">
        <v>10130</v>
      </c>
      <c r="D11952" t="s">
        <v>58</v>
      </c>
      <c r="E11952">
        <v>348</v>
      </c>
      <c r="F11952">
        <v>1</v>
      </c>
      <c r="G11952">
        <v>1</v>
      </c>
      <c r="H11952">
        <v>1</v>
      </c>
      <c r="I11952">
        <v>0</v>
      </c>
      <c r="J11952">
        <v>1</v>
      </c>
      <c r="K11952">
        <v>1</v>
      </c>
      <c r="L11952">
        <v>1</v>
      </c>
      <c r="M11952">
        <v>0</v>
      </c>
      <c r="N11952">
        <v>0</v>
      </c>
      <c r="O11952">
        <v>0</v>
      </c>
      <c r="P11952" t="s">
        <v>15681</v>
      </c>
      <c r="Q11952" t="s">
        <v>15682</v>
      </c>
      <c r="AF11952" t="s">
        <v>24652</v>
      </c>
    </row>
    <row r="11953" spans="1:32" hidden="1" x14ac:dyDescent="0.35">
      <c r="A11953">
        <v>11946</v>
      </c>
      <c r="B11953" t="s">
        <v>24653</v>
      </c>
      <c r="C11953" t="s">
        <v>10130</v>
      </c>
      <c r="D11953" t="s">
        <v>60</v>
      </c>
      <c r="E11953">
        <v>15</v>
      </c>
      <c r="F11953">
        <v>1</v>
      </c>
      <c r="G11953">
        <v>1</v>
      </c>
      <c r="H11953">
        <v>1</v>
      </c>
      <c r="I11953">
        <v>0</v>
      </c>
      <c r="J11953">
        <v>1</v>
      </c>
      <c r="K11953">
        <v>1</v>
      </c>
      <c r="L11953">
        <v>1</v>
      </c>
      <c r="M11953">
        <v>0</v>
      </c>
      <c r="N11953">
        <v>0</v>
      </c>
      <c r="O11953">
        <v>0</v>
      </c>
      <c r="AF11953" t="s">
        <v>24654</v>
      </c>
    </row>
    <row r="11954" spans="1:32" hidden="1" x14ac:dyDescent="0.35">
      <c r="A11954">
        <v>11949</v>
      </c>
      <c r="B11954" t="s">
        <v>24659</v>
      </c>
      <c r="C11954" t="s">
        <v>10130</v>
      </c>
      <c r="D11954" t="s">
        <v>58</v>
      </c>
      <c r="E11954">
        <v>54</v>
      </c>
      <c r="F11954">
        <v>1</v>
      </c>
      <c r="G11954">
        <v>1</v>
      </c>
      <c r="H11954">
        <v>1</v>
      </c>
      <c r="I11954">
        <v>0</v>
      </c>
      <c r="J11954">
        <v>1</v>
      </c>
      <c r="K11954">
        <v>1</v>
      </c>
      <c r="L11954">
        <v>1</v>
      </c>
      <c r="M11954">
        <v>0</v>
      </c>
      <c r="N11954">
        <v>0</v>
      </c>
      <c r="O11954">
        <v>0</v>
      </c>
      <c r="AF11954" t="s">
        <v>24660</v>
      </c>
    </row>
    <row r="11955" spans="1:32" hidden="1" x14ac:dyDescent="0.35">
      <c r="A11955">
        <v>11950</v>
      </c>
      <c r="B11955" t="s">
        <v>24661</v>
      </c>
      <c r="C11955" t="s">
        <v>10130</v>
      </c>
      <c r="D11955" t="s">
        <v>58</v>
      </c>
      <c r="E11955">
        <v>1640</v>
      </c>
      <c r="F11955">
        <v>1</v>
      </c>
      <c r="G11955">
        <v>1</v>
      </c>
      <c r="H11955">
        <v>1</v>
      </c>
      <c r="I11955">
        <v>0</v>
      </c>
      <c r="J11955">
        <v>1</v>
      </c>
      <c r="K11955">
        <v>1</v>
      </c>
      <c r="L11955">
        <v>1</v>
      </c>
      <c r="M11955">
        <v>0</v>
      </c>
      <c r="N11955">
        <v>0</v>
      </c>
      <c r="O11955">
        <v>0</v>
      </c>
      <c r="P11955" t="s">
        <v>10143</v>
      </c>
      <c r="Q11955" t="s">
        <v>10144</v>
      </c>
      <c r="AF11955" t="s">
        <v>24662</v>
      </c>
    </row>
    <row r="11956" spans="1:32" hidden="1" x14ac:dyDescent="0.35">
      <c r="A11956">
        <v>11952</v>
      </c>
      <c r="B11956" t="s">
        <v>24665</v>
      </c>
      <c r="C11956" t="s">
        <v>10130</v>
      </c>
      <c r="D11956" t="s">
        <v>45</v>
      </c>
      <c r="E11956">
        <v>1525</v>
      </c>
      <c r="F11956">
        <v>1</v>
      </c>
      <c r="G11956">
        <v>1</v>
      </c>
      <c r="H11956">
        <v>1</v>
      </c>
      <c r="I11956">
        <v>0</v>
      </c>
      <c r="J11956">
        <v>1</v>
      </c>
      <c r="K11956">
        <v>1</v>
      </c>
      <c r="L11956">
        <v>1</v>
      </c>
      <c r="M11956">
        <v>0</v>
      </c>
      <c r="N11956">
        <v>0</v>
      </c>
      <c r="O11956">
        <v>0</v>
      </c>
      <c r="AF11956" t="s">
        <v>24666</v>
      </c>
    </row>
    <row r="11957" spans="1:32" hidden="1" x14ac:dyDescent="0.35">
      <c r="A11957">
        <v>11954</v>
      </c>
      <c r="B11957" t="s">
        <v>24669</v>
      </c>
      <c r="C11957" t="s">
        <v>10130</v>
      </c>
      <c r="D11957" t="s">
        <v>58</v>
      </c>
      <c r="E11957">
        <v>1678</v>
      </c>
      <c r="F11957">
        <v>1</v>
      </c>
      <c r="G11957">
        <v>1</v>
      </c>
      <c r="H11957">
        <v>1</v>
      </c>
      <c r="I11957">
        <v>0</v>
      </c>
      <c r="J11957">
        <v>1</v>
      </c>
      <c r="K11957">
        <v>1</v>
      </c>
      <c r="L11957">
        <v>1</v>
      </c>
      <c r="M11957">
        <v>0</v>
      </c>
      <c r="N11957">
        <v>0</v>
      </c>
      <c r="O11957">
        <v>0</v>
      </c>
      <c r="AF11957" t="s">
        <v>24670</v>
      </c>
    </row>
    <row r="11958" spans="1:32" hidden="1" x14ac:dyDescent="0.35">
      <c r="A11958">
        <v>11955</v>
      </c>
      <c r="B11958" t="s">
        <v>24671</v>
      </c>
      <c r="C11958" t="s">
        <v>10130</v>
      </c>
      <c r="D11958" t="s">
        <v>58</v>
      </c>
      <c r="E11958">
        <v>513</v>
      </c>
      <c r="F11958">
        <v>1</v>
      </c>
      <c r="G11958">
        <v>1</v>
      </c>
      <c r="H11958">
        <v>1</v>
      </c>
      <c r="I11958">
        <v>0</v>
      </c>
      <c r="J11958">
        <v>1</v>
      </c>
      <c r="K11958">
        <v>1</v>
      </c>
      <c r="L11958">
        <v>1</v>
      </c>
      <c r="M11958">
        <v>0</v>
      </c>
      <c r="N11958">
        <v>0</v>
      </c>
      <c r="O11958">
        <v>0</v>
      </c>
      <c r="AF11958" t="s">
        <v>24672</v>
      </c>
    </row>
    <row r="11959" spans="1:32" hidden="1" x14ac:dyDescent="0.35">
      <c r="A11959">
        <v>11956</v>
      </c>
      <c r="B11959" t="s">
        <v>24673</v>
      </c>
      <c r="C11959" t="s">
        <v>10130</v>
      </c>
      <c r="D11959" t="s">
        <v>62</v>
      </c>
      <c r="E11959">
        <v>1985</v>
      </c>
      <c r="F11959">
        <v>1</v>
      </c>
      <c r="G11959">
        <v>1</v>
      </c>
      <c r="H11959">
        <v>1</v>
      </c>
      <c r="I11959">
        <v>0</v>
      </c>
      <c r="J11959">
        <v>1</v>
      </c>
      <c r="K11959">
        <v>1</v>
      </c>
      <c r="L11959">
        <v>1</v>
      </c>
      <c r="M11959">
        <v>0</v>
      </c>
      <c r="N11959">
        <v>0</v>
      </c>
      <c r="O11959">
        <v>0</v>
      </c>
      <c r="AF11959" t="s">
        <v>24674</v>
      </c>
    </row>
    <row r="11960" spans="1:32" hidden="1" x14ac:dyDescent="0.35">
      <c r="A11960">
        <v>11957</v>
      </c>
      <c r="B11960" t="s">
        <v>24675</v>
      </c>
      <c r="C11960" t="s">
        <v>10130</v>
      </c>
      <c r="D11960" t="s">
        <v>60</v>
      </c>
      <c r="E11960">
        <v>690</v>
      </c>
      <c r="F11960">
        <v>1</v>
      </c>
      <c r="G11960">
        <v>1</v>
      </c>
      <c r="H11960">
        <v>1</v>
      </c>
      <c r="I11960">
        <v>0</v>
      </c>
      <c r="J11960">
        <v>1</v>
      </c>
      <c r="K11960">
        <v>1</v>
      </c>
      <c r="L11960">
        <v>1</v>
      </c>
      <c r="M11960">
        <v>0</v>
      </c>
      <c r="N11960">
        <v>0</v>
      </c>
      <c r="O11960">
        <v>0</v>
      </c>
      <c r="AF11960" t="s">
        <v>24676</v>
      </c>
    </row>
    <row r="11961" spans="1:32" hidden="1" x14ac:dyDescent="0.35">
      <c r="A11961">
        <v>11960</v>
      </c>
      <c r="B11961" t="s">
        <v>24691</v>
      </c>
      <c r="C11961" t="s">
        <v>10130</v>
      </c>
      <c r="D11961" t="s">
        <v>34</v>
      </c>
      <c r="E11961">
        <v>556</v>
      </c>
      <c r="F11961">
        <v>1</v>
      </c>
      <c r="G11961">
        <v>1</v>
      </c>
      <c r="H11961">
        <v>1</v>
      </c>
      <c r="I11961">
        <v>0</v>
      </c>
      <c r="J11961">
        <v>1</v>
      </c>
      <c r="K11961">
        <v>1</v>
      </c>
      <c r="L11961">
        <v>1</v>
      </c>
      <c r="M11961">
        <v>0</v>
      </c>
      <c r="N11961">
        <v>0</v>
      </c>
      <c r="O11961">
        <v>0</v>
      </c>
      <c r="AF11961" t="s">
        <v>24692</v>
      </c>
    </row>
    <row r="11962" spans="1:32" hidden="1" x14ac:dyDescent="0.35">
      <c r="A11962">
        <v>11961</v>
      </c>
      <c r="B11962" t="s">
        <v>24693</v>
      </c>
      <c r="D11962" t="s">
        <v>58</v>
      </c>
      <c r="E11962">
        <v>1405</v>
      </c>
      <c r="F11962">
        <v>1</v>
      </c>
      <c r="G11962">
        <v>1</v>
      </c>
      <c r="H11962">
        <v>1</v>
      </c>
      <c r="I11962">
        <v>0</v>
      </c>
      <c r="J11962">
        <v>1</v>
      </c>
      <c r="K11962">
        <v>1</v>
      </c>
      <c r="L11962">
        <v>1</v>
      </c>
      <c r="M11962">
        <v>0</v>
      </c>
      <c r="N11962">
        <v>0</v>
      </c>
      <c r="O11962">
        <v>0</v>
      </c>
      <c r="P11962" t="s">
        <v>7906</v>
      </c>
      <c r="Q11962" t="s">
        <v>7907</v>
      </c>
      <c r="R11962" t="s">
        <v>319</v>
      </c>
      <c r="S11962" t="s">
        <v>320</v>
      </c>
      <c r="T11962" t="s">
        <v>17359</v>
      </c>
      <c r="U11962" t="s">
        <v>17360</v>
      </c>
      <c r="V11962" t="s">
        <v>9556</v>
      </c>
      <c r="W11962" t="s">
        <v>9557</v>
      </c>
      <c r="AD11962" t="s">
        <v>191</v>
      </c>
      <c r="AE11962" t="s">
        <v>17361</v>
      </c>
      <c r="AF11962" t="s">
        <v>24694</v>
      </c>
    </row>
    <row r="11963" spans="1:32" hidden="1" x14ac:dyDescent="0.35">
      <c r="A11963">
        <v>2159</v>
      </c>
      <c r="B11963" t="s">
        <v>4490</v>
      </c>
      <c r="C11963" t="s">
        <v>72</v>
      </c>
      <c r="D11963" t="s">
        <v>58</v>
      </c>
      <c r="E11963">
        <v>377</v>
      </c>
      <c r="F11963">
        <v>5</v>
      </c>
      <c r="G11963">
        <v>5</v>
      </c>
      <c r="H11963">
        <v>1</v>
      </c>
      <c r="I11963">
        <v>1</v>
      </c>
      <c r="J11963">
        <v>0.82191142191142197</v>
      </c>
      <c r="K11963">
        <v>0.94496377266825604</v>
      </c>
      <c r="L11963">
        <v>0.87915266503394596</v>
      </c>
      <c r="M11963">
        <v>0.617414248021108</v>
      </c>
      <c r="N11963">
        <v>1</v>
      </c>
      <c r="O11963">
        <v>0.74670184696569897</v>
      </c>
      <c r="P11963" t="s">
        <v>4491</v>
      </c>
      <c r="Q11963" t="s">
        <v>4492</v>
      </c>
      <c r="R11963" t="s">
        <v>342</v>
      </c>
      <c r="S11963" t="s">
        <v>343</v>
      </c>
      <c r="T11963" t="s">
        <v>4493</v>
      </c>
      <c r="U11963" t="s">
        <v>4494</v>
      </c>
      <c r="V11963" t="s">
        <v>4495</v>
      </c>
      <c r="W11963" t="s">
        <v>4496</v>
      </c>
      <c r="AD11963" t="s">
        <v>245</v>
      </c>
      <c r="AE11963" t="s">
        <v>4497</v>
      </c>
      <c r="AF11963" t="s">
        <v>4498</v>
      </c>
    </row>
    <row r="11964" spans="1:32" hidden="1" x14ac:dyDescent="0.35">
      <c r="A11964">
        <v>11963</v>
      </c>
      <c r="B11964" t="s">
        <v>24697</v>
      </c>
      <c r="D11964" t="s">
        <v>58</v>
      </c>
      <c r="E11964">
        <v>907</v>
      </c>
      <c r="F11964">
        <v>1</v>
      </c>
      <c r="G11964">
        <v>1</v>
      </c>
      <c r="H11964">
        <v>1</v>
      </c>
      <c r="I11964">
        <v>0</v>
      </c>
      <c r="J11964">
        <v>1</v>
      </c>
      <c r="K11964">
        <v>1</v>
      </c>
      <c r="L11964">
        <v>1</v>
      </c>
      <c r="M11964">
        <v>0</v>
      </c>
      <c r="N11964">
        <v>0</v>
      </c>
      <c r="O11964">
        <v>0</v>
      </c>
      <c r="P11964" t="s">
        <v>13459</v>
      </c>
      <c r="Q11964" t="s">
        <v>13460</v>
      </c>
      <c r="R11964" t="s">
        <v>288</v>
      </c>
      <c r="S11964" t="s">
        <v>289</v>
      </c>
      <c r="T11964" t="s">
        <v>13461</v>
      </c>
      <c r="U11964" t="s">
        <v>13462</v>
      </c>
      <c r="V11964" t="s">
        <v>13463</v>
      </c>
      <c r="W11964" t="s">
        <v>13464</v>
      </c>
      <c r="AD11964" t="s">
        <v>410</v>
      </c>
      <c r="AE11964" t="s">
        <v>603</v>
      </c>
      <c r="AF11964" t="s">
        <v>24698</v>
      </c>
    </row>
    <row r="11965" spans="1:32" hidden="1" x14ac:dyDescent="0.35">
      <c r="A11965">
        <v>6077</v>
      </c>
      <c r="B11965" t="s">
        <v>12500</v>
      </c>
      <c r="C11965" t="s">
        <v>68</v>
      </c>
      <c r="D11965" t="s">
        <v>58</v>
      </c>
      <c r="E11965">
        <v>1148</v>
      </c>
      <c r="F11965">
        <v>3</v>
      </c>
      <c r="G11965">
        <v>3</v>
      </c>
      <c r="H11965">
        <v>1</v>
      </c>
      <c r="I11965">
        <v>0</v>
      </c>
      <c r="J11965">
        <v>0.852062588904694</v>
      </c>
      <c r="K11965">
        <v>0.86831232028312499</v>
      </c>
      <c r="L11965">
        <v>0.860110711504813</v>
      </c>
      <c r="M11965">
        <v>0.51636363636363602</v>
      </c>
      <c r="N11965">
        <v>1</v>
      </c>
      <c r="O11965">
        <v>0.67757575757575805</v>
      </c>
      <c r="P11965" t="s">
        <v>12501</v>
      </c>
      <c r="Q11965" t="s">
        <v>12502</v>
      </c>
      <c r="R11965" t="s">
        <v>869</v>
      </c>
      <c r="S11965" t="s">
        <v>870</v>
      </c>
      <c r="T11965" t="s">
        <v>12503</v>
      </c>
      <c r="U11965" t="s">
        <v>12504</v>
      </c>
      <c r="V11965" t="s">
        <v>12032</v>
      </c>
      <c r="W11965" t="s">
        <v>12033</v>
      </c>
      <c r="AD11965" t="s">
        <v>410</v>
      </c>
      <c r="AE11965" t="s">
        <v>12505</v>
      </c>
      <c r="AF11965" t="e">
        <f>--MAAAER------------------GAGFKSIPG---------------------------------------GQLVDFRPEDLRGSLRRGMESNLIVFVVDASGSMAARDRLSAVSGAVVSMLQDAYRRRDKVAVVSVRGAQPEVLLPPTGSVEVAVKRMEGAPTGGRTPLAEGLVMAQDLIERQARKEPSRRAIMVVLSDGRATGAAGIKGVRLAAEAIARRGLSANVVIDCER-GRVQLGLAKELAQGLGAAWVRLDELNADTVASVI-GI</f>
        <v>#NAME?</v>
      </c>
    </row>
    <row r="11966" spans="1:32" hidden="1" x14ac:dyDescent="0.35">
      <c r="A11966">
        <v>11965</v>
      </c>
      <c r="B11966" t="s">
        <v>24701</v>
      </c>
      <c r="D11966" t="s">
        <v>58</v>
      </c>
      <c r="E11966">
        <v>401</v>
      </c>
      <c r="F11966">
        <v>1</v>
      </c>
      <c r="G11966">
        <v>1</v>
      </c>
      <c r="H11966">
        <v>1</v>
      </c>
      <c r="I11966">
        <v>0</v>
      </c>
      <c r="J11966">
        <v>1</v>
      </c>
      <c r="K11966">
        <v>1</v>
      </c>
      <c r="L11966">
        <v>1</v>
      </c>
      <c r="M11966">
        <v>0</v>
      </c>
      <c r="N11966">
        <v>0</v>
      </c>
      <c r="O11966">
        <v>0</v>
      </c>
      <c r="AF11966" t="s">
        <v>24702</v>
      </c>
    </row>
    <row r="11967" spans="1:32" hidden="1" x14ac:dyDescent="0.35">
      <c r="A11967">
        <v>11966</v>
      </c>
      <c r="B11967" t="s">
        <v>24703</v>
      </c>
      <c r="D11967" t="s">
        <v>45</v>
      </c>
      <c r="E11967">
        <v>2050</v>
      </c>
      <c r="F11967">
        <v>1</v>
      </c>
      <c r="G11967">
        <v>1</v>
      </c>
      <c r="H11967">
        <v>1</v>
      </c>
      <c r="I11967">
        <v>0</v>
      </c>
      <c r="J11967">
        <v>1</v>
      </c>
      <c r="K11967">
        <v>1</v>
      </c>
      <c r="L11967">
        <v>1</v>
      </c>
      <c r="M11967">
        <v>0</v>
      </c>
      <c r="N11967">
        <v>0</v>
      </c>
      <c r="O11967">
        <v>0</v>
      </c>
      <c r="AF11967" t="s">
        <v>24704</v>
      </c>
    </row>
    <row r="11968" spans="1:32" hidden="1" x14ac:dyDescent="0.35">
      <c r="A11968">
        <v>11967</v>
      </c>
      <c r="B11968" t="s">
        <v>24705</v>
      </c>
      <c r="D11968" t="s">
        <v>58</v>
      </c>
      <c r="E11968">
        <v>600</v>
      </c>
      <c r="F11968">
        <v>1</v>
      </c>
      <c r="G11968">
        <v>1</v>
      </c>
      <c r="H11968">
        <v>1</v>
      </c>
      <c r="I11968">
        <v>0</v>
      </c>
      <c r="J11968">
        <v>1</v>
      </c>
      <c r="K11968">
        <v>1</v>
      </c>
      <c r="L11968">
        <v>1</v>
      </c>
      <c r="M11968">
        <v>0</v>
      </c>
      <c r="N11968">
        <v>0</v>
      </c>
      <c r="O11968">
        <v>0</v>
      </c>
      <c r="AF11968" t="s">
        <v>24706</v>
      </c>
    </row>
    <row r="11969" spans="1:32" hidden="1" x14ac:dyDescent="0.35">
      <c r="A11969">
        <v>11968</v>
      </c>
      <c r="B11969" t="s">
        <v>24707</v>
      </c>
      <c r="D11969" t="s">
        <v>58</v>
      </c>
      <c r="E11969">
        <v>1120</v>
      </c>
      <c r="F11969">
        <v>1</v>
      </c>
      <c r="G11969">
        <v>1</v>
      </c>
      <c r="H11969">
        <v>1</v>
      </c>
      <c r="I11969">
        <v>0</v>
      </c>
      <c r="J11969">
        <v>1</v>
      </c>
      <c r="K11969">
        <v>1</v>
      </c>
      <c r="L11969">
        <v>1</v>
      </c>
      <c r="M11969">
        <v>0</v>
      </c>
      <c r="N11969">
        <v>0</v>
      </c>
      <c r="O11969">
        <v>0</v>
      </c>
      <c r="AF11969" t="s">
        <v>24708</v>
      </c>
    </row>
    <row r="11970" spans="1:32" hidden="1" x14ac:dyDescent="0.35">
      <c r="A11970">
        <v>11969</v>
      </c>
      <c r="B11970" t="s">
        <v>24709</v>
      </c>
      <c r="D11970" t="s">
        <v>58</v>
      </c>
      <c r="E11970">
        <v>833</v>
      </c>
      <c r="F11970">
        <v>1</v>
      </c>
      <c r="G11970">
        <v>1</v>
      </c>
      <c r="H11970">
        <v>1</v>
      </c>
      <c r="I11970">
        <v>0</v>
      </c>
      <c r="J11970">
        <v>1</v>
      </c>
      <c r="K11970">
        <v>1</v>
      </c>
      <c r="L11970">
        <v>1</v>
      </c>
      <c r="M11970">
        <v>0</v>
      </c>
      <c r="N11970">
        <v>0</v>
      </c>
      <c r="O11970">
        <v>0</v>
      </c>
      <c r="AF11970" t="s">
        <v>24710</v>
      </c>
    </row>
    <row r="11971" spans="1:32" hidden="1" x14ac:dyDescent="0.35">
      <c r="A11971">
        <v>11970</v>
      </c>
      <c r="B11971" t="s">
        <v>24711</v>
      </c>
      <c r="D11971" t="s">
        <v>34</v>
      </c>
      <c r="E11971">
        <v>2399</v>
      </c>
      <c r="F11971">
        <v>1</v>
      </c>
      <c r="G11971">
        <v>1</v>
      </c>
      <c r="H11971">
        <v>1</v>
      </c>
      <c r="I11971">
        <v>0</v>
      </c>
      <c r="J11971">
        <v>1</v>
      </c>
      <c r="K11971">
        <v>1</v>
      </c>
      <c r="L11971">
        <v>1</v>
      </c>
      <c r="M11971">
        <v>0</v>
      </c>
      <c r="N11971">
        <v>0</v>
      </c>
      <c r="O11971">
        <v>0</v>
      </c>
      <c r="R11971" t="s">
        <v>13853</v>
      </c>
      <c r="S11971" t="s">
        <v>13854</v>
      </c>
      <c r="V11971" t="s">
        <v>24712</v>
      </c>
      <c r="W11971" t="s">
        <v>24713</v>
      </c>
      <c r="AF11971" t="s">
        <v>24714</v>
      </c>
    </row>
    <row r="11972" spans="1:32" hidden="1" x14ac:dyDescent="0.35">
      <c r="A11972">
        <v>3909</v>
      </c>
      <c r="B11972" t="s">
        <v>8060</v>
      </c>
      <c r="C11972" t="s">
        <v>72</v>
      </c>
      <c r="D11972" t="s">
        <v>58</v>
      </c>
      <c r="E11972">
        <v>1023</v>
      </c>
      <c r="F11972">
        <v>5</v>
      </c>
      <c r="G11972">
        <v>5</v>
      </c>
      <c r="H11972">
        <v>1</v>
      </c>
      <c r="I11972">
        <v>1</v>
      </c>
      <c r="J11972">
        <v>0.78925619834710703</v>
      </c>
      <c r="K11972">
        <v>0.99183920952167104</v>
      </c>
      <c r="L11972">
        <v>0.87902673873644399</v>
      </c>
      <c r="M11972">
        <v>0.62295081967213095</v>
      </c>
      <c r="N11972">
        <v>0.99453551912568305</v>
      </c>
      <c r="O11972">
        <v>0.71557377049180304</v>
      </c>
      <c r="P11972" t="s">
        <v>5470</v>
      </c>
      <c r="Q11972" t="s">
        <v>5471</v>
      </c>
      <c r="R11972" t="s">
        <v>235</v>
      </c>
      <c r="S11972" t="s">
        <v>236</v>
      </c>
      <c r="T11972" t="s">
        <v>8061</v>
      </c>
      <c r="U11972" t="s">
        <v>8062</v>
      </c>
      <c r="V11972" t="s">
        <v>8063</v>
      </c>
      <c r="W11972" t="s">
        <v>8064</v>
      </c>
      <c r="AD11972" t="s">
        <v>5476</v>
      </c>
      <c r="AE11972" t="s">
        <v>8065</v>
      </c>
      <c r="AF11972" t="s">
        <v>8066</v>
      </c>
    </row>
    <row r="11973" spans="1:32" hidden="1" x14ac:dyDescent="0.35">
      <c r="A11973">
        <v>11972</v>
      </c>
      <c r="B11973" t="s">
        <v>24717</v>
      </c>
      <c r="D11973" t="s">
        <v>58</v>
      </c>
      <c r="E11973">
        <v>766</v>
      </c>
      <c r="F11973">
        <v>1</v>
      </c>
      <c r="G11973">
        <v>1</v>
      </c>
      <c r="H11973">
        <v>1</v>
      </c>
      <c r="I11973">
        <v>0</v>
      </c>
      <c r="J11973">
        <v>1</v>
      </c>
      <c r="K11973">
        <v>1</v>
      </c>
      <c r="L11973">
        <v>1</v>
      </c>
      <c r="M11973">
        <v>0</v>
      </c>
      <c r="N11973">
        <v>0</v>
      </c>
      <c r="O11973">
        <v>0</v>
      </c>
      <c r="AF11973" t="s">
        <v>24718</v>
      </c>
    </row>
    <row r="11974" spans="1:32" hidden="1" x14ac:dyDescent="0.35">
      <c r="A11974">
        <v>11973</v>
      </c>
      <c r="B11974" t="s">
        <v>24719</v>
      </c>
      <c r="D11974" t="s">
        <v>58</v>
      </c>
      <c r="E11974">
        <v>512</v>
      </c>
      <c r="F11974">
        <v>1</v>
      </c>
      <c r="G11974">
        <v>1</v>
      </c>
      <c r="H11974">
        <v>1</v>
      </c>
      <c r="I11974">
        <v>0</v>
      </c>
      <c r="J11974">
        <v>1</v>
      </c>
      <c r="K11974">
        <v>1</v>
      </c>
      <c r="L11974">
        <v>1</v>
      </c>
      <c r="M11974">
        <v>0</v>
      </c>
      <c r="N11974">
        <v>0</v>
      </c>
      <c r="O11974">
        <v>0</v>
      </c>
      <c r="P11974" t="s">
        <v>24720</v>
      </c>
      <c r="Q11974" t="s">
        <v>2227</v>
      </c>
      <c r="R11974" t="s">
        <v>13853</v>
      </c>
      <c r="S11974" t="s">
        <v>13854</v>
      </c>
      <c r="V11974" t="s">
        <v>24721</v>
      </c>
      <c r="W11974" t="s">
        <v>24722</v>
      </c>
      <c r="AF11974" t="s">
        <v>24723</v>
      </c>
    </row>
    <row r="11975" spans="1:32" hidden="1" x14ac:dyDescent="0.35">
      <c r="A11975">
        <v>11167</v>
      </c>
      <c r="B11975" t="s">
        <v>22657</v>
      </c>
      <c r="C11975" t="s">
        <v>33</v>
      </c>
      <c r="D11975" t="s">
        <v>58</v>
      </c>
      <c r="E11975">
        <v>915</v>
      </c>
      <c r="F11975">
        <v>1</v>
      </c>
      <c r="G11975">
        <v>1</v>
      </c>
      <c r="H11975">
        <v>1</v>
      </c>
      <c r="I11975">
        <v>0</v>
      </c>
      <c r="J11975">
        <v>1</v>
      </c>
      <c r="K11975">
        <v>1</v>
      </c>
      <c r="L11975">
        <v>1</v>
      </c>
      <c r="M11975">
        <v>0</v>
      </c>
      <c r="N11975">
        <v>0</v>
      </c>
      <c r="O11975">
        <v>0</v>
      </c>
      <c r="P11975" t="s">
        <v>5470</v>
      </c>
      <c r="Q11975" t="s">
        <v>5471</v>
      </c>
      <c r="R11975" t="s">
        <v>235</v>
      </c>
      <c r="S11975" t="s">
        <v>236</v>
      </c>
      <c r="T11975" t="s">
        <v>11674</v>
      </c>
      <c r="U11975" t="s">
        <v>11675</v>
      </c>
      <c r="V11975" t="s">
        <v>8063</v>
      </c>
      <c r="W11975" t="s">
        <v>8064</v>
      </c>
      <c r="Z11975" t="s">
        <v>1953</v>
      </c>
      <c r="AA11975" t="s">
        <v>1954</v>
      </c>
      <c r="AB11975" t="s">
        <v>1953</v>
      </c>
      <c r="AC11975" t="s">
        <v>878</v>
      </c>
      <c r="AD11975" t="s">
        <v>9397</v>
      </c>
      <c r="AE11975" t="s">
        <v>11678</v>
      </c>
      <c r="AF11975" t="s">
        <v>22658</v>
      </c>
    </row>
    <row r="11976" spans="1:32" hidden="1" x14ac:dyDescent="0.35">
      <c r="A11976">
        <v>11975</v>
      </c>
      <c r="B11976" t="s">
        <v>24730</v>
      </c>
      <c r="D11976" t="s">
        <v>58</v>
      </c>
      <c r="E11976">
        <v>137</v>
      </c>
      <c r="F11976">
        <v>1</v>
      </c>
      <c r="G11976">
        <v>1</v>
      </c>
      <c r="H11976">
        <v>1</v>
      </c>
      <c r="I11976">
        <v>0</v>
      </c>
      <c r="J11976">
        <v>1</v>
      </c>
      <c r="K11976">
        <v>1</v>
      </c>
      <c r="L11976">
        <v>1</v>
      </c>
      <c r="M11976">
        <v>0</v>
      </c>
      <c r="N11976">
        <v>0</v>
      </c>
      <c r="O11976">
        <v>0</v>
      </c>
      <c r="AF11976" t="s">
        <v>24731</v>
      </c>
    </row>
  </sheetData>
  <autoFilter ref="A1:AF11976" xr:uid="{0EB898FB-0823-4875-B790-792771C8253C}">
    <filterColumn colId="22">
      <filters>
        <filter val="Nitrate reductase alpha subunit (NarG) (PDB:1Q16)"/>
      </filters>
    </filterColumn>
  </autoFilter>
  <sortState xmlns:xlrd2="http://schemas.microsoft.com/office/spreadsheetml/2017/richdata2" ref="C1:C11976">
    <sortCondition ref="C1:C1197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CORYNEBACTERIUM-PANGENOME_gene_</vt:lpstr>
    </vt:vector>
  </TitlesOfParts>
  <Company>Oregon Health and Science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Molly Burnside</dc:creator>
  <cp:lastModifiedBy>Molly Burnside</cp:lastModifiedBy>
  <dcterms:created xsi:type="dcterms:W3CDTF">2025-07-15T17:18:11Z</dcterms:created>
  <dcterms:modified xsi:type="dcterms:W3CDTF">2025-08-06T19:39:38Z</dcterms:modified>
</cp:coreProperties>
</file>